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s" sheetId="1" r:id="rId5"/>
    <sheet state="visible" name="REF Weekly" sheetId="2" r:id="rId6"/>
    <sheet state="visible" name="Pos and Incl" sheetId="3" r:id="rId7"/>
    <sheet state="visible" name="preDEL" sheetId="4" r:id="rId8"/>
    <sheet state="visible" name="filterDEL" sheetId="5" r:id="rId9"/>
    <sheet state="visible" name="postDEL" sheetId="6" r:id="rId10"/>
    <sheet state="visible" name="Person" sheetId="7" r:id="rId11"/>
    <sheet state="visible" name="APS Tubes" sheetId="8" r:id="rId12"/>
    <sheet state="visible" name="APS Tubes by Date" sheetId="9" r:id="rId13"/>
    <sheet state="visible" name="RAW_APS" sheetId="10" r:id="rId14"/>
    <sheet state="visible" name="RAW_APT" sheetId="11" r:id="rId15"/>
    <sheet state="visible" name="Add from APT" sheetId="12" r:id="rId16"/>
    <sheet state="visible" name="Reps RAW_APS" sheetId="13" r:id="rId17"/>
    <sheet state="visible" name="Process" sheetId="14" r:id="rId18"/>
    <sheet state="visible" name="F" sheetId="15" r:id="rId19"/>
    <sheet state="visible" name="Rollup" sheetId="16" r:id="rId20"/>
  </sheets>
  <definedNames>
    <definedName name="nondeleteRangeTubeID">#REF!</definedName>
    <definedName name="deleteRangeDeleteCode">#REF!</definedName>
    <definedName name="nondeleteRange">#REF!</definedName>
    <definedName hidden="1" localSheetId="11" name="Z_970CFC62_ED62_4C53_B743_4DC83B12D83A_.wvu.FilterData">'Add from APT'!$Q$1:$Q$815</definedName>
    <definedName hidden="1" localSheetId="3" name="Z_175D1447_8185_4C6D_8D8E_F18964270594_.wvu.FilterData">preDEL!$K$1:$K$826</definedName>
    <definedName hidden="1" localSheetId="11" name="Z_175D1447_8185_4C6D_8D8E_F18964270594_.wvu.FilterData">'Add from APT'!$Q$1:$Q$815</definedName>
    <definedName hidden="1" localSheetId="11" name="Z_9421838C_6254_4AC2_AD61_57A3A762302D_.wvu.FilterData">'Add from APT'!$A$1:$AE$815</definedName>
  </definedNames>
  <calcPr/>
  <customWorkbookViews>
    <customWorkbookView activeSheetId="0" maximized="1" windowHeight="0" windowWidth="0" guid="{970CFC62-ED62-4C53-B743-4DC83B12D83A}" name="Filter 2"/>
    <customWorkbookView activeSheetId="0" maximized="1" windowHeight="0" windowWidth="0" guid="{9421838C-6254-4AC2-AD61-57A3A762302D}" name="Filter 3"/>
    <customWorkbookView activeSheetId="0" maximized="1" windowHeight="0" windowWidth="0" guid="{175D1447-8185-4C6D-8D8E-F18964270594}"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4">
      <text>
        <t xml:space="preserve">Hard
coded at 1 because this program did not use pooling</t>
      </text>
    </comment>
    <comment authorId="0" ref="A52">
      <text>
        <t xml:space="preserve">not available - Only PCR Referral Testing
</t>
      </text>
    </comment>
    <comment authorId="0" ref="A53">
      <text>
        <t xml:space="preserve">not available - Only PCR Referral Testing
</t>
      </text>
    </comment>
    <comment authorId="0" ref="A54">
      <text>
        <t xml:space="preserve">not available - Only PCR Referral Testing
</t>
      </text>
    </comment>
    <comment authorId="0" ref="A55">
      <text>
        <t xml:space="preserve">not available</t>
      </text>
    </comment>
    <comment authorId="0" ref="A56">
      <text>
        <t xml:space="preserve">not available - Only PCR Referral Testing
</t>
      </text>
    </comment>
    <comment authorId="0" ref="A57">
      <text>
        <t xml:space="preserve">denom zero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
      <text>
        <t xml:space="preserve">No RTR - only correspondence</t>
      </text>
    </comment>
    <comment authorId="0" ref="V1">
      <text>
        <t xml:space="preserve">Repeat FloodLAMP Tests which is a different run (not a re-run) and is necessarily a Known Positive
</t>
      </text>
    </comment>
    <comment authorId="0" ref="W1">
      <text>
        <t xml:space="preserve">Program admin states on multiple occassions that all FloodLAMP positives were confirmed by  lab 
PCR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MUST BE SORTED such that Tube IDs appear together</t>
      </text>
    </comment>
    <comment authorId="0" ref="S1">
      <text>
        <t xml:space="preserve">=COUNTIF($A$2:$A,$A2)
</t>
      </text>
    </comment>
    <comment authorId="0" ref="T1">
      <text>
        <t xml:space="preserve">this is equal to the number of new names added from notes and is present for all rows for that tube</t>
      </text>
    </comment>
    <comment authorId="0" ref="X1">
      <text>
        <t xml:space="preserve">Conditional Formatting:
Text contains ERROR - red fill
Text does not contain ERROR - green fill</t>
      </text>
    </comment>
    <comment authorId="0" ref="Y1">
      <text>
        <t xml:space="preserve">MUST BE SORTED by TUBE ID
paste as values and clear pink fill
=AND(NOT($R2),$T2)
R is First Row? col
T is Add N Names col</t>
      </text>
    </comment>
    <comment authorId="0" ref="Z1">
      <text>
        <t xml:space="preserve">=IF(S2&gt;4,TRUE,IFERROR(0/0))</t>
      </text>
    </comment>
    <comment authorId="0" ref="AA1">
      <text>
        <t xml:space="preserve">=IF(ISBLANK(Q2),IFERROR(0/0),TRUE)
Q is NOTE col</t>
      </text>
    </comment>
    <comment authorId="0" ref="AB1">
      <text>
        <t xml:space="preserve">delete the Notes values by default except for these exceptions which contain helpful info such as referral testing, must DeID any names in Notes</t>
      </text>
    </comment>
    <comment authorId="0" ref="AE1">
      <text>
        <t xml:space="preserve">Will be blank if resulted on different day or if no day or time for either collection or result</t>
      </text>
    </comment>
    <comment authorId="0" ref="AF1">
      <text>
        <t xml:space="preserve">MUST BE SORTED BY TUBE ID
=OR(AND($AG2,$AG3,EXACT($A2,$A3),NOT(EXACT(CONCATENATE($B2,$C2),CONCATENATE($B3,$C3)))),AND($AG2,$AG1,EXACT($A2,$A1),NOT(EXACT(CONCATENATE($B2,$C2),CONCATENATE($B1,$C1)))))
CONDITIONAL FORMATTING
Text Contains
ERROR
Red fill
OLD FORMULA THAT IGNORES DELETED
Only sets one sample of pool as TRUE
=OR(AND(EXACT($A2,$A3),NOT(EXACT(CONCATENATE($B2,$C2),CONCATENATE($B3,$C3)))),AND(EXACT($A2,$A1),NOT(EXACT(CONCATENATE($B2,$C2),CONCATENATE($B1,$C1)))))</t>
      </text>
    </comment>
    <comment authorId="0" ref="AG1">
      <text>
        <t xml:space="preserve">=IF(AH2&gt;=1,TRUE,IFERROR(0/0))</t>
      </text>
    </comment>
    <comment authorId="0" ref="AH1">
      <text>
        <t xml:space="preserve">&gt;0 means TRUE (delete)
1 Tube ID blank
1.1	Duplicate TubeID conclude mistake and delete
2	In Delete Tube ID Prefix List
2.1	Non Std Prefix, Suspected Test
2.2	FL Staff, many same day tubes
2.3	FL Staff Sponsor and Participant
2.4	FL Staff No Participant, No Note
2.5	Bogus Participant Name
2.6	Participant Same Day review
2.7	Collection and Result times right after indicates test
2.8  Non Std Prefix and Result=Fail
3	In Delete Sponsor List
4	Note indicates test
4.1	Note indicates erroneous tube
5.1	Positive result FL Staff sponsor
5.2	Null Result, FL Staff sponsor
5.3	Null Result, Duplicate
5.4	Null Result, Incomplete Status, Unique Tube ID
5.5	Null Result, No Participant, Minor or Note
6	Duplicate Minor row
7	Duplicate Tube ID
7.1	Duplicate Tube ID - Extra Note Name Add Error
8	Pos Control
8.1   Saliva sample
9	No Collection Date, Null result
9.1 Null, delete in Reconcile w RFR
9.2 Null, suspected corrupt APS Raw row - see note
9.3 Not in LUM
9.4 Null, no run that day in RFR
20	Internal sync specific - see notes for program
21	Internal sync specific - see notes for program
22	Internal sync specific - see notes for program</t>
      </text>
    </comment>
    <comment authorId="0" ref="AI1">
      <text>
        <t xml:space="preserve">1.3	Duplicate TubeID but conclude different tubes, add x
1.4  Tube ID field blank - add BLANK1, 2, 3 ,etc if marked for deletion
1.5 Duplicate Tube ID and participant in other tube on same day, add "de" to Tube ID and also mark for deletion (1.1)
4	Recollect - fix collection timestamp, sponsor and result
4.1	Capitalize TubeID prefix
4.2	Removed Space
5	For Review, Highlight
5.1	FL Staff Remote Collected
6	Fix spelling error in name
6.1 Blank first name, move last name to first name
7	sponsor copied to empty participant
8     incorrect nested minor, move from Minor cols to Participant Cols
9     uncollected person in participant col, remove name there and add Note Name
REMOVE THESE CODES FROM HERE
2	custom result, see note
2.11	Null &gt; Negative, FL Staff Sponsor
2.12	Null &gt; Negative, non FL Staff Sponsor
2.2	changed to positive, see note
3	changed result to REVIEW</t>
      </text>
    </comment>
    <comment authorId="0" ref="AJ1">
      <text>
        <t xml:space="preserve">2	Null to Neg to reconcile run tube count
2.1	Null to Neg for recollect
2.2	Null to Neg with no RFR or other info
2.5	 Inconclusive to Negative based on RFR Audit
2.7	Pos to Neg based on RFR - checked image and entire batch mis-called
3	Null to Pos
3.1	Null to Pos for recollect
4	Null to Inconclusive
4.1	Negative to Inconclusive based  on RFR Audit and LUM
5	MANUAL - See Correction Note</t>
      </text>
    </comment>
    <comment authorId="0" ref="AK1">
      <text>
        <t xml:space="preserve">add other code/result in pairs</t>
      </text>
    </comment>
    <comment authorId="0" ref="AM1">
      <text>
        <t xml:space="preserve">=IF(EXACT(AO2,"DELETED"),"DELETED", VLOOKUP(AO2,Person!AK$2:AO,5,FALSE))</t>
      </text>
    </comment>
    <comment authorId="0" ref="AN1">
      <text>
        <t xml:space="preserve">=IF(EXACT(AR2,"DELETED"),"DELETED", VLOOKUP(AR2,Person!C$2:E,3,FALSE))
</t>
      </text>
    </comment>
    <comment authorId="0" ref="AO1">
      <text>
        <t xml:space="preserve">=trim(join(" ",D2:E2))</t>
      </text>
    </comment>
    <comment authorId="0" ref="AP1">
      <text>
        <t xml:space="preserve">=TRIM(CONCATENATE(G2,J2))
Combines Participant and Minor Cols - only one will have entries</t>
      </text>
    </comment>
    <comment authorId="0" ref="AQ1">
      <text>
        <t xml:space="preserve">=TRIM(CONCATENATE(H2,K2))
Combines Participant and Minor Cols - only one will have entries</t>
      </text>
    </comment>
    <comment authorId="0" ref="AR1">
      <text>
        <t xml:space="preserve">=trim(join(" ",AN2,AO2))
Combines Participant and Minor Cols - only one will have entries</t>
      </text>
    </comment>
    <comment authorId="0" ref="AT1">
      <text>
        <t xml:space="preserve">Only gives ERROR if row is not deleted
Conditional Formatting:
Text contains ERROR - red fill
Text does not contain ERROR - green fill</t>
      </text>
    </comment>
    <comment authorId="0" ref="AU1">
      <text>
        <t xml:space="preserve">=IF(ISBLANK($G3),IF(ISBLANK($H3),IFERROR(0/0),2),1)</t>
      </text>
    </comment>
    <comment authorId="0" ref="AV1">
      <text>
        <t xml:space="preserve">=IF(ISBLANK($J3),IF(ISBLANK($K3),IFERROR(0/0),2),1)</t>
      </text>
    </comment>
    <comment authorId="0" ref="AW1">
      <text>
        <t xml:space="preserve">=IF(ISBLANK($U2),IF(ISBLANK($V2),IFERROR(0/0),2),1)</t>
      </text>
    </comment>
    <comment authorId="0" ref="AX1">
      <text>
        <t xml:space="preserve">MUST HAVE SORT by Tube ID + Note Firstname
so that Note Name samples are at the bottom of list for a tube, and the formula will not give a 1 for that last sample in the tube when it's a note name as well</t>
      </text>
    </comment>
    <comment authorId="0" ref="BA1">
      <text>
        <t xml:space="preserve">UPPER check
=IF(AG2,IFERROR(0/0),IF(EXACT(UPPER(A2),A2),IFERROR(0/0),TRUE))
Deleted with Note Name
=IF(AND(AG2,X2),TRUE,IFERROR(0/0))</t>
      </text>
    </comment>
    <comment authorId="0" ref="BF1">
      <text>
        <t xml:space="preserve">Timestamp
=IF($AG2,IFERROR(0/0),CONCATENATE($A2,"__",$B2,"_",$C2))
Samecols
=IF($AG2,IFERROR(0/0),CONCATENATE($A2,"__",$B2,"_",$C2,"_",$D2,"_",$E2,"_",$K2,"_",$L2,"_",$M2,"_",$O2))</t>
      </text>
    </comment>
    <comment authorId="0" ref="BG1">
      <text>
        <t xml:space="preserve">=IF(ISBLANK(IFERROR(MATCH(LEFT(BP2, FIND("__",BP2)-1),BN$2:BN,0))),IFERROR(0/0),TRUE)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don't do anything with this cell
it should populate the rest of the sheet automatically</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=CONCATENATE(Process!$A$1,F2)</t>
      </text>
    </comment>
    <comment authorId="0" ref="F1">
      <text>
        <t xml:space="preserve">FORMULA BELOW then PASTE AS VALUES
=RANDBETWEEN(100000, 999999)
HEADER
=CONCATENATE(IF(COUNTA(UNIQUE(F2:F))=COUNTA(F2:F),"OK UNIQUE - ","ERROR! REPEATS - "), "Participant ID Number")
</t>
      </text>
    </comment>
    <comment authorId="0" ref="I1">
      <text>
        <t xml:space="preserve">reason for assigning person to HH
0 no HH info
1  accounts csv
2.1 same last name, has Appivo account
2.2 same last name, note name (no Appivo account)
2.3 nested minor, minor or guardian
2.4 houshold relationship mentioned in collection note
3 APS collected together
4   RFR
5   RTR
5.1 Admin Communication
6 same consent form</t>
      </text>
    </comment>
    <comment authorId="0" ref="J1">
      <text>
        <t xml:space="preserve">Could be class name, Org Staff
Only enter if StaffFlag or StudentFlag checked in accounts csv</t>
      </text>
    </comment>
    <comment authorId="0" ref="L1">
      <text>
        <t xml:space="preserve">only entered from account csv</t>
      </text>
    </comment>
    <comment authorId="0" ref="M1">
      <text>
        <t xml:space="preserve">guardian
minor
hhadult
[blank] if don't know</t>
      </text>
    </comment>
    <comment authorId="0" ref="O1">
      <text>
        <t xml:space="preserve">Heirarchical (choose bottom most):
no sample and no appivo account
note name only
nested minor
edu email minor
participant only
sponsor
supersponsor
staff
admin</t>
      </text>
    </comment>
    <comment authorId="0" ref="S1">
      <text>
        <t xml:space="preserve">Y Appivo, N Appivo, PandaDoc, DocSend, Paper
include version #</t>
      </text>
    </comment>
    <comment authorId="0" ref="AO1">
      <text>
        <t xml:space="preserve">OLD formula
IF(COUNTBLANK(Y2:Y)=ROWS(Y2:Y),"ALL SPONSORS in Values","ERROR!! SPONSOR NOT IN VALUES")</t>
      </text>
    </comment>
    <comment authorId="0" ref="AQ1">
      <text>
        <t xml:space="preserve">=CONCATENATE("Sp",Process!$A$1,AR2)
</t>
      </text>
    </comment>
    <comment authorId="0" ref="AR1">
      <text>
        <t xml:space="preserve">FORMULA BELOW then PASTE AS VALUES
=RANDBETWEEN(100000, 999999)
HEADER
=CONCATENATE(IF(COUNTA(UNIQUE(AR2:AR))=COUNTA(AR2:AR),"OK UNIQUE - ","ERROR! REPEATS - "), "Participant ID Number")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=SORT(UNIQUE('APS Tubes PHI'!$B2:$B))</t>
      </text>
    </comment>
    <comment authorId="0" ref="B1">
      <text>
        <t xml:space="preserve">=COUNTUNIQUEIFS('APS Tubes PHI'!$A$2:$A,'APS Tubes PHI'!$B$2:$B,A2)</t>
      </text>
    </comment>
    <comment authorId="0" ref="T1">
      <text>
        <t xml:space="preserve">=SORT(UNIQUE('APS Tubes PHI'!$I2:$I))</t>
      </text>
    </comment>
    <comment authorId="0" ref="U1">
      <text>
        <t xml:space="preserve">=COUNTUNIQUEIFS('APS Tubes PHI'!$A$2:$A,'APS Tubes PHI'!$I$2:$I,O2)</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=RAW_APT!A3</t>
      </text>
    </comment>
    <comment authorId="0" ref="B1">
      <text>
        <t xml:space="preserve">=RAW_APT!B3</t>
      </text>
    </comment>
    <comment authorId="0" ref="C1">
      <text>
        <t xml:space="preserve">=RAW_APT!C3</t>
      </text>
    </comment>
    <comment authorId="0" ref="D1">
      <text>
        <t xml:space="preserve">=RAW_APT!D3</t>
      </text>
    </comment>
    <comment authorId="0" ref="E1">
      <text>
        <t xml:space="preserve">=RAW_APT!E3</t>
      </text>
    </comment>
    <comment authorId="0" ref="F1">
      <text>
        <t xml:space="preserve">=RAW_APT!F3</t>
      </text>
    </comment>
    <comment authorId="0" ref="G1">
      <text>
        <t xml:space="preserve">=RAW_APT!G3</t>
      </text>
    </comment>
    <comment authorId="0" ref="H1">
      <text>
        <t xml:space="preserve">=RAW_APT!H3</t>
      </text>
    </comment>
    <comment authorId="0" ref="I1">
      <text>
        <t xml:space="preserve">=RAW_APT!I3</t>
      </text>
    </comment>
    <comment authorId="0" ref="J1">
      <text>
        <t xml:space="preserve">=RAW_APT!J3</t>
      </text>
    </comment>
    <comment authorId="0" ref="N1">
      <text>
        <t xml:space="preserve">=RAW_APT!N3</t>
      </text>
    </comment>
    <comment authorId="0" ref="O1">
      <text>
        <t xml:space="preserve">=RAW_APT!O3</t>
      </text>
    </comment>
    <comment authorId="0" ref="P1">
      <text>
        <t xml:space="preserve">=IF(COUNTIF('Corrected APS Data PHI - preDEL'!$A$2:$A,A2)=0,TRUE,FALSE)
Conditional Formatting
Value equal to TRUE
middle yellow</t>
      </text>
    </comment>
    <comment authorId="0" ref="Q1">
      <text>
        <t xml:space="preserve">=IF(COUNTIF('Corrected APS Data PHI - preDEL'!$A$2:$A,A2)=0,TRUE,FALSE)</t>
      </text>
    </comment>
    <comment authorId="0" ref="R1">
      <text>
        <t xml:space="preserve">=IF(COUNTIF($A$2:$A,A2)&gt;1,TRUE,FALSE)</t>
      </text>
    </comment>
    <comment authorId="0" ref="S1">
      <text>
        <t xml:space="preserve">=OR(AND(S2,T2=FALSE),AND(S2,AND(T2,U2=FALSE)))</t>
      </text>
    </comment>
    <comment authorId="0" ref="T1">
      <text>
        <t xml:space="preserve">&lt;=0 equates to FALSE (don't delete)
&gt;=1 equates to TRUE (delete)
1.3	Duplicate TubeID but conclude different tubes, add x
2	In Delete Tube ID Prefix List
2.1	Non Std Prefix, Suspected Test
2.2	FL Staff, many same day tubes
2.3	FL Staff Sponsor and Participant
2.4	FL Staff No Participant, No Note
2.5	Bogus Participant Name
2.6	Participant Same Day review
2.7	Collection and Result times right after indicates test
3	In Delete Sponsor List
4	Note indicates test
4.1	Note indicates erroneous tube
5.1	Positive result FL Staff sponsor
5.2	Null Result, FL Staff sponsor
5.3	Null Result, Duplicate
5.4	Null Result, Incomplete Status, Unique Tube ID
5.5	Null Result, No Participant, Minor or Note
6	Duplicate Minor row
7	Duplicate Tube ID
7.1	Duplicate Tube ID - Extra Note Name Add Error
8	Pos Control
8.1   Saliva sample
9	No Collection Date, Null result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=CONCATENATE(RAW_APS!$A3,"__",RAW_APS!$B3,"_",RAW_APS!$C3)</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6">
      <text>
        <t xml:space="preserve">Did not rename old rollup since there was not one to start with.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+7 if for the offset from this row to the row with booleans
used so this block can be copied for other tabs</t>
      </text>
    </comment>
    <comment authorId="0" ref="AT10">
      <text>
        <t xml:space="preserve">had to add extra () because it was mysteriously adding extra whitespace to end of the formula
</t>
      </text>
    </comment>
    <comment authorId="0" ref="C21">
      <text>
        <t xml:space="preserve">+5 if for the offset from this row to the row with booleans
used so this block can be copied for other tabs</t>
      </text>
    </comment>
    <comment authorId="0" ref="C29">
      <text>
        <t xml:space="preserve">+5 if for the offset from this row to the row with booleans
used so this block can be copied for other tabs</t>
      </text>
    </comment>
    <comment authorId="0" ref="C37">
      <text>
        <t xml:space="preserve">+7 if for the offset from this row to the row with booleans
used so this block can be copied for other tabs</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2">
      <text>
        <t xml:space="preserve">Conditional Formatting:
Custom formula is
=ISNUMBER($E23)
fill light yellow</t>
      </text>
    </comment>
    <comment authorId="0" ref="G22">
      <text>
        <t xml:space="preserve">=SORT(UNIQUE('APS Data PHI - preDEL'!$AH$2:$AH),1,TRUE)</t>
      </text>
    </comment>
    <comment authorId="0" ref="H22">
      <text>
        <t xml:space="preserve">=IF(COUNTIF(D$23:D$64,H23)=1,TRUE,IFERROR(0/0))</t>
      </text>
    </comment>
  </commentList>
</comments>
</file>

<file path=xl/sharedStrings.xml><?xml version="1.0" encoding="utf-8"?>
<sst xmlns="http://schemas.openxmlformats.org/spreadsheetml/2006/main" count="25837" uniqueCount="2931">
  <si>
    <t>BEND_RFR_deID_PUB</t>
  </si>
  <si>
    <t>RFR File</t>
  </si>
  <si>
    <t>NONE</t>
  </si>
  <si>
    <t>RTR File</t>
  </si>
  <si>
    <t>RSR File</t>
  </si>
  <si>
    <t>1-14 0622</t>
  </si>
  <si>
    <t>Overall</t>
  </si>
  <si>
    <t>Details</t>
  </si>
  <si>
    <t>Comments</t>
  </si>
  <si>
    <t>VALUES</t>
  </si>
  <si>
    <t>Number of Tubes Tested (initial only - no re-runs)</t>
  </si>
  <si>
    <t>initial run tubes only so excludes re-runs</t>
  </si>
  <si>
    <t>Number of Tubes Tested</t>
  </si>
  <si>
    <t>initial run tubes only so excludes reruns</t>
  </si>
  <si>
    <t>Number of Tube Tests Run (includes re-runs)</t>
  </si>
  <si>
    <t>includes re-runs</t>
  </si>
  <si>
    <t>Number of Tube Tests Run</t>
  </si>
  <si>
    <t>Number of Initial Runs</t>
  </si>
  <si>
    <t>Number of APS Only Tubes run</t>
  </si>
  <si>
    <t>Number of Test Reactions (RFR plus APS only tubes run)</t>
  </si>
  <si>
    <t>includes technical replicates (the same tube sample in multiple reactions in the same run)</t>
  </si>
  <si>
    <t>Number of Test Reactions</t>
  </si>
  <si>
    <t>Number of Participant Results</t>
  </si>
  <si>
    <t>counts individual samples in pools and excludes re-runs</t>
  </si>
  <si>
    <t>Number of ARF Tubes</t>
  </si>
  <si>
    <t>tubes run and present in RFR but not in Appivo - created tube IDs that start with ARF</t>
  </si>
  <si>
    <t>Sum of Participant Results plus ARF Tubes</t>
  </si>
  <si>
    <t>Will be equal to the number of tubes tested if no pooling.</t>
  </si>
  <si>
    <t>Will be equal to the number of tubes tested if no pooling</t>
  </si>
  <si>
    <t>Average Pool Level (excludes ARF)</t>
  </si>
  <si>
    <t>Avgerage Pool Level (excludes ARF)</t>
  </si>
  <si>
    <t>Re-runs</t>
  </si>
  <si>
    <t>section</t>
  </si>
  <si>
    <t>Number of Run Tubes (re-runs only)</t>
  </si>
  <si>
    <t>from RFR Audit Num Run Tubes</t>
  </si>
  <si>
    <t>Number of Run Tubes (Re-runs only)</t>
  </si>
  <si>
    <t>Number of Reactions (re-runs only)</t>
  </si>
  <si>
    <t>from RFR Audit Num rxns (excl ctrls)</t>
  </si>
  <si>
    <t>Number of Reactions (Re-runs only)</t>
  </si>
  <si>
    <t>Re-run % of Tubes</t>
  </si>
  <si>
    <t>re-run / initial</t>
  </si>
  <si>
    <t>Number of Initial Runs with Re-runs</t>
  </si>
  <si>
    <t>% Initial Runs with Re-runs</t>
  </si>
  <si>
    <t>Positives</t>
  </si>
  <si>
    <t>Number of Tubes with FL Result</t>
  </si>
  <si>
    <t>Number of Test Person Cases</t>
  </si>
  <si>
    <t>Number with Ref or Corresp</t>
  </si>
  <si>
    <t>Agree with Ref or Corresp</t>
  </si>
  <si>
    <t>% Agree</t>
  </si>
  <si>
    <t>Disagree with Ref or Corresp</t>
  </si>
  <si>
    <t>% Disagree</t>
  </si>
  <si>
    <t>Number of Tubes with Final Result Positive</t>
  </si>
  <si>
    <t>Positive</t>
  </si>
  <si>
    <t>% of Tubes Positives (Final Result)</t>
  </si>
  <si>
    <t>% of Tubes Positives</t>
  </si>
  <si>
    <t>Number of Cases with Final Result Positive (Indiv or Pool)</t>
  </si>
  <si>
    <t>Subtract off Re-tests</t>
  </si>
  <si>
    <t>Ref/Cor Pos</t>
  </si>
  <si>
    <t>% Incl &gt; Pos</t>
  </si>
  <si>
    <t>Ref/Cor Neg</t>
  </si>
  <si>
    <t>% Incl &gt; Neg</t>
  </si>
  <si>
    <t>Known Positive Cases</t>
  </si>
  <si>
    <t>Previous tested (including by FloodLAMP test) or reported positive</t>
  </si>
  <si>
    <t>Inconclusive</t>
  </si>
  <si>
    <t>Unknown Positive Cases</t>
  </si>
  <si>
    <t>Inconclusives</t>
  </si>
  <si>
    <t>Number of Tubes with Final Result Inconclusive</t>
  </si>
  <si>
    <t>Number of Tubes in RFR Audit Inconclusive not in Appivo Final Results</t>
  </si>
  <si>
    <t>% of Tubes Inconclusive</t>
  </si>
  <si>
    <t>Total Number of Inconclusive Tubes</t>
  </si>
  <si>
    <t>Number of Inconclusive Tubes resolved Positive by Referral Test or Correspondence</t>
  </si>
  <si>
    <t>% Inconclusives resolved Positive by Referral Tests</t>
  </si>
  <si>
    <t>Number of Inconclusive Tubes with Referral Test or Correspondence Negative</t>
  </si>
  <si>
    <t>Number of Inconclusive Tubes with no Referral Test result or Correspondence</t>
  </si>
  <si>
    <t>Number of Tubes with Initial Inconclusives and Re-run Negative</t>
  </si>
  <si>
    <t>Count Result Correction Code=2.5 in preDel col AJ, or from RFR preExcl if not resulted as Incl in App</t>
  </si>
  <si>
    <t>1/26, 1/28, 2/15, 2/25, 3/5 2, 3/7</t>
  </si>
  <si>
    <t>Number of Inconclusive Test Run Calls</t>
  </si>
  <si>
    <t>includes re-runs - from RFR Audit only and excludes any APS only resulted inconclusives</t>
  </si>
  <si>
    <t>% Tube Tests Run Called Inconclusive</t>
  </si>
  <si>
    <t>Referrals and Correspondence</t>
  </si>
  <si>
    <t>Number of FloodLAMP Cases with Referral Tests or Correspondence</t>
  </si>
  <si>
    <t>Indiv or Pool, Cases used instead of Person to account for people being contracting COVID multiple times, and instead of Results to exclude re-tests</t>
  </si>
  <si>
    <t xml:space="preserve">Number of Referral Confirmed FloodLAMP Positives </t>
  </si>
  <si>
    <t>Sometimes also termed Agree Positives - Include initial Inconclusive with Referral or Correspondence Positive</t>
  </si>
  <si>
    <t>FL Inconclusives with Referral / Correspondence Positive</t>
  </si>
  <si>
    <t>% FloodLAMP Positive or Inconclusive with Referral / Correspondence Positive</t>
  </si>
  <si>
    <t>FL Inconclusives but Referral / Correspondence Negative</t>
  </si>
  <si>
    <t>FL Inconclusives with No Referral Tests or Correspondence</t>
  </si>
  <si>
    <t>Only PCR Referral Testing</t>
  </si>
  <si>
    <t>Comparison to Antigen</t>
  </si>
  <si>
    <t>Number of FloodLAMP Test Person Cases with Referral Antigen Tests (including non-Same Day)</t>
  </si>
  <si>
    <t>Not Available - Only PCR Referral Testing</t>
  </si>
  <si>
    <t>Number of FloodLAMP Test Person Cases with Same Day Referral Antigen Tests</t>
  </si>
  <si>
    <t>Number of FloodLAMP Positive Test Person Cases with Same Day Antigen Negative</t>
  </si>
  <si>
    <t>Agree with Referral Test Positive (usually PCR or later Antigen) but Initial Antigen Negative</t>
  </si>
  <si>
    <t>% Confirmed FloodLAMP Positives with Same Day Antigen Negative</t>
  </si>
  <si>
    <t>Number of FloodLAMP Positive Test Person Cases confirmed with Referral Tests but Antigen and Other Non-Antigen Test Negative</t>
  </si>
  <si>
    <t>% Confirmed FloodLAMP Positives that were Antigen and Other Non-Antigen Test Negative</t>
  </si>
  <si>
    <t>False Calls</t>
  </si>
  <si>
    <t>False Positives Final Results</t>
  </si>
  <si>
    <t>From reviewing APS/Pos and Incl tab Unconfirmed FL Positives</t>
  </si>
  <si>
    <t>False Negative Final Results (Suspected)</t>
  </si>
  <si>
    <t>From reviewing Referral Tests by Person and correspondence with Program Admin</t>
  </si>
  <si>
    <t>People</t>
  </si>
  <si>
    <t>Number of Unique Individuals Tested</t>
  </si>
  <si>
    <t>Includes UnknownPerson additions but not ARF tubes</t>
  </si>
  <si>
    <t>Number of Unique Sponsors</t>
  </si>
  <si>
    <t>People who collect using the app</t>
  </si>
  <si>
    <t>Positivity</t>
  </si>
  <si>
    <t>Number of Unique Individual Tested FloodLAMP Positive</t>
  </si>
  <si>
    <t>includes Inconclusive FloodLAMP result confirmed Positive by follow-up or Referral</t>
  </si>
  <si>
    <t>% of Population FloodLAMP Positive (excluding pools not deconv)</t>
  </si>
  <si>
    <t>Number of Unique Individual Tested FloodLAMP Positive (including if in a positive pool)</t>
  </si>
  <si>
    <t>% of Population FloodLAMP Positive (including everyone in a positive pool)</t>
  </si>
  <si>
    <t>Dates</t>
  </si>
  <si>
    <t>Start Run Date</t>
  </si>
  <si>
    <t>End Run Date</t>
  </si>
  <si>
    <t>Info</t>
  </si>
  <si>
    <t>Bend Fire and Rescue</t>
  </si>
  <si>
    <t>Test Operator</t>
  </si>
  <si>
    <t>Who ran the actual testing (running LAMP reactions)</t>
  </si>
  <si>
    <t>EMS</t>
  </si>
  <si>
    <t>Office Space</t>
  </si>
  <si>
    <t>Test Processing Site</t>
  </si>
  <si>
    <t>Where the test processing (running LAMP reactions) was done</t>
  </si>
  <si>
    <t>First Responders, Staff</t>
  </si>
  <si>
    <t>Population Tested</t>
  </si>
  <si>
    <t>Description of the participants</t>
  </si>
  <si>
    <t>Double Mini</t>
  </si>
  <si>
    <t>Configuration</t>
  </si>
  <si>
    <t>Equipment set used for test processing (relates to throughput and type of test tube used)</t>
  </si>
  <si>
    <t>Individual</t>
  </si>
  <si>
    <t>Collection Type</t>
  </si>
  <si>
    <t xml:space="preserve"> Pooled, Individual, or Both</t>
  </si>
  <si>
    <t>HCW</t>
  </si>
  <si>
    <t>Self or HCW Collected</t>
  </si>
  <si>
    <t>HCW is Health Care Worker</t>
  </si>
  <si>
    <t>Yes</t>
  </si>
  <si>
    <t>App Used?</t>
  </si>
  <si>
    <t>Was the FloodLAMP Mobile App and Admin Portal utilized in the program</t>
  </si>
  <si>
    <t>Remote (NSVD Volunteer)</t>
  </si>
  <si>
    <t>Bring-up Type</t>
  </si>
  <si>
    <t>How the initial setup and validation of the testing site was done</t>
  </si>
  <si>
    <t>Bend</t>
  </si>
  <si>
    <t>Program Name</t>
  </si>
  <si>
    <t>Shorthand name used internally at FloodLAMP and in other documents for this program</t>
  </si>
  <si>
    <t>Fire Station</t>
  </si>
  <si>
    <t>Site</t>
  </si>
  <si>
    <t>Broader physical space where the testing was done and/or where participants congregated</t>
  </si>
  <si>
    <t>Fire Dept / EMS</t>
  </si>
  <si>
    <t>Site Type</t>
  </si>
  <si>
    <t>Type of entity or organization receiving the testing program</t>
  </si>
  <si>
    <t>Bend, OR</t>
  </si>
  <si>
    <t>Location</t>
  </si>
  <si>
    <t>Geographical location of where the FloodLAMP testing program occurred</t>
  </si>
  <si>
    <t>COLLECTION DATE</t>
  </si>
  <si>
    <t>COLLECTION TIME</t>
  </si>
  <si>
    <t>SPONSOR PERSON ID</t>
  </si>
  <si>
    <t>SPONSOR FIRSTNAME</t>
  </si>
  <si>
    <t>SPONSOR LASTNAME</t>
  </si>
  <si>
    <t>APP
RESULT</t>
  </si>
  <si>
    <t>FINAL RESULT</t>
  </si>
  <si>
    <t>RESULT DATE</t>
  </si>
  <si>
    <t>RESULT TIME</t>
  </si>
  <si>
    <t>Result Correct Code</t>
  </si>
  <si>
    <t>Correction Notes</t>
  </si>
  <si>
    <t>NOTE</t>
  </si>
  <si>
    <t>NUM SAMPLES (Pool Level)</t>
  </si>
  <si>
    <t>Match Row in APS Data PHI - postDEL</t>
  </si>
  <si>
    <t>Sample Person1</t>
  </si>
  <si>
    <t>Sample Person2</t>
  </si>
  <si>
    <t>Sample Person3</t>
  </si>
  <si>
    <t>Sample Person4</t>
  </si>
  <si>
    <t>Referral Eval Notes</t>
  </si>
  <si>
    <t>Re-test?</t>
  </si>
  <si>
    <t>Correspondence but no Referral Test</t>
  </si>
  <si>
    <t>Agreement with Referral or Correspondence?</t>
  </si>
  <si>
    <t>Known Positive (not Re-test)?</t>
  </si>
  <si>
    <t>FloodLAMP Result Eval</t>
  </si>
  <si>
    <t>sep cases</t>
  </si>
  <si>
    <t>Number of Rows</t>
  </si>
  <si>
    <t>Number of FL Tests (Final Results / Run Tests) Accounted for in Referral Tests (RTR)</t>
  </si>
  <si>
    <t>Unique Names Above</t>
  </si>
  <si>
    <t>Number of FL Tests (Final Results / Run Tests) with Correspondence Only (no Referral Test Data put into RTR)</t>
  </si>
  <si>
    <t>FM996</t>
  </si>
  <si>
    <t>Subtract non-confirmed Inconclusives</t>
  </si>
  <si>
    <t>Subtract False Positives</t>
  </si>
  <si>
    <t>Number of FloodLAMP Test Person Cases with Referral Tests or Correspondence</t>
  </si>
  <si>
    <t>Unique Positives</t>
  </si>
  <si>
    <t>Agree Positives</t>
  </si>
  <si>
    <t>FL Inconclusives with Referal / Correspondence Positive</t>
  </si>
  <si>
    <t>Disagree FL Positives but Referral / Correspondence Negative (FL False Positive)</t>
  </si>
  <si>
    <t>Number of FL Tests (Final Results / Run Tests) with No Referral Tests or Correspondence</t>
  </si>
  <si>
    <t>FL Positives with No Referral Tests or Correspondence</t>
  </si>
  <si>
    <t>Number of Re-tests</t>
  </si>
  <si>
    <t>TUBE ID</t>
  </si>
  <si>
    <t>PARTICIPANT FIRSTNAME</t>
  </si>
  <si>
    <t>PARTICIPANT LASTNAME</t>
  </si>
  <si>
    <t>PARTICIPANT EMAIL</t>
  </si>
  <si>
    <t>MINOR FIRSTNAME</t>
  </si>
  <si>
    <t>MINOR LASTNAME</t>
  </si>
  <si>
    <t>APP
GROUP</t>
  </si>
  <si>
    <t>REPS IN RAW_APT?</t>
  </si>
  <si>
    <t>STATUS</t>
  </si>
  <si>
    <t>Tube ID First Row?</t>
  </si>
  <si>
    <t>Num Tube IDs</t>
  </si>
  <si>
    <t>Add N Names</t>
  </si>
  <si>
    <t>NOTE FIRSTNAME</t>
  </si>
  <si>
    <t>NOTE LASTNAME</t>
  </si>
  <si>
    <t>Names Adjust</t>
  </si>
  <si>
    <t>FRAN</t>
  </si>
  <si>
    <t>&gt;4 Samples</t>
  </si>
  <si>
    <t>Has Note?</t>
  </si>
  <si>
    <t>Preserve Note</t>
  </si>
  <si>
    <t>Initial Order</t>
  </si>
  <si>
    <t>Added from APT?</t>
  </si>
  <si>
    <t>Minutes Col to Result</t>
  </si>
  <si>
    <t>Delete?</t>
  </si>
  <si>
    <t>Delete Code</t>
  </si>
  <si>
    <t>Basic Correct Code</t>
  </si>
  <si>
    <t>Sponsor ID</t>
  </si>
  <si>
    <t>Participant ID</t>
  </si>
  <si>
    <t>Sponsor
FullName</t>
  </si>
  <si>
    <t>Combined Participant Firstname</t>
  </si>
  <si>
    <t>Combined Participant Lastname</t>
  </si>
  <si>
    <t>Combined Participant Fullname</t>
  </si>
  <si>
    <t>FINAL
GROUP</t>
  </si>
  <si>
    <t>PARTCIP 
NAME COLS</t>
  </si>
  <si>
    <t>MINOR 
NAME COLS</t>
  </si>
  <si>
    <t>NOTE 
NAME COLS</t>
  </si>
  <si>
    <t>Note Name Extras - Rows Added Not Orig Tube ID Row</t>
  </si>
  <si>
    <t>END</t>
  </si>
  <si>
    <t>Rep Cols</t>
  </si>
  <si>
    <t>3
Num Rep Rows</t>
  </si>
  <si>
    <t>1
Tube Samecols Not Deleted</t>
  </si>
  <si>
    <t>3
Tube ID in Reps?</t>
  </si>
  <si>
    <t>2
SORTED Tube Timestamp</t>
  </si>
  <si>
    <t>2
TUBE ID ONLY</t>
  </si>
  <si>
    <t>2
Replicate Tube ID? (First Row)</t>
  </si>
  <si>
    <t>2
Rep Tube IDs Not Sorted</t>
  </si>
  <si>
    <t>RAW_APS NOTE VLOOKUP</t>
  </si>
  <si>
    <t>pre-Sync Values FINAL RESULT</t>
  </si>
  <si>
    <t>Hero</t>
  </si>
  <si>
    <t>Negative</t>
  </si>
  <si>
    <t>DELETED</t>
  </si>
  <si>
    <t>Hero1</t>
  </si>
  <si>
    <t>Primary</t>
  </si>
  <si>
    <t>FM1003__44605_0.332789351851852</t>
  </si>
  <si>
    <t>Hero2</t>
  </si>
  <si>
    <t>FM1007__44627_0.324502314814815</t>
  </si>
  <si>
    <t>Test123</t>
  </si>
  <si>
    <t>FM1008__44615_0.321712962962963</t>
  </si>
  <si>
    <t>Test12</t>
  </si>
  <si>
    <t>Null</t>
  </si>
  <si>
    <t>FM1010__44613_0.324409722222222</t>
  </si>
  <si>
    <t>MAX88</t>
  </si>
  <si>
    <t>SpBEND708976</t>
  </si>
  <si>
    <t>BEND561629</t>
  </si>
  <si>
    <t>FM1011__44619_0.277604166666667</t>
  </si>
  <si>
    <t>MAX136</t>
  </si>
  <si>
    <t>SpBEND394154</t>
  </si>
  <si>
    <t>BEND365993</t>
  </si>
  <si>
    <t>FM1020__44613_0.321018518518519</t>
  </si>
  <si>
    <t>MAX79</t>
  </si>
  <si>
    <t>FM105__44631_0.306689814814815</t>
  </si>
  <si>
    <t>BEND364074</t>
  </si>
  <si>
    <t>FM106__44621_0.328564814814815</t>
  </si>
  <si>
    <t>MAX64</t>
  </si>
  <si>
    <t>SpBEND350015</t>
  </si>
  <si>
    <t>BEND670149</t>
  </si>
  <si>
    <t>FM109__44615_0.395335648148148</t>
  </si>
  <si>
    <t>MA1025</t>
  </si>
  <si>
    <t>SpBEND110967</t>
  </si>
  <si>
    <t>BEND477901</t>
  </si>
  <si>
    <t>FM11__44613_0.310902777777778</t>
  </si>
  <si>
    <t>Test2</t>
  </si>
  <si>
    <t>FM113__44631_0.324074074074074</t>
  </si>
  <si>
    <t>Test3</t>
  </si>
  <si>
    <t>FM114__44623_0.303854166666667</t>
  </si>
  <si>
    <t>Test4</t>
  </si>
  <si>
    <t>FM117__44613_0.261215277777778</t>
  </si>
  <si>
    <t>Test5</t>
  </si>
  <si>
    <t>FM12__44617_0.320219907407407</t>
  </si>
  <si>
    <t>MAX133</t>
  </si>
  <si>
    <t>FM1202__44623_0.469166666666667</t>
  </si>
  <si>
    <t>MAX70</t>
  </si>
  <si>
    <t>SpBEND825522</t>
  </si>
  <si>
    <t>BEND140857</t>
  </si>
  <si>
    <t>FM13__44623_0.304479166666667</t>
  </si>
  <si>
    <t>MAX111</t>
  </si>
  <si>
    <t>SpBEND541174</t>
  </si>
  <si>
    <t>BEND785384</t>
  </si>
  <si>
    <t>FM15__44631_0.323587962962963</t>
  </si>
  <si>
    <t>MAX113</t>
  </si>
  <si>
    <t>SpBEND492052</t>
  </si>
  <si>
    <t>BEND350325</t>
  </si>
  <si>
    <t>FM16__44629_0.318240740740741</t>
  </si>
  <si>
    <t>MAX122</t>
  </si>
  <si>
    <t>SpBEND349435</t>
  </si>
  <si>
    <t>BEND759602</t>
  </si>
  <si>
    <t>FM17__44631_0.306446759259259</t>
  </si>
  <si>
    <t>MAX94</t>
  </si>
  <si>
    <t>SpBEND768497</t>
  </si>
  <si>
    <t>BEND900381</t>
  </si>
  <si>
    <t>FM1786__44631_0.309178240740741</t>
  </si>
  <si>
    <t>MAX28</t>
  </si>
  <si>
    <t>SpBEND643855</t>
  </si>
  <si>
    <t>FM1789__44627_0.327824074074074</t>
  </si>
  <si>
    <t>MAX63</t>
  </si>
  <si>
    <t>SpBEND214692</t>
  </si>
  <si>
    <t>BEND886978</t>
  </si>
  <si>
    <t>FM1797__44629_0.324016203703704</t>
  </si>
  <si>
    <t>MA1255</t>
  </si>
  <si>
    <t>SpBEND767550</t>
  </si>
  <si>
    <t>BEND245933</t>
  </si>
  <si>
    <t>FM18__44621_0.306215277777778</t>
  </si>
  <si>
    <t>MA327</t>
  </si>
  <si>
    <t>SpBEND721986</t>
  </si>
  <si>
    <t>BEND127889</t>
  </si>
  <si>
    <t>FM1870__44631_0.30849537037037</t>
  </si>
  <si>
    <t>MA460</t>
  </si>
  <si>
    <t>SpBEND139600</t>
  </si>
  <si>
    <t>BEND133778</t>
  </si>
  <si>
    <t>FM1889__44629_0.321863425925926</t>
  </si>
  <si>
    <t>MA460DEL</t>
  </si>
  <si>
    <t>FM19__44607_0.313425925925926</t>
  </si>
  <si>
    <t>MA1155</t>
  </si>
  <si>
    <t>SpBEND548976</t>
  </si>
  <si>
    <t>BEND704851</t>
  </si>
  <si>
    <t>FM1905__44625_0.367685185185185</t>
  </si>
  <si>
    <t>MA1043</t>
  </si>
  <si>
    <t>FM1909__44621_0.269861111111111</t>
  </si>
  <si>
    <t>MA1043DEL</t>
  </si>
  <si>
    <t>FM1917__44623_0.296157407407407</t>
  </si>
  <si>
    <t>MA1036</t>
  </si>
  <si>
    <t>BEND326601</t>
  </si>
  <si>
    <t>FM2__44619_0.313645833333333</t>
  </si>
  <si>
    <t>Testn</t>
  </si>
  <si>
    <t>Fail</t>
  </si>
  <si>
    <t>FM2041__44625_0.292685185185185</t>
  </si>
  <si>
    <t>MA631</t>
  </si>
  <si>
    <t>FM2042__44631_0.2971875</t>
  </si>
  <si>
    <t>MA630</t>
  </si>
  <si>
    <t>FM2044__44631_0.342939814814815</t>
  </si>
  <si>
    <t>MA705</t>
  </si>
  <si>
    <t>FM2045__44625_0.323217592592593</t>
  </si>
  <si>
    <t>MA1091</t>
  </si>
  <si>
    <t>FM2046__44629_0.312962962962963</t>
  </si>
  <si>
    <t>MA1160</t>
  </si>
  <si>
    <t>FM2048__44625_0.308599537037037</t>
  </si>
  <si>
    <t>MA1365</t>
  </si>
  <si>
    <t>FM2049__44629_0.293969907407407</t>
  </si>
  <si>
    <t>MA542</t>
  </si>
  <si>
    <t>FM2051__44637_0.289594907407407</t>
  </si>
  <si>
    <t>MA197</t>
  </si>
  <si>
    <t>SpBEND953422</t>
  </si>
  <si>
    <t>BEND782925</t>
  </si>
  <si>
    <t>FM2054__44621_0.311967592592593</t>
  </si>
  <si>
    <t>MA197DEL</t>
  </si>
  <si>
    <t>FM2055__44625_0.307893518518519</t>
  </si>
  <si>
    <t>MA269</t>
  </si>
  <si>
    <t>SpBEND305944</t>
  </si>
  <si>
    <t>BEND538986</t>
  </si>
  <si>
    <t>FM2057__44621_0.326701388888889</t>
  </si>
  <si>
    <t>MA269DEL</t>
  </si>
  <si>
    <t>FM2059__44619_0.324976851851852</t>
  </si>
  <si>
    <t>MA1080</t>
  </si>
  <si>
    <t>FM2060__44631_0.287662037037037</t>
  </si>
  <si>
    <t>MA1030</t>
  </si>
  <si>
    <t>FM2061__44623_0.309571759259259</t>
  </si>
  <si>
    <t>MA1315</t>
  </si>
  <si>
    <t>FM2062__44627_0.320092592592593</t>
  </si>
  <si>
    <t>MA1203</t>
  </si>
  <si>
    <t>BEND273237</t>
  </si>
  <si>
    <t>FM2063__44631_0.317303240740741</t>
  </si>
  <si>
    <t>MA1088</t>
  </si>
  <si>
    <t>BEND200214</t>
  </si>
  <si>
    <t>FM2066__44619_0.324675925925926</t>
  </si>
  <si>
    <t>MA1057</t>
  </si>
  <si>
    <t>FM2067__44629_0.312152777777778</t>
  </si>
  <si>
    <t>MA447</t>
  </si>
  <si>
    <t>FM2068__44627_0.319849537037037</t>
  </si>
  <si>
    <t>MA1179</t>
  </si>
  <si>
    <t>FM2069__44621_0.294143518518519</t>
  </si>
  <si>
    <t>MA690</t>
  </si>
  <si>
    <t>FM2070__44619_0.472604166666667</t>
  </si>
  <si>
    <t>MA707</t>
  </si>
  <si>
    <t>FM2076__44625_0.310752314814815</t>
  </si>
  <si>
    <t>MA307</t>
  </si>
  <si>
    <t>SpBEND982195</t>
  </si>
  <si>
    <t>BEND601742</t>
  </si>
  <si>
    <t>FM2078__44623_0.315648148148148</t>
  </si>
  <si>
    <t>MA609</t>
  </si>
  <si>
    <t>FM2080__44627_0.326793981481482</t>
  </si>
  <si>
    <t>MA603</t>
  </si>
  <si>
    <t>FM2081__44623_0.310868055555556</t>
  </si>
  <si>
    <t>MAX55</t>
  </si>
  <si>
    <t>SpBEND642175</t>
  </si>
  <si>
    <t>BEND883134</t>
  </si>
  <si>
    <t>FM2082__44627_0.295717592592593</t>
  </si>
  <si>
    <t>MA343</t>
  </si>
  <si>
    <t>FM2083__44623_0.294328703703704</t>
  </si>
  <si>
    <t>MA371</t>
  </si>
  <si>
    <t>FM2085__44623_0.319282407407407</t>
  </si>
  <si>
    <t>MA1099</t>
  </si>
  <si>
    <t>BEND525784</t>
  </si>
  <si>
    <t>FM2089__44623_0.311041666666667</t>
  </si>
  <si>
    <t>MA257</t>
  </si>
  <si>
    <t>SpBEND319298</t>
  </si>
  <si>
    <t>BEND966643</t>
  </si>
  <si>
    <t>FM2090__44621_0.467465277777778</t>
  </si>
  <si>
    <t>MA624</t>
  </si>
  <si>
    <t>FM2093__44619_0.290949074074074</t>
  </si>
  <si>
    <t>MAX139</t>
  </si>
  <si>
    <t>FM2097__44629_0.314409722222222</t>
  </si>
  <si>
    <t>MA1183</t>
  </si>
  <si>
    <t>FM2099__44627_0.351956018518519</t>
  </si>
  <si>
    <t>MA479</t>
  </si>
  <si>
    <t>SpBEND610784</t>
  </si>
  <si>
    <t>BEND398577</t>
  </si>
  <si>
    <t>FM2100__44621_0.300451388888889</t>
  </si>
  <si>
    <t>MA1299</t>
  </si>
  <si>
    <t>FM23__44619_0.322615740740741</t>
  </si>
  <si>
    <t>MA404</t>
  </si>
  <si>
    <t>BEND797605</t>
  </si>
  <si>
    <t>FM24__44623_0.354803240740741</t>
  </si>
  <si>
    <t>MA1073</t>
  </si>
  <si>
    <t>FM25__44617_0.33193287037037</t>
  </si>
  <si>
    <t>MA1081</t>
  </si>
  <si>
    <t>SpBEND734943</t>
  </si>
  <si>
    <t>BEND710690</t>
  </si>
  <si>
    <t>FM26__44609_0.354976851851852</t>
  </si>
  <si>
    <t>MA606</t>
  </si>
  <si>
    <t>FM27__44617_0.301747685185185</t>
  </si>
  <si>
    <t>MA1236</t>
  </si>
  <si>
    <t>SpBEND372845</t>
  </si>
  <si>
    <t>BEND940774</t>
  </si>
  <si>
    <t>FM28__44613_0.306550925925926</t>
  </si>
  <si>
    <t>MA1153</t>
  </si>
  <si>
    <t>FM29__44623_0.335729166666667</t>
  </si>
  <si>
    <t>MA1131</t>
  </si>
  <si>
    <t>FM3__44609_0.304282407407407</t>
  </si>
  <si>
    <t>MA1084</t>
  </si>
  <si>
    <t>FM30__44625_0.34193287037037</t>
  </si>
  <si>
    <t>MA1280</t>
  </si>
  <si>
    <t>FM304__44629_0.313090277777778</t>
  </si>
  <si>
    <t>MA1152</t>
  </si>
  <si>
    <t>FM31__44635_0.29900462962963</t>
  </si>
  <si>
    <t>MA316</t>
  </si>
  <si>
    <t>BEND796718</t>
  </si>
  <si>
    <t>FM310__44629_0.312256944444444</t>
  </si>
  <si>
    <t>MA469</t>
  </si>
  <si>
    <t>FM312__44623_0.321979166666667</t>
  </si>
  <si>
    <t>MA207</t>
  </si>
  <si>
    <t>FM315__44623_0.322569444444444</t>
  </si>
  <si>
    <t>MA639</t>
  </si>
  <si>
    <t>SpBEND899578</t>
  </si>
  <si>
    <t>BEND949070</t>
  </si>
  <si>
    <t>FM318__44631_0.290810185185185</t>
  </si>
  <si>
    <t>MA1052</t>
  </si>
  <si>
    <t>FM32__44613_0.307337962962963</t>
  </si>
  <si>
    <t>MA326</t>
  </si>
  <si>
    <t>FM329__44625_0.305300925925926</t>
  </si>
  <si>
    <t>MA323</t>
  </si>
  <si>
    <t>SpBEND672680</t>
  </si>
  <si>
    <t>BEND955524</t>
  </si>
  <si>
    <t>FM33__44609_0.327604166666667</t>
  </si>
  <si>
    <t>MA448</t>
  </si>
  <si>
    <t>FM337__44625_0.335046296296296</t>
  </si>
  <si>
    <t>MA1049</t>
  </si>
  <si>
    <t>SpBEND139816</t>
  </si>
  <si>
    <t>BEND492855</t>
  </si>
  <si>
    <t>FM339__44631_0.398958333333333</t>
  </si>
  <si>
    <t>MA1082</t>
  </si>
  <si>
    <t>FM34__44607_0.344953703703704</t>
  </si>
  <si>
    <t>MA287</t>
  </si>
  <si>
    <t>SpBEND387532</t>
  </si>
  <si>
    <t>FM340__44629_0.320185185185185</t>
  </si>
  <si>
    <t>MA473</t>
  </si>
  <si>
    <t>BEND927956</t>
  </si>
  <si>
    <t>FM343__44621_0.326296296296296</t>
  </si>
  <si>
    <t>MA1022</t>
  </si>
  <si>
    <t>FM35__44611_0.345289351851852</t>
  </si>
  <si>
    <t>MA644</t>
  </si>
  <si>
    <t>FM352__44657_0.351145833333333</t>
  </si>
  <si>
    <t>MA248</t>
  </si>
  <si>
    <t>FM354__44621_0.306770833333333</t>
  </si>
  <si>
    <t>MA282</t>
  </si>
  <si>
    <t>FM355__44631_0.300671296296296</t>
  </si>
  <si>
    <t>MA660</t>
  </si>
  <si>
    <t>SpBEND481988</t>
  </si>
  <si>
    <t>BEND864200</t>
  </si>
  <si>
    <t>FM360__44631_0.331423611111111</t>
  </si>
  <si>
    <t>MA651</t>
  </si>
  <si>
    <t>BEND223874</t>
  </si>
  <si>
    <t>FM367__44627_0.338530092592593</t>
  </si>
  <si>
    <t>MA366</t>
  </si>
  <si>
    <t>FM369__44627_0.312777777777778</t>
  </si>
  <si>
    <t>MA1173</t>
  </si>
  <si>
    <t>SpBEND269695</t>
  </si>
  <si>
    <t>BEND472796</t>
  </si>
  <si>
    <t>FM37__44617_0.302511574074074</t>
  </si>
  <si>
    <t>MA451</t>
  </si>
  <si>
    <t>SpBEND136234</t>
  </si>
  <si>
    <t>BEND350468</t>
  </si>
  <si>
    <t>FM370__44625_0.301157407407407</t>
  </si>
  <si>
    <t>MA356</t>
  </si>
  <si>
    <t>SpBEND445560</t>
  </si>
  <si>
    <t>BEND747921</t>
  </si>
  <si>
    <t>FM371__44631_0.405138888888889</t>
  </si>
  <si>
    <t>MA263</t>
  </si>
  <si>
    <t>SpBEND944634</t>
  </si>
  <si>
    <t>BEND626338</t>
  </si>
  <si>
    <t>FM372__44621_0.335092592592593</t>
  </si>
  <si>
    <t>MA218</t>
  </si>
  <si>
    <t>FM374__44621_0.329224537037037</t>
  </si>
  <si>
    <t>MA654</t>
  </si>
  <si>
    <t>FM38__44611_0.345601851851852</t>
  </si>
  <si>
    <t>MA230</t>
  </si>
  <si>
    <t>SpBEND454594</t>
  </si>
  <si>
    <t>BEND584284</t>
  </si>
  <si>
    <t>FM380__44627_0.289039351851852</t>
  </si>
  <si>
    <t>MA636</t>
  </si>
  <si>
    <t>FM388__44627_0.303715277777778</t>
  </si>
  <si>
    <t>MAX65</t>
  </si>
  <si>
    <t>FM39__44631_0.323576388888889</t>
  </si>
  <si>
    <t>MA648</t>
  </si>
  <si>
    <t>FM390__44621_0.32849537037037</t>
  </si>
  <si>
    <t>MA643</t>
  </si>
  <si>
    <t>BEND742097</t>
  </si>
  <si>
    <t>FM395__44629_0.311365740740741</t>
  </si>
  <si>
    <t>MA444</t>
  </si>
  <si>
    <t>BEND732984</t>
  </si>
  <si>
    <t>FM396__44623_0.323634259259259</t>
  </si>
  <si>
    <t>MA453</t>
  </si>
  <si>
    <t>BEND913575</t>
  </si>
  <si>
    <t>FM4__44619_0.323206018518519</t>
  </si>
  <si>
    <t>MA455</t>
  </si>
  <si>
    <t>BEND295131</t>
  </si>
  <si>
    <t>FM40__44623_0.336400462962963</t>
  </si>
  <si>
    <t>MA464</t>
  </si>
  <si>
    <t>BEND821009</t>
  </si>
  <si>
    <t>FM400__44627_0.294097222222222</t>
  </si>
  <si>
    <t>MA475</t>
  </si>
  <si>
    <t>BEND949481</t>
  </si>
  <si>
    <t>FM401__44629_0.323784722222222</t>
  </si>
  <si>
    <t>MA605</t>
  </si>
  <si>
    <t>BEND202183</t>
  </si>
  <si>
    <t>FM402__44623_0.322604166666667</t>
  </si>
  <si>
    <t>MA457</t>
  </si>
  <si>
    <t>FM404__44631_0.327106481481482</t>
  </si>
  <si>
    <t>MA438</t>
  </si>
  <si>
    <t>FM405__44625_0.308865740740741</t>
  </si>
  <si>
    <t>MA556</t>
  </si>
  <si>
    <t>FM408__44611_0.315358796296296</t>
  </si>
  <si>
    <t>MA427</t>
  </si>
  <si>
    <t>FM41__44621_0.331238425925926</t>
  </si>
  <si>
    <t>MA1149</t>
  </si>
  <si>
    <t>FM410__44625_0.43181712962963</t>
  </si>
  <si>
    <t>MA1228</t>
  </si>
  <si>
    <t>FM413__44627_0.338645833333333</t>
  </si>
  <si>
    <t>MA1177</t>
  </si>
  <si>
    <t>BEND501720</t>
  </si>
  <si>
    <t>FM414__44619_0.339305555555556</t>
  </si>
  <si>
    <t>MA1224</t>
  </si>
  <si>
    <t>BEND417561</t>
  </si>
  <si>
    <t>FM417__44627_0.296435185185185</t>
  </si>
  <si>
    <t>MA1143</t>
  </si>
  <si>
    <t>FM42__44633_0.296724537037037</t>
  </si>
  <si>
    <t>MA1051</t>
  </si>
  <si>
    <t>FM422__44629_0.31693287037037</t>
  </si>
  <si>
    <t>MA462</t>
  </si>
  <si>
    <t>SpBEND996809</t>
  </si>
  <si>
    <t>BEND637711</t>
  </si>
  <si>
    <t>FM423__44625_0.287696759259259</t>
  </si>
  <si>
    <t>MA254</t>
  </si>
  <si>
    <t>SpBEND387578</t>
  </si>
  <si>
    <t>BEND375164</t>
  </si>
  <si>
    <t>FM425__44617_0.320810185185185</t>
  </si>
  <si>
    <t>MA1188</t>
  </si>
  <si>
    <t>FM427__44629_0.489328703703704</t>
  </si>
  <si>
    <t>MA347</t>
  </si>
  <si>
    <t>SpBEND845509</t>
  </si>
  <si>
    <t>BEND935806</t>
  </si>
  <si>
    <t>FM428__44607_0.371736111111111</t>
  </si>
  <si>
    <t>MA461</t>
  </si>
  <si>
    <t>SpBEND551372</t>
  </si>
  <si>
    <t>BEND475899</t>
  </si>
  <si>
    <t>FM429__44609_0.309583333333333</t>
  </si>
  <si>
    <t>MA238</t>
  </si>
  <si>
    <t>FM43__44627_0.321608796296296</t>
  </si>
  <si>
    <t>MA1078</t>
  </si>
  <si>
    <t>SpBEND652059</t>
  </si>
  <si>
    <t>BEND520608</t>
  </si>
  <si>
    <t>FM431__44601_0.263460648148148</t>
  </si>
  <si>
    <t>MAX125</t>
  </si>
  <si>
    <t>BEND219153</t>
  </si>
  <si>
    <t>FM432__44609_0.308368055555556</t>
  </si>
  <si>
    <t>MAX74</t>
  </si>
  <si>
    <t>FM433__44621_0.327152777777778</t>
  </si>
  <si>
    <t>MA617</t>
  </si>
  <si>
    <t>FM436__44623_0.305138888888889</t>
  </si>
  <si>
    <t>MA456</t>
  </si>
  <si>
    <t>Collected timestamp after other tubes resulted that day</t>
  </si>
  <si>
    <t>FM437__44613_0.265162037037037</t>
  </si>
  <si>
    <t>MA1352</t>
  </si>
  <si>
    <t>FM438__44631_0.300416666666667</t>
  </si>
  <si>
    <t>MA480</t>
  </si>
  <si>
    <t>No run that day or next</t>
  </si>
  <si>
    <t>FM439__44629_0.489907407407407</t>
  </si>
  <si>
    <t>MA335</t>
  </si>
  <si>
    <t>SpBEND947055</t>
  </si>
  <si>
    <t>BEND371889</t>
  </si>
  <si>
    <t>FM44__44611_0.314884259259259</t>
  </si>
  <si>
    <t>MA241</t>
  </si>
  <si>
    <t>FM440__44623_0.411469907407407</t>
  </si>
  <si>
    <t>MA1175</t>
  </si>
  <si>
    <t>SpBEND816435</t>
  </si>
  <si>
    <t>BEND139093</t>
  </si>
  <si>
    <t>FM442__44607_0.334178240740741</t>
  </si>
  <si>
    <t>MA478</t>
  </si>
  <si>
    <t>FM443__44609_0.3115625</t>
  </si>
  <si>
    <t>MA1159</t>
  </si>
  <si>
    <t>SpBEND757435</t>
  </si>
  <si>
    <t>BEND281843</t>
  </si>
  <si>
    <t>FM444__44619_0.330844907407407</t>
  </si>
  <si>
    <t>MA233</t>
  </si>
  <si>
    <t>BEND717891</t>
  </si>
  <si>
    <t>FM445__44619_0.297303240740741</t>
  </si>
  <si>
    <t>MA977</t>
  </si>
  <si>
    <t>FM446__44625_0.319027777777778</t>
  </si>
  <si>
    <t>MA466</t>
  </si>
  <si>
    <t>SpBEND385421</t>
  </si>
  <si>
    <t>BEND440747</t>
  </si>
  <si>
    <t>FM448__44627_0.325671296296296</t>
  </si>
  <si>
    <t>MA623</t>
  </si>
  <si>
    <t>FM45__44617_0.340324074074074</t>
  </si>
  <si>
    <t>MA433</t>
  </si>
  <si>
    <t>SpBEND528248</t>
  </si>
  <si>
    <t>BEND229530</t>
  </si>
  <si>
    <t>FM450__44615_0.3284375</t>
  </si>
  <si>
    <t>MA649</t>
  </si>
  <si>
    <t>FM452__44607_0.326666666666667</t>
  </si>
  <si>
    <t>MA647</t>
  </si>
  <si>
    <t>FM454__44619_0.262291666666667</t>
  </si>
  <si>
    <t>MAX59</t>
  </si>
  <si>
    <t>FM455__44619_0.287916666666667</t>
  </si>
  <si>
    <t>MA1035</t>
  </si>
  <si>
    <t>SpBEND985296</t>
  </si>
  <si>
    <t>FM456__44617_0.322708333333333</t>
  </si>
  <si>
    <t>MA1024</t>
  </si>
  <si>
    <t>BEND305148</t>
  </si>
  <si>
    <t>FM458__44625_0.307986111111111</t>
  </si>
  <si>
    <t>MA1147</t>
  </si>
  <si>
    <t>BEND230018</t>
  </si>
  <si>
    <t>FM459__44607_0.298958333333333</t>
  </si>
  <si>
    <t>MA463</t>
  </si>
  <si>
    <t>BEND319589</t>
  </si>
  <si>
    <t>FM46__44621_0.331435185185185</t>
  </si>
  <si>
    <t>MA463A</t>
  </si>
  <si>
    <t>UPDATE 12-24-2025 RT - RFR audit shows only 31 tubes so APS has one extra, conclude this duplicate is error after all. Duplicate Tube ID has been split into a separate tube but this may be a pure duplication - it is a positive Tube, so we need to give this close scrutiny.  Typically if the Participants in a duplicate Tube ID don't appear in any other tube that day, the Tube is assumed to be a different Tube and assigned an "x" (correction code 1.3).  But this typically does not happen with a Positive Tube.</t>
  </si>
  <si>
    <t>FM461__44613_0.342106481481482</t>
  </si>
  <si>
    <t>MAX51</t>
  </si>
  <si>
    <t>FM463__44617_0.320347222222222</t>
  </si>
  <si>
    <t>MAX95</t>
  </si>
  <si>
    <t>BEND421116</t>
  </si>
  <si>
    <t>FM464__44631_0.329988425925926</t>
  </si>
  <si>
    <t>MAX69</t>
  </si>
  <si>
    <t>BEND530620</t>
  </si>
  <si>
    <t>FM466__44617_0.303020833333333</t>
  </si>
  <si>
    <t>MAX119</t>
  </si>
  <si>
    <t>BEND525824</t>
  </si>
  <si>
    <t>FM47__44629_0.328530092592593</t>
  </si>
  <si>
    <t>MA384</t>
  </si>
  <si>
    <t>BEND304589</t>
  </si>
  <si>
    <t>FM470__44625_0.332488425925926</t>
  </si>
  <si>
    <t>MA344</t>
  </si>
  <si>
    <t>BEND151408</t>
  </si>
  <si>
    <t>FM471__44619_0.327430555555556</t>
  </si>
  <si>
    <t>MA332</t>
  </si>
  <si>
    <t>BEND238338</t>
  </si>
  <si>
    <t>FM472__44609_0.327662037037037</t>
  </si>
  <si>
    <t>MA341</t>
  </si>
  <si>
    <t>BEND524074</t>
  </si>
  <si>
    <t>FM475__44632_0.328900462962963</t>
  </si>
  <si>
    <t>MA474</t>
  </si>
  <si>
    <t>BEND638558</t>
  </si>
  <si>
    <t>FM476__44627_0.297141203703704</t>
  </si>
  <si>
    <t>MA435</t>
  </si>
  <si>
    <t>FM477__44625_0.315856481481482</t>
  </si>
  <si>
    <t>MA436</t>
  </si>
  <si>
    <t>FM478__44613_0.288842592592593</t>
  </si>
  <si>
    <t>MA468</t>
  </si>
  <si>
    <t>FM479__44617_0.32974537037037</t>
  </si>
  <si>
    <t>MA622</t>
  </si>
  <si>
    <t>BEND296589</t>
  </si>
  <si>
    <t>FM480__44625_0.272685185185185</t>
  </si>
  <si>
    <t>MA653</t>
  </si>
  <si>
    <t>FM481__44621_0.30869212962963</t>
  </si>
  <si>
    <t>MA1234</t>
  </si>
  <si>
    <t>UPDATE 12-24-2025 RT - RFR audit shows only 31 tubes so APS has one extra, conclude this duplicate is error after all. OLD NOTE Duplicate Tube ID has been split into a separate tube but this may be a pure duplication - it is a positive Tube, so we need to give this close scrutiny.  Typically if the Participants in a duplicate Tube ID don't appear in any other tube that day, the Tube is assumed to be a different Tube and assigned an "x" (correction code 1.3).  But this typically does not happen with a Positive Tube.</t>
  </si>
  <si>
    <t>FM485__44607_0.300335648148148</t>
  </si>
  <si>
    <t>Hero700</t>
  </si>
  <si>
    <t>FM486__44613_0.300717592592593</t>
  </si>
  <si>
    <t>MA683</t>
  </si>
  <si>
    <t>FM489__44621_0.307858796296296</t>
  </si>
  <si>
    <t>MAX128</t>
  </si>
  <si>
    <t>BEND905156</t>
  </si>
  <si>
    <t>FM493__44615_0.344178240740741</t>
  </si>
  <si>
    <t>MA634</t>
  </si>
  <si>
    <t>FM497__44611_0.318912037037037</t>
  </si>
  <si>
    <t>MA658</t>
  </si>
  <si>
    <t>FM498__44629_0.314826388888889</t>
  </si>
  <si>
    <t>MA700</t>
  </si>
  <si>
    <t>FM5__44615_0.306793981481481</t>
  </si>
  <si>
    <t>MA1156</t>
  </si>
  <si>
    <t>SpBEND198321</t>
  </si>
  <si>
    <t>BEND772881</t>
  </si>
  <si>
    <t>FM50__44607_0.537210648148148</t>
  </si>
  <si>
    <t>MA1077</t>
  </si>
  <si>
    <t>FM501__44601_0.263101851851852</t>
  </si>
  <si>
    <t>MA633</t>
  </si>
  <si>
    <t>FM505__44615_0.301238425925926</t>
  </si>
  <si>
    <t>MA1217</t>
  </si>
  <si>
    <t>FM509__44613_0.3271875</t>
  </si>
  <si>
    <t>MA396</t>
  </si>
  <si>
    <t>SpBEND425753</t>
  </si>
  <si>
    <t>BEND982858</t>
  </si>
  <si>
    <t>FM51__44619_0.515428240740741</t>
  </si>
  <si>
    <t>MA1199</t>
  </si>
  <si>
    <t>SpBEND977859</t>
  </si>
  <si>
    <t>BEND143262</t>
  </si>
  <si>
    <t>FM512__44692_0.345659722222222</t>
  </si>
  <si>
    <t>MAX98</t>
  </si>
  <si>
    <t>FM513__44607_0.323148148148148</t>
  </si>
  <si>
    <t>MAX20</t>
  </si>
  <si>
    <t>FM52__44627_0.308819444444444</t>
  </si>
  <si>
    <t>MAX107</t>
  </si>
  <si>
    <t>FM521__44627_0.323101851851852</t>
  </si>
  <si>
    <t>MAX72</t>
  </si>
  <si>
    <t>BEND389048</t>
  </si>
  <si>
    <t>FM525__44623_0.317407407407407</t>
  </si>
  <si>
    <t>MAX81</t>
  </si>
  <si>
    <t>FM529__44621_0.341435185185185</t>
  </si>
  <si>
    <t>MAX36</t>
  </si>
  <si>
    <t>FM53__44606_0.3375</t>
  </si>
  <si>
    <t>MAX104</t>
  </si>
  <si>
    <t>FM532__44665_0.322002314814815</t>
  </si>
  <si>
    <t>MA1107</t>
  </si>
  <si>
    <t>FM533__44615_0.319583333333333</t>
  </si>
  <si>
    <t>MA190</t>
  </si>
  <si>
    <t>FM537__44611_0.310752314814815</t>
  </si>
  <si>
    <t>MA190A</t>
  </si>
  <si>
    <t>RT 12-24-2025 Overrule previous 1.3 correction during reconcile - Delete cause one extra Appivo tube this day</t>
  </si>
  <si>
    <t>FM537A__44611_0.310752314814815</t>
  </si>
  <si>
    <t>MAX92</t>
  </si>
  <si>
    <t>FM54__44627_0.313634259259259</t>
  </si>
  <si>
    <t>MA1031</t>
  </si>
  <si>
    <t>BEND123721</t>
  </si>
  <si>
    <t>FM55__44609_0.344166666666667</t>
  </si>
  <si>
    <t>MA1062</t>
  </si>
  <si>
    <t>SpBEND328905</t>
  </si>
  <si>
    <t>BEND972161</t>
  </si>
  <si>
    <t>FM56__44609_0.32755787037037</t>
  </si>
  <si>
    <t>MA1119</t>
  </si>
  <si>
    <t>FM569__44631_0.340960648148148</t>
  </si>
  <si>
    <t>MA1092</t>
  </si>
  <si>
    <t>BEND373460</t>
  </si>
  <si>
    <t>FM57__44609_0.30599537037037</t>
  </si>
  <si>
    <t>MA1042</t>
  </si>
  <si>
    <t>BEND915976</t>
  </si>
  <si>
    <t>FM58__44623_0.345914351851852</t>
  </si>
  <si>
    <t>MA1112</t>
  </si>
  <si>
    <t>FM59__44607_0.328738425925926</t>
  </si>
  <si>
    <t>MA1056</t>
  </si>
  <si>
    <t>BEND585286</t>
  </si>
  <si>
    <t>FM599__44631_0.340625</t>
  </si>
  <si>
    <t>MA330</t>
  </si>
  <si>
    <t>FM6__44619_0.365451388888889</t>
  </si>
  <si>
    <t>MA434</t>
  </si>
  <si>
    <t>FM60__44629_0.401828703703704</t>
  </si>
  <si>
    <t>MA711</t>
  </si>
  <si>
    <t>FM61__44615_0.342268518518519</t>
  </si>
  <si>
    <t>MA1163</t>
  </si>
  <si>
    <t>FM617__44619_0.362858796296296</t>
  </si>
  <si>
    <t>MA490</t>
  </si>
  <si>
    <t>FM62__44615_0.342349537037037</t>
  </si>
  <si>
    <t>MA1243</t>
  </si>
  <si>
    <t>FM63__44627_0.321574074074074</t>
  </si>
  <si>
    <t>MA1034</t>
  </si>
  <si>
    <t>FM646__44623_0.389409722222222</t>
  </si>
  <si>
    <t>MA1186</t>
  </si>
  <si>
    <t>SpBEND302553</t>
  </si>
  <si>
    <t>BEND455768</t>
  </si>
  <si>
    <t>FM65__44631_0.336296296296296</t>
  </si>
  <si>
    <t>MA1166</t>
  </si>
  <si>
    <t>SpBEND591184</t>
  </si>
  <si>
    <t>BEND408435</t>
  </si>
  <si>
    <t>FM66__44611_0.315428240740741</t>
  </si>
  <si>
    <t>MA331</t>
  </si>
  <si>
    <t>BEND398520</t>
  </si>
  <si>
    <t>FM70__44613_0.356689814814815</t>
  </si>
  <si>
    <t>MA641</t>
  </si>
  <si>
    <t>FM71__44603_0.337685185185185</t>
  </si>
  <si>
    <t>MA286</t>
  </si>
  <si>
    <t>SpBEND264858</t>
  </si>
  <si>
    <t>BEND939689</t>
  </si>
  <si>
    <t>FM73__44607_0.312708333333333</t>
  </si>
  <si>
    <t>MAX110</t>
  </si>
  <si>
    <t>FM75__44625_0.3421875</t>
  </si>
  <si>
    <t>MA1058</t>
  </si>
  <si>
    <t>RT Jan26 nothing else seems off so conclude it's 2 swabs from the same person. OLD NOTE: review - same person, positive twice on same day</t>
  </si>
  <si>
    <t>FM77__44606_0.322905092592593</t>
  </si>
  <si>
    <t>MAX84</t>
  </si>
  <si>
    <t>FM78__44621_0.31119212962963</t>
  </si>
  <si>
    <t>MAX97</t>
  </si>
  <si>
    <t>FM782__44607_0.31349537037037</t>
  </si>
  <si>
    <t>MA477</t>
  </si>
  <si>
    <t>FM783__44615_0.387222222222222</t>
  </si>
  <si>
    <t>MA477A</t>
  </si>
  <si>
    <t>FM786__44606_0.320671296296296</t>
  </si>
  <si>
    <t>MA355</t>
  </si>
  <si>
    <t>FM787__44611_0.326331018518519</t>
  </si>
  <si>
    <t>MA638</t>
  </si>
  <si>
    <t>FM792__44621_0.334594907407407</t>
  </si>
  <si>
    <t>MA1109</t>
  </si>
  <si>
    <t>SpBEND743940</t>
  </si>
  <si>
    <t>BEND905639</t>
  </si>
  <si>
    <t>FM793__44617_0.32025462962963</t>
  </si>
  <si>
    <t>MA1274</t>
  </si>
  <si>
    <t xml:space="preserve"> Inconclusive to Negative based on RFR Audit (RT JAN26)</t>
  </si>
  <si>
    <t>FM794__44617_0.3321875</t>
  </si>
  <si>
    <t>MA1100</t>
  </si>
  <si>
    <t>FM796__44617_0.332905092592593</t>
  </si>
  <si>
    <t>MA1145</t>
  </si>
  <si>
    <t>BEND219101</t>
  </si>
  <si>
    <t>FM799__44621_0.445138888888889</t>
  </si>
  <si>
    <t>MA655</t>
  </si>
  <si>
    <t>SpBEND184203</t>
  </si>
  <si>
    <t>FM8__44625_0.341666666666667</t>
  </si>
  <si>
    <t>MA645</t>
  </si>
  <si>
    <t>FM802__44623_0.321122685185185</t>
  </si>
  <si>
    <t>MA627</t>
  </si>
  <si>
    <t>FM803__44611_0.334710648148148</t>
  </si>
  <si>
    <t>MA295</t>
  </si>
  <si>
    <t>FM804__44603_0.315173611111111</t>
  </si>
  <si>
    <t>MA302</t>
  </si>
  <si>
    <t>FM807__44617_0.312800925925926</t>
  </si>
  <si>
    <t>MAX68</t>
  </si>
  <si>
    <t>SpBEND845568</t>
  </si>
  <si>
    <t>BEND601151</t>
  </si>
  <si>
    <t>FM81__44615_0.29224537037037</t>
  </si>
  <si>
    <t>MA657</t>
  </si>
  <si>
    <t>SpBEND713650</t>
  </si>
  <si>
    <t>FM812__44619_0.330243055555556</t>
  </si>
  <si>
    <t>MA431</t>
  </si>
  <si>
    <t>SpBEND842248</t>
  </si>
  <si>
    <t>FM813__44623_0.310266203703704</t>
  </si>
  <si>
    <t>MA458</t>
  </si>
  <si>
    <t>FM816__44609_0.331898148148148</t>
  </si>
  <si>
    <t>MA629</t>
  </si>
  <si>
    <t>SpBEND292554</t>
  </si>
  <si>
    <t>FM819__44609_0.317534722222222</t>
  </si>
  <si>
    <t>MA652</t>
  </si>
  <si>
    <t>SpBEND617677</t>
  </si>
  <si>
    <t>FM82__44621_0.33193287037037</t>
  </si>
  <si>
    <t>MA650</t>
  </si>
  <si>
    <t>FM821__44621_0.329525462962963</t>
  </si>
  <si>
    <t>MA656</t>
  </si>
  <si>
    <t>SpBEND747592</t>
  </si>
  <si>
    <t>FM823__44613_0.321203703703704</t>
  </si>
  <si>
    <t>MA1124</t>
  </si>
  <si>
    <t>FM824__44613_0.276099537037037</t>
  </si>
  <si>
    <t>MA386</t>
  </si>
  <si>
    <t>SpBEND183210</t>
  </si>
  <si>
    <t>BEND992347</t>
  </si>
  <si>
    <t>FM827__44615_0.309780092592593</t>
  </si>
  <si>
    <t>MA1165</t>
  </si>
  <si>
    <t>FM828__44611_0.300694444444444</t>
  </si>
  <si>
    <t>MA262</t>
  </si>
  <si>
    <t>SpBEND918395</t>
  </si>
  <si>
    <t>FM829__44615_0.336631944444444</t>
  </si>
  <si>
    <t>MA1184</t>
  </si>
  <si>
    <t>FM83__44629_0.337094907407407</t>
  </si>
  <si>
    <t>MA1150</t>
  </si>
  <si>
    <t>BEND196623</t>
  </si>
  <si>
    <t>FM831__44617_0.331678240740741</t>
  </si>
  <si>
    <t>MA1253</t>
  </si>
  <si>
    <t>FM832__44606_0.361608796296296</t>
  </si>
  <si>
    <t>MAX44</t>
  </si>
  <si>
    <t>FM833__44617_0.331377314814815</t>
  </si>
  <si>
    <t>MA1248</t>
  </si>
  <si>
    <t>BEND190541</t>
  </si>
  <si>
    <t>FM834__44611_0.3321875</t>
  </si>
  <si>
    <t>MA422</t>
  </si>
  <si>
    <t>BEND689884</t>
  </si>
  <si>
    <t>FM836__44611_0.327881944444444</t>
  </si>
  <si>
    <t>MA1146</t>
  </si>
  <si>
    <t>BEND278730</t>
  </si>
  <si>
    <t>FM839__44611_0.334282407407407</t>
  </si>
  <si>
    <t>MA1162</t>
  </si>
  <si>
    <t>BEND182231</t>
  </si>
  <si>
    <t>FM85__44625_0.385833333333333</t>
  </si>
  <si>
    <t>MA547</t>
  </si>
  <si>
    <t>BEND397882</t>
  </si>
  <si>
    <t>FM87__44601_0.31181712962963</t>
  </si>
  <si>
    <t>MA1037</t>
  </si>
  <si>
    <t>BEND839924</t>
  </si>
  <si>
    <t>FM89__44611_0.328900462962963</t>
  </si>
  <si>
    <t>MA446</t>
  </si>
  <si>
    <t>FM9__44609_0.311689814814815</t>
  </si>
  <si>
    <t>MAX90</t>
  </si>
  <si>
    <t>BEND777226</t>
  </si>
  <si>
    <t>FM90__44603_0.319097222222222</t>
  </si>
  <si>
    <t>MAX62</t>
  </si>
  <si>
    <t>FM91__44629_0.317349537037037</t>
  </si>
  <si>
    <t>MA727</t>
  </si>
  <si>
    <t>SpBEND587584</t>
  </si>
  <si>
    <t>FM93__44627_0.3253125</t>
  </si>
  <si>
    <t>MA1115</t>
  </si>
  <si>
    <t>FM95__44625_0.29443287037037</t>
  </si>
  <si>
    <t>MAX56</t>
  </si>
  <si>
    <t>BEND412261</t>
  </si>
  <si>
    <t>FM967__44609_0.328310185185185</t>
  </si>
  <si>
    <t>MAX4</t>
  </si>
  <si>
    <t>BEND107646</t>
  </si>
  <si>
    <t>FM968__44623_0.313252314814815</t>
  </si>
  <si>
    <t>MA383</t>
  </si>
  <si>
    <t>FM97__44623_0.334421296296296</t>
  </si>
  <si>
    <t>MA372</t>
  </si>
  <si>
    <t>FM972__44609_0.332719907407407</t>
  </si>
  <si>
    <t>MA303</t>
  </si>
  <si>
    <t>FM976__44615_0.33125</t>
  </si>
  <si>
    <t>MA420</t>
  </si>
  <si>
    <t>FM980__44613_0.266724537037037</t>
  </si>
  <si>
    <t>MAX76</t>
  </si>
  <si>
    <t>BEND517250</t>
  </si>
  <si>
    <t>FM991__44625_0.318888888888889</t>
  </si>
  <si>
    <t>MA1252</t>
  </si>
  <si>
    <t>FM994__44617_0.331342592592593</t>
  </si>
  <si>
    <t>MA198</t>
  </si>
  <si>
    <t>FM996__44609_0.327488425925926</t>
  </si>
  <si>
    <t>MAX114</t>
  </si>
  <si>
    <t>BEND714296</t>
  </si>
  <si>
    <t>Hero__44537_0.543321759259259</t>
  </si>
  <si>
    <t>MA278</t>
  </si>
  <si>
    <t>Hero1__44537_0.543599537037037</t>
  </si>
  <si>
    <t>MA1066</t>
  </si>
  <si>
    <t>HERO11__44621_0.534328703703704</t>
  </si>
  <si>
    <t>MA1021</t>
  </si>
  <si>
    <t>HERO12__44582_0.797349537037037</t>
  </si>
  <si>
    <t>MAX80</t>
  </si>
  <si>
    <t>HERO13__44582_0.797638888888889</t>
  </si>
  <si>
    <t>MAX89</t>
  </si>
  <si>
    <t>BEND682107</t>
  </si>
  <si>
    <t>HERO14__44582_0.799513888888889</t>
  </si>
  <si>
    <t>MA1151</t>
  </si>
  <si>
    <t>Hero2__44537_0.543842592592593</t>
  </si>
  <si>
    <t>MA1053</t>
  </si>
  <si>
    <t>BEND628988</t>
  </si>
  <si>
    <t>Hero700__44572_0.546331018518519</t>
  </si>
  <si>
    <t>MA1048</t>
  </si>
  <si>
    <t>MA1011__44585_0.386863425925926</t>
  </si>
  <si>
    <t>MA376</t>
  </si>
  <si>
    <t>MA1021__44582_0.268287037037037</t>
  </si>
  <si>
    <t>MA1300</t>
  </si>
  <si>
    <t>MA1022__44564_0.36962962962963</t>
  </si>
  <si>
    <t>MA452</t>
  </si>
  <si>
    <t>MA1024__44571_0.35119212962963</t>
  </si>
  <si>
    <t>MA1047</t>
  </si>
  <si>
    <t>MA1025__44540_0.311284722222222</t>
  </si>
  <si>
    <t>MA305</t>
  </si>
  <si>
    <t>BEND281899</t>
  </si>
  <si>
    <t>MA1026__44615_0.314641203703704</t>
  </si>
  <si>
    <t>MA337</t>
  </si>
  <si>
    <t>BEND688166</t>
  </si>
  <si>
    <t>MA1027__44611_0.325798611111111</t>
  </si>
  <si>
    <t>MA337A</t>
  </si>
  <si>
    <t>Duplicate Tube ID has been split into a separate tube but this may be a pure duplication - it is a positive Tube, so we need to give this close scrutiny.  Typically if the Participants in a duplicate Tube ID don't appear in any other tube that day, the Tube is assumed to be a different Tube and assigned an "x" (correction code 1.3).  But this typically does not happen with a Positive Tube.</t>
  </si>
  <si>
    <t>MA1028__44615_0.337881944444445</t>
  </si>
  <si>
    <t>MAX141</t>
  </si>
  <si>
    <t>SpBEND980783</t>
  </si>
  <si>
    <t>BEND162474</t>
  </si>
  <si>
    <t>MA1029__44607_0.34775462962963</t>
  </si>
  <si>
    <t>HERO12</t>
  </si>
  <si>
    <t>MA1030__44551_0.188101851851852</t>
  </si>
  <si>
    <t>HERO13</t>
  </si>
  <si>
    <t>MA1031__44573_0.444224537037037</t>
  </si>
  <si>
    <t>HERO14</t>
  </si>
  <si>
    <t>MA1032__44603_0.423113425925926</t>
  </si>
  <si>
    <t>MA1063</t>
  </si>
  <si>
    <t>MA1033__44594_0.344236111111111</t>
  </si>
  <si>
    <t>MA1065</t>
  </si>
  <si>
    <t>MA1034__44575_0.330717592592593</t>
  </si>
  <si>
    <t>MA1068</t>
  </si>
  <si>
    <t>BEND567653</t>
  </si>
  <si>
    <t>MA1035__44571_0.349201388888889</t>
  </si>
  <si>
    <t>MA221</t>
  </si>
  <si>
    <t>MA1036__44547_0.371180555555556</t>
  </si>
  <si>
    <t>MA377</t>
  </si>
  <si>
    <t>MA1037__44579_0.415347222222222</t>
  </si>
  <si>
    <t>MA449</t>
  </si>
  <si>
    <t>MA1038__44615_0.321041666666667</t>
  </si>
  <si>
    <t>MA1061</t>
  </si>
  <si>
    <t>MA1039__44617_0.320243055555556</t>
  </si>
  <si>
    <t>MA1178</t>
  </si>
  <si>
    <t>MA1040__44611_0.333576388888889</t>
  </si>
  <si>
    <t>MA574</t>
  </si>
  <si>
    <t>MA1041__44615_0.332314814814815</t>
  </si>
  <si>
    <t>MA1180</t>
  </si>
  <si>
    <t>MA1042__44574_0.671273148148148</t>
  </si>
  <si>
    <t>MA545</t>
  </si>
  <si>
    <t>MA1043__44547_0.341782407407407</t>
  </si>
  <si>
    <t>MA1237</t>
  </si>
  <si>
    <t>MA1043DEL__44547_0.341782407407407</t>
  </si>
  <si>
    <t>MA1011</t>
  </si>
  <si>
    <t>MA1044__44613_0.328946759259259</t>
  </si>
  <si>
    <t>MA598</t>
  </si>
  <si>
    <t>MA1045__44614_0.356689814814815</t>
  </si>
  <si>
    <t>MAX103</t>
  </si>
  <si>
    <t>BEND260812</t>
  </si>
  <si>
    <t>MA1047__44582_0.352638888888889</t>
  </si>
  <si>
    <t>MAX109</t>
  </si>
  <si>
    <t>MA1048__44582_0.341400462962963</t>
  </si>
  <si>
    <t>MAX137</t>
  </si>
  <si>
    <t>MA1049__44564_0.342407407407407</t>
  </si>
  <si>
    <t>MAX112</t>
  </si>
  <si>
    <t>MA1050__44607_0.295324074074074</t>
  </si>
  <si>
    <t>MA467</t>
  </si>
  <si>
    <t>MA1051__44568_0.329282407407407</t>
  </si>
  <si>
    <t>MA1128</t>
  </si>
  <si>
    <t>MA1052__44564_0.317546296296296</t>
  </si>
  <si>
    <t>MA1245</t>
  </si>
  <si>
    <t>MA1053__44582_0.340486111111111</t>
  </si>
  <si>
    <t>MA1070</t>
  </si>
  <si>
    <t>MA1054__44609_0.337199074074074</t>
  </si>
  <si>
    <t>MA1076</t>
  </si>
  <si>
    <t>MA1055__44607_0.332395833333333</t>
  </si>
  <si>
    <t>MA411</t>
  </si>
  <si>
    <t>BEND742629</t>
  </si>
  <si>
    <t>MA1056__44574_0.849166666666667</t>
  </si>
  <si>
    <t>MA610</t>
  </si>
  <si>
    <t>MA1057__44552_0.366018518518519</t>
  </si>
  <si>
    <t>MA454</t>
  </si>
  <si>
    <t>MA1058__44575_0.386238425925926</t>
  </si>
  <si>
    <t>MA1278</t>
  </si>
  <si>
    <t>MA1061__44585_0.326168981481482</t>
  </si>
  <si>
    <t>MA524</t>
  </si>
  <si>
    <t>BEND664085</t>
  </si>
  <si>
    <t>MA1062__44574_0.584502314814815</t>
  </si>
  <si>
    <t>MAX123</t>
  </si>
  <si>
    <t>MA1063__44585_0.299398148148148</t>
  </si>
  <si>
    <t>MA271</t>
  </si>
  <si>
    <t>MA1064__44607_0.314224537037037</t>
  </si>
  <si>
    <t>MA247</t>
  </si>
  <si>
    <t>MA1065__44585_0.30181712962963</t>
  </si>
  <si>
    <t>MA607</t>
  </si>
  <si>
    <t>MA1066__44581_0.334155092592593</t>
  </si>
  <si>
    <t>MA1120</t>
  </si>
  <si>
    <t>MA1067__44611_0.297233796296296</t>
  </si>
  <si>
    <t>MA283</t>
  </si>
  <si>
    <t>MA1068__44585_0.303055555555556</t>
  </si>
  <si>
    <t>MA1135</t>
  </si>
  <si>
    <t>MA1069__44607_0.325381944444444</t>
  </si>
  <si>
    <t>MA276</t>
  </si>
  <si>
    <t>MA1070__44587_0.32375</t>
  </si>
  <si>
    <t>MA917</t>
  </si>
  <si>
    <t>MA1071__44611_0.311423611111111</t>
  </si>
  <si>
    <t>MA256</t>
  </si>
  <si>
    <t>MA1072__44613_0.315011574074074</t>
  </si>
  <si>
    <t>MA1158</t>
  </si>
  <si>
    <t>MA1073__44559_0.39744212962963</t>
  </si>
  <si>
    <t>MA619</t>
  </si>
  <si>
    <t>MA1075__44617_0.318715277777778</t>
  </si>
  <si>
    <t>MA348</t>
  </si>
  <si>
    <t>MA1076__44587_0.331342592592593</t>
  </si>
  <si>
    <t>MA615</t>
  </si>
  <si>
    <t>MA1077__44573_0.328553240740741</t>
  </si>
  <si>
    <t>MA613</t>
  </si>
  <si>
    <t>MA1078__44568_0.347175925925926</t>
  </si>
  <si>
    <t>MA625</t>
  </si>
  <si>
    <t>MA1079__44604_0.323576388888889</t>
  </si>
  <si>
    <t>MA397</t>
  </si>
  <si>
    <t>MA1080__44550_0.436342592592593</t>
  </si>
  <si>
    <t>MAX85</t>
  </si>
  <si>
    <t>MA1081__44561_0.305324074074074</t>
  </si>
  <si>
    <t>MA310</t>
  </si>
  <si>
    <t>MA1082__44564_0.351550925925926</t>
  </si>
  <si>
    <t>MA1209</t>
  </si>
  <si>
    <t>MA1084__44561_0.336689814814815</t>
  </si>
  <si>
    <t>MA604</t>
  </si>
  <si>
    <t>MA1087__44609_0.340196759259259</t>
  </si>
  <si>
    <t>MA1136</t>
  </si>
  <si>
    <t>MA1088__44552_0.358773148148148</t>
  </si>
  <si>
    <t>MA1033</t>
  </si>
  <si>
    <t>BEND923779</t>
  </si>
  <si>
    <t>MA1090__44619_0.321087962962963</t>
  </si>
  <si>
    <t>MA1195</t>
  </si>
  <si>
    <t>SpBEND474338</t>
  </si>
  <si>
    <t>BEND980447</t>
  </si>
  <si>
    <t>MA1091__44550_0.317349537037037</t>
  </si>
  <si>
    <t>MA1161</t>
  </si>
  <si>
    <t>MA1092__44574_0.616134259259259</t>
  </si>
  <si>
    <t>MAX105</t>
  </si>
  <si>
    <t>MA1095__44619_0.354444444444444</t>
  </si>
  <si>
    <t>MAX138</t>
  </si>
  <si>
    <t>MA1096__44613_0.315972222222222</t>
  </si>
  <si>
    <t>MAX108</t>
  </si>
  <si>
    <t>MA1099__44557_0.360729166666667</t>
  </si>
  <si>
    <t>MA1257</t>
  </si>
  <si>
    <t>MA1100__44579_0.316203703703704</t>
  </si>
  <si>
    <t>MAX142</t>
  </si>
  <si>
    <t>BEND495995</t>
  </si>
  <si>
    <t>MA1103__44607_0.314733796296296</t>
  </si>
  <si>
    <t>MA635</t>
  </si>
  <si>
    <t>MA1104__44615_0.314490740740741</t>
  </si>
  <si>
    <t>MAX134</t>
  </si>
  <si>
    <t>MA1107__44573_0.399444444444444</t>
  </si>
  <si>
    <t>MA390</t>
  </si>
  <si>
    <t>MA1108__44615_0.334907407407407</t>
  </si>
  <si>
    <t>MA368</t>
  </si>
  <si>
    <t>MA1109__44579_0.302268518518519</t>
  </si>
  <si>
    <t>MA1190</t>
  </si>
  <si>
    <t>MA1111__44604_0.324756944444444</t>
  </si>
  <si>
    <t>MA1174</t>
  </si>
  <si>
    <t>MA1112__44574_0.848506944444444</t>
  </si>
  <si>
    <t>MA440</t>
  </si>
  <si>
    <t>MA1115__44580_0.346064814814815</t>
  </si>
  <si>
    <t>MA959</t>
  </si>
  <si>
    <t>MA1116__44611_0.3321875</t>
  </si>
  <si>
    <t>MA274</t>
  </si>
  <si>
    <t>MA1119__44574_0.585231481481482</t>
  </si>
  <si>
    <t>MA253</t>
  </si>
  <si>
    <t>MA1120__44589_0.332083333333333</t>
  </si>
  <si>
    <t>MA423</t>
  </si>
  <si>
    <t>MA1123__44619_0.319421296296296</t>
  </si>
  <si>
    <t>MA1229</t>
  </si>
  <si>
    <t>MA1124__44579_0.340428240740741</t>
  </si>
  <si>
    <t>MA424</t>
  </si>
  <si>
    <t>BEND738994</t>
  </si>
  <si>
    <t>MA1127__44613_0.308935185185185</t>
  </si>
  <si>
    <t>MA659</t>
  </si>
  <si>
    <t>BEND369361</t>
  </si>
  <si>
    <t>MA1128__44587_0.32349537037037</t>
  </si>
  <si>
    <t>MA426</t>
  </si>
  <si>
    <t>MA1131__44561_0.336446759259259</t>
  </si>
  <si>
    <t>FM501</t>
  </si>
  <si>
    <t>MA1135__44589_0.347881944444444</t>
  </si>
  <si>
    <t>FM431</t>
  </si>
  <si>
    <t>MA1136__44594_0.343773148148148</t>
  </si>
  <si>
    <t>MAX60</t>
  </si>
  <si>
    <t>MA1139__44609_0.387268518518519</t>
  </si>
  <si>
    <t>MAX132</t>
  </si>
  <si>
    <t>MA1140__44617_0.318298611111111</t>
  </si>
  <si>
    <t>FM87</t>
  </si>
  <si>
    <t>MA1143__44568_0.313935185185185</t>
  </si>
  <si>
    <t>MA252</t>
  </si>
  <si>
    <t>MA1145__44579_0.320532407407407</t>
  </si>
  <si>
    <t>MAX124</t>
  </si>
  <si>
    <t>MA1146__44579_0.413680555555556</t>
  </si>
  <si>
    <t>MAX12</t>
  </si>
  <si>
    <t>BEND186672</t>
  </si>
  <si>
    <t>MA1147__44571_0.35587962962963</t>
  </si>
  <si>
    <t>MAX116</t>
  </si>
  <si>
    <t>MA1149__44568_0.0221180555555556</t>
  </si>
  <si>
    <t>MAX67</t>
  </si>
  <si>
    <t>BEND974264</t>
  </si>
  <si>
    <t>MA1150__44579_0.350520833333333</t>
  </si>
  <si>
    <t>MAX75</t>
  </si>
  <si>
    <t>BEND856015</t>
  </si>
  <si>
    <t>MA1151__44582_0.313009259259259</t>
  </si>
  <si>
    <t>MAX131</t>
  </si>
  <si>
    <t>BEND921886</t>
  </si>
  <si>
    <t>MA1152__44561_0.389027777777778</t>
  </si>
  <si>
    <t>MAX120</t>
  </si>
  <si>
    <t>MA1153__44561_0.327199074074074</t>
  </si>
  <si>
    <t>MA1490</t>
  </si>
  <si>
    <t>BEND786181</t>
  </si>
  <si>
    <t>MA1155__44545_0.668680555555556</t>
  </si>
  <si>
    <t>MA203</t>
  </si>
  <si>
    <t>MA1156__44573_0.32337962962963</t>
  </si>
  <si>
    <t>FM804</t>
  </si>
  <si>
    <t>MA1158__44592_0.327175925925926</t>
  </si>
  <si>
    <t>MA1233</t>
  </si>
  <si>
    <t>MA1159__44571_0.318136574074074</t>
  </si>
  <si>
    <t>FM90</t>
  </si>
  <si>
    <t>MA1160__44550_0.335416666666667</t>
  </si>
  <si>
    <t>FM71</t>
  </si>
  <si>
    <t>MA1161__44594_0.353935185185185</t>
  </si>
  <si>
    <t>MA632</t>
  </si>
  <si>
    <t>SpBEND483335</t>
  </si>
  <si>
    <t>BEND785869</t>
  </si>
  <si>
    <t>MA1162__44579_0.414074074074074</t>
  </si>
  <si>
    <t>MA620</t>
  </si>
  <si>
    <t>MA1163__44575_0.311157407407407</t>
  </si>
  <si>
    <t>MAX102</t>
  </si>
  <si>
    <t>MA1165__44579_0.346296296296296</t>
  </si>
  <si>
    <t>MA1032</t>
  </si>
  <si>
    <t>MA1166__44575_0.34537037037037</t>
  </si>
  <si>
    <t>MA1079</t>
  </si>
  <si>
    <t>MA1173__44566_0.30869212962963</t>
  </si>
  <si>
    <t>MA1111</t>
  </si>
  <si>
    <t>BEND215511</t>
  </si>
  <si>
    <t>MA1174__44599_0.306539351851852</t>
  </si>
  <si>
    <t>FM1003</t>
  </si>
  <si>
    <t>No Run this day</t>
  </si>
  <si>
    <t>MA1175__44571_0.311678240740741</t>
  </si>
  <si>
    <t>FM786</t>
  </si>
  <si>
    <t>MA1177__44568_0.29818287037037</t>
  </si>
  <si>
    <t>FM77</t>
  </si>
  <si>
    <t>MA1178__44585_0.326574074074074</t>
  </si>
  <si>
    <t>FM53</t>
  </si>
  <si>
    <t>MA1179__44557_0.312314814814815</t>
  </si>
  <si>
    <t>FM832</t>
  </si>
  <si>
    <t>MA1180__44585_0.332928240740741</t>
  </si>
  <si>
    <t>FM1</t>
  </si>
  <si>
    <t>MA1183__44557_0.42587962962963</t>
  </si>
  <si>
    <t>MA362</t>
  </si>
  <si>
    <t>MA1184__44579_0.348773148148148</t>
  </si>
  <si>
    <t>MA205</t>
  </si>
  <si>
    <t>MA1186__44575_0.34005787037037</t>
  </si>
  <si>
    <t>MA217</t>
  </si>
  <si>
    <t>MA1187__44617_0.323842592592593</t>
  </si>
  <si>
    <t>MA1050</t>
  </si>
  <si>
    <t>SpBEND271847</t>
  </si>
  <si>
    <t>MA1188__44568_0.340972222222222</t>
  </si>
  <si>
    <t>MA398</t>
  </si>
  <si>
    <t>MA1190__44599_0.305914351851852</t>
  </si>
  <si>
    <t>FM459</t>
  </si>
  <si>
    <t>MA1195__44594_0.347395833333333</t>
  </si>
  <si>
    <t>FM485</t>
  </si>
  <si>
    <t>MA1199__44573_0.350300925925926</t>
  </si>
  <si>
    <t>MA288</t>
  </si>
  <si>
    <t>MA1201__44615_0.343321759259259</t>
  </si>
  <si>
    <t>MA189</t>
  </si>
  <si>
    <t>MA1202__44623_0.391493055555556</t>
  </si>
  <si>
    <t>FM73</t>
  </si>
  <si>
    <t>MA1203__44552_0.348796296296296</t>
  </si>
  <si>
    <t>MA294</t>
  </si>
  <si>
    <t>MA1209__44594_0.334826388888889</t>
  </si>
  <si>
    <t>MA290</t>
  </si>
  <si>
    <t>SpBEND634692</t>
  </si>
  <si>
    <t>BEND885483</t>
  </si>
  <si>
    <t>MA1210__44631_0.267800925925926</t>
  </si>
  <si>
    <t>FM19</t>
  </si>
  <si>
    <t>MA1217__44573_0.347650462962963</t>
  </si>
  <si>
    <t>FM782</t>
  </si>
  <si>
    <t>SpBEND691307</t>
  </si>
  <si>
    <t>BEND608194</t>
  </si>
  <si>
    <t>MA1223__44615_0.343009259259259</t>
  </si>
  <si>
    <t>MA1064</t>
  </si>
  <si>
    <t>MA1224__44568_0.298634259259259</t>
  </si>
  <si>
    <t>MA1103</t>
  </si>
  <si>
    <t>SpBEND501019</t>
  </si>
  <si>
    <t>BEND941934</t>
  </si>
  <si>
    <t>MA1225__44611_0.315810185185185</t>
  </si>
  <si>
    <t>MA1259</t>
  </si>
  <si>
    <t>MA1227__44627_0.320474537037037</t>
  </si>
  <si>
    <t>MA1261</t>
  </si>
  <si>
    <t>SpBEND815974</t>
  </si>
  <si>
    <t>BEND381818</t>
  </si>
  <si>
    <t>MA1228__44568_0.29755787037037</t>
  </si>
  <si>
    <t>FM513</t>
  </si>
  <si>
    <t>MA1229__44599_0.347037037037037</t>
  </si>
  <si>
    <t>MA296</t>
  </si>
  <si>
    <t>MA1230__44617_0.338784722222222</t>
  </si>
  <si>
    <t>MAX135</t>
  </si>
  <si>
    <t>MA1231__44617_0.31619212962963</t>
  </si>
  <si>
    <t>MA1069</t>
  </si>
  <si>
    <t>SpBEND967817</t>
  </si>
  <si>
    <t>BEND525341</t>
  </si>
  <si>
    <t>MA1233__44603_0.317986111111111</t>
  </si>
  <si>
    <t>MA391</t>
  </si>
  <si>
    <t>SpBEND490402</t>
  </si>
  <si>
    <t>BEND842997</t>
  </si>
  <si>
    <t>MA1234__44572_0.536875</t>
  </si>
  <si>
    <t>FM452</t>
  </si>
  <si>
    <t>MA1235__44625_0.394571759259259</t>
  </si>
  <si>
    <t>MA267</t>
  </si>
  <si>
    <t>MA1236__44561_0.32125</t>
  </si>
  <si>
    <t>FM59</t>
  </si>
  <si>
    <t>MA1237__44585_0.378472222222222</t>
  </si>
  <si>
    <t>MA211</t>
  </si>
  <si>
    <t>MA1238__44625_0.31099537037037</t>
  </si>
  <si>
    <t>MA1055</t>
  </si>
  <si>
    <t>SpBEND382241</t>
  </si>
  <si>
    <t>BEND761743</t>
  </si>
  <si>
    <t>MA1240__44617_0.347743055555556</t>
  </si>
  <si>
    <t>FM442</t>
  </si>
  <si>
    <t>SpBEND216695</t>
  </si>
  <si>
    <t>BEND835613</t>
  </si>
  <si>
    <t>MA1243__44575_0.323043981481482</t>
  </si>
  <si>
    <t>MA301</t>
  </si>
  <si>
    <t>SpBEND435789</t>
  </si>
  <si>
    <t>BEND741633</t>
  </si>
  <si>
    <t>MA1245__44587_0.323715277777778</t>
  </si>
  <si>
    <t>MA412</t>
  </si>
  <si>
    <t>SpBEND824412</t>
  </si>
  <si>
    <t>BEND918814</t>
  </si>
  <si>
    <t>MA1248__44579_0.413032407407407</t>
  </si>
  <si>
    <t>FM34</t>
  </si>
  <si>
    <t>MA1251__44621_0.467928240740741</t>
  </si>
  <si>
    <t>MA1029</t>
  </si>
  <si>
    <t>MA1252__44580_0.440520833333333</t>
  </si>
  <si>
    <t>FM428</t>
  </si>
  <si>
    <t>SpBEND737678</t>
  </si>
  <si>
    <t>BEND944448</t>
  </si>
  <si>
    <t>MA1253__44579_0.361597222222222</t>
  </si>
  <si>
    <t>MA312</t>
  </si>
  <si>
    <t>MA1254__44629_0.407349537037037</t>
  </si>
  <si>
    <t>MA1255__44545_0.574976851851852</t>
  </si>
  <si>
    <t>MA1257__44596_0.343171296296296</t>
  </si>
  <si>
    <t>SpBEND670368</t>
  </si>
  <si>
    <t>MA1258__44623_0.327199074074074</t>
  </si>
  <si>
    <t>FM50</t>
  </si>
  <si>
    <t>MA1259__44607_0.319583333333333</t>
  </si>
  <si>
    <t>MA408</t>
  </si>
  <si>
    <t>MA1261__44607_0.320243055555556</t>
  </si>
  <si>
    <t>MA226</t>
  </si>
  <si>
    <t>MA1263__44619_0.320046296296296</t>
  </si>
  <si>
    <t>MAX117</t>
  </si>
  <si>
    <t>MA1264__44621_0.317349537037037</t>
  </si>
  <si>
    <t>MAX115</t>
  </si>
  <si>
    <t>MA1267__44615_0.34318287037037</t>
  </si>
  <si>
    <t>MAX8</t>
  </si>
  <si>
    <t>MA1269__44621_0.346180555555556</t>
  </si>
  <si>
    <t>FM3</t>
  </si>
  <si>
    <t>MA1270__44625_0.39431712962963</t>
  </si>
  <si>
    <t>FM57</t>
  </si>
  <si>
    <t>MA1271__44613_0.319861111111111</t>
  </si>
  <si>
    <t>FM432</t>
  </si>
  <si>
    <t>MA1272__44625_0.315925925925926</t>
  </si>
  <si>
    <t>FM429</t>
  </si>
  <si>
    <t>SpBEND292213</t>
  </si>
  <si>
    <t>BEND121582</t>
  </si>
  <si>
    <t>MA1274__44579_0.311284722222222</t>
  </si>
  <si>
    <t>FM443</t>
  </si>
  <si>
    <t>MA1275__44629_0.311770833333333</t>
  </si>
  <si>
    <t>FM9</t>
  </si>
  <si>
    <t>MA1276__44617_0.418888888888889</t>
  </si>
  <si>
    <t>MA182</t>
  </si>
  <si>
    <t>SpBEND584950</t>
  </si>
  <si>
    <t>BEND749260</t>
  </si>
  <si>
    <t>MA1278__44587_0.350231481481482</t>
  </si>
  <si>
    <t>MA206</t>
  </si>
  <si>
    <t>MA1280__44561_0.352777777777778</t>
  </si>
  <si>
    <t>MA255</t>
  </si>
  <si>
    <t>MA1282__44621_0.3096875</t>
  </si>
  <si>
    <t>FM819</t>
  </si>
  <si>
    <t>MA1284__44627_0.319976851851852</t>
  </si>
  <si>
    <t>MA259</t>
  </si>
  <si>
    <t>MA1288__44619_0.355752314814815</t>
  </si>
  <si>
    <t>MA181</t>
  </si>
  <si>
    <t>SpBEND862115</t>
  </si>
  <si>
    <t>BEND317332</t>
  </si>
  <si>
    <t>MA1293__44621_0.468148148148148</t>
  </si>
  <si>
    <t>MAX101</t>
  </si>
  <si>
    <t>SpBEND363177</t>
  </si>
  <si>
    <t>BEND213287</t>
  </si>
  <si>
    <t>MA1294__44625_0.355300925925926</t>
  </si>
  <si>
    <t>Negative to Inconclusive based  on RFR Audit and LUM (RT Jan26)</t>
  </si>
  <si>
    <t>MA1295__44613_0.317465277777778</t>
  </si>
  <si>
    <t>FM56</t>
  </si>
  <si>
    <t>MA1296__44611_0.317361111111111</t>
  </si>
  <si>
    <t>FM33</t>
  </si>
  <si>
    <t>MA1299__44559_0.356585648148148</t>
  </si>
  <si>
    <t>FM472</t>
  </si>
  <si>
    <t>MA1300__44582_0.35087962962963</t>
  </si>
  <si>
    <t>FM967</t>
  </si>
  <si>
    <t>SpBEND982485</t>
  </si>
  <si>
    <t>BEND192592</t>
  </si>
  <si>
    <t>MA1302__44631_0.26943287037037</t>
  </si>
  <si>
    <t>FM816</t>
  </si>
  <si>
    <t>SpBEND914710</t>
  </si>
  <si>
    <t>BEND199320</t>
  </si>
  <si>
    <t>MA1303__44611_0.313796296296296</t>
  </si>
  <si>
    <t>FM972</t>
  </si>
  <si>
    <t>MA1304__44621_0.343969907407407</t>
  </si>
  <si>
    <t>MA292</t>
  </si>
  <si>
    <t>SpBEND611299</t>
  </si>
  <si>
    <t>BEND244963</t>
  </si>
  <si>
    <t>MA1305__44623_0.391041666666667</t>
  </si>
  <si>
    <t>MA291</t>
  </si>
  <si>
    <t>SpBEND413838</t>
  </si>
  <si>
    <t>BEND170871</t>
  </si>
  <si>
    <t>MA1307__44623_0.390763888888889</t>
  </si>
  <si>
    <t>MA1054</t>
  </si>
  <si>
    <t>MA1308__44625_0.393993055555556</t>
  </si>
  <si>
    <t>MA1087</t>
  </si>
  <si>
    <t>BEND470695</t>
  </si>
  <si>
    <t>MA1312__44613_0.316724537037037</t>
  </si>
  <si>
    <t>MA237</t>
  </si>
  <si>
    <t>MA1313__44629_0.405960648148148</t>
  </si>
  <si>
    <t>FM55</t>
  </si>
  <si>
    <t>BEND300847</t>
  </si>
  <si>
    <t>MA1315__44551_0.470543981481481</t>
  </si>
  <si>
    <t>FM26</t>
  </si>
  <si>
    <t>SpBEND640412</t>
  </si>
  <si>
    <t>BEND493351</t>
  </si>
  <si>
    <t>MA1316__44623_0.391273148148148</t>
  </si>
  <si>
    <t>MA1139</t>
  </si>
  <si>
    <t>SpBEND331858</t>
  </si>
  <si>
    <t>BEND886229</t>
  </si>
  <si>
    <t>MA1318__44627_0.318125</t>
  </si>
  <si>
    <t>MA1067</t>
  </si>
  <si>
    <t>MA1319__44623_0.321782407407407</t>
  </si>
  <si>
    <t>FM828</t>
  </si>
  <si>
    <t>SpBEND437215</t>
  </si>
  <si>
    <t>BEND378516</t>
  </si>
  <si>
    <t>MA1320__44619_0.356377314814815</t>
  </si>
  <si>
    <t>MA239</t>
  </si>
  <si>
    <t>MA1352__44568_0.522708333333333</t>
  </si>
  <si>
    <t>FM537</t>
  </si>
  <si>
    <t>MA1365__44550_0.340300925925926</t>
  </si>
  <si>
    <t>FM537A</t>
  </si>
  <si>
    <t>MA1384__44692_0.309363425925926</t>
  </si>
  <si>
    <t>MA1071</t>
  </si>
  <si>
    <t>MA1392__44692_0.288854166666667</t>
  </si>
  <si>
    <t>MA277</t>
  </si>
  <si>
    <t>SpBEND637657</t>
  </si>
  <si>
    <t>BEND142851</t>
  </si>
  <si>
    <t>MA1397__44692_0.278877314814815</t>
  </si>
  <si>
    <t>MA1303</t>
  </si>
  <si>
    <t>MA1398__44692_0.309039351851852</t>
  </si>
  <si>
    <t>FM44</t>
  </si>
  <si>
    <t>MA1405__44692_0.27787037037037</t>
  </si>
  <si>
    <t>FM408</t>
  </si>
  <si>
    <t>MA1429__44692_0.308634259259259</t>
  </si>
  <si>
    <t>FM66</t>
  </si>
  <si>
    <t>MA1453__44692_0.278425925925926</t>
  </si>
  <si>
    <t>MA1225</t>
  </si>
  <si>
    <t>MA1490__44601_0.392488425925926</t>
  </si>
  <si>
    <t>MA1296</t>
  </si>
  <si>
    <t>MA1497__44692_0.291898148148148</t>
  </si>
  <si>
    <t>MA193</t>
  </si>
  <si>
    <t>MA181__44609_0.31943287037037</t>
  </si>
  <si>
    <t>FM497</t>
  </si>
  <si>
    <t>MA182__44609_0.315590277777778</t>
  </si>
  <si>
    <t>MA209</t>
  </si>
  <si>
    <t>MA186__44617_0.349641203703704</t>
  </si>
  <si>
    <t>MA281</t>
  </si>
  <si>
    <t>MA189__44607_0.311678240740741</t>
  </si>
  <si>
    <t>MA268</t>
  </si>
  <si>
    <t>MA190__44573_0.414328703703704</t>
  </si>
  <si>
    <t>MA1027</t>
  </si>
  <si>
    <t>MA190A__44573_0.414328703703704</t>
  </si>
  <si>
    <t>FM787</t>
  </si>
  <si>
    <t>MA193__44611_0.318043981481482</t>
  </si>
  <si>
    <t>FM836</t>
  </si>
  <si>
    <t>MA194__44619_0.330856481481482</t>
  </si>
  <si>
    <t>FM89</t>
  </si>
  <si>
    <t>MA197__44550_0.401354166666667</t>
  </si>
  <si>
    <t>FM834</t>
  </si>
  <si>
    <t>SpBEND522465</t>
  </si>
  <si>
    <t>BEND934970</t>
  </si>
  <si>
    <t>MA197DEL__44550_0.401354166666667</t>
  </si>
  <si>
    <t>MA1116</t>
  </si>
  <si>
    <t>MA198__44580_0.443668981481482</t>
  </si>
  <si>
    <t>MA1040</t>
  </si>
  <si>
    <t>BEND654549</t>
  </si>
  <si>
    <t>MA202__44613_0.320694444444444</t>
  </si>
  <si>
    <t>FM839</t>
  </si>
  <si>
    <t>MA203__44603_0.288101851851852</t>
  </si>
  <si>
    <t>FM803</t>
  </si>
  <si>
    <t>BEND147991</t>
  </si>
  <si>
    <t>MA205__44607_0.294143518518519</t>
  </si>
  <si>
    <t>MA608</t>
  </si>
  <si>
    <t>BEND245390</t>
  </si>
  <si>
    <t>MA206__44609_0.315636574074074</t>
  </si>
  <si>
    <t>FM35</t>
  </si>
  <si>
    <t>MA207__44564_0.203483796296296</t>
  </si>
  <si>
    <t>FM38</t>
  </si>
  <si>
    <t>SpBEND524085</t>
  </si>
  <si>
    <t>BEND249479</t>
  </si>
  <si>
    <t>MA209__44611_0.320960648148148</t>
  </si>
  <si>
    <t>MA229</t>
  </si>
  <si>
    <t>MA2090__44621_0.309953703703704</t>
  </si>
  <si>
    <t>FM117</t>
  </si>
  <si>
    <t>MA210__44613_0.319363425925926</t>
  </si>
  <si>
    <t>FM437</t>
  </si>
  <si>
    <t>MA211__44607_0.329768518518519</t>
  </si>
  <si>
    <t>FM980</t>
  </si>
  <si>
    <t>MA213__44625_0.309814814814815</t>
  </si>
  <si>
    <t>FM824</t>
  </si>
  <si>
    <t>BEND627699</t>
  </si>
  <si>
    <t>MA214__44615_0.30931712962963</t>
  </si>
  <si>
    <t>FM478</t>
  </si>
  <si>
    <t>MA217__44607_0.294224537037037</t>
  </si>
  <si>
    <t>MA279</t>
  </si>
  <si>
    <t>SpBEND321883</t>
  </si>
  <si>
    <t>BEND395125</t>
  </si>
  <si>
    <t>MA218__44566_0.330763888888889</t>
  </si>
  <si>
    <t>FM486</t>
  </si>
  <si>
    <t>MA219__44613_0.314872685185185</t>
  </si>
  <si>
    <t>FM28</t>
  </si>
  <si>
    <t>MA221__44585_0.308831018518519</t>
  </si>
  <si>
    <t>FM32</t>
  </si>
  <si>
    <t>MA222__44615_0.308668981481482</t>
  </si>
  <si>
    <t>MA1127</t>
  </si>
  <si>
    <t>MA225__44617_0.304618055555556</t>
  </si>
  <si>
    <t>FM11</t>
  </si>
  <si>
    <t>MA226__44609_0.29255787037037</t>
  </si>
  <si>
    <t>MA219</t>
  </si>
  <si>
    <t>MA227__44613_0.322164351851852</t>
  </si>
  <si>
    <t>MA1072</t>
  </si>
  <si>
    <t>MA229__44611_0.473530092592593</t>
  </si>
  <si>
    <t>MA1096</t>
  </si>
  <si>
    <t>MA230__44566_0.338888888888889</t>
  </si>
  <si>
    <t>MA1312</t>
  </si>
  <si>
    <t>MA231__44615_0.309236111111111</t>
  </si>
  <si>
    <t>MA1295</t>
  </si>
  <si>
    <t>SpBEND279112</t>
  </si>
  <si>
    <t>BEND696303</t>
  </si>
  <si>
    <t>MA233__44571_0.326168981481482</t>
  </si>
  <si>
    <t>MA210</t>
  </si>
  <si>
    <t>SpBEND904348</t>
  </si>
  <si>
    <t>BEND640444</t>
  </si>
  <si>
    <t>MA234__44617_0.306273148148148</t>
  </si>
  <si>
    <t>MA1271</t>
  </si>
  <si>
    <t>MA237__44609_0.343981481481482</t>
  </si>
  <si>
    <t>MA202</t>
  </si>
  <si>
    <t>MA238__44568_0.347164351851852</t>
  </si>
  <si>
    <t>FM1020</t>
  </si>
  <si>
    <t>MA239__44611_0.308553240740741</t>
  </si>
  <si>
    <t>FM823</t>
  </si>
  <si>
    <t>MA241__44571_0.296921296296296</t>
  </si>
  <si>
    <t>MA227</t>
  </si>
  <si>
    <t>MA243__44617_0.317546296296296</t>
  </si>
  <si>
    <t>MAX100</t>
  </si>
  <si>
    <t>MA247__44589_0.33037037037037</t>
  </si>
  <si>
    <t>FM1010</t>
  </si>
  <si>
    <t>MA248__44564_0.397627314814815</t>
  </si>
  <si>
    <t>FM509</t>
  </si>
  <si>
    <t>MA251__44615_0.323796296296296</t>
  </si>
  <si>
    <t>MA1044</t>
  </si>
  <si>
    <t>MA252__44601_0.317407407407407</t>
  </si>
  <si>
    <t>FM461</t>
  </si>
  <si>
    <t>MA253__44599_0.332881944444444</t>
  </si>
  <si>
    <t>FM70</t>
  </si>
  <si>
    <t>MA254__44568_0.336168981481482</t>
  </si>
  <si>
    <t>MA1045</t>
  </si>
  <si>
    <t>MA255__44609_0.316030092592593</t>
  </si>
  <si>
    <t>MAX24</t>
  </si>
  <si>
    <t>Pos to Neg based on RFR - checked image and entire batch mis-called</t>
  </si>
  <si>
    <t>MA256__44592_0.326041666666667</t>
  </si>
  <si>
    <t>FM81</t>
  </si>
  <si>
    <t>MA257__44557_0.37775462962963</t>
  </si>
  <si>
    <t>MA300</t>
  </si>
  <si>
    <t>MA259__44609_0.318738425925926</t>
  </si>
  <si>
    <t>FM505</t>
  </si>
  <si>
    <t>MA260__44615_0.335289351851852</t>
  </si>
  <si>
    <t>FM5</t>
  </si>
  <si>
    <t>MA262__44579_0.348206018518519</t>
  </si>
  <si>
    <t>MA222</t>
  </si>
  <si>
    <t>MA263__44566_0.32974537037037</t>
  </si>
  <si>
    <t>MA231</t>
  </si>
  <si>
    <t>MA266__44617_0.330393518518519</t>
  </si>
  <si>
    <t>MA214</t>
  </si>
  <si>
    <t>MA267__44607_0.328171296296296</t>
  </si>
  <si>
    <t>FM827</t>
  </si>
  <si>
    <t>SpBEND718288</t>
  </si>
  <si>
    <t>BEND289256</t>
  </si>
  <si>
    <t>MA268__44611_0.323333333333333</t>
  </si>
  <si>
    <t>MA299</t>
  </si>
  <si>
    <t>MA269__44550_0.401875</t>
  </si>
  <si>
    <t>MA1104</t>
  </si>
  <si>
    <t>MA269DEL__44550_0.401875</t>
  </si>
  <si>
    <t>MA1026</t>
  </si>
  <si>
    <t>MA271__44589_0.314537037037037</t>
  </si>
  <si>
    <t>FM533</t>
  </si>
  <si>
    <t>MA273__44617_0.304351851851852</t>
  </si>
  <si>
    <t>MA1038</t>
  </si>
  <si>
    <t>MA274__44599_0.324594907407407</t>
  </si>
  <si>
    <t>FM1008</t>
  </si>
  <si>
    <t>SpBEND436062</t>
  </si>
  <si>
    <t>MA276__44589_0.36568287037037</t>
  </si>
  <si>
    <t>MA251</t>
  </si>
  <si>
    <t>MA277__44611_0.311655092592593</t>
  </si>
  <si>
    <t>FM450</t>
  </si>
  <si>
    <t>MA278__44581_0.312881944444444</t>
  </si>
  <si>
    <t>FM976</t>
  </si>
  <si>
    <t>MA279__44613_0.293576388888889</t>
  </si>
  <si>
    <t>MA616</t>
  </si>
  <si>
    <t>MA281__44611_0.322592592592593</t>
  </si>
  <si>
    <t>MA1041</t>
  </si>
  <si>
    <t>MA282__44564_0.402291666666667</t>
  </si>
  <si>
    <t>MA1108</t>
  </si>
  <si>
    <t>MA283__44589_0.344201388888889</t>
  </si>
  <si>
    <t>MA260</t>
  </si>
  <si>
    <t>MA284__44617_0.293101851851852</t>
  </si>
  <si>
    <t>FM829</t>
  </si>
  <si>
    <t>MA286__44575_0.355949074074074</t>
  </si>
  <si>
    <t>MA1028</t>
  </si>
  <si>
    <t>MA287__44564_0.359652777777778</t>
  </si>
  <si>
    <t>FM61</t>
  </si>
  <si>
    <t>MA288__44607_0.307430555555556</t>
  </si>
  <si>
    <t>FM62</t>
  </si>
  <si>
    <t>MA290__44607_0.313287037037037</t>
  </si>
  <si>
    <t>MA1223</t>
  </si>
  <si>
    <t>MA291__44609_0.334143518518519</t>
  </si>
  <si>
    <t>MA1267</t>
  </si>
  <si>
    <t>MA292__44609_0.333993055555556</t>
  </si>
  <si>
    <t>MA1201</t>
  </si>
  <si>
    <t>MA294__44607_0.313206018518519</t>
  </si>
  <si>
    <t>FM493</t>
  </si>
  <si>
    <t>MA295__44579_0.327893518518519</t>
  </si>
  <si>
    <t>FM783</t>
  </si>
  <si>
    <t>MA296__44607_0.323506944444444</t>
  </si>
  <si>
    <t>FM109</t>
  </si>
  <si>
    <t>MA298__44617_0.348634259259259</t>
  </si>
  <si>
    <t>MAX118</t>
  </si>
  <si>
    <t>MA299__44615_0.310891203703704</t>
  </si>
  <si>
    <t>MAX82</t>
  </si>
  <si>
    <t>MA300__44615_0.295358796296296</t>
  </si>
  <si>
    <t>MA284</t>
  </si>
  <si>
    <t>MA301__44607_0.338148148148148</t>
  </si>
  <si>
    <t>FM27</t>
  </si>
  <si>
    <t>MA302__44579_0.329143518518519</t>
  </si>
  <si>
    <t>FM37</t>
  </si>
  <si>
    <t>MA303__44580_0.415439814814815</t>
  </si>
  <si>
    <t>FM466</t>
  </si>
  <si>
    <t>MA305__44582_0.390381944444444</t>
  </si>
  <si>
    <t>MA273</t>
  </si>
  <si>
    <t>MA306__44633_0.353171296296296</t>
  </si>
  <si>
    <t>MA225</t>
  </si>
  <si>
    <t>MA307__44557_0.328935185185185</t>
  </si>
  <si>
    <t>MA234</t>
  </si>
  <si>
    <t>MA310__44594_0.324467592592593</t>
  </si>
  <si>
    <t>FM807</t>
  </si>
  <si>
    <t>MA312__44607_0.392488425925926</t>
  </si>
  <si>
    <t>MA1231</t>
  </si>
  <si>
    <t>MA314__44627_0.347696759259259</t>
  </si>
  <si>
    <t>MA243</t>
  </si>
  <si>
    <t>MA315__44619_0.515023148148148</t>
  </si>
  <si>
    <t>MA1140</t>
  </si>
  <si>
    <t>MA316__44561_0.400428240740741</t>
  </si>
  <si>
    <t>MA1075</t>
  </si>
  <si>
    <t>SpBEND296258</t>
  </si>
  <si>
    <t>BEND873094</t>
  </si>
  <si>
    <t>MA319__44625_0.265289351851852</t>
  </si>
  <si>
    <t>FM12</t>
  </si>
  <si>
    <t>MA322__44621_0.315358796296296</t>
  </si>
  <si>
    <t>MA1039</t>
  </si>
  <si>
    <t>MA323__44564_0.326157407407407</t>
  </si>
  <si>
    <t>FM793</t>
  </si>
  <si>
    <t>MA325__44631_0.301956018518519</t>
  </si>
  <si>
    <t>FM463</t>
  </si>
  <si>
    <t>MA326__44564_0.325381944444444</t>
  </si>
  <si>
    <t>FM425</t>
  </si>
  <si>
    <t>MA327__44545_0.586215277777778</t>
  </si>
  <si>
    <t>FM456</t>
  </si>
  <si>
    <t>MA328__44625_0.270358796296296</t>
  </si>
  <si>
    <t>MA1187</t>
  </si>
  <si>
    <t>MA330__44575_0.226585648148148</t>
  </si>
  <si>
    <t>FM479</t>
  </si>
  <si>
    <t>SpBEND406814</t>
  </si>
  <si>
    <t>BEND273259</t>
  </si>
  <si>
    <t>MA331__44575_0.347118055555556</t>
  </si>
  <si>
    <t>MA266</t>
  </si>
  <si>
    <t>MA332__44571_0.392488425925926</t>
  </si>
  <si>
    <t>FM994</t>
  </si>
  <si>
    <t>SpBEND147819</t>
  </si>
  <si>
    <t>BEND883753</t>
  </si>
  <si>
    <t>MA333__44629_0.328287037037037</t>
  </si>
  <si>
    <t>FM833</t>
  </si>
  <si>
    <t>MA335__44571_0.271585648148148</t>
  </si>
  <si>
    <t>FM831</t>
  </si>
  <si>
    <t>MA337__44582_0.391018518518519</t>
  </si>
  <si>
    <t>FM25</t>
  </si>
  <si>
    <t>MA337A__44582_0.391018518518519</t>
  </si>
  <si>
    <t>FM794</t>
  </si>
  <si>
    <t>MA340__44627_0.314583333333333</t>
  </si>
  <si>
    <t>FM796</t>
  </si>
  <si>
    <t>MA341__44571_0.392893518518519</t>
  </si>
  <si>
    <t>MA1230</t>
  </si>
  <si>
    <t>MA343__44557_0.341180555555556</t>
  </si>
  <si>
    <t>FM45</t>
  </si>
  <si>
    <t>MA344__44571_0.391944444444444</t>
  </si>
  <si>
    <t>MA1240</t>
  </si>
  <si>
    <t>BEND342488</t>
  </si>
  <si>
    <t>MA345__44631_0.276909722222222</t>
  </si>
  <si>
    <t>MA298</t>
  </si>
  <si>
    <t>MA347__44568_0.342060185185185</t>
  </si>
  <si>
    <t>MA186</t>
  </si>
  <si>
    <t>BEND901889</t>
  </si>
  <si>
    <t>MA348__44592_0.329733796296296</t>
  </si>
  <si>
    <t>MA1276</t>
  </si>
  <si>
    <t>MA349__44619_0.286527777777778</t>
  </si>
  <si>
    <t>FM454</t>
  </si>
  <si>
    <t>MA350__44627_0.276180555555556</t>
  </si>
  <si>
    <t>FM1011</t>
  </si>
  <si>
    <t>MA353__44627_0.338344907407407</t>
  </si>
  <si>
    <t>MA349</t>
  </si>
  <si>
    <t>MA355__44578_0.350520833333333</t>
  </si>
  <si>
    <t>FM455</t>
  </si>
  <si>
    <t>MA356__44566_0.321041666666667</t>
  </si>
  <si>
    <t>FM2093</t>
  </si>
  <si>
    <t>MA357__44629_0.333032407407407</t>
  </si>
  <si>
    <t>FM445</t>
  </si>
  <si>
    <t>MA362__44607_0.282141203703704</t>
  </si>
  <si>
    <t>MA394</t>
  </si>
  <si>
    <t>MA363__44623_0.458356481481482</t>
  </si>
  <si>
    <t>FM2</t>
  </si>
  <si>
    <t>MA364__44621_0.324467592592593</t>
  </si>
  <si>
    <t>MA1123</t>
  </si>
  <si>
    <t>MA366__44566_0.305833333333333</t>
  </si>
  <si>
    <t>MA1263</t>
  </si>
  <si>
    <t>MA368__44599_0.300590277777778</t>
  </si>
  <si>
    <t>MA1090</t>
  </si>
  <si>
    <t>MA370__44625_0.315011574074074</t>
  </si>
  <si>
    <t>FM23</t>
  </si>
  <si>
    <t>MA371__44557_0.354456018518519</t>
  </si>
  <si>
    <t>BEND782170</t>
  </si>
  <si>
    <t>MA372__44580_0.415</t>
  </si>
  <si>
    <t>FM4</t>
  </si>
  <si>
    <t>MA375__44631_0.345011574074074</t>
  </si>
  <si>
    <t>MA376__44582_0.350196759259259</t>
  </si>
  <si>
    <t>FM2066</t>
  </si>
  <si>
    <t>MA377__44585_0.31619212962963</t>
  </si>
  <si>
    <t>FM2059</t>
  </si>
  <si>
    <t>MA378__44627_0.337002314814815</t>
  </si>
  <si>
    <t>FM471</t>
  </si>
  <si>
    <t>MA379__44629_0.334907407407407</t>
  </si>
  <si>
    <t>FM812</t>
  </si>
  <si>
    <t>MA380__44621_0.323958333333333</t>
  </si>
  <si>
    <t>FM444</t>
  </si>
  <si>
    <t>MA383__44580_0.414560185185185</t>
  </si>
  <si>
    <t>MA194</t>
  </si>
  <si>
    <t>MA384__44571_0.391412037037037</t>
  </si>
  <si>
    <t>FM414</t>
  </si>
  <si>
    <t>MA386__44579_0.341388888888889</t>
  </si>
  <si>
    <t>MA1095</t>
  </si>
  <si>
    <t>MA390__44599_0.276354166666667</t>
  </si>
  <si>
    <t>MA1288</t>
  </si>
  <si>
    <t>MA391__44607_0.325439814814815</t>
  </si>
  <si>
    <t>MA1320</t>
  </si>
  <si>
    <t>MA394__44619_0.312858796296296</t>
  </si>
  <si>
    <t>FM617</t>
  </si>
  <si>
    <t>MA395__44629_0.334837962962963</t>
  </si>
  <si>
    <t>FM6</t>
  </si>
  <si>
    <t>MA396__44573_0.348657407407407</t>
  </si>
  <si>
    <t>MAX40</t>
  </si>
  <si>
    <t>BEND101300</t>
  </si>
  <si>
    <t>MA397__44592_0.362280092592593</t>
  </si>
  <si>
    <t>MAX106</t>
  </si>
  <si>
    <t>BEND591680</t>
  </si>
  <si>
    <t>MA398__44607_0.298622685185185</t>
  </si>
  <si>
    <t>MAX93</t>
  </si>
  <si>
    <t>BEND707787</t>
  </si>
  <si>
    <t>MA399__44633_0.336041666666667</t>
  </si>
  <si>
    <t>MAX48</t>
  </si>
  <si>
    <t>BEND191568</t>
  </si>
  <si>
    <t>MA403__44625_0.331886574074074</t>
  </si>
  <si>
    <t>FM2070</t>
  </si>
  <si>
    <t>MA404__44559_0.397326388888889</t>
  </si>
  <si>
    <t>MA315</t>
  </si>
  <si>
    <t>SpBEND151586</t>
  </si>
  <si>
    <t>BEND829611</t>
  </si>
  <si>
    <t>MA407__44631_0.301944444444444</t>
  </si>
  <si>
    <t>FM51</t>
  </si>
  <si>
    <t>BEND651373</t>
  </si>
  <si>
    <t>MA408__44609_0.282824074074074</t>
  </si>
  <si>
    <t>FM1909</t>
  </si>
  <si>
    <t>MA411__44587_0.331851851851852</t>
  </si>
  <si>
    <t>FM2069</t>
  </si>
  <si>
    <t>MA412__44607_0.341643518518519</t>
  </si>
  <si>
    <t>FM2100</t>
  </si>
  <si>
    <t>MA420__44580_0.42681712962963</t>
  </si>
  <si>
    <t>FM18</t>
  </si>
  <si>
    <t>MA422__44579_0.413333333333333</t>
  </si>
  <si>
    <t>FM354</t>
  </si>
  <si>
    <t>MA423__44599_0.337673611111111</t>
  </si>
  <si>
    <t>FM489</t>
  </si>
  <si>
    <t>MA424__44599_0.462638888888889</t>
  </si>
  <si>
    <t>FM481</t>
  </si>
  <si>
    <t>MA426__44599_0.470694444444445</t>
  </si>
  <si>
    <t>MA1282</t>
  </si>
  <si>
    <t>MA427__44567_0.992280092592593</t>
  </si>
  <si>
    <t>MA2090</t>
  </si>
  <si>
    <t>MA431__44579_0.331215277777778</t>
  </si>
  <si>
    <t>FM78</t>
  </si>
  <si>
    <t>MA433__44571_0.333773148148148</t>
  </si>
  <si>
    <t>FM2054</t>
  </si>
  <si>
    <t>MA434__44575_0.29494212962963</t>
  </si>
  <si>
    <t>MA322</t>
  </si>
  <si>
    <t>MA435__44571_0.427164351851852</t>
  </si>
  <si>
    <t>MA1264</t>
  </si>
  <si>
    <t>MA436__44571_0.428113425925926</t>
  </si>
  <si>
    <t>MA380</t>
  </si>
  <si>
    <t>MA438__44567_0.325266203703704</t>
  </si>
  <si>
    <t>MA364</t>
  </si>
  <si>
    <t>MA440__44599_0.318136574074074</t>
  </si>
  <si>
    <t>FM343</t>
  </si>
  <si>
    <t>MA444__44566_0.417430555555556</t>
  </si>
  <si>
    <t>FM2057</t>
  </si>
  <si>
    <t>MA446__44579_0.415925925925926</t>
  </si>
  <si>
    <t>FM433</t>
  </si>
  <si>
    <t>MA447__44556_0.623483796296296</t>
  </si>
  <si>
    <t>FM390</t>
  </si>
  <si>
    <t>MA448__44564_0.33775462962963</t>
  </si>
  <si>
    <t>FM106</t>
  </si>
  <si>
    <t>MA449__44585_0.319930555555556</t>
  </si>
  <si>
    <t>FM374</t>
  </si>
  <si>
    <t>MA451__44566_0.311527777777778</t>
  </si>
  <si>
    <t>FM821</t>
  </si>
  <si>
    <t>MA452__44582_0.351435185185185</t>
  </si>
  <si>
    <t>FM41</t>
  </si>
  <si>
    <t>MA453__44566_0.41818287037037</t>
  </si>
  <si>
    <t>FM46</t>
  </si>
  <si>
    <t>MA454__44587_0.337222222222222</t>
  </si>
  <si>
    <t>FM82</t>
  </si>
  <si>
    <t>MA455__44566_0.418541666666667</t>
  </si>
  <si>
    <t>FM792</t>
  </si>
  <si>
    <t>MA456__44568_0.522175925925926</t>
  </si>
  <si>
    <t>FM372</t>
  </si>
  <si>
    <t>MA457__44567_0.323298611111111</t>
  </si>
  <si>
    <t>FM529</t>
  </si>
  <si>
    <t>MA458__44579_0.331782407407407</t>
  </si>
  <si>
    <t>MA1304</t>
  </si>
  <si>
    <t>MA460__44545_0.613194444444445</t>
  </si>
  <si>
    <t>MA1269</t>
  </si>
  <si>
    <t>MA460DEL__44545_0.613194444444445</t>
  </si>
  <si>
    <t>FM799</t>
  </si>
  <si>
    <t>MA461__44568_0.342106481481482</t>
  </si>
  <si>
    <t>FM2090</t>
  </si>
  <si>
    <t>MA462__44568_0.330949074074074</t>
  </si>
  <si>
    <t>MA1251</t>
  </si>
  <si>
    <t>BEND671526</t>
  </si>
  <si>
    <t>MA463__44571_0.388263888888889</t>
  </si>
  <si>
    <t>MA1293</t>
  </si>
  <si>
    <t>BEND393840</t>
  </si>
  <si>
    <t>MA463A__44571_0.388263888888889</t>
  </si>
  <si>
    <t>HERO11</t>
  </si>
  <si>
    <t>MA464__44566_0.419236111111111</t>
  </si>
  <si>
    <t>FM2083</t>
  </si>
  <si>
    <t>MA466__44571_0.333310185185185</t>
  </si>
  <si>
    <t>FM1917</t>
  </si>
  <si>
    <t>MA467__44587_0.303935185185185</t>
  </si>
  <si>
    <t>FM114</t>
  </si>
  <si>
    <t>MA468__44571_0.428611111111111</t>
  </si>
  <si>
    <t>FM13</t>
  </si>
  <si>
    <t>MA469__44561_0.424791666666667</t>
  </si>
  <si>
    <t>FM436</t>
  </si>
  <si>
    <t>MA473__44564_0.365451388888889</t>
  </si>
  <si>
    <t>FM2061</t>
  </si>
  <si>
    <t>MA474__44571_0.425949074074074</t>
  </si>
  <si>
    <t>FM813</t>
  </si>
  <si>
    <t>MA475__44566_0.419618055555556</t>
  </si>
  <si>
    <t>FM2081</t>
  </si>
  <si>
    <t>MA477__44575_0.407395833333333</t>
  </si>
  <si>
    <t>FM2089</t>
  </si>
  <si>
    <t>MA477A__44575_0.407395833333333</t>
  </si>
  <si>
    <t>FM968</t>
  </si>
  <si>
    <t>MA478__44571_0.313125</t>
  </si>
  <si>
    <t>FM2078</t>
  </si>
  <si>
    <t>MA479__44559_0.296446759259259</t>
  </si>
  <si>
    <t>FM525</t>
  </si>
  <si>
    <t>MA480__44569_0.312384259259259</t>
  </si>
  <si>
    <t>FM2085</t>
  </si>
  <si>
    <t>MA490__44575_0.312592592592593</t>
  </si>
  <si>
    <t>FM802</t>
  </si>
  <si>
    <t>MA524__44587_0.356689814814815</t>
  </si>
  <si>
    <t>MA1319</t>
  </si>
  <si>
    <t>MA542__44550_0.343298611111111</t>
  </si>
  <si>
    <t>FM312</t>
  </si>
  <si>
    <t>MA545__44585_0.342094907407407</t>
  </si>
  <si>
    <t>FM315</t>
  </si>
  <si>
    <t>MA547__44579_0.414456018518519</t>
  </si>
  <si>
    <t>FM402</t>
  </si>
  <si>
    <t>MA556__44567_0.953935185185185</t>
  </si>
  <si>
    <t>FM396</t>
  </si>
  <si>
    <t>MA574__44585_0.332291666666667</t>
  </si>
  <si>
    <t>MA1258</t>
  </si>
  <si>
    <t>MA598__44585_0.387974537037037</t>
  </si>
  <si>
    <t>FM97</t>
  </si>
  <si>
    <t>MA603__44557_0.336886574074074</t>
  </si>
  <si>
    <t>FM29</t>
  </si>
  <si>
    <t>MA604__44594_0.338460648148148</t>
  </si>
  <si>
    <t>FM40</t>
  </si>
  <si>
    <t>MA605__44566_0.41994212962963</t>
  </si>
  <si>
    <t>FM58</t>
  </si>
  <si>
    <t>MA606__44561_0.316736111111111</t>
  </si>
  <si>
    <t>FM24</t>
  </si>
  <si>
    <t>MA607__44589_0.331527777777778</t>
  </si>
  <si>
    <t>FM646</t>
  </si>
  <si>
    <t>MA608__44611_0.334953703703704</t>
  </si>
  <si>
    <t>MA1307</t>
  </si>
  <si>
    <t>BEND109884</t>
  </si>
  <si>
    <t>MA609__44557_0.333703703703704</t>
  </si>
  <si>
    <t>MA1305</t>
  </si>
  <si>
    <t>BEND318962</t>
  </si>
  <si>
    <t>MA610__44587_0.336597222222222</t>
  </si>
  <si>
    <t>MA1316</t>
  </si>
  <si>
    <t>BEND823331</t>
  </si>
  <si>
    <t>MA613__44592_0.333680555555556</t>
  </si>
  <si>
    <t>MA1202</t>
  </si>
  <si>
    <t>BEND112877</t>
  </si>
  <si>
    <t>MA615__44592_0.333587962962963</t>
  </si>
  <si>
    <t>FM440</t>
  </si>
  <si>
    <t>BEND494971</t>
  </si>
  <si>
    <t>MA616__44615_0.332256944444444</t>
  </si>
  <si>
    <t>MA363</t>
  </si>
  <si>
    <t>MA617__44568_0.414178240740741</t>
  </si>
  <si>
    <t>FM1202</t>
  </si>
  <si>
    <t>BEND668004</t>
  </si>
  <si>
    <t>MA619__44592_0.32744212962963</t>
  </si>
  <si>
    <t>MA319</t>
  </si>
  <si>
    <t>MA620__44603_0.339467592592593</t>
  </si>
  <si>
    <t>MA328</t>
  </si>
  <si>
    <t>MA622__44571_0.429016203703704</t>
  </si>
  <si>
    <t>FM480</t>
  </si>
  <si>
    <t>MA623__44571_0.333391203703704</t>
  </si>
  <si>
    <t>FM423</t>
  </si>
  <si>
    <t>MA624__44557_0.389328703703704</t>
  </si>
  <si>
    <t>FM2041</t>
  </si>
  <si>
    <t>MA625__44592_0.343460648148148</t>
  </si>
  <si>
    <t>FM95</t>
  </si>
  <si>
    <t>MA627__44579_0.323310185185185</t>
  </si>
  <si>
    <t>FM370</t>
  </si>
  <si>
    <t>MA629__44579_0.332025462962963</t>
  </si>
  <si>
    <t>FM329</t>
  </si>
  <si>
    <t>MA630__44549_0.376574074074074</t>
  </si>
  <si>
    <t>FM2055</t>
  </si>
  <si>
    <t>MA631__44549_0.375011574074074</t>
  </si>
  <si>
    <t>FM458</t>
  </si>
  <si>
    <t>MA632__44603_0.339155092592593</t>
  </si>
  <si>
    <t>FM2048</t>
  </si>
  <si>
    <t>MA633__44573_0.334780092592593</t>
  </si>
  <si>
    <t>FM405</t>
  </si>
  <si>
    <t>MA634__44573_0.291203703703704</t>
  </si>
  <si>
    <t>MA213</t>
  </si>
  <si>
    <t>MA635__44596_0.352256944444444</t>
  </si>
  <si>
    <t>FM2076</t>
  </si>
  <si>
    <t>MA636__44566_0.351168981481481</t>
  </si>
  <si>
    <t>MA1238</t>
  </si>
  <si>
    <t>MA638__44579_0.298483796296296</t>
  </si>
  <si>
    <t>MA370</t>
  </si>
  <si>
    <t>MA639__44564_0.304803240740741</t>
  </si>
  <si>
    <t>FM477</t>
  </si>
  <si>
    <t>MA641__44575_0.351909722222222</t>
  </si>
  <si>
    <t>MA1272</t>
  </si>
  <si>
    <t>MA643__44566_0.382465277777778</t>
  </si>
  <si>
    <t>FM991</t>
  </si>
  <si>
    <t>MA644__44564_0.384131944444444</t>
  </si>
  <si>
    <t>FM446</t>
  </si>
  <si>
    <t>MA645__44579_0.323217592592593</t>
  </si>
  <si>
    <t>FM2045</t>
  </si>
  <si>
    <t>MA647__44571_0.337141203703704</t>
  </si>
  <si>
    <t>MA403</t>
  </si>
  <si>
    <t>MA648__44566_0.381782407407407</t>
  </si>
  <si>
    <t>FM470</t>
  </si>
  <si>
    <t>MA649__44571_0.334513888888889</t>
  </si>
  <si>
    <t>FM337</t>
  </si>
  <si>
    <t>MA650__44579_0.332488425925926</t>
  </si>
  <si>
    <t>FM8</t>
  </si>
  <si>
    <t>MA651__44565_0.716099537037037</t>
  </si>
  <si>
    <t>FM30</t>
  </si>
  <si>
    <t>MA652__44579_0.33212962962963</t>
  </si>
  <si>
    <t>FM75</t>
  </si>
  <si>
    <t>MA653__44571_0.429444444444444</t>
  </si>
  <si>
    <t>MA1294</t>
  </si>
  <si>
    <t>MA654__44566_0.337384259259259</t>
  </si>
  <si>
    <t>FM1905</t>
  </si>
  <si>
    <t>MA655__44579_0.322511574074074</t>
  </si>
  <si>
    <t>FM85</t>
  </si>
  <si>
    <t>MA656__44579_0.332546296296296</t>
  </si>
  <si>
    <t>MA1308</t>
  </si>
  <si>
    <t>MA657__44579_0.331018518518519</t>
  </si>
  <si>
    <t>MA1270</t>
  </si>
  <si>
    <t>MA658__44573_0.297916666666667</t>
  </si>
  <si>
    <t>MA1235</t>
  </si>
  <si>
    <t>MA659__44599_0.463043981481481</t>
  </si>
  <si>
    <t>FM410</t>
  </si>
  <si>
    <t>BEND596080</t>
  </si>
  <si>
    <t>MA660__44565_0.691157407407407</t>
  </si>
  <si>
    <t>MA350</t>
  </si>
  <si>
    <t>MA683__44573_0.28099537037037</t>
  </si>
  <si>
    <t>FM380</t>
  </si>
  <si>
    <t>MA690__44557_0.312662037037037</t>
  </si>
  <si>
    <t>FM400</t>
  </si>
  <si>
    <t>MA700__44573_0.318275462962963</t>
  </si>
  <si>
    <t>FM2082</t>
  </si>
  <si>
    <t>MA705__44549_0.889953703703704</t>
  </si>
  <si>
    <t>FM417</t>
  </si>
  <si>
    <t>MA707__44557_0.327546296296296</t>
  </si>
  <si>
    <t>FM476</t>
  </si>
  <si>
    <t>MA711__44575_0.311076388888889</t>
  </si>
  <si>
    <t>FM388</t>
  </si>
  <si>
    <t>MA727__44580_0.298240740740741</t>
  </si>
  <si>
    <t>FM52</t>
  </si>
  <si>
    <t>MA917__44592_0.324270833333333</t>
  </si>
  <si>
    <t>FM369</t>
  </si>
  <si>
    <t>MA959__44599_0.318842592592593</t>
  </si>
  <si>
    <t>FM54</t>
  </si>
  <si>
    <t>MA977__44571_0.328854166666667</t>
  </si>
  <si>
    <t>MA340</t>
  </si>
  <si>
    <t>MAX100__44613_0.322268518518519</t>
  </si>
  <si>
    <t>MA1318</t>
  </si>
  <si>
    <t>MAX101__44609_0.319976851851852</t>
  </si>
  <si>
    <t>FM2068</t>
  </si>
  <si>
    <t>MAX102__44603_0.378888888888889</t>
  </si>
  <si>
    <t>MA1284</t>
  </si>
  <si>
    <t>MAX103__44585_0.430671296296296</t>
  </si>
  <si>
    <t>FM2062</t>
  </si>
  <si>
    <t>SpBEND559802</t>
  </si>
  <si>
    <t>BEND237252</t>
  </si>
  <si>
    <t>MAX104__44573_0.387326388888889</t>
  </si>
  <si>
    <t>MA1227</t>
  </si>
  <si>
    <t>MAX105__44594_0.375115740740741</t>
  </si>
  <si>
    <t>FM63</t>
  </si>
  <si>
    <t>MAX106__44619_0.471284722222222</t>
  </si>
  <si>
    <t>FM43</t>
  </si>
  <si>
    <t>MAX107__44573_0.385381944444444</t>
  </si>
  <si>
    <t>FM521</t>
  </si>
  <si>
    <t>MAX108__44596_0.309178240740741</t>
  </si>
  <si>
    <t>FM1007</t>
  </si>
  <si>
    <t>MAX109__44585_0.431053240740741</t>
  </si>
  <si>
    <t>FM93</t>
  </si>
  <si>
    <t>MAX110__44575_0.385972222222222</t>
  </si>
  <si>
    <t>FM448</t>
  </si>
  <si>
    <t>MAX111__44543_0.562916666666667</t>
  </si>
  <si>
    <t>FM2080</t>
  </si>
  <si>
    <t>MAX112__44587_0.296516203703704</t>
  </si>
  <si>
    <t>FM1789</t>
  </si>
  <si>
    <t>MAX113__44543_0.563020833333333</t>
  </si>
  <si>
    <t>MA378</t>
  </si>
  <si>
    <t>MAX114__44580_0.446747685185185</t>
  </si>
  <si>
    <t>MA353</t>
  </si>
  <si>
    <t>MAX115__44609_0.293854166666667</t>
  </si>
  <si>
    <t>FM367</t>
  </si>
  <si>
    <t>MAX116__44601_0.344872685185185</t>
  </si>
  <si>
    <t>FM413</t>
  </si>
  <si>
    <t>MAX117__44609_0.293518518518519</t>
  </si>
  <si>
    <t>MA314</t>
  </si>
  <si>
    <t>MAX118__44615_0.418391203703704</t>
  </si>
  <si>
    <t>FM2099</t>
  </si>
  <si>
    <t>MAX119__44571_0.390439814814815</t>
  </si>
  <si>
    <t>FM2049</t>
  </si>
  <si>
    <t>MAX12__44601_0.344421296296296</t>
  </si>
  <si>
    <t>FM395</t>
  </si>
  <si>
    <t>MAX120__44601_0.390891203703704</t>
  </si>
  <si>
    <t>MA1275</t>
  </si>
  <si>
    <t>MAX122__44543_0.593171296296296</t>
  </si>
  <si>
    <t>FM2067</t>
  </si>
  <si>
    <t>MAX123__44587_0.388946759259259</t>
  </si>
  <si>
    <t>FM310</t>
  </si>
  <si>
    <t>MAX124__44601_0.343831018518519</t>
  </si>
  <si>
    <t>FM2046</t>
  </si>
  <si>
    <t>MAX125__44568_0.355613425925926</t>
  </si>
  <si>
    <t>FM304</t>
  </si>
  <si>
    <t>MAX128__44573_0.287743055555556</t>
  </si>
  <si>
    <t>FM2097</t>
  </si>
  <si>
    <t>MAX131__44601_0.34619212962963</t>
  </si>
  <si>
    <t>FM498</t>
  </si>
  <si>
    <t>MAX132__44601_0.30150462962963</t>
  </si>
  <si>
    <t>FM422</t>
  </si>
  <si>
    <t>MAX133__44543_0.491805555555556</t>
  </si>
  <si>
    <t>FM91</t>
  </si>
  <si>
    <t>MAX134__44596_0.352418981481482</t>
  </si>
  <si>
    <t>FM16</t>
  </si>
  <si>
    <t>MAX135__44607_0.324872685185185</t>
  </si>
  <si>
    <t>FM340</t>
  </si>
  <si>
    <t>MAX136__44540_0.298009259259259</t>
  </si>
  <si>
    <t>FM1889</t>
  </si>
  <si>
    <t>MAX137__44587_0.295740740740741</t>
  </si>
  <si>
    <t>FM401</t>
  </si>
  <si>
    <t>MAX138__44594_0.375555555555556</t>
  </si>
  <si>
    <t>FM1797</t>
  </si>
  <si>
    <t>MAX139__44557_0.425590277777778</t>
  </si>
  <si>
    <t>MA333</t>
  </si>
  <si>
    <t>MAX141__44582_0.397800925925926</t>
  </si>
  <si>
    <t>FM47</t>
  </si>
  <si>
    <t>MAX142__44596_0.351875</t>
  </si>
  <si>
    <t>MA357</t>
  </si>
  <si>
    <t>MAX20__44573_0.383599537037037</t>
  </si>
  <si>
    <t>MA395</t>
  </si>
  <si>
    <t>MAX24__44615_0.263252314814815</t>
  </si>
  <si>
    <t>MA379</t>
  </si>
  <si>
    <t>MAX28__44543_0.598402777777778</t>
  </si>
  <si>
    <t>FM83</t>
  </si>
  <si>
    <t>MAX36__44573_0.386944444444444</t>
  </si>
  <si>
    <t>FM60</t>
  </si>
  <si>
    <t>MAX4__44580_0.410069444444444</t>
  </si>
  <si>
    <t>MA1313</t>
  </si>
  <si>
    <t>MAX40__44619_0.470775462962963</t>
  </si>
  <si>
    <t>MA1254</t>
  </si>
  <si>
    <t>MAX44__44579_0.404664351851852</t>
  </si>
  <si>
    <t>FM427</t>
  </si>
  <si>
    <t>MAX48__44619_0.472256944444444</t>
  </si>
  <si>
    <t>FM439</t>
  </si>
  <si>
    <t>MAX51__44571_0.38880787037037</t>
  </si>
  <si>
    <t>MA1210</t>
  </si>
  <si>
    <t>MAX55__44557_0.34068287037037</t>
  </si>
  <si>
    <t>MA1302</t>
  </si>
  <si>
    <t>BEND216083</t>
  </si>
  <si>
    <t>MAX56__44580_0.407928240740741</t>
  </si>
  <si>
    <t>MA345</t>
  </si>
  <si>
    <t>MAX59__44571_0.344421296296296</t>
  </si>
  <si>
    <t>FM2060</t>
  </si>
  <si>
    <t>MAX60__44601_0.301203703703704</t>
  </si>
  <si>
    <t>FM318</t>
  </si>
  <si>
    <t>MAX62__44580_0.29005787037037</t>
  </si>
  <si>
    <t>FM2042</t>
  </si>
  <si>
    <t>MAX63__44543_0.604074074074074</t>
  </si>
  <si>
    <t>FM438</t>
  </si>
  <si>
    <t>MAX64__44540_0.301053240740741</t>
  </si>
  <si>
    <t>FM355</t>
  </si>
  <si>
    <t>MAX65__44566_0.378935185185185</t>
  </si>
  <si>
    <t>MA407</t>
  </si>
  <si>
    <t>MAX67__44601_0.345462962962963</t>
  </si>
  <si>
    <t>MA325</t>
  </si>
  <si>
    <t>MAX68__44579_0.330914351851852</t>
  </si>
  <si>
    <t>FM17</t>
  </si>
  <si>
    <t>MAX69__44571_0.389976851851852</t>
  </si>
  <si>
    <t>FM105</t>
  </si>
  <si>
    <t>SpBEND868438</t>
  </si>
  <si>
    <t>MAX70__44543_0.492407407407407</t>
  </si>
  <si>
    <t>FM1870</t>
  </si>
  <si>
    <t>MAX72__44573_0.385856481481482</t>
  </si>
  <si>
    <t>FM1786</t>
  </si>
  <si>
    <t>MAX74__44568_0.364780092592593</t>
  </si>
  <si>
    <t>FM2063</t>
  </si>
  <si>
    <t>MAX75__44601_0.345787037037037</t>
  </si>
  <si>
    <t>FM39</t>
  </si>
  <si>
    <t>MAX76__44580_0.432037037037037</t>
  </si>
  <si>
    <t>FM15</t>
  </si>
  <si>
    <t>MAX79__44540_0.300543981481482</t>
  </si>
  <si>
    <t>FM113</t>
  </si>
  <si>
    <t>MAX8__44609_0.295173611111111</t>
  </si>
  <si>
    <t>FM404</t>
  </si>
  <si>
    <t>MAX80__44582_0.28474537037037</t>
  </si>
  <si>
    <t>FM464</t>
  </si>
  <si>
    <t>MAX81__44573_0.386319444444444</t>
  </si>
  <si>
    <t>FM360</t>
  </si>
  <si>
    <t>MAX82__44615_0.418449074074074</t>
  </si>
  <si>
    <t>FM65</t>
  </si>
  <si>
    <t>MAX84__44575_0.386655092592593</t>
  </si>
  <si>
    <t>FM599</t>
  </si>
  <si>
    <t>MAX85__44592_0.429837962962963</t>
  </si>
  <si>
    <t>FM569</t>
  </si>
  <si>
    <t>MAX88__44540_0.294016203703704</t>
  </si>
  <si>
    <t>FM2044</t>
  </si>
  <si>
    <t>MAX89__44582_0.28693287037037</t>
  </si>
  <si>
    <t>MA375</t>
  </si>
  <si>
    <t>MAX90__44580_0.288831018518519</t>
  </si>
  <si>
    <t>FM339</t>
  </si>
  <si>
    <t>MAX92__44573_0.424537037037037</t>
  </si>
  <si>
    <t>FM371</t>
  </si>
  <si>
    <t>MAX93__44619_0.471747685185185</t>
  </si>
  <si>
    <t>FM475</t>
  </si>
  <si>
    <t>MAX94__44543_0.596747685185185</t>
  </si>
  <si>
    <t>FM42</t>
  </si>
  <si>
    <t>MAX95__44571_0.389363425925926</t>
  </si>
  <si>
    <t>MA399</t>
  </si>
  <si>
    <t>MAX97__44575_0.389606481481482</t>
  </si>
  <si>
    <t>MA306</t>
  </si>
  <si>
    <t>MAX98__44573_0.383298611111111</t>
  </si>
  <si>
    <t>FM31</t>
  </si>
  <si>
    <t>MN3330___</t>
  </si>
  <si>
    <t>FM2051</t>
  </si>
  <si>
    <t>Test12__44537_0.591539351851852</t>
  </si>
  <si>
    <t>FM352</t>
  </si>
  <si>
    <t>Test123__44537_0.591365740740741</t>
  </si>
  <si>
    <t>FM532</t>
  </si>
  <si>
    <t>Test2__44540_0.379039351851852</t>
  </si>
  <si>
    <t>MA1405</t>
  </si>
  <si>
    <t>Test3__44540_0.379351851851852</t>
  </si>
  <si>
    <t>MA1453</t>
  </si>
  <si>
    <t>Test4__44540_0.379872685185185</t>
  </si>
  <si>
    <t>MA1397</t>
  </si>
  <si>
    <t>Test5__44540_0.380462962962963</t>
  </si>
  <si>
    <t>MA1392</t>
  </si>
  <si>
    <t>Testn__44547_0.403831018518519</t>
  </si>
  <si>
    <t>MA1497</t>
  </si>
  <si>
    <t>MA1429</t>
  </si>
  <si>
    <t>BEND885969</t>
  </si>
  <si>
    <t>MA1398</t>
  </si>
  <si>
    <t>BEND282080</t>
  </si>
  <si>
    <t>MA1384</t>
  </si>
  <si>
    <t>BEND106868</t>
  </si>
  <si>
    <t>FM512</t>
  </si>
  <si>
    <t>MN3330</t>
  </si>
  <si>
    <t>also 5.4</t>
  </si>
  <si>
    <t>Result</t>
  </si>
  <si>
    <t/>
  </si>
  <si>
    <t>ER - REPS IN APT</t>
  </si>
  <si>
    <t>ER - NOT IN APT</t>
  </si>
  <si>
    <t>Collected</t>
  </si>
  <si>
    <t>Person 
Firstname</t>
  </si>
  <si>
    <t>Person Lastname</t>
  </si>
  <si>
    <t>Person 
Fullname</t>
  </si>
  <si>
    <t>Household ID</t>
  </si>
  <si>
    <t>HH Code</t>
  </si>
  <si>
    <t>Cohort</t>
  </si>
  <si>
    <t>Accounts CSV Designation</t>
  </si>
  <si>
    <t>Relation</t>
  </si>
  <si>
    <t>No Sample?</t>
  </si>
  <si>
    <t>App Role</t>
  </si>
  <si>
    <t>Other Source (Not App)</t>
  </si>
  <si>
    <t>Consent</t>
  </si>
  <si>
    <t>1st FL Positive Date</t>
  </si>
  <si>
    <t>FL Deconv Positive?</t>
  </si>
  <si>
    <t>Referral Test Positive?</t>
  </si>
  <si>
    <t>Referral Test Type?</t>
  </si>
  <si>
    <t>Person Notes</t>
  </si>
  <si>
    <t>Household ID for Count Check</t>
  </si>
  <si>
    <t>LIVE</t>
  </si>
  <si>
    <t>Live Combined Participant Firstname</t>
  </si>
  <si>
    <t>Live Combined Participant Lastname</t>
  </si>
  <si>
    <t>Live Combined 
Participant Fullname</t>
  </si>
  <si>
    <t>Names Merge SetNum</t>
  </si>
  <si>
    <t>Names Merge Notes</t>
  </si>
  <si>
    <t>Live Sponsor Fullname</t>
  </si>
  <si>
    <t>Sponsor Merge Notes</t>
  </si>
  <si>
    <t>Sponsor ID String</t>
  </si>
  <si>
    <t>PASS1</t>
  </si>
  <si>
    <t>ERROR!! - Live Not Found</t>
  </si>
  <si>
    <t>ERROR!! - SPONSOR NOT PARTICPIPANT</t>
  </si>
  <si>
    <t>ERROR!! - SPONSOR NOT IN VALUES</t>
  </si>
  <si>
    <t>H_BEND_0001</t>
  </si>
  <si>
    <t>hhadult</t>
  </si>
  <si>
    <t>supersponsor</t>
  </si>
  <si>
    <t>primary</t>
  </si>
  <si>
    <t>Y Appivo</t>
  </si>
  <si>
    <t>H_BEND_0002</t>
  </si>
  <si>
    <t>H_BEND_0003</t>
  </si>
  <si>
    <t>note name only</t>
  </si>
  <si>
    <t>H_BEND_0004</t>
  </si>
  <si>
    <t>H_BEND_0005</t>
  </si>
  <si>
    <t>H_BEND_0006</t>
  </si>
  <si>
    <t>H_BEND_0007</t>
  </si>
  <si>
    <t>H_BEND_0008</t>
  </si>
  <si>
    <t>H_BEND_0009</t>
  </si>
  <si>
    <t>H_BEND_0010</t>
  </si>
  <si>
    <t>admin</t>
  </si>
  <si>
    <t>H_BEND_0011</t>
  </si>
  <si>
    <t>Relatively uncommon name, safe to assume this is Kevin Ferns</t>
  </si>
  <si>
    <t>See Person Notes</t>
  </si>
  <si>
    <t>NOT</t>
  </si>
  <si>
    <t>H_BEND_0012</t>
  </si>
  <si>
    <t>H_BEND_0013</t>
  </si>
  <si>
    <t>H_BEND_0014</t>
  </si>
  <si>
    <t>H_BEND_0015</t>
  </si>
  <si>
    <t>H_BEND_0016</t>
  </si>
  <si>
    <t>H_BEND_0017</t>
  </si>
  <si>
    <t>H_BEND_0018</t>
  </si>
  <si>
    <t>H_BEND_0019</t>
  </si>
  <si>
    <t>H_BEND_0020</t>
  </si>
  <si>
    <t>N Appivo</t>
  </si>
  <si>
    <t>H_BEND_0021</t>
  </si>
  <si>
    <t>H_BEND_0022</t>
  </si>
  <si>
    <t>H_BEND_0023</t>
  </si>
  <si>
    <t>H_BEND_0024</t>
  </si>
  <si>
    <t>H_BEND_0025</t>
  </si>
  <si>
    <t>H_BEND_0026</t>
  </si>
  <si>
    <t>H_BEND_0027</t>
  </si>
  <si>
    <t>H_BEND_0028</t>
  </si>
  <si>
    <t>H_BEND_0029</t>
  </si>
  <si>
    <t>H_BEND_0030</t>
  </si>
  <si>
    <t>H_BEND_0031</t>
  </si>
  <si>
    <t>H_BEND_0032</t>
  </si>
  <si>
    <t>H_BEND_0033</t>
  </si>
  <si>
    <t>H_BEND_0034</t>
  </si>
  <si>
    <t>H_BEND_0035</t>
  </si>
  <si>
    <t>H_BEND_0036</t>
  </si>
  <si>
    <t>H_BEND_0037</t>
  </si>
  <si>
    <t>H_BEND_0038</t>
  </si>
  <si>
    <t>H_BEND_0039</t>
  </si>
  <si>
    <t>H_BEND_0040</t>
  </si>
  <si>
    <t>H_BEND_0041</t>
  </si>
  <si>
    <t>H_BEND_0042</t>
  </si>
  <si>
    <t>H_BEND_0043</t>
  </si>
  <si>
    <t>H_BEND_0044</t>
  </si>
  <si>
    <t>H_BEND_0045</t>
  </si>
  <si>
    <t>H_BEND_0046</t>
  </si>
  <si>
    <t>H_BEND_0047</t>
  </si>
  <si>
    <t>H_BEND_0048</t>
  </si>
  <si>
    <t>H_BEND_0049</t>
  </si>
  <si>
    <t>H_BEND_0050</t>
  </si>
  <si>
    <t>H_BEND_0051</t>
  </si>
  <si>
    <t>H_BEND_0052</t>
  </si>
  <si>
    <t>H_BEND_0053</t>
  </si>
  <si>
    <t>H_BEND_0054</t>
  </si>
  <si>
    <t>H_BEND_0055</t>
  </si>
  <si>
    <t>H_BEND_0056</t>
  </si>
  <si>
    <t>H_BEND_0057</t>
  </si>
  <si>
    <t>H_BEND_0058</t>
  </si>
  <si>
    <t>H_BEND_0059</t>
  </si>
  <si>
    <t>H_BEND_0060</t>
  </si>
  <si>
    <t>H_BEND_0061</t>
  </si>
  <si>
    <t>H_BEND_0062</t>
  </si>
  <si>
    <t>H_BEND_0063</t>
  </si>
  <si>
    <t>H_BEND_0064</t>
  </si>
  <si>
    <t>H_BEND_0065</t>
  </si>
  <si>
    <t>H_BEND_0066</t>
  </si>
  <si>
    <t>H_BEND_0067</t>
  </si>
  <si>
    <t>H_BEND_0068</t>
  </si>
  <si>
    <t>H_BEND_0069</t>
  </si>
  <si>
    <t>H_BEND_0070</t>
  </si>
  <si>
    <t>H_BEND_0071</t>
  </si>
  <si>
    <t>H_BEND_0072</t>
  </si>
  <si>
    <t>H_BEND_0073</t>
  </si>
  <si>
    <t>H_BEND_0074</t>
  </si>
  <si>
    <t>H_BEND_0075</t>
  </si>
  <si>
    <t>H_BEND_0076</t>
  </si>
  <si>
    <t>H_BEND_0077</t>
  </si>
  <si>
    <t>H_BEND_0078</t>
  </si>
  <si>
    <t>H_BEND_0079</t>
  </si>
  <si>
    <t>H_BEND_0080</t>
  </si>
  <si>
    <t>H_BEND_0081</t>
  </si>
  <si>
    <t>H_BEND_0082</t>
  </si>
  <si>
    <t>H_BEND_0083</t>
  </si>
  <si>
    <t>H_BEND_0084</t>
  </si>
  <si>
    <t>H_BEND_0085</t>
  </si>
  <si>
    <t>H_BEND_0086</t>
  </si>
  <si>
    <t>H_BEND_0087</t>
  </si>
  <si>
    <t>H_BEND_0088</t>
  </si>
  <si>
    <t>H_BEND_0089</t>
  </si>
  <si>
    <t>H_BEND_0090</t>
  </si>
  <si>
    <t>H_BEND_0091</t>
  </si>
  <si>
    <t>H_BEND_0092</t>
  </si>
  <si>
    <t>H_BEND_0093</t>
  </si>
  <si>
    <t>H_BEND_0094</t>
  </si>
  <si>
    <t>H_BEND_0095</t>
  </si>
  <si>
    <t>H_BEND_0096</t>
  </si>
  <si>
    <t>H_BEND_0097</t>
  </si>
  <si>
    <t>H_BEND_0098</t>
  </si>
  <si>
    <t>H_BEND_0099</t>
  </si>
  <si>
    <t>H_BEND_0100</t>
  </si>
  <si>
    <t>H_BEND_0101</t>
  </si>
  <si>
    <t>H_BEND_0102</t>
  </si>
  <si>
    <t>H_BEND_0103</t>
  </si>
  <si>
    <t>H_BEND_0104</t>
  </si>
  <si>
    <t>H_BEND_0105</t>
  </si>
  <si>
    <t>H_BEND_0106</t>
  </si>
  <si>
    <t>H_BEND_0107</t>
  </si>
  <si>
    <t>H_BEND_0108</t>
  </si>
  <si>
    <t>H_BEND_0109</t>
  </si>
  <si>
    <t>H_BEND_0110</t>
  </si>
  <si>
    <t>N Appino</t>
  </si>
  <si>
    <t>H_BEND_0111</t>
  </si>
  <si>
    <t>H_BEND_0112</t>
  </si>
  <si>
    <t>H_BEND_0113</t>
  </si>
  <si>
    <t>H_BEND_0114</t>
  </si>
  <si>
    <t>H_BEND_0115</t>
  </si>
  <si>
    <t>H_BEND_0116</t>
  </si>
  <si>
    <t>H_BEND_0117</t>
  </si>
  <si>
    <t>H_BEND_0118</t>
  </si>
  <si>
    <t>H_BEND_0119</t>
  </si>
  <si>
    <t>H_BEND_0120</t>
  </si>
  <si>
    <t>H_BEND_0121</t>
  </si>
  <si>
    <t>H_BEND_0122</t>
  </si>
  <si>
    <t>H_BEND_0123</t>
  </si>
  <si>
    <t>H_BEND_0124</t>
  </si>
  <si>
    <t>H_BEND_0125</t>
  </si>
  <si>
    <t>H_BEND_0126</t>
  </si>
  <si>
    <t>H_BEND_0127</t>
  </si>
  <si>
    <t>H_BEND_0128</t>
  </si>
  <si>
    <t>H_BEND_0129</t>
  </si>
  <si>
    <t>H_BEND_0130</t>
  </si>
  <si>
    <t>H_BEND_0131</t>
  </si>
  <si>
    <t>H_BEND_0132</t>
  </si>
  <si>
    <t>H_BEND_0133</t>
  </si>
  <si>
    <t>H_BEND_0134</t>
  </si>
  <si>
    <t>H_BEND_0135</t>
  </si>
  <si>
    <t>H_BEND_0136</t>
  </si>
  <si>
    <t>H_BEND_0137</t>
  </si>
  <si>
    <t>H_BEND_0138</t>
  </si>
  <si>
    <t>H_BEND_0139</t>
  </si>
  <si>
    <t>H_BEND_0140</t>
  </si>
  <si>
    <t>H_BEND_0141</t>
  </si>
  <si>
    <t>H_BEND_0142</t>
  </si>
  <si>
    <t>H_BEND_0143</t>
  </si>
  <si>
    <t>H_BEND_0144</t>
  </si>
  <si>
    <t>H_BEND_0145</t>
  </si>
  <si>
    <t>H_BEND_0146</t>
  </si>
  <si>
    <t>H_BEND_0147</t>
  </si>
  <si>
    <t>H_BEND_0148</t>
  </si>
  <si>
    <t>H_BEND_0149</t>
  </si>
  <si>
    <t>H_BEND_0150</t>
  </si>
  <si>
    <t>H_BEND_0151</t>
  </si>
  <si>
    <t>H_BEND_0152</t>
  </si>
  <si>
    <t>H_BEND_0153</t>
  </si>
  <si>
    <t>H_BEND_0154</t>
  </si>
  <si>
    <t>H_BEND_0155</t>
  </si>
  <si>
    <t>H_BEND_0156</t>
  </si>
  <si>
    <t>H_BEND_0157</t>
  </si>
  <si>
    <t>H_BEND_0158</t>
  </si>
  <si>
    <t>H_BEND_0159</t>
  </si>
  <si>
    <t>H_BEND_0160</t>
  </si>
  <si>
    <t>H_BEND_0161</t>
  </si>
  <si>
    <t>H_BEND_0162</t>
  </si>
  <si>
    <t>H_BEND_0163</t>
  </si>
  <si>
    <t>H_BEND_0164</t>
  </si>
  <si>
    <t>H_BEND_0165</t>
  </si>
  <si>
    <t>H_BEND_0166</t>
  </si>
  <si>
    <t>H_BEND_0167</t>
  </si>
  <si>
    <t>H_BEND_0168</t>
  </si>
  <si>
    <t>H_BEND_0169</t>
  </si>
  <si>
    <t>H_BEND_0170</t>
  </si>
  <si>
    <t>H_BEND_0171</t>
  </si>
  <si>
    <t>H_BEND_0172</t>
  </si>
  <si>
    <t>H_BEND_0173</t>
  </si>
  <si>
    <t>H_BEND_0174</t>
  </si>
  <si>
    <t>H_BEND_0175</t>
  </si>
  <si>
    <t>H_BEND_0176</t>
  </si>
  <si>
    <t>H_BEND_0177</t>
  </si>
  <si>
    <t>H_BEND_0178</t>
  </si>
  <si>
    <t>H_BEND_0179</t>
  </si>
  <si>
    <t>H_BEND_0180</t>
  </si>
  <si>
    <t>H_BEND_0181</t>
  </si>
  <si>
    <t>H_BEND_0182</t>
  </si>
  <si>
    <t>H_BEND_0183</t>
  </si>
  <si>
    <t>H_BEND_0184</t>
  </si>
  <si>
    <t>H_BEND_0185</t>
  </si>
  <si>
    <t>H_BEND_0186</t>
  </si>
  <si>
    <t>H_BEND_0187</t>
  </si>
  <si>
    <t>First Row of Collection Date</t>
  </si>
  <si>
    <t>Result Date Minus Collect Date</t>
  </si>
  <si>
    <t>APS
COLLECT DATE</t>
  </si>
  <si>
    <t>SUM RESULTS</t>
  </si>
  <si>
    <t>RESULT DATE
NUM TUBES</t>
  </si>
  <si>
    <t>DIFF
RESULT - COLLECT</t>
  </si>
  <si>
    <t>DATES where All Collect = Result Date</t>
  </si>
  <si>
    <t>Num Tubes Result Date same as Collect Date</t>
  </si>
  <si>
    <t>All Non-Null Tubes Resulted Same Day?</t>
  </si>
  <si>
    <t>APS
RESULT DATE</t>
  </si>
  <si>
    <t>Num Resulted = Num Collected?</t>
  </si>
  <si>
    <t>NAME: BS</t>
  </si>
  <si>
    <t>DATE: 2022-10-27</t>
  </si>
  <si>
    <t>RESULT</t>
  </si>
  <si>
    <t>GROUP</t>
  </si>
  <si>
    <t>Ma652</t>
  </si>
  <si>
    <t>Ma458</t>
  </si>
  <si>
    <t>Ma638</t>
  </si>
  <si>
    <t>Ma490</t>
  </si>
  <si>
    <t>Ma1199</t>
  </si>
  <si>
    <t>Ma1217</t>
  </si>
  <si>
    <t>Ma633</t>
  </si>
  <si>
    <t>Ma623</t>
  </si>
  <si>
    <t>Ma238</t>
  </si>
  <si>
    <t>Ma1143</t>
  </si>
  <si>
    <t>Ma457</t>
  </si>
  <si>
    <t>Ma248</t>
  </si>
  <si>
    <t>Ma1084</t>
  </si>
  <si>
    <t>Ma606</t>
  </si>
  <si>
    <t>Ma479</t>
  </si>
  <si>
    <t>Ma371</t>
  </si>
  <si>
    <t>Ma603</t>
  </si>
  <si>
    <t>MA 1057</t>
  </si>
  <si>
    <t>MA 1088</t>
  </si>
  <si>
    <t>MA 1203</t>
  </si>
  <si>
    <t>Ma269</t>
  </si>
  <si>
    <t>Ma197</t>
  </si>
  <si>
    <t>Ma630</t>
  </si>
  <si>
    <t>Ma1043</t>
  </si>
  <si>
    <t>Ma460</t>
  </si>
  <si>
    <t>SPONSOR EMAIL</t>
  </si>
  <si>
    <t>NUM PARTICIPANTS</t>
  </si>
  <si>
    <t>ARCHIVED?</t>
  </si>
  <si>
    <t>BATCH</t>
  </si>
  <si>
    <t>220511-1</t>
  </si>
  <si>
    <t>220414-1</t>
  </si>
  <si>
    <t>220311-1</t>
  </si>
  <si>
    <t>220309-1</t>
  </si>
  <si>
    <t>220307-1</t>
  </si>
  <si>
    <t>220305-1</t>
  </si>
  <si>
    <t>220303-1</t>
  </si>
  <si>
    <t>Received</t>
  </si>
  <si>
    <t>220301-1</t>
  </si>
  <si>
    <t>220227-2</t>
  </si>
  <si>
    <t>220227-1</t>
  </si>
  <si>
    <t>220225-1</t>
  </si>
  <si>
    <t>220223-1</t>
  </si>
  <si>
    <t>220222-1</t>
  </si>
  <si>
    <t>220221-1</t>
  </si>
  <si>
    <t>220219-1</t>
  </si>
  <si>
    <t>220217-1</t>
  </si>
  <si>
    <t>220215-1</t>
  </si>
  <si>
    <t>220212-1</t>
  </si>
  <si>
    <t>220211-1</t>
  </si>
  <si>
    <t>220209-1</t>
  </si>
  <si>
    <t>220207-1</t>
  </si>
  <si>
    <t>220204-1</t>
  </si>
  <si>
    <t>220202-1</t>
  </si>
  <si>
    <t>220131-1</t>
  </si>
  <si>
    <t>220128-1</t>
  </si>
  <si>
    <t>220126-1</t>
  </si>
  <si>
    <t>220124-1</t>
  </si>
  <si>
    <t>220121-1</t>
  </si>
  <si>
    <t>220119-1</t>
  </si>
  <si>
    <t>220118-1</t>
  </si>
  <si>
    <t>220114-1</t>
  </si>
  <si>
    <t>Ma1119</t>
  </si>
  <si>
    <t>220112-1</t>
  </si>
  <si>
    <t>220110-1</t>
  </si>
  <si>
    <t>Deposited</t>
  </si>
  <si>
    <t>220107-1</t>
  </si>
  <si>
    <t>220105-1</t>
  </si>
  <si>
    <t>220103-1</t>
  </si>
  <si>
    <t>211231-2</t>
  </si>
  <si>
    <t>211231-1</t>
  </si>
  <si>
    <t>211229-1</t>
  </si>
  <si>
    <t>211227-1</t>
  </si>
  <si>
    <t>211222-1</t>
  </si>
  <si>
    <t>211220-1</t>
  </si>
  <si>
    <t>211217-1</t>
  </si>
  <si>
    <t>211215-2</t>
  </si>
  <si>
    <t>12-13-21 a shift</t>
  </si>
  <si>
    <t>Test run 12-10-21</t>
  </si>
  <si>
    <t>211207-1</t>
  </si>
  <si>
    <t>Incomplete</t>
  </si>
  <si>
    <t>Add to APS?</t>
  </si>
  <si>
    <t>Missing from APS?</t>
  </si>
  <si>
    <t>Tube ID has replicate(s)?</t>
  </si>
  <si>
    <t>APT Delete Code</t>
  </si>
  <si>
    <t>Missing Tube ID, Collect Date or Time? 0</t>
  </si>
  <si>
    <t>UPPER TUBE ID</t>
  </si>
  <si>
    <t>REPS UPPER TUBE ID</t>
  </si>
  <si>
    <t>NUM REP ROWS</t>
  </si>
  <si>
    <t>Rep Rows Sorted</t>
  </si>
  <si>
    <t>Missing Tube ID, Collect Date or Time? 1</t>
  </si>
  <si>
    <t>Missing Tube ID</t>
  </si>
  <si>
    <t>preDel Delete?</t>
  </si>
  <si>
    <t>Missing Comments</t>
  </si>
  <si>
    <t>1
Tube Timestamp</t>
  </si>
  <si>
    <t>2
SORTED UNIQUE Tube Timestamp</t>
  </si>
  <si>
    <t>OK</t>
  </si>
  <si>
    <t>HERO__44537_0.543321759259259</t>
  </si>
  <si>
    <t>HERO2__44537_0.543842592592593</t>
  </si>
  <si>
    <t>HERO700__44572_0.546331018518519</t>
  </si>
  <si>
    <t>MA 1057__44552_0.366018518518519</t>
  </si>
  <si>
    <t>MA 1088__44552_0.358773148148148</t>
  </si>
  <si>
    <t>MA 1203__44552_0.348796296296296</t>
  </si>
  <si>
    <t>MA1043__44547_0.403229166666667</t>
  </si>
  <si>
    <t>MA197__44550_0.446064814814815</t>
  </si>
  <si>
    <t>MA269__44550_0.446516203703704</t>
  </si>
  <si>
    <t>MA460__44545_0.700717592592593</t>
  </si>
  <si>
    <t>TEST12__44537_0.591539351851852</t>
  </si>
  <si>
    <t>TEST2__44540_0.379039351851852</t>
  </si>
  <si>
    <t>TEST3__44540_0.379351851851852</t>
  </si>
  <si>
    <t>TEST4__44540_0.379872685185185</t>
  </si>
  <si>
    <t>TEST5__44540_0.380462962962963</t>
  </si>
  <si>
    <t>TESTN__44547_0.403831018518519</t>
  </si>
  <si>
    <t>BEND</t>
  </si>
  <si>
    <t>Ad Hoc To Do's</t>
  </si>
  <si>
    <t>Ask Petar about 2 positives with Note name (MA337 and MA463)</t>
  </si>
  <si>
    <t>APS Completion Checklist</t>
  </si>
  <si>
    <t>Notes</t>
  </si>
  <si>
    <t>File is in the correct folder and named according to convention</t>
  </si>
  <si>
    <t>Data in file is current and complete</t>
  </si>
  <si>
    <t>All steps in Process tab checked</t>
  </si>
  <si>
    <t xml:space="preserve">Person Tables incomplete </t>
  </si>
  <si>
    <t>All standard tabs and columns are present and filled out</t>
  </si>
  <si>
    <t>All checks are passing (Counts Table if applicable, Match Num Samples col on APS by Date)</t>
  </si>
  <si>
    <t>Each data tab is trimmed at the bottom  (Data postDel, APS by Date, APS Tubes, CD APS Tubes, CD APS, RAW_APS, RAW_APT, Add from APT)</t>
  </si>
  <si>
    <t>Deidentification complete</t>
  </si>
  <si>
    <t>Complete</t>
  </si>
  <si>
    <t>Color Code Used:</t>
  </si>
  <si>
    <t>File not considered complete until resolved</t>
  </si>
  <si>
    <t>Flagging for attention, but can proceed to Run Reconciliation without resolving</t>
  </si>
  <si>
    <t>Update Checklist</t>
  </si>
  <si>
    <t>BS</t>
  </si>
  <si>
    <t>Process</t>
  </si>
  <si>
    <t>Clean up: move all stuff on right to be in line or delete, fix grouping</t>
  </si>
  <si>
    <t>BACKUP w History</t>
  </si>
  <si>
    <t>Make copy of file, rename current file "Copy of XXX BACKUP w History", rename Copy file (delete Copy of and update v# and add your name WIP)</t>
  </si>
  <si>
    <t>BACKUPS Folder</t>
  </si>
  <si>
    <t>Clean up</t>
  </si>
  <si>
    <t>Name Version</t>
  </si>
  <si>
    <t>Name Version: before update v4.2</t>
  </si>
  <si>
    <t>Counts</t>
  </si>
  <si>
    <t>Rename Counts OLD and make tab color gary</t>
  </si>
  <si>
    <t>Various</t>
  </si>
  <si>
    <t>Delete tab: APS Tubes PHI, APS Tubes by Date, CD APS, CD APS Tubes</t>
  </si>
  <si>
    <t>preDel</t>
  </si>
  <si>
    <t>Edit in place</t>
  </si>
  <si>
    <t>Delete cols: Sponsor Email</t>
  </si>
  <si>
    <t>Add Col to right of NOTE (col P)</t>
  </si>
  <si>
    <t>Move Status to col Q and apply formula and fill from Template</t>
  </si>
  <si>
    <t>Copy in formulas for col P and Q</t>
  </si>
  <si>
    <t>filterDel</t>
  </si>
  <si>
    <t>Delete current tab, copy tab from template</t>
  </si>
  <si>
    <t>REDONE @ 1/17 1:30</t>
  </si>
  <si>
    <t>postDel</t>
  </si>
  <si>
    <t>Person</t>
  </si>
  <si>
    <t>Rename current tab by adding OLD, copy tab in from template, copy data from OLD to Values section of new tab</t>
  </si>
  <si>
    <t>RAW_APS</t>
  </si>
  <si>
    <t>Edit tab in place, add additional cols from template for Ruplicate Tube IDs</t>
  </si>
  <si>
    <t>Rollup</t>
  </si>
  <si>
    <t>Rename current tab by adding OLD, copy tab in from template</t>
  </si>
  <si>
    <t>SETUP</t>
  </si>
  <si>
    <t>Std Tube ID Prefixes</t>
  </si>
  <si>
    <t>Delete Tube ID Prefixes (2)</t>
  </si>
  <si>
    <t>RAW_APT</t>
  </si>
  <si>
    <t>Delete extra rows at bottom</t>
  </si>
  <si>
    <t>Note</t>
  </si>
  <si>
    <t>extra</t>
  </si>
  <si>
    <t>Review Tube IDs</t>
  </si>
  <si>
    <t>APS Delete Code</t>
  </si>
  <si>
    <t>Reason</t>
  </si>
  <si>
    <t xml:space="preserve">Join Note Cols: On the header row(2), paste "=COUNTA(P3:P)" starting at column P, and copy over to the right untill the function returns 0. </t>
  </si>
  <si>
    <t>AG</t>
  </si>
  <si>
    <t>HERO*</t>
  </si>
  <si>
    <t>### (only numbers)</t>
  </si>
  <si>
    <t>FL Staff, many same day tubes</t>
  </si>
  <si>
    <t>Use formulas to right and follow Loom instructions</t>
  </si>
  <si>
    <t>Loom video: Join Note Cols</t>
  </si>
  <si>
    <t>AJ</t>
  </si>
  <si>
    <t>MON*</t>
  </si>
  <si>
    <t>VARIOUS GOOD</t>
  </si>
  <si>
    <r>
      <rPr>
        <rFont val="Arial"/>
        <color rgb="FF000000"/>
        <sz val="11.0"/>
      </rPr>
      <t xml:space="preserve">Fix </t>
    </r>
    <r>
      <rPr>
        <rFont val="Arial"/>
        <b/>
        <color rgb="FF000000"/>
        <sz val="11.0"/>
      </rPr>
      <t>Corrupted Rows</t>
    </r>
    <r>
      <rPr>
        <rFont val="Arial"/>
        <color rgb="FF000000"/>
        <sz val="11.0"/>
      </rPr>
      <t xml:space="preserve"> (misaligned fields from gsheet csv conversion) - not tracking (can’t be questionable)</t>
    </r>
  </si>
  <si>
    <t>AK</t>
  </si>
  <si>
    <t>*TEST*</t>
  </si>
  <si>
    <t>VARIOUS BAD</t>
  </si>
  <si>
    <t>Non Std Prefix, Suspected Test</t>
  </si>
  <si>
    <r>
      <rPr>
        <rFont val="Arial"/>
        <color rgb="FF000000"/>
        <sz val="11.0"/>
      </rPr>
      <t xml:space="preserve">Fix </t>
    </r>
    <r>
      <rPr>
        <rFont val="Arial"/>
        <b/>
        <color rgb="FF000000"/>
        <sz val="11.0"/>
      </rPr>
      <t>Corrupted Rows</t>
    </r>
    <r>
      <rPr>
        <rFont val="Arial"/>
        <color rgb="FF000000"/>
        <sz val="11.0"/>
      </rPr>
      <t xml:space="preserve"> (misaligned fields from gsheet csv conversion) - not tracking (can’t be questionable)</t>
    </r>
  </si>
  <si>
    <t>FL</t>
  </si>
  <si>
    <t>DONTDELETE</t>
  </si>
  <si>
    <t>FL Staff Sponsor and Participant</t>
  </si>
  <si>
    <t>Data</t>
  </si>
  <si>
    <t>Copy cols in blocks from RAW_APS tab into Data tab - in blocks with space for Sponsor Email and Status</t>
  </si>
  <si>
    <t>FLB</t>
  </si>
  <si>
    <t>T*</t>
  </si>
  <si>
    <t>FL Staff No Participant, No Note</t>
  </si>
  <si>
    <t>Added from APT? Tubes</t>
  </si>
  <si>
    <t>FLE</t>
  </si>
  <si>
    <t>-*</t>
  </si>
  <si>
    <t>Bogus Participant Name</t>
  </si>
  <si>
    <t>Add from APT</t>
  </si>
  <si>
    <t>Copy the 2nd row down to include all the rows in RAW_APT</t>
  </si>
  <si>
    <t>FLM</t>
  </si>
  <si>
    <t>*APPIVO*</t>
  </si>
  <si>
    <t>Participant Same Day review</t>
  </si>
  <si>
    <t>FLT</t>
  </si>
  <si>
    <t>ZZZ</t>
  </si>
  <si>
    <t>Collection and Result times right after indicates test</t>
  </si>
  <si>
    <r>
      <rPr>
        <rFont val="Arial"/>
        <color theme="1"/>
        <sz val="11.0"/>
      </rPr>
      <t xml:space="preserve">Copy/Paste the </t>
    </r>
    <r>
      <rPr>
        <rFont val="Arial"/>
        <b/>
        <color theme="1"/>
        <sz val="11.0"/>
      </rPr>
      <t>Missing from APS?</t>
    </r>
    <r>
      <rPr>
        <rFont val="Arial"/>
        <color theme="1"/>
        <sz val="11.0"/>
      </rPr>
      <t xml:space="preserve"> and </t>
    </r>
    <r>
      <rPr>
        <rFont val="Arial"/>
        <b/>
        <color theme="1"/>
        <sz val="11.0"/>
      </rPr>
      <t>Tube ID has replicate(s)?</t>
    </r>
    <r>
      <rPr>
        <rFont val="Arial"/>
        <color theme="1"/>
        <sz val="11.0"/>
      </rPr>
      <t xml:space="preserve"> column data in place AS VALUES</t>
    </r>
  </si>
  <si>
    <t>MA</t>
  </si>
  <si>
    <t>JUMP</t>
  </si>
  <si>
    <t>In Delete Sponsor List</t>
  </si>
  <si>
    <r>
      <rPr>
        <rFont val="Arial"/>
        <color theme="1"/>
        <sz val="11.0"/>
      </rPr>
      <t xml:space="preserve">Sort by </t>
    </r>
    <r>
      <rPr>
        <rFont val="Arial"/>
        <b/>
        <color theme="1"/>
        <sz val="11.0"/>
      </rPr>
      <t>Missing from APS?</t>
    </r>
    <r>
      <rPr>
        <rFont val="Arial"/>
        <color theme="1"/>
        <sz val="11.0"/>
      </rPr>
      <t xml:space="preserve"> and </t>
    </r>
    <r>
      <rPr>
        <rFont val="Arial"/>
        <b/>
        <color theme="1"/>
        <sz val="11.0"/>
      </rPr>
      <t>Tube ID has replicates?</t>
    </r>
    <r>
      <rPr>
        <rFont val="Arial"/>
        <color theme="1"/>
        <sz val="11.0"/>
      </rPr>
      <t xml:space="preserve"> (Z-A), for each set of replicate Tube IDs where </t>
    </r>
    <r>
      <rPr>
        <rFont val="Arial"/>
        <b/>
        <color theme="1"/>
        <sz val="11.0"/>
      </rPr>
      <t xml:space="preserve">Missing from APS? </t>
    </r>
    <r>
      <rPr>
        <rFont val="Arial"/>
        <color theme="1"/>
        <sz val="11.0"/>
      </rPr>
      <t>= TRUE:</t>
    </r>
  </si>
  <si>
    <t>MAX</t>
  </si>
  <si>
    <t>Fix</t>
  </si>
  <si>
    <t>Note indicates test</t>
  </si>
  <si>
    <t>Mark replicate Tube ID rows to be deleted, use Delete Code 7</t>
  </si>
  <si>
    <t>Positive result FL Staff sponsor</t>
  </si>
  <si>
    <t>Check for replicate Tube ID rows that should be merged (use Delete Code 5.3 for the deleted row, Correction Code 4 for the kept row in this case)</t>
  </si>
  <si>
    <t>Null Result, FL Staff sponsor</t>
  </si>
  <si>
    <r>
      <rPr>
        <rFont val="Arial"/>
        <color theme="1"/>
        <sz val="11.0"/>
      </rPr>
      <t xml:space="preserve">Sort by </t>
    </r>
    <r>
      <rPr>
        <rFont val="Arial"/>
        <b/>
        <color theme="1"/>
        <sz val="11.0"/>
      </rPr>
      <t>Add to APS?</t>
    </r>
    <r>
      <rPr>
        <rFont val="Arial"/>
        <color theme="1"/>
        <sz val="11.0"/>
      </rPr>
      <t xml:space="preserve"> (Z-A)</t>
    </r>
  </si>
  <si>
    <t>Null Result, Duplicate</t>
  </si>
  <si>
    <r>
      <rPr>
        <rFont val="Arial"/>
        <color rgb="FF000000"/>
        <sz val="11.0"/>
      </rPr>
      <t xml:space="preserve">For all rows where </t>
    </r>
    <r>
      <rPr>
        <rFont val="Arial"/>
        <b/>
        <color rgb="FF000000"/>
        <sz val="11.0"/>
      </rPr>
      <t>Add to APS?</t>
    </r>
    <r>
      <rPr>
        <rFont val="Arial"/>
        <color rgb="FF000000"/>
        <sz val="11.0"/>
      </rPr>
      <t xml:space="preserve"> is TRUE, copy/paste the column data (</t>
    </r>
    <r>
      <rPr>
        <rFont val="Arial"/>
        <b/>
        <color rgb="FF000000"/>
        <sz val="11.0"/>
      </rPr>
      <t>TUBE ID</t>
    </r>
    <r>
      <rPr>
        <rFont val="Arial"/>
        <color rgb="FF000000"/>
        <sz val="11.0"/>
      </rPr>
      <t xml:space="preserve"> through </t>
    </r>
    <r>
      <rPr>
        <rFont val="Arial"/>
        <b/>
        <color rgb="FF000000"/>
        <sz val="11.0"/>
      </rPr>
      <t>NOTE</t>
    </r>
    <r>
      <rPr>
        <rFont val="Arial"/>
        <color rgb="FF000000"/>
        <sz val="11.0"/>
      </rPr>
      <t>) as a single block into the Data tab</t>
    </r>
  </si>
  <si>
    <t>Null Result, Incomplete Status, Unique Tube ID</t>
  </si>
  <si>
    <r>
      <rPr>
        <rFont val="Arial"/>
        <color theme="1"/>
        <sz val="11.0"/>
      </rPr>
      <t xml:space="preserve">For these rows just added, mark the column </t>
    </r>
    <r>
      <rPr>
        <rFont val="Arial"/>
        <b/>
        <color theme="1"/>
        <sz val="11.0"/>
      </rPr>
      <t xml:space="preserve">Added from APT? </t>
    </r>
    <r>
      <rPr>
        <rFont val="Arial"/>
        <color theme="1"/>
        <sz val="11.0"/>
      </rPr>
      <t>as TRUE, set others as FALSE</t>
    </r>
  </si>
  <si>
    <r>
      <rPr>
        <rFont val="Arial"/>
        <color theme="1"/>
        <sz val="11.0"/>
      </rPr>
      <t xml:space="preserve">Do </t>
    </r>
    <r>
      <rPr>
        <rFont val="Arial"/>
        <b/>
        <color theme="1"/>
        <sz val="11.0"/>
      </rPr>
      <t xml:space="preserve">Initial Order </t>
    </r>
    <r>
      <rPr>
        <rFont val="Arial"/>
        <color theme="1"/>
        <sz val="11.0"/>
      </rPr>
      <t xml:space="preserve"> formula= above cell + 1 then copy and paste as values for entire col</t>
    </r>
  </si>
  <si>
    <t>Keep known pos</t>
  </si>
  <si>
    <t>Duplicate Minor row</t>
  </si>
  <si>
    <t>Counts Table</t>
  </si>
  <si>
    <r>
      <rPr>
        <rFont val="Arial"/>
        <color theme="1"/>
        <sz val="11.0"/>
      </rPr>
      <t>Do 'Counts Table'</t>
    </r>
    <r>
      <rPr>
        <rFont val="Arial"/>
        <b/>
        <color theme="1"/>
        <sz val="11.0"/>
      </rPr>
      <t xml:space="preserve"> </t>
    </r>
    <r>
      <rPr>
        <rFont val="Arial"/>
        <color theme="1"/>
        <sz val="11.0"/>
      </rPr>
      <t>- adjust formulas</t>
    </r>
  </si>
  <si>
    <t>Duplicate Tube ID</t>
  </si>
  <si>
    <t>Make TUBE ID prefixes all uppercase - use UPPER formula and paste as values</t>
  </si>
  <si>
    <t>Name Version = Before Delete Rows</t>
  </si>
  <si>
    <t>Delete Sponsors (3)</t>
  </si>
  <si>
    <t xml:space="preserve">Review Staff Sponsor </t>
  </si>
  <si>
    <t>APS Correct Code</t>
  </si>
  <si>
    <t>INITIAL DELETE ROWS</t>
  </si>
  <si>
    <t>Delete Tube ID Prefixes (del code 2)</t>
  </si>
  <si>
    <t>Delete Sponsors (del code 3)</t>
  </si>
  <si>
    <t xml:space="preserve">Review FL Staff Sponsor </t>
  </si>
  <si>
    <t>*guard*</t>
  </si>
  <si>
    <t>Apple Tester</t>
  </si>
  <si>
    <t>Dummy User</t>
  </si>
  <si>
    <t>Google Tester</t>
  </si>
  <si>
    <t>FLAG ENTRIES FOR DELETION</t>
  </si>
  <si>
    <t>custom result, see note</t>
  </si>
  <si>
    <r>
      <rPr>
        <rFont val="Arial"/>
        <color theme="1"/>
        <sz val="11.0"/>
      </rPr>
      <t xml:space="preserve">Sort by </t>
    </r>
    <r>
      <rPr>
        <rFont val="Arial"/>
        <b/>
        <color theme="1"/>
        <sz val="11.0"/>
      </rPr>
      <t>COLLECTION DATE + COLLECTION TIME</t>
    </r>
  </si>
  <si>
    <t>Null &gt; Negative, FL Staff Sponsor</t>
  </si>
  <si>
    <r>
      <rPr>
        <rFont val="Arial"/>
        <color theme="1"/>
        <sz val="11.0"/>
      </rPr>
      <t>set</t>
    </r>
    <r>
      <rPr>
        <rFont val="Arial"/>
        <b/>
        <color theme="1"/>
        <sz val="11.0"/>
      </rPr>
      <t xml:space="preserve"> Delete Code </t>
    </r>
    <r>
      <rPr>
        <rFont val="Arial"/>
        <color theme="1"/>
        <sz val="11.0"/>
      </rPr>
      <t>=1 if collected before start date</t>
    </r>
  </si>
  <si>
    <t>SKIP</t>
  </si>
  <si>
    <t>and after end date</t>
  </si>
  <si>
    <t>Null &gt; Negative, non FL Staff Sponsor</t>
  </si>
  <si>
    <t>look at top for tests (2) and bottom for blank collection date (5.4)</t>
  </si>
  <si>
    <t>changed to positive, see note</t>
  </si>
  <si>
    <r>
      <rPr>
        <rFont val="Arial"/>
        <color theme="1"/>
        <sz val="11.0"/>
      </rPr>
      <t xml:space="preserve">Sort by </t>
    </r>
    <r>
      <rPr>
        <rFont val="Arial"/>
        <b/>
        <color theme="1"/>
        <sz val="11.0"/>
      </rPr>
      <t>TUBE ID + PARTICIPANT FIRSTNAME</t>
    </r>
  </si>
  <si>
    <t>changed result to REVIEW</t>
  </si>
  <si>
    <r>
      <rPr>
        <rFont val="Arial"/>
        <color theme="1"/>
        <sz val="11.0"/>
      </rPr>
      <t>set</t>
    </r>
    <r>
      <rPr>
        <rFont val="Arial"/>
        <b/>
        <color theme="1"/>
        <sz val="11.0"/>
      </rPr>
      <t xml:space="preserve"> Delete Code </t>
    </r>
    <r>
      <rPr>
        <rFont val="Arial"/>
        <color theme="1"/>
        <sz val="11.0"/>
      </rPr>
      <t xml:space="preserve">=2 if in </t>
    </r>
    <r>
      <rPr>
        <rFont val="Arial"/>
        <b/>
        <color theme="1"/>
        <sz val="11.0"/>
      </rPr>
      <t>Delete Tube ID Prefixes</t>
    </r>
    <r>
      <rPr>
        <rFont val="Arial"/>
        <color theme="1"/>
        <sz val="11.0"/>
      </rPr>
      <t xml:space="preserve"> list</t>
    </r>
  </si>
  <si>
    <t>Recollect - fix collection timestamp, sponsor and result</t>
  </si>
  <si>
    <t>review all rows where prefix changes</t>
  </si>
  <si>
    <t>Capitalize TubeID prefix</t>
  </si>
  <si>
    <r>
      <rPr>
        <rFont val="Arial"/>
        <color theme="1"/>
        <sz val="11.0"/>
      </rPr>
      <t xml:space="preserve">Sort by </t>
    </r>
    <r>
      <rPr>
        <rFont val="Arial"/>
        <b/>
        <color theme="1"/>
        <sz val="11.0"/>
      </rPr>
      <t>Delete Code</t>
    </r>
    <r>
      <rPr>
        <rFont val="Arial"/>
        <color theme="1"/>
        <sz val="11.0"/>
      </rPr>
      <t>+</t>
    </r>
    <r>
      <rPr>
        <rFont val="Arial"/>
        <b/>
        <color theme="1"/>
        <sz val="11.0"/>
      </rPr>
      <t>SPONSOR FIRSTNAME + SPONSOR LASTNAME + COLLECTION DATE + COLLECTION TIME</t>
    </r>
  </si>
  <si>
    <t>Removed Space</t>
  </si>
  <si>
    <r>
      <rPr>
        <rFont val="Arial"/>
        <color theme="1"/>
        <sz val="11.0"/>
      </rPr>
      <t>set</t>
    </r>
    <r>
      <rPr>
        <rFont val="Arial"/>
        <b/>
        <color theme="1"/>
        <sz val="11.0"/>
      </rPr>
      <t xml:space="preserve"> </t>
    </r>
    <r>
      <rPr>
        <rFont val="Arial"/>
        <color theme="1"/>
        <sz val="11.0"/>
      </rPr>
      <t>Delete=3 if Sponsor is in Delete Sponsors list</t>
    </r>
  </si>
  <si>
    <t>NONE for Bend</t>
  </si>
  <si>
    <t>Duplicate TubeID but conclude different tubes, add x</t>
  </si>
  <si>
    <t>Set Delete = 2.3 for FL Staff Self collected tests (many same day 2.2), can add col to left of Delete Code with IF(sponsor firstname=participant firstname)</t>
  </si>
  <si>
    <t>For Review, Highlight</t>
  </si>
  <si>
    <t>Search file CMD+F for "test" - Set Delete = 4 if note says Test or something similar, check FL Staff</t>
  </si>
  <si>
    <t>FL Staff Remote Collected</t>
  </si>
  <si>
    <t>Search file CMD+F for all FL Staff last names in Review Staff Sponsor list (use Correction Code=5.1 to flag for review)</t>
  </si>
  <si>
    <t>Fix spelling error in name</t>
  </si>
  <si>
    <r>
      <rPr>
        <rFont val="Arial"/>
        <color theme="1"/>
        <sz val="11.0"/>
      </rPr>
      <t xml:space="preserve">Sort by </t>
    </r>
    <r>
      <rPr>
        <rFont val="Arial"/>
        <b/>
        <color theme="1"/>
        <sz val="11.0"/>
      </rPr>
      <t>Delete Code + RESULT + TUBE ID</t>
    </r>
  </si>
  <si>
    <r>
      <rPr>
        <rFont val="Arial"/>
        <color theme="1"/>
        <sz val="11.0"/>
      </rPr>
      <t xml:space="preserve">Review Duplicate TUBE IDS in </t>
    </r>
    <r>
      <rPr>
        <rFont val="Arial"/>
        <b/>
        <color theme="1"/>
        <sz val="11.0"/>
      </rPr>
      <t>Recollect?</t>
    </r>
    <r>
      <rPr>
        <rFont val="Arial"/>
        <color theme="1"/>
        <sz val="11.0"/>
      </rPr>
      <t xml:space="preserve"> column for tubes that were collected multiple times</t>
    </r>
  </si>
  <si>
    <r>
      <rPr>
        <rFont val="Arial"/>
        <color theme="1"/>
        <sz val="11.0"/>
      </rPr>
      <t xml:space="preserve">Add Col </t>
    </r>
    <r>
      <rPr>
        <rFont val="Arial"/>
        <b/>
        <color theme="1"/>
        <sz val="11.0"/>
      </rPr>
      <t>Min Collect to Result</t>
    </r>
    <r>
      <rPr>
        <rFont val="Arial"/>
        <color theme="1"/>
        <sz val="11.0"/>
      </rPr>
      <t xml:space="preserve"> =IF(EXACT(N2,B2),(TIMEVALUE(O2)-TIMEVALUE(C2))*24*60,"") Del Code 2.7</t>
    </r>
  </si>
  <si>
    <t>Review Results</t>
  </si>
  <si>
    <t>Review for Replicate Tube IDs</t>
  </si>
  <si>
    <t>Bend Admin Names</t>
  </si>
  <si>
    <r>
      <rPr>
        <rFont val="Arial"/>
        <b/>
        <color rgb="FF000000"/>
        <sz val="11.0"/>
      </rPr>
      <t>Sort by TUBE ID</t>
    </r>
    <r>
      <rPr>
        <rFont val="Arial"/>
        <color rgb="FF000000"/>
        <sz val="11.0"/>
      </rPr>
      <t xml:space="preserve">, copy down </t>
    </r>
    <r>
      <rPr>
        <rFont val="Arial"/>
        <b/>
        <color rgb="FF000000"/>
        <sz val="11.0"/>
      </rPr>
      <t>Recollect? formula</t>
    </r>
    <r>
      <rPr>
        <rFont val="Arial"/>
        <color rgb="FF000000"/>
        <sz val="11.0"/>
      </rPr>
      <t>, copy and paste as values</t>
    </r>
  </si>
  <si>
    <r>
      <rPr>
        <rFont val="Arial"/>
        <color theme="1"/>
        <sz val="11.0"/>
      </rPr>
      <t xml:space="preserve">Sort again by </t>
    </r>
    <r>
      <rPr>
        <rFont val="Arial"/>
        <b/>
        <color theme="1"/>
        <sz val="11.0"/>
      </rPr>
      <t xml:space="preserve">Recollect? (Z&gt;A) + TUBE ID </t>
    </r>
    <r>
      <rPr>
        <rFont val="Arial"/>
        <color theme="1"/>
        <sz val="11.0"/>
      </rPr>
      <t>- merge rows, set Delete Code (5.3, highlight gray) and Correction Code (4, highlight orange)</t>
    </r>
  </si>
  <si>
    <t>Add from APT / Data</t>
  </si>
  <si>
    <r>
      <rPr>
        <rFont val="Arial"/>
        <b/>
        <color theme="1"/>
        <sz val="11.0"/>
      </rPr>
      <t>Compare to Add from APT</t>
    </r>
    <r>
      <rPr>
        <rFont val="Arial"/>
        <color theme="1"/>
        <sz val="11.0"/>
      </rPr>
      <t xml:space="preserve"> tab Replicate Tube IDs (highlighted) - adjust formulas and account for all</t>
    </r>
  </si>
  <si>
    <t>Select Delete?=TRUE rows - Sort by Result (Col M)</t>
  </si>
  <si>
    <t>Review All Positive and Inconclusive to confirm no errors in Delete?</t>
  </si>
  <si>
    <t>Update Counts Table: Values (Col D)</t>
  </si>
  <si>
    <t>File</t>
  </si>
  <si>
    <r>
      <rPr>
        <rFont val="Arial"/>
        <b/>
        <color theme="1"/>
        <sz val="11.0"/>
      </rPr>
      <t xml:space="preserve">Name Version </t>
    </r>
    <r>
      <rPr>
        <rFont val="Arial"/>
        <b/>
        <color theme="1"/>
        <sz val="11.0"/>
      </rPr>
      <t>= Before Add Note Names</t>
    </r>
  </si>
  <si>
    <t>Invalid</t>
  </si>
  <si>
    <t>ADD NOTE NAMES</t>
  </si>
  <si>
    <t>last updated: 12/3/22 1pm RT</t>
  </si>
  <si>
    <t>always delete except exceptions noted as -1</t>
  </si>
  <si>
    <r>
      <rPr>
        <rFont val="Arial"/>
        <b/>
        <color theme="1"/>
        <sz val="11.0"/>
      </rPr>
      <t xml:space="preserve">All are </t>
    </r>
    <r>
      <rPr>
        <rFont val="Arial"/>
        <b/>
        <color theme="1"/>
        <sz val="11.0"/>
      </rPr>
      <t>Data</t>
    </r>
  </si>
  <si>
    <t>Open up collapsed cols for Add Names, copy formulas for all cols (Num Tube IDs to Preserve Note) to all rows</t>
  </si>
  <si>
    <r>
      <rPr>
        <rFont val="Arial"/>
        <b/>
        <color theme="1"/>
        <sz val="11.0"/>
      </rPr>
      <t>Sort</t>
    </r>
    <r>
      <rPr>
        <rFont val="Arial"/>
        <b/>
        <color theme="1"/>
        <sz val="11.0"/>
      </rPr>
      <t xml:space="preserve"> by Delete? + Has Note? (Z-A) + NOTE + Collection Date</t>
    </r>
  </si>
  <si>
    <t>Admins for that Tenant</t>
  </si>
  <si>
    <t>Highlight all Delete?=TRUE rows in gray</t>
  </si>
  <si>
    <t>Add for Template</t>
  </si>
  <si>
    <r>
      <rPr>
        <rFont val="Arial"/>
        <b/>
        <color theme="1"/>
        <sz val="11.0"/>
      </rPr>
      <t>Update Counts Table</t>
    </r>
    <r>
      <rPr>
        <rFont val="Arial"/>
        <b/>
        <color theme="1"/>
        <sz val="11.0"/>
      </rPr>
      <t>: Non-Delete Counts (cols E,F,G)</t>
    </r>
  </si>
  <si>
    <t>Combate</t>
  </si>
  <si>
    <r>
      <rPr>
        <rFont val="Arial"/>
        <color theme="1"/>
        <sz val="11.0"/>
      </rPr>
      <t xml:space="preserve">Fill out manually </t>
    </r>
    <r>
      <rPr>
        <rFont val="Arial"/>
        <b/>
        <color theme="1"/>
        <sz val="11.0"/>
      </rPr>
      <t xml:space="preserve">Add N Names - </t>
    </r>
    <r>
      <rPr>
        <rFont val="Arial"/>
        <color theme="1"/>
        <sz val="11.0"/>
      </rPr>
      <t>starting with rows with Delete Code &lt;1 (for all Has Note?=TRUE for Delete Code neg values, then jump to TRUE block)</t>
    </r>
  </si>
  <si>
    <r>
      <rPr>
        <rFont val="Arial"/>
        <color theme="1"/>
        <sz val="11.0"/>
      </rPr>
      <t xml:space="preserve">(Enter the number of names that need to be added from the </t>
    </r>
    <r>
      <rPr>
        <rFont val="Arial"/>
        <b/>
        <color theme="1"/>
        <sz val="11.0"/>
      </rPr>
      <t>NOTE</t>
    </r>
    <r>
      <rPr>
        <rFont val="Arial"/>
        <color theme="1"/>
        <sz val="11.0"/>
      </rPr>
      <t xml:space="preserve"> field. )</t>
    </r>
  </si>
  <si>
    <t>Leave blank if NOTE is something other than a name, flag Preserve Note if needed</t>
  </si>
  <si>
    <t>Coral Springs</t>
  </si>
  <si>
    <t>If Participant Names are wrong - do review per Bend Loom</t>
  </si>
  <si>
    <t>Use 0 for when there is a note name but no rows need to be added (replace Participant field)</t>
  </si>
  <si>
    <r>
      <rPr>
        <rFont val="Arial"/>
        <b/>
        <color theme="1"/>
        <sz val="11.0"/>
      </rPr>
      <t xml:space="preserve">Sort </t>
    </r>
    <r>
      <rPr>
        <rFont val="Arial"/>
        <b/>
        <color theme="1"/>
        <sz val="11.0"/>
      </rPr>
      <t>by Add N Names + Note</t>
    </r>
  </si>
  <si>
    <t>=COUNTIF(S$2:S$827,S2)</t>
  </si>
  <si>
    <t>Use 0.1 for when there are no participants (or replace) and 2 names in the Notes field</t>
  </si>
  <si>
    <t>Skip for Bend</t>
  </si>
  <si>
    <r>
      <rPr>
        <rFont val="Arial"/>
        <color theme="1"/>
        <sz val="11.0"/>
      </rPr>
      <t xml:space="preserve">Copy </t>
    </r>
    <r>
      <rPr>
        <rFont val="Arial"/>
        <b/>
        <color theme="1"/>
        <sz val="11.0"/>
      </rPr>
      <t>FRAN</t>
    </r>
    <r>
      <rPr>
        <rFont val="Arial"/>
        <color theme="1"/>
        <sz val="11.0"/>
      </rPr>
      <t xml:space="preserve"> (entire col) and paste in place </t>
    </r>
    <r>
      <rPr>
        <rFont val="Arial"/>
        <i/>
        <color theme="1"/>
        <sz val="11.0"/>
      </rPr>
      <t>as values</t>
    </r>
  </si>
  <si>
    <t>=CONCATENATE(B2,I2)</t>
  </si>
  <si>
    <r>
      <rPr>
        <rFont val="Arial"/>
        <b/>
        <color theme="1"/>
        <sz val="11.0"/>
      </rPr>
      <t>Sort</t>
    </r>
    <r>
      <rPr>
        <rFont val="Arial"/>
        <b/>
        <color theme="1"/>
        <sz val="11.0"/>
      </rPr>
      <t xml:space="preserve"> by FRAN (Z-A), Add N names + Note</t>
    </r>
  </si>
  <si>
    <t>Needham</t>
  </si>
  <si>
    <r>
      <rPr>
        <rFont val="Arial"/>
        <color theme="1"/>
        <sz val="11.0"/>
      </rPr>
      <t xml:space="preserve">For </t>
    </r>
    <r>
      <rPr>
        <rFont val="Arial"/>
        <b/>
        <color theme="1"/>
        <sz val="11.0"/>
      </rPr>
      <t>0 block</t>
    </r>
    <r>
      <rPr>
        <rFont val="Arial"/>
        <color theme="1"/>
        <sz val="11.0"/>
      </rPr>
      <t xml:space="preserve"> (Add N Names = 0, at top w FRAN=FALSE), enter Note Firstname and Note Lastname, and if needed Names Adjust, Note Name?=TRUE by formula</t>
    </r>
  </si>
  <si>
    <r>
      <rPr>
        <rFont val="Arial"/>
        <color theme="1"/>
        <sz val="11.0"/>
      </rPr>
      <t xml:space="preserve">For </t>
    </r>
    <r>
      <rPr>
        <rFont val="Arial"/>
        <b/>
        <color theme="1"/>
        <sz val="11.0"/>
      </rPr>
      <t xml:space="preserve">0.1 block </t>
    </r>
    <r>
      <rPr>
        <rFont val="Arial"/>
        <color theme="1"/>
        <sz val="11.0"/>
      </rPr>
      <t>(Add N Names = 0.1 at top w FRAN=FALSE), this is for when there are no participants and 2 names in the Notes field</t>
    </r>
  </si>
  <si>
    <t>Select block (entire rows), Copy block (cmd C), then insert rows above, then paste, set Note Name?=TRUE (careful, start at bottom)</t>
  </si>
  <si>
    <t>Add Note Names (manual row by row, tedious part) - If the last name is unknown leave blank</t>
  </si>
  <si>
    <t xml:space="preserve">Copy (don't cut) 3 Participant Cols to far right Orig Cols, then delete, then copy NOTE Firstname and NOTE Lastname to Participant </t>
  </si>
  <si>
    <r>
      <rPr>
        <rFont val="Arial"/>
        <color theme="1"/>
        <sz val="11.0"/>
      </rPr>
      <t xml:space="preserve">Repeat for </t>
    </r>
    <r>
      <rPr>
        <rFont val="Arial"/>
        <b/>
        <color theme="1"/>
        <sz val="11.0"/>
      </rPr>
      <t>0.2, 0.3, .04 blocks</t>
    </r>
  </si>
  <si>
    <r>
      <rPr>
        <rFont val="Arial"/>
        <color theme="1"/>
        <sz val="11.0"/>
      </rPr>
      <t xml:space="preserve">For </t>
    </r>
    <r>
      <rPr>
        <rFont val="Arial"/>
        <b/>
        <color theme="1"/>
        <sz val="11.0"/>
      </rPr>
      <t>1 block</t>
    </r>
    <r>
      <rPr>
        <rFont val="Arial"/>
        <color theme="1"/>
        <sz val="11.0"/>
      </rPr>
      <t xml:space="preserve"> (Add N Names = 1, FRAN=TRUE)</t>
    </r>
  </si>
  <si>
    <t xml:space="preserve">For inserted rows - Copy (don't cut) 3 Participant Cols to far right Orig Cols, then delete, then copy NOTE Firstname and NOTE Lastname to Participant </t>
  </si>
  <si>
    <r>
      <rPr>
        <rFont val="Arial"/>
        <color theme="1"/>
        <sz val="11.0"/>
      </rPr>
      <t xml:space="preserve">For </t>
    </r>
    <r>
      <rPr>
        <rFont val="Arial"/>
        <b/>
        <color theme="1"/>
        <sz val="11.0"/>
      </rPr>
      <t xml:space="preserve">2 Block </t>
    </r>
    <r>
      <rPr>
        <rFont val="Arial"/>
        <color theme="1"/>
        <sz val="11.0"/>
      </rPr>
      <t>(Add N Names = 2, FRAN=TRUE), same as above except insert rows twice</t>
    </r>
  </si>
  <si>
    <r>
      <rPr>
        <rFont val="Arial"/>
        <color theme="1"/>
        <sz val="11.0"/>
      </rPr>
      <t xml:space="preserve">For </t>
    </r>
    <r>
      <rPr>
        <rFont val="Arial"/>
        <b/>
        <color theme="1"/>
        <sz val="11.0"/>
      </rPr>
      <t>3 Block</t>
    </r>
    <r>
      <rPr>
        <rFont val="Arial"/>
        <color theme="1"/>
        <sz val="11.0"/>
      </rPr>
      <t xml:space="preserve"> (Add N Names = 3, FRAN=TRUE), same as above except insert rows 3 times</t>
    </r>
  </si>
  <si>
    <r>
      <rPr>
        <rFont val="Arial"/>
        <color theme="1"/>
        <sz val="11.0"/>
      </rPr>
      <t>For 4</t>
    </r>
    <r>
      <rPr>
        <rFont val="Arial"/>
        <b/>
        <color theme="1"/>
        <sz val="11.0"/>
      </rPr>
      <t xml:space="preserve"> Block</t>
    </r>
    <r>
      <rPr>
        <rFont val="Arial"/>
        <color theme="1"/>
        <sz val="11.0"/>
      </rPr>
      <t xml:space="preserve"> (Add N Names = 3, FRAN=TRUE), same as above except insert rows 4 times</t>
    </r>
  </si>
  <si>
    <r>
      <rPr>
        <rFont val="Arial"/>
        <b/>
        <color theme="1"/>
        <sz val="11.0"/>
      </rPr>
      <t>Sort</t>
    </r>
    <r>
      <rPr>
        <rFont val="Arial"/>
        <b/>
        <color theme="1"/>
        <sz val="11.0"/>
      </rPr>
      <t xml:space="preserve"> by Delete? + Participant Firstname + Participant Lastname</t>
    </r>
  </si>
  <si>
    <t>Review no last names to see if can add them (cmd down twice in lastname col)</t>
  </si>
  <si>
    <t>Review no participant and no minor names (if Null result delete code=5.5) - if needed highlight row and sort by Collection Date + Sponsor Firstname</t>
  </si>
  <si>
    <t>Sort by Delete? + COLLECTION DATE + COLLECTION TIME + TUBE ID</t>
  </si>
  <si>
    <t>Update Counts Table, cut and past as values into ADD NOTE NAMES COL - check green highlighted cells</t>
  </si>
  <si>
    <t>Name the current version in File &gt; Version History as "Add Note Names completed"</t>
  </si>
  <si>
    <t>ADD PROGRAM NAME (IF APPLICABLE)</t>
  </si>
  <si>
    <t>If splitting the raw export file into multiple programs, expand this section to include all relevant details, criteria, and steps used to apply Program Name to each row</t>
  </si>
  <si>
    <r>
      <rPr>
        <rFont val="Arial"/>
        <color theme="1"/>
        <sz val="11.0"/>
      </rPr>
      <t xml:space="preserve">On the "APS Data PHI - preDEL" tab, fill in the </t>
    </r>
    <r>
      <rPr>
        <rFont val="Arial"/>
        <b/>
        <color theme="1"/>
        <sz val="11.0"/>
      </rPr>
      <t>Program</t>
    </r>
    <r>
      <rPr>
        <rFont val="Arial"/>
        <color theme="1"/>
        <sz val="11.0"/>
      </rPr>
      <t xml:space="preserve"> column according to the steps &amp; criteria described in this section</t>
    </r>
  </si>
  <si>
    <t>START POST DATA WORK</t>
  </si>
  <si>
    <t>Data (postDel)</t>
  </si>
  <si>
    <t>Duplicate the "APS Data PHI - preDEL" tab, rename the new tab to "APS Data PHI - postDEL"</t>
  </si>
  <si>
    <r>
      <rPr>
        <rFont val="Arial"/>
        <color theme="1"/>
        <sz val="11.0"/>
      </rPr>
      <t xml:space="preserve">Delete all rows where </t>
    </r>
    <r>
      <rPr>
        <rFont val="Arial"/>
        <b/>
        <color theme="1"/>
        <sz val="11.0"/>
      </rPr>
      <t xml:space="preserve">Flag to Delete? </t>
    </r>
    <r>
      <rPr>
        <rFont val="Arial"/>
        <color theme="1"/>
        <sz val="11.0"/>
      </rPr>
      <t>is marked as TRUE</t>
    </r>
  </si>
  <si>
    <t>PERSON TABLE, ADD PERSON ID</t>
  </si>
  <si>
    <r>
      <rPr>
        <rFont val="Arial"/>
        <color theme="1"/>
        <sz val="11.0"/>
      </rPr>
      <t xml:space="preserve">Extend the formulas from </t>
    </r>
    <r>
      <rPr>
        <rFont val="Arial"/>
        <b/>
        <color theme="1"/>
        <sz val="11.0"/>
      </rPr>
      <t>Sponsor (Person ID)</t>
    </r>
    <r>
      <rPr>
        <rFont val="Arial"/>
        <color theme="1"/>
        <sz val="11.0"/>
      </rPr>
      <t xml:space="preserve"> to </t>
    </r>
    <r>
      <rPr>
        <rFont val="Arial"/>
        <b/>
        <color theme="1"/>
        <sz val="11.0"/>
      </rPr>
      <t>Combined Participant Name</t>
    </r>
    <r>
      <rPr>
        <rFont val="Arial"/>
        <color theme="1"/>
        <sz val="11.0"/>
      </rPr>
      <t xml:space="preserve"> to match the length of the full dataset</t>
    </r>
  </si>
  <si>
    <r>
      <rPr>
        <rFont val="Arial"/>
        <color theme="1"/>
        <sz val="11.0"/>
      </rPr>
      <t xml:space="preserve">Copy the contents of the </t>
    </r>
    <r>
      <rPr>
        <rFont val="Arial"/>
        <b/>
        <color theme="1"/>
        <sz val="11.0"/>
      </rPr>
      <t>Sponsor Name</t>
    </r>
    <r>
      <rPr>
        <rFont val="Arial"/>
        <color theme="1"/>
        <sz val="11.0"/>
      </rPr>
      <t xml:space="preserve"> (the full name) column from the "APS Data PHI - postDEL", paste AS VALUES into the </t>
    </r>
    <r>
      <rPr>
        <rFont val="Arial"/>
        <b/>
        <color theme="1"/>
        <sz val="11.0"/>
      </rPr>
      <t>Full Name</t>
    </r>
    <r>
      <rPr>
        <rFont val="Arial"/>
        <color theme="1"/>
        <sz val="11.0"/>
      </rPr>
      <t xml:space="preserve"> column on the "Person" tab</t>
    </r>
  </si>
  <si>
    <r>
      <rPr>
        <rFont val="Arial"/>
        <color theme="1"/>
        <sz val="11.0"/>
      </rPr>
      <t xml:space="preserve">Copy the contents of the Combined Participant Name column from the "APS Data PHI - postDEL", paste AS VALUES into the </t>
    </r>
    <r>
      <rPr>
        <rFont val="Arial"/>
        <b/>
        <color theme="1"/>
        <sz val="11.0"/>
      </rPr>
      <t>Full Name</t>
    </r>
    <r>
      <rPr>
        <rFont val="Arial"/>
        <color theme="1"/>
        <sz val="11.0"/>
      </rPr>
      <t xml:space="preserve"> column on the "Person" tab beneath the existing entries</t>
    </r>
  </si>
  <si>
    <r>
      <rPr>
        <rFont val="Arial"/>
        <color theme="1"/>
        <sz val="11.0"/>
      </rPr>
      <t xml:space="preserve">Remove duplicates in the </t>
    </r>
    <r>
      <rPr>
        <rFont val="Arial"/>
        <b/>
        <color theme="1"/>
        <sz val="11.0"/>
      </rPr>
      <t>All Names</t>
    </r>
    <r>
      <rPr>
        <rFont val="Arial"/>
        <color theme="1"/>
        <sz val="11.0"/>
      </rPr>
      <t xml:space="preserve"> column</t>
    </r>
  </si>
  <si>
    <r>
      <rPr>
        <rFont val="Arial"/>
        <color theme="1"/>
        <sz val="11.0"/>
      </rPr>
      <t xml:space="preserve">Sort by </t>
    </r>
    <r>
      <rPr>
        <rFont val="Arial"/>
        <b/>
        <color theme="1"/>
        <sz val="11.0"/>
      </rPr>
      <t>All Names</t>
    </r>
    <r>
      <rPr>
        <rFont val="Arial"/>
        <color theme="1"/>
        <sz val="11.0"/>
      </rPr>
      <t xml:space="preserve">, </t>
    </r>
    <r>
      <rPr>
        <rFont val="Arial"/>
        <b/>
        <color theme="1"/>
        <sz val="11.0"/>
      </rPr>
      <t>CLEANUP STEP</t>
    </r>
    <r>
      <rPr>
        <rFont val="Arial"/>
        <color theme="1"/>
        <sz val="11.0"/>
      </rPr>
      <t>: verify that no names are duplicated, fix multiple names for same person, name misspellings that create multiple names for same person, etc.</t>
    </r>
  </si>
  <si>
    <t>Check for full names in the First Name field - correct into split First and Last Names</t>
  </si>
  <si>
    <t>Propagate any changes at this step to the Data preDel tab</t>
  </si>
  <si>
    <t>Enter remaining column data</t>
  </si>
  <si>
    <t>If a minor or individual is found in the accounts csv but not Appivo portal, add them to the Person tab, fill out remaining row</t>
  </si>
  <si>
    <r>
      <rPr>
        <rFont val="Arial"/>
        <color theme="1"/>
        <sz val="11.0"/>
      </rPr>
      <t xml:space="preserve">Use </t>
    </r>
    <r>
      <rPr>
        <rFont val="Arial"/>
        <b/>
        <color theme="1"/>
        <sz val="11.0"/>
      </rPr>
      <t>Name in Appivo?</t>
    </r>
    <r>
      <rPr>
        <rFont val="Arial"/>
        <color theme="1"/>
        <sz val="11.0"/>
      </rPr>
      <t xml:space="preserve"> on postDel tab to identify cases where Appivo Role is "note name only"</t>
    </r>
  </si>
  <si>
    <t>Check Accounts csv (if applicable) and populate "Household ID," "HH code," "cohort," "Account CSV Designation," and "Relation" based on that</t>
  </si>
  <si>
    <t>If no Accounts csv, reference the deployment spreadsheet for raw data as available (i.e. Carillon)</t>
  </si>
  <si>
    <t>Check Appivo portal's App Users tab to populate "Appivo Role" (adults from Accounts CSV are given sponsor role by Appivo back end), "Appivo Group", and "Consent" fields</t>
  </si>
  <si>
    <t>Check orgstaff member roles in portal (may be Admin, may be superpsonsor)</t>
  </si>
  <si>
    <t>For all other individuals, search the Data preDel tab to fill in "HH code" and other fields as possible (Individuals who are repeatedly collected together in samples and notes are likely part of the same household)</t>
  </si>
  <si>
    <t>For no last name rows - fill in last names when confident while assigning HH IDs, update preDel tab with any changes</t>
  </si>
  <si>
    <t>Replace Data (postDel): Delete Data (postDel) tab, re-duplicate Data (preDel) &amp; rename to Data (postDel)</t>
  </si>
  <si>
    <t>gsheet: Random Number List for DeID Keys</t>
  </si>
  <si>
    <t>RandNumList</t>
  </si>
  <si>
    <r>
      <rPr>
        <rFont val="Arial"/>
        <color theme="1"/>
        <sz val="11.0"/>
      </rPr>
      <t xml:space="preserve">In the </t>
    </r>
    <r>
      <rPr>
        <rFont val="Arial"/>
        <b/>
        <color theme="1"/>
        <sz val="11.0"/>
      </rPr>
      <t>Random Number List</t>
    </r>
    <r>
      <rPr>
        <rFont val="Arial"/>
        <color theme="1"/>
        <sz val="11.0"/>
      </rPr>
      <t xml:space="preserve"> file (link above), copy a set of Random Numbers from the "Not In Use" tab to the "In Use" tab (size of set equal to number of Person IDs needed)</t>
    </r>
  </si>
  <si>
    <t>Keep Random Numbers grouped together according to Program, but DO NOT SORT based on the Random Number</t>
  </si>
  <si>
    <t>Remove Random Numbers on In Use tab from the Not In Use tab</t>
  </si>
  <si>
    <t>Fill out the Program 4 Chars on the In Use tab</t>
  </si>
  <si>
    <t>Extend the formula in the Person ID column to generate Person IDs</t>
  </si>
  <si>
    <r>
      <rPr>
        <rFont val="Arial"/>
        <color theme="1"/>
        <sz val="11.0"/>
      </rPr>
      <t xml:space="preserve">Copy/Paste Person IDs from Random Number List into APS Person tab </t>
    </r>
    <r>
      <rPr>
        <rFont val="Arial"/>
        <i/>
        <color theme="1"/>
        <sz val="11.0"/>
      </rPr>
      <t>AS VALUES</t>
    </r>
  </si>
  <si>
    <r>
      <rPr>
        <rFont val="Arial"/>
        <color theme="1"/>
        <sz val="11.0"/>
      </rPr>
      <t xml:space="preserve">Check that the Person tab is sorted by </t>
    </r>
    <r>
      <rPr>
        <rFont val="Arial"/>
        <b/>
        <color theme="1"/>
        <sz val="11.0"/>
      </rPr>
      <t>All Names</t>
    </r>
    <r>
      <rPr>
        <rFont val="Arial"/>
        <color theme="1"/>
        <sz val="11.0"/>
      </rPr>
      <t xml:space="preserve"> - it is CRITICAL that the DeID Key must be sorted by </t>
    </r>
    <r>
      <rPr>
        <rFont val="Arial"/>
        <b/>
        <color theme="1"/>
        <sz val="11.0"/>
      </rPr>
      <t>All Names</t>
    </r>
    <r>
      <rPr>
        <rFont val="Arial"/>
        <color theme="1"/>
        <sz val="11.0"/>
      </rPr>
      <t xml:space="preserve"> in order for Person ID assignment to function properly</t>
    </r>
  </si>
  <si>
    <r>
      <rPr>
        <rFont val="Arial"/>
        <color theme="1"/>
        <sz val="11.0"/>
      </rPr>
      <t xml:space="preserve">Copy/Paste the </t>
    </r>
    <r>
      <rPr>
        <rFont val="Arial"/>
        <b/>
        <color theme="1"/>
        <sz val="11.0"/>
      </rPr>
      <t>Sponsor (Person ID)</t>
    </r>
    <r>
      <rPr>
        <rFont val="Arial"/>
        <color theme="1"/>
        <sz val="11.0"/>
      </rPr>
      <t xml:space="preserve"> and </t>
    </r>
    <r>
      <rPr>
        <rFont val="Arial"/>
        <b/>
        <color theme="1"/>
        <sz val="11.0"/>
      </rPr>
      <t>Participant (Person ID)</t>
    </r>
    <r>
      <rPr>
        <rFont val="Arial"/>
        <color theme="1"/>
        <sz val="11.0"/>
      </rPr>
      <t xml:space="preserve"> columns </t>
    </r>
    <r>
      <rPr>
        <rFont val="Arial"/>
        <i/>
        <color theme="1"/>
        <sz val="11.0"/>
      </rPr>
      <t>AS VALUES</t>
    </r>
    <r>
      <rPr>
        <rFont val="Arial"/>
        <color theme="1"/>
        <sz val="11.0"/>
      </rPr>
      <t xml:space="preserve"> in place</t>
    </r>
  </si>
  <si>
    <t>Name the current version in File &gt; Version History as "Person Table Completed"</t>
  </si>
  <si>
    <t>WRAPUP: POPULATE TABS</t>
  </si>
  <si>
    <t>APS Tubes PHI</t>
  </si>
  <si>
    <r>
      <rPr>
        <rFont val="Arial"/>
        <color theme="1"/>
        <sz val="11.0"/>
      </rPr>
      <t xml:space="preserve">Sort the Person tab by </t>
    </r>
    <r>
      <rPr>
        <rFont val="Arial"/>
        <b/>
        <color theme="1"/>
        <sz val="11.0"/>
      </rPr>
      <t>Full Name</t>
    </r>
    <r>
      <rPr>
        <rFont val="Arial"/>
        <color theme="1"/>
        <sz val="11.0"/>
      </rPr>
      <t xml:space="preserve"> (A-Z)</t>
    </r>
  </si>
  <si>
    <t>Check / extend formulas in APS Tubes PHI tab to make sure that the columns are filling correctly</t>
  </si>
  <si>
    <r>
      <rPr>
        <rFont val="Arial"/>
        <color theme="1"/>
        <sz val="11.0"/>
      </rPr>
      <t xml:space="preserve">Copy/paste the </t>
    </r>
    <r>
      <rPr>
        <rFont val="Arial"/>
        <b/>
        <color theme="1"/>
        <sz val="11.0"/>
      </rPr>
      <t>Sponsor Person ID</t>
    </r>
    <r>
      <rPr>
        <rFont val="Arial"/>
        <color theme="1"/>
        <sz val="11.0"/>
      </rPr>
      <t xml:space="preserve"> column in place </t>
    </r>
    <r>
      <rPr>
        <rFont val="Arial"/>
        <i/>
        <color theme="1"/>
        <sz val="11.0"/>
      </rPr>
      <t>AS VALUES</t>
    </r>
  </si>
  <si>
    <t>CD APS</t>
  </si>
  <si>
    <t>Copy/paste column data from Data postDel - in 3 chunks, Person IDs cols Paste as Values, past entire cols then delete 2nd header row</t>
  </si>
  <si>
    <t>APS by Date</t>
  </si>
  <si>
    <t>Check / extend formulas to make sure that the columns are filling correctly</t>
  </si>
  <si>
    <r>
      <rPr>
        <rFont val="Arial"/>
        <color theme="1"/>
        <sz val="11.0"/>
      </rPr>
      <t xml:space="preserve">Check the 'MATCH NUM SAMPLES' col in the </t>
    </r>
    <r>
      <rPr>
        <rFont val="Arial"/>
        <b/>
        <color theme="1"/>
        <sz val="11.0"/>
      </rPr>
      <t>APS by Date</t>
    </r>
    <r>
      <rPr>
        <rFont val="Arial"/>
        <color theme="1"/>
        <sz val="11.0"/>
      </rPr>
      <t xml:space="preserve"> tab - all values should be TRUE</t>
    </r>
  </si>
  <si>
    <t>For any cases where MATCH NUM SAMPLES = FALSE, resolve the discrepancy</t>
  </si>
  <si>
    <t>CD APS Tubes</t>
  </si>
  <si>
    <t>Check / extend formulas in CD APS Tubes tab to make sure that the columns are filling correctly</t>
  </si>
  <si>
    <t>CD APS &amp; CD APS Tubes</t>
  </si>
  <si>
    <t>Move a copy of the CD APS and CD APS Tubes tab to a new Gsheet in the deployment's deidentified Data folder</t>
  </si>
  <si>
    <t>Name the current version in File &gt; Version History as "CD APS completed"</t>
  </si>
  <si>
    <t>MERGE NAMES v4.1</t>
  </si>
  <si>
    <t>0) name Version - Before Merge Names Pass1</t>
  </si>
  <si>
    <t>1) resolve all red rows (and associated) in Person tab by filling in white cols in Live section</t>
  </si>
  <si>
    <t>highlight merged or anomalous rows in Values section and Live in yellow</t>
  </si>
  <si>
    <t>update Person Notes in Values section</t>
  </si>
  <si>
    <t>2) review all relevant rows in preDel (sort by CP lastname or firstname first)</t>
  </si>
  <si>
    <t>add entries to Names Adjust - use convention Merge Names Pass1 for any change</t>
  </si>
  <si>
    <t>check Num Person Samples are equal  - by selecting cells in preDel and comparing to Person tab col #</t>
  </si>
  <si>
    <t>3) copy Live cos and paste as values in Pass1 section</t>
  </si>
  <si>
    <t>*important to do this before making any changes in the preDel data (using data to refer to the actual Names cols not the Names Adjust)</t>
  </si>
  <si>
    <t>4) make changes in preDel data - in the relevant primary names cols GHJKUV</t>
  </si>
  <si>
    <t>5) check that Live section is now green - no errors, no red rows, expected changes are there</t>
  </si>
  <si>
    <t>6) make changes in any Sponsor Names in preDel primary data (Sponsor Firstname and Lastname)</t>
  </si>
  <si>
    <t>Should be fine, might want a second opinon on this though.</t>
  </si>
  <si>
    <t>also add Merge Names Pass1 for those rows as well, insert at beginning if cell already has adjust name entry</t>
  </si>
  <si>
    <t>7) update Values section - TBD</t>
  </si>
  <si>
    <t>don’t delete entire rows - instead select cells in Values cols and use delete cells and shift up</t>
  </si>
  <si>
    <t>adjust HH ID numbers to be consecutive</t>
  </si>
  <si>
    <t>ensure all the info in preserved and</t>
  </si>
  <si>
    <t>add any additional info needed</t>
  </si>
  <si>
    <t>8) Review Rollup tab and Check Sums to make sure still green</t>
  </si>
  <si>
    <t>9) Name Version - After Merge Names Pass1</t>
  </si>
  <si>
    <t>APS Template v4.2 WIP</t>
  </si>
  <si>
    <t>RT</t>
  </si>
  <si>
    <t>cols to END</t>
  </si>
  <si>
    <t>LOG</t>
  </si>
  <si>
    <t>2-06 15:49 BS</t>
  </si>
  <si>
    <t>APS Data PHI - preDEL</t>
  </si>
  <si>
    <t>Formula Dev &gt;&gt;</t>
  </si>
  <si>
    <t>$A9:$AZ9</t>
  </si>
  <si>
    <t>&lt;&lt; Omitted for Match Check</t>
  </si>
  <si>
    <t>filterDEL</t>
  </si>
  <si>
    <t>APS Data PHI - postDEL</t>
  </si>
  <si>
    <t>Header Bool</t>
  </si>
  <si>
    <t>Formula Bool</t>
  </si>
  <si>
    <t>Okay, so here's an overview. I think this will have some information that wasn't in the previous set of audio memos. These spreadsheets are extremely complicated. The APS has 63 columns and the RFR has 47. And on the order of, you know, 8 to 10 or 12 of those are the primary data. Those are the initial columns that appear on the left and then the remaining ones are sort of derived or columns that I added in the process of scrubbing, cleaning, and analyzing the data and essentially going through and fixing the problems in it. And each of these main two spreadsheets, which are the APS and the RFR, have many tabs. I'm looking at the APS one now and it has like 15 tabs. Some of the spreadsheets have tabs that I just temporarily created and aren't the standard ones, but there are on the order of like a dozen standard ones. And then they roll up. There is a tab called "roll up" that I use to do a critical checksum calculation. There's something called an "f tab" that checks for formulas. Checks that the formulas and the header rows are the same on key, on one, two, three, four key tabs. So this was a multi-month ordeal to do this. And the reason it was so difficult and the spreadsheets got so complicated is because of the large number of different types of problems with the data and the variation in those problems between different sites. And this is both problems in the digital data, the data, the person-by-person data extracted from the Apevo digital platform, and then it was also present in the RFR or the run form. So these are the forms that the test taker filled out while they were doing the test and they are the, essentially, the session data. And the sessions were extremely complicated because they would often do retries on some of the tubes, especially rerunning ones that were positive. So there's a lot of association of data and a lot of complex relationships between things and, again, a lot of variation in the way this was documented and inconsistencies in that and errors that were uncovered. We went to the raw images for all of these runs. So that was extremely time consuming. And then one of the things that made it so complicated was I wanted to create an audit trail for all of the changes to the error-filled raw data. And so we created a complex list of error codes. I think the error codes for deleting rows from the APS numbered in the 30 different error codes, 30 different reasons for it. And I have this list. I have all of this stuff. And</t>
  </si>
  <si>
    <t>hard coded import rows at 25 - ignore anything after END</t>
  </si>
  <si>
    <t>APS CHECK SUM MAIN</t>
  </si>
  <si>
    <t>RAW_APS Total Rows</t>
  </si>
  <si>
    <t>Total Rows</t>
  </si>
  <si>
    <t>Delete Rows (from Delete? col)</t>
  </si>
  <si>
    <t>Keep Rows (Total - Delete)</t>
  </si>
  <si>
    <t>Note Name Rows (from Note Name? col)</t>
  </si>
  <si>
    <t>Rows with Add from APT = TRUE</t>
  </si>
  <si>
    <t>not relevant because all are Add Note Name</t>
  </si>
  <si>
    <t>Initial Add from APT (from Add from APT tab)</t>
  </si>
  <si>
    <t>should all have Note names added or be marked for deletion (not both)</t>
  </si>
  <si>
    <t>Note Name Rows Extra (excludes orig row) - Formula</t>
  </si>
  <si>
    <t>preDel must be sorted by Tube ID + Note Firstname</t>
  </si>
  <si>
    <t>Note Name Rows Extra (excludes orig row) - Value</t>
  </si>
  <si>
    <t xml:space="preserve">paste as value </t>
  </si>
  <si>
    <t>CHECK SUM for preDEL TOTAL ROWS</t>
  </si>
  <si>
    <t>RAW_APS total rows + APT added + Note Name Rows Extra</t>
  </si>
  <si>
    <t>Total Rows in postDel</t>
  </si>
  <si>
    <t>Sum Person Samples</t>
  </si>
  <si>
    <t>NAME CHECKS</t>
  </si>
  <si>
    <t>SUM Note Name Cols</t>
  </si>
  <si>
    <t>excludes deleted</t>
  </si>
  <si>
    <t>Count Note Name? TRUE - includes deleted rows</t>
  </si>
  <si>
    <t>Deleted Note Name rows</t>
  </si>
  <si>
    <t>paste as value after using Cur Bool =IF(AND(AG2,X2),TRUE,IFERROR(0/0))</t>
  </si>
  <si>
    <t>Blank Combined Names</t>
  </si>
  <si>
    <t>Delete Codes</t>
  </si>
  <si>
    <t>Current Codes</t>
  </si>
  <si>
    <t>Del Code</t>
  </si>
  <si>
    <t>Present?</t>
  </si>
  <si>
    <t>Tube ID blank</t>
  </si>
  <si>
    <t>Duplicate TubeID conclude mistake and delete</t>
  </si>
  <si>
    <t>plan to delete this one after remapping</t>
  </si>
  <si>
    <t>In Delete Tube ID Prefix List</t>
  </si>
  <si>
    <t>Non Std Prefix and Result=Fail</t>
  </si>
  <si>
    <t>Note indicates erroneous tube</t>
  </si>
  <si>
    <t>Note states other participants added as Note Names</t>
  </si>
  <si>
    <t>review</t>
  </si>
  <si>
    <t>Positive result FL Staff sponsor and Participant</t>
  </si>
  <si>
    <t>review these because I added participant</t>
  </si>
  <si>
    <t>Null Result, Replicate Tube ID - other replicate kept, add del to Tube ID</t>
  </si>
  <si>
    <t>added other replicate kept, 7.3 is where all are del</t>
  </si>
  <si>
    <t>needs more info, review these</t>
  </si>
  <si>
    <t>Null Result, No Participant, Minor or Note</t>
  </si>
  <si>
    <t>Replicate Tube ID</t>
  </si>
  <si>
    <t>Replicate Tube ID - Extra Note Name Add Error</t>
  </si>
  <si>
    <t>Replicate Tube ID - recollected, add del to end of Tube ID (not NULL result)</t>
  </si>
  <si>
    <t>Replicate Tube IDs - Null results, all deleted</t>
  </si>
  <si>
    <t>Replicate Tube ID - different participant email address</t>
  </si>
  <si>
    <t>new for COSP fgmolino</t>
  </si>
  <si>
    <t>Pos Control</t>
  </si>
  <si>
    <t>Saliva sample</t>
  </si>
  <si>
    <t>No Collection Date, Null result</t>
  </si>
  <si>
    <t>Null, delete in Reconcile w RFR</t>
  </si>
  <si>
    <t>Null, suspected corrupt APS Raw row - see note</t>
  </si>
  <si>
    <t>Not in LUM</t>
  </si>
  <si>
    <t>Internal sync specific - see notes for program</t>
  </si>
  <si>
    <t>Basic Correction Codes</t>
  </si>
  <si>
    <t>BCor Code</t>
  </si>
  <si>
    <t>REMOVE THESE CODES FROM HERE</t>
  </si>
  <si>
    <t>Replicate TubeID but conclude different tubes, add x or a,b,c</t>
  </si>
  <si>
    <t>Tube ID field blank - add BLANK1, 2, 3 ,etc if marked for deletion</t>
  </si>
  <si>
    <t>Replicate Tube ID and participant in other tube on same day, add suffix "DEL" to Tube ID and also mark for deletion (1.1)</t>
  </si>
  <si>
    <t>Tube ID Replicate with lowercase, make uppercase and add suffix a</t>
  </si>
  <si>
    <t>Recollect - fix collection timestamp, sponsor</t>
  </si>
  <si>
    <t>Add to Collection - same day same sponsor, add later people to early time that is resulted</t>
  </si>
  <si>
    <t>plan to remove this one</t>
  </si>
  <si>
    <t>what is the corrective action?</t>
  </si>
  <si>
    <t>Blank first name, move last name to first name</t>
  </si>
  <si>
    <t>Adjust capitalization in name</t>
  </si>
  <si>
    <t>Appivo name merged into another Appivo name (e.g. diminuitive or remove middle name)</t>
  </si>
  <si>
    <t>why do this?</t>
  </si>
  <si>
    <t>sponsor copied to empty participant</t>
  </si>
  <si>
    <t>incorrect nested minor, move from Minor cols to Participant Cols</t>
  </si>
  <si>
    <t>uncollected person in participant col, remove name there and add Note Name</t>
  </si>
  <si>
    <t>modify app group - see correction notes</t>
  </si>
  <si>
    <t>Result Correction Codes</t>
  </si>
  <si>
    <t>RCor Code</t>
  </si>
  <si>
    <t>Null to Neg to reconcile run tube count</t>
  </si>
  <si>
    <t>Null to Neg for recollect</t>
  </si>
  <si>
    <t>find and remap</t>
  </si>
  <si>
    <t>Null to Pos</t>
  </si>
  <si>
    <t>Null to Pos for recollect</t>
  </si>
  <si>
    <t>History</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</si>
</sst>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yyyy-mm-dd"/>
    <numFmt numFmtId="166" formatCode="0.0"/>
    <numFmt numFmtId="167" formatCode="h:mm:ss am/pm"/>
    <numFmt numFmtId="168" formatCode="m&quot;/&quot;d&quot; &quot;h&quot;:&quot;mm"/>
  </numFmts>
  <fonts count="59">
    <font>
      <sz val="10.0"/>
      <color rgb="FF000000"/>
      <name val="Arial"/>
      <scheme val="minor"/>
    </font>
    <font>
      <u/>
      <sz val="10.0"/>
      <color theme="1"/>
      <name val="Arial"/>
      <scheme val="minor"/>
    </font>
    <font>
      <color theme="1"/>
      <name val="Arial"/>
      <scheme val="minor"/>
    </font>
    <font>
      <color theme="1"/>
      <name val="Arial"/>
    </font>
    <font>
      <b/>
      <color theme="1"/>
      <name val="Arial"/>
    </font>
    <font>
      <b/>
      <u/>
      <sz val="12.0"/>
      <color theme="1"/>
      <name val="Arial"/>
    </font>
    <font>
      <b/>
      <sz val="10.0"/>
      <color theme="1"/>
      <name val="Arial"/>
      <scheme val="minor"/>
    </font>
    <font>
      <color rgb="FF0000FF"/>
      <name val="Arial"/>
      <scheme val="minor"/>
    </font>
    <font>
      <b/>
      <u/>
      <sz val="12.0"/>
      <color theme="1"/>
      <name val="Arial"/>
    </font>
    <font>
      <b/>
      <sz val="10.0"/>
      <color theme="1"/>
      <name val="Arial"/>
    </font>
    <font>
      <color rgb="FF000000"/>
      <name val="Roboto"/>
    </font>
    <font>
      <color theme="1"/>
      <name val="Roboto"/>
    </font>
    <font>
      <b/>
      <color theme="1"/>
      <name val="Arial"/>
      <scheme val="minor"/>
    </font>
    <font>
      <b/>
      <i/>
      <color theme="1"/>
      <name val="Arial"/>
    </font>
    <font>
      <b/>
      <color rgb="FFFFFFFF"/>
      <name val="Arial"/>
    </font>
    <font>
      <b/>
      <color rgb="FF000000"/>
      <name val="Arial"/>
    </font>
    <font>
      <sz val="10.0"/>
      <color theme="1"/>
      <name val="Arial"/>
      <scheme val="minor"/>
    </font>
    <font>
      <sz val="11.0"/>
      <color rgb="FF000000"/>
      <name val="Inconsolata"/>
    </font>
    <font>
      <sz val="11.0"/>
      <color theme="1"/>
      <name val="Inconsolata"/>
    </font>
    <font>
      <sz val="11.0"/>
      <color rgb="FF000000"/>
      <name val="Arial"/>
      <scheme val="minor"/>
    </font>
    <font>
      <color rgb="FF1F1F1F"/>
      <name val="&quot;Google Sans Mono&quot;"/>
    </font>
    <font>
      <sz val="11.0"/>
      <color theme="1"/>
      <name val="Arial"/>
      <scheme val="minor"/>
    </font>
    <font>
      <color rgb="FF000000"/>
      <name val="Arial"/>
    </font>
    <font>
      <b/>
      <sz val="10.0"/>
      <color rgb="FF000000"/>
      <name val="Arial"/>
      <scheme val="minor"/>
    </font>
    <font>
      <color rgb="FFFFFFFF"/>
      <name val="Arial"/>
      <scheme val="minor"/>
    </font>
    <font>
      <b/>
      <i/>
      <color rgb="FFFFFFFF"/>
      <name val="Arial"/>
    </font>
    <font>
      <b/>
      <u/>
      <sz val="14.0"/>
      <color theme="1"/>
      <name val="Arial"/>
    </font>
    <font>
      <b/>
      <sz val="11.0"/>
      <color theme="1"/>
      <name val="Arial"/>
    </font>
    <font>
      <b/>
      <u/>
      <sz val="14.0"/>
      <color theme="1"/>
      <name val="Arial"/>
    </font>
    <font>
      <sz val="11.0"/>
      <color theme="1"/>
      <name val="Arial"/>
    </font>
    <font>
      <i/>
      <color theme="1"/>
      <name val="Arial"/>
    </font>
    <font>
      <color rgb="FFFF0000"/>
      <name val="Arial"/>
    </font>
    <font>
      <b/>
      <u/>
      <sz val="14.0"/>
      <color theme="1"/>
      <name val="Arial"/>
    </font>
    <font>
      <b/>
      <sz val="14.0"/>
      <color theme="1"/>
      <name val="Arial"/>
      <scheme val="minor"/>
    </font>
    <font>
      <b/>
      <u/>
      <sz val="11.0"/>
      <color theme="1"/>
      <name val="Arial"/>
    </font>
    <font>
      <b/>
      <u/>
      <sz val="11.0"/>
      <color theme="1"/>
      <name val="Arial"/>
    </font>
    <font>
      <sz val="11.0"/>
      <color rgb="FF000000"/>
      <name val="Arial"/>
    </font>
    <font>
      <b/>
      <sz val="11.0"/>
      <color theme="1"/>
      <name val="Arial"/>
      <scheme val="minor"/>
    </font>
    <font>
      <b/>
      <u/>
      <sz val="11.0"/>
      <color theme="1"/>
      <name val="Arial"/>
    </font>
    <font>
      <b/>
      <u/>
      <sz val="11.0"/>
      <color theme="1"/>
      <name val="Arial"/>
      <scheme val="minor"/>
    </font>
    <font>
      <b/>
      <u/>
      <sz val="11.0"/>
      <color theme="1"/>
      <name val="Arial"/>
    </font>
    <font>
      <b/>
      <u/>
      <sz val="11.0"/>
      <color theme="1"/>
      <name val="Arial"/>
    </font>
    <font>
      <b/>
      <u/>
      <sz val="11.0"/>
      <color theme="1"/>
      <name val="Arial"/>
    </font>
    <font>
      <sz val="11.0"/>
      <color rgb="FFFF0000"/>
      <name val="Arial"/>
    </font>
    <font>
      <b/>
      <sz val="14.0"/>
      <color theme="1"/>
      <name val="Arial"/>
    </font>
    <font>
      <i/>
      <sz val="11.0"/>
      <color theme="1"/>
      <name val="Arial"/>
    </font>
    <font>
      <sz val="11.0"/>
      <color rgb="FF0000FF"/>
      <name val="Arial"/>
    </font>
    <font>
      <u/>
      <sz val="11.0"/>
      <color rgb="FF0000FF"/>
      <name val="Arial"/>
    </font>
    <font>
      <b/>
      <u/>
      <sz val="14.0"/>
      <color theme="1"/>
      <name val="Arial"/>
    </font>
    <font>
      <u/>
      <color theme="1"/>
      <name val="Arial"/>
      <scheme val="minor"/>
    </font>
    <font>
      <u/>
      <color theme="1"/>
      <name val="Arial"/>
      <scheme val="minor"/>
    </font>
    <font>
      <b/>
      <sz val="12.0"/>
      <color rgb="FF222222"/>
      <name val="Arial"/>
    </font>
    <font>
      <i/>
      <color theme="1"/>
      <name val="Arial"/>
      <scheme val="minor"/>
    </font>
    <font>
      <b/>
      <sz val="12.0"/>
      <color theme="1"/>
      <name val="Arial"/>
    </font>
    <font>
      <sz val="11.0"/>
      <color rgb="FFFF0000"/>
      <name val="Inconsolata"/>
    </font>
    <font>
      <b/>
      <sz val="12.0"/>
      <color rgb="FF000000"/>
      <name val="Arial"/>
    </font>
    <font>
      <u/>
      <color theme="1"/>
      <name val="Arial"/>
      <scheme val="minor"/>
    </font>
    <font>
      <b/>
      <sz val="12.0"/>
      <color theme="1"/>
      <name val="Arial"/>
      <scheme val="minor"/>
    </font>
    <font>
      <b/>
      <color rgb="FFFFFFFF"/>
      <name val="Arial"/>
      <scheme val="minor"/>
    </font>
  </fonts>
  <fills count="24">
    <fill>
      <patternFill patternType="none"/>
    </fill>
    <fill>
      <patternFill patternType="lightGray"/>
    </fill>
    <fill>
      <patternFill patternType="solid">
        <fgColor rgb="FFE6B8AF"/>
        <bgColor rgb="FFE6B8AF"/>
      </patternFill>
    </fill>
    <fill>
      <patternFill patternType="solid">
        <fgColor rgb="FFFFF2CC"/>
        <bgColor rgb="FFFFF2CC"/>
      </patternFill>
    </fill>
    <fill>
      <patternFill patternType="solid">
        <fgColor rgb="FF00FFFF"/>
        <bgColor rgb="FF00FFFF"/>
      </patternFill>
    </fill>
    <fill>
      <patternFill patternType="solid">
        <fgColor rgb="FFC27BA0"/>
        <bgColor rgb="FFC27BA0"/>
      </patternFill>
    </fill>
    <fill>
      <patternFill patternType="solid">
        <fgColor rgb="FFD9EAD3"/>
        <bgColor rgb="FFD9EAD3"/>
      </patternFill>
    </fill>
    <fill>
      <patternFill patternType="solid">
        <fgColor rgb="FFEAD1DC"/>
        <bgColor rgb="FFEAD1DC"/>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D9D2E9"/>
        <bgColor rgb="FFD9D2E9"/>
      </patternFill>
    </fill>
    <fill>
      <patternFill patternType="solid">
        <fgColor rgb="FFFF0000"/>
        <bgColor rgb="FFFF0000"/>
      </patternFill>
    </fill>
    <fill>
      <patternFill patternType="solid">
        <fgColor rgb="FF434343"/>
        <bgColor rgb="FF434343"/>
      </patternFill>
    </fill>
    <fill>
      <patternFill patternType="solid">
        <fgColor rgb="FFCFE2F3"/>
        <bgColor rgb="FFCFE2F3"/>
      </patternFill>
    </fill>
    <fill>
      <patternFill patternType="solid">
        <fgColor rgb="FFD9D9D9"/>
        <bgColor rgb="FFD9D9D9"/>
      </patternFill>
    </fill>
    <fill>
      <patternFill patternType="solid">
        <fgColor rgb="FFEA9999"/>
        <bgColor rgb="FFEA9999"/>
      </patternFill>
    </fill>
    <fill>
      <patternFill patternType="solid">
        <fgColor rgb="FFFFFFFF"/>
        <bgColor rgb="FFFFFFFF"/>
      </patternFill>
    </fill>
    <fill>
      <patternFill patternType="solid">
        <fgColor rgb="FF0000FF"/>
        <bgColor rgb="FF0000FF"/>
      </patternFill>
    </fill>
    <fill>
      <patternFill patternType="solid">
        <fgColor rgb="FFF4CCCC"/>
        <bgColor rgb="FFF4CCCC"/>
      </patternFill>
    </fill>
    <fill>
      <patternFill patternType="solid">
        <fgColor rgb="FFFF00FF"/>
        <bgColor rgb="FFFF00FF"/>
      </patternFill>
    </fill>
    <fill>
      <patternFill patternType="solid">
        <fgColor rgb="FFC9DAF8"/>
        <bgColor rgb="FFC9DAF8"/>
      </patternFill>
    </fill>
    <fill>
      <patternFill patternType="solid">
        <fgColor rgb="FF9900FF"/>
        <bgColor rgb="FF9900FF"/>
      </patternFill>
    </fill>
    <fill>
      <patternFill patternType="solid">
        <fgColor rgb="FFF1C232"/>
        <bgColor rgb="FFF1C232"/>
      </patternFill>
    </fill>
  </fills>
  <borders count="8">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border>
    <border>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rder>
  </borders>
  <cellStyleXfs count="1">
    <xf borderId="0" fillId="0" fontId="0" numFmtId="0" applyAlignment="1" applyFont="1"/>
  </cellStyleXfs>
  <cellXfs count="42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vertical="bottom"/>
    </xf>
    <xf borderId="0" fillId="0" fontId="4" numFmtId="0" xfId="0" applyAlignment="1" applyFont="1">
      <alignment readingOrder="0" vertical="bottom"/>
    </xf>
    <xf borderId="0" fillId="0" fontId="5"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3" numFmtId="0" xfId="0" applyAlignment="1" applyFont="1">
      <alignment horizontal="center" vertical="bottom"/>
    </xf>
    <xf borderId="0" fillId="0" fontId="2" numFmtId="0" xfId="0" applyFont="1"/>
    <xf borderId="0" fillId="0" fontId="3" numFmtId="0" xfId="0" applyAlignment="1" applyFont="1">
      <alignment shrinkToFit="0" vertical="bottom" wrapText="0"/>
    </xf>
    <xf borderId="0" fillId="0" fontId="3" numFmtId="0" xfId="0" applyAlignment="1" applyFont="1">
      <alignment horizontal="right" vertical="bottom"/>
    </xf>
    <xf borderId="0" fillId="0" fontId="2" numFmtId="0" xfId="0" applyFont="1"/>
    <xf borderId="1" fillId="0" fontId="6" numFmtId="0" xfId="0" applyBorder="1" applyFont="1"/>
    <xf borderId="0" fillId="0" fontId="7" numFmtId="0" xfId="0" applyAlignment="1" applyFont="1">
      <alignment readingOrder="0"/>
    </xf>
    <xf borderId="0" fillId="0" fontId="3" numFmtId="164" xfId="0" applyAlignment="1" applyFont="1" applyNumberFormat="1">
      <alignment horizontal="right" vertical="bottom"/>
    </xf>
    <xf borderId="0" fillId="0" fontId="2" numFmtId="164" xfId="0" applyFont="1" applyNumberFormat="1"/>
    <xf borderId="0" fillId="0" fontId="3" numFmtId="0" xfId="0" applyAlignment="1" applyFont="1">
      <alignment horizontal="right" vertical="bottom"/>
    </xf>
    <xf borderId="0" fillId="0" fontId="3" numFmtId="9" xfId="0" applyAlignment="1" applyFont="1" applyNumberFormat="1">
      <alignment horizontal="right" vertical="bottom"/>
    </xf>
    <xf borderId="0" fillId="0" fontId="2" numFmtId="9" xfId="0" applyFont="1" applyNumberFormat="1"/>
    <xf borderId="0" fillId="0" fontId="8" numFmtId="0" xfId="0" applyAlignment="1" applyFont="1">
      <alignment vertical="bottom"/>
    </xf>
    <xf borderId="1" fillId="0" fontId="3" numFmtId="0" xfId="0" applyAlignment="1" applyBorder="1" applyFont="1">
      <alignment vertical="bottom"/>
    </xf>
    <xf borderId="1" fillId="0" fontId="4" numFmtId="0" xfId="0" applyAlignment="1" applyBorder="1" applyFont="1">
      <alignment shrinkToFit="0" vertical="bottom" wrapText="1"/>
    </xf>
    <xf borderId="1" fillId="0" fontId="4" numFmtId="0" xfId="0" applyAlignment="1" applyBorder="1" applyFont="1">
      <alignment shrinkToFit="0" vertical="bottom" wrapText="1"/>
    </xf>
    <xf borderId="1" fillId="0" fontId="4" numFmtId="0" xfId="0" applyAlignment="1" applyBorder="1" applyFont="1">
      <alignment vertical="bottom"/>
    </xf>
    <xf borderId="1" fillId="0" fontId="9" numFmtId="0" xfId="0" applyAlignment="1" applyBorder="1" applyFont="1">
      <alignment horizontal="right" vertical="bottom"/>
    </xf>
    <xf borderId="1" fillId="0" fontId="3" numFmtId="0" xfId="0" applyAlignment="1" applyBorder="1" applyFont="1">
      <alignment horizontal="center" vertical="bottom"/>
    </xf>
    <xf borderId="1" fillId="2" fontId="3" numFmtId="0" xfId="0" applyAlignment="1" applyBorder="1" applyFill="1" applyFont="1">
      <alignment horizontal="center" vertical="bottom"/>
    </xf>
    <xf borderId="1" fillId="3" fontId="3" numFmtId="9" xfId="0" applyAlignment="1" applyBorder="1" applyFill="1" applyFont="1" applyNumberFormat="1">
      <alignment horizontal="center" vertical="bottom"/>
    </xf>
    <xf borderId="2" fillId="0" fontId="3" numFmtId="0" xfId="0" applyAlignment="1" applyBorder="1" applyFont="1">
      <alignment vertical="bottom"/>
    </xf>
    <xf borderId="3" fillId="0" fontId="3" numFmtId="0" xfId="0" applyAlignment="1" applyBorder="1" applyFont="1">
      <alignment vertical="bottom"/>
    </xf>
    <xf borderId="4" fillId="0" fontId="3" numFmtId="0" xfId="0" applyAlignment="1" applyBorder="1" applyFont="1">
      <alignment vertical="bottom"/>
    </xf>
    <xf borderId="0" fillId="0" fontId="3" numFmtId="0" xfId="0" applyAlignment="1" applyFont="1">
      <alignment shrinkToFit="0" vertical="bottom" wrapText="0"/>
    </xf>
    <xf borderId="0" fillId="0" fontId="3" numFmtId="0" xfId="0" applyAlignment="1" applyFont="1">
      <alignment horizontal="right" readingOrder="0" vertical="bottom"/>
    </xf>
    <xf borderId="0" fillId="2" fontId="3" numFmtId="0" xfId="0" applyAlignment="1" applyFont="1">
      <alignment horizontal="right" vertical="bottom"/>
    </xf>
    <xf borderId="0" fillId="2" fontId="3" numFmtId="0" xfId="0" applyAlignment="1" applyFont="1">
      <alignment vertical="bottom"/>
    </xf>
    <xf borderId="0" fillId="2" fontId="2" numFmtId="0" xfId="0" applyFont="1"/>
    <xf borderId="0" fillId="3" fontId="3" numFmtId="9" xfId="0" applyAlignment="1" applyFont="1" applyNumberFormat="1">
      <alignment horizontal="right" vertical="bottom"/>
    </xf>
    <xf borderId="0" fillId="4" fontId="3" numFmtId="0" xfId="0" applyAlignment="1" applyFill="1" applyFont="1">
      <alignment vertical="bottom"/>
    </xf>
    <xf borderId="0" fillId="2" fontId="3" numFmtId="0" xfId="0" applyAlignment="1" applyFont="1">
      <alignment shrinkToFit="0" vertical="bottom" wrapText="0"/>
    </xf>
    <xf borderId="0" fillId="2" fontId="3" numFmtId="0" xfId="0" applyAlignment="1" applyFont="1">
      <alignment vertical="bottom"/>
    </xf>
    <xf borderId="0" fillId="3" fontId="3" numFmtId="9" xfId="0" applyAlignment="1" applyFont="1" applyNumberFormat="1">
      <alignment vertical="bottom"/>
    </xf>
    <xf borderId="0" fillId="0" fontId="3" numFmtId="165" xfId="0" applyAlignment="1" applyFont="1" applyNumberFormat="1">
      <alignment horizontal="right" vertical="bottom"/>
    </xf>
    <xf borderId="0" fillId="0" fontId="2" numFmtId="165" xfId="0" applyFont="1" applyNumberFormat="1"/>
    <xf borderId="0" fillId="0" fontId="10" numFmtId="0" xfId="0" applyAlignment="1" applyFont="1">
      <alignment horizontal="left" readingOrder="0"/>
    </xf>
    <xf borderId="0" fillId="0" fontId="11" numFmtId="0" xfId="0" applyAlignment="1" applyFont="1">
      <alignment vertical="bottom"/>
    </xf>
    <xf borderId="0" fillId="5" fontId="12" numFmtId="0" xfId="0" applyAlignment="1" applyFill="1" applyFont="1">
      <alignment readingOrder="0" shrinkToFit="0" wrapText="1"/>
    </xf>
    <xf borderId="0" fillId="6" fontId="12" numFmtId="0" xfId="0" applyAlignment="1" applyFill="1" applyFont="1">
      <alignment readingOrder="0" shrinkToFit="0" wrapText="1"/>
    </xf>
    <xf borderId="0" fillId="6" fontId="4" numFmtId="0" xfId="0" applyAlignment="1" applyFont="1">
      <alignment shrinkToFit="0" vertical="bottom" wrapText="1"/>
    </xf>
    <xf borderId="0" fillId="0" fontId="12" numFmtId="0" xfId="0" applyAlignment="1" applyFont="1">
      <alignment shrinkToFit="0" wrapText="1"/>
    </xf>
    <xf borderId="0" fillId="6" fontId="2" numFmtId="165" xfId="0" applyFont="1" applyNumberFormat="1"/>
    <xf borderId="0" fillId="6" fontId="3" numFmtId="0" xfId="0" applyAlignment="1" applyFont="1">
      <alignment horizontal="right" vertical="bottom"/>
    </xf>
    <xf borderId="0" fillId="6" fontId="2" numFmtId="0" xfId="0" applyFont="1"/>
    <xf borderId="0" fillId="6" fontId="2" numFmtId="164" xfId="0" applyFont="1" applyNumberFormat="1"/>
    <xf borderId="0" fillId="5" fontId="4" numFmtId="0" xfId="0" applyAlignment="1" applyFont="1">
      <alignment horizontal="left" shrinkToFit="0" vertical="bottom" wrapText="1"/>
    </xf>
    <xf borderId="0" fillId="6" fontId="4" numFmtId="0" xfId="0" applyAlignment="1" applyFont="1">
      <alignment shrinkToFit="0" vertical="bottom" wrapText="1"/>
    </xf>
    <xf borderId="0" fillId="0" fontId="12" numFmtId="0" xfId="0" applyAlignment="1" applyFont="1">
      <alignment readingOrder="0" shrinkToFit="0" wrapText="1"/>
    </xf>
    <xf borderId="0" fillId="0" fontId="4" numFmtId="0" xfId="0" applyAlignment="1" applyFont="1">
      <alignment shrinkToFit="0" vertical="bottom" wrapText="1"/>
    </xf>
    <xf borderId="0" fillId="0" fontId="4" numFmtId="0" xfId="0" applyAlignment="1" applyFont="1">
      <alignment shrinkToFit="0" vertical="bottom" wrapText="1"/>
    </xf>
    <xf borderId="0" fillId="5" fontId="2" numFmtId="0" xfId="0" applyAlignment="1" applyFont="1">
      <alignment horizontal="left"/>
    </xf>
    <xf borderId="0" fillId="6" fontId="2" numFmtId="21" xfId="0" applyFont="1" applyNumberFormat="1"/>
    <xf borderId="0" fillId="6" fontId="2" numFmtId="0" xfId="0" applyAlignment="1" applyFont="1">
      <alignment horizontal="center"/>
    </xf>
    <xf borderId="0" fillId="7" fontId="2" numFmtId="0" xfId="0" applyFill="1" applyFont="1"/>
    <xf borderId="0" fillId="0" fontId="2" numFmtId="0" xfId="0" applyAlignment="1" applyFont="1">
      <alignment horizontal="center" readingOrder="0"/>
    </xf>
    <xf borderId="0" fillId="6" fontId="2" numFmtId="0" xfId="0" applyAlignment="1" applyFont="1">
      <alignment readingOrder="0"/>
    </xf>
    <xf borderId="0" fillId="7" fontId="2" numFmtId="0" xfId="0" applyAlignment="1" applyFont="1">
      <alignment horizontal="center"/>
    </xf>
    <xf borderId="0" fillId="0" fontId="2" numFmtId="0" xfId="0" applyAlignment="1" applyFont="1">
      <alignment horizontal="center"/>
    </xf>
    <xf borderId="0" fillId="7" fontId="3" numFmtId="0" xfId="0" applyAlignment="1" applyFont="1">
      <alignment horizontal="right" vertical="bottom"/>
    </xf>
    <xf borderId="5" fillId="7" fontId="3" numFmtId="0" xfId="0" applyAlignment="1" applyBorder="1" applyFont="1">
      <alignment horizontal="right" vertical="bottom"/>
    </xf>
    <xf borderId="6" fillId="7" fontId="3" numFmtId="0" xfId="0" applyAlignment="1" applyBorder="1" applyFont="1">
      <alignment horizontal="right" vertical="bottom"/>
    </xf>
    <xf borderId="7" fillId="0" fontId="3" numFmtId="0" xfId="0" applyAlignment="1" applyBorder="1" applyFont="1">
      <alignment horizontal="right" vertical="bottom"/>
    </xf>
    <xf borderId="7" fillId="0" fontId="3" numFmtId="0" xfId="0" applyAlignment="1" applyBorder="1" applyFont="1">
      <alignment vertical="bottom"/>
    </xf>
    <xf borderId="0" fillId="7" fontId="4" numFmtId="0" xfId="0" applyAlignment="1" applyFont="1">
      <alignment shrinkToFit="0" vertical="bottom" wrapText="1"/>
    </xf>
    <xf borderId="0" fillId="7" fontId="4" numFmtId="0" xfId="0" applyAlignment="1" applyFont="1">
      <alignment shrinkToFit="0" vertical="bottom" wrapText="1"/>
    </xf>
    <xf borderId="0" fillId="8" fontId="4" numFmtId="0" xfId="0" applyAlignment="1" applyFill="1" applyFont="1">
      <alignment readingOrder="0" shrinkToFit="0" vertical="bottom" wrapText="1"/>
    </xf>
    <xf borderId="0" fillId="9" fontId="4" numFmtId="0" xfId="0" applyAlignment="1" applyFill="1" applyFont="1">
      <alignment horizontal="left" shrinkToFit="0" vertical="bottom" wrapText="1"/>
    </xf>
    <xf borderId="0" fillId="9" fontId="4" numFmtId="0" xfId="0" applyAlignment="1" applyFont="1">
      <alignment shrinkToFit="0" vertical="bottom" wrapText="1"/>
    </xf>
    <xf borderId="0" fillId="9" fontId="4" numFmtId="0" xfId="0" applyAlignment="1" applyFont="1">
      <alignment shrinkToFit="0" vertical="bottom" wrapText="1"/>
    </xf>
    <xf borderId="0" fillId="10" fontId="4" numFmtId="0" xfId="0" applyAlignment="1" applyFill="1" applyFont="1">
      <alignment shrinkToFit="0" vertical="bottom" wrapText="1"/>
    </xf>
    <xf borderId="0" fillId="5" fontId="4" numFmtId="0" xfId="0" applyAlignment="1" applyFont="1">
      <alignment shrinkToFit="0" vertical="bottom" wrapText="1"/>
    </xf>
    <xf borderId="0" fillId="8" fontId="13" numFmtId="0" xfId="0" applyAlignment="1" applyFont="1">
      <alignment shrinkToFit="0" vertical="bottom" wrapText="1"/>
    </xf>
    <xf borderId="0" fillId="11" fontId="4" numFmtId="0" xfId="0" applyAlignment="1" applyFill="1" applyFont="1">
      <alignment shrinkToFit="0" vertical="bottom" wrapText="1"/>
    </xf>
    <xf borderId="0" fillId="12" fontId="4" numFmtId="0" xfId="0" applyAlignment="1" applyFill="1" applyFont="1">
      <alignment shrinkToFit="0" vertical="bottom" wrapText="1"/>
    </xf>
    <xf borderId="0" fillId="8" fontId="4" numFmtId="0" xfId="0" applyAlignment="1" applyFont="1">
      <alignment shrinkToFit="0" vertical="bottom" wrapText="1"/>
    </xf>
    <xf borderId="0" fillId="6" fontId="4" numFmtId="0" xfId="0" applyAlignment="1" applyFont="1">
      <alignment horizontal="center" shrinkToFit="0" vertical="bottom" wrapText="1"/>
    </xf>
    <xf borderId="0" fillId="13" fontId="14" numFmtId="10" xfId="0" applyAlignment="1" applyFill="1" applyFont="1" applyNumberFormat="1">
      <alignment horizontal="center" shrinkToFit="0" vertical="bottom" wrapText="1"/>
    </xf>
    <xf borderId="0" fillId="4" fontId="4" numFmtId="0" xfId="0" applyAlignment="1" applyFont="1">
      <alignment shrinkToFit="0" vertical="bottom" wrapText="1"/>
    </xf>
    <xf borderId="0" fillId="13" fontId="14" numFmtId="10" xfId="0" applyAlignment="1" applyFont="1" applyNumberFormat="1">
      <alignment shrinkToFit="0" vertical="bottom" wrapText="1"/>
    </xf>
    <xf borderId="0" fillId="14" fontId="6" numFmtId="10" xfId="0" applyAlignment="1" applyFill="1" applyFont="1" applyNumberFormat="1">
      <alignment shrinkToFit="0" vertical="bottom" wrapText="1"/>
    </xf>
    <xf borderId="0" fillId="14" fontId="4" numFmtId="10" xfId="0" applyAlignment="1" applyFont="1" applyNumberFormat="1">
      <alignment shrinkToFit="0" vertical="bottom" wrapText="1"/>
    </xf>
    <xf borderId="0" fillId="3" fontId="4" numFmtId="10" xfId="0" applyAlignment="1" applyFont="1" applyNumberFormat="1">
      <alignment shrinkToFit="0" vertical="bottom" wrapText="1"/>
    </xf>
    <xf borderId="0" fillId="11" fontId="4" numFmtId="10" xfId="0" applyAlignment="1" applyFont="1" applyNumberFormat="1">
      <alignment shrinkToFit="0" vertical="bottom" wrapText="1"/>
    </xf>
    <xf borderId="0" fillId="13" fontId="14" numFmtId="0" xfId="0" applyAlignment="1" applyFont="1">
      <alignment readingOrder="0" shrinkToFit="0" vertical="bottom" wrapText="1"/>
    </xf>
    <xf borderId="0" fillId="0" fontId="15" numFmtId="0" xfId="0" applyAlignment="1" applyFont="1">
      <alignment readingOrder="0" shrinkToFit="0" vertical="bottom" wrapText="1"/>
    </xf>
    <xf borderId="0" fillId="13" fontId="4" numFmtId="10" xfId="0" applyAlignment="1" applyFont="1" applyNumberFormat="1">
      <alignment shrinkToFit="0" vertical="bottom" wrapText="1"/>
    </xf>
    <xf borderId="0" fillId="0" fontId="15" numFmtId="10" xfId="0" applyAlignment="1" applyFont="1" applyNumberFormat="1">
      <alignment shrinkToFit="0" vertical="bottom" wrapText="1"/>
    </xf>
    <xf borderId="0" fillId="13" fontId="15" numFmtId="10" xfId="0" applyAlignment="1" applyFont="1" applyNumberFormat="1">
      <alignment shrinkToFit="0" vertical="bottom" wrapText="1"/>
    </xf>
    <xf borderId="0" fillId="0" fontId="4" numFmtId="0" xfId="0" applyAlignment="1" applyFont="1">
      <alignment horizontal="center" shrinkToFit="0" vertical="bottom" wrapText="1"/>
    </xf>
    <xf borderId="0" fillId="0" fontId="2" numFmtId="165" xfId="0" applyAlignment="1" applyFont="1" applyNumberFormat="1">
      <alignment readingOrder="0"/>
    </xf>
    <xf borderId="0" fillId="0" fontId="2" numFmtId="21" xfId="0" applyAlignment="1" applyFont="1" applyNumberFormat="1">
      <alignment readingOrder="0"/>
    </xf>
    <xf borderId="0" fillId="0" fontId="2" numFmtId="0" xfId="0" applyAlignment="1" applyFont="1">
      <alignment horizontal="left" readingOrder="0" shrinkToFit="0" wrapText="0"/>
    </xf>
    <xf borderId="0" fillId="0" fontId="2" numFmtId="0" xfId="0" applyAlignment="1" applyFont="1">
      <alignment horizontal="left" shrinkToFit="0" wrapText="0"/>
    </xf>
    <xf borderId="0" fillId="7" fontId="3" numFmtId="0" xfId="0" applyAlignment="1" applyFont="1">
      <alignment horizontal="center" vertical="bottom"/>
    </xf>
    <xf borderId="0" fillId="7" fontId="3" numFmtId="0" xfId="0" applyAlignment="1" applyFont="1">
      <alignment vertical="bottom"/>
    </xf>
    <xf borderId="0" fillId="8" fontId="16" numFmtId="0" xfId="0" applyAlignment="1" applyFont="1">
      <alignment horizontal="center" readingOrder="0"/>
    </xf>
    <xf borderId="0" fillId="7" fontId="16" numFmtId="0" xfId="0" applyAlignment="1" applyFont="1">
      <alignment horizontal="center"/>
    </xf>
    <xf borderId="0" fillId="15" fontId="16" numFmtId="0" xfId="0" applyAlignment="1" applyFill="1" applyFont="1">
      <alignment horizontal="center"/>
    </xf>
    <xf borderId="0" fillId="15" fontId="16" numFmtId="0" xfId="0" applyFont="1"/>
    <xf borderId="0" fillId="7" fontId="3" numFmtId="0" xfId="0" applyAlignment="1" applyFont="1">
      <alignment horizontal="center" vertical="bottom"/>
    </xf>
    <xf borderId="0" fillId="0" fontId="0" numFmtId="0" xfId="0" applyFont="1"/>
    <xf borderId="0" fillId="7" fontId="3" numFmtId="0" xfId="0" applyAlignment="1" applyFont="1">
      <alignment vertical="bottom"/>
    </xf>
    <xf borderId="0" fillId="15" fontId="16" numFmtId="0" xfId="0" applyAlignment="1" applyFont="1">
      <alignment horizontal="center" readingOrder="0"/>
    </xf>
    <xf borderId="0" fillId="15" fontId="16" numFmtId="0" xfId="0" applyAlignment="1" applyFont="1">
      <alignment readingOrder="0"/>
    </xf>
    <xf borderId="0" fillId="7" fontId="0" numFmtId="166" xfId="0" applyAlignment="1" applyFont="1" applyNumberFormat="1">
      <alignment horizontal="center"/>
    </xf>
    <xf borderId="0" fillId="8" fontId="3" numFmtId="0" xfId="0" applyAlignment="1" applyFont="1">
      <alignment horizontal="center" vertical="bottom"/>
    </xf>
    <xf borderId="0" fillId="7" fontId="16" numFmtId="0" xfId="0" applyAlignment="1" applyFont="1">
      <alignment horizontal="left"/>
    </xf>
    <xf borderId="0" fillId="11" fontId="3" numFmtId="0" xfId="0" applyAlignment="1" applyFont="1">
      <alignment vertical="bottom"/>
    </xf>
    <xf borderId="0" fillId="8" fontId="17" numFmtId="0" xfId="0" applyAlignment="1" applyFont="1">
      <alignment horizontal="center"/>
    </xf>
    <xf borderId="0" fillId="0" fontId="18" numFmtId="0" xfId="0" applyAlignment="1" applyFont="1">
      <alignment shrinkToFit="0" wrapText="1"/>
    </xf>
    <xf borderId="0" fillId="13" fontId="18" numFmtId="0" xfId="0" applyAlignment="1" applyFont="1">
      <alignment shrinkToFit="0" wrapText="1"/>
    </xf>
    <xf borderId="0" fillId="4" fontId="19" numFmtId="0" xfId="0" applyAlignment="1" applyFont="1">
      <alignment horizontal="center"/>
    </xf>
    <xf borderId="0" fillId="13" fontId="3" numFmtId="0" xfId="0" applyAlignment="1" applyFont="1">
      <alignment shrinkToFit="0" vertical="bottom" wrapText="0"/>
    </xf>
    <xf borderId="0" fillId="14" fontId="16" numFmtId="167" xfId="0" applyAlignment="1" applyFont="1" applyNumberFormat="1">
      <alignment shrinkToFit="0" vertical="bottom" wrapText="0"/>
    </xf>
    <xf borderId="0" fillId="14" fontId="3" numFmtId="3" xfId="0" applyAlignment="1" applyFont="1" applyNumberFormat="1">
      <alignment shrinkToFit="0" vertical="bottom" wrapText="0"/>
    </xf>
    <xf borderId="0" fillId="3" fontId="3" numFmtId="167" xfId="0" applyAlignment="1" applyFont="1" applyNumberFormat="1">
      <alignment shrinkToFit="0" vertical="bottom" wrapText="0"/>
    </xf>
    <xf borderId="0" fillId="3" fontId="3" numFmtId="3" xfId="0" applyAlignment="1" applyFont="1" applyNumberFormat="1">
      <alignment shrinkToFit="0" vertical="bottom" wrapText="0"/>
    </xf>
    <xf borderId="0" fillId="11" fontId="3" numFmtId="167" xfId="0" applyAlignment="1" applyFont="1" applyNumberFormat="1">
      <alignment shrinkToFit="0" vertical="bottom" wrapText="0"/>
    </xf>
    <xf borderId="0" fillId="11" fontId="3" numFmtId="167" xfId="0" applyAlignment="1" applyFont="1" applyNumberFormat="1">
      <alignment horizontal="center" shrinkToFit="0" vertical="bottom" wrapText="0"/>
    </xf>
    <xf borderId="0" fillId="13" fontId="3" numFmtId="0" xfId="0" applyAlignment="1" applyFont="1">
      <alignment shrinkToFit="0" vertical="bottom" wrapText="1"/>
    </xf>
    <xf borderId="0" fillId="0" fontId="20" numFmtId="0" xfId="0" applyAlignment="1" applyFont="1">
      <alignment readingOrder="0"/>
    </xf>
    <xf borderId="0" fillId="0" fontId="3" numFmtId="0" xfId="0" applyAlignment="1" applyFont="1">
      <alignment shrinkToFit="0" vertical="bottom" wrapText="1"/>
    </xf>
    <xf borderId="0" fillId="0" fontId="2" numFmtId="0" xfId="0" applyAlignment="1" applyFont="1">
      <alignment shrinkToFit="0" vertical="bottom" wrapText="1"/>
    </xf>
    <xf borderId="0" fillId="0" fontId="2" numFmtId="165" xfId="0" applyAlignment="1" applyFont="1" applyNumberFormat="1">
      <alignment horizontal="left" readingOrder="0" shrinkToFit="0" wrapText="0"/>
    </xf>
    <xf borderId="0" fillId="0" fontId="2" numFmtId="21" xfId="0" applyAlignment="1" applyFont="1" applyNumberFormat="1">
      <alignment horizontal="left" readingOrder="0" shrinkToFit="0" wrapText="0"/>
    </xf>
    <xf borderId="0" fillId="0" fontId="16" numFmtId="167" xfId="0" applyAlignment="1" applyFont="1" applyNumberFormat="1">
      <alignment shrinkToFit="0" wrapText="1"/>
    </xf>
    <xf borderId="0" fillId="0" fontId="2" numFmtId="167" xfId="0" applyFont="1" applyNumberFormat="1"/>
    <xf borderId="0" fillId="0" fontId="21" numFmtId="0" xfId="0" applyAlignment="1" applyFont="1">
      <alignment shrinkToFit="0" wrapText="1"/>
    </xf>
    <xf borderId="0" fillId="0" fontId="16" numFmtId="0" xfId="0" applyAlignment="1" applyFont="1">
      <alignment horizontal="left" readingOrder="0" shrinkToFit="0" wrapText="0"/>
    </xf>
    <xf borderId="0" fillId="0" fontId="16" numFmtId="0" xfId="0" applyAlignment="1" applyFont="1">
      <alignment horizontal="center" readingOrder="0"/>
    </xf>
    <xf borderId="0" fillId="0" fontId="16" numFmtId="0" xfId="0" applyAlignment="1" applyFont="1">
      <alignment readingOrder="0"/>
    </xf>
    <xf borderId="0" fillId="0" fontId="16" numFmtId="0" xfId="0" applyFont="1"/>
    <xf borderId="0" fillId="0" fontId="16" numFmtId="0" xfId="0" applyAlignment="1" applyFont="1">
      <alignment horizontal="center"/>
    </xf>
    <xf borderId="0" fillId="0" fontId="3" numFmtId="0" xfId="0" applyAlignment="1" applyFont="1">
      <alignment horizontal="center" vertical="bottom"/>
    </xf>
    <xf borderId="0" fillId="0" fontId="3" numFmtId="0" xfId="0" applyAlignment="1" applyFont="1">
      <alignment horizontal="center" readingOrder="0" vertical="bottom"/>
    </xf>
    <xf borderId="0" fillId="15" fontId="16" numFmtId="0" xfId="0" applyFont="1"/>
    <xf borderId="0" fillId="15" fontId="16" numFmtId="0" xfId="0" applyAlignment="1" applyFont="1">
      <alignment readingOrder="0"/>
    </xf>
    <xf borderId="0" fillId="0" fontId="16" numFmtId="0" xfId="0" applyAlignment="1" applyFont="1">
      <alignment horizontal="left" shrinkToFit="0" wrapText="0"/>
    </xf>
    <xf borderId="0" fillId="0" fontId="16" numFmtId="0" xfId="0" applyFont="1"/>
    <xf borderId="0" fillId="0" fontId="3" numFmtId="21" xfId="0" applyAlignment="1" applyFont="1" applyNumberFormat="1">
      <alignment horizontal="right" vertical="bottom"/>
    </xf>
    <xf borderId="0" fillId="0" fontId="3" numFmtId="0" xfId="0" applyAlignment="1" applyFont="1">
      <alignment horizontal="left" shrinkToFit="0" vertical="bottom" wrapText="0"/>
    </xf>
    <xf borderId="0" fillId="0" fontId="3" numFmtId="0" xfId="0" applyAlignment="1" applyFont="1">
      <alignment horizontal="left" shrinkToFit="0" vertical="bottom" wrapText="0"/>
    </xf>
    <xf borderId="0" fillId="0" fontId="3" numFmtId="0" xfId="0" applyFont="1"/>
    <xf borderId="0" fillId="16" fontId="16" numFmtId="0" xfId="0" applyAlignment="1" applyFill="1" applyFont="1">
      <alignment horizontal="center" readingOrder="0"/>
    </xf>
    <xf borderId="0" fillId="16" fontId="16" numFmtId="0" xfId="0" applyFont="1"/>
    <xf borderId="0" fillId="16" fontId="16" numFmtId="0" xfId="0" applyAlignment="1" applyFont="1">
      <alignment readingOrder="0"/>
    </xf>
    <xf borderId="0" fillId="0" fontId="22" numFmtId="0" xfId="0" applyAlignment="1" applyFont="1">
      <alignment horizontal="left" readingOrder="0" shrinkToFit="0" wrapText="0"/>
    </xf>
    <xf borderId="0" fillId="17" fontId="22" numFmtId="0" xfId="0" applyAlignment="1" applyFill="1" applyFont="1">
      <alignment horizontal="left" readingOrder="0"/>
    </xf>
    <xf borderId="0" fillId="4" fontId="16" numFmtId="0" xfId="0" applyAlignment="1" applyFont="1">
      <alignment readingOrder="0"/>
    </xf>
    <xf borderId="0" fillId="4" fontId="2" numFmtId="0" xfId="0" applyFont="1"/>
    <xf borderId="0" fillId="4" fontId="2" numFmtId="0" xfId="0" applyAlignment="1" applyFont="1">
      <alignment horizontal="left" readingOrder="0" shrinkToFit="0" wrapText="0"/>
    </xf>
    <xf borderId="0" fillId="4" fontId="16" numFmtId="0" xfId="0" applyFont="1"/>
    <xf borderId="0" fillId="4" fontId="0" numFmtId="0" xfId="0" applyAlignment="1" applyFont="1">
      <alignment horizontal="center"/>
    </xf>
    <xf borderId="0" fillId="15" fontId="3" numFmtId="0" xfId="0" applyAlignment="1" applyFont="1">
      <alignment horizontal="center" readingOrder="0" vertical="bottom"/>
    </xf>
    <xf borderId="0" fillId="15" fontId="3" numFmtId="0" xfId="0" applyAlignment="1" applyFont="1">
      <alignment vertical="bottom"/>
    </xf>
    <xf borderId="0" fillId="0" fontId="18" numFmtId="0" xfId="0" applyAlignment="1" applyFont="1">
      <alignment shrinkToFit="0" wrapText="0"/>
    </xf>
    <xf borderId="0" fillId="0" fontId="16" numFmtId="167" xfId="0" applyAlignment="1" applyFont="1" applyNumberFormat="1">
      <alignment shrinkToFit="0" vertical="bottom" wrapText="1"/>
    </xf>
    <xf borderId="0" fillId="9" fontId="16" numFmtId="0" xfId="0" applyAlignment="1" applyFont="1">
      <alignment horizontal="center" readingOrder="0"/>
    </xf>
    <xf borderId="0" fillId="13" fontId="14" numFmtId="0" xfId="0" applyAlignment="1" applyFont="1">
      <alignment horizontal="center" shrinkToFit="0" vertical="bottom" wrapText="1"/>
    </xf>
    <xf borderId="0" fillId="7" fontId="3" numFmtId="165" xfId="0" applyAlignment="1" applyFont="1" applyNumberFormat="1">
      <alignment horizontal="right" vertical="bottom"/>
    </xf>
    <xf borderId="0" fillId="7" fontId="3" numFmtId="21" xfId="0" applyAlignment="1" applyFont="1" applyNumberFormat="1">
      <alignment horizontal="right" vertical="bottom"/>
    </xf>
    <xf borderId="0" fillId="7" fontId="3" numFmtId="166" xfId="0" applyAlignment="1" applyFont="1" applyNumberFormat="1">
      <alignment horizontal="center" vertical="bottom"/>
    </xf>
    <xf borderId="0" fillId="7" fontId="3" numFmtId="166" xfId="0" applyAlignment="1" applyFont="1" applyNumberFormat="1">
      <alignment horizontal="right" vertical="bottom"/>
    </xf>
    <xf borderId="0" fillId="13" fontId="16" numFmtId="0" xfId="0" applyFont="1"/>
    <xf borderId="0" fillId="7" fontId="3" numFmtId="21" xfId="0" applyAlignment="1" applyFont="1" applyNumberFormat="1">
      <alignment vertical="bottom"/>
    </xf>
    <xf borderId="0" fillId="7" fontId="3" numFmtId="165" xfId="0" applyAlignment="1" applyFont="1" applyNumberFormat="1">
      <alignment vertical="bottom"/>
    </xf>
    <xf borderId="0" fillId="7" fontId="13" numFmtId="0" xfId="0" applyAlignment="1" applyFont="1">
      <alignment shrinkToFit="0" vertical="bottom" wrapText="1"/>
    </xf>
    <xf borderId="0" fillId="7" fontId="4" numFmtId="0" xfId="0" applyAlignment="1" applyFont="1">
      <alignment horizontal="right" shrinkToFit="0" vertical="bottom" wrapText="1"/>
    </xf>
    <xf borderId="0" fillId="0" fontId="14" numFmtId="0" xfId="0" applyAlignment="1" applyFont="1">
      <alignment horizontal="center" shrinkToFit="0" vertical="bottom" wrapText="1"/>
    </xf>
    <xf borderId="0" fillId="17" fontId="17" numFmtId="0" xfId="0" applyFont="1"/>
    <xf borderId="0" fillId="0" fontId="3" numFmtId="166" xfId="0" applyAlignment="1" applyFont="1" applyNumberFormat="1">
      <alignment horizontal="center" vertical="bottom"/>
    </xf>
    <xf borderId="0" fillId="0" fontId="3" numFmtId="166" xfId="0" applyAlignment="1" applyFont="1" applyNumberFormat="1">
      <alignment horizontal="right" vertical="bottom"/>
    </xf>
    <xf borderId="0" fillId="0" fontId="3" numFmtId="21" xfId="0" applyAlignment="1" applyFont="1" applyNumberFormat="1">
      <alignment vertical="bottom"/>
    </xf>
    <xf borderId="0" fillId="0" fontId="3" numFmtId="165" xfId="0" applyAlignment="1" applyFont="1" applyNumberFormat="1">
      <alignment vertical="bottom"/>
    </xf>
    <xf borderId="0" fillId="9" fontId="3" numFmtId="0" xfId="0" applyAlignment="1" applyFont="1">
      <alignment horizontal="center" vertical="bottom"/>
    </xf>
    <xf borderId="0" fillId="9" fontId="3" numFmtId="0" xfId="0" applyAlignment="1" applyFont="1">
      <alignment vertical="bottom"/>
    </xf>
    <xf borderId="0" fillId="0" fontId="4" numFmtId="0" xfId="0" applyAlignment="1" applyFont="1">
      <alignment readingOrder="0" shrinkToFit="0" vertical="bottom" wrapText="1"/>
    </xf>
    <xf borderId="0" fillId="0" fontId="4" numFmtId="0" xfId="0" applyAlignment="1" applyFont="1">
      <alignment readingOrder="0" shrinkToFit="0" vertical="bottom" wrapText="0"/>
    </xf>
    <xf borderId="0" fillId="13" fontId="14" numFmtId="0" xfId="0" applyAlignment="1" applyFont="1">
      <alignment horizontal="center" readingOrder="0" shrinkToFit="0" textRotation="0" vertical="bottom" wrapText="1"/>
    </xf>
    <xf borderId="0" fillId="7" fontId="4" numFmtId="0" xfId="0" applyAlignment="1" applyFont="1">
      <alignment horizontal="center" shrinkToFit="0" vertical="bottom" wrapText="1"/>
    </xf>
    <xf borderId="0" fillId="17" fontId="23" numFmtId="0" xfId="0" applyAlignment="1" applyFont="1">
      <alignment shrinkToFit="0" wrapText="1"/>
    </xf>
    <xf borderId="0" fillId="13" fontId="4" numFmtId="0" xfId="0" applyAlignment="1" applyFont="1">
      <alignment shrinkToFit="0" vertical="bottom" wrapText="1"/>
    </xf>
    <xf borderId="0" fillId="12" fontId="4" numFmtId="0" xfId="0" applyAlignment="1" applyFont="1">
      <alignment horizontal="center" shrinkToFit="0" vertical="bottom" wrapText="1"/>
    </xf>
    <xf borderId="0" fillId="18" fontId="14" numFmtId="0" xfId="0" applyAlignment="1" applyFill="1" applyFont="1">
      <alignment horizontal="center" shrinkToFit="0" vertical="bottom" wrapText="1"/>
    </xf>
    <xf borderId="0" fillId="0" fontId="4" numFmtId="0" xfId="0" applyAlignment="1" applyFont="1">
      <alignment horizontal="left" readingOrder="0" shrinkToFit="0" vertical="bottom" wrapText="1"/>
    </xf>
    <xf borderId="0" fillId="7" fontId="4" numFmtId="0" xfId="0" applyAlignment="1" applyFont="1">
      <alignment readingOrder="0" shrinkToFit="0" vertical="bottom" wrapText="1"/>
    </xf>
    <xf borderId="0" fillId="0" fontId="4" numFmtId="0" xfId="0" applyAlignment="1" applyFont="1">
      <alignment horizontal="center" readingOrder="0" shrinkToFit="0" vertical="bottom" wrapText="1"/>
    </xf>
    <xf borderId="0" fillId="13" fontId="14" numFmtId="0" xfId="0" applyAlignment="1" applyFont="1">
      <alignment readingOrder="0" shrinkToFit="0" textRotation="255" vertical="bottom" wrapText="1"/>
    </xf>
    <xf borderId="0" fillId="7" fontId="2" numFmtId="0" xfId="0" applyAlignment="1" applyFont="1">
      <alignment horizontal="center" readingOrder="0"/>
    </xf>
    <xf borderId="0" fillId="13" fontId="2" numFmtId="0" xfId="0" applyFont="1"/>
    <xf borderId="0" fillId="0" fontId="2" numFmtId="0" xfId="0" applyAlignment="1" applyFont="1">
      <alignment horizontal="left"/>
    </xf>
    <xf borderId="0" fillId="13" fontId="14" numFmtId="0" xfId="0" applyAlignment="1" applyFont="1">
      <alignment horizontal="center" shrinkToFit="0" vertical="bottom" wrapText="1"/>
    </xf>
    <xf borderId="0" fillId="17" fontId="0" numFmtId="0" xfId="0" applyFont="1"/>
    <xf borderId="0" fillId="0" fontId="2" numFmtId="0" xfId="0" applyAlignment="1" applyFont="1">
      <alignment horizontal="right"/>
    </xf>
    <xf borderId="0" fillId="5" fontId="2" numFmtId="0" xfId="0" applyFont="1"/>
    <xf borderId="0" fillId="17" fontId="19" numFmtId="0" xfId="0" applyFont="1"/>
    <xf borderId="0" fillId="13" fontId="24" numFmtId="0" xfId="0" applyAlignment="1" applyFont="1">
      <alignment readingOrder="0" shrinkToFit="0" textRotation="255" vertical="top" wrapText="0"/>
    </xf>
    <xf borderId="0" fillId="13" fontId="24" numFmtId="0" xfId="0" applyAlignment="1" applyFont="1">
      <alignment readingOrder="0" textRotation="255" vertical="top"/>
    </xf>
    <xf borderId="0" fillId="13" fontId="25" numFmtId="0" xfId="0" applyAlignment="1" applyFont="1">
      <alignment horizontal="center" vertical="bottom"/>
    </xf>
    <xf borderId="0" fillId="13" fontId="3" numFmtId="0" xfId="0" applyAlignment="1" applyFont="1">
      <alignment vertical="bottom"/>
    </xf>
    <xf borderId="0" fillId="0" fontId="2" numFmtId="0" xfId="0" applyAlignment="1" applyFont="1">
      <alignment horizontal="right" readingOrder="0"/>
    </xf>
    <xf borderId="0" fillId="0" fontId="2" numFmtId="0" xfId="0" applyAlignment="1" applyFont="1">
      <alignment horizontal="center"/>
    </xf>
    <xf borderId="0" fillId="0" fontId="10" numFmtId="0" xfId="0" applyFont="1"/>
    <xf borderId="0" fillId="8" fontId="22" numFmtId="0" xfId="0" applyAlignment="1" applyFont="1">
      <alignment horizontal="left" readingOrder="0"/>
    </xf>
    <xf borderId="0" fillId="7" fontId="4" numFmtId="0" xfId="0" applyAlignment="1" applyFont="1">
      <alignment horizontal="left" readingOrder="0" shrinkToFit="0" vertical="bottom" wrapText="1"/>
    </xf>
    <xf borderId="0" fillId="5" fontId="3" numFmtId="0" xfId="0" applyAlignment="1" applyFont="1">
      <alignment vertical="bottom"/>
    </xf>
    <xf borderId="0" fillId="3" fontId="3" numFmtId="165" xfId="0" applyAlignment="1" applyFont="1" applyNumberFormat="1">
      <alignment horizontal="right" vertical="bottom"/>
    </xf>
    <xf borderId="0" fillId="3" fontId="3" numFmtId="21" xfId="0" applyAlignment="1" applyFont="1" applyNumberFormat="1">
      <alignment horizontal="right" vertical="bottom"/>
    </xf>
    <xf borderId="0" fillId="3" fontId="3" numFmtId="0" xfId="0" applyAlignment="1" applyFont="1">
      <alignment vertical="bottom"/>
    </xf>
    <xf borderId="0" fillId="7" fontId="3" numFmtId="3" xfId="0" applyAlignment="1" applyFont="1" applyNumberFormat="1">
      <alignment horizontal="center" vertical="bottom"/>
    </xf>
    <xf borderId="0" fillId="6" fontId="2" numFmtId="0" xfId="0" applyAlignment="1" applyFont="1">
      <alignment horizontal="left"/>
    </xf>
    <xf borderId="0" fillId="0" fontId="3" numFmtId="3" xfId="0" applyAlignment="1" applyFont="1" applyNumberFormat="1">
      <alignment horizontal="center" vertical="bottom"/>
    </xf>
    <xf borderId="0" fillId="10" fontId="4" numFmtId="0" xfId="0" applyAlignment="1" applyFont="1">
      <alignment shrinkToFit="0" vertical="bottom" wrapText="1"/>
    </xf>
    <xf borderId="0" fillId="5" fontId="3" numFmtId="165" xfId="0" applyAlignment="1" applyFont="1" applyNumberFormat="1">
      <alignment horizontal="right" vertical="bottom"/>
    </xf>
    <xf borderId="0" fillId="0" fontId="3" numFmtId="165" xfId="0" applyAlignment="1" applyFont="1" applyNumberFormat="1">
      <alignment horizontal="center" vertical="bottom"/>
    </xf>
    <xf borderId="0" fillId="9" fontId="3" numFmtId="165" xfId="0" applyAlignment="1" applyFont="1" applyNumberFormat="1">
      <alignment horizontal="right" vertical="bottom"/>
    </xf>
    <xf borderId="0" fillId="0" fontId="2" numFmtId="0" xfId="0" applyAlignment="1" applyFont="1">
      <alignment shrinkToFit="0" wrapText="0"/>
    </xf>
    <xf borderId="0" fillId="0" fontId="2" numFmtId="0" xfId="0" applyAlignment="1" applyFont="1">
      <alignment shrinkToFit="0" wrapText="1"/>
    </xf>
    <xf borderId="0" fillId="0" fontId="2" numFmtId="0" xfId="0" applyAlignment="1" applyFont="1">
      <alignment readingOrder="0" shrinkToFit="0" wrapText="0"/>
    </xf>
    <xf borderId="0" fillId="0" fontId="12" numFmtId="0" xfId="0" applyAlignment="1" applyFont="1">
      <alignment horizontal="center" shrinkToFit="0" wrapText="1"/>
    </xf>
    <xf borderId="0" fillId="19" fontId="2" numFmtId="0" xfId="0" applyAlignment="1" applyFill="1" applyFont="1">
      <alignment readingOrder="0"/>
    </xf>
    <xf borderId="0" fillId="19" fontId="2" numFmtId="165" xfId="0" applyAlignment="1" applyFont="1" applyNumberFormat="1">
      <alignment readingOrder="0"/>
    </xf>
    <xf borderId="0" fillId="19" fontId="2" numFmtId="21" xfId="0" applyAlignment="1" applyFont="1" applyNumberFormat="1">
      <alignment readingOrder="0"/>
    </xf>
    <xf borderId="0" fillId="19" fontId="2" numFmtId="0" xfId="0" applyFont="1"/>
    <xf borderId="0" fillId="19" fontId="2" numFmtId="0" xfId="0" applyFont="1"/>
    <xf borderId="0" fillId="0" fontId="4" numFmtId="0" xfId="0" applyAlignment="1" applyFont="1">
      <alignment shrinkToFit="0" vertical="bottom" wrapText="0"/>
    </xf>
    <xf borderId="0" fillId="7" fontId="4" numFmtId="0" xfId="0" applyAlignment="1" applyFont="1">
      <alignment vertical="bottom"/>
    </xf>
    <xf borderId="0" fillId="7" fontId="0" numFmtId="0" xfId="0" applyFont="1"/>
    <xf borderId="0" fillId="13" fontId="3" numFmtId="0" xfId="0" applyAlignment="1" applyFont="1">
      <alignment vertical="bottom"/>
    </xf>
    <xf borderId="0" fillId="0" fontId="4" numFmtId="10" xfId="0" applyAlignment="1" applyFont="1" applyNumberFormat="1">
      <alignment shrinkToFit="0" vertical="bottom" wrapText="1"/>
    </xf>
    <xf borderId="0" fillId="7" fontId="10" numFmtId="0" xfId="0" applyFont="1"/>
    <xf borderId="0" fillId="0" fontId="12" numFmtId="0" xfId="0" applyAlignment="1" applyFont="1">
      <alignment shrinkToFit="0" wrapText="1"/>
    </xf>
    <xf borderId="0" fillId="8" fontId="3" numFmtId="0" xfId="0" applyAlignment="1" applyFont="1">
      <alignment vertical="bottom"/>
    </xf>
    <xf borderId="0" fillId="8" fontId="3" numFmtId="165" xfId="0" applyAlignment="1" applyFont="1" applyNumberFormat="1">
      <alignment horizontal="right" vertical="bottom"/>
    </xf>
    <xf borderId="0" fillId="8" fontId="3" numFmtId="21" xfId="0" applyAlignment="1" applyFont="1" applyNumberFormat="1">
      <alignment horizontal="right" vertical="bottom"/>
    </xf>
    <xf borderId="0" fillId="8" fontId="3" numFmtId="0" xfId="0" applyAlignment="1" applyFont="1">
      <alignment horizontal="right" vertical="bottom"/>
    </xf>
    <xf borderId="0" fillId="8" fontId="3" numFmtId="0" xfId="0" applyAlignment="1" applyFont="1">
      <alignment horizontal="center" vertical="bottom"/>
    </xf>
    <xf borderId="0" fillId="8" fontId="2" numFmtId="0" xfId="0" applyFont="1"/>
    <xf borderId="0" fillId="8" fontId="12" numFmtId="0" xfId="0" applyAlignment="1" applyFont="1">
      <alignment shrinkToFit="0" wrapText="1"/>
    </xf>
    <xf borderId="0" fillId="13" fontId="3" numFmtId="10" xfId="0" applyAlignment="1" applyFont="1" applyNumberFormat="1">
      <alignment vertical="bottom"/>
    </xf>
    <xf borderId="0" fillId="3" fontId="4" numFmtId="0" xfId="0" applyAlignment="1" applyFont="1">
      <alignment shrinkToFit="0" vertical="bottom" wrapText="1"/>
    </xf>
    <xf borderId="0" fillId="0" fontId="3" numFmtId="167" xfId="0" applyAlignment="1" applyFont="1" applyNumberFormat="1">
      <alignment vertical="bottom"/>
    </xf>
    <xf borderId="0" fillId="14" fontId="3" numFmtId="167" xfId="0" applyAlignment="1" applyFont="1" applyNumberFormat="1">
      <alignment vertical="bottom"/>
    </xf>
    <xf borderId="0" fillId="13" fontId="3" numFmtId="167" xfId="0" applyAlignment="1" applyFont="1" applyNumberFormat="1">
      <alignment vertical="bottom"/>
    </xf>
    <xf borderId="0" fillId="14" fontId="3" numFmtId="3" xfId="0" applyAlignment="1" applyFont="1" applyNumberFormat="1">
      <alignment horizontal="center" vertical="bottom"/>
    </xf>
    <xf borderId="0" fillId="3" fontId="3" numFmtId="167" xfId="0" applyAlignment="1" applyFont="1" applyNumberFormat="1">
      <alignment vertical="bottom"/>
    </xf>
    <xf borderId="0" fillId="3" fontId="3" numFmtId="3" xfId="0" applyAlignment="1" applyFont="1" applyNumberFormat="1">
      <alignment vertical="bottom"/>
    </xf>
    <xf borderId="0" fillId="11" fontId="3" numFmtId="167" xfId="0" applyAlignment="1" applyFont="1" applyNumberFormat="1">
      <alignment vertical="bottom"/>
    </xf>
    <xf borderId="0" fillId="11" fontId="3" numFmtId="167" xfId="0" applyAlignment="1" applyFont="1" applyNumberFormat="1">
      <alignment horizontal="center" vertical="bottom"/>
    </xf>
    <xf borderId="0" fillId="3" fontId="3" numFmtId="3" xfId="0" applyAlignment="1" applyFont="1" applyNumberFormat="1">
      <alignment horizontal="center" vertical="bottom"/>
    </xf>
    <xf borderId="0" fillId="0" fontId="3" numFmtId="167" xfId="0" applyAlignment="1" applyFont="1" applyNumberFormat="1">
      <alignment horizontal="center" vertical="bottom"/>
    </xf>
    <xf borderId="0" fillId="0" fontId="26" numFmtId="0" xfId="0" applyAlignment="1" applyFont="1">
      <alignment readingOrder="0" shrinkToFit="0" vertical="bottom" wrapText="0"/>
    </xf>
    <xf borderId="0" fillId="0" fontId="27" numFmtId="0" xfId="0" applyAlignment="1" applyFont="1">
      <alignment vertical="bottom"/>
    </xf>
    <xf borderId="0" fillId="0" fontId="28" numFmtId="0" xfId="0" applyAlignment="1" applyFont="1">
      <alignment shrinkToFit="0" vertical="bottom" wrapText="0"/>
    </xf>
    <xf borderId="0" fillId="0" fontId="29" numFmtId="0" xfId="0" applyAlignment="1" applyFont="1">
      <alignment shrinkToFit="0" vertical="bottom" wrapText="0"/>
    </xf>
    <xf borderId="0" fillId="0" fontId="29" numFmtId="0" xfId="0" applyAlignment="1" applyFont="1">
      <alignment vertical="bottom"/>
    </xf>
    <xf borderId="0" fillId="19" fontId="3" numFmtId="0" xfId="0" applyAlignment="1" applyFont="1">
      <alignment vertical="bottom"/>
    </xf>
    <xf borderId="0" fillId="0" fontId="29" numFmtId="0" xfId="0" applyAlignment="1" applyFont="1">
      <alignment shrinkToFit="0" vertical="bottom" wrapText="0"/>
    </xf>
    <xf borderId="0" fillId="19" fontId="29" numFmtId="0" xfId="0" applyAlignment="1" applyFont="1">
      <alignment shrinkToFit="0" vertical="bottom" wrapText="0"/>
    </xf>
    <xf borderId="0" fillId="3" fontId="29" numFmtId="0" xfId="0" applyAlignment="1" applyFont="1">
      <alignment shrinkToFit="0" vertical="bottom" wrapText="0"/>
    </xf>
    <xf borderId="0" fillId="3" fontId="3" numFmtId="0" xfId="0" applyAlignment="1" applyFont="1">
      <alignment vertical="bottom"/>
    </xf>
    <xf borderId="0" fillId="0" fontId="30" numFmtId="0" xfId="0" applyAlignment="1" applyFont="1">
      <alignment readingOrder="0" vertical="bottom"/>
    </xf>
    <xf borderId="0" fillId="0" fontId="30" numFmtId="168" xfId="0" applyAlignment="1" applyFont="1" applyNumberFormat="1">
      <alignment horizontal="right" readingOrder="0" vertical="bottom"/>
    </xf>
    <xf borderId="0" fillId="0" fontId="27" numFmtId="0" xfId="0" applyAlignment="1" applyFont="1">
      <alignment vertical="bottom"/>
    </xf>
    <xf borderId="0" fillId="0" fontId="3" numFmtId="0" xfId="0" applyAlignment="1" applyFont="1">
      <alignment readingOrder="0"/>
    </xf>
    <xf borderId="0" fillId="0" fontId="30" numFmtId="168" xfId="0" applyAlignment="1" applyFont="1" applyNumberFormat="1">
      <alignment horizontal="right" vertical="bottom"/>
    </xf>
    <xf borderId="0" fillId="0" fontId="3" numFmtId="0" xfId="0" applyFont="1"/>
    <xf borderId="0" fillId="0" fontId="29" numFmtId="0" xfId="0" applyAlignment="1" applyFont="1">
      <alignment vertical="bottom"/>
    </xf>
    <xf borderId="0" fillId="0" fontId="3" numFmtId="168" xfId="0" applyAlignment="1" applyFont="1" applyNumberFormat="1">
      <alignment vertical="bottom"/>
    </xf>
    <xf borderId="0" fillId="0" fontId="31" numFmtId="0" xfId="0" applyAlignment="1" applyFont="1">
      <alignment shrinkToFit="0" vertical="bottom" wrapText="0"/>
    </xf>
    <xf borderId="0" fillId="0" fontId="30" numFmtId="0" xfId="0" applyAlignment="1" applyFont="1">
      <alignment vertical="bottom"/>
    </xf>
    <xf borderId="0" fillId="0" fontId="3" numFmtId="0" xfId="0" applyAlignment="1" applyFont="1">
      <alignment shrinkToFit="0" vertical="bottom" wrapText="0"/>
    </xf>
    <xf borderId="0" fillId="0" fontId="32" numFmtId="0" xfId="0" applyAlignment="1" applyFont="1">
      <alignment readingOrder="0" vertical="bottom"/>
    </xf>
    <xf borderId="0" fillId="0" fontId="21" numFmtId="0" xfId="0" applyFont="1"/>
    <xf borderId="0" fillId="0" fontId="33" numFmtId="0" xfId="0" applyAlignment="1" applyFont="1">
      <alignment readingOrder="0"/>
    </xf>
    <xf borderId="0" fillId="4" fontId="21" numFmtId="0" xfId="0" applyAlignment="1" applyFont="1">
      <alignment horizontal="center"/>
    </xf>
    <xf borderId="0" fillId="0" fontId="34" numFmtId="0" xfId="0" applyAlignment="1" applyFont="1">
      <alignment readingOrder="0" shrinkToFit="0" vertical="bottom" wrapText="1"/>
    </xf>
    <xf borderId="0" fillId="0" fontId="27" numFmtId="0" xfId="0" applyAlignment="1" applyFont="1">
      <alignment readingOrder="0" vertical="bottom"/>
    </xf>
    <xf borderId="0" fillId="0" fontId="29" numFmtId="0" xfId="0" applyAlignment="1" applyFont="1">
      <alignment readingOrder="0"/>
    </xf>
    <xf borderId="0" fillId="0" fontId="29" numFmtId="0" xfId="0" applyAlignment="1" applyFont="1">
      <alignment readingOrder="0" shrinkToFit="0" vertical="bottom" wrapText="0"/>
    </xf>
    <xf borderId="0" fillId="0" fontId="21" numFmtId="0" xfId="0" applyAlignment="1" applyFont="1">
      <alignment readingOrder="0"/>
    </xf>
    <xf borderId="0" fillId="20" fontId="29" numFmtId="0" xfId="0" applyFill="1" applyFont="1"/>
    <xf borderId="0" fillId="0" fontId="35" numFmtId="0" xfId="0" applyAlignment="1" applyFont="1">
      <alignment readingOrder="0" vertical="bottom"/>
    </xf>
    <xf borderId="0" fillId="0" fontId="27" numFmtId="0" xfId="0" applyAlignment="1" applyFont="1">
      <alignment readingOrder="0" shrinkToFit="0" vertical="bottom" wrapText="0"/>
    </xf>
    <xf borderId="0" fillId="0" fontId="29" numFmtId="0" xfId="0" applyAlignment="1" applyFont="1">
      <alignment readingOrder="0" vertical="bottom"/>
    </xf>
    <xf borderId="0" fillId="0" fontId="21" numFmtId="0" xfId="0" applyAlignment="1" applyFont="1">
      <alignment readingOrder="0" vertical="bottom"/>
    </xf>
    <xf borderId="0" fillId="0" fontId="29" numFmtId="0" xfId="0" applyAlignment="1" applyFont="1">
      <alignment horizontal="center" readingOrder="0" vertical="bottom"/>
    </xf>
    <xf borderId="0" fillId="0" fontId="29" numFmtId="0" xfId="0" applyAlignment="1" applyFont="1">
      <alignment readingOrder="0" vertical="bottom"/>
    </xf>
    <xf borderId="0" fillId="0" fontId="21" numFmtId="0" xfId="0" applyAlignment="1" applyFont="1">
      <alignment horizontal="center" readingOrder="0"/>
    </xf>
    <xf borderId="0" fillId="0" fontId="36" numFmtId="0" xfId="0" applyAlignment="1" applyFont="1">
      <alignment readingOrder="0"/>
    </xf>
    <xf borderId="0" fillId="0" fontId="21" numFmtId="0" xfId="0" applyAlignment="1" applyFont="1">
      <alignment vertical="bottom"/>
    </xf>
    <xf borderId="0" fillId="0" fontId="37" numFmtId="0" xfId="0" applyAlignment="1" applyFont="1">
      <alignment readingOrder="0"/>
    </xf>
    <xf borderId="0" fillId="17" fontId="17" numFmtId="0" xfId="0" applyAlignment="1" applyFont="1">
      <alignment horizontal="left" readingOrder="0"/>
    </xf>
    <xf borderId="0" fillId="0" fontId="29" numFmtId="0" xfId="0" applyAlignment="1" applyFont="1">
      <alignment horizontal="center" vertical="bottom"/>
    </xf>
    <xf borderId="0" fillId="0" fontId="19" numFmtId="0" xfId="0" applyAlignment="1" applyFont="1">
      <alignment readingOrder="0"/>
    </xf>
    <xf borderId="0" fillId="0" fontId="29" numFmtId="0" xfId="0" applyFont="1"/>
    <xf borderId="0" fillId="0" fontId="17" numFmtId="0" xfId="0" applyAlignment="1" applyFont="1">
      <alignment horizontal="left" readingOrder="0"/>
    </xf>
    <xf borderId="0" fillId="0" fontId="38" numFmtId="0" xfId="0" applyAlignment="1" applyFont="1">
      <alignment readingOrder="0" vertical="bottom"/>
    </xf>
    <xf borderId="0" fillId="0" fontId="39" numFmtId="0" xfId="0" applyAlignment="1" applyFont="1">
      <alignment readingOrder="0"/>
    </xf>
    <xf borderId="0" fillId="3" fontId="27" numFmtId="0" xfId="0" applyAlignment="1" applyFont="1">
      <alignment readingOrder="0" vertical="bottom"/>
    </xf>
    <xf borderId="0" fillId="3" fontId="29" numFmtId="0" xfId="0" applyAlignment="1" applyFont="1">
      <alignment readingOrder="0"/>
    </xf>
    <xf borderId="0" fillId="3" fontId="29" numFmtId="0" xfId="0" applyAlignment="1" applyFont="1">
      <alignment readingOrder="0" shrinkToFit="0" vertical="bottom" wrapText="0"/>
    </xf>
    <xf borderId="0" fillId="3" fontId="29" numFmtId="0" xfId="0" applyAlignment="1" applyFont="1">
      <alignment vertical="bottom"/>
    </xf>
    <xf borderId="0" fillId="3" fontId="17" numFmtId="0" xfId="0" applyAlignment="1" applyFont="1">
      <alignment horizontal="left" readingOrder="0"/>
    </xf>
    <xf borderId="0" fillId="0" fontId="40" numFmtId="0" xfId="0" applyAlignment="1" applyFont="1">
      <alignment shrinkToFit="0" vertical="bottom" wrapText="1"/>
    </xf>
    <xf borderId="0" fillId="0" fontId="41" numFmtId="0" xfId="0" applyAlignment="1" applyFont="1">
      <alignment shrinkToFit="0" vertical="bottom" wrapText="0"/>
    </xf>
    <xf borderId="0" fillId="0" fontId="42" numFmtId="0" xfId="0" applyAlignment="1" applyFont="1">
      <alignment shrinkToFit="0" vertical="bottom" wrapText="0"/>
    </xf>
    <xf borderId="0" fillId="0" fontId="3" numFmtId="0" xfId="0" applyAlignment="1" applyFont="1">
      <alignment shrinkToFit="0" vertical="bottom" wrapText="0"/>
    </xf>
    <xf borderId="0" fillId="12" fontId="29" numFmtId="0" xfId="0" applyAlignment="1" applyFont="1">
      <alignment horizontal="center" readingOrder="0" vertical="bottom"/>
    </xf>
    <xf borderId="0" fillId="12" fontId="29" numFmtId="0" xfId="0" applyAlignment="1" applyFont="1">
      <alignment readingOrder="0" vertical="bottom"/>
    </xf>
    <xf borderId="0" fillId="12" fontId="21" numFmtId="0" xfId="0" applyFont="1"/>
    <xf borderId="0" fillId="9" fontId="29" numFmtId="0" xfId="0" applyAlignment="1" applyFont="1">
      <alignment readingOrder="0" vertical="bottom"/>
    </xf>
    <xf borderId="0" fillId="12" fontId="29" numFmtId="0" xfId="0" applyAlignment="1" applyFont="1">
      <alignment vertical="bottom"/>
    </xf>
    <xf borderId="0" fillId="0" fontId="43" numFmtId="0" xfId="0" applyAlignment="1" applyFont="1">
      <alignment readingOrder="0" vertical="bottom"/>
    </xf>
    <xf borderId="0" fillId="0" fontId="29" numFmtId="0" xfId="0" applyAlignment="1" applyFont="1">
      <alignment horizontal="center" vertical="bottom"/>
    </xf>
    <xf borderId="0" fillId="17" fontId="36" numFmtId="0" xfId="0" applyAlignment="1" applyFont="1">
      <alignment horizontal="left" readingOrder="0"/>
    </xf>
    <xf borderId="0" fillId="0" fontId="21" numFmtId="0" xfId="0" applyAlignment="1" applyFont="1">
      <alignment horizontal="center"/>
    </xf>
    <xf borderId="0" fillId="3" fontId="27" numFmtId="0" xfId="0" applyAlignment="1" applyFont="1">
      <alignment vertical="bottom"/>
    </xf>
    <xf borderId="0" fillId="3" fontId="3" numFmtId="0" xfId="0" applyAlignment="1" applyFont="1">
      <alignment readingOrder="0"/>
    </xf>
    <xf borderId="0" fillId="3" fontId="27" numFmtId="0" xfId="0" applyAlignment="1" applyFont="1">
      <alignment shrinkToFit="0" vertical="bottom" wrapText="0"/>
    </xf>
    <xf borderId="0" fillId="0" fontId="44" numFmtId="0" xfId="0" applyAlignment="1" applyFont="1">
      <alignment shrinkToFit="0" vertical="bottom" wrapText="0"/>
    </xf>
    <xf borderId="0" fillId="0" fontId="45" numFmtId="0" xfId="0" applyAlignment="1" applyFont="1">
      <alignment shrinkToFit="0" vertical="bottom" wrapText="0"/>
    </xf>
    <xf borderId="0" fillId="0" fontId="27" numFmtId="0" xfId="0" applyAlignment="1" applyFont="1">
      <alignment shrinkToFit="0" vertical="bottom" wrapText="0"/>
    </xf>
    <xf quotePrefix="1" borderId="0" fillId="0" fontId="29" numFmtId="0" xfId="0" applyAlignment="1" applyFont="1">
      <alignment shrinkToFit="0" vertical="bottom" wrapText="0"/>
    </xf>
    <xf borderId="0" fillId="3" fontId="29" numFmtId="0" xfId="0" applyAlignment="1" applyFont="1">
      <alignment shrinkToFit="0" vertical="bottom" wrapText="0"/>
    </xf>
    <xf borderId="0" fillId="17" fontId="29" numFmtId="0" xfId="0" applyAlignment="1" applyFont="1">
      <alignment shrinkToFit="0" vertical="bottom" wrapText="0"/>
    </xf>
    <xf borderId="0" fillId="0" fontId="46" numFmtId="0" xfId="0" applyAlignment="1" applyFont="1">
      <alignment shrinkToFit="0" vertical="bottom" wrapText="0"/>
    </xf>
    <xf borderId="0" fillId="3" fontId="27" numFmtId="0" xfId="0" applyAlignment="1" applyFont="1">
      <alignment vertical="bottom"/>
    </xf>
    <xf borderId="0" fillId="0" fontId="47" numFmtId="0" xfId="0" applyAlignment="1" applyFont="1">
      <alignment shrinkToFit="0" vertical="bottom" wrapText="0"/>
    </xf>
    <xf borderId="0" fillId="0" fontId="36" numFmtId="0" xfId="0" applyAlignment="1" applyFont="1">
      <alignment readingOrder="0" shrinkToFit="0" vertical="bottom" wrapText="0"/>
    </xf>
    <xf borderId="0" fillId="0" fontId="48" numFmtId="0" xfId="0" applyAlignment="1" applyFont="1">
      <alignment shrinkToFit="0" vertical="bottom" wrapText="0"/>
    </xf>
    <xf borderId="0" fillId="0" fontId="3" numFmtId="168" xfId="0" applyAlignment="1" applyFont="1" applyNumberFormat="1">
      <alignment readingOrder="0" vertical="bottom"/>
    </xf>
    <xf borderId="0" fillId="0" fontId="12" numFmtId="0" xfId="0" applyAlignment="1" applyFont="1">
      <alignment readingOrder="0"/>
    </xf>
    <xf borderId="0" fillId="0" fontId="49" numFmtId="0" xfId="0" applyAlignment="1" applyFont="1">
      <alignment readingOrder="0" shrinkToFit="0" wrapText="0"/>
    </xf>
    <xf borderId="0" fillId="0" fontId="3" numFmtId="168" xfId="0" applyAlignment="1" applyFont="1" applyNumberFormat="1">
      <alignment horizontal="right" vertical="bottom"/>
    </xf>
    <xf borderId="0" fillId="0" fontId="50" numFmtId="0" xfId="0" applyAlignment="1" applyFont="1">
      <alignment horizontal="center" readingOrder="0"/>
    </xf>
    <xf borderId="0" fillId="0" fontId="51" numFmtId="0" xfId="0" applyAlignment="1" applyFont="1">
      <alignment readingOrder="0"/>
    </xf>
    <xf borderId="0" fillId="0" fontId="52" numFmtId="0" xfId="0" applyAlignment="1" applyFont="1">
      <alignment horizontal="left" readingOrder="0"/>
    </xf>
    <xf borderId="0" fillId="0" fontId="53" numFmtId="0" xfId="0" applyAlignment="1" applyFont="1">
      <alignment horizontal="left" shrinkToFit="0" vertical="bottom" wrapText="0"/>
    </xf>
    <xf borderId="0" fillId="0" fontId="30" numFmtId="0" xfId="0" applyAlignment="1" applyFont="1">
      <alignment horizontal="right" readingOrder="0" shrinkToFit="0" vertical="bottom" wrapText="0"/>
    </xf>
    <xf borderId="0" fillId="0" fontId="30" numFmtId="0" xfId="0" applyAlignment="1" applyFont="1">
      <alignment horizontal="right" shrinkToFit="0" vertical="bottom" wrapText="0"/>
    </xf>
    <xf borderId="0" fillId="0" fontId="52" numFmtId="0" xfId="0" applyAlignment="1" applyFont="1">
      <alignment horizontal="right" readingOrder="0"/>
    </xf>
    <xf borderId="0" fillId="0" fontId="52" numFmtId="0" xfId="0" applyAlignment="1" applyFont="1">
      <alignment horizontal="right"/>
    </xf>
    <xf borderId="0" fillId="0" fontId="30" numFmtId="0" xfId="0" applyAlignment="1" applyFont="1">
      <alignment horizontal="left" readingOrder="0" shrinkToFit="0" vertical="top" wrapText="0"/>
    </xf>
    <xf borderId="0" fillId="9" fontId="51" numFmtId="0" xfId="0" applyAlignment="1" applyFont="1">
      <alignment readingOrder="0"/>
    </xf>
    <xf borderId="0" fillId="0" fontId="4" numFmtId="0" xfId="0" applyAlignment="1" applyFont="1">
      <alignment horizontal="left" shrinkToFit="0" vertical="bottom" wrapText="1"/>
    </xf>
    <xf borderId="0" fillId="0" fontId="15" numFmtId="0" xfId="0" applyAlignment="1" applyFont="1">
      <alignment shrinkToFit="0" vertical="bottom" wrapText="1"/>
    </xf>
    <xf borderId="0" fillId="0" fontId="31" numFmtId="0" xfId="0" applyAlignment="1" applyFont="1">
      <alignment shrinkToFit="0" vertical="top" wrapText="0"/>
    </xf>
    <xf borderId="0" fillId="0" fontId="3" numFmtId="0" xfId="0" applyAlignment="1" applyFont="1">
      <alignment shrinkToFit="0" vertical="top" wrapText="0"/>
    </xf>
    <xf borderId="0" fillId="0" fontId="3" numFmtId="0" xfId="0" applyAlignment="1" applyFont="1">
      <alignment horizontal="left" shrinkToFit="0" vertical="top" wrapText="0"/>
    </xf>
    <xf borderId="0" fillId="14" fontId="4" numFmtId="0" xfId="0" applyAlignment="1" applyFont="1">
      <alignment shrinkToFit="0" vertical="bottom" wrapText="1"/>
    </xf>
    <xf borderId="0" fillId="14" fontId="13" numFmtId="0" xfId="0" applyAlignment="1" applyFont="1">
      <alignment shrinkToFit="0" vertical="bottom" wrapText="1"/>
    </xf>
    <xf borderId="0" fillId="14" fontId="4" numFmtId="0" xfId="0" applyAlignment="1" applyFont="1">
      <alignment horizontal="center" shrinkToFit="0" vertical="bottom" wrapText="1"/>
    </xf>
    <xf borderId="0" fillId="14" fontId="14" numFmtId="0" xfId="0" applyAlignment="1" applyFont="1">
      <alignment horizontal="center" shrinkToFit="0" vertical="bottom" wrapText="1"/>
    </xf>
    <xf borderId="0" fillId="14" fontId="15" numFmtId="0" xfId="0" applyAlignment="1" applyFont="1">
      <alignment shrinkToFit="0" vertical="bottom" wrapText="1"/>
    </xf>
    <xf borderId="0" fillId="0" fontId="54" numFmtId="0" xfId="0" applyFont="1"/>
    <xf borderId="0" fillId="0" fontId="31" numFmtId="0" xfId="0" applyAlignment="1" applyFont="1">
      <alignment readingOrder="0" shrinkToFit="0" vertical="top" wrapText="0"/>
    </xf>
    <xf borderId="0" fillId="0" fontId="17" numFmtId="0" xfId="0" applyFont="1"/>
    <xf borderId="0" fillId="0" fontId="4" numFmtId="0" xfId="0" applyAlignment="1" applyFont="1">
      <alignment horizontal="left" shrinkToFit="0" vertical="top" wrapText="0"/>
    </xf>
    <xf borderId="0" fillId="0" fontId="3" numFmtId="0" xfId="0" applyAlignment="1" applyFont="1">
      <alignment horizontal="left" readingOrder="0" shrinkToFit="0" vertical="top" wrapText="0"/>
    </xf>
    <xf borderId="0" fillId="0" fontId="30" numFmtId="0" xfId="0" applyAlignment="1" applyFont="1">
      <alignment horizontal="right" vertical="bottom"/>
    </xf>
    <xf borderId="0" fillId="0" fontId="30" numFmtId="0" xfId="0" applyAlignment="1" applyFont="1">
      <alignment shrinkToFit="0" vertical="bottom" wrapText="0"/>
    </xf>
    <xf borderId="0" fillId="0" fontId="30" numFmtId="0" xfId="0" applyAlignment="1" applyFont="1">
      <alignment horizontal="left" shrinkToFit="0" vertical="bottom" wrapText="0"/>
    </xf>
    <xf borderId="0" fillId="0" fontId="30" numFmtId="0" xfId="0" applyAlignment="1" applyFont="1">
      <alignment horizontal="left" readingOrder="0" shrinkToFit="0" vertical="bottom" wrapText="0"/>
    </xf>
    <xf borderId="0" fillId="0" fontId="3" numFmtId="0" xfId="0" applyAlignment="1" applyFont="1">
      <alignment readingOrder="0" shrinkToFit="0" vertical="top" wrapText="0"/>
    </xf>
    <xf borderId="0" fillId="4" fontId="51" numFmtId="0" xfId="0" applyAlignment="1" applyFont="1">
      <alignment readingOrder="0"/>
    </xf>
    <xf borderId="0" fillId="21" fontId="4" numFmtId="0" xfId="0" applyAlignment="1" applyFill="1" applyFont="1">
      <alignment horizontal="left" shrinkToFit="0" vertical="bottom" wrapText="1"/>
    </xf>
    <xf borderId="0" fillId="7" fontId="3" numFmtId="0" xfId="0" applyAlignment="1" applyFont="1">
      <alignment shrinkToFit="0" vertical="top" wrapText="0"/>
    </xf>
    <xf borderId="0" fillId="7" fontId="3" numFmtId="0" xfId="0" applyAlignment="1" applyFont="1">
      <alignment horizontal="center" shrinkToFit="0" vertical="top" wrapText="1"/>
    </xf>
    <xf borderId="0" fillId="0" fontId="3" numFmtId="0" xfId="0" applyAlignment="1" applyFont="1">
      <alignment horizontal="center" shrinkToFit="0" vertical="top" wrapText="1"/>
    </xf>
    <xf borderId="0" fillId="21" fontId="4" numFmtId="0" xfId="0" applyAlignment="1" applyFont="1">
      <alignment shrinkToFit="0" vertical="bottom" wrapText="1"/>
    </xf>
    <xf borderId="0" fillId="0" fontId="30" numFmtId="0" xfId="0" applyAlignment="1" applyFont="1">
      <alignment horizontal="left" shrinkToFit="0" vertical="bottom" wrapText="0"/>
    </xf>
    <xf borderId="0" fillId="22" fontId="55" numFmtId="0" xfId="0" applyAlignment="1" applyFill="1" applyFont="1">
      <alignment readingOrder="0"/>
    </xf>
    <xf borderId="0" fillId="0" fontId="56" numFmtId="0" xfId="0" applyAlignment="1" applyFont="1">
      <alignment readingOrder="0"/>
    </xf>
    <xf borderId="0" fillId="0" fontId="4" numFmtId="0" xfId="0" applyAlignment="1" applyFont="1">
      <alignment shrinkToFit="0" vertical="bottom" wrapText="0"/>
    </xf>
    <xf borderId="0" fillId="14" fontId="4" numFmtId="0" xfId="0" applyAlignment="1" applyFont="1">
      <alignment shrinkToFit="0" vertical="bottom" wrapText="0"/>
    </xf>
    <xf borderId="0" fillId="14" fontId="4" numFmtId="0" xfId="0" applyAlignment="1" applyFont="1">
      <alignment shrinkToFit="0" vertical="top" wrapText="0"/>
    </xf>
    <xf borderId="0" fillId="14" fontId="3" numFmtId="0" xfId="0" applyAlignment="1" applyFont="1">
      <alignment shrinkToFit="0" vertical="top" wrapText="0"/>
    </xf>
    <xf borderId="0" fillId="14" fontId="4" numFmtId="0" xfId="0" applyAlignment="1" applyFont="1">
      <alignment horizontal="left" shrinkToFit="0" vertical="bottom" wrapText="0"/>
    </xf>
    <xf borderId="0" fillId="14" fontId="4" numFmtId="0" xfId="0" applyAlignment="1" applyFont="1">
      <alignment horizontal="left" shrinkToFit="0" vertical="bottom" wrapText="0"/>
    </xf>
    <xf borderId="0" fillId="14" fontId="4" numFmtId="0" xfId="0" applyAlignment="1" applyFont="1">
      <alignment horizontal="left" shrinkToFit="0" vertical="top" wrapText="0"/>
    </xf>
    <xf borderId="0" fillId="14" fontId="4" numFmtId="0" xfId="0" applyAlignment="1" applyFont="1">
      <alignment horizontal="left" shrinkToFit="0" vertical="top" wrapText="0"/>
    </xf>
    <xf borderId="0" fillId="14" fontId="12" numFmtId="0" xfId="0" applyAlignment="1" applyFont="1">
      <alignment shrinkToFit="0" wrapText="0"/>
    </xf>
    <xf borderId="0" fillId="14" fontId="2" numFmtId="0" xfId="0" applyAlignment="1" applyFont="1">
      <alignment shrinkToFit="0" wrapText="0"/>
    </xf>
    <xf borderId="0" fillId="14" fontId="2" numFmtId="0" xfId="0" applyFont="1"/>
    <xf borderId="0" fillId="0" fontId="12" numFmtId="0" xfId="0" applyAlignment="1" applyFont="1">
      <alignment shrinkToFit="0" wrapText="0"/>
    </xf>
    <xf borderId="0" fillId="0" fontId="12" numFmtId="0" xfId="0" applyFont="1"/>
    <xf borderId="0" fillId="9" fontId="2" numFmtId="0" xfId="0" applyFont="1"/>
    <xf borderId="0" fillId="9" fontId="33" numFmtId="0" xfId="0" applyAlignment="1" applyFont="1">
      <alignment readingOrder="0"/>
    </xf>
    <xf borderId="0" fillId="0" fontId="57" numFmtId="0" xfId="0" applyAlignment="1" applyFont="1">
      <alignment readingOrder="0"/>
    </xf>
    <xf borderId="0" fillId="0" fontId="57" numFmtId="0" xfId="0" applyAlignment="1" applyFont="1">
      <alignment readingOrder="0"/>
    </xf>
    <xf borderId="0" fillId="0" fontId="2" numFmtId="3" xfId="0" applyFont="1" applyNumberFormat="1"/>
    <xf borderId="0" fillId="0" fontId="12" numFmtId="3" xfId="0" applyFont="1" applyNumberFormat="1"/>
    <xf borderId="0" fillId="0" fontId="12" numFmtId="3" xfId="0" applyAlignment="1" applyFont="1" applyNumberFormat="1">
      <alignment readingOrder="0"/>
    </xf>
    <xf borderId="0" fillId="6" fontId="2" numFmtId="3" xfId="0" applyFont="1" applyNumberFormat="1"/>
    <xf borderId="0" fillId="0" fontId="2" numFmtId="0" xfId="0" applyAlignment="1" applyFont="1">
      <alignment readingOrder="0" shrinkToFit="0" wrapText="1"/>
    </xf>
    <xf borderId="0" fillId="7" fontId="2" numFmtId="3" xfId="0" applyAlignment="1" applyFont="1" applyNumberFormat="1">
      <alignment readingOrder="0"/>
    </xf>
    <xf borderId="0" fillId="8" fontId="2" numFmtId="3" xfId="0" applyAlignment="1" applyFont="1" applyNumberFormat="1">
      <alignment readingOrder="0"/>
    </xf>
    <xf borderId="0" fillId="10" fontId="3" numFmtId="0" xfId="0" applyAlignment="1" applyFont="1">
      <alignment horizontal="center" vertical="bottom"/>
    </xf>
    <xf borderId="0" fillId="0" fontId="3" numFmtId="3" xfId="0" applyAlignment="1" applyFont="1" applyNumberFormat="1">
      <alignment horizontal="right" vertical="bottom"/>
    </xf>
    <xf borderId="0" fillId="6" fontId="3" numFmtId="3" xfId="0" applyAlignment="1" applyFont="1" applyNumberFormat="1">
      <alignment horizontal="right" vertical="bottom"/>
    </xf>
    <xf borderId="0" fillId="8" fontId="2" numFmtId="0" xfId="0" applyAlignment="1" applyFont="1">
      <alignment readingOrder="0"/>
    </xf>
    <xf borderId="0" fillId="13" fontId="58" numFmtId="0" xfId="0" applyAlignment="1" applyFont="1">
      <alignment readingOrder="0"/>
    </xf>
    <xf borderId="0" fillId="13" fontId="24" numFmtId="0" xfId="0" applyFont="1"/>
    <xf borderId="0" fillId="0" fontId="53" numFmtId="0" xfId="0" applyAlignment="1" applyFont="1">
      <alignment vertical="bottom"/>
    </xf>
    <xf borderId="0" fillId="7" fontId="4" numFmtId="0" xfId="0" applyAlignment="1" applyFont="1">
      <alignment vertical="bottom"/>
    </xf>
    <xf borderId="0" fillId="10" fontId="4" numFmtId="0" xfId="0" applyAlignment="1" applyFont="1">
      <alignment horizontal="center" vertical="bottom"/>
    </xf>
    <xf borderId="0" fillId="12" fontId="3" numFmtId="0" xfId="0" applyAlignment="1" applyFont="1">
      <alignment vertical="bottom"/>
    </xf>
    <xf borderId="0" fillId="17" fontId="3" numFmtId="0" xfId="0" applyAlignment="1" applyFont="1">
      <alignment vertical="bottom"/>
    </xf>
    <xf borderId="0" fillId="8" fontId="3" numFmtId="0" xfId="0" applyAlignment="1" applyFont="1">
      <alignment shrinkToFit="0" vertical="bottom" wrapText="0"/>
    </xf>
    <xf borderId="0" fillId="7" fontId="4" numFmtId="0" xfId="0" applyAlignment="1" applyFont="1">
      <alignment horizontal="center" vertical="bottom"/>
    </xf>
    <xf borderId="0" fillId="9" fontId="3" numFmtId="0" xfId="0" applyAlignment="1" applyFont="1">
      <alignment vertical="bottom"/>
    </xf>
    <xf borderId="0" fillId="12" fontId="3" numFmtId="0" xfId="0" applyAlignment="1" applyFont="1">
      <alignment vertical="bottom"/>
    </xf>
    <xf borderId="0" fillId="23" fontId="52" numFmtId="0" xfId="0" applyAlignment="1" applyFill="1" applyFont="1">
      <alignment readingOrder="0"/>
    </xf>
    <xf borderId="0" fillId="23" fontId="2" numFmtId="0" xfId="0" applyAlignment="1" applyFont="1">
      <alignment readingOrder="0"/>
    </xf>
    <xf borderId="0" fillId="0" fontId="57" numFmtId="3" xfId="0" applyAlignment="1" applyFont="1" applyNumberFormat="1">
      <alignment readingOrder="0"/>
    </xf>
    <xf borderId="0" fillId="0" fontId="2" numFmtId="0" xfId="0" applyAlignment="1" applyFont="1">
      <alignment readingOrder="0"/>
    </xf>
  </cellXfs>
  <cellStyles count="1">
    <cellStyle xfId="0" name="Normal" builtinId="0"/>
  </cellStyles>
  <dxfs count="17">
    <dxf>
      <font/>
      <fill>
        <patternFill patternType="solid">
          <fgColor rgb="FFFF0000"/>
          <bgColor rgb="FFFF0000"/>
        </patternFill>
      </fill>
      <border/>
    </dxf>
    <dxf>
      <font/>
      <fill>
        <patternFill patternType="solid">
          <fgColor rgb="FF00FF00"/>
          <bgColor rgb="FF00FF00"/>
        </patternFill>
      </fill>
      <border/>
    </dxf>
    <dxf>
      <font>
        <color rgb="FF000000"/>
      </font>
      <fill>
        <patternFill patternType="solid">
          <fgColor rgb="FFFF0000"/>
          <bgColor rgb="FFFF0000"/>
        </patternFill>
      </fill>
      <border/>
    </dxf>
    <dxf>
      <font/>
      <fill>
        <patternFill patternType="solid">
          <fgColor rgb="FFFF00FF"/>
          <bgColor rgb="FFFF00FF"/>
        </patternFill>
      </fill>
      <border/>
    </dxf>
    <dxf>
      <font/>
      <fill>
        <patternFill patternType="solid">
          <fgColor rgb="FFF4CCCC"/>
          <bgColor rgb="FFF4CCCC"/>
        </patternFill>
      </fill>
      <border/>
    </dxf>
    <dxf>
      <font/>
      <fill>
        <patternFill patternType="solid">
          <fgColor rgb="FFFF9900"/>
          <bgColor rgb="FFFF9900"/>
        </patternFill>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9FC5E8"/>
          <bgColor rgb="FF9FC5E8"/>
        </patternFill>
      </fill>
      <border/>
    </dxf>
    <dxf>
      <font/>
      <fill>
        <patternFill patternType="solid">
          <fgColor rgb="FFB4A7D6"/>
          <bgColor rgb="FFB4A7D6"/>
        </patternFill>
      </fill>
      <border/>
    </dxf>
    <dxf>
      <font/>
      <fill>
        <patternFill patternType="solid">
          <fgColor rgb="FFB7B7B7"/>
          <bgColor rgb="FFB7B7B7"/>
        </patternFill>
      </fill>
      <border/>
    </dxf>
    <dxf>
      <font/>
      <fill>
        <patternFill patternType="solid">
          <fgColor rgb="FFD9D9D9"/>
          <bgColor rgb="FFD9D9D9"/>
        </patternFill>
      </fill>
      <border/>
    </dxf>
    <dxf>
      <font/>
      <fill>
        <patternFill patternType="solid">
          <fgColor rgb="FFFFD966"/>
          <bgColor rgb="FFFFD966"/>
        </patternFill>
      </fill>
      <border/>
    </dxf>
    <dxf>
      <font/>
      <fill>
        <patternFill patternType="solid">
          <fgColor rgb="FFEAD1DC"/>
          <bgColor rgb="FFEAD1DC"/>
        </patternFill>
      </fill>
      <border/>
    </dxf>
    <dxf>
      <font>
        <color rgb="FFFFFFFF"/>
      </font>
      <fill>
        <patternFill patternType="solid">
          <fgColor rgb="FFFF0000"/>
          <bgColor rgb="FFFF0000"/>
        </patternFill>
      </fill>
      <border/>
    </dxf>
    <dxf>
      <font/>
      <fill>
        <patternFill patternType="solid">
          <fgColor rgb="FFFFF2CC"/>
          <bgColor rgb="FFFFF2CC"/>
        </patternFill>
      </fill>
      <border/>
    </dxf>
    <dxf>
      <font/>
      <fill>
        <patternFill patternType="solid">
          <fgColor rgb="FF00FFFF"/>
          <bgColor rgb="FF00FFF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lkoZ0Og6KAdMPD6eBgW3tcs8v4dg6l9-Hjnp8Do__Rg/edit?usp=sharing"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3.xml"/><Relationship Id="rId3"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docs.google.com/spreadsheets/d/1AgE50rl8eKjh9NjodW7TjuuQOIEgN5V1rALbJzJBQZU/edit?usp=sharing" TargetMode="External"/><Relationship Id="rId3" Type="http://schemas.openxmlformats.org/officeDocument/2006/relationships/drawing" Target="../drawings/drawing14.xml"/><Relationship Id="rId4"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docs.google.com/spreadsheets/d/1BhplIZ6Ky5t86SOqU_WUaxt-v3eoSSII2AiFA6BfqYw/edit" TargetMode="External"/><Relationship Id="rId3" Type="http://schemas.openxmlformats.org/officeDocument/2006/relationships/drawing" Target="../drawings/drawing15.xml"/><Relationship Id="rId4"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6.xml"/><Relationship Id="rId3"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63"/>
    <col customWidth="1" min="2" max="2" width="60.38"/>
    <col customWidth="1" min="3" max="3" width="68.38"/>
  </cols>
  <sheetData>
    <row r="1">
      <c r="A1" s="1" t="s">
        <v>0</v>
      </c>
      <c r="B1" s="2" t="s">
        <v>1</v>
      </c>
    </row>
    <row r="2">
      <c r="A2" s="3" t="s">
        <v>2</v>
      </c>
      <c r="B2" s="4" t="s">
        <v>3</v>
      </c>
    </row>
    <row r="3">
      <c r="A3" s="5" t="s">
        <v>2</v>
      </c>
      <c r="B3" s="5" t="s">
        <v>4</v>
      </c>
      <c r="N3" s="6" t="s">
        <v>5</v>
      </c>
    </row>
    <row r="4">
      <c r="B4" s="7" t="s">
        <v>6</v>
      </c>
      <c r="C4" s="8" t="s">
        <v>7</v>
      </c>
      <c r="D4" s="9" t="s">
        <v>8</v>
      </c>
      <c r="I4" s="2"/>
      <c r="J4" s="2"/>
      <c r="M4" s="10">
        <f>COUNTIF(M5:M1020, FALSE)</f>
        <v>0</v>
      </c>
      <c r="N4" s="9" t="s">
        <v>9</v>
      </c>
    </row>
    <row r="5">
      <c r="A5" s="11">
        <f>IFERROR(__xludf.DUMMYFUNCTION("IMPORTRANGE($A$1,""Runs Compare!C1"")
"),772.0)</f>
        <v>772</v>
      </c>
      <c r="B5" s="3" t="s">
        <v>10</v>
      </c>
      <c r="C5" s="12" t="s">
        <v>11</v>
      </c>
      <c r="M5" s="10" t="b">
        <f t="shared" ref="M5:M77" si="1">IF(NOT(ISBLANK(N5)),A5=N5,IFERROR(0/0,""))</f>
        <v>1</v>
      </c>
      <c r="N5" s="11">
        <v>772.0</v>
      </c>
      <c r="Q5" s="11">
        <v>772.0</v>
      </c>
      <c r="R5" s="2" t="s">
        <v>12</v>
      </c>
      <c r="S5" s="2" t="s">
        <v>13</v>
      </c>
    </row>
    <row r="6">
      <c r="A6" s="11">
        <f>A5+A17</f>
        <v>792</v>
      </c>
      <c r="B6" s="3" t="s">
        <v>14</v>
      </c>
      <c r="C6" s="12" t="s">
        <v>15</v>
      </c>
      <c r="M6" s="10" t="b">
        <f t="shared" si="1"/>
        <v>1</v>
      </c>
      <c r="N6" s="11">
        <v>792.0</v>
      </c>
      <c r="Q6" s="11">
        <v>792.0</v>
      </c>
      <c r="R6" s="2" t="s">
        <v>16</v>
      </c>
      <c r="S6" s="2" t="s">
        <v>15</v>
      </c>
    </row>
    <row r="7">
      <c r="A7" s="13">
        <f>IFERROR(__xludf.DUMMYFUNCTION("IMPORTRANGE($A$1,""Runs Compare!B1"")
"),44.0)</f>
        <v>44</v>
      </c>
      <c r="B7" s="3" t="s">
        <v>17</v>
      </c>
      <c r="C7" s="3"/>
      <c r="M7" s="10" t="b">
        <f t="shared" si="1"/>
        <v>1</v>
      </c>
      <c r="N7" s="14">
        <v>44.0</v>
      </c>
      <c r="Q7" s="2"/>
      <c r="R7" s="2"/>
      <c r="S7" s="2"/>
    </row>
    <row r="8">
      <c r="A8" s="11">
        <f>IFERROR(__xludf.DUMMYFUNCTION("IMPORTRANGE($A$1,""Run Reconcile!AE1"")
"),11.0)</f>
        <v>11</v>
      </c>
      <c r="B8" s="3" t="s">
        <v>18</v>
      </c>
      <c r="C8" s="3"/>
      <c r="M8" s="10" t="b">
        <f t="shared" si="1"/>
        <v>1</v>
      </c>
      <c r="N8" s="11">
        <v>11.0</v>
      </c>
      <c r="Q8" s="11">
        <v>11.0</v>
      </c>
      <c r="R8" s="2" t="s">
        <v>18</v>
      </c>
      <c r="S8" s="2"/>
    </row>
    <row r="9">
      <c r="A9" s="11">
        <f>IFERROR(__xludf.DUMMYFUNCTION("SUM(IMPORTRANGE($A$1,""RFR Data - preExcl!AC2:AC""))+A8
+A8"),822.0)</f>
        <v>822</v>
      </c>
      <c r="B9" s="3" t="s">
        <v>19</v>
      </c>
      <c r="C9" s="3" t="s">
        <v>20</v>
      </c>
      <c r="M9" s="10" t="b">
        <f t="shared" si="1"/>
        <v>1</v>
      </c>
      <c r="N9" s="11">
        <v>822.0</v>
      </c>
      <c r="Q9" s="11">
        <v>811.0</v>
      </c>
      <c r="R9" s="2" t="s">
        <v>21</v>
      </c>
      <c r="S9" s="2" t="s">
        <v>20</v>
      </c>
    </row>
    <row r="10">
      <c r="B10" s="5"/>
      <c r="C10" s="3"/>
      <c r="M10" s="10" t="str">
        <f t="shared" si="1"/>
        <v/>
      </c>
      <c r="S10" s="2"/>
    </row>
    <row r="11">
      <c r="A11" s="15">
        <f>COUNTA(postDEL!A2:A1020)</f>
        <v>767</v>
      </c>
      <c r="B11" s="3" t="s">
        <v>22</v>
      </c>
      <c r="C11" s="3" t="s">
        <v>23</v>
      </c>
      <c r="M11" s="10" t="b">
        <f t="shared" si="1"/>
        <v>1</v>
      </c>
      <c r="N11" s="11">
        <v>767.0</v>
      </c>
      <c r="Q11" s="11">
        <v>767.0</v>
      </c>
      <c r="R11" s="2" t="s">
        <v>22</v>
      </c>
      <c r="S11" s="2" t="s">
        <v>23</v>
      </c>
    </row>
    <row r="12">
      <c r="A12" s="11">
        <f>IFERROR(__xludf.DUMMYFUNCTION("COUNTA(IMPORTRANGE($A$1,""ARF Tubes!M2:M""))"),5.0)</f>
        <v>5</v>
      </c>
      <c r="B12" s="3" t="s">
        <v>24</v>
      </c>
      <c r="C12" s="3" t="s">
        <v>25</v>
      </c>
      <c r="M12" s="10" t="b">
        <f t="shared" si="1"/>
        <v>1</v>
      </c>
      <c r="N12" s="11">
        <v>5.0</v>
      </c>
      <c r="Q12" s="11">
        <v>5.0</v>
      </c>
      <c r="R12" s="2" t="s">
        <v>24</v>
      </c>
      <c r="S12" s="2" t="s">
        <v>25</v>
      </c>
    </row>
    <row r="13">
      <c r="A13" s="11">
        <f>A12+A11</f>
        <v>772</v>
      </c>
      <c r="B13" s="3" t="s">
        <v>26</v>
      </c>
      <c r="C13" s="3" t="s">
        <v>27</v>
      </c>
      <c r="M13" s="10" t="b">
        <f t="shared" si="1"/>
        <v>1</v>
      </c>
      <c r="N13" s="11">
        <v>772.0</v>
      </c>
      <c r="Q13" s="11">
        <v>772.0</v>
      </c>
      <c r="R13" s="2" t="s">
        <v>26</v>
      </c>
      <c r="S13" s="2" t="s">
        <v>28</v>
      </c>
    </row>
    <row r="14">
      <c r="A14" s="16">
        <v>1.0</v>
      </c>
      <c r="B14" s="3" t="s">
        <v>29</v>
      </c>
      <c r="C14" s="5"/>
      <c r="M14" s="10" t="b">
        <f t="shared" si="1"/>
        <v>1</v>
      </c>
      <c r="N14" s="2">
        <v>1.0</v>
      </c>
      <c r="Q14" s="2">
        <v>1.0</v>
      </c>
      <c r="R14" s="2" t="s">
        <v>30</v>
      </c>
    </row>
    <row r="15">
      <c r="B15" s="5"/>
      <c r="C15" s="5"/>
      <c r="M15" s="10" t="str">
        <f t="shared" si="1"/>
        <v/>
      </c>
    </row>
    <row r="16">
      <c r="B16" s="7" t="s">
        <v>31</v>
      </c>
      <c r="C16" s="5" t="s">
        <v>32</v>
      </c>
      <c r="M16" s="10" t="str">
        <f t="shared" si="1"/>
        <v/>
      </c>
      <c r="R16" s="2" t="s">
        <v>31</v>
      </c>
    </row>
    <row r="17">
      <c r="A17" s="11">
        <f>IFERROR(__xludf.DUMMYFUNCTION("SUM(IMPORTRANGE($A$1,""Run Reconcile!AB2:AB""))
"),20.0)</f>
        <v>20</v>
      </c>
      <c r="B17" s="3" t="s">
        <v>33</v>
      </c>
      <c r="C17" s="3" t="s">
        <v>34</v>
      </c>
      <c r="M17" s="10" t="b">
        <f t="shared" si="1"/>
        <v>1</v>
      </c>
      <c r="N17" s="11">
        <v>20.0</v>
      </c>
      <c r="Q17" s="11">
        <v>20.0</v>
      </c>
      <c r="R17" s="2" t="s">
        <v>35</v>
      </c>
      <c r="S17" s="2" t="s">
        <v>34</v>
      </c>
    </row>
    <row r="18">
      <c r="A18" s="11">
        <f>IFERROR(__xludf.DUMMYFUNCTION("SUM(IMPORTRANGE($A$1,""Run Reconcile!AA2:AA""))
"),27.0)</f>
        <v>27</v>
      </c>
      <c r="B18" s="3" t="s">
        <v>36</v>
      </c>
      <c r="C18" s="3" t="s">
        <v>37</v>
      </c>
      <c r="M18" s="10" t="b">
        <f t="shared" si="1"/>
        <v>1</v>
      </c>
      <c r="N18" s="11">
        <v>27.0</v>
      </c>
      <c r="Q18" s="11">
        <v>27.0</v>
      </c>
      <c r="R18" s="2" t="s">
        <v>38</v>
      </c>
      <c r="S18" s="2" t="s">
        <v>37</v>
      </c>
    </row>
    <row r="19">
      <c r="A19" s="17">
        <f>A17/A5</f>
        <v>0.02590673575</v>
      </c>
      <c r="B19" s="5" t="s">
        <v>39</v>
      </c>
      <c r="C19" s="5" t="s">
        <v>40</v>
      </c>
      <c r="M19" s="10" t="b">
        <f t="shared" si="1"/>
        <v>1</v>
      </c>
      <c r="N19" s="18">
        <v>0.025906735751295335</v>
      </c>
    </row>
    <row r="20">
      <c r="A20" s="19">
        <f>IFERROR(__xludf.DUMMYFUNCTION("IMPORTRANGE($A$1,""Run Reconcile!Z1"")"),10.0)</f>
        <v>10</v>
      </c>
      <c r="B20" s="5" t="s">
        <v>41</v>
      </c>
      <c r="C20" s="5"/>
      <c r="M20" s="10" t="b">
        <f t="shared" si="1"/>
        <v>1</v>
      </c>
      <c r="N20" s="11">
        <v>10.0</v>
      </c>
    </row>
    <row r="21">
      <c r="A21" s="20">
        <f>A20/A7</f>
        <v>0.2272727273</v>
      </c>
      <c r="B21" s="5" t="s">
        <v>42</v>
      </c>
      <c r="C21" s="5"/>
      <c r="M21" s="10" t="b">
        <f t="shared" si="1"/>
        <v>1</v>
      </c>
      <c r="N21" s="21">
        <v>0.22727272727272727</v>
      </c>
    </row>
    <row r="22">
      <c r="B22" s="5"/>
      <c r="C22" s="5"/>
      <c r="M22" s="10" t="str">
        <f t="shared" si="1"/>
        <v/>
      </c>
    </row>
    <row r="23" ht="47.25" customHeight="1">
      <c r="A23" s="5"/>
      <c r="B23" s="22" t="s">
        <v>43</v>
      </c>
      <c r="C23" s="5" t="s">
        <v>32</v>
      </c>
      <c r="E23" s="23"/>
      <c r="F23" s="24" t="s">
        <v>44</v>
      </c>
      <c r="G23" s="25" t="s">
        <v>45</v>
      </c>
      <c r="H23" s="25" t="s">
        <v>46</v>
      </c>
      <c r="I23" s="25" t="s">
        <v>47</v>
      </c>
      <c r="J23" s="26" t="s">
        <v>48</v>
      </c>
      <c r="K23" s="25" t="s">
        <v>49</v>
      </c>
      <c r="L23" s="25" t="s">
        <v>50</v>
      </c>
      <c r="M23" s="10" t="str">
        <f t="shared" si="1"/>
        <v/>
      </c>
      <c r="R23" s="11" t="s">
        <v>43</v>
      </c>
    </row>
    <row r="24">
      <c r="A24" s="27">
        <f>COUNTIF('Pos and Incl'!H$2:H1020,"Positive")</f>
        <v>71</v>
      </c>
      <c r="B24" s="5" t="s">
        <v>51</v>
      </c>
      <c r="C24" s="5"/>
      <c r="E24" s="26" t="s">
        <v>52</v>
      </c>
      <c r="F24" s="28">
        <f>A24</f>
        <v>71</v>
      </c>
      <c r="G24" s="28">
        <f>A26</f>
        <v>51</v>
      </c>
      <c r="H24" s="29">
        <f>G24-'Pos and Incl'!Z32</f>
        <v>51</v>
      </c>
      <c r="I24" s="28">
        <f>A45</f>
        <v>51</v>
      </c>
      <c r="J24" s="30">
        <f>IF(H24&lt;&gt;0,I24/H24,IFERROR(0/0,""))</f>
        <v>1</v>
      </c>
      <c r="K24" s="28">
        <f>H24-I24</f>
        <v>0</v>
      </c>
      <c r="L24" s="30">
        <f>IF(H24&lt;&gt;0,K24/H24,IFERROR(0/0,""))</f>
        <v>0</v>
      </c>
      <c r="M24" s="10" t="b">
        <f t="shared" si="1"/>
        <v>1</v>
      </c>
      <c r="N24" s="11">
        <v>71.0</v>
      </c>
      <c r="Q24" s="11">
        <v>71.0</v>
      </c>
      <c r="R24" s="11" t="s">
        <v>51</v>
      </c>
    </row>
    <row r="25">
      <c r="A25" s="17">
        <f>A24/A$5</f>
        <v>0.09196891192</v>
      </c>
      <c r="B25" s="5" t="s">
        <v>53</v>
      </c>
      <c r="C25" s="5"/>
      <c r="E25" s="31"/>
      <c r="F25" s="32"/>
      <c r="G25" s="5"/>
      <c r="H25" s="32"/>
      <c r="I25" s="5"/>
      <c r="J25" s="5"/>
      <c r="K25" s="5"/>
      <c r="L25" s="33"/>
      <c r="M25" s="10" t="b">
        <f t="shared" si="1"/>
        <v>1</v>
      </c>
      <c r="N25" s="18">
        <v>0.09196891191709844</v>
      </c>
      <c r="Q25" s="18">
        <v>0.09196891191709844</v>
      </c>
      <c r="R25" s="11" t="s">
        <v>54</v>
      </c>
    </row>
    <row r="26">
      <c r="A26" s="19">
        <f>'Pos and Incl'!Z81+'Pos and Incl'!Z83+'Pos and Incl'!Z88</f>
        <v>51</v>
      </c>
      <c r="B26" s="3" t="s">
        <v>55</v>
      </c>
      <c r="C26" s="34" t="s">
        <v>56</v>
      </c>
      <c r="E26" s="31"/>
      <c r="F26" s="32"/>
      <c r="G26" s="5"/>
      <c r="H26" s="32"/>
      <c r="I26" s="26" t="s">
        <v>57</v>
      </c>
      <c r="J26" s="26" t="s">
        <v>58</v>
      </c>
      <c r="K26" s="26" t="s">
        <v>59</v>
      </c>
      <c r="L26" s="26" t="s">
        <v>60</v>
      </c>
      <c r="M26" s="10" t="b">
        <f t="shared" si="1"/>
        <v>1</v>
      </c>
      <c r="N26" s="11">
        <v>51.0</v>
      </c>
    </row>
    <row r="27">
      <c r="A27" s="19">
        <f>COUNTIF('Pos and Incl'!Y$2:Y$75,TRUE)</f>
        <v>0</v>
      </c>
      <c r="B27" s="3" t="s">
        <v>61</v>
      </c>
      <c r="C27" s="5" t="s">
        <v>62</v>
      </c>
      <c r="E27" s="26" t="s">
        <v>63</v>
      </c>
      <c r="F27" s="28">
        <f>A33</f>
        <v>5</v>
      </c>
      <c r="G27" s="28">
        <f>F27</f>
        <v>5</v>
      </c>
      <c r="H27" s="29">
        <f>G27-A37</f>
        <v>3</v>
      </c>
      <c r="I27" s="28">
        <f>A46</f>
        <v>1</v>
      </c>
      <c r="J27" s="30">
        <f>IF(H27&lt;&gt;0,I27/H27,IFERROR(0/0,""))</f>
        <v>0.3333333333</v>
      </c>
      <c r="K27" s="23">
        <f>A48</f>
        <v>1</v>
      </c>
      <c r="L27" s="30">
        <f>IF(H27&lt;&gt;0,K27/H27,IFERROR(0/0,""))</f>
        <v>0.3333333333</v>
      </c>
      <c r="M27" s="10" t="b">
        <f t="shared" si="1"/>
        <v>1</v>
      </c>
      <c r="N27" s="11">
        <v>0.0</v>
      </c>
    </row>
    <row r="28">
      <c r="A28" s="19">
        <f>A26-A27</f>
        <v>51</v>
      </c>
      <c r="B28" s="3" t="s">
        <v>64</v>
      </c>
      <c r="C28" s="5"/>
      <c r="M28" s="10" t="b">
        <f t="shared" si="1"/>
        <v>1</v>
      </c>
      <c r="N28" s="11">
        <v>51.0</v>
      </c>
    </row>
    <row r="29">
      <c r="A29" s="5"/>
      <c r="B29" s="5"/>
      <c r="C29" s="5"/>
      <c r="M29" s="10" t="str">
        <f t="shared" si="1"/>
        <v/>
      </c>
    </row>
    <row r="30">
      <c r="A30" s="5"/>
      <c r="B30" s="22" t="s">
        <v>65</v>
      </c>
      <c r="C30" s="5" t="s">
        <v>32</v>
      </c>
      <c r="M30" s="10" t="str">
        <f t="shared" si="1"/>
        <v/>
      </c>
      <c r="R30" s="11" t="s">
        <v>65</v>
      </c>
    </row>
    <row r="31">
      <c r="A31" s="19">
        <f>COUNTIF('Pos and Incl'!H$2:H1020,"Inconclusive")</f>
        <v>2</v>
      </c>
      <c r="B31" s="5" t="s">
        <v>66</v>
      </c>
      <c r="C31" s="5"/>
      <c r="M31" s="10" t="b">
        <f t="shared" si="1"/>
        <v>1</v>
      </c>
      <c r="N31" s="11">
        <v>2.0</v>
      </c>
      <c r="Q31" s="11">
        <v>2.0</v>
      </c>
      <c r="R31" s="11" t="s">
        <v>66</v>
      </c>
    </row>
    <row r="32">
      <c r="A32" s="35">
        <v>3.0</v>
      </c>
      <c r="B32" s="5" t="s">
        <v>67</v>
      </c>
      <c r="C32" s="5"/>
      <c r="M32" s="10" t="b">
        <f t="shared" si="1"/>
        <v>1</v>
      </c>
      <c r="N32" s="2">
        <v>3.0</v>
      </c>
      <c r="Q32" s="18">
        <v>0.0025906735751295338</v>
      </c>
      <c r="R32" s="11" t="s">
        <v>68</v>
      </c>
    </row>
    <row r="33">
      <c r="A33" s="36">
        <f>A32+A31</f>
        <v>5</v>
      </c>
      <c r="B33" s="37" t="s">
        <v>69</v>
      </c>
      <c r="C33" s="37"/>
      <c r="D33" s="38"/>
      <c r="M33" s="10" t="b">
        <f t="shared" si="1"/>
        <v>1</v>
      </c>
      <c r="N33" s="11">
        <v>5.0</v>
      </c>
    </row>
    <row r="34">
      <c r="A34" s="17">
        <f>A33/A$5</f>
        <v>0.006476683938</v>
      </c>
      <c r="B34" s="5" t="s">
        <v>68</v>
      </c>
      <c r="C34" s="5"/>
      <c r="M34" s="10" t="b">
        <f t="shared" si="1"/>
        <v>1</v>
      </c>
      <c r="N34" s="18">
        <v>0.006476683937823834</v>
      </c>
    </row>
    <row r="35">
      <c r="A35" s="35">
        <v>1.0</v>
      </c>
      <c r="B35" s="3" t="s">
        <v>70</v>
      </c>
      <c r="C35" s="5"/>
      <c r="M35" s="10" t="b">
        <f t="shared" si="1"/>
        <v>1</v>
      </c>
      <c r="N35" s="2">
        <v>1.0</v>
      </c>
    </row>
    <row r="36">
      <c r="A36" s="39">
        <f>IF(A33&lt;&gt;0,A35/A33,IFERROR(0/0,""))</f>
        <v>0.2</v>
      </c>
      <c r="B36" s="5" t="s">
        <v>71</v>
      </c>
      <c r="C36" s="5"/>
      <c r="M36" s="10" t="b">
        <f t="shared" si="1"/>
        <v>1</v>
      </c>
      <c r="N36" s="21">
        <v>0.2</v>
      </c>
    </row>
    <row r="37">
      <c r="A37" s="35">
        <v>2.0</v>
      </c>
      <c r="B37" s="3" t="s">
        <v>72</v>
      </c>
      <c r="C37" s="5"/>
      <c r="M37" s="10" t="b">
        <f t="shared" si="1"/>
        <v>1</v>
      </c>
      <c r="N37" s="2">
        <v>2.0</v>
      </c>
    </row>
    <row r="38">
      <c r="A38" s="35">
        <f>A33-A35-A37</f>
        <v>2</v>
      </c>
      <c r="B38" s="3" t="s">
        <v>73</v>
      </c>
      <c r="C38" s="3"/>
      <c r="D38" s="2"/>
      <c r="M38" s="10" t="b">
        <f t="shared" si="1"/>
        <v>1</v>
      </c>
      <c r="N38" s="2">
        <v>2.0</v>
      </c>
    </row>
    <row r="39">
      <c r="A39" s="35">
        <v>7.0</v>
      </c>
      <c r="B39" s="5" t="s">
        <v>74</v>
      </c>
      <c r="C39" s="3" t="s">
        <v>75</v>
      </c>
      <c r="D39" s="2" t="s">
        <v>76</v>
      </c>
      <c r="M39" s="10" t="b">
        <f t="shared" si="1"/>
        <v>1</v>
      </c>
      <c r="N39" s="2">
        <v>7.0</v>
      </c>
    </row>
    <row r="40">
      <c r="A40" s="19">
        <f>IFERROR(__xludf.DUMMYFUNCTION("SUM(IMPORTRANGE($A1,""RFR Data - preExcl!AE2:AE""))"),12.0)</f>
        <v>12</v>
      </c>
      <c r="B40" s="5" t="s">
        <v>77</v>
      </c>
      <c r="C40" s="5" t="s">
        <v>78</v>
      </c>
      <c r="M40" s="10" t="b">
        <f t="shared" si="1"/>
        <v>1</v>
      </c>
      <c r="N40" s="11">
        <v>12.0</v>
      </c>
    </row>
    <row r="41">
      <c r="A41" s="17">
        <f>A40/A6</f>
        <v>0.01515151515</v>
      </c>
      <c r="B41" s="5" t="s">
        <v>79</v>
      </c>
      <c r="C41" s="5" t="s">
        <v>15</v>
      </c>
      <c r="M41" s="10" t="b">
        <f t="shared" si="1"/>
        <v>1</v>
      </c>
      <c r="N41" s="18">
        <v>0.015151515151515152</v>
      </c>
    </row>
    <row r="42">
      <c r="A42" s="5"/>
      <c r="B42" s="5"/>
      <c r="C42" s="5"/>
      <c r="M42" s="10" t="str">
        <f t="shared" si="1"/>
        <v/>
      </c>
    </row>
    <row r="43">
      <c r="A43" s="5"/>
      <c r="B43" s="22" t="s">
        <v>80</v>
      </c>
      <c r="C43" s="5" t="s">
        <v>32</v>
      </c>
      <c r="M43" s="10" t="str">
        <f t="shared" si="1"/>
        <v/>
      </c>
    </row>
    <row r="44">
      <c r="A44" s="36">
        <f>'Pos and Incl'!Z80</f>
        <v>53</v>
      </c>
      <c r="B44" s="40" t="s">
        <v>81</v>
      </c>
      <c r="C44" s="41" t="s">
        <v>82</v>
      </c>
      <c r="D44" s="38"/>
      <c r="M44" s="10" t="b">
        <f t="shared" si="1"/>
        <v>1</v>
      </c>
      <c r="N44" s="11">
        <v>53.0</v>
      </c>
    </row>
    <row r="45">
      <c r="A45" s="19">
        <f>'Pos and Incl'!Z81</f>
        <v>51</v>
      </c>
      <c r="B45" s="5" t="s">
        <v>83</v>
      </c>
      <c r="C45" s="5" t="s">
        <v>84</v>
      </c>
      <c r="M45" s="10" t="b">
        <f t="shared" si="1"/>
        <v>1</v>
      </c>
      <c r="N45" s="11">
        <v>51.0</v>
      </c>
    </row>
    <row r="46">
      <c r="A46" s="19">
        <f>'Pos and Incl'!Z82</f>
        <v>1</v>
      </c>
      <c r="B46" s="4" t="s">
        <v>85</v>
      </c>
      <c r="C46" s="5"/>
      <c r="M46" s="10" t="b">
        <f t="shared" si="1"/>
        <v>1</v>
      </c>
      <c r="N46" s="11">
        <v>1.0</v>
      </c>
    </row>
    <row r="47">
      <c r="A47" s="39">
        <f>IF(A44&lt;&gt;0,(A45+A46)/A44,IFERROR(0/0,""))</f>
        <v>0.9811320755</v>
      </c>
      <c r="B47" s="5" t="s">
        <v>86</v>
      </c>
      <c r="C47" s="5"/>
      <c r="M47" s="10" t="b">
        <f t="shared" si="1"/>
        <v>1</v>
      </c>
      <c r="N47" s="21">
        <v>0.9811320754716981</v>
      </c>
    </row>
    <row r="48">
      <c r="A48" s="19">
        <f>'Pos and Incl'!Z84</f>
        <v>1</v>
      </c>
      <c r="B48" s="5" t="s">
        <v>87</v>
      </c>
      <c r="C48" s="5"/>
      <c r="M48" s="10" t="b">
        <f t="shared" si="1"/>
        <v>1</v>
      </c>
      <c r="N48" s="11">
        <v>1.0</v>
      </c>
    </row>
    <row r="49">
      <c r="A49" s="19">
        <f>'Pos and Incl'!Z89</f>
        <v>3</v>
      </c>
      <c r="B49" s="5" t="s">
        <v>88</v>
      </c>
      <c r="C49" s="5"/>
      <c r="M49" s="10" t="b">
        <f t="shared" si="1"/>
        <v>1</v>
      </c>
      <c r="N49" s="11">
        <v>3.0</v>
      </c>
    </row>
    <row r="50">
      <c r="A50" s="5"/>
      <c r="B50" s="5"/>
      <c r="C50" s="5"/>
      <c r="M50" s="10" t="str">
        <f t="shared" si="1"/>
        <v/>
      </c>
    </row>
    <row r="51">
      <c r="A51" s="3" t="s">
        <v>89</v>
      </c>
      <c r="B51" s="7" t="s">
        <v>90</v>
      </c>
      <c r="C51" s="5" t="s">
        <v>32</v>
      </c>
      <c r="D51" s="5"/>
      <c r="E51" s="5"/>
      <c r="F51" s="5"/>
      <c r="M51" s="10" t="b">
        <f t="shared" si="1"/>
        <v>1</v>
      </c>
      <c r="N51" s="2" t="s">
        <v>89</v>
      </c>
    </row>
    <row r="52">
      <c r="A52" s="3"/>
      <c r="B52" s="5" t="s">
        <v>91</v>
      </c>
      <c r="C52" s="5"/>
      <c r="D52" s="3" t="s">
        <v>92</v>
      </c>
      <c r="E52" s="5"/>
      <c r="F52" s="5"/>
      <c r="M52" s="10" t="str">
        <f t="shared" si="1"/>
        <v/>
      </c>
      <c r="N52" s="2"/>
    </row>
    <row r="53">
      <c r="A53" s="42"/>
      <c r="B53" s="37" t="s">
        <v>93</v>
      </c>
      <c r="C53" s="37"/>
      <c r="D53" s="3" t="s">
        <v>92</v>
      </c>
      <c r="E53" s="5"/>
      <c r="F53" s="5"/>
      <c r="M53" s="10" t="str">
        <f t="shared" si="1"/>
        <v/>
      </c>
      <c r="N53" s="2"/>
    </row>
    <row r="54">
      <c r="A54" s="3"/>
      <c r="B54" s="5" t="s">
        <v>94</v>
      </c>
      <c r="C54" s="3" t="s">
        <v>95</v>
      </c>
      <c r="D54" s="3" t="s">
        <v>92</v>
      </c>
      <c r="E54" s="5"/>
      <c r="F54" s="5"/>
      <c r="M54" s="10" t="str">
        <f t="shared" si="1"/>
        <v/>
      </c>
      <c r="N54" s="2"/>
    </row>
    <row r="55">
      <c r="A55" s="43" t="str">
        <f>IF(A53&lt;&gt;0,A54/A53,IFERROR(0/0,""))</f>
        <v/>
      </c>
      <c r="B55" s="5" t="s">
        <v>96</v>
      </c>
      <c r="C55" s="5"/>
      <c r="D55" s="3" t="s">
        <v>92</v>
      </c>
      <c r="E55" s="5"/>
      <c r="F55" s="5"/>
      <c r="M55" s="10" t="str">
        <f t="shared" si="1"/>
        <v/>
      </c>
      <c r="N55" s="2"/>
    </row>
    <row r="56">
      <c r="A56" s="3"/>
      <c r="B56" s="5" t="s">
        <v>97</v>
      </c>
      <c r="C56" s="5"/>
      <c r="D56" s="3" t="s">
        <v>92</v>
      </c>
      <c r="E56" s="5"/>
      <c r="F56" s="5"/>
      <c r="M56" s="10" t="str">
        <f t="shared" si="1"/>
        <v/>
      </c>
      <c r="N56" s="2"/>
    </row>
    <row r="57">
      <c r="A57" s="43" t="str">
        <f>IF(A53&lt;&gt;0,A56/A53,IFERROR(0/0,""))</f>
        <v/>
      </c>
      <c r="B57" s="5" t="s">
        <v>98</v>
      </c>
      <c r="C57" s="5"/>
      <c r="D57" s="3" t="s">
        <v>92</v>
      </c>
      <c r="E57" s="5"/>
      <c r="F57" s="5"/>
      <c r="M57" s="10" t="str">
        <f t="shared" si="1"/>
        <v/>
      </c>
    </row>
    <row r="58">
      <c r="A58" s="5"/>
      <c r="B58" s="5"/>
      <c r="C58" s="5"/>
      <c r="M58" s="10" t="str">
        <f t="shared" si="1"/>
        <v/>
      </c>
    </row>
    <row r="59">
      <c r="A59" s="5"/>
      <c r="B59" s="22" t="s">
        <v>99</v>
      </c>
      <c r="C59" s="5" t="s">
        <v>32</v>
      </c>
      <c r="M59" s="10" t="str">
        <f t="shared" si="1"/>
        <v/>
      </c>
    </row>
    <row r="60">
      <c r="A60" s="19">
        <v>0.0</v>
      </c>
      <c r="B60" s="5" t="s">
        <v>100</v>
      </c>
      <c r="C60" s="5" t="s">
        <v>101</v>
      </c>
      <c r="M60" s="10" t="b">
        <f t="shared" si="1"/>
        <v>1</v>
      </c>
      <c r="N60" s="11">
        <v>0.0</v>
      </c>
    </row>
    <row r="61">
      <c r="A61" s="19">
        <v>0.0</v>
      </c>
      <c r="B61" s="5" t="s">
        <v>102</v>
      </c>
      <c r="C61" s="5" t="s">
        <v>103</v>
      </c>
      <c r="M61" s="10" t="b">
        <f t="shared" si="1"/>
        <v>1</v>
      </c>
      <c r="N61" s="11">
        <v>0.0</v>
      </c>
    </row>
    <row r="62">
      <c r="A62" s="5"/>
      <c r="B62" s="5"/>
      <c r="C62" s="5"/>
      <c r="M62" s="10" t="str">
        <f t="shared" si="1"/>
        <v/>
      </c>
    </row>
    <row r="63">
      <c r="A63" s="5"/>
      <c r="B63" s="7" t="s">
        <v>104</v>
      </c>
      <c r="C63" s="5" t="s">
        <v>32</v>
      </c>
      <c r="M63" s="10" t="str">
        <f t="shared" si="1"/>
        <v/>
      </c>
    </row>
    <row r="64">
      <c r="A64" s="19">
        <f>COUNTA(Person!$E$2:$E1020)</f>
        <v>187</v>
      </c>
      <c r="B64" s="4" t="s">
        <v>105</v>
      </c>
      <c r="C64" s="5" t="s">
        <v>106</v>
      </c>
      <c r="M64" s="10" t="b">
        <f t="shared" si="1"/>
        <v>1</v>
      </c>
      <c r="N64" s="11">
        <v>187.0</v>
      </c>
    </row>
    <row r="65">
      <c r="A65" s="19">
        <f>COUNTA(Person!$AQ$2:$AQ1020)</f>
        <v>103</v>
      </c>
      <c r="B65" s="5" t="s">
        <v>107</v>
      </c>
      <c r="C65" s="5" t="s">
        <v>108</v>
      </c>
      <c r="M65" s="10" t="b">
        <f t="shared" si="1"/>
        <v>1</v>
      </c>
      <c r="N65" s="11">
        <v>103.0</v>
      </c>
    </row>
    <row r="66">
      <c r="A66" s="5"/>
      <c r="B66" s="5"/>
      <c r="C66" s="5"/>
      <c r="M66" s="10" t="str">
        <f t="shared" si="1"/>
        <v/>
      </c>
    </row>
    <row r="67">
      <c r="A67" s="5"/>
      <c r="B67" s="22" t="s">
        <v>109</v>
      </c>
      <c r="C67" s="5" t="s">
        <v>32</v>
      </c>
      <c r="M67" s="10" t="str">
        <f t="shared" si="1"/>
        <v/>
      </c>
    </row>
    <row r="68">
      <c r="A68" s="19">
        <f>'Pos and Incl'!P81</f>
        <v>50</v>
      </c>
      <c r="B68" s="5" t="s">
        <v>110</v>
      </c>
      <c r="C68" s="5" t="s">
        <v>111</v>
      </c>
      <c r="M68" s="10" t="b">
        <f t="shared" si="1"/>
        <v>1</v>
      </c>
      <c r="N68" s="11">
        <v>50.0</v>
      </c>
    </row>
    <row r="69">
      <c r="A69" s="20">
        <f>A68/A$64</f>
        <v>0.2673796791</v>
      </c>
      <c r="B69" s="5" t="s">
        <v>112</v>
      </c>
      <c r="C69" s="5"/>
      <c r="M69" s="10" t="b">
        <f t="shared" si="1"/>
        <v>1</v>
      </c>
      <c r="N69" s="21">
        <v>0.26737967914438504</v>
      </c>
    </row>
    <row r="70">
      <c r="A70" s="19">
        <f>A68</f>
        <v>50</v>
      </c>
      <c r="B70" s="5" t="s">
        <v>113</v>
      </c>
      <c r="C70" s="5"/>
      <c r="M70" s="10" t="b">
        <f t="shared" si="1"/>
        <v>1</v>
      </c>
      <c r="N70" s="11">
        <v>50.0</v>
      </c>
    </row>
    <row r="71">
      <c r="A71" s="20">
        <f>A70/A$64</f>
        <v>0.2673796791</v>
      </c>
      <c r="B71" s="5" t="s">
        <v>114</v>
      </c>
      <c r="C71" s="5"/>
      <c r="M71" s="10" t="b">
        <f t="shared" si="1"/>
        <v>1</v>
      </c>
      <c r="N71" s="21">
        <v>0.26737967914438504</v>
      </c>
    </row>
    <row r="72">
      <c r="A72" s="5"/>
      <c r="B72" s="5"/>
      <c r="C72" s="5"/>
      <c r="M72" s="10" t="str">
        <f t="shared" si="1"/>
        <v/>
      </c>
    </row>
    <row r="73">
      <c r="A73" s="5"/>
      <c r="B73" s="22" t="s">
        <v>115</v>
      </c>
      <c r="C73" s="5" t="s">
        <v>32</v>
      </c>
      <c r="M73" s="10" t="str">
        <f t="shared" si="1"/>
        <v/>
      </c>
    </row>
    <row r="74">
      <c r="A74" s="44">
        <f>IFERROR(__xludf.DUMMYFUNCTION("MIN(IMPORTRANGE($A$1,""ALL Tube Results!$C2:C"")
)"),44540.0)</f>
        <v>44540</v>
      </c>
      <c r="B74" s="5" t="s">
        <v>116</v>
      </c>
      <c r="C74" s="5"/>
      <c r="M74" s="10" t="b">
        <f t="shared" si="1"/>
        <v>1</v>
      </c>
      <c r="N74" s="45">
        <v>44540.0</v>
      </c>
    </row>
    <row r="75">
      <c r="A75" s="44">
        <f>IFERROR(__xludf.DUMMYFUNCTION("MAX(IMPORTRANGE($A$1,""ALL Tube Results!$C2:C""))"),44692.0)</f>
        <v>44692</v>
      </c>
      <c r="B75" s="5" t="s">
        <v>117</v>
      </c>
      <c r="C75" s="5"/>
      <c r="M75" s="10" t="b">
        <f t="shared" si="1"/>
        <v>1</v>
      </c>
      <c r="N75" s="45">
        <v>44692.0</v>
      </c>
    </row>
    <row r="76">
      <c r="A76" s="5"/>
      <c r="B76" s="5"/>
      <c r="C76" s="5"/>
      <c r="M76" s="10" t="str">
        <f t="shared" si="1"/>
        <v/>
      </c>
    </row>
    <row r="77">
      <c r="A77" s="5"/>
      <c r="B77" s="22" t="s">
        <v>118</v>
      </c>
      <c r="C77" s="5" t="s">
        <v>32</v>
      </c>
      <c r="M77" s="10" t="str">
        <f t="shared" si="1"/>
        <v/>
      </c>
    </row>
    <row r="78">
      <c r="A78" s="4" t="s">
        <v>119</v>
      </c>
      <c r="B78" s="5" t="s">
        <v>120</v>
      </c>
      <c r="C78" s="5" t="s">
        <v>121</v>
      </c>
      <c r="M78" s="10" t="str">
        <f>IF(NOT(ISBLANK(N78)),#REF!=N78,IFERROR(0/0,""))</f>
        <v>#REF!</v>
      </c>
      <c r="N78" s="2" t="s">
        <v>122</v>
      </c>
    </row>
    <row r="79">
      <c r="A79" s="4" t="s">
        <v>123</v>
      </c>
      <c r="B79" s="5" t="s">
        <v>124</v>
      </c>
      <c r="C79" s="5" t="s">
        <v>125</v>
      </c>
      <c r="M79" s="10" t="b">
        <f t="shared" ref="M79:M86" si="2">IF(NOT(ISBLANK(N79)),A78=N79,IFERROR(0/0,""))</f>
        <v>1</v>
      </c>
      <c r="N79" s="2" t="s">
        <v>119</v>
      </c>
    </row>
    <row r="80">
      <c r="A80" s="4" t="s">
        <v>126</v>
      </c>
      <c r="B80" s="5" t="s">
        <v>127</v>
      </c>
      <c r="C80" s="5" t="s">
        <v>128</v>
      </c>
      <c r="M80" s="10" t="b">
        <f t="shared" si="2"/>
        <v>1</v>
      </c>
      <c r="N80" s="2" t="s">
        <v>123</v>
      </c>
    </row>
    <row r="81">
      <c r="A81" s="46" t="s">
        <v>129</v>
      </c>
      <c r="B81" s="5" t="s">
        <v>130</v>
      </c>
      <c r="C81" s="5" t="s">
        <v>131</v>
      </c>
      <c r="M81" s="10" t="b">
        <f t="shared" si="2"/>
        <v>1</v>
      </c>
      <c r="N81" s="2" t="s">
        <v>126</v>
      </c>
    </row>
    <row r="82">
      <c r="A82" s="47" t="s">
        <v>132</v>
      </c>
      <c r="B82" s="5" t="s">
        <v>133</v>
      </c>
      <c r="C82" s="5" t="s">
        <v>134</v>
      </c>
      <c r="M82" s="10" t="b">
        <f t="shared" si="2"/>
        <v>1</v>
      </c>
      <c r="N82" s="2" t="s">
        <v>129</v>
      </c>
    </row>
    <row r="83">
      <c r="A83" s="5" t="s">
        <v>135</v>
      </c>
      <c r="B83" s="3" t="s">
        <v>136</v>
      </c>
      <c r="C83" s="5" t="s">
        <v>137</v>
      </c>
      <c r="M83" s="10" t="b">
        <f t="shared" si="2"/>
        <v>1</v>
      </c>
      <c r="N83" s="11" t="s">
        <v>132</v>
      </c>
    </row>
    <row r="84">
      <c r="A84" s="5" t="s">
        <v>138</v>
      </c>
      <c r="B84" s="5" t="s">
        <v>139</v>
      </c>
      <c r="C84" s="5" t="s">
        <v>140</v>
      </c>
      <c r="M84" s="10" t="b">
        <f t="shared" si="2"/>
        <v>1</v>
      </c>
      <c r="N84" s="11" t="s">
        <v>135</v>
      </c>
    </row>
    <row r="85">
      <c r="A85" s="4" t="s">
        <v>141</v>
      </c>
      <c r="B85" s="5" t="s">
        <v>142</v>
      </c>
      <c r="C85" s="5" t="s">
        <v>143</v>
      </c>
      <c r="M85" s="10" t="b">
        <f t="shared" si="2"/>
        <v>1</v>
      </c>
      <c r="N85" s="11" t="s">
        <v>138</v>
      </c>
    </row>
    <row r="86">
      <c r="A86" s="2" t="s">
        <v>144</v>
      </c>
      <c r="B86" s="5" t="s">
        <v>145</v>
      </c>
      <c r="C86" s="5" t="s">
        <v>146</v>
      </c>
      <c r="M86" s="10" t="b">
        <f t="shared" si="2"/>
        <v>1</v>
      </c>
      <c r="N86" s="2" t="s">
        <v>141</v>
      </c>
    </row>
    <row r="87">
      <c r="A87" s="4" t="s">
        <v>147</v>
      </c>
      <c r="B87" s="5" t="s">
        <v>148</v>
      </c>
      <c r="C87" s="5" t="s">
        <v>149</v>
      </c>
      <c r="M87" s="10" t="b">
        <f>IF(NOT(ISBLANK(N87)),A87=N87,IFERROR(0/0,""))</f>
        <v>1</v>
      </c>
      <c r="N87" s="2" t="s">
        <v>147</v>
      </c>
    </row>
    <row r="88">
      <c r="A88" s="2" t="s">
        <v>150</v>
      </c>
      <c r="B88" s="5" t="s">
        <v>151</v>
      </c>
      <c r="C88" s="5" t="s">
        <v>152</v>
      </c>
      <c r="M88" s="10" t="b">
        <f>IF(NOT(ISBLANK(N88)),A89=N88,IFERROR(0/0,""))</f>
        <v>1</v>
      </c>
      <c r="N88" s="2" t="s">
        <v>153</v>
      </c>
    </row>
    <row r="89">
      <c r="A89" s="4" t="s">
        <v>153</v>
      </c>
      <c r="B89" s="5" t="s">
        <v>154</v>
      </c>
      <c r="C89" s="5" t="s">
        <v>155</v>
      </c>
    </row>
  </sheetData>
  <conditionalFormatting sqref="M4">
    <cfRule type="cellIs" dxfId="0" priority="1" operator="notEqual">
      <formula>0</formula>
    </cfRule>
  </conditionalFormatting>
  <conditionalFormatting sqref="M4">
    <cfRule type="cellIs" dxfId="1" priority="2" operator="equal">
      <formula>0</formula>
    </cfRule>
  </conditionalFormatting>
  <hyperlinks>
    <hyperlink r:id="rId2" ref="A1"/>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1.88"/>
    <col customWidth="1" min="4" max="4" width="9.88"/>
    <col customWidth="1" min="5" max="5" width="9.5"/>
  </cols>
  <sheetData>
    <row r="1">
      <c r="A1" s="48" t="str">
        <f>IFERROR(__xludf.DUMMYFUNCTION("IMPORTRANGE(Stats!$A$1,""Weekly!A1:G"")"),"Week Start Date")</f>
        <v>Week Start Date</v>
      </c>
      <c r="B1" s="49" t="str">
        <f>IFERROR(__xludf.DUMMYFUNCTION("""COMPUTED_VALUE"""),"Week End Date")</f>
        <v>Week End Date</v>
      </c>
      <c r="C1" s="50" t="str">
        <f>IFERROR(__xludf.DUMMYFUNCTION("""COMPUTED_VALUE"""),"Weekly Participants 767")</f>
        <v>Weekly Participants 767</v>
      </c>
      <c r="D1" s="49" t="str">
        <f>IFERROR(__xludf.DUMMYFUNCTION("""COMPUTED_VALUE"""),"Weekly Tubes Run 772")</f>
        <v>Weekly Tubes Run 772</v>
      </c>
      <c r="E1" s="49" t="str">
        <f>IFERROR(__xludf.DUMMYFUNCTION("""COMPUTED_VALUE"""),"Weekly Positive Tubes 71")</f>
        <v>Weekly Positive Tubes 71</v>
      </c>
      <c r="F1" s="49" t="str">
        <f>IFERROR(__xludf.DUMMYFUNCTION("""COMPUTED_VALUE"""),"Weekly Inconclusive Tubes 2")</f>
        <v>Weekly Inconclusive Tubes 2</v>
      </c>
      <c r="G1" s="49" t="str">
        <f>IFERROR(__xludf.DUMMYFUNCTION("""COMPUTED_VALUE"""),"% Positive")</f>
        <v>% Positive</v>
      </c>
      <c r="H1" s="51"/>
      <c r="I1" s="51"/>
      <c r="J1" s="51"/>
      <c r="K1" s="51"/>
      <c r="L1" s="51"/>
      <c r="M1" s="51"/>
      <c r="N1" s="51"/>
      <c r="O1" s="51"/>
      <c r="P1" s="51"/>
      <c r="Q1" s="51"/>
      <c r="R1" s="51"/>
      <c r="S1" s="51"/>
      <c r="T1" s="51"/>
      <c r="U1" s="51"/>
      <c r="V1" s="51"/>
      <c r="W1" s="51"/>
      <c r="X1" s="51"/>
      <c r="Y1" s="51"/>
      <c r="Z1" s="51"/>
      <c r="AA1" s="51"/>
    </row>
    <row r="2">
      <c r="A2" s="52">
        <f>IFERROR(__xludf.DUMMYFUNCTION("""COMPUTED_VALUE"""),44536.0)</f>
        <v>44536</v>
      </c>
      <c r="B2" s="52">
        <f>IFERROR(__xludf.DUMMYFUNCTION("""COMPUTED_VALUE"""),44542.0)</f>
        <v>44542</v>
      </c>
      <c r="C2" s="53">
        <f>IFERROR(__xludf.DUMMYFUNCTION("""COMPUTED_VALUE"""),5.0)</f>
        <v>5</v>
      </c>
      <c r="D2" s="54">
        <f>IFERROR(__xludf.DUMMYFUNCTION("""COMPUTED_VALUE"""),5.0)</f>
        <v>5</v>
      </c>
      <c r="E2" s="54">
        <f>IFERROR(__xludf.DUMMYFUNCTION("""COMPUTED_VALUE"""),0.0)</f>
        <v>0</v>
      </c>
      <c r="F2" s="54">
        <f>IFERROR(__xludf.DUMMYFUNCTION("""COMPUTED_VALUE"""),0.0)</f>
        <v>0</v>
      </c>
      <c r="G2" s="55">
        <f>IFERROR(__xludf.DUMMYFUNCTION("""COMPUTED_VALUE"""),0.0)</f>
        <v>0</v>
      </c>
    </row>
    <row r="3">
      <c r="A3" s="52">
        <f>IFERROR(__xludf.DUMMYFUNCTION("""COMPUTED_VALUE"""),44543.0)</f>
        <v>44543</v>
      </c>
      <c r="B3" s="52">
        <f>IFERROR(__xludf.DUMMYFUNCTION("""COMPUTED_VALUE"""),44549.0)</f>
        <v>44549</v>
      </c>
      <c r="C3" s="53">
        <f>IFERROR(__xludf.DUMMYFUNCTION("""COMPUTED_VALUE"""),13.0)</f>
        <v>13</v>
      </c>
      <c r="D3" s="54">
        <f>IFERROR(__xludf.DUMMYFUNCTION("""COMPUTED_VALUE"""),13.0)</f>
        <v>13</v>
      </c>
      <c r="E3" s="54">
        <f>IFERROR(__xludf.DUMMYFUNCTION("""COMPUTED_VALUE"""),1.0)</f>
        <v>1</v>
      </c>
      <c r="F3" s="54">
        <f>IFERROR(__xludf.DUMMYFUNCTION("""COMPUTED_VALUE"""),0.0)</f>
        <v>0</v>
      </c>
      <c r="G3" s="55">
        <f>IFERROR(__xludf.DUMMYFUNCTION("""COMPUTED_VALUE"""),0.07692307692307693)</f>
        <v>0.07692307692</v>
      </c>
    </row>
    <row r="4">
      <c r="A4" s="52">
        <f>IFERROR(__xludf.DUMMYFUNCTION("""COMPUTED_VALUE"""),44550.0)</f>
        <v>44550</v>
      </c>
      <c r="B4" s="52">
        <f>IFERROR(__xludf.DUMMYFUNCTION("""COMPUTED_VALUE"""),44556.0)</f>
        <v>44556</v>
      </c>
      <c r="C4" s="53">
        <f>IFERROR(__xludf.DUMMYFUNCTION("""COMPUTED_VALUE"""),12.0)</f>
        <v>12</v>
      </c>
      <c r="D4" s="54">
        <f>IFERROR(__xludf.DUMMYFUNCTION("""COMPUTED_VALUE"""),12.0)</f>
        <v>12</v>
      </c>
      <c r="E4" s="54">
        <f>IFERROR(__xludf.DUMMYFUNCTION("""COMPUTED_VALUE"""),0.0)</f>
        <v>0</v>
      </c>
      <c r="F4" s="54">
        <f>IFERROR(__xludf.DUMMYFUNCTION("""COMPUTED_VALUE"""),0.0)</f>
        <v>0</v>
      </c>
      <c r="G4" s="55">
        <f>IFERROR(__xludf.DUMMYFUNCTION("""COMPUTED_VALUE"""),0.0)</f>
        <v>0</v>
      </c>
    </row>
    <row r="5">
      <c r="A5" s="52">
        <f>IFERROR(__xludf.DUMMYFUNCTION("""COMPUTED_VALUE"""),44557.0)</f>
        <v>44557</v>
      </c>
      <c r="B5" s="52">
        <f>IFERROR(__xludf.DUMMYFUNCTION("""COMPUTED_VALUE"""),44563.0)</f>
        <v>44563</v>
      </c>
      <c r="C5" s="53">
        <f>IFERROR(__xludf.DUMMYFUNCTION("""COMPUTED_VALUE"""),27.0)</f>
        <v>27</v>
      </c>
      <c r="D5" s="54">
        <f>IFERROR(__xludf.DUMMYFUNCTION("""COMPUTED_VALUE"""),27.0)</f>
        <v>27</v>
      </c>
      <c r="E5" s="54">
        <f>IFERROR(__xludf.DUMMYFUNCTION("""COMPUTED_VALUE"""),2.0)</f>
        <v>2</v>
      </c>
      <c r="F5" s="54">
        <f>IFERROR(__xludf.DUMMYFUNCTION("""COMPUTED_VALUE"""),0.0)</f>
        <v>0</v>
      </c>
      <c r="G5" s="55">
        <f>IFERROR(__xludf.DUMMYFUNCTION("""COMPUTED_VALUE"""),0.07407407407407407)</f>
        <v>0.07407407407</v>
      </c>
    </row>
    <row r="6">
      <c r="A6" s="52">
        <f>IFERROR(__xludf.DUMMYFUNCTION("""COMPUTED_VALUE"""),44564.0)</f>
        <v>44564</v>
      </c>
      <c r="B6" s="52">
        <f>IFERROR(__xludf.DUMMYFUNCTION("""COMPUTED_VALUE"""),44570.0)</f>
        <v>44570</v>
      </c>
      <c r="C6" s="53">
        <f>IFERROR(__xludf.DUMMYFUNCTION("""COMPUTED_VALUE"""),54.0)</f>
        <v>54</v>
      </c>
      <c r="D6" s="54">
        <f>IFERROR(__xludf.DUMMYFUNCTION("""COMPUTED_VALUE"""),56.0)</f>
        <v>56</v>
      </c>
      <c r="E6" s="54">
        <f>IFERROR(__xludf.DUMMYFUNCTION("""COMPUTED_VALUE"""),10.0)</f>
        <v>10</v>
      </c>
      <c r="F6" s="54">
        <f>IFERROR(__xludf.DUMMYFUNCTION("""COMPUTED_VALUE"""),1.0)</f>
        <v>1</v>
      </c>
      <c r="G6" s="55">
        <f>IFERROR(__xludf.DUMMYFUNCTION("""COMPUTED_VALUE"""),0.17857142857142858)</f>
        <v>0.1785714286</v>
      </c>
    </row>
    <row r="7">
      <c r="A7" s="52">
        <f>IFERROR(__xludf.DUMMYFUNCTION("""COMPUTED_VALUE"""),44571.0)</f>
        <v>44571</v>
      </c>
      <c r="B7" s="52">
        <f>IFERROR(__xludf.DUMMYFUNCTION("""COMPUTED_VALUE"""),44577.0)</f>
        <v>44577</v>
      </c>
      <c r="C7" s="53">
        <f>IFERROR(__xludf.DUMMYFUNCTION("""COMPUTED_VALUE"""),75.0)</f>
        <v>75</v>
      </c>
      <c r="D7" s="54">
        <f>IFERROR(__xludf.DUMMYFUNCTION("""COMPUTED_VALUE"""),75.0)</f>
        <v>75</v>
      </c>
      <c r="E7" s="54">
        <f>IFERROR(__xludf.DUMMYFUNCTION("""COMPUTED_VALUE"""),18.0)</f>
        <v>18</v>
      </c>
      <c r="F7" s="54">
        <f>IFERROR(__xludf.DUMMYFUNCTION("""COMPUTED_VALUE"""),0.0)</f>
        <v>0</v>
      </c>
      <c r="G7" s="55">
        <f>IFERROR(__xludf.DUMMYFUNCTION("""COMPUTED_VALUE"""),0.24)</f>
        <v>0.24</v>
      </c>
    </row>
    <row r="8">
      <c r="A8" s="52">
        <f>IFERROR(__xludf.DUMMYFUNCTION("""COMPUTED_VALUE"""),44578.0)</f>
        <v>44578</v>
      </c>
      <c r="B8" s="52">
        <f>IFERROR(__xludf.DUMMYFUNCTION("""COMPUTED_VALUE"""),44584.0)</f>
        <v>44584</v>
      </c>
      <c r="C8" s="53">
        <f>IFERROR(__xludf.DUMMYFUNCTION("""COMPUTED_VALUE"""),63.0)</f>
        <v>63</v>
      </c>
      <c r="D8" s="54">
        <f>IFERROR(__xludf.DUMMYFUNCTION("""COMPUTED_VALUE"""),63.0)</f>
        <v>63</v>
      </c>
      <c r="E8" s="54">
        <f>IFERROR(__xludf.DUMMYFUNCTION("""COMPUTED_VALUE"""),23.0)</f>
        <v>23</v>
      </c>
      <c r="F8" s="54">
        <f>IFERROR(__xludf.DUMMYFUNCTION("""COMPUTED_VALUE"""),0.0)</f>
        <v>0</v>
      </c>
      <c r="G8" s="55">
        <f>IFERROR(__xludf.DUMMYFUNCTION("""COMPUTED_VALUE"""),0.36507936507936506)</f>
        <v>0.3650793651</v>
      </c>
    </row>
    <row r="9">
      <c r="A9" s="52">
        <f>IFERROR(__xludf.DUMMYFUNCTION("""COMPUTED_VALUE"""),44585.0)</f>
        <v>44585</v>
      </c>
      <c r="B9" s="52">
        <f>IFERROR(__xludf.DUMMYFUNCTION("""COMPUTED_VALUE"""),44591.0)</f>
        <v>44591</v>
      </c>
      <c r="C9" s="53">
        <f>IFERROR(__xludf.DUMMYFUNCTION("""COMPUTED_VALUE"""),36.0)</f>
        <v>36</v>
      </c>
      <c r="D9" s="54">
        <f>IFERROR(__xludf.DUMMYFUNCTION("""COMPUTED_VALUE"""),36.0)</f>
        <v>36</v>
      </c>
      <c r="E9" s="54">
        <f>IFERROR(__xludf.DUMMYFUNCTION("""COMPUTED_VALUE"""),4.0)</f>
        <v>4</v>
      </c>
      <c r="F9" s="54">
        <f>IFERROR(__xludf.DUMMYFUNCTION("""COMPUTED_VALUE"""),0.0)</f>
        <v>0</v>
      </c>
      <c r="G9" s="55">
        <f>IFERROR(__xludf.DUMMYFUNCTION("""COMPUTED_VALUE"""),0.1111111111111111)</f>
        <v>0.1111111111</v>
      </c>
    </row>
    <row r="10">
      <c r="A10" s="52">
        <f>IFERROR(__xludf.DUMMYFUNCTION("""COMPUTED_VALUE"""),44592.0)</f>
        <v>44592</v>
      </c>
      <c r="B10" s="52">
        <f>IFERROR(__xludf.DUMMYFUNCTION("""COMPUTED_VALUE"""),44598.0)</f>
        <v>44598</v>
      </c>
      <c r="C10" s="53">
        <f>IFERROR(__xludf.DUMMYFUNCTION("""COMPUTED_VALUE"""),24.0)</f>
        <v>24</v>
      </c>
      <c r="D10" s="54">
        <f>IFERROR(__xludf.DUMMYFUNCTION("""COMPUTED_VALUE"""),24.0)</f>
        <v>24</v>
      </c>
      <c r="E10" s="54">
        <f>IFERROR(__xludf.DUMMYFUNCTION("""COMPUTED_VALUE"""),1.0)</f>
        <v>1</v>
      </c>
      <c r="F10" s="54">
        <f>IFERROR(__xludf.DUMMYFUNCTION("""COMPUTED_VALUE"""),0.0)</f>
        <v>0</v>
      </c>
      <c r="G10" s="55">
        <f>IFERROR(__xludf.DUMMYFUNCTION("""COMPUTED_VALUE"""),0.041666666666666664)</f>
        <v>0.04166666667</v>
      </c>
    </row>
    <row r="11">
      <c r="A11" s="52">
        <f>IFERROR(__xludf.DUMMYFUNCTION("""COMPUTED_VALUE"""),44599.0)</f>
        <v>44599</v>
      </c>
      <c r="B11" s="52">
        <f>IFERROR(__xludf.DUMMYFUNCTION("""COMPUTED_VALUE"""),44605.0)</f>
        <v>44605</v>
      </c>
      <c r="C11" s="53">
        <f>IFERROR(__xludf.DUMMYFUNCTION("""COMPUTED_VALUE"""),38.0)</f>
        <v>38</v>
      </c>
      <c r="D11" s="54">
        <f>IFERROR(__xludf.DUMMYFUNCTION("""COMPUTED_VALUE"""),38.0)</f>
        <v>38</v>
      </c>
      <c r="E11" s="54">
        <f>IFERROR(__xludf.DUMMYFUNCTION("""COMPUTED_VALUE"""),6.0)</f>
        <v>6</v>
      </c>
      <c r="F11" s="54">
        <f>IFERROR(__xludf.DUMMYFUNCTION("""COMPUTED_VALUE"""),0.0)</f>
        <v>0</v>
      </c>
      <c r="G11" s="55">
        <f>IFERROR(__xludf.DUMMYFUNCTION("""COMPUTED_VALUE"""),0.15789473684210525)</f>
        <v>0.1578947368</v>
      </c>
    </row>
    <row r="12">
      <c r="A12" s="52">
        <f>IFERROR(__xludf.DUMMYFUNCTION("""COMPUTED_VALUE"""),44606.0)</f>
        <v>44606</v>
      </c>
      <c r="B12" s="52">
        <f>IFERROR(__xludf.DUMMYFUNCTION("""COMPUTED_VALUE"""),44612.0)</f>
        <v>44612</v>
      </c>
      <c r="C12" s="53">
        <f>IFERROR(__xludf.DUMMYFUNCTION("""COMPUTED_VALUE"""),97.0)</f>
        <v>97</v>
      </c>
      <c r="D12" s="54">
        <f>IFERROR(__xludf.DUMMYFUNCTION("""COMPUTED_VALUE"""),97.0)</f>
        <v>97</v>
      </c>
      <c r="E12" s="54">
        <f>IFERROR(__xludf.DUMMYFUNCTION("""COMPUTED_VALUE"""),0.0)</f>
        <v>0</v>
      </c>
      <c r="F12" s="54">
        <f>IFERROR(__xludf.DUMMYFUNCTION("""COMPUTED_VALUE"""),1.0)</f>
        <v>1</v>
      </c>
      <c r="G12" s="55">
        <f>IFERROR(__xludf.DUMMYFUNCTION("""COMPUTED_VALUE"""),0.0)</f>
        <v>0</v>
      </c>
    </row>
    <row r="13">
      <c r="A13" s="52">
        <f>IFERROR(__xludf.DUMMYFUNCTION("""COMPUTED_VALUE"""),44613.0)</f>
        <v>44613</v>
      </c>
      <c r="B13" s="52">
        <f>IFERROR(__xludf.DUMMYFUNCTION("""COMPUTED_VALUE"""),44619.0)</f>
        <v>44619</v>
      </c>
      <c r="C13" s="53">
        <f>IFERROR(__xludf.DUMMYFUNCTION("""COMPUTED_VALUE"""),128.0)</f>
        <v>128</v>
      </c>
      <c r="D13" s="54">
        <f>IFERROR(__xludf.DUMMYFUNCTION("""COMPUTED_VALUE"""),129.0)</f>
        <v>129</v>
      </c>
      <c r="E13" s="54">
        <f>IFERROR(__xludf.DUMMYFUNCTION("""COMPUTED_VALUE"""),3.0)</f>
        <v>3</v>
      </c>
      <c r="F13" s="54">
        <f>IFERROR(__xludf.DUMMYFUNCTION("""COMPUTED_VALUE"""),0.0)</f>
        <v>0</v>
      </c>
      <c r="G13" s="55">
        <f>IFERROR(__xludf.DUMMYFUNCTION("""COMPUTED_VALUE"""),0.023255813953488372)</f>
        <v>0.02325581395</v>
      </c>
    </row>
    <row r="14">
      <c r="A14" s="52">
        <f>IFERROR(__xludf.DUMMYFUNCTION("""COMPUTED_VALUE"""),44620.0)</f>
        <v>44620</v>
      </c>
      <c r="B14" s="52">
        <f>IFERROR(__xludf.DUMMYFUNCTION("""COMPUTED_VALUE"""),44626.0)</f>
        <v>44626</v>
      </c>
      <c r="C14" s="53">
        <f>IFERROR(__xludf.DUMMYFUNCTION("""COMPUTED_VALUE"""),99.0)</f>
        <v>99</v>
      </c>
      <c r="D14" s="54">
        <f>IFERROR(__xludf.DUMMYFUNCTION("""COMPUTED_VALUE"""),101.0)</f>
        <v>101</v>
      </c>
      <c r="E14" s="54">
        <f>IFERROR(__xludf.DUMMYFUNCTION("""COMPUTED_VALUE"""),3.0)</f>
        <v>3</v>
      </c>
      <c r="F14" s="54">
        <f>IFERROR(__xludf.DUMMYFUNCTION("""COMPUTED_VALUE"""),0.0)</f>
        <v>0</v>
      </c>
      <c r="G14" s="55">
        <f>IFERROR(__xludf.DUMMYFUNCTION("""COMPUTED_VALUE"""),0.0297029702970297)</f>
        <v>0.0297029703</v>
      </c>
    </row>
    <row r="15">
      <c r="A15" s="52">
        <f>IFERROR(__xludf.DUMMYFUNCTION("""COMPUTED_VALUE"""),44627.0)</f>
        <v>44627</v>
      </c>
      <c r="B15" s="52">
        <f>IFERROR(__xludf.DUMMYFUNCTION("""COMPUTED_VALUE"""),44633.0)</f>
        <v>44633</v>
      </c>
      <c r="C15" s="53">
        <f>IFERROR(__xludf.DUMMYFUNCTION("""COMPUTED_VALUE"""),86.0)</f>
        <v>86</v>
      </c>
      <c r="D15" s="54">
        <f>IFERROR(__xludf.DUMMYFUNCTION("""COMPUTED_VALUE"""),86.0)</f>
        <v>86</v>
      </c>
      <c r="E15" s="54">
        <f>IFERROR(__xludf.DUMMYFUNCTION("""COMPUTED_VALUE"""),0.0)</f>
        <v>0</v>
      </c>
      <c r="F15" s="54">
        <f>IFERROR(__xludf.DUMMYFUNCTION("""COMPUTED_VALUE"""),0.0)</f>
        <v>0</v>
      </c>
      <c r="G15" s="55">
        <f>IFERROR(__xludf.DUMMYFUNCTION("""COMPUTED_VALUE"""),0.0)</f>
        <v>0</v>
      </c>
    </row>
    <row r="16">
      <c r="A16" s="52">
        <f>IFERROR(__xludf.DUMMYFUNCTION("""COMPUTED_VALUE"""),44634.0)</f>
        <v>44634</v>
      </c>
      <c r="B16" s="52">
        <f>IFERROR(__xludf.DUMMYFUNCTION("""COMPUTED_VALUE"""),44640.0)</f>
        <v>44640</v>
      </c>
      <c r="C16" s="53">
        <f>IFERROR(__xludf.DUMMYFUNCTION("""COMPUTED_VALUE"""),0.0)</f>
        <v>0</v>
      </c>
      <c r="D16" s="54">
        <f>IFERROR(__xludf.DUMMYFUNCTION("""COMPUTED_VALUE"""),0.0)</f>
        <v>0</v>
      </c>
      <c r="E16" s="54">
        <f>IFERROR(__xludf.DUMMYFUNCTION("""COMPUTED_VALUE"""),0.0)</f>
        <v>0</v>
      </c>
      <c r="F16" s="54">
        <f>IFERROR(__xludf.DUMMYFUNCTION("""COMPUTED_VALUE"""),0.0)</f>
        <v>0</v>
      </c>
      <c r="G16" s="55"/>
    </row>
    <row r="17">
      <c r="A17" s="52">
        <f>IFERROR(__xludf.DUMMYFUNCTION("""COMPUTED_VALUE"""),44641.0)</f>
        <v>44641</v>
      </c>
      <c r="B17" s="52">
        <f>IFERROR(__xludf.DUMMYFUNCTION("""COMPUTED_VALUE"""),44647.0)</f>
        <v>44647</v>
      </c>
      <c r="C17" s="53">
        <f>IFERROR(__xludf.DUMMYFUNCTION("""COMPUTED_VALUE"""),0.0)</f>
        <v>0</v>
      </c>
      <c r="D17" s="54">
        <f>IFERROR(__xludf.DUMMYFUNCTION("""COMPUTED_VALUE"""),0.0)</f>
        <v>0</v>
      </c>
      <c r="E17" s="54">
        <f>IFERROR(__xludf.DUMMYFUNCTION("""COMPUTED_VALUE"""),0.0)</f>
        <v>0</v>
      </c>
      <c r="F17" s="54">
        <f>IFERROR(__xludf.DUMMYFUNCTION("""COMPUTED_VALUE"""),0.0)</f>
        <v>0</v>
      </c>
      <c r="G17" s="55"/>
    </row>
    <row r="18">
      <c r="A18" s="52">
        <f>IFERROR(__xludf.DUMMYFUNCTION("""COMPUTED_VALUE"""),44648.0)</f>
        <v>44648</v>
      </c>
      <c r="B18" s="52">
        <f>IFERROR(__xludf.DUMMYFUNCTION("""COMPUTED_VALUE"""),44654.0)</f>
        <v>44654</v>
      </c>
      <c r="C18" s="53">
        <f>IFERROR(__xludf.DUMMYFUNCTION("""COMPUTED_VALUE"""),0.0)</f>
        <v>0</v>
      </c>
      <c r="D18" s="54">
        <f>IFERROR(__xludf.DUMMYFUNCTION("""COMPUTED_VALUE"""),0.0)</f>
        <v>0</v>
      </c>
      <c r="E18" s="54">
        <f>IFERROR(__xludf.DUMMYFUNCTION("""COMPUTED_VALUE"""),0.0)</f>
        <v>0</v>
      </c>
      <c r="F18" s="54">
        <f>IFERROR(__xludf.DUMMYFUNCTION("""COMPUTED_VALUE"""),0.0)</f>
        <v>0</v>
      </c>
      <c r="G18" s="55"/>
    </row>
    <row r="19">
      <c r="A19" s="52">
        <f>IFERROR(__xludf.DUMMYFUNCTION("""COMPUTED_VALUE"""),44655.0)</f>
        <v>44655</v>
      </c>
      <c r="B19" s="52">
        <f>IFERROR(__xludf.DUMMYFUNCTION("""COMPUTED_VALUE"""),44661.0)</f>
        <v>44661</v>
      </c>
      <c r="C19" s="53">
        <f>IFERROR(__xludf.DUMMYFUNCTION("""COMPUTED_VALUE"""),0.0)</f>
        <v>0</v>
      </c>
      <c r="D19" s="54">
        <f>IFERROR(__xludf.DUMMYFUNCTION("""COMPUTED_VALUE"""),0.0)</f>
        <v>0</v>
      </c>
      <c r="E19" s="54">
        <f>IFERROR(__xludf.DUMMYFUNCTION("""COMPUTED_VALUE"""),0.0)</f>
        <v>0</v>
      </c>
      <c r="F19" s="54">
        <f>IFERROR(__xludf.DUMMYFUNCTION("""COMPUTED_VALUE"""),0.0)</f>
        <v>0</v>
      </c>
      <c r="G19" s="55"/>
    </row>
    <row r="20">
      <c r="A20" s="52">
        <f>IFERROR(__xludf.DUMMYFUNCTION("""COMPUTED_VALUE"""),44662.0)</f>
        <v>44662</v>
      </c>
      <c r="B20" s="52">
        <f>IFERROR(__xludf.DUMMYFUNCTION("""COMPUTED_VALUE"""),44668.0)</f>
        <v>44668</v>
      </c>
      <c r="C20" s="53">
        <f>IFERROR(__xludf.DUMMYFUNCTION("""COMPUTED_VALUE"""),1.0)</f>
        <v>1</v>
      </c>
      <c r="D20" s="54">
        <f>IFERROR(__xludf.DUMMYFUNCTION("""COMPUTED_VALUE"""),1.0)</f>
        <v>1</v>
      </c>
      <c r="E20" s="54">
        <f>IFERROR(__xludf.DUMMYFUNCTION("""COMPUTED_VALUE"""),0.0)</f>
        <v>0</v>
      </c>
      <c r="F20" s="54">
        <f>IFERROR(__xludf.DUMMYFUNCTION("""COMPUTED_VALUE"""),0.0)</f>
        <v>0</v>
      </c>
      <c r="G20" s="55">
        <f>IFERROR(__xludf.DUMMYFUNCTION("""COMPUTED_VALUE"""),0.0)</f>
        <v>0</v>
      </c>
    </row>
    <row r="21">
      <c r="A21" s="52">
        <f>IFERROR(__xludf.DUMMYFUNCTION("""COMPUTED_VALUE"""),44669.0)</f>
        <v>44669</v>
      </c>
      <c r="B21" s="52">
        <f>IFERROR(__xludf.DUMMYFUNCTION("""COMPUTED_VALUE"""),44675.0)</f>
        <v>44675</v>
      </c>
      <c r="C21" s="53">
        <f>IFERROR(__xludf.DUMMYFUNCTION("""COMPUTED_VALUE"""),0.0)</f>
        <v>0</v>
      </c>
      <c r="D21" s="54">
        <f>IFERROR(__xludf.DUMMYFUNCTION("""COMPUTED_VALUE"""),0.0)</f>
        <v>0</v>
      </c>
      <c r="E21" s="54">
        <f>IFERROR(__xludf.DUMMYFUNCTION("""COMPUTED_VALUE"""),0.0)</f>
        <v>0</v>
      </c>
      <c r="F21" s="54">
        <f>IFERROR(__xludf.DUMMYFUNCTION("""COMPUTED_VALUE"""),0.0)</f>
        <v>0</v>
      </c>
      <c r="G21" s="55"/>
    </row>
    <row r="22">
      <c r="A22" s="52">
        <f>IFERROR(__xludf.DUMMYFUNCTION("""COMPUTED_VALUE"""),44676.0)</f>
        <v>44676</v>
      </c>
      <c r="B22" s="52">
        <f>IFERROR(__xludf.DUMMYFUNCTION("""COMPUTED_VALUE"""),44682.0)</f>
        <v>44682</v>
      </c>
      <c r="C22" s="53">
        <f>IFERROR(__xludf.DUMMYFUNCTION("""COMPUTED_VALUE"""),0.0)</f>
        <v>0</v>
      </c>
      <c r="D22" s="54">
        <f>IFERROR(__xludf.DUMMYFUNCTION("""COMPUTED_VALUE"""),0.0)</f>
        <v>0</v>
      </c>
      <c r="E22" s="54">
        <f>IFERROR(__xludf.DUMMYFUNCTION("""COMPUTED_VALUE"""),0.0)</f>
        <v>0</v>
      </c>
      <c r="F22" s="54">
        <f>IFERROR(__xludf.DUMMYFUNCTION("""COMPUTED_VALUE"""),0.0)</f>
        <v>0</v>
      </c>
      <c r="G22" s="55"/>
    </row>
    <row r="23">
      <c r="A23" s="52">
        <f>IFERROR(__xludf.DUMMYFUNCTION("""COMPUTED_VALUE"""),44683.0)</f>
        <v>44683</v>
      </c>
      <c r="B23" s="52">
        <f>IFERROR(__xludf.DUMMYFUNCTION("""COMPUTED_VALUE"""),44689.0)</f>
        <v>44689</v>
      </c>
      <c r="C23" s="53">
        <f>IFERROR(__xludf.DUMMYFUNCTION("""COMPUTED_VALUE"""),0.0)</f>
        <v>0</v>
      </c>
      <c r="D23" s="54">
        <f>IFERROR(__xludf.DUMMYFUNCTION("""COMPUTED_VALUE"""),0.0)</f>
        <v>0</v>
      </c>
      <c r="E23" s="54">
        <f>IFERROR(__xludf.DUMMYFUNCTION("""COMPUTED_VALUE"""),0.0)</f>
        <v>0</v>
      </c>
      <c r="F23" s="54">
        <f>IFERROR(__xludf.DUMMYFUNCTION("""COMPUTED_VALUE"""),0.0)</f>
        <v>0</v>
      </c>
      <c r="G23" s="55"/>
    </row>
    <row r="24">
      <c r="A24" s="52">
        <f>IFERROR(__xludf.DUMMYFUNCTION("""COMPUTED_VALUE"""),44690.0)</f>
        <v>44690</v>
      </c>
      <c r="B24" s="52">
        <f>IFERROR(__xludf.DUMMYFUNCTION("""COMPUTED_VALUE"""),44696.0)</f>
        <v>44696</v>
      </c>
      <c r="C24" s="53">
        <f>IFERROR(__xludf.DUMMYFUNCTION("""COMPUTED_VALUE"""),9.0)</f>
        <v>9</v>
      </c>
      <c r="D24" s="54">
        <f>IFERROR(__xludf.DUMMYFUNCTION("""COMPUTED_VALUE"""),9.0)</f>
        <v>9</v>
      </c>
      <c r="E24" s="54">
        <f>IFERROR(__xludf.DUMMYFUNCTION("""COMPUTED_VALUE"""),0.0)</f>
        <v>0</v>
      </c>
      <c r="F24" s="54">
        <f>IFERROR(__xludf.DUMMYFUNCTION("""COMPUTED_VALUE"""),0.0)</f>
        <v>0</v>
      </c>
      <c r="G24" s="55">
        <f>IFERROR(__xludf.DUMMYFUNCTION("""COMPUTED_VALUE"""),0.0)</f>
        <v>0</v>
      </c>
    </row>
    <row r="25">
      <c r="A25" s="11"/>
      <c r="B25" s="11"/>
      <c r="C25" s="11"/>
      <c r="D25" s="11"/>
      <c r="E25" s="11"/>
      <c r="F25" s="11"/>
      <c r="G25" s="11"/>
    </row>
    <row r="26">
      <c r="A26" s="11"/>
      <c r="B26" s="11"/>
      <c r="C26" s="11"/>
      <c r="D26" s="11"/>
      <c r="E26" s="11"/>
      <c r="F26" s="11"/>
      <c r="G26" s="11"/>
    </row>
    <row r="27">
      <c r="A27" s="11"/>
      <c r="B27" s="11"/>
      <c r="C27" s="11"/>
      <c r="D27" s="11"/>
      <c r="E27" s="11"/>
      <c r="F27" s="11"/>
      <c r="G27" s="11"/>
    </row>
    <row r="28">
      <c r="A28" s="11"/>
      <c r="B28" s="11"/>
      <c r="C28" s="11"/>
      <c r="D28" s="11"/>
      <c r="E28" s="11"/>
      <c r="F28" s="11"/>
      <c r="G28" s="11"/>
    </row>
    <row r="29">
      <c r="A29" s="11"/>
      <c r="B29" s="11"/>
      <c r="C29" s="11"/>
      <c r="D29" s="11"/>
      <c r="E29" s="11"/>
      <c r="F29" s="11"/>
      <c r="G29" s="11"/>
    </row>
    <row r="30">
      <c r="A30" s="11"/>
      <c r="B30" s="11"/>
      <c r="C30" s="11"/>
      <c r="D30" s="11"/>
      <c r="E30" s="11"/>
      <c r="F30" s="11"/>
      <c r="G30" s="11"/>
    </row>
    <row r="31">
      <c r="A31" s="11"/>
      <c r="B31" s="11"/>
      <c r="C31" s="11"/>
      <c r="D31" s="11"/>
      <c r="E31" s="11"/>
      <c r="F31" s="11"/>
      <c r="G31" s="11"/>
    </row>
    <row r="32">
      <c r="A32" s="11"/>
      <c r="B32" s="11"/>
      <c r="C32" s="11"/>
      <c r="D32" s="11"/>
      <c r="E32" s="11"/>
      <c r="F32" s="11"/>
      <c r="G32" s="11"/>
    </row>
    <row r="33">
      <c r="A33" s="11"/>
      <c r="B33" s="11"/>
      <c r="C33" s="11"/>
      <c r="D33" s="11"/>
      <c r="E33" s="11"/>
      <c r="F33" s="11"/>
      <c r="G33" s="11"/>
    </row>
    <row r="34">
      <c r="A34" s="11"/>
      <c r="B34" s="11"/>
      <c r="C34" s="11"/>
      <c r="D34" s="11"/>
      <c r="E34" s="11"/>
      <c r="F34" s="11"/>
      <c r="G34" s="11"/>
    </row>
    <row r="35">
      <c r="A35" s="11"/>
      <c r="B35" s="11"/>
      <c r="C35" s="11"/>
      <c r="D35" s="11"/>
      <c r="E35" s="11"/>
      <c r="F35" s="11"/>
      <c r="G35" s="11"/>
    </row>
    <row r="36">
      <c r="A36" s="11"/>
      <c r="B36" s="11"/>
      <c r="C36" s="11"/>
      <c r="D36" s="11"/>
      <c r="E36" s="11"/>
      <c r="F36" s="11"/>
      <c r="G36" s="11"/>
    </row>
    <row r="37">
      <c r="A37" s="11"/>
      <c r="B37" s="11"/>
      <c r="C37" s="11"/>
      <c r="D37" s="11"/>
      <c r="E37" s="11"/>
      <c r="F37" s="11"/>
      <c r="G37" s="11"/>
    </row>
    <row r="38">
      <c r="A38" s="11"/>
      <c r="B38" s="11"/>
      <c r="C38" s="11"/>
      <c r="D38" s="11"/>
      <c r="E38" s="11"/>
      <c r="F38" s="11"/>
      <c r="G38" s="11"/>
    </row>
    <row r="39">
      <c r="A39" s="11"/>
      <c r="B39" s="11"/>
      <c r="C39" s="11"/>
      <c r="D39" s="11"/>
      <c r="E39" s="11"/>
      <c r="F39" s="11"/>
      <c r="G39" s="11"/>
    </row>
    <row r="40">
      <c r="A40" s="11"/>
      <c r="B40" s="11"/>
      <c r="C40" s="11"/>
      <c r="D40" s="11"/>
      <c r="E40" s="11"/>
      <c r="F40" s="11"/>
      <c r="G40" s="11"/>
    </row>
    <row r="41">
      <c r="A41" s="11"/>
      <c r="B41" s="11"/>
      <c r="C41" s="11"/>
      <c r="D41" s="11"/>
      <c r="E41" s="11"/>
      <c r="F41" s="11"/>
      <c r="G41" s="11"/>
    </row>
    <row r="42">
      <c r="A42" s="11"/>
      <c r="B42" s="11"/>
      <c r="C42" s="11"/>
      <c r="D42" s="11"/>
      <c r="E42" s="11"/>
      <c r="F42" s="11"/>
      <c r="G42" s="11"/>
    </row>
    <row r="43">
      <c r="A43" s="11"/>
      <c r="B43" s="11"/>
      <c r="C43" s="11"/>
      <c r="D43" s="11"/>
      <c r="E43" s="11"/>
      <c r="F43" s="11"/>
      <c r="G43" s="11"/>
    </row>
    <row r="44">
      <c r="A44" s="11"/>
      <c r="B44" s="11"/>
      <c r="C44" s="11"/>
      <c r="D44" s="11"/>
      <c r="E44" s="11"/>
      <c r="F44" s="11"/>
      <c r="G44" s="11"/>
    </row>
    <row r="45">
      <c r="A45" s="11"/>
      <c r="B45" s="11"/>
      <c r="C45" s="11"/>
      <c r="D45" s="11"/>
      <c r="E45" s="11"/>
      <c r="F45" s="11"/>
      <c r="G45" s="11"/>
    </row>
    <row r="46">
      <c r="A46" s="11"/>
      <c r="B46" s="11"/>
      <c r="C46" s="11"/>
      <c r="D46" s="11"/>
      <c r="E46" s="11"/>
      <c r="F46" s="11"/>
      <c r="G46" s="11"/>
    </row>
    <row r="47">
      <c r="A47" s="11"/>
      <c r="B47" s="11"/>
      <c r="C47" s="11"/>
      <c r="D47" s="11"/>
      <c r="E47" s="11"/>
      <c r="F47" s="11"/>
      <c r="G47" s="11"/>
    </row>
    <row r="48">
      <c r="A48" s="11"/>
      <c r="B48" s="11"/>
      <c r="C48" s="11"/>
      <c r="D48" s="11"/>
      <c r="E48" s="11"/>
      <c r="F48" s="11"/>
      <c r="G48" s="11"/>
    </row>
    <row r="49">
      <c r="A49" s="11"/>
      <c r="B49" s="11"/>
      <c r="C49" s="11"/>
      <c r="D49" s="11"/>
      <c r="E49" s="11"/>
      <c r="F49" s="11"/>
      <c r="G49" s="11"/>
    </row>
    <row r="50">
      <c r="A50" s="11"/>
      <c r="B50" s="11"/>
      <c r="C50" s="11"/>
      <c r="D50" s="11"/>
      <c r="E50" s="11"/>
      <c r="F50" s="11"/>
      <c r="G50" s="11"/>
    </row>
    <row r="51">
      <c r="A51" s="11"/>
      <c r="B51" s="11"/>
      <c r="C51" s="11"/>
      <c r="D51" s="11"/>
      <c r="E51" s="11"/>
      <c r="F51" s="11"/>
      <c r="G51" s="11"/>
    </row>
    <row r="52">
      <c r="A52" s="11"/>
      <c r="B52" s="11"/>
      <c r="C52" s="11"/>
      <c r="D52" s="11"/>
      <c r="E52" s="11"/>
      <c r="F52" s="11"/>
      <c r="G52" s="11"/>
    </row>
    <row r="53">
      <c r="A53" s="11"/>
      <c r="B53" s="11"/>
      <c r="C53" s="11"/>
      <c r="D53" s="11"/>
      <c r="E53" s="11"/>
      <c r="F53" s="11"/>
      <c r="G53" s="11"/>
    </row>
    <row r="54">
      <c r="A54" s="11"/>
      <c r="B54" s="11"/>
      <c r="C54" s="11"/>
      <c r="D54" s="11"/>
      <c r="E54" s="11"/>
      <c r="F54" s="11"/>
      <c r="G54" s="11"/>
    </row>
    <row r="55">
      <c r="A55" s="11"/>
      <c r="B55" s="11"/>
      <c r="C55" s="11"/>
      <c r="D55" s="11"/>
      <c r="E55" s="11"/>
      <c r="F55" s="11"/>
      <c r="G55" s="11"/>
    </row>
    <row r="56">
      <c r="A56" s="11"/>
      <c r="B56" s="11"/>
      <c r="C56" s="11"/>
      <c r="D56" s="11"/>
      <c r="E56" s="11"/>
      <c r="F56" s="11"/>
      <c r="G56" s="11"/>
    </row>
    <row r="57">
      <c r="A57" s="11"/>
      <c r="B57" s="11"/>
      <c r="C57" s="11"/>
      <c r="D57" s="11"/>
      <c r="E57" s="11"/>
      <c r="F57" s="11"/>
      <c r="G57" s="11"/>
    </row>
    <row r="58">
      <c r="A58" s="11"/>
      <c r="B58" s="11"/>
      <c r="C58" s="11"/>
      <c r="D58" s="11"/>
      <c r="E58" s="11"/>
      <c r="F58" s="11"/>
      <c r="G58" s="11"/>
    </row>
    <row r="59">
      <c r="A59" s="11"/>
      <c r="B59" s="11"/>
      <c r="C59" s="11"/>
      <c r="D59" s="11"/>
      <c r="E59" s="11"/>
      <c r="F59" s="11"/>
      <c r="G59" s="11"/>
    </row>
    <row r="60">
      <c r="A60" s="11"/>
      <c r="B60" s="11"/>
      <c r="C60" s="11"/>
      <c r="D60" s="11"/>
      <c r="E60" s="11"/>
      <c r="F60" s="11"/>
      <c r="G60" s="11"/>
    </row>
    <row r="61">
      <c r="A61" s="11"/>
      <c r="B61" s="11"/>
      <c r="C61" s="11"/>
      <c r="D61" s="11"/>
      <c r="E61" s="11"/>
      <c r="F61" s="11"/>
      <c r="G61" s="11"/>
    </row>
    <row r="62">
      <c r="A62" s="11"/>
      <c r="B62" s="11"/>
      <c r="C62" s="11"/>
      <c r="D62" s="11"/>
      <c r="E62" s="11"/>
      <c r="F62" s="11"/>
      <c r="G62" s="11"/>
    </row>
    <row r="63">
      <c r="A63" s="11"/>
      <c r="B63" s="11"/>
      <c r="C63" s="11"/>
      <c r="D63" s="11"/>
      <c r="E63" s="11"/>
      <c r="F63" s="11"/>
      <c r="G63" s="11"/>
    </row>
    <row r="64">
      <c r="A64" s="11"/>
      <c r="B64" s="11"/>
      <c r="C64" s="11"/>
      <c r="D64" s="11"/>
      <c r="E64" s="11"/>
      <c r="F64" s="11"/>
      <c r="G64" s="11"/>
    </row>
    <row r="65">
      <c r="A65" s="11"/>
      <c r="B65" s="11"/>
      <c r="C65" s="11"/>
      <c r="D65" s="11"/>
      <c r="E65" s="11"/>
      <c r="F65" s="11"/>
      <c r="G65" s="11"/>
    </row>
    <row r="66">
      <c r="A66" s="11"/>
      <c r="B66" s="11"/>
      <c r="C66" s="11"/>
      <c r="D66" s="11"/>
      <c r="E66" s="11"/>
      <c r="F66" s="11"/>
      <c r="G66" s="11"/>
    </row>
    <row r="67">
      <c r="A67" s="11"/>
      <c r="B67" s="11"/>
      <c r="C67" s="11"/>
      <c r="D67" s="11"/>
      <c r="E67" s="11"/>
      <c r="F67" s="11"/>
      <c r="G67" s="11"/>
    </row>
    <row r="68">
      <c r="A68" s="11"/>
      <c r="B68" s="11"/>
      <c r="C68" s="11"/>
      <c r="D68" s="11"/>
      <c r="E68" s="11"/>
      <c r="F68" s="11"/>
      <c r="G68" s="11"/>
    </row>
    <row r="69">
      <c r="A69" s="11"/>
      <c r="B69" s="11"/>
      <c r="C69" s="11"/>
      <c r="D69" s="11"/>
      <c r="E69" s="11"/>
      <c r="F69" s="11"/>
      <c r="G69" s="11"/>
    </row>
    <row r="70">
      <c r="A70" s="11"/>
      <c r="B70" s="11"/>
      <c r="C70" s="11"/>
      <c r="D70" s="11"/>
      <c r="E70" s="11"/>
      <c r="F70" s="11"/>
      <c r="G70" s="11"/>
    </row>
    <row r="71">
      <c r="A71" s="11"/>
      <c r="B71" s="11"/>
      <c r="C71" s="11"/>
      <c r="D71" s="11"/>
      <c r="E71" s="11"/>
      <c r="F71" s="11"/>
      <c r="G71" s="11"/>
    </row>
    <row r="72">
      <c r="A72" s="11"/>
      <c r="B72" s="11"/>
      <c r="C72" s="11"/>
      <c r="D72" s="11"/>
      <c r="E72" s="11"/>
      <c r="F72" s="11"/>
      <c r="G72" s="11"/>
    </row>
    <row r="73">
      <c r="A73" s="11"/>
      <c r="B73" s="11"/>
      <c r="C73" s="11"/>
      <c r="D73" s="11"/>
      <c r="E73" s="11"/>
      <c r="F73" s="11"/>
      <c r="G73" s="11"/>
    </row>
    <row r="74">
      <c r="A74" s="11"/>
      <c r="B74" s="11"/>
      <c r="C74" s="11"/>
      <c r="D74" s="11"/>
      <c r="E74" s="11"/>
      <c r="F74" s="11"/>
      <c r="G74" s="11"/>
    </row>
    <row r="75">
      <c r="A75" s="11"/>
      <c r="B75" s="11"/>
      <c r="C75" s="11"/>
      <c r="D75" s="11"/>
      <c r="E75" s="11"/>
      <c r="F75" s="11"/>
      <c r="G75" s="11"/>
    </row>
    <row r="76">
      <c r="A76" s="11"/>
      <c r="B76" s="11"/>
      <c r="C76" s="11"/>
      <c r="D76" s="11"/>
      <c r="E76" s="11"/>
      <c r="F76" s="11"/>
      <c r="G76" s="11"/>
    </row>
    <row r="77">
      <c r="A77" s="11"/>
      <c r="B77" s="11"/>
      <c r="C77" s="11"/>
      <c r="D77" s="11"/>
      <c r="E77" s="11"/>
      <c r="F77" s="11"/>
      <c r="G77" s="11"/>
    </row>
    <row r="78">
      <c r="A78" s="11"/>
      <c r="B78" s="11"/>
      <c r="C78" s="11"/>
      <c r="D78" s="11"/>
      <c r="E78" s="11"/>
      <c r="F78" s="11"/>
      <c r="G78" s="11"/>
    </row>
    <row r="79">
      <c r="A79" s="11"/>
      <c r="B79" s="11"/>
      <c r="C79" s="11"/>
      <c r="D79" s="11"/>
      <c r="E79" s="11"/>
      <c r="F79" s="11"/>
      <c r="G79" s="11"/>
    </row>
    <row r="80">
      <c r="A80" s="11"/>
      <c r="B80" s="11"/>
      <c r="C80" s="11"/>
      <c r="D80" s="11"/>
      <c r="E80" s="11"/>
      <c r="F80" s="11"/>
      <c r="G80" s="11"/>
    </row>
    <row r="81">
      <c r="A81" s="11"/>
      <c r="B81" s="11"/>
      <c r="C81" s="11"/>
      <c r="D81" s="11"/>
      <c r="E81" s="11"/>
      <c r="F81" s="11"/>
      <c r="G81" s="11"/>
    </row>
    <row r="82">
      <c r="A82" s="11"/>
      <c r="B82" s="11"/>
      <c r="C82" s="11"/>
      <c r="D82" s="11"/>
      <c r="E82" s="11"/>
      <c r="F82" s="11"/>
      <c r="G82" s="11"/>
    </row>
    <row r="83">
      <c r="A83" s="11"/>
      <c r="B83" s="11"/>
      <c r="C83" s="11"/>
      <c r="D83" s="11"/>
      <c r="E83" s="11"/>
      <c r="F83" s="11"/>
      <c r="G83" s="11"/>
    </row>
    <row r="84">
      <c r="A84" s="11"/>
      <c r="B84" s="11"/>
      <c r="C84" s="11"/>
      <c r="D84" s="11"/>
      <c r="E84" s="11"/>
      <c r="F84" s="11"/>
      <c r="G84" s="11"/>
    </row>
    <row r="85">
      <c r="A85" s="11"/>
      <c r="B85" s="11"/>
      <c r="C85" s="11"/>
      <c r="D85" s="11"/>
      <c r="E85" s="11"/>
      <c r="F85" s="11"/>
      <c r="G85" s="11"/>
    </row>
    <row r="86">
      <c r="A86" s="11"/>
      <c r="B86" s="11"/>
      <c r="C86" s="11"/>
      <c r="D86" s="11"/>
      <c r="E86" s="11"/>
      <c r="F86" s="11"/>
      <c r="G86" s="11"/>
    </row>
    <row r="87">
      <c r="A87" s="11"/>
      <c r="B87" s="11"/>
      <c r="C87" s="11"/>
      <c r="D87" s="11"/>
      <c r="E87" s="11"/>
      <c r="F87" s="11"/>
      <c r="G87" s="11"/>
    </row>
    <row r="88">
      <c r="A88" s="11"/>
      <c r="B88" s="11"/>
      <c r="C88" s="11"/>
      <c r="D88" s="11"/>
      <c r="E88" s="11"/>
      <c r="F88" s="11"/>
      <c r="G88" s="11"/>
    </row>
    <row r="89">
      <c r="A89" s="11"/>
      <c r="B89" s="11"/>
      <c r="C89" s="11"/>
      <c r="D89" s="11"/>
      <c r="E89" s="11"/>
      <c r="F89" s="11"/>
      <c r="G89" s="11"/>
    </row>
    <row r="90">
      <c r="A90" s="11"/>
      <c r="B90" s="11"/>
      <c r="C90" s="11"/>
      <c r="D90" s="11"/>
      <c r="E90" s="11"/>
      <c r="F90" s="11"/>
      <c r="G90" s="11"/>
    </row>
    <row r="91">
      <c r="A91" s="11"/>
      <c r="B91" s="11"/>
      <c r="C91" s="11"/>
      <c r="D91" s="11"/>
      <c r="E91" s="11"/>
      <c r="F91" s="11"/>
      <c r="G91" s="11"/>
    </row>
    <row r="92">
      <c r="A92" s="11"/>
      <c r="B92" s="11"/>
      <c r="C92" s="11"/>
      <c r="D92" s="11"/>
      <c r="E92" s="11"/>
      <c r="F92" s="11"/>
      <c r="G92" s="11"/>
    </row>
    <row r="93">
      <c r="A93" s="11"/>
      <c r="B93" s="11"/>
      <c r="C93" s="11"/>
      <c r="D93" s="11"/>
      <c r="E93" s="11"/>
      <c r="F93" s="11"/>
      <c r="G93" s="11"/>
    </row>
    <row r="94">
      <c r="A94" s="11"/>
      <c r="B94" s="11"/>
      <c r="C94" s="11"/>
      <c r="D94" s="11"/>
      <c r="E94" s="11"/>
      <c r="F94" s="11"/>
      <c r="G94" s="11"/>
    </row>
    <row r="95">
      <c r="A95" s="11"/>
      <c r="B95" s="11"/>
      <c r="C95" s="11"/>
      <c r="D95" s="11"/>
      <c r="E95" s="11"/>
      <c r="F95" s="11"/>
      <c r="G95" s="11"/>
    </row>
    <row r="96">
      <c r="A96" s="11"/>
      <c r="B96" s="11"/>
      <c r="C96" s="11"/>
      <c r="D96" s="11"/>
      <c r="E96" s="11"/>
      <c r="F96" s="11"/>
      <c r="G96" s="11"/>
    </row>
    <row r="97">
      <c r="A97" s="11"/>
      <c r="B97" s="11"/>
      <c r="C97" s="11"/>
      <c r="D97" s="11"/>
      <c r="E97" s="11"/>
      <c r="F97" s="11"/>
      <c r="G97" s="11"/>
    </row>
    <row r="98">
      <c r="A98" s="11"/>
      <c r="B98" s="11"/>
      <c r="C98" s="11"/>
      <c r="D98" s="11"/>
      <c r="E98" s="11"/>
      <c r="F98" s="11"/>
      <c r="G98" s="11"/>
    </row>
    <row r="99">
      <c r="A99" s="11"/>
      <c r="B99" s="11"/>
      <c r="C99" s="11"/>
      <c r="D99" s="11"/>
      <c r="E99" s="11"/>
      <c r="F99" s="11"/>
      <c r="G99"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cols>
    <col customWidth="1" min="4" max="4" width="16.38"/>
    <col customWidth="1" min="16" max="16" width="19.5"/>
    <col customWidth="1" min="17" max="19" width="14.88"/>
    <col customWidth="1" min="20" max="20" width="20.0"/>
    <col customWidth="1" min="21" max="21" width="12.38"/>
    <col customWidth="1" min="23" max="23" width="16.5"/>
    <col customWidth="1" min="24" max="24" width="15.63"/>
    <col customWidth="1" min="26" max="26" width="8.0"/>
    <col customWidth="1" min="27" max="27" width="82.25"/>
  </cols>
  <sheetData>
    <row r="1">
      <c r="A1" s="56" t="str">
        <f t="array" ref="A1:O1">'APS Tubes'!A1:O1</f>
        <v>TUBE ID</v>
      </c>
      <c r="B1" s="57" t="s">
        <v>156</v>
      </c>
      <c r="C1" s="57" t="s">
        <v>157</v>
      </c>
      <c r="D1" s="50" t="s">
        <v>158</v>
      </c>
      <c r="E1" s="57" t="s">
        <v>159</v>
      </c>
      <c r="F1" s="57" t="s">
        <v>160</v>
      </c>
      <c r="G1" s="50" t="s">
        <v>161</v>
      </c>
      <c r="H1" s="57" t="s">
        <v>162</v>
      </c>
      <c r="I1" s="57" t="s">
        <v>163</v>
      </c>
      <c r="J1" s="50" t="s">
        <v>164</v>
      </c>
      <c r="K1" s="57" t="s">
        <v>165</v>
      </c>
      <c r="L1" s="50" t="s">
        <v>166</v>
      </c>
      <c r="M1" s="50" t="s">
        <v>167</v>
      </c>
      <c r="N1" s="50" t="s">
        <v>168</v>
      </c>
      <c r="O1" s="50" t="s">
        <v>169</v>
      </c>
      <c r="P1" s="58" t="s">
        <v>170</v>
      </c>
      <c r="Q1" s="58" t="s">
        <v>171</v>
      </c>
      <c r="R1" s="58" t="s">
        <v>172</v>
      </c>
      <c r="S1" s="58" t="s">
        <v>173</v>
      </c>
      <c r="T1" s="59" t="s">
        <v>174</v>
      </c>
      <c r="U1" s="59" t="str">
        <f>CONCATENATE(COUNTIF(U2:U1340,TRUE), " ACCOUNTED FOR IN RTR?")</f>
        <v>0 ACCOUNTED FOR IN RTR?</v>
      </c>
      <c r="V1" s="60" t="s">
        <v>175</v>
      </c>
      <c r="W1" s="60" t="s">
        <v>176</v>
      </c>
      <c r="X1" s="60" t="s">
        <v>177</v>
      </c>
      <c r="Y1" s="58" t="s">
        <v>178</v>
      </c>
      <c r="Z1" s="58" t="str">
        <f>CONCATENATE(SUM(Z2:Z74), " Check")</f>
        <v>0 Check</v>
      </c>
      <c r="AA1" s="9" t="s">
        <v>179</v>
      </c>
      <c r="AB1" s="9"/>
      <c r="AC1" s="9"/>
      <c r="AD1" s="9"/>
      <c r="AE1" s="9"/>
      <c r="AF1" s="9"/>
      <c r="AG1" s="9"/>
      <c r="AH1" s="9"/>
      <c r="AI1" s="9"/>
    </row>
    <row r="2">
      <c r="A2" s="61" t="str">
        <f>IFERROR(__xludf.DUMMYFUNCTION("{FILTER('APS Tubes'!A2:O1340,EXACT('APS Tubes'!H2:H1340,""Positive"")); FILTER('APS Tubes'!A2:O1340,EXACT('APS Tubes'!H2:H1340,""Inconclusive""))}
"),"MA1043")</f>
        <v>MA1043</v>
      </c>
      <c r="B2" s="52">
        <f>IFERROR(__xludf.DUMMYFUNCTION("""COMPUTED_VALUE"""),44547.0)</f>
        <v>44547</v>
      </c>
      <c r="C2" s="62">
        <f>IFERROR(__xludf.DUMMYFUNCTION("""COMPUTED_VALUE"""),0.3417824074074074)</f>
        <v>0.3417824074</v>
      </c>
      <c r="D2" s="54" t="str">
        <f>IFERROR(__xludf.DUMMYFUNCTION("""COMPUTED_VALUE"""),"SpBEND548976")</f>
        <v>SpBEND548976</v>
      </c>
      <c r="E2" s="54"/>
      <c r="F2" s="54"/>
      <c r="G2" s="54" t="str">
        <f>IFERROR(__xludf.DUMMYFUNCTION("""COMPUTED_VALUE"""),"Positive")</f>
        <v>Positive</v>
      </c>
      <c r="H2" s="54" t="str">
        <f>IFERROR(__xludf.DUMMYFUNCTION("""COMPUTED_VALUE"""),"Positive")</f>
        <v>Positive</v>
      </c>
      <c r="I2" s="52">
        <f>IFERROR(__xludf.DUMMYFUNCTION("""COMPUTED_VALUE"""),44547.0)</f>
        <v>44547</v>
      </c>
      <c r="J2" s="62">
        <f>IFERROR(__xludf.DUMMYFUNCTION("""COMPUTED_VALUE"""),0.5028472222222222)</f>
        <v>0.5028472222</v>
      </c>
      <c r="K2" s="63"/>
      <c r="L2" s="54"/>
      <c r="M2" s="54"/>
      <c r="N2" s="63">
        <f>IFERROR(__xludf.DUMMYFUNCTION("""COMPUTED_VALUE"""),1.0)</f>
        <v>1</v>
      </c>
      <c r="O2" s="63">
        <f>IFERROR(__xludf.DUMMYFUNCTION("""COMPUTED_VALUE"""),17.0)</f>
        <v>17</v>
      </c>
      <c r="P2" s="64" t="str">
        <f t="array" ref="P2">INDEX(postDEL!$A$2:$AR1340,$O2,40)</f>
        <v>BEND704851</v>
      </c>
      <c r="Q2" s="64" t="str">
        <f t="array" ref="Q2">IF($N2&gt;1, INDEX(postDEL!$A$2:$AR1340,$O2+1,40),IFERROR(0/0,""))</f>
        <v/>
      </c>
      <c r="R2" s="64" t="str">
        <f t="array" ref="R2">IF($N2&gt;2, INDEX(postDEL!$A$2:$AR1340,$O2+2,40),IFERROR(0/0,""))</f>
        <v/>
      </c>
      <c r="S2" s="64" t="str">
        <f t="array" ref="S2">IF($N2&gt;3, INDEX(postDEL!$A$2:$AR1340,$O2+3,40),IFERROR(0/0,""))</f>
        <v/>
      </c>
      <c r="U2" s="10" t="b">
        <v>0</v>
      </c>
      <c r="V2" s="65" t="s">
        <v>180</v>
      </c>
      <c r="W2" s="2" t="b">
        <v>1</v>
      </c>
      <c r="X2" s="2" t="b">
        <v>1</v>
      </c>
      <c r="Y2" s="11" t="str">
        <f t="shared" ref="Y2:Y5" si="1">IFERROR(IF(V2,TRUE,IFERROR(0/0,"")),"")</f>
        <v/>
      </c>
    </row>
    <row r="3">
      <c r="A3" s="54" t="str">
        <f>IFERROR(__xludf.DUMMYFUNCTION("""COMPUTED_VALUE"""),"MA1081")</f>
        <v>MA1081</v>
      </c>
      <c r="B3" s="52">
        <f>IFERROR(__xludf.DUMMYFUNCTION("""COMPUTED_VALUE"""),44561.0)</f>
        <v>44561</v>
      </c>
      <c r="C3" s="62">
        <f>IFERROR(__xludf.DUMMYFUNCTION("""COMPUTED_VALUE"""),0.3053240740740741)</f>
        <v>0.3053240741</v>
      </c>
      <c r="D3" s="54" t="str">
        <f>IFERROR(__xludf.DUMMYFUNCTION("""COMPUTED_VALUE"""),"SpBEND734943")</f>
        <v>SpBEND734943</v>
      </c>
      <c r="E3" s="66"/>
      <c r="F3" s="54"/>
      <c r="G3" s="54" t="str">
        <f>IFERROR(__xludf.DUMMYFUNCTION("""COMPUTED_VALUE"""),"Positive")</f>
        <v>Positive</v>
      </c>
      <c r="H3" s="54" t="str">
        <f>IFERROR(__xludf.DUMMYFUNCTION("""COMPUTED_VALUE"""),"Positive")</f>
        <v>Positive</v>
      </c>
      <c r="I3" s="52">
        <f>IFERROR(__xludf.DUMMYFUNCTION("""COMPUTED_VALUE"""),44561.0)</f>
        <v>44561</v>
      </c>
      <c r="J3" s="62">
        <f>IFERROR(__xludf.DUMMYFUNCTION("""COMPUTED_VALUE"""),0.44559027777777777)</f>
        <v>0.4455902778</v>
      </c>
      <c r="K3" s="63"/>
      <c r="L3" s="54"/>
      <c r="M3" s="54"/>
      <c r="N3" s="63">
        <f>IFERROR(__xludf.DUMMYFUNCTION("""COMPUTED_VALUE"""),1.0)</f>
        <v>1</v>
      </c>
      <c r="O3" s="63">
        <f>IFERROR(__xludf.DUMMYFUNCTION("""COMPUTED_VALUE"""),50.0)</f>
        <v>50</v>
      </c>
      <c r="P3" s="64" t="str">
        <f t="array" ref="P3">INDEX(postDEL!$A$2:$AR1340,$O3,40)</f>
        <v>BEND710690</v>
      </c>
      <c r="Q3" s="64" t="str">
        <f t="array" ref="Q3">IF($N3&gt;1, INDEX(postDEL!$A$2:$AR1340,$O3+1,40),IFERROR(0/0,""))</f>
        <v/>
      </c>
      <c r="R3" s="64" t="str">
        <f t="array" ref="R3">IF($N3&gt;2, INDEX(postDEL!$A$2:$AR1340,$O3+2,40),IFERROR(0/0,""))</f>
        <v/>
      </c>
      <c r="S3" s="64" t="str">
        <f t="array" ref="S3">IF($N3&gt;3, INDEX(postDEL!$A$2:$AR1340,$O3+3,40),IFERROR(0/0,""))</f>
        <v/>
      </c>
      <c r="U3" s="10" t="b">
        <v>0</v>
      </c>
      <c r="V3" s="67" t="str">
        <f t="shared" ref="V3:V25" si="2">IF(COUNTIF($P$2:$P$74,P3)=1,"-",IF(COUNTIF($P$2:P3,P3)=1,"1st",TRUE))
</f>
        <v>-</v>
      </c>
      <c r="W3" s="2" t="b">
        <v>1</v>
      </c>
      <c r="X3" s="2" t="b">
        <v>1</v>
      </c>
      <c r="Y3" s="11" t="str">
        <f t="shared" si="1"/>
        <v/>
      </c>
    </row>
    <row r="4">
      <c r="A4" s="54" t="str">
        <f>IFERROR(__xludf.DUMMYFUNCTION("""COMPUTED_VALUE"""),"MA316")</f>
        <v>MA316</v>
      </c>
      <c r="B4" s="52">
        <f>IFERROR(__xludf.DUMMYFUNCTION("""COMPUTED_VALUE"""),44561.0)</f>
        <v>44561</v>
      </c>
      <c r="C4" s="62">
        <f>IFERROR(__xludf.DUMMYFUNCTION("""COMPUTED_VALUE"""),0.40042824074074074)</f>
        <v>0.4004282407</v>
      </c>
      <c r="D4" s="54" t="str">
        <f>IFERROR(__xludf.DUMMYFUNCTION("""COMPUTED_VALUE"""),"SpBEND394154")</f>
        <v>SpBEND394154</v>
      </c>
      <c r="E4" s="54"/>
      <c r="F4" s="54"/>
      <c r="G4" s="54" t="str">
        <f>IFERROR(__xludf.DUMMYFUNCTION("""COMPUTED_VALUE"""),"Positive")</f>
        <v>Positive</v>
      </c>
      <c r="H4" s="54" t="str">
        <f>IFERROR(__xludf.DUMMYFUNCTION("""COMPUTED_VALUE"""),"Positive")</f>
        <v>Positive</v>
      </c>
      <c r="I4" s="52">
        <f>IFERROR(__xludf.DUMMYFUNCTION("""COMPUTED_VALUE"""),44561.0)</f>
        <v>44561</v>
      </c>
      <c r="J4" s="62">
        <f>IFERROR(__xludf.DUMMYFUNCTION("""COMPUTED_VALUE"""),0.44559027777777777)</f>
        <v>0.4455902778</v>
      </c>
      <c r="K4" s="63"/>
      <c r="L4" s="54"/>
      <c r="M4" s="54"/>
      <c r="N4" s="63">
        <f>IFERROR(__xludf.DUMMYFUNCTION("""COMPUTED_VALUE"""),1.0)</f>
        <v>1</v>
      </c>
      <c r="O4" s="63">
        <f>IFERROR(__xludf.DUMMYFUNCTION("""COMPUTED_VALUE"""),57.0)</f>
        <v>57</v>
      </c>
      <c r="P4" s="64" t="str">
        <f t="array" ref="P4">INDEX(postDEL!$A$2:$AR1340,$O4,40)</f>
        <v>BEND796718</v>
      </c>
      <c r="Q4" s="64" t="str">
        <f t="array" ref="Q4">IF($N4&gt;1, INDEX(postDEL!$A$2:$AR1340,$O4+1,40),IFERROR(0/0,""))</f>
        <v/>
      </c>
      <c r="R4" s="64" t="str">
        <f t="array" ref="R4">IF($N4&gt;2, INDEX(postDEL!$A$2:$AR1340,$O4+2,40),IFERROR(0/0,""))</f>
        <v/>
      </c>
      <c r="S4" s="64" t="str">
        <f t="array" ref="S4">IF($N4&gt;3, INDEX(postDEL!$A$2:$AR1340,$O4+3,40),IFERROR(0/0,""))</f>
        <v/>
      </c>
      <c r="U4" s="10" t="b">
        <v>0</v>
      </c>
      <c r="V4" s="67" t="str">
        <f t="shared" si="2"/>
        <v>1st</v>
      </c>
      <c r="W4" s="2" t="b">
        <v>1</v>
      </c>
      <c r="X4" s="2" t="b">
        <v>1</v>
      </c>
      <c r="Y4" s="11" t="str">
        <f t="shared" si="1"/>
        <v/>
      </c>
    </row>
    <row r="5">
      <c r="A5" s="54" t="str">
        <f>IFERROR(__xludf.DUMMYFUNCTION("""COMPUTED_VALUE"""),"MA639")</f>
        <v>MA639</v>
      </c>
      <c r="B5" s="52">
        <f>IFERROR(__xludf.DUMMYFUNCTION("""COMPUTED_VALUE"""),44564.0)</f>
        <v>44564</v>
      </c>
      <c r="C5" s="62">
        <f>IFERROR(__xludf.DUMMYFUNCTION("""COMPUTED_VALUE"""),0.3048032407407407)</f>
        <v>0.3048032407</v>
      </c>
      <c r="D5" s="54" t="str">
        <f>IFERROR(__xludf.DUMMYFUNCTION("""COMPUTED_VALUE"""),"SpBEND899578")</f>
        <v>SpBEND899578</v>
      </c>
      <c r="E5" s="54"/>
      <c r="F5" s="54"/>
      <c r="G5" s="54" t="str">
        <f>IFERROR(__xludf.DUMMYFUNCTION("""COMPUTED_VALUE"""),"Positive")</f>
        <v>Positive</v>
      </c>
      <c r="H5" s="54" t="str">
        <f>IFERROR(__xludf.DUMMYFUNCTION("""COMPUTED_VALUE"""),"Positive")</f>
        <v>Positive</v>
      </c>
      <c r="I5" s="52">
        <f>IFERROR(__xludf.DUMMYFUNCTION("""COMPUTED_VALUE"""),44564.0)</f>
        <v>44564</v>
      </c>
      <c r="J5" s="62">
        <f>IFERROR(__xludf.DUMMYFUNCTION("""COMPUTED_VALUE"""),0.5280439814814815)</f>
        <v>0.5280439815</v>
      </c>
      <c r="K5" s="63"/>
      <c r="L5" s="54"/>
      <c r="M5" s="54"/>
      <c r="N5" s="63">
        <f>IFERROR(__xludf.DUMMYFUNCTION("""COMPUTED_VALUE"""),1.0)</f>
        <v>1</v>
      </c>
      <c r="O5" s="63">
        <f>IFERROR(__xludf.DUMMYFUNCTION("""COMPUTED_VALUE"""),59.0)</f>
        <v>59</v>
      </c>
      <c r="P5" s="64" t="str">
        <f t="array" ref="P5">INDEX(postDEL!$A$2:$AR1340,$O5,40)</f>
        <v>BEND949070</v>
      </c>
      <c r="Q5" s="64" t="str">
        <f t="array" ref="Q5">IF($N5&gt;1, INDEX(postDEL!$A$2:$AR1340,$O5+1,40),IFERROR(0/0,""))</f>
        <v/>
      </c>
      <c r="R5" s="64" t="str">
        <f t="array" ref="R5">IF($N5&gt;2, INDEX(postDEL!$A$2:$AR1340,$O5+2,40),IFERROR(0/0,""))</f>
        <v/>
      </c>
      <c r="S5" s="64" t="str">
        <f t="array" ref="S5">IF($N5&gt;3, INDEX(postDEL!$A$2:$AR1340,$O5+3,40),IFERROR(0/0,""))</f>
        <v/>
      </c>
      <c r="U5" s="10" t="b">
        <v>0</v>
      </c>
      <c r="V5" s="67" t="str">
        <f t="shared" si="2"/>
        <v>1st</v>
      </c>
      <c r="W5" s="2" t="b">
        <v>1</v>
      </c>
      <c r="X5" s="2" t="b">
        <v>1</v>
      </c>
      <c r="Y5" s="11" t="str">
        <f t="shared" si="1"/>
        <v/>
      </c>
    </row>
    <row r="6">
      <c r="A6" s="54" t="str">
        <f>IFERROR(__xludf.DUMMYFUNCTION("""COMPUTED_VALUE"""),"MA448")</f>
        <v>MA448</v>
      </c>
      <c r="B6" s="52">
        <f>IFERROR(__xludf.DUMMYFUNCTION("""COMPUTED_VALUE"""),44564.0)</f>
        <v>44564</v>
      </c>
      <c r="C6" s="62">
        <f>IFERROR(__xludf.DUMMYFUNCTION("""COMPUTED_VALUE"""),0.33775462962962965)</f>
        <v>0.3377546296</v>
      </c>
      <c r="D6" s="54" t="str">
        <f>IFERROR(__xludf.DUMMYFUNCTION("""COMPUTED_VALUE"""),"SpBEND139600")</f>
        <v>SpBEND139600</v>
      </c>
      <c r="E6" s="54"/>
      <c r="F6" s="54"/>
      <c r="G6" s="54" t="str">
        <f>IFERROR(__xludf.DUMMYFUNCTION("""COMPUTED_VALUE"""),"Positive")</f>
        <v>Positive</v>
      </c>
      <c r="H6" s="54" t="str">
        <f>IFERROR(__xludf.DUMMYFUNCTION("""COMPUTED_VALUE"""),"Positive")</f>
        <v>Positive</v>
      </c>
      <c r="I6" s="52">
        <f>IFERROR(__xludf.DUMMYFUNCTION("""COMPUTED_VALUE"""),44564.0)</f>
        <v>44564</v>
      </c>
      <c r="J6" s="62">
        <f>IFERROR(__xludf.DUMMYFUNCTION("""COMPUTED_VALUE"""),0.5280439814814815)</f>
        <v>0.5280439815</v>
      </c>
      <c r="K6" s="63"/>
      <c r="L6" s="54"/>
      <c r="M6" s="54"/>
      <c r="N6" s="63">
        <f>IFERROR(__xludf.DUMMYFUNCTION("""COMPUTED_VALUE"""),1.0)</f>
        <v>1</v>
      </c>
      <c r="O6" s="63">
        <f>IFERROR(__xludf.DUMMYFUNCTION("""COMPUTED_VALUE"""),63.0)</f>
        <v>63</v>
      </c>
      <c r="P6" s="64" t="str">
        <f t="array" ref="P6">INDEX(postDEL!$A$2:$AR1340,$O6,40)</f>
        <v>BEND133778</v>
      </c>
      <c r="Q6" s="64" t="str">
        <f t="array" ref="Q6">IF($N6&gt;1, INDEX(postDEL!$A$2:$AR1340,$O6+1,40),IFERROR(0/0,""))</f>
        <v/>
      </c>
      <c r="R6" s="64" t="str">
        <f t="array" ref="R6">IF($N6&gt;2, INDEX(postDEL!$A$2:$AR1340,$O6+2,40),IFERROR(0/0,""))</f>
        <v/>
      </c>
      <c r="S6" s="64" t="str">
        <f t="array" ref="S6">IF($N6&gt;3, INDEX(postDEL!$A$2:$AR1340,$O6+3,40),IFERROR(0/0,""))</f>
        <v/>
      </c>
      <c r="U6" s="10" t="b">
        <v>0</v>
      </c>
      <c r="V6" s="67" t="str">
        <f t="shared" si="2"/>
        <v>-</v>
      </c>
      <c r="W6" s="2" t="b">
        <v>1</v>
      </c>
      <c r="X6" s="2" t="b">
        <v>1</v>
      </c>
    </row>
    <row r="7">
      <c r="A7" s="54" t="str">
        <f>IFERROR(__xludf.DUMMYFUNCTION("""COMPUTED_VALUE"""),"MA287")</f>
        <v>MA287</v>
      </c>
      <c r="B7" s="52">
        <f>IFERROR(__xludf.DUMMYFUNCTION("""COMPUTED_VALUE"""),44564.0)</f>
        <v>44564</v>
      </c>
      <c r="C7" s="62">
        <f>IFERROR(__xludf.DUMMYFUNCTION("""COMPUTED_VALUE"""),0.35965277777777777)</f>
        <v>0.3596527778</v>
      </c>
      <c r="D7" s="54" t="str">
        <f>IFERROR(__xludf.DUMMYFUNCTION("""COMPUTED_VALUE"""),"SpBEND387532")</f>
        <v>SpBEND387532</v>
      </c>
      <c r="E7" s="54"/>
      <c r="F7" s="54"/>
      <c r="G7" s="54" t="str">
        <f>IFERROR(__xludf.DUMMYFUNCTION("""COMPUTED_VALUE"""),"Positive")</f>
        <v>Positive</v>
      </c>
      <c r="H7" s="54" t="str">
        <f>IFERROR(__xludf.DUMMYFUNCTION("""COMPUTED_VALUE"""),"Positive")</f>
        <v>Positive</v>
      </c>
      <c r="I7" s="52">
        <f>IFERROR(__xludf.DUMMYFUNCTION("""COMPUTED_VALUE"""),44564.0)</f>
        <v>44564</v>
      </c>
      <c r="J7" s="62">
        <f>IFERROR(__xludf.DUMMYFUNCTION("""COMPUTED_VALUE"""),0.5280439814814815)</f>
        <v>0.5280439815</v>
      </c>
      <c r="K7" s="63"/>
      <c r="L7" s="54"/>
      <c r="M7" s="54"/>
      <c r="N7" s="63">
        <f>IFERROR(__xludf.DUMMYFUNCTION("""COMPUTED_VALUE"""),1.0)</f>
        <v>1</v>
      </c>
      <c r="O7" s="63">
        <f>IFERROR(__xludf.DUMMYFUNCTION("""COMPUTED_VALUE"""),66.0)</f>
        <v>66</v>
      </c>
      <c r="P7" s="64" t="str">
        <f t="array" ref="P7">INDEX(postDEL!$A$2:$AR1340,$O7,40)</f>
        <v>BEND796718</v>
      </c>
      <c r="Q7" s="64" t="str">
        <f t="array" ref="Q7">IF($N7&gt;1, INDEX(postDEL!$A$2:$AR1340,$O7+1,40),IFERROR(0/0,""))</f>
        <v/>
      </c>
      <c r="R7" s="64" t="str">
        <f t="array" ref="R7">IF($N7&gt;2, INDEX(postDEL!$A$2:$AR1340,$O7+2,40),IFERROR(0/0,""))</f>
        <v/>
      </c>
      <c r="S7" s="64" t="str">
        <f t="array" ref="S7">IF($N7&gt;3, INDEX(postDEL!$A$2:$AR1340,$O7+3,40),IFERROR(0/0,""))</f>
        <v/>
      </c>
      <c r="U7" s="10" t="b">
        <v>0</v>
      </c>
      <c r="V7" s="67" t="b">
        <f t="shared" si="2"/>
        <v>1</v>
      </c>
      <c r="W7" s="2" t="b">
        <v>1</v>
      </c>
      <c r="X7" s="2" t="b">
        <v>1</v>
      </c>
    </row>
    <row r="8">
      <c r="A8" s="54" t="str">
        <f>IFERROR(__xludf.DUMMYFUNCTION("""COMPUTED_VALUE"""),"MA473")</f>
        <v>MA473</v>
      </c>
      <c r="B8" s="52">
        <f>IFERROR(__xludf.DUMMYFUNCTION("""COMPUTED_VALUE"""),44564.0)</f>
        <v>44564</v>
      </c>
      <c r="C8" s="62">
        <f>IFERROR(__xludf.DUMMYFUNCTION("""COMPUTED_VALUE"""),0.3654513888888889)</f>
        <v>0.3654513889</v>
      </c>
      <c r="D8" s="54" t="str">
        <f>IFERROR(__xludf.DUMMYFUNCTION("""COMPUTED_VALUE"""),"SpBEND394154")</f>
        <v>SpBEND394154</v>
      </c>
      <c r="E8" s="54"/>
      <c r="F8" s="54"/>
      <c r="G8" s="54" t="str">
        <f>IFERROR(__xludf.DUMMYFUNCTION("""COMPUTED_VALUE"""),"Positive")</f>
        <v>Positive</v>
      </c>
      <c r="H8" s="54" t="str">
        <f>IFERROR(__xludf.DUMMYFUNCTION("""COMPUTED_VALUE"""),"Positive")</f>
        <v>Positive</v>
      </c>
      <c r="I8" s="52">
        <f>IFERROR(__xludf.DUMMYFUNCTION("""COMPUTED_VALUE"""),44564.0)</f>
        <v>44564</v>
      </c>
      <c r="J8" s="62">
        <f>IFERROR(__xludf.DUMMYFUNCTION("""COMPUTED_VALUE"""),0.5280439814814815)</f>
        <v>0.5280439815</v>
      </c>
      <c r="K8" s="63"/>
      <c r="L8" s="54"/>
      <c r="M8" s="54"/>
      <c r="N8" s="63">
        <f>IFERROR(__xludf.DUMMYFUNCTION("""COMPUTED_VALUE"""),1.0)</f>
        <v>1</v>
      </c>
      <c r="O8" s="63">
        <f>IFERROR(__xludf.DUMMYFUNCTION("""COMPUTED_VALUE"""),67.0)</f>
        <v>67</v>
      </c>
      <c r="P8" s="64" t="str">
        <f t="array" ref="P8">INDEX(postDEL!$A$2:$AR1340,$O8,40)</f>
        <v>BEND927956</v>
      </c>
      <c r="Q8" s="64" t="str">
        <f t="array" ref="Q8">IF($N8&gt;1, INDEX(postDEL!$A$2:$AR1340,$O8+1,40),IFERROR(0/0,""))</f>
        <v/>
      </c>
      <c r="R8" s="64" t="str">
        <f t="array" ref="R8">IF($N8&gt;2, INDEX(postDEL!$A$2:$AR1340,$O8+2,40),IFERROR(0/0,""))</f>
        <v/>
      </c>
      <c r="S8" s="64" t="str">
        <f t="array" ref="S8">IF($N8&gt;3, INDEX(postDEL!$A$2:$AR1340,$O8+3,40),IFERROR(0/0,""))</f>
        <v/>
      </c>
      <c r="U8" s="10" t="b">
        <v>0</v>
      </c>
      <c r="V8" s="67" t="str">
        <f t="shared" si="2"/>
        <v>-</v>
      </c>
      <c r="W8" s="2" t="b">
        <v>1</v>
      </c>
      <c r="X8" s="2" t="b">
        <v>1</v>
      </c>
    </row>
    <row r="9">
      <c r="A9" s="54" t="str">
        <f>IFERROR(__xludf.DUMMYFUNCTION("""COMPUTED_VALUE"""),"MA263")</f>
        <v>MA263</v>
      </c>
      <c r="B9" s="52">
        <f>IFERROR(__xludf.DUMMYFUNCTION("""COMPUTED_VALUE"""),44566.0)</f>
        <v>44566</v>
      </c>
      <c r="C9" s="62">
        <f>IFERROR(__xludf.DUMMYFUNCTION("""COMPUTED_VALUE"""),0.3297453703703704)</f>
        <v>0.3297453704</v>
      </c>
      <c r="D9" s="54" t="str">
        <f>IFERROR(__xludf.DUMMYFUNCTION("""COMPUTED_VALUE"""),"SpBEND944634")</f>
        <v>SpBEND944634</v>
      </c>
      <c r="E9" s="54"/>
      <c r="F9" s="54"/>
      <c r="G9" s="54" t="str">
        <f>IFERROR(__xludf.DUMMYFUNCTION("""COMPUTED_VALUE"""),"Positive")</f>
        <v>Positive</v>
      </c>
      <c r="H9" s="54" t="str">
        <f>IFERROR(__xludf.DUMMYFUNCTION("""COMPUTED_VALUE"""),"Positive")</f>
        <v>Positive</v>
      </c>
      <c r="I9" s="52">
        <f>IFERROR(__xludf.DUMMYFUNCTION("""COMPUTED_VALUE"""),44568.0)</f>
        <v>44568</v>
      </c>
      <c r="J9" s="62">
        <f>IFERROR(__xludf.DUMMYFUNCTION("""COMPUTED_VALUE"""),0.508275462962963)</f>
        <v>0.508275463</v>
      </c>
      <c r="K9" s="63"/>
      <c r="L9" s="54"/>
      <c r="M9" s="54"/>
      <c r="N9" s="63">
        <f>IFERROR(__xludf.DUMMYFUNCTION("""COMPUTED_VALUE"""),1.0)</f>
        <v>1</v>
      </c>
      <c r="O9" s="63">
        <f>IFERROR(__xludf.DUMMYFUNCTION("""COMPUTED_VALUE"""),78.0)</f>
        <v>78</v>
      </c>
      <c r="P9" s="64" t="str">
        <f t="array" ref="P9">INDEX(postDEL!$A$2:$AR1340,$O9,40)</f>
        <v>BEND626338</v>
      </c>
      <c r="Q9" s="64" t="str">
        <f t="array" ref="Q9">IF($N9&gt;1, INDEX(postDEL!$A$2:$AR1340,$O9+1,40),IFERROR(0/0,""))</f>
        <v/>
      </c>
      <c r="R9" s="64" t="str">
        <f t="array" ref="R9">IF($N9&gt;2, INDEX(postDEL!$A$2:$AR1340,$O9+2,40),IFERROR(0/0,""))</f>
        <v/>
      </c>
      <c r="S9" s="64" t="str">
        <f t="array" ref="S9">IF($N9&gt;3, INDEX(postDEL!$A$2:$AR1340,$O9+3,40),IFERROR(0/0,""))</f>
        <v/>
      </c>
      <c r="U9" s="10" t="b">
        <v>0</v>
      </c>
      <c r="V9" s="67" t="str">
        <f t="shared" si="2"/>
        <v>-</v>
      </c>
      <c r="W9" s="2" t="b">
        <v>1</v>
      </c>
      <c r="X9" s="2" t="b">
        <v>1</v>
      </c>
    </row>
    <row r="10">
      <c r="A10" s="54" t="str">
        <f>IFERROR(__xludf.DUMMYFUNCTION("""COMPUTED_VALUE"""),"MA218")</f>
        <v>MA218</v>
      </c>
      <c r="B10" s="52">
        <f>IFERROR(__xludf.DUMMYFUNCTION("""COMPUTED_VALUE"""),44566.0)</f>
        <v>44566</v>
      </c>
      <c r="C10" s="62">
        <f>IFERROR(__xludf.DUMMYFUNCTION("""COMPUTED_VALUE"""),0.3307638888888889)</f>
        <v>0.3307638889</v>
      </c>
      <c r="D10" s="54" t="str">
        <f>IFERROR(__xludf.DUMMYFUNCTION("""COMPUTED_VALUE"""),"SpBEND387532")</f>
        <v>SpBEND387532</v>
      </c>
      <c r="E10" s="54"/>
      <c r="F10" s="54"/>
      <c r="G10" s="54" t="str">
        <f>IFERROR(__xludf.DUMMYFUNCTION("""COMPUTED_VALUE"""),"Positive")</f>
        <v>Positive</v>
      </c>
      <c r="H10" s="54" t="str">
        <f>IFERROR(__xludf.DUMMYFUNCTION("""COMPUTED_VALUE"""),"Positive")</f>
        <v>Positive</v>
      </c>
      <c r="I10" s="52">
        <f>IFERROR(__xludf.DUMMYFUNCTION("""COMPUTED_VALUE"""),44568.0)</f>
        <v>44568</v>
      </c>
      <c r="J10" s="62">
        <f>IFERROR(__xludf.DUMMYFUNCTION("""COMPUTED_VALUE"""),0.508275462962963)</f>
        <v>0.508275463</v>
      </c>
      <c r="K10" s="63"/>
      <c r="L10" s="54"/>
      <c r="M10" s="54"/>
      <c r="N10" s="63">
        <f>IFERROR(__xludf.DUMMYFUNCTION("""COMPUTED_VALUE"""),1.0)</f>
        <v>1</v>
      </c>
      <c r="O10" s="63">
        <f>IFERROR(__xludf.DUMMYFUNCTION("""COMPUTED_VALUE"""),79.0)</f>
        <v>79</v>
      </c>
      <c r="P10" s="64" t="str">
        <f t="array" ref="P10">INDEX(postDEL!$A$2:$AR1340,$O10,40)</f>
        <v>BEND796718</v>
      </c>
      <c r="Q10" s="64" t="str">
        <f t="array" ref="Q10">IF($N10&gt;1, INDEX(postDEL!$A$2:$AR1340,$O10+1,40),IFERROR(0/0,""))</f>
        <v/>
      </c>
      <c r="R10" s="64" t="str">
        <f t="array" ref="R10">IF($N10&gt;2, INDEX(postDEL!$A$2:$AR1340,$O10+2,40),IFERROR(0/0,""))</f>
        <v/>
      </c>
      <c r="S10" s="64" t="str">
        <f t="array" ref="S10">IF($N10&gt;3, INDEX(postDEL!$A$2:$AR1340,$O10+3,40),IFERROR(0/0,""))</f>
        <v/>
      </c>
      <c r="U10" s="10" t="b">
        <v>0</v>
      </c>
      <c r="V10" s="67" t="b">
        <f t="shared" si="2"/>
        <v>1</v>
      </c>
      <c r="W10" s="2" t="b">
        <v>1</v>
      </c>
      <c r="X10" s="2" t="b">
        <v>1</v>
      </c>
    </row>
    <row r="11">
      <c r="A11" s="54" t="str">
        <f>IFERROR(__xludf.DUMMYFUNCTION("""COMPUTED_VALUE"""),"MA605")</f>
        <v>MA605</v>
      </c>
      <c r="B11" s="52">
        <f>IFERROR(__xludf.DUMMYFUNCTION("""COMPUTED_VALUE"""),44566.0)</f>
        <v>44566</v>
      </c>
      <c r="C11" s="62">
        <f>IFERROR(__xludf.DUMMYFUNCTION("""COMPUTED_VALUE"""),0.4199421296296296)</f>
        <v>0.4199421296</v>
      </c>
      <c r="D11" s="54" t="str">
        <f>IFERROR(__xludf.DUMMYFUNCTION("""COMPUTED_VALUE"""),"SpBEND110967")</f>
        <v>SpBEND110967</v>
      </c>
      <c r="E11" s="54"/>
      <c r="F11" s="54"/>
      <c r="G11" s="54" t="str">
        <f>IFERROR(__xludf.DUMMYFUNCTION("""COMPUTED_VALUE"""),"Positive")</f>
        <v>Positive</v>
      </c>
      <c r="H11" s="54" t="str">
        <f>IFERROR(__xludf.DUMMYFUNCTION("""COMPUTED_VALUE"""),"Positive")</f>
        <v>Positive</v>
      </c>
      <c r="I11" s="52">
        <f>IFERROR(__xludf.DUMMYFUNCTION("""COMPUTED_VALUE"""),44568.0)</f>
        <v>44568</v>
      </c>
      <c r="J11" s="62">
        <f>IFERROR(__xludf.DUMMYFUNCTION("""COMPUTED_VALUE"""),0.508275462962963)</f>
        <v>0.508275463</v>
      </c>
      <c r="K11" s="63"/>
      <c r="L11" s="54"/>
      <c r="M11" s="54"/>
      <c r="N11" s="63">
        <f>IFERROR(__xludf.DUMMYFUNCTION("""COMPUTED_VALUE"""),1.0)</f>
        <v>1</v>
      </c>
      <c r="O11" s="63">
        <f>IFERROR(__xludf.DUMMYFUNCTION("""COMPUTED_VALUE"""),91.0)</f>
        <v>91</v>
      </c>
      <c r="P11" s="64" t="str">
        <f t="array" ref="P11">INDEX(postDEL!$A$2:$AR1340,$O11,40)</f>
        <v>BEND202183</v>
      </c>
      <c r="Q11" s="64" t="str">
        <f t="array" ref="Q11">IF($N11&gt;1, INDEX(postDEL!$A$2:$AR1340,$O11+1,40),IFERROR(0/0,""))</f>
        <v/>
      </c>
      <c r="R11" s="64" t="str">
        <f t="array" ref="R11">IF($N11&gt;2, INDEX(postDEL!$A$2:$AR1340,$O11+2,40),IFERROR(0/0,""))</f>
        <v/>
      </c>
      <c r="S11" s="64" t="str">
        <f t="array" ref="S11">IF($N11&gt;3, INDEX(postDEL!$A$2:$AR1340,$O11+3,40),IFERROR(0/0,""))</f>
        <v/>
      </c>
      <c r="U11" s="10" t="b">
        <v>0</v>
      </c>
      <c r="V11" s="67" t="str">
        <f t="shared" si="2"/>
        <v>-</v>
      </c>
      <c r="W11" s="2" t="b">
        <v>1</v>
      </c>
      <c r="X11" s="2" t="b">
        <v>1</v>
      </c>
    </row>
    <row r="12">
      <c r="A12" s="54" t="str">
        <f>IFERROR(__xludf.DUMMYFUNCTION("""COMPUTED_VALUE"""),"MA1188")</f>
        <v>MA1188</v>
      </c>
      <c r="B12" s="52">
        <f>IFERROR(__xludf.DUMMYFUNCTION("""COMPUTED_VALUE"""),44568.0)</f>
        <v>44568</v>
      </c>
      <c r="C12" s="62">
        <f>IFERROR(__xludf.DUMMYFUNCTION("""COMPUTED_VALUE"""),0.34097222222222223)</f>
        <v>0.3409722222</v>
      </c>
      <c r="D12" s="54" t="str">
        <f>IFERROR(__xludf.DUMMYFUNCTION("""COMPUTED_VALUE"""),"SpBEND387532")</f>
        <v>SpBEND387532</v>
      </c>
      <c r="E12" s="54"/>
      <c r="F12" s="54"/>
      <c r="G12" s="54" t="str">
        <f>IFERROR(__xludf.DUMMYFUNCTION("""COMPUTED_VALUE"""),"Positive")</f>
        <v>Positive</v>
      </c>
      <c r="H12" s="54" t="str">
        <f>IFERROR(__xludf.DUMMYFUNCTION("""COMPUTED_VALUE"""),"Positive")</f>
        <v>Positive</v>
      </c>
      <c r="I12" s="52">
        <f>IFERROR(__xludf.DUMMYFUNCTION("""COMPUTED_VALUE"""),44568.0)</f>
        <v>44568</v>
      </c>
      <c r="J12" s="62">
        <f>IFERROR(__xludf.DUMMYFUNCTION("""COMPUTED_VALUE"""),0.5079050925925926)</f>
        <v>0.5079050926</v>
      </c>
      <c r="K12" s="63"/>
      <c r="L12" s="54"/>
      <c r="M12" s="54"/>
      <c r="N12" s="63">
        <f>IFERROR(__xludf.DUMMYFUNCTION("""COMPUTED_VALUE"""),1.0)</f>
        <v>1</v>
      </c>
      <c r="O12" s="63">
        <f>IFERROR(__xludf.DUMMYFUNCTION("""COMPUTED_VALUE"""),104.0)</f>
        <v>104</v>
      </c>
      <c r="P12" s="64" t="str">
        <f t="array" ref="P12">INDEX(postDEL!$A$2:$AR1340,$O12,40)</f>
        <v>BEND796718</v>
      </c>
      <c r="Q12" s="64" t="str">
        <f t="array" ref="Q12">IF($N12&gt;1, INDEX(postDEL!$A$2:$AR1340,$O12+1,40),IFERROR(0/0,""))</f>
        <v/>
      </c>
      <c r="R12" s="64" t="str">
        <f t="array" ref="R12">IF($N12&gt;2, INDEX(postDEL!$A$2:$AR1340,$O12+2,40),IFERROR(0/0,""))</f>
        <v/>
      </c>
      <c r="S12" s="64" t="str">
        <f t="array" ref="S12">IF($N12&gt;3, INDEX(postDEL!$A$2:$AR1340,$O12+3,40),IFERROR(0/0,""))</f>
        <v/>
      </c>
      <c r="U12" s="10" t="b">
        <v>0</v>
      </c>
      <c r="V12" s="67" t="b">
        <f t="shared" si="2"/>
        <v>1</v>
      </c>
      <c r="W12" s="2" t="b">
        <v>1</v>
      </c>
      <c r="X12" s="2" t="b">
        <v>1</v>
      </c>
    </row>
    <row r="13">
      <c r="A13" s="54" t="str">
        <f>IFERROR(__xludf.DUMMYFUNCTION("""COMPUTED_VALUE"""),"MA1078")</f>
        <v>MA1078</v>
      </c>
      <c r="B13" s="52">
        <f>IFERROR(__xludf.DUMMYFUNCTION("""COMPUTED_VALUE"""),44568.0)</f>
        <v>44568</v>
      </c>
      <c r="C13" s="62">
        <f>IFERROR(__xludf.DUMMYFUNCTION("""COMPUTED_VALUE"""),0.34717592592592594)</f>
        <v>0.3471759259</v>
      </c>
      <c r="D13" s="54" t="str">
        <f>IFERROR(__xludf.DUMMYFUNCTION("""COMPUTED_VALUE"""),"SpBEND652059")</f>
        <v>SpBEND652059</v>
      </c>
      <c r="E13" s="54"/>
      <c r="F13" s="54"/>
      <c r="G13" s="54" t="str">
        <f>IFERROR(__xludf.DUMMYFUNCTION("""COMPUTED_VALUE"""),"Positive")</f>
        <v>Positive</v>
      </c>
      <c r="H13" s="54" t="str">
        <f>IFERROR(__xludf.DUMMYFUNCTION("""COMPUTED_VALUE"""),"Positive")</f>
        <v>Positive</v>
      </c>
      <c r="I13" s="52">
        <f>IFERROR(__xludf.DUMMYFUNCTION("""COMPUTED_VALUE"""),44568.0)</f>
        <v>44568</v>
      </c>
      <c r="J13" s="62">
        <f>IFERROR(__xludf.DUMMYFUNCTION("""COMPUTED_VALUE"""),0.5079050925925926)</f>
        <v>0.5079050926</v>
      </c>
      <c r="K13" s="63"/>
      <c r="L13" s="54"/>
      <c r="M13" s="54"/>
      <c r="N13" s="63">
        <f>IFERROR(__xludf.DUMMYFUNCTION("""COMPUTED_VALUE"""),1.0)</f>
        <v>1</v>
      </c>
      <c r="O13" s="63">
        <f>IFERROR(__xludf.DUMMYFUNCTION("""COMPUTED_VALUE"""),108.0)</f>
        <v>108</v>
      </c>
      <c r="P13" s="64" t="str">
        <f t="array" ref="P13">INDEX(postDEL!$A$2:$AR1340,$O13,40)</f>
        <v>BEND520608</v>
      </c>
      <c r="Q13" s="64" t="str">
        <f t="array" ref="Q13">IF($N13&gt;1, INDEX(postDEL!$A$2:$AR1340,$O13+1,40),IFERROR(0/0,""))</f>
        <v/>
      </c>
      <c r="R13" s="64" t="str">
        <f t="array" ref="R13">IF($N13&gt;2, INDEX(postDEL!$A$2:$AR1340,$O13+2,40),IFERROR(0/0,""))</f>
        <v/>
      </c>
      <c r="S13" s="64" t="str">
        <f t="array" ref="S13">IF($N13&gt;3, INDEX(postDEL!$A$2:$AR1340,$O13+3,40),IFERROR(0/0,""))</f>
        <v/>
      </c>
      <c r="U13" s="10" t="b">
        <v>0</v>
      </c>
      <c r="V13" s="67" t="str">
        <f t="shared" si="2"/>
        <v>-</v>
      </c>
      <c r="W13" s="2" t="b">
        <v>1</v>
      </c>
      <c r="X13" s="2" t="b">
        <v>1</v>
      </c>
    </row>
    <row r="14">
      <c r="A14" s="54" t="str">
        <f>IFERROR(__xludf.DUMMYFUNCTION("""COMPUTED_VALUE"""),"MAX74")</f>
        <v>MAX74</v>
      </c>
      <c r="B14" s="52">
        <f>IFERROR(__xludf.DUMMYFUNCTION("""COMPUTED_VALUE"""),44568.0)</f>
        <v>44568</v>
      </c>
      <c r="C14" s="62">
        <f>IFERROR(__xludf.DUMMYFUNCTION("""COMPUTED_VALUE"""),0.3647800925925926)</f>
        <v>0.3647800926</v>
      </c>
      <c r="D14" s="54" t="str">
        <f>IFERROR(__xludf.DUMMYFUNCTION("""COMPUTED_VALUE"""),"SpBEND642175")</f>
        <v>SpBEND642175</v>
      </c>
      <c r="E14" s="54"/>
      <c r="F14" s="54"/>
      <c r="G14" s="54" t="str">
        <f>IFERROR(__xludf.DUMMYFUNCTION("""COMPUTED_VALUE"""),"Positive")</f>
        <v>Positive</v>
      </c>
      <c r="H14" s="54" t="str">
        <f>IFERROR(__xludf.DUMMYFUNCTION("""COMPUTED_VALUE"""),"Positive")</f>
        <v>Positive</v>
      </c>
      <c r="I14" s="52">
        <f>IFERROR(__xludf.DUMMYFUNCTION("""COMPUTED_VALUE"""),44568.0)</f>
        <v>44568</v>
      </c>
      <c r="J14" s="62">
        <f>IFERROR(__xludf.DUMMYFUNCTION("""COMPUTED_VALUE"""),0.508275462962963)</f>
        <v>0.508275463</v>
      </c>
      <c r="K14" s="63"/>
      <c r="L14" s="54"/>
      <c r="M14" s="54"/>
      <c r="N14" s="63">
        <f>IFERROR(__xludf.DUMMYFUNCTION("""COMPUTED_VALUE"""),1.0)</f>
        <v>1</v>
      </c>
      <c r="O14" s="63">
        <f>IFERROR(__xludf.DUMMYFUNCTION("""COMPUTED_VALUE"""),110.0)</f>
        <v>110</v>
      </c>
      <c r="P14" s="64" t="str">
        <f t="array" ref="P14">INDEX(postDEL!$A$2:$AR1340,$O14,40)</f>
        <v>BEND883134</v>
      </c>
      <c r="Q14" s="64" t="str">
        <f t="array" ref="Q14">IF($N14&gt;1, INDEX(postDEL!$A$2:$AR1340,$O14+1,40),IFERROR(0/0,""))</f>
        <v/>
      </c>
      <c r="R14" s="64" t="str">
        <f t="array" ref="R14">IF($N14&gt;2, INDEX(postDEL!$A$2:$AR1340,$O14+2,40),IFERROR(0/0,""))</f>
        <v/>
      </c>
      <c r="S14" s="64" t="str">
        <f t="array" ref="S14">IF($N14&gt;3, INDEX(postDEL!$A$2:$AR1340,$O14+3,40),IFERROR(0/0,""))</f>
        <v/>
      </c>
      <c r="U14" s="10" t="b">
        <v>0</v>
      </c>
      <c r="V14" s="67" t="str">
        <f t="shared" si="2"/>
        <v>-</v>
      </c>
      <c r="W14" s="2" t="b">
        <v>1</v>
      </c>
      <c r="X14" s="2" t="b">
        <v>1</v>
      </c>
    </row>
    <row r="15">
      <c r="A15" s="54" t="str">
        <f>IFERROR(__xludf.DUMMYFUNCTION("""COMPUTED_VALUE"""),"MA1024")</f>
        <v>MA1024</v>
      </c>
      <c r="B15" s="52">
        <f>IFERROR(__xludf.DUMMYFUNCTION("""COMPUTED_VALUE"""),44571.0)</f>
        <v>44571</v>
      </c>
      <c r="C15" s="62">
        <f>IFERROR(__xludf.DUMMYFUNCTION("""COMPUTED_VALUE"""),0.35119212962962965)</f>
        <v>0.3511921296</v>
      </c>
      <c r="D15" s="54" t="str">
        <f>IFERROR(__xludf.DUMMYFUNCTION("""COMPUTED_VALUE"""),"SpBEND652059")</f>
        <v>SpBEND652059</v>
      </c>
      <c r="E15" s="54"/>
      <c r="F15" s="54"/>
      <c r="G15" s="54" t="str">
        <f>IFERROR(__xludf.DUMMYFUNCTION("""COMPUTED_VALUE"""),"Positive")</f>
        <v>Positive</v>
      </c>
      <c r="H15" s="54" t="str">
        <f>IFERROR(__xludf.DUMMYFUNCTION("""COMPUTED_VALUE"""),"Positive")</f>
        <v>Positive</v>
      </c>
      <c r="I15" s="52">
        <f>IFERROR(__xludf.DUMMYFUNCTION("""COMPUTED_VALUE"""),44579.0)</f>
        <v>44579</v>
      </c>
      <c r="J15" s="62">
        <f>IFERROR(__xludf.DUMMYFUNCTION("""COMPUTED_VALUE"""),0.5015740740740741)</f>
        <v>0.5015740741</v>
      </c>
      <c r="K15" s="63"/>
      <c r="L15" s="54"/>
      <c r="M15" s="54"/>
      <c r="N15" s="63">
        <f>IFERROR(__xludf.DUMMYFUNCTION("""COMPUTED_VALUE"""),1.0)</f>
        <v>1</v>
      </c>
      <c r="O15" s="63">
        <f>IFERROR(__xludf.DUMMYFUNCTION("""COMPUTED_VALUE"""),126.0)</f>
        <v>126</v>
      </c>
      <c r="P15" s="64" t="str">
        <f t="array" ref="P15">INDEX(postDEL!$A$2:$AR1340,$O15,40)</f>
        <v>BEND305148</v>
      </c>
      <c r="Q15" s="64" t="str">
        <f t="array" ref="Q15">IF($N15&gt;1, INDEX(postDEL!$A$2:$AR1340,$O15+1,40),IFERROR(0/0,""))</f>
        <v/>
      </c>
      <c r="R15" s="64" t="str">
        <f t="array" ref="R15">IF($N15&gt;2, INDEX(postDEL!$A$2:$AR1340,$O15+2,40),IFERROR(0/0,""))</f>
        <v/>
      </c>
      <c r="S15" s="64" t="str">
        <f t="array" ref="S15">IF($N15&gt;3, INDEX(postDEL!$A$2:$AR1340,$O15+3,40),IFERROR(0/0,""))</f>
        <v/>
      </c>
      <c r="U15" s="10" t="b">
        <v>0</v>
      </c>
      <c r="V15" s="67" t="str">
        <f t="shared" si="2"/>
        <v>-</v>
      </c>
      <c r="W15" s="2" t="b">
        <v>1</v>
      </c>
      <c r="X15" s="2" t="b">
        <v>1</v>
      </c>
    </row>
    <row r="16">
      <c r="A16" s="54" t="str">
        <f>IFERROR(__xludf.DUMMYFUNCTION("""COMPUTED_VALUE"""),"MA463")</f>
        <v>MA463</v>
      </c>
      <c r="B16" s="52">
        <f>IFERROR(__xludf.DUMMYFUNCTION("""COMPUTED_VALUE"""),44571.0)</f>
        <v>44571</v>
      </c>
      <c r="C16" s="62">
        <f>IFERROR(__xludf.DUMMYFUNCTION("""COMPUTED_VALUE"""),0.3882638888888889)</f>
        <v>0.3882638889</v>
      </c>
      <c r="D16" s="54" t="str">
        <f>IFERROR(__xludf.DUMMYFUNCTION("""COMPUTED_VALUE"""),"SpBEND394154")</f>
        <v>SpBEND394154</v>
      </c>
      <c r="E16" s="54"/>
      <c r="F16" s="54"/>
      <c r="G16" s="54" t="str">
        <f>IFERROR(__xludf.DUMMYFUNCTION("""COMPUTED_VALUE"""),"Positive")</f>
        <v>Positive</v>
      </c>
      <c r="H16" s="54" t="str">
        <f>IFERROR(__xludf.DUMMYFUNCTION("""COMPUTED_VALUE"""),"Positive")</f>
        <v>Positive</v>
      </c>
      <c r="I16" s="52">
        <f>IFERROR(__xludf.DUMMYFUNCTION("""COMPUTED_VALUE"""),44579.0)</f>
        <v>44579</v>
      </c>
      <c r="J16" s="62">
        <f>IFERROR(__xludf.DUMMYFUNCTION("""COMPUTED_VALUE"""),0.5015740740740741)</f>
        <v>0.5015740741</v>
      </c>
      <c r="K16" s="63"/>
      <c r="L16" s="54"/>
      <c r="M16" s="54"/>
      <c r="N16" s="63">
        <f>IFERROR(__xludf.DUMMYFUNCTION("""COMPUTED_VALUE"""),1.0)</f>
        <v>1</v>
      </c>
      <c r="O16" s="63">
        <f>IFERROR(__xludf.DUMMYFUNCTION("""COMPUTED_VALUE"""),128.0)</f>
        <v>128</v>
      </c>
      <c r="P16" s="64" t="str">
        <f t="array" ref="P16">INDEX(postDEL!$A$2:$AR1340,$O16,40)</f>
        <v>BEND319589</v>
      </c>
      <c r="Q16" s="64" t="str">
        <f t="array" ref="Q16">IF($N16&gt;1, INDEX(postDEL!$A$2:$AR1340,$O16+1,40),IFERROR(0/0,""))</f>
        <v/>
      </c>
      <c r="R16" s="64" t="str">
        <f t="array" ref="R16">IF($N16&gt;2, INDEX(postDEL!$A$2:$AR1340,$O16+2,40),IFERROR(0/0,""))</f>
        <v/>
      </c>
      <c r="S16" s="64" t="str">
        <f t="array" ref="S16">IF($N16&gt;3, INDEX(postDEL!$A$2:$AR1340,$O16+3,40),IFERROR(0/0,""))</f>
        <v/>
      </c>
      <c r="U16" s="10" t="b">
        <v>0</v>
      </c>
      <c r="V16" s="67" t="str">
        <f t="shared" si="2"/>
        <v>-</v>
      </c>
      <c r="W16" s="2" t="b">
        <v>1</v>
      </c>
      <c r="X16" s="2" t="b">
        <v>1</v>
      </c>
    </row>
    <row r="17">
      <c r="A17" s="54" t="str">
        <f>IFERROR(__xludf.DUMMYFUNCTION("""COMPUTED_VALUE"""),"MAX51")</f>
        <v>MAX51</v>
      </c>
      <c r="B17" s="52">
        <f>IFERROR(__xludf.DUMMYFUNCTION("""COMPUTED_VALUE"""),44571.0)</f>
        <v>44571</v>
      </c>
      <c r="C17" s="62">
        <f>IFERROR(__xludf.DUMMYFUNCTION("""COMPUTED_VALUE"""),0.38880787037037035)</f>
        <v>0.3888078704</v>
      </c>
      <c r="D17" s="54" t="str">
        <f>IFERROR(__xludf.DUMMYFUNCTION("""COMPUTED_VALUE"""),"SpBEND394154")</f>
        <v>SpBEND394154</v>
      </c>
      <c r="E17" s="54"/>
      <c r="F17" s="54"/>
      <c r="G17" s="54" t="str">
        <f>IFERROR(__xludf.DUMMYFUNCTION("""COMPUTED_VALUE"""),"Positive")</f>
        <v>Positive</v>
      </c>
      <c r="H17" s="54" t="str">
        <f>IFERROR(__xludf.DUMMYFUNCTION("""COMPUTED_VALUE"""),"Positive")</f>
        <v>Positive</v>
      </c>
      <c r="I17" s="52">
        <f>IFERROR(__xludf.DUMMYFUNCTION("""COMPUTED_VALUE"""),44579.0)</f>
        <v>44579</v>
      </c>
      <c r="J17" s="62">
        <f>IFERROR(__xludf.DUMMYFUNCTION("""COMPUTED_VALUE"""),0.5015740740740741)</f>
        <v>0.5015740741</v>
      </c>
      <c r="K17" s="63"/>
      <c r="L17" s="54"/>
      <c r="M17" s="54"/>
      <c r="N17" s="63">
        <f>IFERROR(__xludf.DUMMYFUNCTION("""COMPUTED_VALUE"""),1.0)</f>
        <v>1</v>
      </c>
      <c r="O17" s="63">
        <f>IFERROR(__xludf.DUMMYFUNCTION("""COMPUTED_VALUE"""),129.0)</f>
        <v>129</v>
      </c>
      <c r="P17" s="64" t="str">
        <f t="array" ref="P17">INDEX(postDEL!$A$2:$AR1340,$O17,40)</f>
        <v>BEND219153</v>
      </c>
      <c r="Q17" s="64" t="str">
        <f t="array" ref="Q17">IF($N17&gt;1, INDEX(postDEL!$A$2:$AR1340,$O17+1,40),IFERROR(0/0,""))</f>
        <v/>
      </c>
      <c r="R17" s="64" t="str">
        <f t="array" ref="R17">IF($N17&gt;2, INDEX(postDEL!$A$2:$AR1340,$O17+2,40),IFERROR(0/0,""))</f>
        <v/>
      </c>
      <c r="S17" s="64" t="str">
        <f t="array" ref="S17">IF($N17&gt;3, INDEX(postDEL!$A$2:$AR1340,$O17+3,40),IFERROR(0/0,""))</f>
        <v/>
      </c>
      <c r="U17" s="10" t="b">
        <v>0</v>
      </c>
      <c r="V17" s="67" t="str">
        <f t="shared" si="2"/>
        <v>1st</v>
      </c>
      <c r="W17" s="2" t="b">
        <v>1</v>
      </c>
      <c r="X17" s="2" t="b">
        <v>1</v>
      </c>
    </row>
    <row r="18">
      <c r="A18" s="54" t="str">
        <f>IFERROR(__xludf.DUMMYFUNCTION("""COMPUTED_VALUE"""),"MAX95")</f>
        <v>MAX95</v>
      </c>
      <c r="B18" s="52">
        <f>IFERROR(__xludf.DUMMYFUNCTION("""COMPUTED_VALUE"""),44571.0)</f>
        <v>44571</v>
      </c>
      <c r="C18" s="62">
        <f>IFERROR(__xludf.DUMMYFUNCTION("""COMPUTED_VALUE"""),0.38936342592592593)</f>
        <v>0.3893634259</v>
      </c>
      <c r="D18" s="54" t="str">
        <f>IFERROR(__xludf.DUMMYFUNCTION("""COMPUTED_VALUE"""),"SpBEND394154")</f>
        <v>SpBEND394154</v>
      </c>
      <c r="E18" s="54"/>
      <c r="F18" s="54"/>
      <c r="G18" s="54" t="str">
        <f>IFERROR(__xludf.DUMMYFUNCTION("""COMPUTED_VALUE"""),"Positive")</f>
        <v>Positive</v>
      </c>
      <c r="H18" s="54" t="str">
        <f>IFERROR(__xludf.DUMMYFUNCTION("""COMPUTED_VALUE"""),"Positive")</f>
        <v>Positive</v>
      </c>
      <c r="I18" s="52">
        <f>IFERROR(__xludf.DUMMYFUNCTION("""COMPUTED_VALUE"""),44579.0)</f>
        <v>44579</v>
      </c>
      <c r="J18" s="62">
        <f>IFERROR(__xludf.DUMMYFUNCTION("""COMPUTED_VALUE"""),0.5015740740740741)</f>
        <v>0.5015740741</v>
      </c>
      <c r="K18" s="63"/>
      <c r="L18" s="54"/>
      <c r="M18" s="54"/>
      <c r="N18" s="63">
        <f>IFERROR(__xludf.DUMMYFUNCTION("""COMPUTED_VALUE"""),1.0)</f>
        <v>1</v>
      </c>
      <c r="O18" s="63">
        <f>IFERROR(__xludf.DUMMYFUNCTION("""COMPUTED_VALUE"""),130.0)</f>
        <v>130</v>
      </c>
      <c r="P18" s="64" t="str">
        <f t="array" ref="P18">INDEX(postDEL!$A$2:$AR1340,$O18,40)</f>
        <v>BEND421116</v>
      </c>
      <c r="Q18" s="64" t="str">
        <f t="array" ref="Q18">IF($N18&gt;1, INDEX(postDEL!$A$2:$AR1340,$O18+1,40),IFERROR(0/0,""))</f>
        <v/>
      </c>
      <c r="R18" s="64" t="str">
        <f t="array" ref="R18">IF($N18&gt;2, INDEX(postDEL!$A$2:$AR1340,$O18+2,40),IFERROR(0/0,""))</f>
        <v/>
      </c>
      <c r="S18" s="64" t="str">
        <f t="array" ref="S18">IF($N18&gt;3, INDEX(postDEL!$A$2:$AR1340,$O18+3,40),IFERROR(0/0,""))</f>
        <v/>
      </c>
      <c r="U18" s="10" t="b">
        <v>0</v>
      </c>
      <c r="V18" s="67" t="str">
        <f t="shared" si="2"/>
        <v>-</v>
      </c>
      <c r="W18" s="2" t="b">
        <v>1</v>
      </c>
      <c r="X18" s="2" t="b">
        <v>1</v>
      </c>
    </row>
    <row r="19">
      <c r="A19" s="54" t="str">
        <f>IFERROR(__xludf.DUMMYFUNCTION("""COMPUTED_VALUE"""),"MAX69")</f>
        <v>MAX69</v>
      </c>
      <c r="B19" s="52">
        <f>IFERROR(__xludf.DUMMYFUNCTION("""COMPUTED_VALUE"""),44571.0)</f>
        <v>44571</v>
      </c>
      <c r="C19" s="62">
        <f>IFERROR(__xludf.DUMMYFUNCTION("""COMPUTED_VALUE"""),0.3899768518518518)</f>
        <v>0.3899768519</v>
      </c>
      <c r="D19" s="54" t="str">
        <f>IFERROR(__xludf.DUMMYFUNCTION("""COMPUTED_VALUE"""),"SpBEND394154")</f>
        <v>SpBEND394154</v>
      </c>
      <c r="E19" s="54"/>
      <c r="F19" s="54"/>
      <c r="G19" s="54" t="str">
        <f>IFERROR(__xludf.DUMMYFUNCTION("""COMPUTED_VALUE"""),"Positive")</f>
        <v>Positive</v>
      </c>
      <c r="H19" s="54" t="str">
        <f>IFERROR(__xludf.DUMMYFUNCTION("""COMPUTED_VALUE"""),"Positive")</f>
        <v>Positive</v>
      </c>
      <c r="I19" s="52">
        <f>IFERROR(__xludf.DUMMYFUNCTION("""COMPUTED_VALUE"""),44579.0)</f>
        <v>44579</v>
      </c>
      <c r="J19" s="62">
        <f>IFERROR(__xludf.DUMMYFUNCTION("""COMPUTED_VALUE"""),0.5015740740740741)</f>
        <v>0.5015740741</v>
      </c>
      <c r="K19" s="63"/>
      <c r="L19" s="54"/>
      <c r="M19" s="54"/>
      <c r="N19" s="63">
        <f>IFERROR(__xludf.DUMMYFUNCTION("""COMPUTED_VALUE"""),1.0)</f>
        <v>1</v>
      </c>
      <c r="O19" s="63">
        <f>IFERROR(__xludf.DUMMYFUNCTION("""COMPUTED_VALUE"""),131.0)</f>
        <v>131</v>
      </c>
      <c r="P19" s="64" t="str">
        <f t="array" ref="P19">INDEX(postDEL!$A$2:$AR1340,$O19,40)</f>
        <v>BEND530620</v>
      </c>
      <c r="Q19" s="64" t="str">
        <f t="array" ref="Q19">IF($N19&gt;1, INDEX(postDEL!$A$2:$AR1340,$O19+1,40),IFERROR(0/0,""))</f>
        <v/>
      </c>
      <c r="R19" s="64" t="str">
        <f t="array" ref="R19">IF($N19&gt;2, INDEX(postDEL!$A$2:$AR1340,$O19+2,40),IFERROR(0/0,""))</f>
        <v/>
      </c>
      <c r="S19" s="64" t="str">
        <f t="array" ref="S19">IF($N19&gt;3, INDEX(postDEL!$A$2:$AR1340,$O19+3,40),IFERROR(0/0,""))</f>
        <v/>
      </c>
      <c r="U19" s="10" t="b">
        <v>0</v>
      </c>
      <c r="V19" s="67" t="str">
        <f t="shared" si="2"/>
        <v>1st</v>
      </c>
      <c r="W19" s="2" t="b">
        <v>1</v>
      </c>
      <c r="X19" s="2" t="b">
        <v>1</v>
      </c>
    </row>
    <row r="20">
      <c r="A20" s="54" t="str">
        <f>IFERROR(__xludf.DUMMYFUNCTION("""COMPUTED_VALUE"""),"MA341")</f>
        <v>MA341</v>
      </c>
      <c r="B20" s="52">
        <f>IFERROR(__xludf.DUMMYFUNCTION("""COMPUTED_VALUE"""),44571.0)</f>
        <v>44571</v>
      </c>
      <c r="C20" s="62">
        <f>IFERROR(__xludf.DUMMYFUNCTION("""COMPUTED_VALUE"""),0.3928935185185185)</f>
        <v>0.3928935185</v>
      </c>
      <c r="D20" s="54" t="str">
        <f>IFERROR(__xludf.DUMMYFUNCTION("""COMPUTED_VALUE"""),"SpBEND394154")</f>
        <v>SpBEND394154</v>
      </c>
      <c r="E20" s="54"/>
      <c r="F20" s="54"/>
      <c r="G20" s="54" t="str">
        <f>IFERROR(__xludf.DUMMYFUNCTION("""COMPUTED_VALUE"""),"Positive")</f>
        <v>Positive</v>
      </c>
      <c r="H20" s="54" t="str">
        <f>IFERROR(__xludf.DUMMYFUNCTION("""COMPUTED_VALUE"""),"Positive")</f>
        <v>Positive</v>
      </c>
      <c r="I20" s="52">
        <f>IFERROR(__xludf.DUMMYFUNCTION("""COMPUTED_VALUE"""),44579.0)</f>
        <v>44579</v>
      </c>
      <c r="J20" s="62">
        <f>IFERROR(__xludf.DUMMYFUNCTION("""COMPUTED_VALUE"""),0.5015740740740741)</f>
        <v>0.5015740741</v>
      </c>
      <c r="K20" s="63"/>
      <c r="L20" s="54"/>
      <c r="M20" s="54"/>
      <c r="N20" s="63">
        <f>IFERROR(__xludf.DUMMYFUNCTION("""COMPUTED_VALUE"""),1.0)</f>
        <v>1</v>
      </c>
      <c r="O20" s="63">
        <f>IFERROR(__xludf.DUMMYFUNCTION("""COMPUTED_VALUE"""),136.0)</f>
        <v>136</v>
      </c>
      <c r="P20" s="64" t="str">
        <f t="array" ref="P20">INDEX(postDEL!$A$2:$AR1340,$O20,40)</f>
        <v>BEND524074</v>
      </c>
      <c r="Q20" s="64" t="str">
        <f t="array" ref="Q20">IF($N20&gt;1, INDEX(postDEL!$A$2:$AR1340,$O20+1,40),IFERROR(0/0,""))</f>
        <v/>
      </c>
      <c r="R20" s="64" t="str">
        <f t="array" ref="R20">IF($N20&gt;2, INDEX(postDEL!$A$2:$AR1340,$O20+2,40),IFERROR(0/0,""))</f>
        <v/>
      </c>
      <c r="S20" s="64" t="str">
        <f t="array" ref="S20">IF($N20&gt;3, INDEX(postDEL!$A$2:$AR1340,$O20+3,40),IFERROR(0/0,""))</f>
        <v/>
      </c>
      <c r="U20" s="10" t="b">
        <v>0</v>
      </c>
      <c r="V20" s="67" t="str">
        <f t="shared" si="2"/>
        <v>1st</v>
      </c>
      <c r="W20" s="2" t="b">
        <v>1</v>
      </c>
      <c r="X20" s="2" t="b">
        <v>1</v>
      </c>
    </row>
    <row r="21">
      <c r="A21" s="54" t="str">
        <f>IFERROR(__xludf.DUMMYFUNCTION("""COMPUTED_VALUE"""),"MA435")</f>
        <v>MA435</v>
      </c>
      <c r="B21" s="52">
        <f>IFERROR(__xludf.DUMMYFUNCTION("""COMPUTED_VALUE"""),44571.0)</f>
        <v>44571</v>
      </c>
      <c r="C21" s="62">
        <f>IFERROR(__xludf.DUMMYFUNCTION("""COMPUTED_VALUE"""),0.42716435185185186)</f>
        <v>0.4271643519</v>
      </c>
      <c r="D21" s="54" t="str">
        <f>IFERROR(__xludf.DUMMYFUNCTION("""COMPUTED_VALUE"""),"SpBEND394154")</f>
        <v>SpBEND394154</v>
      </c>
      <c r="E21" s="54"/>
      <c r="F21" s="54"/>
      <c r="G21" s="54" t="str">
        <f>IFERROR(__xludf.DUMMYFUNCTION("""COMPUTED_VALUE"""),"Positive")</f>
        <v>Positive</v>
      </c>
      <c r="H21" s="54" t="str">
        <f>IFERROR(__xludf.DUMMYFUNCTION("""COMPUTED_VALUE"""),"Positive")</f>
        <v>Positive</v>
      </c>
      <c r="I21" s="52">
        <f>IFERROR(__xludf.DUMMYFUNCTION("""COMPUTED_VALUE"""),44579.0)</f>
        <v>44579</v>
      </c>
      <c r="J21" s="62">
        <f>IFERROR(__xludf.DUMMYFUNCTION("""COMPUTED_VALUE"""),0.5015740740740741)</f>
        <v>0.5015740741</v>
      </c>
      <c r="K21" s="63"/>
      <c r="L21" s="54"/>
      <c r="M21" s="54"/>
      <c r="N21" s="63">
        <f>IFERROR(__xludf.DUMMYFUNCTION("""COMPUTED_VALUE"""),1.0)</f>
        <v>1</v>
      </c>
      <c r="O21" s="63">
        <f>IFERROR(__xludf.DUMMYFUNCTION("""COMPUTED_VALUE"""),138.0)</f>
        <v>138</v>
      </c>
      <c r="P21" s="64" t="str">
        <f t="array" ref="P21">INDEX(postDEL!$A$2:$AR1340,$O21,40)</f>
        <v>BEND732984</v>
      </c>
      <c r="Q21" s="64" t="str">
        <f t="array" ref="Q21">IF($N21&gt;1, INDEX(postDEL!$A$2:$AR1340,$O21+1,40),IFERROR(0/0,""))</f>
        <v/>
      </c>
      <c r="R21" s="64" t="str">
        <f t="array" ref="R21">IF($N21&gt;2, INDEX(postDEL!$A$2:$AR1340,$O21+2,40),IFERROR(0/0,""))</f>
        <v/>
      </c>
      <c r="S21" s="64" t="str">
        <f t="array" ref="S21">IF($N21&gt;3, INDEX(postDEL!$A$2:$AR1340,$O21+3,40),IFERROR(0/0,""))</f>
        <v/>
      </c>
      <c r="U21" s="10" t="b">
        <v>0</v>
      </c>
      <c r="V21" s="67" t="str">
        <f t="shared" si="2"/>
        <v>-</v>
      </c>
      <c r="W21" s="2" t="b">
        <v>1</v>
      </c>
      <c r="X21" s="2" t="b">
        <v>1</v>
      </c>
    </row>
    <row r="22">
      <c r="A22" s="54" t="str">
        <f>IFERROR(__xludf.DUMMYFUNCTION("""COMPUTED_VALUE"""),"MA1156")</f>
        <v>MA1156</v>
      </c>
      <c r="B22" s="52">
        <f>IFERROR(__xludf.DUMMYFUNCTION("""COMPUTED_VALUE"""),44573.0)</f>
        <v>44573</v>
      </c>
      <c r="C22" s="62">
        <f>IFERROR(__xludf.DUMMYFUNCTION("""COMPUTED_VALUE"""),0.32337962962962963)</f>
        <v>0.3233796296</v>
      </c>
      <c r="D22" s="54" t="str">
        <f>IFERROR(__xludf.DUMMYFUNCTION("""COMPUTED_VALUE"""),"SpBEND198321")</f>
        <v>SpBEND198321</v>
      </c>
      <c r="E22" s="54"/>
      <c r="F22" s="54"/>
      <c r="G22" s="54" t="str">
        <f>IFERROR(__xludf.DUMMYFUNCTION("""COMPUTED_VALUE"""),"Positive")</f>
        <v>Positive</v>
      </c>
      <c r="H22" s="54" t="str">
        <f>IFERROR(__xludf.DUMMYFUNCTION("""COMPUTED_VALUE"""),"Positive")</f>
        <v>Positive</v>
      </c>
      <c r="I22" s="52">
        <f>IFERROR(__xludf.DUMMYFUNCTION("""COMPUTED_VALUE"""),44579.0)</f>
        <v>44579</v>
      </c>
      <c r="J22" s="62">
        <f>IFERROR(__xludf.DUMMYFUNCTION("""COMPUTED_VALUE"""),0.5015856481481481)</f>
        <v>0.5015856481</v>
      </c>
      <c r="K22" s="63"/>
      <c r="L22" s="54"/>
      <c r="M22" s="54"/>
      <c r="N22" s="63">
        <f>IFERROR(__xludf.DUMMYFUNCTION("""COMPUTED_VALUE"""),1.0)</f>
        <v>1</v>
      </c>
      <c r="O22" s="63">
        <f>IFERROR(__xludf.DUMMYFUNCTION("""COMPUTED_VALUE"""),148.0)</f>
        <v>148</v>
      </c>
      <c r="P22" s="64" t="str">
        <f t="array" ref="P22">INDEX(postDEL!$A$2:$AR1340,$O22,40)</f>
        <v>BEND772881</v>
      </c>
      <c r="Q22" s="64" t="str">
        <f t="array" ref="Q22">IF($N22&gt;1, INDEX(postDEL!$A$2:$AR1340,$O22+1,40),IFERROR(0/0,""))</f>
        <v/>
      </c>
      <c r="R22" s="64" t="str">
        <f t="array" ref="R22">IF($N22&gt;2, INDEX(postDEL!$A$2:$AR1340,$O22+2,40),IFERROR(0/0,""))</f>
        <v/>
      </c>
      <c r="S22" s="64" t="str">
        <f t="array" ref="S22">IF($N22&gt;3, INDEX(postDEL!$A$2:$AR1340,$O22+3,40),IFERROR(0/0,""))</f>
        <v/>
      </c>
      <c r="U22" s="10" t="b">
        <v>0</v>
      </c>
      <c r="V22" s="67" t="str">
        <f t="shared" si="2"/>
        <v>1st</v>
      </c>
      <c r="W22" s="2" t="b">
        <v>1</v>
      </c>
      <c r="X22" s="2" t="b">
        <v>1</v>
      </c>
    </row>
    <row r="23">
      <c r="A23" s="54" t="str">
        <f>IFERROR(__xludf.DUMMYFUNCTION("""COMPUTED_VALUE"""),"MAX20")</f>
        <v>MAX20</v>
      </c>
      <c r="B23" s="52">
        <f>IFERROR(__xludf.DUMMYFUNCTION("""COMPUTED_VALUE"""),44573.0)</f>
        <v>44573</v>
      </c>
      <c r="C23" s="62">
        <f>IFERROR(__xludf.DUMMYFUNCTION("""COMPUTED_VALUE"""),0.38359953703703703)</f>
        <v>0.383599537</v>
      </c>
      <c r="D23" s="54" t="str">
        <f>IFERROR(__xludf.DUMMYFUNCTION("""COMPUTED_VALUE"""),"SpBEND394154")</f>
        <v>SpBEND394154</v>
      </c>
      <c r="E23" s="54"/>
      <c r="F23" s="54"/>
      <c r="G23" s="54" t="str">
        <f>IFERROR(__xludf.DUMMYFUNCTION("""COMPUTED_VALUE"""),"Positive")</f>
        <v>Positive</v>
      </c>
      <c r="H23" s="54" t="str">
        <f>IFERROR(__xludf.DUMMYFUNCTION("""COMPUTED_VALUE"""),"Positive")</f>
        <v>Positive</v>
      </c>
      <c r="I23" s="52">
        <f>IFERROR(__xludf.DUMMYFUNCTION("""COMPUTED_VALUE"""),44579.0)</f>
        <v>44579</v>
      </c>
      <c r="J23" s="62">
        <f>IFERROR(__xludf.DUMMYFUNCTION("""COMPUTED_VALUE"""),0.5015856481481481)</f>
        <v>0.5015856481</v>
      </c>
      <c r="K23" s="63"/>
      <c r="L23" s="54"/>
      <c r="M23" s="54"/>
      <c r="N23" s="63">
        <f>IFERROR(__xludf.DUMMYFUNCTION("""COMPUTED_VALUE"""),1.0)</f>
        <v>1</v>
      </c>
      <c r="O23" s="63">
        <f>IFERROR(__xludf.DUMMYFUNCTION("""COMPUTED_VALUE"""),155.0)</f>
        <v>155</v>
      </c>
      <c r="P23" s="64" t="str">
        <f t="array" ref="P23">INDEX(postDEL!$A$2:$AR1340,$O23,40)</f>
        <v>BEND219153</v>
      </c>
      <c r="Q23" s="64" t="str">
        <f t="array" ref="Q23">IF($N23&gt;1, INDEX(postDEL!$A$2:$AR1340,$O23+1,40),IFERROR(0/0,""))</f>
        <v/>
      </c>
      <c r="R23" s="64" t="str">
        <f t="array" ref="R23">IF($N23&gt;2, INDEX(postDEL!$A$2:$AR1340,$O23+2,40),IFERROR(0/0,""))</f>
        <v/>
      </c>
      <c r="S23" s="64" t="str">
        <f t="array" ref="S23">IF($N23&gt;3, INDEX(postDEL!$A$2:$AR1340,$O23+3,40),IFERROR(0/0,""))</f>
        <v/>
      </c>
      <c r="U23" s="10" t="b">
        <v>0</v>
      </c>
      <c r="V23" s="67" t="b">
        <f t="shared" si="2"/>
        <v>1</v>
      </c>
      <c r="W23" s="2" t="b">
        <v>1</v>
      </c>
      <c r="X23" s="2" t="b">
        <v>1</v>
      </c>
    </row>
    <row r="24">
      <c r="A24" s="54" t="str">
        <f>IFERROR(__xludf.DUMMYFUNCTION("""COMPUTED_VALUE"""),"MAX72")</f>
        <v>MAX72</v>
      </c>
      <c r="B24" s="52">
        <f>IFERROR(__xludf.DUMMYFUNCTION("""COMPUTED_VALUE"""),44573.0)</f>
        <v>44573</v>
      </c>
      <c r="C24" s="62">
        <f>IFERROR(__xludf.DUMMYFUNCTION("""COMPUTED_VALUE"""),0.3858564814814815)</f>
        <v>0.3858564815</v>
      </c>
      <c r="D24" s="54" t="str">
        <f>IFERROR(__xludf.DUMMYFUNCTION("""COMPUTED_VALUE"""),"SpBEND394154")</f>
        <v>SpBEND394154</v>
      </c>
      <c r="E24" s="54"/>
      <c r="F24" s="54"/>
      <c r="G24" s="54" t="str">
        <f>IFERROR(__xludf.DUMMYFUNCTION("""COMPUTED_VALUE"""),"Positive")</f>
        <v>Positive</v>
      </c>
      <c r="H24" s="54" t="str">
        <f>IFERROR(__xludf.DUMMYFUNCTION("""COMPUTED_VALUE"""),"Positive")</f>
        <v>Positive</v>
      </c>
      <c r="I24" s="52">
        <f>IFERROR(__xludf.DUMMYFUNCTION("""COMPUTED_VALUE"""),44579.0)</f>
        <v>44579</v>
      </c>
      <c r="J24" s="62">
        <f>IFERROR(__xludf.DUMMYFUNCTION("""COMPUTED_VALUE"""),0.5015856481481481)</f>
        <v>0.5015856481</v>
      </c>
      <c r="K24" s="63"/>
      <c r="L24" s="54"/>
      <c r="M24" s="54"/>
      <c r="N24" s="63">
        <f>IFERROR(__xludf.DUMMYFUNCTION("""COMPUTED_VALUE"""),1.0)</f>
        <v>1</v>
      </c>
      <c r="O24" s="63">
        <f>IFERROR(__xludf.DUMMYFUNCTION("""COMPUTED_VALUE"""),157.0)</f>
        <v>157</v>
      </c>
      <c r="P24" s="64" t="str">
        <f t="array" ref="P24">INDEX(postDEL!$A$2:$AR1340,$O24,40)</f>
        <v>BEND389048</v>
      </c>
      <c r="Q24" s="64" t="str">
        <f t="array" ref="Q24">IF($N24&gt;1, INDEX(postDEL!$A$2:$AR1340,$O24+1,40),IFERROR(0/0,""))</f>
        <v/>
      </c>
      <c r="R24" s="64" t="str">
        <f t="array" ref="R24">IF($N24&gt;2, INDEX(postDEL!$A$2:$AR1340,$O24+2,40),IFERROR(0/0,""))</f>
        <v/>
      </c>
      <c r="S24" s="64" t="str">
        <f t="array" ref="S24">IF($N24&gt;3, INDEX(postDEL!$A$2:$AR1340,$O24+3,40),IFERROR(0/0,""))</f>
        <v/>
      </c>
      <c r="U24" s="10" t="b">
        <v>0</v>
      </c>
      <c r="V24" s="67" t="str">
        <f t="shared" si="2"/>
        <v>-</v>
      </c>
      <c r="W24" s="2" t="b">
        <v>1</v>
      </c>
      <c r="X24" s="2" t="b">
        <v>1</v>
      </c>
    </row>
    <row r="25">
      <c r="A25" s="54" t="str">
        <f>IFERROR(__xludf.DUMMYFUNCTION("""COMPUTED_VALUE"""),"MAX36")</f>
        <v>MAX36</v>
      </c>
      <c r="B25" s="52">
        <f>IFERROR(__xludf.DUMMYFUNCTION("""COMPUTED_VALUE"""),44573.0)</f>
        <v>44573</v>
      </c>
      <c r="C25" s="62">
        <f>IFERROR(__xludf.DUMMYFUNCTION("""COMPUTED_VALUE"""),0.3869444444444444)</f>
        <v>0.3869444444</v>
      </c>
      <c r="D25" s="54" t="str">
        <f>IFERROR(__xludf.DUMMYFUNCTION("""COMPUTED_VALUE"""),"SpBEND394154")</f>
        <v>SpBEND394154</v>
      </c>
      <c r="E25" s="54"/>
      <c r="F25" s="54"/>
      <c r="G25" s="54" t="str">
        <f>IFERROR(__xludf.DUMMYFUNCTION("""COMPUTED_VALUE"""),"Positive")</f>
        <v>Positive</v>
      </c>
      <c r="H25" s="54" t="str">
        <f>IFERROR(__xludf.DUMMYFUNCTION("""COMPUTED_VALUE"""),"Positive")</f>
        <v>Positive</v>
      </c>
      <c r="I25" s="52">
        <f>IFERROR(__xludf.DUMMYFUNCTION("""COMPUTED_VALUE"""),44579.0)</f>
        <v>44579</v>
      </c>
      <c r="J25" s="62">
        <f>IFERROR(__xludf.DUMMYFUNCTION("""COMPUTED_VALUE"""),0.5015856481481481)</f>
        <v>0.5015856481</v>
      </c>
      <c r="K25" s="63"/>
      <c r="L25" s="54"/>
      <c r="M25" s="54"/>
      <c r="N25" s="63">
        <f>IFERROR(__xludf.DUMMYFUNCTION("""COMPUTED_VALUE"""),1.0)</f>
        <v>1</v>
      </c>
      <c r="O25" s="63">
        <f>IFERROR(__xludf.DUMMYFUNCTION("""COMPUTED_VALUE"""),159.0)</f>
        <v>159</v>
      </c>
      <c r="P25" s="64" t="str">
        <f t="array" ref="P25">INDEX(postDEL!$A$2:$AR1340,$O25,40)</f>
        <v>BEND524074</v>
      </c>
      <c r="Q25" s="64" t="str">
        <f t="array" ref="Q25">IF($N25&gt;1, INDEX(postDEL!$A$2:$AR1340,$O25+1,40),IFERROR(0/0,""))</f>
        <v/>
      </c>
      <c r="R25" s="64" t="str">
        <f t="array" ref="R25">IF($N25&gt;2, INDEX(postDEL!$A$2:$AR1340,$O25+2,40),IFERROR(0/0,""))</f>
        <v/>
      </c>
      <c r="S25" s="64" t="str">
        <f t="array" ref="S25">IF($N25&gt;3, INDEX(postDEL!$A$2:$AR1340,$O25+3,40),IFERROR(0/0,""))</f>
        <v/>
      </c>
      <c r="U25" s="10" t="b">
        <v>0</v>
      </c>
      <c r="V25" s="67" t="b">
        <f t="shared" si="2"/>
        <v>1</v>
      </c>
      <c r="W25" s="2" t="b">
        <v>1</v>
      </c>
      <c r="X25" s="2" t="b">
        <v>1</v>
      </c>
    </row>
    <row r="26">
      <c r="A26" s="54" t="str">
        <f>IFERROR(__xludf.DUMMYFUNCTION("""COMPUTED_VALUE"""),"MA1062")</f>
        <v>MA1062</v>
      </c>
      <c r="B26" s="52">
        <f>IFERROR(__xludf.DUMMYFUNCTION("""COMPUTED_VALUE"""),44574.0)</f>
        <v>44574</v>
      </c>
      <c r="C26" s="62">
        <f>IFERROR(__xludf.DUMMYFUNCTION("""COMPUTED_VALUE"""),0.5845023148148148)</f>
        <v>0.5845023148</v>
      </c>
      <c r="D26" s="54" t="str">
        <f>IFERROR(__xludf.DUMMYFUNCTION("""COMPUTED_VALUE"""),"SpBEND328905")</f>
        <v>SpBEND328905</v>
      </c>
      <c r="E26" s="54"/>
      <c r="F26" s="54"/>
      <c r="G26" s="54" t="str">
        <f>IFERROR(__xludf.DUMMYFUNCTION("""COMPUTED_VALUE"""),"Positive")</f>
        <v>Positive</v>
      </c>
      <c r="H26" s="54" t="str">
        <f>IFERROR(__xludf.DUMMYFUNCTION("""COMPUTED_VALUE"""),"Positive")</f>
        <v>Positive</v>
      </c>
      <c r="I26" s="52">
        <f>IFERROR(__xludf.DUMMYFUNCTION("""COMPUTED_VALUE"""),44579.0)</f>
        <v>44579</v>
      </c>
      <c r="J26" s="62">
        <f>IFERROR(__xludf.DUMMYFUNCTION("""COMPUTED_VALUE"""),0.5015856481481481)</f>
        <v>0.5015856481</v>
      </c>
      <c r="K26" s="63"/>
      <c r="L26" s="54"/>
      <c r="M26" s="54"/>
      <c r="N26" s="63">
        <f>IFERROR(__xludf.DUMMYFUNCTION("""COMPUTED_VALUE"""),1.0)</f>
        <v>1</v>
      </c>
      <c r="O26" s="63">
        <f>IFERROR(__xludf.DUMMYFUNCTION("""COMPUTED_VALUE"""),165.0)</f>
        <v>165</v>
      </c>
      <c r="P26" s="64" t="str">
        <f t="array" ref="P26">INDEX(postDEL!$A$2:$AR1340,$O26,40)</f>
        <v>BEND972161</v>
      </c>
      <c r="Q26" s="64" t="str">
        <f t="array" ref="Q26">IF($N26&gt;1, INDEX(postDEL!$A$2:$AR1340,$O26+1,40),IFERROR(0/0,""))</f>
        <v/>
      </c>
      <c r="R26" s="64" t="str">
        <f t="array" ref="R26">IF($N26&gt;2, INDEX(postDEL!$A$2:$AR1340,$O26+2,40),IFERROR(0/0,""))</f>
        <v/>
      </c>
      <c r="S26" s="64" t="str">
        <f t="array" ref="S26">IF($N26&gt;3, INDEX(postDEL!$A$2:$AR1340,$O26+3,40),IFERROR(0/0,""))</f>
        <v/>
      </c>
      <c r="U26" s="10" t="b">
        <v>0</v>
      </c>
      <c r="V26" s="65" t="s">
        <v>180</v>
      </c>
      <c r="W26" s="2" t="b">
        <v>1</v>
      </c>
      <c r="X26" s="2" t="b">
        <v>1</v>
      </c>
    </row>
    <row r="27">
      <c r="A27" s="54" t="str">
        <f>IFERROR(__xludf.DUMMYFUNCTION("""COMPUTED_VALUE"""),"MA1092")</f>
        <v>MA1092</v>
      </c>
      <c r="B27" s="52">
        <f>IFERROR(__xludf.DUMMYFUNCTION("""COMPUTED_VALUE"""),44574.0)</f>
        <v>44574</v>
      </c>
      <c r="C27" s="62">
        <f>IFERROR(__xludf.DUMMYFUNCTION("""COMPUTED_VALUE"""),0.6161342592592592)</f>
        <v>0.6161342593</v>
      </c>
      <c r="D27" s="54" t="str">
        <f>IFERROR(__xludf.DUMMYFUNCTION("""COMPUTED_VALUE"""),"SpBEND328905")</f>
        <v>SpBEND328905</v>
      </c>
      <c r="E27" s="54"/>
      <c r="F27" s="54"/>
      <c r="G27" s="54" t="str">
        <f>IFERROR(__xludf.DUMMYFUNCTION("""COMPUTED_VALUE"""),"Positive")</f>
        <v>Positive</v>
      </c>
      <c r="H27" s="54" t="str">
        <f>IFERROR(__xludf.DUMMYFUNCTION("""COMPUTED_VALUE"""),"Positive")</f>
        <v>Positive</v>
      </c>
      <c r="I27" s="52">
        <f>IFERROR(__xludf.DUMMYFUNCTION("""COMPUTED_VALUE"""),44579.0)</f>
        <v>44579</v>
      </c>
      <c r="J27" s="62">
        <f>IFERROR(__xludf.DUMMYFUNCTION("""COMPUTED_VALUE"""),0.5015856481481481)</f>
        <v>0.5015856481</v>
      </c>
      <c r="K27" s="63"/>
      <c r="L27" s="54"/>
      <c r="M27" s="54"/>
      <c r="N27" s="63">
        <f>IFERROR(__xludf.DUMMYFUNCTION("""COMPUTED_VALUE"""),1.0)</f>
        <v>1</v>
      </c>
      <c r="O27" s="63">
        <f>IFERROR(__xludf.DUMMYFUNCTION("""COMPUTED_VALUE"""),166.0)</f>
        <v>166</v>
      </c>
      <c r="P27" s="64" t="str">
        <f t="array" ref="P27">INDEX(postDEL!$A$2:$AR1340,$O27,40)</f>
        <v>BEND373460</v>
      </c>
      <c r="Q27" s="64" t="str">
        <f t="array" ref="Q27">IF($N27&gt;1, INDEX(postDEL!$A$2:$AR1340,$O27+1,40),IFERROR(0/0,""))</f>
        <v/>
      </c>
      <c r="R27" s="64" t="str">
        <f t="array" ref="R27">IF($N27&gt;2, INDEX(postDEL!$A$2:$AR1340,$O27+2,40),IFERROR(0/0,""))</f>
        <v/>
      </c>
      <c r="S27" s="64" t="str">
        <f t="array" ref="S27">IF($N27&gt;3, INDEX(postDEL!$A$2:$AR1340,$O27+3,40),IFERROR(0/0,""))</f>
        <v/>
      </c>
      <c r="U27" s="10" t="b">
        <v>0</v>
      </c>
      <c r="V27" s="67" t="str">
        <f t="shared" ref="V27:V59" si="3">IF(COUNTIF($P$2:$P$74,P27)=1,"-",IF(COUNTIF($P$2:P27,P27)=1,"1st",TRUE))
</f>
        <v>-</v>
      </c>
      <c r="W27" s="2" t="b">
        <v>1</v>
      </c>
      <c r="X27" s="2" t="b">
        <v>1</v>
      </c>
    </row>
    <row r="28">
      <c r="A28" s="54" t="str">
        <f>IFERROR(__xludf.DUMMYFUNCTION("""COMPUTED_VALUE"""),"MA1243")</f>
        <v>MA1243</v>
      </c>
      <c r="B28" s="52">
        <f>IFERROR(__xludf.DUMMYFUNCTION("""COMPUTED_VALUE"""),44575.0)</f>
        <v>44575</v>
      </c>
      <c r="C28" s="62">
        <f>IFERROR(__xludf.DUMMYFUNCTION("""COMPUTED_VALUE"""),0.3230439814814815)</f>
        <v>0.3230439815</v>
      </c>
      <c r="D28" s="54" t="str">
        <f>IFERROR(__xludf.DUMMYFUNCTION("""COMPUTED_VALUE"""),"SpBEND767550")</f>
        <v>SpBEND767550</v>
      </c>
      <c r="E28" s="54"/>
      <c r="F28" s="54"/>
      <c r="G28" s="54" t="str">
        <f>IFERROR(__xludf.DUMMYFUNCTION("""COMPUTED_VALUE"""),"Positive")</f>
        <v>Positive</v>
      </c>
      <c r="H28" s="54" t="str">
        <f>IFERROR(__xludf.DUMMYFUNCTION("""COMPUTED_VALUE"""),"Positive")</f>
        <v>Positive</v>
      </c>
      <c r="I28" s="52">
        <f>IFERROR(__xludf.DUMMYFUNCTION("""COMPUTED_VALUE"""),44579.0)</f>
        <v>44579</v>
      </c>
      <c r="J28" s="62">
        <f>IFERROR(__xludf.DUMMYFUNCTION("""COMPUTED_VALUE"""),0.5015856481481481)</f>
        <v>0.5015856481</v>
      </c>
      <c r="K28" s="63"/>
      <c r="L28" s="54"/>
      <c r="M28" s="54"/>
      <c r="N28" s="63">
        <f>IFERROR(__xludf.DUMMYFUNCTION("""COMPUTED_VALUE"""),1.0)</f>
        <v>1</v>
      </c>
      <c r="O28" s="63">
        <f>IFERROR(__xludf.DUMMYFUNCTION("""COMPUTED_VALUE"""),175.0)</f>
        <v>175</v>
      </c>
      <c r="P28" s="64" t="str">
        <f t="array" ref="P28">INDEX(postDEL!$A$2:$AR1340,$O28,40)</f>
        <v>BEND245933</v>
      </c>
      <c r="Q28" s="64" t="str">
        <f t="array" ref="Q28">IF($N28&gt;1, INDEX(postDEL!$A$2:$AR1340,$O28+1,40),IFERROR(0/0,""))</f>
        <v/>
      </c>
      <c r="R28" s="64" t="str">
        <f t="array" ref="R28">IF($N28&gt;2, INDEX(postDEL!$A$2:$AR1340,$O28+2,40),IFERROR(0/0,""))</f>
        <v/>
      </c>
      <c r="S28" s="64" t="str">
        <f t="array" ref="S28">IF($N28&gt;3, INDEX(postDEL!$A$2:$AR1340,$O28+3,40),IFERROR(0/0,""))</f>
        <v/>
      </c>
      <c r="U28" s="10" t="b">
        <v>0</v>
      </c>
      <c r="V28" s="67" t="str">
        <f t="shared" si="3"/>
        <v>1st</v>
      </c>
      <c r="W28" s="2" t="b">
        <v>1</v>
      </c>
      <c r="X28" s="2" t="b">
        <v>1</v>
      </c>
    </row>
    <row r="29">
      <c r="A29" s="54" t="str">
        <f>IFERROR(__xludf.DUMMYFUNCTION("""COMPUTED_VALUE"""),"MA1186")</f>
        <v>MA1186</v>
      </c>
      <c r="B29" s="52">
        <f>IFERROR(__xludf.DUMMYFUNCTION("""COMPUTED_VALUE"""),44575.0)</f>
        <v>44575</v>
      </c>
      <c r="C29" s="62">
        <f>IFERROR(__xludf.DUMMYFUNCTION("""COMPUTED_VALUE"""),0.3400578703703704)</f>
        <v>0.3400578704</v>
      </c>
      <c r="D29" s="54" t="str">
        <f>IFERROR(__xludf.DUMMYFUNCTION("""COMPUTED_VALUE"""),"SpBEND302553")</f>
        <v>SpBEND302553</v>
      </c>
      <c r="E29" s="54"/>
      <c r="F29" s="54"/>
      <c r="G29" s="54" t="str">
        <f>IFERROR(__xludf.DUMMYFUNCTION("""COMPUTED_VALUE"""),"Positive")</f>
        <v>Positive</v>
      </c>
      <c r="H29" s="54" t="str">
        <f>IFERROR(__xludf.DUMMYFUNCTION("""COMPUTED_VALUE"""),"Positive")</f>
        <v>Positive</v>
      </c>
      <c r="I29" s="52">
        <f>IFERROR(__xludf.DUMMYFUNCTION("""COMPUTED_VALUE"""),44579.0)</f>
        <v>44579</v>
      </c>
      <c r="J29" s="62">
        <f>IFERROR(__xludf.DUMMYFUNCTION("""COMPUTED_VALUE"""),0.5015856481481481)</f>
        <v>0.5015856481</v>
      </c>
      <c r="K29" s="63"/>
      <c r="L29" s="54"/>
      <c r="M29" s="54"/>
      <c r="N29" s="63">
        <f>IFERROR(__xludf.DUMMYFUNCTION("""COMPUTED_VALUE"""),1.0)</f>
        <v>1</v>
      </c>
      <c r="O29" s="63">
        <f>IFERROR(__xludf.DUMMYFUNCTION("""COMPUTED_VALUE"""),177.0)</f>
        <v>177</v>
      </c>
      <c r="P29" s="64" t="str">
        <f t="array" ref="P29">INDEX(postDEL!$A$2:$AR1340,$O29,40)</f>
        <v>BEND455768</v>
      </c>
      <c r="Q29" s="64" t="str">
        <f t="array" ref="Q29">IF($N29&gt;1, INDEX(postDEL!$A$2:$AR1340,$O29+1,40),IFERROR(0/0,""))</f>
        <v/>
      </c>
      <c r="R29" s="64" t="str">
        <f t="array" ref="R29">IF($N29&gt;2, INDEX(postDEL!$A$2:$AR1340,$O29+2,40),IFERROR(0/0,""))</f>
        <v/>
      </c>
      <c r="S29" s="64" t="str">
        <f t="array" ref="S29">IF($N29&gt;3, INDEX(postDEL!$A$2:$AR1340,$O29+3,40),IFERROR(0/0,""))</f>
        <v/>
      </c>
      <c r="U29" s="10" t="b">
        <v>0</v>
      </c>
      <c r="V29" s="67" t="str">
        <f t="shared" si="3"/>
        <v>1st</v>
      </c>
      <c r="W29" s="2" t="b">
        <v>1</v>
      </c>
      <c r="X29" s="2" t="b">
        <v>1</v>
      </c>
    </row>
    <row r="30">
      <c r="A30" s="54" t="str">
        <f>IFERROR(__xludf.DUMMYFUNCTION("""COMPUTED_VALUE"""),"MAX110")</f>
        <v>MAX110</v>
      </c>
      <c r="B30" s="52">
        <f>IFERROR(__xludf.DUMMYFUNCTION("""COMPUTED_VALUE"""),44575.0)</f>
        <v>44575</v>
      </c>
      <c r="C30" s="62">
        <f>IFERROR(__xludf.DUMMYFUNCTION("""COMPUTED_VALUE"""),0.3859722222222222)</f>
        <v>0.3859722222</v>
      </c>
      <c r="D30" s="54" t="str">
        <f>IFERROR(__xludf.DUMMYFUNCTION("""COMPUTED_VALUE"""),"SpBEND394154")</f>
        <v>SpBEND394154</v>
      </c>
      <c r="E30" s="54"/>
      <c r="F30" s="54"/>
      <c r="G30" s="54" t="str">
        <f>IFERROR(__xludf.DUMMYFUNCTION("""COMPUTED_VALUE"""),"Positive")</f>
        <v>Positive</v>
      </c>
      <c r="H30" s="54" t="str">
        <f>IFERROR(__xludf.DUMMYFUNCTION("""COMPUTED_VALUE"""),"Positive")</f>
        <v>Positive</v>
      </c>
      <c r="I30" s="52">
        <f>IFERROR(__xludf.DUMMYFUNCTION("""COMPUTED_VALUE"""),44579.0)</f>
        <v>44579</v>
      </c>
      <c r="J30" s="62">
        <f>IFERROR(__xludf.DUMMYFUNCTION("""COMPUTED_VALUE"""),0.5015856481481481)</f>
        <v>0.5015856481</v>
      </c>
      <c r="K30" s="63"/>
      <c r="L30" s="54"/>
      <c r="M30" s="54"/>
      <c r="N30" s="63">
        <f>IFERROR(__xludf.DUMMYFUNCTION("""COMPUTED_VALUE"""),1.0)</f>
        <v>1</v>
      </c>
      <c r="O30" s="63">
        <f>IFERROR(__xludf.DUMMYFUNCTION("""COMPUTED_VALUE"""),182.0)</f>
        <v>182</v>
      </c>
      <c r="P30" s="64" t="str">
        <f t="array" ref="P30">INDEX(postDEL!$A$2:$AR1340,$O30,40)</f>
        <v>BEND530620</v>
      </c>
      <c r="Q30" s="64" t="str">
        <f t="array" ref="Q30">IF($N30&gt;1, INDEX(postDEL!$A$2:$AR1340,$O30+1,40),IFERROR(0/0,""))</f>
        <v/>
      </c>
      <c r="R30" s="64" t="str">
        <f t="array" ref="R30">IF($N30&gt;2, INDEX(postDEL!$A$2:$AR1340,$O30+2,40),IFERROR(0/0,""))</f>
        <v/>
      </c>
      <c r="S30" s="64" t="str">
        <f t="array" ref="S30">IF($N30&gt;3, INDEX(postDEL!$A$2:$AR1340,$O30+3,40),IFERROR(0/0,""))</f>
        <v/>
      </c>
      <c r="U30" s="10" t="b">
        <v>0</v>
      </c>
      <c r="V30" s="67" t="b">
        <f t="shared" si="3"/>
        <v>1</v>
      </c>
      <c r="W30" s="2" t="b">
        <v>1</v>
      </c>
      <c r="X30" s="2" t="b">
        <v>1</v>
      </c>
    </row>
    <row r="31">
      <c r="A31" s="54" t="str">
        <f>IFERROR(__xludf.DUMMYFUNCTION("""COMPUTED_VALUE"""),"MA1058")</f>
        <v>MA1058</v>
      </c>
      <c r="B31" s="52">
        <f>IFERROR(__xludf.DUMMYFUNCTION("""COMPUTED_VALUE"""),44575.0)</f>
        <v>44575</v>
      </c>
      <c r="C31" s="62">
        <f>IFERROR(__xludf.DUMMYFUNCTION("""COMPUTED_VALUE"""),0.38623842592592594)</f>
        <v>0.3862384259</v>
      </c>
      <c r="D31" s="54" t="str">
        <f>IFERROR(__xludf.DUMMYFUNCTION("""COMPUTED_VALUE"""),"SpBEND394154")</f>
        <v>SpBEND394154</v>
      </c>
      <c r="E31" s="54"/>
      <c r="F31" s="54"/>
      <c r="G31" s="54" t="str">
        <f>IFERROR(__xludf.DUMMYFUNCTION("""COMPUTED_VALUE"""),"Positive")</f>
        <v>Positive</v>
      </c>
      <c r="H31" s="54" t="str">
        <f>IFERROR(__xludf.DUMMYFUNCTION("""COMPUTED_VALUE"""),"Positive")</f>
        <v>Positive</v>
      </c>
      <c r="I31" s="52">
        <f>IFERROR(__xludf.DUMMYFUNCTION("""COMPUTED_VALUE"""),44579.0)</f>
        <v>44579</v>
      </c>
      <c r="J31" s="62">
        <f>IFERROR(__xludf.DUMMYFUNCTION("""COMPUTED_VALUE"""),0.5015856481481481)</f>
        <v>0.5015856481</v>
      </c>
      <c r="K31" s="63"/>
      <c r="L31" s="54" t="str">
        <f>IFERROR(__xludf.DUMMYFUNCTION("""COMPUTED_VALUE"""),"RT Jan26 nothing else seems off so conclude it's 2 swabs from the same person. OLD NOTE: review - same person, positive twice on same day")</f>
        <v>RT Jan26 nothing else seems off so conclude it's 2 swabs from the same person. OLD NOTE: review - same person, positive twice on same day</v>
      </c>
      <c r="M31" s="54"/>
      <c r="N31" s="63">
        <f>IFERROR(__xludf.DUMMYFUNCTION("""COMPUTED_VALUE"""),1.0)</f>
        <v>1</v>
      </c>
      <c r="O31" s="63">
        <f>IFERROR(__xludf.DUMMYFUNCTION("""COMPUTED_VALUE"""),183.0)</f>
        <v>183</v>
      </c>
      <c r="P31" s="64" t="str">
        <f t="array" ref="P31">INDEX(postDEL!$A$2:$AR1340,$O31,40)</f>
        <v>BEND219153</v>
      </c>
      <c r="Q31" s="64" t="str">
        <f t="array" ref="Q31">IF($N31&gt;1, INDEX(postDEL!$A$2:$AR1340,$O31+1,40),IFERROR(0/0,""))</f>
        <v/>
      </c>
      <c r="R31" s="64" t="str">
        <f t="array" ref="R31">IF($N31&gt;2, INDEX(postDEL!$A$2:$AR1340,$O31+2,40),IFERROR(0/0,""))</f>
        <v/>
      </c>
      <c r="S31" s="64" t="str">
        <f t="array" ref="S31">IF($N31&gt;3, INDEX(postDEL!$A$2:$AR1340,$O31+3,40),IFERROR(0/0,""))</f>
        <v/>
      </c>
      <c r="U31" s="10" t="b">
        <v>0</v>
      </c>
      <c r="V31" s="67" t="b">
        <f t="shared" si="3"/>
        <v>1</v>
      </c>
      <c r="W31" s="2" t="b">
        <v>1</v>
      </c>
      <c r="X31" s="2" t="b">
        <v>1</v>
      </c>
    </row>
    <row r="32">
      <c r="A32" s="54" t="str">
        <f>IFERROR(__xludf.DUMMYFUNCTION("""COMPUTED_VALUE"""),"MAX84")</f>
        <v>MAX84</v>
      </c>
      <c r="B32" s="52">
        <f>IFERROR(__xludf.DUMMYFUNCTION("""COMPUTED_VALUE"""),44575.0)</f>
        <v>44575</v>
      </c>
      <c r="C32" s="62">
        <f>IFERROR(__xludf.DUMMYFUNCTION("""COMPUTED_VALUE"""),0.3866550925925926)</f>
        <v>0.3866550926</v>
      </c>
      <c r="D32" s="54" t="str">
        <f>IFERROR(__xludf.DUMMYFUNCTION("""COMPUTED_VALUE"""),"SpBEND394154")</f>
        <v>SpBEND394154</v>
      </c>
      <c r="E32" s="54"/>
      <c r="F32" s="54"/>
      <c r="G32" s="54" t="str">
        <f>IFERROR(__xludf.DUMMYFUNCTION("""COMPUTED_VALUE"""),"Positive")</f>
        <v>Positive</v>
      </c>
      <c r="H32" s="54" t="str">
        <f>IFERROR(__xludf.DUMMYFUNCTION("""COMPUTED_VALUE"""),"Positive")</f>
        <v>Positive</v>
      </c>
      <c r="I32" s="52">
        <f>IFERROR(__xludf.DUMMYFUNCTION("""COMPUTED_VALUE"""),44579.0)</f>
        <v>44579</v>
      </c>
      <c r="J32" s="62">
        <f>IFERROR(__xludf.DUMMYFUNCTION("""COMPUTED_VALUE"""),0.5015856481481481)</f>
        <v>0.5015856481</v>
      </c>
      <c r="K32" s="63"/>
      <c r="L32" s="54" t="str">
        <f>IFERROR(__xludf.DUMMYFUNCTION("""COMPUTED_VALUE"""),"RT Jan26 nothing else seems off so conclude it's 2 swabs from the same person. OLD NOTE: review - same person, positive twice on same day")</f>
        <v>RT Jan26 nothing else seems off so conclude it's 2 swabs from the same person. OLD NOTE: review - same person, positive twice on same day</v>
      </c>
      <c r="M32" s="54"/>
      <c r="N32" s="63">
        <f>IFERROR(__xludf.DUMMYFUNCTION("""COMPUTED_VALUE"""),1.0)</f>
        <v>1</v>
      </c>
      <c r="O32" s="63">
        <f>IFERROR(__xludf.DUMMYFUNCTION("""COMPUTED_VALUE"""),184.0)</f>
        <v>184</v>
      </c>
      <c r="P32" s="64" t="str">
        <f t="array" ref="P32">INDEX(postDEL!$A$2:$AR1340,$O32,40)</f>
        <v>BEND219153</v>
      </c>
      <c r="Q32" s="64" t="str">
        <f t="array" ref="Q32">IF($N32&gt;1, INDEX(postDEL!$A$2:$AR1340,$O32+1,40),IFERROR(0/0,""))</f>
        <v/>
      </c>
      <c r="R32" s="64" t="str">
        <f t="array" ref="R32">IF($N32&gt;2, INDEX(postDEL!$A$2:$AR1340,$O32+2,40),IFERROR(0/0,""))</f>
        <v/>
      </c>
      <c r="S32" s="64" t="str">
        <f t="array" ref="S32">IF($N32&gt;3, INDEX(postDEL!$A$2:$AR1340,$O32+3,40),IFERROR(0/0,""))</f>
        <v/>
      </c>
      <c r="U32" s="10" t="b">
        <v>0</v>
      </c>
      <c r="V32" s="67" t="b">
        <f t="shared" si="3"/>
        <v>1</v>
      </c>
      <c r="W32" s="2" t="b">
        <v>1</v>
      </c>
      <c r="X32" s="2" t="b">
        <v>1</v>
      </c>
    </row>
    <row r="33">
      <c r="A33" s="54" t="str">
        <f>IFERROR(__xludf.DUMMYFUNCTION("""COMPUTED_VALUE"""),"MA655")</f>
        <v>MA655</v>
      </c>
      <c r="B33" s="52">
        <f>IFERROR(__xludf.DUMMYFUNCTION("""COMPUTED_VALUE"""),44579.0)</f>
        <v>44579</v>
      </c>
      <c r="C33" s="62">
        <f>IFERROR(__xludf.DUMMYFUNCTION("""COMPUTED_VALUE"""),0.32251157407407405)</f>
        <v>0.3225115741</v>
      </c>
      <c r="D33" s="54" t="str">
        <f>IFERROR(__xludf.DUMMYFUNCTION("""COMPUTED_VALUE"""),"SpBEND184203")</f>
        <v>SpBEND184203</v>
      </c>
      <c r="E33" s="54"/>
      <c r="F33" s="54"/>
      <c r="G33" s="54" t="str">
        <f>IFERROR(__xludf.DUMMYFUNCTION("""COMPUTED_VALUE"""),"Positive")</f>
        <v>Positive</v>
      </c>
      <c r="H33" s="54" t="str">
        <f>IFERROR(__xludf.DUMMYFUNCTION("""COMPUTED_VALUE"""),"Positive")</f>
        <v>Positive</v>
      </c>
      <c r="I33" s="52">
        <f>IFERROR(__xludf.DUMMYFUNCTION("""COMPUTED_VALUE"""),44579.0)</f>
        <v>44579</v>
      </c>
      <c r="J33" s="62">
        <f>IFERROR(__xludf.DUMMYFUNCTION("""COMPUTED_VALUE"""),0.5015972222222222)</f>
        <v>0.5015972222</v>
      </c>
      <c r="K33" s="63"/>
      <c r="L33" s="54"/>
      <c r="M33" s="54"/>
      <c r="N33" s="63">
        <f>IFERROR(__xludf.DUMMYFUNCTION("""COMPUTED_VALUE"""),1.0)</f>
        <v>1</v>
      </c>
      <c r="O33" s="63">
        <f>IFERROR(__xludf.DUMMYFUNCTION("""COMPUTED_VALUE"""),193.0)</f>
        <v>193</v>
      </c>
      <c r="P33" s="64" t="str">
        <f t="array" ref="P33">INDEX(postDEL!$A$2:$AR1340,$O33,40)</f>
        <v>BEND821009</v>
      </c>
      <c r="Q33" s="64" t="str">
        <f t="array" ref="Q33">IF($N33&gt;1, INDEX(postDEL!$A$2:$AR1340,$O33+1,40),IFERROR(0/0,""))</f>
        <v/>
      </c>
      <c r="R33" s="64" t="str">
        <f t="array" ref="R33">IF($N33&gt;2, INDEX(postDEL!$A$2:$AR1340,$O33+2,40),IFERROR(0/0,""))</f>
        <v/>
      </c>
      <c r="S33" s="64" t="str">
        <f t="array" ref="S33">IF($N33&gt;3, INDEX(postDEL!$A$2:$AR1340,$O33+3,40),IFERROR(0/0,""))</f>
        <v/>
      </c>
      <c r="U33" s="10" t="b">
        <v>0</v>
      </c>
      <c r="V33" s="67" t="str">
        <f t="shared" si="3"/>
        <v>-</v>
      </c>
      <c r="W33" s="2" t="b">
        <v>1</v>
      </c>
      <c r="X33" s="2" t="b">
        <v>1</v>
      </c>
    </row>
    <row r="34">
      <c r="A34" s="54" t="str">
        <f>IFERROR(__xludf.DUMMYFUNCTION("""COMPUTED_VALUE"""),"MAX68")</f>
        <v>MAX68</v>
      </c>
      <c r="B34" s="52">
        <f>IFERROR(__xludf.DUMMYFUNCTION("""COMPUTED_VALUE"""),44579.0)</f>
        <v>44579</v>
      </c>
      <c r="C34" s="62">
        <f>IFERROR(__xludf.DUMMYFUNCTION("""COMPUTED_VALUE"""),0.33091435185185186)</f>
        <v>0.3309143519</v>
      </c>
      <c r="D34" s="54" t="str">
        <f>IFERROR(__xludf.DUMMYFUNCTION("""COMPUTED_VALUE"""),"SpBEND845568")</f>
        <v>SpBEND845568</v>
      </c>
      <c r="E34" s="54"/>
      <c r="F34" s="54"/>
      <c r="G34" s="54" t="str">
        <f>IFERROR(__xludf.DUMMYFUNCTION("""COMPUTED_VALUE"""),"Positive")</f>
        <v>Positive</v>
      </c>
      <c r="H34" s="54" t="str">
        <f>IFERROR(__xludf.DUMMYFUNCTION("""COMPUTED_VALUE"""),"Positive")</f>
        <v>Positive</v>
      </c>
      <c r="I34" s="52">
        <f>IFERROR(__xludf.DUMMYFUNCTION("""COMPUTED_VALUE"""),44579.0)</f>
        <v>44579</v>
      </c>
      <c r="J34" s="62">
        <f>IFERROR(__xludf.DUMMYFUNCTION("""COMPUTED_VALUE"""),0.5015972222222222)</f>
        <v>0.5015972222</v>
      </c>
      <c r="K34" s="63"/>
      <c r="L34" s="54"/>
      <c r="M34" s="54"/>
      <c r="N34" s="63">
        <f>IFERROR(__xludf.DUMMYFUNCTION("""COMPUTED_VALUE"""),1.0)</f>
        <v>1</v>
      </c>
      <c r="O34" s="63">
        <f>IFERROR(__xludf.DUMMYFUNCTION("""COMPUTED_VALUE"""),198.0)</f>
        <v>198</v>
      </c>
      <c r="P34" s="64" t="str">
        <f t="array" ref="P34">INDEX(postDEL!$A$2:$AR1340,$O34,40)</f>
        <v>BEND601151</v>
      </c>
      <c r="Q34" s="64" t="str">
        <f t="array" ref="Q34">IF($N34&gt;1, INDEX(postDEL!$A$2:$AR1340,$O34+1,40),IFERROR(0/0,""))</f>
        <v/>
      </c>
      <c r="R34" s="64" t="str">
        <f t="array" ref="R34">IF($N34&gt;2, INDEX(postDEL!$A$2:$AR1340,$O34+2,40),IFERROR(0/0,""))</f>
        <v/>
      </c>
      <c r="S34" s="64" t="str">
        <f t="array" ref="S34">IF($N34&gt;3, INDEX(postDEL!$A$2:$AR1340,$O34+3,40),IFERROR(0/0,""))</f>
        <v/>
      </c>
      <c r="U34" s="10" t="b">
        <v>0</v>
      </c>
      <c r="V34" s="67" t="str">
        <f t="shared" si="3"/>
        <v>1st</v>
      </c>
      <c r="W34" s="2" t="b">
        <v>1</v>
      </c>
      <c r="X34" s="2" t="b">
        <v>1</v>
      </c>
    </row>
    <row r="35">
      <c r="A35" s="54" t="str">
        <f>IFERROR(__xludf.DUMMYFUNCTION("""COMPUTED_VALUE"""),"MAX44")</f>
        <v>MAX44</v>
      </c>
      <c r="B35" s="52">
        <f>IFERROR(__xludf.DUMMYFUNCTION("""COMPUTED_VALUE"""),44579.0)</f>
        <v>44579</v>
      </c>
      <c r="C35" s="62">
        <f>IFERROR(__xludf.DUMMYFUNCTION("""COMPUTED_VALUE"""),0.40466435185185184)</f>
        <v>0.4046643519</v>
      </c>
      <c r="D35" s="54" t="str">
        <f>IFERROR(__xludf.DUMMYFUNCTION("""COMPUTED_VALUE"""),"SpBEND198321")</f>
        <v>SpBEND198321</v>
      </c>
      <c r="E35" s="54"/>
      <c r="F35" s="54"/>
      <c r="G35" s="54" t="str">
        <f>IFERROR(__xludf.DUMMYFUNCTION("""COMPUTED_VALUE"""),"Positive")</f>
        <v>Positive</v>
      </c>
      <c r="H35" s="54" t="str">
        <f>IFERROR(__xludf.DUMMYFUNCTION("""COMPUTED_VALUE"""),"Positive")</f>
        <v>Positive</v>
      </c>
      <c r="I35" s="52">
        <f>IFERROR(__xludf.DUMMYFUNCTION("""COMPUTED_VALUE"""),44579.0)</f>
        <v>44579</v>
      </c>
      <c r="J35" s="62">
        <f>IFERROR(__xludf.DUMMYFUNCTION("""COMPUTED_VALUE"""),0.5015972222222222)</f>
        <v>0.5015972222</v>
      </c>
      <c r="K35" s="63"/>
      <c r="L35" s="54"/>
      <c r="M35" s="54"/>
      <c r="N35" s="63">
        <f>IFERROR(__xludf.DUMMYFUNCTION("""COMPUTED_VALUE"""),1.0)</f>
        <v>1</v>
      </c>
      <c r="O35" s="63">
        <f>IFERROR(__xludf.DUMMYFUNCTION("""COMPUTED_VALUE"""),213.0)</f>
        <v>213</v>
      </c>
      <c r="P35" s="64" t="str">
        <f t="array" ref="P35">INDEX(postDEL!$A$2:$AR1340,$O35,40)</f>
        <v>BEND772881</v>
      </c>
      <c r="Q35" s="64" t="str">
        <f t="array" ref="Q35">IF($N35&gt;1, INDEX(postDEL!$A$2:$AR1340,$O35+1,40),IFERROR(0/0,""))</f>
        <v/>
      </c>
      <c r="R35" s="64" t="str">
        <f t="array" ref="R35">IF($N35&gt;2, INDEX(postDEL!$A$2:$AR1340,$O35+2,40),IFERROR(0/0,""))</f>
        <v/>
      </c>
      <c r="S35" s="64" t="str">
        <f t="array" ref="S35">IF($N35&gt;3, INDEX(postDEL!$A$2:$AR1340,$O35+3,40),IFERROR(0/0,""))</f>
        <v/>
      </c>
      <c r="U35" s="10" t="b">
        <v>0</v>
      </c>
      <c r="V35" s="67" t="b">
        <f t="shared" si="3"/>
        <v>1</v>
      </c>
      <c r="W35" s="2" t="b">
        <v>1</v>
      </c>
      <c r="X35" s="2" t="b">
        <v>1</v>
      </c>
    </row>
    <row r="36">
      <c r="A36" s="54" t="str">
        <f>IFERROR(__xludf.DUMMYFUNCTION("""COMPUTED_VALUE"""),"MA422")</f>
        <v>MA422</v>
      </c>
      <c r="B36" s="52">
        <f>IFERROR(__xludf.DUMMYFUNCTION("""COMPUTED_VALUE"""),44579.0)</f>
        <v>44579</v>
      </c>
      <c r="C36" s="62">
        <f>IFERROR(__xludf.DUMMYFUNCTION("""COMPUTED_VALUE"""),0.41333333333333333)</f>
        <v>0.4133333333</v>
      </c>
      <c r="D36" s="54" t="str">
        <f>IFERROR(__xludf.DUMMYFUNCTION("""COMPUTED_VALUE"""),"SpBEND394154")</f>
        <v>SpBEND394154</v>
      </c>
      <c r="E36" s="54"/>
      <c r="F36" s="54"/>
      <c r="G36" s="54" t="str">
        <f>IFERROR(__xludf.DUMMYFUNCTION("""COMPUTED_VALUE"""),"Positive")</f>
        <v>Positive</v>
      </c>
      <c r="H36" s="54" t="str">
        <f>IFERROR(__xludf.DUMMYFUNCTION("""COMPUTED_VALUE"""),"Positive")</f>
        <v>Positive</v>
      </c>
      <c r="I36" s="52">
        <f>IFERROR(__xludf.DUMMYFUNCTION("""COMPUTED_VALUE"""),44579.0)</f>
        <v>44579</v>
      </c>
      <c r="J36" s="62">
        <f>IFERROR(__xludf.DUMMYFUNCTION("""COMPUTED_VALUE"""),0.5015972222222222)</f>
        <v>0.5015972222</v>
      </c>
      <c r="K36" s="63"/>
      <c r="L36" s="54"/>
      <c r="M36" s="54"/>
      <c r="N36" s="63">
        <f>IFERROR(__xludf.DUMMYFUNCTION("""COMPUTED_VALUE"""),1.0)</f>
        <v>1</v>
      </c>
      <c r="O36" s="63">
        <f>IFERROR(__xludf.DUMMYFUNCTION("""COMPUTED_VALUE"""),215.0)</f>
        <v>215</v>
      </c>
      <c r="P36" s="64" t="str">
        <f t="array" ref="P36">INDEX(postDEL!$A$2:$AR1340,$O36,40)</f>
        <v>BEND689884</v>
      </c>
      <c r="Q36" s="64" t="str">
        <f t="array" ref="Q36">IF($N36&gt;1, INDEX(postDEL!$A$2:$AR1340,$O36+1,40),IFERROR(0/0,""))</f>
        <v/>
      </c>
      <c r="R36" s="64" t="str">
        <f t="array" ref="R36">IF($N36&gt;2, INDEX(postDEL!$A$2:$AR1340,$O36+2,40),IFERROR(0/0,""))</f>
        <v/>
      </c>
      <c r="S36" s="64" t="str">
        <f t="array" ref="S36">IF($N36&gt;3, INDEX(postDEL!$A$2:$AR1340,$O36+3,40),IFERROR(0/0,""))</f>
        <v/>
      </c>
      <c r="U36" s="10" t="b">
        <v>0</v>
      </c>
      <c r="V36" s="67" t="str">
        <f t="shared" si="3"/>
        <v>-</v>
      </c>
      <c r="W36" s="2" t="b">
        <v>1</v>
      </c>
      <c r="X36" s="2" t="b">
        <v>1</v>
      </c>
    </row>
    <row r="37">
      <c r="A37" s="54" t="str">
        <f>IFERROR(__xludf.DUMMYFUNCTION("""COMPUTED_VALUE"""),"MA1146")</f>
        <v>MA1146</v>
      </c>
      <c r="B37" s="52">
        <f>IFERROR(__xludf.DUMMYFUNCTION("""COMPUTED_VALUE"""),44579.0)</f>
        <v>44579</v>
      </c>
      <c r="C37" s="62">
        <f>IFERROR(__xludf.DUMMYFUNCTION("""COMPUTED_VALUE"""),0.41368055555555555)</f>
        <v>0.4136805556</v>
      </c>
      <c r="D37" s="54" t="str">
        <f>IFERROR(__xludf.DUMMYFUNCTION("""COMPUTED_VALUE"""),"SpBEND394154")</f>
        <v>SpBEND394154</v>
      </c>
      <c r="E37" s="54"/>
      <c r="F37" s="54"/>
      <c r="G37" s="54" t="str">
        <f>IFERROR(__xludf.DUMMYFUNCTION("""COMPUTED_VALUE"""),"Positive")</f>
        <v>Positive</v>
      </c>
      <c r="H37" s="54" t="str">
        <f>IFERROR(__xludf.DUMMYFUNCTION("""COMPUTED_VALUE"""),"Positive")</f>
        <v>Positive</v>
      </c>
      <c r="I37" s="52">
        <f>IFERROR(__xludf.DUMMYFUNCTION("""COMPUTED_VALUE"""),44579.0)</f>
        <v>44579</v>
      </c>
      <c r="J37" s="62">
        <f>IFERROR(__xludf.DUMMYFUNCTION("""COMPUTED_VALUE"""),0.5015972222222222)</f>
        <v>0.5015972222</v>
      </c>
      <c r="K37" s="63"/>
      <c r="L37" s="54"/>
      <c r="M37" s="54"/>
      <c r="N37" s="63">
        <f>IFERROR(__xludf.DUMMYFUNCTION("""COMPUTED_VALUE"""),1.0)</f>
        <v>1</v>
      </c>
      <c r="O37" s="63">
        <f>IFERROR(__xludf.DUMMYFUNCTION("""COMPUTED_VALUE"""),216.0)</f>
        <v>216</v>
      </c>
      <c r="P37" s="64" t="str">
        <f t="array" ref="P37">INDEX(postDEL!$A$2:$AR1340,$O37,40)</f>
        <v>BEND278730</v>
      </c>
      <c r="Q37" s="64" t="str">
        <f t="array" ref="Q37">IF($N37&gt;1, INDEX(postDEL!$A$2:$AR1340,$O37+1,40),IFERROR(0/0,""))</f>
        <v/>
      </c>
      <c r="R37" s="64" t="str">
        <f t="array" ref="R37">IF($N37&gt;2, INDEX(postDEL!$A$2:$AR1340,$O37+2,40),IFERROR(0/0,""))</f>
        <v/>
      </c>
      <c r="S37" s="64" t="str">
        <f t="array" ref="S37">IF($N37&gt;3, INDEX(postDEL!$A$2:$AR1340,$O37+3,40),IFERROR(0/0,""))</f>
        <v/>
      </c>
      <c r="U37" s="10" t="b">
        <v>0</v>
      </c>
      <c r="V37" s="67" t="str">
        <f t="shared" si="3"/>
        <v>-</v>
      </c>
      <c r="W37" s="2" t="b">
        <v>1</v>
      </c>
      <c r="X37" s="2" t="b">
        <v>1</v>
      </c>
    </row>
    <row r="38">
      <c r="A38" s="54" t="str">
        <f>IFERROR(__xludf.DUMMYFUNCTION("""COMPUTED_VALUE"""),"MA1162")</f>
        <v>MA1162</v>
      </c>
      <c r="B38" s="52">
        <f>IFERROR(__xludf.DUMMYFUNCTION("""COMPUTED_VALUE"""),44579.0)</f>
        <v>44579</v>
      </c>
      <c r="C38" s="62">
        <f>IFERROR(__xludf.DUMMYFUNCTION("""COMPUTED_VALUE"""),0.4140740740740741)</f>
        <v>0.4140740741</v>
      </c>
      <c r="D38" s="54" t="str">
        <f>IFERROR(__xludf.DUMMYFUNCTION("""COMPUTED_VALUE"""),"SpBEND394154")</f>
        <v>SpBEND394154</v>
      </c>
      <c r="E38" s="54"/>
      <c r="F38" s="54"/>
      <c r="G38" s="54" t="str">
        <f>IFERROR(__xludf.DUMMYFUNCTION("""COMPUTED_VALUE"""),"Positive")</f>
        <v>Positive</v>
      </c>
      <c r="H38" s="54" t="str">
        <f>IFERROR(__xludf.DUMMYFUNCTION("""COMPUTED_VALUE"""),"Positive")</f>
        <v>Positive</v>
      </c>
      <c r="I38" s="52">
        <f>IFERROR(__xludf.DUMMYFUNCTION("""COMPUTED_VALUE"""),44579.0)</f>
        <v>44579</v>
      </c>
      <c r="J38" s="62">
        <f>IFERROR(__xludf.DUMMYFUNCTION("""COMPUTED_VALUE"""),0.5015972222222222)</f>
        <v>0.5015972222</v>
      </c>
      <c r="K38" s="63"/>
      <c r="L38" s="54"/>
      <c r="M38" s="54"/>
      <c r="N38" s="63">
        <f>IFERROR(__xludf.DUMMYFUNCTION("""COMPUTED_VALUE"""),1.0)</f>
        <v>1</v>
      </c>
      <c r="O38" s="63">
        <f>IFERROR(__xludf.DUMMYFUNCTION("""COMPUTED_VALUE"""),217.0)</f>
        <v>217</v>
      </c>
      <c r="P38" s="64" t="str">
        <f t="array" ref="P38">INDEX(postDEL!$A$2:$AR1340,$O38,40)</f>
        <v>BEND182231</v>
      </c>
      <c r="Q38" s="64" t="str">
        <f t="array" ref="Q38">IF($N38&gt;1, INDEX(postDEL!$A$2:$AR1340,$O38+1,40),IFERROR(0/0,""))</f>
        <v/>
      </c>
      <c r="R38" s="64" t="str">
        <f t="array" ref="R38">IF($N38&gt;2, INDEX(postDEL!$A$2:$AR1340,$O38+2,40),IFERROR(0/0,""))</f>
        <v/>
      </c>
      <c r="S38" s="64" t="str">
        <f t="array" ref="S38">IF($N38&gt;3, INDEX(postDEL!$A$2:$AR1340,$O38+3,40),IFERROR(0/0,""))</f>
        <v/>
      </c>
      <c r="U38" s="10" t="b">
        <v>0</v>
      </c>
      <c r="V38" s="67" t="str">
        <f t="shared" si="3"/>
        <v>-</v>
      </c>
      <c r="W38" s="2" t="b">
        <v>1</v>
      </c>
      <c r="X38" s="2" t="b">
        <v>1</v>
      </c>
    </row>
    <row r="39">
      <c r="A39" s="54" t="str">
        <f>IFERROR(__xludf.DUMMYFUNCTION("""COMPUTED_VALUE"""),"MA547")</f>
        <v>MA547</v>
      </c>
      <c r="B39" s="52">
        <f>IFERROR(__xludf.DUMMYFUNCTION("""COMPUTED_VALUE"""),44579.0)</f>
        <v>44579</v>
      </c>
      <c r="C39" s="62">
        <f>IFERROR(__xludf.DUMMYFUNCTION("""COMPUTED_VALUE"""),0.41445601851851854)</f>
        <v>0.4144560185</v>
      </c>
      <c r="D39" s="54" t="str">
        <f>IFERROR(__xludf.DUMMYFUNCTION("""COMPUTED_VALUE"""),"SpBEND394154")</f>
        <v>SpBEND394154</v>
      </c>
      <c r="E39" s="54"/>
      <c r="F39" s="54"/>
      <c r="G39" s="54" t="str">
        <f>IFERROR(__xludf.DUMMYFUNCTION("""COMPUTED_VALUE"""),"Positive")</f>
        <v>Positive</v>
      </c>
      <c r="H39" s="54" t="str">
        <f>IFERROR(__xludf.DUMMYFUNCTION("""COMPUTED_VALUE"""),"Positive")</f>
        <v>Positive</v>
      </c>
      <c r="I39" s="52">
        <f>IFERROR(__xludf.DUMMYFUNCTION("""COMPUTED_VALUE"""),44579.0)</f>
        <v>44579</v>
      </c>
      <c r="J39" s="62">
        <f>IFERROR(__xludf.DUMMYFUNCTION("""COMPUTED_VALUE"""),0.5015972222222222)</f>
        <v>0.5015972222</v>
      </c>
      <c r="K39" s="63"/>
      <c r="L39" s="54"/>
      <c r="M39" s="54"/>
      <c r="N39" s="63">
        <f>IFERROR(__xludf.DUMMYFUNCTION("""COMPUTED_VALUE"""),1.0)</f>
        <v>1</v>
      </c>
      <c r="O39" s="63">
        <f>IFERROR(__xludf.DUMMYFUNCTION("""COMPUTED_VALUE"""),218.0)</f>
        <v>218</v>
      </c>
      <c r="P39" s="64" t="str">
        <f t="array" ref="P39">INDEX(postDEL!$A$2:$AR1340,$O39,40)</f>
        <v>BEND397882</v>
      </c>
      <c r="Q39" s="64" t="str">
        <f t="array" ref="Q39">IF($N39&gt;1, INDEX(postDEL!$A$2:$AR1340,$O39+1,40),IFERROR(0/0,""))</f>
        <v/>
      </c>
      <c r="R39" s="64" t="str">
        <f t="array" ref="R39">IF($N39&gt;2, INDEX(postDEL!$A$2:$AR1340,$O39+2,40),IFERROR(0/0,""))</f>
        <v/>
      </c>
      <c r="S39" s="64" t="str">
        <f t="array" ref="S39">IF($N39&gt;3, INDEX(postDEL!$A$2:$AR1340,$O39+3,40),IFERROR(0/0,""))</f>
        <v/>
      </c>
      <c r="U39" s="10" t="b">
        <v>0</v>
      </c>
      <c r="V39" s="67" t="str">
        <f t="shared" si="3"/>
        <v>-</v>
      </c>
      <c r="W39" s="2" t="b">
        <v>1</v>
      </c>
      <c r="X39" s="2" t="b">
        <v>1</v>
      </c>
    </row>
    <row r="40">
      <c r="A40" s="54" t="str">
        <f>IFERROR(__xludf.DUMMYFUNCTION("""COMPUTED_VALUE"""),"MA1037")</f>
        <v>MA1037</v>
      </c>
      <c r="B40" s="52">
        <f>IFERROR(__xludf.DUMMYFUNCTION("""COMPUTED_VALUE"""),44579.0)</f>
        <v>44579</v>
      </c>
      <c r="C40" s="62">
        <f>IFERROR(__xludf.DUMMYFUNCTION("""COMPUTED_VALUE"""),0.4153472222222222)</f>
        <v>0.4153472222</v>
      </c>
      <c r="D40" s="54" t="str">
        <f>IFERROR(__xludf.DUMMYFUNCTION("""COMPUTED_VALUE"""),"SpBEND394154")</f>
        <v>SpBEND394154</v>
      </c>
      <c r="E40" s="54"/>
      <c r="F40" s="54"/>
      <c r="G40" s="54" t="str">
        <f>IFERROR(__xludf.DUMMYFUNCTION("""COMPUTED_VALUE"""),"Positive")</f>
        <v>Positive</v>
      </c>
      <c r="H40" s="54" t="str">
        <f>IFERROR(__xludf.DUMMYFUNCTION("""COMPUTED_VALUE"""),"Positive")</f>
        <v>Positive</v>
      </c>
      <c r="I40" s="52">
        <f>IFERROR(__xludf.DUMMYFUNCTION("""COMPUTED_VALUE"""),44579.0)</f>
        <v>44579</v>
      </c>
      <c r="J40" s="62">
        <f>IFERROR(__xludf.DUMMYFUNCTION("""COMPUTED_VALUE"""),0.5015972222222222)</f>
        <v>0.5015972222</v>
      </c>
      <c r="K40" s="63"/>
      <c r="L40" s="54"/>
      <c r="M40" s="54"/>
      <c r="N40" s="63">
        <f>IFERROR(__xludf.DUMMYFUNCTION("""COMPUTED_VALUE"""),1.0)</f>
        <v>1</v>
      </c>
      <c r="O40" s="63">
        <f>IFERROR(__xludf.DUMMYFUNCTION("""COMPUTED_VALUE"""),219.0)</f>
        <v>219</v>
      </c>
      <c r="P40" s="64" t="str">
        <f t="array" ref="P40">INDEX(postDEL!$A$2:$AR1340,$O40,40)</f>
        <v>BEND839924</v>
      </c>
      <c r="Q40" s="64" t="str">
        <f t="array" ref="Q40">IF($N40&gt;1, INDEX(postDEL!$A$2:$AR1340,$O40+1,40),IFERROR(0/0,""))</f>
        <v/>
      </c>
      <c r="R40" s="64" t="str">
        <f t="array" ref="R40">IF($N40&gt;2, INDEX(postDEL!$A$2:$AR1340,$O40+2,40),IFERROR(0/0,""))</f>
        <v/>
      </c>
      <c r="S40" s="64" t="str">
        <f t="array" ref="S40">IF($N40&gt;3, INDEX(postDEL!$A$2:$AR1340,$O40+3,40),IFERROR(0/0,""))</f>
        <v/>
      </c>
      <c r="U40" s="10" t="b">
        <v>0</v>
      </c>
      <c r="V40" s="67" t="str">
        <f t="shared" si="3"/>
        <v>-</v>
      </c>
      <c r="W40" s="2" t="b">
        <v>1</v>
      </c>
      <c r="X40" s="2" t="b">
        <v>1</v>
      </c>
    </row>
    <row r="41">
      <c r="A41" s="54" t="str">
        <f>IFERROR(__xludf.DUMMYFUNCTION("""COMPUTED_VALUE"""),"MA446")</f>
        <v>MA446</v>
      </c>
      <c r="B41" s="52">
        <f>IFERROR(__xludf.DUMMYFUNCTION("""COMPUTED_VALUE"""),44579.0)</f>
        <v>44579</v>
      </c>
      <c r="C41" s="62">
        <f>IFERROR(__xludf.DUMMYFUNCTION("""COMPUTED_VALUE"""),0.4159259259259259)</f>
        <v>0.4159259259</v>
      </c>
      <c r="D41" s="54" t="str">
        <f>IFERROR(__xludf.DUMMYFUNCTION("""COMPUTED_VALUE"""),"SpBEND394154")</f>
        <v>SpBEND394154</v>
      </c>
      <c r="E41" s="54"/>
      <c r="F41" s="54"/>
      <c r="G41" s="54" t="str">
        <f>IFERROR(__xludf.DUMMYFUNCTION("""COMPUTED_VALUE"""),"Positive")</f>
        <v>Positive</v>
      </c>
      <c r="H41" s="54" t="str">
        <f>IFERROR(__xludf.DUMMYFUNCTION("""COMPUTED_VALUE"""),"Positive")</f>
        <v>Positive</v>
      </c>
      <c r="I41" s="52">
        <f>IFERROR(__xludf.DUMMYFUNCTION("""COMPUTED_VALUE"""),44579.0)</f>
        <v>44579</v>
      </c>
      <c r="J41" s="62">
        <f>IFERROR(__xludf.DUMMYFUNCTION("""COMPUTED_VALUE"""),0.5015972222222222)</f>
        <v>0.5015972222</v>
      </c>
      <c r="K41" s="63"/>
      <c r="L41" s="54"/>
      <c r="M41" s="54"/>
      <c r="N41" s="63">
        <f>IFERROR(__xludf.DUMMYFUNCTION("""COMPUTED_VALUE"""),1.0)</f>
        <v>1</v>
      </c>
      <c r="O41" s="63">
        <f>IFERROR(__xludf.DUMMYFUNCTION("""COMPUTED_VALUE"""),220.0)</f>
        <v>220</v>
      </c>
      <c r="P41" s="64" t="str">
        <f t="array" ref="P41">INDEX(postDEL!$A$2:$AR1340,$O41,40)</f>
        <v>BEND949070</v>
      </c>
      <c r="Q41" s="64" t="str">
        <f t="array" ref="Q41">IF($N41&gt;1, INDEX(postDEL!$A$2:$AR1340,$O41+1,40),IFERROR(0/0,""))</f>
        <v/>
      </c>
      <c r="R41" s="64" t="str">
        <f t="array" ref="R41">IF($N41&gt;2, INDEX(postDEL!$A$2:$AR1340,$O41+2,40),IFERROR(0/0,""))</f>
        <v/>
      </c>
      <c r="S41" s="64" t="str">
        <f t="array" ref="S41">IF($N41&gt;3, INDEX(postDEL!$A$2:$AR1340,$O41+3,40),IFERROR(0/0,""))</f>
        <v/>
      </c>
      <c r="U41" s="10" t="b">
        <v>0</v>
      </c>
      <c r="V41" s="67" t="b">
        <f t="shared" si="3"/>
        <v>1</v>
      </c>
      <c r="W41" s="2" t="b">
        <v>1</v>
      </c>
      <c r="X41" s="2" t="b">
        <v>1</v>
      </c>
    </row>
    <row r="42">
      <c r="A42" s="54" t="str">
        <f>IFERROR(__xludf.DUMMYFUNCTION("""COMPUTED_VALUE"""),"MA1115")</f>
        <v>MA1115</v>
      </c>
      <c r="B42" s="52">
        <f>IFERROR(__xludf.DUMMYFUNCTION("""COMPUTED_VALUE"""),44580.0)</f>
        <v>44580</v>
      </c>
      <c r="C42" s="62">
        <f>IFERROR(__xludf.DUMMYFUNCTION("""COMPUTED_VALUE"""),0.3460648148148148)</f>
        <v>0.3460648148</v>
      </c>
      <c r="D42" s="54" t="str">
        <f>IFERROR(__xludf.DUMMYFUNCTION("""COMPUTED_VALUE"""),"SpBEND708976")</f>
        <v>SpBEND708976</v>
      </c>
      <c r="E42" s="54"/>
      <c r="F42" s="54"/>
      <c r="G42" s="54" t="str">
        <f>IFERROR(__xludf.DUMMYFUNCTION("""COMPUTED_VALUE"""),"Positive")</f>
        <v>Positive</v>
      </c>
      <c r="H42" s="54" t="str">
        <f>IFERROR(__xludf.DUMMYFUNCTION("""COMPUTED_VALUE"""),"Positive")</f>
        <v>Positive</v>
      </c>
      <c r="I42" s="52">
        <f>IFERROR(__xludf.DUMMYFUNCTION("""COMPUTED_VALUE"""),44580.0)</f>
        <v>44580</v>
      </c>
      <c r="J42" s="62">
        <f>IFERROR(__xludf.DUMMYFUNCTION("""COMPUTED_VALUE"""),0.5073611111111112)</f>
        <v>0.5073611111</v>
      </c>
      <c r="K42" s="63"/>
      <c r="L42" s="54"/>
      <c r="M42" s="54"/>
      <c r="N42" s="63">
        <f>IFERROR(__xludf.DUMMYFUNCTION("""COMPUTED_VALUE"""),1.0)</f>
        <v>1</v>
      </c>
      <c r="O42" s="63">
        <f>IFERROR(__xludf.DUMMYFUNCTION("""COMPUTED_VALUE"""),224.0)</f>
        <v>224</v>
      </c>
      <c r="P42" s="64" t="str">
        <f t="array" ref="P42">INDEX(postDEL!$A$2:$AR1340,$O42,40)</f>
        <v>BEND525784</v>
      </c>
      <c r="Q42" s="64" t="str">
        <f t="array" ref="Q42">IF($N42&gt;1, INDEX(postDEL!$A$2:$AR1340,$O42+1,40),IFERROR(0/0,""))</f>
        <v/>
      </c>
      <c r="R42" s="64" t="str">
        <f t="array" ref="R42">IF($N42&gt;2, INDEX(postDEL!$A$2:$AR1340,$O42+2,40),IFERROR(0/0,""))</f>
        <v/>
      </c>
      <c r="S42" s="64" t="str">
        <f t="array" ref="S42">IF($N42&gt;3, INDEX(postDEL!$A$2:$AR1340,$O42+3,40),IFERROR(0/0,""))</f>
        <v/>
      </c>
      <c r="U42" s="10" t="b">
        <v>0</v>
      </c>
      <c r="V42" s="67" t="str">
        <f t="shared" si="3"/>
        <v>1st</v>
      </c>
      <c r="W42" s="2" t="b">
        <v>1</v>
      </c>
      <c r="X42" s="2" t="b">
        <v>1</v>
      </c>
    </row>
    <row r="43">
      <c r="A43" s="54" t="str">
        <f>IFERROR(__xludf.DUMMYFUNCTION("""COMPUTED_VALUE"""),"MA383")</f>
        <v>MA383</v>
      </c>
      <c r="B43" s="52">
        <f>IFERROR(__xludf.DUMMYFUNCTION("""COMPUTED_VALUE"""),44580.0)</f>
        <v>44580</v>
      </c>
      <c r="C43" s="62">
        <f>IFERROR(__xludf.DUMMYFUNCTION("""COMPUTED_VALUE"""),0.41456018518518517)</f>
        <v>0.4145601852</v>
      </c>
      <c r="D43" s="54" t="str">
        <f>IFERROR(__xludf.DUMMYFUNCTION("""COMPUTED_VALUE"""),"SpBEND394154")</f>
        <v>SpBEND394154</v>
      </c>
      <c r="E43" s="54"/>
      <c r="F43" s="54"/>
      <c r="G43" s="54" t="str">
        <f>IFERROR(__xludf.DUMMYFUNCTION("""COMPUTED_VALUE"""),"Positive")</f>
        <v>Positive</v>
      </c>
      <c r="H43" s="54" t="str">
        <f>IFERROR(__xludf.DUMMYFUNCTION("""COMPUTED_VALUE"""),"Positive")</f>
        <v>Positive</v>
      </c>
      <c r="I43" s="52">
        <f>IFERROR(__xludf.DUMMYFUNCTION("""COMPUTED_VALUE"""),44580.0)</f>
        <v>44580</v>
      </c>
      <c r="J43" s="62">
        <f>IFERROR(__xludf.DUMMYFUNCTION("""COMPUTED_VALUE"""),0.5073611111111112)</f>
        <v>0.5073611111</v>
      </c>
      <c r="K43" s="63"/>
      <c r="L43" s="54"/>
      <c r="M43" s="54"/>
      <c r="N43" s="63">
        <f>IFERROR(__xludf.DUMMYFUNCTION("""COMPUTED_VALUE"""),1.0)</f>
        <v>1</v>
      </c>
      <c r="O43" s="63">
        <f>IFERROR(__xludf.DUMMYFUNCTION("""COMPUTED_VALUE"""),227.0)</f>
        <v>227</v>
      </c>
      <c r="P43" s="64" t="str">
        <f t="array" ref="P43">INDEX(postDEL!$A$2:$AR1340,$O43,40)</f>
        <v>BEND304589</v>
      </c>
      <c r="Q43" s="64" t="str">
        <f t="array" ref="Q43">IF($N43&gt;1, INDEX(postDEL!$A$2:$AR1340,$O43+1,40),IFERROR(0/0,""))</f>
        <v/>
      </c>
      <c r="R43" s="64" t="str">
        <f t="array" ref="R43">IF($N43&gt;2, INDEX(postDEL!$A$2:$AR1340,$O43+2,40),IFERROR(0/0,""))</f>
        <v/>
      </c>
      <c r="S43" s="64" t="str">
        <f t="array" ref="S43">IF($N43&gt;3, INDEX(postDEL!$A$2:$AR1340,$O43+3,40),IFERROR(0/0,""))</f>
        <v/>
      </c>
      <c r="U43" s="10" t="b">
        <v>0</v>
      </c>
      <c r="V43" s="67" t="str">
        <f t="shared" si="3"/>
        <v>1st</v>
      </c>
      <c r="W43" s="2" t="b">
        <v>1</v>
      </c>
      <c r="X43" s="2" t="b">
        <v>1</v>
      </c>
    </row>
    <row r="44">
      <c r="A44" s="54" t="str">
        <f>IFERROR(__xludf.DUMMYFUNCTION("""COMPUTED_VALUE"""),"MA372")</f>
        <v>MA372</v>
      </c>
      <c r="B44" s="52">
        <f>IFERROR(__xludf.DUMMYFUNCTION("""COMPUTED_VALUE"""),44580.0)</f>
        <v>44580</v>
      </c>
      <c r="C44" s="62">
        <f>IFERROR(__xludf.DUMMYFUNCTION("""COMPUTED_VALUE"""),0.415)</f>
        <v>0.415</v>
      </c>
      <c r="D44" s="54" t="str">
        <f>IFERROR(__xludf.DUMMYFUNCTION("""COMPUTED_VALUE"""),"SpBEND394154")</f>
        <v>SpBEND394154</v>
      </c>
      <c r="E44" s="54"/>
      <c r="F44" s="54"/>
      <c r="G44" s="54" t="str">
        <f>IFERROR(__xludf.DUMMYFUNCTION("""COMPUTED_VALUE"""),"Positive")</f>
        <v>Positive</v>
      </c>
      <c r="H44" s="54" t="str">
        <f>IFERROR(__xludf.DUMMYFUNCTION("""COMPUTED_VALUE"""),"Positive")</f>
        <v>Positive</v>
      </c>
      <c r="I44" s="52">
        <f>IFERROR(__xludf.DUMMYFUNCTION("""COMPUTED_VALUE"""),44580.0)</f>
        <v>44580</v>
      </c>
      <c r="J44" s="62">
        <f>IFERROR(__xludf.DUMMYFUNCTION("""COMPUTED_VALUE"""),0.5073726851851852)</f>
        <v>0.5073726852</v>
      </c>
      <c r="K44" s="63"/>
      <c r="L44" s="54"/>
      <c r="M44" s="54"/>
      <c r="N44" s="63">
        <f>IFERROR(__xludf.DUMMYFUNCTION("""COMPUTED_VALUE"""),1.0)</f>
        <v>1</v>
      </c>
      <c r="O44" s="63">
        <f>IFERROR(__xludf.DUMMYFUNCTION("""COMPUTED_VALUE"""),228.0)</f>
        <v>228</v>
      </c>
      <c r="P44" s="64" t="str">
        <f t="array" ref="P44">INDEX(postDEL!$A$2:$AR1340,$O44,40)</f>
        <v>BEND151408</v>
      </c>
      <c r="Q44" s="64" t="str">
        <f t="array" ref="Q44">IF($N44&gt;1, INDEX(postDEL!$A$2:$AR1340,$O44+1,40),IFERROR(0/0,""))</f>
        <v/>
      </c>
      <c r="R44" s="64" t="str">
        <f t="array" ref="R44">IF($N44&gt;2, INDEX(postDEL!$A$2:$AR1340,$O44+2,40),IFERROR(0/0,""))</f>
        <v/>
      </c>
      <c r="S44" s="64" t="str">
        <f t="array" ref="S44">IF($N44&gt;3, INDEX(postDEL!$A$2:$AR1340,$O44+3,40),IFERROR(0/0,""))</f>
        <v/>
      </c>
      <c r="U44" s="10" t="b">
        <v>0</v>
      </c>
      <c r="V44" s="67" t="str">
        <f t="shared" si="3"/>
        <v>-</v>
      </c>
      <c r="W44" s="2" t="b">
        <v>1</v>
      </c>
      <c r="X44" s="2" t="b">
        <v>1</v>
      </c>
    </row>
    <row r="45">
      <c r="A45" s="54" t="str">
        <f>IFERROR(__xludf.DUMMYFUNCTION("""COMPUTED_VALUE"""),"MA303")</f>
        <v>MA303</v>
      </c>
      <c r="B45" s="52">
        <f>IFERROR(__xludf.DUMMYFUNCTION("""COMPUTED_VALUE"""),44580.0)</f>
        <v>44580</v>
      </c>
      <c r="C45" s="62">
        <f>IFERROR(__xludf.DUMMYFUNCTION("""COMPUTED_VALUE"""),0.4154398148148148)</f>
        <v>0.4154398148</v>
      </c>
      <c r="D45" s="54" t="str">
        <f>IFERROR(__xludf.DUMMYFUNCTION("""COMPUTED_VALUE"""),"SpBEND394154")</f>
        <v>SpBEND394154</v>
      </c>
      <c r="E45" s="54"/>
      <c r="F45" s="54"/>
      <c r="G45" s="54" t="str">
        <f>IFERROR(__xludf.DUMMYFUNCTION("""COMPUTED_VALUE"""),"Positive")</f>
        <v>Positive</v>
      </c>
      <c r="H45" s="54" t="str">
        <f>IFERROR(__xludf.DUMMYFUNCTION("""COMPUTED_VALUE"""),"Positive")</f>
        <v>Positive</v>
      </c>
      <c r="I45" s="52">
        <f>IFERROR(__xludf.DUMMYFUNCTION("""COMPUTED_VALUE"""),44580.0)</f>
        <v>44580</v>
      </c>
      <c r="J45" s="62">
        <f>IFERROR(__xludf.DUMMYFUNCTION("""COMPUTED_VALUE"""),0.5073726851851852)</f>
        <v>0.5073726852</v>
      </c>
      <c r="K45" s="63"/>
      <c r="L45" s="54"/>
      <c r="M45" s="54"/>
      <c r="N45" s="63">
        <f>IFERROR(__xludf.DUMMYFUNCTION("""COMPUTED_VALUE"""),1.0)</f>
        <v>1</v>
      </c>
      <c r="O45" s="63">
        <f>IFERROR(__xludf.DUMMYFUNCTION("""COMPUTED_VALUE"""),229.0)</f>
        <v>229</v>
      </c>
      <c r="P45" s="64" t="str">
        <f t="array" ref="P45">INDEX(postDEL!$A$2:$AR1340,$O45,40)</f>
        <v>BEND238338</v>
      </c>
      <c r="Q45" s="64" t="str">
        <f t="array" ref="Q45">IF($N45&gt;1, INDEX(postDEL!$A$2:$AR1340,$O45+1,40),IFERROR(0/0,""))</f>
        <v/>
      </c>
      <c r="R45" s="64" t="str">
        <f t="array" ref="R45">IF($N45&gt;2, INDEX(postDEL!$A$2:$AR1340,$O45+2,40),IFERROR(0/0,""))</f>
        <v/>
      </c>
      <c r="S45" s="64" t="str">
        <f t="array" ref="S45">IF($N45&gt;3, INDEX(postDEL!$A$2:$AR1340,$O45+3,40),IFERROR(0/0,""))</f>
        <v/>
      </c>
      <c r="U45" s="10" t="b">
        <v>0</v>
      </c>
      <c r="V45" s="67" t="str">
        <f t="shared" si="3"/>
        <v>-</v>
      </c>
      <c r="W45" s="2" t="b">
        <v>1</v>
      </c>
      <c r="X45" s="2" t="b">
        <v>1</v>
      </c>
    </row>
    <row r="46">
      <c r="A46" s="54" t="str">
        <f>IFERROR(__xludf.DUMMYFUNCTION("""COMPUTED_VALUE"""),"MAX76")</f>
        <v>MAX76</v>
      </c>
      <c r="B46" s="52">
        <f>IFERROR(__xludf.DUMMYFUNCTION("""COMPUTED_VALUE"""),44580.0)</f>
        <v>44580</v>
      </c>
      <c r="C46" s="62">
        <f>IFERROR(__xludf.DUMMYFUNCTION("""COMPUTED_VALUE"""),0.43203703703703705)</f>
        <v>0.432037037</v>
      </c>
      <c r="D46" s="54" t="str">
        <f>IFERROR(__xludf.DUMMYFUNCTION("""COMPUTED_VALUE"""),"SpBEND394154")</f>
        <v>SpBEND394154</v>
      </c>
      <c r="E46" s="54"/>
      <c r="F46" s="54"/>
      <c r="G46" s="54" t="str">
        <f>IFERROR(__xludf.DUMMYFUNCTION("""COMPUTED_VALUE"""),"Positive")</f>
        <v>Positive</v>
      </c>
      <c r="H46" s="54" t="str">
        <f>IFERROR(__xludf.DUMMYFUNCTION("""COMPUTED_VALUE"""),"Positive")</f>
        <v>Positive</v>
      </c>
      <c r="I46" s="52">
        <f>IFERROR(__xludf.DUMMYFUNCTION("""COMPUTED_VALUE"""),44580.0)</f>
        <v>44580</v>
      </c>
      <c r="J46" s="62">
        <f>IFERROR(__xludf.DUMMYFUNCTION("""COMPUTED_VALUE"""),0.5073726851851852)</f>
        <v>0.5073726852</v>
      </c>
      <c r="K46" s="63"/>
      <c r="L46" s="54"/>
      <c r="M46" s="54"/>
      <c r="N46" s="63">
        <f>IFERROR(__xludf.DUMMYFUNCTION("""COMPUTED_VALUE"""),1.0)</f>
        <v>1</v>
      </c>
      <c r="O46" s="63">
        <f>IFERROR(__xludf.DUMMYFUNCTION("""COMPUTED_VALUE"""),231.0)</f>
        <v>231</v>
      </c>
      <c r="P46" s="64" t="str">
        <f t="array" ref="P46">INDEX(postDEL!$A$2:$AR1340,$O46,40)</f>
        <v>BEND517250</v>
      </c>
      <c r="Q46" s="64" t="str">
        <f t="array" ref="Q46">IF($N46&gt;1, INDEX(postDEL!$A$2:$AR1340,$O46+1,40),IFERROR(0/0,""))</f>
        <v/>
      </c>
      <c r="R46" s="64" t="str">
        <f t="array" ref="R46">IF($N46&gt;2, INDEX(postDEL!$A$2:$AR1340,$O46+2,40),IFERROR(0/0,""))</f>
        <v/>
      </c>
      <c r="S46" s="64" t="str">
        <f t="array" ref="S46">IF($N46&gt;3, INDEX(postDEL!$A$2:$AR1340,$O46+3,40),IFERROR(0/0,""))</f>
        <v/>
      </c>
      <c r="U46" s="10" t="b">
        <v>0</v>
      </c>
      <c r="V46" s="67" t="str">
        <f t="shared" si="3"/>
        <v>-</v>
      </c>
      <c r="W46" s="2" t="b">
        <v>1</v>
      </c>
      <c r="X46" s="2" t="b">
        <v>1</v>
      </c>
    </row>
    <row r="47">
      <c r="A47" s="54" t="str">
        <f>IFERROR(__xludf.DUMMYFUNCTION("""COMPUTED_VALUE"""),"MA1252")</f>
        <v>MA1252</v>
      </c>
      <c r="B47" s="52">
        <f>IFERROR(__xludf.DUMMYFUNCTION("""COMPUTED_VALUE"""),44580.0)</f>
        <v>44580</v>
      </c>
      <c r="C47" s="62">
        <f>IFERROR(__xludf.DUMMYFUNCTION("""COMPUTED_VALUE"""),0.4405208333333333)</f>
        <v>0.4405208333</v>
      </c>
      <c r="D47" s="54" t="str">
        <f>IFERROR(__xludf.DUMMYFUNCTION("""COMPUTED_VALUE"""),"SpBEND394154")</f>
        <v>SpBEND394154</v>
      </c>
      <c r="E47" s="54"/>
      <c r="F47" s="54"/>
      <c r="G47" s="54" t="str">
        <f>IFERROR(__xludf.DUMMYFUNCTION("""COMPUTED_VALUE"""),"Positive")</f>
        <v>Positive</v>
      </c>
      <c r="H47" s="54" t="str">
        <f>IFERROR(__xludf.DUMMYFUNCTION("""COMPUTED_VALUE"""),"Positive")</f>
        <v>Positive</v>
      </c>
      <c r="I47" s="52">
        <f>IFERROR(__xludf.DUMMYFUNCTION("""COMPUTED_VALUE"""),44580.0)</f>
        <v>44580</v>
      </c>
      <c r="J47" s="62">
        <f>IFERROR(__xludf.DUMMYFUNCTION("""COMPUTED_VALUE"""),0.5073726851851852)</f>
        <v>0.5073726852</v>
      </c>
      <c r="K47" s="63"/>
      <c r="L47" s="54"/>
      <c r="M47" s="54"/>
      <c r="N47" s="63">
        <f>IFERROR(__xludf.DUMMYFUNCTION("""COMPUTED_VALUE"""),1.0)</f>
        <v>1</v>
      </c>
      <c r="O47" s="63">
        <f>IFERROR(__xludf.DUMMYFUNCTION("""COMPUTED_VALUE"""),232.0)</f>
        <v>232</v>
      </c>
      <c r="P47" s="64" t="str">
        <f t="array" ref="P47">INDEX(postDEL!$A$2:$AR1340,$O47,40)</f>
        <v>BEND190541</v>
      </c>
      <c r="Q47" s="64" t="str">
        <f t="array" ref="Q47">IF($N47&gt;1, INDEX(postDEL!$A$2:$AR1340,$O47+1,40),IFERROR(0/0,""))</f>
        <v/>
      </c>
      <c r="R47" s="64" t="str">
        <f t="array" ref="R47">IF($N47&gt;2, INDEX(postDEL!$A$2:$AR1340,$O47+2,40),IFERROR(0/0,""))</f>
        <v/>
      </c>
      <c r="S47" s="64" t="str">
        <f t="array" ref="S47">IF($N47&gt;3, INDEX(postDEL!$A$2:$AR1340,$O47+3,40),IFERROR(0/0,""))</f>
        <v/>
      </c>
      <c r="U47" s="10" t="b">
        <v>0</v>
      </c>
      <c r="V47" s="67" t="str">
        <f t="shared" si="3"/>
        <v>1st</v>
      </c>
      <c r="W47" s="2" t="b">
        <v>1</v>
      </c>
      <c r="X47" s="2" t="b">
        <v>1</v>
      </c>
    </row>
    <row r="48">
      <c r="A48" s="54" t="str">
        <f>IFERROR(__xludf.DUMMYFUNCTION("""COMPUTED_VALUE"""),"MA278")</f>
        <v>MA278</v>
      </c>
      <c r="B48" s="52">
        <f>IFERROR(__xludf.DUMMYFUNCTION("""COMPUTED_VALUE"""),44581.0)</f>
        <v>44581</v>
      </c>
      <c r="C48" s="62">
        <f>IFERROR(__xludf.DUMMYFUNCTION("""COMPUTED_VALUE"""),0.31288194444444445)</f>
        <v>0.3128819444</v>
      </c>
      <c r="D48" s="54" t="str">
        <f>IFERROR(__xludf.DUMMYFUNCTION("""COMPUTED_VALUE"""),"SpBEND302553")</f>
        <v>SpBEND302553</v>
      </c>
      <c r="E48" s="54"/>
      <c r="F48" s="54"/>
      <c r="G48" s="54" t="str">
        <f>IFERROR(__xludf.DUMMYFUNCTION("""COMPUTED_VALUE"""),"Positive")</f>
        <v>Positive</v>
      </c>
      <c r="H48" s="54" t="str">
        <f>IFERROR(__xludf.DUMMYFUNCTION("""COMPUTED_VALUE"""),"Positive")</f>
        <v>Positive</v>
      </c>
      <c r="I48" s="52">
        <f>IFERROR(__xludf.DUMMYFUNCTION("""COMPUTED_VALUE"""),44582.0)</f>
        <v>44582</v>
      </c>
      <c r="J48" s="62">
        <f>IFERROR(__xludf.DUMMYFUNCTION("""COMPUTED_VALUE"""),0.4883912037037037)</f>
        <v>0.4883912037</v>
      </c>
      <c r="K48" s="63"/>
      <c r="L48" s="54"/>
      <c r="M48" s="54"/>
      <c r="N48" s="63">
        <f>IFERROR(__xludf.DUMMYFUNCTION("""COMPUTED_VALUE"""),1.0)</f>
        <v>1</v>
      </c>
      <c r="O48" s="63">
        <f>IFERROR(__xludf.DUMMYFUNCTION("""COMPUTED_VALUE"""),235.0)</f>
        <v>235</v>
      </c>
      <c r="P48" s="64" t="str">
        <f t="array" ref="P48">INDEX(postDEL!$A$2:$AR1340,$O48,40)</f>
        <v>BEND455768</v>
      </c>
      <c r="Q48" s="64" t="str">
        <f t="array" ref="Q48">IF($N48&gt;1, INDEX(postDEL!$A$2:$AR1340,$O48+1,40),IFERROR(0/0,""))</f>
        <v/>
      </c>
      <c r="R48" s="64" t="str">
        <f t="array" ref="R48">IF($N48&gt;2, INDEX(postDEL!$A$2:$AR1340,$O48+2,40),IFERROR(0/0,""))</f>
        <v/>
      </c>
      <c r="S48" s="64" t="str">
        <f t="array" ref="S48">IF($N48&gt;3, INDEX(postDEL!$A$2:$AR1340,$O48+3,40),IFERROR(0/0,""))</f>
        <v/>
      </c>
      <c r="U48" s="10" t="b">
        <v>0</v>
      </c>
      <c r="V48" s="67" t="b">
        <f t="shared" si="3"/>
        <v>1</v>
      </c>
      <c r="W48" s="2" t="b">
        <v>1</v>
      </c>
      <c r="X48" s="2" t="b">
        <v>1</v>
      </c>
    </row>
    <row r="49">
      <c r="A49" s="54" t="str">
        <f>IFERROR(__xludf.DUMMYFUNCTION("""COMPUTED_VALUE"""),"MAX80")</f>
        <v>MAX80</v>
      </c>
      <c r="B49" s="52">
        <f>IFERROR(__xludf.DUMMYFUNCTION("""COMPUTED_VALUE"""),44582.0)</f>
        <v>44582</v>
      </c>
      <c r="C49" s="62">
        <f>IFERROR(__xludf.DUMMYFUNCTION("""COMPUTED_VALUE"""),0.28474537037037034)</f>
        <v>0.2847453704</v>
      </c>
      <c r="D49" s="54" t="str">
        <f>IFERROR(__xludf.DUMMYFUNCTION("""COMPUTED_VALUE"""),"SpBEND845568")</f>
        <v>SpBEND845568</v>
      </c>
      <c r="E49" s="54"/>
      <c r="F49" s="54"/>
      <c r="G49" s="54" t="str">
        <f>IFERROR(__xludf.DUMMYFUNCTION("""COMPUTED_VALUE"""),"Positive")</f>
        <v>Positive</v>
      </c>
      <c r="H49" s="54" t="str">
        <f>IFERROR(__xludf.DUMMYFUNCTION("""COMPUTED_VALUE"""),"Positive")</f>
        <v>Positive</v>
      </c>
      <c r="I49" s="52">
        <f>IFERROR(__xludf.DUMMYFUNCTION("""COMPUTED_VALUE"""),44582.0)</f>
        <v>44582</v>
      </c>
      <c r="J49" s="62">
        <f>IFERROR(__xludf.DUMMYFUNCTION("""COMPUTED_VALUE"""),0.4884027777777778)</f>
        <v>0.4884027778</v>
      </c>
      <c r="K49" s="63"/>
      <c r="L49" s="54"/>
      <c r="M49" s="54"/>
      <c r="N49" s="63">
        <f>IFERROR(__xludf.DUMMYFUNCTION("""COMPUTED_VALUE"""),1.0)</f>
        <v>1</v>
      </c>
      <c r="O49" s="63">
        <f>IFERROR(__xludf.DUMMYFUNCTION("""COMPUTED_VALUE"""),237.0)</f>
        <v>237</v>
      </c>
      <c r="P49" s="64" t="str">
        <f t="array" ref="P49">INDEX(postDEL!$A$2:$AR1340,$O49,40)</f>
        <v>BEND601151</v>
      </c>
      <c r="Q49" s="64" t="str">
        <f t="array" ref="Q49">IF($N49&gt;1, INDEX(postDEL!$A$2:$AR1340,$O49+1,40),IFERROR(0/0,""))</f>
        <v/>
      </c>
      <c r="R49" s="64" t="str">
        <f t="array" ref="R49">IF($N49&gt;2, INDEX(postDEL!$A$2:$AR1340,$O49+2,40),IFERROR(0/0,""))</f>
        <v/>
      </c>
      <c r="S49" s="64" t="str">
        <f t="array" ref="S49">IF($N49&gt;3, INDEX(postDEL!$A$2:$AR1340,$O49+3,40),IFERROR(0/0,""))</f>
        <v/>
      </c>
      <c r="U49" s="10" t="b">
        <v>0</v>
      </c>
      <c r="V49" s="67" t="b">
        <f t="shared" si="3"/>
        <v>1</v>
      </c>
      <c r="W49" s="2" t="b">
        <v>1</v>
      </c>
      <c r="X49" s="2" t="b">
        <v>1</v>
      </c>
    </row>
    <row r="50">
      <c r="A50" s="54" t="str">
        <f>IFERROR(__xludf.DUMMYFUNCTION("""COMPUTED_VALUE"""),"MAX89")</f>
        <v>MAX89</v>
      </c>
      <c r="B50" s="52">
        <f>IFERROR(__xludf.DUMMYFUNCTION("""COMPUTED_VALUE"""),44582.0)</f>
        <v>44582</v>
      </c>
      <c r="C50" s="62">
        <f>IFERROR(__xludf.DUMMYFUNCTION("""COMPUTED_VALUE"""),0.28693287037037035)</f>
        <v>0.2869328704</v>
      </c>
      <c r="D50" s="54" t="str">
        <f>IFERROR(__xludf.DUMMYFUNCTION("""COMPUTED_VALUE"""),"SpBEND845568")</f>
        <v>SpBEND845568</v>
      </c>
      <c r="E50" s="54"/>
      <c r="F50" s="54"/>
      <c r="G50" s="54" t="str">
        <f>IFERROR(__xludf.DUMMYFUNCTION("""COMPUTED_VALUE"""),"Positive")</f>
        <v>Positive</v>
      </c>
      <c r="H50" s="54" t="str">
        <f>IFERROR(__xludf.DUMMYFUNCTION("""COMPUTED_VALUE"""),"Positive")</f>
        <v>Positive</v>
      </c>
      <c r="I50" s="52">
        <f>IFERROR(__xludf.DUMMYFUNCTION("""COMPUTED_VALUE"""),44582.0)</f>
        <v>44582</v>
      </c>
      <c r="J50" s="62">
        <f>IFERROR(__xludf.DUMMYFUNCTION("""COMPUTED_VALUE"""),0.4884027777777778)</f>
        <v>0.4884027778</v>
      </c>
      <c r="K50" s="63"/>
      <c r="L50" s="54"/>
      <c r="M50" s="54"/>
      <c r="N50" s="63">
        <f>IFERROR(__xludf.DUMMYFUNCTION("""COMPUTED_VALUE"""),1.0)</f>
        <v>1</v>
      </c>
      <c r="O50" s="63">
        <f>IFERROR(__xludf.DUMMYFUNCTION("""COMPUTED_VALUE"""),238.0)</f>
        <v>238</v>
      </c>
      <c r="P50" s="64" t="str">
        <f t="array" ref="P50">INDEX(postDEL!$A$2:$AR1340,$O50,40)</f>
        <v>BEND682107</v>
      </c>
      <c r="Q50" s="64" t="str">
        <f t="array" ref="Q50">IF($N50&gt;1, INDEX(postDEL!$A$2:$AR1340,$O50+1,40),IFERROR(0/0,""))</f>
        <v/>
      </c>
      <c r="R50" s="64" t="str">
        <f t="array" ref="R50">IF($N50&gt;2, INDEX(postDEL!$A$2:$AR1340,$O50+2,40),IFERROR(0/0,""))</f>
        <v/>
      </c>
      <c r="S50" s="64" t="str">
        <f t="array" ref="S50">IF($N50&gt;3, INDEX(postDEL!$A$2:$AR1340,$O50+3,40),IFERROR(0/0,""))</f>
        <v/>
      </c>
      <c r="U50" s="10" t="b">
        <v>0</v>
      </c>
      <c r="V50" s="67" t="str">
        <f t="shared" si="3"/>
        <v>1st</v>
      </c>
      <c r="W50" s="2" t="b">
        <v>1</v>
      </c>
      <c r="X50" s="2" t="b">
        <v>1</v>
      </c>
    </row>
    <row r="51">
      <c r="A51" s="54" t="str">
        <f>IFERROR(__xludf.DUMMYFUNCTION("""COMPUTED_VALUE"""),"MA1047")</f>
        <v>MA1047</v>
      </c>
      <c r="B51" s="52">
        <f>IFERROR(__xludf.DUMMYFUNCTION("""COMPUTED_VALUE"""),44582.0)</f>
        <v>44582</v>
      </c>
      <c r="C51" s="62">
        <f>IFERROR(__xludf.DUMMYFUNCTION("""COMPUTED_VALUE"""),0.3526388888888889)</f>
        <v>0.3526388889</v>
      </c>
      <c r="D51" s="54" t="str">
        <f>IFERROR(__xludf.DUMMYFUNCTION("""COMPUTED_VALUE"""),"SpBEND708976")</f>
        <v>SpBEND708976</v>
      </c>
      <c r="E51" s="54"/>
      <c r="F51" s="54"/>
      <c r="G51" s="54" t="str">
        <f>IFERROR(__xludf.DUMMYFUNCTION("""COMPUTED_VALUE"""),"Positive")</f>
        <v>Positive</v>
      </c>
      <c r="H51" s="54" t="str">
        <f>IFERROR(__xludf.DUMMYFUNCTION("""COMPUTED_VALUE"""),"Positive")</f>
        <v>Positive</v>
      </c>
      <c r="I51" s="52">
        <f>IFERROR(__xludf.DUMMYFUNCTION("""COMPUTED_VALUE"""),44582.0)</f>
        <v>44582</v>
      </c>
      <c r="J51" s="62">
        <f>IFERROR(__xludf.DUMMYFUNCTION("""COMPUTED_VALUE"""),0.4884027777777778)</f>
        <v>0.4884027778</v>
      </c>
      <c r="K51" s="63"/>
      <c r="L51" s="54"/>
      <c r="M51" s="54"/>
      <c r="N51" s="63">
        <f>IFERROR(__xludf.DUMMYFUNCTION("""COMPUTED_VALUE"""),1.0)</f>
        <v>1</v>
      </c>
      <c r="O51" s="63">
        <f>IFERROR(__xludf.DUMMYFUNCTION("""COMPUTED_VALUE"""),245.0)</f>
        <v>245</v>
      </c>
      <c r="P51" s="64" t="str">
        <f t="array" ref="P51">INDEX(postDEL!$A$2:$AR1340,$O51,40)</f>
        <v>BEND525784</v>
      </c>
      <c r="Q51" s="64" t="str">
        <f t="array" ref="Q51">IF($N51&gt;1, INDEX(postDEL!$A$2:$AR1340,$O51+1,40),IFERROR(0/0,""))</f>
        <v/>
      </c>
      <c r="R51" s="64" t="str">
        <f t="array" ref="R51">IF($N51&gt;2, INDEX(postDEL!$A$2:$AR1340,$O51+2,40),IFERROR(0/0,""))</f>
        <v/>
      </c>
      <c r="S51" s="64" t="str">
        <f t="array" ref="S51">IF($N51&gt;3, INDEX(postDEL!$A$2:$AR1340,$O51+3,40),IFERROR(0/0,""))</f>
        <v/>
      </c>
      <c r="U51" s="10" t="b">
        <v>0</v>
      </c>
      <c r="V51" s="67" t="b">
        <f t="shared" si="3"/>
        <v>1</v>
      </c>
      <c r="W51" s="2" t="b">
        <v>1</v>
      </c>
      <c r="X51" s="2" t="b">
        <v>1</v>
      </c>
    </row>
    <row r="52">
      <c r="A52" s="54" t="str">
        <f>IFERROR(__xludf.DUMMYFUNCTION("""COMPUTED_VALUE"""),"MA305")</f>
        <v>MA305</v>
      </c>
      <c r="B52" s="52">
        <f>IFERROR(__xludf.DUMMYFUNCTION("""COMPUTED_VALUE"""),44582.0)</f>
        <v>44582</v>
      </c>
      <c r="C52" s="62">
        <f>IFERROR(__xludf.DUMMYFUNCTION("""COMPUTED_VALUE"""),0.39038194444444446)</f>
        <v>0.3903819444</v>
      </c>
      <c r="D52" s="54" t="str">
        <f>IFERROR(__xludf.DUMMYFUNCTION("""COMPUTED_VALUE"""),"SpBEND394154")</f>
        <v>SpBEND394154</v>
      </c>
      <c r="E52" s="54"/>
      <c r="F52" s="54"/>
      <c r="G52" s="54" t="str">
        <f>IFERROR(__xludf.DUMMYFUNCTION("""COMPUTED_VALUE"""),"Positive")</f>
        <v>Positive</v>
      </c>
      <c r="H52" s="54" t="str">
        <f>IFERROR(__xludf.DUMMYFUNCTION("""COMPUTED_VALUE"""),"Positive")</f>
        <v>Positive</v>
      </c>
      <c r="I52" s="52">
        <f>IFERROR(__xludf.DUMMYFUNCTION("""COMPUTED_VALUE"""),44582.0)</f>
        <v>44582</v>
      </c>
      <c r="J52" s="62">
        <f>IFERROR(__xludf.DUMMYFUNCTION("""COMPUTED_VALUE"""),0.4884027777777778)</f>
        <v>0.4884027778</v>
      </c>
      <c r="K52" s="63"/>
      <c r="L52" s="54"/>
      <c r="M52" s="54"/>
      <c r="N52" s="63">
        <f>IFERROR(__xludf.DUMMYFUNCTION("""COMPUTED_VALUE"""),1.0)</f>
        <v>1</v>
      </c>
      <c r="O52" s="63">
        <f>IFERROR(__xludf.DUMMYFUNCTION("""COMPUTED_VALUE"""),246.0)</f>
        <v>246</v>
      </c>
      <c r="P52" s="64" t="str">
        <f t="array" ref="P52">INDEX(postDEL!$A$2:$AR1340,$O52,40)</f>
        <v>BEND281899</v>
      </c>
      <c r="Q52" s="64" t="str">
        <f t="array" ref="Q52">IF($N52&gt;1, INDEX(postDEL!$A$2:$AR1340,$O52+1,40),IFERROR(0/0,""))</f>
        <v/>
      </c>
      <c r="R52" s="64" t="str">
        <f t="array" ref="R52">IF($N52&gt;2, INDEX(postDEL!$A$2:$AR1340,$O52+2,40),IFERROR(0/0,""))</f>
        <v/>
      </c>
      <c r="S52" s="64" t="str">
        <f t="array" ref="S52">IF($N52&gt;3, INDEX(postDEL!$A$2:$AR1340,$O52+3,40),IFERROR(0/0,""))</f>
        <v/>
      </c>
      <c r="U52" s="10" t="b">
        <v>0</v>
      </c>
      <c r="V52" s="67" t="str">
        <f t="shared" si="3"/>
        <v>-</v>
      </c>
      <c r="W52" s="2" t="b">
        <v>1</v>
      </c>
      <c r="X52" s="2" t="b">
        <v>1</v>
      </c>
    </row>
    <row r="53">
      <c r="A53" s="54" t="str">
        <f>IFERROR(__xludf.DUMMYFUNCTION("""COMPUTED_VALUE"""),"MA337")</f>
        <v>MA337</v>
      </c>
      <c r="B53" s="52">
        <f>IFERROR(__xludf.DUMMYFUNCTION("""COMPUTED_VALUE"""),44582.0)</f>
        <v>44582</v>
      </c>
      <c r="C53" s="62">
        <f>IFERROR(__xludf.DUMMYFUNCTION("""COMPUTED_VALUE"""),0.39101851851851854)</f>
        <v>0.3910185185</v>
      </c>
      <c r="D53" s="54" t="str">
        <f>IFERROR(__xludf.DUMMYFUNCTION("""COMPUTED_VALUE"""),"SpBEND394154")</f>
        <v>SpBEND394154</v>
      </c>
      <c r="E53" s="54"/>
      <c r="F53" s="54"/>
      <c r="G53" s="54" t="str">
        <f>IFERROR(__xludf.DUMMYFUNCTION("""COMPUTED_VALUE"""),"Positive")</f>
        <v>Positive</v>
      </c>
      <c r="H53" s="54" t="str">
        <f>IFERROR(__xludf.DUMMYFUNCTION("""COMPUTED_VALUE"""),"Positive")</f>
        <v>Positive</v>
      </c>
      <c r="I53" s="52">
        <f>IFERROR(__xludf.DUMMYFUNCTION("""COMPUTED_VALUE"""),44582.0)</f>
        <v>44582</v>
      </c>
      <c r="J53" s="62">
        <f>IFERROR(__xludf.DUMMYFUNCTION("""COMPUTED_VALUE"""),0.4884027777777778)</f>
        <v>0.4884027778</v>
      </c>
      <c r="K53" s="63"/>
      <c r="L53" s="54"/>
      <c r="M53" s="54"/>
      <c r="N53" s="63">
        <f>IFERROR(__xludf.DUMMYFUNCTION("""COMPUTED_VALUE"""),1.0)</f>
        <v>1</v>
      </c>
      <c r="O53" s="63">
        <f>IFERROR(__xludf.DUMMYFUNCTION("""COMPUTED_VALUE"""),247.0)</f>
        <v>247</v>
      </c>
      <c r="P53" s="64" t="str">
        <f t="array" ref="P53">INDEX(postDEL!$A$2:$AR1340,$O53,40)</f>
        <v>BEND688166</v>
      </c>
      <c r="Q53" s="64" t="str">
        <f t="array" ref="Q53">IF($N53&gt;1, INDEX(postDEL!$A$2:$AR1340,$O53+1,40),IFERROR(0/0,""))</f>
        <v/>
      </c>
      <c r="R53" s="64" t="str">
        <f t="array" ref="R53">IF($N53&gt;2, INDEX(postDEL!$A$2:$AR1340,$O53+2,40),IFERROR(0/0,""))</f>
        <v/>
      </c>
      <c r="S53" s="64" t="str">
        <f t="array" ref="S53">IF($N53&gt;3, INDEX(postDEL!$A$2:$AR1340,$O53+3,40),IFERROR(0/0,""))</f>
        <v/>
      </c>
      <c r="U53" s="10" t="b">
        <v>0</v>
      </c>
      <c r="V53" s="67" t="str">
        <f t="shared" si="3"/>
        <v>-</v>
      </c>
      <c r="W53" s="2" t="b">
        <v>1</v>
      </c>
      <c r="X53" s="2" t="b">
        <v>1</v>
      </c>
    </row>
    <row r="54">
      <c r="A54" s="54" t="str">
        <f>IFERROR(__xludf.DUMMYFUNCTION("""COMPUTED_VALUE"""),"MA337A")</f>
        <v>MA337A</v>
      </c>
      <c r="B54" s="52">
        <f>IFERROR(__xludf.DUMMYFUNCTION("""COMPUTED_VALUE"""),44582.0)</f>
        <v>44582</v>
      </c>
      <c r="C54" s="62">
        <f>IFERROR(__xludf.DUMMYFUNCTION("""COMPUTED_VALUE"""),0.39101851851851854)</f>
        <v>0.3910185185</v>
      </c>
      <c r="D54" s="54" t="str">
        <f>IFERROR(__xludf.DUMMYFUNCTION("""COMPUTED_VALUE"""),"SpBEND394154")</f>
        <v>SpBEND394154</v>
      </c>
      <c r="E54" s="54"/>
      <c r="F54" s="54"/>
      <c r="G54" s="54" t="str">
        <f>IFERROR(__xludf.DUMMYFUNCTION("""COMPUTED_VALUE"""),"Positive")</f>
        <v>Positive</v>
      </c>
      <c r="H54" s="54" t="str">
        <f>IFERROR(__xludf.DUMMYFUNCTION("""COMPUTED_VALUE"""),"Positive")</f>
        <v>Positive</v>
      </c>
      <c r="I54" s="52">
        <f>IFERROR(__xludf.DUMMYFUNCTION("""COMPUTED_VALUE"""),44582.0)</f>
        <v>44582</v>
      </c>
      <c r="J54" s="62">
        <f>IFERROR(__xludf.DUMMYFUNCTION("""COMPUTED_VALUE"""),0.4884027777777778)</f>
        <v>0.4884027778</v>
      </c>
      <c r="K54" s="63"/>
      <c r="L54" s="54" t="str">
        <f>IFERROR(__xludf.DUMMYFUNCTION("""COMPUTED_VALUE"""),"Duplicate Tube ID has been split into a separate tube but this may be a pure duplication - it is a positive Tube, so we need to give this close scrutiny.  Typically if the Participants in a duplicate Tube ID don't appear in any other tube that day, the Tu"&amp;"be is assumed to be a different Tube and assigned an ""x"" (correction code 1.3).  But this typically does not happen with a Positive Tube.")</f>
        <v>Duplicate Tube ID has been split into a separate tube but this may be a pure duplication - it is a positive Tube, so we need to give this close scrutiny.  Typically if the Participants in a duplicate Tube ID don't appear in any other tube that day, the Tube is assumed to be a different Tube and assigned an "x" (correction code 1.3).  But this typically does not happen with a Positive Tube.</v>
      </c>
      <c r="M54" s="54"/>
      <c r="N54" s="63">
        <f>IFERROR(__xludf.DUMMYFUNCTION("""COMPUTED_VALUE"""),1.0)</f>
        <v>1</v>
      </c>
      <c r="O54" s="63">
        <f>IFERROR(__xludf.DUMMYFUNCTION("""COMPUTED_VALUE"""),248.0)</f>
        <v>248</v>
      </c>
      <c r="P54" s="64" t="str">
        <f t="array" ref="P54">INDEX(postDEL!$A$2:$AR1340,$O54,40)</f>
        <v>BEND304589</v>
      </c>
      <c r="Q54" s="64" t="str">
        <f t="array" ref="Q54">IF($N54&gt;1, INDEX(postDEL!$A$2:$AR1340,$O54+1,40),IFERROR(0/0,""))</f>
        <v/>
      </c>
      <c r="R54" s="64" t="str">
        <f t="array" ref="R54">IF($N54&gt;2, INDEX(postDEL!$A$2:$AR1340,$O54+2,40),IFERROR(0/0,""))</f>
        <v/>
      </c>
      <c r="S54" s="64" t="str">
        <f t="array" ref="S54">IF($N54&gt;3, INDEX(postDEL!$A$2:$AR1340,$O54+3,40),IFERROR(0/0,""))</f>
        <v/>
      </c>
      <c r="U54" s="10" t="b">
        <v>0</v>
      </c>
      <c r="V54" s="67" t="b">
        <f t="shared" si="3"/>
        <v>1</v>
      </c>
      <c r="W54" s="2" t="b">
        <v>1</v>
      </c>
      <c r="X54" s="2" t="b">
        <v>1</v>
      </c>
    </row>
    <row r="55">
      <c r="A55" s="54" t="str">
        <f>IFERROR(__xludf.DUMMYFUNCTION("""COMPUTED_VALUE"""),"MAX141")</f>
        <v>MAX141</v>
      </c>
      <c r="B55" s="52">
        <f>IFERROR(__xludf.DUMMYFUNCTION("""COMPUTED_VALUE"""),44582.0)</f>
        <v>44582</v>
      </c>
      <c r="C55" s="62">
        <f>IFERROR(__xludf.DUMMYFUNCTION("""COMPUTED_VALUE"""),0.3978009259259259)</f>
        <v>0.3978009259</v>
      </c>
      <c r="D55" s="54" t="str">
        <f>IFERROR(__xludf.DUMMYFUNCTION("""COMPUTED_VALUE"""),"SpBEND980783")</f>
        <v>SpBEND980783</v>
      </c>
      <c r="E55" s="54"/>
      <c r="F55" s="54"/>
      <c r="G55" s="54" t="str">
        <f>IFERROR(__xludf.DUMMYFUNCTION("""COMPUTED_VALUE"""),"Positive")</f>
        <v>Positive</v>
      </c>
      <c r="H55" s="54" t="str">
        <f>IFERROR(__xludf.DUMMYFUNCTION("""COMPUTED_VALUE"""),"Positive")</f>
        <v>Positive</v>
      </c>
      <c r="I55" s="52">
        <f>IFERROR(__xludf.DUMMYFUNCTION("""COMPUTED_VALUE"""),44582.0)</f>
        <v>44582</v>
      </c>
      <c r="J55" s="62">
        <f>IFERROR(__xludf.DUMMYFUNCTION("""COMPUTED_VALUE"""),0.4884027777777778)</f>
        <v>0.4884027778</v>
      </c>
      <c r="K55" s="63"/>
      <c r="L55" s="54"/>
      <c r="M55" s="54"/>
      <c r="N55" s="63">
        <f>IFERROR(__xludf.DUMMYFUNCTION("""COMPUTED_VALUE"""),1.0)</f>
        <v>1</v>
      </c>
      <c r="O55" s="63">
        <f>IFERROR(__xludf.DUMMYFUNCTION("""COMPUTED_VALUE"""),249.0)</f>
        <v>249</v>
      </c>
      <c r="P55" s="64" t="str">
        <f t="array" ref="P55">INDEX(postDEL!$A$2:$AR1340,$O55,40)</f>
        <v>BEND162474</v>
      </c>
      <c r="Q55" s="64" t="str">
        <f t="array" ref="Q55">IF($N55&gt;1, INDEX(postDEL!$A$2:$AR1340,$O55+1,40),IFERROR(0/0,""))</f>
        <v/>
      </c>
      <c r="R55" s="64" t="str">
        <f t="array" ref="R55">IF($N55&gt;2, INDEX(postDEL!$A$2:$AR1340,$O55+2,40),IFERROR(0/0,""))</f>
        <v/>
      </c>
      <c r="S55" s="64" t="str">
        <f t="array" ref="S55">IF($N55&gt;3, INDEX(postDEL!$A$2:$AR1340,$O55+3,40),IFERROR(0/0,""))</f>
        <v/>
      </c>
      <c r="U55" s="10" t="b">
        <v>0</v>
      </c>
      <c r="V55" s="67" t="str">
        <f t="shared" si="3"/>
        <v>-</v>
      </c>
      <c r="W55" s="2" t="b">
        <v>1</v>
      </c>
      <c r="X55" s="2" t="b">
        <v>1</v>
      </c>
    </row>
    <row r="56">
      <c r="A56" s="54" t="str">
        <f>IFERROR(__xludf.DUMMYFUNCTION("""COMPUTED_VALUE"""),"MA1068")</f>
        <v>MA1068</v>
      </c>
      <c r="B56" s="52">
        <f>IFERROR(__xludf.DUMMYFUNCTION("""COMPUTED_VALUE"""),44585.0)</f>
        <v>44585</v>
      </c>
      <c r="C56" s="62">
        <f>IFERROR(__xludf.DUMMYFUNCTION("""COMPUTED_VALUE"""),0.3030555555555556)</f>
        <v>0.3030555556</v>
      </c>
      <c r="D56" s="54" t="str">
        <f>IFERROR(__xludf.DUMMYFUNCTION("""COMPUTED_VALUE"""),"SpBEND652059")</f>
        <v>SpBEND652059</v>
      </c>
      <c r="E56" s="54"/>
      <c r="F56" s="54"/>
      <c r="G56" s="54" t="str">
        <f>IFERROR(__xludf.DUMMYFUNCTION("""COMPUTED_VALUE"""),"Positive")</f>
        <v>Positive</v>
      </c>
      <c r="H56" s="54" t="str">
        <f>IFERROR(__xludf.DUMMYFUNCTION("""COMPUTED_VALUE"""),"Positive")</f>
        <v>Positive</v>
      </c>
      <c r="I56" s="52">
        <f>IFERROR(__xludf.DUMMYFUNCTION("""COMPUTED_VALUE"""),44587.0)</f>
        <v>44587</v>
      </c>
      <c r="J56" s="62">
        <f>IFERROR(__xludf.DUMMYFUNCTION("""COMPUTED_VALUE"""),0.5008796296296296)</f>
        <v>0.5008796296</v>
      </c>
      <c r="K56" s="63"/>
      <c r="L56" s="54"/>
      <c r="M56" s="54"/>
      <c r="N56" s="63">
        <f>IFERROR(__xludf.DUMMYFUNCTION("""COMPUTED_VALUE"""),1.0)</f>
        <v>1</v>
      </c>
      <c r="O56" s="63">
        <f>IFERROR(__xludf.DUMMYFUNCTION("""COMPUTED_VALUE"""),252.0)</f>
        <v>252</v>
      </c>
      <c r="P56" s="64" t="str">
        <f t="array" ref="P56">INDEX(postDEL!$A$2:$AR1340,$O56,40)</f>
        <v>BEND567653</v>
      </c>
      <c r="Q56" s="64" t="str">
        <f t="array" ref="Q56">IF($N56&gt;1, INDEX(postDEL!$A$2:$AR1340,$O56+1,40),IFERROR(0/0,""))</f>
        <v/>
      </c>
      <c r="R56" s="64" t="str">
        <f t="array" ref="R56">IF($N56&gt;2, INDEX(postDEL!$A$2:$AR1340,$O56+2,40),IFERROR(0/0,""))</f>
        <v/>
      </c>
      <c r="S56" s="64" t="str">
        <f t="array" ref="S56">IF($N56&gt;3, INDEX(postDEL!$A$2:$AR1340,$O56+3,40),IFERROR(0/0,""))</f>
        <v/>
      </c>
      <c r="U56" s="10" t="b">
        <v>0</v>
      </c>
      <c r="V56" s="67" t="str">
        <f t="shared" si="3"/>
        <v>-</v>
      </c>
      <c r="W56" s="2" t="b">
        <v>1</v>
      </c>
      <c r="X56" s="2" t="b">
        <v>1</v>
      </c>
    </row>
    <row r="57">
      <c r="A57" s="54" t="str">
        <f>IFERROR(__xludf.DUMMYFUNCTION("""COMPUTED_VALUE"""),"MA545")</f>
        <v>MA545</v>
      </c>
      <c r="B57" s="52">
        <f>IFERROR(__xludf.DUMMYFUNCTION("""COMPUTED_VALUE"""),44585.0)</f>
        <v>44585</v>
      </c>
      <c r="C57" s="62">
        <f>IFERROR(__xludf.DUMMYFUNCTION("""COMPUTED_VALUE"""),0.3420949074074074)</f>
        <v>0.3420949074</v>
      </c>
      <c r="D57" s="54" t="str">
        <f>IFERROR(__xludf.DUMMYFUNCTION("""COMPUTED_VALUE"""),"SpBEND767550")</f>
        <v>SpBEND767550</v>
      </c>
      <c r="E57" s="54"/>
      <c r="F57" s="54"/>
      <c r="G57" s="54" t="str">
        <f>IFERROR(__xludf.DUMMYFUNCTION("""COMPUTED_VALUE"""),"Positive")</f>
        <v>Positive</v>
      </c>
      <c r="H57" s="54" t="str">
        <f>IFERROR(__xludf.DUMMYFUNCTION("""COMPUTED_VALUE"""),"Positive")</f>
        <v>Positive</v>
      </c>
      <c r="I57" s="52">
        <f>IFERROR(__xludf.DUMMYFUNCTION("""COMPUTED_VALUE"""),44587.0)</f>
        <v>44587</v>
      </c>
      <c r="J57" s="62">
        <f>IFERROR(__xludf.DUMMYFUNCTION("""COMPUTED_VALUE"""),0.5008796296296296)</f>
        <v>0.5008796296</v>
      </c>
      <c r="K57" s="63"/>
      <c r="L57" s="54"/>
      <c r="M57" s="54"/>
      <c r="N57" s="63">
        <f>IFERROR(__xludf.DUMMYFUNCTION("""COMPUTED_VALUE"""),1.0)</f>
        <v>1</v>
      </c>
      <c r="O57" s="63">
        <f>IFERROR(__xludf.DUMMYFUNCTION("""COMPUTED_VALUE"""),260.0)</f>
        <v>260</v>
      </c>
      <c r="P57" s="64" t="str">
        <f t="array" ref="P57">INDEX(postDEL!$A$2:$AR1340,$O57,40)</f>
        <v>BEND245933</v>
      </c>
      <c r="Q57" s="64" t="str">
        <f t="array" ref="Q57">IF($N57&gt;1, INDEX(postDEL!$A$2:$AR1340,$O57+1,40),IFERROR(0/0,""))</f>
        <v/>
      </c>
      <c r="R57" s="64" t="str">
        <f t="array" ref="R57">IF($N57&gt;2, INDEX(postDEL!$A$2:$AR1340,$O57+2,40),IFERROR(0/0,""))</f>
        <v/>
      </c>
      <c r="S57" s="64" t="str">
        <f t="array" ref="S57">IF($N57&gt;3, INDEX(postDEL!$A$2:$AR1340,$O57+3,40),IFERROR(0/0,""))</f>
        <v/>
      </c>
      <c r="U57" s="10" t="b">
        <v>0</v>
      </c>
      <c r="V57" s="67" t="b">
        <f t="shared" si="3"/>
        <v>1</v>
      </c>
      <c r="W57" s="2" t="b">
        <v>1</v>
      </c>
      <c r="X57" s="2" t="b">
        <v>1</v>
      </c>
    </row>
    <row r="58">
      <c r="A58" s="54" t="str">
        <f>IFERROR(__xludf.DUMMYFUNCTION("""COMPUTED_VALUE"""),"MA1011")</f>
        <v>MA1011</v>
      </c>
      <c r="B58" s="52">
        <f>IFERROR(__xludf.DUMMYFUNCTION("""COMPUTED_VALUE"""),44585.0)</f>
        <v>44585</v>
      </c>
      <c r="C58" s="62">
        <f>IFERROR(__xludf.DUMMYFUNCTION("""COMPUTED_VALUE"""),0.38686342592592593)</f>
        <v>0.3868634259</v>
      </c>
      <c r="D58" s="54" t="str">
        <f>IFERROR(__xludf.DUMMYFUNCTION("""COMPUTED_VALUE"""),"SpBEND394154")</f>
        <v>SpBEND394154</v>
      </c>
      <c r="E58" s="54"/>
      <c r="F58" s="54"/>
      <c r="G58" s="54" t="str">
        <f>IFERROR(__xludf.DUMMYFUNCTION("""COMPUTED_VALUE"""),"Positive")</f>
        <v>Positive</v>
      </c>
      <c r="H58" s="54" t="str">
        <f>IFERROR(__xludf.DUMMYFUNCTION("""COMPUTED_VALUE"""),"Positive")</f>
        <v>Positive</v>
      </c>
      <c r="I58" s="52">
        <f>IFERROR(__xludf.DUMMYFUNCTION("""COMPUTED_VALUE"""),44587.0)</f>
        <v>44587</v>
      </c>
      <c r="J58" s="62">
        <f>IFERROR(__xludf.DUMMYFUNCTION("""COMPUTED_VALUE"""),0.5008796296296296)</f>
        <v>0.5008796296</v>
      </c>
      <c r="K58" s="63"/>
      <c r="L58" s="54"/>
      <c r="M58" s="54"/>
      <c r="N58" s="63">
        <f>IFERROR(__xludf.DUMMYFUNCTION("""COMPUTED_VALUE"""),1.0)</f>
        <v>1</v>
      </c>
      <c r="O58" s="63">
        <f>IFERROR(__xludf.DUMMYFUNCTION("""COMPUTED_VALUE"""),262.0)</f>
        <v>262</v>
      </c>
      <c r="P58" s="64" t="str">
        <f t="array" ref="P58">INDEX(postDEL!$A$2:$AR1340,$O58,40)</f>
        <v>BEND190541</v>
      </c>
      <c r="Q58" s="64" t="str">
        <f t="array" ref="Q58">IF($N58&gt;1, INDEX(postDEL!$A$2:$AR1340,$O58+1,40),IFERROR(0/0,""))</f>
        <v/>
      </c>
      <c r="R58" s="64" t="str">
        <f t="array" ref="R58">IF($N58&gt;2, INDEX(postDEL!$A$2:$AR1340,$O58+2,40),IFERROR(0/0,""))</f>
        <v/>
      </c>
      <c r="S58" s="64" t="str">
        <f t="array" ref="S58">IF($N58&gt;3, INDEX(postDEL!$A$2:$AR1340,$O58+3,40),IFERROR(0/0,""))</f>
        <v/>
      </c>
      <c r="U58" s="10" t="b">
        <v>0</v>
      </c>
      <c r="V58" s="67" t="b">
        <f t="shared" si="3"/>
        <v>1</v>
      </c>
      <c r="W58" s="2" t="b">
        <v>1</v>
      </c>
      <c r="X58" s="2" t="b">
        <v>1</v>
      </c>
    </row>
    <row r="59">
      <c r="A59" s="54" t="str">
        <f>IFERROR(__xludf.DUMMYFUNCTION("""COMPUTED_VALUE"""),"MA598")</f>
        <v>MA598</v>
      </c>
      <c r="B59" s="52">
        <f>IFERROR(__xludf.DUMMYFUNCTION("""COMPUTED_VALUE"""),44585.0)</f>
        <v>44585</v>
      </c>
      <c r="C59" s="62">
        <f>IFERROR(__xludf.DUMMYFUNCTION("""COMPUTED_VALUE"""),0.38797453703703705)</f>
        <v>0.387974537</v>
      </c>
      <c r="D59" s="54" t="str">
        <f>IFERROR(__xludf.DUMMYFUNCTION("""COMPUTED_VALUE"""),"SpBEND394154")</f>
        <v>SpBEND394154</v>
      </c>
      <c r="E59" s="54"/>
      <c r="F59" s="54"/>
      <c r="G59" s="54" t="str">
        <f>IFERROR(__xludf.DUMMYFUNCTION("""COMPUTED_VALUE"""),"Positive")</f>
        <v>Positive</v>
      </c>
      <c r="H59" s="54" t="str">
        <f>IFERROR(__xludf.DUMMYFUNCTION("""COMPUTED_VALUE"""),"Positive")</f>
        <v>Positive</v>
      </c>
      <c r="I59" s="52">
        <f>IFERROR(__xludf.DUMMYFUNCTION("""COMPUTED_VALUE"""),44587.0)</f>
        <v>44587</v>
      </c>
      <c r="J59" s="62">
        <f>IFERROR(__xludf.DUMMYFUNCTION("""COMPUTED_VALUE"""),0.5008796296296296)</f>
        <v>0.5008796296</v>
      </c>
      <c r="K59" s="63"/>
      <c r="L59" s="54"/>
      <c r="M59" s="54"/>
      <c r="N59" s="63">
        <f>IFERROR(__xludf.DUMMYFUNCTION("""COMPUTED_VALUE"""),1.0)</f>
        <v>1</v>
      </c>
      <c r="O59" s="63">
        <f>IFERROR(__xludf.DUMMYFUNCTION("""COMPUTED_VALUE"""),263.0)</f>
        <v>263</v>
      </c>
      <c r="P59" s="64" t="str">
        <f t="array" ref="P59">INDEX(postDEL!$A$2:$AR1340,$O59,40)</f>
        <v>BEND714296</v>
      </c>
      <c r="Q59" s="64" t="str">
        <f t="array" ref="Q59">IF($N59&gt;1, INDEX(postDEL!$A$2:$AR1340,$O59+1,40),IFERROR(0/0,""))</f>
        <v/>
      </c>
      <c r="R59" s="64" t="str">
        <f t="array" ref="R59">IF($N59&gt;2, INDEX(postDEL!$A$2:$AR1340,$O59+2,40),IFERROR(0/0,""))</f>
        <v/>
      </c>
      <c r="S59" s="64" t="str">
        <f t="array" ref="S59">IF($N59&gt;3, INDEX(postDEL!$A$2:$AR1340,$O59+3,40),IFERROR(0/0,""))</f>
        <v/>
      </c>
      <c r="U59" s="10" t="b">
        <v>0</v>
      </c>
      <c r="V59" s="67" t="str">
        <f t="shared" si="3"/>
        <v>-</v>
      </c>
      <c r="W59" s="2" t="b">
        <v>1</v>
      </c>
      <c r="X59" s="2" t="b">
        <v>1</v>
      </c>
    </row>
    <row r="60">
      <c r="A60" s="54" t="str">
        <f>IFERROR(__xludf.DUMMYFUNCTION("""COMPUTED_VALUE"""),"MA310")</f>
        <v>MA310</v>
      </c>
      <c r="B60" s="52">
        <f>IFERROR(__xludf.DUMMYFUNCTION("""COMPUTED_VALUE"""),44594.0)</f>
        <v>44594</v>
      </c>
      <c r="C60" s="62">
        <f>IFERROR(__xludf.DUMMYFUNCTION("""COMPUTED_VALUE"""),0.3244675925925926)</f>
        <v>0.3244675926</v>
      </c>
      <c r="D60" s="54" t="str">
        <f>IFERROR(__xludf.DUMMYFUNCTION("""COMPUTED_VALUE"""),"SpBEND548976")</f>
        <v>SpBEND548976</v>
      </c>
      <c r="E60" s="54"/>
      <c r="F60" s="54"/>
      <c r="G60" s="54" t="str">
        <f>IFERROR(__xludf.DUMMYFUNCTION("""COMPUTED_VALUE"""),"Positive")</f>
        <v>Positive</v>
      </c>
      <c r="H60" s="54" t="str">
        <f>IFERROR(__xludf.DUMMYFUNCTION("""COMPUTED_VALUE"""),"Positive")</f>
        <v>Positive</v>
      </c>
      <c r="I60" s="52">
        <f>IFERROR(__xludf.DUMMYFUNCTION("""COMPUTED_VALUE"""),44594.0)</f>
        <v>44594</v>
      </c>
      <c r="J60" s="62">
        <f>IFERROR(__xludf.DUMMYFUNCTION("""COMPUTED_VALUE"""),0.48358796296296297)</f>
        <v>0.483587963</v>
      </c>
      <c r="K60" s="63"/>
      <c r="L60" s="54"/>
      <c r="M60" s="54"/>
      <c r="N60" s="63">
        <f>IFERROR(__xludf.DUMMYFUNCTION("""COMPUTED_VALUE"""),1.0)</f>
        <v>1</v>
      </c>
      <c r="O60" s="63">
        <f>IFERROR(__xludf.DUMMYFUNCTION("""COMPUTED_VALUE"""),296.0)</f>
        <v>296</v>
      </c>
      <c r="P60" s="64" t="str">
        <f t="array" ref="P60">INDEX(postDEL!$A$2:$AR1340,$O60,40)</f>
        <v>BEND704851</v>
      </c>
      <c r="Q60" s="64" t="str">
        <f t="array" ref="Q60">IF($N60&gt;1, INDEX(postDEL!$A$2:$AR1340,$O60+1,40),IFERROR(0/0,""))</f>
        <v/>
      </c>
      <c r="R60" s="64" t="str">
        <f t="array" ref="R60">IF($N60&gt;2, INDEX(postDEL!$A$2:$AR1340,$O60+2,40),IFERROR(0/0,""))</f>
        <v/>
      </c>
      <c r="S60" s="64" t="str">
        <f t="array" ref="S60">IF($N60&gt;3, INDEX(postDEL!$A$2:$AR1340,$O60+3,40),IFERROR(0/0,""))</f>
        <v/>
      </c>
      <c r="U60" s="10" t="b">
        <v>0</v>
      </c>
      <c r="V60" s="65" t="s">
        <v>180</v>
      </c>
      <c r="W60" s="2" t="b">
        <v>1</v>
      </c>
      <c r="X60" s="2" t="b">
        <v>1</v>
      </c>
    </row>
    <row r="61">
      <c r="A61" s="54" t="str">
        <f>IFERROR(__xludf.DUMMYFUNCTION("""COMPUTED_VALUE"""),"MA253")</f>
        <v>MA253</v>
      </c>
      <c r="B61" s="52">
        <f>IFERROR(__xludf.DUMMYFUNCTION("""COMPUTED_VALUE"""),44599.0)</f>
        <v>44599</v>
      </c>
      <c r="C61" s="62">
        <f>IFERROR(__xludf.DUMMYFUNCTION("""COMPUTED_VALUE"""),0.33288194444444447)</f>
        <v>0.3328819444</v>
      </c>
      <c r="D61" s="54" t="str">
        <f>IFERROR(__xludf.DUMMYFUNCTION("""COMPUTED_VALUE"""),"SpBEND757435")</f>
        <v>SpBEND757435</v>
      </c>
      <c r="E61" s="54"/>
      <c r="F61" s="54"/>
      <c r="G61" s="54" t="str">
        <f>IFERROR(__xludf.DUMMYFUNCTION("""COMPUTED_VALUE"""),"Positive")</f>
        <v>Positive</v>
      </c>
      <c r="H61" s="54" t="str">
        <f>IFERROR(__xludf.DUMMYFUNCTION("""COMPUTED_VALUE"""),"Positive")</f>
        <v>Positive</v>
      </c>
      <c r="I61" s="52">
        <f>IFERROR(__xludf.DUMMYFUNCTION("""COMPUTED_VALUE"""),44599.0)</f>
        <v>44599</v>
      </c>
      <c r="J61" s="62">
        <f>IFERROR(__xludf.DUMMYFUNCTION("""COMPUTED_VALUE"""),0.4875347222222222)</f>
        <v>0.4875347222</v>
      </c>
      <c r="K61" s="63"/>
      <c r="L61" s="54"/>
      <c r="M61" s="54"/>
      <c r="N61" s="63">
        <f>IFERROR(__xludf.DUMMYFUNCTION("""COMPUTED_VALUE"""),1.0)</f>
        <v>1</v>
      </c>
      <c r="O61" s="63">
        <f>IFERROR(__xludf.DUMMYFUNCTION("""COMPUTED_VALUE"""),317.0)</f>
        <v>317</v>
      </c>
      <c r="P61" s="64" t="str">
        <f t="array" ref="P61">INDEX(postDEL!$A$2:$AR1340,$O61,40)</f>
        <v>BEND281843</v>
      </c>
      <c r="Q61" s="64" t="str">
        <f t="array" ref="Q61">IF($N61&gt;1, INDEX(postDEL!$A$2:$AR1340,$O61+1,40),IFERROR(0/0,""))</f>
        <v/>
      </c>
      <c r="R61" s="64" t="str">
        <f t="array" ref="R61">IF($N61&gt;2, INDEX(postDEL!$A$2:$AR1340,$O61+2,40),IFERROR(0/0,""))</f>
        <v/>
      </c>
      <c r="S61" s="64" t="str">
        <f t="array" ref="S61">IF($N61&gt;3, INDEX(postDEL!$A$2:$AR1340,$O61+3,40),IFERROR(0/0,""))</f>
        <v/>
      </c>
      <c r="U61" s="10" t="b">
        <v>0</v>
      </c>
      <c r="V61" s="67" t="str">
        <f t="shared" ref="V61:V73" si="4">IF(COUNTIF($P$2:$P$74,P61)=1,"-",IF(COUNTIF($P$2:P61,P61)=1,"1st",TRUE))
</f>
        <v>-</v>
      </c>
      <c r="W61" s="2" t="b">
        <v>1</v>
      </c>
      <c r="X61" s="2" t="b">
        <v>1</v>
      </c>
    </row>
    <row r="62">
      <c r="A62" s="54" t="str">
        <f>IFERROR(__xludf.DUMMYFUNCTION("""COMPUTED_VALUE"""),"FM431")</f>
        <v>FM431</v>
      </c>
      <c r="B62" s="52">
        <f>IFERROR(__xludf.DUMMYFUNCTION("""COMPUTED_VALUE"""),44601.0)</f>
        <v>44601</v>
      </c>
      <c r="C62" s="62">
        <f>IFERROR(__xludf.DUMMYFUNCTION("""COMPUTED_VALUE"""),0.2634606481481481)</f>
        <v>0.2634606481</v>
      </c>
      <c r="D62" s="54" t="str">
        <f>IFERROR(__xludf.DUMMYFUNCTION("""COMPUTED_VALUE"""),"SpBEND845568")</f>
        <v>SpBEND845568</v>
      </c>
      <c r="E62" s="54"/>
      <c r="F62" s="54"/>
      <c r="G62" s="54" t="str">
        <f>IFERROR(__xludf.DUMMYFUNCTION("""COMPUTED_VALUE"""),"Positive")</f>
        <v>Positive</v>
      </c>
      <c r="H62" s="54" t="str">
        <f>IFERROR(__xludf.DUMMYFUNCTION("""COMPUTED_VALUE"""),"Positive")</f>
        <v>Positive</v>
      </c>
      <c r="I62" s="52">
        <f>IFERROR(__xludf.DUMMYFUNCTION("""COMPUTED_VALUE"""),44601.0)</f>
        <v>44601</v>
      </c>
      <c r="J62" s="62">
        <f>IFERROR(__xludf.DUMMYFUNCTION("""COMPUTED_VALUE"""),0.48203703703703704)</f>
        <v>0.482037037</v>
      </c>
      <c r="K62" s="63"/>
      <c r="L62" s="54"/>
      <c r="M62" s="54"/>
      <c r="N62" s="63">
        <f>IFERROR(__xludf.DUMMYFUNCTION("""COMPUTED_VALUE"""),1.0)</f>
        <v>1</v>
      </c>
      <c r="O62" s="63">
        <f>IFERROR(__xludf.DUMMYFUNCTION("""COMPUTED_VALUE"""),324.0)</f>
        <v>324</v>
      </c>
      <c r="P62" s="64" t="str">
        <f t="array" ref="P62">INDEX(postDEL!$A$2:$AR1340,$O62,40)</f>
        <v>BEND682107</v>
      </c>
      <c r="Q62" s="64" t="str">
        <f t="array" ref="Q62">IF($N62&gt;1, INDEX(postDEL!$A$2:$AR1340,$O62+1,40),IFERROR(0/0,""))</f>
        <v/>
      </c>
      <c r="R62" s="64" t="str">
        <f t="array" ref="R62">IF($N62&gt;2, INDEX(postDEL!$A$2:$AR1340,$O62+2,40),IFERROR(0/0,""))</f>
        <v/>
      </c>
      <c r="S62" s="64" t="str">
        <f t="array" ref="S62">IF($N62&gt;3, INDEX(postDEL!$A$2:$AR1340,$O62+3,40),IFERROR(0/0,""))</f>
        <v/>
      </c>
      <c r="U62" s="10" t="b">
        <v>0</v>
      </c>
      <c r="V62" s="67" t="b">
        <f t="shared" si="4"/>
        <v>1</v>
      </c>
      <c r="W62" s="2" t="b">
        <v>1</v>
      </c>
      <c r="X62" s="2" t="b">
        <v>1</v>
      </c>
    </row>
    <row r="63">
      <c r="A63" s="54" t="str">
        <f>IFERROR(__xludf.DUMMYFUNCTION("""COMPUTED_VALUE"""),"MA632")</f>
        <v>MA632</v>
      </c>
      <c r="B63" s="52">
        <f>IFERROR(__xludf.DUMMYFUNCTION("""COMPUTED_VALUE"""),44603.0)</f>
        <v>44603</v>
      </c>
      <c r="C63" s="62">
        <f>IFERROR(__xludf.DUMMYFUNCTION("""COMPUTED_VALUE"""),0.3391550925925926)</f>
        <v>0.3391550926</v>
      </c>
      <c r="D63" s="54" t="str">
        <f>IFERROR(__xludf.DUMMYFUNCTION("""COMPUTED_VALUE"""),"SpBEND483335")</f>
        <v>SpBEND483335</v>
      </c>
      <c r="E63" s="54"/>
      <c r="F63" s="54"/>
      <c r="G63" s="54" t="str">
        <f>IFERROR(__xludf.DUMMYFUNCTION("""COMPUTED_VALUE"""),"Positive")</f>
        <v>Positive</v>
      </c>
      <c r="H63" s="54" t="str">
        <f>IFERROR(__xludf.DUMMYFUNCTION("""COMPUTED_VALUE"""),"Positive")</f>
        <v>Positive</v>
      </c>
      <c r="I63" s="52">
        <f>IFERROR(__xludf.DUMMYFUNCTION("""COMPUTED_VALUE"""),44603.0)</f>
        <v>44603</v>
      </c>
      <c r="J63" s="62">
        <f>IFERROR(__xludf.DUMMYFUNCTION("""COMPUTED_VALUE"""),0.46979166666666666)</f>
        <v>0.4697916667</v>
      </c>
      <c r="K63" s="63"/>
      <c r="L63" s="54"/>
      <c r="M63" s="54"/>
      <c r="N63" s="63">
        <f>IFERROR(__xludf.DUMMYFUNCTION("""COMPUTED_VALUE"""),1.0)</f>
        <v>1</v>
      </c>
      <c r="O63" s="63">
        <f>IFERROR(__xludf.DUMMYFUNCTION("""COMPUTED_VALUE"""),342.0)</f>
        <v>342</v>
      </c>
      <c r="P63" s="64" t="str">
        <f t="array" ref="P63">INDEX(postDEL!$A$2:$AR1340,$O63,40)</f>
        <v>BEND785869</v>
      </c>
      <c r="Q63" s="64" t="str">
        <f t="array" ref="Q63">IF($N63&gt;1, INDEX(postDEL!$A$2:$AR1340,$O63+1,40),IFERROR(0/0,""))</f>
        <v/>
      </c>
      <c r="R63" s="64" t="str">
        <f t="array" ref="R63">IF($N63&gt;2, INDEX(postDEL!$A$2:$AR1340,$O63+2,40),IFERROR(0/0,""))</f>
        <v/>
      </c>
      <c r="S63" s="64" t="str">
        <f t="array" ref="S63">IF($N63&gt;3, INDEX(postDEL!$A$2:$AR1340,$O63+3,40),IFERROR(0/0,""))</f>
        <v/>
      </c>
      <c r="U63" s="10" t="b">
        <v>0</v>
      </c>
      <c r="V63" s="67" t="str">
        <f t="shared" si="4"/>
        <v>1st</v>
      </c>
      <c r="W63" s="2" t="b">
        <v>1</v>
      </c>
      <c r="X63" s="2" t="b">
        <v>1</v>
      </c>
    </row>
    <row r="64">
      <c r="A64" s="54" t="str">
        <f>IFERROR(__xludf.DUMMYFUNCTION("""COMPUTED_VALUE"""),"MA620")</f>
        <v>MA620</v>
      </c>
      <c r="B64" s="52">
        <f>IFERROR(__xludf.DUMMYFUNCTION("""COMPUTED_VALUE"""),44603.0)</f>
        <v>44603</v>
      </c>
      <c r="C64" s="62">
        <f>IFERROR(__xludf.DUMMYFUNCTION("""COMPUTED_VALUE"""),0.33946759259259257)</f>
        <v>0.3394675926</v>
      </c>
      <c r="D64" s="54" t="str">
        <f>IFERROR(__xludf.DUMMYFUNCTION("""COMPUTED_VALUE"""),"SpBEND483335")</f>
        <v>SpBEND483335</v>
      </c>
      <c r="E64" s="54"/>
      <c r="F64" s="54"/>
      <c r="G64" s="54" t="str">
        <f>IFERROR(__xludf.DUMMYFUNCTION("""COMPUTED_VALUE"""),"Positive")</f>
        <v>Positive</v>
      </c>
      <c r="H64" s="54" t="str">
        <f>IFERROR(__xludf.DUMMYFUNCTION("""COMPUTED_VALUE"""),"Positive")</f>
        <v>Positive</v>
      </c>
      <c r="I64" s="52">
        <f>IFERROR(__xludf.DUMMYFUNCTION("""COMPUTED_VALUE"""),44603.0)</f>
        <v>44603</v>
      </c>
      <c r="J64" s="62">
        <f>IFERROR(__xludf.DUMMYFUNCTION("""COMPUTED_VALUE"""),0.46979166666666666)</f>
        <v>0.4697916667</v>
      </c>
      <c r="K64" s="63"/>
      <c r="L64" s="54"/>
      <c r="M64" s="54"/>
      <c r="N64" s="63">
        <f>IFERROR(__xludf.DUMMYFUNCTION("""COMPUTED_VALUE"""),1.0)</f>
        <v>1</v>
      </c>
      <c r="O64" s="63">
        <f>IFERROR(__xludf.DUMMYFUNCTION("""COMPUTED_VALUE"""),343.0)</f>
        <v>343</v>
      </c>
      <c r="P64" s="64" t="str">
        <f t="array" ref="P64">INDEX(postDEL!$A$2:$AR1340,$O64,40)</f>
        <v>BEND785869</v>
      </c>
      <c r="Q64" s="64" t="str">
        <f t="array" ref="Q64">IF($N64&gt;1, INDEX(postDEL!$A$2:$AR1340,$O64+1,40),IFERROR(0/0,""))</f>
        <v/>
      </c>
      <c r="R64" s="64" t="str">
        <f t="array" ref="R64">IF($N64&gt;2, INDEX(postDEL!$A$2:$AR1340,$O64+2,40),IFERROR(0/0,""))</f>
        <v/>
      </c>
      <c r="S64" s="64" t="str">
        <f t="array" ref="S64">IF($N64&gt;3, INDEX(postDEL!$A$2:$AR1340,$O64+3,40),IFERROR(0/0,""))</f>
        <v/>
      </c>
      <c r="U64" s="10" t="b">
        <v>0</v>
      </c>
      <c r="V64" s="67" t="b">
        <f t="shared" si="4"/>
        <v>1</v>
      </c>
      <c r="W64" s="2" t="b">
        <v>1</v>
      </c>
      <c r="X64" s="2" t="b">
        <v>1</v>
      </c>
    </row>
    <row r="65">
      <c r="A65" s="54" t="str">
        <f>IFERROR(__xludf.DUMMYFUNCTION("""COMPUTED_VALUE"""),"MA1079")</f>
        <v>MA1079</v>
      </c>
      <c r="B65" s="52">
        <f>IFERROR(__xludf.DUMMYFUNCTION("""COMPUTED_VALUE"""),44604.0)</f>
        <v>44604</v>
      </c>
      <c r="C65" s="62">
        <f>IFERROR(__xludf.DUMMYFUNCTION("""COMPUTED_VALUE"""),0.3235763888888889)</f>
        <v>0.3235763889</v>
      </c>
      <c r="D65" s="54" t="str">
        <f>IFERROR(__xludf.DUMMYFUNCTION("""COMPUTED_VALUE"""),"SpBEND483335")</f>
        <v>SpBEND483335</v>
      </c>
      <c r="E65" s="54"/>
      <c r="F65" s="54"/>
      <c r="G65" s="54" t="str">
        <f>IFERROR(__xludf.DUMMYFUNCTION("""COMPUTED_VALUE"""),"Positive")</f>
        <v>Positive</v>
      </c>
      <c r="H65" s="54" t="str">
        <f>IFERROR(__xludf.DUMMYFUNCTION("""COMPUTED_VALUE"""),"Positive")</f>
        <v>Positive</v>
      </c>
      <c r="I65" s="52">
        <f>IFERROR(__xludf.DUMMYFUNCTION("""COMPUTED_VALUE"""),44604.0)</f>
        <v>44604</v>
      </c>
      <c r="J65" s="62">
        <f>IFERROR(__xludf.DUMMYFUNCTION("""COMPUTED_VALUE"""),0.3936689814814815)</f>
        <v>0.3936689815</v>
      </c>
      <c r="K65" s="63"/>
      <c r="L65" s="54"/>
      <c r="M65" s="54"/>
      <c r="N65" s="63">
        <f>IFERROR(__xludf.DUMMYFUNCTION("""COMPUTED_VALUE"""),1.0)</f>
        <v>1</v>
      </c>
      <c r="O65" s="63">
        <f>IFERROR(__xludf.DUMMYFUNCTION("""COMPUTED_VALUE"""),346.0)</f>
        <v>346</v>
      </c>
      <c r="P65" s="64" t="str">
        <f t="array" ref="P65">INDEX(postDEL!$A$2:$AR1340,$O65,40)</f>
        <v>BEND785869</v>
      </c>
      <c r="Q65" s="64" t="str">
        <f t="array" ref="Q65">IF($N65&gt;1, INDEX(postDEL!$A$2:$AR1340,$O65+1,40),IFERROR(0/0,""))</f>
        <v/>
      </c>
      <c r="R65" s="64" t="str">
        <f t="array" ref="R65">IF($N65&gt;2, INDEX(postDEL!$A$2:$AR1340,$O65+2,40),IFERROR(0/0,""))</f>
        <v/>
      </c>
      <c r="S65" s="64" t="str">
        <f t="array" ref="S65">IF($N65&gt;3, INDEX(postDEL!$A$2:$AR1340,$O65+3,40),IFERROR(0/0,""))</f>
        <v/>
      </c>
      <c r="U65" s="10" t="b">
        <v>0</v>
      </c>
      <c r="V65" s="67" t="b">
        <f t="shared" si="4"/>
        <v>1</v>
      </c>
      <c r="W65" s="2" t="b">
        <v>1</v>
      </c>
      <c r="X65" s="2" t="b">
        <v>1</v>
      </c>
    </row>
    <row r="66">
      <c r="A66" s="54" t="str">
        <f>IFERROR(__xludf.DUMMYFUNCTION("""COMPUTED_VALUE"""),"MA1111")</f>
        <v>MA1111</v>
      </c>
      <c r="B66" s="52">
        <f>IFERROR(__xludf.DUMMYFUNCTION("""COMPUTED_VALUE"""),44604.0)</f>
        <v>44604</v>
      </c>
      <c r="C66" s="62">
        <f>IFERROR(__xludf.DUMMYFUNCTION("""COMPUTED_VALUE"""),0.3247569444444444)</f>
        <v>0.3247569444</v>
      </c>
      <c r="D66" s="54" t="str">
        <f>IFERROR(__xludf.DUMMYFUNCTION("""COMPUTED_VALUE"""),"SpBEND483335")</f>
        <v>SpBEND483335</v>
      </c>
      <c r="E66" s="54"/>
      <c r="F66" s="54"/>
      <c r="G66" s="54" t="str">
        <f>IFERROR(__xludf.DUMMYFUNCTION("""COMPUTED_VALUE"""),"Positive")</f>
        <v>Positive</v>
      </c>
      <c r="H66" s="54" t="str">
        <f>IFERROR(__xludf.DUMMYFUNCTION("""COMPUTED_VALUE"""),"Positive")</f>
        <v>Positive</v>
      </c>
      <c r="I66" s="52">
        <f>IFERROR(__xludf.DUMMYFUNCTION("""COMPUTED_VALUE"""),44604.0)</f>
        <v>44604</v>
      </c>
      <c r="J66" s="62">
        <f>IFERROR(__xludf.DUMMYFUNCTION("""COMPUTED_VALUE"""),0.3936689814814815)</f>
        <v>0.3936689815</v>
      </c>
      <c r="K66" s="63"/>
      <c r="L66" s="54"/>
      <c r="M66" s="54"/>
      <c r="N66" s="63">
        <f>IFERROR(__xludf.DUMMYFUNCTION("""COMPUTED_VALUE"""),1.0)</f>
        <v>1</v>
      </c>
      <c r="O66" s="63">
        <f>IFERROR(__xludf.DUMMYFUNCTION("""COMPUTED_VALUE"""),347.0)</f>
        <v>347</v>
      </c>
      <c r="P66" s="64" t="str">
        <f t="array" ref="P66">INDEX(postDEL!$A$2:$AR1340,$O66,40)</f>
        <v>BEND215511</v>
      </c>
      <c r="Q66" s="64" t="str">
        <f t="array" ref="Q66">IF($N66&gt;1, INDEX(postDEL!$A$2:$AR1340,$O66+1,40),IFERROR(0/0,""))</f>
        <v/>
      </c>
      <c r="R66" s="64" t="str">
        <f t="array" ref="R66">IF($N66&gt;2, INDEX(postDEL!$A$2:$AR1340,$O66+2,40),IFERROR(0/0,""))</f>
        <v/>
      </c>
      <c r="S66" s="64" t="str">
        <f t="array" ref="S66">IF($N66&gt;3, INDEX(postDEL!$A$2:$AR1340,$O66+3,40),IFERROR(0/0,""))</f>
        <v/>
      </c>
      <c r="U66" s="10" t="b">
        <v>0</v>
      </c>
      <c r="V66" s="67" t="str">
        <f t="shared" si="4"/>
        <v>-</v>
      </c>
      <c r="W66" s="2" t="b">
        <v>1</v>
      </c>
      <c r="X66" s="2" t="b">
        <v>1</v>
      </c>
    </row>
    <row r="67">
      <c r="A67" s="54" t="str">
        <f>IFERROR(__xludf.DUMMYFUNCTION("""COMPUTED_VALUE"""),"MA1045")</f>
        <v>MA1045</v>
      </c>
      <c r="B67" s="52">
        <f>IFERROR(__xludf.DUMMYFUNCTION("""COMPUTED_VALUE"""),44614.0)</f>
        <v>44614</v>
      </c>
      <c r="C67" s="62">
        <f>IFERROR(__xludf.DUMMYFUNCTION("""COMPUTED_VALUE"""),0.3566898148148148)</f>
        <v>0.3566898148</v>
      </c>
      <c r="D67" s="54" t="str">
        <f>IFERROR(__xludf.DUMMYFUNCTION("""COMPUTED_VALUE"""),"SpBEND183210")</f>
        <v>SpBEND183210</v>
      </c>
      <c r="E67" s="54"/>
      <c r="F67" s="54"/>
      <c r="G67" s="54" t="str">
        <f>IFERROR(__xludf.DUMMYFUNCTION("""COMPUTED_VALUE"""),"Positive")</f>
        <v>Positive</v>
      </c>
      <c r="H67" s="54" t="str">
        <f>IFERROR(__xludf.DUMMYFUNCTION("""COMPUTED_VALUE"""),"Positive")</f>
        <v>Positive</v>
      </c>
      <c r="I67" s="52">
        <f>IFERROR(__xludf.DUMMYFUNCTION("""COMPUTED_VALUE"""),44614.0)</f>
        <v>44614</v>
      </c>
      <c r="J67" s="62">
        <f>IFERROR(__xludf.DUMMYFUNCTION("""COMPUTED_VALUE"""),0.6649768518518518)</f>
        <v>0.6649768519</v>
      </c>
      <c r="K67" s="63"/>
      <c r="L67" s="54"/>
      <c r="M67" s="54"/>
      <c r="N67" s="63">
        <f>IFERROR(__xludf.DUMMYFUNCTION("""COMPUTED_VALUE"""),1.0)</f>
        <v>1</v>
      </c>
      <c r="O67" s="63">
        <f>IFERROR(__xludf.DUMMYFUNCTION("""COMPUTED_VALUE"""),473.0)</f>
        <v>473</v>
      </c>
      <c r="P67" s="64" t="str">
        <f t="array" ref="P67">INDEX(postDEL!$A$2:$AR1340,$O67,40)</f>
        <v>BEND992347</v>
      </c>
      <c r="Q67" s="64" t="str">
        <f t="array" ref="Q67">IF($N67&gt;1, INDEX(postDEL!$A$2:$AR1340,$O67+1,40),IFERROR(0/0,""))</f>
        <v/>
      </c>
      <c r="R67" s="64" t="str">
        <f t="array" ref="R67">IF($N67&gt;2, INDEX(postDEL!$A$2:$AR1340,$O67+2,40),IFERROR(0/0,""))</f>
        <v/>
      </c>
      <c r="S67" s="64" t="str">
        <f t="array" ref="S67">IF($N67&gt;3, INDEX(postDEL!$A$2:$AR1340,$O67+3,40),IFERROR(0/0,""))</f>
        <v/>
      </c>
      <c r="U67" s="10" t="b">
        <v>0</v>
      </c>
      <c r="V67" s="67" t="str">
        <f t="shared" si="4"/>
        <v>1st</v>
      </c>
      <c r="W67" s="2" t="b">
        <v>1</v>
      </c>
      <c r="X67" s="2" t="b">
        <v>1</v>
      </c>
    </row>
    <row r="68">
      <c r="A68" s="54" t="str">
        <f>IFERROR(__xludf.DUMMYFUNCTION("""COMPUTED_VALUE"""),"MA1095")</f>
        <v>MA1095</v>
      </c>
      <c r="B68" s="52">
        <f>IFERROR(__xludf.DUMMYFUNCTION("""COMPUTED_VALUE"""),44619.0)</f>
        <v>44619</v>
      </c>
      <c r="C68" s="62">
        <f>IFERROR(__xludf.DUMMYFUNCTION("""COMPUTED_VALUE"""),0.35444444444444445)</f>
        <v>0.3544444444</v>
      </c>
      <c r="D68" s="54" t="str">
        <f>IFERROR(__xludf.DUMMYFUNCTION("""COMPUTED_VALUE"""),"SpBEND183210")</f>
        <v>SpBEND183210</v>
      </c>
      <c r="E68" s="54"/>
      <c r="F68" s="54"/>
      <c r="G68" s="54" t="str">
        <f>IFERROR(__xludf.DUMMYFUNCTION("""COMPUTED_VALUE"""),"Positive")</f>
        <v>Positive</v>
      </c>
      <c r="H68" s="54" t="str">
        <f>IFERROR(__xludf.DUMMYFUNCTION("""COMPUTED_VALUE"""),"Positive")</f>
        <v>Positive</v>
      </c>
      <c r="I68" s="52">
        <f>IFERROR(__xludf.DUMMYFUNCTION("""COMPUTED_VALUE"""),44627.0)</f>
        <v>44627</v>
      </c>
      <c r="J68" s="62">
        <f>IFERROR(__xludf.DUMMYFUNCTION("""COMPUTED_VALUE"""),0.4778935185185185)</f>
        <v>0.4778935185</v>
      </c>
      <c r="K68" s="63"/>
      <c r="L68" s="54"/>
      <c r="M68" s="54"/>
      <c r="N68" s="63">
        <f>IFERROR(__xludf.DUMMYFUNCTION("""COMPUTED_VALUE"""),1.0)</f>
        <v>1</v>
      </c>
      <c r="O68" s="63">
        <f>IFERROR(__xludf.DUMMYFUNCTION("""COMPUTED_VALUE"""),561.0)</f>
        <v>561</v>
      </c>
      <c r="P68" s="64" t="str">
        <f t="array" ref="P68">INDEX(postDEL!$A$2:$AR1340,$O68,40)</f>
        <v>BEND992347</v>
      </c>
      <c r="Q68" s="64" t="str">
        <f t="array" ref="Q68">IF($N68&gt;1, INDEX(postDEL!$A$2:$AR1340,$O68+1,40),IFERROR(0/0,""))</f>
        <v/>
      </c>
      <c r="R68" s="64" t="str">
        <f t="array" ref="R68">IF($N68&gt;2, INDEX(postDEL!$A$2:$AR1340,$O68+2,40),IFERROR(0/0,""))</f>
        <v/>
      </c>
      <c r="S68" s="64" t="str">
        <f t="array" ref="S68">IF($N68&gt;3, INDEX(postDEL!$A$2:$AR1340,$O68+3,40),IFERROR(0/0,""))</f>
        <v/>
      </c>
      <c r="U68" s="10" t="b">
        <v>0</v>
      </c>
      <c r="V68" s="67" t="b">
        <f t="shared" si="4"/>
        <v>1</v>
      </c>
      <c r="W68" s="2" t="b">
        <v>1</v>
      </c>
      <c r="X68" s="2" t="b">
        <v>1</v>
      </c>
    </row>
    <row r="69">
      <c r="A69" s="54" t="str">
        <f>IFERROR(__xludf.DUMMYFUNCTION("""COMPUTED_VALUE"""),"MAX40")</f>
        <v>MAX40</v>
      </c>
      <c r="B69" s="52">
        <f>IFERROR(__xludf.DUMMYFUNCTION("""COMPUTED_VALUE"""),44619.0)</f>
        <v>44619</v>
      </c>
      <c r="C69" s="62">
        <f>IFERROR(__xludf.DUMMYFUNCTION("""COMPUTED_VALUE"""),0.47077546296296297)</f>
        <v>0.470775463</v>
      </c>
      <c r="D69" s="54" t="str">
        <f>IFERROR(__xludf.DUMMYFUNCTION("""COMPUTED_VALUE"""),"SpBEND904348")</f>
        <v>SpBEND904348</v>
      </c>
      <c r="E69" s="54"/>
      <c r="F69" s="54"/>
      <c r="G69" s="54" t="str">
        <f>IFERROR(__xludf.DUMMYFUNCTION("""COMPUTED_VALUE"""),"Positive")</f>
        <v>Positive</v>
      </c>
      <c r="H69" s="54" t="str">
        <f>IFERROR(__xludf.DUMMYFUNCTION("""COMPUTED_VALUE"""),"Positive")</f>
        <v>Positive</v>
      </c>
      <c r="I69" s="52">
        <f>IFERROR(__xludf.DUMMYFUNCTION("""COMPUTED_VALUE"""),44627.0)</f>
        <v>44627</v>
      </c>
      <c r="J69" s="62">
        <f>IFERROR(__xludf.DUMMYFUNCTION("""COMPUTED_VALUE"""),0.4778935185185185)</f>
        <v>0.4778935185</v>
      </c>
      <c r="K69" s="63"/>
      <c r="L69" s="54"/>
      <c r="M69" s="54"/>
      <c r="N69" s="63">
        <f>IFERROR(__xludf.DUMMYFUNCTION("""COMPUTED_VALUE"""),1.0)</f>
        <v>1</v>
      </c>
      <c r="O69" s="63">
        <f>IFERROR(__xludf.DUMMYFUNCTION("""COMPUTED_VALUE"""),566.0)</f>
        <v>566</v>
      </c>
      <c r="P69" s="64" t="str">
        <f t="array" ref="P69">INDEX(postDEL!$A$2:$AR1340,$O69,40)</f>
        <v>BEND101300</v>
      </c>
      <c r="Q69" s="64" t="str">
        <f t="array" ref="Q69">IF($N69&gt;1, INDEX(postDEL!$A$2:$AR1340,$O69+1,40),IFERROR(0/0,""))</f>
        <v/>
      </c>
      <c r="R69" s="64" t="str">
        <f t="array" ref="R69">IF($N69&gt;2, INDEX(postDEL!$A$2:$AR1340,$O69+2,40),IFERROR(0/0,""))</f>
        <v/>
      </c>
      <c r="S69" s="64" t="str">
        <f t="array" ref="S69">IF($N69&gt;3, INDEX(postDEL!$A$2:$AR1340,$O69+3,40),IFERROR(0/0,""))</f>
        <v/>
      </c>
      <c r="U69" s="10" t="b">
        <v>0</v>
      </c>
      <c r="V69" s="67" t="str">
        <f t="shared" si="4"/>
        <v>-</v>
      </c>
      <c r="W69" s="2" t="b">
        <v>1</v>
      </c>
      <c r="X69" s="2" t="b">
        <v>1</v>
      </c>
    </row>
    <row r="70">
      <c r="A70" s="54" t="str">
        <f>IFERROR(__xludf.DUMMYFUNCTION("""COMPUTED_VALUE"""),"MA1305")</f>
        <v>MA1305</v>
      </c>
      <c r="B70" s="52">
        <f>IFERROR(__xludf.DUMMYFUNCTION("""COMPUTED_VALUE"""),44623.0)</f>
        <v>44623</v>
      </c>
      <c r="C70" s="62">
        <f>IFERROR(__xludf.DUMMYFUNCTION("""COMPUTED_VALUE"""),0.3910416666666667)</f>
        <v>0.3910416667</v>
      </c>
      <c r="D70" s="54" t="str">
        <f>IFERROR(__xludf.DUMMYFUNCTION("""COMPUTED_VALUE"""),"SpBEND110967")</f>
        <v>SpBEND110967</v>
      </c>
      <c r="E70" s="54"/>
      <c r="F70" s="54"/>
      <c r="G70" s="54" t="str">
        <f>IFERROR(__xludf.DUMMYFUNCTION("""COMPUTED_VALUE"""),"Positive")</f>
        <v>Positive</v>
      </c>
      <c r="H70" s="54" t="str">
        <f>IFERROR(__xludf.DUMMYFUNCTION("""COMPUTED_VALUE"""),"Positive")</f>
        <v>Positive</v>
      </c>
      <c r="I70" s="52">
        <f>IFERROR(__xludf.DUMMYFUNCTION("""COMPUTED_VALUE"""),44623.0)</f>
        <v>44623</v>
      </c>
      <c r="J70" s="62">
        <f>IFERROR(__xludf.DUMMYFUNCTION("""COMPUTED_VALUE"""),0.46038194444444447)</f>
        <v>0.4603819444</v>
      </c>
      <c r="K70" s="63"/>
      <c r="L70" s="54"/>
      <c r="M70" s="54"/>
      <c r="N70" s="63">
        <f>IFERROR(__xludf.DUMMYFUNCTION("""COMPUTED_VALUE"""),1.0)</f>
        <v>1</v>
      </c>
      <c r="O70" s="63">
        <f>IFERROR(__xludf.DUMMYFUNCTION("""COMPUTED_VALUE"""),633.0)</f>
        <v>633</v>
      </c>
      <c r="P70" s="64" t="str">
        <f t="array" ref="P70">INDEX(postDEL!$A$2:$AR1340,$O70,40)</f>
        <v>BEND318962</v>
      </c>
      <c r="Q70" s="64" t="str">
        <f t="array" ref="Q70">IF($N70&gt;1, INDEX(postDEL!$A$2:$AR1340,$O70+1,40),IFERROR(0/0,""))</f>
        <v/>
      </c>
      <c r="R70" s="64" t="str">
        <f t="array" ref="R70">IF($N70&gt;2, INDEX(postDEL!$A$2:$AR1340,$O70+2,40),IFERROR(0/0,""))</f>
        <v/>
      </c>
      <c r="S70" s="64" t="str">
        <f t="array" ref="S70">IF($N70&gt;3, INDEX(postDEL!$A$2:$AR1340,$O70+3,40),IFERROR(0/0,""))</f>
        <v/>
      </c>
      <c r="U70" s="10" t="b">
        <v>0</v>
      </c>
      <c r="V70" s="67" t="str">
        <f t="shared" si="4"/>
        <v>-</v>
      </c>
      <c r="W70" s="2" t="b">
        <v>1</v>
      </c>
      <c r="X70" s="2" t="b">
        <v>1</v>
      </c>
    </row>
    <row r="71">
      <c r="A71" s="54" t="str">
        <f>IFERROR(__xludf.DUMMYFUNCTION("""COMPUTED_VALUE"""),"MA1202")</f>
        <v>MA1202</v>
      </c>
      <c r="B71" s="52">
        <f>IFERROR(__xludf.DUMMYFUNCTION("""COMPUTED_VALUE"""),44623.0)</f>
        <v>44623</v>
      </c>
      <c r="C71" s="62">
        <f>IFERROR(__xludf.DUMMYFUNCTION("""COMPUTED_VALUE"""),0.3914930555555556)</f>
        <v>0.3914930556</v>
      </c>
      <c r="D71" s="54" t="str">
        <f>IFERROR(__xludf.DUMMYFUNCTION("""COMPUTED_VALUE"""),"SpBEND110967")</f>
        <v>SpBEND110967</v>
      </c>
      <c r="E71" s="54"/>
      <c r="F71" s="54"/>
      <c r="G71" s="54" t="str">
        <f>IFERROR(__xludf.DUMMYFUNCTION("""COMPUTED_VALUE"""),"Positive")</f>
        <v>Positive</v>
      </c>
      <c r="H71" s="54" t="str">
        <f>IFERROR(__xludf.DUMMYFUNCTION("""COMPUTED_VALUE"""),"Positive")</f>
        <v>Positive</v>
      </c>
      <c r="I71" s="52">
        <f>IFERROR(__xludf.DUMMYFUNCTION("""COMPUTED_VALUE"""),44623.0)</f>
        <v>44623</v>
      </c>
      <c r="J71" s="62">
        <f>IFERROR(__xludf.DUMMYFUNCTION("""COMPUTED_VALUE"""),0.46038194444444447)</f>
        <v>0.4603819444</v>
      </c>
      <c r="K71" s="63"/>
      <c r="L71" s="54"/>
      <c r="M71" s="54"/>
      <c r="N71" s="63">
        <f>IFERROR(__xludf.DUMMYFUNCTION("""COMPUTED_VALUE"""),1.0)</f>
        <v>1</v>
      </c>
      <c r="O71" s="63">
        <f>IFERROR(__xludf.DUMMYFUNCTION("""COMPUTED_VALUE"""),635.0)</f>
        <v>635</v>
      </c>
      <c r="P71" s="64" t="str">
        <f t="array" ref="P71">INDEX(postDEL!$A$2:$AR1340,$O71,40)</f>
        <v>BEND112877</v>
      </c>
      <c r="Q71" s="64" t="str">
        <f t="array" ref="Q71">IF($N71&gt;1, INDEX(postDEL!$A$2:$AR1340,$O71+1,40),IFERROR(0/0,""))</f>
        <v/>
      </c>
      <c r="R71" s="64" t="str">
        <f t="array" ref="R71">IF($N71&gt;2, INDEX(postDEL!$A$2:$AR1340,$O71+2,40),IFERROR(0/0,""))</f>
        <v/>
      </c>
      <c r="S71" s="64" t="str">
        <f t="array" ref="S71">IF($N71&gt;3, INDEX(postDEL!$A$2:$AR1340,$O71+3,40),IFERROR(0/0,""))</f>
        <v/>
      </c>
      <c r="U71" s="10" t="b">
        <v>0</v>
      </c>
      <c r="V71" s="67" t="str">
        <f t="shared" si="4"/>
        <v>-</v>
      </c>
      <c r="W71" s="2" t="b">
        <v>1</v>
      </c>
      <c r="X71" s="2" t="b">
        <v>1</v>
      </c>
      <c r="Y71" s="11" t="str">
        <f t="shared" ref="Y71:Y73" si="5">IFERROR(IF(V71,TRUE,IFERROR(0/0,"")),"")</f>
        <v/>
      </c>
    </row>
    <row r="72">
      <c r="A72" s="54" t="str">
        <f>IFERROR(__xludf.DUMMYFUNCTION("""COMPUTED_VALUE"""),"MA1294")</f>
        <v>MA1294</v>
      </c>
      <c r="B72" s="52">
        <f>IFERROR(__xludf.DUMMYFUNCTION("""COMPUTED_VALUE"""),44625.0)</f>
        <v>44625</v>
      </c>
      <c r="C72" s="62">
        <f>IFERROR(__xludf.DUMMYFUNCTION("""COMPUTED_VALUE"""),0.35530092592592594)</f>
        <v>0.3553009259</v>
      </c>
      <c r="D72" s="54" t="str">
        <f>IFERROR(__xludf.DUMMYFUNCTION("""COMPUTED_VALUE"""),"SpBEND350015")</f>
        <v>SpBEND350015</v>
      </c>
      <c r="E72" s="54"/>
      <c r="F72" s="54"/>
      <c r="G72" s="54" t="str">
        <f>IFERROR(__xludf.DUMMYFUNCTION("""COMPUTED_VALUE"""),"Positive")</f>
        <v>Positive</v>
      </c>
      <c r="H72" s="54" t="str">
        <f>IFERROR(__xludf.DUMMYFUNCTION("""COMPUTED_VALUE"""),"Positive")</f>
        <v>Positive</v>
      </c>
      <c r="I72" s="52">
        <f>IFERROR(__xludf.DUMMYFUNCTION("""COMPUTED_VALUE"""),44627.0)</f>
        <v>44627</v>
      </c>
      <c r="J72" s="62">
        <f>IFERROR(__xludf.DUMMYFUNCTION("""COMPUTED_VALUE"""),0.4779861111111111)</f>
        <v>0.4779861111</v>
      </c>
      <c r="K72" s="63"/>
      <c r="L72" s="54"/>
      <c r="M72" s="54"/>
      <c r="N72" s="63">
        <f>IFERROR(__xludf.DUMMYFUNCTION("""COMPUTED_VALUE"""),1.0)</f>
        <v>1</v>
      </c>
      <c r="O72" s="63">
        <f>IFERROR(__xludf.DUMMYFUNCTION("""COMPUTED_VALUE"""),666.0)</f>
        <v>666</v>
      </c>
      <c r="P72" s="64" t="str">
        <f t="array" ref="P72">INDEX(postDEL!$A$2:$AR1340,$O72,40)</f>
        <v>BEND670149</v>
      </c>
      <c r="Q72" s="64" t="str">
        <f t="array" ref="Q72">IF($N72&gt;1, INDEX(postDEL!$A$2:$AR1340,$O72+1,40),IFERROR(0/0,""))</f>
        <v/>
      </c>
      <c r="R72" s="64" t="str">
        <f t="array" ref="R72">IF($N72&gt;2, INDEX(postDEL!$A$2:$AR1340,$O72+2,40),IFERROR(0/0,""))</f>
        <v/>
      </c>
      <c r="S72" s="64" t="str">
        <f t="array" ref="S72">IF($N72&gt;3, INDEX(postDEL!$A$2:$AR1340,$O72+3,40),IFERROR(0/0,""))</f>
        <v/>
      </c>
      <c r="U72" s="10" t="b">
        <v>0</v>
      </c>
      <c r="V72" s="67" t="str">
        <f t="shared" si="4"/>
        <v>-</v>
      </c>
      <c r="W72" s="2" t="b">
        <v>1</v>
      </c>
      <c r="X72" s="2" t="b">
        <v>1</v>
      </c>
      <c r="Y72" s="11" t="str">
        <f t="shared" si="5"/>
        <v/>
      </c>
    </row>
    <row r="73">
      <c r="A73" s="54" t="str">
        <f>IFERROR(__xludf.DUMMYFUNCTION("""COMPUTED_VALUE"""),"MA347")</f>
        <v>MA347</v>
      </c>
      <c r="B73" s="52">
        <f>IFERROR(__xludf.DUMMYFUNCTION("""COMPUTED_VALUE"""),44568.0)</f>
        <v>44568</v>
      </c>
      <c r="C73" s="62">
        <f>IFERROR(__xludf.DUMMYFUNCTION("""COMPUTED_VALUE"""),0.34206018518518516)</f>
        <v>0.3420601852</v>
      </c>
      <c r="D73" s="54" t="str">
        <f>IFERROR(__xludf.DUMMYFUNCTION("""COMPUTED_VALUE"""),"SpBEND845509")</f>
        <v>SpBEND845509</v>
      </c>
      <c r="E73" s="54"/>
      <c r="F73" s="54"/>
      <c r="G73" s="54" t="str">
        <f>IFERROR(__xludf.DUMMYFUNCTION("""COMPUTED_VALUE"""),"Inconclusive")</f>
        <v>Inconclusive</v>
      </c>
      <c r="H73" s="54" t="str">
        <f>IFERROR(__xludf.DUMMYFUNCTION("""COMPUTED_VALUE"""),"Inconclusive")</f>
        <v>Inconclusive</v>
      </c>
      <c r="I73" s="52">
        <f>IFERROR(__xludf.DUMMYFUNCTION("""COMPUTED_VALUE"""),44568.0)</f>
        <v>44568</v>
      </c>
      <c r="J73" s="62">
        <f>IFERROR(__xludf.DUMMYFUNCTION("""COMPUTED_VALUE"""),0.5079050925925926)</f>
        <v>0.5079050926</v>
      </c>
      <c r="K73" s="63"/>
      <c r="L73" s="54"/>
      <c r="M73" s="54"/>
      <c r="N73" s="63">
        <f>IFERROR(__xludf.DUMMYFUNCTION("""COMPUTED_VALUE"""),1.0)</f>
        <v>1</v>
      </c>
      <c r="O73" s="63">
        <f>IFERROR(__xludf.DUMMYFUNCTION("""COMPUTED_VALUE"""),105.0)</f>
        <v>105</v>
      </c>
      <c r="P73" s="64" t="str">
        <f t="array" ref="P73">INDEX(postDEL!$A$2:$AR1340,$O73,40)</f>
        <v>BEND935806</v>
      </c>
      <c r="Q73" s="64" t="str">
        <f t="array" ref="Q73">IF($N73&gt;1, INDEX(postDEL!$A$2:$AR1340,$O73+1,40),IFERROR(0/0,""))</f>
        <v/>
      </c>
      <c r="R73" s="64" t="str">
        <f t="array" ref="R73">IF($N73&gt;2, INDEX(postDEL!$A$2:$AR1340,$O73+2,40),IFERROR(0/0,""))</f>
        <v/>
      </c>
      <c r="S73" s="64" t="str">
        <f t="array" ref="S73">IF($N73&gt;3, INDEX(postDEL!$A$2:$AR1340,$O73+3,40),IFERROR(0/0,""))</f>
        <v/>
      </c>
      <c r="U73" s="10" t="b">
        <v>0</v>
      </c>
      <c r="V73" s="67" t="str">
        <f t="shared" si="4"/>
        <v>-</v>
      </c>
      <c r="W73" s="2" t="b">
        <v>1</v>
      </c>
      <c r="X73" s="2" t="b">
        <v>1</v>
      </c>
      <c r="Y73" s="11" t="str">
        <f t="shared" si="5"/>
        <v/>
      </c>
    </row>
    <row r="74">
      <c r="A74" s="54" t="str">
        <f>IFERROR(__xludf.DUMMYFUNCTION("""COMPUTED_VALUE"""),"FM996")</f>
        <v>FM996</v>
      </c>
      <c r="B74" s="52">
        <f>IFERROR(__xludf.DUMMYFUNCTION("""COMPUTED_VALUE"""),44609.0)</f>
        <v>44609</v>
      </c>
      <c r="C74" s="62">
        <f>IFERROR(__xludf.DUMMYFUNCTION("""COMPUTED_VALUE"""),0.3274884259259259)</f>
        <v>0.3274884259</v>
      </c>
      <c r="D74" s="54" t="str">
        <f>IFERROR(__xludf.DUMMYFUNCTION("""COMPUTED_VALUE"""),"SpBEND328905")</f>
        <v>SpBEND328905</v>
      </c>
      <c r="E74" s="54"/>
      <c r="F74" s="54"/>
      <c r="G74" s="54" t="str">
        <f>IFERROR(__xludf.DUMMYFUNCTION("""COMPUTED_VALUE"""),"Negative")</f>
        <v>Negative</v>
      </c>
      <c r="H74" s="54" t="str">
        <f>IFERROR(__xludf.DUMMYFUNCTION("""COMPUTED_VALUE"""),"Inconclusive")</f>
        <v>Inconclusive</v>
      </c>
      <c r="I74" s="52">
        <f>IFERROR(__xludf.DUMMYFUNCTION("""COMPUTED_VALUE"""),44611.0)</f>
        <v>44611</v>
      </c>
      <c r="J74" s="62">
        <f>IFERROR(__xludf.DUMMYFUNCTION("""COMPUTED_VALUE"""),0.3895601851851852)</f>
        <v>0.3895601852</v>
      </c>
      <c r="K74" s="63">
        <f>IFERROR(__xludf.DUMMYFUNCTION("""COMPUTED_VALUE"""),4.1)</f>
        <v>4.1</v>
      </c>
      <c r="L74" s="54" t="str">
        <f>IFERROR(__xludf.DUMMYFUNCTION("""COMPUTED_VALUE"""),"Negative to Inconclusive based  on RFR Audit and LUM (RT Jan26)")</f>
        <v>Negative to Inconclusive based  on RFR Audit and LUM (RT Jan26)</v>
      </c>
      <c r="M74" s="54"/>
      <c r="N74" s="63">
        <f>IFERROR(__xludf.DUMMYFUNCTION("""COMPUTED_VALUE"""),1.0)</f>
        <v>1</v>
      </c>
      <c r="O74" s="63">
        <f>IFERROR(__xludf.DUMMYFUNCTION("""COMPUTED_VALUE"""),399.0)</f>
        <v>399</v>
      </c>
      <c r="P74" s="64" t="str">
        <f t="array" ref="P74">INDEX(postDEL!$A$2:$AR1340,$O74,40)</f>
        <v>BEND972161</v>
      </c>
      <c r="Q74" s="64" t="str">
        <f t="array" ref="Q74">IF($N74&gt;1, INDEX(postDEL!$A$2:$AR1340,$O74+1,40),IFERROR(0/0,""))</f>
        <v/>
      </c>
      <c r="R74" s="64" t="str">
        <f t="array" ref="R74">IF($N74&gt;2, INDEX(postDEL!$A$2:$AR1340,$O74+2,40),IFERROR(0/0,""))</f>
        <v/>
      </c>
      <c r="S74" s="64" t="str">
        <f t="array" ref="S74">IF($N74&gt;3, INDEX(postDEL!$A$2:$AR1340,$O74+3,40),IFERROR(0/0,""))</f>
        <v/>
      </c>
      <c r="U74" s="10" t="b">
        <v>0</v>
      </c>
      <c r="V74" s="65" t="s">
        <v>180</v>
      </c>
      <c r="W74" s="2" t="b">
        <v>1</v>
      </c>
    </row>
    <row r="75">
      <c r="K75" s="68"/>
      <c r="N75" s="68"/>
      <c r="O75" s="68"/>
    </row>
    <row r="76">
      <c r="K76" s="68"/>
      <c r="N76" s="68"/>
      <c r="O76" s="68"/>
      <c r="U76" s="2"/>
      <c r="Z76" s="69">
        <f>COUNTA(A2:A74)</f>
        <v>73</v>
      </c>
      <c r="AA76" s="5" t="s">
        <v>181</v>
      </c>
    </row>
    <row r="77">
      <c r="K77" s="68"/>
      <c r="N77" s="68"/>
      <c r="O77" s="68"/>
      <c r="U77" s="2"/>
      <c r="Z77" s="70">
        <f>COUNTIF(U58:U74,TRUE)</f>
        <v>0</v>
      </c>
      <c r="AA77" s="5" t="s">
        <v>182</v>
      </c>
    </row>
    <row r="78">
      <c r="K78" s="68"/>
      <c r="N78" s="68"/>
      <c r="O78" s="68"/>
      <c r="P78" s="19">
        <f>IFERROR(__xludf.DUMMYFUNCTION("COUNTUNIQUE(P2:P75)"),51.0)</f>
        <v>51</v>
      </c>
      <c r="Q78" s="5" t="s">
        <v>183</v>
      </c>
      <c r="R78" s="5"/>
      <c r="U78" s="2"/>
      <c r="Z78" s="71">
        <f>Z76</f>
        <v>73</v>
      </c>
      <c r="AA78" s="5" t="s">
        <v>184</v>
      </c>
    </row>
    <row r="79">
      <c r="K79" s="68"/>
      <c r="N79" s="68"/>
      <c r="O79" s="54" t="s">
        <v>185</v>
      </c>
      <c r="P79" s="19">
        <v>1.0</v>
      </c>
      <c r="Q79" s="5" t="s">
        <v>186</v>
      </c>
      <c r="R79" s="5"/>
      <c r="U79" s="2"/>
      <c r="Z79" s="5"/>
      <c r="AA79" s="5"/>
    </row>
    <row r="80">
      <c r="K80" s="68"/>
      <c r="N80" s="68"/>
      <c r="O80" s="68"/>
      <c r="P80" s="19">
        <v>0.0</v>
      </c>
      <c r="Q80" s="5" t="s">
        <v>187</v>
      </c>
      <c r="R80" s="5"/>
      <c r="U80" s="2"/>
      <c r="Z80" s="69">
        <f>Z77+Z78-Z91</f>
        <v>53</v>
      </c>
      <c r="AA80" s="40" t="s">
        <v>188</v>
      </c>
    </row>
    <row r="81">
      <c r="K81" s="68"/>
      <c r="N81" s="68"/>
      <c r="O81" s="68"/>
      <c r="P81" s="72">
        <f>P78-P79-P80</f>
        <v>50</v>
      </c>
      <c r="Q81" s="73" t="s">
        <v>189</v>
      </c>
      <c r="R81" s="73"/>
      <c r="U81" s="2"/>
      <c r="Z81" s="19">
        <f>Z80-2</f>
        <v>51</v>
      </c>
      <c r="AA81" s="5" t="s">
        <v>190</v>
      </c>
    </row>
    <row r="82">
      <c r="K82" s="68"/>
      <c r="N82" s="68"/>
      <c r="O82" s="68"/>
      <c r="U82" s="2"/>
      <c r="Z82" s="35">
        <v>1.0</v>
      </c>
      <c r="AA82" s="5" t="s">
        <v>191</v>
      </c>
    </row>
    <row r="83">
      <c r="K83" s="68"/>
      <c r="N83" s="68"/>
      <c r="O83" s="68"/>
      <c r="U83" s="2"/>
      <c r="Z83" s="35">
        <v>0.0</v>
      </c>
      <c r="AA83" s="5" t="s">
        <v>192</v>
      </c>
    </row>
    <row r="84">
      <c r="K84" s="68"/>
      <c r="N84" s="68"/>
      <c r="O84" s="68"/>
      <c r="U84" s="2"/>
      <c r="Z84" s="35">
        <v>1.0</v>
      </c>
      <c r="AA84" s="5" t="s">
        <v>87</v>
      </c>
    </row>
    <row r="85">
      <c r="K85" s="68"/>
      <c r="N85" s="68"/>
      <c r="O85" s="68"/>
      <c r="U85" s="2"/>
      <c r="Z85" s="5"/>
      <c r="AA85" s="5"/>
    </row>
    <row r="86">
      <c r="K86" s="68"/>
      <c r="N86" s="68"/>
      <c r="O86" s="68"/>
      <c r="U86" s="2"/>
      <c r="Z86" s="5"/>
      <c r="AA86" s="5"/>
    </row>
    <row r="87">
      <c r="K87" s="68"/>
      <c r="N87" s="68"/>
      <c r="O87" s="68"/>
      <c r="U87" s="2"/>
      <c r="Z87" s="69">
        <f>Z76-Z77-Z78</f>
        <v>0</v>
      </c>
      <c r="AA87" s="5" t="s">
        <v>193</v>
      </c>
    </row>
    <row r="88">
      <c r="K88" s="68"/>
      <c r="N88" s="68"/>
      <c r="O88" s="68"/>
      <c r="U88" s="2"/>
      <c r="Z88" s="35">
        <v>0.0</v>
      </c>
      <c r="AA88" s="5" t="s">
        <v>194</v>
      </c>
    </row>
    <row r="89">
      <c r="K89" s="68"/>
      <c r="N89" s="68"/>
      <c r="O89" s="68"/>
      <c r="U89" s="2"/>
      <c r="Z89" s="35">
        <v>3.0</v>
      </c>
      <c r="AA89" s="5" t="s">
        <v>88</v>
      </c>
    </row>
    <row r="90">
      <c r="K90" s="68"/>
      <c r="N90" s="68"/>
      <c r="O90" s="68"/>
      <c r="U90" s="2"/>
      <c r="Z90" s="5"/>
      <c r="AA90" s="5"/>
    </row>
    <row r="91">
      <c r="K91" s="68"/>
      <c r="N91" s="68"/>
      <c r="O91" s="68"/>
      <c r="U91" s="2"/>
      <c r="Z91" s="69">
        <f>COUNTIF(V2:V74,TRUE)</f>
        <v>20</v>
      </c>
      <c r="AA91" s="5" t="s">
        <v>195</v>
      </c>
    </row>
    <row r="92">
      <c r="K92" s="68"/>
      <c r="N92" s="68"/>
      <c r="O92" s="68"/>
      <c r="U92" s="2"/>
      <c r="Z92" s="19"/>
      <c r="AA92" s="5"/>
    </row>
    <row r="93">
      <c r="K93" s="68"/>
      <c r="N93" s="68"/>
      <c r="O93" s="68"/>
      <c r="U93" s="2"/>
    </row>
    <row r="94">
      <c r="K94" s="68"/>
      <c r="N94" s="68"/>
      <c r="O94" s="68"/>
      <c r="U94" s="2"/>
    </row>
    <row r="95">
      <c r="K95" s="68"/>
      <c r="N95" s="68"/>
      <c r="O95" s="68"/>
      <c r="U95" s="2"/>
    </row>
    <row r="96">
      <c r="K96" s="68"/>
      <c r="N96" s="68"/>
      <c r="O96" s="68"/>
      <c r="U96" s="2"/>
    </row>
    <row r="97">
      <c r="K97" s="68"/>
      <c r="N97" s="68"/>
      <c r="O97" s="68"/>
      <c r="U97" s="2"/>
    </row>
    <row r="98">
      <c r="K98" s="68"/>
      <c r="N98" s="68"/>
      <c r="O98" s="68"/>
      <c r="U98" s="2"/>
    </row>
    <row r="99">
      <c r="K99" s="68"/>
      <c r="N99" s="68"/>
      <c r="O99" s="68"/>
      <c r="U99" s="2"/>
    </row>
    <row r="100">
      <c r="K100" s="68"/>
      <c r="N100" s="68"/>
      <c r="O100" s="68"/>
      <c r="U100" s="2"/>
    </row>
    <row r="101">
      <c r="K101" s="68"/>
      <c r="N101" s="68"/>
      <c r="O101" s="68"/>
      <c r="U101" s="2"/>
    </row>
    <row r="102">
      <c r="K102" s="68"/>
      <c r="N102" s="68"/>
      <c r="O102" s="68"/>
      <c r="U102" s="2"/>
    </row>
    <row r="103">
      <c r="K103" s="68"/>
      <c r="N103" s="68"/>
      <c r="O103" s="68"/>
      <c r="U103" s="2"/>
    </row>
    <row r="104">
      <c r="K104" s="68"/>
      <c r="N104" s="68"/>
      <c r="O104" s="68"/>
      <c r="U104" s="2"/>
    </row>
    <row r="105">
      <c r="K105" s="68"/>
      <c r="N105" s="68"/>
      <c r="O105" s="68"/>
      <c r="U105" s="2"/>
    </row>
    <row r="106">
      <c r="K106" s="68"/>
      <c r="N106" s="68"/>
      <c r="O106" s="68"/>
      <c r="U106" s="2"/>
    </row>
    <row r="107">
      <c r="K107" s="68"/>
      <c r="N107" s="68"/>
      <c r="O107" s="68"/>
      <c r="U107" s="2"/>
    </row>
    <row r="108">
      <c r="K108" s="68"/>
      <c r="N108" s="68"/>
      <c r="O108" s="68"/>
      <c r="U108" s="2"/>
    </row>
    <row r="109">
      <c r="K109" s="68"/>
      <c r="N109" s="68"/>
      <c r="O109" s="68"/>
      <c r="U109" s="2"/>
    </row>
    <row r="110">
      <c r="K110" s="68"/>
      <c r="N110" s="68"/>
      <c r="O110" s="68"/>
      <c r="U110" s="2"/>
    </row>
    <row r="111">
      <c r="K111" s="68"/>
      <c r="N111" s="68"/>
      <c r="O111" s="68"/>
      <c r="U111" s="2"/>
    </row>
    <row r="112">
      <c r="K112" s="68"/>
      <c r="N112" s="68"/>
      <c r="O112" s="68"/>
      <c r="U112" s="2"/>
    </row>
    <row r="113">
      <c r="K113" s="68"/>
      <c r="N113" s="68"/>
      <c r="O113" s="68"/>
      <c r="U113" s="2"/>
    </row>
    <row r="114">
      <c r="K114" s="68"/>
      <c r="N114" s="68"/>
      <c r="O114" s="68"/>
      <c r="U114" s="2"/>
    </row>
    <row r="115">
      <c r="K115" s="68"/>
      <c r="N115" s="68"/>
      <c r="O115" s="68"/>
      <c r="U115" s="2"/>
    </row>
    <row r="116">
      <c r="K116" s="68"/>
      <c r="N116" s="68"/>
      <c r="O116" s="68"/>
      <c r="U116" s="2"/>
    </row>
    <row r="117">
      <c r="K117" s="68"/>
      <c r="N117" s="68"/>
      <c r="O117" s="68"/>
      <c r="U117" s="2"/>
    </row>
    <row r="118">
      <c r="K118" s="68"/>
      <c r="N118" s="68"/>
      <c r="O118" s="68"/>
      <c r="U118" s="2"/>
    </row>
    <row r="119">
      <c r="K119" s="68"/>
      <c r="N119" s="68"/>
      <c r="O119" s="68"/>
      <c r="U119" s="2"/>
    </row>
    <row r="120">
      <c r="K120" s="68"/>
      <c r="N120" s="68"/>
      <c r="O120" s="68"/>
      <c r="U120" s="2"/>
    </row>
    <row r="121">
      <c r="K121" s="68"/>
      <c r="N121" s="68"/>
      <c r="O121" s="68"/>
      <c r="U121" s="2"/>
    </row>
    <row r="122">
      <c r="K122" s="68"/>
      <c r="N122" s="68"/>
      <c r="O122" s="68"/>
      <c r="U122" s="2"/>
    </row>
    <row r="123">
      <c r="K123" s="68"/>
      <c r="N123" s="68"/>
      <c r="O123" s="68"/>
      <c r="U123" s="2"/>
    </row>
    <row r="124">
      <c r="K124" s="68"/>
      <c r="N124" s="68"/>
      <c r="O124" s="68"/>
      <c r="U124" s="2"/>
    </row>
    <row r="125">
      <c r="K125" s="68"/>
      <c r="N125" s="68"/>
      <c r="O125" s="68"/>
      <c r="U125" s="2"/>
    </row>
    <row r="126">
      <c r="K126" s="68"/>
      <c r="N126" s="68"/>
      <c r="O126" s="68"/>
      <c r="U126" s="2"/>
    </row>
    <row r="127">
      <c r="K127" s="68"/>
      <c r="N127" s="68"/>
      <c r="O127" s="68"/>
      <c r="U127" s="2"/>
    </row>
    <row r="128">
      <c r="K128" s="68"/>
      <c r="N128" s="68"/>
      <c r="O128" s="68"/>
      <c r="U128" s="2"/>
    </row>
    <row r="129">
      <c r="K129" s="68"/>
      <c r="N129" s="68"/>
      <c r="O129" s="68"/>
      <c r="U129" s="2"/>
    </row>
    <row r="130">
      <c r="K130" s="68"/>
      <c r="N130" s="68"/>
      <c r="O130" s="68"/>
      <c r="U130" s="2"/>
    </row>
    <row r="131">
      <c r="K131" s="68"/>
      <c r="N131" s="68"/>
      <c r="O131" s="68"/>
      <c r="U131" s="2"/>
    </row>
    <row r="132">
      <c r="K132" s="68"/>
      <c r="N132" s="68"/>
      <c r="O132" s="68"/>
      <c r="U132" s="2"/>
    </row>
    <row r="133">
      <c r="K133" s="68"/>
      <c r="N133" s="68"/>
      <c r="O133" s="68"/>
      <c r="U133" s="2"/>
    </row>
    <row r="134">
      <c r="K134" s="68"/>
      <c r="N134" s="68"/>
      <c r="O134" s="68"/>
      <c r="U134" s="2"/>
    </row>
    <row r="135">
      <c r="K135" s="68"/>
      <c r="N135" s="68"/>
      <c r="O135" s="68"/>
      <c r="U135" s="2"/>
    </row>
    <row r="136">
      <c r="K136" s="68"/>
      <c r="N136" s="68"/>
      <c r="O136" s="68"/>
      <c r="U136" s="2"/>
    </row>
    <row r="137">
      <c r="K137" s="68"/>
      <c r="N137" s="68"/>
      <c r="O137" s="68"/>
      <c r="U137" s="2"/>
    </row>
    <row r="138">
      <c r="K138" s="68"/>
      <c r="N138" s="68"/>
      <c r="O138" s="68"/>
      <c r="U138" s="2"/>
    </row>
    <row r="139">
      <c r="K139" s="68"/>
      <c r="N139" s="68"/>
      <c r="O139" s="68"/>
      <c r="U139" s="2"/>
    </row>
    <row r="140">
      <c r="K140" s="68"/>
      <c r="N140" s="68"/>
      <c r="O140" s="68"/>
      <c r="U140" s="2"/>
    </row>
    <row r="141">
      <c r="K141" s="68"/>
      <c r="N141" s="68"/>
      <c r="O141" s="68"/>
      <c r="U141" s="2"/>
    </row>
    <row r="142">
      <c r="K142" s="68"/>
      <c r="N142" s="68"/>
      <c r="O142" s="68"/>
      <c r="U142" s="2"/>
    </row>
    <row r="143">
      <c r="K143" s="68"/>
      <c r="N143" s="68"/>
      <c r="O143" s="68"/>
      <c r="U143" s="2"/>
    </row>
    <row r="144">
      <c r="K144" s="68"/>
      <c r="N144" s="68"/>
      <c r="O144" s="68"/>
      <c r="U144" s="2"/>
    </row>
    <row r="145">
      <c r="K145" s="68"/>
      <c r="N145" s="68"/>
      <c r="O145" s="68"/>
      <c r="U145" s="2"/>
    </row>
    <row r="146">
      <c r="K146" s="68"/>
      <c r="N146" s="68"/>
      <c r="O146" s="68"/>
      <c r="U146" s="2"/>
    </row>
    <row r="147">
      <c r="K147" s="68"/>
      <c r="N147" s="68"/>
      <c r="O147" s="68"/>
      <c r="U147" s="2"/>
    </row>
    <row r="148">
      <c r="K148" s="68"/>
      <c r="N148" s="68"/>
      <c r="O148" s="68"/>
      <c r="U148" s="2"/>
    </row>
    <row r="149">
      <c r="K149" s="68"/>
      <c r="N149" s="68"/>
      <c r="O149" s="68"/>
      <c r="U149" s="2"/>
    </row>
    <row r="150">
      <c r="K150" s="68"/>
      <c r="N150" s="68"/>
      <c r="O150" s="68"/>
      <c r="U150" s="2"/>
    </row>
    <row r="151">
      <c r="K151" s="68"/>
      <c r="N151" s="68"/>
      <c r="O151" s="68"/>
      <c r="U151" s="2"/>
    </row>
    <row r="152">
      <c r="K152" s="68"/>
      <c r="N152" s="68"/>
      <c r="O152" s="68"/>
      <c r="U152" s="2"/>
    </row>
    <row r="153">
      <c r="K153" s="68"/>
      <c r="N153" s="68"/>
      <c r="O153" s="68"/>
      <c r="U153" s="2"/>
    </row>
    <row r="154">
      <c r="K154" s="68"/>
      <c r="N154" s="68"/>
      <c r="O154" s="68"/>
      <c r="U154" s="2"/>
    </row>
    <row r="155">
      <c r="K155" s="68"/>
      <c r="N155" s="68"/>
      <c r="O155" s="68"/>
      <c r="U155" s="2"/>
    </row>
    <row r="156">
      <c r="K156" s="68"/>
      <c r="N156" s="68"/>
      <c r="O156" s="68"/>
      <c r="U156" s="2"/>
    </row>
    <row r="157">
      <c r="K157" s="68"/>
      <c r="N157" s="68"/>
      <c r="O157" s="68"/>
      <c r="U157" s="2"/>
    </row>
    <row r="158">
      <c r="K158" s="68"/>
      <c r="N158" s="68"/>
      <c r="O158" s="68"/>
      <c r="U158" s="2"/>
    </row>
    <row r="159">
      <c r="K159" s="68"/>
      <c r="N159" s="68"/>
      <c r="O159" s="68"/>
      <c r="U159" s="2"/>
    </row>
    <row r="160">
      <c r="K160" s="68"/>
      <c r="N160" s="68"/>
      <c r="O160" s="68"/>
      <c r="U160" s="2"/>
    </row>
    <row r="161">
      <c r="K161" s="68"/>
      <c r="N161" s="68"/>
      <c r="O161" s="68"/>
      <c r="U161" s="2"/>
    </row>
    <row r="162">
      <c r="K162" s="68"/>
      <c r="N162" s="68"/>
      <c r="O162" s="68"/>
      <c r="U162" s="2"/>
    </row>
    <row r="163">
      <c r="K163" s="68"/>
      <c r="N163" s="68"/>
      <c r="O163" s="68"/>
      <c r="U163" s="2"/>
    </row>
    <row r="164">
      <c r="K164" s="68"/>
      <c r="N164" s="68"/>
      <c r="O164" s="68"/>
      <c r="U164" s="2"/>
    </row>
    <row r="165">
      <c r="K165" s="68"/>
      <c r="N165" s="68"/>
      <c r="O165" s="68"/>
      <c r="U165" s="2"/>
    </row>
    <row r="166">
      <c r="K166" s="68"/>
      <c r="N166" s="68"/>
      <c r="O166" s="68"/>
      <c r="U166" s="2"/>
    </row>
    <row r="167">
      <c r="K167" s="68"/>
      <c r="N167" s="68"/>
      <c r="O167" s="68"/>
      <c r="U167" s="2"/>
    </row>
    <row r="168">
      <c r="K168" s="68"/>
      <c r="N168" s="68"/>
      <c r="O168" s="68"/>
      <c r="U168" s="2"/>
    </row>
    <row r="169">
      <c r="K169" s="68"/>
      <c r="N169" s="68"/>
      <c r="O169" s="68"/>
      <c r="U169" s="2"/>
    </row>
    <row r="170">
      <c r="K170" s="68"/>
      <c r="N170" s="68"/>
      <c r="O170" s="68"/>
      <c r="U170" s="2"/>
    </row>
    <row r="171">
      <c r="K171" s="68"/>
      <c r="N171" s="68"/>
      <c r="O171" s="68"/>
      <c r="U171" s="2"/>
    </row>
    <row r="172">
      <c r="K172" s="68"/>
      <c r="N172" s="68"/>
      <c r="O172" s="68"/>
      <c r="U172" s="2"/>
    </row>
    <row r="173">
      <c r="K173" s="68"/>
      <c r="N173" s="68"/>
      <c r="O173" s="68"/>
      <c r="U173" s="2"/>
    </row>
    <row r="174">
      <c r="K174" s="68"/>
      <c r="N174" s="68"/>
      <c r="O174" s="68"/>
      <c r="U174" s="2"/>
    </row>
    <row r="175">
      <c r="K175" s="68"/>
      <c r="N175" s="68"/>
      <c r="O175" s="68"/>
      <c r="U175" s="2"/>
    </row>
    <row r="176">
      <c r="K176" s="68"/>
      <c r="N176" s="68"/>
      <c r="O176" s="68"/>
      <c r="U176" s="2"/>
    </row>
    <row r="177">
      <c r="K177" s="68"/>
      <c r="N177" s="68"/>
      <c r="O177" s="68"/>
      <c r="U177" s="2"/>
    </row>
    <row r="178">
      <c r="K178" s="68"/>
      <c r="N178" s="68"/>
      <c r="O178" s="68"/>
      <c r="U178" s="2"/>
    </row>
    <row r="179">
      <c r="K179" s="68"/>
      <c r="N179" s="68"/>
      <c r="O179" s="68"/>
      <c r="U179" s="2"/>
    </row>
    <row r="180">
      <c r="K180" s="68"/>
      <c r="N180" s="68"/>
      <c r="O180" s="68"/>
      <c r="U180" s="2"/>
    </row>
    <row r="181">
      <c r="K181" s="68"/>
      <c r="N181" s="68"/>
      <c r="O181" s="68"/>
      <c r="U181" s="2"/>
    </row>
    <row r="182">
      <c r="K182" s="68"/>
      <c r="N182" s="68"/>
      <c r="O182" s="68"/>
      <c r="U182" s="2"/>
    </row>
    <row r="183">
      <c r="K183" s="68"/>
      <c r="N183" s="68"/>
      <c r="O183" s="68"/>
      <c r="U183" s="2"/>
    </row>
    <row r="184">
      <c r="K184" s="68"/>
      <c r="N184" s="68"/>
      <c r="O184" s="68"/>
      <c r="U184" s="2"/>
    </row>
    <row r="185">
      <c r="K185" s="68"/>
      <c r="N185" s="68"/>
      <c r="O185" s="68"/>
      <c r="U185" s="2"/>
    </row>
    <row r="186">
      <c r="K186" s="68"/>
      <c r="N186" s="68"/>
      <c r="O186" s="68"/>
      <c r="U186" s="2"/>
    </row>
    <row r="187">
      <c r="K187" s="68"/>
      <c r="N187" s="68"/>
      <c r="O187" s="68"/>
      <c r="U187" s="2"/>
    </row>
    <row r="188">
      <c r="K188" s="68"/>
      <c r="N188" s="68"/>
      <c r="O188" s="68"/>
      <c r="U188" s="2"/>
    </row>
    <row r="189">
      <c r="K189" s="68"/>
      <c r="N189" s="68"/>
      <c r="O189" s="68"/>
      <c r="U189" s="2"/>
    </row>
    <row r="190">
      <c r="K190" s="68"/>
      <c r="N190" s="68"/>
      <c r="O190" s="68"/>
      <c r="U190" s="2"/>
    </row>
    <row r="191">
      <c r="K191" s="68"/>
      <c r="N191" s="68"/>
      <c r="O191" s="68"/>
      <c r="U191" s="2"/>
    </row>
    <row r="192">
      <c r="K192" s="68"/>
      <c r="N192" s="68"/>
      <c r="O192" s="68"/>
      <c r="U192" s="2"/>
    </row>
    <row r="193">
      <c r="K193" s="68"/>
      <c r="N193" s="68"/>
      <c r="O193" s="68"/>
      <c r="U193" s="2"/>
    </row>
    <row r="194">
      <c r="K194" s="68"/>
      <c r="N194" s="68"/>
      <c r="O194" s="68"/>
      <c r="U194" s="2"/>
    </row>
    <row r="195">
      <c r="K195" s="68"/>
      <c r="N195" s="68"/>
      <c r="O195" s="68"/>
      <c r="U195" s="2"/>
    </row>
    <row r="196">
      <c r="K196" s="68"/>
      <c r="N196" s="68"/>
      <c r="O196" s="68"/>
      <c r="U196" s="2"/>
    </row>
    <row r="197">
      <c r="K197" s="68"/>
      <c r="N197" s="68"/>
      <c r="O197" s="68"/>
      <c r="U197" s="2"/>
    </row>
    <row r="198">
      <c r="K198" s="68"/>
      <c r="N198" s="68"/>
      <c r="O198" s="68"/>
      <c r="U198" s="2"/>
    </row>
    <row r="199">
      <c r="K199" s="68"/>
      <c r="N199" s="68"/>
      <c r="O199" s="68"/>
      <c r="U199" s="2"/>
    </row>
    <row r="200">
      <c r="K200" s="68"/>
      <c r="N200" s="68"/>
      <c r="O200" s="68"/>
      <c r="U200" s="2"/>
    </row>
    <row r="201">
      <c r="K201" s="68"/>
      <c r="N201" s="68"/>
      <c r="O201" s="68"/>
      <c r="U201" s="2"/>
    </row>
    <row r="202">
      <c r="K202" s="68"/>
      <c r="N202" s="68"/>
      <c r="O202" s="68"/>
      <c r="U202" s="2"/>
    </row>
    <row r="203">
      <c r="K203" s="68"/>
      <c r="N203" s="68"/>
      <c r="O203" s="68"/>
      <c r="U203" s="2"/>
    </row>
    <row r="204">
      <c r="K204" s="68"/>
      <c r="N204" s="68"/>
      <c r="O204" s="68"/>
      <c r="U204" s="2"/>
    </row>
    <row r="205">
      <c r="K205" s="68"/>
      <c r="N205" s="68"/>
      <c r="O205" s="68"/>
      <c r="U205" s="2"/>
    </row>
    <row r="206">
      <c r="K206" s="68"/>
      <c r="N206" s="68"/>
      <c r="O206" s="68"/>
      <c r="U206" s="2"/>
    </row>
    <row r="207">
      <c r="K207" s="68"/>
      <c r="N207" s="68"/>
      <c r="O207" s="68"/>
      <c r="U207" s="2"/>
    </row>
    <row r="208">
      <c r="K208" s="68"/>
      <c r="N208" s="68"/>
      <c r="O208" s="68"/>
      <c r="U208" s="2"/>
    </row>
    <row r="209">
      <c r="K209" s="68"/>
      <c r="N209" s="68"/>
      <c r="O209" s="68"/>
      <c r="U209" s="2"/>
    </row>
    <row r="210">
      <c r="K210" s="68"/>
      <c r="N210" s="68"/>
      <c r="O210" s="68"/>
      <c r="U210" s="2"/>
    </row>
    <row r="211">
      <c r="K211" s="68"/>
      <c r="N211" s="68"/>
      <c r="O211" s="68"/>
      <c r="U211" s="2"/>
    </row>
    <row r="212">
      <c r="K212" s="68"/>
      <c r="N212" s="68"/>
      <c r="O212" s="68"/>
      <c r="U212" s="2"/>
    </row>
    <row r="213">
      <c r="K213" s="68"/>
      <c r="N213" s="68"/>
      <c r="O213" s="68"/>
      <c r="U213" s="2"/>
    </row>
    <row r="214">
      <c r="K214" s="68"/>
      <c r="N214" s="68"/>
      <c r="O214" s="68"/>
      <c r="U214" s="2"/>
    </row>
    <row r="215">
      <c r="K215" s="68"/>
      <c r="N215" s="68"/>
      <c r="O215" s="68"/>
      <c r="U215" s="2"/>
    </row>
    <row r="216">
      <c r="K216" s="68"/>
      <c r="N216" s="68"/>
      <c r="O216" s="68"/>
      <c r="U216" s="2"/>
    </row>
    <row r="217">
      <c r="K217" s="68"/>
      <c r="N217" s="68"/>
      <c r="O217" s="68"/>
      <c r="U217" s="2"/>
    </row>
    <row r="218">
      <c r="K218" s="68"/>
      <c r="N218" s="68"/>
      <c r="O218" s="68"/>
      <c r="U218" s="2"/>
    </row>
    <row r="219">
      <c r="K219" s="68"/>
      <c r="N219" s="68"/>
      <c r="O219" s="68"/>
      <c r="U219" s="2"/>
    </row>
    <row r="220">
      <c r="K220" s="68"/>
      <c r="N220" s="68"/>
      <c r="O220" s="68"/>
      <c r="U220" s="2"/>
    </row>
    <row r="221">
      <c r="K221" s="68"/>
      <c r="N221" s="68"/>
      <c r="O221" s="68"/>
      <c r="U221" s="2"/>
    </row>
    <row r="222">
      <c r="K222" s="68"/>
      <c r="N222" s="68"/>
      <c r="O222" s="68"/>
      <c r="U222" s="2"/>
    </row>
    <row r="223">
      <c r="K223" s="68"/>
      <c r="N223" s="68"/>
      <c r="O223" s="68"/>
      <c r="U223" s="2"/>
    </row>
    <row r="224">
      <c r="K224" s="68"/>
      <c r="N224" s="68"/>
      <c r="O224" s="68"/>
      <c r="U224" s="2"/>
    </row>
    <row r="225">
      <c r="K225" s="68"/>
      <c r="N225" s="68"/>
      <c r="O225" s="68"/>
      <c r="U225" s="2"/>
    </row>
    <row r="226">
      <c r="K226" s="68"/>
      <c r="N226" s="68"/>
      <c r="O226" s="68"/>
      <c r="U226" s="2"/>
    </row>
    <row r="227">
      <c r="K227" s="68"/>
      <c r="N227" s="68"/>
      <c r="O227" s="68"/>
      <c r="U227" s="2"/>
    </row>
    <row r="228">
      <c r="K228" s="68"/>
      <c r="N228" s="68"/>
      <c r="O228" s="68"/>
      <c r="U228" s="2"/>
    </row>
    <row r="229">
      <c r="K229" s="68"/>
      <c r="N229" s="68"/>
      <c r="O229" s="68"/>
      <c r="U229" s="2"/>
    </row>
    <row r="230">
      <c r="K230" s="68"/>
      <c r="N230" s="68"/>
      <c r="O230" s="68"/>
      <c r="U230" s="2"/>
    </row>
    <row r="231">
      <c r="K231" s="68"/>
      <c r="N231" s="68"/>
      <c r="O231" s="68"/>
      <c r="U231" s="2"/>
    </row>
    <row r="232">
      <c r="K232" s="68"/>
      <c r="N232" s="68"/>
      <c r="O232" s="68"/>
      <c r="U232" s="2"/>
    </row>
    <row r="233">
      <c r="K233" s="68"/>
      <c r="N233" s="68"/>
      <c r="O233" s="68"/>
      <c r="U233" s="2"/>
    </row>
    <row r="234">
      <c r="K234" s="68"/>
      <c r="N234" s="68"/>
      <c r="O234" s="68"/>
      <c r="U234" s="2"/>
    </row>
    <row r="235">
      <c r="K235" s="68"/>
      <c r="N235" s="68"/>
      <c r="O235" s="68"/>
      <c r="U235" s="2"/>
    </row>
    <row r="236">
      <c r="K236" s="68"/>
      <c r="N236" s="68"/>
      <c r="O236" s="68"/>
      <c r="U236" s="2"/>
    </row>
    <row r="237">
      <c r="K237" s="68"/>
      <c r="N237" s="68"/>
      <c r="O237" s="68"/>
      <c r="U237" s="2"/>
    </row>
    <row r="238">
      <c r="K238" s="68"/>
      <c r="N238" s="68"/>
      <c r="O238" s="68"/>
      <c r="U238" s="2"/>
    </row>
    <row r="239">
      <c r="K239" s="68"/>
      <c r="N239" s="68"/>
      <c r="O239" s="68"/>
      <c r="U239" s="2"/>
    </row>
    <row r="240">
      <c r="K240" s="68"/>
      <c r="N240" s="68"/>
      <c r="O240" s="68"/>
      <c r="U240" s="2"/>
    </row>
    <row r="241">
      <c r="K241" s="68"/>
      <c r="N241" s="68"/>
      <c r="O241" s="68"/>
      <c r="U241" s="2"/>
    </row>
    <row r="242">
      <c r="K242" s="68"/>
      <c r="N242" s="68"/>
      <c r="O242" s="68"/>
      <c r="U242" s="2"/>
    </row>
    <row r="243">
      <c r="K243" s="68"/>
      <c r="N243" s="68"/>
      <c r="O243" s="68"/>
      <c r="U243" s="2"/>
    </row>
    <row r="244">
      <c r="K244" s="68"/>
      <c r="N244" s="68"/>
      <c r="O244" s="68"/>
      <c r="U244" s="2"/>
    </row>
    <row r="245">
      <c r="K245" s="68"/>
      <c r="N245" s="68"/>
      <c r="O245" s="68"/>
      <c r="U245" s="2"/>
    </row>
    <row r="246">
      <c r="K246" s="68"/>
      <c r="N246" s="68"/>
      <c r="O246" s="68"/>
      <c r="U246" s="2"/>
    </row>
    <row r="247">
      <c r="K247" s="68"/>
      <c r="N247" s="68"/>
      <c r="O247" s="68"/>
      <c r="U247" s="2"/>
    </row>
    <row r="248">
      <c r="K248" s="68"/>
      <c r="N248" s="68"/>
      <c r="O248" s="68"/>
      <c r="U248" s="2"/>
    </row>
    <row r="249">
      <c r="K249" s="68"/>
      <c r="N249" s="68"/>
      <c r="O249" s="68"/>
      <c r="U249" s="2"/>
    </row>
    <row r="250">
      <c r="K250" s="68"/>
      <c r="N250" s="68"/>
      <c r="O250" s="68"/>
      <c r="U250" s="2"/>
    </row>
    <row r="251">
      <c r="K251" s="68"/>
      <c r="N251" s="68"/>
      <c r="O251" s="68"/>
      <c r="U251" s="2"/>
    </row>
    <row r="252">
      <c r="K252" s="68"/>
      <c r="N252" s="68"/>
      <c r="O252" s="68"/>
      <c r="U252" s="2"/>
    </row>
    <row r="253">
      <c r="K253" s="68"/>
      <c r="N253" s="68"/>
      <c r="O253" s="68"/>
      <c r="U253" s="2"/>
    </row>
    <row r="254">
      <c r="K254" s="68"/>
      <c r="N254" s="68"/>
      <c r="O254" s="68"/>
      <c r="U254" s="2"/>
    </row>
    <row r="255">
      <c r="K255" s="68"/>
      <c r="N255" s="68"/>
      <c r="O255" s="68"/>
      <c r="U255" s="2"/>
    </row>
    <row r="256">
      <c r="K256" s="68"/>
      <c r="N256" s="68"/>
      <c r="O256" s="68"/>
      <c r="U256" s="2"/>
    </row>
    <row r="257">
      <c r="K257" s="68"/>
      <c r="N257" s="68"/>
      <c r="O257" s="68"/>
      <c r="U257" s="2"/>
    </row>
    <row r="258">
      <c r="K258" s="68"/>
      <c r="N258" s="68"/>
      <c r="O258" s="68"/>
      <c r="U258" s="2"/>
    </row>
    <row r="259">
      <c r="K259" s="68"/>
      <c r="N259" s="68"/>
      <c r="O259" s="68"/>
      <c r="U259" s="2"/>
    </row>
    <row r="260">
      <c r="K260" s="68"/>
      <c r="N260" s="68"/>
      <c r="O260" s="68"/>
      <c r="U260" s="2"/>
    </row>
    <row r="261">
      <c r="K261" s="68"/>
      <c r="N261" s="68"/>
      <c r="O261" s="68"/>
      <c r="U261" s="2"/>
    </row>
    <row r="262">
      <c r="K262" s="68"/>
      <c r="N262" s="68"/>
      <c r="O262" s="68"/>
      <c r="U262" s="2"/>
    </row>
    <row r="263">
      <c r="K263" s="68"/>
      <c r="N263" s="68"/>
      <c r="O263" s="68"/>
      <c r="U263" s="2"/>
    </row>
    <row r="264">
      <c r="K264" s="68"/>
      <c r="N264" s="68"/>
      <c r="O264" s="68"/>
      <c r="U264" s="2"/>
    </row>
    <row r="265">
      <c r="K265" s="68"/>
      <c r="N265" s="68"/>
      <c r="O265" s="68"/>
      <c r="U265" s="2"/>
    </row>
    <row r="266">
      <c r="K266" s="68"/>
      <c r="N266" s="68"/>
      <c r="O266" s="68"/>
      <c r="U266" s="2"/>
    </row>
    <row r="267">
      <c r="K267" s="68"/>
      <c r="N267" s="68"/>
      <c r="O267" s="68"/>
      <c r="U267" s="2"/>
    </row>
    <row r="268">
      <c r="K268" s="68"/>
      <c r="N268" s="68"/>
      <c r="O268" s="68"/>
      <c r="U268" s="2"/>
    </row>
    <row r="269">
      <c r="K269" s="68"/>
      <c r="N269" s="68"/>
      <c r="O269" s="68"/>
      <c r="U269" s="2"/>
    </row>
    <row r="270">
      <c r="K270" s="68"/>
      <c r="N270" s="68"/>
      <c r="O270" s="68"/>
      <c r="U270" s="2"/>
    </row>
    <row r="271">
      <c r="K271" s="68"/>
      <c r="N271" s="68"/>
      <c r="O271" s="68"/>
      <c r="U271" s="2"/>
    </row>
    <row r="272">
      <c r="K272" s="68"/>
      <c r="N272" s="68"/>
      <c r="O272" s="68"/>
      <c r="U272" s="2"/>
    </row>
    <row r="273">
      <c r="K273" s="68"/>
      <c r="N273" s="68"/>
      <c r="O273" s="68"/>
      <c r="U273" s="2"/>
    </row>
    <row r="274">
      <c r="K274" s="68"/>
      <c r="N274" s="68"/>
      <c r="O274" s="68"/>
      <c r="U274" s="2"/>
    </row>
    <row r="275">
      <c r="K275" s="68"/>
      <c r="N275" s="68"/>
      <c r="O275" s="68"/>
      <c r="U275" s="2"/>
    </row>
    <row r="276">
      <c r="K276" s="68"/>
      <c r="N276" s="68"/>
      <c r="O276" s="68"/>
      <c r="U276" s="2"/>
    </row>
    <row r="277">
      <c r="K277" s="68"/>
      <c r="N277" s="68"/>
      <c r="O277" s="68"/>
      <c r="U277" s="2"/>
    </row>
    <row r="278">
      <c r="K278" s="68"/>
      <c r="N278" s="68"/>
      <c r="O278" s="68"/>
      <c r="U278" s="2"/>
    </row>
    <row r="279">
      <c r="K279" s="68"/>
      <c r="N279" s="68"/>
      <c r="O279" s="68"/>
      <c r="U279" s="2"/>
    </row>
    <row r="280">
      <c r="K280" s="68"/>
      <c r="N280" s="68"/>
      <c r="O280" s="68"/>
      <c r="U280" s="2"/>
    </row>
    <row r="281">
      <c r="K281" s="68"/>
      <c r="N281" s="68"/>
      <c r="O281" s="68"/>
      <c r="U281" s="2"/>
    </row>
    <row r="282">
      <c r="K282" s="68"/>
      <c r="N282" s="68"/>
      <c r="O282" s="68"/>
      <c r="U282" s="2"/>
    </row>
    <row r="283">
      <c r="K283" s="68"/>
      <c r="N283" s="68"/>
      <c r="O283" s="68"/>
      <c r="U283" s="2"/>
    </row>
    <row r="284">
      <c r="K284" s="68"/>
      <c r="N284" s="68"/>
      <c r="O284" s="68"/>
      <c r="U284" s="2"/>
    </row>
    <row r="285">
      <c r="K285" s="68"/>
      <c r="N285" s="68"/>
      <c r="O285" s="68"/>
      <c r="U285" s="2"/>
    </row>
    <row r="286">
      <c r="K286" s="68"/>
      <c r="N286" s="68"/>
      <c r="O286" s="68"/>
      <c r="U286" s="2"/>
    </row>
    <row r="287">
      <c r="K287" s="68"/>
      <c r="N287" s="68"/>
      <c r="O287" s="68"/>
      <c r="U287" s="2"/>
    </row>
    <row r="288">
      <c r="K288" s="68"/>
      <c r="N288" s="68"/>
      <c r="O288" s="68"/>
      <c r="U288" s="2"/>
    </row>
    <row r="289">
      <c r="K289" s="68"/>
      <c r="N289" s="68"/>
      <c r="O289" s="68"/>
      <c r="U289" s="2"/>
    </row>
    <row r="290">
      <c r="K290" s="68"/>
      <c r="N290" s="68"/>
      <c r="O290" s="68"/>
      <c r="U290" s="2"/>
    </row>
    <row r="291">
      <c r="K291" s="68"/>
      <c r="N291" s="68"/>
      <c r="O291" s="68"/>
      <c r="U291" s="2"/>
    </row>
    <row r="292">
      <c r="K292" s="68"/>
      <c r="N292" s="68"/>
      <c r="O292" s="68"/>
      <c r="U292" s="2"/>
    </row>
    <row r="293">
      <c r="K293" s="68"/>
      <c r="N293" s="68"/>
      <c r="O293" s="68"/>
      <c r="U293" s="2"/>
    </row>
    <row r="294">
      <c r="K294" s="68"/>
      <c r="N294" s="68"/>
      <c r="O294" s="68"/>
      <c r="U294" s="2"/>
    </row>
    <row r="295">
      <c r="K295" s="68"/>
      <c r="N295" s="68"/>
      <c r="O295" s="68"/>
      <c r="U295" s="2"/>
    </row>
    <row r="296">
      <c r="K296" s="68"/>
      <c r="N296" s="68"/>
      <c r="O296" s="68"/>
      <c r="U296" s="2"/>
    </row>
    <row r="297">
      <c r="K297" s="68"/>
      <c r="N297" s="68"/>
      <c r="O297" s="68"/>
      <c r="U297" s="2"/>
    </row>
    <row r="298">
      <c r="K298" s="68"/>
      <c r="N298" s="68"/>
      <c r="O298" s="68"/>
      <c r="U298" s="2"/>
    </row>
    <row r="299">
      <c r="K299" s="68"/>
      <c r="N299" s="68"/>
      <c r="O299" s="68"/>
      <c r="U299" s="2"/>
    </row>
    <row r="300">
      <c r="K300" s="68"/>
      <c r="N300" s="68"/>
      <c r="O300" s="68"/>
      <c r="U300" s="2"/>
    </row>
    <row r="301">
      <c r="K301" s="68"/>
      <c r="N301" s="68"/>
      <c r="O301" s="68"/>
      <c r="U301" s="2"/>
    </row>
    <row r="302">
      <c r="K302" s="68"/>
      <c r="N302" s="68"/>
      <c r="O302" s="68"/>
      <c r="U302" s="2"/>
    </row>
    <row r="303">
      <c r="K303" s="68"/>
      <c r="N303" s="68"/>
      <c r="O303" s="68"/>
      <c r="U303" s="2"/>
    </row>
    <row r="304">
      <c r="K304" s="68"/>
      <c r="N304" s="68"/>
      <c r="O304" s="68"/>
      <c r="U304" s="2"/>
    </row>
    <row r="305">
      <c r="K305" s="68"/>
      <c r="N305" s="68"/>
      <c r="O305" s="68"/>
      <c r="U305" s="2"/>
    </row>
    <row r="306">
      <c r="K306" s="68"/>
      <c r="N306" s="68"/>
      <c r="O306" s="68"/>
      <c r="U306" s="2"/>
    </row>
    <row r="307">
      <c r="K307" s="68"/>
      <c r="N307" s="68"/>
      <c r="O307" s="68"/>
      <c r="U307" s="2"/>
    </row>
    <row r="308">
      <c r="K308" s="68"/>
      <c r="N308" s="68"/>
      <c r="O308" s="68"/>
      <c r="U308" s="2"/>
    </row>
    <row r="309">
      <c r="K309" s="68"/>
      <c r="N309" s="68"/>
      <c r="O309" s="68"/>
      <c r="U309" s="2"/>
    </row>
    <row r="310">
      <c r="K310" s="68"/>
      <c r="N310" s="68"/>
      <c r="O310" s="68"/>
      <c r="U310" s="2"/>
    </row>
    <row r="311">
      <c r="K311" s="68"/>
      <c r="N311" s="68"/>
      <c r="O311" s="68"/>
      <c r="U311" s="2"/>
    </row>
    <row r="312">
      <c r="K312" s="68"/>
      <c r="N312" s="68"/>
      <c r="O312" s="68"/>
      <c r="U312" s="2"/>
    </row>
    <row r="313">
      <c r="K313" s="68"/>
      <c r="N313" s="68"/>
      <c r="O313" s="68"/>
      <c r="U313" s="2"/>
    </row>
    <row r="314">
      <c r="K314" s="68"/>
      <c r="N314" s="68"/>
      <c r="O314" s="68"/>
      <c r="U314" s="2"/>
    </row>
    <row r="315">
      <c r="K315" s="68"/>
      <c r="N315" s="68"/>
      <c r="O315" s="68"/>
      <c r="U315" s="2"/>
    </row>
    <row r="316">
      <c r="K316" s="68"/>
      <c r="N316" s="68"/>
      <c r="O316" s="68"/>
      <c r="U316" s="2"/>
    </row>
    <row r="317">
      <c r="K317" s="68"/>
      <c r="N317" s="68"/>
      <c r="O317" s="68"/>
      <c r="U317" s="2"/>
    </row>
    <row r="318">
      <c r="K318" s="68"/>
      <c r="N318" s="68"/>
      <c r="O318" s="68"/>
      <c r="U318" s="2"/>
    </row>
    <row r="319">
      <c r="K319" s="68"/>
      <c r="N319" s="68"/>
      <c r="O319" s="68"/>
      <c r="U319" s="2"/>
    </row>
    <row r="320">
      <c r="K320" s="68"/>
      <c r="N320" s="68"/>
      <c r="O320" s="68"/>
      <c r="U320" s="2"/>
    </row>
    <row r="321">
      <c r="K321" s="68"/>
      <c r="N321" s="68"/>
      <c r="O321" s="68"/>
      <c r="U321" s="2"/>
    </row>
    <row r="322">
      <c r="K322" s="68"/>
      <c r="N322" s="68"/>
      <c r="O322" s="68"/>
      <c r="U322" s="2"/>
    </row>
    <row r="323">
      <c r="K323" s="68"/>
      <c r="N323" s="68"/>
      <c r="O323" s="68"/>
      <c r="U323" s="2"/>
    </row>
    <row r="324">
      <c r="K324" s="68"/>
      <c r="N324" s="68"/>
      <c r="O324" s="68"/>
      <c r="U324" s="2"/>
    </row>
    <row r="325">
      <c r="K325" s="68"/>
      <c r="N325" s="68"/>
      <c r="O325" s="68"/>
      <c r="U325" s="2"/>
    </row>
    <row r="326">
      <c r="K326" s="68"/>
      <c r="N326" s="68"/>
      <c r="O326" s="68"/>
      <c r="U326" s="2"/>
    </row>
    <row r="327">
      <c r="K327" s="68"/>
      <c r="N327" s="68"/>
      <c r="O327" s="68"/>
      <c r="U327" s="2"/>
    </row>
    <row r="328">
      <c r="K328" s="68"/>
      <c r="N328" s="68"/>
      <c r="O328" s="68"/>
      <c r="U328" s="2"/>
    </row>
    <row r="329">
      <c r="K329" s="68"/>
      <c r="N329" s="68"/>
      <c r="O329" s="68"/>
      <c r="U329" s="2"/>
    </row>
    <row r="330">
      <c r="K330" s="68"/>
      <c r="N330" s="68"/>
      <c r="O330" s="68"/>
      <c r="U330" s="2"/>
    </row>
    <row r="331">
      <c r="K331" s="68"/>
      <c r="N331" s="68"/>
      <c r="O331" s="68"/>
      <c r="U331" s="2"/>
    </row>
    <row r="332">
      <c r="K332" s="68"/>
      <c r="N332" s="68"/>
      <c r="O332" s="68"/>
      <c r="U332" s="2"/>
    </row>
    <row r="333">
      <c r="K333" s="68"/>
      <c r="N333" s="68"/>
      <c r="O333" s="68"/>
      <c r="U333" s="2"/>
    </row>
    <row r="334">
      <c r="K334" s="68"/>
      <c r="N334" s="68"/>
      <c r="O334" s="68"/>
      <c r="U334" s="2"/>
    </row>
    <row r="335">
      <c r="K335" s="68"/>
      <c r="N335" s="68"/>
      <c r="O335" s="68"/>
      <c r="U335" s="2"/>
    </row>
    <row r="336">
      <c r="K336" s="68"/>
      <c r="N336" s="68"/>
      <c r="O336" s="68"/>
      <c r="U336" s="2"/>
    </row>
    <row r="337">
      <c r="K337" s="68"/>
      <c r="N337" s="68"/>
      <c r="O337" s="68"/>
      <c r="U337" s="2"/>
    </row>
    <row r="338">
      <c r="K338" s="68"/>
      <c r="N338" s="68"/>
      <c r="O338" s="68"/>
      <c r="U338" s="2"/>
    </row>
    <row r="339">
      <c r="K339" s="68"/>
      <c r="N339" s="68"/>
      <c r="O339" s="68"/>
      <c r="U339" s="2"/>
    </row>
    <row r="340">
      <c r="K340" s="68"/>
      <c r="N340" s="68"/>
      <c r="O340" s="68"/>
      <c r="U340" s="2"/>
    </row>
    <row r="341">
      <c r="K341" s="68"/>
      <c r="N341" s="68"/>
      <c r="O341" s="68"/>
      <c r="U341" s="2"/>
    </row>
    <row r="342">
      <c r="K342" s="68"/>
      <c r="N342" s="68"/>
      <c r="O342" s="68"/>
      <c r="U342" s="2"/>
    </row>
    <row r="343">
      <c r="K343" s="68"/>
      <c r="N343" s="68"/>
      <c r="O343" s="68"/>
      <c r="U343" s="2"/>
    </row>
    <row r="344">
      <c r="K344" s="68"/>
      <c r="N344" s="68"/>
      <c r="O344" s="68"/>
      <c r="U344" s="2"/>
    </row>
    <row r="345">
      <c r="K345" s="68"/>
      <c r="N345" s="68"/>
      <c r="O345" s="68"/>
      <c r="U345" s="2"/>
    </row>
    <row r="346">
      <c r="K346" s="68"/>
      <c r="N346" s="68"/>
      <c r="O346" s="68"/>
      <c r="U346" s="2"/>
    </row>
    <row r="347">
      <c r="K347" s="68"/>
      <c r="N347" s="68"/>
      <c r="O347" s="68"/>
      <c r="U347" s="2"/>
    </row>
    <row r="348">
      <c r="K348" s="68"/>
      <c r="N348" s="68"/>
      <c r="O348" s="68"/>
      <c r="U348" s="2"/>
    </row>
    <row r="349">
      <c r="K349" s="68"/>
      <c r="N349" s="68"/>
      <c r="O349" s="68"/>
      <c r="U349" s="2"/>
    </row>
    <row r="350">
      <c r="K350" s="68"/>
      <c r="N350" s="68"/>
      <c r="O350" s="68"/>
      <c r="U350" s="2"/>
    </row>
    <row r="351">
      <c r="K351" s="68"/>
      <c r="N351" s="68"/>
      <c r="O351" s="68"/>
      <c r="U351" s="2"/>
    </row>
    <row r="352">
      <c r="K352" s="68"/>
      <c r="N352" s="68"/>
      <c r="O352" s="68"/>
      <c r="U352" s="2"/>
    </row>
    <row r="353">
      <c r="K353" s="68"/>
      <c r="N353" s="68"/>
      <c r="O353" s="68"/>
      <c r="U353" s="2"/>
    </row>
    <row r="354">
      <c r="K354" s="68"/>
      <c r="N354" s="68"/>
      <c r="O354" s="68"/>
      <c r="U354" s="2"/>
    </row>
    <row r="355">
      <c r="K355" s="68"/>
      <c r="N355" s="68"/>
      <c r="O355" s="68"/>
      <c r="U355" s="2"/>
    </row>
    <row r="356">
      <c r="K356" s="68"/>
      <c r="N356" s="68"/>
      <c r="O356" s="68"/>
      <c r="U356" s="2"/>
    </row>
    <row r="357">
      <c r="K357" s="68"/>
      <c r="N357" s="68"/>
      <c r="O357" s="68"/>
      <c r="U357" s="2"/>
    </row>
    <row r="358">
      <c r="K358" s="68"/>
      <c r="N358" s="68"/>
      <c r="O358" s="68"/>
      <c r="U358" s="2"/>
    </row>
    <row r="359">
      <c r="K359" s="68"/>
      <c r="N359" s="68"/>
      <c r="O359" s="68"/>
      <c r="U359" s="2"/>
    </row>
    <row r="360">
      <c r="K360" s="68"/>
      <c r="N360" s="68"/>
      <c r="O360" s="68"/>
      <c r="U360" s="2"/>
    </row>
    <row r="361">
      <c r="K361" s="68"/>
      <c r="N361" s="68"/>
      <c r="O361" s="68"/>
      <c r="U361" s="2"/>
    </row>
    <row r="362">
      <c r="K362" s="68"/>
      <c r="N362" s="68"/>
      <c r="O362" s="68"/>
      <c r="U362" s="2"/>
    </row>
    <row r="363">
      <c r="K363" s="68"/>
      <c r="N363" s="68"/>
      <c r="O363" s="68"/>
      <c r="U363" s="2"/>
    </row>
    <row r="364">
      <c r="K364" s="68"/>
      <c r="N364" s="68"/>
      <c r="O364" s="68"/>
      <c r="U364" s="2"/>
    </row>
    <row r="365">
      <c r="K365" s="68"/>
      <c r="N365" s="68"/>
      <c r="O365" s="68"/>
      <c r="U365" s="2"/>
    </row>
    <row r="366">
      <c r="K366" s="68"/>
      <c r="N366" s="68"/>
      <c r="O366" s="68"/>
      <c r="U366" s="2"/>
    </row>
    <row r="367">
      <c r="K367" s="68"/>
      <c r="N367" s="68"/>
      <c r="O367" s="68"/>
      <c r="U367" s="2"/>
    </row>
    <row r="368">
      <c r="K368" s="68"/>
      <c r="N368" s="68"/>
      <c r="O368" s="68"/>
      <c r="U368" s="2"/>
    </row>
    <row r="369">
      <c r="K369" s="68"/>
      <c r="N369" s="68"/>
      <c r="O369" s="68"/>
      <c r="U369" s="2"/>
    </row>
    <row r="370">
      <c r="K370" s="68"/>
      <c r="N370" s="68"/>
      <c r="O370" s="68"/>
      <c r="U370" s="2"/>
    </row>
    <row r="371">
      <c r="K371" s="68"/>
      <c r="N371" s="68"/>
      <c r="O371" s="68"/>
      <c r="U371" s="2"/>
    </row>
    <row r="372">
      <c r="K372" s="68"/>
      <c r="N372" s="68"/>
      <c r="O372" s="68"/>
      <c r="U372" s="2"/>
    </row>
    <row r="373">
      <c r="K373" s="68"/>
      <c r="N373" s="68"/>
      <c r="O373" s="68"/>
      <c r="U373" s="2"/>
    </row>
    <row r="374">
      <c r="K374" s="68"/>
      <c r="N374" s="68"/>
      <c r="O374" s="68"/>
      <c r="U374" s="2"/>
    </row>
    <row r="375">
      <c r="K375" s="68"/>
      <c r="N375" s="68"/>
      <c r="O375" s="68"/>
      <c r="U375" s="2"/>
    </row>
    <row r="376">
      <c r="K376" s="68"/>
      <c r="N376" s="68"/>
      <c r="O376" s="68"/>
      <c r="U376" s="2"/>
    </row>
    <row r="377">
      <c r="K377" s="68"/>
      <c r="N377" s="68"/>
      <c r="O377" s="68"/>
      <c r="U377" s="2"/>
    </row>
    <row r="378">
      <c r="K378" s="68"/>
      <c r="N378" s="68"/>
      <c r="O378" s="68"/>
      <c r="U378" s="2"/>
    </row>
    <row r="379">
      <c r="K379" s="68"/>
      <c r="N379" s="68"/>
      <c r="O379" s="68"/>
      <c r="U379" s="2"/>
    </row>
    <row r="380">
      <c r="K380" s="68"/>
      <c r="N380" s="68"/>
      <c r="O380" s="68"/>
      <c r="U380" s="2"/>
    </row>
    <row r="381">
      <c r="K381" s="68"/>
      <c r="N381" s="68"/>
      <c r="O381" s="68"/>
      <c r="U381" s="2"/>
    </row>
    <row r="382">
      <c r="K382" s="68"/>
      <c r="N382" s="68"/>
      <c r="O382" s="68"/>
      <c r="U382" s="2"/>
    </row>
    <row r="383">
      <c r="K383" s="68"/>
      <c r="N383" s="68"/>
      <c r="O383" s="68"/>
      <c r="U383" s="2"/>
    </row>
    <row r="384">
      <c r="K384" s="68"/>
      <c r="N384" s="68"/>
      <c r="O384" s="68"/>
      <c r="U384" s="2"/>
    </row>
    <row r="385">
      <c r="K385" s="68"/>
      <c r="N385" s="68"/>
      <c r="O385" s="68"/>
      <c r="U385" s="2"/>
    </row>
    <row r="386">
      <c r="K386" s="68"/>
      <c r="N386" s="68"/>
      <c r="O386" s="68"/>
      <c r="U386" s="2"/>
    </row>
    <row r="387">
      <c r="K387" s="68"/>
      <c r="N387" s="68"/>
      <c r="O387" s="68"/>
      <c r="U387" s="2"/>
    </row>
    <row r="388">
      <c r="K388" s="68"/>
      <c r="N388" s="68"/>
      <c r="O388" s="68"/>
      <c r="U388" s="2"/>
    </row>
    <row r="389">
      <c r="K389" s="68"/>
      <c r="N389" s="68"/>
      <c r="O389" s="68"/>
      <c r="U389" s="2"/>
    </row>
    <row r="390">
      <c r="K390" s="68"/>
      <c r="N390" s="68"/>
      <c r="O390" s="68"/>
      <c r="U390" s="2"/>
    </row>
    <row r="391">
      <c r="K391" s="68"/>
      <c r="N391" s="68"/>
      <c r="O391" s="68"/>
      <c r="U391" s="2"/>
    </row>
    <row r="392">
      <c r="K392" s="68"/>
      <c r="N392" s="68"/>
      <c r="O392" s="68"/>
      <c r="U392" s="2"/>
    </row>
    <row r="393">
      <c r="K393" s="68"/>
      <c r="N393" s="68"/>
      <c r="O393" s="68"/>
      <c r="U393" s="2"/>
    </row>
    <row r="394">
      <c r="K394" s="68"/>
      <c r="N394" s="68"/>
      <c r="O394" s="68"/>
      <c r="U394" s="2"/>
    </row>
    <row r="395">
      <c r="K395" s="68"/>
      <c r="N395" s="68"/>
      <c r="O395" s="68"/>
      <c r="U395" s="2"/>
    </row>
    <row r="396">
      <c r="K396" s="68"/>
      <c r="N396" s="68"/>
      <c r="O396" s="68"/>
      <c r="U396" s="2"/>
    </row>
    <row r="397">
      <c r="K397" s="68"/>
      <c r="N397" s="68"/>
      <c r="O397" s="68"/>
      <c r="U397" s="2"/>
    </row>
    <row r="398">
      <c r="K398" s="68"/>
      <c r="N398" s="68"/>
      <c r="O398" s="68"/>
      <c r="U398" s="2"/>
    </row>
    <row r="399">
      <c r="K399" s="68"/>
      <c r="N399" s="68"/>
      <c r="O399" s="68"/>
      <c r="U399" s="2"/>
    </row>
    <row r="400">
      <c r="K400" s="68"/>
      <c r="N400" s="68"/>
      <c r="O400" s="68"/>
      <c r="U400" s="2"/>
    </row>
    <row r="401">
      <c r="K401" s="68"/>
      <c r="N401" s="68"/>
      <c r="O401" s="68"/>
      <c r="U401" s="2"/>
    </row>
    <row r="402">
      <c r="K402" s="68"/>
      <c r="N402" s="68"/>
      <c r="O402" s="68"/>
      <c r="U402" s="2"/>
    </row>
    <row r="403">
      <c r="K403" s="68"/>
      <c r="N403" s="68"/>
      <c r="O403" s="68"/>
      <c r="U403" s="2"/>
    </row>
    <row r="404">
      <c r="K404" s="68"/>
      <c r="N404" s="68"/>
      <c r="O404" s="68"/>
      <c r="U404" s="2"/>
    </row>
    <row r="405">
      <c r="K405" s="68"/>
      <c r="N405" s="68"/>
      <c r="O405" s="68"/>
      <c r="U405" s="2"/>
    </row>
    <row r="406">
      <c r="K406" s="68"/>
      <c r="N406" s="68"/>
      <c r="O406" s="68"/>
      <c r="U406" s="2"/>
    </row>
    <row r="407">
      <c r="K407" s="68"/>
      <c r="N407" s="68"/>
      <c r="O407" s="68"/>
      <c r="U407" s="2"/>
    </row>
    <row r="408">
      <c r="K408" s="68"/>
      <c r="N408" s="68"/>
      <c r="O408" s="68"/>
      <c r="U408" s="2"/>
    </row>
    <row r="409">
      <c r="K409" s="68"/>
      <c r="N409" s="68"/>
      <c r="O409" s="68"/>
      <c r="U409" s="2"/>
    </row>
    <row r="410">
      <c r="K410" s="68"/>
      <c r="N410" s="68"/>
      <c r="O410" s="68"/>
      <c r="U410" s="2"/>
    </row>
    <row r="411">
      <c r="K411" s="68"/>
      <c r="N411" s="68"/>
      <c r="O411" s="68"/>
      <c r="U411" s="2"/>
    </row>
    <row r="412">
      <c r="K412" s="68"/>
      <c r="N412" s="68"/>
      <c r="O412" s="68"/>
      <c r="U412" s="2"/>
    </row>
    <row r="413">
      <c r="K413" s="68"/>
      <c r="N413" s="68"/>
      <c r="O413" s="68"/>
      <c r="U413" s="2"/>
    </row>
    <row r="414">
      <c r="K414" s="68"/>
      <c r="N414" s="68"/>
      <c r="O414" s="68"/>
      <c r="U414" s="2"/>
    </row>
    <row r="415">
      <c r="K415" s="68"/>
      <c r="N415" s="68"/>
      <c r="O415" s="68"/>
      <c r="U415" s="2"/>
    </row>
    <row r="416">
      <c r="K416" s="68"/>
      <c r="N416" s="68"/>
      <c r="O416" s="68"/>
      <c r="U416" s="2"/>
    </row>
    <row r="417">
      <c r="K417" s="68"/>
      <c r="N417" s="68"/>
      <c r="O417" s="68"/>
      <c r="U417" s="2"/>
    </row>
    <row r="418">
      <c r="K418" s="68"/>
      <c r="N418" s="68"/>
      <c r="O418" s="68"/>
      <c r="U418" s="2"/>
    </row>
    <row r="419">
      <c r="K419" s="68"/>
      <c r="N419" s="68"/>
      <c r="O419" s="68"/>
      <c r="U419" s="2"/>
    </row>
    <row r="420">
      <c r="K420" s="68"/>
      <c r="N420" s="68"/>
      <c r="O420" s="68"/>
      <c r="U420" s="2"/>
    </row>
    <row r="421">
      <c r="K421" s="68"/>
      <c r="N421" s="68"/>
      <c r="O421" s="68"/>
      <c r="U421" s="2"/>
    </row>
    <row r="422">
      <c r="K422" s="68"/>
      <c r="N422" s="68"/>
      <c r="O422" s="68"/>
      <c r="U422" s="2"/>
    </row>
    <row r="423">
      <c r="K423" s="68"/>
      <c r="N423" s="68"/>
      <c r="O423" s="68"/>
      <c r="U423" s="2"/>
    </row>
    <row r="424">
      <c r="K424" s="68"/>
      <c r="N424" s="68"/>
      <c r="O424" s="68"/>
      <c r="U424" s="2"/>
    </row>
    <row r="425">
      <c r="K425" s="68"/>
      <c r="N425" s="68"/>
      <c r="O425" s="68"/>
      <c r="U425" s="2"/>
    </row>
    <row r="426">
      <c r="K426" s="68"/>
      <c r="N426" s="68"/>
      <c r="O426" s="68"/>
      <c r="U426" s="2"/>
    </row>
    <row r="427">
      <c r="K427" s="68"/>
      <c r="N427" s="68"/>
      <c r="O427" s="68"/>
      <c r="U427" s="2"/>
    </row>
    <row r="428">
      <c r="K428" s="68"/>
      <c r="N428" s="68"/>
      <c r="O428" s="68"/>
      <c r="U428" s="2"/>
    </row>
    <row r="429">
      <c r="K429" s="68"/>
      <c r="N429" s="68"/>
      <c r="O429" s="68"/>
      <c r="U429" s="2"/>
    </row>
    <row r="430">
      <c r="K430" s="68"/>
      <c r="N430" s="68"/>
      <c r="O430" s="68"/>
      <c r="U430" s="2"/>
    </row>
    <row r="431">
      <c r="K431" s="68"/>
      <c r="N431" s="68"/>
      <c r="O431" s="68"/>
      <c r="U431" s="2"/>
    </row>
    <row r="432">
      <c r="K432" s="68"/>
      <c r="N432" s="68"/>
      <c r="O432" s="68"/>
      <c r="U432" s="2"/>
    </row>
    <row r="433">
      <c r="K433" s="68"/>
      <c r="N433" s="68"/>
      <c r="O433" s="68"/>
      <c r="U433" s="2"/>
    </row>
    <row r="434">
      <c r="K434" s="68"/>
      <c r="N434" s="68"/>
      <c r="O434" s="68"/>
      <c r="U434" s="2"/>
    </row>
    <row r="435">
      <c r="K435" s="68"/>
      <c r="N435" s="68"/>
      <c r="O435" s="68"/>
      <c r="U435" s="2"/>
    </row>
    <row r="436">
      <c r="K436" s="68"/>
      <c r="N436" s="68"/>
      <c r="O436" s="68"/>
      <c r="U436" s="2"/>
    </row>
    <row r="437">
      <c r="K437" s="68"/>
      <c r="N437" s="68"/>
      <c r="O437" s="68"/>
      <c r="U437" s="2"/>
    </row>
    <row r="438">
      <c r="K438" s="68"/>
      <c r="N438" s="68"/>
      <c r="O438" s="68"/>
      <c r="U438" s="2"/>
    </row>
    <row r="439">
      <c r="K439" s="68"/>
      <c r="N439" s="68"/>
      <c r="O439" s="68"/>
      <c r="U439" s="2"/>
    </row>
    <row r="440">
      <c r="K440" s="68"/>
      <c r="N440" s="68"/>
      <c r="O440" s="68"/>
      <c r="U440" s="2"/>
    </row>
    <row r="441">
      <c r="K441" s="68"/>
      <c r="N441" s="68"/>
      <c r="O441" s="68"/>
      <c r="U441" s="2"/>
    </row>
    <row r="442">
      <c r="K442" s="68"/>
      <c r="N442" s="68"/>
      <c r="O442" s="68"/>
      <c r="U442" s="2"/>
    </row>
    <row r="443">
      <c r="K443" s="68"/>
      <c r="N443" s="68"/>
      <c r="O443" s="68"/>
      <c r="U443" s="2"/>
    </row>
    <row r="444">
      <c r="K444" s="68"/>
      <c r="N444" s="68"/>
      <c r="O444" s="68"/>
      <c r="U444" s="2"/>
    </row>
    <row r="445">
      <c r="K445" s="68"/>
      <c r="N445" s="68"/>
      <c r="O445" s="68"/>
      <c r="U445" s="2"/>
    </row>
    <row r="446">
      <c r="K446" s="68"/>
      <c r="N446" s="68"/>
      <c r="O446" s="68"/>
      <c r="U446" s="2"/>
    </row>
    <row r="447">
      <c r="K447" s="68"/>
      <c r="N447" s="68"/>
      <c r="O447" s="68"/>
      <c r="U447" s="2"/>
    </row>
    <row r="448">
      <c r="K448" s="68"/>
      <c r="N448" s="68"/>
      <c r="O448" s="68"/>
      <c r="U448" s="2"/>
    </row>
    <row r="449">
      <c r="K449" s="68"/>
      <c r="N449" s="68"/>
      <c r="O449" s="68"/>
      <c r="U449" s="2"/>
    </row>
    <row r="450">
      <c r="K450" s="68"/>
      <c r="N450" s="68"/>
      <c r="O450" s="68"/>
      <c r="U450" s="2"/>
    </row>
    <row r="451">
      <c r="K451" s="68"/>
      <c r="N451" s="68"/>
      <c r="O451" s="68"/>
      <c r="U451" s="2"/>
    </row>
    <row r="452">
      <c r="K452" s="68"/>
      <c r="N452" s="68"/>
      <c r="O452" s="68"/>
      <c r="U452" s="2"/>
    </row>
    <row r="453">
      <c r="K453" s="68"/>
      <c r="N453" s="68"/>
      <c r="O453" s="68"/>
      <c r="U453" s="2"/>
    </row>
    <row r="454">
      <c r="K454" s="68"/>
      <c r="N454" s="68"/>
      <c r="O454" s="68"/>
      <c r="U454" s="2"/>
    </row>
    <row r="455">
      <c r="K455" s="68"/>
      <c r="N455" s="68"/>
      <c r="O455" s="68"/>
      <c r="U455" s="2"/>
    </row>
    <row r="456">
      <c r="K456" s="68"/>
      <c r="N456" s="68"/>
      <c r="O456" s="68"/>
      <c r="U456" s="2"/>
    </row>
    <row r="457">
      <c r="K457" s="68"/>
      <c r="N457" s="68"/>
      <c r="O457" s="68"/>
      <c r="U457" s="2"/>
    </row>
    <row r="458">
      <c r="K458" s="68"/>
      <c r="N458" s="68"/>
      <c r="O458" s="68"/>
      <c r="U458" s="2"/>
    </row>
    <row r="459">
      <c r="K459" s="68"/>
      <c r="N459" s="68"/>
      <c r="O459" s="68"/>
      <c r="U459" s="2"/>
    </row>
    <row r="460">
      <c r="K460" s="68"/>
      <c r="N460" s="68"/>
      <c r="O460" s="68"/>
      <c r="U460" s="2"/>
    </row>
    <row r="461">
      <c r="K461" s="68"/>
      <c r="N461" s="68"/>
      <c r="O461" s="68"/>
      <c r="U461" s="2"/>
    </row>
    <row r="462">
      <c r="K462" s="68"/>
      <c r="N462" s="68"/>
      <c r="O462" s="68"/>
      <c r="U462" s="2"/>
    </row>
    <row r="463">
      <c r="K463" s="68"/>
      <c r="N463" s="68"/>
      <c r="O463" s="68"/>
      <c r="U463" s="2"/>
    </row>
    <row r="464">
      <c r="K464" s="68"/>
      <c r="N464" s="68"/>
      <c r="O464" s="68"/>
      <c r="U464" s="2"/>
    </row>
    <row r="465">
      <c r="K465" s="68"/>
      <c r="N465" s="68"/>
      <c r="O465" s="68"/>
      <c r="U465" s="2"/>
    </row>
    <row r="466">
      <c r="K466" s="68"/>
      <c r="N466" s="68"/>
      <c r="O466" s="68"/>
      <c r="U466" s="2"/>
    </row>
    <row r="467">
      <c r="K467" s="68"/>
      <c r="N467" s="68"/>
      <c r="O467" s="68"/>
      <c r="U467" s="2"/>
    </row>
    <row r="468">
      <c r="K468" s="68"/>
      <c r="N468" s="68"/>
      <c r="O468" s="68"/>
      <c r="U468" s="2"/>
    </row>
    <row r="469">
      <c r="K469" s="68"/>
      <c r="N469" s="68"/>
      <c r="O469" s="68"/>
      <c r="U469" s="2"/>
    </row>
    <row r="470">
      <c r="K470" s="68"/>
      <c r="N470" s="68"/>
      <c r="O470" s="68"/>
      <c r="U470" s="2"/>
    </row>
    <row r="471">
      <c r="K471" s="68"/>
      <c r="N471" s="68"/>
      <c r="O471" s="68"/>
      <c r="U471" s="2"/>
    </row>
    <row r="472">
      <c r="K472" s="68"/>
      <c r="N472" s="68"/>
      <c r="O472" s="68"/>
      <c r="U472" s="2"/>
    </row>
    <row r="473">
      <c r="K473" s="68"/>
      <c r="N473" s="68"/>
      <c r="O473" s="68"/>
      <c r="U473" s="2"/>
    </row>
    <row r="474">
      <c r="K474" s="68"/>
      <c r="N474" s="68"/>
      <c r="O474" s="68"/>
      <c r="U474" s="2"/>
    </row>
    <row r="475">
      <c r="K475" s="68"/>
      <c r="N475" s="68"/>
      <c r="O475" s="68"/>
      <c r="U475" s="2"/>
    </row>
    <row r="476">
      <c r="K476" s="68"/>
      <c r="N476" s="68"/>
      <c r="O476" s="68"/>
      <c r="U476" s="2"/>
    </row>
    <row r="477">
      <c r="K477" s="68"/>
      <c r="N477" s="68"/>
      <c r="O477" s="68"/>
      <c r="U477" s="2"/>
    </row>
    <row r="478">
      <c r="K478" s="68"/>
      <c r="N478" s="68"/>
      <c r="O478" s="68"/>
      <c r="U478" s="2"/>
    </row>
    <row r="479">
      <c r="K479" s="68"/>
      <c r="N479" s="68"/>
      <c r="O479" s="68"/>
      <c r="U479" s="2"/>
    </row>
    <row r="480">
      <c r="K480" s="68"/>
      <c r="N480" s="68"/>
      <c r="O480" s="68"/>
      <c r="U480" s="2"/>
    </row>
    <row r="481">
      <c r="K481" s="68"/>
      <c r="N481" s="68"/>
      <c r="O481" s="68"/>
      <c r="U481" s="2"/>
    </row>
    <row r="482">
      <c r="K482" s="68"/>
      <c r="N482" s="68"/>
      <c r="O482" s="68"/>
      <c r="U482" s="2"/>
    </row>
    <row r="483">
      <c r="K483" s="68"/>
      <c r="N483" s="68"/>
      <c r="O483" s="68"/>
      <c r="U483" s="2"/>
    </row>
    <row r="484">
      <c r="K484" s="68"/>
      <c r="N484" s="68"/>
      <c r="O484" s="68"/>
      <c r="U484" s="2"/>
    </row>
    <row r="485">
      <c r="K485" s="68"/>
      <c r="N485" s="68"/>
      <c r="O485" s="68"/>
      <c r="U485" s="2"/>
    </row>
    <row r="486">
      <c r="K486" s="68"/>
      <c r="N486" s="68"/>
      <c r="O486" s="68"/>
      <c r="U486" s="2"/>
    </row>
    <row r="487">
      <c r="K487" s="68"/>
      <c r="N487" s="68"/>
      <c r="O487" s="68"/>
      <c r="U487" s="2"/>
    </row>
    <row r="488">
      <c r="K488" s="68"/>
      <c r="N488" s="68"/>
      <c r="O488" s="68"/>
      <c r="U488" s="2"/>
    </row>
    <row r="489">
      <c r="K489" s="68"/>
      <c r="N489" s="68"/>
      <c r="O489" s="68"/>
      <c r="U489" s="2"/>
    </row>
    <row r="490">
      <c r="K490" s="68"/>
      <c r="N490" s="68"/>
      <c r="O490" s="68"/>
      <c r="U490" s="2"/>
    </row>
    <row r="491">
      <c r="K491" s="68"/>
      <c r="N491" s="68"/>
      <c r="O491" s="68"/>
      <c r="U491" s="2"/>
    </row>
    <row r="492">
      <c r="K492" s="68"/>
      <c r="N492" s="68"/>
      <c r="O492" s="68"/>
      <c r="U492" s="2"/>
    </row>
    <row r="493">
      <c r="K493" s="68"/>
      <c r="N493" s="68"/>
      <c r="O493" s="68"/>
      <c r="U493" s="2"/>
    </row>
    <row r="494">
      <c r="K494" s="68"/>
      <c r="N494" s="68"/>
      <c r="O494" s="68"/>
      <c r="U494" s="2"/>
    </row>
    <row r="495">
      <c r="K495" s="68"/>
      <c r="N495" s="68"/>
      <c r="O495" s="68"/>
      <c r="U495" s="2"/>
    </row>
    <row r="496">
      <c r="K496" s="68"/>
      <c r="N496" s="68"/>
      <c r="O496" s="68"/>
      <c r="U496" s="2"/>
    </row>
    <row r="497">
      <c r="K497" s="68"/>
      <c r="N497" s="68"/>
      <c r="O497" s="68"/>
      <c r="U497" s="2"/>
    </row>
    <row r="498">
      <c r="K498" s="68"/>
      <c r="N498" s="68"/>
      <c r="O498" s="68"/>
      <c r="U498" s="2"/>
    </row>
    <row r="499">
      <c r="K499" s="68"/>
      <c r="N499" s="68"/>
      <c r="O499" s="68"/>
      <c r="U499" s="2"/>
    </row>
    <row r="500">
      <c r="K500" s="68"/>
      <c r="N500" s="68"/>
      <c r="O500" s="68"/>
      <c r="U500" s="2"/>
    </row>
    <row r="501">
      <c r="K501" s="68"/>
      <c r="N501" s="68"/>
      <c r="O501" s="68"/>
      <c r="U501" s="2"/>
    </row>
    <row r="502">
      <c r="K502" s="68"/>
      <c r="N502" s="68"/>
      <c r="O502" s="68"/>
      <c r="U502" s="2"/>
    </row>
    <row r="503">
      <c r="K503" s="68"/>
      <c r="N503" s="68"/>
      <c r="O503" s="68"/>
      <c r="U503" s="2"/>
    </row>
    <row r="504">
      <c r="K504" s="68"/>
      <c r="N504" s="68"/>
      <c r="O504" s="68"/>
      <c r="U504" s="2"/>
    </row>
    <row r="505">
      <c r="K505" s="68"/>
      <c r="N505" s="68"/>
      <c r="O505" s="68"/>
      <c r="U505" s="2"/>
    </row>
    <row r="506">
      <c r="K506" s="68"/>
      <c r="N506" s="68"/>
      <c r="O506" s="68"/>
      <c r="U506" s="2"/>
    </row>
    <row r="507">
      <c r="K507" s="68"/>
      <c r="N507" s="68"/>
      <c r="O507" s="68"/>
      <c r="U507" s="2"/>
    </row>
    <row r="508">
      <c r="K508" s="68"/>
      <c r="N508" s="68"/>
      <c r="O508" s="68"/>
      <c r="U508" s="2"/>
    </row>
    <row r="509">
      <c r="K509" s="68"/>
      <c r="N509" s="68"/>
      <c r="O509" s="68"/>
      <c r="U509" s="2"/>
    </row>
    <row r="510">
      <c r="K510" s="68"/>
      <c r="N510" s="68"/>
      <c r="O510" s="68"/>
      <c r="U510" s="2"/>
    </row>
    <row r="511">
      <c r="K511" s="68"/>
      <c r="N511" s="68"/>
      <c r="O511" s="68"/>
      <c r="U511" s="2"/>
    </row>
    <row r="512">
      <c r="K512" s="68"/>
      <c r="N512" s="68"/>
      <c r="O512" s="68"/>
      <c r="U512" s="2"/>
    </row>
    <row r="513">
      <c r="K513" s="68"/>
      <c r="N513" s="68"/>
      <c r="O513" s="68"/>
      <c r="U513" s="2"/>
    </row>
    <row r="514">
      <c r="K514" s="68"/>
      <c r="N514" s="68"/>
      <c r="O514" s="68"/>
      <c r="U514" s="2"/>
    </row>
    <row r="515">
      <c r="K515" s="68"/>
      <c r="N515" s="68"/>
      <c r="O515" s="68"/>
      <c r="U515" s="2"/>
    </row>
    <row r="516">
      <c r="K516" s="68"/>
      <c r="N516" s="68"/>
      <c r="O516" s="68"/>
      <c r="U516" s="2"/>
    </row>
    <row r="517">
      <c r="K517" s="68"/>
      <c r="N517" s="68"/>
      <c r="O517" s="68"/>
      <c r="U517" s="2"/>
    </row>
    <row r="518">
      <c r="K518" s="68"/>
      <c r="N518" s="68"/>
      <c r="O518" s="68"/>
      <c r="U518" s="2"/>
    </row>
    <row r="519">
      <c r="K519" s="68"/>
      <c r="N519" s="68"/>
      <c r="O519" s="68"/>
      <c r="U519" s="2"/>
    </row>
    <row r="520">
      <c r="K520" s="68"/>
      <c r="N520" s="68"/>
      <c r="O520" s="68"/>
      <c r="U520" s="2"/>
    </row>
    <row r="521">
      <c r="K521" s="68"/>
      <c r="N521" s="68"/>
      <c r="O521" s="68"/>
      <c r="U521" s="2"/>
    </row>
    <row r="522">
      <c r="K522" s="68"/>
      <c r="N522" s="68"/>
      <c r="O522" s="68"/>
      <c r="U522" s="2"/>
    </row>
    <row r="523">
      <c r="K523" s="68"/>
      <c r="N523" s="68"/>
      <c r="O523" s="68"/>
      <c r="U523" s="2"/>
    </row>
    <row r="524">
      <c r="K524" s="68"/>
      <c r="N524" s="68"/>
      <c r="O524" s="68"/>
      <c r="U524" s="2"/>
    </row>
    <row r="525">
      <c r="K525" s="68"/>
      <c r="N525" s="68"/>
      <c r="O525" s="68"/>
      <c r="U525" s="2"/>
    </row>
    <row r="526">
      <c r="K526" s="68"/>
      <c r="N526" s="68"/>
      <c r="O526" s="68"/>
      <c r="U526" s="2"/>
    </row>
    <row r="527">
      <c r="K527" s="68"/>
      <c r="N527" s="68"/>
      <c r="O527" s="68"/>
      <c r="U527" s="2"/>
    </row>
    <row r="528">
      <c r="K528" s="68"/>
      <c r="N528" s="68"/>
      <c r="O528" s="68"/>
      <c r="U528" s="2"/>
    </row>
    <row r="529">
      <c r="K529" s="68"/>
      <c r="N529" s="68"/>
      <c r="O529" s="68"/>
      <c r="U529" s="2"/>
    </row>
    <row r="530">
      <c r="K530" s="68"/>
      <c r="N530" s="68"/>
      <c r="O530" s="68"/>
      <c r="U530" s="2"/>
    </row>
    <row r="531">
      <c r="K531" s="68"/>
      <c r="N531" s="68"/>
      <c r="O531" s="68"/>
      <c r="U531" s="2"/>
    </row>
    <row r="532">
      <c r="K532" s="68"/>
      <c r="N532" s="68"/>
      <c r="O532" s="68"/>
      <c r="U532" s="2"/>
    </row>
    <row r="533">
      <c r="K533" s="68"/>
      <c r="N533" s="68"/>
      <c r="O533" s="68"/>
      <c r="U533" s="2"/>
    </row>
    <row r="534">
      <c r="K534" s="68"/>
      <c r="N534" s="68"/>
      <c r="O534" s="68"/>
      <c r="U534" s="2"/>
    </row>
    <row r="535">
      <c r="K535" s="68"/>
      <c r="N535" s="68"/>
      <c r="O535" s="68"/>
      <c r="U535" s="2"/>
    </row>
    <row r="536">
      <c r="K536" s="68"/>
      <c r="N536" s="68"/>
      <c r="O536" s="68"/>
      <c r="U536" s="2"/>
    </row>
    <row r="537">
      <c r="K537" s="68"/>
      <c r="N537" s="68"/>
      <c r="O537" s="68"/>
      <c r="U537" s="2"/>
    </row>
    <row r="538">
      <c r="K538" s="68"/>
      <c r="N538" s="68"/>
      <c r="O538" s="68"/>
      <c r="U538" s="2"/>
    </row>
    <row r="539">
      <c r="K539" s="68"/>
      <c r="N539" s="68"/>
      <c r="O539" s="68"/>
      <c r="U539" s="2"/>
    </row>
    <row r="540">
      <c r="K540" s="68"/>
      <c r="N540" s="68"/>
      <c r="O540" s="68"/>
      <c r="U540" s="2"/>
    </row>
    <row r="541">
      <c r="K541" s="68"/>
      <c r="N541" s="68"/>
      <c r="O541" s="68"/>
      <c r="U541" s="2"/>
    </row>
    <row r="542">
      <c r="K542" s="68"/>
      <c r="N542" s="68"/>
      <c r="O542" s="68"/>
      <c r="U542" s="2"/>
    </row>
    <row r="543">
      <c r="K543" s="68"/>
      <c r="N543" s="68"/>
      <c r="O543" s="68"/>
      <c r="U543" s="2"/>
    </row>
    <row r="544">
      <c r="K544" s="68"/>
      <c r="N544" s="68"/>
      <c r="O544" s="68"/>
      <c r="U544" s="2"/>
    </row>
    <row r="545">
      <c r="K545" s="68"/>
      <c r="N545" s="68"/>
      <c r="O545" s="68"/>
      <c r="U545" s="2"/>
    </row>
    <row r="546">
      <c r="K546" s="68"/>
      <c r="N546" s="68"/>
      <c r="O546" s="68"/>
      <c r="U546" s="2"/>
    </row>
    <row r="547">
      <c r="K547" s="68"/>
      <c r="N547" s="68"/>
      <c r="O547" s="68"/>
      <c r="U547" s="2"/>
    </row>
    <row r="548">
      <c r="K548" s="68"/>
      <c r="N548" s="68"/>
      <c r="O548" s="68"/>
      <c r="U548" s="2"/>
    </row>
    <row r="549">
      <c r="K549" s="68"/>
      <c r="N549" s="68"/>
      <c r="O549" s="68"/>
      <c r="U549" s="2"/>
    </row>
    <row r="550">
      <c r="K550" s="68"/>
      <c r="N550" s="68"/>
      <c r="O550" s="68"/>
      <c r="U550" s="2"/>
    </row>
    <row r="551">
      <c r="K551" s="68"/>
      <c r="N551" s="68"/>
      <c r="O551" s="68"/>
      <c r="U551" s="2"/>
    </row>
    <row r="552">
      <c r="K552" s="68"/>
      <c r="N552" s="68"/>
      <c r="O552" s="68"/>
      <c r="U552" s="2"/>
    </row>
    <row r="553">
      <c r="K553" s="68"/>
      <c r="N553" s="68"/>
      <c r="O553" s="68"/>
      <c r="U553" s="2"/>
    </row>
    <row r="554">
      <c r="K554" s="68"/>
      <c r="N554" s="68"/>
      <c r="O554" s="68"/>
      <c r="U554" s="2"/>
    </row>
    <row r="555">
      <c r="K555" s="68"/>
      <c r="N555" s="68"/>
      <c r="O555" s="68"/>
      <c r="U555" s="2"/>
    </row>
    <row r="556">
      <c r="K556" s="68"/>
      <c r="N556" s="68"/>
      <c r="O556" s="68"/>
      <c r="U556" s="2"/>
    </row>
    <row r="557">
      <c r="K557" s="68"/>
      <c r="N557" s="68"/>
      <c r="O557" s="68"/>
      <c r="U557" s="2"/>
    </row>
    <row r="558">
      <c r="K558" s="68"/>
      <c r="N558" s="68"/>
      <c r="O558" s="68"/>
      <c r="U558" s="2"/>
    </row>
    <row r="559">
      <c r="K559" s="68"/>
      <c r="N559" s="68"/>
      <c r="O559" s="68"/>
      <c r="U559" s="2"/>
    </row>
    <row r="560">
      <c r="K560" s="68"/>
      <c r="N560" s="68"/>
      <c r="O560" s="68"/>
      <c r="U560" s="2"/>
    </row>
    <row r="561">
      <c r="K561" s="68"/>
      <c r="N561" s="68"/>
      <c r="O561" s="68"/>
      <c r="U561" s="2"/>
    </row>
    <row r="562">
      <c r="K562" s="68"/>
      <c r="N562" s="68"/>
      <c r="O562" s="68"/>
      <c r="U562" s="2"/>
    </row>
    <row r="563">
      <c r="K563" s="68"/>
      <c r="N563" s="68"/>
      <c r="O563" s="68"/>
      <c r="U563" s="2"/>
    </row>
    <row r="564">
      <c r="K564" s="68"/>
      <c r="N564" s="68"/>
      <c r="O564" s="68"/>
      <c r="U564" s="2"/>
    </row>
    <row r="565">
      <c r="K565" s="68"/>
      <c r="N565" s="68"/>
      <c r="O565" s="68"/>
      <c r="U565" s="2"/>
    </row>
    <row r="566">
      <c r="K566" s="68"/>
      <c r="N566" s="68"/>
      <c r="O566" s="68"/>
      <c r="U566" s="2"/>
    </row>
    <row r="567">
      <c r="K567" s="68"/>
      <c r="N567" s="68"/>
      <c r="O567" s="68"/>
      <c r="U567" s="2"/>
    </row>
    <row r="568">
      <c r="K568" s="68"/>
      <c r="N568" s="68"/>
      <c r="O568" s="68"/>
      <c r="U568" s="2"/>
    </row>
    <row r="569">
      <c r="K569" s="68"/>
      <c r="N569" s="68"/>
      <c r="O569" s="68"/>
      <c r="U569" s="2"/>
    </row>
    <row r="570">
      <c r="K570" s="68"/>
      <c r="N570" s="68"/>
      <c r="O570" s="68"/>
      <c r="U570" s="2"/>
    </row>
    <row r="571">
      <c r="K571" s="68"/>
      <c r="N571" s="68"/>
      <c r="O571" s="68"/>
      <c r="U571" s="2"/>
    </row>
    <row r="572">
      <c r="K572" s="68"/>
      <c r="N572" s="68"/>
      <c r="O572" s="68"/>
      <c r="U572" s="2"/>
    </row>
    <row r="573">
      <c r="K573" s="68"/>
      <c r="N573" s="68"/>
      <c r="O573" s="68"/>
      <c r="U573" s="2"/>
    </row>
    <row r="574">
      <c r="K574" s="68"/>
      <c r="N574" s="68"/>
      <c r="O574" s="68"/>
      <c r="U574" s="2"/>
    </row>
    <row r="575">
      <c r="K575" s="68"/>
      <c r="N575" s="68"/>
      <c r="O575" s="68"/>
      <c r="U575" s="2"/>
    </row>
    <row r="576">
      <c r="K576" s="68"/>
      <c r="N576" s="68"/>
      <c r="O576" s="68"/>
      <c r="U576" s="2"/>
    </row>
    <row r="577">
      <c r="K577" s="68"/>
      <c r="N577" s="68"/>
      <c r="O577" s="68"/>
      <c r="U577" s="2"/>
    </row>
    <row r="578">
      <c r="K578" s="68"/>
      <c r="N578" s="68"/>
      <c r="O578" s="68"/>
      <c r="U578" s="2"/>
    </row>
    <row r="579">
      <c r="K579" s="68"/>
      <c r="N579" s="68"/>
      <c r="O579" s="68"/>
      <c r="U579" s="2"/>
    </row>
    <row r="580">
      <c r="K580" s="68"/>
      <c r="N580" s="68"/>
      <c r="O580" s="68"/>
      <c r="U580" s="2"/>
    </row>
    <row r="581">
      <c r="K581" s="68"/>
      <c r="N581" s="68"/>
      <c r="O581" s="68"/>
      <c r="U581" s="2"/>
    </row>
    <row r="582">
      <c r="K582" s="68"/>
      <c r="N582" s="68"/>
      <c r="O582" s="68"/>
      <c r="U582" s="2"/>
    </row>
    <row r="583">
      <c r="K583" s="68"/>
      <c r="N583" s="68"/>
      <c r="O583" s="68"/>
      <c r="U583" s="2"/>
    </row>
    <row r="584">
      <c r="K584" s="68"/>
      <c r="N584" s="68"/>
      <c r="O584" s="68"/>
      <c r="U584" s="2"/>
    </row>
    <row r="585">
      <c r="K585" s="68"/>
      <c r="N585" s="68"/>
      <c r="O585" s="68"/>
      <c r="U585" s="2"/>
    </row>
    <row r="586">
      <c r="K586" s="68"/>
      <c r="N586" s="68"/>
      <c r="O586" s="68"/>
      <c r="U586" s="2"/>
    </row>
    <row r="587">
      <c r="K587" s="68"/>
      <c r="N587" s="68"/>
      <c r="O587" s="68"/>
      <c r="U587" s="2"/>
    </row>
    <row r="588">
      <c r="K588" s="68"/>
      <c r="N588" s="68"/>
      <c r="O588" s="68"/>
      <c r="U588" s="2"/>
    </row>
    <row r="589">
      <c r="K589" s="68"/>
      <c r="N589" s="68"/>
      <c r="O589" s="68"/>
      <c r="U589" s="2"/>
    </row>
    <row r="590">
      <c r="K590" s="68"/>
      <c r="N590" s="68"/>
      <c r="O590" s="68"/>
      <c r="U590" s="2"/>
    </row>
    <row r="591">
      <c r="K591" s="68"/>
      <c r="N591" s="68"/>
      <c r="O591" s="68"/>
      <c r="U591" s="2"/>
    </row>
    <row r="592">
      <c r="K592" s="68"/>
      <c r="N592" s="68"/>
      <c r="O592" s="68"/>
      <c r="U592" s="2"/>
    </row>
    <row r="593">
      <c r="K593" s="68"/>
      <c r="N593" s="68"/>
      <c r="O593" s="68"/>
      <c r="U593" s="2"/>
    </row>
    <row r="594">
      <c r="K594" s="68"/>
      <c r="N594" s="68"/>
      <c r="O594" s="68"/>
      <c r="U594" s="2"/>
    </row>
    <row r="595">
      <c r="K595" s="68"/>
      <c r="N595" s="68"/>
      <c r="O595" s="68"/>
      <c r="U595" s="2"/>
    </row>
    <row r="596">
      <c r="K596" s="68"/>
      <c r="N596" s="68"/>
      <c r="O596" s="68"/>
      <c r="U596" s="2"/>
    </row>
    <row r="597">
      <c r="K597" s="68"/>
      <c r="N597" s="68"/>
      <c r="O597" s="68"/>
      <c r="U597" s="2"/>
    </row>
    <row r="598">
      <c r="K598" s="68"/>
      <c r="N598" s="68"/>
      <c r="O598" s="68"/>
      <c r="U598" s="2"/>
    </row>
    <row r="599">
      <c r="K599" s="68"/>
      <c r="N599" s="68"/>
      <c r="O599" s="68"/>
      <c r="U599" s="2"/>
    </row>
    <row r="600">
      <c r="K600" s="68"/>
      <c r="N600" s="68"/>
      <c r="O600" s="68"/>
      <c r="U600" s="2"/>
    </row>
    <row r="601">
      <c r="K601" s="68"/>
      <c r="N601" s="68"/>
      <c r="O601" s="68"/>
      <c r="U601" s="2"/>
    </row>
    <row r="602">
      <c r="K602" s="68"/>
      <c r="N602" s="68"/>
      <c r="O602" s="68"/>
      <c r="U602" s="2"/>
    </row>
    <row r="603">
      <c r="K603" s="68"/>
      <c r="N603" s="68"/>
      <c r="O603" s="68"/>
      <c r="U603" s="2"/>
    </row>
    <row r="604">
      <c r="K604" s="68"/>
      <c r="N604" s="68"/>
      <c r="O604" s="68"/>
      <c r="U604" s="2"/>
    </row>
    <row r="605">
      <c r="K605" s="68"/>
      <c r="N605" s="68"/>
      <c r="O605" s="68"/>
      <c r="U605" s="2"/>
    </row>
    <row r="606">
      <c r="K606" s="68"/>
      <c r="N606" s="68"/>
      <c r="O606" s="68"/>
      <c r="U606" s="2"/>
    </row>
    <row r="607">
      <c r="K607" s="68"/>
      <c r="N607" s="68"/>
      <c r="O607" s="68"/>
      <c r="U607" s="2"/>
    </row>
    <row r="608">
      <c r="K608" s="68"/>
      <c r="N608" s="68"/>
      <c r="O608" s="68"/>
      <c r="U608" s="2"/>
    </row>
    <row r="609">
      <c r="K609" s="68"/>
      <c r="N609" s="68"/>
      <c r="O609" s="68"/>
      <c r="U609" s="2"/>
    </row>
    <row r="610">
      <c r="K610" s="68"/>
      <c r="N610" s="68"/>
      <c r="O610" s="68"/>
      <c r="U610" s="2"/>
    </row>
    <row r="611">
      <c r="K611" s="68"/>
      <c r="N611" s="68"/>
      <c r="O611" s="68"/>
      <c r="U611" s="2"/>
    </row>
    <row r="612">
      <c r="K612" s="68"/>
      <c r="N612" s="68"/>
      <c r="O612" s="68"/>
      <c r="U612" s="2"/>
    </row>
    <row r="613">
      <c r="K613" s="68"/>
      <c r="N613" s="68"/>
      <c r="O613" s="68"/>
      <c r="U613" s="2"/>
    </row>
    <row r="614">
      <c r="K614" s="68"/>
      <c r="N614" s="68"/>
      <c r="O614" s="68"/>
      <c r="U614" s="2"/>
    </row>
    <row r="615">
      <c r="K615" s="68"/>
      <c r="N615" s="68"/>
      <c r="O615" s="68"/>
      <c r="U615" s="2"/>
    </row>
    <row r="616">
      <c r="K616" s="68"/>
      <c r="N616" s="68"/>
      <c r="O616" s="68"/>
      <c r="U616" s="2"/>
    </row>
    <row r="617">
      <c r="K617" s="68"/>
      <c r="N617" s="68"/>
      <c r="O617" s="68"/>
      <c r="U617" s="2"/>
    </row>
    <row r="618">
      <c r="K618" s="68"/>
      <c r="N618" s="68"/>
      <c r="O618" s="68"/>
      <c r="U618" s="2"/>
    </row>
    <row r="619">
      <c r="K619" s="68"/>
      <c r="N619" s="68"/>
      <c r="O619" s="68"/>
      <c r="U619" s="2"/>
    </row>
    <row r="620">
      <c r="K620" s="68"/>
      <c r="N620" s="68"/>
      <c r="O620" s="68"/>
      <c r="U620" s="2"/>
    </row>
    <row r="621">
      <c r="K621" s="68"/>
      <c r="N621" s="68"/>
      <c r="O621" s="68"/>
      <c r="U621" s="2"/>
    </row>
    <row r="622">
      <c r="K622" s="68"/>
      <c r="N622" s="68"/>
      <c r="O622" s="68"/>
      <c r="U622" s="2"/>
    </row>
    <row r="623">
      <c r="K623" s="68"/>
      <c r="N623" s="68"/>
      <c r="O623" s="68"/>
      <c r="U623" s="2"/>
    </row>
    <row r="624">
      <c r="K624" s="68"/>
      <c r="N624" s="68"/>
      <c r="O624" s="68"/>
      <c r="U624" s="2"/>
    </row>
    <row r="625">
      <c r="K625" s="68"/>
      <c r="N625" s="68"/>
      <c r="O625" s="68"/>
      <c r="U625" s="2"/>
    </row>
    <row r="626">
      <c r="K626" s="68"/>
      <c r="N626" s="68"/>
      <c r="O626" s="68"/>
      <c r="U626" s="2"/>
    </row>
    <row r="627">
      <c r="K627" s="68"/>
      <c r="N627" s="68"/>
      <c r="O627" s="68"/>
      <c r="U627" s="2"/>
    </row>
    <row r="628">
      <c r="K628" s="68"/>
      <c r="N628" s="68"/>
      <c r="O628" s="68"/>
      <c r="U628" s="2"/>
    </row>
    <row r="629">
      <c r="K629" s="68"/>
      <c r="N629" s="68"/>
      <c r="O629" s="68"/>
      <c r="U629" s="2"/>
    </row>
    <row r="630">
      <c r="K630" s="68"/>
      <c r="N630" s="68"/>
      <c r="O630" s="68"/>
      <c r="U630" s="2"/>
    </row>
    <row r="631">
      <c r="K631" s="68"/>
      <c r="N631" s="68"/>
      <c r="O631" s="68"/>
      <c r="U631" s="2"/>
    </row>
    <row r="632">
      <c r="K632" s="68"/>
      <c r="N632" s="68"/>
      <c r="O632" s="68"/>
      <c r="U632" s="2"/>
    </row>
    <row r="633">
      <c r="K633" s="68"/>
      <c r="N633" s="68"/>
      <c r="O633" s="68"/>
      <c r="U633" s="2"/>
    </row>
    <row r="634">
      <c r="K634" s="68"/>
      <c r="N634" s="68"/>
      <c r="O634" s="68"/>
      <c r="U634" s="2"/>
    </row>
    <row r="635">
      <c r="K635" s="68"/>
      <c r="N635" s="68"/>
      <c r="O635" s="68"/>
      <c r="U635" s="2"/>
    </row>
    <row r="636">
      <c r="K636" s="68"/>
      <c r="N636" s="68"/>
      <c r="O636" s="68"/>
      <c r="U636" s="2"/>
    </row>
    <row r="637">
      <c r="K637" s="68"/>
      <c r="N637" s="68"/>
      <c r="O637" s="68"/>
      <c r="U637" s="2"/>
    </row>
    <row r="638">
      <c r="K638" s="68"/>
      <c r="N638" s="68"/>
      <c r="O638" s="68"/>
      <c r="U638" s="2"/>
    </row>
    <row r="639">
      <c r="K639" s="68"/>
      <c r="N639" s="68"/>
      <c r="O639" s="68"/>
      <c r="U639" s="2"/>
    </row>
    <row r="640">
      <c r="K640" s="68"/>
      <c r="N640" s="68"/>
      <c r="O640" s="68"/>
      <c r="U640" s="2"/>
    </row>
    <row r="641">
      <c r="K641" s="68"/>
      <c r="N641" s="68"/>
      <c r="O641" s="68"/>
      <c r="U641" s="2"/>
    </row>
    <row r="642">
      <c r="K642" s="68"/>
      <c r="N642" s="68"/>
      <c r="O642" s="68"/>
      <c r="U642" s="2"/>
    </row>
    <row r="643">
      <c r="K643" s="68"/>
      <c r="N643" s="68"/>
      <c r="O643" s="68"/>
      <c r="U643" s="2"/>
    </row>
    <row r="644">
      <c r="K644" s="68"/>
      <c r="N644" s="68"/>
      <c r="O644" s="68"/>
      <c r="U644" s="2"/>
    </row>
    <row r="645">
      <c r="K645" s="68"/>
      <c r="N645" s="68"/>
      <c r="O645" s="68"/>
      <c r="U645" s="2"/>
    </row>
    <row r="646">
      <c r="K646" s="68"/>
      <c r="N646" s="68"/>
      <c r="O646" s="68"/>
      <c r="U646" s="2"/>
    </row>
    <row r="647">
      <c r="K647" s="68"/>
      <c r="N647" s="68"/>
      <c r="O647" s="68"/>
      <c r="U647" s="2"/>
    </row>
    <row r="648">
      <c r="K648" s="68"/>
      <c r="N648" s="68"/>
      <c r="O648" s="68"/>
      <c r="U648" s="2"/>
    </row>
    <row r="649">
      <c r="K649" s="68"/>
      <c r="N649" s="68"/>
      <c r="O649" s="68"/>
      <c r="U649" s="2"/>
    </row>
    <row r="650">
      <c r="K650" s="68"/>
      <c r="N650" s="68"/>
      <c r="O650" s="68"/>
      <c r="U650" s="2"/>
    </row>
    <row r="651">
      <c r="K651" s="68"/>
      <c r="N651" s="68"/>
      <c r="O651" s="68"/>
      <c r="U651" s="2"/>
    </row>
    <row r="652">
      <c r="K652" s="68"/>
      <c r="N652" s="68"/>
      <c r="O652" s="68"/>
      <c r="U652" s="2"/>
    </row>
    <row r="653">
      <c r="K653" s="68"/>
      <c r="N653" s="68"/>
      <c r="O653" s="68"/>
      <c r="U653" s="2"/>
    </row>
    <row r="654">
      <c r="K654" s="68"/>
      <c r="N654" s="68"/>
      <c r="O654" s="68"/>
      <c r="U654" s="2"/>
    </row>
    <row r="655">
      <c r="K655" s="68"/>
      <c r="N655" s="68"/>
      <c r="O655" s="68"/>
      <c r="U655" s="2"/>
    </row>
    <row r="656">
      <c r="K656" s="68"/>
      <c r="N656" s="68"/>
      <c r="O656" s="68"/>
      <c r="U656" s="2"/>
    </row>
    <row r="657">
      <c r="K657" s="68"/>
      <c r="N657" s="68"/>
      <c r="O657" s="68"/>
      <c r="U657" s="2"/>
    </row>
    <row r="658">
      <c r="K658" s="68"/>
      <c r="N658" s="68"/>
      <c r="O658" s="68"/>
      <c r="U658" s="2"/>
    </row>
    <row r="659">
      <c r="K659" s="68"/>
      <c r="N659" s="68"/>
      <c r="O659" s="68"/>
      <c r="U659" s="2"/>
    </row>
    <row r="660">
      <c r="K660" s="68"/>
      <c r="N660" s="68"/>
      <c r="O660" s="68"/>
      <c r="U660" s="2"/>
    </row>
    <row r="661">
      <c r="K661" s="68"/>
      <c r="N661" s="68"/>
      <c r="O661" s="68"/>
      <c r="U661" s="2"/>
    </row>
    <row r="662">
      <c r="K662" s="68"/>
      <c r="N662" s="68"/>
      <c r="O662" s="68"/>
      <c r="U662" s="2"/>
    </row>
    <row r="663">
      <c r="K663" s="68"/>
      <c r="N663" s="68"/>
      <c r="O663" s="68"/>
      <c r="U663" s="2"/>
    </row>
    <row r="664">
      <c r="K664" s="68"/>
      <c r="N664" s="68"/>
      <c r="O664" s="68"/>
      <c r="U664" s="2"/>
    </row>
    <row r="665">
      <c r="K665" s="68"/>
      <c r="N665" s="68"/>
      <c r="O665" s="68"/>
      <c r="U665" s="2"/>
    </row>
    <row r="666">
      <c r="K666" s="68"/>
      <c r="N666" s="68"/>
      <c r="O666" s="68"/>
      <c r="U666" s="2"/>
    </row>
    <row r="667">
      <c r="K667" s="68"/>
      <c r="N667" s="68"/>
      <c r="O667" s="68"/>
      <c r="U667" s="2"/>
    </row>
    <row r="668">
      <c r="K668" s="68"/>
      <c r="N668" s="68"/>
      <c r="O668" s="68"/>
      <c r="U668" s="2"/>
    </row>
    <row r="669">
      <c r="K669" s="68"/>
      <c r="N669" s="68"/>
      <c r="O669" s="68"/>
      <c r="U669" s="2"/>
    </row>
    <row r="670">
      <c r="K670" s="68"/>
      <c r="N670" s="68"/>
      <c r="O670" s="68"/>
      <c r="U670" s="2"/>
    </row>
    <row r="671">
      <c r="K671" s="68"/>
      <c r="N671" s="68"/>
      <c r="O671" s="68"/>
      <c r="U671" s="2"/>
    </row>
    <row r="672">
      <c r="K672" s="68"/>
      <c r="N672" s="68"/>
      <c r="O672" s="68"/>
      <c r="U672" s="2"/>
    </row>
    <row r="673">
      <c r="K673" s="68"/>
      <c r="N673" s="68"/>
      <c r="O673" s="68"/>
      <c r="U673" s="2"/>
    </row>
    <row r="674">
      <c r="K674" s="68"/>
      <c r="N674" s="68"/>
      <c r="O674" s="68"/>
      <c r="U674" s="2"/>
    </row>
    <row r="675">
      <c r="K675" s="68"/>
      <c r="N675" s="68"/>
      <c r="O675" s="68"/>
      <c r="U675" s="2"/>
    </row>
    <row r="676">
      <c r="K676" s="68"/>
      <c r="N676" s="68"/>
      <c r="O676" s="68"/>
      <c r="U676" s="2"/>
    </row>
    <row r="677">
      <c r="K677" s="68"/>
      <c r="N677" s="68"/>
      <c r="O677" s="68"/>
      <c r="U677" s="2"/>
    </row>
    <row r="678">
      <c r="K678" s="68"/>
      <c r="N678" s="68"/>
      <c r="O678" s="68"/>
      <c r="U678" s="2"/>
    </row>
    <row r="679">
      <c r="K679" s="68"/>
      <c r="N679" s="68"/>
      <c r="O679" s="68"/>
      <c r="U679" s="2"/>
    </row>
    <row r="680">
      <c r="K680" s="68"/>
      <c r="N680" s="68"/>
      <c r="O680" s="68"/>
      <c r="U680" s="2"/>
    </row>
    <row r="681">
      <c r="K681" s="68"/>
      <c r="N681" s="68"/>
      <c r="O681" s="68"/>
      <c r="U681" s="2"/>
    </row>
    <row r="682">
      <c r="K682" s="68"/>
      <c r="N682" s="68"/>
      <c r="O682" s="68"/>
      <c r="U682" s="2"/>
    </row>
    <row r="683">
      <c r="K683" s="68"/>
      <c r="N683" s="68"/>
      <c r="O683" s="68"/>
      <c r="U683" s="2"/>
    </row>
    <row r="684">
      <c r="K684" s="68"/>
      <c r="N684" s="68"/>
      <c r="O684" s="68"/>
      <c r="U684" s="2"/>
    </row>
    <row r="685">
      <c r="K685" s="68"/>
      <c r="N685" s="68"/>
      <c r="O685" s="68"/>
      <c r="U685" s="2"/>
    </row>
    <row r="686">
      <c r="K686" s="68"/>
      <c r="N686" s="68"/>
      <c r="O686" s="68"/>
      <c r="U686" s="2"/>
    </row>
    <row r="687">
      <c r="K687" s="68"/>
      <c r="N687" s="68"/>
      <c r="O687" s="68"/>
      <c r="U687" s="2"/>
    </row>
    <row r="688">
      <c r="K688" s="68"/>
      <c r="N688" s="68"/>
      <c r="O688" s="68"/>
      <c r="U688" s="2"/>
    </row>
    <row r="689">
      <c r="K689" s="68"/>
      <c r="N689" s="68"/>
      <c r="O689" s="68"/>
      <c r="U689" s="2"/>
    </row>
    <row r="690">
      <c r="K690" s="68"/>
      <c r="N690" s="68"/>
      <c r="O690" s="68"/>
      <c r="U690" s="2"/>
    </row>
    <row r="691">
      <c r="K691" s="68"/>
      <c r="N691" s="68"/>
      <c r="O691" s="68"/>
      <c r="U691" s="2"/>
    </row>
    <row r="692">
      <c r="K692" s="68"/>
      <c r="N692" s="68"/>
      <c r="O692" s="68"/>
      <c r="U692" s="2"/>
    </row>
    <row r="693">
      <c r="K693" s="68"/>
      <c r="N693" s="68"/>
      <c r="O693" s="68"/>
      <c r="U693" s="2"/>
    </row>
    <row r="694">
      <c r="K694" s="68"/>
      <c r="N694" s="68"/>
      <c r="O694" s="68"/>
      <c r="U694" s="2"/>
    </row>
    <row r="695">
      <c r="K695" s="68"/>
      <c r="N695" s="68"/>
      <c r="O695" s="68"/>
      <c r="U695" s="2"/>
    </row>
    <row r="696">
      <c r="K696" s="68"/>
      <c r="N696" s="68"/>
      <c r="O696" s="68"/>
      <c r="U696" s="2"/>
    </row>
    <row r="697">
      <c r="K697" s="68"/>
      <c r="N697" s="68"/>
      <c r="O697" s="68"/>
      <c r="U697" s="2"/>
    </row>
    <row r="698">
      <c r="K698" s="68"/>
      <c r="N698" s="68"/>
      <c r="O698" s="68"/>
      <c r="U698" s="2"/>
    </row>
    <row r="699">
      <c r="K699" s="68"/>
      <c r="N699" s="68"/>
      <c r="O699" s="68"/>
      <c r="U699" s="2"/>
    </row>
    <row r="700">
      <c r="K700" s="68"/>
      <c r="N700" s="68"/>
      <c r="O700" s="68"/>
      <c r="U700" s="2"/>
    </row>
    <row r="701">
      <c r="K701" s="68"/>
      <c r="N701" s="68"/>
      <c r="O701" s="68"/>
      <c r="U701" s="2"/>
    </row>
    <row r="702">
      <c r="K702" s="68"/>
      <c r="N702" s="68"/>
      <c r="O702" s="68"/>
      <c r="U702" s="2"/>
    </row>
    <row r="703">
      <c r="K703" s="68"/>
      <c r="N703" s="68"/>
      <c r="O703" s="68"/>
      <c r="U703" s="2"/>
    </row>
    <row r="704">
      <c r="K704" s="68"/>
      <c r="N704" s="68"/>
      <c r="O704" s="68"/>
      <c r="U704" s="2"/>
    </row>
    <row r="705">
      <c r="K705" s="68"/>
      <c r="N705" s="68"/>
      <c r="O705" s="68"/>
      <c r="U705" s="2"/>
    </row>
    <row r="706">
      <c r="K706" s="68"/>
      <c r="N706" s="68"/>
      <c r="O706" s="68"/>
      <c r="U706" s="2"/>
    </row>
    <row r="707">
      <c r="K707" s="68"/>
      <c r="N707" s="68"/>
      <c r="O707" s="68"/>
      <c r="U707" s="2"/>
    </row>
    <row r="708">
      <c r="K708" s="68"/>
      <c r="N708" s="68"/>
      <c r="O708" s="68"/>
      <c r="U708" s="2"/>
    </row>
    <row r="709">
      <c r="K709" s="68"/>
      <c r="N709" s="68"/>
      <c r="O709" s="68"/>
      <c r="U709" s="2"/>
    </row>
    <row r="710">
      <c r="K710" s="68"/>
      <c r="N710" s="68"/>
      <c r="O710" s="68"/>
      <c r="U710" s="2"/>
    </row>
    <row r="711">
      <c r="K711" s="68"/>
      <c r="N711" s="68"/>
      <c r="O711" s="68"/>
      <c r="U711" s="2"/>
    </row>
    <row r="712">
      <c r="K712" s="68"/>
      <c r="N712" s="68"/>
      <c r="O712" s="68"/>
      <c r="U712" s="2"/>
    </row>
    <row r="713">
      <c r="K713" s="68"/>
      <c r="N713" s="68"/>
      <c r="O713" s="68"/>
      <c r="U713" s="2"/>
    </row>
    <row r="714">
      <c r="K714" s="68"/>
      <c r="N714" s="68"/>
      <c r="O714" s="68"/>
      <c r="U714" s="2"/>
    </row>
    <row r="715">
      <c r="K715" s="68"/>
      <c r="N715" s="68"/>
      <c r="O715" s="68"/>
      <c r="U715" s="2"/>
    </row>
    <row r="716">
      <c r="K716" s="68"/>
      <c r="N716" s="68"/>
      <c r="O716" s="68"/>
      <c r="U716" s="2"/>
    </row>
    <row r="717">
      <c r="K717" s="68"/>
      <c r="N717" s="68"/>
      <c r="O717" s="68"/>
      <c r="U717" s="2"/>
    </row>
    <row r="718">
      <c r="K718" s="68"/>
      <c r="N718" s="68"/>
      <c r="O718" s="68"/>
      <c r="U718" s="2"/>
    </row>
    <row r="719">
      <c r="K719" s="68"/>
      <c r="N719" s="68"/>
      <c r="O719" s="68"/>
      <c r="U719" s="2"/>
    </row>
    <row r="720">
      <c r="K720" s="68"/>
      <c r="N720" s="68"/>
      <c r="O720" s="68"/>
      <c r="U720" s="2"/>
    </row>
    <row r="721">
      <c r="K721" s="68"/>
      <c r="N721" s="68"/>
      <c r="O721" s="68"/>
      <c r="U721" s="2"/>
    </row>
    <row r="722">
      <c r="K722" s="68"/>
      <c r="N722" s="68"/>
      <c r="O722" s="68"/>
      <c r="U722" s="2"/>
    </row>
    <row r="723">
      <c r="K723" s="68"/>
      <c r="N723" s="68"/>
      <c r="O723" s="68"/>
      <c r="U723" s="2"/>
    </row>
    <row r="724">
      <c r="K724" s="68"/>
      <c r="N724" s="68"/>
      <c r="O724" s="68"/>
      <c r="U724" s="2"/>
    </row>
    <row r="725">
      <c r="K725" s="68"/>
      <c r="N725" s="68"/>
      <c r="O725" s="68"/>
      <c r="U725" s="2"/>
    </row>
    <row r="726">
      <c r="K726" s="68"/>
      <c r="N726" s="68"/>
      <c r="O726" s="68"/>
      <c r="U726" s="2"/>
    </row>
    <row r="727">
      <c r="K727" s="68"/>
      <c r="N727" s="68"/>
      <c r="O727" s="68"/>
      <c r="U727" s="2"/>
    </row>
    <row r="728">
      <c r="K728" s="68"/>
      <c r="N728" s="68"/>
      <c r="O728" s="68"/>
      <c r="U728" s="2"/>
    </row>
    <row r="729">
      <c r="K729" s="68"/>
      <c r="N729" s="68"/>
      <c r="O729" s="68"/>
      <c r="U729" s="2"/>
    </row>
    <row r="730">
      <c r="K730" s="68"/>
      <c r="N730" s="68"/>
      <c r="O730" s="68"/>
      <c r="U730" s="2"/>
    </row>
    <row r="731">
      <c r="K731" s="68"/>
      <c r="N731" s="68"/>
      <c r="O731" s="68"/>
      <c r="U731" s="2"/>
    </row>
    <row r="732">
      <c r="K732" s="68"/>
      <c r="N732" s="68"/>
      <c r="O732" s="68"/>
      <c r="U732" s="2"/>
    </row>
    <row r="733">
      <c r="K733" s="68"/>
      <c r="N733" s="68"/>
      <c r="O733" s="68"/>
      <c r="U733" s="2"/>
    </row>
    <row r="734">
      <c r="K734" s="68"/>
      <c r="N734" s="68"/>
      <c r="O734" s="68"/>
      <c r="U734" s="2"/>
    </row>
    <row r="735">
      <c r="K735" s="68"/>
      <c r="N735" s="68"/>
      <c r="O735" s="68"/>
      <c r="U735" s="2"/>
    </row>
    <row r="736">
      <c r="K736" s="68"/>
      <c r="N736" s="68"/>
      <c r="O736" s="68"/>
      <c r="U736" s="2"/>
    </row>
    <row r="737">
      <c r="K737" s="68"/>
      <c r="N737" s="68"/>
      <c r="O737" s="68"/>
      <c r="U737" s="2"/>
    </row>
    <row r="738">
      <c r="K738" s="68"/>
      <c r="N738" s="68"/>
      <c r="O738" s="68"/>
      <c r="U738" s="2"/>
    </row>
    <row r="739">
      <c r="K739" s="68"/>
      <c r="N739" s="68"/>
      <c r="O739" s="68"/>
      <c r="U739" s="2"/>
    </row>
    <row r="740">
      <c r="K740" s="68"/>
      <c r="N740" s="68"/>
      <c r="O740" s="68"/>
      <c r="U740" s="2"/>
    </row>
    <row r="741">
      <c r="K741" s="68"/>
      <c r="N741" s="68"/>
      <c r="O741" s="68"/>
      <c r="U741" s="2"/>
    </row>
    <row r="742">
      <c r="K742" s="68"/>
      <c r="N742" s="68"/>
      <c r="O742" s="68"/>
      <c r="U742" s="2"/>
    </row>
    <row r="743">
      <c r="K743" s="68"/>
      <c r="N743" s="68"/>
      <c r="O743" s="68"/>
      <c r="U743" s="2"/>
    </row>
    <row r="744">
      <c r="K744" s="68"/>
      <c r="N744" s="68"/>
      <c r="O744" s="68"/>
      <c r="U744" s="2"/>
    </row>
    <row r="745">
      <c r="K745" s="68"/>
      <c r="N745" s="68"/>
      <c r="O745" s="68"/>
      <c r="U745" s="2"/>
    </row>
    <row r="746">
      <c r="K746" s="68"/>
      <c r="N746" s="68"/>
      <c r="O746" s="68"/>
      <c r="U746" s="2"/>
    </row>
    <row r="747">
      <c r="K747" s="68"/>
      <c r="N747" s="68"/>
      <c r="O747" s="68"/>
      <c r="U747" s="2"/>
    </row>
    <row r="748">
      <c r="K748" s="68"/>
      <c r="N748" s="68"/>
      <c r="O748" s="68"/>
      <c r="U748" s="2"/>
    </row>
    <row r="749">
      <c r="K749" s="68"/>
      <c r="N749" s="68"/>
      <c r="O749" s="68"/>
      <c r="U749" s="2"/>
    </row>
    <row r="750">
      <c r="K750" s="68"/>
      <c r="N750" s="68"/>
      <c r="O750" s="68"/>
      <c r="U750" s="2"/>
    </row>
    <row r="751">
      <c r="K751" s="68"/>
      <c r="N751" s="68"/>
      <c r="O751" s="68"/>
      <c r="U751" s="2"/>
    </row>
    <row r="752">
      <c r="K752" s="68"/>
      <c r="N752" s="68"/>
      <c r="O752" s="68"/>
      <c r="U752" s="2"/>
    </row>
    <row r="753">
      <c r="K753" s="68"/>
      <c r="N753" s="68"/>
      <c r="O753" s="68"/>
      <c r="U753" s="2"/>
    </row>
    <row r="754">
      <c r="K754" s="68"/>
      <c r="N754" s="68"/>
      <c r="O754" s="68"/>
      <c r="U754" s="2"/>
    </row>
    <row r="755">
      <c r="K755" s="68"/>
      <c r="N755" s="68"/>
      <c r="O755" s="68"/>
      <c r="U755" s="2"/>
    </row>
    <row r="756">
      <c r="K756" s="68"/>
      <c r="N756" s="68"/>
      <c r="O756" s="68"/>
      <c r="U756" s="2"/>
    </row>
    <row r="757">
      <c r="K757" s="68"/>
      <c r="N757" s="68"/>
      <c r="O757" s="68"/>
      <c r="U757" s="2"/>
    </row>
    <row r="758">
      <c r="K758" s="68"/>
      <c r="N758" s="68"/>
      <c r="O758" s="68"/>
      <c r="U758" s="2"/>
    </row>
    <row r="759">
      <c r="K759" s="68"/>
      <c r="N759" s="68"/>
      <c r="O759" s="68"/>
      <c r="U759" s="2"/>
    </row>
    <row r="760">
      <c r="K760" s="68"/>
      <c r="N760" s="68"/>
      <c r="O760" s="68"/>
      <c r="U760" s="2"/>
    </row>
    <row r="761">
      <c r="K761" s="68"/>
      <c r="N761" s="68"/>
      <c r="O761" s="68"/>
      <c r="U761" s="2"/>
    </row>
    <row r="762">
      <c r="K762" s="68"/>
      <c r="N762" s="68"/>
      <c r="O762" s="68"/>
      <c r="U762" s="2"/>
    </row>
    <row r="763">
      <c r="K763" s="68"/>
      <c r="N763" s="68"/>
      <c r="O763" s="68"/>
      <c r="U763" s="2"/>
    </row>
    <row r="764">
      <c r="K764" s="68"/>
      <c r="N764" s="68"/>
      <c r="O764" s="68"/>
      <c r="U764" s="2"/>
    </row>
    <row r="765">
      <c r="K765" s="68"/>
      <c r="N765" s="68"/>
      <c r="O765" s="68"/>
      <c r="U765" s="2"/>
    </row>
    <row r="766">
      <c r="K766" s="68"/>
      <c r="N766" s="68"/>
      <c r="O766" s="68"/>
      <c r="U766" s="2"/>
    </row>
    <row r="767">
      <c r="K767" s="68"/>
      <c r="N767" s="68"/>
      <c r="O767" s="68"/>
      <c r="U767" s="2"/>
    </row>
    <row r="768">
      <c r="K768" s="68"/>
      <c r="N768" s="68"/>
      <c r="O768" s="68"/>
      <c r="U768" s="2"/>
    </row>
    <row r="769">
      <c r="K769" s="68"/>
      <c r="N769" s="68"/>
      <c r="O769" s="68"/>
      <c r="U769" s="2"/>
    </row>
    <row r="770">
      <c r="K770" s="68"/>
      <c r="N770" s="68"/>
      <c r="O770" s="68"/>
      <c r="U770" s="2"/>
    </row>
    <row r="771">
      <c r="K771" s="68"/>
      <c r="N771" s="68"/>
      <c r="O771" s="68"/>
      <c r="U771" s="2"/>
    </row>
    <row r="772">
      <c r="K772" s="68"/>
      <c r="N772" s="68"/>
      <c r="O772" s="68"/>
      <c r="U772" s="2"/>
    </row>
    <row r="773">
      <c r="K773" s="68"/>
      <c r="N773" s="68"/>
      <c r="O773" s="68"/>
      <c r="U773" s="2"/>
    </row>
    <row r="774">
      <c r="K774" s="68"/>
      <c r="N774" s="68"/>
      <c r="O774" s="68"/>
      <c r="U774" s="2"/>
    </row>
    <row r="775">
      <c r="K775" s="68"/>
      <c r="N775" s="68"/>
      <c r="O775" s="68"/>
      <c r="U775" s="2"/>
    </row>
    <row r="776">
      <c r="K776" s="68"/>
      <c r="N776" s="68"/>
      <c r="O776" s="68"/>
      <c r="U776" s="2"/>
    </row>
    <row r="777">
      <c r="K777" s="68"/>
      <c r="N777" s="68"/>
      <c r="O777" s="68"/>
      <c r="U777" s="2"/>
    </row>
    <row r="778">
      <c r="K778" s="68"/>
      <c r="N778" s="68"/>
      <c r="O778" s="68"/>
      <c r="U778" s="2"/>
    </row>
    <row r="779">
      <c r="K779" s="68"/>
      <c r="N779" s="68"/>
      <c r="O779" s="68"/>
      <c r="U779" s="2"/>
    </row>
    <row r="780">
      <c r="K780" s="68"/>
      <c r="N780" s="68"/>
      <c r="O780" s="68"/>
      <c r="U780" s="2"/>
    </row>
    <row r="781">
      <c r="K781" s="68"/>
      <c r="N781" s="68"/>
      <c r="O781" s="68"/>
      <c r="U781" s="2"/>
    </row>
    <row r="782">
      <c r="K782" s="68"/>
      <c r="N782" s="68"/>
      <c r="O782" s="68"/>
      <c r="U782" s="2"/>
    </row>
    <row r="783">
      <c r="K783" s="68"/>
      <c r="N783" s="68"/>
      <c r="O783" s="68"/>
      <c r="U783" s="2"/>
    </row>
    <row r="784">
      <c r="K784" s="68"/>
      <c r="N784" s="68"/>
      <c r="O784" s="68"/>
      <c r="U784" s="2"/>
    </row>
    <row r="785">
      <c r="K785" s="68"/>
      <c r="N785" s="68"/>
      <c r="O785" s="68"/>
      <c r="U785" s="2"/>
    </row>
    <row r="786">
      <c r="K786" s="68"/>
      <c r="N786" s="68"/>
      <c r="O786" s="68"/>
      <c r="U786" s="2"/>
    </row>
    <row r="787">
      <c r="K787" s="68"/>
      <c r="N787" s="68"/>
      <c r="O787" s="68"/>
      <c r="U787" s="2"/>
    </row>
    <row r="788">
      <c r="K788" s="68"/>
      <c r="N788" s="68"/>
      <c r="O788" s="68"/>
      <c r="U788" s="2"/>
    </row>
    <row r="789">
      <c r="K789" s="68"/>
      <c r="N789" s="68"/>
      <c r="O789" s="68"/>
      <c r="U789" s="2"/>
    </row>
    <row r="790">
      <c r="K790" s="68"/>
      <c r="N790" s="68"/>
      <c r="O790" s="68"/>
      <c r="U790" s="2"/>
    </row>
    <row r="791">
      <c r="K791" s="68"/>
      <c r="N791" s="68"/>
      <c r="O791" s="68"/>
      <c r="U791" s="2"/>
    </row>
    <row r="792">
      <c r="K792" s="68"/>
      <c r="N792" s="68"/>
      <c r="O792" s="68"/>
      <c r="U792" s="2"/>
    </row>
    <row r="793">
      <c r="K793" s="68"/>
      <c r="N793" s="68"/>
      <c r="O793" s="68"/>
      <c r="U793" s="2"/>
    </row>
    <row r="794">
      <c r="K794" s="68"/>
      <c r="N794" s="68"/>
      <c r="O794" s="68"/>
      <c r="U794" s="2"/>
    </row>
    <row r="795">
      <c r="K795" s="68"/>
      <c r="N795" s="68"/>
      <c r="O795" s="68"/>
      <c r="U795" s="2"/>
    </row>
    <row r="796">
      <c r="K796" s="68"/>
      <c r="N796" s="68"/>
      <c r="O796" s="68"/>
      <c r="U796" s="2"/>
    </row>
    <row r="797">
      <c r="K797" s="68"/>
      <c r="N797" s="68"/>
      <c r="O797" s="68"/>
      <c r="U797" s="2"/>
    </row>
    <row r="798">
      <c r="K798" s="68"/>
      <c r="N798" s="68"/>
      <c r="O798" s="68"/>
      <c r="U798" s="2"/>
    </row>
    <row r="799">
      <c r="K799" s="68"/>
      <c r="N799" s="68"/>
      <c r="O799" s="68"/>
      <c r="U799" s="2"/>
    </row>
    <row r="800">
      <c r="K800" s="68"/>
      <c r="N800" s="68"/>
      <c r="O800" s="68"/>
      <c r="U800" s="2"/>
    </row>
    <row r="801">
      <c r="K801" s="68"/>
      <c r="N801" s="68"/>
      <c r="O801" s="68"/>
      <c r="U801" s="2"/>
    </row>
    <row r="802">
      <c r="K802" s="68"/>
      <c r="N802" s="68"/>
      <c r="O802" s="68"/>
      <c r="U802" s="2"/>
    </row>
    <row r="803">
      <c r="K803" s="68"/>
      <c r="N803" s="68"/>
      <c r="O803" s="68"/>
      <c r="U803" s="2"/>
    </row>
    <row r="804">
      <c r="K804" s="68"/>
      <c r="N804" s="68"/>
      <c r="O804" s="68"/>
      <c r="U804" s="2"/>
    </row>
    <row r="805">
      <c r="K805" s="68"/>
      <c r="N805" s="68"/>
      <c r="O805" s="68"/>
      <c r="U805" s="2"/>
    </row>
    <row r="806">
      <c r="K806" s="68"/>
      <c r="N806" s="68"/>
      <c r="O806" s="68"/>
      <c r="U806" s="2"/>
    </row>
    <row r="807">
      <c r="K807" s="68"/>
      <c r="N807" s="68"/>
      <c r="O807" s="68"/>
      <c r="U807" s="2"/>
    </row>
    <row r="808">
      <c r="K808" s="68"/>
      <c r="N808" s="68"/>
      <c r="O808" s="68"/>
      <c r="U808" s="2"/>
    </row>
    <row r="809">
      <c r="K809" s="68"/>
      <c r="N809" s="68"/>
      <c r="O809" s="68"/>
      <c r="U809" s="2"/>
    </row>
    <row r="810">
      <c r="K810" s="68"/>
      <c r="N810" s="68"/>
      <c r="O810" s="68"/>
      <c r="U810" s="2"/>
    </row>
    <row r="811">
      <c r="K811" s="68"/>
      <c r="N811" s="68"/>
      <c r="O811" s="68"/>
      <c r="U811" s="2"/>
    </row>
    <row r="812">
      <c r="K812" s="68"/>
      <c r="N812" s="68"/>
      <c r="O812" s="68"/>
      <c r="U812" s="2"/>
    </row>
    <row r="813">
      <c r="K813" s="68"/>
      <c r="N813" s="68"/>
      <c r="O813" s="68"/>
      <c r="U813" s="2"/>
    </row>
    <row r="814">
      <c r="K814" s="68"/>
      <c r="N814" s="68"/>
      <c r="O814" s="68"/>
      <c r="U814" s="2"/>
    </row>
    <row r="815">
      <c r="K815" s="68"/>
      <c r="N815" s="68"/>
      <c r="O815" s="68"/>
      <c r="U815" s="2"/>
    </row>
    <row r="816">
      <c r="K816" s="68"/>
      <c r="N816" s="68"/>
      <c r="O816" s="68"/>
      <c r="U816" s="2"/>
    </row>
    <row r="817">
      <c r="K817" s="68"/>
      <c r="N817" s="68"/>
      <c r="O817" s="68"/>
      <c r="U817" s="2"/>
    </row>
    <row r="818">
      <c r="K818" s="68"/>
      <c r="N818" s="68"/>
      <c r="O818" s="68"/>
      <c r="U818" s="2"/>
    </row>
    <row r="819">
      <c r="K819" s="68"/>
      <c r="N819" s="68"/>
      <c r="O819" s="68"/>
      <c r="U819" s="2"/>
    </row>
    <row r="820">
      <c r="K820" s="68"/>
      <c r="N820" s="68"/>
      <c r="O820" s="68"/>
      <c r="U820" s="2"/>
    </row>
    <row r="821">
      <c r="K821" s="68"/>
      <c r="N821" s="68"/>
      <c r="O821" s="68"/>
      <c r="U821" s="2"/>
    </row>
    <row r="822">
      <c r="K822" s="68"/>
      <c r="N822" s="68"/>
      <c r="O822" s="68"/>
      <c r="U822" s="2"/>
    </row>
    <row r="823">
      <c r="K823" s="68"/>
      <c r="N823" s="68"/>
      <c r="O823" s="68"/>
      <c r="U823" s="2"/>
    </row>
    <row r="824">
      <c r="K824" s="68"/>
      <c r="N824" s="68"/>
      <c r="O824" s="68"/>
      <c r="U824" s="2"/>
    </row>
    <row r="825">
      <c r="K825" s="68"/>
      <c r="N825" s="68"/>
      <c r="O825" s="68"/>
      <c r="U825" s="2"/>
    </row>
    <row r="826">
      <c r="K826" s="68"/>
      <c r="N826" s="68"/>
      <c r="O826" s="68"/>
      <c r="U826" s="2"/>
    </row>
    <row r="827">
      <c r="K827" s="68"/>
      <c r="N827" s="68"/>
      <c r="O827" s="68"/>
      <c r="U827" s="2"/>
    </row>
    <row r="828">
      <c r="K828" s="68"/>
      <c r="N828" s="68"/>
      <c r="O828" s="68"/>
      <c r="U828" s="2"/>
    </row>
    <row r="829">
      <c r="K829" s="68"/>
      <c r="N829" s="68"/>
      <c r="O829" s="68"/>
      <c r="U829" s="2"/>
    </row>
    <row r="830">
      <c r="K830" s="68"/>
      <c r="N830" s="68"/>
      <c r="O830" s="68"/>
      <c r="U830" s="2"/>
    </row>
    <row r="831">
      <c r="K831" s="68"/>
      <c r="N831" s="68"/>
      <c r="O831" s="68"/>
      <c r="U831" s="2"/>
    </row>
    <row r="832">
      <c r="K832" s="68"/>
      <c r="N832" s="68"/>
      <c r="O832" s="68"/>
      <c r="U832" s="2"/>
    </row>
    <row r="833">
      <c r="K833" s="68"/>
      <c r="N833" s="68"/>
      <c r="O833" s="68"/>
      <c r="U833" s="2"/>
    </row>
    <row r="834">
      <c r="K834" s="68"/>
      <c r="N834" s="68"/>
      <c r="O834" s="68"/>
      <c r="U834" s="2"/>
    </row>
    <row r="835">
      <c r="K835" s="68"/>
      <c r="N835" s="68"/>
      <c r="O835" s="68"/>
      <c r="U835" s="2"/>
    </row>
    <row r="836">
      <c r="K836" s="68"/>
      <c r="N836" s="68"/>
      <c r="O836" s="68"/>
      <c r="U836" s="2"/>
    </row>
    <row r="837">
      <c r="K837" s="68"/>
      <c r="N837" s="68"/>
      <c r="O837" s="68"/>
      <c r="U837" s="2"/>
    </row>
    <row r="838">
      <c r="K838" s="68"/>
      <c r="N838" s="68"/>
      <c r="O838" s="68"/>
      <c r="U838" s="2"/>
    </row>
    <row r="839">
      <c r="K839" s="68"/>
      <c r="N839" s="68"/>
      <c r="O839" s="68"/>
      <c r="U839" s="2"/>
    </row>
    <row r="840">
      <c r="K840" s="68"/>
      <c r="N840" s="68"/>
      <c r="O840" s="68"/>
      <c r="U840" s="2"/>
    </row>
    <row r="841">
      <c r="K841" s="68"/>
      <c r="N841" s="68"/>
      <c r="O841" s="68"/>
      <c r="U841" s="2"/>
    </row>
    <row r="842">
      <c r="K842" s="68"/>
      <c r="N842" s="68"/>
      <c r="O842" s="68"/>
      <c r="U842" s="2"/>
    </row>
    <row r="843">
      <c r="K843" s="68"/>
      <c r="N843" s="68"/>
      <c r="O843" s="68"/>
      <c r="U843" s="2"/>
    </row>
    <row r="844">
      <c r="K844" s="68"/>
      <c r="N844" s="68"/>
      <c r="O844" s="68"/>
      <c r="U844" s="2"/>
    </row>
    <row r="845">
      <c r="K845" s="68"/>
      <c r="N845" s="68"/>
      <c r="O845" s="68"/>
      <c r="U845" s="2"/>
    </row>
    <row r="846">
      <c r="K846" s="68"/>
      <c r="N846" s="68"/>
      <c r="O846" s="68"/>
      <c r="U846" s="2"/>
    </row>
    <row r="847">
      <c r="K847" s="68"/>
      <c r="N847" s="68"/>
      <c r="O847" s="68"/>
      <c r="U847" s="2"/>
    </row>
    <row r="848">
      <c r="K848" s="68"/>
      <c r="N848" s="68"/>
      <c r="O848" s="68"/>
      <c r="U848" s="2"/>
    </row>
    <row r="849">
      <c r="K849" s="68"/>
      <c r="N849" s="68"/>
      <c r="O849" s="68"/>
      <c r="U849" s="2"/>
    </row>
    <row r="850">
      <c r="K850" s="68"/>
      <c r="N850" s="68"/>
      <c r="O850" s="68"/>
      <c r="U850" s="2"/>
    </row>
    <row r="851">
      <c r="K851" s="68"/>
      <c r="N851" s="68"/>
      <c r="O851" s="68"/>
      <c r="U851" s="2"/>
    </row>
    <row r="852">
      <c r="K852" s="68"/>
      <c r="N852" s="68"/>
      <c r="O852" s="68"/>
      <c r="U852" s="2"/>
    </row>
    <row r="853">
      <c r="K853" s="68"/>
      <c r="N853" s="68"/>
      <c r="O853" s="68"/>
      <c r="U853" s="2"/>
    </row>
    <row r="854">
      <c r="K854" s="68"/>
      <c r="N854" s="68"/>
      <c r="O854" s="68"/>
      <c r="U854" s="2"/>
    </row>
    <row r="855">
      <c r="K855" s="68"/>
      <c r="N855" s="68"/>
      <c r="O855" s="68"/>
      <c r="U855" s="2"/>
    </row>
    <row r="856">
      <c r="K856" s="68"/>
      <c r="N856" s="68"/>
      <c r="O856" s="68"/>
      <c r="U856" s="2"/>
    </row>
    <row r="857">
      <c r="K857" s="68"/>
      <c r="N857" s="68"/>
      <c r="O857" s="68"/>
      <c r="U857" s="2"/>
    </row>
    <row r="858">
      <c r="K858" s="68"/>
      <c r="N858" s="68"/>
      <c r="O858" s="68"/>
      <c r="U858" s="2"/>
    </row>
    <row r="859">
      <c r="K859" s="68"/>
      <c r="N859" s="68"/>
      <c r="O859" s="68"/>
      <c r="U859" s="2"/>
    </row>
    <row r="860">
      <c r="K860" s="68"/>
      <c r="N860" s="68"/>
      <c r="O860" s="68"/>
      <c r="U860" s="2"/>
    </row>
    <row r="861">
      <c r="K861" s="68"/>
      <c r="N861" s="68"/>
      <c r="O861" s="68"/>
      <c r="U861" s="2"/>
    </row>
    <row r="862">
      <c r="K862" s="68"/>
      <c r="N862" s="68"/>
      <c r="O862" s="68"/>
      <c r="U862" s="2"/>
    </row>
    <row r="863">
      <c r="K863" s="68"/>
      <c r="N863" s="68"/>
      <c r="O863" s="68"/>
      <c r="U863" s="2"/>
    </row>
    <row r="864">
      <c r="K864" s="68"/>
      <c r="N864" s="68"/>
      <c r="O864" s="68"/>
      <c r="U864" s="2"/>
    </row>
    <row r="865">
      <c r="K865" s="68"/>
      <c r="N865" s="68"/>
      <c r="O865" s="68"/>
      <c r="U865" s="2"/>
    </row>
    <row r="866">
      <c r="K866" s="68"/>
      <c r="N866" s="68"/>
      <c r="O866" s="68"/>
      <c r="U866" s="2"/>
    </row>
    <row r="867">
      <c r="K867" s="68"/>
      <c r="N867" s="68"/>
      <c r="O867" s="68"/>
      <c r="U867" s="2"/>
    </row>
    <row r="868">
      <c r="K868" s="68"/>
      <c r="N868" s="68"/>
      <c r="O868" s="68"/>
      <c r="U868" s="2"/>
    </row>
    <row r="869">
      <c r="K869" s="68"/>
      <c r="N869" s="68"/>
      <c r="O869" s="68"/>
      <c r="U869" s="2"/>
    </row>
    <row r="870">
      <c r="K870" s="68"/>
      <c r="N870" s="68"/>
      <c r="O870" s="68"/>
      <c r="U870" s="2"/>
    </row>
    <row r="871">
      <c r="K871" s="68"/>
      <c r="N871" s="68"/>
      <c r="O871" s="68"/>
      <c r="U871" s="2"/>
    </row>
    <row r="872">
      <c r="K872" s="68"/>
      <c r="N872" s="68"/>
      <c r="O872" s="68"/>
      <c r="U872" s="2"/>
    </row>
    <row r="873">
      <c r="K873" s="68"/>
      <c r="N873" s="68"/>
      <c r="O873" s="68"/>
      <c r="U873" s="2"/>
    </row>
    <row r="874">
      <c r="K874" s="68"/>
      <c r="N874" s="68"/>
      <c r="O874" s="68"/>
      <c r="U874" s="2"/>
    </row>
    <row r="875">
      <c r="K875" s="68"/>
      <c r="N875" s="68"/>
      <c r="O875" s="68"/>
      <c r="U875" s="2"/>
    </row>
    <row r="876">
      <c r="K876" s="68"/>
      <c r="N876" s="68"/>
      <c r="O876" s="68"/>
      <c r="U876" s="2"/>
    </row>
    <row r="877">
      <c r="K877" s="68"/>
      <c r="N877" s="68"/>
      <c r="O877" s="68"/>
      <c r="U877" s="2"/>
    </row>
    <row r="878">
      <c r="K878" s="68"/>
      <c r="N878" s="68"/>
      <c r="O878" s="68"/>
      <c r="U878" s="2"/>
    </row>
    <row r="879">
      <c r="K879" s="68"/>
      <c r="N879" s="68"/>
      <c r="O879" s="68"/>
      <c r="U879" s="2"/>
    </row>
    <row r="880">
      <c r="K880" s="68"/>
      <c r="N880" s="68"/>
      <c r="O880" s="68"/>
      <c r="U880" s="2"/>
    </row>
    <row r="881">
      <c r="K881" s="68"/>
      <c r="N881" s="68"/>
      <c r="O881" s="68"/>
      <c r="U881" s="2"/>
    </row>
    <row r="882">
      <c r="K882" s="68"/>
      <c r="N882" s="68"/>
      <c r="O882" s="68"/>
      <c r="U882" s="2"/>
    </row>
    <row r="883">
      <c r="K883" s="68"/>
      <c r="N883" s="68"/>
      <c r="O883" s="68"/>
      <c r="U883" s="2"/>
    </row>
    <row r="884">
      <c r="K884" s="68"/>
      <c r="N884" s="68"/>
      <c r="O884" s="68"/>
      <c r="U884" s="2"/>
    </row>
    <row r="885">
      <c r="K885" s="68"/>
      <c r="N885" s="68"/>
      <c r="O885" s="68"/>
      <c r="U885" s="2"/>
    </row>
    <row r="886">
      <c r="K886" s="68"/>
      <c r="N886" s="68"/>
      <c r="O886" s="68"/>
      <c r="U886" s="2"/>
    </row>
    <row r="887">
      <c r="K887" s="68"/>
      <c r="N887" s="68"/>
      <c r="O887" s="68"/>
      <c r="U887" s="2"/>
    </row>
    <row r="888">
      <c r="K888" s="68"/>
      <c r="N888" s="68"/>
      <c r="O888" s="68"/>
      <c r="U888" s="2"/>
    </row>
    <row r="889">
      <c r="K889" s="68"/>
      <c r="N889" s="68"/>
      <c r="O889" s="68"/>
      <c r="U889" s="2"/>
    </row>
    <row r="890">
      <c r="K890" s="68"/>
      <c r="N890" s="68"/>
      <c r="O890" s="68"/>
      <c r="U890" s="2"/>
    </row>
    <row r="891">
      <c r="K891" s="68"/>
      <c r="N891" s="68"/>
      <c r="O891" s="68"/>
      <c r="U891" s="2"/>
    </row>
    <row r="892">
      <c r="K892" s="68"/>
      <c r="N892" s="68"/>
      <c r="O892" s="68"/>
      <c r="U892" s="2"/>
    </row>
    <row r="893">
      <c r="K893" s="68"/>
      <c r="N893" s="68"/>
      <c r="O893" s="68"/>
      <c r="U893" s="2"/>
    </row>
    <row r="894">
      <c r="K894" s="68"/>
      <c r="N894" s="68"/>
      <c r="O894" s="68"/>
      <c r="U894" s="2"/>
    </row>
    <row r="895">
      <c r="K895" s="68"/>
      <c r="N895" s="68"/>
      <c r="O895" s="68"/>
      <c r="U895" s="2"/>
    </row>
    <row r="896">
      <c r="K896" s="68"/>
      <c r="N896" s="68"/>
      <c r="O896" s="68"/>
      <c r="U896" s="2"/>
    </row>
    <row r="897">
      <c r="K897" s="68"/>
      <c r="N897" s="68"/>
      <c r="O897" s="68"/>
      <c r="U897" s="2"/>
    </row>
    <row r="898">
      <c r="K898" s="68"/>
      <c r="N898" s="68"/>
      <c r="O898" s="68"/>
      <c r="U898" s="2"/>
    </row>
    <row r="899">
      <c r="K899" s="68"/>
      <c r="N899" s="68"/>
      <c r="O899" s="68"/>
      <c r="U899" s="2"/>
    </row>
    <row r="900">
      <c r="K900" s="68"/>
      <c r="N900" s="68"/>
      <c r="O900" s="68"/>
      <c r="U900" s="2"/>
    </row>
    <row r="901">
      <c r="K901" s="68"/>
      <c r="N901" s="68"/>
      <c r="O901" s="68"/>
      <c r="U901" s="2"/>
    </row>
    <row r="902">
      <c r="K902" s="68"/>
      <c r="N902" s="68"/>
      <c r="O902" s="68"/>
      <c r="U902" s="2"/>
    </row>
    <row r="903">
      <c r="K903" s="68"/>
      <c r="N903" s="68"/>
      <c r="O903" s="68"/>
      <c r="U903" s="2"/>
    </row>
    <row r="904">
      <c r="K904" s="68"/>
      <c r="N904" s="68"/>
      <c r="O904" s="68"/>
      <c r="U904" s="2"/>
    </row>
    <row r="905">
      <c r="K905" s="68"/>
      <c r="N905" s="68"/>
      <c r="O905" s="68"/>
      <c r="U905" s="2"/>
    </row>
    <row r="906">
      <c r="K906" s="68"/>
      <c r="N906" s="68"/>
      <c r="O906" s="68"/>
      <c r="U906" s="2"/>
    </row>
    <row r="907">
      <c r="K907" s="68"/>
      <c r="N907" s="68"/>
      <c r="O907" s="68"/>
      <c r="U907" s="2"/>
    </row>
    <row r="908">
      <c r="K908" s="68"/>
      <c r="N908" s="68"/>
      <c r="O908" s="68"/>
      <c r="U908" s="2"/>
    </row>
    <row r="909">
      <c r="K909" s="68"/>
      <c r="N909" s="68"/>
      <c r="O909" s="68"/>
      <c r="U909" s="2"/>
    </row>
    <row r="910">
      <c r="K910" s="68"/>
      <c r="N910" s="68"/>
      <c r="O910" s="68"/>
      <c r="U910" s="2"/>
    </row>
    <row r="911">
      <c r="K911" s="68"/>
      <c r="N911" s="68"/>
      <c r="O911" s="68"/>
      <c r="U911" s="2"/>
    </row>
    <row r="912">
      <c r="K912" s="68"/>
      <c r="N912" s="68"/>
      <c r="O912" s="68"/>
      <c r="U912" s="2"/>
    </row>
    <row r="913">
      <c r="K913" s="68"/>
      <c r="N913" s="68"/>
      <c r="O913" s="68"/>
      <c r="U913" s="2"/>
    </row>
    <row r="914">
      <c r="K914" s="68"/>
      <c r="N914" s="68"/>
      <c r="O914" s="68"/>
      <c r="U914" s="2"/>
    </row>
    <row r="915">
      <c r="K915" s="68"/>
      <c r="N915" s="68"/>
      <c r="O915" s="68"/>
      <c r="U915" s="2"/>
    </row>
    <row r="916">
      <c r="K916" s="68"/>
      <c r="N916" s="68"/>
      <c r="O916" s="68"/>
      <c r="U916" s="2"/>
    </row>
    <row r="917">
      <c r="K917" s="68"/>
      <c r="N917" s="68"/>
      <c r="O917" s="68"/>
      <c r="U917" s="2"/>
    </row>
    <row r="918">
      <c r="K918" s="68"/>
      <c r="N918" s="68"/>
      <c r="O918" s="68"/>
      <c r="U918" s="2"/>
    </row>
    <row r="919">
      <c r="K919" s="68"/>
      <c r="N919" s="68"/>
      <c r="O919" s="68"/>
      <c r="U919" s="2"/>
    </row>
    <row r="920">
      <c r="K920" s="68"/>
      <c r="N920" s="68"/>
      <c r="O920" s="68"/>
      <c r="U920" s="2"/>
    </row>
    <row r="921">
      <c r="K921" s="68"/>
      <c r="N921" s="68"/>
      <c r="O921" s="68"/>
      <c r="U921" s="2"/>
    </row>
    <row r="922">
      <c r="K922" s="68"/>
      <c r="N922" s="68"/>
      <c r="O922" s="68"/>
      <c r="U922" s="2"/>
    </row>
    <row r="923">
      <c r="K923" s="68"/>
      <c r="N923" s="68"/>
      <c r="O923" s="68"/>
      <c r="U923" s="2"/>
    </row>
    <row r="924">
      <c r="K924" s="68"/>
      <c r="N924" s="68"/>
      <c r="O924" s="68"/>
      <c r="U924" s="2"/>
    </row>
    <row r="925">
      <c r="K925" s="68"/>
      <c r="N925" s="68"/>
      <c r="O925" s="68"/>
      <c r="U925" s="2"/>
    </row>
    <row r="926">
      <c r="K926" s="68"/>
      <c r="N926" s="68"/>
      <c r="O926" s="68"/>
      <c r="U926" s="2"/>
    </row>
    <row r="927">
      <c r="K927" s="68"/>
      <c r="N927" s="68"/>
      <c r="O927" s="68"/>
      <c r="U927" s="2"/>
    </row>
    <row r="928">
      <c r="K928" s="68"/>
      <c r="N928" s="68"/>
      <c r="O928" s="68"/>
      <c r="U928" s="2"/>
    </row>
    <row r="929">
      <c r="K929" s="68"/>
      <c r="N929" s="68"/>
      <c r="O929" s="68"/>
      <c r="U929" s="2"/>
    </row>
    <row r="930">
      <c r="K930" s="68"/>
      <c r="N930" s="68"/>
      <c r="O930" s="68"/>
      <c r="U930" s="2"/>
    </row>
    <row r="931">
      <c r="K931" s="68"/>
      <c r="N931" s="68"/>
      <c r="O931" s="68"/>
      <c r="U931" s="2"/>
    </row>
    <row r="932">
      <c r="K932" s="68"/>
      <c r="N932" s="68"/>
      <c r="O932" s="68"/>
      <c r="U932" s="2"/>
    </row>
    <row r="933">
      <c r="K933" s="68"/>
      <c r="N933" s="68"/>
      <c r="O933" s="68"/>
      <c r="U933" s="2"/>
    </row>
    <row r="934">
      <c r="K934" s="68"/>
      <c r="N934" s="68"/>
      <c r="O934" s="68"/>
      <c r="U934" s="2"/>
    </row>
    <row r="935">
      <c r="K935" s="68"/>
      <c r="N935" s="68"/>
      <c r="O935" s="68"/>
      <c r="U935" s="2"/>
    </row>
    <row r="936">
      <c r="K936" s="68"/>
      <c r="N936" s="68"/>
      <c r="O936" s="68"/>
      <c r="U936" s="2"/>
    </row>
    <row r="937">
      <c r="K937" s="68"/>
      <c r="N937" s="68"/>
      <c r="O937" s="68"/>
      <c r="U937" s="2"/>
    </row>
    <row r="938">
      <c r="K938" s="68"/>
      <c r="N938" s="68"/>
      <c r="O938" s="68"/>
      <c r="U938" s="2"/>
    </row>
    <row r="939">
      <c r="K939" s="68"/>
      <c r="N939" s="68"/>
      <c r="O939" s="68"/>
      <c r="U939" s="2"/>
    </row>
    <row r="940">
      <c r="K940" s="68"/>
      <c r="N940" s="68"/>
      <c r="O940" s="68"/>
      <c r="U940" s="2"/>
    </row>
    <row r="941">
      <c r="K941" s="68"/>
      <c r="N941" s="68"/>
      <c r="O941" s="68"/>
      <c r="U941" s="2"/>
    </row>
    <row r="942">
      <c r="K942" s="68"/>
      <c r="N942" s="68"/>
      <c r="O942" s="68"/>
      <c r="U942" s="2"/>
    </row>
    <row r="943">
      <c r="K943" s="68"/>
      <c r="N943" s="68"/>
      <c r="O943" s="68"/>
      <c r="U943" s="2"/>
    </row>
    <row r="944">
      <c r="K944" s="68"/>
      <c r="N944" s="68"/>
      <c r="O944" s="68"/>
      <c r="U944" s="2"/>
    </row>
    <row r="945">
      <c r="K945" s="68"/>
      <c r="N945" s="68"/>
      <c r="O945" s="68"/>
      <c r="U945" s="2"/>
    </row>
    <row r="946">
      <c r="K946" s="68"/>
      <c r="N946" s="68"/>
      <c r="O946" s="68"/>
      <c r="U946" s="2"/>
    </row>
    <row r="947">
      <c r="K947" s="68"/>
      <c r="N947" s="68"/>
      <c r="O947" s="68"/>
      <c r="U947" s="2"/>
    </row>
    <row r="948">
      <c r="K948" s="68"/>
      <c r="N948" s="68"/>
      <c r="O948" s="68"/>
      <c r="U948" s="2"/>
    </row>
    <row r="949">
      <c r="K949" s="68"/>
      <c r="N949" s="68"/>
      <c r="O949" s="68"/>
      <c r="U949" s="2"/>
    </row>
    <row r="950">
      <c r="K950" s="68"/>
      <c r="N950" s="68"/>
      <c r="O950" s="68"/>
      <c r="U950" s="2"/>
    </row>
    <row r="951">
      <c r="K951" s="68"/>
      <c r="N951" s="68"/>
      <c r="O951" s="68"/>
      <c r="U951" s="2"/>
    </row>
    <row r="952">
      <c r="K952" s="68"/>
      <c r="N952" s="68"/>
      <c r="O952" s="68"/>
      <c r="U952" s="2"/>
    </row>
    <row r="953">
      <c r="K953" s="68"/>
      <c r="N953" s="68"/>
      <c r="O953" s="68"/>
      <c r="U953" s="2"/>
    </row>
    <row r="954">
      <c r="K954" s="68"/>
      <c r="N954" s="68"/>
      <c r="O954" s="68"/>
      <c r="U954" s="2"/>
    </row>
    <row r="955">
      <c r="K955" s="68"/>
      <c r="N955" s="68"/>
      <c r="O955" s="68"/>
      <c r="U955" s="2"/>
    </row>
    <row r="956">
      <c r="K956" s="68"/>
      <c r="N956" s="68"/>
      <c r="O956" s="68"/>
      <c r="U956" s="2"/>
    </row>
    <row r="957">
      <c r="K957" s="68"/>
      <c r="N957" s="68"/>
      <c r="O957" s="68"/>
      <c r="U957" s="2"/>
    </row>
    <row r="958">
      <c r="K958" s="68"/>
      <c r="N958" s="68"/>
      <c r="O958" s="68"/>
      <c r="U958" s="2"/>
    </row>
    <row r="959">
      <c r="K959" s="68"/>
      <c r="N959" s="68"/>
      <c r="O959" s="68"/>
      <c r="U959" s="2"/>
    </row>
    <row r="960">
      <c r="K960" s="68"/>
      <c r="N960" s="68"/>
      <c r="O960" s="68"/>
      <c r="U960" s="2"/>
    </row>
    <row r="961">
      <c r="K961" s="68"/>
      <c r="N961" s="68"/>
      <c r="O961" s="68"/>
      <c r="U961" s="2"/>
    </row>
    <row r="962">
      <c r="K962" s="68"/>
      <c r="N962" s="68"/>
      <c r="O962" s="68"/>
      <c r="U962" s="2"/>
    </row>
    <row r="963">
      <c r="K963" s="68"/>
      <c r="N963" s="68"/>
      <c r="O963" s="68"/>
      <c r="U963" s="2"/>
    </row>
    <row r="964">
      <c r="K964" s="68"/>
      <c r="N964" s="68"/>
      <c r="O964" s="68"/>
      <c r="U964" s="2"/>
    </row>
    <row r="965">
      <c r="K965" s="68"/>
      <c r="N965" s="68"/>
      <c r="O965" s="68"/>
      <c r="U965" s="2"/>
    </row>
    <row r="966">
      <c r="K966" s="68"/>
      <c r="N966" s="68"/>
      <c r="O966" s="68"/>
      <c r="U966" s="2"/>
    </row>
    <row r="967">
      <c r="K967" s="68"/>
      <c r="N967" s="68"/>
      <c r="O967" s="68"/>
      <c r="U967" s="2"/>
    </row>
    <row r="968">
      <c r="K968" s="68"/>
      <c r="N968" s="68"/>
      <c r="O968" s="68"/>
      <c r="U968" s="2"/>
    </row>
    <row r="969">
      <c r="K969" s="68"/>
      <c r="N969" s="68"/>
      <c r="O969" s="68"/>
      <c r="U969" s="2"/>
    </row>
    <row r="970">
      <c r="K970" s="68"/>
      <c r="N970" s="68"/>
      <c r="O970" s="68"/>
      <c r="U970" s="2"/>
    </row>
    <row r="971">
      <c r="K971" s="68"/>
      <c r="N971" s="68"/>
      <c r="O971" s="68"/>
      <c r="U971" s="2"/>
    </row>
    <row r="972">
      <c r="K972" s="68"/>
      <c r="N972" s="68"/>
      <c r="O972" s="68"/>
      <c r="U972" s="2"/>
    </row>
    <row r="973">
      <c r="K973" s="68"/>
      <c r="N973" s="68"/>
      <c r="O973" s="68"/>
      <c r="U973" s="2"/>
    </row>
    <row r="974">
      <c r="K974" s="68"/>
      <c r="N974" s="68"/>
      <c r="O974" s="68"/>
      <c r="U974" s="2"/>
    </row>
    <row r="975">
      <c r="K975" s="68"/>
      <c r="N975" s="68"/>
      <c r="O975" s="68"/>
      <c r="U975" s="2"/>
    </row>
    <row r="976">
      <c r="K976" s="68"/>
      <c r="N976" s="68"/>
      <c r="O976" s="68"/>
      <c r="U976" s="2"/>
    </row>
    <row r="977">
      <c r="K977" s="68"/>
      <c r="N977" s="68"/>
      <c r="O977" s="68"/>
      <c r="U977" s="2"/>
    </row>
    <row r="978">
      <c r="K978" s="68"/>
      <c r="N978" s="68"/>
      <c r="O978" s="68"/>
      <c r="U978" s="2"/>
    </row>
    <row r="979">
      <c r="K979" s="68"/>
      <c r="N979" s="68"/>
      <c r="O979" s="68"/>
      <c r="U979" s="2"/>
    </row>
    <row r="980">
      <c r="K980" s="68"/>
      <c r="N980" s="68"/>
      <c r="O980" s="68"/>
      <c r="U980" s="2"/>
    </row>
    <row r="981">
      <c r="K981" s="68"/>
      <c r="N981" s="68"/>
      <c r="O981" s="68"/>
      <c r="U981" s="2"/>
    </row>
    <row r="982">
      <c r="K982" s="68"/>
      <c r="N982" s="68"/>
      <c r="O982" s="68"/>
      <c r="U982" s="2"/>
    </row>
    <row r="983">
      <c r="K983" s="68"/>
      <c r="N983" s="68"/>
      <c r="O983" s="68"/>
      <c r="U983" s="2"/>
    </row>
    <row r="984">
      <c r="K984" s="68"/>
      <c r="N984" s="68"/>
      <c r="O984" s="68"/>
      <c r="U984" s="2"/>
    </row>
    <row r="985">
      <c r="K985" s="68"/>
      <c r="N985" s="68"/>
      <c r="O985" s="68"/>
      <c r="U985" s="2"/>
    </row>
    <row r="986">
      <c r="K986" s="68"/>
      <c r="N986" s="68"/>
      <c r="O986" s="68"/>
      <c r="U986" s="2"/>
    </row>
    <row r="987">
      <c r="K987" s="68"/>
      <c r="N987" s="68"/>
      <c r="O987" s="68"/>
      <c r="U987" s="2"/>
    </row>
    <row r="988">
      <c r="K988" s="68"/>
      <c r="N988" s="68"/>
      <c r="O988" s="68"/>
      <c r="U988" s="2"/>
    </row>
    <row r="989">
      <c r="K989" s="68"/>
      <c r="N989" s="68"/>
      <c r="O989" s="68"/>
      <c r="U989" s="2"/>
    </row>
    <row r="990">
      <c r="K990" s="68"/>
      <c r="N990" s="68"/>
      <c r="O990" s="68"/>
      <c r="U990" s="2"/>
    </row>
    <row r="991">
      <c r="K991" s="68"/>
      <c r="N991" s="68"/>
      <c r="O991" s="68"/>
      <c r="U991" s="2"/>
    </row>
    <row r="992">
      <c r="K992" s="68"/>
      <c r="N992" s="68"/>
      <c r="O992" s="68"/>
      <c r="U992" s="2"/>
    </row>
    <row r="993">
      <c r="K993" s="68"/>
      <c r="N993" s="68"/>
      <c r="O993" s="68"/>
      <c r="U993" s="2"/>
    </row>
    <row r="994">
      <c r="K994" s="68"/>
      <c r="N994" s="68"/>
      <c r="O994" s="68"/>
      <c r="U994" s="2"/>
    </row>
    <row r="995">
      <c r="K995" s="68"/>
      <c r="N995" s="68"/>
      <c r="O995" s="68"/>
      <c r="U995" s="2"/>
    </row>
    <row r="996">
      <c r="K996" s="68"/>
      <c r="N996" s="68"/>
      <c r="O996" s="68"/>
      <c r="U996" s="2"/>
    </row>
    <row r="997">
      <c r="K997" s="68"/>
      <c r="N997" s="68"/>
      <c r="O997" s="68"/>
      <c r="U997" s="2"/>
    </row>
    <row r="998">
      <c r="K998" s="68"/>
      <c r="N998" s="68"/>
      <c r="O998" s="68"/>
      <c r="U998" s="2"/>
    </row>
    <row r="999">
      <c r="K999" s="68"/>
      <c r="N999" s="68"/>
      <c r="O999" s="68"/>
      <c r="U999" s="2"/>
    </row>
    <row r="1000">
      <c r="K1000" s="68"/>
      <c r="N1000" s="68"/>
      <c r="O1000" s="68"/>
      <c r="U1000" s="2"/>
    </row>
    <row r="1001">
      <c r="K1001" s="68"/>
      <c r="N1001" s="68"/>
      <c r="O1001" s="68"/>
      <c r="U1001" s="2"/>
    </row>
    <row r="1002">
      <c r="K1002" s="68"/>
      <c r="N1002" s="68"/>
      <c r="O1002" s="68"/>
      <c r="U1002" s="2"/>
    </row>
    <row r="1003">
      <c r="K1003" s="68"/>
      <c r="N1003" s="68"/>
      <c r="O1003" s="68"/>
      <c r="U1003" s="2"/>
    </row>
    <row r="1004">
      <c r="K1004" s="68"/>
      <c r="N1004" s="68"/>
      <c r="O1004" s="68"/>
      <c r="U1004" s="2"/>
    </row>
    <row r="1005">
      <c r="K1005" s="68"/>
      <c r="N1005" s="68"/>
      <c r="O1005" s="68"/>
      <c r="U1005" s="2"/>
    </row>
    <row r="1006">
      <c r="K1006" s="68"/>
      <c r="N1006" s="68"/>
      <c r="O1006" s="68"/>
      <c r="U1006" s="2"/>
    </row>
    <row r="1007">
      <c r="K1007" s="68"/>
      <c r="N1007" s="68"/>
      <c r="O1007" s="68"/>
      <c r="U1007" s="2"/>
    </row>
    <row r="1008">
      <c r="K1008" s="68"/>
      <c r="N1008" s="68"/>
      <c r="O1008" s="68"/>
      <c r="U1008" s="2"/>
    </row>
    <row r="1009">
      <c r="K1009" s="68"/>
      <c r="N1009" s="68"/>
      <c r="O1009" s="68"/>
      <c r="U1009" s="2"/>
    </row>
    <row r="1010">
      <c r="K1010" s="68"/>
      <c r="N1010" s="68"/>
      <c r="O1010" s="68"/>
      <c r="U1010" s="2"/>
    </row>
    <row r="1011">
      <c r="K1011" s="68"/>
      <c r="N1011" s="68"/>
      <c r="O1011" s="68"/>
      <c r="U1011" s="2"/>
    </row>
    <row r="1012">
      <c r="K1012" s="68"/>
      <c r="N1012" s="68"/>
      <c r="O1012" s="68"/>
      <c r="U1012" s="2"/>
    </row>
    <row r="1013">
      <c r="K1013" s="68"/>
      <c r="N1013" s="68"/>
      <c r="O1013" s="68"/>
      <c r="U1013" s="2"/>
    </row>
    <row r="1014">
      <c r="K1014" s="68"/>
      <c r="N1014" s="68"/>
      <c r="O1014" s="68"/>
      <c r="U1014" s="2"/>
    </row>
    <row r="1015">
      <c r="K1015" s="68"/>
      <c r="N1015" s="68"/>
      <c r="O1015" s="68"/>
      <c r="U1015" s="2"/>
    </row>
    <row r="1016">
      <c r="K1016" s="68"/>
      <c r="N1016" s="68"/>
      <c r="O1016" s="68"/>
      <c r="U1016" s="2"/>
    </row>
    <row r="1017">
      <c r="K1017" s="68"/>
      <c r="N1017" s="68"/>
      <c r="O1017" s="68"/>
      <c r="U1017" s="2"/>
    </row>
    <row r="1018">
      <c r="K1018" s="68"/>
      <c r="N1018" s="68"/>
      <c r="O1018" s="68"/>
      <c r="U1018" s="2"/>
    </row>
    <row r="1019">
      <c r="K1019" s="68"/>
      <c r="N1019" s="68"/>
      <c r="O1019" s="68"/>
      <c r="U1019" s="2"/>
    </row>
    <row r="1020">
      <c r="K1020" s="68"/>
      <c r="N1020" s="68"/>
      <c r="O1020" s="68"/>
      <c r="U1020" s="2"/>
    </row>
    <row r="1021">
      <c r="K1021" s="68"/>
      <c r="N1021" s="68"/>
      <c r="O1021" s="68"/>
      <c r="U1021" s="2"/>
    </row>
    <row r="1022">
      <c r="K1022" s="68"/>
      <c r="N1022" s="68"/>
      <c r="O1022" s="68"/>
      <c r="U1022" s="2"/>
    </row>
    <row r="1023">
      <c r="K1023" s="68"/>
      <c r="N1023" s="68"/>
      <c r="O1023" s="68"/>
      <c r="U1023" s="2"/>
    </row>
    <row r="1024">
      <c r="K1024" s="68"/>
      <c r="N1024" s="68"/>
      <c r="O1024" s="68"/>
      <c r="U1024" s="2"/>
    </row>
    <row r="1025">
      <c r="K1025" s="68"/>
      <c r="N1025" s="68"/>
      <c r="O1025" s="68"/>
      <c r="U1025" s="2"/>
    </row>
    <row r="1026">
      <c r="K1026" s="68"/>
      <c r="N1026" s="68"/>
      <c r="O1026" s="68"/>
      <c r="U1026" s="2"/>
    </row>
    <row r="1027">
      <c r="K1027" s="68"/>
      <c r="N1027" s="68"/>
      <c r="O1027" s="68"/>
      <c r="U1027" s="2"/>
    </row>
    <row r="1028">
      <c r="K1028" s="68"/>
      <c r="N1028" s="68"/>
      <c r="O1028" s="68"/>
      <c r="U1028" s="2"/>
    </row>
    <row r="1029">
      <c r="K1029" s="68"/>
      <c r="N1029" s="68"/>
      <c r="O1029" s="68"/>
      <c r="U1029" s="2"/>
    </row>
    <row r="1030">
      <c r="K1030" s="68"/>
      <c r="N1030" s="68"/>
      <c r="O1030" s="68"/>
      <c r="U1030" s="2"/>
    </row>
    <row r="1031">
      <c r="K1031" s="68"/>
      <c r="N1031" s="68"/>
      <c r="O1031" s="68"/>
      <c r="U1031" s="2"/>
    </row>
    <row r="1032">
      <c r="K1032" s="68"/>
      <c r="N1032" s="68"/>
      <c r="O1032" s="68"/>
      <c r="U1032" s="2"/>
    </row>
    <row r="1033">
      <c r="K1033" s="68"/>
      <c r="N1033" s="68"/>
      <c r="O1033" s="68"/>
      <c r="U1033" s="2"/>
    </row>
    <row r="1034">
      <c r="K1034" s="68"/>
      <c r="N1034" s="68"/>
      <c r="O1034" s="68"/>
      <c r="U1034" s="2"/>
    </row>
    <row r="1035">
      <c r="K1035" s="68"/>
      <c r="N1035" s="68"/>
      <c r="O1035" s="68"/>
      <c r="U1035" s="2"/>
    </row>
    <row r="1036">
      <c r="K1036" s="68"/>
      <c r="N1036" s="68"/>
      <c r="O1036" s="68"/>
      <c r="U1036" s="2"/>
    </row>
    <row r="1037">
      <c r="K1037" s="68"/>
      <c r="N1037" s="68"/>
      <c r="O1037" s="68"/>
      <c r="U1037" s="2"/>
    </row>
    <row r="1038">
      <c r="K1038" s="68"/>
      <c r="N1038" s="68"/>
      <c r="O1038" s="68"/>
      <c r="U1038" s="2"/>
    </row>
    <row r="1039">
      <c r="K1039" s="68"/>
      <c r="N1039" s="68"/>
      <c r="O1039" s="68"/>
      <c r="U1039" s="2"/>
    </row>
    <row r="1040">
      <c r="K1040" s="68"/>
      <c r="N1040" s="68"/>
      <c r="O1040" s="68"/>
      <c r="U1040" s="2"/>
    </row>
    <row r="1041">
      <c r="K1041" s="68"/>
      <c r="N1041" s="68"/>
      <c r="O1041" s="68"/>
      <c r="U1041" s="2"/>
    </row>
    <row r="1042">
      <c r="K1042" s="68"/>
      <c r="N1042" s="68"/>
      <c r="O1042" s="68"/>
      <c r="U1042" s="2"/>
    </row>
    <row r="1043">
      <c r="K1043" s="68"/>
      <c r="N1043" s="68"/>
      <c r="O1043" s="68"/>
      <c r="U1043" s="2"/>
    </row>
    <row r="1044">
      <c r="K1044" s="68"/>
      <c r="N1044" s="68"/>
      <c r="O1044" s="68"/>
      <c r="U1044" s="2"/>
    </row>
    <row r="1045">
      <c r="K1045" s="68"/>
      <c r="N1045" s="68"/>
      <c r="O1045" s="68"/>
      <c r="U1045" s="2"/>
    </row>
    <row r="1046">
      <c r="K1046" s="68"/>
      <c r="N1046" s="68"/>
      <c r="O1046" s="68"/>
      <c r="U1046" s="2"/>
    </row>
    <row r="1047">
      <c r="K1047" s="68"/>
      <c r="N1047" s="68"/>
      <c r="O1047" s="68"/>
      <c r="U1047" s="2"/>
    </row>
    <row r="1048">
      <c r="K1048" s="68"/>
      <c r="N1048" s="68"/>
      <c r="O1048" s="68"/>
      <c r="U1048" s="2"/>
    </row>
    <row r="1049">
      <c r="K1049" s="68"/>
      <c r="N1049" s="68"/>
      <c r="O1049" s="68"/>
      <c r="U1049" s="2"/>
    </row>
    <row r="1050">
      <c r="K1050" s="68"/>
      <c r="N1050" s="68"/>
      <c r="O1050" s="68"/>
      <c r="U1050" s="2"/>
    </row>
    <row r="1051">
      <c r="K1051" s="68"/>
      <c r="N1051" s="68"/>
      <c r="O1051" s="68"/>
      <c r="U1051" s="2"/>
    </row>
    <row r="1052">
      <c r="K1052" s="68"/>
      <c r="N1052" s="68"/>
      <c r="O1052" s="68"/>
      <c r="U1052" s="2"/>
    </row>
    <row r="1053">
      <c r="K1053" s="68"/>
      <c r="N1053" s="68"/>
      <c r="O1053" s="68"/>
      <c r="U1053" s="2"/>
    </row>
    <row r="1054">
      <c r="K1054" s="68"/>
      <c r="N1054" s="68"/>
      <c r="O1054" s="68"/>
      <c r="U1054" s="2"/>
    </row>
    <row r="1055">
      <c r="K1055" s="68"/>
      <c r="N1055" s="68"/>
      <c r="O1055" s="68"/>
      <c r="U1055" s="2"/>
    </row>
    <row r="1056">
      <c r="K1056" s="68"/>
      <c r="N1056" s="68"/>
      <c r="O1056" s="68"/>
      <c r="U1056" s="2"/>
    </row>
    <row r="1057">
      <c r="K1057" s="68"/>
      <c r="N1057" s="68"/>
      <c r="O1057" s="68"/>
      <c r="U1057" s="2"/>
    </row>
    <row r="1058">
      <c r="K1058" s="68"/>
      <c r="N1058" s="68"/>
      <c r="O1058" s="68"/>
      <c r="U1058" s="2"/>
    </row>
    <row r="1059">
      <c r="K1059" s="68"/>
      <c r="N1059" s="68"/>
      <c r="O1059" s="68"/>
      <c r="U1059" s="2"/>
    </row>
    <row r="1060">
      <c r="K1060" s="68"/>
      <c r="N1060" s="68"/>
      <c r="O1060" s="68"/>
      <c r="U1060" s="2"/>
    </row>
    <row r="1061">
      <c r="K1061" s="68"/>
      <c r="N1061" s="68"/>
      <c r="O1061" s="68"/>
      <c r="U1061" s="2"/>
    </row>
    <row r="1062">
      <c r="K1062" s="68"/>
      <c r="N1062" s="68"/>
      <c r="O1062" s="68"/>
      <c r="U1062" s="2"/>
    </row>
    <row r="1063">
      <c r="K1063" s="68"/>
      <c r="N1063" s="68"/>
      <c r="O1063" s="68"/>
      <c r="U1063" s="2"/>
    </row>
    <row r="1064">
      <c r="K1064" s="68"/>
      <c r="N1064" s="68"/>
      <c r="O1064" s="68"/>
      <c r="U1064" s="2"/>
    </row>
    <row r="1065">
      <c r="K1065" s="68"/>
      <c r="N1065" s="68"/>
      <c r="O1065" s="68"/>
      <c r="U1065" s="2"/>
    </row>
    <row r="1066">
      <c r="K1066" s="68"/>
      <c r="N1066" s="68"/>
      <c r="O1066" s="68"/>
      <c r="U1066" s="2"/>
    </row>
    <row r="1067">
      <c r="K1067" s="68"/>
      <c r="N1067" s="68"/>
      <c r="O1067" s="68"/>
      <c r="U1067" s="2"/>
    </row>
    <row r="1068">
      <c r="K1068" s="68"/>
      <c r="N1068" s="68"/>
      <c r="O1068" s="68"/>
      <c r="U1068" s="2"/>
    </row>
    <row r="1069">
      <c r="K1069" s="68"/>
      <c r="N1069" s="68"/>
      <c r="O1069" s="68"/>
      <c r="U1069" s="2"/>
    </row>
    <row r="1070">
      <c r="K1070" s="68"/>
      <c r="N1070" s="68"/>
      <c r="O1070" s="68"/>
      <c r="U1070" s="2"/>
    </row>
    <row r="1071">
      <c r="K1071" s="68"/>
      <c r="N1071" s="68"/>
      <c r="O1071" s="68"/>
      <c r="U1071" s="2"/>
    </row>
    <row r="1072">
      <c r="K1072" s="68"/>
      <c r="N1072" s="68"/>
      <c r="O1072" s="68"/>
      <c r="U1072" s="2"/>
    </row>
    <row r="1073">
      <c r="K1073" s="68"/>
      <c r="N1073" s="68"/>
      <c r="O1073" s="68"/>
      <c r="U1073" s="2"/>
    </row>
    <row r="1074">
      <c r="K1074" s="68"/>
      <c r="N1074" s="68"/>
      <c r="O1074" s="68"/>
      <c r="U1074" s="2"/>
    </row>
    <row r="1075">
      <c r="K1075" s="68"/>
      <c r="N1075" s="68"/>
      <c r="O1075" s="68"/>
      <c r="U1075" s="2"/>
    </row>
    <row r="1076">
      <c r="K1076" s="68"/>
      <c r="N1076" s="68"/>
      <c r="O1076" s="68"/>
      <c r="U1076" s="2"/>
    </row>
    <row r="1077">
      <c r="K1077" s="68"/>
      <c r="N1077" s="68"/>
      <c r="O1077" s="68"/>
      <c r="U1077" s="2"/>
    </row>
    <row r="1078">
      <c r="K1078" s="68"/>
      <c r="N1078" s="68"/>
      <c r="O1078" s="68"/>
      <c r="U1078" s="2"/>
    </row>
    <row r="1079">
      <c r="K1079" s="68"/>
      <c r="N1079" s="68"/>
      <c r="O1079" s="68"/>
      <c r="U1079" s="2"/>
    </row>
    <row r="1080">
      <c r="K1080" s="68"/>
      <c r="N1080" s="68"/>
      <c r="O1080" s="68"/>
      <c r="U1080" s="2"/>
    </row>
    <row r="1081">
      <c r="K1081" s="68"/>
      <c r="N1081" s="68"/>
      <c r="O1081" s="68"/>
      <c r="U1081" s="2"/>
    </row>
    <row r="1082">
      <c r="K1082" s="68"/>
      <c r="N1082" s="68"/>
      <c r="O1082" s="68"/>
      <c r="U1082" s="2"/>
    </row>
    <row r="1083">
      <c r="K1083" s="68"/>
      <c r="N1083" s="68"/>
      <c r="O1083" s="68"/>
      <c r="U1083" s="2"/>
    </row>
    <row r="1084">
      <c r="K1084" s="68"/>
      <c r="N1084" s="68"/>
      <c r="O1084" s="68"/>
      <c r="U1084" s="2"/>
    </row>
    <row r="1085">
      <c r="K1085" s="68"/>
      <c r="N1085" s="68"/>
      <c r="O1085" s="68"/>
      <c r="U1085" s="2"/>
    </row>
    <row r="1086">
      <c r="K1086" s="68"/>
      <c r="N1086" s="68"/>
      <c r="O1086" s="68"/>
      <c r="U1086" s="2"/>
    </row>
    <row r="1087">
      <c r="K1087" s="68"/>
      <c r="N1087" s="68"/>
      <c r="O1087" s="68"/>
      <c r="U1087" s="2"/>
    </row>
    <row r="1088">
      <c r="K1088" s="68"/>
      <c r="N1088" s="68"/>
      <c r="O1088" s="68"/>
      <c r="U1088" s="2"/>
    </row>
    <row r="1089">
      <c r="K1089" s="68"/>
      <c r="N1089" s="68"/>
      <c r="O1089" s="68"/>
      <c r="U1089" s="2"/>
    </row>
    <row r="1090">
      <c r="K1090" s="68"/>
      <c r="N1090" s="68"/>
      <c r="O1090" s="68"/>
      <c r="U1090" s="2"/>
    </row>
    <row r="1091">
      <c r="K1091" s="68"/>
      <c r="N1091" s="68"/>
      <c r="O1091" s="68"/>
      <c r="U1091" s="2"/>
    </row>
    <row r="1092">
      <c r="K1092" s="68"/>
      <c r="N1092" s="68"/>
      <c r="O1092" s="68"/>
      <c r="U1092" s="2"/>
    </row>
    <row r="1093">
      <c r="K1093" s="68"/>
      <c r="N1093" s="68"/>
      <c r="O1093" s="68"/>
      <c r="U1093" s="2"/>
    </row>
    <row r="1094">
      <c r="K1094" s="68"/>
      <c r="N1094" s="68"/>
      <c r="O1094" s="68"/>
      <c r="U1094" s="2"/>
    </row>
    <row r="1095">
      <c r="K1095" s="68"/>
      <c r="N1095" s="68"/>
      <c r="O1095" s="68"/>
      <c r="U1095" s="2"/>
    </row>
    <row r="1096">
      <c r="K1096" s="68"/>
      <c r="N1096" s="68"/>
      <c r="O1096" s="68"/>
      <c r="U1096" s="2"/>
    </row>
    <row r="1097">
      <c r="K1097" s="68"/>
      <c r="N1097" s="68"/>
      <c r="O1097" s="68"/>
      <c r="U1097" s="2"/>
    </row>
    <row r="1098">
      <c r="K1098" s="68"/>
      <c r="N1098" s="68"/>
      <c r="O1098" s="68"/>
      <c r="U1098" s="2"/>
    </row>
    <row r="1099">
      <c r="K1099" s="68"/>
      <c r="N1099" s="68"/>
      <c r="O1099" s="68"/>
      <c r="U1099" s="2"/>
    </row>
    <row r="1100">
      <c r="K1100" s="68"/>
      <c r="N1100" s="68"/>
      <c r="O1100" s="68"/>
      <c r="U1100" s="2"/>
    </row>
    <row r="1101">
      <c r="K1101" s="68"/>
      <c r="N1101" s="68"/>
      <c r="O1101" s="68"/>
      <c r="U1101" s="2"/>
    </row>
    <row r="1102">
      <c r="K1102" s="68"/>
      <c r="N1102" s="68"/>
      <c r="O1102" s="68"/>
      <c r="U1102" s="2"/>
    </row>
    <row r="1103">
      <c r="K1103" s="68"/>
      <c r="N1103" s="68"/>
      <c r="O1103" s="68"/>
      <c r="U1103" s="2"/>
    </row>
    <row r="1104">
      <c r="K1104" s="68"/>
      <c r="N1104" s="68"/>
      <c r="O1104" s="68"/>
      <c r="U1104" s="2"/>
    </row>
    <row r="1105">
      <c r="K1105" s="68"/>
      <c r="N1105" s="68"/>
      <c r="O1105" s="68"/>
      <c r="U1105" s="2"/>
    </row>
    <row r="1106">
      <c r="K1106" s="68"/>
      <c r="N1106" s="68"/>
      <c r="O1106" s="68"/>
      <c r="U1106" s="2"/>
    </row>
    <row r="1107">
      <c r="K1107" s="68"/>
      <c r="N1107" s="68"/>
      <c r="O1107" s="68"/>
      <c r="U1107" s="2"/>
    </row>
    <row r="1108">
      <c r="K1108" s="68"/>
      <c r="N1108" s="68"/>
      <c r="O1108" s="68"/>
      <c r="U1108" s="2"/>
    </row>
    <row r="1109">
      <c r="K1109" s="68"/>
      <c r="N1109" s="68"/>
      <c r="O1109" s="68"/>
      <c r="U1109" s="2"/>
    </row>
    <row r="1110">
      <c r="K1110" s="68"/>
      <c r="N1110" s="68"/>
      <c r="O1110" s="68"/>
      <c r="U1110" s="2"/>
    </row>
    <row r="1111">
      <c r="K1111" s="68"/>
      <c r="N1111" s="68"/>
      <c r="O1111" s="68"/>
      <c r="U1111" s="2"/>
    </row>
    <row r="1112">
      <c r="K1112" s="68"/>
      <c r="N1112" s="68"/>
      <c r="O1112" s="68"/>
      <c r="U1112" s="2"/>
    </row>
    <row r="1113">
      <c r="K1113" s="68"/>
      <c r="N1113" s="68"/>
      <c r="O1113" s="68"/>
      <c r="U1113" s="2"/>
    </row>
    <row r="1114">
      <c r="K1114" s="68"/>
      <c r="N1114" s="68"/>
      <c r="O1114" s="68"/>
      <c r="U1114" s="2"/>
    </row>
    <row r="1115">
      <c r="K1115" s="68"/>
      <c r="N1115" s="68"/>
      <c r="O1115" s="68"/>
      <c r="U1115" s="2"/>
    </row>
    <row r="1116">
      <c r="K1116" s="68"/>
      <c r="N1116" s="68"/>
      <c r="O1116" s="68"/>
      <c r="U1116" s="2"/>
    </row>
    <row r="1117">
      <c r="K1117" s="68"/>
      <c r="N1117" s="68"/>
      <c r="O1117" s="68"/>
      <c r="U1117" s="2"/>
    </row>
    <row r="1118">
      <c r="K1118" s="68"/>
      <c r="N1118" s="68"/>
      <c r="O1118" s="68"/>
      <c r="U1118" s="2"/>
    </row>
    <row r="1119">
      <c r="K1119" s="68"/>
      <c r="N1119" s="68"/>
      <c r="O1119" s="68"/>
      <c r="U1119" s="2"/>
    </row>
    <row r="1120">
      <c r="K1120" s="68"/>
      <c r="N1120" s="68"/>
      <c r="O1120" s="68"/>
      <c r="U1120" s="2"/>
    </row>
    <row r="1121">
      <c r="K1121" s="68"/>
      <c r="N1121" s="68"/>
      <c r="O1121" s="68"/>
      <c r="U1121" s="2"/>
    </row>
    <row r="1122">
      <c r="K1122" s="68"/>
      <c r="N1122" s="68"/>
      <c r="O1122" s="68"/>
      <c r="U1122" s="2"/>
    </row>
    <row r="1123">
      <c r="K1123" s="68"/>
      <c r="N1123" s="68"/>
      <c r="O1123" s="68"/>
      <c r="U1123" s="2"/>
    </row>
    <row r="1124">
      <c r="K1124" s="68"/>
      <c r="N1124" s="68"/>
      <c r="O1124" s="68"/>
      <c r="U1124" s="2"/>
    </row>
    <row r="1125">
      <c r="K1125" s="68"/>
      <c r="N1125" s="68"/>
      <c r="O1125" s="68"/>
      <c r="U1125" s="2"/>
    </row>
    <row r="1126">
      <c r="K1126" s="68"/>
      <c r="N1126" s="68"/>
      <c r="O1126" s="68"/>
      <c r="U1126" s="2"/>
    </row>
    <row r="1127">
      <c r="K1127" s="68"/>
      <c r="N1127" s="68"/>
      <c r="O1127" s="68"/>
      <c r="U1127" s="2"/>
    </row>
    <row r="1128">
      <c r="K1128" s="68"/>
      <c r="N1128" s="68"/>
      <c r="O1128" s="68"/>
      <c r="U1128" s="2"/>
    </row>
    <row r="1129">
      <c r="K1129" s="68"/>
      <c r="N1129" s="68"/>
      <c r="O1129" s="68"/>
      <c r="U1129" s="2"/>
    </row>
    <row r="1130">
      <c r="K1130" s="68"/>
      <c r="N1130" s="68"/>
      <c r="O1130" s="68"/>
      <c r="U1130" s="2"/>
    </row>
    <row r="1131">
      <c r="K1131" s="68"/>
      <c r="N1131" s="68"/>
      <c r="O1131" s="68"/>
      <c r="U1131" s="2"/>
    </row>
    <row r="1132">
      <c r="K1132" s="68"/>
      <c r="N1132" s="68"/>
      <c r="O1132" s="68"/>
      <c r="U1132" s="2"/>
    </row>
    <row r="1133">
      <c r="K1133" s="68"/>
      <c r="N1133" s="68"/>
      <c r="O1133" s="68"/>
      <c r="U1133" s="2"/>
    </row>
    <row r="1134">
      <c r="K1134" s="68"/>
      <c r="N1134" s="68"/>
      <c r="O1134" s="68"/>
      <c r="U1134" s="2"/>
    </row>
    <row r="1135">
      <c r="K1135" s="68"/>
      <c r="N1135" s="68"/>
      <c r="O1135" s="68"/>
      <c r="U1135" s="2"/>
    </row>
    <row r="1136">
      <c r="K1136" s="68"/>
      <c r="N1136" s="68"/>
      <c r="O1136" s="68"/>
      <c r="U1136" s="2"/>
    </row>
    <row r="1137">
      <c r="K1137" s="68"/>
      <c r="N1137" s="68"/>
      <c r="O1137" s="68"/>
      <c r="U1137" s="2"/>
    </row>
    <row r="1138">
      <c r="K1138" s="68"/>
      <c r="N1138" s="68"/>
      <c r="O1138" s="68"/>
      <c r="U1138" s="2"/>
    </row>
    <row r="1139">
      <c r="K1139" s="68"/>
      <c r="N1139" s="68"/>
      <c r="O1139" s="68"/>
      <c r="U1139" s="2"/>
    </row>
    <row r="1140">
      <c r="K1140" s="68"/>
      <c r="N1140" s="68"/>
      <c r="O1140" s="68"/>
      <c r="U1140" s="2"/>
    </row>
    <row r="1141">
      <c r="K1141" s="68"/>
      <c r="N1141" s="68"/>
      <c r="O1141" s="68"/>
      <c r="U1141" s="2"/>
    </row>
    <row r="1142">
      <c r="K1142" s="68"/>
      <c r="N1142" s="68"/>
      <c r="O1142" s="68"/>
      <c r="U1142" s="2"/>
    </row>
    <row r="1143">
      <c r="K1143" s="68"/>
      <c r="N1143" s="68"/>
      <c r="O1143" s="68"/>
      <c r="U1143" s="2"/>
    </row>
    <row r="1144">
      <c r="K1144" s="68"/>
      <c r="N1144" s="68"/>
      <c r="O1144" s="68"/>
      <c r="U1144" s="2"/>
    </row>
    <row r="1145">
      <c r="K1145" s="68"/>
      <c r="N1145" s="68"/>
      <c r="O1145" s="68"/>
      <c r="U1145" s="2"/>
    </row>
    <row r="1146">
      <c r="K1146" s="68"/>
      <c r="N1146" s="68"/>
      <c r="O1146" s="68"/>
      <c r="U1146" s="2"/>
    </row>
    <row r="1147">
      <c r="K1147" s="68"/>
      <c r="N1147" s="68"/>
      <c r="O1147" s="68"/>
      <c r="U1147" s="2"/>
    </row>
    <row r="1148">
      <c r="K1148" s="68"/>
      <c r="N1148" s="68"/>
      <c r="O1148" s="68"/>
      <c r="U1148" s="2"/>
    </row>
    <row r="1149">
      <c r="K1149" s="68"/>
      <c r="N1149" s="68"/>
      <c r="O1149" s="68"/>
      <c r="U1149" s="2"/>
    </row>
    <row r="1150">
      <c r="K1150" s="68"/>
      <c r="N1150" s="68"/>
      <c r="O1150" s="68"/>
      <c r="U1150" s="2"/>
    </row>
    <row r="1151">
      <c r="K1151" s="68"/>
      <c r="N1151" s="68"/>
      <c r="O1151" s="68"/>
      <c r="U1151" s="2"/>
    </row>
    <row r="1152">
      <c r="K1152" s="68"/>
      <c r="N1152" s="68"/>
      <c r="O1152" s="68"/>
      <c r="U1152" s="2"/>
    </row>
    <row r="1153">
      <c r="K1153" s="68"/>
      <c r="N1153" s="68"/>
      <c r="O1153" s="68"/>
      <c r="U1153" s="2"/>
    </row>
    <row r="1154">
      <c r="K1154" s="68"/>
      <c r="N1154" s="68"/>
      <c r="O1154" s="68"/>
      <c r="U1154" s="2"/>
    </row>
    <row r="1155">
      <c r="K1155" s="68"/>
      <c r="N1155" s="68"/>
      <c r="O1155" s="68"/>
      <c r="U1155" s="2"/>
    </row>
    <row r="1156">
      <c r="K1156" s="68"/>
      <c r="N1156" s="68"/>
      <c r="O1156" s="68"/>
      <c r="U1156" s="2"/>
    </row>
    <row r="1157">
      <c r="K1157" s="68"/>
      <c r="N1157" s="68"/>
      <c r="O1157" s="68"/>
      <c r="U1157" s="2"/>
    </row>
    <row r="1158">
      <c r="K1158" s="68"/>
      <c r="N1158" s="68"/>
      <c r="O1158" s="68"/>
      <c r="U1158" s="2"/>
    </row>
    <row r="1159">
      <c r="K1159" s="68"/>
      <c r="N1159" s="68"/>
      <c r="O1159" s="68"/>
      <c r="U1159" s="2"/>
    </row>
    <row r="1160">
      <c r="K1160" s="68"/>
      <c r="N1160" s="68"/>
      <c r="O1160" s="68"/>
      <c r="U1160" s="2"/>
    </row>
    <row r="1161">
      <c r="K1161" s="68"/>
      <c r="N1161" s="68"/>
      <c r="O1161" s="68"/>
      <c r="U1161" s="2"/>
    </row>
    <row r="1162">
      <c r="K1162" s="68"/>
      <c r="N1162" s="68"/>
      <c r="O1162" s="68"/>
      <c r="U1162" s="2"/>
    </row>
    <row r="1163">
      <c r="K1163" s="68"/>
      <c r="N1163" s="68"/>
      <c r="O1163" s="68"/>
      <c r="U1163" s="2"/>
    </row>
    <row r="1164">
      <c r="K1164" s="68"/>
      <c r="N1164" s="68"/>
      <c r="O1164" s="68"/>
      <c r="U1164" s="2"/>
    </row>
    <row r="1165">
      <c r="K1165" s="68"/>
      <c r="N1165" s="68"/>
      <c r="O1165" s="68"/>
      <c r="U1165" s="2"/>
    </row>
    <row r="1166">
      <c r="K1166" s="68"/>
      <c r="N1166" s="68"/>
      <c r="O1166" s="68"/>
      <c r="U1166" s="2"/>
    </row>
    <row r="1167">
      <c r="K1167" s="68"/>
      <c r="N1167" s="68"/>
      <c r="O1167" s="68"/>
      <c r="U1167" s="2"/>
    </row>
    <row r="1168">
      <c r="K1168" s="68"/>
      <c r="N1168" s="68"/>
      <c r="O1168" s="68"/>
      <c r="U1168" s="2"/>
    </row>
    <row r="1169">
      <c r="K1169" s="68"/>
      <c r="N1169" s="68"/>
      <c r="O1169" s="68"/>
      <c r="U1169" s="2"/>
    </row>
    <row r="1170">
      <c r="K1170" s="68"/>
      <c r="N1170" s="68"/>
      <c r="O1170" s="68"/>
      <c r="U1170" s="2"/>
    </row>
    <row r="1171">
      <c r="K1171" s="68"/>
      <c r="N1171" s="68"/>
      <c r="O1171" s="68"/>
      <c r="U1171" s="2"/>
    </row>
    <row r="1172">
      <c r="K1172" s="68"/>
      <c r="N1172" s="68"/>
      <c r="O1172" s="68"/>
      <c r="U1172" s="2"/>
    </row>
    <row r="1173">
      <c r="K1173" s="68"/>
      <c r="N1173" s="68"/>
      <c r="O1173" s="68"/>
      <c r="U1173" s="2"/>
    </row>
    <row r="1174">
      <c r="K1174" s="68"/>
      <c r="N1174" s="68"/>
      <c r="O1174" s="68"/>
      <c r="U1174" s="2"/>
    </row>
    <row r="1175">
      <c r="K1175" s="68"/>
      <c r="N1175" s="68"/>
      <c r="O1175" s="68"/>
      <c r="U1175" s="2"/>
    </row>
    <row r="1176">
      <c r="K1176" s="68"/>
      <c r="N1176" s="68"/>
      <c r="O1176" s="68"/>
      <c r="U1176" s="2"/>
    </row>
    <row r="1177">
      <c r="K1177" s="68"/>
      <c r="N1177" s="68"/>
      <c r="O1177" s="68"/>
      <c r="U1177" s="2"/>
    </row>
    <row r="1178">
      <c r="K1178" s="68"/>
      <c r="N1178" s="68"/>
      <c r="O1178" s="68"/>
      <c r="U1178" s="2"/>
    </row>
    <row r="1179">
      <c r="K1179" s="68"/>
      <c r="N1179" s="68"/>
      <c r="O1179" s="68"/>
      <c r="U1179" s="2"/>
    </row>
    <row r="1180">
      <c r="K1180" s="68"/>
      <c r="N1180" s="68"/>
      <c r="O1180" s="68"/>
      <c r="U1180" s="2"/>
    </row>
    <row r="1181">
      <c r="K1181" s="68"/>
      <c r="N1181" s="68"/>
      <c r="O1181" s="68"/>
      <c r="U1181" s="2"/>
    </row>
    <row r="1182">
      <c r="K1182" s="68"/>
      <c r="N1182" s="68"/>
      <c r="O1182" s="68"/>
      <c r="U1182" s="2"/>
    </row>
    <row r="1183">
      <c r="K1183" s="68"/>
      <c r="N1183" s="68"/>
      <c r="O1183" s="68"/>
      <c r="U1183" s="2"/>
    </row>
    <row r="1184">
      <c r="K1184" s="68"/>
      <c r="N1184" s="68"/>
      <c r="O1184" s="68"/>
      <c r="U1184" s="2"/>
    </row>
    <row r="1185">
      <c r="K1185" s="68"/>
      <c r="N1185" s="68"/>
      <c r="O1185" s="68"/>
      <c r="U1185" s="2"/>
    </row>
    <row r="1186">
      <c r="K1186" s="68"/>
      <c r="N1186" s="68"/>
      <c r="O1186" s="68"/>
      <c r="U1186" s="2"/>
    </row>
    <row r="1187">
      <c r="K1187" s="68"/>
      <c r="N1187" s="68"/>
      <c r="O1187" s="68"/>
      <c r="U1187" s="2"/>
    </row>
    <row r="1188">
      <c r="K1188" s="68"/>
      <c r="N1188" s="68"/>
      <c r="O1188" s="68"/>
      <c r="U1188" s="2"/>
    </row>
    <row r="1189">
      <c r="K1189" s="68"/>
      <c r="N1189" s="68"/>
      <c r="O1189" s="68"/>
      <c r="U1189" s="2"/>
    </row>
    <row r="1190">
      <c r="K1190" s="68"/>
      <c r="N1190" s="68"/>
      <c r="O1190" s="68"/>
      <c r="U1190" s="2"/>
    </row>
    <row r="1191">
      <c r="K1191" s="68"/>
      <c r="N1191" s="68"/>
      <c r="O1191" s="68"/>
      <c r="U1191" s="2"/>
    </row>
    <row r="1192">
      <c r="K1192" s="68"/>
      <c r="N1192" s="68"/>
      <c r="O1192" s="68"/>
      <c r="U1192" s="2"/>
    </row>
    <row r="1193">
      <c r="K1193" s="68"/>
      <c r="N1193" s="68"/>
      <c r="O1193" s="68"/>
      <c r="U1193" s="2"/>
    </row>
    <row r="1194">
      <c r="K1194" s="68"/>
      <c r="N1194" s="68"/>
      <c r="O1194" s="68"/>
      <c r="U1194" s="2"/>
    </row>
    <row r="1195">
      <c r="K1195" s="68"/>
      <c r="N1195" s="68"/>
      <c r="O1195" s="68"/>
      <c r="U1195" s="2"/>
    </row>
    <row r="1196">
      <c r="K1196" s="68"/>
      <c r="N1196" s="68"/>
      <c r="O1196" s="68"/>
      <c r="U1196" s="2"/>
    </row>
    <row r="1197">
      <c r="K1197" s="68"/>
      <c r="N1197" s="68"/>
      <c r="O1197" s="68"/>
      <c r="U1197" s="2"/>
    </row>
    <row r="1198">
      <c r="K1198" s="68"/>
      <c r="N1198" s="68"/>
      <c r="O1198" s="68"/>
      <c r="U1198" s="2"/>
    </row>
    <row r="1199">
      <c r="K1199" s="68"/>
      <c r="N1199" s="68"/>
      <c r="O1199" s="68"/>
      <c r="U1199" s="2"/>
    </row>
    <row r="1200">
      <c r="K1200" s="68"/>
      <c r="N1200" s="68"/>
      <c r="O1200" s="68"/>
      <c r="U1200" s="2"/>
    </row>
    <row r="1201">
      <c r="K1201" s="68"/>
      <c r="N1201" s="68"/>
      <c r="O1201" s="68"/>
      <c r="U1201" s="2"/>
    </row>
    <row r="1202">
      <c r="K1202" s="68"/>
      <c r="N1202" s="68"/>
      <c r="O1202" s="68"/>
      <c r="U1202" s="2"/>
    </row>
    <row r="1203">
      <c r="K1203" s="68"/>
      <c r="N1203" s="68"/>
      <c r="O1203" s="68"/>
      <c r="U1203" s="2"/>
    </row>
    <row r="1204">
      <c r="K1204" s="68"/>
      <c r="N1204" s="68"/>
      <c r="O1204" s="68"/>
      <c r="U1204" s="2"/>
    </row>
    <row r="1205">
      <c r="K1205" s="68"/>
      <c r="N1205" s="68"/>
      <c r="O1205" s="68"/>
      <c r="U1205" s="2"/>
    </row>
    <row r="1206">
      <c r="K1206" s="68"/>
      <c r="N1206" s="68"/>
      <c r="O1206" s="68"/>
      <c r="U1206" s="2"/>
    </row>
    <row r="1207">
      <c r="K1207" s="68"/>
      <c r="N1207" s="68"/>
      <c r="O1207" s="68"/>
      <c r="U1207" s="2"/>
    </row>
    <row r="1208">
      <c r="K1208" s="68"/>
      <c r="N1208" s="68"/>
      <c r="O1208" s="68"/>
      <c r="U1208" s="2"/>
    </row>
    <row r="1209">
      <c r="K1209" s="68"/>
      <c r="N1209" s="68"/>
      <c r="O1209" s="68"/>
      <c r="U1209" s="2"/>
    </row>
    <row r="1210">
      <c r="K1210" s="68"/>
      <c r="N1210" s="68"/>
      <c r="O1210" s="68"/>
      <c r="U1210" s="2"/>
    </row>
    <row r="1211">
      <c r="K1211" s="68"/>
      <c r="N1211" s="68"/>
      <c r="O1211" s="68"/>
      <c r="U1211" s="2"/>
    </row>
    <row r="1212">
      <c r="K1212" s="68"/>
      <c r="N1212" s="68"/>
      <c r="O1212" s="68"/>
      <c r="U1212" s="2"/>
    </row>
    <row r="1213">
      <c r="K1213" s="68"/>
      <c r="N1213" s="68"/>
      <c r="O1213" s="68"/>
      <c r="U1213" s="2"/>
    </row>
    <row r="1214">
      <c r="K1214" s="68"/>
      <c r="N1214" s="68"/>
      <c r="O1214" s="68"/>
      <c r="U1214" s="2"/>
    </row>
    <row r="1215">
      <c r="K1215" s="68"/>
      <c r="N1215" s="68"/>
      <c r="O1215" s="68"/>
      <c r="U1215" s="2"/>
    </row>
    <row r="1216">
      <c r="K1216" s="68"/>
      <c r="N1216" s="68"/>
      <c r="O1216" s="68"/>
      <c r="U1216" s="2"/>
    </row>
    <row r="1217">
      <c r="K1217" s="68"/>
      <c r="N1217" s="68"/>
      <c r="O1217" s="68"/>
      <c r="U1217" s="2"/>
    </row>
    <row r="1218">
      <c r="K1218" s="68"/>
      <c r="N1218" s="68"/>
      <c r="O1218" s="68"/>
      <c r="U1218" s="2"/>
    </row>
    <row r="1219">
      <c r="K1219" s="68"/>
      <c r="N1219" s="68"/>
      <c r="O1219" s="68"/>
      <c r="U1219" s="2"/>
    </row>
    <row r="1220">
      <c r="K1220" s="68"/>
      <c r="N1220" s="68"/>
      <c r="O1220" s="68"/>
      <c r="U1220" s="2"/>
    </row>
    <row r="1221">
      <c r="K1221" s="68"/>
      <c r="N1221" s="68"/>
      <c r="O1221" s="68"/>
      <c r="U1221" s="2"/>
    </row>
    <row r="1222">
      <c r="K1222" s="68"/>
      <c r="N1222" s="68"/>
      <c r="O1222" s="68"/>
      <c r="U1222" s="2"/>
    </row>
    <row r="1223">
      <c r="K1223" s="68"/>
      <c r="N1223" s="68"/>
      <c r="O1223" s="68"/>
      <c r="U1223" s="2"/>
    </row>
    <row r="1224">
      <c r="K1224" s="68"/>
      <c r="N1224" s="68"/>
      <c r="O1224" s="68"/>
      <c r="U1224" s="2"/>
    </row>
    <row r="1225">
      <c r="K1225" s="68"/>
      <c r="N1225" s="68"/>
      <c r="O1225" s="68"/>
      <c r="U1225" s="2"/>
    </row>
    <row r="1226">
      <c r="K1226" s="68"/>
      <c r="N1226" s="68"/>
      <c r="O1226" s="68"/>
      <c r="U1226" s="2"/>
    </row>
    <row r="1227">
      <c r="K1227" s="68"/>
      <c r="N1227" s="68"/>
      <c r="O1227" s="68"/>
      <c r="U1227" s="2"/>
    </row>
    <row r="1228">
      <c r="K1228" s="68"/>
      <c r="N1228" s="68"/>
      <c r="O1228" s="68"/>
      <c r="U1228" s="2"/>
    </row>
    <row r="1229">
      <c r="K1229" s="68"/>
      <c r="N1229" s="68"/>
      <c r="O1229" s="68"/>
      <c r="U1229" s="2"/>
    </row>
    <row r="1230">
      <c r="K1230" s="68"/>
      <c r="N1230" s="68"/>
      <c r="O1230" s="68"/>
      <c r="U1230" s="2"/>
    </row>
    <row r="1231">
      <c r="K1231" s="68"/>
      <c r="N1231" s="68"/>
      <c r="O1231" s="68"/>
      <c r="U1231" s="2"/>
    </row>
    <row r="1232">
      <c r="K1232" s="68"/>
      <c r="N1232" s="68"/>
      <c r="O1232" s="68"/>
      <c r="U1232" s="2"/>
    </row>
    <row r="1233">
      <c r="K1233" s="68"/>
      <c r="N1233" s="68"/>
      <c r="O1233" s="68"/>
      <c r="U1233" s="2"/>
    </row>
    <row r="1234">
      <c r="K1234" s="68"/>
      <c r="N1234" s="68"/>
      <c r="O1234" s="68"/>
      <c r="U1234" s="2"/>
    </row>
    <row r="1235">
      <c r="K1235" s="68"/>
      <c r="N1235" s="68"/>
      <c r="O1235" s="68"/>
      <c r="U1235" s="2"/>
    </row>
    <row r="1236">
      <c r="K1236" s="68"/>
      <c r="N1236" s="68"/>
      <c r="O1236" s="68"/>
      <c r="U1236" s="2"/>
    </row>
    <row r="1237">
      <c r="K1237" s="68"/>
      <c r="N1237" s="68"/>
      <c r="O1237" s="68"/>
      <c r="U1237" s="2"/>
    </row>
    <row r="1238">
      <c r="K1238" s="68"/>
      <c r="N1238" s="68"/>
      <c r="O1238" s="68"/>
      <c r="U1238" s="2"/>
    </row>
    <row r="1239">
      <c r="K1239" s="68"/>
      <c r="N1239" s="68"/>
      <c r="O1239" s="68"/>
      <c r="U1239" s="2"/>
    </row>
    <row r="1240">
      <c r="K1240" s="68"/>
      <c r="N1240" s="68"/>
      <c r="O1240" s="68"/>
      <c r="U1240" s="2"/>
    </row>
    <row r="1241">
      <c r="K1241" s="68"/>
      <c r="N1241" s="68"/>
      <c r="O1241" s="68"/>
      <c r="U1241" s="2"/>
    </row>
    <row r="1242">
      <c r="K1242" s="68"/>
      <c r="N1242" s="68"/>
      <c r="O1242" s="68"/>
      <c r="U1242" s="2"/>
    </row>
    <row r="1243">
      <c r="K1243" s="68"/>
      <c r="N1243" s="68"/>
      <c r="O1243" s="68"/>
      <c r="U1243" s="2"/>
    </row>
    <row r="1244">
      <c r="K1244" s="68"/>
      <c r="N1244" s="68"/>
      <c r="O1244" s="68"/>
      <c r="U1244" s="2"/>
    </row>
    <row r="1245">
      <c r="K1245" s="68"/>
      <c r="N1245" s="68"/>
      <c r="O1245" s="68"/>
      <c r="U1245" s="2"/>
    </row>
    <row r="1246">
      <c r="K1246" s="68"/>
      <c r="N1246" s="68"/>
      <c r="O1246" s="68"/>
      <c r="U1246" s="2"/>
    </row>
    <row r="1247">
      <c r="K1247" s="68"/>
      <c r="N1247" s="68"/>
      <c r="O1247" s="68"/>
      <c r="U1247" s="2"/>
    </row>
    <row r="1248">
      <c r="K1248" s="68"/>
      <c r="N1248" s="68"/>
      <c r="O1248" s="68"/>
      <c r="U1248" s="2"/>
    </row>
    <row r="1249">
      <c r="K1249" s="68"/>
      <c r="N1249" s="68"/>
      <c r="O1249" s="68"/>
      <c r="U1249" s="2"/>
    </row>
    <row r="1250">
      <c r="K1250" s="68"/>
      <c r="N1250" s="68"/>
      <c r="O1250" s="68"/>
      <c r="U1250" s="2"/>
    </row>
    <row r="1251">
      <c r="K1251" s="68"/>
      <c r="N1251" s="68"/>
      <c r="O1251" s="68"/>
      <c r="U1251" s="2"/>
    </row>
    <row r="1252">
      <c r="K1252" s="68"/>
      <c r="N1252" s="68"/>
      <c r="O1252" s="68"/>
      <c r="U1252" s="2"/>
    </row>
    <row r="1253">
      <c r="K1253" s="68"/>
      <c r="N1253" s="68"/>
      <c r="O1253" s="68"/>
      <c r="U1253" s="2"/>
    </row>
    <row r="1254">
      <c r="K1254" s="68"/>
      <c r="N1254" s="68"/>
      <c r="O1254" s="68"/>
      <c r="U1254" s="2"/>
    </row>
    <row r="1255">
      <c r="K1255" s="68"/>
      <c r="N1255" s="68"/>
      <c r="O1255" s="68"/>
      <c r="U1255" s="2"/>
    </row>
    <row r="1256">
      <c r="K1256" s="68"/>
      <c r="N1256" s="68"/>
      <c r="O1256" s="68"/>
      <c r="U1256" s="2"/>
    </row>
    <row r="1257">
      <c r="K1257" s="68"/>
      <c r="N1257" s="68"/>
      <c r="O1257" s="68"/>
      <c r="U1257" s="2"/>
    </row>
    <row r="1258">
      <c r="K1258" s="68"/>
      <c r="N1258" s="68"/>
      <c r="O1258" s="68"/>
      <c r="U1258" s="2"/>
    </row>
    <row r="1259">
      <c r="K1259" s="68"/>
      <c r="N1259" s="68"/>
      <c r="O1259" s="68"/>
      <c r="U1259" s="2"/>
    </row>
    <row r="1260">
      <c r="K1260" s="68"/>
      <c r="N1260" s="68"/>
      <c r="O1260" s="68"/>
      <c r="U1260" s="2"/>
    </row>
    <row r="1261">
      <c r="K1261" s="68"/>
      <c r="N1261" s="68"/>
      <c r="O1261" s="68"/>
      <c r="U1261" s="2"/>
    </row>
    <row r="1262">
      <c r="K1262" s="68"/>
      <c r="N1262" s="68"/>
      <c r="O1262" s="68"/>
      <c r="U1262" s="2"/>
    </row>
    <row r="1263">
      <c r="K1263" s="68"/>
      <c r="N1263" s="68"/>
      <c r="O1263" s="68"/>
      <c r="U1263" s="2"/>
    </row>
    <row r="1264">
      <c r="K1264" s="68"/>
      <c r="N1264" s="68"/>
      <c r="O1264" s="68"/>
      <c r="U1264" s="2"/>
    </row>
    <row r="1265">
      <c r="K1265" s="68"/>
      <c r="N1265" s="68"/>
      <c r="O1265" s="68"/>
      <c r="U1265" s="2"/>
    </row>
    <row r="1266">
      <c r="K1266" s="68"/>
      <c r="N1266" s="68"/>
      <c r="O1266" s="68"/>
      <c r="U1266" s="2"/>
    </row>
    <row r="1267">
      <c r="K1267" s="68"/>
      <c r="N1267" s="68"/>
      <c r="O1267" s="68"/>
      <c r="U1267" s="2"/>
    </row>
    <row r="1268">
      <c r="K1268" s="68"/>
      <c r="N1268" s="68"/>
      <c r="O1268" s="68"/>
      <c r="U1268" s="2"/>
    </row>
    <row r="1269">
      <c r="K1269" s="68"/>
      <c r="N1269" s="68"/>
      <c r="O1269" s="68"/>
      <c r="U1269" s="2"/>
    </row>
    <row r="1270">
      <c r="K1270" s="68"/>
      <c r="N1270" s="68"/>
      <c r="O1270" s="68"/>
      <c r="U1270" s="2"/>
    </row>
    <row r="1271">
      <c r="K1271" s="68"/>
      <c r="N1271" s="68"/>
      <c r="O1271" s="68"/>
      <c r="U1271" s="2"/>
    </row>
    <row r="1272">
      <c r="K1272" s="68"/>
      <c r="N1272" s="68"/>
      <c r="O1272" s="68"/>
      <c r="U1272" s="2"/>
    </row>
    <row r="1273">
      <c r="K1273" s="68"/>
      <c r="N1273" s="68"/>
      <c r="O1273" s="68"/>
      <c r="U1273" s="2"/>
    </row>
    <row r="1274">
      <c r="K1274" s="68"/>
      <c r="N1274" s="68"/>
      <c r="O1274" s="68"/>
      <c r="U1274" s="2"/>
    </row>
    <row r="1275">
      <c r="K1275" s="68"/>
      <c r="N1275" s="68"/>
      <c r="O1275" s="68"/>
      <c r="U1275" s="2"/>
    </row>
    <row r="1276">
      <c r="K1276" s="68"/>
      <c r="N1276" s="68"/>
      <c r="O1276" s="68"/>
      <c r="U1276" s="2"/>
    </row>
    <row r="1277">
      <c r="K1277" s="68"/>
      <c r="N1277" s="68"/>
      <c r="O1277" s="68"/>
      <c r="U1277" s="2"/>
    </row>
    <row r="1278">
      <c r="K1278" s="68"/>
      <c r="N1278" s="68"/>
      <c r="O1278" s="68"/>
      <c r="U1278" s="2"/>
    </row>
    <row r="1279">
      <c r="K1279" s="68"/>
      <c r="N1279" s="68"/>
      <c r="O1279" s="68"/>
      <c r="U1279" s="2"/>
    </row>
    <row r="1280">
      <c r="K1280" s="68"/>
      <c r="N1280" s="68"/>
      <c r="O1280" s="68"/>
      <c r="U1280" s="2"/>
    </row>
    <row r="1281">
      <c r="K1281" s="68"/>
      <c r="N1281" s="68"/>
      <c r="O1281" s="68"/>
      <c r="U1281" s="2"/>
    </row>
    <row r="1282">
      <c r="K1282" s="68"/>
      <c r="N1282" s="68"/>
      <c r="O1282" s="68"/>
      <c r="U1282" s="2"/>
    </row>
    <row r="1283">
      <c r="K1283" s="68"/>
      <c r="N1283" s="68"/>
      <c r="O1283" s="68"/>
      <c r="U1283" s="2"/>
    </row>
    <row r="1284">
      <c r="K1284" s="68"/>
      <c r="N1284" s="68"/>
      <c r="O1284" s="68"/>
      <c r="U1284" s="2"/>
    </row>
    <row r="1285">
      <c r="K1285" s="68"/>
      <c r="N1285" s="68"/>
      <c r="O1285" s="68"/>
      <c r="U1285" s="2"/>
    </row>
    <row r="1286">
      <c r="K1286" s="68"/>
      <c r="N1286" s="68"/>
      <c r="O1286" s="68"/>
      <c r="U1286" s="2"/>
    </row>
    <row r="1287">
      <c r="K1287" s="68"/>
      <c r="N1287" s="68"/>
      <c r="O1287" s="68"/>
      <c r="U1287" s="2"/>
    </row>
    <row r="1288">
      <c r="K1288" s="68"/>
      <c r="N1288" s="68"/>
      <c r="O1288" s="68"/>
      <c r="U1288" s="2"/>
    </row>
    <row r="1289">
      <c r="K1289" s="68"/>
      <c r="N1289" s="68"/>
      <c r="O1289" s="68"/>
      <c r="U1289" s="2"/>
    </row>
    <row r="1290">
      <c r="K1290" s="68"/>
      <c r="N1290" s="68"/>
      <c r="O1290" s="68"/>
      <c r="U1290" s="2"/>
    </row>
    <row r="1291">
      <c r="K1291" s="68"/>
      <c r="N1291" s="68"/>
      <c r="O1291" s="68"/>
      <c r="U1291" s="2"/>
    </row>
    <row r="1292">
      <c r="K1292" s="68"/>
      <c r="N1292" s="68"/>
      <c r="O1292" s="68"/>
      <c r="U1292" s="2"/>
    </row>
    <row r="1293">
      <c r="K1293" s="68"/>
      <c r="N1293" s="68"/>
      <c r="O1293" s="68"/>
      <c r="U1293" s="2"/>
    </row>
    <row r="1294">
      <c r="K1294" s="68"/>
      <c r="N1294" s="68"/>
      <c r="O1294" s="68"/>
      <c r="U1294" s="2"/>
    </row>
    <row r="1295">
      <c r="K1295" s="68"/>
      <c r="N1295" s="68"/>
      <c r="O1295" s="68"/>
      <c r="U1295" s="2"/>
    </row>
    <row r="1296">
      <c r="K1296" s="68"/>
      <c r="N1296" s="68"/>
      <c r="O1296" s="68"/>
      <c r="U1296" s="2"/>
    </row>
    <row r="1297">
      <c r="K1297" s="68"/>
      <c r="N1297" s="68"/>
      <c r="O1297" s="68"/>
      <c r="U1297" s="2"/>
    </row>
    <row r="1298">
      <c r="K1298" s="68"/>
      <c r="N1298" s="68"/>
      <c r="O1298" s="68"/>
      <c r="U1298" s="2"/>
    </row>
    <row r="1299">
      <c r="K1299" s="68"/>
      <c r="N1299" s="68"/>
      <c r="O1299" s="68"/>
      <c r="U1299" s="2"/>
    </row>
    <row r="1300">
      <c r="K1300" s="68"/>
      <c r="N1300" s="68"/>
      <c r="O1300" s="68"/>
      <c r="U1300" s="2"/>
    </row>
    <row r="1301">
      <c r="K1301" s="68"/>
      <c r="N1301" s="68"/>
      <c r="O1301" s="68"/>
      <c r="U1301" s="2"/>
    </row>
    <row r="1302">
      <c r="K1302" s="68"/>
      <c r="N1302" s="68"/>
      <c r="O1302" s="68"/>
      <c r="U1302" s="2"/>
    </row>
    <row r="1303">
      <c r="K1303" s="68"/>
      <c r="N1303" s="68"/>
      <c r="O1303" s="68"/>
      <c r="U1303" s="2"/>
    </row>
    <row r="1304">
      <c r="K1304" s="68"/>
      <c r="N1304" s="68"/>
      <c r="O1304" s="68"/>
      <c r="U1304" s="2"/>
    </row>
    <row r="1305">
      <c r="K1305" s="68"/>
      <c r="N1305" s="68"/>
      <c r="O1305" s="68"/>
      <c r="U1305" s="2"/>
    </row>
    <row r="1306">
      <c r="K1306" s="68"/>
      <c r="N1306" s="68"/>
      <c r="O1306" s="68"/>
      <c r="U1306" s="2"/>
    </row>
    <row r="1307">
      <c r="K1307" s="68"/>
      <c r="N1307" s="68"/>
      <c r="O1307" s="68"/>
      <c r="U1307" s="2"/>
    </row>
    <row r="1308">
      <c r="K1308" s="68"/>
      <c r="N1308" s="68"/>
      <c r="O1308" s="68"/>
      <c r="U1308" s="2"/>
    </row>
    <row r="1309">
      <c r="K1309" s="68"/>
      <c r="N1309" s="68"/>
      <c r="O1309" s="68"/>
      <c r="U1309" s="2"/>
    </row>
    <row r="1310">
      <c r="K1310" s="68"/>
      <c r="N1310" s="68"/>
      <c r="O1310" s="68"/>
      <c r="U1310" s="2"/>
    </row>
    <row r="1311">
      <c r="K1311" s="68"/>
      <c r="N1311" s="68"/>
      <c r="O1311" s="68"/>
      <c r="U1311" s="2"/>
    </row>
    <row r="1312">
      <c r="K1312" s="68"/>
      <c r="N1312" s="68"/>
      <c r="O1312" s="68"/>
      <c r="U1312" s="2"/>
    </row>
    <row r="1313">
      <c r="K1313" s="68"/>
      <c r="N1313" s="68"/>
      <c r="O1313" s="68"/>
      <c r="U1313" s="2"/>
    </row>
    <row r="1314">
      <c r="K1314" s="68"/>
      <c r="N1314" s="68"/>
      <c r="O1314" s="68"/>
      <c r="U1314" s="2"/>
    </row>
    <row r="1315">
      <c r="K1315" s="68"/>
      <c r="N1315" s="68"/>
      <c r="O1315" s="68"/>
      <c r="U1315" s="2"/>
    </row>
    <row r="1316">
      <c r="K1316" s="68"/>
      <c r="N1316" s="68"/>
      <c r="O1316" s="68"/>
      <c r="U1316" s="2"/>
    </row>
    <row r="1317">
      <c r="K1317" s="68"/>
      <c r="N1317" s="68"/>
      <c r="O1317" s="68"/>
      <c r="U1317" s="2"/>
    </row>
    <row r="1318">
      <c r="K1318" s="68"/>
      <c r="N1318" s="68"/>
      <c r="O1318" s="68"/>
      <c r="U1318" s="2"/>
    </row>
    <row r="1319">
      <c r="K1319" s="68"/>
      <c r="N1319" s="68"/>
      <c r="O1319" s="68"/>
      <c r="U1319" s="2"/>
    </row>
    <row r="1320">
      <c r="K1320" s="68"/>
      <c r="N1320" s="68"/>
      <c r="O1320" s="68"/>
      <c r="U1320" s="2"/>
    </row>
    <row r="1321">
      <c r="K1321" s="68"/>
      <c r="N1321" s="68"/>
      <c r="O1321" s="68"/>
      <c r="U1321" s="2"/>
    </row>
    <row r="1322">
      <c r="K1322" s="68"/>
      <c r="N1322" s="68"/>
      <c r="O1322" s="68"/>
      <c r="U1322" s="2"/>
    </row>
    <row r="1323">
      <c r="K1323" s="68"/>
      <c r="N1323" s="68"/>
      <c r="O1323" s="68"/>
      <c r="U1323" s="2"/>
    </row>
    <row r="1324">
      <c r="K1324" s="68"/>
      <c r="N1324" s="68"/>
      <c r="O1324" s="68"/>
      <c r="U1324" s="2"/>
    </row>
    <row r="1325">
      <c r="K1325" s="68"/>
      <c r="N1325" s="68"/>
      <c r="O1325" s="68"/>
      <c r="U1325" s="2"/>
    </row>
    <row r="1326">
      <c r="K1326" s="68"/>
      <c r="N1326" s="68"/>
      <c r="O1326" s="68"/>
      <c r="U1326" s="2"/>
    </row>
    <row r="1327">
      <c r="K1327" s="68"/>
      <c r="N1327" s="68"/>
      <c r="O1327" s="68"/>
      <c r="U1327" s="2"/>
    </row>
    <row r="1328">
      <c r="K1328" s="68"/>
      <c r="N1328" s="68"/>
      <c r="O1328" s="68"/>
      <c r="U1328" s="2"/>
    </row>
    <row r="1329">
      <c r="K1329" s="68"/>
      <c r="N1329" s="68"/>
      <c r="O1329" s="68"/>
      <c r="U1329" s="2"/>
    </row>
    <row r="1330">
      <c r="K1330" s="68"/>
      <c r="N1330" s="68"/>
      <c r="O1330" s="68"/>
      <c r="U1330" s="2"/>
    </row>
    <row r="1331">
      <c r="K1331" s="68"/>
      <c r="N1331" s="68"/>
      <c r="O1331" s="68"/>
      <c r="U1331" s="2"/>
    </row>
    <row r="1332">
      <c r="K1332" s="68"/>
      <c r="N1332" s="68"/>
      <c r="O1332" s="68"/>
      <c r="U1332" s="2"/>
    </row>
    <row r="1333">
      <c r="K1333" s="68"/>
      <c r="N1333" s="68"/>
      <c r="O1333" s="68"/>
      <c r="U1333" s="2"/>
    </row>
    <row r="1334">
      <c r="K1334" s="68"/>
      <c r="N1334" s="68"/>
      <c r="O1334" s="68"/>
      <c r="U1334" s="2"/>
    </row>
    <row r="1335">
      <c r="K1335" s="68"/>
      <c r="N1335" s="68"/>
      <c r="O1335" s="68"/>
      <c r="U1335" s="2"/>
    </row>
    <row r="1336">
      <c r="K1336" s="68"/>
      <c r="N1336" s="68"/>
      <c r="O1336" s="68"/>
      <c r="U1336" s="2"/>
    </row>
    <row r="1337">
      <c r="K1337" s="68"/>
      <c r="N1337" s="68"/>
      <c r="O1337" s="68"/>
      <c r="U1337" s="2"/>
    </row>
    <row r="1338">
      <c r="K1338" s="68"/>
      <c r="N1338" s="68"/>
      <c r="O1338" s="68"/>
      <c r="U1338" s="2"/>
    </row>
    <row r="1339">
      <c r="K1339" s="68"/>
      <c r="N1339" s="68"/>
      <c r="O1339" s="68"/>
      <c r="U1339" s="2"/>
    </row>
    <row r="1340">
      <c r="K1340" s="68"/>
      <c r="N1340" s="68"/>
      <c r="O1340" s="68"/>
      <c r="U1340" s="2"/>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75" outlineLevelCol="2"/>
  <cols>
    <col customWidth="1" min="4" max="4" width="14.13" outlineLevel="1"/>
    <col min="5" max="7" width="12.63" outlineLevel="1"/>
    <col min="8" max="10" width="12.63" outlineLevel="2"/>
    <col customWidth="1" min="11" max="11" width="11.5" outlineLevel="1"/>
    <col customWidth="1" min="12" max="12" width="10.5" outlineLevel="1"/>
    <col customWidth="1" min="13" max="13" width="8.25" outlineLevel="1"/>
    <col customWidth="1" min="14" max="14" width="9.38" outlineLevel="1"/>
    <col customWidth="1" min="15" max="15" width="22.88"/>
    <col customWidth="1" min="16" max="16" width="14.5"/>
    <col customWidth="1" min="17" max="17" width="15.38"/>
    <col customWidth="1" min="18" max="19" width="8.25"/>
    <col customWidth="1" min="20" max="20" width="8.25" outlineLevel="1"/>
    <col customWidth="1" min="21" max="21" width="15.75" outlineLevel="1"/>
    <col customWidth="1" min="22" max="22" width="15.38" outlineLevel="1"/>
    <col customWidth="1" min="23" max="23" width="16.0" outlineLevel="1"/>
    <col customWidth="1" min="24" max="25" width="8.75" outlineLevel="1"/>
    <col customWidth="1" min="26" max="26" width="8.38" outlineLevel="1"/>
    <col customWidth="1" min="27" max="27" width="10.13" outlineLevel="1"/>
    <col customWidth="1" min="28" max="28" width="9.13" outlineLevel="1"/>
    <col customWidth="1" min="29" max="29" width="8.0"/>
    <col customWidth="1" min="30" max="30" width="9.5"/>
    <col customWidth="1" min="31" max="31" width="10.63"/>
    <col customWidth="1" min="32" max="32" width="11.38"/>
    <col customWidth="1" min="33" max="33" width="9.75"/>
    <col customWidth="1" min="34" max="36" width="7.38"/>
    <col customWidth="1" min="37" max="37" width="9.75"/>
    <col customWidth="1" min="38" max="38" width="26.38"/>
    <col customWidth="1" min="39" max="41" width="18.38"/>
    <col customWidth="1" min="42" max="42" width="15.25"/>
    <col customWidth="1" min="43" max="43" width="14.38"/>
    <col customWidth="1" min="44" max="44" width="18.38"/>
    <col customWidth="1" min="45" max="45" width="12.25"/>
    <col customWidth="1" min="46" max="46" width="13.38"/>
    <col customWidth="1" min="47" max="47" width="11.38"/>
    <col customWidth="1" min="48" max="48" width="12.75"/>
    <col customWidth="1" min="49" max="49" width="11.75"/>
    <col customWidth="1" min="50" max="50" width="16.88"/>
    <col customWidth="1" min="51" max="51" width="7.38"/>
    <col customWidth="1" min="52" max="52" width="6.38"/>
    <col customWidth="1" min="53" max="54" width="12.0"/>
    <col customWidth="1" min="55" max="55" width="6.13"/>
    <col customWidth="1" min="56" max="63" width="12.0"/>
    <col customWidth="1" min="64" max="64" width="5.0"/>
    <col customWidth="1" min="65" max="65" width="10.63"/>
    <col customWidth="1" min="66" max="66" width="8.63"/>
    <col customWidth="1" min="67" max="67" width="10.38"/>
    <col customWidth="1" min="68" max="68" width="3.75"/>
    <col customWidth="1" min="69" max="69" width="15.25"/>
    <col customWidth="1" min="70" max="70" width="20.0"/>
    <col customWidth="1" min="71" max="71" width="2.88"/>
    <col customWidth="1" min="72" max="81" width="10.63"/>
  </cols>
  <sheetData>
    <row r="1">
      <c r="A1" s="60" t="s">
        <v>196</v>
      </c>
      <c r="B1" s="60" t="s">
        <v>156</v>
      </c>
      <c r="C1" s="60" t="s">
        <v>157</v>
      </c>
      <c r="D1" s="60" t="s">
        <v>159</v>
      </c>
      <c r="E1" s="60" t="s">
        <v>160</v>
      </c>
      <c r="F1" s="60" t="s">
        <v>197</v>
      </c>
      <c r="G1" s="60" t="s">
        <v>198</v>
      </c>
      <c r="H1" s="60" t="s">
        <v>199</v>
      </c>
      <c r="I1" s="60" t="s">
        <v>200</v>
      </c>
      <c r="J1" s="60" t="s">
        <v>201</v>
      </c>
      <c r="K1" s="60" t="s">
        <v>161</v>
      </c>
      <c r="L1" s="60" t="s">
        <v>163</v>
      </c>
      <c r="M1" s="60" t="s">
        <v>164</v>
      </c>
      <c r="N1" s="59" t="s">
        <v>202</v>
      </c>
      <c r="O1" s="59" t="s">
        <v>167</v>
      </c>
      <c r="P1" s="74" t="s">
        <v>203</v>
      </c>
      <c r="Q1" s="75" t="s">
        <v>204</v>
      </c>
      <c r="R1" s="76" t="s">
        <v>205</v>
      </c>
      <c r="S1" s="75" t="s">
        <v>206</v>
      </c>
      <c r="T1" s="77" t="s">
        <v>207</v>
      </c>
      <c r="U1" s="78" t="s">
        <v>208</v>
      </c>
      <c r="V1" s="78" t="s">
        <v>209</v>
      </c>
      <c r="W1" s="79" t="s">
        <v>210</v>
      </c>
      <c r="X1" s="80" t="str">
        <f>IF(ISNA(MATCH("ER - LAST ONLY",$X$2:$X826,0)),"Note Name?","ERROR!! Note Name?")</f>
        <v>Note Name?</v>
      </c>
      <c r="Y1" s="81" t="s">
        <v>211</v>
      </c>
      <c r="Z1" s="75" t="s">
        <v>212</v>
      </c>
      <c r="AA1" s="74" t="s">
        <v>213</v>
      </c>
      <c r="AB1" s="59" t="s">
        <v>214</v>
      </c>
      <c r="AC1" s="59" t="s">
        <v>215</v>
      </c>
      <c r="AD1" s="59" t="s">
        <v>216</v>
      </c>
      <c r="AE1" s="75" t="s">
        <v>217</v>
      </c>
      <c r="AF1" s="82" t="str">
        <f>IF(COUNTIF($AF2:$AF826,TRUE)=0,"Tube IDs w Diff Times?",CONCATENATE("ERROR!! Tube IDs w Diff Times? ",COUNTIF($AF2:$AF826,TRUE)))</f>
        <v>Tube IDs w Diff Times?</v>
      </c>
      <c r="AG1" s="75" t="s">
        <v>218</v>
      </c>
      <c r="AH1" s="78" t="s">
        <v>219</v>
      </c>
      <c r="AI1" s="78" t="s">
        <v>220</v>
      </c>
      <c r="AJ1" s="78" t="s">
        <v>165</v>
      </c>
      <c r="AK1" s="75" t="s">
        <v>162</v>
      </c>
      <c r="AL1" s="78" t="s">
        <v>166</v>
      </c>
      <c r="AM1" s="59" t="s">
        <v>221</v>
      </c>
      <c r="AN1" s="59" t="s">
        <v>222</v>
      </c>
      <c r="AO1" s="75" t="s">
        <v>223</v>
      </c>
      <c r="AP1" s="75" t="s">
        <v>224</v>
      </c>
      <c r="AQ1" s="75" t="s">
        <v>225</v>
      </c>
      <c r="AR1" s="75" t="s">
        <v>226</v>
      </c>
      <c r="AS1" s="83" t="s">
        <v>227</v>
      </c>
      <c r="AT1" s="84" t="str">
        <f>(IF(COUNTIF($AT2:$AT826,FALSE)=0,"NAME COLS CHECK?",CONCATENATE("ERROR!! NAME COLS CHECK? ",COUNTIF($AT2:$AT826,FALSE))))</f>
        <v>ERROR!! NAME COLS CHECK? 767</v>
      </c>
      <c r="AU1" s="75" t="s">
        <v>228</v>
      </c>
      <c r="AV1" s="75" t="s">
        <v>229</v>
      </c>
      <c r="AW1" s="75" t="s">
        <v>230</v>
      </c>
      <c r="AX1" s="85" t="s">
        <v>231</v>
      </c>
      <c r="AY1" s="86">
        <f>SUM($AX2:$AX826)</f>
        <v>0</v>
      </c>
      <c r="AZ1" s="87" t="s">
        <v>232</v>
      </c>
      <c r="BA1" s="88" t="str">
        <f>CONCATENATE("CURRENT BOOL TRUE = ",COUNTIF(BA$2:BA826,TRUE))</f>
        <v>CURRENT BOOL TRUE = 49</v>
      </c>
      <c r="BB1" s="59"/>
      <c r="BC1" s="89" t="s">
        <v>233</v>
      </c>
      <c r="BD1" s="90" t="str">
        <f>CONCATENATE("Rep Tube IDs Sorted = ",COUNTA(BK3:BK826))</f>
        <v>Rep Tube IDs Sorted = 0</v>
      </c>
      <c r="BE1" s="91" t="s">
        <v>234</v>
      </c>
      <c r="BF1" s="92" t="s">
        <v>235</v>
      </c>
      <c r="BG1" s="92" t="s">
        <v>236</v>
      </c>
      <c r="BH1" s="93" t="s">
        <v>237</v>
      </c>
      <c r="BI1" s="93" t="s">
        <v>238</v>
      </c>
      <c r="BJ1" s="93" t="s">
        <v>239</v>
      </c>
      <c r="BK1" s="93" t="s">
        <v>240</v>
      </c>
      <c r="BL1" s="94" t="s">
        <v>232</v>
      </c>
      <c r="BM1" s="59" t="str">
        <f>CONCATENATE("Blank or Whitespace ", COUNTIF(BM2:BM826, "MISSING"))</f>
        <v>Blank or Whitespace 767</v>
      </c>
      <c r="BN1" s="95" t="str">
        <f>CONCATENATE("Blank     ", COUNTIF(BN2:BN826, TRUE))</f>
        <v>Blank     0</v>
      </c>
      <c r="BO1" s="95" t="str">
        <f>CONCATENATE("Whitespace ", COUNTIF(BO2:BO826, TRUE))</f>
        <v>Whitespace 767</v>
      </c>
      <c r="BP1" s="96"/>
      <c r="BQ1" s="95" t="s">
        <v>241</v>
      </c>
      <c r="BR1" s="97" t="str">
        <f>CONCATENATE("Num with Note Different from RAW  ", COUNTIF(BR2:BR826, FALSE))</f>
        <v>Num with Note Different from RAW  0</v>
      </c>
      <c r="BS1" s="98"/>
      <c r="BT1" s="59" t="s">
        <v>242</v>
      </c>
      <c r="BU1" s="99">
        <f>COUNTIF(BU2:BU826,FALSE)</f>
        <v>0</v>
      </c>
      <c r="BV1" s="97"/>
      <c r="BW1" s="97"/>
      <c r="BX1" s="97"/>
      <c r="BY1" s="97"/>
      <c r="BZ1" s="97"/>
      <c r="CA1" s="97"/>
      <c r="CB1" s="97"/>
      <c r="CC1" s="97"/>
    </row>
    <row r="2">
      <c r="A2" s="2" t="s">
        <v>243</v>
      </c>
      <c r="B2" s="100">
        <v>44537.0</v>
      </c>
      <c r="C2" s="101">
        <v>0.5433217592592593</v>
      </c>
      <c r="D2" s="102"/>
      <c r="E2" s="102"/>
      <c r="F2" s="102"/>
      <c r="G2" s="102"/>
      <c r="H2" s="102"/>
      <c r="I2" s="103"/>
      <c r="J2" s="103"/>
      <c r="K2" s="2" t="s">
        <v>244</v>
      </c>
      <c r="L2" s="100">
        <v>44537.0</v>
      </c>
      <c r="M2" s="101">
        <v>0.5445601851851852</v>
      </c>
      <c r="P2" s="104" t="b">
        <f>IFNA(IF(VLOOKUP($A2,'Add from APT'!$AA$2:$AC826,3,FALSE)&gt;0,TRUE,FALSE),"ER - NOT IN APT")</f>
        <v>0</v>
      </c>
      <c r="Q2" s="105" t="str">
        <f>IF(ISLOGICAL(P2),IF(P2,"ER - REPS IN APT", IFNA(VLOOKUP($A2,RAW_APT!$A$3:$M826,7,FALSE),"ER - NOT IN APT")),P2)</f>
        <v>Result</v>
      </c>
      <c r="R2" s="106" t="b">
        <f t="shared" ref="R2:R826" si="2">IF(EXACT($A2,$A1),FALSE,TRUE)</f>
        <v>1</v>
      </c>
      <c r="S2" s="107">
        <f t="shared" ref="S2:S826" si="3">COUNTIF($A$2:$A826,$A2)</f>
        <v>1</v>
      </c>
      <c r="T2" s="108"/>
      <c r="U2" s="109"/>
      <c r="V2" s="109"/>
      <c r="W2" s="109"/>
      <c r="X2" s="110" t="b">
        <f t="shared" ref="X2:X826" si="4">IF(ISBLANK($U2),IF(ISBLANK($V2),FALSE,"ER - LAST ONLY"),TRUE)</f>
        <v>0</v>
      </c>
      <c r="Y2" s="111" t="b">
        <v>0</v>
      </c>
      <c r="Z2" s="104" t="str">
        <f t="shared" ref="Z2:Z826" si="5">IF($S2&gt;4,TRUE,IFERROR(0/0,""))</f>
        <v/>
      </c>
      <c r="AA2" s="112" t="b">
        <f t="shared" ref="AA2:AA826" si="6">IF(ISBLANK($O2),FALSE,TRUE)</f>
        <v>0</v>
      </c>
      <c r="AB2" s="109" t="b">
        <v>0</v>
      </c>
      <c r="AC2" s="113">
        <v>785.0</v>
      </c>
      <c r="AD2" s="114" t="b">
        <v>0</v>
      </c>
      <c r="AE2" s="115">
        <f t="shared" ref="AE2:AE826" si="7">IFERROR(IF(EXACT($L2,$B2),(TIMEVALUE($M2)-TIMEVALUE($C2))*24*60,IFERROR(0/0,"")),IFERROR(0/0,""))</f>
        <v>1.783333333</v>
      </c>
      <c r="AF2" s="116" t="b">
        <f t="shared" ref="AF2:AF826" si="8">OR(AND(NOT($AG2),IFERROR(NOT($AG3),""),EXACT($A2,$A3),NOT(EXACT(CONCATENATE($B2,$C2),CONCATENATE($B3,$C3)))),AND(NOT($AG2),IFERROR(NOT($AG1),""),EXACT($A2,$A1),NOT(EXACT(CONCATENATE($B2,$C2),CONCATENATE($B1,$C1)))))</f>
        <v>0</v>
      </c>
      <c r="AG2" s="105" t="b">
        <f t="shared" ref="AG2:AG826" si="9">IF($AH2&gt;0,TRUE,FALSE)</f>
        <v>1</v>
      </c>
      <c r="AH2" s="113">
        <v>2.0</v>
      </c>
      <c r="AI2" s="113"/>
      <c r="AJ2" s="113"/>
      <c r="AK2" s="117" t="str">
        <f t="shared" ref="AK2:AK826" si="10">IFS(AND($AJ2&gt;=2,$AJ2&lt;3),"Negative",AND($AJ2&gt;=3,$AJ2&lt;4),"Positive",AND($AJ2&gt;=4,$AJ2&lt;5),"Inconclusive",$AJ2=5,"MANUAL FILL",$AG2,"DELETED",TRUE,$K2)</f>
        <v>DELETED</v>
      </c>
      <c r="AL2" s="109"/>
      <c r="AM2" s="112" t="s">
        <v>245</v>
      </c>
      <c r="AN2" s="112" t="s">
        <v>245</v>
      </c>
      <c r="AO2" s="112" t="str">
        <f>IFERROR(__xludf.DUMMYFUNCTION("IF($AG2, ""DELETED"",TRIM(JOIN("" "",D2:E2)))"),"DELETED")</f>
        <v>DELETED</v>
      </c>
      <c r="AP2" s="112" t="str">
        <f t="shared" ref="AP2:AQ2" si="1">IF($AG2, "DELETED", TRIM(CONCATENATE(F2,I2,U2)))</f>
        <v>DELETED</v>
      </c>
      <c r="AQ2" s="112" t="str">
        <f t="shared" si="1"/>
        <v>DELETED</v>
      </c>
      <c r="AR2" s="112" t="str">
        <f>IFERROR(__xludf.DUMMYFUNCTION("IF($AG2, ""DELETED"", TRIM(JOIN("" "",AP2,AQ2)))"),"DELETED")</f>
        <v>DELETED</v>
      </c>
      <c r="AS2" s="118"/>
      <c r="AT2" s="110" t="b">
        <f t="shared" ref="AT2:AT826" si="12">IF(OR($AG2,SUM($AU2:$AW2)=1),TRUE,FALSE)</f>
        <v>1</v>
      </c>
      <c r="AU2" s="110" t="str">
        <f t="shared" ref="AU2:AU826" si="13">IF($AG2,IFERROR(0/0,""),IF(ISBLANK($F2),IF(ISBLANK($G2),IFERROR(0/0,""),2),1))</f>
        <v/>
      </c>
      <c r="AV2" s="110" t="str">
        <f t="shared" ref="AV2:AV826" si="14">IF($AG2,IFERROR(0/0,""),IF(ISBLANK($I2),IF(ISBLANK($J2),IFERROR(0/0,""),2),1))</f>
        <v/>
      </c>
      <c r="AW2" s="110" t="str">
        <f t="shared" ref="AW2:AW826" si="15">IF($AG2,IFERROR(0/0,""),IF(ISBLANK($U2),IF(ISBLANK($V2),IFERROR(0/0,""),2),1))</f>
        <v/>
      </c>
      <c r="AX2" s="119" t="str">
        <f t="shared" ref="AX2:AX826" si="16">IF(AND($X2,$A3=$A2),1,IFERROR(0/0,""))</f>
        <v/>
      </c>
      <c r="AY2" s="120"/>
      <c r="AZ2" s="121"/>
      <c r="BA2" s="122" t="str">
        <f t="shared" ref="BA2:BA826" si="17">IF(EXACT(K2,"Null"),TRUE,IFERROR(0/0,""))</f>
        <v/>
      </c>
      <c r="BB2" s="34"/>
      <c r="BC2" s="123"/>
      <c r="BD2" s="124" t="str">
        <f t="array" ref="BD2:BD826">SORT(BK$2:BK826,1,TRUE)</f>
        <v/>
      </c>
      <c r="BE2" s="125" t="str">
        <f t="shared" ref="BE2:BE826" si="18">IF(COUNTIF(BI$2:BI826,BD2)&gt;0,COUNTIF(BI$2:BI826,BD2),IFERROR(0/0,""))</f>
        <v/>
      </c>
      <c r="BF2" s="126" t="str">
        <f t="shared" ref="BF2:BF826" si="19">CONCATENATE($A2,"__",$B2,"_",$C2)</f>
        <v>Hero__44537_0.543321759259259</v>
      </c>
      <c r="BG2" s="127" t="str">
        <f t="shared" ref="BG2:BG826" si="20">IF(ISBLANK(IFERROR(MATCH(LEFT(BF2, FIND("__",BF2)-1),BD$2:BD826,0),"")),IFERROR(0/0,""),TRUE)</f>
        <v/>
      </c>
      <c r="BH2" s="128" t="str">
        <f t="array" ref="BH2:BH820">SORT(UNIQUE(BF$2:BF826),1,TRUE)</f>
        <v>FM1__44607_0.262928240740741</v>
      </c>
      <c r="BI2" s="128" t="str">
        <f t="shared" ref="BI2:BI826" si="21">IFERROR(LEFT(BH2, FIND("__",BH2)-1),"")</f>
        <v>FM1</v>
      </c>
      <c r="BJ2" s="129" t="b">
        <f t="shared" ref="BJ2:BJ710" si="22">IFERROR(AND(EXACT(BI3,BI2),NOT(EXACT(BI2,BI1))),"")</f>
        <v>0</v>
      </c>
      <c r="BK2" s="128" t="str">
        <f t="shared" ref="BK2:BK826" si="23">IF(BJ2,BI2,IFERROR(0/0,""))</f>
        <v/>
      </c>
      <c r="BL2" s="130"/>
      <c r="BM2" s="5" t="str">
        <f t="shared" ref="BM2:BM826" si="24">IF(OR(BN2,BO2),"MISSING",IFERROR(0/0,""))</f>
        <v/>
      </c>
      <c r="BN2" s="120" t="b">
        <f t="shared" ref="BN2:BN826" si="25">ISBLANK($AR2)</f>
        <v>0</v>
      </c>
      <c r="BO2" s="131" t="b">
        <f t="shared" ref="BO2:BO826" si="26">IF(TRIM($AR2)="",TRUE,FALSE)</f>
        <v>0</v>
      </c>
      <c r="BP2" s="130"/>
      <c r="BQ2" s="132" t="str">
        <f>VLOOKUP(A2,RAW_APS!A$3:O826,15,FALSE)</f>
        <v/>
      </c>
      <c r="BR2" s="120" t="b">
        <f t="shared" ref="BR2:BR826" si="27">IF(ISERROR(BQ2),"***TUBE ID NOT FOUND",EXACT(BQ2,O2))</f>
        <v>1</v>
      </c>
      <c r="BS2" s="130"/>
      <c r="BT2" s="133" t="s">
        <v>245</v>
      </c>
      <c r="BU2" s="10" t="b">
        <f t="shared" ref="BU2:BU826" si="28">EXACT(BT2,$AK2)</f>
        <v>1</v>
      </c>
      <c r="BV2" s="132"/>
      <c r="BW2" s="132"/>
      <c r="BX2" s="132"/>
      <c r="BY2" s="132"/>
      <c r="BZ2" s="132"/>
      <c r="CA2" s="132"/>
      <c r="CB2" s="132"/>
      <c r="CC2" s="132"/>
    </row>
    <row r="3">
      <c r="A3" s="2" t="s">
        <v>246</v>
      </c>
      <c r="B3" s="100">
        <v>44537.0</v>
      </c>
      <c r="C3" s="101">
        <v>0.543599537037037</v>
      </c>
      <c r="D3" s="102"/>
      <c r="E3" s="102"/>
      <c r="F3" s="103"/>
      <c r="G3" s="103"/>
      <c r="H3" s="134"/>
      <c r="I3" s="135"/>
      <c r="J3" s="103"/>
      <c r="K3" s="2" t="s">
        <v>244</v>
      </c>
      <c r="L3" s="100">
        <v>44537.0</v>
      </c>
      <c r="M3" s="101">
        <v>0.5445601851851852</v>
      </c>
      <c r="N3" s="2" t="s">
        <v>247</v>
      </c>
      <c r="P3" s="104" t="b">
        <f>IFNA(IF(VLOOKUP($A3,'Add from APT'!$AA$2:$AC826,3,FALSE)&gt;0,TRUE,FALSE),"ER - NOT IN APT")</f>
        <v>0</v>
      </c>
      <c r="Q3" s="105" t="str">
        <f>IF(ISLOGICAL(P3),IF(P3,"ER - REPS IN APT", IFNA(VLOOKUP($A3,RAW_APT!$A$3:$M826,7,FALSE),"ER - NOT IN APT")),P3)</f>
        <v>Result</v>
      </c>
      <c r="R3" s="106" t="b">
        <f t="shared" si="2"/>
        <v>1</v>
      </c>
      <c r="S3" s="107">
        <f t="shared" si="3"/>
        <v>1</v>
      </c>
      <c r="T3" s="108"/>
      <c r="U3" s="109"/>
      <c r="V3" s="109"/>
      <c r="W3" s="109"/>
      <c r="X3" s="110" t="b">
        <f t="shared" si="4"/>
        <v>0</v>
      </c>
      <c r="Y3" s="111" t="b">
        <v>0</v>
      </c>
      <c r="Z3" s="104" t="str">
        <f t="shared" si="5"/>
        <v/>
      </c>
      <c r="AA3" s="112" t="b">
        <f t="shared" si="6"/>
        <v>0</v>
      </c>
      <c r="AB3" s="109" t="b">
        <v>0</v>
      </c>
      <c r="AC3" s="113">
        <v>791.0</v>
      </c>
      <c r="AD3" s="114" t="b">
        <v>1</v>
      </c>
      <c r="AE3" s="115">
        <f t="shared" si="7"/>
        <v>1.383333333</v>
      </c>
      <c r="AF3" s="116" t="b">
        <f t="shared" si="8"/>
        <v>0</v>
      </c>
      <c r="AG3" s="105" t="b">
        <f t="shared" si="9"/>
        <v>1</v>
      </c>
      <c r="AH3" s="113">
        <v>2.0</v>
      </c>
      <c r="AI3" s="113"/>
      <c r="AJ3" s="113"/>
      <c r="AK3" s="117" t="str">
        <f t="shared" si="10"/>
        <v>DELETED</v>
      </c>
      <c r="AL3" s="109"/>
      <c r="AM3" s="112" t="s">
        <v>245</v>
      </c>
      <c r="AN3" s="112" t="s">
        <v>245</v>
      </c>
      <c r="AO3" s="112" t="str">
        <f>IFERROR(__xludf.DUMMYFUNCTION("IF($AG3, ""DELETED"",TRIM(JOIN("" "",D3:E3)))"),"DELETED")</f>
        <v>DELETED</v>
      </c>
      <c r="AP3" s="112" t="str">
        <f t="shared" ref="AP3:AQ3" si="11">IF($AG3, "DELETED", TRIM(CONCATENATE(F3,I3,U3)))</f>
        <v>DELETED</v>
      </c>
      <c r="AQ3" s="112" t="str">
        <f t="shared" si="11"/>
        <v>DELETED</v>
      </c>
      <c r="AR3" s="112" t="str">
        <f>IFERROR(__xludf.DUMMYFUNCTION("IF($AG3, ""DELETED"", TRIM(JOIN("" "",AP3,AQ3)))"),"DELETED")</f>
        <v>DELETED</v>
      </c>
      <c r="AS3" s="118"/>
      <c r="AT3" s="110" t="b">
        <f t="shared" si="12"/>
        <v>1</v>
      </c>
      <c r="AU3" s="110" t="str">
        <f t="shared" si="13"/>
        <v/>
      </c>
      <c r="AV3" s="110" t="str">
        <f t="shared" si="14"/>
        <v/>
      </c>
      <c r="AW3" s="110" t="str">
        <f t="shared" si="15"/>
        <v/>
      </c>
      <c r="AX3" s="119" t="str">
        <f t="shared" si="16"/>
        <v/>
      </c>
      <c r="AY3" s="120"/>
      <c r="AZ3" s="121"/>
      <c r="BA3" s="122" t="str">
        <f t="shared" si="17"/>
        <v/>
      </c>
      <c r="BB3" s="34"/>
      <c r="BC3" s="121"/>
      <c r="BD3" s="136"/>
      <c r="BE3" s="125" t="str">
        <f t="shared" si="18"/>
        <v/>
      </c>
      <c r="BF3" s="126" t="str">
        <f t="shared" si="19"/>
        <v>Hero1__44537_0.543599537037037</v>
      </c>
      <c r="BG3" s="127" t="str">
        <f t="shared" si="20"/>
        <v/>
      </c>
      <c r="BH3" s="137" t="s">
        <v>248</v>
      </c>
      <c r="BI3" s="128" t="str">
        <f t="shared" si="21"/>
        <v>FM1003</v>
      </c>
      <c r="BJ3" s="129" t="b">
        <f t="shared" si="22"/>
        <v>0</v>
      </c>
      <c r="BK3" s="128" t="str">
        <f t="shared" si="23"/>
        <v/>
      </c>
      <c r="BL3" s="121"/>
      <c r="BM3" s="5" t="str">
        <f t="shared" si="24"/>
        <v/>
      </c>
      <c r="BN3" s="120" t="b">
        <f t="shared" si="25"/>
        <v>0</v>
      </c>
      <c r="BO3" s="131" t="b">
        <f t="shared" si="26"/>
        <v>0</v>
      </c>
      <c r="BP3" s="121"/>
      <c r="BQ3" s="132" t="str">
        <f>VLOOKUP(A3,RAW_APS!A$3:O826,15,FALSE)</f>
        <v>#N/A</v>
      </c>
      <c r="BR3" s="120" t="str">
        <f t="shared" si="27"/>
        <v>***TUBE ID NOT FOUND</v>
      </c>
      <c r="BS3" s="121"/>
      <c r="BT3" s="138" t="s">
        <v>245</v>
      </c>
      <c r="BU3" s="10" t="b">
        <f t="shared" si="28"/>
        <v>1</v>
      </c>
      <c r="BV3" s="120"/>
      <c r="BW3" s="120"/>
      <c r="BX3" s="120"/>
      <c r="BY3" s="120"/>
      <c r="BZ3" s="120"/>
      <c r="CA3" s="120"/>
      <c r="CB3" s="120"/>
      <c r="CC3" s="120"/>
    </row>
    <row r="4">
      <c r="A4" s="2" t="s">
        <v>249</v>
      </c>
      <c r="B4" s="100">
        <v>44537.0</v>
      </c>
      <c r="C4" s="101">
        <v>0.5438425925925926</v>
      </c>
      <c r="D4" s="102"/>
      <c r="E4" s="102"/>
      <c r="F4" s="102"/>
      <c r="G4" s="102"/>
      <c r="H4" s="102"/>
      <c r="I4" s="103"/>
      <c r="J4" s="103"/>
      <c r="K4" s="2" t="s">
        <v>244</v>
      </c>
      <c r="L4" s="100">
        <v>44537.0</v>
      </c>
      <c r="M4" s="101">
        <v>0.5445601851851852</v>
      </c>
      <c r="P4" s="104" t="b">
        <f>IFNA(IF(VLOOKUP($A4,'Add from APT'!$AA$2:$AC826,3,FALSE)&gt;0,TRUE,FALSE),"ER - NOT IN APT")</f>
        <v>0</v>
      </c>
      <c r="Q4" s="105" t="str">
        <f>IF(ISLOGICAL(P4),IF(P4,"ER - REPS IN APT", IFNA(VLOOKUP($A4,RAW_APT!$A$3:$M826,7,FALSE),"ER - NOT IN APT")),P4)</f>
        <v>Result</v>
      </c>
      <c r="R4" s="106" t="b">
        <f t="shared" si="2"/>
        <v>1</v>
      </c>
      <c r="S4" s="107">
        <f t="shared" si="3"/>
        <v>1</v>
      </c>
      <c r="T4" s="108"/>
      <c r="U4" s="109"/>
      <c r="V4" s="109"/>
      <c r="W4" s="109"/>
      <c r="X4" s="110" t="b">
        <f t="shared" si="4"/>
        <v>0</v>
      </c>
      <c r="Y4" s="111" t="b">
        <v>0</v>
      </c>
      <c r="Z4" s="104" t="str">
        <f t="shared" si="5"/>
        <v/>
      </c>
      <c r="AA4" s="112" t="b">
        <f t="shared" si="6"/>
        <v>0</v>
      </c>
      <c r="AB4" s="109" t="b">
        <v>0</v>
      </c>
      <c r="AC4" s="113">
        <v>784.0</v>
      </c>
      <c r="AD4" s="114" t="b">
        <v>0</v>
      </c>
      <c r="AE4" s="115">
        <f t="shared" si="7"/>
        <v>1.033333333</v>
      </c>
      <c r="AF4" s="116" t="b">
        <f t="shared" si="8"/>
        <v>0</v>
      </c>
      <c r="AG4" s="105" t="b">
        <f t="shared" si="9"/>
        <v>1</v>
      </c>
      <c r="AH4" s="113">
        <v>2.0</v>
      </c>
      <c r="AI4" s="113"/>
      <c r="AJ4" s="113"/>
      <c r="AK4" s="117" t="str">
        <f t="shared" si="10"/>
        <v>DELETED</v>
      </c>
      <c r="AL4" s="109"/>
      <c r="AM4" s="112" t="s">
        <v>245</v>
      </c>
      <c r="AN4" s="112" t="s">
        <v>245</v>
      </c>
      <c r="AO4" s="112" t="str">
        <f>IFERROR(__xludf.DUMMYFUNCTION("IF($AG4, ""DELETED"",TRIM(JOIN("" "",D4:E4)))"),"DELETED")</f>
        <v>DELETED</v>
      </c>
      <c r="AP4" s="112" t="str">
        <f t="shared" ref="AP4:AQ4" si="29">IF($AG4, "DELETED", TRIM(CONCATENATE(F4,I4,U4)))</f>
        <v>DELETED</v>
      </c>
      <c r="AQ4" s="112" t="str">
        <f t="shared" si="29"/>
        <v>DELETED</v>
      </c>
      <c r="AR4" s="112" t="str">
        <f>IFERROR(__xludf.DUMMYFUNCTION("IF($AG4, ""DELETED"", TRIM(JOIN("" "",AP4,AQ4)))"),"DELETED")</f>
        <v>DELETED</v>
      </c>
      <c r="AS4" s="118"/>
      <c r="AT4" s="110" t="b">
        <f t="shared" si="12"/>
        <v>1</v>
      </c>
      <c r="AU4" s="110" t="str">
        <f t="shared" si="13"/>
        <v/>
      </c>
      <c r="AV4" s="110" t="str">
        <f t="shared" si="14"/>
        <v/>
      </c>
      <c r="AW4" s="110" t="str">
        <f t="shared" si="15"/>
        <v/>
      </c>
      <c r="AX4" s="119" t="str">
        <f t="shared" si="16"/>
        <v/>
      </c>
      <c r="AY4" s="120"/>
      <c r="AZ4" s="121"/>
      <c r="BA4" s="122" t="str">
        <f t="shared" si="17"/>
        <v/>
      </c>
      <c r="BB4" s="34"/>
      <c r="BC4" s="121"/>
      <c r="BD4" s="136"/>
      <c r="BE4" s="125" t="str">
        <f t="shared" si="18"/>
        <v/>
      </c>
      <c r="BF4" s="126" t="str">
        <f t="shared" si="19"/>
        <v>Hero2__44537_0.543842592592593</v>
      </c>
      <c r="BG4" s="127" t="str">
        <f t="shared" si="20"/>
        <v/>
      </c>
      <c r="BH4" s="137" t="s">
        <v>250</v>
      </c>
      <c r="BI4" s="128" t="str">
        <f t="shared" si="21"/>
        <v>FM1007</v>
      </c>
      <c r="BJ4" s="129" t="b">
        <f t="shared" si="22"/>
        <v>0</v>
      </c>
      <c r="BK4" s="128" t="str">
        <f t="shared" si="23"/>
        <v/>
      </c>
      <c r="BL4" s="121"/>
      <c r="BM4" s="5" t="str">
        <f t="shared" si="24"/>
        <v/>
      </c>
      <c r="BN4" s="120" t="b">
        <f t="shared" si="25"/>
        <v>0</v>
      </c>
      <c r="BO4" s="131" t="b">
        <f t="shared" si="26"/>
        <v>0</v>
      </c>
      <c r="BP4" s="121"/>
      <c r="BQ4" s="132" t="str">
        <f>VLOOKUP(A4,RAW_APS!A$3:O826,15,FALSE)</f>
        <v/>
      </c>
      <c r="BR4" s="120" t="b">
        <f t="shared" si="27"/>
        <v>1</v>
      </c>
      <c r="BS4" s="121"/>
      <c r="BT4" s="138" t="s">
        <v>245</v>
      </c>
      <c r="BU4" s="10" t="b">
        <f t="shared" si="28"/>
        <v>1</v>
      </c>
      <c r="BV4" s="120"/>
      <c r="BW4" s="120"/>
      <c r="BX4" s="120"/>
      <c r="BY4" s="120"/>
      <c r="BZ4" s="120"/>
      <c r="CA4" s="120"/>
      <c r="CB4" s="120"/>
      <c r="CC4" s="120"/>
    </row>
    <row r="5">
      <c r="A5" s="2" t="s">
        <v>251</v>
      </c>
      <c r="B5" s="100">
        <v>44537.0</v>
      </c>
      <c r="C5" s="101">
        <v>0.5913657407407408</v>
      </c>
      <c r="D5" s="102"/>
      <c r="E5" s="102"/>
      <c r="F5" s="103"/>
      <c r="G5" s="103"/>
      <c r="H5" s="134"/>
      <c r="I5" s="135"/>
      <c r="J5" s="103"/>
      <c r="K5" s="2" t="s">
        <v>52</v>
      </c>
      <c r="L5" s="100">
        <v>44537.0</v>
      </c>
      <c r="M5" s="101">
        <v>0.5980439814814815</v>
      </c>
      <c r="N5" s="2" t="s">
        <v>247</v>
      </c>
      <c r="P5" s="104" t="b">
        <f>IFNA(IF(VLOOKUP($A5,'Add from APT'!$AA$2:$AC826,3,FALSE)&gt;0,TRUE,FALSE),"ER - NOT IN APT")</f>
        <v>0</v>
      </c>
      <c r="Q5" s="105" t="str">
        <f>IF(ISLOGICAL(P5),IF(P5,"ER - REPS IN APT", IFNA(VLOOKUP($A5,RAW_APT!$A$3:$M826,7,FALSE),"ER - NOT IN APT")),P5)</f>
        <v>Result</v>
      </c>
      <c r="R5" s="106" t="b">
        <f t="shared" si="2"/>
        <v>1</v>
      </c>
      <c r="S5" s="107">
        <f t="shared" si="3"/>
        <v>1</v>
      </c>
      <c r="T5" s="108"/>
      <c r="U5" s="109"/>
      <c r="V5" s="109"/>
      <c r="W5" s="109"/>
      <c r="X5" s="110" t="b">
        <f t="shared" si="4"/>
        <v>0</v>
      </c>
      <c r="Y5" s="111" t="b">
        <v>0</v>
      </c>
      <c r="Z5" s="104" t="str">
        <f t="shared" si="5"/>
        <v/>
      </c>
      <c r="AA5" s="112" t="b">
        <f t="shared" si="6"/>
        <v>0</v>
      </c>
      <c r="AB5" s="109" t="b">
        <v>0</v>
      </c>
      <c r="AC5" s="113">
        <v>821.0</v>
      </c>
      <c r="AD5" s="114" t="b">
        <v>1</v>
      </c>
      <c r="AE5" s="115">
        <f t="shared" si="7"/>
        <v>9.616666667</v>
      </c>
      <c r="AF5" s="116" t="b">
        <f t="shared" si="8"/>
        <v>0</v>
      </c>
      <c r="AG5" s="105" t="b">
        <f t="shared" si="9"/>
        <v>1</v>
      </c>
      <c r="AH5" s="113">
        <v>2.0</v>
      </c>
      <c r="AI5" s="113"/>
      <c r="AJ5" s="113"/>
      <c r="AK5" s="117" t="str">
        <f t="shared" si="10"/>
        <v>DELETED</v>
      </c>
      <c r="AL5" s="109"/>
      <c r="AM5" s="112" t="s">
        <v>245</v>
      </c>
      <c r="AN5" s="112" t="s">
        <v>245</v>
      </c>
      <c r="AO5" s="112" t="str">
        <f>IFERROR(__xludf.DUMMYFUNCTION("IF($AG5, ""DELETED"",TRIM(JOIN("" "",D5:E5)))"),"DELETED")</f>
        <v>DELETED</v>
      </c>
      <c r="AP5" s="112" t="str">
        <f t="shared" ref="AP5:AQ5" si="30">IF($AG5, "DELETED", TRIM(CONCATENATE(F5,I5,U5)))</f>
        <v>DELETED</v>
      </c>
      <c r="AQ5" s="112" t="str">
        <f t="shared" si="30"/>
        <v>DELETED</v>
      </c>
      <c r="AR5" s="112" t="str">
        <f>IFERROR(__xludf.DUMMYFUNCTION("IF($AG5, ""DELETED"", TRIM(JOIN("" "",AP5,AQ5)))"),"DELETED")</f>
        <v>DELETED</v>
      </c>
      <c r="AS5" s="118"/>
      <c r="AT5" s="110" t="b">
        <f t="shared" si="12"/>
        <v>1</v>
      </c>
      <c r="AU5" s="110" t="str">
        <f t="shared" si="13"/>
        <v/>
      </c>
      <c r="AV5" s="110" t="str">
        <f t="shared" si="14"/>
        <v/>
      </c>
      <c r="AW5" s="110" t="str">
        <f t="shared" si="15"/>
        <v/>
      </c>
      <c r="AX5" s="119" t="str">
        <f t="shared" si="16"/>
        <v/>
      </c>
      <c r="AY5" s="120"/>
      <c r="AZ5" s="121"/>
      <c r="BA5" s="122" t="str">
        <f t="shared" si="17"/>
        <v/>
      </c>
      <c r="BB5" s="34"/>
      <c r="BC5" s="121"/>
      <c r="BD5" s="136"/>
      <c r="BE5" s="125" t="str">
        <f t="shared" si="18"/>
        <v/>
      </c>
      <c r="BF5" s="126" t="str">
        <f t="shared" si="19"/>
        <v>Test123__44537_0.591365740740741</v>
      </c>
      <c r="BG5" s="127" t="str">
        <f t="shared" si="20"/>
        <v/>
      </c>
      <c r="BH5" s="137" t="s">
        <v>252</v>
      </c>
      <c r="BI5" s="128" t="str">
        <f t="shared" si="21"/>
        <v>FM1008</v>
      </c>
      <c r="BJ5" s="129" t="b">
        <f t="shared" si="22"/>
        <v>0</v>
      </c>
      <c r="BK5" s="128" t="str">
        <f t="shared" si="23"/>
        <v/>
      </c>
      <c r="BL5" s="121"/>
      <c r="BM5" s="5" t="str">
        <f t="shared" si="24"/>
        <v/>
      </c>
      <c r="BN5" s="120" t="b">
        <f t="shared" si="25"/>
        <v>0</v>
      </c>
      <c r="BO5" s="131" t="b">
        <f t="shared" si="26"/>
        <v>0</v>
      </c>
      <c r="BP5" s="121"/>
      <c r="BQ5" s="132" t="str">
        <f>VLOOKUP(A5,RAW_APS!A$3:O826,15,FALSE)</f>
        <v>#N/A</v>
      </c>
      <c r="BR5" s="120" t="str">
        <f t="shared" si="27"/>
        <v>***TUBE ID NOT FOUND</v>
      </c>
      <c r="BS5" s="121"/>
      <c r="BT5" s="138" t="s">
        <v>245</v>
      </c>
      <c r="BU5" s="10" t="b">
        <f t="shared" si="28"/>
        <v>1</v>
      </c>
      <c r="BV5" s="120"/>
      <c r="BW5" s="120"/>
      <c r="BX5" s="120"/>
      <c r="BY5" s="120"/>
      <c r="BZ5" s="120"/>
      <c r="CA5" s="120"/>
      <c r="CB5" s="120"/>
      <c r="CC5" s="120"/>
    </row>
    <row r="6">
      <c r="A6" s="2" t="s">
        <v>253</v>
      </c>
      <c r="B6" s="100">
        <v>44537.0</v>
      </c>
      <c r="C6" s="101">
        <v>0.5915393518518518</v>
      </c>
      <c r="D6" s="102"/>
      <c r="E6" s="102"/>
      <c r="F6" s="102"/>
      <c r="G6" s="102"/>
      <c r="H6" s="102"/>
      <c r="I6" s="103"/>
      <c r="J6" s="103"/>
      <c r="K6" s="2" t="s">
        <v>254</v>
      </c>
      <c r="L6" s="11"/>
      <c r="M6" s="11"/>
      <c r="N6" s="11"/>
      <c r="O6" s="11"/>
      <c r="P6" s="104" t="b">
        <f>IFNA(IF(VLOOKUP($A6,'Add from APT'!$AA$2:$AC826,3,FALSE)&gt;0,TRUE,FALSE),"ER - NOT IN APT")</f>
        <v>0</v>
      </c>
      <c r="Q6" s="105" t="str">
        <f>IF(ISLOGICAL(P6),IF(P6,"ER - REPS IN APT", IFNA(VLOOKUP($A6,RAW_APT!$A$3:$M826,7,FALSE),"ER - NOT IN APT")),P6)</f>
        <v>Collected</v>
      </c>
      <c r="R6" s="106" t="b">
        <f t="shared" si="2"/>
        <v>1</v>
      </c>
      <c r="S6" s="107">
        <f t="shared" si="3"/>
        <v>1</v>
      </c>
      <c r="T6" s="108"/>
      <c r="U6" s="109"/>
      <c r="V6" s="109"/>
      <c r="W6" s="109"/>
      <c r="X6" s="110" t="b">
        <f t="shared" si="4"/>
        <v>0</v>
      </c>
      <c r="Y6" s="111" t="b">
        <v>0</v>
      </c>
      <c r="Z6" s="104" t="str">
        <f t="shared" si="5"/>
        <v/>
      </c>
      <c r="AA6" s="112" t="b">
        <f t="shared" si="6"/>
        <v>0</v>
      </c>
      <c r="AB6" s="109" t="b">
        <v>0</v>
      </c>
      <c r="AC6" s="113">
        <v>783.0</v>
      </c>
      <c r="AD6" s="114" t="b">
        <v>0</v>
      </c>
      <c r="AE6" s="115" t="str">
        <f t="shared" si="7"/>
        <v/>
      </c>
      <c r="AF6" s="116" t="b">
        <f t="shared" si="8"/>
        <v>0</v>
      </c>
      <c r="AG6" s="105" t="b">
        <f t="shared" si="9"/>
        <v>1</v>
      </c>
      <c r="AH6" s="113">
        <v>2.0</v>
      </c>
      <c r="AI6" s="113"/>
      <c r="AJ6" s="113"/>
      <c r="AK6" s="117" t="str">
        <f t="shared" si="10"/>
        <v>DELETED</v>
      </c>
      <c r="AL6" s="109"/>
      <c r="AM6" s="112" t="s">
        <v>245</v>
      </c>
      <c r="AN6" s="112" t="s">
        <v>245</v>
      </c>
      <c r="AO6" s="112" t="str">
        <f>IFERROR(__xludf.DUMMYFUNCTION("IF($AG6, ""DELETED"",TRIM(JOIN("" "",D6:E6)))"),"DELETED")</f>
        <v>DELETED</v>
      </c>
      <c r="AP6" s="112" t="str">
        <f t="shared" ref="AP6:AQ6" si="31">IF($AG6, "DELETED", TRIM(CONCATENATE(F6,I6,U6)))</f>
        <v>DELETED</v>
      </c>
      <c r="AQ6" s="112" t="str">
        <f t="shared" si="31"/>
        <v>DELETED</v>
      </c>
      <c r="AR6" s="112" t="str">
        <f>IFERROR(__xludf.DUMMYFUNCTION("IF($AG6, ""DELETED"", TRIM(JOIN("" "",AP6,AQ6)))"),"DELETED")</f>
        <v>DELETED</v>
      </c>
      <c r="AS6" s="118"/>
      <c r="AT6" s="110" t="b">
        <f t="shared" si="12"/>
        <v>1</v>
      </c>
      <c r="AU6" s="110" t="str">
        <f t="shared" si="13"/>
        <v/>
      </c>
      <c r="AV6" s="110" t="str">
        <f t="shared" si="14"/>
        <v/>
      </c>
      <c r="AW6" s="110" t="str">
        <f t="shared" si="15"/>
        <v/>
      </c>
      <c r="AX6" s="119" t="str">
        <f t="shared" si="16"/>
        <v/>
      </c>
      <c r="AY6" s="120"/>
      <c r="AZ6" s="121"/>
      <c r="BA6" s="122" t="b">
        <f t="shared" si="17"/>
        <v>1</v>
      </c>
      <c r="BB6" s="34"/>
      <c r="BC6" s="121"/>
      <c r="BD6" s="136"/>
      <c r="BE6" s="125" t="str">
        <f t="shared" si="18"/>
        <v/>
      </c>
      <c r="BF6" s="126" t="str">
        <f t="shared" si="19"/>
        <v>Test12__44537_0.591539351851852</v>
      </c>
      <c r="BG6" s="127" t="str">
        <f t="shared" si="20"/>
        <v/>
      </c>
      <c r="BH6" s="137" t="s">
        <v>255</v>
      </c>
      <c r="BI6" s="128" t="str">
        <f t="shared" si="21"/>
        <v>FM1010</v>
      </c>
      <c r="BJ6" s="129" t="b">
        <f t="shared" si="22"/>
        <v>0</v>
      </c>
      <c r="BK6" s="128" t="str">
        <f t="shared" si="23"/>
        <v/>
      </c>
      <c r="BL6" s="121"/>
      <c r="BM6" s="5" t="str">
        <f t="shared" si="24"/>
        <v/>
      </c>
      <c r="BN6" s="120" t="b">
        <f t="shared" si="25"/>
        <v>0</v>
      </c>
      <c r="BO6" s="131" t="b">
        <f t="shared" si="26"/>
        <v>0</v>
      </c>
      <c r="BP6" s="121"/>
      <c r="BQ6" s="132" t="str">
        <f>VLOOKUP(A6,RAW_APS!A$3:O826,15,FALSE)</f>
        <v/>
      </c>
      <c r="BR6" s="120" t="b">
        <f t="shared" si="27"/>
        <v>1</v>
      </c>
      <c r="BS6" s="121"/>
      <c r="BT6" s="138" t="s">
        <v>245</v>
      </c>
      <c r="BU6" s="10" t="b">
        <f t="shared" si="28"/>
        <v>1</v>
      </c>
      <c r="BV6" s="120"/>
      <c r="BW6" s="120"/>
      <c r="BX6" s="120"/>
      <c r="BY6" s="120"/>
      <c r="BZ6" s="120"/>
      <c r="CA6" s="120"/>
      <c r="CB6" s="120"/>
      <c r="CC6" s="120"/>
    </row>
    <row r="7">
      <c r="A7" s="2" t="s">
        <v>256</v>
      </c>
      <c r="B7" s="100">
        <v>44540.0</v>
      </c>
      <c r="C7" s="101">
        <v>0.2940162037037037</v>
      </c>
      <c r="D7" s="102"/>
      <c r="E7" s="102"/>
      <c r="F7" s="139"/>
      <c r="G7" s="139"/>
      <c r="H7" s="139"/>
      <c r="I7" s="103"/>
      <c r="J7" s="103"/>
      <c r="K7" s="2" t="s">
        <v>244</v>
      </c>
      <c r="L7" s="100">
        <v>44543.0</v>
      </c>
      <c r="M7" s="101">
        <v>0.7857175925925926</v>
      </c>
      <c r="P7" s="104" t="b">
        <f>IFNA(IF(VLOOKUP($A7,'Add from APT'!$AA$2:$AC826,3,FALSE)&gt;0,TRUE,FALSE),"ER - NOT IN APT")</f>
        <v>0</v>
      </c>
      <c r="Q7" s="105" t="str">
        <f>IF(ISLOGICAL(P7),IF(P7,"ER - REPS IN APT", IFNA(VLOOKUP($A7,RAW_APT!$A$3:$M826,7,FALSE),"ER - NOT IN APT")),P7)</f>
        <v>Result</v>
      </c>
      <c r="R7" s="106" t="b">
        <f t="shared" si="2"/>
        <v>1</v>
      </c>
      <c r="S7" s="107">
        <f t="shared" si="3"/>
        <v>1</v>
      </c>
      <c r="T7" s="140">
        <v>0.0</v>
      </c>
      <c r="U7" s="141"/>
      <c r="V7" s="141"/>
      <c r="W7" s="141"/>
      <c r="X7" s="110" t="b">
        <f t="shared" si="4"/>
        <v>0</v>
      </c>
      <c r="Y7" s="111" t="b">
        <v>0</v>
      </c>
      <c r="Z7" s="104" t="str">
        <f t="shared" si="5"/>
        <v/>
      </c>
      <c r="AA7" s="112" t="b">
        <f t="shared" si="6"/>
        <v>0</v>
      </c>
      <c r="AB7" s="142" t="b">
        <v>0</v>
      </c>
      <c r="AC7" s="140">
        <v>782.0</v>
      </c>
      <c r="AD7" s="141" t="b">
        <v>0</v>
      </c>
      <c r="AE7" s="115" t="str">
        <f t="shared" si="7"/>
        <v/>
      </c>
      <c r="AF7" s="116" t="b">
        <f t="shared" si="8"/>
        <v>0</v>
      </c>
      <c r="AG7" s="105" t="b">
        <f t="shared" si="9"/>
        <v>0</v>
      </c>
      <c r="AH7" s="140"/>
      <c r="AI7" s="140"/>
      <c r="AJ7" s="140"/>
      <c r="AK7" s="117" t="str">
        <f t="shared" si="10"/>
        <v>Negative</v>
      </c>
      <c r="AL7" s="142"/>
      <c r="AM7" s="112" t="s">
        <v>257</v>
      </c>
      <c r="AN7" s="112" t="s">
        <v>258</v>
      </c>
      <c r="AO7" s="112" t="str">
        <f>IFERROR(__xludf.DUMMYFUNCTION("IF($AG7, ""DELETED"",TRIM(JOIN("" "",D7:E7)))"),"")</f>
        <v/>
      </c>
      <c r="AP7" s="112" t="str">
        <f t="shared" ref="AP7:AQ7" si="32">IF($AG7, "DELETED", TRIM(CONCATENATE(F7,I7,U7)))</f>
        <v/>
      </c>
      <c r="AQ7" s="112" t="str">
        <f t="shared" si="32"/>
        <v/>
      </c>
      <c r="AR7" s="112" t="str">
        <f>IFERROR(__xludf.DUMMYFUNCTION("IF($AG7, ""DELETED"", TRIM(JOIN("" "",AP7,AQ7)))"),"")</f>
        <v/>
      </c>
      <c r="AS7" s="118"/>
      <c r="AT7" s="110" t="b">
        <f t="shared" si="12"/>
        <v>0</v>
      </c>
      <c r="AU7" s="110" t="str">
        <f t="shared" si="13"/>
        <v/>
      </c>
      <c r="AV7" s="110" t="str">
        <f t="shared" si="14"/>
        <v/>
      </c>
      <c r="AW7" s="110" t="str">
        <f t="shared" si="15"/>
        <v/>
      </c>
      <c r="AX7" s="119" t="str">
        <f t="shared" si="16"/>
        <v/>
      </c>
      <c r="AY7" s="120"/>
      <c r="AZ7" s="121"/>
      <c r="BA7" s="122" t="str">
        <f t="shared" si="17"/>
        <v/>
      </c>
      <c r="BB7" s="34"/>
      <c r="BC7" s="121"/>
      <c r="BD7" s="136"/>
      <c r="BE7" s="125" t="str">
        <f t="shared" si="18"/>
        <v/>
      </c>
      <c r="BF7" s="126" t="str">
        <f t="shared" si="19"/>
        <v>MAX88__44540_0.294016203703704</v>
      </c>
      <c r="BG7" s="127" t="str">
        <f t="shared" si="20"/>
        <v/>
      </c>
      <c r="BH7" s="137" t="s">
        <v>259</v>
      </c>
      <c r="BI7" s="128" t="str">
        <f t="shared" si="21"/>
        <v>FM1011</v>
      </c>
      <c r="BJ7" s="129" t="b">
        <f t="shared" si="22"/>
        <v>0</v>
      </c>
      <c r="BK7" s="128" t="str">
        <f t="shared" si="23"/>
        <v/>
      </c>
      <c r="BL7" s="121"/>
      <c r="BM7" s="5" t="str">
        <f t="shared" si="24"/>
        <v>MISSING</v>
      </c>
      <c r="BN7" s="120" t="b">
        <f t="shared" si="25"/>
        <v>0</v>
      </c>
      <c r="BO7" s="131" t="b">
        <f t="shared" si="26"/>
        <v>1</v>
      </c>
      <c r="BP7" s="121"/>
      <c r="BQ7" s="132" t="str">
        <f>VLOOKUP(A7,RAW_APS!A$3:O826,15,FALSE)</f>
        <v/>
      </c>
      <c r="BR7" s="120" t="b">
        <f t="shared" si="27"/>
        <v>1</v>
      </c>
      <c r="BS7" s="121"/>
      <c r="BT7" s="138" t="s">
        <v>244</v>
      </c>
      <c r="BU7" s="10" t="b">
        <f t="shared" si="28"/>
        <v>1</v>
      </c>
      <c r="BV7" s="120"/>
      <c r="BW7" s="120"/>
      <c r="BX7" s="120"/>
      <c r="BY7" s="120"/>
      <c r="BZ7" s="120"/>
      <c r="CA7" s="120"/>
      <c r="CB7" s="120"/>
      <c r="CC7" s="120"/>
    </row>
    <row r="8">
      <c r="A8" s="2" t="s">
        <v>260</v>
      </c>
      <c r="B8" s="100">
        <v>44540.0</v>
      </c>
      <c r="C8" s="101">
        <v>0.29800925925925925</v>
      </c>
      <c r="D8" s="102"/>
      <c r="E8" s="102"/>
      <c r="F8" s="102"/>
      <c r="G8" s="102"/>
      <c r="H8" s="102"/>
      <c r="I8" s="103"/>
      <c r="J8" s="103"/>
      <c r="K8" s="2" t="s">
        <v>244</v>
      </c>
      <c r="L8" s="100">
        <v>44543.0</v>
      </c>
      <c r="M8" s="101">
        <v>0.7857175925925926</v>
      </c>
      <c r="P8" s="104" t="b">
        <f>IFNA(IF(VLOOKUP($A8,'Add from APT'!$AA$2:$AC826,3,FALSE)&gt;0,TRUE,FALSE),"ER - NOT IN APT")</f>
        <v>0</v>
      </c>
      <c r="Q8" s="105" t="str">
        <f>IF(ISLOGICAL(P8),IF(P8,"ER - REPS IN APT", IFNA(VLOOKUP($A8,RAW_APT!$A$3:$M826,7,FALSE),"ER - NOT IN APT")),P8)</f>
        <v>Result</v>
      </c>
      <c r="R8" s="106" t="b">
        <f t="shared" si="2"/>
        <v>1</v>
      </c>
      <c r="S8" s="107">
        <f t="shared" si="3"/>
        <v>1</v>
      </c>
      <c r="T8" s="143"/>
      <c r="U8" s="142"/>
      <c r="V8" s="142"/>
      <c r="W8" s="142"/>
      <c r="X8" s="110" t="b">
        <f t="shared" si="4"/>
        <v>0</v>
      </c>
      <c r="Y8" s="111" t="b">
        <v>0</v>
      </c>
      <c r="Z8" s="104" t="str">
        <f t="shared" si="5"/>
        <v/>
      </c>
      <c r="AA8" s="112" t="b">
        <f t="shared" si="6"/>
        <v>0</v>
      </c>
      <c r="AB8" s="142" t="b">
        <v>0</v>
      </c>
      <c r="AC8" s="140">
        <v>781.0</v>
      </c>
      <c r="AD8" s="141" t="b">
        <v>0</v>
      </c>
      <c r="AE8" s="115" t="str">
        <f t="shared" si="7"/>
        <v/>
      </c>
      <c r="AF8" s="116" t="b">
        <f t="shared" si="8"/>
        <v>0</v>
      </c>
      <c r="AG8" s="105" t="b">
        <f t="shared" si="9"/>
        <v>0</v>
      </c>
      <c r="AH8" s="140"/>
      <c r="AI8" s="140"/>
      <c r="AJ8" s="140"/>
      <c r="AK8" s="117" t="str">
        <f t="shared" si="10"/>
        <v>Negative</v>
      </c>
      <c r="AL8" s="142"/>
      <c r="AM8" s="112" t="s">
        <v>261</v>
      </c>
      <c r="AN8" s="112" t="s">
        <v>262</v>
      </c>
      <c r="AO8" s="112" t="str">
        <f>IFERROR(__xludf.DUMMYFUNCTION("IF($AG8, ""DELETED"",TRIM(JOIN("" "",D8:E8)))"),"")</f>
        <v/>
      </c>
      <c r="AP8" s="112" t="str">
        <f t="shared" ref="AP8:AQ8" si="33">IF($AG8, "DELETED", TRIM(CONCATENATE(F8,I8,U8)))</f>
        <v/>
      </c>
      <c r="AQ8" s="112" t="str">
        <f t="shared" si="33"/>
        <v/>
      </c>
      <c r="AR8" s="112" t="str">
        <f>IFERROR(__xludf.DUMMYFUNCTION("IF($AG8, ""DELETED"", TRIM(JOIN("" "",AP8,AQ8)))"),"")</f>
        <v/>
      </c>
      <c r="AS8" s="118"/>
      <c r="AT8" s="110" t="b">
        <f t="shared" si="12"/>
        <v>0</v>
      </c>
      <c r="AU8" s="110" t="str">
        <f t="shared" si="13"/>
        <v/>
      </c>
      <c r="AV8" s="110" t="str">
        <f t="shared" si="14"/>
        <v/>
      </c>
      <c r="AW8" s="110" t="str">
        <f t="shared" si="15"/>
        <v/>
      </c>
      <c r="AX8" s="119" t="str">
        <f t="shared" si="16"/>
        <v/>
      </c>
      <c r="AY8" s="120"/>
      <c r="AZ8" s="121"/>
      <c r="BA8" s="122" t="str">
        <f t="shared" si="17"/>
        <v/>
      </c>
      <c r="BB8" s="34"/>
      <c r="BC8" s="121"/>
      <c r="BD8" s="136"/>
      <c r="BE8" s="125" t="str">
        <f t="shared" si="18"/>
        <v/>
      </c>
      <c r="BF8" s="126" t="str">
        <f t="shared" si="19"/>
        <v>MAX136__44540_0.298009259259259</v>
      </c>
      <c r="BG8" s="127" t="str">
        <f t="shared" si="20"/>
        <v/>
      </c>
      <c r="BH8" s="137" t="s">
        <v>263</v>
      </c>
      <c r="BI8" s="128" t="str">
        <f t="shared" si="21"/>
        <v>FM1020</v>
      </c>
      <c r="BJ8" s="129" t="b">
        <f t="shared" si="22"/>
        <v>0</v>
      </c>
      <c r="BK8" s="128" t="str">
        <f t="shared" si="23"/>
        <v/>
      </c>
      <c r="BL8" s="121"/>
      <c r="BM8" s="5" t="str">
        <f t="shared" si="24"/>
        <v>MISSING</v>
      </c>
      <c r="BN8" s="120" t="b">
        <f t="shared" si="25"/>
        <v>0</v>
      </c>
      <c r="BO8" s="131" t="b">
        <f t="shared" si="26"/>
        <v>1</v>
      </c>
      <c r="BP8" s="121"/>
      <c r="BQ8" s="132" t="str">
        <f>VLOOKUP(A8,RAW_APS!A$3:O826,15,FALSE)</f>
        <v/>
      </c>
      <c r="BR8" s="120" t="b">
        <f t="shared" si="27"/>
        <v>1</v>
      </c>
      <c r="BS8" s="121"/>
      <c r="BT8" s="138" t="s">
        <v>244</v>
      </c>
      <c r="BU8" s="10" t="b">
        <f t="shared" si="28"/>
        <v>1</v>
      </c>
      <c r="BV8" s="120"/>
      <c r="BW8" s="120"/>
      <c r="BX8" s="120"/>
      <c r="BY8" s="120"/>
      <c r="BZ8" s="120"/>
      <c r="CA8" s="120"/>
      <c r="CB8" s="120"/>
      <c r="CC8" s="120"/>
    </row>
    <row r="9">
      <c r="A9" s="2" t="s">
        <v>264</v>
      </c>
      <c r="B9" s="100">
        <v>44540.0</v>
      </c>
      <c r="C9" s="101">
        <v>0.3005439814814815</v>
      </c>
      <c r="D9" s="102"/>
      <c r="E9" s="102"/>
      <c r="F9" s="102"/>
      <c r="G9" s="102"/>
      <c r="H9" s="102"/>
      <c r="I9" s="103"/>
      <c r="J9" s="103"/>
      <c r="K9" s="2" t="s">
        <v>244</v>
      </c>
      <c r="L9" s="100">
        <v>44543.0</v>
      </c>
      <c r="M9" s="101">
        <v>0.7857175925925926</v>
      </c>
      <c r="P9" s="104" t="b">
        <f>IFNA(IF(VLOOKUP($A9,'Add from APT'!$AA$2:$AC826,3,FALSE)&gt;0,TRUE,FALSE),"ER - NOT IN APT")</f>
        <v>0</v>
      </c>
      <c r="Q9" s="105" t="str">
        <f>IF(ISLOGICAL(P9),IF(P9,"ER - REPS IN APT", IFNA(VLOOKUP($A9,RAW_APT!$A$3:$M826,7,FALSE),"ER - NOT IN APT")),P9)</f>
        <v>Result</v>
      </c>
      <c r="R9" s="106" t="b">
        <f t="shared" si="2"/>
        <v>1</v>
      </c>
      <c r="S9" s="107">
        <f t="shared" si="3"/>
        <v>2</v>
      </c>
      <c r="T9" s="108"/>
      <c r="U9" s="109"/>
      <c r="V9" s="109"/>
      <c r="W9" s="109"/>
      <c r="X9" s="110" t="b">
        <f t="shared" si="4"/>
        <v>0</v>
      </c>
      <c r="Y9" s="111" t="b">
        <v>0</v>
      </c>
      <c r="Z9" s="104" t="str">
        <f t="shared" si="5"/>
        <v/>
      </c>
      <c r="AA9" s="112" t="b">
        <f t="shared" si="6"/>
        <v>0</v>
      </c>
      <c r="AB9" s="109" t="b">
        <v>0</v>
      </c>
      <c r="AC9" s="113">
        <v>779.0</v>
      </c>
      <c r="AD9" s="114" t="b">
        <v>0</v>
      </c>
      <c r="AE9" s="115" t="str">
        <f t="shared" si="7"/>
        <v/>
      </c>
      <c r="AF9" s="116" t="b">
        <f t="shared" si="8"/>
        <v>0</v>
      </c>
      <c r="AG9" s="105" t="b">
        <f t="shared" si="9"/>
        <v>1</v>
      </c>
      <c r="AH9" s="113">
        <v>7.0</v>
      </c>
      <c r="AI9" s="113"/>
      <c r="AJ9" s="113"/>
      <c r="AK9" s="117" t="str">
        <f t="shared" si="10"/>
        <v>DELETED</v>
      </c>
      <c r="AL9" s="109"/>
      <c r="AM9" s="112" t="s">
        <v>245</v>
      </c>
      <c r="AN9" s="112" t="s">
        <v>245</v>
      </c>
      <c r="AO9" s="112" t="str">
        <f>IFERROR(__xludf.DUMMYFUNCTION("IF($AG9, ""DELETED"",TRIM(JOIN("" "",D9:E9)))"),"DELETED")</f>
        <v>DELETED</v>
      </c>
      <c r="AP9" s="112" t="str">
        <f t="shared" ref="AP9:AQ9" si="34">IF($AG9, "DELETED", TRIM(CONCATENATE(F9,I9,U9)))</f>
        <v>DELETED</v>
      </c>
      <c r="AQ9" s="112" t="str">
        <f t="shared" si="34"/>
        <v>DELETED</v>
      </c>
      <c r="AR9" s="112" t="str">
        <f>IFERROR(__xludf.DUMMYFUNCTION("IF($AG9, ""DELETED"", TRIM(JOIN("" "",AP9,AQ9)))"),"DELETED")</f>
        <v>DELETED</v>
      </c>
      <c r="AS9" s="118"/>
      <c r="AT9" s="110" t="b">
        <f t="shared" si="12"/>
        <v>1</v>
      </c>
      <c r="AU9" s="110" t="str">
        <f t="shared" si="13"/>
        <v/>
      </c>
      <c r="AV9" s="110" t="str">
        <f t="shared" si="14"/>
        <v/>
      </c>
      <c r="AW9" s="110" t="str">
        <f t="shared" si="15"/>
        <v/>
      </c>
      <c r="AX9" s="119" t="str">
        <f t="shared" si="16"/>
        <v/>
      </c>
      <c r="AY9" s="120"/>
      <c r="AZ9" s="121"/>
      <c r="BA9" s="122" t="str">
        <f t="shared" si="17"/>
        <v/>
      </c>
      <c r="BB9" s="34"/>
      <c r="BC9" s="121"/>
      <c r="BD9" s="136"/>
      <c r="BE9" s="125" t="str">
        <f t="shared" si="18"/>
        <v/>
      </c>
      <c r="BF9" s="126" t="str">
        <f t="shared" si="19"/>
        <v>MAX79__44540_0.300543981481482</v>
      </c>
      <c r="BG9" s="127" t="str">
        <f t="shared" si="20"/>
        <v/>
      </c>
      <c r="BH9" s="137" t="s">
        <v>265</v>
      </c>
      <c r="BI9" s="128" t="str">
        <f t="shared" si="21"/>
        <v>FM105</v>
      </c>
      <c r="BJ9" s="129" t="b">
        <f t="shared" si="22"/>
        <v>0</v>
      </c>
      <c r="BK9" s="128" t="str">
        <f t="shared" si="23"/>
        <v/>
      </c>
      <c r="BL9" s="121"/>
      <c r="BM9" s="5" t="str">
        <f t="shared" si="24"/>
        <v/>
      </c>
      <c r="BN9" s="120" t="b">
        <f t="shared" si="25"/>
        <v>0</v>
      </c>
      <c r="BO9" s="131" t="b">
        <f t="shared" si="26"/>
        <v>0</v>
      </c>
      <c r="BP9" s="121"/>
      <c r="BQ9" s="132" t="str">
        <f>VLOOKUP(A9,RAW_APS!A$3:O826,15,FALSE)</f>
        <v/>
      </c>
      <c r="BR9" s="120" t="b">
        <f t="shared" si="27"/>
        <v>1</v>
      </c>
      <c r="BS9" s="121"/>
      <c r="BT9" s="138" t="s">
        <v>245</v>
      </c>
      <c r="BU9" s="10" t="b">
        <f t="shared" si="28"/>
        <v>1</v>
      </c>
      <c r="BV9" s="120"/>
      <c r="BW9" s="120"/>
      <c r="BX9" s="120"/>
      <c r="BY9" s="120"/>
      <c r="BZ9" s="120"/>
      <c r="CA9" s="120"/>
      <c r="CB9" s="120"/>
      <c r="CC9" s="120"/>
    </row>
    <row r="10">
      <c r="A10" s="2" t="s">
        <v>264</v>
      </c>
      <c r="B10" s="100">
        <v>44540.0</v>
      </c>
      <c r="C10" s="101">
        <v>0.3005439814814815</v>
      </c>
      <c r="D10" s="102"/>
      <c r="E10" s="102"/>
      <c r="F10" s="102"/>
      <c r="G10" s="102"/>
      <c r="H10" s="102"/>
      <c r="I10" s="103"/>
      <c r="J10" s="103"/>
      <c r="K10" s="2" t="s">
        <v>244</v>
      </c>
      <c r="L10" s="100">
        <v>44543.0</v>
      </c>
      <c r="M10" s="101">
        <v>0.7857175925925926</v>
      </c>
      <c r="P10" s="104" t="b">
        <f>IFNA(IF(VLOOKUP($A10,'Add from APT'!$AA$2:$AC826,3,FALSE)&gt;0,TRUE,FALSE),"ER - NOT IN APT")</f>
        <v>0</v>
      </c>
      <c r="Q10" s="105" t="str">
        <f>IF(ISLOGICAL(P10),IF(P10,"ER - REPS IN APT", IFNA(VLOOKUP($A10,RAW_APT!$A$3:$M826,7,FALSE),"ER - NOT IN APT")),P10)</f>
        <v>Result</v>
      </c>
      <c r="R10" s="106" t="b">
        <f t="shared" si="2"/>
        <v>0</v>
      </c>
      <c r="S10" s="107">
        <f t="shared" si="3"/>
        <v>2</v>
      </c>
      <c r="T10" s="143"/>
      <c r="U10" s="142"/>
      <c r="V10" s="142"/>
      <c r="W10" s="142"/>
      <c r="X10" s="110" t="b">
        <f t="shared" si="4"/>
        <v>0</v>
      </c>
      <c r="Y10" s="111" t="b">
        <v>0</v>
      </c>
      <c r="Z10" s="104" t="str">
        <f t="shared" si="5"/>
        <v/>
      </c>
      <c r="AA10" s="112" t="b">
        <f t="shared" si="6"/>
        <v>0</v>
      </c>
      <c r="AB10" s="142" t="b">
        <v>0</v>
      </c>
      <c r="AC10" s="140">
        <v>780.0</v>
      </c>
      <c r="AD10" s="141" t="b">
        <v>0</v>
      </c>
      <c r="AE10" s="115" t="str">
        <f t="shared" si="7"/>
        <v/>
      </c>
      <c r="AF10" s="116" t="b">
        <f t="shared" si="8"/>
        <v>0</v>
      </c>
      <c r="AG10" s="105" t="b">
        <f t="shared" si="9"/>
        <v>0</v>
      </c>
      <c r="AH10" s="140"/>
      <c r="AI10" s="140"/>
      <c r="AJ10" s="140"/>
      <c r="AK10" s="117" t="str">
        <f t="shared" si="10"/>
        <v>Negative</v>
      </c>
      <c r="AL10" s="142"/>
      <c r="AM10" s="112" t="s">
        <v>261</v>
      </c>
      <c r="AN10" s="112" t="s">
        <v>266</v>
      </c>
      <c r="AO10" s="112" t="str">
        <f>IFERROR(__xludf.DUMMYFUNCTION("IF($AG10, ""DELETED"",TRIM(JOIN("" "",D10:E10)))"),"")</f>
        <v/>
      </c>
      <c r="AP10" s="112" t="str">
        <f t="shared" ref="AP10:AQ10" si="35">IF($AG10, "DELETED", TRIM(CONCATENATE(F10,I10,U10)))</f>
        <v/>
      </c>
      <c r="AQ10" s="112" t="str">
        <f t="shared" si="35"/>
        <v/>
      </c>
      <c r="AR10" s="112" t="str">
        <f>IFERROR(__xludf.DUMMYFUNCTION("IF($AG10, ""DELETED"", TRIM(JOIN("" "",AP10,AQ10)))"),"")</f>
        <v/>
      </c>
      <c r="AS10" s="118"/>
      <c r="AT10" s="110" t="b">
        <f t="shared" si="12"/>
        <v>0</v>
      </c>
      <c r="AU10" s="110" t="str">
        <f t="shared" si="13"/>
        <v/>
      </c>
      <c r="AV10" s="110" t="str">
        <f t="shared" si="14"/>
        <v/>
      </c>
      <c r="AW10" s="110" t="str">
        <f t="shared" si="15"/>
        <v/>
      </c>
      <c r="AX10" s="119" t="str">
        <f t="shared" si="16"/>
        <v/>
      </c>
      <c r="AY10" s="120"/>
      <c r="AZ10" s="121"/>
      <c r="BA10" s="122" t="str">
        <f t="shared" si="17"/>
        <v/>
      </c>
      <c r="BB10" s="34"/>
      <c r="BC10" s="121"/>
      <c r="BD10" s="136"/>
      <c r="BE10" s="125" t="str">
        <f t="shared" si="18"/>
        <v/>
      </c>
      <c r="BF10" s="126" t="str">
        <f t="shared" si="19"/>
        <v>MAX79__44540_0.300543981481482</v>
      </c>
      <c r="BG10" s="127" t="str">
        <f t="shared" si="20"/>
        <v/>
      </c>
      <c r="BH10" s="137" t="s">
        <v>267</v>
      </c>
      <c r="BI10" s="128" t="str">
        <f t="shared" si="21"/>
        <v>FM106</v>
      </c>
      <c r="BJ10" s="129" t="b">
        <f t="shared" si="22"/>
        <v>0</v>
      </c>
      <c r="BK10" s="128" t="str">
        <f t="shared" si="23"/>
        <v/>
      </c>
      <c r="BL10" s="121"/>
      <c r="BM10" s="5" t="str">
        <f t="shared" si="24"/>
        <v>MISSING</v>
      </c>
      <c r="BN10" s="120" t="b">
        <f t="shared" si="25"/>
        <v>0</v>
      </c>
      <c r="BO10" s="131" t="b">
        <f t="shared" si="26"/>
        <v>1</v>
      </c>
      <c r="BP10" s="121"/>
      <c r="BQ10" s="132" t="str">
        <f>VLOOKUP(A10,RAW_APS!A$3:O826,15,FALSE)</f>
        <v/>
      </c>
      <c r="BR10" s="120" t="b">
        <f t="shared" si="27"/>
        <v>1</v>
      </c>
      <c r="BS10" s="121"/>
      <c r="BT10" s="138" t="s">
        <v>244</v>
      </c>
      <c r="BU10" s="10" t="b">
        <f t="shared" si="28"/>
        <v>1</v>
      </c>
      <c r="BV10" s="120"/>
      <c r="BW10" s="120"/>
      <c r="BX10" s="120"/>
      <c r="BY10" s="120"/>
      <c r="BZ10" s="120"/>
      <c r="CA10" s="120"/>
      <c r="CB10" s="120"/>
      <c r="CC10" s="120"/>
    </row>
    <row r="11">
      <c r="A11" s="2" t="s">
        <v>268</v>
      </c>
      <c r="B11" s="100">
        <v>44540.0</v>
      </c>
      <c r="C11" s="101">
        <v>0.30105324074074075</v>
      </c>
      <c r="D11" s="102"/>
      <c r="E11" s="102"/>
      <c r="F11" s="102"/>
      <c r="G11" s="102"/>
      <c r="H11" s="102"/>
      <c r="I11" s="103"/>
      <c r="J11" s="103"/>
      <c r="K11" s="2" t="s">
        <v>244</v>
      </c>
      <c r="L11" s="100">
        <v>44543.0</v>
      </c>
      <c r="M11" s="101">
        <v>0.7857291666666667</v>
      </c>
      <c r="P11" s="104" t="b">
        <f>IFNA(IF(VLOOKUP($A11,'Add from APT'!$AA$2:$AC826,3,FALSE)&gt;0,TRUE,FALSE),"ER - NOT IN APT")</f>
        <v>0</v>
      </c>
      <c r="Q11" s="105" t="str">
        <f>IF(ISLOGICAL(P11),IF(P11,"ER - REPS IN APT", IFNA(VLOOKUP($A11,RAW_APT!$A$3:$M826,7,FALSE),"ER - NOT IN APT")),P11)</f>
        <v>Result</v>
      </c>
      <c r="R11" s="106" t="b">
        <f t="shared" si="2"/>
        <v>1</v>
      </c>
      <c r="S11" s="107">
        <f t="shared" si="3"/>
        <v>1</v>
      </c>
      <c r="T11" s="143"/>
      <c r="U11" s="142"/>
      <c r="V11" s="142"/>
      <c r="W11" s="142"/>
      <c r="X11" s="110" t="b">
        <f t="shared" si="4"/>
        <v>0</v>
      </c>
      <c r="Y11" s="111" t="b">
        <v>0</v>
      </c>
      <c r="Z11" s="104" t="str">
        <f t="shared" si="5"/>
        <v/>
      </c>
      <c r="AA11" s="112" t="b">
        <f t="shared" si="6"/>
        <v>0</v>
      </c>
      <c r="AB11" s="142" t="b">
        <v>0</v>
      </c>
      <c r="AC11" s="140">
        <v>778.0</v>
      </c>
      <c r="AD11" s="141" t="b">
        <v>0</v>
      </c>
      <c r="AE11" s="115" t="str">
        <f t="shared" si="7"/>
        <v/>
      </c>
      <c r="AF11" s="116" t="b">
        <f t="shared" si="8"/>
        <v>0</v>
      </c>
      <c r="AG11" s="105" t="b">
        <f t="shared" si="9"/>
        <v>0</v>
      </c>
      <c r="AH11" s="140"/>
      <c r="AI11" s="140"/>
      <c r="AJ11" s="140"/>
      <c r="AK11" s="117" t="str">
        <f t="shared" si="10"/>
        <v>Negative</v>
      </c>
      <c r="AL11" s="142"/>
      <c r="AM11" s="112" t="s">
        <v>269</v>
      </c>
      <c r="AN11" s="112" t="s">
        <v>270</v>
      </c>
      <c r="AO11" s="112" t="str">
        <f>IFERROR(__xludf.DUMMYFUNCTION("IF($AG11, ""DELETED"",TRIM(JOIN("" "",D11:E11)))"),"")</f>
        <v/>
      </c>
      <c r="AP11" s="112" t="str">
        <f t="shared" ref="AP11:AQ11" si="36">IF($AG11, "DELETED", TRIM(CONCATENATE(F11,I11,U11)))</f>
        <v/>
      </c>
      <c r="AQ11" s="112" t="str">
        <f t="shared" si="36"/>
        <v/>
      </c>
      <c r="AR11" s="112" t="str">
        <f>IFERROR(__xludf.DUMMYFUNCTION("IF($AG11, ""DELETED"", TRIM(JOIN("" "",AP11,AQ11)))"),"")</f>
        <v/>
      </c>
      <c r="AS11" s="118"/>
      <c r="AT11" s="110" t="b">
        <f t="shared" si="12"/>
        <v>0</v>
      </c>
      <c r="AU11" s="110" t="str">
        <f t="shared" si="13"/>
        <v/>
      </c>
      <c r="AV11" s="110" t="str">
        <f t="shared" si="14"/>
        <v/>
      </c>
      <c r="AW11" s="110" t="str">
        <f t="shared" si="15"/>
        <v/>
      </c>
      <c r="AX11" s="119" t="str">
        <f t="shared" si="16"/>
        <v/>
      </c>
      <c r="AY11" s="120"/>
      <c r="AZ11" s="121"/>
      <c r="BA11" s="122" t="str">
        <f t="shared" si="17"/>
        <v/>
      </c>
      <c r="BB11" s="34"/>
      <c r="BC11" s="121"/>
      <c r="BD11" s="136"/>
      <c r="BE11" s="125" t="str">
        <f t="shared" si="18"/>
        <v/>
      </c>
      <c r="BF11" s="126" t="str">
        <f t="shared" si="19"/>
        <v>MAX64__44540_0.301053240740741</v>
      </c>
      <c r="BG11" s="127" t="str">
        <f t="shared" si="20"/>
        <v/>
      </c>
      <c r="BH11" s="137" t="s">
        <v>271</v>
      </c>
      <c r="BI11" s="128" t="str">
        <f t="shared" si="21"/>
        <v>FM109</v>
      </c>
      <c r="BJ11" s="129" t="b">
        <f t="shared" si="22"/>
        <v>0</v>
      </c>
      <c r="BK11" s="128" t="str">
        <f t="shared" si="23"/>
        <v/>
      </c>
      <c r="BL11" s="121"/>
      <c r="BM11" s="5" t="str">
        <f t="shared" si="24"/>
        <v>MISSING</v>
      </c>
      <c r="BN11" s="120" t="b">
        <f t="shared" si="25"/>
        <v>0</v>
      </c>
      <c r="BO11" s="131" t="b">
        <f t="shared" si="26"/>
        <v>1</v>
      </c>
      <c r="BP11" s="121"/>
      <c r="BQ11" s="132" t="str">
        <f>VLOOKUP(A11,RAW_APS!A$3:O826,15,FALSE)</f>
        <v/>
      </c>
      <c r="BR11" s="120" t="b">
        <f t="shared" si="27"/>
        <v>1</v>
      </c>
      <c r="BS11" s="121"/>
      <c r="BT11" s="138" t="s">
        <v>244</v>
      </c>
      <c r="BU11" s="10" t="b">
        <f t="shared" si="28"/>
        <v>1</v>
      </c>
      <c r="BV11" s="120"/>
      <c r="BW11" s="120"/>
      <c r="BX11" s="120"/>
      <c r="BY11" s="120"/>
      <c r="BZ11" s="120"/>
      <c r="CA11" s="120"/>
      <c r="CB11" s="120"/>
      <c r="CC11" s="120"/>
    </row>
    <row r="12">
      <c r="A12" s="2" t="s">
        <v>272</v>
      </c>
      <c r="B12" s="100">
        <v>44540.0</v>
      </c>
      <c r="C12" s="101">
        <v>0.3112847222222222</v>
      </c>
      <c r="D12" s="102"/>
      <c r="E12" s="102"/>
      <c r="F12" s="102"/>
      <c r="G12" s="102"/>
      <c r="H12" s="102"/>
      <c r="I12" s="103"/>
      <c r="J12" s="103"/>
      <c r="K12" s="2" t="s">
        <v>244</v>
      </c>
      <c r="L12" s="100">
        <v>44543.0</v>
      </c>
      <c r="M12" s="101">
        <v>0.7857291666666667</v>
      </c>
      <c r="P12" s="104" t="b">
        <f>IFNA(IF(VLOOKUP($A12,'Add from APT'!$AA$2:$AC826,3,FALSE)&gt;0,TRUE,FALSE),"ER - NOT IN APT")</f>
        <v>0</v>
      </c>
      <c r="Q12" s="105" t="str">
        <f>IF(ISLOGICAL(P12),IF(P12,"ER - REPS IN APT", IFNA(VLOOKUP($A12,RAW_APT!$A$3:$M826,7,FALSE),"ER - NOT IN APT")),P12)</f>
        <v>Result</v>
      </c>
      <c r="R12" s="106" t="b">
        <f t="shared" si="2"/>
        <v>1</v>
      </c>
      <c r="S12" s="107">
        <f t="shared" si="3"/>
        <v>1</v>
      </c>
      <c r="T12" s="143"/>
      <c r="U12" s="142"/>
      <c r="V12" s="142"/>
      <c r="W12" s="142"/>
      <c r="X12" s="110" t="b">
        <f t="shared" si="4"/>
        <v>0</v>
      </c>
      <c r="Y12" s="111" t="b">
        <v>0</v>
      </c>
      <c r="Z12" s="104" t="str">
        <f t="shared" si="5"/>
        <v/>
      </c>
      <c r="AA12" s="112" t="b">
        <f t="shared" si="6"/>
        <v>0</v>
      </c>
      <c r="AB12" s="142" t="b">
        <v>0</v>
      </c>
      <c r="AC12" s="140">
        <v>777.0</v>
      </c>
      <c r="AD12" s="141" t="b">
        <v>0</v>
      </c>
      <c r="AE12" s="115" t="str">
        <f t="shared" si="7"/>
        <v/>
      </c>
      <c r="AF12" s="116" t="b">
        <f t="shared" si="8"/>
        <v>0</v>
      </c>
      <c r="AG12" s="105" t="b">
        <f t="shared" si="9"/>
        <v>0</v>
      </c>
      <c r="AH12" s="140"/>
      <c r="AI12" s="140"/>
      <c r="AJ12" s="140"/>
      <c r="AK12" s="117" t="str">
        <f t="shared" si="10"/>
        <v>Negative</v>
      </c>
      <c r="AL12" s="142"/>
      <c r="AM12" s="112" t="s">
        <v>273</v>
      </c>
      <c r="AN12" s="112" t="s">
        <v>274</v>
      </c>
      <c r="AO12" s="112" t="str">
        <f>IFERROR(__xludf.DUMMYFUNCTION("IF($AG12, ""DELETED"",TRIM(JOIN("" "",D12:E12)))"),"")</f>
        <v/>
      </c>
      <c r="AP12" s="112" t="str">
        <f t="shared" ref="AP12:AQ12" si="37">IF($AG12, "DELETED", TRIM(CONCATENATE(F12,I12,U12)))</f>
        <v/>
      </c>
      <c r="AQ12" s="112" t="str">
        <f t="shared" si="37"/>
        <v/>
      </c>
      <c r="AR12" s="112" t="str">
        <f>IFERROR(__xludf.DUMMYFUNCTION("IF($AG12, ""DELETED"", TRIM(JOIN("" "",AP12,AQ12)))"),"")</f>
        <v/>
      </c>
      <c r="AS12" s="118"/>
      <c r="AT12" s="110" t="b">
        <f t="shared" si="12"/>
        <v>0</v>
      </c>
      <c r="AU12" s="110" t="str">
        <f t="shared" si="13"/>
        <v/>
      </c>
      <c r="AV12" s="110" t="str">
        <f t="shared" si="14"/>
        <v/>
      </c>
      <c r="AW12" s="110" t="str">
        <f t="shared" si="15"/>
        <v/>
      </c>
      <c r="AX12" s="119" t="str">
        <f t="shared" si="16"/>
        <v/>
      </c>
      <c r="AY12" s="120"/>
      <c r="AZ12" s="121"/>
      <c r="BA12" s="122" t="str">
        <f t="shared" si="17"/>
        <v/>
      </c>
      <c r="BB12" s="34"/>
      <c r="BC12" s="121"/>
      <c r="BD12" s="136"/>
      <c r="BE12" s="125" t="str">
        <f t="shared" si="18"/>
        <v/>
      </c>
      <c r="BF12" s="126" t="str">
        <f t="shared" si="19"/>
        <v>MA1025__44540_0.311284722222222</v>
      </c>
      <c r="BG12" s="127" t="str">
        <f t="shared" si="20"/>
        <v/>
      </c>
      <c r="BH12" s="137" t="s">
        <v>275</v>
      </c>
      <c r="BI12" s="128" t="str">
        <f t="shared" si="21"/>
        <v>FM11</v>
      </c>
      <c r="BJ12" s="129" t="b">
        <f t="shared" si="22"/>
        <v>0</v>
      </c>
      <c r="BK12" s="128" t="str">
        <f t="shared" si="23"/>
        <v/>
      </c>
      <c r="BL12" s="121"/>
      <c r="BM12" s="5" t="str">
        <f t="shared" si="24"/>
        <v>MISSING</v>
      </c>
      <c r="BN12" s="120" t="b">
        <f t="shared" si="25"/>
        <v>0</v>
      </c>
      <c r="BO12" s="131" t="b">
        <f t="shared" si="26"/>
        <v>1</v>
      </c>
      <c r="BP12" s="121"/>
      <c r="BQ12" s="132" t="str">
        <f>VLOOKUP(A12,RAW_APS!A$3:O826,15,FALSE)</f>
        <v/>
      </c>
      <c r="BR12" s="120" t="b">
        <f t="shared" si="27"/>
        <v>1</v>
      </c>
      <c r="BS12" s="121"/>
      <c r="BT12" s="138" t="s">
        <v>244</v>
      </c>
      <c r="BU12" s="10" t="b">
        <f t="shared" si="28"/>
        <v>1</v>
      </c>
      <c r="BV12" s="120"/>
      <c r="BW12" s="120"/>
      <c r="BX12" s="120"/>
      <c r="BY12" s="120"/>
      <c r="BZ12" s="120"/>
      <c r="CA12" s="120"/>
      <c r="CB12" s="120"/>
      <c r="CC12" s="120"/>
    </row>
    <row r="13">
      <c r="A13" s="2" t="s">
        <v>276</v>
      </c>
      <c r="B13" s="100">
        <v>44540.0</v>
      </c>
      <c r="C13" s="101">
        <v>0.37903935185185184</v>
      </c>
      <c r="D13" s="102"/>
      <c r="E13" s="102"/>
      <c r="F13" s="102"/>
      <c r="G13" s="102"/>
      <c r="H13" s="102"/>
      <c r="I13" s="103"/>
      <c r="J13" s="103"/>
      <c r="K13" s="2" t="s">
        <v>254</v>
      </c>
      <c r="L13" s="11"/>
      <c r="M13" s="11"/>
      <c r="N13" s="11"/>
      <c r="O13" s="11"/>
      <c r="P13" s="104" t="b">
        <f>IFNA(IF(VLOOKUP($A13,'Add from APT'!$AA$2:$AC826,3,FALSE)&gt;0,TRUE,FALSE),"ER - NOT IN APT")</f>
        <v>0</v>
      </c>
      <c r="Q13" s="105" t="str">
        <f>IF(ISLOGICAL(P13),IF(P13,"ER - REPS IN APT", IFNA(VLOOKUP($A13,RAW_APT!$A$3:$M826,7,FALSE),"ER - NOT IN APT")),P13)</f>
        <v>Collected</v>
      </c>
      <c r="R13" s="106" t="b">
        <f t="shared" si="2"/>
        <v>1</v>
      </c>
      <c r="S13" s="107">
        <f t="shared" si="3"/>
        <v>1</v>
      </c>
      <c r="T13" s="108"/>
      <c r="U13" s="109"/>
      <c r="V13" s="109"/>
      <c r="W13" s="109"/>
      <c r="X13" s="110" t="b">
        <f t="shared" si="4"/>
        <v>0</v>
      </c>
      <c r="Y13" s="111" t="b">
        <v>0</v>
      </c>
      <c r="Z13" s="104" t="str">
        <f t="shared" si="5"/>
        <v/>
      </c>
      <c r="AA13" s="112" t="b">
        <f t="shared" si="6"/>
        <v>0</v>
      </c>
      <c r="AB13" s="109" t="b">
        <v>0</v>
      </c>
      <c r="AC13" s="113">
        <v>776.0</v>
      </c>
      <c r="AD13" s="114" t="b">
        <v>0</v>
      </c>
      <c r="AE13" s="115" t="str">
        <f t="shared" si="7"/>
        <v/>
      </c>
      <c r="AF13" s="116" t="b">
        <f t="shared" si="8"/>
        <v>0</v>
      </c>
      <c r="AG13" s="105" t="b">
        <f t="shared" si="9"/>
        <v>1</v>
      </c>
      <c r="AH13" s="113">
        <v>2.0</v>
      </c>
      <c r="AI13" s="113"/>
      <c r="AJ13" s="113"/>
      <c r="AK13" s="117" t="str">
        <f t="shared" si="10"/>
        <v>DELETED</v>
      </c>
      <c r="AL13" s="109"/>
      <c r="AM13" s="112" t="s">
        <v>245</v>
      </c>
      <c r="AN13" s="112" t="s">
        <v>245</v>
      </c>
      <c r="AO13" s="112" t="str">
        <f>IFERROR(__xludf.DUMMYFUNCTION("IF($AG13, ""DELETED"",TRIM(JOIN("" "",D13:E13)))"),"DELETED")</f>
        <v>DELETED</v>
      </c>
      <c r="AP13" s="112" t="str">
        <f t="shared" ref="AP13:AQ13" si="38">IF($AG13, "DELETED", TRIM(CONCATENATE(F13,I13,U13)))</f>
        <v>DELETED</v>
      </c>
      <c r="AQ13" s="112" t="str">
        <f t="shared" si="38"/>
        <v>DELETED</v>
      </c>
      <c r="AR13" s="112" t="str">
        <f>IFERROR(__xludf.DUMMYFUNCTION("IF($AG13, ""DELETED"", TRIM(JOIN("" "",AP13,AQ13)))"),"DELETED")</f>
        <v>DELETED</v>
      </c>
      <c r="AS13" s="118"/>
      <c r="AT13" s="110" t="b">
        <f t="shared" si="12"/>
        <v>1</v>
      </c>
      <c r="AU13" s="110" t="str">
        <f t="shared" si="13"/>
        <v/>
      </c>
      <c r="AV13" s="110" t="str">
        <f t="shared" si="14"/>
        <v/>
      </c>
      <c r="AW13" s="110" t="str">
        <f t="shared" si="15"/>
        <v/>
      </c>
      <c r="AX13" s="119" t="str">
        <f t="shared" si="16"/>
        <v/>
      </c>
      <c r="AY13" s="120"/>
      <c r="AZ13" s="121"/>
      <c r="BA13" s="122" t="b">
        <f t="shared" si="17"/>
        <v>1</v>
      </c>
      <c r="BB13" s="34"/>
      <c r="BC13" s="121"/>
      <c r="BD13" s="136"/>
      <c r="BE13" s="125" t="str">
        <f t="shared" si="18"/>
        <v/>
      </c>
      <c r="BF13" s="126" t="str">
        <f t="shared" si="19"/>
        <v>Test2__44540_0.379039351851852</v>
      </c>
      <c r="BG13" s="127" t="str">
        <f t="shared" si="20"/>
        <v/>
      </c>
      <c r="BH13" s="137" t="s">
        <v>277</v>
      </c>
      <c r="BI13" s="128" t="str">
        <f t="shared" si="21"/>
        <v>FM113</v>
      </c>
      <c r="BJ13" s="129" t="b">
        <f t="shared" si="22"/>
        <v>0</v>
      </c>
      <c r="BK13" s="128" t="str">
        <f t="shared" si="23"/>
        <v/>
      </c>
      <c r="BL13" s="121"/>
      <c r="BM13" s="5" t="str">
        <f t="shared" si="24"/>
        <v/>
      </c>
      <c r="BN13" s="120" t="b">
        <f t="shared" si="25"/>
        <v>0</v>
      </c>
      <c r="BO13" s="131" t="b">
        <f t="shared" si="26"/>
        <v>0</v>
      </c>
      <c r="BP13" s="121"/>
      <c r="BQ13" s="132" t="str">
        <f>VLOOKUP(A13,RAW_APS!A$3:O826,15,FALSE)</f>
        <v/>
      </c>
      <c r="BR13" s="120" t="b">
        <f t="shared" si="27"/>
        <v>1</v>
      </c>
      <c r="BS13" s="121"/>
      <c r="BT13" s="138" t="s">
        <v>245</v>
      </c>
      <c r="BU13" s="10" t="b">
        <f t="shared" si="28"/>
        <v>1</v>
      </c>
      <c r="BV13" s="120"/>
      <c r="BW13" s="120"/>
      <c r="BX13" s="120"/>
      <c r="BY13" s="120"/>
      <c r="BZ13" s="120"/>
      <c r="CA13" s="120"/>
      <c r="CB13" s="120"/>
      <c r="CC13" s="120"/>
    </row>
    <row r="14">
      <c r="A14" s="2" t="s">
        <v>278</v>
      </c>
      <c r="B14" s="100">
        <v>44540.0</v>
      </c>
      <c r="C14" s="101">
        <v>0.37935185185185183</v>
      </c>
      <c r="D14" s="102"/>
      <c r="E14" s="102"/>
      <c r="F14" s="102"/>
      <c r="G14" s="102"/>
      <c r="H14" s="102"/>
      <c r="I14" s="103"/>
      <c r="J14" s="103"/>
      <c r="K14" s="2" t="s">
        <v>254</v>
      </c>
      <c r="L14" s="11"/>
      <c r="M14" s="11"/>
      <c r="N14" s="11"/>
      <c r="O14" s="11"/>
      <c r="P14" s="104" t="b">
        <f>IFNA(IF(VLOOKUP($A14,'Add from APT'!$AA$2:$AC826,3,FALSE)&gt;0,TRUE,FALSE),"ER - NOT IN APT")</f>
        <v>0</v>
      </c>
      <c r="Q14" s="105" t="str">
        <f>IF(ISLOGICAL(P14),IF(P14,"ER - REPS IN APT", IFNA(VLOOKUP($A14,RAW_APT!$A$3:$M826,7,FALSE),"ER - NOT IN APT")),P14)</f>
        <v>Collected</v>
      </c>
      <c r="R14" s="106" t="b">
        <f t="shared" si="2"/>
        <v>1</v>
      </c>
      <c r="S14" s="107">
        <f t="shared" si="3"/>
        <v>1</v>
      </c>
      <c r="T14" s="108"/>
      <c r="U14" s="109"/>
      <c r="V14" s="109"/>
      <c r="W14" s="109"/>
      <c r="X14" s="110" t="b">
        <f t="shared" si="4"/>
        <v>0</v>
      </c>
      <c r="Y14" s="111" t="b">
        <v>0</v>
      </c>
      <c r="Z14" s="104" t="str">
        <f t="shared" si="5"/>
        <v/>
      </c>
      <c r="AA14" s="112" t="b">
        <f t="shared" si="6"/>
        <v>0</v>
      </c>
      <c r="AB14" s="109" t="b">
        <v>0</v>
      </c>
      <c r="AC14" s="113">
        <v>775.0</v>
      </c>
      <c r="AD14" s="114" t="b">
        <v>0</v>
      </c>
      <c r="AE14" s="115" t="str">
        <f t="shared" si="7"/>
        <v/>
      </c>
      <c r="AF14" s="116" t="b">
        <f t="shared" si="8"/>
        <v>0</v>
      </c>
      <c r="AG14" s="105" t="b">
        <f t="shared" si="9"/>
        <v>1</v>
      </c>
      <c r="AH14" s="113">
        <v>2.0</v>
      </c>
      <c r="AI14" s="113"/>
      <c r="AJ14" s="113"/>
      <c r="AK14" s="117" t="str">
        <f t="shared" si="10"/>
        <v>DELETED</v>
      </c>
      <c r="AL14" s="109"/>
      <c r="AM14" s="112" t="s">
        <v>245</v>
      </c>
      <c r="AN14" s="112" t="s">
        <v>245</v>
      </c>
      <c r="AO14" s="112" t="str">
        <f>IFERROR(__xludf.DUMMYFUNCTION("IF($AG14, ""DELETED"",TRIM(JOIN("" "",D14:E14)))"),"DELETED")</f>
        <v>DELETED</v>
      </c>
      <c r="AP14" s="112" t="str">
        <f t="shared" ref="AP14:AQ14" si="39">IF($AG14, "DELETED", TRIM(CONCATENATE(F14,I14,U14)))</f>
        <v>DELETED</v>
      </c>
      <c r="AQ14" s="112" t="str">
        <f t="shared" si="39"/>
        <v>DELETED</v>
      </c>
      <c r="AR14" s="112" t="str">
        <f>IFERROR(__xludf.DUMMYFUNCTION("IF($AG14, ""DELETED"", TRIM(JOIN("" "",AP14,AQ14)))"),"DELETED")</f>
        <v>DELETED</v>
      </c>
      <c r="AS14" s="118"/>
      <c r="AT14" s="110" t="b">
        <f t="shared" si="12"/>
        <v>1</v>
      </c>
      <c r="AU14" s="110" t="str">
        <f t="shared" si="13"/>
        <v/>
      </c>
      <c r="AV14" s="110" t="str">
        <f t="shared" si="14"/>
        <v/>
      </c>
      <c r="AW14" s="110" t="str">
        <f t="shared" si="15"/>
        <v/>
      </c>
      <c r="AX14" s="119" t="str">
        <f t="shared" si="16"/>
        <v/>
      </c>
      <c r="AY14" s="120"/>
      <c r="AZ14" s="121"/>
      <c r="BA14" s="122" t="b">
        <f t="shared" si="17"/>
        <v>1</v>
      </c>
      <c r="BB14" s="34"/>
      <c r="BC14" s="121"/>
      <c r="BD14" s="136"/>
      <c r="BE14" s="125" t="str">
        <f t="shared" si="18"/>
        <v/>
      </c>
      <c r="BF14" s="126" t="str">
        <f t="shared" si="19"/>
        <v>Test3__44540_0.379351851851852</v>
      </c>
      <c r="BG14" s="127" t="str">
        <f t="shared" si="20"/>
        <v/>
      </c>
      <c r="BH14" s="137" t="s">
        <v>279</v>
      </c>
      <c r="BI14" s="128" t="str">
        <f t="shared" si="21"/>
        <v>FM114</v>
      </c>
      <c r="BJ14" s="129" t="b">
        <f t="shared" si="22"/>
        <v>0</v>
      </c>
      <c r="BK14" s="128" t="str">
        <f t="shared" si="23"/>
        <v/>
      </c>
      <c r="BL14" s="121"/>
      <c r="BM14" s="5" t="str">
        <f t="shared" si="24"/>
        <v/>
      </c>
      <c r="BN14" s="120" t="b">
        <f t="shared" si="25"/>
        <v>0</v>
      </c>
      <c r="BO14" s="131" t="b">
        <f t="shared" si="26"/>
        <v>0</v>
      </c>
      <c r="BP14" s="121"/>
      <c r="BQ14" s="132" t="str">
        <f>VLOOKUP(A14,RAW_APS!A$3:O826,15,FALSE)</f>
        <v/>
      </c>
      <c r="BR14" s="120" t="b">
        <f t="shared" si="27"/>
        <v>1</v>
      </c>
      <c r="BS14" s="121"/>
      <c r="BT14" s="138" t="s">
        <v>245</v>
      </c>
      <c r="BU14" s="10" t="b">
        <f t="shared" si="28"/>
        <v>1</v>
      </c>
      <c r="BV14" s="120"/>
      <c r="BW14" s="120"/>
      <c r="BX14" s="120"/>
      <c r="BY14" s="120"/>
      <c r="BZ14" s="120"/>
      <c r="CA14" s="120"/>
      <c r="CB14" s="120"/>
      <c r="CC14" s="120"/>
    </row>
    <row r="15">
      <c r="A15" s="2" t="s">
        <v>280</v>
      </c>
      <c r="B15" s="100">
        <v>44540.0</v>
      </c>
      <c r="C15" s="101">
        <v>0.3798726851851852</v>
      </c>
      <c r="D15" s="102"/>
      <c r="E15" s="102"/>
      <c r="F15" s="102"/>
      <c r="G15" s="102"/>
      <c r="H15" s="102"/>
      <c r="I15" s="103"/>
      <c r="J15" s="103"/>
      <c r="K15" s="2" t="s">
        <v>254</v>
      </c>
      <c r="L15" s="11"/>
      <c r="M15" s="11"/>
      <c r="N15" s="11"/>
      <c r="O15" s="11"/>
      <c r="P15" s="104" t="b">
        <f>IFNA(IF(VLOOKUP($A15,'Add from APT'!$AA$2:$AC826,3,FALSE)&gt;0,TRUE,FALSE),"ER - NOT IN APT")</f>
        <v>0</v>
      </c>
      <c r="Q15" s="105" t="str">
        <f>IF(ISLOGICAL(P15),IF(P15,"ER - REPS IN APT", IFNA(VLOOKUP($A15,RAW_APT!$A$3:$M826,7,FALSE),"ER - NOT IN APT")),P15)</f>
        <v>Collected</v>
      </c>
      <c r="R15" s="106" t="b">
        <f t="shared" si="2"/>
        <v>1</v>
      </c>
      <c r="S15" s="107">
        <f t="shared" si="3"/>
        <v>1</v>
      </c>
      <c r="T15" s="108"/>
      <c r="U15" s="109"/>
      <c r="V15" s="109"/>
      <c r="W15" s="109"/>
      <c r="X15" s="110" t="b">
        <f t="shared" si="4"/>
        <v>0</v>
      </c>
      <c r="Y15" s="111" t="b">
        <v>0</v>
      </c>
      <c r="Z15" s="104" t="str">
        <f t="shared" si="5"/>
        <v/>
      </c>
      <c r="AA15" s="112" t="b">
        <f t="shared" si="6"/>
        <v>0</v>
      </c>
      <c r="AB15" s="109" t="b">
        <v>0</v>
      </c>
      <c r="AC15" s="113">
        <v>774.0</v>
      </c>
      <c r="AD15" s="114" t="b">
        <v>0</v>
      </c>
      <c r="AE15" s="115" t="str">
        <f t="shared" si="7"/>
        <v/>
      </c>
      <c r="AF15" s="116" t="b">
        <f t="shared" si="8"/>
        <v>0</v>
      </c>
      <c r="AG15" s="105" t="b">
        <f t="shared" si="9"/>
        <v>1</v>
      </c>
      <c r="AH15" s="113">
        <v>2.0</v>
      </c>
      <c r="AI15" s="113"/>
      <c r="AJ15" s="113"/>
      <c r="AK15" s="117" t="str">
        <f t="shared" si="10"/>
        <v>DELETED</v>
      </c>
      <c r="AL15" s="109"/>
      <c r="AM15" s="112" t="s">
        <v>245</v>
      </c>
      <c r="AN15" s="112" t="s">
        <v>245</v>
      </c>
      <c r="AO15" s="112" t="str">
        <f>IFERROR(__xludf.DUMMYFUNCTION("IF($AG15, ""DELETED"",TRIM(JOIN("" "",D15:E15)))"),"DELETED")</f>
        <v>DELETED</v>
      </c>
      <c r="AP15" s="112" t="str">
        <f t="shared" ref="AP15:AQ15" si="40">IF($AG15, "DELETED", TRIM(CONCATENATE(F15,I15,U15)))</f>
        <v>DELETED</v>
      </c>
      <c r="AQ15" s="112" t="str">
        <f t="shared" si="40"/>
        <v>DELETED</v>
      </c>
      <c r="AR15" s="112" t="str">
        <f>IFERROR(__xludf.DUMMYFUNCTION("IF($AG15, ""DELETED"", TRIM(JOIN("" "",AP15,AQ15)))"),"DELETED")</f>
        <v>DELETED</v>
      </c>
      <c r="AS15" s="118"/>
      <c r="AT15" s="110" t="b">
        <f t="shared" si="12"/>
        <v>1</v>
      </c>
      <c r="AU15" s="110" t="str">
        <f t="shared" si="13"/>
        <v/>
      </c>
      <c r="AV15" s="110" t="str">
        <f t="shared" si="14"/>
        <v/>
      </c>
      <c r="AW15" s="110" t="str">
        <f t="shared" si="15"/>
        <v/>
      </c>
      <c r="AX15" s="119" t="str">
        <f t="shared" si="16"/>
        <v/>
      </c>
      <c r="AY15" s="120"/>
      <c r="AZ15" s="121"/>
      <c r="BA15" s="122" t="b">
        <f t="shared" si="17"/>
        <v>1</v>
      </c>
      <c r="BB15" s="34"/>
      <c r="BC15" s="121"/>
      <c r="BD15" s="136"/>
      <c r="BE15" s="125" t="str">
        <f t="shared" si="18"/>
        <v/>
      </c>
      <c r="BF15" s="126" t="str">
        <f t="shared" si="19"/>
        <v>Test4__44540_0.379872685185185</v>
      </c>
      <c r="BG15" s="127" t="str">
        <f t="shared" si="20"/>
        <v/>
      </c>
      <c r="BH15" s="137" t="s">
        <v>281</v>
      </c>
      <c r="BI15" s="128" t="str">
        <f t="shared" si="21"/>
        <v>FM117</v>
      </c>
      <c r="BJ15" s="129" t="b">
        <f t="shared" si="22"/>
        <v>0</v>
      </c>
      <c r="BK15" s="128" t="str">
        <f t="shared" si="23"/>
        <v/>
      </c>
      <c r="BL15" s="121"/>
      <c r="BM15" s="5" t="str">
        <f t="shared" si="24"/>
        <v/>
      </c>
      <c r="BN15" s="120" t="b">
        <f t="shared" si="25"/>
        <v>0</v>
      </c>
      <c r="BO15" s="131" t="b">
        <f t="shared" si="26"/>
        <v>0</v>
      </c>
      <c r="BP15" s="121"/>
      <c r="BQ15" s="132" t="str">
        <f>VLOOKUP(A15,RAW_APS!A$3:O826,15,FALSE)</f>
        <v/>
      </c>
      <c r="BR15" s="120" t="b">
        <f t="shared" si="27"/>
        <v>1</v>
      </c>
      <c r="BS15" s="121"/>
      <c r="BT15" s="138" t="s">
        <v>245</v>
      </c>
      <c r="BU15" s="10" t="b">
        <f t="shared" si="28"/>
        <v>1</v>
      </c>
      <c r="BV15" s="120"/>
      <c r="BW15" s="120"/>
      <c r="BX15" s="120"/>
      <c r="BY15" s="120"/>
      <c r="BZ15" s="120"/>
      <c r="CA15" s="120"/>
      <c r="CB15" s="120"/>
      <c r="CC15" s="120"/>
    </row>
    <row r="16">
      <c r="A16" s="2" t="s">
        <v>282</v>
      </c>
      <c r="B16" s="100">
        <v>44540.0</v>
      </c>
      <c r="C16" s="101">
        <v>0.38046296296296295</v>
      </c>
      <c r="D16" s="102"/>
      <c r="E16" s="102"/>
      <c r="F16" s="102"/>
      <c r="G16" s="102"/>
      <c r="H16" s="102"/>
      <c r="I16" s="103"/>
      <c r="J16" s="103"/>
      <c r="K16" s="2" t="s">
        <v>254</v>
      </c>
      <c r="L16" s="11"/>
      <c r="M16" s="11"/>
      <c r="N16" s="11"/>
      <c r="O16" s="11"/>
      <c r="P16" s="104" t="b">
        <f>IFNA(IF(VLOOKUP($A16,'Add from APT'!$AA$2:$AC826,3,FALSE)&gt;0,TRUE,FALSE),"ER - NOT IN APT")</f>
        <v>0</v>
      </c>
      <c r="Q16" s="105" t="str">
        <f>IF(ISLOGICAL(P16),IF(P16,"ER - REPS IN APT", IFNA(VLOOKUP($A16,RAW_APT!$A$3:$M826,7,FALSE),"ER - NOT IN APT")),P16)</f>
        <v>Collected</v>
      </c>
      <c r="R16" s="106" t="b">
        <f t="shared" si="2"/>
        <v>1</v>
      </c>
      <c r="S16" s="107">
        <f t="shared" si="3"/>
        <v>1</v>
      </c>
      <c r="T16" s="108"/>
      <c r="U16" s="109"/>
      <c r="V16" s="109"/>
      <c r="W16" s="109"/>
      <c r="X16" s="110" t="b">
        <f t="shared" si="4"/>
        <v>0</v>
      </c>
      <c r="Y16" s="111" t="b">
        <v>0</v>
      </c>
      <c r="Z16" s="104" t="str">
        <f t="shared" si="5"/>
        <v/>
      </c>
      <c r="AA16" s="112" t="b">
        <f t="shared" si="6"/>
        <v>0</v>
      </c>
      <c r="AB16" s="109" t="b">
        <v>0</v>
      </c>
      <c r="AC16" s="113">
        <v>773.0</v>
      </c>
      <c r="AD16" s="114" t="b">
        <v>0</v>
      </c>
      <c r="AE16" s="115" t="str">
        <f t="shared" si="7"/>
        <v/>
      </c>
      <c r="AF16" s="116" t="b">
        <f t="shared" si="8"/>
        <v>0</v>
      </c>
      <c r="AG16" s="105" t="b">
        <f t="shared" si="9"/>
        <v>1</v>
      </c>
      <c r="AH16" s="113">
        <v>2.0</v>
      </c>
      <c r="AI16" s="113"/>
      <c r="AJ16" s="113"/>
      <c r="AK16" s="117" t="str">
        <f t="shared" si="10"/>
        <v>DELETED</v>
      </c>
      <c r="AL16" s="109"/>
      <c r="AM16" s="112" t="s">
        <v>245</v>
      </c>
      <c r="AN16" s="112" t="s">
        <v>245</v>
      </c>
      <c r="AO16" s="112" t="str">
        <f>IFERROR(__xludf.DUMMYFUNCTION("IF($AG16, ""DELETED"",TRIM(JOIN("" "",D16:E16)))"),"DELETED")</f>
        <v>DELETED</v>
      </c>
      <c r="AP16" s="112" t="str">
        <f t="shared" ref="AP16:AQ16" si="41">IF($AG16, "DELETED", TRIM(CONCATENATE(F16,I16,U16)))</f>
        <v>DELETED</v>
      </c>
      <c r="AQ16" s="112" t="str">
        <f t="shared" si="41"/>
        <v>DELETED</v>
      </c>
      <c r="AR16" s="112" t="str">
        <f>IFERROR(__xludf.DUMMYFUNCTION("IF($AG16, ""DELETED"", TRIM(JOIN("" "",AP16,AQ16)))"),"DELETED")</f>
        <v>DELETED</v>
      </c>
      <c r="AS16" s="118"/>
      <c r="AT16" s="110" t="b">
        <f t="shared" si="12"/>
        <v>1</v>
      </c>
      <c r="AU16" s="110" t="str">
        <f t="shared" si="13"/>
        <v/>
      </c>
      <c r="AV16" s="110" t="str">
        <f t="shared" si="14"/>
        <v/>
      </c>
      <c r="AW16" s="110" t="str">
        <f t="shared" si="15"/>
        <v/>
      </c>
      <c r="AX16" s="119" t="str">
        <f t="shared" si="16"/>
        <v/>
      </c>
      <c r="AY16" s="120"/>
      <c r="AZ16" s="121"/>
      <c r="BA16" s="122" t="b">
        <f t="shared" si="17"/>
        <v>1</v>
      </c>
      <c r="BB16" s="34"/>
      <c r="BC16" s="121"/>
      <c r="BD16" s="136"/>
      <c r="BE16" s="125" t="str">
        <f t="shared" si="18"/>
        <v/>
      </c>
      <c r="BF16" s="126" t="str">
        <f t="shared" si="19"/>
        <v>Test5__44540_0.380462962962963</v>
      </c>
      <c r="BG16" s="127" t="str">
        <f t="shared" si="20"/>
        <v/>
      </c>
      <c r="BH16" s="137" t="s">
        <v>283</v>
      </c>
      <c r="BI16" s="128" t="str">
        <f t="shared" si="21"/>
        <v>FM12</v>
      </c>
      <c r="BJ16" s="129" t="b">
        <f t="shared" si="22"/>
        <v>0</v>
      </c>
      <c r="BK16" s="128" t="str">
        <f t="shared" si="23"/>
        <v/>
      </c>
      <c r="BL16" s="121"/>
      <c r="BM16" s="5" t="str">
        <f t="shared" si="24"/>
        <v/>
      </c>
      <c r="BN16" s="120" t="b">
        <f t="shared" si="25"/>
        <v>0</v>
      </c>
      <c r="BO16" s="131" t="b">
        <f t="shared" si="26"/>
        <v>0</v>
      </c>
      <c r="BP16" s="121"/>
      <c r="BQ16" s="132" t="str">
        <f>VLOOKUP(A16,RAW_APS!A$3:O826,15,FALSE)</f>
        <v/>
      </c>
      <c r="BR16" s="120" t="b">
        <f t="shared" si="27"/>
        <v>1</v>
      </c>
      <c r="BS16" s="121"/>
      <c r="BT16" s="138" t="s">
        <v>245</v>
      </c>
      <c r="BU16" s="10" t="b">
        <f t="shared" si="28"/>
        <v>1</v>
      </c>
      <c r="BV16" s="120"/>
      <c r="BW16" s="120"/>
      <c r="BX16" s="120"/>
      <c r="BY16" s="120"/>
      <c r="BZ16" s="120"/>
      <c r="CA16" s="120"/>
      <c r="CB16" s="120"/>
      <c r="CC16" s="120"/>
    </row>
    <row r="17">
      <c r="A17" s="2" t="s">
        <v>284</v>
      </c>
      <c r="B17" s="100">
        <v>44543.0</v>
      </c>
      <c r="C17" s="101">
        <v>0.49180555555555555</v>
      </c>
      <c r="D17" s="102"/>
      <c r="E17" s="102"/>
      <c r="F17" s="102"/>
      <c r="G17" s="102"/>
      <c r="H17" s="102"/>
      <c r="I17" s="103"/>
      <c r="J17" s="103"/>
      <c r="K17" s="2" t="s">
        <v>254</v>
      </c>
      <c r="L17" s="11"/>
      <c r="M17" s="11"/>
      <c r="N17" s="11"/>
      <c r="O17" s="11"/>
      <c r="P17" s="104" t="b">
        <f>IFNA(IF(VLOOKUP($A17,'Add from APT'!$AA$2:$AC826,3,FALSE)&gt;0,TRUE,FALSE),"ER - NOT IN APT")</f>
        <v>0</v>
      </c>
      <c r="Q17" s="105" t="str">
        <f>IF(ISLOGICAL(P17),IF(P17,"ER - REPS IN APT", IFNA(VLOOKUP($A17,RAW_APT!$A$3:$M826,7,FALSE),"ER - NOT IN APT")),P17)</f>
        <v>Collected</v>
      </c>
      <c r="R17" s="106" t="b">
        <f t="shared" si="2"/>
        <v>1</v>
      </c>
      <c r="S17" s="107">
        <f t="shared" si="3"/>
        <v>1</v>
      </c>
      <c r="T17" s="143"/>
      <c r="U17" s="142"/>
      <c r="V17" s="142"/>
      <c r="W17" s="142"/>
      <c r="X17" s="110" t="b">
        <f t="shared" si="4"/>
        <v>0</v>
      </c>
      <c r="Y17" s="111" t="b">
        <v>0</v>
      </c>
      <c r="Z17" s="104" t="str">
        <f t="shared" si="5"/>
        <v/>
      </c>
      <c r="AA17" s="112" t="b">
        <f t="shared" si="6"/>
        <v>0</v>
      </c>
      <c r="AB17" s="142" t="b">
        <v>0</v>
      </c>
      <c r="AC17" s="140">
        <v>772.0</v>
      </c>
      <c r="AD17" s="141" t="b">
        <v>0</v>
      </c>
      <c r="AE17" s="115" t="str">
        <f t="shared" si="7"/>
        <v/>
      </c>
      <c r="AF17" s="116" t="b">
        <f t="shared" si="8"/>
        <v>0</v>
      </c>
      <c r="AG17" s="105" t="b">
        <f t="shared" si="9"/>
        <v>1</v>
      </c>
      <c r="AH17" s="140">
        <v>9.1</v>
      </c>
      <c r="AI17" s="140"/>
      <c r="AJ17" s="140"/>
      <c r="AK17" s="117" t="str">
        <f t="shared" si="10"/>
        <v>DELETED</v>
      </c>
      <c r="AL17" s="142"/>
      <c r="AM17" s="112" t="s">
        <v>245</v>
      </c>
      <c r="AN17" s="112" t="s">
        <v>245</v>
      </c>
      <c r="AO17" s="112" t="str">
        <f>IFERROR(__xludf.DUMMYFUNCTION("IF($AG17, ""DELETED"",TRIM(JOIN("" "",D17:E17)))"),"DELETED")</f>
        <v>DELETED</v>
      </c>
      <c r="AP17" s="112" t="str">
        <f t="shared" ref="AP17:AQ17" si="42">IF($AG17, "DELETED", TRIM(CONCATENATE(F17,I17,U17)))</f>
        <v>DELETED</v>
      </c>
      <c r="AQ17" s="112" t="str">
        <f t="shared" si="42"/>
        <v>DELETED</v>
      </c>
      <c r="AR17" s="112" t="str">
        <f>IFERROR(__xludf.DUMMYFUNCTION("IF($AG17, ""DELETED"", TRIM(JOIN("" "",AP17,AQ17)))"),"DELETED")</f>
        <v>DELETED</v>
      </c>
      <c r="AS17" s="118"/>
      <c r="AT17" s="110" t="b">
        <f t="shared" si="12"/>
        <v>1</v>
      </c>
      <c r="AU17" s="110" t="str">
        <f t="shared" si="13"/>
        <v/>
      </c>
      <c r="AV17" s="110" t="str">
        <f t="shared" si="14"/>
        <v/>
      </c>
      <c r="AW17" s="110" t="str">
        <f t="shared" si="15"/>
        <v/>
      </c>
      <c r="AX17" s="119" t="str">
        <f t="shared" si="16"/>
        <v/>
      </c>
      <c r="AY17" s="120"/>
      <c r="AZ17" s="121"/>
      <c r="BA17" s="122" t="b">
        <f t="shared" si="17"/>
        <v>1</v>
      </c>
      <c r="BB17" s="34"/>
      <c r="BC17" s="121"/>
      <c r="BD17" s="136"/>
      <c r="BE17" s="125" t="str">
        <f t="shared" si="18"/>
        <v/>
      </c>
      <c r="BF17" s="126" t="str">
        <f t="shared" si="19"/>
        <v>MAX133__44543_0.491805555555556</v>
      </c>
      <c r="BG17" s="127" t="str">
        <f t="shared" si="20"/>
        <v/>
      </c>
      <c r="BH17" s="137" t="s">
        <v>285</v>
      </c>
      <c r="BI17" s="128" t="str">
        <f t="shared" si="21"/>
        <v>FM1202</v>
      </c>
      <c r="BJ17" s="129" t="b">
        <f t="shared" si="22"/>
        <v>0</v>
      </c>
      <c r="BK17" s="128" t="str">
        <f t="shared" si="23"/>
        <v/>
      </c>
      <c r="BL17" s="121"/>
      <c r="BM17" s="5" t="str">
        <f t="shared" si="24"/>
        <v/>
      </c>
      <c r="BN17" s="120" t="b">
        <f t="shared" si="25"/>
        <v>0</v>
      </c>
      <c r="BO17" s="131" t="b">
        <f t="shared" si="26"/>
        <v>0</v>
      </c>
      <c r="BP17" s="121"/>
      <c r="BQ17" s="132" t="str">
        <f>VLOOKUP(A17,RAW_APS!A$3:O826,15,FALSE)</f>
        <v/>
      </c>
      <c r="BR17" s="120" t="b">
        <f t="shared" si="27"/>
        <v>1</v>
      </c>
      <c r="BS17" s="121"/>
      <c r="BT17" s="138" t="s">
        <v>245</v>
      </c>
      <c r="BU17" s="10" t="b">
        <f t="shared" si="28"/>
        <v>1</v>
      </c>
      <c r="BV17" s="120"/>
      <c r="BW17" s="120"/>
      <c r="BX17" s="120"/>
      <c r="BY17" s="120"/>
      <c r="BZ17" s="120"/>
      <c r="CA17" s="120"/>
      <c r="CB17" s="120"/>
      <c r="CC17" s="120"/>
    </row>
    <row r="18">
      <c r="A18" s="2" t="s">
        <v>286</v>
      </c>
      <c r="B18" s="100">
        <v>44543.0</v>
      </c>
      <c r="C18" s="101">
        <v>0.4924074074074074</v>
      </c>
      <c r="D18" s="102"/>
      <c r="E18" s="102"/>
      <c r="F18" s="102"/>
      <c r="G18" s="102"/>
      <c r="H18" s="102"/>
      <c r="I18" s="103"/>
      <c r="J18" s="103"/>
      <c r="K18" s="2" t="s">
        <v>244</v>
      </c>
      <c r="L18" s="100">
        <v>44543.0</v>
      </c>
      <c r="M18" s="101">
        <v>0.7849884259259259</v>
      </c>
      <c r="P18" s="104" t="b">
        <f>IFNA(IF(VLOOKUP($A18,'Add from APT'!$AA$2:$AC826,3,FALSE)&gt;0,TRUE,FALSE),"ER - NOT IN APT")</f>
        <v>0</v>
      </c>
      <c r="Q18" s="105" t="str">
        <f>IF(ISLOGICAL(P18),IF(P18,"ER - REPS IN APT", IFNA(VLOOKUP($A18,RAW_APT!$A$3:$M826,7,FALSE),"ER - NOT IN APT")),P18)</f>
        <v>Result</v>
      </c>
      <c r="R18" s="106" t="b">
        <f t="shared" si="2"/>
        <v>1</v>
      </c>
      <c r="S18" s="107">
        <f t="shared" si="3"/>
        <v>1</v>
      </c>
      <c r="T18" s="143"/>
      <c r="U18" s="142"/>
      <c r="V18" s="142"/>
      <c r="W18" s="142"/>
      <c r="X18" s="110" t="b">
        <f t="shared" si="4"/>
        <v>0</v>
      </c>
      <c r="Y18" s="111" t="b">
        <v>0</v>
      </c>
      <c r="Z18" s="104" t="str">
        <f t="shared" si="5"/>
        <v/>
      </c>
      <c r="AA18" s="112" t="b">
        <f t="shared" si="6"/>
        <v>0</v>
      </c>
      <c r="AB18" s="142" t="b">
        <v>0</v>
      </c>
      <c r="AC18" s="140">
        <v>771.0</v>
      </c>
      <c r="AD18" s="141" t="b">
        <v>0</v>
      </c>
      <c r="AE18" s="115">
        <f t="shared" si="7"/>
        <v>421.3166667</v>
      </c>
      <c r="AF18" s="116" t="b">
        <f t="shared" si="8"/>
        <v>0</v>
      </c>
      <c r="AG18" s="105" t="b">
        <f t="shared" si="9"/>
        <v>0</v>
      </c>
      <c r="AH18" s="140"/>
      <c r="AI18" s="140"/>
      <c r="AJ18" s="140"/>
      <c r="AK18" s="117" t="str">
        <f t="shared" si="10"/>
        <v>Negative</v>
      </c>
      <c r="AL18" s="142"/>
      <c r="AM18" s="112" t="s">
        <v>287</v>
      </c>
      <c r="AN18" s="112" t="s">
        <v>288</v>
      </c>
      <c r="AO18" s="112" t="str">
        <f>IFERROR(__xludf.DUMMYFUNCTION("IF($AG18, ""DELETED"",TRIM(JOIN("" "",D18:E18)))"),"")</f>
        <v/>
      </c>
      <c r="AP18" s="112" t="str">
        <f t="shared" ref="AP18:AQ18" si="43">IF($AG18, "DELETED", TRIM(CONCATENATE(F18,I18,U18)))</f>
        <v/>
      </c>
      <c r="AQ18" s="112" t="str">
        <f t="shared" si="43"/>
        <v/>
      </c>
      <c r="AR18" s="112" t="str">
        <f>IFERROR(__xludf.DUMMYFUNCTION("IF($AG18, ""DELETED"", TRIM(JOIN("" "",AP18,AQ18)))"),"")</f>
        <v/>
      </c>
      <c r="AS18" s="118"/>
      <c r="AT18" s="110" t="b">
        <f t="shared" si="12"/>
        <v>0</v>
      </c>
      <c r="AU18" s="110" t="str">
        <f t="shared" si="13"/>
        <v/>
      </c>
      <c r="AV18" s="110" t="str">
        <f t="shared" si="14"/>
        <v/>
      </c>
      <c r="AW18" s="110" t="str">
        <f t="shared" si="15"/>
        <v/>
      </c>
      <c r="AX18" s="119" t="str">
        <f t="shared" si="16"/>
        <v/>
      </c>
      <c r="AY18" s="120"/>
      <c r="AZ18" s="121"/>
      <c r="BA18" s="122" t="str">
        <f t="shared" si="17"/>
        <v/>
      </c>
      <c r="BB18" s="34"/>
      <c r="BC18" s="121"/>
      <c r="BD18" s="136"/>
      <c r="BE18" s="125" t="str">
        <f t="shared" si="18"/>
        <v/>
      </c>
      <c r="BF18" s="126" t="str">
        <f t="shared" si="19"/>
        <v>MAX70__44543_0.492407407407407</v>
      </c>
      <c r="BG18" s="127" t="str">
        <f t="shared" si="20"/>
        <v/>
      </c>
      <c r="BH18" s="137" t="s">
        <v>289</v>
      </c>
      <c r="BI18" s="128" t="str">
        <f t="shared" si="21"/>
        <v>FM13</v>
      </c>
      <c r="BJ18" s="129" t="b">
        <f t="shared" si="22"/>
        <v>0</v>
      </c>
      <c r="BK18" s="128" t="str">
        <f t="shared" si="23"/>
        <v/>
      </c>
      <c r="BL18" s="121"/>
      <c r="BM18" s="5" t="str">
        <f t="shared" si="24"/>
        <v>MISSING</v>
      </c>
      <c r="BN18" s="120" t="b">
        <f t="shared" si="25"/>
        <v>0</v>
      </c>
      <c r="BO18" s="131" t="b">
        <f t="shared" si="26"/>
        <v>1</v>
      </c>
      <c r="BP18" s="121"/>
      <c r="BQ18" s="132" t="str">
        <f>VLOOKUP(A18,RAW_APS!A$3:O826,15,FALSE)</f>
        <v/>
      </c>
      <c r="BR18" s="120" t="b">
        <f t="shared" si="27"/>
        <v>1</v>
      </c>
      <c r="BS18" s="121"/>
      <c r="BT18" s="138" t="s">
        <v>244</v>
      </c>
      <c r="BU18" s="10" t="b">
        <f t="shared" si="28"/>
        <v>1</v>
      </c>
      <c r="BV18" s="120"/>
      <c r="BW18" s="120"/>
      <c r="BX18" s="120"/>
      <c r="BY18" s="120"/>
      <c r="BZ18" s="120"/>
      <c r="CA18" s="120"/>
      <c r="CB18" s="120"/>
      <c r="CC18" s="120"/>
    </row>
    <row r="19">
      <c r="A19" s="2" t="s">
        <v>290</v>
      </c>
      <c r="B19" s="100">
        <v>44543.0</v>
      </c>
      <c r="C19" s="101">
        <v>0.5629166666666666</v>
      </c>
      <c r="D19" s="102"/>
      <c r="E19" s="102"/>
      <c r="F19" s="102"/>
      <c r="G19" s="102"/>
      <c r="H19" s="102"/>
      <c r="I19" s="103"/>
      <c r="J19" s="103"/>
      <c r="K19" s="2" t="s">
        <v>244</v>
      </c>
      <c r="L19" s="100">
        <v>44543.0</v>
      </c>
      <c r="M19" s="101">
        <v>0.7849884259259259</v>
      </c>
      <c r="P19" s="104" t="b">
        <f>IFNA(IF(VLOOKUP($A19,'Add from APT'!$AA$2:$AC826,3,FALSE)&gt;0,TRUE,FALSE),"ER - NOT IN APT")</f>
        <v>0</v>
      </c>
      <c r="Q19" s="105" t="str">
        <f>IF(ISLOGICAL(P19),IF(P19,"ER - REPS IN APT", IFNA(VLOOKUP($A19,RAW_APT!$A$3:$M826,7,FALSE),"ER - NOT IN APT")),P19)</f>
        <v>Result</v>
      </c>
      <c r="R19" s="106" t="b">
        <f t="shared" si="2"/>
        <v>1</v>
      </c>
      <c r="S19" s="107">
        <f t="shared" si="3"/>
        <v>1</v>
      </c>
      <c r="T19" s="143"/>
      <c r="U19" s="142"/>
      <c r="V19" s="142"/>
      <c r="W19" s="142"/>
      <c r="X19" s="110" t="b">
        <f t="shared" si="4"/>
        <v>0</v>
      </c>
      <c r="Y19" s="111" t="b">
        <v>0</v>
      </c>
      <c r="Z19" s="104" t="str">
        <f t="shared" si="5"/>
        <v/>
      </c>
      <c r="AA19" s="112" t="b">
        <f t="shared" si="6"/>
        <v>0</v>
      </c>
      <c r="AB19" s="142" t="b">
        <v>0</v>
      </c>
      <c r="AC19" s="140">
        <v>770.0</v>
      </c>
      <c r="AD19" s="141" t="b">
        <v>0</v>
      </c>
      <c r="AE19" s="115">
        <f t="shared" si="7"/>
        <v>319.7833333</v>
      </c>
      <c r="AF19" s="116" t="b">
        <f t="shared" si="8"/>
        <v>0</v>
      </c>
      <c r="AG19" s="105" t="b">
        <f t="shared" si="9"/>
        <v>0</v>
      </c>
      <c r="AH19" s="140"/>
      <c r="AI19" s="140"/>
      <c r="AJ19" s="140"/>
      <c r="AK19" s="117" t="str">
        <f t="shared" si="10"/>
        <v>Negative</v>
      </c>
      <c r="AL19" s="142"/>
      <c r="AM19" s="112" t="s">
        <v>291</v>
      </c>
      <c r="AN19" s="112" t="s">
        <v>292</v>
      </c>
      <c r="AO19" s="112" t="str">
        <f>IFERROR(__xludf.DUMMYFUNCTION("IF($AG19, ""DELETED"",TRIM(JOIN("" "",D19:E19)))"),"")</f>
        <v/>
      </c>
      <c r="AP19" s="112" t="str">
        <f t="shared" ref="AP19:AQ19" si="44">IF($AG19, "DELETED", TRIM(CONCATENATE(F19,I19,U19)))</f>
        <v/>
      </c>
      <c r="AQ19" s="112" t="str">
        <f t="shared" si="44"/>
        <v/>
      </c>
      <c r="AR19" s="112" t="str">
        <f>IFERROR(__xludf.DUMMYFUNCTION("IF($AG19, ""DELETED"", TRIM(JOIN("" "",AP19,AQ19)))"),"")</f>
        <v/>
      </c>
      <c r="AS19" s="118"/>
      <c r="AT19" s="110" t="b">
        <f t="shared" si="12"/>
        <v>0</v>
      </c>
      <c r="AU19" s="110" t="str">
        <f t="shared" si="13"/>
        <v/>
      </c>
      <c r="AV19" s="110" t="str">
        <f t="shared" si="14"/>
        <v/>
      </c>
      <c r="AW19" s="110" t="str">
        <f t="shared" si="15"/>
        <v/>
      </c>
      <c r="AX19" s="119" t="str">
        <f t="shared" si="16"/>
        <v/>
      </c>
      <c r="AY19" s="120"/>
      <c r="AZ19" s="121"/>
      <c r="BA19" s="122" t="str">
        <f t="shared" si="17"/>
        <v/>
      </c>
      <c r="BB19" s="34"/>
      <c r="BC19" s="121"/>
      <c r="BD19" s="136"/>
      <c r="BE19" s="125" t="str">
        <f t="shared" si="18"/>
        <v/>
      </c>
      <c r="BF19" s="126" t="str">
        <f t="shared" si="19"/>
        <v>MAX111__44543_0.562916666666667</v>
      </c>
      <c r="BG19" s="127" t="str">
        <f t="shared" si="20"/>
        <v/>
      </c>
      <c r="BH19" s="137" t="s">
        <v>293</v>
      </c>
      <c r="BI19" s="128" t="str">
        <f t="shared" si="21"/>
        <v>FM15</v>
      </c>
      <c r="BJ19" s="129" t="b">
        <f t="shared" si="22"/>
        <v>0</v>
      </c>
      <c r="BK19" s="128" t="str">
        <f t="shared" si="23"/>
        <v/>
      </c>
      <c r="BL19" s="121"/>
      <c r="BM19" s="5" t="str">
        <f t="shared" si="24"/>
        <v>MISSING</v>
      </c>
      <c r="BN19" s="120" t="b">
        <f t="shared" si="25"/>
        <v>0</v>
      </c>
      <c r="BO19" s="131" t="b">
        <f t="shared" si="26"/>
        <v>1</v>
      </c>
      <c r="BP19" s="121"/>
      <c r="BQ19" s="132" t="str">
        <f>VLOOKUP(A19,RAW_APS!A$3:O826,15,FALSE)</f>
        <v/>
      </c>
      <c r="BR19" s="120" t="b">
        <f t="shared" si="27"/>
        <v>1</v>
      </c>
      <c r="BS19" s="121"/>
      <c r="BT19" s="138" t="s">
        <v>244</v>
      </c>
      <c r="BU19" s="10" t="b">
        <f t="shared" si="28"/>
        <v>1</v>
      </c>
      <c r="BV19" s="120"/>
      <c r="BW19" s="120"/>
      <c r="BX19" s="120"/>
      <c r="BY19" s="120"/>
      <c r="BZ19" s="120"/>
      <c r="CA19" s="120"/>
      <c r="CB19" s="120"/>
      <c r="CC19" s="120"/>
    </row>
    <row r="20">
      <c r="A20" s="2" t="s">
        <v>294</v>
      </c>
      <c r="B20" s="100">
        <v>44543.0</v>
      </c>
      <c r="C20" s="101">
        <v>0.5630208333333333</v>
      </c>
      <c r="D20" s="102"/>
      <c r="E20" s="102"/>
      <c r="F20" s="102"/>
      <c r="G20" s="102"/>
      <c r="H20" s="102"/>
      <c r="I20" s="103"/>
      <c r="J20" s="103"/>
      <c r="K20" s="2" t="s">
        <v>244</v>
      </c>
      <c r="L20" s="100">
        <v>44543.0</v>
      </c>
      <c r="M20" s="101">
        <v>0.7849884259259259</v>
      </c>
      <c r="P20" s="104" t="b">
        <f>IFNA(IF(VLOOKUP($A20,'Add from APT'!$AA$2:$AC826,3,FALSE)&gt;0,TRUE,FALSE),"ER - NOT IN APT")</f>
        <v>0</v>
      </c>
      <c r="Q20" s="105" t="str">
        <f>IF(ISLOGICAL(P20),IF(P20,"ER - REPS IN APT", IFNA(VLOOKUP($A20,RAW_APT!$A$3:$M826,7,FALSE),"ER - NOT IN APT")),P20)</f>
        <v>Result</v>
      </c>
      <c r="R20" s="106" t="b">
        <f t="shared" si="2"/>
        <v>1</v>
      </c>
      <c r="S20" s="107">
        <f t="shared" si="3"/>
        <v>1</v>
      </c>
      <c r="T20" s="143"/>
      <c r="U20" s="142"/>
      <c r="V20" s="142"/>
      <c r="W20" s="142"/>
      <c r="X20" s="110" t="b">
        <f t="shared" si="4"/>
        <v>0</v>
      </c>
      <c r="Y20" s="111" t="b">
        <v>0</v>
      </c>
      <c r="Z20" s="104" t="str">
        <f t="shared" si="5"/>
        <v/>
      </c>
      <c r="AA20" s="112" t="b">
        <f t="shared" si="6"/>
        <v>0</v>
      </c>
      <c r="AB20" s="142" t="b">
        <v>0</v>
      </c>
      <c r="AC20" s="140">
        <v>769.0</v>
      </c>
      <c r="AD20" s="141" t="b">
        <v>0</v>
      </c>
      <c r="AE20" s="115">
        <f t="shared" si="7"/>
        <v>319.6333333</v>
      </c>
      <c r="AF20" s="116" t="b">
        <f t="shared" si="8"/>
        <v>0</v>
      </c>
      <c r="AG20" s="105" t="b">
        <f t="shared" si="9"/>
        <v>0</v>
      </c>
      <c r="AH20" s="140"/>
      <c r="AI20" s="140"/>
      <c r="AJ20" s="140"/>
      <c r="AK20" s="117" t="str">
        <f t="shared" si="10"/>
        <v>Negative</v>
      </c>
      <c r="AL20" s="141"/>
      <c r="AM20" s="112" t="s">
        <v>295</v>
      </c>
      <c r="AN20" s="112" t="s">
        <v>296</v>
      </c>
      <c r="AO20" s="112" t="str">
        <f>IFERROR(__xludf.DUMMYFUNCTION("IF($AG20, ""DELETED"",TRIM(JOIN("" "",D20:E20)))"),"")</f>
        <v/>
      </c>
      <c r="AP20" s="112" t="str">
        <f t="shared" ref="AP20:AQ20" si="45">IF($AG20, "DELETED", TRIM(CONCATENATE(F20,I20,U20)))</f>
        <v/>
      </c>
      <c r="AQ20" s="112" t="str">
        <f t="shared" si="45"/>
        <v/>
      </c>
      <c r="AR20" s="112" t="str">
        <f>IFERROR(__xludf.DUMMYFUNCTION("IF($AG20, ""DELETED"", TRIM(JOIN("" "",AP20,AQ20)))"),"")</f>
        <v/>
      </c>
      <c r="AS20" s="118"/>
      <c r="AT20" s="110" t="b">
        <f t="shared" si="12"/>
        <v>0</v>
      </c>
      <c r="AU20" s="110" t="str">
        <f t="shared" si="13"/>
        <v/>
      </c>
      <c r="AV20" s="110" t="str">
        <f t="shared" si="14"/>
        <v/>
      </c>
      <c r="AW20" s="110" t="str">
        <f t="shared" si="15"/>
        <v/>
      </c>
      <c r="AX20" s="119" t="str">
        <f t="shared" si="16"/>
        <v/>
      </c>
      <c r="AY20" s="120"/>
      <c r="AZ20" s="121"/>
      <c r="BA20" s="122" t="str">
        <f t="shared" si="17"/>
        <v/>
      </c>
      <c r="BB20" s="34"/>
      <c r="BC20" s="121"/>
      <c r="BD20" s="136"/>
      <c r="BE20" s="125" t="str">
        <f t="shared" si="18"/>
        <v/>
      </c>
      <c r="BF20" s="126" t="str">
        <f t="shared" si="19"/>
        <v>MAX113__44543_0.563020833333333</v>
      </c>
      <c r="BG20" s="127" t="str">
        <f t="shared" si="20"/>
        <v/>
      </c>
      <c r="BH20" s="137" t="s">
        <v>297</v>
      </c>
      <c r="BI20" s="128" t="str">
        <f t="shared" si="21"/>
        <v>FM16</v>
      </c>
      <c r="BJ20" s="129" t="b">
        <f t="shared" si="22"/>
        <v>0</v>
      </c>
      <c r="BK20" s="128" t="str">
        <f t="shared" si="23"/>
        <v/>
      </c>
      <c r="BL20" s="121"/>
      <c r="BM20" s="5" t="str">
        <f t="shared" si="24"/>
        <v>MISSING</v>
      </c>
      <c r="BN20" s="120" t="b">
        <f t="shared" si="25"/>
        <v>0</v>
      </c>
      <c r="BO20" s="131" t="b">
        <f t="shared" si="26"/>
        <v>1</v>
      </c>
      <c r="BP20" s="121"/>
      <c r="BQ20" s="132" t="str">
        <f>VLOOKUP(A20,RAW_APS!A$3:O826,15,FALSE)</f>
        <v/>
      </c>
      <c r="BR20" s="120" t="b">
        <f t="shared" si="27"/>
        <v>1</v>
      </c>
      <c r="BS20" s="121"/>
      <c r="BT20" s="138" t="s">
        <v>244</v>
      </c>
      <c r="BU20" s="10" t="b">
        <f t="shared" si="28"/>
        <v>1</v>
      </c>
      <c r="BV20" s="120"/>
      <c r="BW20" s="120"/>
      <c r="BX20" s="120"/>
      <c r="BY20" s="120"/>
      <c r="BZ20" s="120"/>
      <c r="CA20" s="120"/>
      <c r="CB20" s="120"/>
      <c r="CC20" s="120"/>
    </row>
    <row r="21">
      <c r="A21" s="2" t="s">
        <v>298</v>
      </c>
      <c r="B21" s="100">
        <v>44543.0</v>
      </c>
      <c r="C21" s="101">
        <v>0.5931712962962963</v>
      </c>
      <c r="D21" s="102"/>
      <c r="E21" s="102"/>
      <c r="F21" s="102"/>
      <c r="G21" s="102"/>
      <c r="H21" s="102"/>
      <c r="I21" s="103"/>
      <c r="J21" s="103"/>
      <c r="K21" s="2" t="s">
        <v>244</v>
      </c>
      <c r="L21" s="100">
        <v>44543.0</v>
      </c>
      <c r="M21" s="101">
        <v>0.7849884259259259</v>
      </c>
      <c r="P21" s="104" t="b">
        <f>IFNA(IF(VLOOKUP($A21,'Add from APT'!$AA$2:$AC826,3,FALSE)&gt;0,TRUE,FALSE),"ER - NOT IN APT")</f>
        <v>0</v>
      </c>
      <c r="Q21" s="105" t="str">
        <f>IF(ISLOGICAL(P21),IF(P21,"ER - REPS IN APT", IFNA(VLOOKUP($A21,RAW_APT!$A$3:$M826,7,FALSE),"ER - NOT IN APT")),P21)</f>
        <v>Result</v>
      </c>
      <c r="R21" s="106" t="b">
        <f t="shared" si="2"/>
        <v>1</v>
      </c>
      <c r="S21" s="107">
        <f t="shared" si="3"/>
        <v>1</v>
      </c>
      <c r="T21" s="143"/>
      <c r="U21" s="142"/>
      <c r="V21" s="142"/>
      <c r="W21" s="142"/>
      <c r="X21" s="110" t="b">
        <f t="shared" si="4"/>
        <v>0</v>
      </c>
      <c r="Y21" s="111" t="b">
        <v>0</v>
      </c>
      <c r="Z21" s="104" t="str">
        <f t="shared" si="5"/>
        <v/>
      </c>
      <c r="AA21" s="112" t="b">
        <f t="shared" si="6"/>
        <v>0</v>
      </c>
      <c r="AB21" s="142" t="b">
        <v>0</v>
      </c>
      <c r="AC21" s="140">
        <v>768.0</v>
      </c>
      <c r="AD21" s="141" t="b">
        <v>0</v>
      </c>
      <c r="AE21" s="115">
        <f t="shared" si="7"/>
        <v>276.2166667</v>
      </c>
      <c r="AF21" s="116" t="b">
        <f t="shared" si="8"/>
        <v>0</v>
      </c>
      <c r="AG21" s="105" t="b">
        <f t="shared" si="9"/>
        <v>0</v>
      </c>
      <c r="AH21" s="140"/>
      <c r="AI21" s="140"/>
      <c r="AJ21" s="140"/>
      <c r="AK21" s="117" t="str">
        <f t="shared" si="10"/>
        <v>Negative</v>
      </c>
      <c r="AL21" s="141"/>
      <c r="AM21" s="112" t="s">
        <v>299</v>
      </c>
      <c r="AN21" s="112" t="s">
        <v>300</v>
      </c>
      <c r="AO21" s="112" t="str">
        <f>IFERROR(__xludf.DUMMYFUNCTION("IF($AG21, ""DELETED"",TRIM(JOIN("" "",D21:E21)))"),"")</f>
        <v/>
      </c>
      <c r="AP21" s="112" t="str">
        <f t="shared" ref="AP21:AQ21" si="46">IF($AG21, "DELETED", TRIM(CONCATENATE(F21,I21,U21)))</f>
        <v/>
      </c>
      <c r="AQ21" s="112" t="str">
        <f t="shared" si="46"/>
        <v/>
      </c>
      <c r="AR21" s="112" t="str">
        <f>IFERROR(__xludf.DUMMYFUNCTION("IF($AG21, ""DELETED"", TRIM(JOIN("" "",AP21,AQ21)))"),"")</f>
        <v/>
      </c>
      <c r="AS21" s="118"/>
      <c r="AT21" s="110" t="b">
        <f t="shared" si="12"/>
        <v>0</v>
      </c>
      <c r="AU21" s="110" t="str">
        <f t="shared" si="13"/>
        <v/>
      </c>
      <c r="AV21" s="110" t="str">
        <f t="shared" si="14"/>
        <v/>
      </c>
      <c r="AW21" s="110" t="str">
        <f t="shared" si="15"/>
        <v/>
      </c>
      <c r="AX21" s="119" t="str">
        <f t="shared" si="16"/>
        <v/>
      </c>
      <c r="AY21" s="120"/>
      <c r="AZ21" s="121"/>
      <c r="BA21" s="122" t="str">
        <f t="shared" si="17"/>
        <v/>
      </c>
      <c r="BB21" s="34"/>
      <c r="BC21" s="121"/>
      <c r="BD21" s="136"/>
      <c r="BE21" s="125" t="str">
        <f t="shared" si="18"/>
        <v/>
      </c>
      <c r="BF21" s="126" t="str">
        <f t="shared" si="19"/>
        <v>MAX122__44543_0.593171296296296</v>
      </c>
      <c r="BG21" s="127" t="str">
        <f t="shared" si="20"/>
        <v/>
      </c>
      <c r="BH21" s="137" t="s">
        <v>301</v>
      </c>
      <c r="BI21" s="128" t="str">
        <f t="shared" si="21"/>
        <v>FM17</v>
      </c>
      <c r="BJ21" s="129" t="b">
        <f t="shared" si="22"/>
        <v>0</v>
      </c>
      <c r="BK21" s="128" t="str">
        <f t="shared" si="23"/>
        <v/>
      </c>
      <c r="BL21" s="121"/>
      <c r="BM21" s="5" t="str">
        <f t="shared" si="24"/>
        <v>MISSING</v>
      </c>
      <c r="BN21" s="120" t="b">
        <f t="shared" si="25"/>
        <v>0</v>
      </c>
      <c r="BO21" s="131" t="b">
        <f t="shared" si="26"/>
        <v>1</v>
      </c>
      <c r="BP21" s="121"/>
      <c r="BQ21" s="132" t="str">
        <f>VLOOKUP(A21,RAW_APS!A$3:O826,15,FALSE)</f>
        <v/>
      </c>
      <c r="BR21" s="120" t="b">
        <f t="shared" si="27"/>
        <v>1</v>
      </c>
      <c r="BS21" s="121"/>
      <c r="BT21" s="138" t="s">
        <v>244</v>
      </c>
      <c r="BU21" s="10" t="b">
        <f t="shared" si="28"/>
        <v>1</v>
      </c>
      <c r="BV21" s="120"/>
      <c r="BW21" s="120"/>
      <c r="BX21" s="120"/>
      <c r="BY21" s="120"/>
      <c r="BZ21" s="120"/>
      <c r="CA21" s="120"/>
      <c r="CB21" s="120"/>
      <c r="CC21" s="120"/>
    </row>
    <row r="22">
      <c r="A22" s="2" t="s">
        <v>302</v>
      </c>
      <c r="B22" s="100">
        <v>44543.0</v>
      </c>
      <c r="C22" s="101">
        <v>0.5967476851851852</v>
      </c>
      <c r="D22" s="102"/>
      <c r="E22" s="102"/>
      <c r="F22" s="102"/>
      <c r="G22" s="102"/>
      <c r="H22" s="102"/>
      <c r="I22" s="103"/>
      <c r="J22" s="103"/>
      <c r="K22" s="2" t="s">
        <v>244</v>
      </c>
      <c r="L22" s="100">
        <v>44543.0</v>
      </c>
      <c r="M22" s="101">
        <v>0.7849884259259259</v>
      </c>
      <c r="P22" s="104" t="b">
        <f>IFNA(IF(VLOOKUP($A22,'Add from APT'!$AA$2:$AC826,3,FALSE)&gt;0,TRUE,FALSE),"ER - NOT IN APT")</f>
        <v>0</v>
      </c>
      <c r="Q22" s="105" t="str">
        <f>IF(ISLOGICAL(P22),IF(P22,"ER - REPS IN APT", IFNA(VLOOKUP($A22,RAW_APT!$A$3:$M826,7,FALSE),"ER - NOT IN APT")),P22)</f>
        <v>Result</v>
      </c>
      <c r="R22" s="106" t="b">
        <f t="shared" si="2"/>
        <v>1</v>
      </c>
      <c r="S22" s="107">
        <f t="shared" si="3"/>
        <v>1</v>
      </c>
      <c r="T22" s="143"/>
      <c r="U22" s="142"/>
      <c r="V22" s="142"/>
      <c r="W22" s="142"/>
      <c r="X22" s="110" t="b">
        <f t="shared" si="4"/>
        <v>0</v>
      </c>
      <c r="Y22" s="111" t="b">
        <v>0</v>
      </c>
      <c r="Z22" s="104" t="str">
        <f t="shared" si="5"/>
        <v/>
      </c>
      <c r="AA22" s="112" t="b">
        <f t="shared" si="6"/>
        <v>0</v>
      </c>
      <c r="AB22" s="142" t="b">
        <v>0</v>
      </c>
      <c r="AC22" s="140">
        <v>767.0</v>
      </c>
      <c r="AD22" s="141" t="b">
        <v>0</v>
      </c>
      <c r="AE22" s="115">
        <f t="shared" si="7"/>
        <v>271.0666667</v>
      </c>
      <c r="AF22" s="116" t="b">
        <f t="shared" si="8"/>
        <v>0</v>
      </c>
      <c r="AG22" s="105" t="b">
        <f t="shared" si="9"/>
        <v>0</v>
      </c>
      <c r="AH22" s="140"/>
      <c r="AI22" s="140"/>
      <c r="AJ22" s="140"/>
      <c r="AK22" s="117" t="str">
        <f t="shared" si="10"/>
        <v>Negative</v>
      </c>
      <c r="AL22" s="141"/>
      <c r="AM22" s="112" t="s">
        <v>303</v>
      </c>
      <c r="AN22" s="112" t="s">
        <v>304</v>
      </c>
      <c r="AO22" s="112" t="str">
        <f>IFERROR(__xludf.DUMMYFUNCTION("IF($AG22, ""DELETED"",TRIM(JOIN("" "",D22:E22)))"),"")</f>
        <v/>
      </c>
      <c r="AP22" s="112" t="str">
        <f t="shared" ref="AP22:AQ22" si="47">IF($AG22, "DELETED", TRIM(CONCATENATE(F22,I22,U22)))</f>
        <v/>
      </c>
      <c r="AQ22" s="112" t="str">
        <f t="shared" si="47"/>
        <v/>
      </c>
      <c r="AR22" s="112" t="str">
        <f>IFERROR(__xludf.DUMMYFUNCTION("IF($AG22, ""DELETED"", TRIM(JOIN("" "",AP22,AQ22)))"),"")</f>
        <v/>
      </c>
      <c r="AS22" s="118"/>
      <c r="AT22" s="110" t="b">
        <f t="shared" si="12"/>
        <v>0</v>
      </c>
      <c r="AU22" s="110" t="str">
        <f t="shared" si="13"/>
        <v/>
      </c>
      <c r="AV22" s="110" t="str">
        <f t="shared" si="14"/>
        <v/>
      </c>
      <c r="AW22" s="110" t="str">
        <f t="shared" si="15"/>
        <v/>
      </c>
      <c r="AX22" s="119" t="str">
        <f t="shared" si="16"/>
        <v/>
      </c>
      <c r="AY22" s="120"/>
      <c r="AZ22" s="121"/>
      <c r="BA22" s="122" t="str">
        <f t="shared" si="17"/>
        <v/>
      </c>
      <c r="BB22" s="34"/>
      <c r="BC22" s="121"/>
      <c r="BD22" s="136"/>
      <c r="BE22" s="125" t="str">
        <f t="shared" si="18"/>
        <v/>
      </c>
      <c r="BF22" s="126" t="str">
        <f t="shared" si="19"/>
        <v>MAX94__44543_0.596747685185185</v>
      </c>
      <c r="BG22" s="127" t="str">
        <f t="shared" si="20"/>
        <v/>
      </c>
      <c r="BH22" s="137" t="s">
        <v>305</v>
      </c>
      <c r="BI22" s="128" t="str">
        <f t="shared" si="21"/>
        <v>FM1786</v>
      </c>
      <c r="BJ22" s="129" t="b">
        <f t="shared" si="22"/>
        <v>0</v>
      </c>
      <c r="BK22" s="128" t="str">
        <f t="shared" si="23"/>
        <v/>
      </c>
      <c r="BL22" s="121"/>
      <c r="BM22" s="5" t="str">
        <f t="shared" si="24"/>
        <v>MISSING</v>
      </c>
      <c r="BN22" s="120" t="b">
        <f t="shared" si="25"/>
        <v>0</v>
      </c>
      <c r="BO22" s="131" t="b">
        <f t="shared" si="26"/>
        <v>1</v>
      </c>
      <c r="BP22" s="121"/>
      <c r="BQ22" s="132" t="str">
        <f>VLOOKUP(A22,RAW_APS!A$3:O826,15,FALSE)</f>
        <v/>
      </c>
      <c r="BR22" s="120" t="b">
        <f t="shared" si="27"/>
        <v>1</v>
      </c>
      <c r="BS22" s="121"/>
      <c r="BT22" s="138" t="s">
        <v>244</v>
      </c>
      <c r="BU22" s="10" t="b">
        <f t="shared" si="28"/>
        <v>1</v>
      </c>
      <c r="BV22" s="120"/>
      <c r="BW22" s="120"/>
      <c r="BX22" s="120"/>
      <c r="BY22" s="120"/>
      <c r="BZ22" s="120"/>
      <c r="CA22" s="120"/>
      <c r="CB22" s="120"/>
      <c r="CC22" s="120"/>
    </row>
    <row r="23">
      <c r="A23" s="2" t="s">
        <v>306</v>
      </c>
      <c r="B23" s="100">
        <v>44543.0</v>
      </c>
      <c r="C23" s="101">
        <v>0.5984027777777777</v>
      </c>
      <c r="D23" s="102"/>
      <c r="E23" s="102"/>
      <c r="F23" s="102"/>
      <c r="G23" s="102"/>
      <c r="H23" s="102"/>
      <c r="I23" s="103"/>
      <c r="J23" s="103"/>
      <c r="K23" s="2" t="s">
        <v>244</v>
      </c>
      <c r="L23" s="100">
        <v>44543.0</v>
      </c>
      <c r="M23" s="101">
        <v>0.7849884259259259</v>
      </c>
      <c r="P23" s="104" t="b">
        <f>IFNA(IF(VLOOKUP($A23,'Add from APT'!$AA$2:$AC826,3,FALSE)&gt;0,TRUE,FALSE),"ER - NOT IN APT")</f>
        <v>0</v>
      </c>
      <c r="Q23" s="105" t="str">
        <f>IF(ISLOGICAL(P23),IF(P23,"ER - REPS IN APT", IFNA(VLOOKUP($A23,RAW_APT!$A$3:$M826,7,FALSE),"ER - NOT IN APT")),P23)</f>
        <v>Result</v>
      </c>
      <c r="R23" s="106" t="b">
        <f t="shared" si="2"/>
        <v>1</v>
      </c>
      <c r="S23" s="107">
        <f t="shared" si="3"/>
        <v>1</v>
      </c>
      <c r="T23" s="143"/>
      <c r="U23" s="142"/>
      <c r="V23" s="142"/>
      <c r="W23" s="142"/>
      <c r="X23" s="110" t="b">
        <f t="shared" si="4"/>
        <v>0</v>
      </c>
      <c r="Y23" s="111" t="b">
        <v>0</v>
      </c>
      <c r="Z23" s="104" t="str">
        <f t="shared" si="5"/>
        <v/>
      </c>
      <c r="AA23" s="112" t="b">
        <f t="shared" si="6"/>
        <v>0</v>
      </c>
      <c r="AB23" s="142" t="b">
        <v>0</v>
      </c>
      <c r="AC23" s="140">
        <v>766.0</v>
      </c>
      <c r="AD23" s="141" t="b">
        <v>0</v>
      </c>
      <c r="AE23" s="115">
        <f t="shared" si="7"/>
        <v>268.6833333</v>
      </c>
      <c r="AF23" s="116" t="b">
        <f t="shared" si="8"/>
        <v>0</v>
      </c>
      <c r="AG23" s="105" t="b">
        <f t="shared" si="9"/>
        <v>0</v>
      </c>
      <c r="AH23" s="140"/>
      <c r="AI23" s="140"/>
      <c r="AJ23" s="140"/>
      <c r="AK23" s="117" t="str">
        <f t="shared" si="10"/>
        <v>Negative</v>
      </c>
      <c r="AL23" s="142"/>
      <c r="AM23" s="112" t="s">
        <v>307</v>
      </c>
      <c r="AN23" s="112" t="s">
        <v>266</v>
      </c>
      <c r="AO23" s="112" t="str">
        <f>IFERROR(__xludf.DUMMYFUNCTION("IF($AG23, ""DELETED"",TRIM(JOIN("" "",D23:E23)))"),"")</f>
        <v/>
      </c>
      <c r="AP23" s="112" t="str">
        <f t="shared" ref="AP23:AQ23" si="48">IF($AG23, "DELETED", TRIM(CONCATENATE(F23,I23,U23)))</f>
        <v/>
      </c>
      <c r="AQ23" s="112" t="str">
        <f t="shared" si="48"/>
        <v/>
      </c>
      <c r="AR23" s="112" t="str">
        <f>IFERROR(__xludf.DUMMYFUNCTION("IF($AG23, ""DELETED"", TRIM(JOIN("" "",AP23,AQ23)))"),"")</f>
        <v/>
      </c>
      <c r="AS23" s="118"/>
      <c r="AT23" s="110" t="b">
        <f t="shared" si="12"/>
        <v>0</v>
      </c>
      <c r="AU23" s="110" t="str">
        <f t="shared" si="13"/>
        <v/>
      </c>
      <c r="AV23" s="110" t="str">
        <f t="shared" si="14"/>
        <v/>
      </c>
      <c r="AW23" s="110" t="str">
        <f t="shared" si="15"/>
        <v/>
      </c>
      <c r="AX23" s="119" t="str">
        <f t="shared" si="16"/>
        <v/>
      </c>
      <c r="AY23" s="120"/>
      <c r="AZ23" s="121"/>
      <c r="BA23" s="122" t="str">
        <f t="shared" si="17"/>
        <v/>
      </c>
      <c r="BB23" s="34"/>
      <c r="BC23" s="121"/>
      <c r="BD23" s="136"/>
      <c r="BE23" s="125" t="str">
        <f t="shared" si="18"/>
        <v/>
      </c>
      <c r="BF23" s="126" t="str">
        <f t="shared" si="19"/>
        <v>MAX28__44543_0.598402777777778</v>
      </c>
      <c r="BG23" s="127" t="str">
        <f t="shared" si="20"/>
        <v/>
      </c>
      <c r="BH23" s="137" t="s">
        <v>308</v>
      </c>
      <c r="BI23" s="128" t="str">
        <f t="shared" si="21"/>
        <v>FM1789</v>
      </c>
      <c r="BJ23" s="129" t="b">
        <f t="shared" si="22"/>
        <v>0</v>
      </c>
      <c r="BK23" s="128" t="str">
        <f t="shared" si="23"/>
        <v/>
      </c>
      <c r="BL23" s="121"/>
      <c r="BM23" s="5" t="str">
        <f t="shared" si="24"/>
        <v>MISSING</v>
      </c>
      <c r="BN23" s="120" t="b">
        <f t="shared" si="25"/>
        <v>0</v>
      </c>
      <c r="BO23" s="131" t="b">
        <f t="shared" si="26"/>
        <v>1</v>
      </c>
      <c r="BP23" s="121"/>
      <c r="BQ23" s="132" t="str">
        <f>VLOOKUP(A23,RAW_APS!A$3:O826,15,FALSE)</f>
        <v/>
      </c>
      <c r="BR23" s="120" t="b">
        <f t="shared" si="27"/>
        <v>1</v>
      </c>
      <c r="BS23" s="121"/>
      <c r="BT23" s="138" t="s">
        <v>244</v>
      </c>
      <c r="BU23" s="10" t="b">
        <f t="shared" si="28"/>
        <v>1</v>
      </c>
      <c r="BV23" s="120"/>
      <c r="BW23" s="120"/>
      <c r="BX23" s="120"/>
      <c r="BY23" s="120"/>
      <c r="BZ23" s="120"/>
      <c r="CA23" s="120"/>
      <c r="CB23" s="120"/>
      <c r="CC23" s="120"/>
    </row>
    <row r="24">
      <c r="A24" s="2" t="s">
        <v>309</v>
      </c>
      <c r="B24" s="100">
        <v>44543.0</v>
      </c>
      <c r="C24" s="101">
        <v>0.6040740740740741</v>
      </c>
      <c r="D24" s="102"/>
      <c r="E24" s="102"/>
      <c r="F24" s="102"/>
      <c r="G24" s="102"/>
      <c r="H24" s="102"/>
      <c r="I24" s="103"/>
      <c r="J24" s="103"/>
      <c r="K24" s="2" t="s">
        <v>244</v>
      </c>
      <c r="L24" s="100">
        <v>44543.0</v>
      </c>
      <c r="M24" s="101">
        <v>0.7849884259259259</v>
      </c>
      <c r="P24" s="104" t="b">
        <f>IFNA(IF(VLOOKUP($A24,'Add from APT'!$AA$2:$AC826,3,FALSE)&gt;0,TRUE,FALSE),"ER - NOT IN APT")</f>
        <v>0</v>
      </c>
      <c r="Q24" s="105" t="str">
        <f>IF(ISLOGICAL(P24),IF(P24,"ER - REPS IN APT", IFNA(VLOOKUP($A24,RAW_APT!$A$3:$M826,7,FALSE),"ER - NOT IN APT")),P24)</f>
        <v>Result</v>
      </c>
      <c r="R24" s="106" t="b">
        <f t="shared" si="2"/>
        <v>1</v>
      </c>
      <c r="S24" s="107">
        <f t="shared" si="3"/>
        <v>1</v>
      </c>
      <c r="T24" s="143"/>
      <c r="U24" s="142"/>
      <c r="V24" s="142"/>
      <c r="W24" s="142"/>
      <c r="X24" s="110" t="b">
        <f t="shared" si="4"/>
        <v>0</v>
      </c>
      <c r="Y24" s="111" t="b">
        <v>0</v>
      </c>
      <c r="Z24" s="104" t="str">
        <f t="shared" si="5"/>
        <v/>
      </c>
      <c r="AA24" s="112" t="b">
        <f t="shared" si="6"/>
        <v>0</v>
      </c>
      <c r="AB24" s="142" t="b">
        <v>0</v>
      </c>
      <c r="AC24" s="140">
        <v>765.0</v>
      </c>
      <c r="AD24" s="141" t="b">
        <v>0</v>
      </c>
      <c r="AE24" s="115">
        <f t="shared" si="7"/>
        <v>260.5166667</v>
      </c>
      <c r="AF24" s="116" t="b">
        <f t="shared" si="8"/>
        <v>0</v>
      </c>
      <c r="AG24" s="105" t="b">
        <f t="shared" si="9"/>
        <v>0</v>
      </c>
      <c r="AH24" s="140"/>
      <c r="AI24" s="140"/>
      <c r="AJ24" s="140"/>
      <c r="AK24" s="117" t="str">
        <f t="shared" si="10"/>
        <v>Negative</v>
      </c>
      <c r="AL24" s="142"/>
      <c r="AM24" s="112" t="s">
        <v>310</v>
      </c>
      <c r="AN24" s="112" t="s">
        <v>311</v>
      </c>
      <c r="AO24" s="112" t="str">
        <f>IFERROR(__xludf.DUMMYFUNCTION("IF($AG24, ""DELETED"",TRIM(JOIN("" "",D24:E24)))"),"")</f>
        <v/>
      </c>
      <c r="AP24" s="112" t="str">
        <f t="shared" ref="AP24:AQ24" si="49">IF($AG24, "DELETED", TRIM(CONCATENATE(F24,I24,U24)))</f>
        <v/>
      </c>
      <c r="AQ24" s="112" t="str">
        <f t="shared" si="49"/>
        <v/>
      </c>
      <c r="AR24" s="112" t="str">
        <f>IFERROR(__xludf.DUMMYFUNCTION("IF($AG24, ""DELETED"", TRIM(JOIN("" "",AP24,AQ24)))"),"")</f>
        <v/>
      </c>
      <c r="AS24" s="118"/>
      <c r="AT24" s="110" t="b">
        <f t="shared" si="12"/>
        <v>0</v>
      </c>
      <c r="AU24" s="110" t="str">
        <f t="shared" si="13"/>
        <v/>
      </c>
      <c r="AV24" s="110" t="str">
        <f t="shared" si="14"/>
        <v/>
      </c>
      <c r="AW24" s="110" t="str">
        <f t="shared" si="15"/>
        <v/>
      </c>
      <c r="AX24" s="119" t="str">
        <f t="shared" si="16"/>
        <v/>
      </c>
      <c r="AY24" s="120"/>
      <c r="AZ24" s="121"/>
      <c r="BA24" s="122" t="str">
        <f t="shared" si="17"/>
        <v/>
      </c>
      <c r="BB24" s="34"/>
      <c r="BC24" s="121"/>
      <c r="BD24" s="136"/>
      <c r="BE24" s="125" t="str">
        <f t="shared" si="18"/>
        <v/>
      </c>
      <c r="BF24" s="126" t="str">
        <f t="shared" si="19"/>
        <v>MAX63__44543_0.604074074074074</v>
      </c>
      <c r="BG24" s="127" t="str">
        <f t="shared" si="20"/>
        <v/>
      </c>
      <c r="BH24" s="137" t="s">
        <v>312</v>
      </c>
      <c r="BI24" s="128" t="str">
        <f t="shared" si="21"/>
        <v>FM1797</v>
      </c>
      <c r="BJ24" s="129" t="b">
        <f t="shared" si="22"/>
        <v>0</v>
      </c>
      <c r="BK24" s="128" t="str">
        <f t="shared" si="23"/>
        <v/>
      </c>
      <c r="BL24" s="121"/>
      <c r="BM24" s="5" t="str">
        <f t="shared" si="24"/>
        <v>MISSING</v>
      </c>
      <c r="BN24" s="120" t="b">
        <f t="shared" si="25"/>
        <v>0</v>
      </c>
      <c r="BO24" s="131" t="b">
        <f t="shared" si="26"/>
        <v>1</v>
      </c>
      <c r="BP24" s="121"/>
      <c r="BQ24" s="132" t="str">
        <f>VLOOKUP(A24,RAW_APS!A$3:O826,15,FALSE)</f>
        <v/>
      </c>
      <c r="BR24" s="120" t="b">
        <f t="shared" si="27"/>
        <v>1</v>
      </c>
      <c r="BS24" s="121"/>
      <c r="BT24" s="138" t="s">
        <v>244</v>
      </c>
      <c r="BU24" s="10" t="b">
        <f t="shared" si="28"/>
        <v>1</v>
      </c>
      <c r="BV24" s="120"/>
      <c r="BW24" s="120"/>
      <c r="BX24" s="120"/>
      <c r="BY24" s="120"/>
      <c r="BZ24" s="120"/>
      <c r="CA24" s="120"/>
      <c r="CB24" s="120"/>
      <c r="CC24" s="120"/>
    </row>
    <row r="25">
      <c r="A25" s="2" t="s">
        <v>313</v>
      </c>
      <c r="B25" s="100">
        <v>44545.0</v>
      </c>
      <c r="C25" s="101">
        <v>0.5749768518518519</v>
      </c>
      <c r="D25" s="102"/>
      <c r="E25" s="102"/>
      <c r="F25" s="102"/>
      <c r="G25" s="102"/>
      <c r="H25" s="102"/>
      <c r="I25" s="103"/>
      <c r="J25" s="103"/>
      <c r="K25" s="2" t="s">
        <v>244</v>
      </c>
      <c r="L25" s="100">
        <v>44545.0</v>
      </c>
      <c r="M25" s="101">
        <v>0.7641550925925926</v>
      </c>
      <c r="P25" s="104" t="b">
        <f>IFNA(IF(VLOOKUP($A25,'Add from APT'!$AA$2:$AC826,3,FALSE)&gt;0,TRUE,FALSE),"ER - NOT IN APT")</f>
        <v>0</v>
      </c>
      <c r="Q25" s="105" t="str">
        <f>IF(ISLOGICAL(P25),IF(P25,"ER - REPS IN APT", IFNA(VLOOKUP($A25,RAW_APT!$A$3:$M826,7,FALSE),"ER - NOT IN APT")),P25)</f>
        <v>Result</v>
      </c>
      <c r="R25" s="106" t="b">
        <f t="shared" si="2"/>
        <v>1</v>
      </c>
      <c r="S25" s="107">
        <f t="shared" si="3"/>
        <v>1</v>
      </c>
      <c r="T25" s="143"/>
      <c r="U25" s="142"/>
      <c r="V25" s="142"/>
      <c r="W25" s="142"/>
      <c r="X25" s="110" t="b">
        <f t="shared" si="4"/>
        <v>0</v>
      </c>
      <c r="Y25" s="111" t="b">
        <v>0</v>
      </c>
      <c r="Z25" s="104" t="str">
        <f t="shared" si="5"/>
        <v/>
      </c>
      <c r="AA25" s="112" t="b">
        <f t="shared" si="6"/>
        <v>0</v>
      </c>
      <c r="AB25" s="142" t="b">
        <v>0</v>
      </c>
      <c r="AC25" s="140">
        <v>764.0</v>
      </c>
      <c r="AD25" s="141" t="b">
        <v>0</v>
      </c>
      <c r="AE25" s="115">
        <f t="shared" si="7"/>
        <v>272.4166667</v>
      </c>
      <c r="AF25" s="116" t="b">
        <f t="shared" si="8"/>
        <v>0</v>
      </c>
      <c r="AG25" s="105" t="b">
        <f t="shared" si="9"/>
        <v>0</v>
      </c>
      <c r="AH25" s="140"/>
      <c r="AI25" s="140"/>
      <c r="AJ25" s="140"/>
      <c r="AK25" s="117" t="str">
        <f t="shared" si="10"/>
        <v>Negative</v>
      </c>
      <c r="AL25" s="142"/>
      <c r="AM25" s="112" t="s">
        <v>314</v>
      </c>
      <c r="AN25" s="112" t="s">
        <v>315</v>
      </c>
      <c r="AO25" s="112" t="str">
        <f>IFERROR(__xludf.DUMMYFUNCTION("IF($AG25, ""DELETED"",TRIM(JOIN("" "",D25:E25)))"),"")</f>
        <v/>
      </c>
      <c r="AP25" s="112" t="str">
        <f t="shared" ref="AP25:AQ25" si="50">IF($AG25, "DELETED", TRIM(CONCATENATE(F25,I25,U25)))</f>
        <v/>
      </c>
      <c r="AQ25" s="112" t="str">
        <f t="shared" si="50"/>
        <v/>
      </c>
      <c r="AR25" s="112" t="str">
        <f>IFERROR(__xludf.DUMMYFUNCTION("IF($AG25, ""DELETED"", TRIM(JOIN("" "",AP25,AQ25)))"),"")</f>
        <v/>
      </c>
      <c r="AS25" s="118"/>
      <c r="AT25" s="110" t="b">
        <f t="shared" si="12"/>
        <v>0</v>
      </c>
      <c r="AU25" s="110" t="str">
        <f t="shared" si="13"/>
        <v/>
      </c>
      <c r="AV25" s="110" t="str">
        <f t="shared" si="14"/>
        <v/>
      </c>
      <c r="AW25" s="110" t="str">
        <f t="shared" si="15"/>
        <v/>
      </c>
      <c r="AX25" s="119" t="str">
        <f t="shared" si="16"/>
        <v/>
      </c>
      <c r="AY25" s="120"/>
      <c r="AZ25" s="121"/>
      <c r="BA25" s="122" t="str">
        <f t="shared" si="17"/>
        <v/>
      </c>
      <c r="BB25" s="34"/>
      <c r="BC25" s="121"/>
      <c r="BD25" s="136"/>
      <c r="BE25" s="125" t="str">
        <f t="shared" si="18"/>
        <v/>
      </c>
      <c r="BF25" s="126" t="str">
        <f t="shared" si="19"/>
        <v>MA1255__44545_0.574976851851852</v>
      </c>
      <c r="BG25" s="127" t="str">
        <f t="shared" si="20"/>
        <v/>
      </c>
      <c r="BH25" s="137" t="s">
        <v>316</v>
      </c>
      <c r="BI25" s="128" t="str">
        <f t="shared" si="21"/>
        <v>FM18</v>
      </c>
      <c r="BJ25" s="129" t="b">
        <f t="shared" si="22"/>
        <v>0</v>
      </c>
      <c r="BK25" s="128" t="str">
        <f t="shared" si="23"/>
        <v/>
      </c>
      <c r="BL25" s="121"/>
      <c r="BM25" s="5" t="str">
        <f t="shared" si="24"/>
        <v>MISSING</v>
      </c>
      <c r="BN25" s="120" t="b">
        <f t="shared" si="25"/>
        <v>0</v>
      </c>
      <c r="BO25" s="131" t="b">
        <f t="shared" si="26"/>
        <v>1</v>
      </c>
      <c r="BP25" s="121"/>
      <c r="BQ25" s="132" t="str">
        <f>VLOOKUP(A25,RAW_APS!A$3:O826,15,FALSE)</f>
        <v/>
      </c>
      <c r="BR25" s="120" t="b">
        <f t="shared" si="27"/>
        <v>1</v>
      </c>
      <c r="BS25" s="121"/>
      <c r="BT25" s="138" t="s">
        <v>244</v>
      </c>
      <c r="BU25" s="10" t="b">
        <f t="shared" si="28"/>
        <v>1</v>
      </c>
      <c r="BV25" s="120"/>
      <c r="BW25" s="120"/>
      <c r="BX25" s="120"/>
      <c r="BY25" s="120"/>
      <c r="BZ25" s="120"/>
      <c r="CA25" s="120"/>
      <c r="CB25" s="120"/>
      <c r="CC25" s="120"/>
    </row>
    <row r="26">
      <c r="A26" s="2" t="s">
        <v>317</v>
      </c>
      <c r="B26" s="100">
        <v>44545.0</v>
      </c>
      <c r="C26" s="101">
        <v>0.5862152777777778</v>
      </c>
      <c r="D26" s="102"/>
      <c r="E26" s="102"/>
      <c r="F26" s="102"/>
      <c r="G26" s="102"/>
      <c r="H26" s="102"/>
      <c r="I26" s="103"/>
      <c r="J26" s="103"/>
      <c r="K26" s="2" t="s">
        <v>244</v>
      </c>
      <c r="L26" s="100">
        <v>44545.0</v>
      </c>
      <c r="M26" s="101">
        <v>0.7641550925925926</v>
      </c>
      <c r="P26" s="104" t="b">
        <f>IFNA(IF(VLOOKUP($A26,'Add from APT'!$AA$2:$AC826,3,FALSE)&gt;0,TRUE,FALSE),"ER - NOT IN APT")</f>
        <v>0</v>
      </c>
      <c r="Q26" s="105" t="str">
        <f>IF(ISLOGICAL(P26),IF(P26,"ER - REPS IN APT", IFNA(VLOOKUP($A26,RAW_APT!$A$3:$M826,7,FALSE),"ER - NOT IN APT")),P26)</f>
        <v>Result</v>
      </c>
      <c r="R26" s="106" t="b">
        <f t="shared" si="2"/>
        <v>1</v>
      </c>
      <c r="S26" s="107">
        <f t="shared" si="3"/>
        <v>1</v>
      </c>
      <c r="T26" s="143"/>
      <c r="U26" s="142"/>
      <c r="V26" s="142"/>
      <c r="W26" s="142"/>
      <c r="X26" s="110" t="b">
        <f t="shared" si="4"/>
        <v>0</v>
      </c>
      <c r="Y26" s="111" t="b">
        <v>0</v>
      </c>
      <c r="Z26" s="104" t="str">
        <f t="shared" si="5"/>
        <v/>
      </c>
      <c r="AA26" s="112" t="b">
        <f t="shared" si="6"/>
        <v>0</v>
      </c>
      <c r="AB26" s="142" t="b">
        <v>0</v>
      </c>
      <c r="AC26" s="140">
        <v>763.0</v>
      </c>
      <c r="AD26" s="141" t="b">
        <v>0</v>
      </c>
      <c r="AE26" s="115">
        <f t="shared" si="7"/>
        <v>256.2333333</v>
      </c>
      <c r="AF26" s="116" t="b">
        <f t="shared" si="8"/>
        <v>0</v>
      </c>
      <c r="AG26" s="105" t="b">
        <f t="shared" si="9"/>
        <v>0</v>
      </c>
      <c r="AH26" s="140"/>
      <c r="AI26" s="140"/>
      <c r="AJ26" s="140"/>
      <c r="AK26" s="117" t="str">
        <f t="shared" si="10"/>
        <v>Negative</v>
      </c>
      <c r="AL26" s="142"/>
      <c r="AM26" s="112" t="s">
        <v>318</v>
      </c>
      <c r="AN26" s="112" t="s">
        <v>319</v>
      </c>
      <c r="AO26" s="112" t="str">
        <f>IFERROR(__xludf.DUMMYFUNCTION("IF($AG26, ""DELETED"",TRIM(JOIN("" "",D26:E26)))"),"")</f>
        <v/>
      </c>
      <c r="AP26" s="112" t="str">
        <f t="shared" ref="AP26:AQ26" si="51">IF($AG26, "DELETED", TRIM(CONCATENATE(F26,I26,U26)))</f>
        <v/>
      </c>
      <c r="AQ26" s="112" t="str">
        <f t="shared" si="51"/>
        <v/>
      </c>
      <c r="AR26" s="112" t="str">
        <f>IFERROR(__xludf.DUMMYFUNCTION("IF($AG26, ""DELETED"", TRIM(JOIN("" "",AP26,AQ26)))"),"")</f>
        <v/>
      </c>
      <c r="AS26" s="118"/>
      <c r="AT26" s="110" t="b">
        <f t="shared" si="12"/>
        <v>0</v>
      </c>
      <c r="AU26" s="110" t="str">
        <f t="shared" si="13"/>
        <v/>
      </c>
      <c r="AV26" s="110" t="str">
        <f t="shared" si="14"/>
        <v/>
      </c>
      <c r="AW26" s="110" t="str">
        <f t="shared" si="15"/>
        <v/>
      </c>
      <c r="AX26" s="119" t="str">
        <f t="shared" si="16"/>
        <v/>
      </c>
      <c r="AY26" s="120"/>
      <c r="AZ26" s="121"/>
      <c r="BA26" s="122" t="str">
        <f t="shared" si="17"/>
        <v/>
      </c>
      <c r="BB26" s="34"/>
      <c r="BC26" s="121"/>
      <c r="BD26" s="136"/>
      <c r="BE26" s="125" t="str">
        <f t="shared" si="18"/>
        <v/>
      </c>
      <c r="BF26" s="126" t="str">
        <f t="shared" si="19"/>
        <v>MA327__44545_0.586215277777778</v>
      </c>
      <c r="BG26" s="127" t="str">
        <f t="shared" si="20"/>
        <v/>
      </c>
      <c r="BH26" s="137" t="s">
        <v>320</v>
      </c>
      <c r="BI26" s="128" t="str">
        <f t="shared" si="21"/>
        <v>FM1870</v>
      </c>
      <c r="BJ26" s="129" t="b">
        <f t="shared" si="22"/>
        <v>0</v>
      </c>
      <c r="BK26" s="128" t="str">
        <f t="shared" si="23"/>
        <v/>
      </c>
      <c r="BL26" s="121"/>
      <c r="BM26" s="5" t="str">
        <f t="shared" si="24"/>
        <v>MISSING</v>
      </c>
      <c r="BN26" s="120" t="b">
        <f t="shared" si="25"/>
        <v>0</v>
      </c>
      <c r="BO26" s="131" t="b">
        <f t="shared" si="26"/>
        <v>1</v>
      </c>
      <c r="BP26" s="121"/>
      <c r="BQ26" s="132" t="str">
        <f>VLOOKUP(A26,RAW_APS!A$3:O826,15,FALSE)</f>
        <v/>
      </c>
      <c r="BR26" s="120" t="b">
        <f t="shared" si="27"/>
        <v>1</v>
      </c>
      <c r="BS26" s="121"/>
      <c r="BT26" s="138" t="s">
        <v>244</v>
      </c>
      <c r="BU26" s="10" t="b">
        <f t="shared" si="28"/>
        <v>1</v>
      </c>
      <c r="BV26" s="120"/>
      <c r="BW26" s="120"/>
      <c r="BX26" s="120"/>
      <c r="BY26" s="120"/>
      <c r="BZ26" s="120"/>
      <c r="CA26" s="120"/>
      <c r="CB26" s="120"/>
      <c r="CC26" s="120"/>
    </row>
    <row r="27">
      <c r="A27" s="2" t="s">
        <v>321</v>
      </c>
      <c r="B27" s="100">
        <v>44545.0</v>
      </c>
      <c r="C27" s="101">
        <v>0.6131944444444445</v>
      </c>
      <c r="D27" s="102"/>
      <c r="E27" s="102"/>
      <c r="F27" s="102"/>
      <c r="G27" s="102"/>
      <c r="H27" s="102"/>
      <c r="I27" s="103"/>
      <c r="J27" s="103"/>
      <c r="K27" s="2" t="s">
        <v>244</v>
      </c>
      <c r="L27" s="100">
        <v>44545.0</v>
      </c>
      <c r="M27" s="101">
        <v>0.7641550925925926</v>
      </c>
      <c r="P27" s="104" t="b">
        <f>IFNA(IF(VLOOKUP($A27,'Add from APT'!$AA$2:$AC826,3,FALSE)&gt;0,TRUE,FALSE),"ER - NOT IN APT")</f>
        <v>1</v>
      </c>
      <c r="Q27" s="105" t="str">
        <f>IF(ISLOGICAL(P27),IF(P27,"ER - REPS IN APT", IFNA(VLOOKUP($A27,RAW_APT!$A$3:$M826,7,FALSE),"ER - NOT IN APT")),P27)</f>
        <v>ER - REPS IN APT</v>
      </c>
      <c r="R27" s="106" t="b">
        <f t="shared" si="2"/>
        <v>1</v>
      </c>
      <c r="S27" s="107">
        <f t="shared" si="3"/>
        <v>1</v>
      </c>
      <c r="T27" s="143"/>
      <c r="U27" s="142"/>
      <c r="V27" s="142"/>
      <c r="W27" s="142"/>
      <c r="X27" s="110" t="b">
        <f t="shared" si="4"/>
        <v>0</v>
      </c>
      <c r="Y27" s="111" t="b">
        <v>0</v>
      </c>
      <c r="Z27" s="104" t="str">
        <f t="shared" si="5"/>
        <v/>
      </c>
      <c r="AA27" s="112" t="b">
        <f t="shared" si="6"/>
        <v>0</v>
      </c>
      <c r="AB27" s="142" t="b">
        <v>0</v>
      </c>
      <c r="AC27" s="140">
        <v>760.0</v>
      </c>
      <c r="AD27" s="141" t="b">
        <v>0</v>
      </c>
      <c r="AE27" s="115">
        <f t="shared" si="7"/>
        <v>217.3833333</v>
      </c>
      <c r="AF27" s="116" t="b">
        <f t="shared" si="8"/>
        <v>0</v>
      </c>
      <c r="AG27" s="105" t="b">
        <f t="shared" si="9"/>
        <v>0</v>
      </c>
      <c r="AH27" s="144"/>
      <c r="AI27" s="145">
        <v>4.0</v>
      </c>
      <c r="AJ27" s="3"/>
      <c r="AK27" s="117" t="str">
        <f t="shared" si="10"/>
        <v>Negative</v>
      </c>
      <c r="AL27" s="5"/>
      <c r="AM27" s="112" t="s">
        <v>322</v>
      </c>
      <c r="AN27" s="112" t="s">
        <v>323</v>
      </c>
      <c r="AO27" s="112" t="str">
        <f>IFERROR(__xludf.DUMMYFUNCTION("IF($AG27, ""DELETED"",TRIM(JOIN("" "",D27:E27)))"),"")</f>
        <v/>
      </c>
      <c r="AP27" s="112" t="str">
        <f t="shared" ref="AP27:AQ27" si="52">IF($AG27, "DELETED", TRIM(CONCATENATE(F27,I27,U27)))</f>
        <v/>
      </c>
      <c r="AQ27" s="112" t="str">
        <f t="shared" si="52"/>
        <v/>
      </c>
      <c r="AR27" s="112" t="str">
        <f>IFERROR(__xludf.DUMMYFUNCTION("IF($AG27, ""DELETED"", TRIM(JOIN("" "",AP27,AQ27)))"),"")</f>
        <v/>
      </c>
      <c r="AS27" s="118"/>
      <c r="AT27" s="110" t="b">
        <f t="shared" si="12"/>
        <v>0</v>
      </c>
      <c r="AU27" s="110" t="str">
        <f t="shared" si="13"/>
        <v/>
      </c>
      <c r="AV27" s="110" t="str">
        <f t="shared" si="14"/>
        <v/>
      </c>
      <c r="AW27" s="110" t="str">
        <f t="shared" si="15"/>
        <v/>
      </c>
      <c r="AX27" s="119" t="str">
        <f t="shared" si="16"/>
        <v/>
      </c>
      <c r="AY27" s="120"/>
      <c r="AZ27" s="121"/>
      <c r="BA27" s="122" t="str">
        <f t="shared" si="17"/>
        <v/>
      </c>
      <c r="BB27" s="34"/>
      <c r="BC27" s="121"/>
      <c r="BD27" s="136"/>
      <c r="BE27" s="125" t="str">
        <f t="shared" si="18"/>
        <v/>
      </c>
      <c r="BF27" s="126" t="str">
        <f t="shared" si="19"/>
        <v>MA460__44545_0.613194444444445</v>
      </c>
      <c r="BG27" s="127" t="str">
        <f t="shared" si="20"/>
        <v/>
      </c>
      <c r="BH27" s="137" t="s">
        <v>324</v>
      </c>
      <c r="BI27" s="128" t="str">
        <f t="shared" si="21"/>
        <v>FM1889</v>
      </c>
      <c r="BJ27" s="129" t="b">
        <f t="shared" si="22"/>
        <v>0</v>
      </c>
      <c r="BK27" s="128" t="str">
        <f t="shared" si="23"/>
        <v/>
      </c>
      <c r="BL27" s="121"/>
      <c r="BM27" s="5" t="str">
        <f t="shared" si="24"/>
        <v>MISSING</v>
      </c>
      <c r="BN27" s="120" t="b">
        <f t="shared" si="25"/>
        <v>0</v>
      </c>
      <c r="BO27" s="131" t="b">
        <f t="shared" si="26"/>
        <v>1</v>
      </c>
      <c r="BP27" s="121"/>
      <c r="BQ27" s="132" t="str">
        <f>VLOOKUP(A27,RAW_APS!A$3:O826,15,FALSE)</f>
        <v/>
      </c>
      <c r="BR27" s="120" t="b">
        <f t="shared" si="27"/>
        <v>1</v>
      </c>
      <c r="BS27" s="121"/>
      <c r="BT27" s="138" t="s">
        <v>244</v>
      </c>
      <c r="BU27" s="10" t="b">
        <f t="shared" si="28"/>
        <v>1</v>
      </c>
      <c r="BV27" s="120"/>
      <c r="BW27" s="120"/>
      <c r="BX27" s="120"/>
      <c r="BY27" s="120"/>
      <c r="BZ27" s="120"/>
      <c r="CA27" s="120"/>
      <c r="CB27" s="120"/>
      <c r="CC27" s="120"/>
    </row>
    <row r="28">
      <c r="A28" s="2" t="s">
        <v>325</v>
      </c>
      <c r="B28" s="100">
        <v>44545.0</v>
      </c>
      <c r="C28" s="101">
        <v>0.6131944444444445</v>
      </c>
      <c r="D28" s="102"/>
      <c r="E28" s="102"/>
      <c r="F28" s="102"/>
      <c r="G28" s="102"/>
      <c r="H28" s="102"/>
      <c r="I28" s="103"/>
      <c r="J28" s="103"/>
      <c r="K28" s="2" t="s">
        <v>254</v>
      </c>
      <c r="L28" s="11"/>
      <c r="M28" s="11"/>
      <c r="N28" s="11"/>
      <c r="O28" s="11"/>
      <c r="P28" s="104" t="str">
        <f>IFNA(IF(VLOOKUP($A28,'Add from APT'!$AA$2:$AC826,3,FALSE)&gt;0,TRUE,FALSE),"ER - NOT IN APT")</f>
        <v>ER - NOT IN APT</v>
      </c>
      <c r="Q28" s="105" t="str">
        <f>IF(ISLOGICAL(P28),IF(P28,"ER - REPS IN APT", IFNA(VLOOKUP($A28,RAW_APT!$A$3:$M826,7,FALSE),"ER - NOT IN APT")),P28)</f>
        <v>ER - NOT IN APT</v>
      </c>
      <c r="R28" s="106" t="b">
        <f t="shared" si="2"/>
        <v>1</v>
      </c>
      <c r="S28" s="107">
        <f t="shared" si="3"/>
        <v>1</v>
      </c>
      <c r="T28" s="108"/>
      <c r="U28" s="109"/>
      <c r="V28" s="109"/>
      <c r="W28" s="109"/>
      <c r="X28" s="110" t="b">
        <f t="shared" si="4"/>
        <v>0</v>
      </c>
      <c r="Y28" s="111" t="b">
        <v>1</v>
      </c>
      <c r="Z28" s="104" t="str">
        <f t="shared" si="5"/>
        <v/>
      </c>
      <c r="AA28" s="112" t="b">
        <f t="shared" si="6"/>
        <v>0</v>
      </c>
      <c r="AB28" s="109" t="b">
        <v>0</v>
      </c>
      <c r="AC28" s="113">
        <v>762.0</v>
      </c>
      <c r="AD28" s="114" t="b">
        <v>0</v>
      </c>
      <c r="AE28" s="115" t="str">
        <f t="shared" si="7"/>
        <v/>
      </c>
      <c r="AF28" s="116" t="b">
        <f t="shared" si="8"/>
        <v>0</v>
      </c>
      <c r="AG28" s="105" t="b">
        <f t="shared" si="9"/>
        <v>1</v>
      </c>
      <c r="AH28" s="113">
        <v>5.3</v>
      </c>
      <c r="AI28" s="113"/>
      <c r="AJ28" s="113"/>
      <c r="AK28" s="117" t="str">
        <f t="shared" si="10"/>
        <v>DELETED</v>
      </c>
      <c r="AL28" s="109"/>
      <c r="AM28" s="112" t="s">
        <v>245</v>
      </c>
      <c r="AN28" s="112" t="s">
        <v>245</v>
      </c>
      <c r="AO28" s="112" t="str">
        <f>IFERROR(__xludf.DUMMYFUNCTION("IF($AG28, ""DELETED"",TRIM(JOIN("" "",D28:E28)))"),"DELETED")</f>
        <v>DELETED</v>
      </c>
      <c r="AP28" s="112" t="str">
        <f t="shared" ref="AP28:AQ28" si="53">IF($AG28, "DELETED", TRIM(CONCATENATE(F28,I28,U28)))</f>
        <v>DELETED</v>
      </c>
      <c r="AQ28" s="112" t="str">
        <f t="shared" si="53"/>
        <v>DELETED</v>
      </c>
      <c r="AR28" s="112" t="str">
        <f>IFERROR(__xludf.DUMMYFUNCTION("IF($AG28, ""DELETED"", TRIM(JOIN("" "",AP28,AQ28)))"),"DELETED")</f>
        <v>DELETED</v>
      </c>
      <c r="AS28" s="118"/>
      <c r="AT28" s="110" t="b">
        <f t="shared" si="12"/>
        <v>1</v>
      </c>
      <c r="AU28" s="110" t="str">
        <f t="shared" si="13"/>
        <v/>
      </c>
      <c r="AV28" s="110" t="str">
        <f t="shared" si="14"/>
        <v/>
      </c>
      <c r="AW28" s="110" t="str">
        <f t="shared" si="15"/>
        <v/>
      </c>
      <c r="AX28" s="119" t="str">
        <f t="shared" si="16"/>
        <v/>
      </c>
      <c r="AY28" s="120"/>
      <c r="AZ28" s="121"/>
      <c r="BA28" s="122" t="b">
        <f t="shared" si="17"/>
        <v>1</v>
      </c>
      <c r="BB28" s="34"/>
      <c r="BC28" s="121"/>
      <c r="BD28" s="136"/>
      <c r="BE28" s="125" t="str">
        <f t="shared" si="18"/>
        <v/>
      </c>
      <c r="BF28" s="126" t="str">
        <f t="shared" si="19"/>
        <v>MA460DEL__44545_0.613194444444445</v>
      </c>
      <c r="BG28" s="127" t="str">
        <f t="shared" si="20"/>
        <v/>
      </c>
      <c r="BH28" s="137" t="s">
        <v>326</v>
      </c>
      <c r="BI28" s="128" t="str">
        <f t="shared" si="21"/>
        <v>FM19</v>
      </c>
      <c r="BJ28" s="129" t="b">
        <f t="shared" si="22"/>
        <v>0</v>
      </c>
      <c r="BK28" s="128" t="str">
        <f t="shared" si="23"/>
        <v/>
      </c>
      <c r="BL28" s="121"/>
      <c r="BM28" s="5" t="str">
        <f t="shared" si="24"/>
        <v/>
      </c>
      <c r="BN28" s="120" t="b">
        <f t="shared" si="25"/>
        <v>0</v>
      </c>
      <c r="BO28" s="131" t="b">
        <f t="shared" si="26"/>
        <v>0</v>
      </c>
      <c r="BP28" s="121"/>
      <c r="BQ28" s="132" t="str">
        <f>VLOOKUP(A28,RAW_APS!A$3:O826,15,FALSE)</f>
        <v>#N/A</v>
      </c>
      <c r="BR28" s="120" t="str">
        <f t="shared" si="27"/>
        <v>***TUBE ID NOT FOUND</v>
      </c>
      <c r="BS28" s="121"/>
      <c r="BT28" s="138" t="s">
        <v>245</v>
      </c>
      <c r="BU28" s="10" t="b">
        <f t="shared" si="28"/>
        <v>1</v>
      </c>
      <c r="BV28" s="120"/>
      <c r="BW28" s="120"/>
      <c r="BX28" s="120"/>
      <c r="BY28" s="120"/>
      <c r="BZ28" s="120"/>
      <c r="CA28" s="120"/>
      <c r="CB28" s="120"/>
      <c r="CC28" s="120"/>
    </row>
    <row r="29">
      <c r="A29" s="2" t="s">
        <v>327</v>
      </c>
      <c r="B29" s="100">
        <v>44545.0</v>
      </c>
      <c r="C29" s="101">
        <v>0.6686805555555555</v>
      </c>
      <c r="D29" s="102"/>
      <c r="E29" s="102"/>
      <c r="F29" s="102"/>
      <c r="G29" s="102"/>
      <c r="H29" s="102"/>
      <c r="I29" s="103"/>
      <c r="J29" s="103"/>
      <c r="K29" s="2" t="s">
        <v>244</v>
      </c>
      <c r="L29" s="100">
        <v>44550.0</v>
      </c>
      <c r="M29" s="101">
        <v>0.4883449074074074</v>
      </c>
      <c r="P29" s="104" t="b">
        <f>IFNA(IF(VLOOKUP($A29,'Add from APT'!$AA$2:$AC826,3,FALSE)&gt;0,TRUE,FALSE),"ER - NOT IN APT")</f>
        <v>0</v>
      </c>
      <c r="Q29" s="105" t="str">
        <f>IF(ISLOGICAL(P29),IF(P29,"ER - REPS IN APT", IFNA(VLOOKUP($A29,RAW_APT!$A$3:$M826,7,FALSE),"ER - NOT IN APT")),P29)</f>
        <v>Result</v>
      </c>
      <c r="R29" s="106" t="b">
        <f t="shared" si="2"/>
        <v>1</v>
      </c>
      <c r="S29" s="107">
        <f t="shared" si="3"/>
        <v>1</v>
      </c>
      <c r="T29" s="143"/>
      <c r="U29" s="142"/>
      <c r="V29" s="142"/>
      <c r="W29" s="142"/>
      <c r="X29" s="110" t="b">
        <f t="shared" si="4"/>
        <v>0</v>
      </c>
      <c r="Y29" s="111" t="b">
        <v>0</v>
      </c>
      <c r="Z29" s="104" t="str">
        <f t="shared" si="5"/>
        <v/>
      </c>
      <c r="AA29" s="112" t="b">
        <f t="shared" si="6"/>
        <v>0</v>
      </c>
      <c r="AB29" s="142" t="b">
        <v>0</v>
      </c>
      <c r="AC29" s="140">
        <v>761.0</v>
      </c>
      <c r="AD29" s="141" t="b">
        <v>0</v>
      </c>
      <c r="AE29" s="115" t="str">
        <f t="shared" si="7"/>
        <v/>
      </c>
      <c r="AF29" s="116" t="b">
        <f t="shared" si="8"/>
        <v>0</v>
      </c>
      <c r="AG29" s="105" t="b">
        <f t="shared" si="9"/>
        <v>0</v>
      </c>
      <c r="AH29" s="140"/>
      <c r="AI29" s="140"/>
      <c r="AJ29" s="140"/>
      <c r="AK29" s="117" t="str">
        <f t="shared" si="10"/>
        <v>Negative</v>
      </c>
      <c r="AL29" s="142"/>
      <c r="AM29" s="112" t="s">
        <v>328</v>
      </c>
      <c r="AN29" s="112" t="s">
        <v>329</v>
      </c>
      <c r="AO29" s="112" t="str">
        <f>IFERROR(__xludf.DUMMYFUNCTION("IF($AG29, ""DELETED"",TRIM(JOIN("" "",D29:E29)))"),"")</f>
        <v/>
      </c>
      <c r="AP29" s="112" t="str">
        <f t="shared" ref="AP29:AQ29" si="54">IF($AG29, "DELETED", TRIM(CONCATENATE(F29,I29,U29)))</f>
        <v/>
      </c>
      <c r="AQ29" s="112" t="str">
        <f t="shared" si="54"/>
        <v/>
      </c>
      <c r="AR29" s="112" t="str">
        <f>IFERROR(__xludf.DUMMYFUNCTION("IF($AG29, ""DELETED"", TRIM(JOIN("" "",AP29,AQ29)))"),"")</f>
        <v/>
      </c>
      <c r="AS29" s="118"/>
      <c r="AT29" s="110" t="b">
        <f t="shared" si="12"/>
        <v>0</v>
      </c>
      <c r="AU29" s="110" t="str">
        <f t="shared" si="13"/>
        <v/>
      </c>
      <c r="AV29" s="110" t="str">
        <f t="shared" si="14"/>
        <v/>
      </c>
      <c r="AW29" s="110" t="str">
        <f t="shared" si="15"/>
        <v/>
      </c>
      <c r="AX29" s="119" t="str">
        <f t="shared" si="16"/>
        <v/>
      </c>
      <c r="AY29" s="120"/>
      <c r="AZ29" s="121"/>
      <c r="BA29" s="122" t="str">
        <f t="shared" si="17"/>
        <v/>
      </c>
      <c r="BB29" s="34"/>
      <c r="BC29" s="121"/>
      <c r="BD29" s="136"/>
      <c r="BE29" s="125" t="str">
        <f t="shared" si="18"/>
        <v/>
      </c>
      <c r="BF29" s="126" t="str">
        <f t="shared" si="19"/>
        <v>MA1155__44545_0.668680555555556</v>
      </c>
      <c r="BG29" s="127" t="str">
        <f t="shared" si="20"/>
        <v/>
      </c>
      <c r="BH29" s="137" t="s">
        <v>330</v>
      </c>
      <c r="BI29" s="128" t="str">
        <f t="shared" si="21"/>
        <v>FM1905</v>
      </c>
      <c r="BJ29" s="129" t="b">
        <f t="shared" si="22"/>
        <v>0</v>
      </c>
      <c r="BK29" s="128" t="str">
        <f t="shared" si="23"/>
        <v/>
      </c>
      <c r="BL29" s="121"/>
      <c r="BM29" s="5" t="str">
        <f t="shared" si="24"/>
        <v>MISSING</v>
      </c>
      <c r="BN29" s="120" t="b">
        <f t="shared" si="25"/>
        <v>0</v>
      </c>
      <c r="BO29" s="131" t="b">
        <f t="shared" si="26"/>
        <v>1</v>
      </c>
      <c r="BP29" s="121"/>
      <c r="BQ29" s="132" t="str">
        <f>VLOOKUP(A29,RAW_APS!A$3:O826,15,FALSE)</f>
        <v/>
      </c>
      <c r="BR29" s="120" t="b">
        <f t="shared" si="27"/>
        <v>1</v>
      </c>
      <c r="BS29" s="121"/>
      <c r="BT29" s="138" t="s">
        <v>244</v>
      </c>
      <c r="BU29" s="10" t="b">
        <f t="shared" si="28"/>
        <v>1</v>
      </c>
      <c r="BV29" s="120"/>
      <c r="BW29" s="120"/>
      <c r="BX29" s="120"/>
      <c r="BY29" s="120"/>
      <c r="BZ29" s="120"/>
      <c r="CA29" s="120"/>
      <c r="CB29" s="120"/>
      <c r="CC29" s="120"/>
    </row>
    <row r="30">
      <c r="A30" s="2" t="s">
        <v>331</v>
      </c>
      <c r="B30" s="100">
        <v>44547.0</v>
      </c>
      <c r="C30" s="101">
        <v>0.3417824074074074</v>
      </c>
      <c r="D30" s="102"/>
      <c r="E30" s="102"/>
      <c r="F30" s="102"/>
      <c r="G30" s="102"/>
      <c r="H30" s="102"/>
      <c r="I30" s="103"/>
      <c r="J30" s="103"/>
      <c r="K30" s="2" t="s">
        <v>52</v>
      </c>
      <c r="L30" s="100">
        <v>44547.0</v>
      </c>
      <c r="M30" s="101">
        <v>0.5028472222222222</v>
      </c>
      <c r="P30" s="104" t="b">
        <f>IFNA(IF(VLOOKUP($A30,'Add from APT'!$AA$2:$AC826,3,FALSE)&gt;0,TRUE,FALSE),"ER - NOT IN APT")</f>
        <v>1</v>
      </c>
      <c r="Q30" s="105" t="str">
        <f>IF(ISLOGICAL(P30),IF(P30,"ER - REPS IN APT", IFNA(VLOOKUP($A30,RAW_APT!$A$3:$M826,7,FALSE),"ER - NOT IN APT")),P30)</f>
        <v>ER - REPS IN APT</v>
      </c>
      <c r="R30" s="106" t="b">
        <f t="shared" si="2"/>
        <v>1</v>
      </c>
      <c r="S30" s="107">
        <f t="shared" si="3"/>
        <v>1</v>
      </c>
      <c r="T30" s="143"/>
      <c r="U30" s="142"/>
      <c r="V30" s="142"/>
      <c r="W30" s="142"/>
      <c r="X30" s="110" t="b">
        <f t="shared" si="4"/>
        <v>0</v>
      </c>
      <c r="Y30" s="111" t="b">
        <v>0</v>
      </c>
      <c r="Z30" s="104" t="str">
        <f t="shared" si="5"/>
        <v/>
      </c>
      <c r="AA30" s="112" t="b">
        <f t="shared" si="6"/>
        <v>0</v>
      </c>
      <c r="AB30" s="142" t="b">
        <v>0</v>
      </c>
      <c r="AC30" s="140">
        <v>757.0</v>
      </c>
      <c r="AD30" s="141" t="b">
        <v>0</v>
      </c>
      <c r="AE30" s="115">
        <f t="shared" si="7"/>
        <v>231.9333333</v>
      </c>
      <c r="AF30" s="116" t="b">
        <f t="shared" si="8"/>
        <v>0</v>
      </c>
      <c r="AG30" s="105" t="b">
        <f t="shared" si="9"/>
        <v>0</v>
      </c>
      <c r="AH30" s="140"/>
      <c r="AI30" s="140">
        <v>4.0</v>
      </c>
      <c r="AJ30" s="140"/>
      <c r="AK30" s="117" t="str">
        <f t="shared" si="10"/>
        <v>Positive</v>
      </c>
      <c r="AL30" s="142"/>
      <c r="AM30" s="112" t="s">
        <v>328</v>
      </c>
      <c r="AN30" s="112" t="s">
        <v>329</v>
      </c>
      <c r="AO30" s="112" t="str">
        <f>IFERROR(__xludf.DUMMYFUNCTION("IF($AG30, ""DELETED"",TRIM(JOIN("" "",D30:E30)))"),"")</f>
        <v/>
      </c>
      <c r="AP30" s="112" t="str">
        <f t="shared" ref="AP30:AQ30" si="55">IF($AG30, "DELETED", TRIM(CONCATENATE(F30,I30,U30)))</f>
        <v/>
      </c>
      <c r="AQ30" s="112" t="str">
        <f t="shared" si="55"/>
        <v/>
      </c>
      <c r="AR30" s="112" t="str">
        <f>IFERROR(__xludf.DUMMYFUNCTION("IF($AG30, ""DELETED"", TRIM(JOIN("" "",AP30,AQ30)))"),"")</f>
        <v/>
      </c>
      <c r="AS30" s="118"/>
      <c r="AT30" s="110" t="b">
        <f t="shared" si="12"/>
        <v>0</v>
      </c>
      <c r="AU30" s="110" t="str">
        <f t="shared" si="13"/>
        <v/>
      </c>
      <c r="AV30" s="110" t="str">
        <f t="shared" si="14"/>
        <v/>
      </c>
      <c r="AW30" s="110" t="str">
        <f t="shared" si="15"/>
        <v/>
      </c>
      <c r="AX30" s="119" t="str">
        <f t="shared" si="16"/>
        <v/>
      </c>
      <c r="AY30" s="120"/>
      <c r="AZ30" s="121"/>
      <c r="BA30" s="122" t="str">
        <f t="shared" si="17"/>
        <v/>
      </c>
      <c r="BB30" s="34"/>
      <c r="BC30" s="121"/>
      <c r="BD30" s="136"/>
      <c r="BE30" s="125" t="str">
        <f t="shared" si="18"/>
        <v/>
      </c>
      <c r="BF30" s="126" t="str">
        <f t="shared" si="19"/>
        <v>MA1043__44547_0.341782407407407</v>
      </c>
      <c r="BG30" s="127" t="str">
        <f t="shared" si="20"/>
        <v/>
      </c>
      <c r="BH30" s="137" t="s">
        <v>332</v>
      </c>
      <c r="BI30" s="128" t="str">
        <f t="shared" si="21"/>
        <v>FM1909</v>
      </c>
      <c r="BJ30" s="129" t="b">
        <f t="shared" si="22"/>
        <v>0</v>
      </c>
      <c r="BK30" s="128" t="str">
        <f t="shared" si="23"/>
        <v/>
      </c>
      <c r="BL30" s="121"/>
      <c r="BM30" s="5" t="str">
        <f t="shared" si="24"/>
        <v>MISSING</v>
      </c>
      <c r="BN30" s="120" t="b">
        <f t="shared" si="25"/>
        <v>0</v>
      </c>
      <c r="BO30" s="131" t="b">
        <f t="shared" si="26"/>
        <v>1</v>
      </c>
      <c r="BP30" s="121"/>
      <c r="BQ30" s="132" t="str">
        <f>VLOOKUP(A30,RAW_APS!A$3:O826,15,FALSE)</f>
        <v/>
      </c>
      <c r="BR30" s="120" t="b">
        <f t="shared" si="27"/>
        <v>1</v>
      </c>
      <c r="BS30" s="121"/>
      <c r="BT30" s="138" t="s">
        <v>52</v>
      </c>
      <c r="BU30" s="10" t="b">
        <f t="shared" si="28"/>
        <v>1</v>
      </c>
      <c r="BV30" s="120"/>
      <c r="BW30" s="120"/>
      <c r="BX30" s="120"/>
      <c r="BY30" s="120"/>
      <c r="BZ30" s="120"/>
      <c r="CA30" s="120"/>
      <c r="CB30" s="120"/>
      <c r="CC30" s="120"/>
    </row>
    <row r="31">
      <c r="A31" s="2" t="s">
        <v>333</v>
      </c>
      <c r="B31" s="100">
        <v>44547.0</v>
      </c>
      <c r="C31" s="101">
        <v>0.3417824074074074</v>
      </c>
      <c r="D31" s="102"/>
      <c r="E31" s="102"/>
      <c r="F31" s="102"/>
      <c r="G31" s="102"/>
      <c r="H31" s="102"/>
      <c r="I31" s="103"/>
      <c r="J31" s="103"/>
      <c r="K31" s="2" t="s">
        <v>254</v>
      </c>
      <c r="L31" s="11"/>
      <c r="M31" s="11"/>
      <c r="N31" s="11"/>
      <c r="O31" s="11"/>
      <c r="P31" s="104" t="str">
        <f>IFNA(IF(VLOOKUP($A31,'Add from APT'!$AA$2:$AC826,3,FALSE)&gt;0,TRUE,FALSE),"ER - NOT IN APT")</f>
        <v>ER - NOT IN APT</v>
      </c>
      <c r="Q31" s="105" t="str">
        <f>IF(ISLOGICAL(P31),IF(P31,"ER - REPS IN APT", IFNA(VLOOKUP($A31,RAW_APT!$A$3:$M826,7,FALSE),"ER - NOT IN APT")),P31)</f>
        <v>ER - NOT IN APT</v>
      </c>
      <c r="R31" s="106" t="b">
        <f t="shared" si="2"/>
        <v>1</v>
      </c>
      <c r="S31" s="107">
        <f t="shared" si="3"/>
        <v>1</v>
      </c>
      <c r="T31" s="108"/>
      <c r="U31" s="109"/>
      <c r="V31" s="109"/>
      <c r="W31" s="109"/>
      <c r="X31" s="110" t="b">
        <f t="shared" si="4"/>
        <v>0</v>
      </c>
      <c r="Y31" s="111" t="b">
        <v>1</v>
      </c>
      <c r="Z31" s="104" t="str">
        <f t="shared" si="5"/>
        <v/>
      </c>
      <c r="AA31" s="112" t="b">
        <f t="shared" si="6"/>
        <v>0</v>
      </c>
      <c r="AB31" s="109" t="b">
        <v>0</v>
      </c>
      <c r="AC31" s="113">
        <v>759.0</v>
      </c>
      <c r="AD31" s="114" t="b">
        <v>0</v>
      </c>
      <c r="AE31" s="115" t="str">
        <f t="shared" si="7"/>
        <v/>
      </c>
      <c r="AF31" s="116" t="b">
        <f t="shared" si="8"/>
        <v>0</v>
      </c>
      <c r="AG31" s="105" t="b">
        <f t="shared" si="9"/>
        <v>1</v>
      </c>
      <c r="AH31" s="113">
        <v>5.3</v>
      </c>
      <c r="AI31" s="113"/>
      <c r="AJ31" s="113"/>
      <c r="AK31" s="117" t="str">
        <f t="shared" si="10"/>
        <v>DELETED</v>
      </c>
      <c r="AL31" s="109"/>
      <c r="AM31" s="112" t="s">
        <v>245</v>
      </c>
      <c r="AN31" s="112" t="s">
        <v>245</v>
      </c>
      <c r="AO31" s="112" t="str">
        <f>IFERROR(__xludf.DUMMYFUNCTION("IF($AG31, ""DELETED"",TRIM(JOIN("" "",D31:E31)))"),"DELETED")</f>
        <v>DELETED</v>
      </c>
      <c r="AP31" s="112" t="str">
        <f t="shared" ref="AP31:AQ31" si="56">IF($AG31, "DELETED", TRIM(CONCATENATE(F31,I31,U31)))</f>
        <v>DELETED</v>
      </c>
      <c r="AQ31" s="112" t="str">
        <f t="shared" si="56"/>
        <v>DELETED</v>
      </c>
      <c r="AR31" s="112" t="str">
        <f>IFERROR(__xludf.DUMMYFUNCTION("IF($AG31, ""DELETED"", TRIM(JOIN("" "",AP31,AQ31)))"),"DELETED")</f>
        <v>DELETED</v>
      </c>
      <c r="AS31" s="118"/>
      <c r="AT31" s="110" t="b">
        <f t="shared" si="12"/>
        <v>1</v>
      </c>
      <c r="AU31" s="110" t="str">
        <f t="shared" si="13"/>
        <v/>
      </c>
      <c r="AV31" s="110" t="str">
        <f t="shared" si="14"/>
        <v/>
      </c>
      <c r="AW31" s="110" t="str">
        <f t="shared" si="15"/>
        <v/>
      </c>
      <c r="AX31" s="119" t="str">
        <f t="shared" si="16"/>
        <v/>
      </c>
      <c r="AY31" s="120"/>
      <c r="AZ31" s="121"/>
      <c r="BA31" s="122" t="b">
        <f t="shared" si="17"/>
        <v>1</v>
      </c>
      <c r="BB31" s="34"/>
      <c r="BC31" s="121"/>
      <c r="BD31" s="136"/>
      <c r="BE31" s="125" t="str">
        <f t="shared" si="18"/>
        <v/>
      </c>
      <c r="BF31" s="126" t="str">
        <f t="shared" si="19"/>
        <v>MA1043DEL__44547_0.341782407407407</v>
      </c>
      <c r="BG31" s="127" t="str">
        <f t="shared" si="20"/>
        <v/>
      </c>
      <c r="BH31" s="137" t="s">
        <v>334</v>
      </c>
      <c r="BI31" s="128" t="str">
        <f t="shared" si="21"/>
        <v>FM1917</v>
      </c>
      <c r="BJ31" s="129" t="b">
        <f t="shared" si="22"/>
        <v>0</v>
      </c>
      <c r="BK31" s="128" t="str">
        <f t="shared" si="23"/>
        <v/>
      </c>
      <c r="BL31" s="121"/>
      <c r="BM31" s="5" t="str">
        <f t="shared" si="24"/>
        <v/>
      </c>
      <c r="BN31" s="120" t="b">
        <f t="shared" si="25"/>
        <v>0</v>
      </c>
      <c r="BO31" s="131" t="b">
        <f t="shared" si="26"/>
        <v>0</v>
      </c>
      <c r="BP31" s="121"/>
      <c r="BQ31" s="132" t="str">
        <f>VLOOKUP(A31,RAW_APS!A$3:O826,15,FALSE)</f>
        <v>#N/A</v>
      </c>
      <c r="BR31" s="120" t="str">
        <f t="shared" si="27"/>
        <v>***TUBE ID NOT FOUND</v>
      </c>
      <c r="BS31" s="121"/>
      <c r="BT31" s="138" t="s">
        <v>245</v>
      </c>
      <c r="BU31" s="10" t="b">
        <f t="shared" si="28"/>
        <v>1</v>
      </c>
      <c r="BV31" s="120"/>
      <c r="BW31" s="120"/>
      <c r="BX31" s="120"/>
      <c r="BY31" s="120"/>
      <c r="BZ31" s="120"/>
      <c r="CA31" s="120"/>
      <c r="CB31" s="120"/>
      <c r="CC31" s="120"/>
    </row>
    <row r="32">
      <c r="A32" s="2" t="s">
        <v>335</v>
      </c>
      <c r="B32" s="100">
        <v>44547.0</v>
      </c>
      <c r="C32" s="101">
        <v>0.37118055555555557</v>
      </c>
      <c r="D32" s="102"/>
      <c r="E32" s="102"/>
      <c r="F32" s="102"/>
      <c r="G32" s="102"/>
      <c r="H32" s="102"/>
      <c r="I32" s="103"/>
      <c r="J32" s="103"/>
      <c r="K32" s="2" t="s">
        <v>244</v>
      </c>
      <c r="L32" s="100">
        <v>44547.0</v>
      </c>
      <c r="M32" s="101">
        <v>0.41434027777777777</v>
      </c>
      <c r="P32" s="104" t="b">
        <f>IFNA(IF(VLOOKUP($A32,'Add from APT'!$AA$2:$AC826,3,FALSE)&gt;0,TRUE,FALSE),"ER - NOT IN APT")</f>
        <v>0</v>
      </c>
      <c r="Q32" s="105" t="str">
        <f>IF(ISLOGICAL(P32),IF(P32,"ER - REPS IN APT", IFNA(VLOOKUP($A32,RAW_APT!$A$3:$M826,7,FALSE),"ER - NOT IN APT")),P32)</f>
        <v>Result</v>
      </c>
      <c r="R32" s="106" t="b">
        <f t="shared" si="2"/>
        <v>1</v>
      </c>
      <c r="S32" s="107">
        <f t="shared" si="3"/>
        <v>1</v>
      </c>
      <c r="T32" s="143"/>
      <c r="U32" s="142"/>
      <c r="V32" s="142"/>
      <c r="W32" s="142"/>
      <c r="X32" s="110" t="b">
        <f t="shared" si="4"/>
        <v>0</v>
      </c>
      <c r="Y32" s="111" t="b">
        <v>0</v>
      </c>
      <c r="Z32" s="104" t="str">
        <f t="shared" si="5"/>
        <v/>
      </c>
      <c r="AA32" s="112" t="b">
        <f t="shared" si="6"/>
        <v>0</v>
      </c>
      <c r="AB32" s="142" t="b">
        <v>0</v>
      </c>
      <c r="AC32" s="140">
        <v>758.0</v>
      </c>
      <c r="AD32" s="141" t="b">
        <v>0</v>
      </c>
      <c r="AE32" s="115">
        <f t="shared" si="7"/>
        <v>62.15</v>
      </c>
      <c r="AF32" s="116" t="b">
        <f t="shared" si="8"/>
        <v>0</v>
      </c>
      <c r="AG32" s="105" t="b">
        <f t="shared" si="9"/>
        <v>0</v>
      </c>
      <c r="AH32" s="140"/>
      <c r="AI32" s="140"/>
      <c r="AJ32" s="140"/>
      <c r="AK32" s="117" t="str">
        <f t="shared" si="10"/>
        <v>Negative</v>
      </c>
      <c r="AL32" s="142"/>
      <c r="AM32" s="112" t="s">
        <v>261</v>
      </c>
      <c r="AN32" s="112" t="s">
        <v>336</v>
      </c>
      <c r="AO32" s="112" t="str">
        <f>IFERROR(__xludf.DUMMYFUNCTION("IF($AG32, ""DELETED"",TRIM(JOIN("" "",D32:E32)))"),"")</f>
        <v/>
      </c>
      <c r="AP32" s="112" t="str">
        <f t="shared" ref="AP32:AQ32" si="57">IF($AG32, "DELETED", TRIM(CONCATENATE(F32,I32,U32)))</f>
        <v/>
      </c>
      <c r="AQ32" s="112" t="str">
        <f t="shared" si="57"/>
        <v/>
      </c>
      <c r="AR32" s="112" t="str">
        <f>IFERROR(__xludf.DUMMYFUNCTION("IF($AG32, ""DELETED"", TRIM(JOIN("" "",AP32,AQ32)))"),"")</f>
        <v/>
      </c>
      <c r="AS32" s="118"/>
      <c r="AT32" s="110" t="b">
        <f t="shared" si="12"/>
        <v>0</v>
      </c>
      <c r="AU32" s="110" t="str">
        <f t="shared" si="13"/>
        <v/>
      </c>
      <c r="AV32" s="110" t="str">
        <f t="shared" si="14"/>
        <v/>
      </c>
      <c r="AW32" s="110" t="str">
        <f t="shared" si="15"/>
        <v/>
      </c>
      <c r="AX32" s="119" t="str">
        <f t="shared" si="16"/>
        <v/>
      </c>
      <c r="AY32" s="120"/>
      <c r="AZ32" s="121"/>
      <c r="BA32" s="122" t="str">
        <f t="shared" si="17"/>
        <v/>
      </c>
      <c r="BB32" s="34"/>
      <c r="BC32" s="121"/>
      <c r="BD32" s="136"/>
      <c r="BE32" s="125" t="str">
        <f t="shared" si="18"/>
        <v/>
      </c>
      <c r="BF32" s="126" t="str">
        <f t="shared" si="19"/>
        <v>MA1036__44547_0.371180555555556</v>
      </c>
      <c r="BG32" s="127" t="str">
        <f t="shared" si="20"/>
        <v/>
      </c>
      <c r="BH32" s="137" t="s">
        <v>337</v>
      </c>
      <c r="BI32" s="128" t="str">
        <f t="shared" si="21"/>
        <v>FM2</v>
      </c>
      <c r="BJ32" s="129" t="b">
        <f t="shared" si="22"/>
        <v>0</v>
      </c>
      <c r="BK32" s="128" t="str">
        <f t="shared" si="23"/>
        <v/>
      </c>
      <c r="BL32" s="121"/>
      <c r="BM32" s="5" t="str">
        <f t="shared" si="24"/>
        <v>MISSING</v>
      </c>
      <c r="BN32" s="120" t="b">
        <f t="shared" si="25"/>
        <v>0</v>
      </c>
      <c r="BO32" s="131" t="b">
        <f t="shared" si="26"/>
        <v>1</v>
      </c>
      <c r="BP32" s="121"/>
      <c r="BQ32" s="132" t="str">
        <f>VLOOKUP(A32,RAW_APS!A$3:O826,15,FALSE)</f>
        <v/>
      </c>
      <c r="BR32" s="120" t="b">
        <f t="shared" si="27"/>
        <v>1</v>
      </c>
      <c r="BS32" s="121"/>
      <c r="BT32" s="138" t="s">
        <v>244</v>
      </c>
      <c r="BU32" s="10" t="b">
        <f t="shared" si="28"/>
        <v>1</v>
      </c>
      <c r="BV32" s="120"/>
      <c r="BW32" s="120"/>
      <c r="BX32" s="120"/>
      <c r="BY32" s="120"/>
      <c r="BZ32" s="120"/>
      <c r="CA32" s="120"/>
      <c r="CB32" s="120"/>
      <c r="CC32" s="120"/>
    </row>
    <row r="33">
      <c r="A33" s="2" t="s">
        <v>338</v>
      </c>
      <c r="B33" s="100">
        <v>44547.0</v>
      </c>
      <c r="C33" s="101">
        <v>0.4038310185185185</v>
      </c>
      <c r="D33" s="102"/>
      <c r="E33" s="102"/>
      <c r="F33" s="102"/>
      <c r="G33" s="102"/>
      <c r="H33" s="102"/>
      <c r="I33" s="103"/>
      <c r="J33" s="103"/>
      <c r="K33" s="2" t="s">
        <v>339</v>
      </c>
      <c r="L33" s="100">
        <v>44547.0</v>
      </c>
      <c r="M33" s="101">
        <v>0.4971759259259259</v>
      </c>
      <c r="P33" s="104" t="b">
        <f>IFNA(IF(VLOOKUP($A33,'Add from APT'!$AA$2:$AC826,3,FALSE)&gt;0,TRUE,FALSE),"ER - NOT IN APT")</f>
        <v>0</v>
      </c>
      <c r="Q33" s="105" t="str">
        <f>IF(ISLOGICAL(P33),IF(P33,"ER - REPS IN APT", IFNA(VLOOKUP($A33,RAW_APT!$A$3:$M826,7,FALSE),"ER - NOT IN APT")),P33)</f>
        <v>Result</v>
      </c>
      <c r="R33" s="106" t="b">
        <f t="shared" si="2"/>
        <v>1</v>
      </c>
      <c r="S33" s="107">
        <f t="shared" si="3"/>
        <v>1</v>
      </c>
      <c r="T33" s="108"/>
      <c r="U33" s="109"/>
      <c r="V33" s="109"/>
      <c r="W33" s="109"/>
      <c r="X33" s="110" t="b">
        <f t="shared" si="4"/>
        <v>0</v>
      </c>
      <c r="Y33" s="111" t="b">
        <v>0</v>
      </c>
      <c r="Z33" s="104" t="str">
        <f t="shared" si="5"/>
        <v/>
      </c>
      <c r="AA33" s="112" t="b">
        <f t="shared" si="6"/>
        <v>0</v>
      </c>
      <c r="AB33" s="109" t="b">
        <v>0</v>
      </c>
      <c r="AC33" s="113">
        <v>756.0</v>
      </c>
      <c r="AD33" s="114" t="b">
        <v>0</v>
      </c>
      <c r="AE33" s="115">
        <f t="shared" si="7"/>
        <v>134.4166667</v>
      </c>
      <c r="AF33" s="116" t="b">
        <f t="shared" si="8"/>
        <v>0</v>
      </c>
      <c r="AG33" s="105" t="b">
        <f t="shared" si="9"/>
        <v>1</v>
      </c>
      <c r="AH33" s="113">
        <v>2.0</v>
      </c>
      <c r="AI33" s="113"/>
      <c r="AJ33" s="113"/>
      <c r="AK33" s="117" t="str">
        <f t="shared" si="10"/>
        <v>DELETED</v>
      </c>
      <c r="AL33" s="109"/>
      <c r="AM33" s="112" t="s">
        <v>245</v>
      </c>
      <c r="AN33" s="112" t="s">
        <v>245</v>
      </c>
      <c r="AO33" s="112" t="str">
        <f>IFERROR(__xludf.DUMMYFUNCTION("IF($AG33, ""DELETED"",TRIM(JOIN("" "",D33:E33)))"),"DELETED")</f>
        <v>DELETED</v>
      </c>
      <c r="AP33" s="112" t="str">
        <f t="shared" ref="AP33:AQ33" si="58">IF($AG33, "DELETED", TRIM(CONCATENATE(F33,I33,U33)))</f>
        <v>DELETED</v>
      </c>
      <c r="AQ33" s="112" t="str">
        <f t="shared" si="58"/>
        <v>DELETED</v>
      </c>
      <c r="AR33" s="112" t="str">
        <f>IFERROR(__xludf.DUMMYFUNCTION("IF($AG33, ""DELETED"", TRIM(JOIN("" "",AP33,AQ33)))"),"DELETED")</f>
        <v>DELETED</v>
      </c>
      <c r="AS33" s="118"/>
      <c r="AT33" s="110" t="b">
        <f t="shared" si="12"/>
        <v>1</v>
      </c>
      <c r="AU33" s="110" t="str">
        <f t="shared" si="13"/>
        <v/>
      </c>
      <c r="AV33" s="110" t="str">
        <f t="shared" si="14"/>
        <v/>
      </c>
      <c r="AW33" s="110" t="str">
        <f t="shared" si="15"/>
        <v/>
      </c>
      <c r="AX33" s="119" t="str">
        <f t="shared" si="16"/>
        <v/>
      </c>
      <c r="AY33" s="120"/>
      <c r="AZ33" s="121"/>
      <c r="BA33" s="122" t="str">
        <f t="shared" si="17"/>
        <v/>
      </c>
      <c r="BB33" s="34"/>
      <c r="BC33" s="121"/>
      <c r="BD33" s="136"/>
      <c r="BE33" s="125" t="str">
        <f t="shared" si="18"/>
        <v/>
      </c>
      <c r="BF33" s="126" t="str">
        <f t="shared" si="19"/>
        <v>Testn__44547_0.403831018518519</v>
      </c>
      <c r="BG33" s="127" t="str">
        <f t="shared" si="20"/>
        <v/>
      </c>
      <c r="BH33" s="137" t="s">
        <v>340</v>
      </c>
      <c r="BI33" s="128" t="str">
        <f t="shared" si="21"/>
        <v>FM2041</v>
      </c>
      <c r="BJ33" s="129" t="b">
        <f t="shared" si="22"/>
        <v>0</v>
      </c>
      <c r="BK33" s="128" t="str">
        <f t="shared" si="23"/>
        <v/>
      </c>
      <c r="BL33" s="121"/>
      <c r="BM33" s="5" t="str">
        <f t="shared" si="24"/>
        <v/>
      </c>
      <c r="BN33" s="120" t="b">
        <f t="shared" si="25"/>
        <v>0</v>
      </c>
      <c r="BO33" s="131" t="b">
        <f t="shared" si="26"/>
        <v>0</v>
      </c>
      <c r="BP33" s="121"/>
      <c r="BQ33" s="132" t="str">
        <f>VLOOKUP(A33,RAW_APS!A$3:O826,15,FALSE)</f>
        <v/>
      </c>
      <c r="BR33" s="120" t="b">
        <f t="shared" si="27"/>
        <v>1</v>
      </c>
      <c r="BS33" s="121"/>
      <c r="BT33" s="138" t="s">
        <v>245</v>
      </c>
      <c r="BU33" s="10" t="b">
        <f t="shared" si="28"/>
        <v>1</v>
      </c>
      <c r="BV33" s="120"/>
      <c r="BW33" s="120"/>
      <c r="BX33" s="120"/>
      <c r="BY33" s="120"/>
      <c r="BZ33" s="120"/>
      <c r="CA33" s="120"/>
      <c r="CB33" s="120"/>
      <c r="CC33" s="120"/>
    </row>
    <row r="34">
      <c r="A34" s="2" t="s">
        <v>341</v>
      </c>
      <c r="B34" s="100">
        <v>44549.0</v>
      </c>
      <c r="C34" s="101">
        <v>0.3750115740740741</v>
      </c>
      <c r="D34" s="102"/>
      <c r="E34" s="102"/>
      <c r="F34" s="102"/>
      <c r="G34" s="102"/>
      <c r="H34" s="102"/>
      <c r="I34" s="103"/>
      <c r="J34" s="103"/>
      <c r="K34" s="2" t="s">
        <v>254</v>
      </c>
      <c r="L34" s="11"/>
      <c r="M34" s="11"/>
      <c r="N34" s="11"/>
      <c r="O34" s="11"/>
      <c r="P34" s="104" t="b">
        <f>IFNA(IF(VLOOKUP($A34,'Add from APT'!$AA$2:$AC826,3,FALSE)&gt;0,TRUE,FALSE),"ER - NOT IN APT")</f>
        <v>0</v>
      </c>
      <c r="Q34" s="105" t="str">
        <f>IF(ISLOGICAL(P34),IF(P34,"ER - REPS IN APT", IFNA(VLOOKUP($A34,RAW_APT!$A$3:$M826,7,FALSE),"ER - NOT IN APT")),P34)</f>
        <v>Collected</v>
      </c>
      <c r="R34" s="106" t="b">
        <f t="shared" si="2"/>
        <v>1</v>
      </c>
      <c r="S34" s="107">
        <f t="shared" si="3"/>
        <v>1</v>
      </c>
      <c r="T34" s="143"/>
      <c r="U34" s="142"/>
      <c r="V34" s="142"/>
      <c r="W34" s="142"/>
      <c r="X34" s="110" t="b">
        <f t="shared" si="4"/>
        <v>0</v>
      </c>
      <c r="Y34" s="111" t="b">
        <v>0</v>
      </c>
      <c r="Z34" s="104" t="str">
        <f t="shared" si="5"/>
        <v/>
      </c>
      <c r="AA34" s="112" t="b">
        <f t="shared" si="6"/>
        <v>0</v>
      </c>
      <c r="AB34" s="142" t="b">
        <v>0</v>
      </c>
      <c r="AC34" s="140">
        <v>755.0</v>
      </c>
      <c r="AD34" s="141" t="b">
        <v>0</v>
      </c>
      <c r="AE34" s="115" t="str">
        <f t="shared" si="7"/>
        <v/>
      </c>
      <c r="AF34" s="116" t="b">
        <f t="shared" si="8"/>
        <v>0</v>
      </c>
      <c r="AG34" s="105" t="b">
        <f t="shared" si="9"/>
        <v>1</v>
      </c>
      <c r="AH34" s="140">
        <v>9.1</v>
      </c>
      <c r="AI34" s="140"/>
      <c r="AJ34" s="140"/>
      <c r="AK34" s="117" t="str">
        <f t="shared" si="10"/>
        <v>DELETED</v>
      </c>
      <c r="AL34" s="142"/>
      <c r="AM34" s="112" t="s">
        <v>245</v>
      </c>
      <c r="AN34" s="112" t="s">
        <v>245</v>
      </c>
      <c r="AO34" s="112" t="str">
        <f>IFERROR(__xludf.DUMMYFUNCTION("IF($AG34, ""DELETED"",TRIM(JOIN("" "",D34:E34)))"),"DELETED")</f>
        <v>DELETED</v>
      </c>
      <c r="AP34" s="112" t="str">
        <f t="shared" ref="AP34:AQ34" si="59">IF($AG34, "DELETED", TRIM(CONCATENATE(F34,I34,U34)))</f>
        <v>DELETED</v>
      </c>
      <c r="AQ34" s="112" t="str">
        <f t="shared" si="59"/>
        <v>DELETED</v>
      </c>
      <c r="AR34" s="112" t="str">
        <f>IFERROR(__xludf.DUMMYFUNCTION("IF($AG34, ""DELETED"", TRIM(JOIN("" "",AP34,AQ34)))"),"DELETED")</f>
        <v>DELETED</v>
      </c>
      <c r="AS34" s="118"/>
      <c r="AT34" s="110" t="b">
        <f t="shared" si="12"/>
        <v>1</v>
      </c>
      <c r="AU34" s="110" t="str">
        <f t="shared" si="13"/>
        <v/>
      </c>
      <c r="AV34" s="110" t="str">
        <f t="shared" si="14"/>
        <v/>
      </c>
      <c r="AW34" s="110" t="str">
        <f t="shared" si="15"/>
        <v/>
      </c>
      <c r="AX34" s="119" t="str">
        <f t="shared" si="16"/>
        <v/>
      </c>
      <c r="AY34" s="120"/>
      <c r="AZ34" s="121"/>
      <c r="BA34" s="122" t="b">
        <f t="shared" si="17"/>
        <v>1</v>
      </c>
      <c r="BB34" s="34"/>
      <c r="BC34" s="121"/>
      <c r="BD34" s="136"/>
      <c r="BE34" s="125" t="str">
        <f t="shared" si="18"/>
        <v/>
      </c>
      <c r="BF34" s="126" t="str">
        <f t="shared" si="19"/>
        <v>MA631__44549_0.375011574074074</v>
      </c>
      <c r="BG34" s="127" t="str">
        <f t="shared" si="20"/>
        <v/>
      </c>
      <c r="BH34" s="137" t="s">
        <v>342</v>
      </c>
      <c r="BI34" s="128" t="str">
        <f t="shared" si="21"/>
        <v>FM2042</v>
      </c>
      <c r="BJ34" s="129" t="b">
        <f t="shared" si="22"/>
        <v>0</v>
      </c>
      <c r="BK34" s="128" t="str">
        <f t="shared" si="23"/>
        <v/>
      </c>
      <c r="BL34" s="121"/>
      <c r="BM34" s="5" t="str">
        <f t="shared" si="24"/>
        <v/>
      </c>
      <c r="BN34" s="120" t="b">
        <f t="shared" si="25"/>
        <v>0</v>
      </c>
      <c r="BO34" s="131" t="b">
        <f t="shared" si="26"/>
        <v>0</v>
      </c>
      <c r="BP34" s="121"/>
      <c r="BQ34" s="132" t="str">
        <f>VLOOKUP(A34,RAW_APS!A$3:O826,15,FALSE)</f>
        <v/>
      </c>
      <c r="BR34" s="120" t="b">
        <f t="shared" si="27"/>
        <v>1</v>
      </c>
      <c r="BS34" s="121"/>
      <c r="BT34" s="138" t="s">
        <v>245</v>
      </c>
      <c r="BU34" s="10" t="b">
        <f t="shared" si="28"/>
        <v>1</v>
      </c>
      <c r="BV34" s="120"/>
      <c r="BW34" s="120"/>
      <c r="BX34" s="120"/>
      <c r="BY34" s="120"/>
      <c r="BZ34" s="120"/>
      <c r="CA34" s="120"/>
      <c r="CB34" s="120"/>
      <c r="CC34" s="120"/>
    </row>
    <row r="35">
      <c r="A35" s="2" t="s">
        <v>343</v>
      </c>
      <c r="B35" s="100">
        <v>44549.0</v>
      </c>
      <c r="C35" s="101">
        <v>0.37657407407407406</v>
      </c>
      <c r="D35" s="102"/>
      <c r="E35" s="102"/>
      <c r="F35" s="102"/>
      <c r="G35" s="102"/>
      <c r="H35" s="102"/>
      <c r="I35" s="103"/>
      <c r="J35" s="103"/>
      <c r="K35" s="2" t="s">
        <v>254</v>
      </c>
      <c r="L35" s="11"/>
      <c r="M35" s="11"/>
      <c r="N35" s="11"/>
      <c r="O35" s="11"/>
      <c r="P35" s="104" t="b">
        <f>IFNA(IF(VLOOKUP($A35,'Add from APT'!$AA$2:$AC826,3,FALSE)&gt;0,TRUE,FALSE),"ER - NOT IN APT")</f>
        <v>0</v>
      </c>
      <c r="Q35" s="105" t="str">
        <f>IF(ISLOGICAL(P35),IF(P35,"ER - REPS IN APT", IFNA(VLOOKUP($A35,RAW_APT!$A$3:$M826,7,FALSE),"ER - NOT IN APT")),P35)</f>
        <v>Collected</v>
      </c>
      <c r="R35" s="106" t="b">
        <f t="shared" si="2"/>
        <v>1</v>
      </c>
      <c r="S35" s="107">
        <f t="shared" si="3"/>
        <v>1</v>
      </c>
      <c r="T35" s="143"/>
      <c r="U35" s="142"/>
      <c r="V35" s="142"/>
      <c r="W35" s="142"/>
      <c r="X35" s="110" t="b">
        <f t="shared" si="4"/>
        <v>0</v>
      </c>
      <c r="Y35" s="111" t="b">
        <v>0</v>
      </c>
      <c r="Z35" s="104" t="str">
        <f t="shared" si="5"/>
        <v/>
      </c>
      <c r="AA35" s="112" t="b">
        <f t="shared" si="6"/>
        <v>0</v>
      </c>
      <c r="AB35" s="142" t="b">
        <v>0</v>
      </c>
      <c r="AC35" s="140">
        <v>754.0</v>
      </c>
      <c r="AD35" s="141" t="b">
        <v>0</v>
      </c>
      <c r="AE35" s="115" t="str">
        <f t="shared" si="7"/>
        <v/>
      </c>
      <c r="AF35" s="116" t="b">
        <f t="shared" si="8"/>
        <v>0</v>
      </c>
      <c r="AG35" s="105" t="b">
        <f t="shared" si="9"/>
        <v>1</v>
      </c>
      <c r="AH35" s="140">
        <v>9.1</v>
      </c>
      <c r="AI35" s="140"/>
      <c r="AJ35" s="140"/>
      <c r="AK35" s="117" t="str">
        <f t="shared" si="10"/>
        <v>DELETED</v>
      </c>
      <c r="AL35" s="142"/>
      <c r="AM35" s="112" t="s">
        <v>245</v>
      </c>
      <c r="AN35" s="112" t="s">
        <v>245</v>
      </c>
      <c r="AO35" s="112" t="str">
        <f>IFERROR(__xludf.DUMMYFUNCTION("IF($AG35, ""DELETED"",TRIM(JOIN("" "",D35:E35)))"),"DELETED")</f>
        <v>DELETED</v>
      </c>
      <c r="AP35" s="112" t="str">
        <f t="shared" ref="AP35:AQ35" si="60">IF($AG35, "DELETED", TRIM(CONCATENATE(F35,I35,U35)))</f>
        <v>DELETED</v>
      </c>
      <c r="AQ35" s="112" t="str">
        <f t="shared" si="60"/>
        <v>DELETED</v>
      </c>
      <c r="AR35" s="112" t="str">
        <f>IFERROR(__xludf.DUMMYFUNCTION("IF($AG35, ""DELETED"", TRIM(JOIN("" "",AP35,AQ35)))"),"DELETED")</f>
        <v>DELETED</v>
      </c>
      <c r="AS35" s="118"/>
      <c r="AT35" s="110" t="b">
        <f t="shared" si="12"/>
        <v>1</v>
      </c>
      <c r="AU35" s="110" t="str">
        <f t="shared" si="13"/>
        <v/>
      </c>
      <c r="AV35" s="110" t="str">
        <f t="shared" si="14"/>
        <v/>
      </c>
      <c r="AW35" s="110" t="str">
        <f t="shared" si="15"/>
        <v/>
      </c>
      <c r="AX35" s="119" t="str">
        <f t="shared" si="16"/>
        <v/>
      </c>
      <c r="AY35" s="120"/>
      <c r="AZ35" s="121"/>
      <c r="BA35" s="122" t="b">
        <f t="shared" si="17"/>
        <v>1</v>
      </c>
      <c r="BB35" s="34"/>
      <c r="BC35" s="121"/>
      <c r="BD35" s="136"/>
      <c r="BE35" s="125" t="str">
        <f t="shared" si="18"/>
        <v/>
      </c>
      <c r="BF35" s="126" t="str">
        <f t="shared" si="19"/>
        <v>MA630__44549_0.376574074074074</v>
      </c>
      <c r="BG35" s="127" t="str">
        <f t="shared" si="20"/>
        <v/>
      </c>
      <c r="BH35" s="137" t="s">
        <v>344</v>
      </c>
      <c r="BI35" s="128" t="str">
        <f t="shared" si="21"/>
        <v>FM2044</v>
      </c>
      <c r="BJ35" s="129" t="b">
        <f t="shared" si="22"/>
        <v>0</v>
      </c>
      <c r="BK35" s="128" t="str">
        <f t="shared" si="23"/>
        <v/>
      </c>
      <c r="BL35" s="121"/>
      <c r="BM35" s="5" t="str">
        <f t="shared" si="24"/>
        <v/>
      </c>
      <c r="BN35" s="120" t="b">
        <f t="shared" si="25"/>
        <v>0</v>
      </c>
      <c r="BO35" s="131" t="b">
        <f t="shared" si="26"/>
        <v>0</v>
      </c>
      <c r="BP35" s="121"/>
      <c r="BQ35" s="132" t="str">
        <f>VLOOKUP(A35,RAW_APS!A$3:O826,15,FALSE)</f>
        <v/>
      </c>
      <c r="BR35" s="120" t="b">
        <f t="shared" si="27"/>
        <v>1</v>
      </c>
      <c r="BS35" s="121"/>
      <c r="BT35" s="138" t="s">
        <v>245</v>
      </c>
      <c r="BU35" s="10" t="b">
        <f t="shared" si="28"/>
        <v>1</v>
      </c>
      <c r="BV35" s="120"/>
      <c r="BW35" s="120"/>
      <c r="BX35" s="120"/>
      <c r="BY35" s="120"/>
      <c r="BZ35" s="120"/>
      <c r="CA35" s="120"/>
      <c r="CB35" s="120"/>
      <c r="CC35" s="120"/>
    </row>
    <row r="36">
      <c r="A36" s="2" t="s">
        <v>345</v>
      </c>
      <c r="B36" s="100">
        <v>44549.0</v>
      </c>
      <c r="C36" s="101">
        <v>0.8899537037037037</v>
      </c>
      <c r="D36" s="102"/>
      <c r="E36" s="102"/>
      <c r="F36" s="102"/>
      <c r="G36" s="102"/>
      <c r="H36" s="102"/>
      <c r="I36" s="103"/>
      <c r="J36" s="103"/>
      <c r="K36" s="2" t="s">
        <v>244</v>
      </c>
      <c r="L36" s="100">
        <v>44550.0</v>
      </c>
      <c r="M36" s="101">
        <v>0.4883449074074074</v>
      </c>
      <c r="P36" s="104" t="b">
        <f>IFNA(IF(VLOOKUP($A36,'Add from APT'!$AA$2:$AC826,3,FALSE)&gt;0,TRUE,FALSE),"ER - NOT IN APT")</f>
        <v>0</v>
      </c>
      <c r="Q36" s="105" t="str">
        <f>IF(ISLOGICAL(P36),IF(P36,"ER - REPS IN APT", IFNA(VLOOKUP($A36,RAW_APT!$A$3:$M826,7,FALSE),"ER - NOT IN APT")),P36)</f>
        <v>Result</v>
      </c>
      <c r="R36" s="106" t="b">
        <f t="shared" si="2"/>
        <v>1</v>
      </c>
      <c r="S36" s="107">
        <f t="shared" si="3"/>
        <v>1</v>
      </c>
      <c r="T36" s="143"/>
      <c r="U36" s="142"/>
      <c r="V36" s="142"/>
      <c r="W36" s="142"/>
      <c r="X36" s="110" t="b">
        <f t="shared" si="4"/>
        <v>0</v>
      </c>
      <c r="Y36" s="111" t="b">
        <v>0</v>
      </c>
      <c r="Z36" s="104" t="str">
        <f t="shared" si="5"/>
        <v/>
      </c>
      <c r="AA36" s="112" t="b">
        <f t="shared" si="6"/>
        <v>0</v>
      </c>
      <c r="AB36" s="142" t="b">
        <v>0</v>
      </c>
      <c r="AC36" s="140">
        <v>753.0</v>
      </c>
      <c r="AD36" s="141" t="b">
        <v>0</v>
      </c>
      <c r="AE36" s="115" t="str">
        <f t="shared" si="7"/>
        <v/>
      </c>
      <c r="AF36" s="116" t="b">
        <f t="shared" si="8"/>
        <v>0</v>
      </c>
      <c r="AG36" s="105" t="b">
        <f t="shared" si="9"/>
        <v>0</v>
      </c>
      <c r="AH36" s="140"/>
      <c r="AI36" s="140"/>
      <c r="AJ36" s="140"/>
      <c r="AK36" s="117" t="str">
        <f t="shared" si="10"/>
        <v>Negative</v>
      </c>
      <c r="AL36" s="142"/>
      <c r="AM36" s="112" t="s">
        <v>291</v>
      </c>
      <c r="AN36" s="112" t="s">
        <v>292</v>
      </c>
      <c r="AO36" s="112" t="str">
        <f>IFERROR(__xludf.DUMMYFUNCTION("IF($AG36, ""DELETED"",TRIM(JOIN("" "",D36:E36)))"),"")</f>
        <v/>
      </c>
      <c r="AP36" s="112" t="str">
        <f t="shared" ref="AP36:AQ36" si="61">IF($AG36, "DELETED", TRIM(CONCATENATE(F36,I36,U36)))</f>
        <v/>
      </c>
      <c r="AQ36" s="112" t="str">
        <f t="shared" si="61"/>
        <v/>
      </c>
      <c r="AR36" s="112" t="str">
        <f>IFERROR(__xludf.DUMMYFUNCTION("IF($AG36, ""DELETED"", TRIM(JOIN("" "",AP36,AQ36)))"),"")</f>
        <v/>
      </c>
      <c r="AS36" s="118"/>
      <c r="AT36" s="110" t="b">
        <f t="shared" si="12"/>
        <v>0</v>
      </c>
      <c r="AU36" s="110" t="str">
        <f t="shared" si="13"/>
        <v/>
      </c>
      <c r="AV36" s="110" t="str">
        <f t="shared" si="14"/>
        <v/>
      </c>
      <c r="AW36" s="110" t="str">
        <f t="shared" si="15"/>
        <v/>
      </c>
      <c r="AX36" s="119" t="str">
        <f t="shared" si="16"/>
        <v/>
      </c>
      <c r="AY36" s="120"/>
      <c r="AZ36" s="121"/>
      <c r="BA36" s="122" t="str">
        <f t="shared" si="17"/>
        <v/>
      </c>
      <c r="BB36" s="34"/>
      <c r="BC36" s="121"/>
      <c r="BD36" s="136"/>
      <c r="BE36" s="125" t="str">
        <f t="shared" si="18"/>
        <v/>
      </c>
      <c r="BF36" s="126" t="str">
        <f t="shared" si="19"/>
        <v>MA705__44549_0.889953703703704</v>
      </c>
      <c r="BG36" s="127" t="str">
        <f t="shared" si="20"/>
        <v/>
      </c>
      <c r="BH36" s="137" t="s">
        <v>346</v>
      </c>
      <c r="BI36" s="128" t="str">
        <f t="shared" si="21"/>
        <v>FM2045</v>
      </c>
      <c r="BJ36" s="129" t="b">
        <f t="shared" si="22"/>
        <v>0</v>
      </c>
      <c r="BK36" s="128" t="str">
        <f t="shared" si="23"/>
        <v/>
      </c>
      <c r="BL36" s="121"/>
      <c r="BM36" s="5" t="str">
        <f t="shared" si="24"/>
        <v>MISSING</v>
      </c>
      <c r="BN36" s="120" t="b">
        <f t="shared" si="25"/>
        <v>0</v>
      </c>
      <c r="BO36" s="131" t="b">
        <f t="shared" si="26"/>
        <v>1</v>
      </c>
      <c r="BP36" s="121"/>
      <c r="BQ36" s="132" t="str">
        <f>VLOOKUP(A36,RAW_APS!A$3:O826,15,FALSE)</f>
        <v/>
      </c>
      <c r="BR36" s="120" t="b">
        <f t="shared" si="27"/>
        <v>1</v>
      </c>
      <c r="BS36" s="121"/>
      <c r="BT36" s="138" t="s">
        <v>244</v>
      </c>
      <c r="BU36" s="10" t="b">
        <f t="shared" si="28"/>
        <v>1</v>
      </c>
      <c r="BV36" s="120"/>
      <c r="BW36" s="120"/>
      <c r="BX36" s="120"/>
      <c r="BY36" s="120"/>
      <c r="BZ36" s="120"/>
      <c r="CA36" s="120"/>
      <c r="CB36" s="120"/>
      <c r="CC36" s="120"/>
    </row>
    <row r="37">
      <c r="A37" s="2" t="s">
        <v>347</v>
      </c>
      <c r="B37" s="100">
        <v>44550.0</v>
      </c>
      <c r="C37" s="101">
        <v>0.31734953703703705</v>
      </c>
      <c r="D37" s="102"/>
      <c r="E37" s="102"/>
      <c r="F37" s="102"/>
      <c r="G37" s="102"/>
      <c r="H37" s="102"/>
      <c r="I37" s="103"/>
      <c r="J37" s="103"/>
      <c r="K37" s="2" t="s">
        <v>244</v>
      </c>
      <c r="L37" s="100">
        <v>44550.0</v>
      </c>
      <c r="M37" s="101">
        <v>0.4883449074074074</v>
      </c>
      <c r="P37" s="104" t="b">
        <f>IFNA(IF(VLOOKUP($A37,'Add from APT'!$AA$2:$AC826,3,FALSE)&gt;0,TRUE,FALSE),"ER - NOT IN APT")</f>
        <v>0</v>
      </c>
      <c r="Q37" s="105" t="str">
        <f>IF(ISLOGICAL(P37),IF(P37,"ER - REPS IN APT", IFNA(VLOOKUP($A37,RAW_APT!$A$3:$M826,7,FALSE),"ER - NOT IN APT")),P37)</f>
        <v>Result</v>
      </c>
      <c r="R37" s="106" t="b">
        <f t="shared" si="2"/>
        <v>1</v>
      </c>
      <c r="S37" s="107">
        <f t="shared" si="3"/>
        <v>1</v>
      </c>
      <c r="T37" s="143"/>
      <c r="U37" s="142"/>
      <c r="V37" s="142"/>
      <c r="W37" s="142"/>
      <c r="X37" s="110" t="b">
        <f t="shared" si="4"/>
        <v>0</v>
      </c>
      <c r="Y37" s="111" t="b">
        <v>0</v>
      </c>
      <c r="Z37" s="104" t="str">
        <f t="shared" si="5"/>
        <v/>
      </c>
      <c r="AA37" s="112" t="b">
        <f t="shared" si="6"/>
        <v>0</v>
      </c>
      <c r="AB37" s="142" t="b">
        <v>0</v>
      </c>
      <c r="AC37" s="140">
        <v>752.0</v>
      </c>
      <c r="AD37" s="141" t="b">
        <v>0</v>
      </c>
      <c r="AE37" s="115">
        <f t="shared" si="7"/>
        <v>246.2333333</v>
      </c>
      <c r="AF37" s="116" t="b">
        <f t="shared" si="8"/>
        <v>0</v>
      </c>
      <c r="AG37" s="105" t="b">
        <f t="shared" si="9"/>
        <v>0</v>
      </c>
      <c r="AH37" s="140"/>
      <c r="AI37" s="140"/>
      <c r="AJ37" s="140"/>
      <c r="AK37" s="117" t="str">
        <f t="shared" si="10"/>
        <v>Negative</v>
      </c>
      <c r="AL37" s="142"/>
      <c r="AM37" s="112" t="s">
        <v>287</v>
      </c>
      <c r="AN37" s="112" t="s">
        <v>288</v>
      </c>
      <c r="AO37" s="112" t="str">
        <f>IFERROR(__xludf.DUMMYFUNCTION("IF($AG37, ""DELETED"",TRIM(JOIN("" "",D37:E37)))"),"")</f>
        <v/>
      </c>
      <c r="AP37" s="112" t="str">
        <f t="shared" ref="AP37:AQ37" si="62">IF($AG37, "DELETED", TRIM(CONCATENATE(F37,I37,U37)))</f>
        <v/>
      </c>
      <c r="AQ37" s="112" t="str">
        <f t="shared" si="62"/>
        <v/>
      </c>
      <c r="AR37" s="112" t="str">
        <f>IFERROR(__xludf.DUMMYFUNCTION("IF($AG37, ""DELETED"", TRIM(JOIN("" "",AP37,AQ37)))"),"")</f>
        <v/>
      </c>
      <c r="AS37" s="118"/>
      <c r="AT37" s="110" t="b">
        <f t="shared" si="12"/>
        <v>0</v>
      </c>
      <c r="AU37" s="110" t="str">
        <f t="shared" si="13"/>
        <v/>
      </c>
      <c r="AV37" s="110" t="str">
        <f t="shared" si="14"/>
        <v/>
      </c>
      <c r="AW37" s="110" t="str">
        <f t="shared" si="15"/>
        <v/>
      </c>
      <c r="AX37" s="119" t="str">
        <f t="shared" si="16"/>
        <v/>
      </c>
      <c r="AY37" s="120"/>
      <c r="AZ37" s="121"/>
      <c r="BA37" s="122" t="str">
        <f t="shared" si="17"/>
        <v/>
      </c>
      <c r="BB37" s="34"/>
      <c r="BC37" s="121"/>
      <c r="BD37" s="136"/>
      <c r="BE37" s="125" t="str">
        <f t="shared" si="18"/>
        <v/>
      </c>
      <c r="BF37" s="126" t="str">
        <f t="shared" si="19"/>
        <v>MA1091__44550_0.317349537037037</v>
      </c>
      <c r="BG37" s="127" t="str">
        <f t="shared" si="20"/>
        <v/>
      </c>
      <c r="BH37" s="137" t="s">
        <v>348</v>
      </c>
      <c r="BI37" s="128" t="str">
        <f t="shared" si="21"/>
        <v>FM2046</v>
      </c>
      <c r="BJ37" s="129" t="b">
        <f t="shared" si="22"/>
        <v>0</v>
      </c>
      <c r="BK37" s="128" t="str">
        <f t="shared" si="23"/>
        <v/>
      </c>
      <c r="BL37" s="121"/>
      <c r="BM37" s="5" t="str">
        <f t="shared" si="24"/>
        <v>MISSING</v>
      </c>
      <c r="BN37" s="120" t="b">
        <f t="shared" si="25"/>
        <v>0</v>
      </c>
      <c r="BO37" s="131" t="b">
        <f t="shared" si="26"/>
        <v>1</v>
      </c>
      <c r="BP37" s="121"/>
      <c r="BQ37" s="132" t="str">
        <f>VLOOKUP(A37,RAW_APS!A$3:O826,15,FALSE)</f>
        <v/>
      </c>
      <c r="BR37" s="120" t="b">
        <f t="shared" si="27"/>
        <v>1</v>
      </c>
      <c r="BS37" s="121"/>
      <c r="BT37" s="138" t="s">
        <v>244</v>
      </c>
      <c r="BU37" s="10" t="b">
        <f t="shared" si="28"/>
        <v>1</v>
      </c>
      <c r="BV37" s="120"/>
      <c r="BW37" s="120"/>
      <c r="BX37" s="120"/>
      <c r="BY37" s="120"/>
      <c r="BZ37" s="120"/>
      <c r="CA37" s="120"/>
      <c r="CB37" s="120"/>
      <c r="CC37" s="120"/>
    </row>
    <row r="38">
      <c r="A38" s="2" t="s">
        <v>349</v>
      </c>
      <c r="B38" s="100">
        <v>44550.0</v>
      </c>
      <c r="C38" s="101">
        <v>0.33541666666666664</v>
      </c>
      <c r="D38" s="102"/>
      <c r="E38" s="102"/>
      <c r="F38" s="102"/>
      <c r="G38" s="102"/>
      <c r="H38" s="102"/>
      <c r="I38" s="103"/>
      <c r="J38" s="103"/>
      <c r="K38" s="2" t="s">
        <v>244</v>
      </c>
      <c r="L38" s="100">
        <v>44550.0</v>
      </c>
      <c r="M38" s="101">
        <v>0.4883449074074074</v>
      </c>
      <c r="P38" s="104" t="b">
        <f>IFNA(IF(VLOOKUP($A38,'Add from APT'!$AA$2:$AC826,3,FALSE)&gt;0,TRUE,FALSE),"ER - NOT IN APT")</f>
        <v>0</v>
      </c>
      <c r="Q38" s="105" t="str">
        <f>IF(ISLOGICAL(P38),IF(P38,"ER - REPS IN APT", IFNA(VLOOKUP($A38,RAW_APT!$A$3:$M826,7,FALSE),"ER - NOT IN APT")),P38)</f>
        <v>Result</v>
      </c>
      <c r="R38" s="106" t="b">
        <f t="shared" si="2"/>
        <v>1</v>
      </c>
      <c r="S38" s="107">
        <f t="shared" si="3"/>
        <v>1</v>
      </c>
      <c r="T38" s="143"/>
      <c r="U38" s="142"/>
      <c r="V38" s="142"/>
      <c r="W38" s="142"/>
      <c r="X38" s="110" t="b">
        <f t="shared" si="4"/>
        <v>0</v>
      </c>
      <c r="Y38" s="111" t="b">
        <v>0</v>
      </c>
      <c r="Z38" s="104" t="str">
        <f t="shared" si="5"/>
        <v/>
      </c>
      <c r="AA38" s="112" t="b">
        <f t="shared" si="6"/>
        <v>0</v>
      </c>
      <c r="AB38" s="142" t="b">
        <v>0</v>
      </c>
      <c r="AC38" s="140">
        <v>751.0</v>
      </c>
      <c r="AD38" s="141" t="b">
        <v>0</v>
      </c>
      <c r="AE38" s="115">
        <f t="shared" si="7"/>
        <v>220.2166667</v>
      </c>
      <c r="AF38" s="116" t="b">
        <f t="shared" si="8"/>
        <v>0</v>
      </c>
      <c r="AG38" s="105" t="b">
        <f t="shared" si="9"/>
        <v>0</v>
      </c>
      <c r="AH38" s="140"/>
      <c r="AI38" s="140"/>
      <c r="AJ38" s="140"/>
      <c r="AK38" s="117" t="str">
        <f t="shared" si="10"/>
        <v>Negative</v>
      </c>
      <c r="AL38" s="142"/>
      <c r="AM38" s="112" t="s">
        <v>295</v>
      </c>
      <c r="AN38" s="112" t="s">
        <v>296</v>
      </c>
      <c r="AO38" s="112" t="str">
        <f>IFERROR(__xludf.DUMMYFUNCTION("IF($AG38, ""DELETED"",TRIM(JOIN("" "",D38:E38)))"),"")</f>
        <v/>
      </c>
      <c r="AP38" s="112" t="str">
        <f t="shared" ref="AP38:AQ38" si="63">IF($AG38, "DELETED", TRIM(CONCATENATE(F38,I38,U38)))</f>
        <v/>
      </c>
      <c r="AQ38" s="112" t="str">
        <f t="shared" si="63"/>
        <v/>
      </c>
      <c r="AR38" s="112" t="str">
        <f>IFERROR(__xludf.DUMMYFUNCTION("IF($AG38, ""DELETED"", TRIM(JOIN("" "",AP38,AQ38)))"),"")</f>
        <v/>
      </c>
      <c r="AS38" s="118"/>
      <c r="AT38" s="110" t="b">
        <f t="shared" si="12"/>
        <v>0</v>
      </c>
      <c r="AU38" s="110" t="str">
        <f t="shared" si="13"/>
        <v/>
      </c>
      <c r="AV38" s="110" t="str">
        <f t="shared" si="14"/>
        <v/>
      </c>
      <c r="AW38" s="110" t="str">
        <f t="shared" si="15"/>
        <v/>
      </c>
      <c r="AX38" s="119" t="str">
        <f t="shared" si="16"/>
        <v/>
      </c>
      <c r="AY38" s="120"/>
      <c r="AZ38" s="121"/>
      <c r="BA38" s="122" t="str">
        <f t="shared" si="17"/>
        <v/>
      </c>
      <c r="BB38" s="34"/>
      <c r="BC38" s="121"/>
      <c r="BD38" s="136"/>
      <c r="BE38" s="125" t="str">
        <f t="shared" si="18"/>
        <v/>
      </c>
      <c r="BF38" s="126" t="str">
        <f t="shared" si="19"/>
        <v>MA1160__44550_0.335416666666667</v>
      </c>
      <c r="BG38" s="127" t="str">
        <f t="shared" si="20"/>
        <v/>
      </c>
      <c r="BH38" s="137" t="s">
        <v>350</v>
      </c>
      <c r="BI38" s="128" t="str">
        <f t="shared" si="21"/>
        <v>FM2048</v>
      </c>
      <c r="BJ38" s="129" t="b">
        <f t="shared" si="22"/>
        <v>0</v>
      </c>
      <c r="BK38" s="128" t="str">
        <f t="shared" si="23"/>
        <v/>
      </c>
      <c r="BL38" s="121"/>
      <c r="BM38" s="5" t="str">
        <f t="shared" si="24"/>
        <v>MISSING</v>
      </c>
      <c r="BN38" s="120" t="b">
        <f t="shared" si="25"/>
        <v>0</v>
      </c>
      <c r="BO38" s="131" t="b">
        <f t="shared" si="26"/>
        <v>1</v>
      </c>
      <c r="BP38" s="121"/>
      <c r="BQ38" s="132" t="str">
        <f>VLOOKUP(A38,RAW_APS!A$3:O826,15,FALSE)</f>
        <v/>
      </c>
      <c r="BR38" s="120" t="b">
        <f t="shared" si="27"/>
        <v>1</v>
      </c>
      <c r="BS38" s="121"/>
      <c r="BT38" s="138" t="s">
        <v>244</v>
      </c>
      <c r="BU38" s="10" t="b">
        <f t="shared" si="28"/>
        <v>1</v>
      </c>
      <c r="BV38" s="120"/>
      <c r="BW38" s="120"/>
      <c r="BX38" s="120"/>
      <c r="BY38" s="120"/>
      <c r="BZ38" s="120"/>
      <c r="CA38" s="120"/>
      <c r="CB38" s="120"/>
      <c r="CC38" s="120"/>
    </row>
    <row r="39">
      <c r="A39" s="2" t="s">
        <v>351</v>
      </c>
      <c r="B39" s="100">
        <v>44550.0</v>
      </c>
      <c r="C39" s="101">
        <v>0.3403009259259259</v>
      </c>
      <c r="D39" s="102"/>
      <c r="E39" s="102"/>
      <c r="F39" s="102"/>
      <c r="G39" s="102"/>
      <c r="H39" s="102"/>
      <c r="I39" s="103"/>
      <c r="J39" s="103"/>
      <c r="K39" s="2" t="s">
        <v>254</v>
      </c>
      <c r="L39" s="11"/>
      <c r="M39" s="11"/>
      <c r="N39" s="11"/>
      <c r="O39" s="11"/>
      <c r="P39" s="104" t="b">
        <f>IFNA(IF(VLOOKUP($A39,'Add from APT'!$AA$2:$AC826,3,FALSE)&gt;0,TRUE,FALSE),"ER - NOT IN APT")</f>
        <v>0</v>
      </c>
      <c r="Q39" s="105" t="str">
        <f>IF(ISLOGICAL(P39),IF(P39,"ER - REPS IN APT", IFNA(VLOOKUP($A39,RAW_APT!$A$3:$M826,7,FALSE),"ER - NOT IN APT")),P39)</f>
        <v>Collected</v>
      </c>
      <c r="R39" s="106" t="b">
        <f t="shared" si="2"/>
        <v>1</v>
      </c>
      <c r="S39" s="107">
        <f t="shared" si="3"/>
        <v>1</v>
      </c>
      <c r="T39" s="143"/>
      <c r="U39" s="142"/>
      <c r="V39" s="142"/>
      <c r="W39" s="142"/>
      <c r="X39" s="110" t="b">
        <f t="shared" si="4"/>
        <v>0</v>
      </c>
      <c r="Y39" s="111" t="b">
        <v>0</v>
      </c>
      <c r="Z39" s="104" t="str">
        <f t="shared" si="5"/>
        <v/>
      </c>
      <c r="AA39" s="112" t="b">
        <f t="shared" si="6"/>
        <v>0</v>
      </c>
      <c r="AB39" s="142" t="b">
        <v>0</v>
      </c>
      <c r="AC39" s="140">
        <v>750.0</v>
      </c>
      <c r="AD39" s="141" t="b">
        <v>0</v>
      </c>
      <c r="AE39" s="115" t="str">
        <f t="shared" si="7"/>
        <v/>
      </c>
      <c r="AF39" s="116" t="b">
        <f t="shared" si="8"/>
        <v>0</v>
      </c>
      <c r="AG39" s="105" t="b">
        <f t="shared" si="9"/>
        <v>1</v>
      </c>
      <c r="AH39" s="140">
        <v>9.1</v>
      </c>
      <c r="AI39" s="140"/>
      <c r="AJ39" s="140"/>
      <c r="AK39" s="117" t="str">
        <f t="shared" si="10"/>
        <v>DELETED</v>
      </c>
      <c r="AL39" s="142"/>
      <c r="AM39" s="112" t="s">
        <v>245</v>
      </c>
      <c r="AN39" s="112" t="s">
        <v>245</v>
      </c>
      <c r="AO39" s="112" t="str">
        <f>IFERROR(__xludf.DUMMYFUNCTION("IF($AG39, ""DELETED"",TRIM(JOIN("" "",D39:E39)))"),"DELETED")</f>
        <v>DELETED</v>
      </c>
      <c r="AP39" s="112" t="str">
        <f t="shared" ref="AP39:AQ39" si="64">IF($AG39, "DELETED", TRIM(CONCATENATE(F39,I39,U39)))</f>
        <v>DELETED</v>
      </c>
      <c r="AQ39" s="112" t="str">
        <f t="shared" si="64"/>
        <v>DELETED</v>
      </c>
      <c r="AR39" s="112" t="str">
        <f>IFERROR(__xludf.DUMMYFUNCTION("IF($AG39, ""DELETED"", TRIM(JOIN("" "",AP39,AQ39)))"),"DELETED")</f>
        <v>DELETED</v>
      </c>
      <c r="AS39" s="118"/>
      <c r="AT39" s="110" t="b">
        <f t="shared" si="12"/>
        <v>1</v>
      </c>
      <c r="AU39" s="110" t="str">
        <f t="shared" si="13"/>
        <v/>
      </c>
      <c r="AV39" s="110" t="str">
        <f t="shared" si="14"/>
        <v/>
      </c>
      <c r="AW39" s="110" t="str">
        <f t="shared" si="15"/>
        <v/>
      </c>
      <c r="AX39" s="119" t="str">
        <f t="shared" si="16"/>
        <v/>
      </c>
      <c r="AY39" s="120"/>
      <c r="AZ39" s="121"/>
      <c r="BA39" s="122" t="b">
        <f t="shared" si="17"/>
        <v>1</v>
      </c>
      <c r="BB39" s="34"/>
      <c r="BC39" s="121"/>
      <c r="BD39" s="136"/>
      <c r="BE39" s="125" t="str">
        <f t="shared" si="18"/>
        <v/>
      </c>
      <c r="BF39" s="126" t="str">
        <f t="shared" si="19"/>
        <v>MA1365__44550_0.340300925925926</v>
      </c>
      <c r="BG39" s="127" t="str">
        <f t="shared" si="20"/>
        <v/>
      </c>
      <c r="BH39" s="137" t="s">
        <v>352</v>
      </c>
      <c r="BI39" s="128" t="str">
        <f t="shared" si="21"/>
        <v>FM2049</v>
      </c>
      <c r="BJ39" s="129" t="b">
        <f t="shared" si="22"/>
        <v>0</v>
      </c>
      <c r="BK39" s="128" t="str">
        <f t="shared" si="23"/>
        <v/>
      </c>
      <c r="BL39" s="121"/>
      <c r="BM39" s="5" t="str">
        <f t="shared" si="24"/>
        <v/>
      </c>
      <c r="BN39" s="120" t="b">
        <f t="shared" si="25"/>
        <v>0</v>
      </c>
      <c r="BO39" s="131" t="b">
        <f t="shared" si="26"/>
        <v>0</v>
      </c>
      <c r="BP39" s="121"/>
      <c r="BQ39" s="132" t="str">
        <f>VLOOKUP(A39,RAW_APS!A$3:O826,15,FALSE)</f>
        <v/>
      </c>
      <c r="BR39" s="120" t="b">
        <f t="shared" si="27"/>
        <v>1</v>
      </c>
      <c r="BS39" s="121"/>
      <c r="BT39" s="138" t="s">
        <v>245</v>
      </c>
      <c r="BU39" s="10" t="b">
        <f t="shared" si="28"/>
        <v>1</v>
      </c>
      <c r="BV39" s="120"/>
      <c r="BW39" s="120"/>
      <c r="BX39" s="120"/>
      <c r="BY39" s="120"/>
      <c r="BZ39" s="120"/>
      <c r="CA39" s="120"/>
      <c r="CB39" s="120"/>
      <c r="CC39" s="120"/>
    </row>
    <row r="40">
      <c r="A40" s="2" t="s">
        <v>353</v>
      </c>
      <c r="B40" s="100">
        <v>44550.0</v>
      </c>
      <c r="C40" s="101">
        <v>0.3432986111111111</v>
      </c>
      <c r="D40" s="102"/>
      <c r="E40" s="102"/>
      <c r="F40" s="102"/>
      <c r="G40" s="102"/>
      <c r="H40" s="102"/>
      <c r="I40" s="103"/>
      <c r="J40" s="103"/>
      <c r="K40" s="2" t="s">
        <v>244</v>
      </c>
      <c r="L40" s="100">
        <v>44550.0</v>
      </c>
      <c r="M40" s="101">
        <v>0.4883449074074074</v>
      </c>
      <c r="P40" s="104" t="b">
        <f>IFNA(IF(VLOOKUP($A40,'Add from APT'!$AA$2:$AC826,3,FALSE)&gt;0,TRUE,FALSE),"ER - NOT IN APT")</f>
        <v>0</v>
      </c>
      <c r="Q40" s="105" t="str">
        <f>IF(ISLOGICAL(P40),IF(P40,"ER - REPS IN APT", IFNA(VLOOKUP($A40,RAW_APT!$A$3:$M826,7,FALSE),"ER - NOT IN APT")),P40)</f>
        <v>Result</v>
      </c>
      <c r="R40" s="106" t="b">
        <f t="shared" si="2"/>
        <v>1</v>
      </c>
      <c r="S40" s="107">
        <f t="shared" si="3"/>
        <v>1</v>
      </c>
      <c r="T40" s="143"/>
      <c r="U40" s="142"/>
      <c r="V40" s="142"/>
      <c r="W40" s="142"/>
      <c r="X40" s="110" t="b">
        <f t="shared" si="4"/>
        <v>0</v>
      </c>
      <c r="Y40" s="111" t="b">
        <v>0</v>
      </c>
      <c r="Z40" s="104" t="str">
        <f t="shared" si="5"/>
        <v/>
      </c>
      <c r="AA40" s="112" t="b">
        <f t="shared" si="6"/>
        <v>0</v>
      </c>
      <c r="AB40" s="142" t="b">
        <v>0</v>
      </c>
      <c r="AC40" s="140">
        <v>749.0</v>
      </c>
      <c r="AD40" s="141" t="b">
        <v>0</v>
      </c>
      <c r="AE40" s="115">
        <f t="shared" si="7"/>
        <v>208.8666667</v>
      </c>
      <c r="AF40" s="116" t="b">
        <f t="shared" si="8"/>
        <v>0</v>
      </c>
      <c r="AG40" s="105" t="b">
        <f t="shared" si="9"/>
        <v>0</v>
      </c>
      <c r="AH40" s="140"/>
      <c r="AI40" s="140"/>
      <c r="AJ40" s="140"/>
      <c r="AK40" s="117" t="str">
        <f t="shared" si="10"/>
        <v>Negative</v>
      </c>
      <c r="AL40" s="142"/>
      <c r="AM40" s="112" t="s">
        <v>310</v>
      </c>
      <c r="AN40" s="112" t="s">
        <v>311</v>
      </c>
      <c r="AO40" s="112" t="str">
        <f>IFERROR(__xludf.DUMMYFUNCTION("IF($AG40, ""DELETED"",TRIM(JOIN("" "",D40:E40)))"),"")</f>
        <v/>
      </c>
      <c r="AP40" s="112" t="str">
        <f t="shared" ref="AP40:AQ40" si="65">IF($AG40, "DELETED", TRIM(CONCATENATE(F40,I40,U40)))</f>
        <v/>
      </c>
      <c r="AQ40" s="112" t="str">
        <f t="shared" si="65"/>
        <v/>
      </c>
      <c r="AR40" s="112" t="str">
        <f>IFERROR(__xludf.DUMMYFUNCTION("IF($AG40, ""DELETED"", TRIM(JOIN("" "",AP40,AQ40)))"),"")</f>
        <v/>
      </c>
      <c r="AS40" s="118"/>
      <c r="AT40" s="110" t="b">
        <f t="shared" si="12"/>
        <v>0</v>
      </c>
      <c r="AU40" s="110" t="str">
        <f t="shared" si="13"/>
        <v/>
      </c>
      <c r="AV40" s="110" t="str">
        <f t="shared" si="14"/>
        <v/>
      </c>
      <c r="AW40" s="110" t="str">
        <f t="shared" si="15"/>
        <v/>
      </c>
      <c r="AX40" s="119" t="str">
        <f t="shared" si="16"/>
        <v/>
      </c>
      <c r="AY40" s="120"/>
      <c r="AZ40" s="121"/>
      <c r="BA40" s="122" t="str">
        <f t="shared" si="17"/>
        <v/>
      </c>
      <c r="BB40" s="34"/>
      <c r="BC40" s="121"/>
      <c r="BD40" s="136"/>
      <c r="BE40" s="125" t="str">
        <f t="shared" si="18"/>
        <v/>
      </c>
      <c r="BF40" s="126" t="str">
        <f t="shared" si="19"/>
        <v>MA542__44550_0.343298611111111</v>
      </c>
      <c r="BG40" s="127" t="str">
        <f t="shared" si="20"/>
        <v/>
      </c>
      <c r="BH40" s="137" t="s">
        <v>354</v>
      </c>
      <c r="BI40" s="128" t="str">
        <f t="shared" si="21"/>
        <v>FM2051</v>
      </c>
      <c r="BJ40" s="129" t="b">
        <f t="shared" si="22"/>
        <v>0</v>
      </c>
      <c r="BK40" s="128" t="str">
        <f t="shared" si="23"/>
        <v/>
      </c>
      <c r="BL40" s="121"/>
      <c r="BM40" s="5" t="str">
        <f t="shared" si="24"/>
        <v>MISSING</v>
      </c>
      <c r="BN40" s="120" t="b">
        <f t="shared" si="25"/>
        <v>0</v>
      </c>
      <c r="BO40" s="131" t="b">
        <f t="shared" si="26"/>
        <v>1</v>
      </c>
      <c r="BP40" s="121"/>
      <c r="BQ40" s="132" t="str">
        <f>VLOOKUP(A40,RAW_APS!A$3:O826,15,FALSE)</f>
        <v/>
      </c>
      <c r="BR40" s="120" t="b">
        <f t="shared" si="27"/>
        <v>1</v>
      </c>
      <c r="BS40" s="121"/>
      <c r="BT40" s="138" t="s">
        <v>244</v>
      </c>
      <c r="BU40" s="10" t="b">
        <f t="shared" si="28"/>
        <v>1</v>
      </c>
      <c r="BV40" s="120"/>
      <c r="BW40" s="120"/>
      <c r="BX40" s="120"/>
      <c r="BY40" s="120"/>
      <c r="BZ40" s="120"/>
      <c r="CA40" s="120"/>
      <c r="CB40" s="120"/>
      <c r="CC40" s="120"/>
    </row>
    <row r="41">
      <c r="A41" s="2" t="s">
        <v>355</v>
      </c>
      <c r="B41" s="100">
        <v>44550.0</v>
      </c>
      <c r="C41" s="101">
        <v>0.4013541666666667</v>
      </c>
      <c r="D41" s="102"/>
      <c r="E41" s="102"/>
      <c r="F41" s="102"/>
      <c r="G41" s="102"/>
      <c r="H41" s="102"/>
      <c r="I41" s="103"/>
      <c r="J41" s="103"/>
      <c r="K41" s="2" t="s">
        <v>244</v>
      </c>
      <c r="L41" s="100">
        <v>44550.0</v>
      </c>
      <c r="M41" s="101">
        <v>0.4883449074074074</v>
      </c>
      <c r="P41" s="104" t="b">
        <f>IFNA(IF(VLOOKUP($A41,'Add from APT'!$AA$2:$AC826,3,FALSE)&gt;0,TRUE,FALSE),"ER - NOT IN APT")</f>
        <v>1</v>
      </c>
      <c r="Q41" s="105" t="str">
        <f>IF(ISLOGICAL(P41),IF(P41,"ER - REPS IN APT", IFNA(VLOOKUP($A41,RAW_APT!$A$3:$M826,7,FALSE),"ER - NOT IN APT")),P41)</f>
        <v>ER - REPS IN APT</v>
      </c>
      <c r="R41" s="106" t="b">
        <f t="shared" si="2"/>
        <v>1</v>
      </c>
      <c r="S41" s="107">
        <f t="shared" si="3"/>
        <v>1</v>
      </c>
      <c r="T41" s="143"/>
      <c r="U41" s="142"/>
      <c r="V41" s="142"/>
      <c r="W41" s="142"/>
      <c r="X41" s="110" t="b">
        <f t="shared" si="4"/>
        <v>0</v>
      </c>
      <c r="Y41" s="111" t="b">
        <v>0</v>
      </c>
      <c r="Z41" s="104" t="str">
        <f t="shared" si="5"/>
        <v/>
      </c>
      <c r="AA41" s="112" t="b">
        <f t="shared" si="6"/>
        <v>0</v>
      </c>
      <c r="AB41" s="142" t="b">
        <v>0</v>
      </c>
      <c r="AC41" s="140">
        <v>745.0</v>
      </c>
      <c r="AD41" s="141" t="b">
        <v>0</v>
      </c>
      <c r="AE41" s="115">
        <f t="shared" si="7"/>
        <v>125.2666667</v>
      </c>
      <c r="AF41" s="116" t="b">
        <f t="shared" si="8"/>
        <v>0</v>
      </c>
      <c r="AG41" s="105" t="b">
        <f t="shared" si="9"/>
        <v>0</v>
      </c>
      <c r="AH41" s="140"/>
      <c r="AI41" s="140">
        <v>4.0</v>
      </c>
      <c r="AJ41" s="140"/>
      <c r="AK41" s="117" t="str">
        <f t="shared" si="10"/>
        <v>Negative</v>
      </c>
      <c r="AL41" s="141"/>
      <c r="AM41" s="112" t="s">
        <v>356</v>
      </c>
      <c r="AN41" s="112" t="s">
        <v>357</v>
      </c>
      <c r="AO41" s="112" t="str">
        <f>IFERROR(__xludf.DUMMYFUNCTION("IF($AG41, ""DELETED"",TRIM(JOIN("" "",D41:E41)))"),"")</f>
        <v/>
      </c>
      <c r="AP41" s="112" t="str">
        <f t="shared" ref="AP41:AQ41" si="66">IF($AG41, "DELETED", TRIM(CONCATENATE(F41,I41,U41)))</f>
        <v/>
      </c>
      <c r="AQ41" s="112" t="str">
        <f t="shared" si="66"/>
        <v/>
      </c>
      <c r="AR41" s="112" t="str">
        <f>IFERROR(__xludf.DUMMYFUNCTION("IF($AG41, ""DELETED"", TRIM(JOIN("" "",AP41,AQ41)))"),"")</f>
        <v/>
      </c>
      <c r="AS41" s="118"/>
      <c r="AT41" s="110" t="b">
        <f t="shared" si="12"/>
        <v>0</v>
      </c>
      <c r="AU41" s="110" t="str">
        <f t="shared" si="13"/>
        <v/>
      </c>
      <c r="AV41" s="110" t="str">
        <f t="shared" si="14"/>
        <v/>
      </c>
      <c r="AW41" s="110" t="str">
        <f t="shared" si="15"/>
        <v/>
      </c>
      <c r="AX41" s="119" t="str">
        <f t="shared" si="16"/>
        <v/>
      </c>
      <c r="AY41" s="120"/>
      <c r="AZ41" s="121"/>
      <c r="BA41" s="122" t="str">
        <f t="shared" si="17"/>
        <v/>
      </c>
      <c r="BB41" s="34"/>
      <c r="BC41" s="121"/>
      <c r="BD41" s="136"/>
      <c r="BE41" s="125" t="str">
        <f t="shared" si="18"/>
        <v/>
      </c>
      <c r="BF41" s="126" t="str">
        <f t="shared" si="19"/>
        <v>MA197__44550_0.401354166666667</v>
      </c>
      <c r="BG41" s="127" t="str">
        <f t="shared" si="20"/>
        <v/>
      </c>
      <c r="BH41" s="137" t="s">
        <v>358</v>
      </c>
      <c r="BI41" s="128" t="str">
        <f t="shared" si="21"/>
        <v>FM2054</v>
      </c>
      <c r="BJ41" s="129" t="b">
        <f t="shared" si="22"/>
        <v>0</v>
      </c>
      <c r="BK41" s="128" t="str">
        <f t="shared" si="23"/>
        <v/>
      </c>
      <c r="BL41" s="121"/>
      <c r="BM41" s="5" t="str">
        <f t="shared" si="24"/>
        <v>MISSING</v>
      </c>
      <c r="BN41" s="120" t="b">
        <f t="shared" si="25"/>
        <v>0</v>
      </c>
      <c r="BO41" s="131" t="b">
        <f t="shared" si="26"/>
        <v>1</v>
      </c>
      <c r="BP41" s="121"/>
      <c r="BQ41" s="132" t="str">
        <f>VLOOKUP(A41,RAW_APS!A$3:O826,15,FALSE)</f>
        <v/>
      </c>
      <c r="BR41" s="120" t="b">
        <f t="shared" si="27"/>
        <v>1</v>
      </c>
      <c r="BS41" s="121"/>
      <c r="BT41" s="138" t="s">
        <v>244</v>
      </c>
      <c r="BU41" s="10" t="b">
        <f t="shared" si="28"/>
        <v>1</v>
      </c>
      <c r="BV41" s="120"/>
      <c r="BW41" s="120"/>
      <c r="BX41" s="120"/>
      <c r="BY41" s="120"/>
      <c r="BZ41" s="120"/>
      <c r="CA41" s="120"/>
      <c r="CB41" s="120"/>
      <c r="CC41" s="120"/>
    </row>
    <row r="42">
      <c r="A42" s="2" t="s">
        <v>359</v>
      </c>
      <c r="B42" s="100">
        <v>44550.0</v>
      </c>
      <c r="C42" s="101">
        <v>0.4013541666666667</v>
      </c>
      <c r="D42" s="102"/>
      <c r="E42" s="102"/>
      <c r="F42" s="102"/>
      <c r="G42" s="102"/>
      <c r="H42" s="102"/>
      <c r="I42" s="103"/>
      <c r="J42" s="103"/>
      <c r="K42" s="2" t="s">
        <v>254</v>
      </c>
      <c r="L42" s="11"/>
      <c r="M42" s="11"/>
      <c r="N42" s="11"/>
      <c r="O42" s="11"/>
      <c r="P42" s="104" t="str">
        <f>IFNA(IF(VLOOKUP($A42,'Add from APT'!$AA$2:$AC826,3,FALSE)&gt;0,TRUE,FALSE),"ER - NOT IN APT")</f>
        <v>ER - NOT IN APT</v>
      </c>
      <c r="Q42" s="105" t="str">
        <f>IF(ISLOGICAL(P42),IF(P42,"ER - REPS IN APT", IFNA(VLOOKUP($A42,RAW_APT!$A$3:$M826,7,FALSE),"ER - NOT IN APT")),P42)</f>
        <v>ER - NOT IN APT</v>
      </c>
      <c r="R42" s="106" t="b">
        <f t="shared" si="2"/>
        <v>1</v>
      </c>
      <c r="S42" s="107">
        <f t="shared" si="3"/>
        <v>1</v>
      </c>
      <c r="T42" s="108"/>
      <c r="U42" s="109"/>
      <c r="V42" s="109"/>
      <c r="W42" s="109"/>
      <c r="X42" s="110" t="b">
        <f t="shared" si="4"/>
        <v>0</v>
      </c>
      <c r="Y42" s="111" t="b">
        <v>1</v>
      </c>
      <c r="Z42" s="104" t="str">
        <f t="shared" si="5"/>
        <v/>
      </c>
      <c r="AA42" s="112" t="b">
        <f t="shared" si="6"/>
        <v>0</v>
      </c>
      <c r="AB42" s="109" t="b">
        <v>0</v>
      </c>
      <c r="AC42" s="113">
        <v>748.0</v>
      </c>
      <c r="AD42" s="114" t="b">
        <v>0</v>
      </c>
      <c r="AE42" s="115" t="str">
        <f t="shared" si="7"/>
        <v/>
      </c>
      <c r="AF42" s="116" t="b">
        <f t="shared" si="8"/>
        <v>0</v>
      </c>
      <c r="AG42" s="105" t="b">
        <f t="shared" si="9"/>
        <v>1</v>
      </c>
      <c r="AH42" s="113">
        <v>5.3</v>
      </c>
      <c r="AI42" s="113"/>
      <c r="AJ42" s="113"/>
      <c r="AK42" s="117" t="str">
        <f t="shared" si="10"/>
        <v>DELETED</v>
      </c>
      <c r="AL42" s="109"/>
      <c r="AM42" s="112" t="s">
        <v>245</v>
      </c>
      <c r="AN42" s="112" t="s">
        <v>245</v>
      </c>
      <c r="AO42" s="112" t="str">
        <f>IFERROR(__xludf.DUMMYFUNCTION("IF($AG42, ""DELETED"",TRIM(JOIN("" "",D42:E42)))"),"DELETED")</f>
        <v>DELETED</v>
      </c>
      <c r="AP42" s="112" t="str">
        <f t="shared" ref="AP42:AQ42" si="67">IF($AG42, "DELETED", TRIM(CONCATENATE(F42,I42,U42)))</f>
        <v>DELETED</v>
      </c>
      <c r="AQ42" s="112" t="str">
        <f t="shared" si="67"/>
        <v>DELETED</v>
      </c>
      <c r="AR42" s="112" t="str">
        <f>IFERROR(__xludf.DUMMYFUNCTION("IF($AG42, ""DELETED"", TRIM(JOIN("" "",AP42,AQ42)))"),"DELETED")</f>
        <v>DELETED</v>
      </c>
      <c r="AS42" s="118"/>
      <c r="AT42" s="110" t="b">
        <f t="shared" si="12"/>
        <v>1</v>
      </c>
      <c r="AU42" s="110" t="str">
        <f t="shared" si="13"/>
        <v/>
      </c>
      <c r="AV42" s="110" t="str">
        <f t="shared" si="14"/>
        <v/>
      </c>
      <c r="AW42" s="110" t="str">
        <f t="shared" si="15"/>
        <v/>
      </c>
      <c r="AX42" s="119" t="str">
        <f t="shared" si="16"/>
        <v/>
      </c>
      <c r="AY42" s="120"/>
      <c r="AZ42" s="121"/>
      <c r="BA42" s="122" t="b">
        <f t="shared" si="17"/>
        <v>1</v>
      </c>
      <c r="BB42" s="34"/>
      <c r="BC42" s="121"/>
      <c r="BD42" s="136"/>
      <c r="BE42" s="125" t="str">
        <f t="shared" si="18"/>
        <v/>
      </c>
      <c r="BF42" s="126" t="str">
        <f t="shared" si="19"/>
        <v>MA197DEL__44550_0.401354166666667</v>
      </c>
      <c r="BG42" s="127" t="str">
        <f t="shared" si="20"/>
        <v/>
      </c>
      <c r="BH42" s="137" t="s">
        <v>360</v>
      </c>
      <c r="BI42" s="128" t="str">
        <f t="shared" si="21"/>
        <v>FM2055</v>
      </c>
      <c r="BJ42" s="129" t="b">
        <f t="shared" si="22"/>
        <v>0</v>
      </c>
      <c r="BK42" s="128" t="str">
        <f t="shared" si="23"/>
        <v/>
      </c>
      <c r="BL42" s="121"/>
      <c r="BM42" s="5" t="str">
        <f t="shared" si="24"/>
        <v/>
      </c>
      <c r="BN42" s="120" t="b">
        <f t="shared" si="25"/>
        <v>0</v>
      </c>
      <c r="BO42" s="131" t="b">
        <f t="shared" si="26"/>
        <v>0</v>
      </c>
      <c r="BP42" s="121"/>
      <c r="BQ42" s="132" t="str">
        <f>VLOOKUP(A42,RAW_APS!A$3:O826,15,FALSE)</f>
        <v>#N/A</v>
      </c>
      <c r="BR42" s="120" t="str">
        <f t="shared" si="27"/>
        <v>***TUBE ID NOT FOUND</v>
      </c>
      <c r="BS42" s="121"/>
      <c r="BT42" s="138" t="s">
        <v>245</v>
      </c>
      <c r="BU42" s="10" t="b">
        <f t="shared" si="28"/>
        <v>1</v>
      </c>
      <c r="BV42" s="120"/>
      <c r="BW42" s="120"/>
      <c r="BX42" s="120"/>
      <c r="BY42" s="120"/>
      <c r="BZ42" s="120"/>
      <c r="CA42" s="120"/>
      <c r="CB42" s="120"/>
      <c r="CC42" s="120"/>
    </row>
    <row r="43">
      <c r="A43" s="2" t="s">
        <v>361</v>
      </c>
      <c r="B43" s="100">
        <v>44550.0</v>
      </c>
      <c r="C43" s="101">
        <v>0.401875</v>
      </c>
      <c r="D43" s="102"/>
      <c r="E43" s="102"/>
      <c r="F43" s="102"/>
      <c r="G43" s="102"/>
      <c r="H43" s="102"/>
      <c r="I43" s="103"/>
      <c r="J43" s="103"/>
      <c r="K43" s="2" t="s">
        <v>244</v>
      </c>
      <c r="L43" s="100">
        <v>44550.0</v>
      </c>
      <c r="M43" s="101">
        <v>0.4883449074074074</v>
      </c>
      <c r="P43" s="104" t="b">
        <f>IFNA(IF(VLOOKUP($A43,'Add from APT'!$AA$2:$AC826,3,FALSE)&gt;0,TRUE,FALSE),"ER - NOT IN APT")</f>
        <v>1</v>
      </c>
      <c r="Q43" s="105" t="str">
        <f>IF(ISLOGICAL(P43),IF(P43,"ER - REPS IN APT", IFNA(VLOOKUP($A43,RAW_APT!$A$3:$M826,7,FALSE),"ER - NOT IN APT")),P43)</f>
        <v>ER - REPS IN APT</v>
      </c>
      <c r="R43" s="106" t="b">
        <f t="shared" si="2"/>
        <v>1</v>
      </c>
      <c r="S43" s="107">
        <f t="shared" si="3"/>
        <v>1</v>
      </c>
      <c r="T43" s="143"/>
      <c r="U43" s="142"/>
      <c r="V43" s="142"/>
      <c r="W43" s="142"/>
      <c r="X43" s="110" t="b">
        <f t="shared" si="4"/>
        <v>0</v>
      </c>
      <c r="Y43" s="111" t="b">
        <v>0</v>
      </c>
      <c r="Z43" s="104" t="str">
        <f t="shared" si="5"/>
        <v/>
      </c>
      <c r="AA43" s="112" t="b">
        <f t="shared" si="6"/>
        <v>0</v>
      </c>
      <c r="AB43" s="142" t="b">
        <v>0</v>
      </c>
      <c r="AC43" s="140">
        <v>744.0</v>
      </c>
      <c r="AD43" s="141" t="b">
        <v>0</v>
      </c>
      <c r="AE43" s="115">
        <f t="shared" si="7"/>
        <v>124.5166667</v>
      </c>
      <c r="AF43" s="116" t="b">
        <f t="shared" si="8"/>
        <v>0</v>
      </c>
      <c r="AG43" s="105" t="b">
        <f t="shared" si="9"/>
        <v>0</v>
      </c>
      <c r="AH43" s="140"/>
      <c r="AI43" s="140">
        <v>4.0</v>
      </c>
      <c r="AJ43" s="140"/>
      <c r="AK43" s="117" t="str">
        <f t="shared" si="10"/>
        <v>Negative</v>
      </c>
      <c r="AL43" s="141"/>
      <c r="AM43" s="112" t="s">
        <v>362</v>
      </c>
      <c r="AN43" s="112" t="s">
        <v>363</v>
      </c>
      <c r="AO43" s="112" t="str">
        <f>IFERROR(__xludf.DUMMYFUNCTION("IF($AG43, ""DELETED"",TRIM(JOIN("" "",D43:E43)))"),"")</f>
        <v/>
      </c>
      <c r="AP43" s="112" t="str">
        <f t="shared" ref="AP43:AQ43" si="68">IF($AG43, "DELETED", TRIM(CONCATENATE(F43,I43,U43)))</f>
        <v/>
      </c>
      <c r="AQ43" s="112" t="str">
        <f t="shared" si="68"/>
        <v/>
      </c>
      <c r="AR43" s="112" t="str">
        <f>IFERROR(__xludf.DUMMYFUNCTION("IF($AG43, ""DELETED"", TRIM(JOIN("" "",AP43,AQ43)))"),"")</f>
        <v/>
      </c>
      <c r="AS43" s="118"/>
      <c r="AT43" s="110" t="b">
        <f t="shared" si="12"/>
        <v>0</v>
      </c>
      <c r="AU43" s="110" t="str">
        <f t="shared" si="13"/>
        <v/>
      </c>
      <c r="AV43" s="110" t="str">
        <f t="shared" si="14"/>
        <v/>
      </c>
      <c r="AW43" s="110" t="str">
        <f t="shared" si="15"/>
        <v/>
      </c>
      <c r="AX43" s="119" t="str">
        <f t="shared" si="16"/>
        <v/>
      </c>
      <c r="AY43" s="120"/>
      <c r="AZ43" s="121"/>
      <c r="BA43" s="122" t="str">
        <f t="shared" si="17"/>
        <v/>
      </c>
      <c r="BB43" s="34"/>
      <c r="BC43" s="121"/>
      <c r="BD43" s="136"/>
      <c r="BE43" s="125" t="str">
        <f t="shared" si="18"/>
        <v/>
      </c>
      <c r="BF43" s="126" t="str">
        <f t="shared" si="19"/>
        <v>MA269__44550_0.401875</v>
      </c>
      <c r="BG43" s="127" t="str">
        <f t="shared" si="20"/>
        <v/>
      </c>
      <c r="BH43" s="137" t="s">
        <v>364</v>
      </c>
      <c r="BI43" s="128" t="str">
        <f t="shared" si="21"/>
        <v>FM2057</v>
      </c>
      <c r="BJ43" s="129" t="b">
        <f t="shared" si="22"/>
        <v>0</v>
      </c>
      <c r="BK43" s="128" t="str">
        <f t="shared" si="23"/>
        <v/>
      </c>
      <c r="BL43" s="121"/>
      <c r="BM43" s="5" t="str">
        <f t="shared" si="24"/>
        <v>MISSING</v>
      </c>
      <c r="BN43" s="120" t="b">
        <f t="shared" si="25"/>
        <v>0</v>
      </c>
      <c r="BO43" s="131" t="b">
        <f t="shared" si="26"/>
        <v>1</v>
      </c>
      <c r="BP43" s="121"/>
      <c r="BQ43" s="132" t="str">
        <f>VLOOKUP(A43,RAW_APS!A$3:O826,15,FALSE)</f>
        <v/>
      </c>
      <c r="BR43" s="120" t="b">
        <f t="shared" si="27"/>
        <v>1</v>
      </c>
      <c r="BS43" s="121"/>
      <c r="BT43" s="138" t="s">
        <v>244</v>
      </c>
      <c r="BU43" s="10" t="b">
        <f t="shared" si="28"/>
        <v>1</v>
      </c>
      <c r="BV43" s="120"/>
      <c r="BW43" s="120"/>
      <c r="BX43" s="120"/>
      <c r="BY43" s="120"/>
      <c r="BZ43" s="120"/>
      <c r="CA43" s="120"/>
      <c r="CB43" s="120"/>
      <c r="CC43" s="120"/>
    </row>
    <row r="44">
      <c r="A44" s="2" t="s">
        <v>365</v>
      </c>
      <c r="B44" s="100">
        <v>44550.0</v>
      </c>
      <c r="C44" s="101">
        <v>0.401875</v>
      </c>
      <c r="D44" s="102"/>
      <c r="E44" s="102"/>
      <c r="F44" s="102"/>
      <c r="G44" s="102"/>
      <c r="H44" s="102"/>
      <c r="I44" s="103"/>
      <c r="J44" s="103"/>
      <c r="K44" s="2" t="s">
        <v>254</v>
      </c>
      <c r="L44" s="11"/>
      <c r="M44" s="11"/>
      <c r="N44" s="11"/>
      <c r="O44" s="11"/>
      <c r="P44" s="104" t="str">
        <f>IFNA(IF(VLOOKUP($A44,'Add from APT'!$AA$2:$AC826,3,FALSE)&gt;0,TRUE,FALSE),"ER - NOT IN APT")</f>
        <v>ER - NOT IN APT</v>
      </c>
      <c r="Q44" s="105" t="str">
        <f>IF(ISLOGICAL(P44),IF(P44,"ER - REPS IN APT", IFNA(VLOOKUP($A44,RAW_APT!$A$3:$M826,7,FALSE),"ER - NOT IN APT")),P44)</f>
        <v>ER - NOT IN APT</v>
      </c>
      <c r="R44" s="106" t="b">
        <f t="shared" si="2"/>
        <v>1</v>
      </c>
      <c r="S44" s="107">
        <f t="shared" si="3"/>
        <v>1</v>
      </c>
      <c r="T44" s="108"/>
      <c r="U44" s="109"/>
      <c r="V44" s="109"/>
      <c r="W44" s="109"/>
      <c r="X44" s="110" t="b">
        <f t="shared" si="4"/>
        <v>0</v>
      </c>
      <c r="Y44" s="111" t="b">
        <v>1</v>
      </c>
      <c r="Z44" s="104" t="str">
        <f t="shared" si="5"/>
        <v/>
      </c>
      <c r="AA44" s="112" t="b">
        <f t="shared" si="6"/>
        <v>0</v>
      </c>
      <c r="AB44" s="109" t="b">
        <v>0</v>
      </c>
      <c r="AC44" s="113">
        <v>747.0</v>
      </c>
      <c r="AD44" s="114" t="b">
        <v>0</v>
      </c>
      <c r="AE44" s="115" t="str">
        <f t="shared" si="7"/>
        <v/>
      </c>
      <c r="AF44" s="116" t="b">
        <f t="shared" si="8"/>
        <v>0</v>
      </c>
      <c r="AG44" s="105" t="b">
        <f t="shared" si="9"/>
        <v>1</v>
      </c>
      <c r="AH44" s="113">
        <v>5.3</v>
      </c>
      <c r="AI44" s="113"/>
      <c r="AJ44" s="113"/>
      <c r="AK44" s="117" t="str">
        <f t="shared" si="10"/>
        <v>DELETED</v>
      </c>
      <c r="AL44" s="114"/>
      <c r="AM44" s="112" t="s">
        <v>245</v>
      </c>
      <c r="AN44" s="112" t="s">
        <v>245</v>
      </c>
      <c r="AO44" s="112" t="str">
        <f>IFERROR(__xludf.DUMMYFUNCTION("IF($AG44, ""DELETED"",TRIM(JOIN("" "",D44:E44)))"),"DELETED")</f>
        <v>DELETED</v>
      </c>
      <c r="AP44" s="112" t="str">
        <f t="shared" ref="AP44:AQ44" si="69">IF($AG44, "DELETED", TRIM(CONCATENATE(F44,I44,U44)))</f>
        <v>DELETED</v>
      </c>
      <c r="AQ44" s="112" t="str">
        <f t="shared" si="69"/>
        <v>DELETED</v>
      </c>
      <c r="AR44" s="112" t="str">
        <f>IFERROR(__xludf.DUMMYFUNCTION("IF($AG44, ""DELETED"", TRIM(JOIN("" "",AP44,AQ44)))"),"DELETED")</f>
        <v>DELETED</v>
      </c>
      <c r="AS44" s="118"/>
      <c r="AT44" s="110" t="b">
        <f t="shared" si="12"/>
        <v>1</v>
      </c>
      <c r="AU44" s="110" t="str">
        <f t="shared" si="13"/>
        <v/>
      </c>
      <c r="AV44" s="110" t="str">
        <f t="shared" si="14"/>
        <v/>
      </c>
      <c r="AW44" s="110" t="str">
        <f t="shared" si="15"/>
        <v/>
      </c>
      <c r="AX44" s="119" t="str">
        <f t="shared" si="16"/>
        <v/>
      </c>
      <c r="AY44" s="120"/>
      <c r="AZ44" s="121"/>
      <c r="BA44" s="122" t="b">
        <f t="shared" si="17"/>
        <v>1</v>
      </c>
      <c r="BB44" s="34"/>
      <c r="BC44" s="121"/>
      <c r="BD44" s="136"/>
      <c r="BE44" s="125" t="str">
        <f t="shared" si="18"/>
        <v/>
      </c>
      <c r="BF44" s="126" t="str">
        <f t="shared" si="19"/>
        <v>MA269DEL__44550_0.401875</v>
      </c>
      <c r="BG44" s="127" t="str">
        <f t="shared" si="20"/>
        <v/>
      </c>
      <c r="BH44" s="137" t="s">
        <v>366</v>
      </c>
      <c r="BI44" s="128" t="str">
        <f t="shared" si="21"/>
        <v>FM2059</v>
      </c>
      <c r="BJ44" s="129" t="b">
        <f t="shared" si="22"/>
        <v>0</v>
      </c>
      <c r="BK44" s="128" t="str">
        <f t="shared" si="23"/>
        <v/>
      </c>
      <c r="BL44" s="121"/>
      <c r="BM44" s="5" t="str">
        <f t="shared" si="24"/>
        <v/>
      </c>
      <c r="BN44" s="120" t="b">
        <f t="shared" si="25"/>
        <v>0</v>
      </c>
      <c r="BO44" s="131" t="b">
        <f t="shared" si="26"/>
        <v>0</v>
      </c>
      <c r="BP44" s="121"/>
      <c r="BQ44" s="132" t="str">
        <f>VLOOKUP(A44,RAW_APS!A$3:O826,15,FALSE)</f>
        <v>#N/A</v>
      </c>
      <c r="BR44" s="120" t="str">
        <f t="shared" si="27"/>
        <v>***TUBE ID NOT FOUND</v>
      </c>
      <c r="BS44" s="121"/>
      <c r="BT44" s="138" t="s">
        <v>245</v>
      </c>
      <c r="BU44" s="10" t="b">
        <f t="shared" si="28"/>
        <v>1</v>
      </c>
      <c r="BV44" s="120"/>
      <c r="BW44" s="120"/>
      <c r="BX44" s="120"/>
      <c r="BY44" s="120"/>
      <c r="BZ44" s="120"/>
      <c r="CA44" s="120"/>
      <c r="CB44" s="120"/>
      <c r="CC44" s="120"/>
    </row>
    <row r="45">
      <c r="A45" s="2" t="s">
        <v>367</v>
      </c>
      <c r="B45" s="100">
        <v>44550.0</v>
      </c>
      <c r="C45" s="101">
        <v>0.4363425925925926</v>
      </c>
      <c r="D45" s="102"/>
      <c r="E45" s="102"/>
      <c r="F45" s="102"/>
      <c r="G45" s="102"/>
      <c r="H45" s="102"/>
      <c r="I45" s="103"/>
      <c r="J45" s="103"/>
      <c r="K45" s="2" t="s">
        <v>244</v>
      </c>
      <c r="L45" s="100">
        <v>44550.0</v>
      </c>
      <c r="M45" s="101">
        <v>0.4883449074074074</v>
      </c>
      <c r="P45" s="104" t="b">
        <f>IFNA(IF(VLOOKUP($A45,'Add from APT'!$AA$2:$AC826,3,FALSE)&gt;0,TRUE,FALSE),"ER - NOT IN APT")</f>
        <v>0</v>
      </c>
      <c r="Q45" s="105" t="str">
        <f>IF(ISLOGICAL(P45),IF(P45,"ER - REPS IN APT", IFNA(VLOOKUP($A45,RAW_APT!$A$3:$M826,7,FALSE),"ER - NOT IN APT")),P45)</f>
        <v>Result</v>
      </c>
      <c r="R45" s="106" t="b">
        <f t="shared" si="2"/>
        <v>1</v>
      </c>
      <c r="S45" s="107">
        <f t="shared" si="3"/>
        <v>1</v>
      </c>
      <c r="T45" s="143"/>
      <c r="U45" s="142"/>
      <c r="V45" s="142"/>
      <c r="W45" s="142"/>
      <c r="X45" s="110" t="b">
        <f t="shared" si="4"/>
        <v>0</v>
      </c>
      <c r="Y45" s="111" t="b">
        <v>0</v>
      </c>
      <c r="Z45" s="104" t="str">
        <f t="shared" si="5"/>
        <v/>
      </c>
      <c r="AA45" s="112" t="b">
        <f t="shared" si="6"/>
        <v>0</v>
      </c>
      <c r="AB45" s="142" t="b">
        <v>0</v>
      </c>
      <c r="AC45" s="140">
        <v>746.0</v>
      </c>
      <c r="AD45" s="141" t="b">
        <v>0</v>
      </c>
      <c r="AE45" s="115">
        <f t="shared" si="7"/>
        <v>74.88333333</v>
      </c>
      <c r="AF45" s="116" t="b">
        <f t="shared" si="8"/>
        <v>0</v>
      </c>
      <c r="AG45" s="105" t="b">
        <f t="shared" si="9"/>
        <v>0</v>
      </c>
      <c r="AH45" s="140"/>
      <c r="AI45" s="140"/>
      <c r="AJ45" s="140"/>
      <c r="AK45" s="117" t="str">
        <f t="shared" si="10"/>
        <v>Negative</v>
      </c>
      <c r="AL45" s="141"/>
      <c r="AM45" s="112" t="s">
        <v>328</v>
      </c>
      <c r="AN45" s="112" t="s">
        <v>329</v>
      </c>
      <c r="AO45" s="112" t="str">
        <f>IFERROR(__xludf.DUMMYFUNCTION("IF($AG45, ""DELETED"",TRIM(JOIN("" "",D45:E45)))"),"")</f>
        <v/>
      </c>
      <c r="AP45" s="112" t="str">
        <f t="shared" ref="AP45:AQ45" si="70">IF($AG45, "DELETED", TRIM(CONCATENATE(F45,I45,U45)))</f>
        <v/>
      </c>
      <c r="AQ45" s="112" t="str">
        <f t="shared" si="70"/>
        <v/>
      </c>
      <c r="AR45" s="112" t="str">
        <f>IFERROR(__xludf.DUMMYFUNCTION("IF($AG45, ""DELETED"", TRIM(JOIN("" "",AP45,AQ45)))"),"")</f>
        <v/>
      </c>
      <c r="AS45" s="118"/>
      <c r="AT45" s="110" t="b">
        <f t="shared" si="12"/>
        <v>0</v>
      </c>
      <c r="AU45" s="110" t="str">
        <f t="shared" si="13"/>
        <v/>
      </c>
      <c r="AV45" s="110" t="str">
        <f t="shared" si="14"/>
        <v/>
      </c>
      <c r="AW45" s="110" t="str">
        <f t="shared" si="15"/>
        <v/>
      </c>
      <c r="AX45" s="119" t="str">
        <f t="shared" si="16"/>
        <v/>
      </c>
      <c r="AY45" s="120"/>
      <c r="AZ45" s="121"/>
      <c r="BA45" s="122" t="str">
        <f t="shared" si="17"/>
        <v/>
      </c>
      <c r="BB45" s="34"/>
      <c r="BC45" s="121"/>
      <c r="BD45" s="136"/>
      <c r="BE45" s="125" t="str">
        <f t="shared" si="18"/>
        <v/>
      </c>
      <c r="BF45" s="126" t="str">
        <f t="shared" si="19"/>
        <v>MA1080__44550_0.436342592592593</v>
      </c>
      <c r="BG45" s="127" t="str">
        <f t="shared" si="20"/>
        <v/>
      </c>
      <c r="BH45" s="137" t="s">
        <v>368</v>
      </c>
      <c r="BI45" s="128" t="str">
        <f t="shared" si="21"/>
        <v>FM2060</v>
      </c>
      <c r="BJ45" s="129" t="b">
        <f t="shared" si="22"/>
        <v>0</v>
      </c>
      <c r="BK45" s="128" t="str">
        <f t="shared" si="23"/>
        <v/>
      </c>
      <c r="BL45" s="121"/>
      <c r="BM45" s="5" t="str">
        <f t="shared" si="24"/>
        <v>MISSING</v>
      </c>
      <c r="BN45" s="120" t="b">
        <f t="shared" si="25"/>
        <v>0</v>
      </c>
      <c r="BO45" s="131" t="b">
        <f t="shared" si="26"/>
        <v>1</v>
      </c>
      <c r="BP45" s="121"/>
      <c r="BQ45" s="132" t="str">
        <f>VLOOKUP(A45,RAW_APS!A$3:O826,15,FALSE)</f>
        <v/>
      </c>
      <c r="BR45" s="120" t="b">
        <f t="shared" si="27"/>
        <v>1</v>
      </c>
      <c r="BS45" s="121"/>
      <c r="BT45" s="138" t="s">
        <v>244</v>
      </c>
      <c r="BU45" s="10" t="b">
        <f t="shared" si="28"/>
        <v>1</v>
      </c>
      <c r="BV45" s="120"/>
      <c r="BW45" s="120"/>
      <c r="BX45" s="120"/>
      <c r="BY45" s="120"/>
      <c r="BZ45" s="120"/>
      <c r="CA45" s="120"/>
      <c r="CB45" s="120"/>
      <c r="CC45" s="120"/>
    </row>
    <row r="46">
      <c r="A46" s="2" t="s">
        <v>369</v>
      </c>
      <c r="B46" s="100">
        <v>44551.0</v>
      </c>
      <c r="C46" s="101">
        <v>0.18810185185185185</v>
      </c>
      <c r="D46" s="102"/>
      <c r="E46" s="102"/>
      <c r="F46" s="102"/>
      <c r="G46" s="102"/>
      <c r="H46" s="102"/>
      <c r="I46" s="103"/>
      <c r="J46" s="103"/>
      <c r="K46" s="2" t="s">
        <v>244</v>
      </c>
      <c r="L46" s="100">
        <v>44552.0</v>
      </c>
      <c r="M46" s="101">
        <v>0.4200462962962963</v>
      </c>
      <c r="P46" s="104" t="b">
        <f>IFNA(IF(VLOOKUP($A46,'Add from APT'!$AA$2:$AC826,3,FALSE)&gt;0,TRUE,FALSE),"ER - NOT IN APT")</f>
        <v>0</v>
      </c>
      <c r="Q46" s="105" t="str">
        <f>IF(ISLOGICAL(P46),IF(P46,"ER - REPS IN APT", IFNA(VLOOKUP($A46,RAW_APT!$A$3:$M826,7,FALSE),"ER - NOT IN APT")),P46)</f>
        <v>Result</v>
      </c>
      <c r="R46" s="106" t="b">
        <f t="shared" si="2"/>
        <v>1</v>
      </c>
      <c r="S46" s="107">
        <f t="shared" si="3"/>
        <v>1</v>
      </c>
      <c r="T46" s="143"/>
      <c r="U46" s="142"/>
      <c r="V46" s="142"/>
      <c r="W46" s="142"/>
      <c r="X46" s="110" t="b">
        <f t="shared" si="4"/>
        <v>0</v>
      </c>
      <c r="Y46" s="111" t="b">
        <v>0</v>
      </c>
      <c r="Z46" s="104" t="str">
        <f t="shared" si="5"/>
        <v/>
      </c>
      <c r="AA46" s="112" t="b">
        <f t="shared" si="6"/>
        <v>0</v>
      </c>
      <c r="AB46" s="142" t="b">
        <v>0</v>
      </c>
      <c r="AC46" s="140">
        <v>743.0</v>
      </c>
      <c r="AD46" s="141" t="b">
        <v>0</v>
      </c>
      <c r="AE46" s="115" t="str">
        <f t="shared" si="7"/>
        <v/>
      </c>
      <c r="AF46" s="116" t="b">
        <f t="shared" si="8"/>
        <v>0</v>
      </c>
      <c r="AG46" s="105" t="b">
        <f t="shared" si="9"/>
        <v>0</v>
      </c>
      <c r="AH46" s="140"/>
      <c r="AI46" s="140"/>
      <c r="AJ46" s="140"/>
      <c r="AK46" s="117" t="str">
        <f t="shared" si="10"/>
        <v>Negative</v>
      </c>
      <c r="AL46" s="142"/>
      <c r="AM46" s="112" t="s">
        <v>287</v>
      </c>
      <c r="AN46" s="112" t="s">
        <v>288</v>
      </c>
      <c r="AO46" s="112" t="str">
        <f>IFERROR(__xludf.DUMMYFUNCTION("IF($AG46, ""DELETED"",TRIM(JOIN("" "",D46:E46)))"),"")</f>
        <v/>
      </c>
      <c r="AP46" s="112" t="str">
        <f t="shared" ref="AP46:AQ46" si="71">IF($AG46, "DELETED", TRIM(CONCATENATE(F46,I46,U46)))</f>
        <v/>
      </c>
      <c r="AQ46" s="112" t="str">
        <f t="shared" si="71"/>
        <v/>
      </c>
      <c r="AR46" s="112" t="str">
        <f>IFERROR(__xludf.DUMMYFUNCTION("IF($AG46, ""DELETED"", TRIM(JOIN("" "",AP46,AQ46)))"),"")</f>
        <v/>
      </c>
      <c r="AS46" s="118"/>
      <c r="AT46" s="110" t="b">
        <f t="shared" si="12"/>
        <v>0</v>
      </c>
      <c r="AU46" s="110" t="str">
        <f t="shared" si="13"/>
        <v/>
      </c>
      <c r="AV46" s="110" t="str">
        <f t="shared" si="14"/>
        <v/>
      </c>
      <c r="AW46" s="110" t="str">
        <f t="shared" si="15"/>
        <v/>
      </c>
      <c r="AX46" s="119" t="str">
        <f t="shared" si="16"/>
        <v/>
      </c>
      <c r="AY46" s="120"/>
      <c r="AZ46" s="121"/>
      <c r="BA46" s="122" t="str">
        <f t="shared" si="17"/>
        <v/>
      </c>
      <c r="BB46" s="34"/>
      <c r="BC46" s="121"/>
      <c r="BD46" s="136"/>
      <c r="BE46" s="125" t="str">
        <f t="shared" si="18"/>
        <v/>
      </c>
      <c r="BF46" s="126" t="str">
        <f t="shared" si="19"/>
        <v>MA1030__44551_0.188101851851852</v>
      </c>
      <c r="BG46" s="127" t="str">
        <f t="shared" si="20"/>
        <v/>
      </c>
      <c r="BH46" s="137" t="s">
        <v>370</v>
      </c>
      <c r="BI46" s="128" t="str">
        <f t="shared" si="21"/>
        <v>FM2061</v>
      </c>
      <c r="BJ46" s="129" t="b">
        <f t="shared" si="22"/>
        <v>0</v>
      </c>
      <c r="BK46" s="128" t="str">
        <f t="shared" si="23"/>
        <v/>
      </c>
      <c r="BL46" s="121"/>
      <c r="BM46" s="5" t="str">
        <f t="shared" si="24"/>
        <v>MISSING</v>
      </c>
      <c r="BN46" s="120" t="b">
        <f t="shared" si="25"/>
        <v>0</v>
      </c>
      <c r="BO46" s="131" t="b">
        <f t="shared" si="26"/>
        <v>1</v>
      </c>
      <c r="BP46" s="121"/>
      <c r="BQ46" s="132" t="str">
        <f>VLOOKUP(A46,RAW_APS!A$3:O826,15,FALSE)</f>
        <v/>
      </c>
      <c r="BR46" s="120" t="b">
        <f t="shared" si="27"/>
        <v>1</v>
      </c>
      <c r="BS46" s="121"/>
      <c r="BT46" s="138" t="s">
        <v>244</v>
      </c>
      <c r="BU46" s="10" t="b">
        <f t="shared" si="28"/>
        <v>1</v>
      </c>
      <c r="BV46" s="120"/>
      <c r="BW46" s="120"/>
      <c r="BX46" s="120"/>
      <c r="BY46" s="120"/>
      <c r="BZ46" s="120"/>
      <c r="CA46" s="120"/>
      <c r="CB46" s="120"/>
      <c r="CC46" s="120"/>
    </row>
    <row r="47">
      <c r="A47" s="2" t="s">
        <v>371</v>
      </c>
      <c r="B47" s="100">
        <v>44551.0</v>
      </c>
      <c r="C47" s="101">
        <v>0.47054398148148147</v>
      </c>
      <c r="D47" s="102"/>
      <c r="E47" s="102"/>
      <c r="F47" s="102"/>
      <c r="G47" s="102"/>
      <c r="H47" s="102"/>
      <c r="I47" s="103"/>
      <c r="J47" s="103"/>
      <c r="K47" s="2" t="s">
        <v>244</v>
      </c>
      <c r="L47" s="100">
        <v>44552.0</v>
      </c>
      <c r="M47" s="101">
        <v>0.4200462962962963</v>
      </c>
      <c r="P47" s="104" t="b">
        <f>IFNA(IF(VLOOKUP($A47,'Add from APT'!$AA$2:$AC826,3,FALSE)&gt;0,TRUE,FALSE),"ER - NOT IN APT")</f>
        <v>0</v>
      </c>
      <c r="Q47" s="105" t="str">
        <f>IF(ISLOGICAL(P47),IF(P47,"ER - REPS IN APT", IFNA(VLOOKUP($A47,RAW_APT!$A$3:$M826,7,FALSE),"ER - NOT IN APT")),P47)</f>
        <v>Result</v>
      </c>
      <c r="R47" s="106" t="b">
        <f t="shared" si="2"/>
        <v>1</v>
      </c>
      <c r="S47" s="107">
        <f t="shared" si="3"/>
        <v>1</v>
      </c>
      <c r="T47" s="143"/>
      <c r="U47" s="142"/>
      <c r="V47" s="142"/>
      <c r="W47" s="142"/>
      <c r="X47" s="110" t="b">
        <f t="shared" si="4"/>
        <v>0</v>
      </c>
      <c r="Y47" s="111" t="b">
        <v>0</v>
      </c>
      <c r="Z47" s="104" t="str">
        <f t="shared" si="5"/>
        <v/>
      </c>
      <c r="AA47" s="112" t="b">
        <f t="shared" si="6"/>
        <v>0</v>
      </c>
      <c r="AB47" s="142" t="b">
        <v>0</v>
      </c>
      <c r="AC47" s="140">
        <v>742.0</v>
      </c>
      <c r="AD47" s="141" t="b">
        <v>0</v>
      </c>
      <c r="AE47" s="115" t="str">
        <f t="shared" si="7"/>
        <v/>
      </c>
      <c r="AF47" s="116" t="b">
        <f t="shared" si="8"/>
        <v>0</v>
      </c>
      <c r="AG47" s="105" t="b">
        <f t="shared" si="9"/>
        <v>0</v>
      </c>
      <c r="AH47" s="140"/>
      <c r="AI47" s="140"/>
      <c r="AJ47" s="140"/>
      <c r="AK47" s="117" t="str">
        <f t="shared" si="10"/>
        <v>Negative</v>
      </c>
      <c r="AL47" s="142"/>
      <c r="AM47" s="112" t="s">
        <v>314</v>
      </c>
      <c r="AN47" s="112" t="s">
        <v>315</v>
      </c>
      <c r="AO47" s="112" t="str">
        <f>IFERROR(__xludf.DUMMYFUNCTION("IF($AG47, ""DELETED"",TRIM(JOIN("" "",D47:E47)))"),"")</f>
        <v/>
      </c>
      <c r="AP47" s="112" t="str">
        <f t="shared" ref="AP47:AQ47" si="72">IF($AG47, "DELETED", TRIM(CONCATENATE(F47,I47,U47)))</f>
        <v/>
      </c>
      <c r="AQ47" s="112" t="str">
        <f t="shared" si="72"/>
        <v/>
      </c>
      <c r="AR47" s="112" t="str">
        <f>IFERROR(__xludf.DUMMYFUNCTION("IF($AG47, ""DELETED"", TRIM(JOIN("" "",AP47,AQ47)))"),"")</f>
        <v/>
      </c>
      <c r="AS47" s="118"/>
      <c r="AT47" s="110" t="b">
        <f t="shared" si="12"/>
        <v>0</v>
      </c>
      <c r="AU47" s="110" t="str">
        <f t="shared" si="13"/>
        <v/>
      </c>
      <c r="AV47" s="110" t="str">
        <f t="shared" si="14"/>
        <v/>
      </c>
      <c r="AW47" s="110" t="str">
        <f t="shared" si="15"/>
        <v/>
      </c>
      <c r="AX47" s="119" t="str">
        <f t="shared" si="16"/>
        <v/>
      </c>
      <c r="AY47" s="120"/>
      <c r="AZ47" s="121"/>
      <c r="BA47" s="122" t="str">
        <f t="shared" si="17"/>
        <v/>
      </c>
      <c r="BB47" s="34"/>
      <c r="BC47" s="121"/>
      <c r="BD47" s="136"/>
      <c r="BE47" s="125" t="str">
        <f t="shared" si="18"/>
        <v/>
      </c>
      <c r="BF47" s="126" t="str">
        <f t="shared" si="19"/>
        <v>MA1315__44551_0.470543981481481</v>
      </c>
      <c r="BG47" s="127" t="str">
        <f t="shared" si="20"/>
        <v/>
      </c>
      <c r="BH47" s="137" t="s">
        <v>372</v>
      </c>
      <c r="BI47" s="128" t="str">
        <f t="shared" si="21"/>
        <v>FM2062</v>
      </c>
      <c r="BJ47" s="129" t="b">
        <f t="shared" si="22"/>
        <v>0</v>
      </c>
      <c r="BK47" s="128" t="str">
        <f t="shared" si="23"/>
        <v/>
      </c>
      <c r="BL47" s="121"/>
      <c r="BM47" s="5" t="str">
        <f t="shared" si="24"/>
        <v>MISSING</v>
      </c>
      <c r="BN47" s="120" t="b">
        <f t="shared" si="25"/>
        <v>0</v>
      </c>
      <c r="BO47" s="131" t="b">
        <f t="shared" si="26"/>
        <v>1</v>
      </c>
      <c r="BP47" s="121"/>
      <c r="BQ47" s="132" t="str">
        <f>VLOOKUP(A47,RAW_APS!A$3:O826,15,FALSE)</f>
        <v/>
      </c>
      <c r="BR47" s="120" t="b">
        <f t="shared" si="27"/>
        <v>1</v>
      </c>
      <c r="BS47" s="121"/>
      <c r="BT47" s="138" t="s">
        <v>244</v>
      </c>
      <c r="BU47" s="10" t="b">
        <f t="shared" si="28"/>
        <v>1</v>
      </c>
      <c r="BV47" s="120"/>
      <c r="BW47" s="120"/>
      <c r="BX47" s="120"/>
      <c r="BY47" s="120"/>
      <c r="BZ47" s="120"/>
      <c r="CA47" s="120"/>
      <c r="CB47" s="120"/>
      <c r="CC47" s="120"/>
    </row>
    <row r="48">
      <c r="A48" s="2" t="s">
        <v>373</v>
      </c>
      <c r="B48" s="100">
        <v>44552.0</v>
      </c>
      <c r="C48" s="101">
        <v>0.34879629629629627</v>
      </c>
      <c r="D48" s="102"/>
      <c r="E48" s="102"/>
      <c r="F48" s="102"/>
      <c r="G48" s="102"/>
      <c r="H48" s="102"/>
      <c r="I48" s="103"/>
      <c r="J48" s="103"/>
      <c r="K48" s="2" t="s">
        <v>254</v>
      </c>
      <c r="L48" s="11"/>
      <c r="M48" s="11"/>
      <c r="N48" s="11"/>
      <c r="O48" s="11"/>
      <c r="P48" s="104" t="b">
        <f>IFNA(IF(VLOOKUP($A48,'Add from APT'!$AA$2:$AC826,3,FALSE)&gt;0,TRUE,FALSE),"ER - NOT IN APT")</f>
        <v>0</v>
      </c>
      <c r="Q48" s="105" t="str">
        <f>IF(ISLOGICAL(P48),IF(P48,"ER - REPS IN APT", IFNA(VLOOKUP($A48,RAW_APT!$A$3:$M826,7,FALSE),"ER - NOT IN APT")),P48)</f>
        <v>ER - NOT IN APT</v>
      </c>
      <c r="R48" s="106" t="b">
        <f t="shared" si="2"/>
        <v>1</v>
      </c>
      <c r="S48" s="107">
        <f t="shared" si="3"/>
        <v>1</v>
      </c>
      <c r="T48" s="143"/>
      <c r="U48" s="142"/>
      <c r="V48" s="142"/>
      <c r="W48" s="142"/>
      <c r="X48" s="110" t="b">
        <f t="shared" si="4"/>
        <v>0</v>
      </c>
      <c r="Y48" s="111" t="b">
        <v>0</v>
      </c>
      <c r="Z48" s="104" t="str">
        <f t="shared" si="5"/>
        <v/>
      </c>
      <c r="AA48" s="112" t="b">
        <f t="shared" si="6"/>
        <v>0</v>
      </c>
      <c r="AB48" s="142" t="b">
        <v>0</v>
      </c>
      <c r="AC48" s="140">
        <v>741.0</v>
      </c>
      <c r="AD48" s="141" t="b">
        <v>0</v>
      </c>
      <c r="AE48" s="115" t="str">
        <f t="shared" si="7"/>
        <v/>
      </c>
      <c r="AF48" s="116" t="b">
        <f t="shared" si="8"/>
        <v>0</v>
      </c>
      <c r="AG48" s="105" t="b">
        <f t="shared" si="9"/>
        <v>0</v>
      </c>
      <c r="AH48" s="140"/>
      <c r="AI48" s="140">
        <v>4.2</v>
      </c>
      <c r="AJ48" s="140">
        <v>2.0</v>
      </c>
      <c r="AK48" s="117" t="str">
        <f t="shared" si="10"/>
        <v>Negative</v>
      </c>
      <c r="AL48" s="142"/>
      <c r="AM48" s="112" t="s">
        <v>261</v>
      </c>
      <c r="AN48" s="112" t="s">
        <v>374</v>
      </c>
      <c r="AO48" s="112" t="str">
        <f>IFERROR(__xludf.DUMMYFUNCTION("IF($AG48, ""DELETED"",TRIM(JOIN("" "",D48:E48)))"),"")</f>
        <v/>
      </c>
      <c r="AP48" s="112" t="str">
        <f t="shared" ref="AP48:AQ48" si="73">IF($AG48, "DELETED", TRIM(CONCATENATE(F48,I48,U48)))</f>
        <v/>
      </c>
      <c r="AQ48" s="112" t="str">
        <f t="shared" si="73"/>
        <v/>
      </c>
      <c r="AR48" s="112" t="str">
        <f>IFERROR(__xludf.DUMMYFUNCTION("IF($AG48, ""DELETED"", TRIM(JOIN("" "",AP48,AQ48)))"),"")</f>
        <v/>
      </c>
      <c r="AS48" s="118"/>
      <c r="AT48" s="110" t="b">
        <f t="shared" si="12"/>
        <v>0</v>
      </c>
      <c r="AU48" s="110" t="str">
        <f t="shared" si="13"/>
        <v/>
      </c>
      <c r="AV48" s="110" t="str">
        <f t="shared" si="14"/>
        <v/>
      </c>
      <c r="AW48" s="110" t="str">
        <f t="shared" si="15"/>
        <v/>
      </c>
      <c r="AX48" s="119" t="str">
        <f t="shared" si="16"/>
        <v/>
      </c>
      <c r="AY48" s="120"/>
      <c r="AZ48" s="121"/>
      <c r="BA48" s="122" t="b">
        <f t="shared" si="17"/>
        <v>1</v>
      </c>
      <c r="BB48" s="34"/>
      <c r="BC48" s="121"/>
      <c r="BD48" s="136"/>
      <c r="BE48" s="125" t="str">
        <f t="shared" si="18"/>
        <v/>
      </c>
      <c r="BF48" s="126" t="str">
        <f t="shared" si="19"/>
        <v>MA1203__44552_0.348796296296296</v>
      </c>
      <c r="BG48" s="127" t="str">
        <f t="shared" si="20"/>
        <v/>
      </c>
      <c r="BH48" s="137" t="s">
        <v>375</v>
      </c>
      <c r="BI48" s="128" t="str">
        <f t="shared" si="21"/>
        <v>FM2063</v>
      </c>
      <c r="BJ48" s="129" t="b">
        <f t="shared" si="22"/>
        <v>0</v>
      </c>
      <c r="BK48" s="128" t="str">
        <f t="shared" si="23"/>
        <v/>
      </c>
      <c r="BL48" s="121"/>
      <c r="BM48" s="5" t="str">
        <f t="shared" si="24"/>
        <v>MISSING</v>
      </c>
      <c r="BN48" s="120" t="b">
        <f t="shared" si="25"/>
        <v>0</v>
      </c>
      <c r="BO48" s="131" t="b">
        <f t="shared" si="26"/>
        <v>1</v>
      </c>
      <c r="BP48" s="121"/>
      <c r="BQ48" s="132" t="str">
        <f>VLOOKUP(A48,RAW_APS!A$3:O826,15,FALSE)</f>
        <v>#N/A</v>
      </c>
      <c r="BR48" s="120" t="str">
        <f t="shared" si="27"/>
        <v>***TUBE ID NOT FOUND</v>
      </c>
      <c r="BS48" s="121"/>
      <c r="BT48" s="138" t="s">
        <v>244</v>
      </c>
      <c r="BU48" s="10" t="b">
        <f t="shared" si="28"/>
        <v>1</v>
      </c>
      <c r="BV48" s="120"/>
      <c r="BW48" s="120"/>
      <c r="BX48" s="120"/>
      <c r="BY48" s="120"/>
      <c r="BZ48" s="120"/>
      <c r="CA48" s="120"/>
      <c r="CB48" s="120"/>
      <c r="CC48" s="120"/>
    </row>
    <row r="49">
      <c r="A49" s="2" t="s">
        <v>376</v>
      </c>
      <c r="B49" s="100">
        <v>44552.0</v>
      </c>
      <c r="C49" s="101">
        <v>0.35877314814814815</v>
      </c>
      <c r="D49" s="102"/>
      <c r="E49" s="102"/>
      <c r="F49" s="102"/>
      <c r="G49" s="102"/>
      <c r="H49" s="102"/>
      <c r="I49" s="103"/>
      <c r="J49" s="103"/>
      <c r="K49" s="2" t="s">
        <v>244</v>
      </c>
      <c r="L49" s="100">
        <v>44552.0</v>
      </c>
      <c r="M49" s="101">
        <v>0.4200462962962963</v>
      </c>
      <c r="P49" s="104" t="b">
        <f>IFNA(IF(VLOOKUP($A49,'Add from APT'!$AA$2:$AC826,3,FALSE)&gt;0,TRUE,FALSE),"ER - NOT IN APT")</f>
        <v>0</v>
      </c>
      <c r="Q49" s="105" t="str">
        <f>IF(ISLOGICAL(P49),IF(P49,"ER - REPS IN APT", IFNA(VLOOKUP($A49,RAW_APT!$A$3:$M826,7,FALSE),"ER - NOT IN APT")),P49)</f>
        <v>ER - NOT IN APT</v>
      </c>
      <c r="R49" s="106" t="b">
        <f t="shared" si="2"/>
        <v>1</v>
      </c>
      <c r="S49" s="107">
        <f t="shared" si="3"/>
        <v>1</v>
      </c>
      <c r="T49" s="143"/>
      <c r="U49" s="142"/>
      <c r="V49" s="142"/>
      <c r="W49" s="142"/>
      <c r="X49" s="110" t="b">
        <f t="shared" si="4"/>
        <v>0</v>
      </c>
      <c r="Y49" s="111" t="b">
        <v>0</v>
      </c>
      <c r="Z49" s="104" t="str">
        <f t="shared" si="5"/>
        <v/>
      </c>
      <c r="AA49" s="112" t="b">
        <f t="shared" si="6"/>
        <v>0</v>
      </c>
      <c r="AB49" s="142" t="b">
        <v>0</v>
      </c>
      <c r="AC49" s="140">
        <v>740.0</v>
      </c>
      <c r="AD49" s="141" t="b">
        <v>0</v>
      </c>
      <c r="AE49" s="115">
        <f t="shared" si="7"/>
        <v>88.23333333</v>
      </c>
      <c r="AF49" s="116" t="b">
        <f t="shared" si="8"/>
        <v>0</v>
      </c>
      <c r="AG49" s="105" t="b">
        <f t="shared" si="9"/>
        <v>0</v>
      </c>
      <c r="AH49" s="140"/>
      <c r="AI49" s="140">
        <v>4.2</v>
      </c>
      <c r="AJ49" s="140"/>
      <c r="AK49" s="117" t="str">
        <f t="shared" si="10"/>
        <v>Negative</v>
      </c>
      <c r="AL49" s="142"/>
      <c r="AM49" s="112" t="s">
        <v>261</v>
      </c>
      <c r="AN49" s="112" t="s">
        <v>377</v>
      </c>
      <c r="AO49" s="112" t="str">
        <f>IFERROR(__xludf.DUMMYFUNCTION("IF($AG49, ""DELETED"",TRIM(JOIN("" "",D49:E49)))"),"")</f>
        <v/>
      </c>
      <c r="AP49" s="112" t="str">
        <f t="shared" ref="AP49:AQ49" si="74">IF($AG49, "DELETED", TRIM(CONCATENATE(F49,I49,U49)))</f>
        <v/>
      </c>
      <c r="AQ49" s="112" t="str">
        <f t="shared" si="74"/>
        <v/>
      </c>
      <c r="AR49" s="112" t="str">
        <f>IFERROR(__xludf.DUMMYFUNCTION("IF($AG49, ""DELETED"", TRIM(JOIN("" "",AP49,AQ49)))"),"")</f>
        <v/>
      </c>
      <c r="AS49" s="118"/>
      <c r="AT49" s="110" t="b">
        <f t="shared" si="12"/>
        <v>0</v>
      </c>
      <c r="AU49" s="110" t="str">
        <f t="shared" si="13"/>
        <v/>
      </c>
      <c r="AV49" s="110" t="str">
        <f t="shared" si="14"/>
        <v/>
      </c>
      <c r="AW49" s="110" t="str">
        <f t="shared" si="15"/>
        <v/>
      </c>
      <c r="AX49" s="119" t="str">
        <f t="shared" si="16"/>
        <v/>
      </c>
      <c r="AY49" s="120"/>
      <c r="AZ49" s="121"/>
      <c r="BA49" s="122" t="str">
        <f t="shared" si="17"/>
        <v/>
      </c>
      <c r="BB49" s="34"/>
      <c r="BC49" s="121"/>
      <c r="BD49" s="136"/>
      <c r="BE49" s="125" t="str">
        <f t="shared" si="18"/>
        <v/>
      </c>
      <c r="BF49" s="126" t="str">
        <f t="shared" si="19"/>
        <v>MA1088__44552_0.358773148148148</v>
      </c>
      <c r="BG49" s="127" t="str">
        <f t="shared" si="20"/>
        <v/>
      </c>
      <c r="BH49" s="137" t="s">
        <v>378</v>
      </c>
      <c r="BI49" s="128" t="str">
        <f t="shared" si="21"/>
        <v>FM2066</v>
      </c>
      <c r="BJ49" s="129" t="b">
        <f t="shared" si="22"/>
        <v>0</v>
      </c>
      <c r="BK49" s="128" t="str">
        <f t="shared" si="23"/>
        <v/>
      </c>
      <c r="BL49" s="121"/>
      <c r="BM49" s="5" t="str">
        <f t="shared" si="24"/>
        <v>MISSING</v>
      </c>
      <c r="BN49" s="120" t="b">
        <f t="shared" si="25"/>
        <v>0</v>
      </c>
      <c r="BO49" s="131" t="b">
        <f t="shared" si="26"/>
        <v>1</v>
      </c>
      <c r="BP49" s="121"/>
      <c r="BQ49" s="132" t="str">
        <f>VLOOKUP(A49,RAW_APS!A$3:O826,15,FALSE)</f>
        <v>#N/A</v>
      </c>
      <c r="BR49" s="120" t="str">
        <f t="shared" si="27"/>
        <v>***TUBE ID NOT FOUND</v>
      </c>
      <c r="BS49" s="121"/>
      <c r="BT49" s="138" t="s">
        <v>244</v>
      </c>
      <c r="BU49" s="10" t="b">
        <f t="shared" si="28"/>
        <v>1</v>
      </c>
      <c r="BV49" s="120"/>
      <c r="BW49" s="120"/>
      <c r="BX49" s="120"/>
      <c r="BY49" s="120"/>
      <c r="BZ49" s="120"/>
      <c r="CA49" s="120"/>
      <c r="CB49" s="120"/>
      <c r="CC49" s="120"/>
    </row>
    <row r="50">
      <c r="A50" s="2" t="s">
        <v>379</v>
      </c>
      <c r="B50" s="100">
        <v>44552.0</v>
      </c>
      <c r="C50" s="101">
        <v>0.3660185185185185</v>
      </c>
      <c r="D50" s="102"/>
      <c r="E50" s="102"/>
      <c r="F50" s="102"/>
      <c r="G50" s="102"/>
      <c r="H50" s="102"/>
      <c r="I50" s="103"/>
      <c r="J50" s="103"/>
      <c r="K50" s="2" t="s">
        <v>244</v>
      </c>
      <c r="L50" s="100">
        <v>44552.0</v>
      </c>
      <c r="M50" s="101">
        <v>0.4200462962962963</v>
      </c>
      <c r="P50" s="104" t="b">
        <f>IFNA(IF(VLOOKUP($A50,'Add from APT'!$AA$2:$AC826,3,FALSE)&gt;0,TRUE,FALSE),"ER - NOT IN APT")</f>
        <v>0</v>
      </c>
      <c r="Q50" s="105" t="str">
        <f>IF(ISLOGICAL(P50),IF(P50,"ER - REPS IN APT", IFNA(VLOOKUP($A50,RAW_APT!$A$3:$M826,7,FALSE),"ER - NOT IN APT")),P50)</f>
        <v>ER - NOT IN APT</v>
      </c>
      <c r="R50" s="106" t="b">
        <f t="shared" si="2"/>
        <v>1</v>
      </c>
      <c r="S50" s="107">
        <f t="shared" si="3"/>
        <v>1</v>
      </c>
      <c r="T50" s="143"/>
      <c r="U50" s="142"/>
      <c r="V50" s="142"/>
      <c r="W50" s="142"/>
      <c r="X50" s="110" t="b">
        <f t="shared" si="4"/>
        <v>0</v>
      </c>
      <c r="Y50" s="111" t="b">
        <v>0</v>
      </c>
      <c r="Z50" s="104" t="str">
        <f t="shared" si="5"/>
        <v/>
      </c>
      <c r="AA50" s="112" t="b">
        <f t="shared" si="6"/>
        <v>0</v>
      </c>
      <c r="AB50" s="142" t="b">
        <v>0</v>
      </c>
      <c r="AC50" s="140">
        <v>739.0</v>
      </c>
      <c r="AD50" s="141" t="b">
        <v>0</v>
      </c>
      <c r="AE50" s="115">
        <f t="shared" si="7"/>
        <v>77.8</v>
      </c>
      <c r="AF50" s="116" t="b">
        <f t="shared" si="8"/>
        <v>0</v>
      </c>
      <c r="AG50" s="105" t="b">
        <f t="shared" si="9"/>
        <v>0</v>
      </c>
      <c r="AH50" s="140"/>
      <c r="AI50" s="140">
        <v>4.2</v>
      </c>
      <c r="AJ50" s="140"/>
      <c r="AK50" s="117" t="str">
        <f t="shared" si="10"/>
        <v>Negative</v>
      </c>
      <c r="AL50" s="142"/>
      <c r="AM50" s="112" t="s">
        <v>261</v>
      </c>
      <c r="AN50" s="112" t="s">
        <v>374</v>
      </c>
      <c r="AO50" s="112" t="str">
        <f>IFERROR(__xludf.DUMMYFUNCTION("IF($AG50, ""DELETED"",TRIM(JOIN("" "",D50:E50)))"),"")</f>
        <v/>
      </c>
      <c r="AP50" s="112" t="str">
        <f t="shared" ref="AP50:AQ50" si="75">IF($AG50, "DELETED", TRIM(CONCATENATE(F50,I50,U50)))</f>
        <v/>
      </c>
      <c r="AQ50" s="112" t="str">
        <f t="shared" si="75"/>
        <v/>
      </c>
      <c r="AR50" s="112" t="str">
        <f>IFERROR(__xludf.DUMMYFUNCTION("IF($AG50, ""DELETED"", TRIM(JOIN("" "",AP50,AQ50)))"),"")</f>
        <v/>
      </c>
      <c r="AS50" s="118"/>
      <c r="AT50" s="110" t="b">
        <f t="shared" si="12"/>
        <v>0</v>
      </c>
      <c r="AU50" s="110" t="str">
        <f t="shared" si="13"/>
        <v/>
      </c>
      <c r="AV50" s="110" t="str">
        <f t="shared" si="14"/>
        <v/>
      </c>
      <c r="AW50" s="110" t="str">
        <f t="shared" si="15"/>
        <v/>
      </c>
      <c r="AX50" s="119" t="str">
        <f t="shared" si="16"/>
        <v/>
      </c>
      <c r="AY50" s="120"/>
      <c r="AZ50" s="121"/>
      <c r="BA50" s="122" t="str">
        <f t="shared" si="17"/>
        <v/>
      </c>
      <c r="BB50" s="34"/>
      <c r="BC50" s="121"/>
      <c r="BD50" s="136"/>
      <c r="BE50" s="125" t="str">
        <f t="shared" si="18"/>
        <v/>
      </c>
      <c r="BF50" s="126" t="str">
        <f t="shared" si="19"/>
        <v>MA1057__44552_0.366018518518519</v>
      </c>
      <c r="BG50" s="127" t="str">
        <f t="shared" si="20"/>
        <v/>
      </c>
      <c r="BH50" s="137" t="s">
        <v>380</v>
      </c>
      <c r="BI50" s="128" t="str">
        <f t="shared" si="21"/>
        <v>FM2067</v>
      </c>
      <c r="BJ50" s="129" t="b">
        <f t="shared" si="22"/>
        <v>0</v>
      </c>
      <c r="BK50" s="128" t="str">
        <f t="shared" si="23"/>
        <v/>
      </c>
      <c r="BL50" s="121"/>
      <c r="BM50" s="5" t="str">
        <f t="shared" si="24"/>
        <v>MISSING</v>
      </c>
      <c r="BN50" s="120" t="b">
        <f t="shared" si="25"/>
        <v>0</v>
      </c>
      <c r="BO50" s="131" t="b">
        <f t="shared" si="26"/>
        <v>1</v>
      </c>
      <c r="BP50" s="121"/>
      <c r="BQ50" s="132" t="str">
        <f>VLOOKUP(A50,RAW_APS!A$3:O826,15,FALSE)</f>
        <v>#N/A</v>
      </c>
      <c r="BR50" s="120" t="str">
        <f t="shared" si="27"/>
        <v>***TUBE ID NOT FOUND</v>
      </c>
      <c r="BS50" s="121"/>
      <c r="BT50" s="138" t="s">
        <v>244</v>
      </c>
      <c r="BU50" s="10" t="b">
        <f t="shared" si="28"/>
        <v>1</v>
      </c>
      <c r="BV50" s="120"/>
      <c r="BW50" s="120"/>
      <c r="BX50" s="120"/>
      <c r="BY50" s="120"/>
      <c r="BZ50" s="120"/>
      <c r="CA50" s="120"/>
      <c r="CB50" s="120"/>
      <c r="CC50" s="120"/>
    </row>
    <row r="51">
      <c r="A51" s="2" t="s">
        <v>381</v>
      </c>
      <c r="B51" s="100">
        <v>44556.0</v>
      </c>
      <c r="C51" s="101">
        <v>0.6234837962962962</v>
      </c>
      <c r="D51" s="102"/>
      <c r="E51" s="102"/>
      <c r="F51" s="102"/>
      <c r="G51" s="102"/>
      <c r="H51" s="102"/>
      <c r="I51" s="103"/>
      <c r="J51" s="103"/>
      <c r="K51" s="2" t="s">
        <v>244</v>
      </c>
      <c r="L51" s="100">
        <v>44557.0</v>
      </c>
      <c r="M51" s="101">
        <v>0.4870949074074074</v>
      </c>
      <c r="P51" s="104" t="b">
        <f>IFNA(IF(VLOOKUP($A51,'Add from APT'!$AA$2:$AC826,3,FALSE)&gt;0,TRUE,FALSE),"ER - NOT IN APT")</f>
        <v>0</v>
      </c>
      <c r="Q51" s="105" t="str">
        <f>IF(ISLOGICAL(P51),IF(P51,"ER - REPS IN APT", IFNA(VLOOKUP($A51,RAW_APT!$A$3:$M826,7,FALSE),"ER - NOT IN APT")),P51)</f>
        <v>Result</v>
      </c>
      <c r="R51" s="106" t="b">
        <f t="shared" si="2"/>
        <v>1</v>
      </c>
      <c r="S51" s="107">
        <f t="shared" si="3"/>
        <v>1</v>
      </c>
      <c r="T51" s="143"/>
      <c r="U51" s="142"/>
      <c r="V51" s="142"/>
      <c r="W51" s="142"/>
      <c r="X51" s="110" t="b">
        <f t="shared" si="4"/>
        <v>0</v>
      </c>
      <c r="Y51" s="111" t="b">
        <v>0</v>
      </c>
      <c r="Z51" s="104" t="str">
        <f t="shared" si="5"/>
        <v/>
      </c>
      <c r="AA51" s="112" t="b">
        <f t="shared" si="6"/>
        <v>0</v>
      </c>
      <c r="AB51" s="142" t="b">
        <v>0</v>
      </c>
      <c r="AC51" s="140">
        <v>738.0</v>
      </c>
      <c r="AD51" s="141" t="b">
        <v>0</v>
      </c>
      <c r="AE51" s="115" t="str">
        <f t="shared" si="7"/>
        <v/>
      </c>
      <c r="AF51" s="116" t="b">
        <f t="shared" si="8"/>
        <v>0</v>
      </c>
      <c r="AG51" s="105" t="b">
        <f t="shared" si="9"/>
        <v>0</v>
      </c>
      <c r="AH51" s="140"/>
      <c r="AI51" s="140"/>
      <c r="AJ51" s="140"/>
      <c r="AK51" s="117" t="str">
        <f t="shared" si="10"/>
        <v>Negative</v>
      </c>
      <c r="AL51" s="142"/>
      <c r="AM51" s="112" t="s">
        <v>303</v>
      </c>
      <c r="AN51" s="112" t="s">
        <v>304</v>
      </c>
      <c r="AO51" s="112" t="str">
        <f>IFERROR(__xludf.DUMMYFUNCTION("IF($AG51, ""DELETED"",TRIM(JOIN("" "",D51:E51)))"),"")</f>
        <v/>
      </c>
      <c r="AP51" s="112" t="str">
        <f t="shared" ref="AP51:AQ51" si="76">IF($AG51, "DELETED", TRIM(CONCATENATE(F51,I51,U51)))</f>
        <v/>
      </c>
      <c r="AQ51" s="112" t="str">
        <f t="shared" si="76"/>
        <v/>
      </c>
      <c r="AR51" s="112" t="str">
        <f>IFERROR(__xludf.DUMMYFUNCTION("IF($AG51, ""DELETED"", TRIM(JOIN("" "",AP51,AQ51)))"),"")</f>
        <v/>
      </c>
      <c r="AS51" s="118"/>
      <c r="AT51" s="110" t="b">
        <f t="shared" si="12"/>
        <v>0</v>
      </c>
      <c r="AU51" s="110" t="str">
        <f t="shared" si="13"/>
        <v/>
      </c>
      <c r="AV51" s="110" t="str">
        <f t="shared" si="14"/>
        <v/>
      </c>
      <c r="AW51" s="110" t="str">
        <f t="shared" si="15"/>
        <v/>
      </c>
      <c r="AX51" s="119" t="str">
        <f t="shared" si="16"/>
        <v/>
      </c>
      <c r="AY51" s="120"/>
      <c r="AZ51" s="121"/>
      <c r="BA51" s="122" t="str">
        <f t="shared" si="17"/>
        <v/>
      </c>
      <c r="BB51" s="34"/>
      <c r="BC51" s="121"/>
      <c r="BD51" s="136"/>
      <c r="BE51" s="125" t="str">
        <f t="shared" si="18"/>
        <v/>
      </c>
      <c r="BF51" s="126" t="str">
        <f t="shared" si="19"/>
        <v>MA447__44556_0.623483796296296</v>
      </c>
      <c r="BG51" s="127" t="str">
        <f t="shared" si="20"/>
        <v/>
      </c>
      <c r="BH51" s="137" t="s">
        <v>382</v>
      </c>
      <c r="BI51" s="128" t="str">
        <f t="shared" si="21"/>
        <v>FM2068</v>
      </c>
      <c r="BJ51" s="129" t="b">
        <f t="shared" si="22"/>
        <v>0</v>
      </c>
      <c r="BK51" s="128" t="str">
        <f t="shared" si="23"/>
        <v/>
      </c>
      <c r="BL51" s="121"/>
      <c r="BM51" s="5" t="str">
        <f t="shared" si="24"/>
        <v>MISSING</v>
      </c>
      <c r="BN51" s="120" t="b">
        <f t="shared" si="25"/>
        <v>0</v>
      </c>
      <c r="BO51" s="131" t="b">
        <f t="shared" si="26"/>
        <v>1</v>
      </c>
      <c r="BP51" s="121"/>
      <c r="BQ51" s="132" t="str">
        <f>VLOOKUP(A51,RAW_APS!A$3:O826,15,FALSE)</f>
        <v/>
      </c>
      <c r="BR51" s="120" t="b">
        <f t="shared" si="27"/>
        <v>1</v>
      </c>
      <c r="BS51" s="121"/>
      <c r="BT51" s="138" t="s">
        <v>244</v>
      </c>
      <c r="BU51" s="10" t="b">
        <f t="shared" si="28"/>
        <v>1</v>
      </c>
      <c r="BV51" s="120"/>
      <c r="BW51" s="120"/>
      <c r="BX51" s="120"/>
      <c r="BY51" s="120"/>
      <c r="BZ51" s="120"/>
      <c r="CA51" s="120"/>
      <c r="CB51" s="120"/>
      <c r="CC51" s="120"/>
    </row>
    <row r="52">
      <c r="A52" s="2" t="s">
        <v>383</v>
      </c>
      <c r="B52" s="100">
        <v>44557.0</v>
      </c>
      <c r="C52" s="101">
        <v>0.3123148148148148</v>
      </c>
      <c r="D52" s="102"/>
      <c r="E52" s="102"/>
      <c r="F52" s="102"/>
      <c r="G52" s="102"/>
      <c r="H52" s="102"/>
      <c r="I52" s="103"/>
      <c r="J52" s="103"/>
      <c r="K52" s="2" t="s">
        <v>244</v>
      </c>
      <c r="L52" s="100">
        <v>44557.0</v>
      </c>
      <c r="M52" s="101">
        <v>0.4870949074074074</v>
      </c>
      <c r="P52" s="104" t="b">
        <f>IFNA(IF(VLOOKUP($A52,'Add from APT'!$AA$2:$AC826,3,FALSE)&gt;0,TRUE,FALSE),"ER - NOT IN APT")</f>
        <v>0</v>
      </c>
      <c r="Q52" s="105" t="str">
        <f>IF(ISLOGICAL(P52),IF(P52,"ER - REPS IN APT", IFNA(VLOOKUP($A52,RAW_APT!$A$3:$M826,7,FALSE),"ER - NOT IN APT")),P52)</f>
        <v>Result</v>
      </c>
      <c r="R52" s="106" t="b">
        <f t="shared" si="2"/>
        <v>1</v>
      </c>
      <c r="S52" s="107">
        <f t="shared" si="3"/>
        <v>1</v>
      </c>
      <c r="T52" s="143"/>
      <c r="U52" s="142"/>
      <c r="V52" s="142"/>
      <c r="W52" s="142"/>
      <c r="X52" s="110" t="b">
        <f t="shared" si="4"/>
        <v>0</v>
      </c>
      <c r="Y52" s="111" t="b">
        <v>0</v>
      </c>
      <c r="Z52" s="104" t="str">
        <f t="shared" si="5"/>
        <v/>
      </c>
      <c r="AA52" s="112" t="b">
        <f t="shared" si="6"/>
        <v>0</v>
      </c>
      <c r="AB52" s="142" t="b">
        <v>0</v>
      </c>
      <c r="AC52" s="140">
        <v>737.0</v>
      </c>
      <c r="AD52" s="141" t="b">
        <v>0</v>
      </c>
      <c r="AE52" s="115">
        <f t="shared" si="7"/>
        <v>251.6833333</v>
      </c>
      <c r="AF52" s="116" t="b">
        <f t="shared" si="8"/>
        <v>0</v>
      </c>
      <c r="AG52" s="105" t="b">
        <f t="shared" si="9"/>
        <v>0</v>
      </c>
      <c r="AH52" s="140"/>
      <c r="AI52" s="140"/>
      <c r="AJ52" s="140"/>
      <c r="AK52" s="117" t="str">
        <f t="shared" si="10"/>
        <v>Negative</v>
      </c>
      <c r="AL52" s="142"/>
      <c r="AM52" s="112" t="s">
        <v>291</v>
      </c>
      <c r="AN52" s="112" t="s">
        <v>292</v>
      </c>
      <c r="AO52" s="112" t="str">
        <f>IFERROR(__xludf.DUMMYFUNCTION("IF($AG52, ""DELETED"",TRIM(JOIN("" "",D52:E52)))"),"")</f>
        <v/>
      </c>
      <c r="AP52" s="112" t="str">
        <f t="shared" ref="AP52:AQ52" si="77">IF($AG52, "DELETED", TRIM(CONCATENATE(F52,I52,U52)))</f>
        <v/>
      </c>
      <c r="AQ52" s="112" t="str">
        <f t="shared" si="77"/>
        <v/>
      </c>
      <c r="AR52" s="112" t="str">
        <f>IFERROR(__xludf.DUMMYFUNCTION("IF($AG52, ""DELETED"", TRIM(JOIN("" "",AP52,AQ52)))"),"")</f>
        <v/>
      </c>
      <c r="AS52" s="118"/>
      <c r="AT52" s="110" t="b">
        <f t="shared" si="12"/>
        <v>0</v>
      </c>
      <c r="AU52" s="110" t="str">
        <f t="shared" si="13"/>
        <v/>
      </c>
      <c r="AV52" s="110" t="str">
        <f t="shared" si="14"/>
        <v/>
      </c>
      <c r="AW52" s="110" t="str">
        <f t="shared" si="15"/>
        <v/>
      </c>
      <c r="AX52" s="119" t="str">
        <f t="shared" si="16"/>
        <v/>
      </c>
      <c r="AY52" s="120"/>
      <c r="AZ52" s="121"/>
      <c r="BA52" s="122" t="str">
        <f t="shared" si="17"/>
        <v/>
      </c>
      <c r="BB52" s="34"/>
      <c r="BC52" s="121"/>
      <c r="BD52" s="136"/>
      <c r="BE52" s="125" t="str">
        <f t="shared" si="18"/>
        <v/>
      </c>
      <c r="BF52" s="126" t="str">
        <f t="shared" si="19"/>
        <v>MA1179__44557_0.312314814814815</v>
      </c>
      <c r="BG52" s="127" t="str">
        <f t="shared" si="20"/>
        <v/>
      </c>
      <c r="BH52" s="137" t="s">
        <v>384</v>
      </c>
      <c r="BI52" s="128" t="str">
        <f t="shared" si="21"/>
        <v>FM2069</v>
      </c>
      <c r="BJ52" s="129" t="b">
        <f t="shared" si="22"/>
        <v>0</v>
      </c>
      <c r="BK52" s="128" t="str">
        <f t="shared" si="23"/>
        <v/>
      </c>
      <c r="BL52" s="121"/>
      <c r="BM52" s="5" t="str">
        <f t="shared" si="24"/>
        <v>MISSING</v>
      </c>
      <c r="BN52" s="120" t="b">
        <f t="shared" si="25"/>
        <v>0</v>
      </c>
      <c r="BO52" s="131" t="b">
        <f t="shared" si="26"/>
        <v>1</v>
      </c>
      <c r="BP52" s="121"/>
      <c r="BQ52" s="132" t="str">
        <f>VLOOKUP(A52,RAW_APS!A$3:O826,15,FALSE)</f>
        <v/>
      </c>
      <c r="BR52" s="120" t="b">
        <f t="shared" si="27"/>
        <v>1</v>
      </c>
      <c r="BS52" s="121"/>
      <c r="BT52" s="138" t="s">
        <v>244</v>
      </c>
      <c r="BU52" s="10" t="b">
        <f t="shared" si="28"/>
        <v>1</v>
      </c>
      <c r="BV52" s="120"/>
      <c r="BW52" s="120"/>
      <c r="BX52" s="120"/>
      <c r="BY52" s="120"/>
      <c r="BZ52" s="120"/>
      <c r="CA52" s="120"/>
      <c r="CB52" s="120"/>
      <c r="CC52" s="120"/>
    </row>
    <row r="53">
      <c r="A53" s="2" t="s">
        <v>385</v>
      </c>
      <c r="B53" s="100">
        <v>44557.0</v>
      </c>
      <c r="C53" s="101">
        <v>0.31266203703703704</v>
      </c>
      <c r="D53" s="102"/>
      <c r="E53" s="102"/>
      <c r="F53" s="102"/>
      <c r="G53" s="102"/>
      <c r="H53" s="102"/>
      <c r="I53" s="103"/>
      <c r="J53" s="103"/>
      <c r="K53" s="2" t="s">
        <v>244</v>
      </c>
      <c r="L53" s="100">
        <v>44557.0</v>
      </c>
      <c r="M53" s="101">
        <v>0.4870949074074074</v>
      </c>
      <c r="P53" s="104" t="b">
        <f>IFNA(IF(VLOOKUP($A53,'Add from APT'!$AA$2:$AC826,3,FALSE)&gt;0,TRUE,FALSE),"ER - NOT IN APT")</f>
        <v>0</v>
      </c>
      <c r="Q53" s="105" t="str">
        <f>IF(ISLOGICAL(P53),IF(P53,"ER - REPS IN APT", IFNA(VLOOKUP($A53,RAW_APT!$A$3:$M826,7,FALSE),"ER - NOT IN APT")),P53)</f>
        <v>Result</v>
      </c>
      <c r="R53" s="106" t="b">
        <f t="shared" si="2"/>
        <v>1</v>
      </c>
      <c r="S53" s="107">
        <f t="shared" si="3"/>
        <v>1</v>
      </c>
      <c r="T53" s="143"/>
      <c r="U53" s="142"/>
      <c r="V53" s="142"/>
      <c r="W53" s="142"/>
      <c r="X53" s="110" t="b">
        <f t="shared" si="4"/>
        <v>0</v>
      </c>
      <c r="Y53" s="111" t="b">
        <v>0</v>
      </c>
      <c r="Z53" s="104" t="str">
        <f t="shared" si="5"/>
        <v/>
      </c>
      <c r="AA53" s="112" t="b">
        <f t="shared" si="6"/>
        <v>0</v>
      </c>
      <c r="AB53" s="142" t="b">
        <v>0</v>
      </c>
      <c r="AC53" s="140">
        <v>736.0</v>
      </c>
      <c r="AD53" s="141" t="b">
        <v>0</v>
      </c>
      <c r="AE53" s="115">
        <f t="shared" si="7"/>
        <v>251.1833333</v>
      </c>
      <c r="AF53" s="116" t="b">
        <f t="shared" si="8"/>
        <v>0</v>
      </c>
      <c r="AG53" s="105" t="b">
        <f t="shared" si="9"/>
        <v>0</v>
      </c>
      <c r="AH53" s="140"/>
      <c r="AI53" s="140"/>
      <c r="AJ53" s="140"/>
      <c r="AK53" s="117" t="str">
        <f t="shared" si="10"/>
        <v>Negative</v>
      </c>
      <c r="AL53" s="142"/>
      <c r="AM53" s="112" t="s">
        <v>310</v>
      </c>
      <c r="AN53" s="112" t="s">
        <v>311</v>
      </c>
      <c r="AO53" s="112" t="str">
        <f>IFERROR(__xludf.DUMMYFUNCTION("IF($AG53, ""DELETED"",TRIM(JOIN("" "",D53:E53)))"),"")</f>
        <v/>
      </c>
      <c r="AP53" s="112" t="str">
        <f t="shared" ref="AP53:AQ53" si="78">IF($AG53, "DELETED", TRIM(CONCATENATE(F53,I53,U53)))</f>
        <v/>
      </c>
      <c r="AQ53" s="112" t="str">
        <f t="shared" si="78"/>
        <v/>
      </c>
      <c r="AR53" s="112" t="str">
        <f>IFERROR(__xludf.DUMMYFUNCTION("IF($AG53, ""DELETED"", TRIM(JOIN("" "",AP53,AQ53)))"),"")</f>
        <v/>
      </c>
      <c r="AS53" s="118"/>
      <c r="AT53" s="110" t="b">
        <f t="shared" si="12"/>
        <v>0</v>
      </c>
      <c r="AU53" s="110" t="str">
        <f t="shared" si="13"/>
        <v/>
      </c>
      <c r="AV53" s="110" t="str">
        <f t="shared" si="14"/>
        <v/>
      </c>
      <c r="AW53" s="110" t="str">
        <f t="shared" si="15"/>
        <v/>
      </c>
      <c r="AX53" s="119" t="str">
        <f t="shared" si="16"/>
        <v/>
      </c>
      <c r="AY53" s="120"/>
      <c r="AZ53" s="121"/>
      <c r="BA53" s="122" t="str">
        <f t="shared" si="17"/>
        <v/>
      </c>
      <c r="BB53" s="34"/>
      <c r="BC53" s="121"/>
      <c r="BD53" s="136"/>
      <c r="BE53" s="125" t="str">
        <f t="shared" si="18"/>
        <v/>
      </c>
      <c r="BF53" s="126" t="str">
        <f t="shared" si="19"/>
        <v>MA690__44557_0.312662037037037</v>
      </c>
      <c r="BG53" s="127" t="str">
        <f t="shared" si="20"/>
        <v/>
      </c>
      <c r="BH53" s="137" t="s">
        <v>386</v>
      </c>
      <c r="BI53" s="128" t="str">
        <f t="shared" si="21"/>
        <v>FM2070</v>
      </c>
      <c r="BJ53" s="129" t="b">
        <f t="shared" si="22"/>
        <v>0</v>
      </c>
      <c r="BK53" s="128" t="str">
        <f t="shared" si="23"/>
        <v/>
      </c>
      <c r="BL53" s="121"/>
      <c r="BM53" s="5" t="str">
        <f t="shared" si="24"/>
        <v>MISSING</v>
      </c>
      <c r="BN53" s="120" t="b">
        <f t="shared" si="25"/>
        <v>0</v>
      </c>
      <c r="BO53" s="131" t="b">
        <f t="shared" si="26"/>
        <v>1</v>
      </c>
      <c r="BP53" s="121"/>
      <c r="BQ53" s="132" t="str">
        <f>VLOOKUP(A53,RAW_APS!A$3:O826,15,FALSE)</f>
        <v/>
      </c>
      <c r="BR53" s="120" t="b">
        <f t="shared" si="27"/>
        <v>1</v>
      </c>
      <c r="BS53" s="121"/>
      <c r="BT53" s="138" t="s">
        <v>244</v>
      </c>
      <c r="BU53" s="10" t="b">
        <f t="shared" si="28"/>
        <v>1</v>
      </c>
      <c r="BV53" s="120"/>
      <c r="BW53" s="120"/>
      <c r="BX53" s="120"/>
      <c r="BY53" s="120"/>
      <c r="BZ53" s="120"/>
      <c r="CA53" s="120"/>
      <c r="CB53" s="120"/>
      <c r="CC53" s="120"/>
    </row>
    <row r="54">
      <c r="A54" s="2" t="s">
        <v>387</v>
      </c>
      <c r="B54" s="100">
        <v>44557.0</v>
      </c>
      <c r="C54" s="101">
        <v>0.3275462962962963</v>
      </c>
      <c r="D54" s="102"/>
      <c r="E54" s="102"/>
      <c r="F54" s="102"/>
      <c r="G54" s="102"/>
      <c r="H54" s="102"/>
      <c r="I54" s="103"/>
      <c r="J54" s="103"/>
      <c r="K54" s="2" t="s">
        <v>244</v>
      </c>
      <c r="L54" s="100">
        <v>44557.0</v>
      </c>
      <c r="M54" s="101">
        <v>0.4870949074074074</v>
      </c>
      <c r="P54" s="104" t="b">
        <f>IFNA(IF(VLOOKUP($A54,'Add from APT'!$AA$2:$AC826,3,FALSE)&gt;0,TRUE,FALSE),"ER - NOT IN APT")</f>
        <v>0</v>
      </c>
      <c r="Q54" s="105" t="str">
        <f>IF(ISLOGICAL(P54),IF(P54,"ER - REPS IN APT", IFNA(VLOOKUP($A54,RAW_APT!$A$3:$M826,7,FALSE),"ER - NOT IN APT")),P54)</f>
        <v>Result</v>
      </c>
      <c r="R54" s="106" t="b">
        <f t="shared" si="2"/>
        <v>1</v>
      </c>
      <c r="S54" s="107">
        <f t="shared" si="3"/>
        <v>1</v>
      </c>
      <c r="T54" s="143"/>
      <c r="U54" s="142"/>
      <c r="V54" s="142"/>
      <c r="W54" s="142"/>
      <c r="X54" s="110" t="b">
        <f t="shared" si="4"/>
        <v>0</v>
      </c>
      <c r="Y54" s="111" t="b">
        <v>0</v>
      </c>
      <c r="Z54" s="104" t="str">
        <f t="shared" si="5"/>
        <v/>
      </c>
      <c r="AA54" s="112" t="b">
        <f t="shared" si="6"/>
        <v>0</v>
      </c>
      <c r="AB54" s="142" t="b">
        <v>0</v>
      </c>
      <c r="AC54" s="140">
        <v>735.0</v>
      </c>
      <c r="AD54" s="141" t="b">
        <v>0</v>
      </c>
      <c r="AE54" s="115">
        <f t="shared" si="7"/>
        <v>229.75</v>
      </c>
      <c r="AF54" s="116" t="b">
        <f t="shared" si="8"/>
        <v>0</v>
      </c>
      <c r="AG54" s="105" t="b">
        <f t="shared" si="9"/>
        <v>0</v>
      </c>
      <c r="AH54" s="140"/>
      <c r="AI54" s="140"/>
      <c r="AJ54" s="140"/>
      <c r="AK54" s="117" t="str">
        <f t="shared" si="10"/>
        <v>Negative</v>
      </c>
      <c r="AL54" s="142"/>
      <c r="AM54" s="112" t="s">
        <v>314</v>
      </c>
      <c r="AN54" s="112" t="s">
        <v>315</v>
      </c>
      <c r="AO54" s="112" t="str">
        <f>IFERROR(__xludf.DUMMYFUNCTION("IF($AG54, ""DELETED"",TRIM(JOIN("" "",D54:E54)))"),"")</f>
        <v/>
      </c>
      <c r="AP54" s="112" t="str">
        <f t="shared" ref="AP54:AQ54" si="79">IF($AG54, "DELETED", TRIM(CONCATENATE(F54,I54,U54)))</f>
        <v/>
      </c>
      <c r="AQ54" s="112" t="str">
        <f t="shared" si="79"/>
        <v/>
      </c>
      <c r="AR54" s="112" t="str">
        <f>IFERROR(__xludf.DUMMYFUNCTION("IF($AG54, ""DELETED"", TRIM(JOIN("" "",AP54,AQ54)))"),"")</f>
        <v/>
      </c>
      <c r="AS54" s="118"/>
      <c r="AT54" s="110" t="b">
        <f t="shared" si="12"/>
        <v>0</v>
      </c>
      <c r="AU54" s="110" t="str">
        <f t="shared" si="13"/>
        <v/>
      </c>
      <c r="AV54" s="110" t="str">
        <f t="shared" si="14"/>
        <v/>
      </c>
      <c r="AW54" s="110" t="str">
        <f t="shared" si="15"/>
        <v/>
      </c>
      <c r="AX54" s="119" t="str">
        <f t="shared" si="16"/>
        <v/>
      </c>
      <c r="AY54" s="120"/>
      <c r="AZ54" s="121"/>
      <c r="BA54" s="122" t="str">
        <f t="shared" si="17"/>
        <v/>
      </c>
      <c r="BB54" s="34"/>
      <c r="BC54" s="121"/>
      <c r="BD54" s="136"/>
      <c r="BE54" s="125" t="str">
        <f t="shared" si="18"/>
        <v/>
      </c>
      <c r="BF54" s="126" t="str">
        <f t="shared" si="19"/>
        <v>MA707__44557_0.327546296296296</v>
      </c>
      <c r="BG54" s="127" t="str">
        <f t="shared" si="20"/>
        <v/>
      </c>
      <c r="BH54" s="137" t="s">
        <v>388</v>
      </c>
      <c r="BI54" s="128" t="str">
        <f t="shared" si="21"/>
        <v>FM2076</v>
      </c>
      <c r="BJ54" s="129" t="b">
        <f t="shared" si="22"/>
        <v>0</v>
      </c>
      <c r="BK54" s="128" t="str">
        <f t="shared" si="23"/>
        <v/>
      </c>
      <c r="BL54" s="121"/>
      <c r="BM54" s="5" t="str">
        <f t="shared" si="24"/>
        <v>MISSING</v>
      </c>
      <c r="BN54" s="120" t="b">
        <f t="shared" si="25"/>
        <v>0</v>
      </c>
      <c r="BO54" s="131" t="b">
        <f t="shared" si="26"/>
        <v>1</v>
      </c>
      <c r="BP54" s="121"/>
      <c r="BQ54" s="132" t="str">
        <f>VLOOKUP(A54,RAW_APS!A$3:O826,15,FALSE)</f>
        <v/>
      </c>
      <c r="BR54" s="120" t="b">
        <f t="shared" si="27"/>
        <v>1</v>
      </c>
      <c r="BS54" s="121"/>
      <c r="BT54" s="138" t="s">
        <v>244</v>
      </c>
      <c r="BU54" s="10" t="b">
        <f t="shared" si="28"/>
        <v>1</v>
      </c>
      <c r="BV54" s="120"/>
      <c r="BW54" s="120"/>
      <c r="BX54" s="120"/>
      <c r="BY54" s="120"/>
      <c r="BZ54" s="120"/>
      <c r="CA54" s="120"/>
      <c r="CB54" s="120"/>
      <c r="CC54" s="120"/>
    </row>
    <row r="55">
      <c r="A55" s="2" t="s">
        <v>389</v>
      </c>
      <c r="B55" s="100">
        <v>44557.0</v>
      </c>
      <c r="C55" s="101">
        <v>0.32893518518518516</v>
      </c>
      <c r="D55" s="102"/>
      <c r="E55" s="102"/>
      <c r="F55" s="102"/>
      <c r="G55" s="102"/>
      <c r="H55" s="102"/>
      <c r="I55" s="103"/>
      <c r="J55" s="103"/>
      <c r="K55" s="2" t="s">
        <v>244</v>
      </c>
      <c r="L55" s="100">
        <v>44557.0</v>
      </c>
      <c r="M55" s="101">
        <v>0.4870949074074074</v>
      </c>
      <c r="P55" s="104" t="b">
        <f>IFNA(IF(VLOOKUP($A55,'Add from APT'!$AA$2:$AC826,3,FALSE)&gt;0,TRUE,FALSE),"ER - NOT IN APT")</f>
        <v>0</v>
      </c>
      <c r="Q55" s="105" t="str">
        <f>IF(ISLOGICAL(P55),IF(P55,"ER - REPS IN APT", IFNA(VLOOKUP($A55,RAW_APT!$A$3:$M826,7,FALSE),"ER - NOT IN APT")),P55)</f>
        <v>Result</v>
      </c>
      <c r="R55" s="106" t="b">
        <f t="shared" si="2"/>
        <v>1</v>
      </c>
      <c r="S55" s="107">
        <f t="shared" si="3"/>
        <v>1</v>
      </c>
      <c r="T55" s="143"/>
      <c r="U55" s="142"/>
      <c r="V55" s="142"/>
      <c r="W55" s="142"/>
      <c r="X55" s="110" t="b">
        <f t="shared" si="4"/>
        <v>0</v>
      </c>
      <c r="Y55" s="111" t="b">
        <v>0</v>
      </c>
      <c r="Z55" s="104" t="str">
        <f t="shared" si="5"/>
        <v/>
      </c>
      <c r="AA55" s="112" t="b">
        <f t="shared" si="6"/>
        <v>0</v>
      </c>
      <c r="AB55" s="142" t="b">
        <v>0</v>
      </c>
      <c r="AC55" s="140">
        <v>734.0</v>
      </c>
      <c r="AD55" s="141" t="b">
        <v>0</v>
      </c>
      <c r="AE55" s="115">
        <f t="shared" si="7"/>
        <v>227.75</v>
      </c>
      <c r="AF55" s="116" t="b">
        <f t="shared" si="8"/>
        <v>0</v>
      </c>
      <c r="AG55" s="105" t="b">
        <f t="shared" si="9"/>
        <v>0</v>
      </c>
      <c r="AH55" s="140"/>
      <c r="AI55" s="140"/>
      <c r="AJ55" s="140"/>
      <c r="AK55" s="117" t="str">
        <f t="shared" si="10"/>
        <v>Negative</v>
      </c>
      <c r="AL55" s="142"/>
      <c r="AM55" s="112" t="s">
        <v>390</v>
      </c>
      <c r="AN55" s="112" t="s">
        <v>391</v>
      </c>
      <c r="AO55" s="112" t="str">
        <f>IFERROR(__xludf.DUMMYFUNCTION("IF($AG55, ""DELETED"",TRIM(JOIN("" "",D55:E55)))"),"")</f>
        <v/>
      </c>
      <c r="AP55" s="112" t="str">
        <f t="shared" ref="AP55:AQ55" si="80">IF($AG55, "DELETED", TRIM(CONCATENATE(F55,I55,U55)))</f>
        <v/>
      </c>
      <c r="AQ55" s="112" t="str">
        <f t="shared" si="80"/>
        <v/>
      </c>
      <c r="AR55" s="112" t="str">
        <f>IFERROR(__xludf.DUMMYFUNCTION("IF($AG55, ""DELETED"", TRIM(JOIN("" "",AP55,AQ55)))"),"")</f>
        <v/>
      </c>
      <c r="AS55" s="118"/>
      <c r="AT55" s="110" t="b">
        <f t="shared" si="12"/>
        <v>0</v>
      </c>
      <c r="AU55" s="110" t="str">
        <f t="shared" si="13"/>
        <v/>
      </c>
      <c r="AV55" s="110" t="str">
        <f t="shared" si="14"/>
        <v/>
      </c>
      <c r="AW55" s="110" t="str">
        <f t="shared" si="15"/>
        <v/>
      </c>
      <c r="AX55" s="119" t="str">
        <f t="shared" si="16"/>
        <v/>
      </c>
      <c r="AY55" s="120"/>
      <c r="AZ55" s="121"/>
      <c r="BA55" s="122" t="str">
        <f t="shared" si="17"/>
        <v/>
      </c>
      <c r="BB55" s="34"/>
      <c r="BC55" s="121"/>
      <c r="BD55" s="136"/>
      <c r="BE55" s="125" t="str">
        <f t="shared" si="18"/>
        <v/>
      </c>
      <c r="BF55" s="126" t="str">
        <f t="shared" si="19"/>
        <v>MA307__44557_0.328935185185185</v>
      </c>
      <c r="BG55" s="127" t="str">
        <f t="shared" si="20"/>
        <v/>
      </c>
      <c r="BH55" s="137" t="s">
        <v>392</v>
      </c>
      <c r="BI55" s="128" t="str">
        <f t="shared" si="21"/>
        <v>FM2078</v>
      </c>
      <c r="BJ55" s="129" t="b">
        <f t="shared" si="22"/>
        <v>0</v>
      </c>
      <c r="BK55" s="128" t="str">
        <f t="shared" si="23"/>
        <v/>
      </c>
      <c r="BL55" s="121"/>
      <c r="BM55" s="5" t="str">
        <f t="shared" si="24"/>
        <v>MISSING</v>
      </c>
      <c r="BN55" s="120" t="b">
        <f t="shared" si="25"/>
        <v>0</v>
      </c>
      <c r="BO55" s="131" t="b">
        <f t="shared" si="26"/>
        <v>1</v>
      </c>
      <c r="BP55" s="121"/>
      <c r="BQ55" s="132" t="str">
        <f>VLOOKUP(A55,RAW_APS!A$3:O826,15,FALSE)</f>
        <v/>
      </c>
      <c r="BR55" s="120" t="b">
        <f t="shared" si="27"/>
        <v>1</v>
      </c>
      <c r="BS55" s="121"/>
      <c r="BT55" s="138" t="s">
        <v>244</v>
      </c>
      <c r="BU55" s="10" t="b">
        <f t="shared" si="28"/>
        <v>1</v>
      </c>
      <c r="BV55" s="120"/>
      <c r="BW55" s="120"/>
      <c r="BX55" s="120"/>
      <c r="BY55" s="120"/>
      <c r="BZ55" s="120"/>
      <c r="CA55" s="120"/>
      <c r="CB55" s="120"/>
      <c r="CC55" s="120"/>
    </row>
    <row r="56">
      <c r="A56" s="2" t="s">
        <v>393</v>
      </c>
      <c r="B56" s="100">
        <v>44557.0</v>
      </c>
      <c r="C56" s="101">
        <v>0.3337037037037037</v>
      </c>
      <c r="D56" s="102"/>
      <c r="E56" s="102"/>
      <c r="F56" s="102"/>
      <c r="G56" s="102"/>
      <c r="H56" s="102"/>
      <c r="I56" s="103"/>
      <c r="J56" s="103"/>
      <c r="K56" s="2" t="s">
        <v>244</v>
      </c>
      <c r="L56" s="100">
        <v>44557.0</v>
      </c>
      <c r="M56" s="101">
        <v>0.4870949074074074</v>
      </c>
      <c r="P56" s="104" t="b">
        <f>IFNA(IF(VLOOKUP($A56,'Add from APT'!$AA$2:$AC826,3,FALSE)&gt;0,TRUE,FALSE),"ER - NOT IN APT")</f>
        <v>0</v>
      </c>
      <c r="Q56" s="105" t="str">
        <f>IF(ISLOGICAL(P56),IF(P56,"ER - REPS IN APT", IFNA(VLOOKUP($A56,RAW_APT!$A$3:$M826,7,FALSE),"ER - NOT IN APT")),P56)</f>
        <v>Result</v>
      </c>
      <c r="R56" s="106" t="b">
        <f t="shared" si="2"/>
        <v>1</v>
      </c>
      <c r="S56" s="107">
        <f t="shared" si="3"/>
        <v>1</v>
      </c>
      <c r="T56" s="143"/>
      <c r="U56" s="142"/>
      <c r="V56" s="142"/>
      <c r="W56" s="142"/>
      <c r="X56" s="110" t="b">
        <f t="shared" si="4"/>
        <v>0</v>
      </c>
      <c r="Y56" s="111" t="b">
        <v>0</v>
      </c>
      <c r="Z56" s="104" t="str">
        <f t="shared" si="5"/>
        <v/>
      </c>
      <c r="AA56" s="112" t="b">
        <f t="shared" si="6"/>
        <v>0</v>
      </c>
      <c r="AB56" s="142" t="b">
        <v>0</v>
      </c>
      <c r="AC56" s="140">
        <v>733.0</v>
      </c>
      <c r="AD56" s="141" t="b">
        <v>0</v>
      </c>
      <c r="AE56" s="115">
        <f t="shared" si="7"/>
        <v>220.8833333</v>
      </c>
      <c r="AF56" s="116" t="b">
        <f t="shared" si="8"/>
        <v>0</v>
      </c>
      <c r="AG56" s="105" t="b">
        <f t="shared" si="9"/>
        <v>0</v>
      </c>
      <c r="AH56" s="140"/>
      <c r="AI56" s="140"/>
      <c r="AJ56" s="140"/>
      <c r="AK56" s="117" t="str">
        <f t="shared" si="10"/>
        <v>Negative</v>
      </c>
      <c r="AL56" s="142"/>
      <c r="AM56" s="112" t="s">
        <v>307</v>
      </c>
      <c r="AN56" s="112" t="s">
        <v>266</v>
      </c>
      <c r="AO56" s="112" t="str">
        <f>IFERROR(__xludf.DUMMYFUNCTION("IF($AG56, ""DELETED"",TRIM(JOIN("" "",D56:E56)))"),"")</f>
        <v/>
      </c>
      <c r="AP56" s="112" t="str">
        <f t="shared" ref="AP56:AQ56" si="81">IF($AG56, "DELETED", TRIM(CONCATENATE(F56,I56,U56)))</f>
        <v/>
      </c>
      <c r="AQ56" s="112" t="str">
        <f t="shared" si="81"/>
        <v/>
      </c>
      <c r="AR56" s="112" t="str">
        <f>IFERROR(__xludf.DUMMYFUNCTION("IF($AG56, ""DELETED"", TRIM(JOIN("" "",AP56,AQ56)))"),"")</f>
        <v/>
      </c>
      <c r="AS56" s="118"/>
      <c r="AT56" s="110" t="b">
        <f t="shared" si="12"/>
        <v>0</v>
      </c>
      <c r="AU56" s="110" t="str">
        <f t="shared" si="13"/>
        <v/>
      </c>
      <c r="AV56" s="110" t="str">
        <f t="shared" si="14"/>
        <v/>
      </c>
      <c r="AW56" s="110" t="str">
        <f t="shared" si="15"/>
        <v/>
      </c>
      <c r="AX56" s="119" t="str">
        <f t="shared" si="16"/>
        <v/>
      </c>
      <c r="AY56" s="120"/>
      <c r="AZ56" s="121"/>
      <c r="BA56" s="122" t="str">
        <f t="shared" si="17"/>
        <v/>
      </c>
      <c r="BB56" s="34"/>
      <c r="BC56" s="121"/>
      <c r="BD56" s="136"/>
      <c r="BE56" s="125" t="str">
        <f t="shared" si="18"/>
        <v/>
      </c>
      <c r="BF56" s="126" t="str">
        <f t="shared" si="19"/>
        <v>MA609__44557_0.333703703703704</v>
      </c>
      <c r="BG56" s="127" t="str">
        <f t="shared" si="20"/>
        <v/>
      </c>
      <c r="BH56" s="137" t="s">
        <v>394</v>
      </c>
      <c r="BI56" s="128" t="str">
        <f t="shared" si="21"/>
        <v>FM2080</v>
      </c>
      <c r="BJ56" s="129" t="b">
        <f t="shared" si="22"/>
        <v>0</v>
      </c>
      <c r="BK56" s="128" t="str">
        <f t="shared" si="23"/>
        <v/>
      </c>
      <c r="BL56" s="121"/>
      <c r="BM56" s="5" t="str">
        <f t="shared" si="24"/>
        <v>MISSING</v>
      </c>
      <c r="BN56" s="120" t="b">
        <f t="shared" si="25"/>
        <v>0</v>
      </c>
      <c r="BO56" s="131" t="b">
        <f t="shared" si="26"/>
        <v>1</v>
      </c>
      <c r="BP56" s="121"/>
      <c r="BQ56" s="132" t="str">
        <f>VLOOKUP(A56,RAW_APS!A$3:O826,15,FALSE)</f>
        <v/>
      </c>
      <c r="BR56" s="120" t="b">
        <f t="shared" si="27"/>
        <v>1</v>
      </c>
      <c r="BS56" s="121"/>
      <c r="BT56" s="138" t="s">
        <v>244</v>
      </c>
      <c r="BU56" s="10" t="b">
        <f t="shared" si="28"/>
        <v>1</v>
      </c>
      <c r="BV56" s="120"/>
      <c r="BW56" s="120"/>
      <c r="BX56" s="120"/>
      <c r="BY56" s="120"/>
      <c r="BZ56" s="120"/>
      <c r="CA56" s="120"/>
      <c r="CB56" s="120"/>
      <c r="CC56" s="120"/>
    </row>
    <row r="57">
      <c r="A57" s="2" t="s">
        <v>395</v>
      </c>
      <c r="B57" s="100">
        <v>44557.0</v>
      </c>
      <c r="C57" s="101">
        <v>0.3368865740740741</v>
      </c>
      <c r="D57" s="102"/>
      <c r="E57" s="102"/>
      <c r="F57" s="102"/>
      <c r="G57" s="102"/>
      <c r="H57" s="102"/>
      <c r="I57" s="103"/>
      <c r="J57" s="103"/>
      <c r="K57" s="2" t="s">
        <v>244</v>
      </c>
      <c r="L57" s="100">
        <v>44557.0</v>
      </c>
      <c r="M57" s="101">
        <v>0.4870949074074074</v>
      </c>
      <c r="P57" s="104" t="b">
        <f>IFNA(IF(VLOOKUP($A57,'Add from APT'!$AA$2:$AC826,3,FALSE)&gt;0,TRUE,FALSE),"ER - NOT IN APT")</f>
        <v>0</v>
      </c>
      <c r="Q57" s="105" t="str">
        <f>IF(ISLOGICAL(P57),IF(P57,"ER - REPS IN APT", IFNA(VLOOKUP($A57,RAW_APT!$A$3:$M826,7,FALSE),"ER - NOT IN APT")),P57)</f>
        <v>Result</v>
      </c>
      <c r="R57" s="106" t="b">
        <f t="shared" si="2"/>
        <v>1</v>
      </c>
      <c r="S57" s="107">
        <f t="shared" si="3"/>
        <v>1</v>
      </c>
      <c r="T57" s="143"/>
      <c r="U57" s="142"/>
      <c r="V57" s="142"/>
      <c r="W57" s="142"/>
      <c r="X57" s="110" t="b">
        <f t="shared" si="4"/>
        <v>0</v>
      </c>
      <c r="Y57" s="111" t="b">
        <v>0</v>
      </c>
      <c r="Z57" s="104" t="str">
        <f t="shared" si="5"/>
        <v/>
      </c>
      <c r="AA57" s="112" t="b">
        <f t="shared" si="6"/>
        <v>0</v>
      </c>
      <c r="AB57" s="142" t="b">
        <v>0</v>
      </c>
      <c r="AC57" s="140">
        <v>732.0</v>
      </c>
      <c r="AD57" s="141" t="b">
        <v>0</v>
      </c>
      <c r="AE57" s="115">
        <f t="shared" si="7"/>
        <v>216.3</v>
      </c>
      <c r="AF57" s="116" t="b">
        <f t="shared" si="8"/>
        <v>0</v>
      </c>
      <c r="AG57" s="105" t="b">
        <f t="shared" si="9"/>
        <v>0</v>
      </c>
      <c r="AH57" s="140"/>
      <c r="AI57" s="140"/>
      <c r="AJ57" s="140"/>
      <c r="AK57" s="117" t="str">
        <f t="shared" si="10"/>
        <v>Negative</v>
      </c>
      <c r="AL57" s="142"/>
      <c r="AM57" s="112" t="s">
        <v>322</v>
      </c>
      <c r="AN57" s="112" t="s">
        <v>323</v>
      </c>
      <c r="AO57" s="112" t="str">
        <f>IFERROR(__xludf.DUMMYFUNCTION("IF($AG57, ""DELETED"",TRIM(JOIN("" "",D57:E57)))"),"")</f>
        <v/>
      </c>
      <c r="AP57" s="112" t="str">
        <f t="shared" ref="AP57:AQ57" si="82">IF($AG57, "DELETED", TRIM(CONCATENATE(F57,I57,U57)))</f>
        <v/>
      </c>
      <c r="AQ57" s="112" t="str">
        <f t="shared" si="82"/>
        <v/>
      </c>
      <c r="AR57" s="112" t="str">
        <f>IFERROR(__xludf.DUMMYFUNCTION("IF($AG57, ""DELETED"", TRIM(JOIN("" "",AP57,AQ57)))"),"")</f>
        <v/>
      </c>
      <c r="AS57" s="118"/>
      <c r="AT57" s="110" t="b">
        <f t="shared" si="12"/>
        <v>0</v>
      </c>
      <c r="AU57" s="110" t="str">
        <f t="shared" si="13"/>
        <v/>
      </c>
      <c r="AV57" s="110" t="str">
        <f t="shared" si="14"/>
        <v/>
      </c>
      <c r="AW57" s="110" t="str">
        <f t="shared" si="15"/>
        <v/>
      </c>
      <c r="AX57" s="119" t="str">
        <f t="shared" si="16"/>
        <v/>
      </c>
      <c r="AY57" s="120"/>
      <c r="AZ57" s="121"/>
      <c r="BA57" s="122" t="str">
        <f t="shared" si="17"/>
        <v/>
      </c>
      <c r="BB57" s="34"/>
      <c r="BC57" s="121"/>
      <c r="BD57" s="136"/>
      <c r="BE57" s="125" t="str">
        <f t="shared" si="18"/>
        <v/>
      </c>
      <c r="BF57" s="126" t="str">
        <f t="shared" si="19"/>
        <v>MA603__44557_0.336886574074074</v>
      </c>
      <c r="BG57" s="127" t="str">
        <f t="shared" si="20"/>
        <v/>
      </c>
      <c r="BH57" s="137" t="s">
        <v>396</v>
      </c>
      <c r="BI57" s="128" t="str">
        <f t="shared" si="21"/>
        <v>FM2081</v>
      </c>
      <c r="BJ57" s="129" t="b">
        <f t="shared" si="22"/>
        <v>0</v>
      </c>
      <c r="BK57" s="128" t="str">
        <f t="shared" si="23"/>
        <v/>
      </c>
      <c r="BL57" s="121"/>
      <c r="BM57" s="5" t="str">
        <f t="shared" si="24"/>
        <v>MISSING</v>
      </c>
      <c r="BN57" s="120" t="b">
        <f t="shared" si="25"/>
        <v>0</v>
      </c>
      <c r="BO57" s="131" t="b">
        <f t="shared" si="26"/>
        <v>1</v>
      </c>
      <c r="BP57" s="121"/>
      <c r="BQ57" s="132" t="str">
        <f>VLOOKUP(A57,RAW_APS!A$3:O826,15,FALSE)</f>
        <v/>
      </c>
      <c r="BR57" s="120" t="b">
        <f t="shared" si="27"/>
        <v>1</v>
      </c>
      <c r="BS57" s="121"/>
      <c r="BT57" s="138" t="s">
        <v>244</v>
      </c>
      <c r="BU57" s="10" t="b">
        <f t="shared" si="28"/>
        <v>1</v>
      </c>
      <c r="BV57" s="120"/>
      <c r="BW57" s="120"/>
      <c r="BX57" s="120"/>
      <c r="BY57" s="120"/>
      <c r="BZ57" s="120"/>
      <c r="CA57" s="120"/>
      <c r="CB57" s="120"/>
      <c r="CC57" s="120"/>
    </row>
    <row r="58">
      <c r="A58" s="2" t="s">
        <v>397</v>
      </c>
      <c r="B58" s="100">
        <v>44557.0</v>
      </c>
      <c r="C58" s="101">
        <v>0.34068287037037037</v>
      </c>
      <c r="D58" s="102"/>
      <c r="E58" s="102"/>
      <c r="F58" s="102"/>
      <c r="G58" s="102"/>
      <c r="H58" s="102"/>
      <c r="I58" s="103"/>
      <c r="J58" s="103"/>
      <c r="K58" s="2" t="s">
        <v>244</v>
      </c>
      <c r="L58" s="100">
        <v>44557.0</v>
      </c>
      <c r="M58" s="101">
        <v>0.4870949074074074</v>
      </c>
      <c r="P58" s="104" t="b">
        <f>IFNA(IF(VLOOKUP($A58,'Add from APT'!$AA$2:$AC826,3,FALSE)&gt;0,TRUE,FALSE),"ER - NOT IN APT")</f>
        <v>0</v>
      </c>
      <c r="Q58" s="105" t="str">
        <f>IF(ISLOGICAL(P58),IF(P58,"ER - REPS IN APT", IFNA(VLOOKUP($A58,RAW_APT!$A$3:$M826,7,FALSE),"ER - NOT IN APT")),P58)</f>
        <v>Result</v>
      </c>
      <c r="R58" s="106" t="b">
        <f t="shared" si="2"/>
        <v>1</v>
      </c>
      <c r="S58" s="107">
        <f t="shared" si="3"/>
        <v>1</v>
      </c>
      <c r="T58" s="143"/>
      <c r="U58" s="142"/>
      <c r="V58" s="142"/>
      <c r="W58" s="142"/>
      <c r="X58" s="110" t="b">
        <f t="shared" si="4"/>
        <v>0</v>
      </c>
      <c r="Y58" s="111" t="b">
        <v>0</v>
      </c>
      <c r="Z58" s="104" t="str">
        <f t="shared" si="5"/>
        <v/>
      </c>
      <c r="AA58" s="112" t="b">
        <f t="shared" si="6"/>
        <v>0</v>
      </c>
      <c r="AB58" s="142" t="b">
        <v>0</v>
      </c>
      <c r="AC58" s="140">
        <v>731.0</v>
      </c>
      <c r="AD58" s="141" t="b">
        <v>0</v>
      </c>
      <c r="AE58" s="115">
        <f t="shared" si="7"/>
        <v>210.8333333</v>
      </c>
      <c r="AF58" s="116" t="b">
        <f t="shared" si="8"/>
        <v>0</v>
      </c>
      <c r="AG58" s="105" t="b">
        <f t="shared" si="9"/>
        <v>0</v>
      </c>
      <c r="AH58" s="140"/>
      <c r="AI58" s="140"/>
      <c r="AJ58" s="140"/>
      <c r="AK58" s="117" t="str">
        <f t="shared" si="10"/>
        <v>Negative</v>
      </c>
      <c r="AL58" s="142"/>
      <c r="AM58" s="112" t="s">
        <v>398</v>
      </c>
      <c r="AN58" s="112" t="s">
        <v>399</v>
      </c>
      <c r="AO58" s="112" t="str">
        <f>IFERROR(__xludf.DUMMYFUNCTION("IF($AG58, ""DELETED"",TRIM(JOIN("" "",D58:E58)))"),"")</f>
        <v/>
      </c>
      <c r="AP58" s="112" t="str">
        <f t="shared" ref="AP58:AQ58" si="83">IF($AG58, "DELETED", TRIM(CONCATENATE(F58,I58,U58)))</f>
        <v/>
      </c>
      <c r="AQ58" s="112" t="str">
        <f t="shared" si="83"/>
        <v/>
      </c>
      <c r="AR58" s="112" t="str">
        <f>IFERROR(__xludf.DUMMYFUNCTION("IF($AG58, ""DELETED"", TRIM(JOIN("" "",AP58,AQ58)))"),"")</f>
        <v/>
      </c>
      <c r="AS58" s="118"/>
      <c r="AT58" s="110" t="b">
        <f t="shared" si="12"/>
        <v>0</v>
      </c>
      <c r="AU58" s="110" t="str">
        <f t="shared" si="13"/>
        <v/>
      </c>
      <c r="AV58" s="110" t="str">
        <f t="shared" si="14"/>
        <v/>
      </c>
      <c r="AW58" s="110" t="str">
        <f t="shared" si="15"/>
        <v/>
      </c>
      <c r="AX58" s="119" t="str">
        <f t="shared" si="16"/>
        <v/>
      </c>
      <c r="AY58" s="120"/>
      <c r="AZ58" s="121"/>
      <c r="BA58" s="122" t="str">
        <f t="shared" si="17"/>
        <v/>
      </c>
      <c r="BB58" s="34"/>
      <c r="BC58" s="121"/>
      <c r="BD58" s="136"/>
      <c r="BE58" s="125" t="str">
        <f t="shared" si="18"/>
        <v/>
      </c>
      <c r="BF58" s="126" t="str">
        <f t="shared" si="19"/>
        <v>MAX55__44557_0.34068287037037</v>
      </c>
      <c r="BG58" s="127" t="str">
        <f t="shared" si="20"/>
        <v/>
      </c>
      <c r="BH58" s="137" t="s">
        <v>400</v>
      </c>
      <c r="BI58" s="128" t="str">
        <f t="shared" si="21"/>
        <v>FM2082</v>
      </c>
      <c r="BJ58" s="129" t="b">
        <f t="shared" si="22"/>
        <v>0</v>
      </c>
      <c r="BK58" s="128" t="str">
        <f t="shared" si="23"/>
        <v/>
      </c>
      <c r="BL58" s="121"/>
      <c r="BM58" s="5" t="str">
        <f t="shared" si="24"/>
        <v>MISSING</v>
      </c>
      <c r="BN58" s="120" t="b">
        <f t="shared" si="25"/>
        <v>0</v>
      </c>
      <c r="BO58" s="131" t="b">
        <f t="shared" si="26"/>
        <v>1</v>
      </c>
      <c r="BP58" s="121"/>
      <c r="BQ58" s="132" t="str">
        <f>VLOOKUP(A58,RAW_APS!A$3:O826,15,FALSE)</f>
        <v/>
      </c>
      <c r="BR58" s="120" t="b">
        <f t="shared" si="27"/>
        <v>1</v>
      </c>
      <c r="BS58" s="121"/>
      <c r="BT58" s="138" t="s">
        <v>244</v>
      </c>
      <c r="BU58" s="10" t="b">
        <f t="shared" si="28"/>
        <v>1</v>
      </c>
      <c r="BV58" s="120"/>
      <c r="BW58" s="120"/>
      <c r="BX58" s="120"/>
      <c r="BY58" s="120"/>
      <c r="BZ58" s="120"/>
      <c r="CA58" s="120"/>
      <c r="CB58" s="120"/>
      <c r="CC58" s="120"/>
    </row>
    <row r="59">
      <c r="A59" s="2" t="s">
        <v>401</v>
      </c>
      <c r="B59" s="100">
        <v>44557.0</v>
      </c>
      <c r="C59" s="101">
        <v>0.34118055555555554</v>
      </c>
      <c r="D59" s="102"/>
      <c r="E59" s="102"/>
      <c r="F59" s="102"/>
      <c r="G59" s="102"/>
      <c r="H59" s="102"/>
      <c r="I59" s="103"/>
      <c r="J59" s="103"/>
      <c r="K59" s="2" t="s">
        <v>244</v>
      </c>
      <c r="L59" s="100">
        <v>44557.0</v>
      </c>
      <c r="M59" s="101">
        <v>0.4870949074074074</v>
      </c>
      <c r="P59" s="104" t="b">
        <f>IFNA(IF(VLOOKUP($A59,'Add from APT'!$AA$2:$AC826,3,FALSE)&gt;0,TRUE,FALSE),"ER - NOT IN APT")</f>
        <v>0</v>
      </c>
      <c r="Q59" s="105" t="str">
        <f>IF(ISLOGICAL(P59),IF(P59,"ER - REPS IN APT", IFNA(VLOOKUP($A59,RAW_APT!$A$3:$M826,7,FALSE),"ER - NOT IN APT")),P59)</f>
        <v>Result</v>
      </c>
      <c r="R59" s="106" t="b">
        <f t="shared" si="2"/>
        <v>1</v>
      </c>
      <c r="S59" s="107">
        <f t="shared" si="3"/>
        <v>1</v>
      </c>
      <c r="T59" s="143"/>
      <c r="U59" s="142"/>
      <c r="V59" s="142"/>
      <c r="W59" s="142"/>
      <c r="X59" s="110" t="b">
        <f t="shared" si="4"/>
        <v>0</v>
      </c>
      <c r="Y59" s="111" t="b">
        <v>0</v>
      </c>
      <c r="Z59" s="104" t="str">
        <f t="shared" si="5"/>
        <v/>
      </c>
      <c r="AA59" s="112" t="b">
        <f t="shared" si="6"/>
        <v>0</v>
      </c>
      <c r="AB59" s="142" t="b">
        <v>0</v>
      </c>
      <c r="AC59" s="140">
        <v>730.0</v>
      </c>
      <c r="AD59" s="141" t="b">
        <v>0</v>
      </c>
      <c r="AE59" s="115">
        <f t="shared" si="7"/>
        <v>210.1166667</v>
      </c>
      <c r="AF59" s="116" t="b">
        <f t="shared" si="8"/>
        <v>0</v>
      </c>
      <c r="AG59" s="105" t="b">
        <f t="shared" si="9"/>
        <v>0</v>
      </c>
      <c r="AH59" s="140"/>
      <c r="AI59" s="140"/>
      <c r="AJ59" s="140"/>
      <c r="AK59" s="117" t="str">
        <f t="shared" si="10"/>
        <v>Negative</v>
      </c>
      <c r="AL59" s="142"/>
      <c r="AM59" s="112" t="s">
        <v>318</v>
      </c>
      <c r="AN59" s="112" t="s">
        <v>319</v>
      </c>
      <c r="AO59" s="112" t="str">
        <f>IFERROR(__xludf.DUMMYFUNCTION("IF($AG59, ""DELETED"",TRIM(JOIN("" "",D59:E59)))"),"")</f>
        <v/>
      </c>
      <c r="AP59" s="112" t="str">
        <f t="shared" ref="AP59:AQ59" si="84">IF($AG59, "DELETED", TRIM(CONCATENATE(F59,I59,U59)))</f>
        <v/>
      </c>
      <c r="AQ59" s="112" t="str">
        <f t="shared" si="84"/>
        <v/>
      </c>
      <c r="AR59" s="112" t="str">
        <f>IFERROR(__xludf.DUMMYFUNCTION("IF($AG59, ""DELETED"", TRIM(JOIN("" "",AP59,AQ59)))"),"")</f>
        <v/>
      </c>
      <c r="AS59" s="118"/>
      <c r="AT59" s="110" t="b">
        <f t="shared" si="12"/>
        <v>0</v>
      </c>
      <c r="AU59" s="110" t="str">
        <f t="shared" si="13"/>
        <v/>
      </c>
      <c r="AV59" s="110" t="str">
        <f t="shared" si="14"/>
        <v/>
      </c>
      <c r="AW59" s="110" t="str">
        <f t="shared" si="15"/>
        <v/>
      </c>
      <c r="AX59" s="119" t="str">
        <f t="shared" si="16"/>
        <v/>
      </c>
      <c r="AY59" s="120"/>
      <c r="AZ59" s="121"/>
      <c r="BA59" s="122" t="str">
        <f t="shared" si="17"/>
        <v/>
      </c>
      <c r="BB59" s="34"/>
      <c r="BC59" s="121"/>
      <c r="BD59" s="136"/>
      <c r="BE59" s="125" t="str">
        <f t="shared" si="18"/>
        <v/>
      </c>
      <c r="BF59" s="126" t="str">
        <f t="shared" si="19"/>
        <v>MA343__44557_0.341180555555556</v>
      </c>
      <c r="BG59" s="127" t="str">
        <f t="shared" si="20"/>
        <v/>
      </c>
      <c r="BH59" s="137" t="s">
        <v>402</v>
      </c>
      <c r="BI59" s="128" t="str">
        <f t="shared" si="21"/>
        <v>FM2083</v>
      </c>
      <c r="BJ59" s="129" t="b">
        <f t="shared" si="22"/>
        <v>0</v>
      </c>
      <c r="BK59" s="128" t="str">
        <f t="shared" si="23"/>
        <v/>
      </c>
      <c r="BL59" s="121"/>
      <c r="BM59" s="5" t="str">
        <f t="shared" si="24"/>
        <v>MISSING</v>
      </c>
      <c r="BN59" s="120" t="b">
        <f t="shared" si="25"/>
        <v>0</v>
      </c>
      <c r="BO59" s="131" t="b">
        <f t="shared" si="26"/>
        <v>1</v>
      </c>
      <c r="BP59" s="121"/>
      <c r="BQ59" s="132" t="str">
        <f>VLOOKUP(A59,RAW_APS!A$3:O826,15,FALSE)</f>
        <v/>
      </c>
      <c r="BR59" s="120" t="b">
        <f t="shared" si="27"/>
        <v>1</v>
      </c>
      <c r="BS59" s="121"/>
      <c r="BT59" s="138" t="s">
        <v>244</v>
      </c>
      <c r="BU59" s="10" t="b">
        <f t="shared" si="28"/>
        <v>1</v>
      </c>
      <c r="BV59" s="120"/>
      <c r="BW59" s="120"/>
      <c r="BX59" s="120"/>
      <c r="BY59" s="120"/>
      <c r="BZ59" s="120"/>
      <c r="CA59" s="120"/>
      <c r="CB59" s="120"/>
      <c r="CC59" s="120"/>
    </row>
    <row r="60">
      <c r="A60" s="2" t="s">
        <v>403</v>
      </c>
      <c r="B60" s="100">
        <v>44557.0</v>
      </c>
      <c r="C60" s="101">
        <v>0.35445601851851855</v>
      </c>
      <c r="D60" s="102"/>
      <c r="E60" s="102"/>
      <c r="F60" s="102"/>
      <c r="G60" s="102"/>
      <c r="H60" s="102"/>
      <c r="I60" s="103"/>
      <c r="J60" s="103"/>
      <c r="K60" s="2" t="s">
        <v>244</v>
      </c>
      <c r="L60" s="100">
        <v>44557.0</v>
      </c>
      <c r="M60" s="101">
        <v>0.4870949074074074</v>
      </c>
      <c r="P60" s="104" t="b">
        <f>IFNA(IF(VLOOKUP($A60,'Add from APT'!$AA$2:$AC826,3,FALSE)&gt;0,TRUE,FALSE),"ER - NOT IN APT")</f>
        <v>0</v>
      </c>
      <c r="Q60" s="105" t="str">
        <f>IF(ISLOGICAL(P60),IF(P60,"ER - REPS IN APT", IFNA(VLOOKUP($A60,RAW_APT!$A$3:$M826,7,FALSE),"ER - NOT IN APT")),P60)</f>
        <v>Result</v>
      </c>
      <c r="R60" s="106" t="b">
        <f t="shared" si="2"/>
        <v>1</v>
      </c>
      <c r="S60" s="107">
        <f t="shared" si="3"/>
        <v>1</v>
      </c>
      <c r="T60" s="143"/>
      <c r="U60" s="142"/>
      <c r="V60" s="142"/>
      <c r="W60" s="142"/>
      <c r="X60" s="110" t="b">
        <f t="shared" si="4"/>
        <v>0</v>
      </c>
      <c r="Y60" s="111" t="b">
        <v>0</v>
      </c>
      <c r="Z60" s="104" t="str">
        <f t="shared" si="5"/>
        <v/>
      </c>
      <c r="AA60" s="112" t="b">
        <f t="shared" si="6"/>
        <v>0</v>
      </c>
      <c r="AB60" s="142" t="b">
        <v>0</v>
      </c>
      <c r="AC60" s="140">
        <v>729.0</v>
      </c>
      <c r="AD60" s="141" t="b">
        <v>0</v>
      </c>
      <c r="AE60" s="115">
        <f t="shared" si="7"/>
        <v>191</v>
      </c>
      <c r="AF60" s="116" t="b">
        <f t="shared" si="8"/>
        <v>0</v>
      </c>
      <c r="AG60" s="105" t="b">
        <f t="shared" si="9"/>
        <v>0</v>
      </c>
      <c r="AH60" s="140"/>
      <c r="AI60" s="140"/>
      <c r="AJ60" s="140"/>
      <c r="AK60" s="117" t="str">
        <f t="shared" si="10"/>
        <v>Negative</v>
      </c>
      <c r="AL60" s="142"/>
      <c r="AM60" s="112" t="s">
        <v>356</v>
      </c>
      <c r="AN60" s="112" t="s">
        <v>357</v>
      </c>
      <c r="AO60" s="112" t="str">
        <f>IFERROR(__xludf.DUMMYFUNCTION("IF($AG60, ""DELETED"",TRIM(JOIN("" "",D60:E60)))"),"")</f>
        <v/>
      </c>
      <c r="AP60" s="112" t="str">
        <f t="shared" ref="AP60:AQ60" si="85">IF($AG60, "DELETED", TRIM(CONCATENATE(F60,I60,U60)))</f>
        <v/>
      </c>
      <c r="AQ60" s="112" t="str">
        <f t="shared" si="85"/>
        <v/>
      </c>
      <c r="AR60" s="112" t="str">
        <f>IFERROR(__xludf.DUMMYFUNCTION("IF($AG60, ""DELETED"", TRIM(JOIN("" "",AP60,AQ60)))"),"")</f>
        <v/>
      </c>
      <c r="AS60" s="118"/>
      <c r="AT60" s="110" t="b">
        <f t="shared" si="12"/>
        <v>0</v>
      </c>
      <c r="AU60" s="110" t="str">
        <f t="shared" si="13"/>
        <v/>
      </c>
      <c r="AV60" s="110" t="str">
        <f t="shared" si="14"/>
        <v/>
      </c>
      <c r="AW60" s="110" t="str">
        <f t="shared" si="15"/>
        <v/>
      </c>
      <c r="AX60" s="119" t="str">
        <f t="shared" si="16"/>
        <v/>
      </c>
      <c r="AY60" s="120"/>
      <c r="AZ60" s="121"/>
      <c r="BA60" s="122" t="str">
        <f t="shared" si="17"/>
        <v/>
      </c>
      <c r="BB60" s="34"/>
      <c r="BC60" s="121"/>
      <c r="BD60" s="136"/>
      <c r="BE60" s="125" t="str">
        <f t="shared" si="18"/>
        <v/>
      </c>
      <c r="BF60" s="126" t="str">
        <f t="shared" si="19"/>
        <v>MA371__44557_0.354456018518519</v>
      </c>
      <c r="BG60" s="127" t="str">
        <f t="shared" si="20"/>
        <v/>
      </c>
      <c r="BH60" s="137" t="s">
        <v>404</v>
      </c>
      <c r="BI60" s="128" t="str">
        <f t="shared" si="21"/>
        <v>FM2085</v>
      </c>
      <c r="BJ60" s="129" t="b">
        <f t="shared" si="22"/>
        <v>0</v>
      </c>
      <c r="BK60" s="128" t="str">
        <f t="shared" si="23"/>
        <v/>
      </c>
      <c r="BL60" s="121"/>
      <c r="BM60" s="5" t="str">
        <f t="shared" si="24"/>
        <v>MISSING</v>
      </c>
      <c r="BN60" s="120" t="b">
        <f t="shared" si="25"/>
        <v>0</v>
      </c>
      <c r="BO60" s="131" t="b">
        <f t="shared" si="26"/>
        <v>1</v>
      </c>
      <c r="BP60" s="121"/>
      <c r="BQ60" s="132" t="str">
        <f>VLOOKUP(A60,RAW_APS!A$3:O826,15,FALSE)</f>
        <v/>
      </c>
      <c r="BR60" s="120" t="b">
        <f t="shared" si="27"/>
        <v>1</v>
      </c>
      <c r="BS60" s="121"/>
      <c r="BT60" s="138" t="s">
        <v>244</v>
      </c>
      <c r="BU60" s="10" t="b">
        <f t="shared" si="28"/>
        <v>1</v>
      </c>
      <c r="BV60" s="120"/>
      <c r="BW60" s="120"/>
      <c r="BX60" s="120"/>
      <c r="BY60" s="120"/>
      <c r="BZ60" s="120"/>
      <c r="CA60" s="120"/>
      <c r="CB60" s="120"/>
      <c r="CC60" s="120"/>
    </row>
    <row r="61">
      <c r="A61" s="2" t="s">
        <v>405</v>
      </c>
      <c r="B61" s="100">
        <v>44557.0</v>
      </c>
      <c r="C61" s="101">
        <v>0.36072916666666666</v>
      </c>
      <c r="D61" s="102"/>
      <c r="E61" s="102"/>
      <c r="F61" s="102"/>
      <c r="G61" s="102"/>
      <c r="H61" s="102"/>
      <c r="I61" s="103"/>
      <c r="J61" s="103"/>
      <c r="K61" s="2" t="s">
        <v>244</v>
      </c>
      <c r="L61" s="100">
        <v>44557.0</v>
      </c>
      <c r="M61" s="101">
        <v>0.4870949074074074</v>
      </c>
      <c r="P61" s="104" t="b">
        <f>IFNA(IF(VLOOKUP($A61,'Add from APT'!$AA$2:$AC826,3,FALSE)&gt;0,TRUE,FALSE),"ER - NOT IN APT")</f>
        <v>0</v>
      </c>
      <c r="Q61" s="105" t="str">
        <f>IF(ISLOGICAL(P61),IF(P61,"ER - REPS IN APT", IFNA(VLOOKUP($A61,RAW_APT!$A$3:$M826,7,FALSE),"ER - NOT IN APT")),P61)</f>
        <v>Result</v>
      </c>
      <c r="R61" s="106" t="b">
        <f t="shared" si="2"/>
        <v>1</v>
      </c>
      <c r="S61" s="107">
        <f t="shared" si="3"/>
        <v>1</v>
      </c>
      <c r="T61" s="143"/>
      <c r="U61" s="142"/>
      <c r="V61" s="142"/>
      <c r="W61" s="142"/>
      <c r="X61" s="110" t="b">
        <f t="shared" si="4"/>
        <v>0</v>
      </c>
      <c r="Y61" s="111" t="b">
        <v>0</v>
      </c>
      <c r="Z61" s="104" t="str">
        <f t="shared" si="5"/>
        <v/>
      </c>
      <c r="AA61" s="112" t="b">
        <f t="shared" si="6"/>
        <v>0</v>
      </c>
      <c r="AB61" s="142" t="b">
        <v>0</v>
      </c>
      <c r="AC61" s="140">
        <v>728.0</v>
      </c>
      <c r="AD61" s="141" t="b">
        <v>0</v>
      </c>
      <c r="AE61" s="115">
        <f t="shared" si="7"/>
        <v>181.9666667</v>
      </c>
      <c r="AF61" s="116" t="b">
        <f t="shared" si="8"/>
        <v>0</v>
      </c>
      <c r="AG61" s="105" t="b">
        <f t="shared" si="9"/>
        <v>0</v>
      </c>
      <c r="AH61" s="140"/>
      <c r="AI61" s="140"/>
      <c r="AJ61" s="140"/>
      <c r="AK61" s="117" t="str">
        <f t="shared" si="10"/>
        <v>Negative</v>
      </c>
      <c r="AL61" s="142"/>
      <c r="AM61" s="112" t="s">
        <v>257</v>
      </c>
      <c r="AN61" s="112" t="s">
        <v>406</v>
      </c>
      <c r="AO61" s="112" t="str">
        <f>IFERROR(__xludf.DUMMYFUNCTION("IF($AG61, ""DELETED"",TRIM(JOIN("" "",D61:E61)))"),"")</f>
        <v/>
      </c>
      <c r="AP61" s="112" t="str">
        <f t="shared" ref="AP61:AQ61" si="86">IF($AG61, "DELETED", TRIM(CONCATENATE(F61,I61,U61)))</f>
        <v/>
      </c>
      <c r="AQ61" s="112" t="str">
        <f t="shared" si="86"/>
        <v/>
      </c>
      <c r="AR61" s="112" t="str">
        <f>IFERROR(__xludf.DUMMYFUNCTION("IF($AG61, ""DELETED"", TRIM(JOIN("" "",AP61,AQ61)))"),"")</f>
        <v/>
      </c>
      <c r="AS61" s="118"/>
      <c r="AT61" s="110" t="b">
        <f t="shared" si="12"/>
        <v>0</v>
      </c>
      <c r="AU61" s="110" t="str">
        <f t="shared" si="13"/>
        <v/>
      </c>
      <c r="AV61" s="110" t="str">
        <f t="shared" si="14"/>
        <v/>
      </c>
      <c r="AW61" s="110" t="str">
        <f t="shared" si="15"/>
        <v/>
      </c>
      <c r="AX61" s="119" t="str">
        <f t="shared" si="16"/>
        <v/>
      </c>
      <c r="AY61" s="120"/>
      <c r="AZ61" s="121"/>
      <c r="BA61" s="122" t="str">
        <f t="shared" si="17"/>
        <v/>
      </c>
      <c r="BB61" s="34"/>
      <c r="BC61" s="121"/>
      <c r="BD61" s="136"/>
      <c r="BE61" s="125" t="str">
        <f t="shared" si="18"/>
        <v/>
      </c>
      <c r="BF61" s="126" t="str">
        <f t="shared" si="19"/>
        <v>MA1099__44557_0.360729166666667</v>
      </c>
      <c r="BG61" s="127" t="str">
        <f t="shared" si="20"/>
        <v/>
      </c>
      <c r="BH61" s="137" t="s">
        <v>407</v>
      </c>
      <c r="BI61" s="128" t="str">
        <f t="shared" si="21"/>
        <v>FM2089</v>
      </c>
      <c r="BJ61" s="129" t="b">
        <f t="shared" si="22"/>
        <v>0</v>
      </c>
      <c r="BK61" s="128" t="str">
        <f t="shared" si="23"/>
        <v/>
      </c>
      <c r="BL61" s="121"/>
      <c r="BM61" s="5" t="str">
        <f t="shared" si="24"/>
        <v>MISSING</v>
      </c>
      <c r="BN61" s="120" t="b">
        <f t="shared" si="25"/>
        <v>0</v>
      </c>
      <c r="BO61" s="131" t="b">
        <f t="shared" si="26"/>
        <v>1</v>
      </c>
      <c r="BP61" s="121"/>
      <c r="BQ61" s="132" t="str">
        <f>VLOOKUP(A61,RAW_APS!A$3:O826,15,FALSE)</f>
        <v/>
      </c>
      <c r="BR61" s="120" t="b">
        <f t="shared" si="27"/>
        <v>1</v>
      </c>
      <c r="BS61" s="121"/>
      <c r="BT61" s="138" t="s">
        <v>244</v>
      </c>
      <c r="BU61" s="10" t="b">
        <f t="shared" si="28"/>
        <v>1</v>
      </c>
      <c r="BV61" s="120"/>
      <c r="BW61" s="120"/>
      <c r="BX61" s="120"/>
      <c r="BY61" s="120"/>
      <c r="BZ61" s="120"/>
      <c r="CA61" s="120"/>
      <c r="CB61" s="120"/>
      <c r="CC61" s="120"/>
    </row>
    <row r="62">
      <c r="A62" s="2" t="s">
        <v>408</v>
      </c>
      <c r="B62" s="100">
        <v>44557.0</v>
      </c>
      <c r="C62" s="101">
        <v>0.37775462962962963</v>
      </c>
      <c r="D62" s="102"/>
      <c r="E62" s="102"/>
      <c r="F62" s="102"/>
      <c r="G62" s="102"/>
      <c r="H62" s="102"/>
      <c r="I62" s="103"/>
      <c r="J62" s="103"/>
      <c r="K62" s="2" t="s">
        <v>244</v>
      </c>
      <c r="L62" s="100">
        <v>44557.0</v>
      </c>
      <c r="M62" s="101">
        <v>0.4870949074074074</v>
      </c>
      <c r="P62" s="104" t="b">
        <f>IFNA(IF(VLOOKUP($A62,'Add from APT'!$AA$2:$AC826,3,FALSE)&gt;0,TRUE,FALSE),"ER - NOT IN APT")</f>
        <v>0</v>
      </c>
      <c r="Q62" s="105" t="str">
        <f>IF(ISLOGICAL(P62),IF(P62,"ER - REPS IN APT", IFNA(VLOOKUP($A62,RAW_APT!$A$3:$M826,7,FALSE),"ER - NOT IN APT")),P62)</f>
        <v>Result</v>
      </c>
      <c r="R62" s="106" t="b">
        <f t="shared" si="2"/>
        <v>1</v>
      </c>
      <c r="S62" s="107">
        <f t="shared" si="3"/>
        <v>1</v>
      </c>
      <c r="T62" s="143"/>
      <c r="U62" s="142"/>
      <c r="V62" s="142"/>
      <c r="W62" s="142"/>
      <c r="X62" s="110" t="b">
        <f t="shared" si="4"/>
        <v>0</v>
      </c>
      <c r="Y62" s="111" t="b">
        <v>0</v>
      </c>
      <c r="Z62" s="104" t="str">
        <f t="shared" si="5"/>
        <v/>
      </c>
      <c r="AA62" s="112" t="b">
        <f t="shared" si="6"/>
        <v>0</v>
      </c>
      <c r="AB62" s="142" t="b">
        <v>0</v>
      </c>
      <c r="AC62" s="140">
        <v>727.0</v>
      </c>
      <c r="AD62" s="141" t="b">
        <v>0</v>
      </c>
      <c r="AE62" s="115">
        <f t="shared" si="7"/>
        <v>157.45</v>
      </c>
      <c r="AF62" s="116" t="b">
        <f t="shared" si="8"/>
        <v>0</v>
      </c>
      <c r="AG62" s="105" t="b">
        <f t="shared" si="9"/>
        <v>0</v>
      </c>
      <c r="AH62" s="140"/>
      <c r="AI62" s="140"/>
      <c r="AJ62" s="140"/>
      <c r="AK62" s="117" t="str">
        <f t="shared" si="10"/>
        <v>Negative</v>
      </c>
      <c r="AL62" s="142"/>
      <c r="AM62" s="112" t="s">
        <v>409</v>
      </c>
      <c r="AN62" s="112" t="s">
        <v>410</v>
      </c>
      <c r="AO62" s="112" t="str">
        <f>IFERROR(__xludf.DUMMYFUNCTION("IF($AG62, ""DELETED"",TRIM(JOIN("" "",D62:E62)))"),"")</f>
        <v/>
      </c>
      <c r="AP62" s="112" t="str">
        <f t="shared" ref="AP62:AQ62" si="87">IF($AG62, "DELETED", TRIM(CONCATENATE(F62,I62,U62)))</f>
        <v/>
      </c>
      <c r="AQ62" s="112" t="str">
        <f t="shared" si="87"/>
        <v/>
      </c>
      <c r="AR62" s="112" t="str">
        <f>IFERROR(__xludf.DUMMYFUNCTION("IF($AG62, ""DELETED"", TRIM(JOIN("" "",AP62,AQ62)))"),"")</f>
        <v/>
      </c>
      <c r="AS62" s="118"/>
      <c r="AT62" s="110" t="b">
        <f t="shared" si="12"/>
        <v>0</v>
      </c>
      <c r="AU62" s="110" t="str">
        <f t="shared" si="13"/>
        <v/>
      </c>
      <c r="AV62" s="110" t="str">
        <f t="shared" si="14"/>
        <v/>
      </c>
      <c r="AW62" s="110" t="str">
        <f t="shared" si="15"/>
        <v/>
      </c>
      <c r="AX62" s="119" t="str">
        <f t="shared" si="16"/>
        <v/>
      </c>
      <c r="AY62" s="120"/>
      <c r="AZ62" s="121"/>
      <c r="BA62" s="122" t="str">
        <f t="shared" si="17"/>
        <v/>
      </c>
      <c r="BB62" s="34"/>
      <c r="BC62" s="121"/>
      <c r="BD62" s="136"/>
      <c r="BE62" s="125" t="str">
        <f t="shared" si="18"/>
        <v/>
      </c>
      <c r="BF62" s="126" t="str">
        <f t="shared" si="19"/>
        <v>MA257__44557_0.37775462962963</v>
      </c>
      <c r="BG62" s="127" t="str">
        <f t="shared" si="20"/>
        <v/>
      </c>
      <c r="BH62" s="137" t="s">
        <v>411</v>
      </c>
      <c r="BI62" s="128" t="str">
        <f t="shared" si="21"/>
        <v>FM2090</v>
      </c>
      <c r="BJ62" s="129" t="b">
        <f t="shared" si="22"/>
        <v>0</v>
      </c>
      <c r="BK62" s="128" t="str">
        <f t="shared" si="23"/>
        <v/>
      </c>
      <c r="BL62" s="121"/>
      <c r="BM62" s="5" t="str">
        <f t="shared" si="24"/>
        <v>MISSING</v>
      </c>
      <c r="BN62" s="120" t="b">
        <f t="shared" si="25"/>
        <v>0</v>
      </c>
      <c r="BO62" s="131" t="b">
        <f t="shared" si="26"/>
        <v>1</v>
      </c>
      <c r="BP62" s="121"/>
      <c r="BQ62" s="132" t="str">
        <f>VLOOKUP(A62,RAW_APS!A$3:O826,15,FALSE)</f>
        <v/>
      </c>
      <c r="BR62" s="120" t="b">
        <f t="shared" si="27"/>
        <v>1</v>
      </c>
      <c r="BS62" s="121"/>
      <c r="BT62" s="138" t="s">
        <v>244</v>
      </c>
      <c r="BU62" s="10" t="b">
        <f t="shared" si="28"/>
        <v>1</v>
      </c>
      <c r="BV62" s="120"/>
      <c r="BW62" s="120"/>
      <c r="BX62" s="120"/>
      <c r="BY62" s="120"/>
      <c r="BZ62" s="120"/>
      <c r="CA62" s="120"/>
      <c r="CB62" s="120"/>
      <c r="CC62" s="120"/>
    </row>
    <row r="63">
      <c r="A63" s="2" t="s">
        <v>412</v>
      </c>
      <c r="B63" s="100">
        <v>44557.0</v>
      </c>
      <c r="C63" s="101">
        <v>0.3893287037037037</v>
      </c>
      <c r="D63" s="102"/>
      <c r="E63" s="102"/>
      <c r="F63" s="102"/>
      <c r="G63" s="102"/>
      <c r="H63" s="102"/>
      <c r="I63" s="103"/>
      <c r="J63" s="103"/>
      <c r="K63" s="2" t="s">
        <v>244</v>
      </c>
      <c r="L63" s="100">
        <v>44557.0</v>
      </c>
      <c r="M63" s="101">
        <v>0.4870949074074074</v>
      </c>
      <c r="P63" s="104" t="b">
        <f>IFNA(IF(VLOOKUP($A63,'Add from APT'!$AA$2:$AC826,3,FALSE)&gt;0,TRUE,FALSE),"ER - NOT IN APT")</f>
        <v>0</v>
      </c>
      <c r="Q63" s="105" t="str">
        <f>IF(ISLOGICAL(P63),IF(P63,"ER - REPS IN APT", IFNA(VLOOKUP($A63,RAW_APT!$A$3:$M826,7,FALSE),"ER - NOT IN APT")),P63)</f>
        <v>Result</v>
      </c>
      <c r="R63" s="106" t="b">
        <f t="shared" si="2"/>
        <v>1</v>
      </c>
      <c r="S63" s="107">
        <f t="shared" si="3"/>
        <v>1</v>
      </c>
      <c r="T63" s="143"/>
      <c r="U63" s="142"/>
      <c r="V63" s="142"/>
      <c r="W63" s="142"/>
      <c r="X63" s="110" t="b">
        <f t="shared" si="4"/>
        <v>0</v>
      </c>
      <c r="Y63" s="111" t="b">
        <v>0</v>
      </c>
      <c r="Z63" s="104" t="str">
        <f t="shared" si="5"/>
        <v/>
      </c>
      <c r="AA63" s="112" t="b">
        <f t="shared" si="6"/>
        <v>0</v>
      </c>
      <c r="AB63" s="142" t="b">
        <v>0</v>
      </c>
      <c r="AC63" s="140">
        <v>726.0</v>
      </c>
      <c r="AD63" s="141" t="b">
        <v>0</v>
      </c>
      <c r="AE63" s="115">
        <f t="shared" si="7"/>
        <v>140.7833333</v>
      </c>
      <c r="AF63" s="116" t="b">
        <f t="shared" si="8"/>
        <v>0</v>
      </c>
      <c r="AG63" s="105" t="b">
        <f t="shared" si="9"/>
        <v>0</v>
      </c>
      <c r="AH63" s="140"/>
      <c r="AI63" s="140"/>
      <c r="AJ63" s="140"/>
      <c r="AK63" s="117" t="str">
        <f t="shared" si="10"/>
        <v>Negative</v>
      </c>
      <c r="AL63" s="142"/>
      <c r="AM63" s="112" t="s">
        <v>328</v>
      </c>
      <c r="AN63" s="112" t="s">
        <v>329</v>
      </c>
      <c r="AO63" s="112" t="str">
        <f>IFERROR(__xludf.DUMMYFUNCTION("IF($AG63, ""DELETED"",TRIM(JOIN("" "",D63:E63)))"),"")</f>
        <v/>
      </c>
      <c r="AP63" s="112" t="str">
        <f t="shared" ref="AP63:AQ63" si="88">IF($AG63, "DELETED", TRIM(CONCATENATE(F63,I63,U63)))</f>
        <v/>
      </c>
      <c r="AQ63" s="112" t="str">
        <f t="shared" si="88"/>
        <v/>
      </c>
      <c r="AR63" s="112" t="str">
        <f>IFERROR(__xludf.DUMMYFUNCTION("IF($AG63, ""DELETED"", TRIM(JOIN("" "",AP63,AQ63)))"),"")</f>
        <v/>
      </c>
      <c r="AS63" s="118"/>
      <c r="AT63" s="110" t="b">
        <f t="shared" si="12"/>
        <v>0</v>
      </c>
      <c r="AU63" s="110" t="str">
        <f t="shared" si="13"/>
        <v/>
      </c>
      <c r="AV63" s="110" t="str">
        <f t="shared" si="14"/>
        <v/>
      </c>
      <c r="AW63" s="110" t="str">
        <f t="shared" si="15"/>
        <v/>
      </c>
      <c r="AX63" s="119" t="str">
        <f t="shared" si="16"/>
        <v/>
      </c>
      <c r="AY63" s="120"/>
      <c r="AZ63" s="121"/>
      <c r="BA63" s="122" t="str">
        <f t="shared" si="17"/>
        <v/>
      </c>
      <c r="BB63" s="34"/>
      <c r="BC63" s="121"/>
      <c r="BD63" s="136"/>
      <c r="BE63" s="125" t="str">
        <f t="shared" si="18"/>
        <v/>
      </c>
      <c r="BF63" s="126" t="str">
        <f t="shared" si="19"/>
        <v>MA624__44557_0.389328703703704</v>
      </c>
      <c r="BG63" s="127" t="str">
        <f t="shared" si="20"/>
        <v/>
      </c>
      <c r="BH63" s="137" t="s">
        <v>413</v>
      </c>
      <c r="BI63" s="128" t="str">
        <f t="shared" si="21"/>
        <v>FM2093</v>
      </c>
      <c r="BJ63" s="129" t="b">
        <f t="shared" si="22"/>
        <v>0</v>
      </c>
      <c r="BK63" s="128" t="str">
        <f t="shared" si="23"/>
        <v/>
      </c>
      <c r="BL63" s="121"/>
      <c r="BM63" s="5" t="str">
        <f t="shared" si="24"/>
        <v>MISSING</v>
      </c>
      <c r="BN63" s="120" t="b">
        <f t="shared" si="25"/>
        <v>0</v>
      </c>
      <c r="BO63" s="131" t="b">
        <f t="shared" si="26"/>
        <v>1</v>
      </c>
      <c r="BP63" s="121"/>
      <c r="BQ63" s="132" t="str">
        <f>VLOOKUP(A63,RAW_APS!A$3:O826,15,FALSE)</f>
        <v/>
      </c>
      <c r="BR63" s="120" t="b">
        <f t="shared" si="27"/>
        <v>1</v>
      </c>
      <c r="BS63" s="121"/>
      <c r="BT63" s="138" t="s">
        <v>244</v>
      </c>
      <c r="BU63" s="10" t="b">
        <f t="shared" si="28"/>
        <v>1</v>
      </c>
      <c r="BV63" s="120"/>
      <c r="BW63" s="120"/>
      <c r="BX63" s="120"/>
      <c r="BY63" s="120"/>
      <c r="BZ63" s="120"/>
      <c r="CA63" s="120"/>
      <c r="CB63" s="120"/>
      <c r="CC63" s="120"/>
    </row>
    <row r="64">
      <c r="A64" s="2" t="s">
        <v>414</v>
      </c>
      <c r="B64" s="100">
        <v>44557.0</v>
      </c>
      <c r="C64" s="101">
        <v>0.4255902777777778</v>
      </c>
      <c r="D64" s="102"/>
      <c r="E64" s="102"/>
      <c r="F64" s="102"/>
      <c r="G64" s="102"/>
      <c r="H64" s="102"/>
      <c r="I64" s="103"/>
      <c r="J64" s="103"/>
      <c r="K64" s="2" t="s">
        <v>244</v>
      </c>
      <c r="L64" s="100">
        <v>44557.0</v>
      </c>
      <c r="M64" s="101">
        <v>0.4871064814814815</v>
      </c>
      <c r="P64" s="104" t="b">
        <f>IFNA(IF(VLOOKUP($A64,'Add from APT'!$AA$2:$AC826,3,FALSE)&gt;0,TRUE,FALSE),"ER - NOT IN APT")</f>
        <v>0</v>
      </c>
      <c r="Q64" s="105" t="str">
        <f>IF(ISLOGICAL(P64),IF(P64,"ER - REPS IN APT", IFNA(VLOOKUP($A64,RAW_APT!$A$3:$M826,7,FALSE),"ER - NOT IN APT")),P64)</f>
        <v>Result</v>
      </c>
      <c r="R64" s="106" t="b">
        <f t="shared" si="2"/>
        <v>1</v>
      </c>
      <c r="S64" s="107">
        <f t="shared" si="3"/>
        <v>1</v>
      </c>
      <c r="T64" s="143"/>
      <c r="U64" s="142"/>
      <c r="V64" s="142"/>
      <c r="W64" s="142"/>
      <c r="X64" s="110" t="b">
        <f t="shared" si="4"/>
        <v>0</v>
      </c>
      <c r="Y64" s="111" t="b">
        <v>0</v>
      </c>
      <c r="Z64" s="104" t="str">
        <f t="shared" si="5"/>
        <v/>
      </c>
      <c r="AA64" s="112" t="b">
        <f t="shared" si="6"/>
        <v>0</v>
      </c>
      <c r="AB64" s="142" t="b">
        <v>0</v>
      </c>
      <c r="AC64" s="140">
        <v>725.0</v>
      </c>
      <c r="AD64" s="141" t="b">
        <v>0</v>
      </c>
      <c r="AE64" s="115">
        <f t="shared" si="7"/>
        <v>88.58333333</v>
      </c>
      <c r="AF64" s="116" t="b">
        <f t="shared" si="8"/>
        <v>0</v>
      </c>
      <c r="AG64" s="105" t="b">
        <f t="shared" si="9"/>
        <v>0</v>
      </c>
      <c r="AH64" s="140"/>
      <c r="AI64" s="140"/>
      <c r="AJ64" s="140"/>
      <c r="AK64" s="117" t="str">
        <f t="shared" si="10"/>
        <v>Negative</v>
      </c>
      <c r="AL64" s="142"/>
      <c r="AM64" s="112" t="s">
        <v>269</v>
      </c>
      <c r="AN64" s="112" t="s">
        <v>270</v>
      </c>
      <c r="AO64" s="112" t="str">
        <f>IFERROR(__xludf.DUMMYFUNCTION("IF($AG64, ""DELETED"",TRIM(JOIN("" "",D64:E64)))"),"")</f>
        <v/>
      </c>
      <c r="AP64" s="112" t="str">
        <f t="shared" ref="AP64:AQ64" si="89">IF($AG64, "DELETED", TRIM(CONCATENATE(F64,I64,U64)))</f>
        <v/>
      </c>
      <c r="AQ64" s="112" t="str">
        <f t="shared" si="89"/>
        <v/>
      </c>
      <c r="AR64" s="112" t="str">
        <f>IFERROR(__xludf.DUMMYFUNCTION("IF($AG64, ""DELETED"", TRIM(JOIN("" "",AP64,AQ64)))"),"")</f>
        <v/>
      </c>
      <c r="AS64" s="118"/>
      <c r="AT64" s="110" t="b">
        <f t="shared" si="12"/>
        <v>0</v>
      </c>
      <c r="AU64" s="110" t="str">
        <f t="shared" si="13"/>
        <v/>
      </c>
      <c r="AV64" s="110" t="str">
        <f t="shared" si="14"/>
        <v/>
      </c>
      <c r="AW64" s="110" t="str">
        <f t="shared" si="15"/>
        <v/>
      </c>
      <c r="AX64" s="119" t="str">
        <f t="shared" si="16"/>
        <v/>
      </c>
      <c r="AY64" s="120"/>
      <c r="AZ64" s="121"/>
      <c r="BA64" s="122" t="str">
        <f t="shared" si="17"/>
        <v/>
      </c>
      <c r="BB64" s="34"/>
      <c r="BC64" s="121"/>
      <c r="BD64" s="136"/>
      <c r="BE64" s="125" t="str">
        <f t="shared" si="18"/>
        <v/>
      </c>
      <c r="BF64" s="126" t="str">
        <f t="shared" si="19"/>
        <v>MAX139__44557_0.425590277777778</v>
      </c>
      <c r="BG64" s="127" t="str">
        <f t="shared" si="20"/>
        <v/>
      </c>
      <c r="BH64" s="137" t="s">
        <v>415</v>
      </c>
      <c r="BI64" s="128" t="str">
        <f t="shared" si="21"/>
        <v>FM2097</v>
      </c>
      <c r="BJ64" s="129" t="b">
        <f t="shared" si="22"/>
        <v>0</v>
      </c>
      <c r="BK64" s="128" t="str">
        <f t="shared" si="23"/>
        <v/>
      </c>
      <c r="BL64" s="121"/>
      <c r="BM64" s="5" t="str">
        <f t="shared" si="24"/>
        <v>MISSING</v>
      </c>
      <c r="BN64" s="120" t="b">
        <f t="shared" si="25"/>
        <v>0</v>
      </c>
      <c r="BO64" s="131" t="b">
        <f t="shared" si="26"/>
        <v>1</v>
      </c>
      <c r="BP64" s="121"/>
      <c r="BQ64" s="132" t="str">
        <f>VLOOKUP(A64,RAW_APS!A$3:O826,15,FALSE)</f>
        <v/>
      </c>
      <c r="BR64" s="120" t="b">
        <f t="shared" si="27"/>
        <v>1</v>
      </c>
      <c r="BS64" s="121"/>
      <c r="BT64" s="138" t="s">
        <v>244</v>
      </c>
      <c r="BU64" s="10" t="b">
        <f t="shared" si="28"/>
        <v>1</v>
      </c>
      <c r="BV64" s="120"/>
      <c r="BW64" s="120"/>
      <c r="BX64" s="120"/>
      <c r="BY64" s="120"/>
      <c r="BZ64" s="120"/>
      <c r="CA64" s="120"/>
      <c r="CB64" s="120"/>
      <c r="CC64" s="120"/>
    </row>
    <row r="65">
      <c r="A65" s="2" t="s">
        <v>416</v>
      </c>
      <c r="B65" s="100">
        <v>44557.0</v>
      </c>
      <c r="C65" s="101">
        <v>0.4258796296296296</v>
      </c>
      <c r="D65" s="102"/>
      <c r="E65" s="102"/>
      <c r="F65" s="102"/>
      <c r="G65" s="102"/>
      <c r="H65" s="102"/>
      <c r="I65" s="103"/>
      <c r="J65" s="103"/>
      <c r="K65" s="2" t="s">
        <v>244</v>
      </c>
      <c r="L65" s="100">
        <v>44557.0</v>
      </c>
      <c r="M65" s="101">
        <v>0.4871064814814815</v>
      </c>
      <c r="P65" s="104" t="b">
        <f>IFNA(IF(VLOOKUP($A65,'Add from APT'!$AA$2:$AC826,3,FALSE)&gt;0,TRUE,FALSE),"ER - NOT IN APT")</f>
        <v>0</v>
      </c>
      <c r="Q65" s="105" t="str">
        <f>IF(ISLOGICAL(P65),IF(P65,"ER - REPS IN APT", IFNA(VLOOKUP($A65,RAW_APT!$A$3:$M826,7,FALSE),"ER - NOT IN APT")),P65)</f>
        <v>Result</v>
      </c>
      <c r="R65" s="106" t="b">
        <f t="shared" si="2"/>
        <v>1</v>
      </c>
      <c r="S65" s="107">
        <f t="shared" si="3"/>
        <v>1</v>
      </c>
      <c r="T65" s="143"/>
      <c r="U65" s="142"/>
      <c r="V65" s="142"/>
      <c r="W65" s="142"/>
      <c r="X65" s="110" t="b">
        <f t="shared" si="4"/>
        <v>0</v>
      </c>
      <c r="Y65" s="111" t="b">
        <v>0</v>
      </c>
      <c r="Z65" s="104" t="str">
        <f t="shared" si="5"/>
        <v/>
      </c>
      <c r="AA65" s="112" t="b">
        <f t="shared" si="6"/>
        <v>0</v>
      </c>
      <c r="AB65" s="142" t="b">
        <v>0</v>
      </c>
      <c r="AC65" s="140">
        <v>724.0</v>
      </c>
      <c r="AD65" s="141" t="b">
        <v>0</v>
      </c>
      <c r="AE65" s="115">
        <f t="shared" si="7"/>
        <v>88.16666667</v>
      </c>
      <c r="AF65" s="116" t="b">
        <f t="shared" si="8"/>
        <v>0</v>
      </c>
      <c r="AG65" s="105" t="b">
        <f t="shared" si="9"/>
        <v>0</v>
      </c>
      <c r="AH65" s="140"/>
      <c r="AI65" s="140"/>
      <c r="AJ65" s="140"/>
      <c r="AK65" s="117" t="str">
        <f t="shared" si="10"/>
        <v>Negative</v>
      </c>
      <c r="AL65" s="142"/>
      <c r="AM65" s="112" t="s">
        <v>261</v>
      </c>
      <c r="AN65" s="112" t="s">
        <v>363</v>
      </c>
      <c r="AO65" s="112" t="str">
        <f>IFERROR(__xludf.DUMMYFUNCTION("IF($AG65, ""DELETED"",TRIM(JOIN("" "",D65:E65)))"),"")</f>
        <v/>
      </c>
      <c r="AP65" s="112" t="str">
        <f t="shared" ref="AP65:AQ65" si="90">IF($AG65, "DELETED", TRIM(CONCATENATE(F65,I65,U65)))</f>
        <v/>
      </c>
      <c r="AQ65" s="112" t="str">
        <f t="shared" si="90"/>
        <v/>
      </c>
      <c r="AR65" s="112" t="str">
        <f>IFERROR(__xludf.DUMMYFUNCTION("IF($AG65, ""DELETED"", TRIM(JOIN("" "",AP65,AQ65)))"),"")</f>
        <v/>
      </c>
      <c r="AS65" s="118"/>
      <c r="AT65" s="110" t="b">
        <f t="shared" si="12"/>
        <v>0</v>
      </c>
      <c r="AU65" s="110" t="str">
        <f t="shared" si="13"/>
        <v/>
      </c>
      <c r="AV65" s="110" t="str">
        <f t="shared" si="14"/>
        <v/>
      </c>
      <c r="AW65" s="110" t="str">
        <f t="shared" si="15"/>
        <v/>
      </c>
      <c r="AX65" s="119" t="str">
        <f t="shared" si="16"/>
        <v/>
      </c>
      <c r="AY65" s="120"/>
      <c r="AZ65" s="121"/>
      <c r="BA65" s="122" t="str">
        <f t="shared" si="17"/>
        <v/>
      </c>
      <c r="BB65" s="34"/>
      <c r="BC65" s="121"/>
      <c r="BD65" s="136"/>
      <c r="BE65" s="125" t="str">
        <f t="shared" si="18"/>
        <v/>
      </c>
      <c r="BF65" s="126" t="str">
        <f t="shared" si="19"/>
        <v>MA1183__44557_0.42587962962963</v>
      </c>
      <c r="BG65" s="127" t="str">
        <f t="shared" si="20"/>
        <v/>
      </c>
      <c r="BH65" s="137" t="s">
        <v>417</v>
      </c>
      <c r="BI65" s="128" t="str">
        <f t="shared" si="21"/>
        <v>FM2099</v>
      </c>
      <c r="BJ65" s="129" t="b">
        <f t="shared" si="22"/>
        <v>0</v>
      </c>
      <c r="BK65" s="128" t="str">
        <f t="shared" si="23"/>
        <v/>
      </c>
      <c r="BL65" s="121"/>
      <c r="BM65" s="5" t="str">
        <f t="shared" si="24"/>
        <v>MISSING</v>
      </c>
      <c r="BN65" s="120" t="b">
        <f t="shared" si="25"/>
        <v>0</v>
      </c>
      <c r="BO65" s="131" t="b">
        <f t="shared" si="26"/>
        <v>1</v>
      </c>
      <c r="BP65" s="121"/>
      <c r="BQ65" s="132" t="str">
        <f>VLOOKUP(A65,RAW_APS!A$3:O826,15,FALSE)</f>
        <v/>
      </c>
      <c r="BR65" s="120" t="b">
        <f t="shared" si="27"/>
        <v>1</v>
      </c>
      <c r="BS65" s="121"/>
      <c r="BT65" s="138" t="s">
        <v>244</v>
      </c>
      <c r="BU65" s="10" t="b">
        <f t="shared" si="28"/>
        <v>1</v>
      </c>
      <c r="BV65" s="120"/>
      <c r="BW65" s="120"/>
      <c r="BX65" s="120"/>
      <c r="BY65" s="120"/>
      <c r="BZ65" s="120"/>
      <c r="CA65" s="120"/>
      <c r="CB65" s="120"/>
      <c r="CC65" s="120"/>
    </row>
    <row r="66">
      <c r="A66" s="2" t="s">
        <v>418</v>
      </c>
      <c r="B66" s="100">
        <v>44559.0</v>
      </c>
      <c r="C66" s="101">
        <v>0.2964467592592593</v>
      </c>
      <c r="D66" s="102"/>
      <c r="E66" s="102"/>
      <c r="F66" s="102"/>
      <c r="G66" s="102"/>
      <c r="H66" s="102"/>
      <c r="I66" s="103"/>
      <c r="J66" s="103"/>
      <c r="K66" s="2" t="s">
        <v>244</v>
      </c>
      <c r="L66" s="100">
        <v>44559.0</v>
      </c>
      <c r="M66" s="101">
        <v>0.4366319444444444</v>
      </c>
      <c r="P66" s="104" t="b">
        <f>IFNA(IF(VLOOKUP($A66,'Add from APT'!$AA$2:$AC826,3,FALSE)&gt;0,TRUE,FALSE),"ER - NOT IN APT")</f>
        <v>0</v>
      </c>
      <c r="Q66" s="105" t="str">
        <f>IF(ISLOGICAL(P66),IF(P66,"ER - REPS IN APT", IFNA(VLOOKUP($A66,RAW_APT!$A$3:$M826,7,FALSE),"ER - NOT IN APT")),P66)</f>
        <v>Result</v>
      </c>
      <c r="R66" s="106" t="b">
        <f t="shared" si="2"/>
        <v>1</v>
      </c>
      <c r="S66" s="107">
        <f t="shared" si="3"/>
        <v>1</v>
      </c>
      <c r="T66" s="143"/>
      <c r="U66" s="142"/>
      <c r="V66" s="142"/>
      <c r="W66" s="142"/>
      <c r="X66" s="110" t="b">
        <f t="shared" si="4"/>
        <v>0</v>
      </c>
      <c r="Y66" s="111" t="b">
        <v>0</v>
      </c>
      <c r="Z66" s="104" t="str">
        <f t="shared" si="5"/>
        <v/>
      </c>
      <c r="AA66" s="112" t="b">
        <f t="shared" si="6"/>
        <v>0</v>
      </c>
      <c r="AB66" s="142" t="b">
        <v>0</v>
      </c>
      <c r="AC66" s="140">
        <v>723.0</v>
      </c>
      <c r="AD66" s="141" t="b">
        <v>0</v>
      </c>
      <c r="AE66" s="115">
        <f t="shared" si="7"/>
        <v>201.8666667</v>
      </c>
      <c r="AF66" s="116" t="b">
        <f t="shared" si="8"/>
        <v>0</v>
      </c>
      <c r="AG66" s="105" t="b">
        <f t="shared" si="9"/>
        <v>0</v>
      </c>
      <c r="AH66" s="140"/>
      <c r="AI66" s="140"/>
      <c r="AJ66" s="140"/>
      <c r="AK66" s="117" t="str">
        <f t="shared" si="10"/>
        <v>Negative</v>
      </c>
      <c r="AL66" s="142"/>
      <c r="AM66" s="112" t="s">
        <v>419</v>
      </c>
      <c r="AN66" s="112" t="s">
        <v>420</v>
      </c>
      <c r="AO66" s="112" t="str">
        <f>IFERROR(__xludf.DUMMYFUNCTION("IF($AG66, ""DELETED"",TRIM(JOIN("" "",D66:E66)))"),"")</f>
        <v/>
      </c>
      <c r="AP66" s="112" t="str">
        <f t="shared" ref="AP66:AQ66" si="91">IF($AG66, "DELETED", TRIM(CONCATENATE(F66,I66,U66)))</f>
        <v/>
      </c>
      <c r="AQ66" s="112" t="str">
        <f t="shared" si="91"/>
        <v/>
      </c>
      <c r="AR66" s="112" t="str">
        <f>IFERROR(__xludf.DUMMYFUNCTION("IF($AG66, ""DELETED"", TRIM(JOIN("" "",AP66,AQ66)))"),"")</f>
        <v/>
      </c>
      <c r="AS66" s="118"/>
      <c r="AT66" s="110" t="b">
        <f t="shared" si="12"/>
        <v>0</v>
      </c>
      <c r="AU66" s="110" t="str">
        <f t="shared" si="13"/>
        <v/>
      </c>
      <c r="AV66" s="110" t="str">
        <f t="shared" si="14"/>
        <v/>
      </c>
      <c r="AW66" s="110" t="str">
        <f t="shared" si="15"/>
        <v/>
      </c>
      <c r="AX66" s="119" t="str">
        <f t="shared" si="16"/>
        <v/>
      </c>
      <c r="AY66" s="120"/>
      <c r="AZ66" s="121"/>
      <c r="BA66" s="122" t="str">
        <f t="shared" si="17"/>
        <v/>
      </c>
      <c r="BB66" s="34"/>
      <c r="BC66" s="121"/>
      <c r="BD66" s="136"/>
      <c r="BE66" s="125" t="str">
        <f t="shared" si="18"/>
        <v/>
      </c>
      <c r="BF66" s="126" t="str">
        <f t="shared" si="19"/>
        <v>MA479__44559_0.296446759259259</v>
      </c>
      <c r="BG66" s="127" t="str">
        <f t="shared" si="20"/>
        <v/>
      </c>
      <c r="BH66" s="137" t="s">
        <v>421</v>
      </c>
      <c r="BI66" s="128" t="str">
        <f t="shared" si="21"/>
        <v>FM2100</v>
      </c>
      <c r="BJ66" s="129" t="b">
        <f t="shared" si="22"/>
        <v>0</v>
      </c>
      <c r="BK66" s="128" t="str">
        <f t="shared" si="23"/>
        <v/>
      </c>
      <c r="BL66" s="121"/>
      <c r="BM66" s="5" t="str">
        <f t="shared" si="24"/>
        <v>MISSING</v>
      </c>
      <c r="BN66" s="120" t="b">
        <f t="shared" si="25"/>
        <v>0</v>
      </c>
      <c r="BO66" s="131" t="b">
        <f t="shared" si="26"/>
        <v>1</v>
      </c>
      <c r="BP66" s="121"/>
      <c r="BQ66" s="132" t="str">
        <f>VLOOKUP(A66,RAW_APS!A$3:O826,15,FALSE)</f>
        <v/>
      </c>
      <c r="BR66" s="120" t="b">
        <f t="shared" si="27"/>
        <v>1</v>
      </c>
      <c r="BS66" s="121"/>
      <c r="BT66" s="138" t="s">
        <v>244</v>
      </c>
      <c r="BU66" s="10" t="b">
        <f t="shared" si="28"/>
        <v>1</v>
      </c>
      <c r="BV66" s="120"/>
      <c r="BW66" s="120"/>
      <c r="BX66" s="120"/>
      <c r="BY66" s="120"/>
      <c r="BZ66" s="120"/>
      <c r="CA66" s="120"/>
      <c r="CB66" s="120"/>
      <c r="CC66" s="120"/>
    </row>
    <row r="67">
      <c r="A67" s="2" t="s">
        <v>422</v>
      </c>
      <c r="B67" s="100">
        <v>44559.0</v>
      </c>
      <c r="C67" s="101">
        <v>0.35658564814814814</v>
      </c>
      <c r="D67" s="102"/>
      <c r="E67" s="102"/>
      <c r="F67" s="102"/>
      <c r="G67" s="102"/>
      <c r="H67" s="102"/>
      <c r="I67" s="103"/>
      <c r="J67" s="103"/>
      <c r="K67" s="2" t="s">
        <v>244</v>
      </c>
      <c r="L67" s="100">
        <v>44559.0</v>
      </c>
      <c r="M67" s="101">
        <v>0.4366319444444444</v>
      </c>
      <c r="P67" s="104" t="b">
        <f>IFNA(IF(VLOOKUP($A67,'Add from APT'!$AA$2:$AC826,3,FALSE)&gt;0,TRUE,FALSE),"ER - NOT IN APT")</f>
        <v>0</v>
      </c>
      <c r="Q67" s="105" t="str">
        <f>IF(ISLOGICAL(P67),IF(P67,"ER - REPS IN APT", IFNA(VLOOKUP($A67,RAW_APT!$A$3:$M826,7,FALSE),"ER - NOT IN APT")),P67)</f>
        <v>Result</v>
      </c>
      <c r="R67" s="106" t="b">
        <f t="shared" si="2"/>
        <v>1</v>
      </c>
      <c r="S67" s="107">
        <f t="shared" si="3"/>
        <v>1</v>
      </c>
      <c r="T67" s="143"/>
      <c r="U67" s="142"/>
      <c r="V67" s="142"/>
      <c r="W67" s="142"/>
      <c r="X67" s="110" t="b">
        <f t="shared" si="4"/>
        <v>0</v>
      </c>
      <c r="Y67" s="111" t="b">
        <v>0</v>
      </c>
      <c r="Z67" s="104" t="str">
        <f t="shared" si="5"/>
        <v/>
      </c>
      <c r="AA67" s="112" t="b">
        <f t="shared" si="6"/>
        <v>0</v>
      </c>
      <c r="AB67" s="142" t="b">
        <v>0</v>
      </c>
      <c r="AC67" s="140">
        <v>722.0</v>
      </c>
      <c r="AD67" s="141" t="b">
        <v>0</v>
      </c>
      <c r="AE67" s="115">
        <f t="shared" si="7"/>
        <v>115.2666667</v>
      </c>
      <c r="AF67" s="116" t="b">
        <f t="shared" si="8"/>
        <v>0</v>
      </c>
      <c r="AG67" s="105" t="b">
        <f t="shared" si="9"/>
        <v>0</v>
      </c>
      <c r="AH67" s="140"/>
      <c r="AI67" s="140"/>
      <c r="AJ67" s="140"/>
      <c r="AK67" s="117" t="str">
        <f t="shared" si="10"/>
        <v>Negative</v>
      </c>
      <c r="AL67" s="142"/>
      <c r="AM67" s="112" t="s">
        <v>257</v>
      </c>
      <c r="AN67" s="112" t="s">
        <v>406</v>
      </c>
      <c r="AO67" s="112" t="str">
        <f>IFERROR(__xludf.DUMMYFUNCTION("IF($AG67, ""DELETED"",TRIM(JOIN("" "",D67:E67)))"),"")</f>
        <v/>
      </c>
      <c r="AP67" s="112" t="str">
        <f t="shared" ref="AP67:AQ67" si="92">IF($AG67, "DELETED", TRIM(CONCATENATE(F67,I67,U67)))</f>
        <v/>
      </c>
      <c r="AQ67" s="112" t="str">
        <f t="shared" si="92"/>
        <v/>
      </c>
      <c r="AR67" s="112" t="str">
        <f>IFERROR(__xludf.DUMMYFUNCTION("IF($AG67, ""DELETED"", TRIM(JOIN("" "",AP67,AQ67)))"),"")</f>
        <v/>
      </c>
      <c r="AS67" s="118"/>
      <c r="AT67" s="110" t="b">
        <f t="shared" si="12"/>
        <v>0</v>
      </c>
      <c r="AU67" s="110" t="str">
        <f t="shared" si="13"/>
        <v/>
      </c>
      <c r="AV67" s="110" t="str">
        <f t="shared" si="14"/>
        <v/>
      </c>
      <c r="AW67" s="110" t="str">
        <f t="shared" si="15"/>
        <v/>
      </c>
      <c r="AX67" s="119" t="str">
        <f t="shared" si="16"/>
        <v/>
      </c>
      <c r="AY67" s="120"/>
      <c r="AZ67" s="121"/>
      <c r="BA67" s="122" t="str">
        <f t="shared" si="17"/>
        <v/>
      </c>
      <c r="BB67" s="34"/>
      <c r="BC67" s="121"/>
      <c r="BD67" s="136"/>
      <c r="BE67" s="125" t="str">
        <f t="shared" si="18"/>
        <v/>
      </c>
      <c r="BF67" s="126" t="str">
        <f t="shared" si="19"/>
        <v>MA1299__44559_0.356585648148148</v>
      </c>
      <c r="BG67" s="127" t="str">
        <f t="shared" si="20"/>
        <v/>
      </c>
      <c r="BH67" s="137" t="s">
        <v>423</v>
      </c>
      <c r="BI67" s="128" t="str">
        <f t="shared" si="21"/>
        <v>FM23</v>
      </c>
      <c r="BJ67" s="129" t="b">
        <f t="shared" si="22"/>
        <v>0</v>
      </c>
      <c r="BK67" s="128" t="str">
        <f t="shared" si="23"/>
        <v/>
      </c>
      <c r="BL67" s="121"/>
      <c r="BM67" s="5" t="str">
        <f t="shared" si="24"/>
        <v>MISSING</v>
      </c>
      <c r="BN67" s="120" t="b">
        <f t="shared" si="25"/>
        <v>0</v>
      </c>
      <c r="BO67" s="131" t="b">
        <f t="shared" si="26"/>
        <v>1</v>
      </c>
      <c r="BP67" s="121"/>
      <c r="BQ67" s="132" t="str">
        <f>VLOOKUP(A67,RAW_APS!A$3:O826,15,FALSE)</f>
        <v/>
      </c>
      <c r="BR67" s="120" t="b">
        <f t="shared" si="27"/>
        <v>1</v>
      </c>
      <c r="BS67" s="121"/>
      <c r="BT67" s="138" t="s">
        <v>244</v>
      </c>
      <c r="BU67" s="10" t="b">
        <f t="shared" si="28"/>
        <v>1</v>
      </c>
      <c r="BV67" s="120"/>
      <c r="BW67" s="120"/>
      <c r="BX67" s="120"/>
      <c r="BY67" s="120"/>
      <c r="BZ67" s="120"/>
      <c r="CA67" s="120"/>
      <c r="CB67" s="120"/>
      <c r="CC67" s="120"/>
    </row>
    <row r="68">
      <c r="A68" s="2" t="s">
        <v>424</v>
      </c>
      <c r="B68" s="100">
        <v>44559.0</v>
      </c>
      <c r="C68" s="101">
        <v>0.3973263888888889</v>
      </c>
      <c r="D68" s="102"/>
      <c r="E68" s="102"/>
      <c r="F68" s="102"/>
      <c r="G68" s="102"/>
      <c r="H68" s="102"/>
      <c r="I68" s="103"/>
      <c r="J68" s="103"/>
      <c r="K68" s="2" t="s">
        <v>244</v>
      </c>
      <c r="L68" s="100">
        <v>44559.0</v>
      </c>
      <c r="M68" s="101">
        <v>0.4366319444444444</v>
      </c>
      <c r="P68" s="104" t="b">
        <f>IFNA(IF(VLOOKUP($A68,'Add from APT'!$AA$2:$AC826,3,FALSE)&gt;0,TRUE,FALSE),"ER - NOT IN APT")</f>
        <v>0</v>
      </c>
      <c r="Q68" s="105" t="str">
        <f>IF(ISLOGICAL(P68),IF(P68,"ER - REPS IN APT", IFNA(VLOOKUP($A68,RAW_APT!$A$3:$M826,7,FALSE),"ER - NOT IN APT")),P68)</f>
        <v>Result</v>
      </c>
      <c r="R68" s="106" t="b">
        <f t="shared" si="2"/>
        <v>1</v>
      </c>
      <c r="S68" s="107">
        <f t="shared" si="3"/>
        <v>1</v>
      </c>
      <c r="T68" s="143"/>
      <c r="U68" s="142"/>
      <c r="V68" s="142"/>
      <c r="W68" s="142"/>
      <c r="X68" s="110" t="b">
        <f t="shared" si="4"/>
        <v>0</v>
      </c>
      <c r="Y68" s="111" t="b">
        <v>0</v>
      </c>
      <c r="Z68" s="104" t="str">
        <f t="shared" si="5"/>
        <v/>
      </c>
      <c r="AA68" s="112" t="b">
        <f t="shared" si="6"/>
        <v>0</v>
      </c>
      <c r="AB68" s="142" t="b">
        <v>0</v>
      </c>
      <c r="AC68" s="140">
        <v>721.0</v>
      </c>
      <c r="AD68" s="141" t="b">
        <v>0</v>
      </c>
      <c r="AE68" s="115">
        <f t="shared" si="7"/>
        <v>56.6</v>
      </c>
      <c r="AF68" s="116" t="b">
        <f t="shared" si="8"/>
        <v>0</v>
      </c>
      <c r="AG68" s="105" t="b">
        <f t="shared" si="9"/>
        <v>0</v>
      </c>
      <c r="AH68" s="140"/>
      <c r="AI68" s="140"/>
      <c r="AJ68" s="140"/>
      <c r="AK68" s="117" t="str">
        <f t="shared" si="10"/>
        <v>Negative</v>
      </c>
      <c r="AL68" s="142"/>
      <c r="AM68" s="112" t="s">
        <v>273</v>
      </c>
      <c r="AN68" s="112" t="s">
        <v>425</v>
      </c>
      <c r="AO68" s="112" t="str">
        <f>IFERROR(__xludf.DUMMYFUNCTION("IF($AG68, ""DELETED"",TRIM(JOIN("" "",D68:E68)))"),"")</f>
        <v/>
      </c>
      <c r="AP68" s="112" t="str">
        <f t="shared" ref="AP68:AQ68" si="93">IF($AG68, "DELETED", TRIM(CONCATENATE(F68,I68,U68)))</f>
        <v/>
      </c>
      <c r="AQ68" s="112" t="str">
        <f t="shared" si="93"/>
        <v/>
      </c>
      <c r="AR68" s="112" t="str">
        <f>IFERROR(__xludf.DUMMYFUNCTION("IF($AG68, ""DELETED"", TRIM(JOIN("" "",AP68,AQ68)))"),"")</f>
        <v/>
      </c>
      <c r="AS68" s="118"/>
      <c r="AT68" s="110" t="b">
        <f t="shared" si="12"/>
        <v>0</v>
      </c>
      <c r="AU68" s="110" t="str">
        <f t="shared" si="13"/>
        <v/>
      </c>
      <c r="AV68" s="110" t="str">
        <f t="shared" si="14"/>
        <v/>
      </c>
      <c r="AW68" s="110" t="str">
        <f t="shared" si="15"/>
        <v/>
      </c>
      <c r="AX68" s="119" t="str">
        <f t="shared" si="16"/>
        <v/>
      </c>
      <c r="AY68" s="120"/>
      <c r="AZ68" s="121"/>
      <c r="BA68" s="122" t="str">
        <f t="shared" si="17"/>
        <v/>
      </c>
      <c r="BB68" s="34"/>
      <c r="BC68" s="121"/>
      <c r="BD68" s="136"/>
      <c r="BE68" s="125" t="str">
        <f t="shared" si="18"/>
        <v/>
      </c>
      <c r="BF68" s="126" t="str">
        <f t="shared" si="19"/>
        <v>MA404__44559_0.397326388888889</v>
      </c>
      <c r="BG68" s="127" t="str">
        <f t="shared" si="20"/>
        <v/>
      </c>
      <c r="BH68" s="137" t="s">
        <v>426</v>
      </c>
      <c r="BI68" s="128" t="str">
        <f t="shared" si="21"/>
        <v>FM24</v>
      </c>
      <c r="BJ68" s="129" t="b">
        <f t="shared" si="22"/>
        <v>0</v>
      </c>
      <c r="BK68" s="128" t="str">
        <f t="shared" si="23"/>
        <v/>
      </c>
      <c r="BL68" s="121"/>
      <c r="BM68" s="5" t="str">
        <f t="shared" si="24"/>
        <v>MISSING</v>
      </c>
      <c r="BN68" s="120" t="b">
        <f t="shared" si="25"/>
        <v>0</v>
      </c>
      <c r="BO68" s="131" t="b">
        <f t="shared" si="26"/>
        <v>1</v>
      </c>
      <c r="BP68" s="121"/>
      <c r="BQ68" s="132" t="str">
        <f>VLOOKUP(A68,RAW_APS!A$3:O826,15,FALSE)</f>
        <v/>
      </c>
      <c r="BR68" s="120" t="b">
        <f t="shared" si="27"/>
        <v>1</v>
      </c>
      <c r="BS68" s="121"/>
      <c r="BT68" s="138" t="s">
        <v>244</v>
      </c>
      <c r="BU68" s="10" t="b">
        <f t="shared" si="28"/>
        <v>1</v>
      </c>
      <c r="BV68" s="120"/>
      <c r="BW68" s="120"/>
      <c r="BX68" s="120"/>
      <c r="BY68" s="120"/>
      <c r="BZ68" s="120"/>
      <c r="CA68" s="120"/>
      <c r="CB68" s="120"/>
      <c r="CC68" s="120"/>
    </row>
    <row r="69">
      <c r="A69" s="2" t="s">
        <v>427</v>
      </c>
      <c r="B69" s="100">
        <v>44559.0</v>
      </c>
      <c r="C69" s="101">
        <v>0.3974421296296296</v>
      </c>
      <c r="D69" s="102"/>
      <c r="E69" s="102"/>
      <c r="F69" s="102"/>
      <c r="G69" s="102"/>
      <c r="H69" s="102"/>
      <c r="I69" s="103"/>
      <c r="J69" s="103"/>
      <c r="K69" s="2" t="s">
        <v>244</v>
      </c>
      <c r="L69" s="100">
        <v>44559.0</v>
      </c>
      <c r="M69" s="101">
        <v>0.4366319444444444</v>
      </c>
      <c r="P69" s="104" t="b">
        <f>IFNA(IF(VLOOKUP($A69,'Add from APT'!$AA$2:$AC826,3,FALSE)&gt;0,TRUE,FALSE),"ER - NOT IN APT")</f>
        <v>0</v>
      </c>
      <c r="Q69" s="105" t="str">
        <f>IF(ISLOGICAL(P69),IF(P69,"ER - REPS IN APT", IFNA(VLOOKUP($A69,RAW_APT!$A$3:$M826,7,FALSE),"ER - NOT IN APT")),P69)</f>
        <v>Result</v>
      </c>
      <c r="R69" s="106" t="b">
        <f t="shared" si="2"/>
        <v>1</v>
      </c>
      <c r="S69" s="107">
        <f t="shared" si="3"/>
        <v>1</v>
      </c>
      <c r="T69" s="143"/>
      <c r="U69" s="142"/>
      <c r="V69" s="142"/>
      <c r="W69" s="142"/>
      <c r="X69" s="110" t="b">
        <f t="shared" si="4"/>
        <v>0</v>
      </c>
      <c r="Y69" s="111" t="b">
        <v>0</v>
      </c>
      <c r="Z69" s="104" t="str">
        <f t="shared" si="5"/>
        <v/>
      </c>
      <c r="AA69" s="112" t="b">
        <f t="shared" si="6"/>
        <v>0</v>
      </c>
      <c r="AB69" s="142" t="b">
        <v>0</v>
      </c>
      <c r="AC69" s="140">
        <v>720.0</v>
      </c>
      <c r="AD69" s="141" t="b">
        <v>0</v>
      </c>
      <c r="AE69" s="115">
        <f t="shared" si="7"/>
        <v>56.43333333</v>
      </c>
      <c r="AF69" s="116" t="b">
        <f t="shared" si="8"/>
        <v>0</v>
      </c>
      <c r="AG69" s="105" t="b">
        <f t="shared" si="9"/>
        <v>0</v>
      </c>
      <c r="AH69" s="140"/>
      <c r="AI69" s="140"/>
      <c r="AJ69" s="140"/>
      <c r="AK69" s="117" t="str">
        <f t="shared" si="10"/>
        <v>Negative</v>
      </c>
      <c r="AL69" s="142"/>
      <c r="AM69" s="112" t="s">
        <v>269</v>
      </c>
      <c r="AN69" s="112" t="s">
        <v>270</v>
      </c>
      <c r="AO69" s="112" t="str">
        <f>IFERROR(__xludf.DUMMYFUNCTION("IF($AG69, ""DELETED"",TRIM(JOIN("" "",D69:E69)))"),"")</f>
        <v/>
      </c>
      <c r="AP69" s="112" t="str">
        <f t="shared" ref="AP69:AQ69" si="94">IF($AG69, "DELETED", TRIM(CONCATENATE(F69,I69,U69)))</f>
        <v/>
      </c>
      <c r="AQ69" s="112" t="str">
        <f t="shared" si="94"/>
        <v/>
      </c>
      <c r="AR69" s="112" t="str">
        <f>IFERROR(__xludf.DUMMYFUNCTION("IF($AG69, ""DELETED"", TRIM(JOIN("" "",AP69,AQ69)))"),"")</f>
        <v/>
      </c>
      <c r="AS69" s="118"/>
      <c r="AT69" s="110" t="b">
        <f t="shared" si="12"/>
        <v>0</v>
      </c>
      <c r="AU69" s="110" t="str">
        <f t="shared" si="13"/>
        <v/>
      </c>
      <c r="AV69" s="110" t="str">
        <f t="shared" si="14"/>
        <v/>
      </c>
      <c r="AW69" s="110" t="str">
        <f t="shared" si="15"/>
        <v/>
      </c>
      <c r="AX69" s="119" t="str">
        <f t="shared" si="16"/>
        <v/>
      </c>
      <c r="AY69" s="120"/>
      <c r="AZ69" s="121"/>
      <c r="BA69" s="122" t="str">
        <f t="shared" si="17"/>
        <v/>
      </c>
      <c r="BB69" s="34"/>
      <c r="BC69" s="121"/>
      <c r="BD69" s="136"/>
      <c r="BE69" s="125" t="str">
        <f t="shared" si="18"/>
        <v/>
      </c>
      <c r="BF69" s="126" t="str">
        <f t="shared" si="19"/>
        <v>MA1073__44559_0.39744212962963</v>
      </c>
      <c r="BG69" s="127" t="str">
        <f t="shared" si="20"/>
        <v/>
      </c>
      <c r="BH69" s="137" t="s">
        <v>428</v>
      </c>
      <c r="BI69" s="128" t="str">
        <f t="shared" si="21"/>
        <v>FM25</v>
      </c>
      <c r="BJ69" s="129" t="b">
        <f t="shared" si="22"/>
        <v>0</v>
      </c>
      <c r="BK69" s="128" t="str">
        <f t="shared" si="23"/>
        <v/>
      </c>
      <c r="BL69" s="121"/>
      <c r="BM69" s="5" t="str">
        <f t="shared" si="24"/>
        <v>MISSING</v>
      </c>
      <c r="BN69" s="120" t="b">
        <f t="shared" si="25"/>
        <v>0</v>
      </c>
      <c r="BO69" s="131" t="b">
        <f t="shared" si="26"/>
        <v>1</v>
      </c>
      <c r="BP69" s="121"/>
      <c r="BQ69" s="132" t="str">
        <f>VLOOKUP(A69,RAW_APS!A$3:O826,15,FALSE)</f>
        <v/>
      </c>
      <c r="BR69" s="120" t="b">
        <f t="shared" si="27"/>
        <v>1</v>
      </c>
      <c r="BS69" s="121"/>
      <c r="BT69" s="138" t="s">
        <v>244</v>
      </c>
      <c r="BU69" s="10" t="b">
        <f t="shared" si="28"/>
        <v>1</v>
      </c>
      <c r="BV69" s="120"/>
      <c r="BW69" s="120"/>
      <c r="BX69" s="120"/>
      <c r="BY69" s="120"/>
      <c r="BZ69" s="120"/>
      <c r="CA69" s="120"/>
      <c r="CB69" s="120"/>
      <c r="CC69" s="120"/>
    </row>
    <row r="70">
      <c r="A70" s="2" t="s">
        <v>429</v>
      </c>
      <c r="B70" s="100">
        <v>44561.0</v>
      </c>
      <c r="C70" s="101">
        <v>0.3053240740740741</v>
      </c>
      <c r="D70" s="102"/>
      <c r="E70" s="102"/>
      <c r="F70" s="102"/>
      <c r="G70" s="102"/>
      <c r="H70" s="102"/>
      <c r="I70" s="103"/>
      <c r="J70" s="103"/>
      <c r="K70" s="2" t="s">
        <v>52</v>
      </c>
      <c r="L70" s="100">
        <v>44561.0</v>
      </c>
      <c r="M70" s="101">
        <v>0.44559027777777777</v>
      </c>
      <c r="P70" s="104" t="b">
        <f>IFNA(IF(VLOOKUP($A70,'Add from APT'!$AA$2:$AC826,3,FALSE)&gt;0,TRUE,FALSE),"ER - NOT IN APT")</f>
        <v>0</v>
      </c>
      <c r="Q70" s="105" t="str">
        <f>IF(ISLOGICAL(P70),IF(P70,"ER - REPS IN APT", IFNA(VLOOKUP($A70,RAW_APT!$A$3:$M826,7,FALSE),"ER - NOT IN APT")),P70)</f>
        <v>Result</v>
      </c>
      <c r="R70" s="106" t="b">
        <f t="shared" si="2"/>
        <v>1</v>
      </c>
      <c r="S70" s="107">
        <f t="shared" si="3"/>
        <v>1</v>
      </c>
      <c r="T70" s="143"/>
      <c r="U70" s="142"/>
      <c r="V70" s="142"/>
      <c r="W70" s="142"/>
      <c r="X70" s="110" t="b">
        <f t="shared" si="4"/>
        <v>0</v>
      </c>
      <c r="Y70" s="111" t="b">
        <v>0</v>
      </c>
      <c r="Z70" s="104" t="str">
        <f t="shared" si="5"/>
        <v/>
      </c>
      <c r="AA70" s="112" t="b">
        <f t="shared" si="6"/>
        <v>0</v>
      </c>
      <c r="AB70" s="142" t="b">
        <v>0</v>
      </c>
      <c r="AC70" s="140">
        <v>719.0</v>
      </c>
      <c r="AD70" s="141" t="b">
        <v>0</v>
      </c>
      <c r="AE70" s="115">
        <f t="shared" si="7"/>
        <v>201.9833333</v>
      </c>
      <c r="AF70" s="116" t="b">
        <f t="shared" si="8"/>
        <v>0</v>
      </c>
      <c r="AG70" s="105" t="b">
        <f t="shared" si="9"/>
        <v>0</v>
      </c>
      <c r="AH70" s="140"/>
      <c r="AI70" s="140"/>
      <c r="AJ70" s="140"/>
      <c r="AK70" s="117" t="str">
        <f t="shared" si="10"/>
        <v>Positive</v>
      </c>
      <c r="AL70" s="142"/>
      <c r="AM70" s="112" t="s">
        <v>430</v>
      </c>
      <c r="AN70" s="112" t="s">
        <v>431</v>
      </c>
      <c r="AO70" s="112" t="str">
        <f>IFERROR(__xludf.DUMMYFUNCTION("IF($AG70, ""DELETED"",TRIM(JOIN("" "",D70:E70)))"),"")</f>
        <v/>
      </c>
      <c r="AP70" s="112" t="str">
        <f t="shared" ref="AP70:AQ70" si="95">IF($AG70, "DELETED", TRIM(CONCATENATE(F70,I70,U70)))</f>
        <v/>
      </c>
      <c r="AQ70" s="112" t="str">
        <f t="shared" si="95"/>
        <v/>
      </c>
      <c r="AR70" s="112" t="str">
        <f>IFERROR(__xludf.DUMMYFUNCTION("IF($AG70, ""DELETED"", TRIM(JOIN("" "",AP70,AQ70)))"),"")</f>
        <v/>
      </c>
      <c r="AS70" s="118"/>
      <c r="AT70" s="110" t="b">
        <f t="shared" si="12"/>
        <v>0</v>
      </c>
      <c r="AU70" s="110" t="str">
        <f t="shared" si="13"/>
        <v/>
      </c>
      <c r="AV70" s="110" t="str">
        <f t="shared" si="14"/>
        <v/>
      </c>
      <c r="AW70" s="110" t="str">
        <f t="shared" si="15"/>
        <v/>
      </c>
      <c r="AX70" s="119" t="str">
        <f t="shared" si="16"/>
        <v/>
      </c>
      <c r="AY70" s="120"/>
      <c r="AZ70" s="121"/>
      <c r="BA70" s="122" t="str">
        <f t="shared" si="17"/>
        <v/>
      </c>
      <c r="BB70" s="34"/>
      <c r="BC70" s="121"/>
      <c r="BD70" s="136"/>
      <c r="BE70" s="125" t="str">
        <f t="shared" si="18"/>
        <v/>
      </c>
      <c r="BF70" s="126" t="str">
        <f t="shared" si="19"/>
        <v>MA1081__44561_0.305324074074074</v>
      </c>
      <c r="BG70" s="127" t="str">
        <f t="shared" si="20"/>
        <v/>
      </c>
      <c r="BH70" s="137" t="s">
        <v>432</v>
      </c>
      <c r="BI70" s="128" t="str">
        <f t="shared" si="21"/>
        <v>FM26</v>
      </c>
      <c r="BJ70" s="129" t="b">
        <f t="shared" si="22"/>
        <v>0</v>
      </c>
      <c r="BK70" s="128" t="str">
        <f t="shared" si="23"/>
        <v/>
      </c>
      <c r="BL70" s="121"/>
      <c r="BM70" s="5" t="str">
        <f t="shared" si="24"/>
        <v>MISSING</v>
      </c>
      <c r="BN70" s="120" t="b">
        <f t="shared" si="25"/>
        <v>0</v>
      </c>
      <c r="BO70" s="131" t="b">
        <f t="shared" si="26"/>
        <v>1</v>
      </c>
      <c r="BP70" s="121"/>
      <c r="BQ70" s="132" t="str">
        <f>VLOOKUP(A70,RAW_APS!A$3:O826,15,FALSE)</f>
        <v/>
      </c>
      <c r="BR70" s="120" t="b">
        <f t="shared" si="27"/>
        <v>1</v>
      </c>
      <c r="BS70" s="121"/>
      <c r="BT70" s="138" t="s">
        <v>52</v>
      </c>
      <c r="BU70" s="10" t="b">
        <f t="shared" si="28"/>
        <v>1</v>
      </c>
      <c r="BV70" s="120"/>
      <c r="BW70" s="120"/>
      <c r="BX70" s="120"/>
      <c r="BY70" s="120"/>
      <c r="BZ70" s="120"/>
      <c r="CA70" s="120"/>
      <c r="CB70" s="120"/>
      <c r="CC70" s="120"/>
    </row>
    <row r="71">
      <c r="A71" s="2" t="s">
        <v>433</v>
      </c>
      <c r="B71" s="100">
        <v>44561.0</v>
      </c>
      <c r="C71" s="101">
        <v>0.3167361111111111</v>
      </c>
      <c r="D71" s="102"/>
      <c r="E71" s="102"/>
      <c r="F71" s="102"/>
      <c r="G71" s="102"/>
      <c r="H71" s="102"/>
      <c r="I71" s="103"/>
      <c r="J71" s="103"/>
      <c r="K71" s="2" t="s">
        <v>244</v>
      </c>
      <c r="L71" s="100">
        <v>44561.0</v>
      </c>
      <c r="M71" s="101">
        <v>0.44493055555555555</v>
      </c>
      <c r="P71" s="104" t="b">
        <f>IFNA(IF(VLOOKUP($A71,'Add from APT'!$AA$2:$AC826,3,FALSE)&gt;0,TRUE,FALSE),"ER - NOT IN APT")</f>
        <v>0</v>
      </c>
      <c r="Q71" s="105" t="str">
        <f>IF(ISLOGICAL(P71),IF(P71,"ER - REPS IN APT", IFNA(VLOOKUP($A71,RAW_APT!$A$3:$M826,7,FALSE),"ER - NOT IN APT")),P71)</f>
        <v>Result</v>
      </c>
      <c r="R71" s="106" t="b">
        <f t="shared" si="2"/>
        <v>1</v>
      </c>
      <c r="S71" s="107">
        <f t="shared" si="3"/>
        <v>1</v>
      </c>
      <c r="T71" s="143"/>
      <c r="U71" s="142"/>
      <c r="V71" s="142"/>
      <c r="W71" s="142"/>
      <c r="X71" s="110" t="b">
        <f t="shared" si="4"/>
        <v>0</v>
      </c>
      <c r="Y71" s="111" t="b">
        <v>0</v>
      </c>
      <c r="Z71" s="104" t="str">
        <f t="shared" si="5"/>
        <v/>
      </c>
      <c r="AA71" s="112" t="b">
        <f t="shared" si="6"/>
        <v>0</v>
      </c>
      <c r="AB71" s="142" t="b">
        <v>0</v>
      </c>
      <c r="AC71" s="140">
        <v>718.0</v>
      </c>
      <c r="AD71" s="141" t="b">
        <v>0</v>
      </c>
      <c r="AE71" s="115">
        <f t="shared" si="7"/>
        <v>184.6</v>
      </c>
      <c r="AF71" s="116" t="b">
        <f t="shared" si="8"/>
        <v>0</v>
      </c>
      <c r="AG71" s="105" t="b">
        <f t="shared" si="9"/>
        <v>0</v>
      </c>
      <c r="AH71" s="140"/>
      <c r="AI71" s="140"/>
      <c r="AJ71" s="140"/>
      <c r="AK71" s="117" t="str">
        <f t="shared" si="10"/>
        <v>Negative</v>
      </c>
      <c r="AL71" s="142"/>
      <c r="AM71" s="112" t="s">
        <v>303</v>
      </c>
      <c r="AN71" s="112" t="s">
        <v>304</v>
      </c>
      <c r="AO71" s="112" t="str">
        <f>IFERROR(__xludf.DUMMYFUNCTION("IF($AG71, ""DELETED"",TRIM(JOIN("" "",D71:E71)))"),"")</f>
        <v/>
      </c>
      <c r="AP71" s="112" t="str">
        <f t="shared" ref="AP71:AQ71" si="96">IF($AG71, "DELETED", TRIM(CONCATENATE(F71,I71,U71)))</f>
        <v/>
      </c>
      <c r="AQ71" s="112" t="str">
        <f t="shared" si="96"/>
        <v/>
      </c>
      <c r="AR71" s="112" t="str">
        <f>IFERROR(__xludf.DUMMYFUNCTION("IF($AG71, ""DELETED"", TRIM(JOIN("" "",AP71,AQ71)))"),"")</f>
        <v/>
      </c>
      <c r="AS71" s="118"/>
      <c r="AT71" s="110" t="b">
        <f t="shared" si="12"/>
        <v>0</v>
      </c>
      <c r="AU71" s="110" t="str">
        <f t="shared" si="13"/>
        <v/>
      </c>
      <c r="AV71" s="110" t="str">
        <f t="shared" si="14"/>
        <v/>
      </c>
      <c r="AW71" s="110" t="str">
        <f t="shared" si="15"/>
        <v/>
      </c>
      <c r="AX71" s="119" t="str">
        <f t="shared" si="16"/>
        <v/>
      </c>
      <c r="AY71" s="120"/>
      <c r="AZ71" s="121"/>
      <c r="BA71" s="122" t="str">
        <f t="shared" si="17"/>
        <v/>
      </c>
      <c r="BB71" s="34"/>
      <c r="BC71" s="121"/>
      <c r="BD71" s="136"/>
      <c r="BE71" s="125" t="str">
        <f t="shared" si="18"/>
        <v/>
      </c>
      <c r="BF71" s="126" t="str">
        <f t="shared" si="19"/>
        <v>MA606__44561_0.316736111111111</v>
      </c>
      <c r="BG71" s="127" t="str">
        <f t="shared" si="20"/>
        <v/>
      </c>
      <c r="BH71" s="137" t="s">
        <v>434</v>
      </c>
      <c r="BI71" s="128" t="str">
        <f t="shared" si="21"/>
        <v>FM27</v>
      </c>
      <c r="BJ71" s="129" t="b">
        <f t="shared" si="22"/>
        <v>0</v>
      </c>
      <c r="BK71" s="128" t="str">
        <f t="shared" si="23"/>
        <v/>
      </c>
      <c r="BL71" s="121"/>
      <c r="BM71" s="5" t="str">
        <f t="shared" si="24"/>
        <v>MISSING</v>
      </c>
      <c r="BN71" s="120" t="b">
        <f t="shared" si="25"/>
        <v>0</v>
      </c>
      <c r="BO71" s="131" t="b">
        <f t="shared" si="26"/>
        <v>1</v>
      </c>
      <c r="BP71" s="121"/>
      <c r="BQ71" s="132" t="str">
        <f>VLOOKUP(A71,RAW_APS!A$3:O826,15,FALSE)</f>
        <v/>
      </c>
      <c r="BR71" s="120" t="b">
        <f t="shared" si="27"/>
        <v>1</v>
      </c>
      <c r="BS71" s="121"/>
      <c r="BT71" s="138" t="s">
        <v>244</v>
      </c>
      <c r="BU71" s="10" t="b">
        <f t="shared" si="28"/>
        <v>1</v>
      </c>
      <c r="BV71" s="120"/>
      <c r="BW71" s="120"/>
      <c r="BX71" s="120"/>
      <c r="BY71" s="120"/>
      <c r="BZ71" s="120"/>
      <c r="CA71" s="120"/>
      <c r="CB71" s="120"/>
      <c r="CC71" s="120"/>
    </row>
    <row r="72">
      <c r="A72" s="2" t="s">
        <v>435</v>
      </c>
      <c r="B72" s="100">
        <v>44561.0</v>
      </c>
      <c r="C72" s="101">
        <v>0.32125</v>
      </c>
      <c r="D72" s="102"/>
      <c r="E72" s="102"/>
      <c r="F72" s="102"/>
      <c r="G72" s="102"/>
      <c r="H72" s="102"/>
      <c r="I72" s="103"/>
      <c r="J72" s="103"/>
      <c r="K72" s="2" t="s">
        <v>244</v>
      </c>
      <c r="L72" s="100">
        <v>44561.0</v>
      </c>
      <c r="M72" s="101">
        <v>0.44493055555555555</v>
      </c>
      <c r="P72" s="104" t="b">
        <f>IFNA(IF(VLOOKUP($A72,'Add from APT'!$AA$2:$AC826,3,FALSE)&gt;0,TRUE,FALSE),"ER - NOT IN APT")</f>
        <v>0</v>
      </c>
      <c r="Q72" s="105" t="str">
        <f>IF(ISLOGICAL(P72),IF(P72,"ER - REPS IN APT", IFNA(VLOOKUP($A72,RAW_APT!$A$3:$M826,7,FALSE),"ER - NOT IN APT")),P72)</f>
        <v>Result</v>
      </c>
      <c r="R72" s="106" t="b">
        <f t="shared" si="2"/>
        <v>1</v>
      </c>
      <c r="S72" s="107">
        <f t="shared" si="3"/>
        <v>1</v>
      </c>
      <c r="T72" s="143"/>
      <c r="U72" s="142"/>
      <c r="V72" s="142"/>
      <c r="W72" s="142"/>
      <c r="X72" s="110" t="b">
        <f t="shared" si="4"/>
        <v>0</v>
      </c>
      <c r="Y72" s="111" t="b">
        <v>0</v>
      </c>
      <c r="Z72" s="104" t="str">
        <f t="shared" si="5"/>
        <v/>
      </c>
      <c r="AA72" s="112" t="b">
        <f t="shared" si="6"/>
        <v>0</v>
      </c>
      <c r="AB72" s="142" t="b">
        <v>0</v>
      </c>
      <c r="AC72" s="140">
        <v>717.0</v>
      </c>
      <c r="AD72" s="141" t="b">
        <v>0</v>
      </c>
      <c r="AE72" s="115">
        <f t="shared" si="7"/>
        <v>178.1</v>
      </c>
      <c r="AF72" s="116" t="b">
        <f t="shared" si="8"/>
        <v>0</v>
      </c>
      <c r="AG72" s="105" t="b">
        <f t="shared" si="9"/>
        <v>0</v>
      </c>
      <c r="AH72" s="140"/>
      <c r="AI72" s="140"/>
      <c r="AJ72" s="140"/>
      <c r="AK72" s="117" t="str">
        <f t="shared" si="10"/>
        <v>Negative</v>
      </c>
      <c r="AL72" s="142"/>
      <c r="AM72" s="112" t="s">
        <v>436</v>
      </c>
      <c r="AN72" s="112" t="s">
        <v>437</v>
      </c>
      <c r="AO72" s="112" t="str">
        <f>IFERROR(__xludf.DUMMYFUNCTION("IF($AG72, ""DELETED"",TRIM(JOIN("" "",D72:E72)))"),"")</f>
        <v/>
      </c>
      <c r="AP72" s="112" t="str">
        <f t="shared" ref="AP72:AQ72" si="97">IF($AG72, "DELETED", TRIM(CONCATENATE(F72,I72,U72)))</f>
        <v/>
      </c>
      <c r="AQ72" s="112" t="str">
        <f t="shared" si="97"/>
        <v/>
      </c>
      <c r="AR72" s="112" t="str">
        <f>IFERROR(__xludf.DUMMYFUNCTION("IF($AG72, ""DELETED"", TRIM(JOIN("" "",AP72,AQ72)))"),"")</f>
        <v/>
      </c>
      <c r="AS72" s="118"/>
      <c r="AT72" s="110" t="b">
        <f t="shared" si="12"/>
        <v>0</v>
      </c>
      <c r="AU72" s="110" t="str">
        <f t="shared" si="13"/>
        <v/>
      </c>
      <c r="AV72" s="110" t="str">
        <f t="shared" si="14"/>
        <v/>
      </c>
      <c r="AW72" s="110" t="str">
        <f t="shared" si="15"/>
        <v/>
      </c>
      <c r="AX72" s="119" t="str">
        <f t="shared" si="16"/>
        <v/>
      </c>
      <c r="AY72" s="120"/>
      <c r="AZ72" s="121"/>
      <c r="BA72" s="122" t="str">
        <f t="shared" si="17"/>
        <v/>
      </c>
      <c r="BB72" s="34"/>
      <c r="BC72" s="121"/>
      <c r="BD72" s="136"/>
      <c r="BE72" s="125" t="str">
        <f t="shared" si="18"/>
        <v/>
      </c>
      <c r="BF72" s="126" t="str">
        <f t="shared" si="19"/>
        <v>MA1236__44561_0.32125</v>
      </c>
      <c r="BG72" s="127" t="str">
        <f t="shared" si="20"/>
        <v/>
      </c>
      <c r="BH72" s="137" t="s">
        <v>438</v>
      </c>
      <c r="BI72" s="128" t="str">
        <f t="shared" si="21"/>
        <v>FM28</v>
      </c>
      <c r="BJ72" s="129" t="b">
        <f t="shared" si="22"/>
        <v>0</v>
      </c>
      <c r="BK72" s="128" t="str">
        <f t="shared" si="23"/>
        <v/>
      </c>
      <c r="BL72" s="121"/>
      <c r="BM72" s="5" t="str">
        <f t="shared" si="24"/>
        <v>MISSING</v>
      </c>
      <c r="BN72" s="120" t="b">
        <f t="shared" si="25"/>
        <v>0</v>
      </c>
      <c r="BO72" s="131" t="b">
        <f t="shared" si="26"/>
        <v>1</v>
      </c>
      <c r="BP72" s="121"/>
      <c r="BQ72" s="132" t="str">
        <f>VLOOKUP(A72,RAW_APS!A$3:O826,15,FALSE)</f>
        <v/>
      </c>
      <c r="BR72" s="120" t="b">
        <f t="shared" si="27"/>
        <v>1</v>
      </c>
      <c r="BS72" s="121"/>
      <c r="BT72" s="138" t="s">
        <v>244</v>
      </c>
      <c r="BU72" s="10" t="b">
        <f t="shared" si="28"/>
        <v>1</v>
      </c>
      <c r="BV72" s="120"/>
      <c r="BW72" s="120"/>
      <c r="BX72" s="120"/>
      <c r="BY72" s="120"/>
      <c r="BZ72" s="120"/>
      <c r="CA72" s="120"/>
      <c r="CB72" s="120"/>
      <c r="CC72" s="120"/>
    </row>
    <row r="73">
      <c r="A73" s="2" t="s">
        <v>439</v>
      </c>
      <c r="B73" s="100">
        <v>44561.0</v>
      </c>
      <c r="C73" s="101">
        <v>0.32719907407407406</v>
      </c>
      <c r="D73" s="102"/>
      <c r="E73" s="102"/>
      <c r="F73" s="102"/>
      <c r="G73" s="102"/>
      <c r="H73" s="102"/>
      <c r="I73" s="103"/>
      <c r="J73" s="103"/>
      <c r="K73" s="2" t="s">
        <v>244</v>
      </c>
      <c r="L73" s="100">
        <v>44561.0</v>
      </c>
      <c r="M73" s="101">
        <v>0.44493055555555555</v>
      </c>
      <c r="P73" s="104" t="b">
        <f>IFNA(IF(VLOOKUP($A73,'Add from APT'!$AA$2:$AC826,3,FALSE)&gt;0,TRUE,FALSE),"ER - NOT IN APT")</f>
        <v>0</v>
      </c>
      <c r="Q73" s="105" t="str">
        <f>IF(ISLOGICAL(P73),IF(P73,"ER - REPS IN APT", IFNA(VLOOKUP($A73,RAW_APT!$A$3:$M826,7,FALSE),"ER - NOT IN APT")),P73)</f>
        <v>Result</v>
      </c>
      <c r="R73" s="106" t="b">
        <f t="shared" si="2"/>
        <v>1</v>
      </c>
      <c r="S73" s="107">
        <f t="shared" si="3"/>
        <v>1</v>
      </c>
      <c r="T73" s="143"/>
      <c r="U73" s="142"/>
      <c r="V73" s="142"/>
      <c r="W73" s="142"/>
      <c r="X73" s="110" t="b">
        <f t="shared" si="4"/>
        <v>0</v>
      </c>
      <c r="Y73" s="111" t="b">
        <v>0</v>
      </c>
      <c r="Z73" s="104" t="str">
        <f t="shared" si="5"/>
        <v/>
      </c>
      <c r="AA73" s="112" t="b">
        <f t="shared" si="6"/>
        <v>0</v>
      </c>
      <c r="AB73" s="142" t="b">
        <v>0</v>
      </c>
      <c r="AC73" s="140">
        <v>716.0</v>
      </c>
      <c r="AD73" s="141" t="b">
        <v>0</v>
      </c>
      <c r="AE73" s="115">
        <f t="shared" si="7"/>
        <v>169.5333333</v>
      </c>
      <c r="AF73" s="116" t="b">
        <f t="shared" si="8"/>
        <v>0</v>
      </c>
      <c r="AG73" s="105" t="b">
        <f t="shared" si="9"/>
        <v>0</v>
      </c>
      <c r="AH73" s="140"/>
      <c r="AI73" s="140"/>
      <c r="AJ73" s="140"/>
      <c r="AK73" s="117" t="str">
        <f t="shared" si="10"/>
        <v>Negative</v>
      </c>
      <c r="AL73" s="142"/>
      <c r="AM73" s="112" t="s">
        <v>310</v>
      </c>
      <c r="AN73" s="112" t="s">
        <v>311</v>
      </c>
      <c r="AO73" s="112" t="str">
        <f>IFERROR(__xludf.DUMMYFUNCTION("IF($AG73, ""DELETED"",TRIM(JOIN("" "",D73:E73)))"),"")</f>
        <v/>
      </c>
      <c r="AP73" s="112" t="str">
        <f t="shared" ref="AP73:AQ73" si="98">IF($AG73, "DELETED", TRIM(CONCATENATE(F73,I73,U73)))</f>
        <v/>
      </c>
      <c r="AQ73" s="112" t="str">
        <f t="shared" si="98"/>
        <v/>
      </c>
      <c r="AR73" s="112" t="str">
        <f>IFERROR(__xludf.DUMMYFUNCTION("IF($AG73, ""DELETED"", TRIM(JOIN("" "",AP73,AQ73)))"),"")</f>
        <v/>
      </c>
      <c r="AS73" s="118"/>
      <c r="AT73" s="110" t="b">
        <f t="shared" si="12"/>
        <v>0</v>
      </c>
      <c r="AU73" s="110" t="str">
        <f t="shared" si="13"/>
        <v/>
      </c>
      <c r="AV73" s="110" t="str">
        <f t="shared" si="14"/>
        <v/>
      </c>
      <c r="AW73" s="110" t="str">
        <f t="shared" si="15"/>
        <v/>
      </c>
      <c r="AX73" s="119" t="str">
        <f t="shared" si="16"/>
        <v/>
      </c>
      <c r="AY73" s="120"/>
      <c r="AZ73" s="121"/>
      <c r="BA73" s="122" t="str">
        <f t="shared" si="17"/>
        <v/>
      </c>
      <c r="BB73" s="34"/>
      <c r="BC73" s="121"/>
      <c r="BD73" s="136"/>
      <c r="BE73" s="125" t="str">
        <f t="shared" si="18"/>
        <v/>
      </c>
      <c r="BF73" s="126" t="str">
        <f t="shared" si="19"/>
        <v>MA1153__44561_0.327199074074074</v>
      </c>
      <c r="BG73" s="127" t="str">
        <f t="shared" si="20"/>
        <v/>
      </c>
      <c r="BH73" s="137" t="s">
        <v>440</v>
      </c>
      <c r="BI73" s="128" t="str">
        <f t="shared" si="21"/>
        <v>FM29</v>
      </c>
      <c r="BJ73" s="129" t="b">
        <f t="shared" si="22"/>
        <v>0</v>
      </c>
      <c r="BK73" s="128" t="str">
        <f t="shared" si="23"/>
        <v/>
      </c>
      <c r="BL73" s="121"/>
      <c r="BM73" s="5" t="str">
        <f t="shared" si="24"/>
        <v>MISSING</v>
      </c>
      <c r="BN73" s="120" t="b">
        <f t="shared" si="25"/>
        <v>0</v>
      </c>
      <c r="BO73" s="131" t="b">
        <f t="shared" si="26"/>
        <v>1</v>
      </c>
      <c r="BP73" s="121"/>
      <c r="BQ73" s="132" t="str">
        <f>VLOOKUP(A73,RAW_APS!A$3:O826,15,FALSE)</f>
        <v/>
      </c>
      <c r="BR73" s="120" t="b">
        <f t="shared" si="27"/>
        <v>1</v>
      </c>
      <c r="BS73" s="121"/>
      <c r="BT73" s="138" t="s">
        <v>244</v>
      </c>
      <c r="BU73" s="10" t="b">
        <f t="shared" si="28"/>
        <v>1</v>
      </c>
      <c r="BV73" s="120"/>
      <c r="BW73" s="120"/>
      <c r="BX73" s="120"/>
      <c r="BY73" s="120"/>
      <c r="BZ73" s="120"/>
      <c r="CA73" s="120"/>
      <c r="CB73" s="120"/>
      <c r="CC73" s="120"/>
    </row>
    <row r="74">
      <c r="A74" s="2" t="s">
        <v>441</v>
      </c>
      <c r="B74" s="100">
        <v>44561.0</v>
      </c>
      <c r="C74" s="101">
        <v>0.33644675925925926</v>
      </c>
      <c r="D74" s="102"/>
      <c r="E74" s="102"/>
      <c r="F74" s="102"/>
      <c r="G74" s="102"/>
      <c r="H74" s="102"/>
      <c r="I74" s="103"/>
      <c r="J74" s="103"/>
      <c r="K74" s="2" t="s">
        <v>244</v>
      </c>
      <c r="L74" s="100">
        <v>44561.0</v>
      </c>
      <c r="M74" s="101">
        <v>0.44493055555555555</v>
      </c>
      <c r="P74" s="104" t="b">
        <f>IFNA(IF(VLOOKUP($A74,'Add from APT'!$AA$2:$AC826,3,FALSE)&gt;0,TRUE,FALSE),"ER - NOT IN APT")</f>
        <v>0</v>
      </c>
      <c r="Q74" s="105" t="str">
        <f>IF(ISLOGICAL(P74),IF(P74,"ER - REPS IN APT", IFNA(VLOOKUP($A74,RAW_APT!$A$3:$M826,7,FALSE),"ER - NOT IN APT")),P74)</f>
        <v>Result</v>
      </c>
      <c r="R74" s="106" t="b">
        <f t="shared" si="2"/>
        <v>1</v>
      </c>
      <c r="S74" s="107">
        <f t="shared" si="3"/>
        <v>1</v>
      </c>
      <c r="T74" s="143"/>
      <c r="U74" s="142"/>
      <c r="V74" s="142"/>
      <c r="W74" s="142"/>
      <c r="X74" s="110" t="b">
        <f t="shared" si="4"/>
        <v>0</v>
      </c>
      <c r="Y74" s="111" t="b">
        <v>0</v>
      </c>
      <c r="Z74" s="104" t="str">
        <f t="shared" si="5"/>
        <v/>
      </c>
      <c r="AA74" s="112" t="b">
        <f t="shared" si="6"/>
        <v>0</v>
      </c>
      <c r="AB74" s="142" t="b">
        <v>0</v>
      </c>
      <c r="AC74" s="140">
        <v>715.0</v>
      </c>
      <c r="AD74" s="141" t="b">
        <v>0</v>
      </c>
      <c r="AE74" s="115">
        <f t="shared" si="7"/>
        <v>156.2166667</v>
      </c>
      <c r="AF74" s="116" t="b">
        <f t="shared" si="8"/>
        <v>0</v>
      </c>
      <c r="AG74" s="105" t="b">
        <f t="shared" si="9"/>
        <v>0</v>
      </c>
      <c r="AH74" s="140"/>
      <c r="AI74" s="140"/>
      <c r="AJ74" s="140"/>
      <c r="AK74" s="117" t="str">
        <f t="shared" si="10"/>
        <v>Negative</v>
      </c>
      <c r="AL74" s="142"/>
      <c r="AM74" s="112" t="s">
        <v>287</v>
      </c>
      <c r="AN74" s="112" t="s">
        <v>288</v>
      </c>
      <c r="AO74" s="112" t="str">
        <f>IFERROR(__xludf.DUMMYFUNCTION("IF($AG74, ""DELETED"",TRIM(JOIN("" "",D74:E74)))"),"")</f>
        <v/>
      </c>
      <c r="AP74" s="112" t="str">
        <f t="shared" ref="AP74:AQ74" si="99">IF($AG74, "DELETED", TRIM(CONCATENATE(F74,I74,U74)))</f>
        <v/>
      </c>
      <c r="AQ74" s="112" t="str">
        <f t="shared" si="99"/>
        <v/>
      </c>
      <c r="AR74" s="112" t="str">
        <f>IFERROR(__xludf.DUMMYFUNCTION("IF($AG74, ""DELETED"", TRIM(JOIN("" "",AP74,AQ74)))"),"")</f>
        <v/>
      </c>
      <c r="AS74" s="118"/>
      <c r="AT74" s="110" t="b">
        <f t="shared" si="12"/>
        <v>0</v>
      </c>
      <c r="AU74" s="110" t="str">
        <f t="shared" si="13"/>
        <v/>
      </c>
      <c r="AV74" s="110" t="str">
        <f t="shared" si="14"/>
        <v/>
      </c>
      <c r="AW74" s="110" t="str">
        <f t="shared" si="15"/>
        <v/>
      </c>
      <c r="AX74" s="119" t="str">
        <f t="shared" si="16"/>
        <v/>
      </c>
      <c r="AY74" s="120"/>
      <c r="AZ74" s="121"/>
      <c r="BA74" s="122" t="str">
        <f t="shared" si="17"/>
        <v/>
      </c>
      <c r="BB74" s="34"/>
      <c r="BC74" s="121"/>
      <c r="BD74" s="136"/>
      <c r="BE74" s="125" t="str">
        <f t="shared" si="18"/>
        <v/>
      </c>
      <c r="BF74" s="126" t="str">
        <f t="shared" si="19"/>
        <v>MA1131__44561_0.336446759259259</v>
      </c>
      <c r="BG74" s="127" t="str">
        <f t="shared" si="20"/>
        <v/>
      </c>
      <c r="BH74" s="137" t="s">
        <v>442</v>
      </c>
      <c r="BI74" s="128" t="str">
        <f t="shared" si="21"/>
        <v>FM3</v>
      </c>
      <c r="BJ74" s="129" t="b">
        <f t="shared" si="22"/>
        <v>0</v>
      </c>
      <c r="BK74" s="128" t="str">
        <f t="shared" si="23"/>
        <v/>
      </c>
      <c r="BL74" s="121"/>
      <c r="BM74" s="5" t="str">
        <f t="shared" si="24"/>
        <v>MISSING</v>
      </c>
      <c r="BN74" s="120" t="b">
        <f t="shared" si="25"/>
        <v>0</v>
      </c>
      <c r="BO74" s="131" t="b">
        <f t="shared" si="26"/>
        <v>1</v>
      </c>
      <c r="BP74" s="121"/>
      <c r="BQ74" s="132" t="str">
        <f>VLOOKUP(A74,RAW_APS!A$3:O826,15,FALSE)</f>
        <v/>
      </c>
      <c r="BR74" s="120" t="b">
        <f t="shared" si="27"/>
        <v>1</v>
      </c>
      <c r="BS74" s="121"/>
      <c r="BT74" s="138" t="s">
        <v>244</v>
      </c>
      <c r="BU74" s="10" t="b">
        <f t="shared" si="28"/>
        <v>1</v>
      </c>
      <c r="BV74" s="120"/>
      <c r="BW74" s="120"/>
      <c r="BX74" s="120"/>
      <c r="BY74" s="120"/>
      <c r="BZ74" s="120"/>
      <c r="CA74" s="120"/>
      <c r="CB74" s="120"/>
      <c r="CC74" s="120"/>
    </row>
    <row r="75">
      <c r="A75" s="2" t="s">
        <v>443</v>
      </c>
      <c r="B75" s="100">
        <v>44561.0</v>
      </c>
      <c r="C75" s="101">
        <v>0.3366898148148148</v>
      </c>
      <c r="D75" s="102"/>
      <c r="E75" s="102"/>
      <c r="F75" s="102"/>
      <c r="G75" s="102"/>
      <c r="H75" s="102"/>
      <c r="I75" s="103"/>
      <c r="J75" s="103"/>
      <c r="K75" s="2" t="s">
        <v>244</v>
      </c>
      <c r="L75" s="100">
        <v>44561.0</v>
      </c>
      <c r="M75" s="101">
        <v>0.44493055555555555</v>
      </c>
      <c r="P75" s="104" t="b">
        <f>IFNA(IF(VLOOKUP($A75,'Add from APT'!$AA$2:$AC826,3,FALSE)&gt;0,TRUE,FALSE),"ER - NOT IN APT")</f>
        <v>0</v>
      </c>
      <c r="Q75" s="105" t="str">
        <f>IF(ISLOGICAL(P75),IF(P75,"ER - REPS IN APT", IFNA(VLOOKUP($A75,RAW_APT!$A$3:$M826,7,FALSE),"ER - NOT IN APT")),P75)</f>
        <v>Result</v>
      </c>
      <c r="R75" s="106" t="b">
        <f t="shared" si="2"/>
        <v>1</v>
      </c>
      <c r="S75" s="107">
        <f t="shared" si="3"/>
        <v>1</v>
      </c>
      <c r="T75" s="143"/>
      <c r="U75" s="142"/>
      <c r="V75" s="142"/>
      <c r="W75" s="142"/>
      <c r="X75" s="110" t="b">
        <f t="shared" si="4"/>
        <v>0</v>
      </c>
      <c r="Y75" s="111" t="b">
        <v>0</v>
      </c>
      <c r="Z75" s="104" t="str">
        <f t="shared" si="5"/>
        <v/>
      </c>
      <c r="AA75" s="112" t="b">
        <f t="shared" si="6"/>
        <v>0</v>
      </c>
      <c r="AB75" s="142" t="b">
        <v>0</v>
      </c>
      <c r="AC75" s="140">
        <v>714.0</v>
      </c>
      <c r="AD75" s="141" t="b">
        <v>0</v>
      </c>
      <c r="AE75" s="115">
        <f t="shared" si="7"/>
        <v>155.8666667</v>
      </c>
      <c r="AF75" s="116" t="b">
        <f t="shared" si="8"/>
        <v>0</v>
      </c>
      <c r="AG75" s="105" t="b">
        <f t="shared" si="9"/>
        <v>0</v>
      </c>
      <c r="AH75" s="140"/>
      <c r="AI75" s="140"/>
      <c r="AJ75" s="140"/>
      <c r="AK75" s="117" t="str">
        <f t="shared" si="10"/>
        <v>Negative</v>
      </c>
      <c r="AL75" s="142"/>
      <c r="AM75" s="112" t="s">
        <v>356</v>
      </c>
      <c r="AN75" s="112" t="s">
        <v>357</v>
      </c>
      <c r="AO75" s="112" t="str">
        <f>IFERROR(__xludf.DUMMYFUNCTION("IF($AG75, ""DELETED"",TRIM(JOIN("" "",D75:E75)))"),"")</f>
        <v/>
      </c>
      <c r="AP75" s="112" t="str">
        <f t="shared" ref="AP75:AQ75" si="100">IF($AG75, "DELETED", TRIM(CONCATENATE(F75,I75,U75)))</f>
        <v/>
      </c>
      <c r="AQ75" s="112" t="str">
        <f t="shared" si="100"/>
        <v/>
      </c>
      <c r="AR75" s="112" t="str">
        <f>IFERROR(__xludf.DUMMYFUNCTION("IF($AG75, ""DELETED"", TRIM(JOIN("" "",AP75,AQ75)))"),"")</f>
        <v/>
      </c>
      <c r="AS75" s="118"/>
      <c r="AT75" s="110" t="b">
        <f t="shared" si="12"/>
        <v>0</v>
      </c>
      <c r="AU75" s="110" t="str">
        <f t="shared" si="13"/>
        <v/>
      </c>
      <c r="AV75" s="110" t="str">
        <f t="shared" si="14"/>
        <v/>
      </c>
      <c r="AW75" s="110" t="str">
        <f t="shared" si="15"/>
        <v/>
      </c>
      <c r="AX75" s="119" t="str">
        <f t="shared" si="16"/>
        <v/>
      </c>
      <c r="AY75" s="120"/>
      <c r="AZ75" s="121"/>
      <c r="BA75" s="122" t="str">
        <f t="shared" si="17"/>
        <v/>
      </c>
      <c r="BB75" s="34"/>
      <c r="BC75" s="121"/>
      <c r="BD75" s="136"/>
      <c r="BE75" s="125" t="str">
        <f t="shared" si="18"/>
        <v/>
      </c>
      <c r="BF75" s="126" t="str">
        <f t="shared" si="19"/>
        <v>MA1084__44561_0.336689814814815</v>
      </c>
      <c r="BG75" s="127" t="str">
        <f t="shared" si="20"/>
        <v/>
      </c>
      <c r="BH75" s="137" t="s">
        <v>444</v>
      </c>
      <c r="BI75" s="128" t="str">
        <f t="shared" si="21"/>
        <v>FM30</v>
      </c>
      <c r="BJ75" s="129" t="b">
        <f t="shared" si="22"/>
        <v>0</v>
      </c>
      <c r="BK75" s="128" t="str">
        <f t="shared" si="23"/>
        <v/>
      </c>
      <c r="BL75" s="121"/>
      <c r="BM75" s="5" t="str">
        <f t="shared" si="24"/>
        <v>MISSING</v>
      </c>
      <c r="BN75" s="120" t="b">
        <f t="shared" si="25"/>
        <v>0</v>
      </c>
      <c r="BO75" s="131" t="b">
        <f t="shared" si="26"/>
        <v>1</v>
      </c>
      <c r="BP75" s="121"/>
      <c r="BQ75" s="132" t="str">
        <f>VLOOKUP(A75,RAW_APS!A$3:O826,15,FALSE)</f>
        <v/>
      </c>
      <c r="BR75" s="120" t="b">
        <f t="shared" si="27"/>
        <v>1</v>
      </c>
      <c r="BS75" s="121"/>
      <c r="BT75" s="138" t="s">
        <v>244</v>
      </c>
      <c r="BU75" s="10" t="b">
        <f t="shared" si="28"/>
        <v>1</v>
      </c>
      <c r="BV75" s="120"/>
      <c r="BW75" s="120"/>
      <c r="BX75" s="120"/>
      <c r="BY75" s="120"/>
      <c r="BZ75" s="120"/>
      <c r="CA75" s="120"/>
      <c r="CB75" s="120"/>
      <c r="CC75" s="120"/>
    </row>
    <row r="76">
      <c r="A76" s="2" t="s">
        <v>445</v>
      </c>
      <c r="B76" s="100">
        <v>44561.0</v>
      </c>
      <c r="C76" s="101">
        <v>0.3527777777777778</v>
      </c>
      <c r="D76" s="102"/>
      <c r="E76" s="102"/>
      <c r="F76" s="102"/>
      <c r="G76" s="102"/>
      <c r="H76" s="102"/>
      <c r="I76" s="103"/>
      <c r="J76" s="103"/>
      <c r="K76" s="2" t="s">
        <v>244</v>
      </c>
      <c r="L76" s="100">
        <v>44561.0</v>
      </c>
      <c r="M76" s="101">
        <v>0.44493055555555555</v>
      </c>
      <c r="P76" s="104" t="b">
        <f>IFNA(IF(VLOOKUP($A76,'Add from APT'!$AA$2:$AC826,3,FALSE)&gt;0,TRUE,FALSE),"ER - NOT IN APT")</f>
        <v>0</v>
      </c>
      <c r="Q76" s="105" t="str">
        <f>IF(ISLOGICAL(P76),IF(P76,"ER - REPS IN APT", IFNA(VLOOKUP($A76,RAW_APT!$A$3:$M826,7,FALSE),"ER - NOT IN APT")),P76)</f>
        <v>Result</v>
      </c>
      <c r="R76" s="106" t="b">
        <f t="shared" si="2"/>
        <v>1</v>
      </c>
      <c r="S76" s="107">
        <f t="shared" si="3"/>
        <v>1</v>
      </c>
      <c r="T76" s="143"/>
      <c r="U76" s="142"/>
      <c r="V76" s="142"/>
      <c r="W76" s="142"/>
      <c r="X76" s="110" t="b">
        <f t="shared" si="4"/>
        <v>0</v>
      </c>
      <c r="Y76" s="111" t="b">
        <v>0</v>
      </c>
      <c r="Z76" s="104" t="str">
        <f t="shared" si="5"/>
        <v/>
      </c>
      <c r="AA76" s="112" t="b">
        <f t="shared" si="6"/>
        <v>0</v>
      </c>
      <c r="AB76" s="142" t="b">
        <v>0</v>
      </c>
      <c r="AC76" s="140">
        <v>713.0</v>
      </c>
      <c r="AD76" s="141" t="b">
        <v>0</v>
      </c>
      <c r="AE76" s="115">
        <f t="shared" si="7"/>
        <v>132.7</v>
      </c>
      <c r="AF76" s="116" t="b">
        <f t="shared" si="8"/>
        <v>0</v>
      </c>
      <c r="AG76" s="105" t="b">
        <f t="shared" si="9"/>
        <v>0</v>
      </c>
      <c r="AH76" s="140"/>
      <c r="AI76" s="140"/>
      <c r="AJ76" s="140"/>
      <c r="AK76" s="117" t="str">
        <f t="shared" si="10"/>
        <v>Negative</v>
      </c>
      <c r="AL76" s="142"/>
      <c r="AM76" s="112" t="s">
        <v>257</v>
      </c>
      <c r="AN76" s="112" t="s">
        <v>406</v>
      </c>
      <c r="AO76" s="112" t="str">
        <f>IFERROR(__xludf.DUMMYFUNCTION("IF($AG76, ""DELETED"",TRIM(JOIN("" "",D76:E76)))"),"")</f>
        <v/>
      </c>
      <c r="AP76" s="112" t="str">
        <f t="shared" ref="AP76:AQ76" si="101">IF($AG76, "DELETED", TRIM(CONCATENATE(F76,I76,U76)))</f>
        <v/>
      </c>
      <c r="AQ76" s="112" t="str">
        <f t="shared" si="101"/>
        <v/>
      </c>
      <c r="AR76" s="112" t="str">
        <f>IFERROR(__xludf.DUMMYFUNCTION("IF($AG76, ""DELETED"", TRIM(JOIN("" "",AP76,AQ76)))"),"")</f>
        <v/>
      </c>
      <c r="AS76" s="118"/>
      <c r="AT76" s="110" t="b">
        <f t="shared" si="12"/>
        <v>0</v>
      </c>
      <c r="AU76" s="110" t="str">
        <f t="shared" si="13"/>
        <v/>
      </c>
      <c r="AV76" s="110" t="str">
        <f t="shared" si="14"/>
        <v/>
      </c>
      <c r="AW76" s="110" t="str">
        <f t="shared" si="15"/>
        <v/>
      </c>
      <c r="AX76" s="119" t="str">
        <f t="shared" si="16"/>
        <v/>
      </c>
      <c r="AY76" s="120"/>
      <c r="AZ76" s="121"/>
      <c r="BA76" s="122" t="str">
        <f t="shared" si="17"/>
        <v/>
      </c>
      <c r="BB76" s="34"/>
      <c r="BC76" s="121"/>
      <c r="BD76" s="136"/>
      <c r="BE76" s="125" t="str">
        <f t="shared" si="18"/>
        <v/>
      </c>
      <c r="BF76" s="126" t="str">
        <f t="shared" si="19"/>
        <v>MA1280__44561_0.352777777777778</v>
      </c>
      <c r="BG76" s="127" t="str">
        <f t="shared" si="20"/>
        <v/>
      </c>
      <c r="BH76" s="137" t="s">
        <v>446</v>
      </c>
      <c r="BI76" s="128" t="str">
        <f t="shared" si="21"/>
        <v>FM304</v>
      </c>
      <c r="BJ76" s="129" t="b">
        <f t="shared" si="22"/>
        <v>0</v>
      </c>
      <c r="BK76" s="128" t="str">
        <f t="shared" si="23"/>
        <v/>
      </c>
      <c r="BL76" s="121"/>
      <c r="BM76" s="5" t="str">
        <f t="shared" si="24"/>
        <v>MISSING</v>
      </c>
      <c r="BN76" s="120" t="b">
        <f t="shared" si="25"/>
        <v>0</v>
      </c>
      <c r="BO76" s="131" t="b">
        <f t="shared" si="26"/>
        <v>1</v>
      </c>
      <c r="BP76" s="121"/>
      <c r="BQ76" s="132" t="str">
        <f>VLOOKUP(A76,RAW_APS!A$3:O826,15,FALSE)</f>
        <v/>
      </c>
      <c r="BR76" s="120" t="b">
        <f t="shared" si="27"/>
        <v>1</v>
      </c>
      <c r="BS76" s="121"/>
      <c r="BT76" s="138" t="s">
        <v>244</v>
      </c>
      <c r="BU76" s="10" t="b">
        <f t="shared" si="28"/>
        <v>1</v>
      </c>
      <c r="BV76" s="120"/>
      <c r="BW76" s="120"/>
      <c r="BX76" s="120"/>
      <c r="BY76" s="120"/>
      <c r="BZ76" s="120"/>
      <c r="CA76" s="120"/>
      <c r="CB76" s="120"/>
      <c r="CC76" s="120"/>
    </row>
    <row r="77">
      <c r="A77" s="2" t="s">
        <v>447</v>
      </c>
      <c r="B77" s="100">
        <v>44561.0</v>
      </c>
      <c r="C77" s="101">
        <v>0.38902777777777775</v>
      </c>
      <c r="D77" s="102"/>
      <c r="E77" s="102"/>
      <c r="F77" s="102"/>
      <c r="G77" s="102"/>
      <c r="H77" s="102"/>
      <c r="I77" s="103"/>
      <c r="J77" s="103"/>
      <c r="K77" s="2" t="s">
        <v>254</v>
      </c>
      <c r="L77" s="11"/>
      <c r="M77" s="11"/>
      <c r="N77" s="11"/>
      <c r="O77" s="11"/>
      <c r="P77" s="104" t="b">
        <f>IFNA(IF(VLOOKUP($A77,'Add from APT'!$AA$2:$AC826,3,FALSE)&gt;0,TRUE,FALSE),"ER - NOT IN APT")</f>
        <v>0</v>
      </c>
      <c r="Q77" s="105" t="str">
        <f>IF(ISLOGICAL(P77),IF(P77,"ER - REPS IN APT", IFNA(VLOOKUP($A77,RAW_APT!$A$3:$M826,7,FALSE),"ER - NOT IN APT")),P77)</f>
        <v>Deposited</v>
      </c>
      <c r="R77" s="106" t="b">
        <f t="shared" si="2"/>
        <v>1</v>
      </c>
      <c r="S77" s="107">
        <f t="shared" si="3"/>
        <v>1</v>
      </c>
      <c r="T77" s="143"/>
      <c r="U77" s="142"/>
      <c r="V77" s="142"/>
      <c r="W77" s="142"/>
      <c r="X77" s="110" t="b">
        <f t="shared" si="4"/>
        <v>0</v>
      </c>
      <c r="Y77" s="111" t="b">
        <v>0</v>
      </c>
      <c r="Z77" s="104" t="str">
        <f t="shared" si="5"/>
        <v/>
      </c>
      <c r="AA77" s="112" t="b">
        <f t="shared" si="6"/>
        <v>0</v>
      </c>
      <c r="AB77" s="142" t="b">
        <v>0</v>
      </c>
      <c r="AC77" s="140">
        <v>712.0</v>
      </c>
      <c r="AD77" s="141" t="b">
        <v>0</v>
      </c>
      <c r="AE77" s="115" t="str">
        <f t="shared" si="7"/>
        <v/>
      </c>
      <c r="AF77" s="116" t="b">
        <f t="shared" si="8"/>
        <v>0</v>
      </c>
      <c r="AG77" s="105" t="b">
        <f t="shared" si="9"/>
        <v>1</v>
      </c>
      <c r="AH77" s="140">
        <v>9.1</v>
      </c>
      <c r="AI77" s="140"/>
      <c r="AJ77" s="140"/>
      <c r="AK77" s="117" t="str">
        <f t="shared" si="10"/>
        <v>DELETED</v>
      </c>
      <c r="AL77" s="142"/>
      <c r="AM77" s="112" t="s">
        <v>245</v>
      </c>
      <c r="AN77" s="112" t="s">
        <v>245</v>
      </c>
      <c r="AO77" s="112" t="str">
        <f>IFERROR(__xludf.DUMMYFUNCTION("IF($AG77, ""DELETED"",TRIM(JOIN("" "",D77:E77)))"),"DELETED")</f>
        <v>DELETED</v>
      </c>
      <c r="AP77" s="112" t="str">
        <f t="shared" ref="AP77:AQ77" si="102">IF($AG77, "DELETED", TRIM(CONCATENATE(F77,I77,U77)))</f>
        <v>DELETED</v>
      </c>
      <c r="AQ77" s="112" t="str">
        <f t="shared" si="102"/>
        <v>DELETED</v>
      </c>
      <c r="AR77" s="112" t="str">
        <f>IFERROR(__xludf.DUMMYFUNCTION("IF($AG77, ""DELETED"", TRIM(JOIN("" "",AP77,AQ77)))"),"DELETED")</f>
        <v>DELETED</v>
      </c>
      <c r="AS77" s="118"/>
      <c r="AT77" s="110" t="b">
        <f t="shared" si="12"/>
        <v>1</v>
      </c>
      <c r="AU77" s="110" t="str">
        <f t="shared" si="13"/>
        <v/>
      </c>
      <c r="AV77" s="110" t="str">
        <f t="shared" si="14"/>
        <v/>
      </c>
      <c r="AW77" s="110" t="str">
        <f t="shared" si="15"/>
        <v/>
      </c>
      <c r="AX77" s="119" t="str">
        <f t="shared" si="16"/>
        <v/>
      </c>
      <c r="AY77" s="120"/>
      <c r="AZ77" s="121"/>
      <c r="BA77" s="122" t="b">
        <f t="shared" si="17"/>
        <v>1</v>
      </c>
      <c r="BB77" s="34"/>
      <c r="BC77" s="121"/>
      <c r="BD77" s="136"/>
      <c r="BE77" s="125" t="str">
        <f t="shared" si="18"/>
        <v/>
      </c>
      <c r="BF77" s="126" t="str">
        <f t="shared" si="19"/>
        <v>MA1152__44561_0.389027777777778</v>
      </c>
      <c r="BG77" s="127" t="str">
        <f t="shared" si="20"/>
        <v/>
      </c>
      <c r="BH77" s="137" t="s">
        <v>448</v>
      </c>
      <c r="BI77" s="128" t="str">
        <f t="shared" si="21"/>
        <v>FM31</v>
      </c>
      <c r="BJ77" s="129" t="b">
        <f t="shared" si="22"/>
        <v>0</v>
      </c>
      <c r="BK77" s="128" t="str">
        <f t="shared" si="23"/>
        <v/>
      </c>
      <c r="BL77" s="121"/>
      <c r="BM77" s="5" t="str">
        <f t="shared" si="24"/>
        <v/>
      </c>
      <c r="BN77" s="120" t="b">
        <f t="shared" si="25"/>
        <v>0</v>
      </c>
      <c r="BO77" s="131" t="b">
        <f t="shared" si="26"/>
        <v>0</v>
      </c>
      <c r="BP77" s="121"/>
      <c r="BQ77" s="132" t="str">
        <f>VLOOKUP(A77,RAW_APS!A$3:O826,15,FALSE)</f>
        <v/>
      </c>
      <c r="BR77" s="120" t="b">
        <f t="shared" si="27"/>
        <v>1</v>
      </c>
      <c r="BS77" s="121"/>
      <c r="BT77" s="138" t="s">
        <v>245</v>
      </c>
      <c r="BU77" s="10" t="b">
        <f t="shared" si="28"/>
        <v>1</v>
      </c>
      <c r="BV77" s="120"/>
      <c r="BW77" s="120"/>
      <c r="BX77" s="120"/>
      <c r="BY77" s="120"/>
      <c r="BZ77" s="120"/>
      <c r="CA77" s="120"/>
      <c r="CB77" s="120"/>
      <c r="CC77" s="120"/>
    </row>
    <row r="78">
      <c r="A78" s="2" t="s">
        <v>449</v>
      </c>
      <c r="B78" s="100">
        <v>44561.0</v>
      </c>
      <c r="C78" s="101">
        <v>0.40042824074074074</v>
      </c>
      <c r="D78" s="102"/>
      <c r="E78" s="102"/>
      <c r="F78" s="102"/>
      <c r="G78" s="102"/>
      <c r="H78" s="102"/>
      <c r="I78" s="103"/>
      <c r="J78" s="103"/>
      <c r="K78" s="2" t="s">
        <v>52</v>
      </c>
      <c r="L78" s="100">
        <v>44561.0</v>
      </c>
      <c r="M78" s="101">
        <v>0.44559027777777777</v>
      </c>
      <c r="P78" s="104" t="b">
        <f>IFNA(IF(VLOOKUP($A78,'Add from APT'!$AA$2:$AC826,3,FALSE)&gt;0,TRUE,FALSE),"ER - NOT IN APT")</f>
        <v>0</v>
      </c>
      <c r="Q78" s="105" t="str">
        <f>IF(ISLOGICAL(P78),IF(P78,"ER - REPS IN APT", IFNA(VLOOKUP($A78,RAW_APT!$A$3:$M826,7,FALSE),"ER - NOT IN APT")),P78)</f>
        <v>Result</v>
      </c>
      <c r="R78" s="106" t="b">
        <f t="shared" si="2"/>
        <v>1</v>
      </c>
      <c r="S78" s="107">
        <f t="shared" si="3"/>
        <v>1</v>
      </c>
      <c r="T78" s="143"/>
      <c r="U78" s="142"/>
      <c r="V78" s="142"/>
      <c r="W78" s="142"/>
      <c r="X78" s="110" t="b">
        <f t="shared" si="4"/>
        <v>0</v>
      </c>
      <c r="Y78" s="111" t="b">
        <v>0</v>
      </c>
      <c r="Z78" s="104" t="str">
        <f t="shared" si="5"/>
        <v/>
      </c>
      <c r="AA78" s="112" t="b">
        <f t="shared" si="6"/>
        <v>0</v>
      </c>
      <c r="AB78" s="142" t="b">
        <v>0</v>
      </c>
      <c r="AC78" s="140">
        <v>711.0</v>
      </c>
      <c r="AD78" s="141" t="b">
        <v>0</v>
      </c>
      <c r="AE78" s="115">
        <f t="shared" si="7"/>
        <v>65.03333333</v>
      </c>
      <c r="AF78" s="116" t="b">
        <f t="shared" si="8"/>
        <v>0</v>
      </c>
      <c r="AG78" s="105" t="b">
        <f t="shared" si="9"/>
        <v>0</v>
      </c>
      <c r="AH78" s="140"/>
      <c r="AI78" s="140"/>
      <c r="AJ78" s="140"/>
      <c r="AK78" s="117" t="str">
        <f t="shared" si="10"/>
        <v>Positive</v>
      </c>
      <c r="AL78" s="142"/>
      <c r="AM78" s="112" t="s">
        <v>261</v>
      </c>
      <c r="AN78" s="112" t="s">
        <v>450</v>
      </c>
      <c r="AO78" s="112" t="str">
        <f>IFERROR(__xludf.DUMMYFUNCTION("IF($AG78, ""DELETED"",TRIM(JOIN("" "",D78:E78)))"),"")</f>
        <v/>
      </c>
      <c r="AP78" s="112" t="str">
        <f t="shared" ref="AP78:AQ78" si="103">IF($AG78, "DELETED", TRIM(CONCATENATE(F78,I78,U78)))</f>
        <v/>
      </c>
      <c r="AQ78" s="112" t="str">
        <f t="shared" si="103"/>
        <v/>
      </c>
      <c r="AR78" s="112" t="str">
        <f>IFERROR(__xludf.DUMMYFUNCTION("IF($AG78, ""DELETED"", TRIM(JOIN("" "",AP78,AQ78)))"),"")</f>
        <v/>
      </c>
      <c r="AS78" s="118"/>
      <c r="AT78" s="110" t="b">
        <f t="shared" si="12"/>
        <v>0</v>
      </c>
      <c r="AU78" s="110" t="str">
        <f t="shared" si="13"/>
        <v/>
      </c>
      <c r="AV78" s="110" t="str">
        <f t="shared" si="14"/>
        <v/>
      </c>
      <c r="AW78" s="110" t="str">
        <f t="shared" si="15"/>
        <v/>
      </c>
      <c r="AX78" s="119" t="str">
        <f t="shared" si="16"/>
        <v/>
      </c>
      <c r="AY78" s="120"/>
      <c r="AZ78" s="121"/>
      <c r="BA78" s="122" t="str">
        <f t="shared" si="17"/>
        <v/>
      </c>
      <c r="BB78" s="34"/>
      <c r="BC78" s="121"/>
      <c r="BD78" s="136"/>
      <c r="BE78" s="125" t="str">
        <f t="shared" si="18"/>
        <v/>
      </c>
      <c r="BF78" s="126" t="str">
        <f t="shared" si="19"/>
        <v>MA316__44561_0.400428240740741</v>
      </c>
      <c r="BG78" s="127" t="str">
        <f t="shared" si="20"/>
        <v/>
      </c>
      <c r="BH78" s="137" t="s">
        <v>451</v>
      </c>
      <c r="BI78" s="128" t="str">
        <f t="shared" si="21"/>
        <v>FM310</v>
      </c>
      <c r="BJ78" s="129" t="b">
        <f t="shared" si="22"/>
        <v>0</v>
      </c>
      <c r="BK78" s="128" t="str">
        <f t="shared" si="23"/>
        <v/>
      </c>
      <c r="BL78" s="121"/>
      <c r="BM78" s="5" t="str">
        <f t="shared" si="24"/>
        <v>MISSING</v>
      </c>
      <c r="BN78" s="120" t="b">
        <f t="shared" si="25"/>
        <v>0</v>
      </c>
      <c r="BO78" s="131" t="b">
        <f t="shared" si="26"/>
        <v>1</v>
      </c>
      <c r="BP78" s="121"/>
      <c r="BQ78" s="132" t="str">
        <f>VLOOKUP(A78,RAW_APS!A$3:O826,15,FALSE)</f>
        <v/>
      </c>
      <c r="BR78" s="120" t="b">
        <f t="shared" si="27"/>
        <v>1</v>
      </c>
      <c r="BS78" s="121"/>
      <c r="BT78" s="138" t="s">
        <v>52</v>
      </c>
      <c r="BU78" s="10" t="b">
        <f t="shared" si="28"/>
        <v>1</v>
      </c>
      <c r="BV78" s="120"/>
      <c r="BW78" s="120"/>
      <c r="BX78" s="120"/>
      <c r="BY78" s="120"/>
      <c r="BZ78" s="120"/>
      <c r="CA78" s="120"/>
      <c r="CB78" s="120"/>
      <c r="CC78" s="120"/>
    </row>
    <row r="79">
      <c r="A79" s="2" t="s">
        <v>452</v>
      </c>
      <c r="B79" s="100">
        <v>44561.0</v>
      </c>
      <c r="C79" s="101">
        <v>0.4247916666666667</v>
      </c>
      <c r="D79" s="102"/>
      <c r="E79" s="102"/>
      <c r="F79" s="102"/>
      <c r="G79" s="102"/>
      <c r="H79" s="102"/>
      <c r="I79" s="103"/>
      <c r="J79" s="103"/>
      <c r="K79" s="2" t="s">
        <v>254</v>
      </c>
      <c r="L79" s="11"/>
      <c r="M79" s="11"/>
      <c r="N79" s="11"/>
      <c r="O79" s="11"/>
      <c r="P79" s="104" t="b">
        <f>IFNA(IF(VLOOKUP($A79,'Add from APT'!$AA$2:$AC826,3,FALSE)&gt;0,TRUE,FALSE),"ER - NOT IN APT")</f>
        <v>0</v>
      </c>
      <c r="Q79" s="105" t="str">
        <f>IF(ISLOGICAL(P79),IF(P79,"ER - REPS IN APT", IFNA(VLOOKUP($A79,RAW_APT!$A$3:$M826,7,FALSE),"ER - NOT IN APT")),P79)</f>
        <v>Collected</v>
      </c>
      <c r="R79" s="106" t="b">
        <f t="shared" si="2"/>
        <v>1</v>
      </c>
      <c r="S79" s="107">
        <f t="shared" si="3"/>
        <v>1</v>
      </c>
      <c r="T79" s="143"/>
      <c r="U79" s="142"/>
      <c r="V79" s="142"/>
      <c r="W79" s="142"/>
      <c r="X79" s="110" t="b">
        <f t="shared" si="4"/>
        <v>0</v>
      </c>
      <c r="Y79" s="111" t="b">
        <v>0</v>
      </c>
      <c r="Z79" s="104" t="str">
        <f t="shared" si="5"/>
        <v/>
      </c>
      <c r="AA79" s="112" t="b">
        <f t="shared" si="6"/>
        <v>0</v>
      </c>
      <c r="AB79" s="142" t="b">
        <v>0</v>
      </c>
      <c r="AC79" s="140">
        <v>710.0</v>
      </c>
      <c r="AD79" s="141" t="b">
        <v>0</v>
      </c>
      <c r="AE79" s="115" t="str">
        <f t="shared" si="7"/>
        <v/>
      </c>
      <c r="AF79" s="116" t="b">
        <f t="shared" si="8"/>
        <v>0</v>
      </c>
      <c r="AG79" s="105" t="b">
        <f t="shared" si="9"/>
        <v>1</v>
      </c>
      <c r="AH79" s="140">
        <v>9.1</v>
      </c>
      <c r="AI79" s="140"/>
      <c r="AJ79" s="140"/>
      <c r="AK79" s="117" t="str">
        <f t="shared" si="10"/>
        <v>DELETED</v>
      </c>
      <c r="AL79" s="142"/>
      <c r="AM79" s="112" t="s">
        <v>245</v>
      </c>
      <c r="AN79" s="112" t="s">
        <v>245</v>
      </c>
      <c r="AO79" s="112" t="str">
        <f>IFERROR(__xludf.DUMMYFUNCTION("IF($AG79, ""DELETED"",TRIM(JOIN("" "",D79:E79)))"),"DELETED")</f>
        <v>DELETED</v>
      </c>
      <c r="AP79" s="112" t="str">
        <f t="shared" ref="AP79:AQ79" si="104">IF($AG79, "DELETED", TRIM(CONCATENATE(F79,I79,U79)))</f>
        <v>DELETED</v>
      </c>
      <c r="AQ79" s="112" t="str">
        <f t="shared" si="104"/>
        <v>DELETED</v>
      </c>
      <c r="AR79" s="112" t="str">
        <f>IFERROR(__xludf.DUMMYFUNCTION("IF($AG79, ""DELETED"", TRIM(JOIN("" "",AP79,AQ79)))"),"DELETED")</f>
        <v>DELETED</v>
      </c>
      <c r="AS79" s="118"/>
      <c r="AT79" s="110" t="b">
        <f t="shared" si="12"/>
        <v>1</v>
      </c>
      <c r="AU79" s="110" t="str">
        <f t="shared" si="13"/>
        <v/>
      </c>
      <c r="AV79" s="110" t="str">
        <f t="shared" si="14"/>
        <v/>
      </c>
      <c r="AW79" s="110" t="str">
        <f t="shared" si="15"/>
        <v/>
      </c>
      <c r="AX79" s="119" t="str">
        <f t="shared" si="16"/>
        <v/>
      </c>
      <c r="AY79" s="120"/>
      <c r="AZ79" s="121"/>
      <c r="BA79" s="122" t="b">
        <f t="shared" si="17"/>
        <v>1</v>
      </c>
      <c r="BB79" s="34"/>
      <c r="BC79" s="121"/>
      <c r="BD79" s="136"/>
      <c r="BE79" s="125" t="str">
        <f t="shared" si="18"/>
        <v/>
      </c>
      <c r="BF79" s="126" t="str">
        <f t="shared" si="19"/>
        <v>MA469__44561_0.424791666666667</v>
      </c>
      <c r="BG79" s="127" t="str">
        <f t="shared" si="20"/>
        <v/>
      </c>
      <c r="BH79" s="137" t="s">
        <v>453</v>
      </c>
      <c r="BI79" s="128" t="str">
        <f t="shared" si="21"/>
        <v>FM312</v>
      </c>
      <c r="BJ79" s="129" t="b">
        <f t="shared" si="22"/>
        <v>0</v>
      </c>
      <c r="BK79" s="128" t="str">
        <f t="shared" si="23"/>
        <v/>
      </c>
      <c r="BL79" s="121"/>
      <c r="BM79" s="5" t="str">
        <f t="shared" si="24"/>
        <v/>
      </c>
      <c r="BN79" s="120" t="b">
        <f t="shared" si="25"/>
        <v>0</v>
      </c>
      <c r="BO79" s="131" t="b">
        <f t="shared" si="26"/>
        <v>0</v>
      </c>
      <c r="BP79" s="121"/>
      <c r="BQ79" s="132" t="str">
        <f>VLOOKUP(A79,RAW_APS!A$3:O826,15,FALSE)</f>
        <v/>
      </c>
      <c r="BR79" s="120" t="b">
        <f t="shared" si="27"/>
        <v>1</v>
      </c>
      <c r="BS79" s="121"/>
      <c r="BT79" s="138" t="s">
        <v>245</v>
      </c>
      <c r="BU79" s="10" t="b">
        <f t="shared" si="28"/>
        <v>1</v>
      </c>
      <c r="BV79" s="120"/>
      <c r="BW79" s="120"/>
      <c r="BX79" s="120"/>
      <c r="BY79" s="120"/>
      <c r="BZ79" s="120"/>
      <c r="CA79" s="120"/>
      <c r="CB79" s="120"/>
      <c r="CC79" s="120"/>
    </row>
    <row r="80">
      <c r="A80" s="2" t="s">
        <v>454</v>
      </c>
      <c r="B80" s="100">
        <v>44564.0</v>
      </c>
      <c r="C80" s="101">
        <v>0.2034837962962963</v>
      </c>
      <c r="D80" s="102"/>
      <c r="E80" s="102"/>
      <c r="F80" s="102"/>
      <c r="G80" s="102"/>
      <c r="H80" s="102"/>
      <c r="I80" s="103"/>
      <c r="J80" s="103"/>
      <c r="K80" s="2" t="s">
        <v>244</v>
      </c>
      <c r="L80" s="100">
        <v>44564.0</v>
      </c>
      <c r="M80" s="101">
        <v>0.5280439814814815</v>
      </c>
      <c r="P80" s="104" t="b">
        <f>IFNA(IF(VLOOKUP($A80,'Add from APT'!$AA$2:$AC826,3,FALSE)&gt;0,TRUE,FALSE),"ER - NOT IN APT")</f>
        <v>0</v>
      </c>
      <c r="Q80" s="105" t="str">
        <f>IF(ISLOGICAL(P80),IF(P80,"ER - REPS IN APT", IFNA(VLOOKUP($A80,RAW_APT!$A$3:$M826,7,FALSE),"ER - NOT IN APT")),P80)</f>
        <v>Result</v>
      </c>
      <c r="R80" s="106" t="b">
        <f t="shared" si="2"/>
        <v>1</v>
      </c>
      <c r="S80" s="107">
        <f t="shared" si="3"/>
        <v>1</v>
      </c>
      <c r="T80" s="143"/>
      <c r="U80" s="142"/>
      <c r="V80" s="142"/>
      <c r="W80" s="142"/>
      <c r="X80" s="110" t="b">
        <f t="shared" si="4"/>
        <v>0</v>
      </c>
      <c r="Y80" s="111" t="b">
        <v>0</v>
      </c>
      <c r="Z80" s="104" t="str">
        <f t="shared" si="5"/>
        <v/>
      </c>
      <c r="AA80" s="112" t="b">
        <f t="shared" si="6"/>
        <v>0</v>
      </c>
      <c r="AB80" s="142" t="b">
        <v>0</v>
      </c>
      <c r="AC80" s="140">
        <v>709.0</v>
      </c>
      <c r="AD80" s="141" t="b">
        <v>0</v>
      </c>
      <c r="AE80" s="115">
        <f t="shared" si="7"/>
        <v>467.3666667</v>
      </c>
      <c r="AF80" s="116" t="b">
        <f t="shared" si="8"/>
        <v>0</v>
      </c>
      <c r="AG80" s="105" t="b">
        <f t="shared" si="9"/>
        <v>0</v>
      </c>
      <c r="AH80" s="140"/>
      <c r="AI80" s="140"/>
      <c r="AJ80" s="140"/>
      <c r="AK80" s="117" t="str">
        <f t="shared" si="10"/>
        <v>Negative</v>
      </c>
      <c r="AL80" s="142"/>
      <c r="AM80" s="112" t="s">
        <v>314</v>
      </c>
      <c r="AN80" s="112" t="s">
        <v>315</v>
      </c>
      <c r="AO80" s="112" t="str">
        <f>IFERROR(__xludf.DUMMYFUNCTION("IF($AG80, ""DELETED"",TRIM(JOIN("" "",D80:E80)))"),"")</f>
        <v/>
      </c>
      <c r="AP80" s="112" t="str">
        <f t="shared" ref="AP80:AQ80" si="105">IF($AG80, "DELETED", TRIM(CONCATENATE(F80,I80,U80)))</f>
        <v/>
      </c>
      <c r="AQ80" s="112" t="str">
        <f t="shared" si="105"/>
        <v/>
      </c>
      <c r="AR80" s="112" t="str">
        <f>IFERROR(__xludf.DUMMYFUNCTION("IF($AG80, ""DELETED"", TRIM(JOIN("" "",AP80,AQ80)))"),"")</f>
        <v/>
      </c>
      <c r="AS80" s="118"/>
      <c r="AT80" s="110" t="b">
        <f t="shared" si="12"/>
        <v>0</v>
      </c>
      <c r="AU80" s="110" t="str">
        <f t="shared" si="13"/>
        <v/>
      </c>
      <c r="AV80" s="110" t="str">
        <f t="shared" si="14"/>
        <v/>
      </c>
      <c r="AW80" s="110" t="str">
        <f t="shared" si="15"/>
        <v/>
      </c>
      <c r="AX80" s="119" t="str">
        <f t="shared" si="16"/>
        <v/>
      </c>
      <c r="AY80" s="120"/>
      <c r="AZ80" s="121"/>
      <c r="BA80" s="122" t="str">
        <f t="shared" si="17"/>
        <v/>
      </c>
      <c r="BB80" s="34"/>
      <c r="BC80" s="121"/>
      <c r="BD80" s="136"/>
      <c r="BE80" s="125" t="str">
        <f t="shared" si="18"/>
        <v/>
      </c>
      <c r="BF80" s="126" t="str">
        <f t="shared" si="19"/>
        <v>MA207__44564_0.203483796296296</v>
      </c>
      <c r="BG80" s="127" t="str">
        <f t="shared" si="20"/>
        <v/>
      </c>
      <c r="BH80" s="137" t="s">
        <v>455</v>
      </c>
      <c r="BI80" s="128" t="str">
        <f t="shared" si="21"/>
        <v>FM315</v>
      </c>
      <c r="BJ80" s="129" t="b">
        <f t="shared" si="22"/>
        <v>0</v>
      </c>
      <c r="BK80" s="128" t="str">
        <f t="shared" si="23"/>
        <v/>
      </c>
      <c r="BL80" s="121"/>
      <c r="BM80" s="5" t="str">
        <f t="shared" si="24"/>
        <v>MISSING</v>
      </c>
      <c r="BN80" s="120" t="b">
        <f t="shared" si="25"/>
        <v>0</v>
      </c>
      <c r="BO80" s="131" t="b">
        <f t="shared" si="26"/>
        <v>1</v>
      </c>
      <c r="BP80" s="121"/>
      <c r="BQ80" s="132" t="str">
        <f>VLOOKUP(A80,RAW_APS!A$3:O826,15,FALSE)</f>
        <v/>
      </c>
      <c r="BR80" s="120" t="b">
        <f t="shared" si="27"/>
        <v>1</v>
      </c>
      <c r="BS80" s="121"/>
      <c r="BT80" s="138" t="s">
        <v>244</v>
      </c>
      <c r="BU80" s="10" t="b">
        <f t="shared" si="28"/>
        <v>1</v>
      </c>
      <c r="BV80" s="120"/>
      <c r="BW80" s="120"/>
      <c r="BX80" s="120"/>
      <c r="BY80" s="120"/>
      <c r="BZ80" s="120"/>
      <c r="CA80" s="120"/>
      <c r="CB80" s="120"/>
      <c r="CC80" s="120"/>
    </row>
    <row r="81">
      <c r="A81" s="2" t="s">
        <v>456</v>
      </c>
      <c r="B81" s="100">
        <v>44564.0</v>
      </c>
      <c r="C81" s="101">
        <v>0.3048032407407407</v>
      </c>
      <c r="D81" s="102"/>
      <c r="E81" s="102"/>
      <c r="F81" s="102"/>
      <c r="G81" s="102"/>
      <c r="H81" s="102"/>
      <c r="I81" s="103"/>
      <c r="J81" s="103"/>
      <c r="K81" s="2" t="s">
        <v>52</v>
      </c>
      <c r="L81" s="100">
        <v>44564.0</v>
      </c>
      <c r="M81" s="101">
        <v>0.5280439814814815</v>
      </c>
      <c r="P81" s="104" t="b">
        <f>IFNA(IF(VLOOKUP($A81,'Add from APT'!$AA$2:$AC826,3,FALSE)&gt;0,TRUE,FALSE),"ER - NOT IN APT")</f>
        <v>0</v>
      </c>
      <c r="Q81" s="105" t="str">
        <f>IF(ISLOGICAL(P81),IF(P81,"ER - REPS IN APT", IFNA(VLOOKUP($A81,RAW_APT!$A$3:$M826,7,FALSE),"ER - NOT IN APT")),P81)</f>
        <v>Result</v>
      </c>
      <c r="R81" s="106" t="b">
        <f t="shared" si="2"/>
        <v>1</v>
      </c>
      <c r="S81" s="107">
        <f t="shared" si="3"/>
        <v>1</v>
      </c>
      <c r="T81" s="143"/>
      <c r="U81" s="142"/>
      <c r="V81" s="142"/>
      <c r="W81" s="142"/>
      <c r="X81" s="110" t="b">
        <f t="shared" si="4"/>
        <v>0</v>
      </c>
      <c r="Y81" s="111" t="b">
        <v>0</v>
      </c>
      <c r="Z81" s="104" t="str">
        <f t="shared" si="5"/>
        <v/>
      </c>
      <c r="AA81" s="112" t="b">
        <f t="shared" si="6"/>
        <v>0</v>
      </c>
      <c r="AB81" s="142" t="b">
        <v>0</v>
      </c>
      <c r="AC81" s="140">
        <v>708.0</v>
      </c>
      <c r="AD81" s="141" t="b">
        <v>0</v>
      </c>
      <c r="AE81" s="115">
        <f t="shared" si="7"/>
        <v>321.4666667</v>
      </c>
      <c r="AF81" s="116" t="b">
        <f t="shared" si="8"/>
        <v>0</v>
      </c>
      <c r="AG81" s="105" t="b">
        <f t="shared" si="9"/>
        <v>0</v>
      </c>
      <c r="AH81" s="140"/>
      <c r="AI81" s="140"/>
      <c r="AJ81" s="140"/>
      <c r="AK81" s="117" t="str">
        <f t="shared" si="10"/>
        <v>Positive</v>
      </c>
      <c r="AL81" s="142"/>
      <c r="AM81" s="112" t="s">
        <v>457</v>
      </c>
      <c r="AN81" s="112" t="s">
        <v>458</v>
      </c>
      <c r="AO81" s="112" t="str">
        <f>IFERROR(__xludf.DUMMYFUNCTION("IF($AG81, ""DELETED"",TRIM(JOIN("" "",D81:E81)))"),"")</f>
        <v/>
      </c>
      <c r="AP81" s="112" t="str">
        <f t="shared" ref="AP81:AQ81" si="106">IF($AG81, "DELETED", TRIM(CONCATENATE(F81,I81,U81)))</f>
        <v/>
      </c>
      <c r="AQ81" s="112" t="str">
        <f t="shared" si="106"/>
        <v/>
      </c>
      <c r="AR81" s="112" t="str">
        <f>IFERROR(__xludf.DUMMYFUNCTION("IF($AG81, ""DELETED"", TRIM(JOIN("" "",AP81,AQ81)))"),"")</f>
        <v/>
      </c>
      <c r="AS81" s="118"/>
      <c r="AT81" s="110" t="b">
        <f t="shared" si="12"/>
        <v>0</v>
      </c>
      <c r="AU81" s="110" t="str">
        <f t="shared" si="13"/>
        <v/>
      </c>
      <c r="AV81" s="110" t="str">
        <f t="shared" si="14"/>
        <v/>
      </c>
      <c r="AW81" s="110" t="str">
        <f t="shared" si="15"/>
        <v/>
      </c>
      <c r="AX81" s="119" t="str">
        <f t="shared" si="16"/>
        <v/>
      </c>
      <c r="AY81" s="120"/>
      <c r="AZ81" s="121"/>
      <c r="BA81" s="122" t="str">
        <f t="shared" si="17"/>
        <v/>
      </c>
      <c r="BB81" s="34"/>
      <c r="BC81" s="121"/>
      <c r="BD81" s="136"/>
      <c r="BE81" s="125" t="str">
        <f t="shared" si="18"/>
        <v/>
      </c>
      <c r="BF81" s="126" t="str">
        <f t="shared" si="19"/>
        <v>MA639__44564_0.304803240740741</v>
      </c>
      <c r="BG81" s="127" t="str">
        <f t="shared" si="20"/>
        <v/>
      </c>
      <c r="BH81" s="137" t="s">
        <v>459</v>
      </c>
      <c r="BI81" s="128" t="str">
        <f t="shared" si="21"/>
        <v>FM318</v>
      </c>
      <c r="BJ81" s="129" t="b">
        <f t="shared" si="22"/>
        <v>0</v>
      </c>
      <c r="BK81" s="128" t="str">
        <f t="shared" si="23"/>
        <v/>
      </c>
      <c r="BL81" s="121"/>
      <c r="BM81" s="5" t="str">
        <f t="shared" si="24"/>
        <v>MISSING</v>
      </c>
      <c r="BN81" s="120" t="b">
        <f t="shared" si="25"/>
        <v>0</v>
      </c>
      <c r="BO81" s="131" t="b">
        <f t="shared" si="26"/>
        <v>1</v>
      </c>
      <c r="BP81" s="121"/>
      <c r="BQ81" s="132" t="str">
        <f>VLOOKUP(A81,RAW_APS!A$3:O826,15,FALSE)</f>
        <v/>
      </c>
      <c r="BR81" s="120" t="b">
        <f t="shared" si="27"/>
        <v>1</v>
      </c>
      <c r="BS81" s="121"/>
      <c r="BT81" s="138" t="s">
        <v>52</v>
      </c>
      <c r="BU81" s="10" t="b">
        <f t="shared" si="28"/>
        <v>1</v>
      </c>
      <c r="BV81" s="120"/>
      <c r="BW81" s="120"/>
      <c r="BX81" s="120"/>
      <c r="BY81" s="120"/>
      <c r="BZ81" s="120"/>
      <c r="CA81" s="120"/>
      <c r="CB81" s="120"/>
      <c r="CC81" s="120"/>
    </row>
    <row r="82">
      <c r="A82" s="2" t="s">
        <v>460</v>
      </c>
      <c r="B82" s="100">
        <v>44564.0</v>
      </c>
      <c r="C82" s="101">
        <v>0.31754629629629627</v>
      </c>
      <c r="D82" s="102"/>
      <c r="E82" s="102"/>
      <c r="F82" s="102"/>
      <c r="G82" s="102"/>
      <c r="H82" s="102"/>
      <c r="I82" s="103"/>
      <c r="J82" s="103"/>
      <c r="K82" s="2" t="s">
        <v>244</v>
      </c>
      <c r="L82" s="100">
        <v>44564.0</v>
      </c>
      <c r="M82" s="101">
        <v>0.5280439814814815</v>
      </c>
      <c r="P82" s="104" t="b">
        <f>IFNA(IF(VLOOKUP($A82,'Add from APT'!$AA$2:$AC826,3,FALSE)&gt;0,TRUE,FALSE),"ER - NOT IN APT")</f>
        <v>0</v>
      </c>
      <c r="Q82" s="105" t="str">
        <f>IF(ISLOGICAL(P82),IF(P82,"ER - REPS IN APT", IFNA(VLOOKUP($A82,RAW_APT!$A$3:$M826,7,FALSE),"ER - NOT IN APT")),P82)</f>
        <v>Result</v>
      </c>
      <c r="R82" s="106" t="b">
        <f t="shared" si="2"/>
        <v>1</v>
      </c>
      <c r="S82" s="107">
        <f t="shared" si="3"/>
        <v>1</v>
      </c>
      <c r="T82" s="143"/>
      <c r="U82" s="142"/>
      <c r="V82" s="142"/>
      <c r="W82" s="142"/>
      <c r="X82" s="110" t="b">
        <f t="shared" si="4"/>
        <v>0</v>
      </c>
      <c r="Y82" s="111" t="b">
        <v>0</v>
      </c>
      <c r="Z82" s="104" t="str">
        <f t="shared" si="5"/>
        <v/>
      </c>
      <c r="AA82" s="112" t="b">
        <f t="shared" si="6"/>
        <v>0</v>
      </c>
      <c r="AB82" s="142" t="b">
        <v>0</v>
      </c>
      <c r="AC82" s="140">
        <v>707.0</v>
      </c>
      <c r="AD82" s="141" t="b">
        <v>0</v>
      </c>
      <c r="AE82" s="115">
        <f t="shared" si="7"/>
        <v>303.1166667</v>
      </c>
      <c r="AF82" s="116" t="b">
        <f t="shared" si="8"/>
        <v>0</v>
      </c>
      <c r="AG82" s="105" t="b">
        <f t="shared" si="9"/>
        <v>0</v>
      </c>
      <c r="AH82" s="140"/>
      <c r="AI82" s="140"/>
      <c r="AJ82" s="140"/>
      <c r="AK82" s="117" t="str">
        <f t="shared" si="10"/>
        <v>Negative</v>
      </c>
      <c r="AL82" s="142"/>
      <c r="AM82" s="112" t="s">
        <v>328</v>
      </c>
      <c r="AN82" s="112" t="s">
        <v>329</v>
      </c>
      <c r="AO82" s="112" t="str">
        <f>IFERROR(__xludf.DUMMYFUNCTION("IF($AG82, ""DELETED"",TRIM(JOIN("" "",D82:E82)))"),"")</f>
        <v/>
      </c>
      <c r="AP82" s="112" t="str">
        <f t="shared" ref="AP82:AQ82" si="107">IF($AG82, "DELETED", TRIM(CONCATENATE(F82,I82,U82)))</f>
        <v/>
      </c>
      <c r="AQ82" s="112" t="str">
        <f t="shared" si="107"/>
        <v/>
      </c>
      <c r="AR82" s="112" t="str">
        <f>IFERROR(__xludf.DUMMYFUNCTION("IF($AG82, ""DELETED"", TRIM(JOIN("" "",AP82,AQ82)))"),"")</f>
        <v/>
      </c>
      <c r="AS82" s="118"/>
      <c r="AT82" s="110" t="b">
        <f t="shared" si="12"/>
        <v>0</v>
      </c>
      <c r="AU82" s="110" t="str">
        <f t="shared" si="13"/>
        <v/>
      </c>
      <c r="AV82" s="110" t="str">
        <f t="shared" si="14"/>
        <v/>
      </c>
      <c r="AW82" s="110" t="str">
        <f t="shared" si="15"/>
        <v/>
      </c>
      <c r="AX82" s="119" t="str">
        <f t="shared" si="16"/>
        <v/>
      </c>
      <c r="AY82" s="120"/>
      <c r="AZ82" s="121"/>
      <c r="BA82" s="122" t="str">
        <f t="shared" si="17"/>
        <v/>
      </c>
      <c r="BB82" s="34"/>
      <c r="BC82" s="121"/>
      <c r="BD82" s="136"/>
      <c r="BE82" s="125" t="str">
        <f t="shared" si="18"/>
        <v/>
      </c>
      <c r="BF82" s="126" t="str">
        <f t="shared" si="19"/>
        <v>MA1052__44564_0.317546296296296</v>
      </c>
      <c r="BG82" s="127" t="str">
        <f t="shared" si="20"/>
        <v/>
      </c>
      <c r="BH82" s="137" t="s">
        <v>461</v>
      </c>
      <c r="BI82" s="128" t="str">
        <f t="shared" si="21"/>
        <v>FM32</v>
      </c>
      <c r="BJ82" s="129" t="b">
        <f t="shared" si="22"/>
        <v>0</v>
      </c>
      <c r="BK82" s="128" t="str">
        <f t="shared" si="23"/>
        <v/>
      </c>
      <c r="BL82" s="121"/>
      <c r="BM82" s="5" t="str">
        <f t="shared" si="24"/>
        <v>MISSING</v>
      </c>
      <c r="BN82" s="120" t="b">
        <f t="shared" si="25"/>
        <v>0</v>
      </c>
      <c r="BO82" s="131" t="b">
        <f t="shared" si="26"/>
        <v>1</v>
      </c>
      <c r="BP82" s="121"/>
      <c r="BQ82" s="132" t="str">
        <f>VLOOKUP(A82,RAW_APS!A$3:O826,15,FALSE)</f>
        <v/>
      </c>
      <c r="BR82" s="120" t="b">
        <f t="shared" si="27"/>
        <v>1</v>
      </c>
      <c r="BS82" s="121"/>
      <c r="BT82" s="138" t="s">
        <v>244</v>
      </c>
      <c r="BU82" s="10" t="b">
        <f t="shared" si="28"/>
        <v>1</v>
      </c>
      <c r="BV82" s="120"/>
      <c r="BW82" s="120"/>
      <c r="BX82" s="120"/>
      <c r="BY82" s="120"/>
      <c r="BZ82" s="120"/>
      <c r="CA82" s="120"/>
      <c r="CB82" s="120"/>
      <c r="CC82" s="120"/>
    </row>
    <row r="83">
      <c r="A83" s="2" t="s">
        <v>462</v>
      </c>
      <c r="B83" s="100">
        <v>44564.0</v>
      </c>
      <c r="C83" s="101">
        <v>0.32538194444444446</v>
      </c>
      <c r="D83" s="102"/>
      <c r="E83" s="102"/>
      <c r="F83" s="102"/>
      <c r="G83" s="102"/>
      <c r="H83" s="102"/>
      <c r="I83" s="103"/>
      <c r="J83" s="103"/>
      <c r="K83" s="2" t="s">
        <v>244</v>
      </c>
      <c r="L83" s="100">
        <v>44564.0</v>
      </c>
      <c r="M83" s="101">
        <v>0.5280439814814815</v>
      </c>
      <c r="P83" s="104" t="b">
        <f>IFNA(IF(VLOOKUP($A83,'Add from APT'!$AA$2:$AC826,3,FALSE)&gt;0,TRUE,FALSE),"ER - NOT IN APT")</f>
        <v>0</v>
      </c>
      <c r="Q83" s="105" t="str">
        <f>IF(ISLOGICAL(P83),IF(P83,"ER - REPS IN APT", IFNA(VLOOKUP($A83,RAW_APT!$A$3:$M826,7,FALSE),"ER - NOT IN APT")),P83)</f>
        <v>Result</v>
      </c>
      <c r="R83" s="106" t="b">
        <f t="shared" si="2"/>
        <v>1</v>
      </c>
      <c r="S83" s="107">
        <f t="shared" si="3"/>
        <v>1</v>
      </c>
      <c r="T83" s="143"/>
      <c r="U83" s="142"/>
      <c r="V83" s="142"/>
      <c r="W83" s="142"/>
      <c r="X83" s="110" t="b">
        <f t="shared" si="4"/>
        <v>0</v>
      </c>
      <c r="Y83" s="111" t="b">
        <v>0</v>
      </c>
      <c r="Z83" s="104" t="str">
        <f t="shared" si="5"/>
        <v/>
      </c>
      <c r="AA83" s="112" t="b">
        <f t="shared" si="6"/>
        <v>0</v>
      </c>
      <c r="AB83" s="142" t="b">
        <v>0</v>
      </c>
      <c r="AC83" s="140">
        <v>706.0</v>
      </c>
      <c r="AD83" s="141" t="b">
        <v>0</v>
      </c>
      <c r="AE83" s="115">
        <f t="shared" si="7"/>
        <v>291.8333333</v>
      </c>
      <c r="AF83" s="116" t="b">
        <f t="shared" si="8"/>
        <v>0</v>
      </c>
      <c r="AG83" s="105" t="b">
        <f t="shared" si="9"/>
        <v>0</v>
      </c>
      <c r="AH83" s="140"/>
      <c r="AI83" s="140"/>
      <c r="AJ83" s="140"/>
      <c r="AK83" s="117" t="str">
        <f t="shared" si="10"/>
        <v>Negative</v>
      </c>
      <c r="AL83" s="142"/>
      <c r="AM83" s="112" t="s">
        <v>318</v>
      </c>
      <c r="AN83" s="112" t="s">
        <v>319</v>
      </c>
      <c r="AO83" s="112" t="str">
        <f>IFERROR(__xludf.DUMMYFUNCTION("IF($AG83, ""DELETED"",TRIM(JOIN("" "",D83:E83)))"),"")</f>
        <v/>
      </c>
      <c r="AP83" s="112" t="str">
        <f t="shared" ref="AP83:AQ83" si="108">IF($AG83, "DELETED", TRIM(CONCATENATE(F83,I83,U83)))</f>
        <v/>
      </c>
      <c r="AQ83" s="112" t="str">
        <f t="shared" si="108"/>
        <v/>
      </c>
      <c r="AR83" s="112" t="str">
        <f>IFERROR(__xludf.DUMMYFUNCTION("IF($AG83, ""DELETED"", TRIM(JOIN("" "",AP83,AQ83)))"),"")</f>
        <v/>
      </c>
      <c r="AS83" s="118"/>
      <c r="AT83" s="110" t="b">
        <f t="shared" si="12"/>
        <v>0</v>
      </c>
      <c r="AU83" s="110" t="str">
        <f t="shared" si="13"/>
        <v/>
      </c>
      <c r="AV83" s="110" t="str">
        <f t="shared" si="14"/>
        <v/>
      </c>
      <c r="AW83" s="110" t="str">
        <f t="shared" si="15"/>
        <v/>
      </c>
      <c r="AX83" s="119" t="str">
        <f t="shared" si="16"/>
        <v/>
      </c>
      <c r="AY83" s="120"/>
      <c r="AZ83" s="121"/>
      <c r="BA83" s="122" t="str">
        <f t="shared" si="17"/>
        <v/>
      </c>
      <c r="BB83" s="34"/>
      <c r="BC83" s="121"/>
      <c r="BD83" s="136"/>
      <c r="BE83" s="125" t="str">
        <f t="shared" si="18"/>
        <v/>
      </c>
      <c r="BF83" s="126" t="str">
        <f t="shared" si="19"/>
        <v>MA326__44564_0.325381944444444</v>
      </c>
      <c r="BG83" s="127" t="str">
        <f t="shared" si="20"/>
        <v/>
      </c>
      <c r="BH83" s="137" t="s">
        <v>463</v>
      </c>
      <c r="BI83" s="128" t="str">
        <f t="shared" si="21"/>
        <v>FM329</v>
      </c>
      <c r="BJ83" s="129" t="b">
        <f t="shared" si="22"/>
        <v>0</v>
      </c>
      <c r="BK83" s="128" t="str">
        <f t="shared" si="23"/>
        <v/>
      </c>
      <c r="BL83" s="121"/>
      <c r="BM83" s="5" t="str">
        <f t="shared" si="24"/>
        <v>MISSING</v>
      </c>
      <c r="BN83" s="120" t="b">
        <f t="shared" si="25"/>
        <v>0</v>
      </c>
      <c r="BO83" s="131" t="b">
        <f t="shared" si="26"/>
        <v>1</v>
      </c>
      <c r="BP83" s="121"/>
      <c r="BQ83" s="132" t="str">
        <f>VLOOKUP(A83,RAW_APS!A$3:O826,15,FALSE)</f>
        <v/>
      </c>
      <c r="BR83" s="120" t="b">
        <f t="shared" si="27"/>
        <v>1</v>
      </c>
      <c r="BS83" s="121"/>
      <c r="BT83" s="138" t="s">
        <v>244</v>
      </c>
      <c r="BU83" s="10" t="b">
        <f t="shared" si="28"/>
        <v>1</v>
      </c>
      <c r="BV83" s="120"/>
      <c r="BW83" s="120"/>
      <c r="BX83" s="120"/>
      <c r="BY83" s="120"/>
      <c r="BZ83" s="120"/>
      <c r="CA83" s="120"/>
      <c r="CB83" s="120"/>
      <c r="CC83" s="120"/>
    </row>
    <row r="84">
      <c r="A84" s="2" t="s">
        <v>464</v>
      </c>
      <c r="B84" s="100">
        <v>44564.0</v>
      </c>
      <c r="C84" s="101">
        <v>0.3261574074074074</v>
      </c>
      <c r="D84" s="102"/>
      <c r="E84" s="102"/>
      <c r="F84" s="102"/>
      <c r="G84" s="102"/>
      <c r="H84" s="102"/>
      <c r="I84" s="103"/>
      <c r="J84" s="103"/>
      <c r="K84" s="2" t="s">
        <v>244</v>
      </c>
      <c r="L84" s="100">
        <v>44564.0</v>
      </c>
      <c r="M84" s="101">
        <v>0.5280439814814815</v>
      </c>
      <c r="P84" s="104" t="b">
        <f>IFNA(IF(VLOOKUP($A84,'Add from APT'!$AA$2:$AC826,3,FALSE)&gt;0,TRUE,FALSE),"ER - NOT IN APT")</f>
        <v>0</v>
      </c>
      <c r="Q84" s="105" t="str">
        <f>IF(ISLOGICAL(P84),IF(P84,"ER - REPS IN APT", IFNA(VLOOKUP($A84,RAW_APT!$A$3:$M826,7,FALSE),"ER - NOT IN APT")),P84)</f>
        <v>Result</v>
      </c>
      <c r="R84" s="106" t="b">
        <f t="shared" si="2"/>
        <v>1</v>
      </c>
      <c r="S84" s="107">
        <f t="shared" si="3"/>
        <v>1</v>
      </c>
      <c r="T84" s="143"/>
      <c r="U84" s="142"/>
      <c r="V84" s="142"/>
      <c r="W84" s="142"/>
      <c r="X84" s="110" t="b">
        <f t="shared" si="4"/>
        <v>0</v>
      </c>
      <c r="Y84" s="111" t="b">
        <v>0</v>
      </c>
      <c r="Z84" s="104" t="str">
        <f t="shared" si="5"/>
        <v/>
      </c>
      <c r="AA84" s="112" t="b">
        <f t="shared" si="6"/>
        <v>0</v>
      </c>
      <c r="AB84" s="142" t="b">
        <v>0</v>
      </c>
      <c r="AC84" s="140">
        <v>705.0</v>
      </c>
      <c r="AD84" s="141" t="b">
        <v>0</v>
      </c>
      <c r="AE84" s="115">
        <f t="shared" si="7"/>
        <v>290.7166667</v>
      </c>
      <c r="AF84" s="116" t="b">
        <f t="shared" si="8"/>
        <v>0</v>
      </c>
      <c r="AG84" s="105" t="b">
        <f t="shared" si="9"/>
        <v>0</v>
      </c>
      <c r="AH84" s="140"/>
      <c r="AI84" s="140"/>
      <c r="AJ84" s="140"/>
      <c r="AK84" s="117" t="str">
        <f t="shared" si="10"/>
        <v>Negative</v>
      </c>
      <c r="AL84" s="142"/>
      <c r="AM84" s="112" t="s">
        <v>465</v>
      </c>
      <c r="AN84" s="112" t="s">
        <v>466</v>
      </c>
      <c r="AO84" s="112" t="str">
        <f>IFERROR(__xludf.DUMMYFUNCTION("IF($AG84, ""DELETED"",TRIM(JOIN("" "",D84:E84)))"),"")</f>
        <v/>
      </c>
      <c r="AP84" s="112" t="str">
        <f t="shared" ref="AP84:AQ84" si="109">IF($AG84, "DELETED", TRIM(CONCATENATE(F84,I84,U84)))</f>
        <v/>
      </c>
      <c r="AQ84" s="112" t="str">
        <f t="shared" si="109"/>
        <v/>
      </c>
      <c r="AR84" s="112" t="str">
        <f>IFERROR(__xludf.DUMMYFUNCTION("IF($AG84, ""DELETED"", TRIM(JOIN("" "",AP84,AQ84)))"),"")</f>
        <v/>
      </c>
      <c r="AS84" s="118"/>
      <c r="AT84" s="110" t="b">
        <f t="shared" si="12"/>
        <v>0</v>
      </c>
      <c r="AU84" s="110" t="str">
        <f t="shared" si="13"/>
        <v/>
      </c>
      <c r="AV84" s="110" t="str">
        <f t="shared" si="14"/>
        <v/>
      </c>
      <c r="AW84" s="110" t="str">
        <f t="shared" si="15"/>
        <v/>
      </c>
      <c r="AX84" s="119" t="str">
        <f t="shared" si="16"/>
        <v/>
      </c>
      <c r="AY84" s="120"/>
      <c r="AZ84" s="121"/>
      <c r="BA84" s="122" t="str">
        <f t="shared" si="17"/>
        <v/>
      </c>
      <c r="BB84" s="34"/>
      <c r="BC84" s="121"/>
      <c r="BD84" s="136"/>
      <c r="BE84" s="125" t="str">
        <f t="shared" si="18"/>
        <v/>
      </c>
      <c r="BF84" s="126" t="str">
        <f t="shared" si="19"/>
        <v>MA323__44564_0.326157407407407</v>
      </c>
      <c r="BG84" s="127" t="str">
        <f t="shared" si="20"/>
        <v/>
      </c>
      <c r="BH84" s="137" t="s">
        <v>467</v>
      </c>
      <c r="BI84" s="128" t="str">
        <f t="shared" si="21"/>
        <v>FM33</v>
      </c>
      <c r="BJ84" s="129" t="b">
        <f t="shared" si="22"/>
        <v>0</v>
      </c>
      <c r="BK84" s="128" t="str">
        <f t="shared" si="23"/>
        <v/>
      </c>
      <c r="BL84" s="121"/>
      <c r="BM84" s="5" t="str">
        <f t="shared" si="24"/>
        <v>MISSING</v>
      </c>
      <c r="BN84" s="120" t="b">
        <f t="shared" si="25"/>
        <v>0</v>
      </c>
      <c r="BO84" s="131" t="b">
        <f t="shared" si="26"/>
        <v>1</v>
      </c>
      <c r="BP84" s="121"/>
      <c r="BQ84" s="132" t="str">
        <f>VLOOKUP(A84,RAW_APS!A$3:O826,15,FALSE)</f>
        <v/>
      </c>
      <c r="BR84" s="120" t="b">
        <f t="shared" si="27"/>
        <v>1</v>
      </c>
      <c r="BS84" s="121"/>
      <c r="BT84" s="138" t="s">
        <v>244</v>
      </c>
      <c r="BU84" s="10" t="b">
        <f t="shared" si="28"/>
        <v>1</v>
      </c>
      <c r="BV84" s="120"/>
      <c r="BW84" s="120"/>
      <c r="BX84" s="120"/>
      <c r="BY84" s="120"/>
      <c r="BZ84" s="120"/>
      <c r="CA84" s="120"/>
      <c r="CB84" s="120"/>
      <c r="CC84" s="120"/>
    </row>
    <row r="85">
      <c r="A85" s="2" t="s">
        <v>468</v>
      </c>
      <c r="B85" s="100">
        <v>44564.0</v>
      </c>
      <c r="C85" s="101">
        <v>0.33775462962962965</v>
      </c>
      <c r="D85" s="102"/>
      <c r="E85" s="102"/>
      <c r="F85" s="102"/>
      <c r="G85" s="102"/>
      <c r="H85" s="102"/>
      <c r="I85" s="103"/>
      <c r="J85" s="103"/>
      <c r="K85" s="2" t="s">
        <v>52</v>
      </c>
      <c r="L85" s="100">
        <v>44564.0</v>
      </c>
      <c r="M85" s="101">
        <v>0.5280439814814815</v>
      </c>
      <c r="P85" s="104" t="b">
        <f>IFNA(IF(VLOOKUP($A85,'Add from APT'!$AA$2:$AC826,3,FALSE)&gt;0,TRUE,FALSE),"ER - NOT IN APT")</f>
        <v>0</v>
      </c>
      <c r="Q85" s="105" t="str">
        <f>IF(ISLOGICAL(P85),IF(P85,"ER - REPS IN APT", IFNA(VLOOKUP($A85,RAW_APT!$A$3:$M826,7,FALSE),"ER - NOT IN APT")),P85)</f>
        <v>Result</v>
      </c>
      <c r="R85" s="106" t="b">
        <f t="shared" si="2"/>
        <v>1</v>
      </c>
      <c r="S85" s="107">
        <f t="shared" si="3"/>
        <v>1</v>
      </c>
      <c r="T85" s="143"/>
      <c r="U85" s="142"/>
      <c r="V85" s="142"/>
      <c r="W85" s="142"/>
      <c r="X85" s="110" t="b">
        <f t="shared" si="4"/>
        <v>0</v>
      </c>
      <c r="Y85" s="111" t="b">
        <v>0</v>
      </c>
      <c r="Z85" s="104" t="str">
        <f t="shared" si="5"/>
        <v/>
      </c>
      <c r="AA85" s="112" t="b">
        <f t="shared" si="6"/>
        <v>0</v>
      </c>
      <c r="AB85" s="142" t="b">
        <v>0</v>
      </c>
      <c r="AC85" s="140">
        <v>704.0</v>
      </c>
      <c r="AD85" s="141" t="b">
        <v>0</v>
      </c>
      <c r="AE85" s="115">
        <f t="shared" si="7"/>
        <v>274.0166667</v>
      </c>
      <c r="AF85" s="116" t="b">
        <f t="shared" si="8"/>
        <v>0</v>
      </c>
      <c r="AG85" s="105" t="b">
        <f t="shared" si="9"/>
        <v>0</v>
      </c>
      <c r="AH85" s="140"/>
      <c r="AI85" s="140"/>
      <c r="AJ85" s="140"/>
      <c r="AK85" s="117" t="str">
        <f t="shared" si="10"/>
        <v>Positive</v>
      </c>
      <c r="AL85" s="141"/>
      <c r="AM85" s="112" t="s">
        <v>322</v>
      </c>
      <c r="AN85" s="112" t="s">
        <v>323</v>
      </c>
      <c r="AO85" s="112" t="str">
        <f>IFERROR(__xludf.DUMMYFUNCTION("IF($AG85, ""DELETED"",TRIM(JOIN("" "",D85:E85)))"),"")</f>
        <v/>
      </c>
      <c r="AP85" s="112" t="str">
        <f t="shared" ref="AP85:AQ85" si="110">IF($AG85, "DELETED", TRIM(CONCATENATE(F85,I85,U85)))</f>
        <v/>
      </c>
      <c r="AQ85" s="112" t="str">
        <f t="shared" si="110"/>
        <v/>
      </c>
      <c r="AR85" s="112" t="str">
        <f>IFERROR(__xludf.DUMMYFUNCTION("IF($AG85, ""DELETED"", TRIM(JOIN("" "",AP85,AQ85)))"),"")</f>
        <v/>
      </c>
      <c r="AS85" s="118"/>
      <c r="AT85" s="110" t="b">
        <f t="shared" si="12"/>
        <v>0</v>
      </c>
      <c r="AU85" s="110" t="str">
        <f t="shared" si="13"/>
        <v/>
      </c>
      <c r="AV85" s="110" t="str">
        <f t="shared" si="14"/>
        <v/>
      </c>
      <c r="AW85" s="110" t="str">
        <f t="shared" si="15"/>
        <v/>
      </c>
      <c r="AX85" s="119" t="str">
        <f t="shared" si="16"/>
        <v/>
      </c>
      <c r="AY85" s="120"/>
      <c r="AZ85" s="121"/>
      <c r="BA85" s="122" t="str">
        <f t="shared" si="17"/>
        <v/>
      </c>
      <c r="BB85" s="34"/>
      <c r="BC85" s="121"/>
      <c r="BD85" s="136"/>
      <c r="BE85" s="125" t="str">
        <f t="shared" si="18"/>
        <v/>
      </c>
      <c r="BF85" s="126" t="str">
        <f t="shared" si="19"/>
        <v>MA448__44564_0.33775462962963</v>
      </c>
      <c r="BG85" s="127" t="str">
        <f t="shared" si="20"/>
        <v/>
      </c>
      <c r="BH85" s="137" t="s">
        <v>469</v>
      </c>
      <c r="BI85" s="128" t="str">
        <f t="shared" si="21"/>
        <v>FM337</v>
      </c>
      <c r="BJ85" s="129" t="b">
        <f t="shared" si="22"/>
        <v>0</v>
      </c>
      <c r="BK85" s="128" t="str">
        <f t="shared" si="23"/>
        <v/>
      </c>
      <c r="BL85" s="121"/>
      <c r="BM85" s="5" t="str">
        <f t="shared" si="24"/>
        <v>MISSING</v>
      </c>
      <c r="BN85" s="120" t="b">
        <f t="shared" si="25"/>
        <v>0</v>
      </c>
      <c r="BO85" s="131" t="b">
        <f t="shared" si="26"/>
        <v>1</v>
      </c>
      <c r="BP85" s="121"/>
      <c r="BQ85" s="132" t="str">
        <f>VLOOKUP(A85,RAW_APS!A$3:O826,15,FALSE)</f>
        <v/>
      </c>
      <c r="BR85" s="120" t="b">
        <f t="shared" si="27"/>
        <v>1</v>
      </c>
      <c r="BS85" s="121"/>
      <c r="BT85" s="138" t="s">
        <v>52</v>
      </c>
      <c r="BU85" s="10" t="b">
        <f t="shared" si="28"/>
        <v>1</v>
      </c>
      <c r="BV85" s="120"/>
      <c r="BW85" s="120"/>
      <c r="BX85" s="120"/>
      <c r="BY85" s="120"/>
      <c r="BZ85" s="120"/>
      <c r="CA85" s="120"/>
      <c r="CB85" s="120"/>
      <c r="CC85" s="120"/>
    </row>
    <row r="86">
      <c r="A86" s="2" t="s">
        <v>470</v>
      </c>
      <c r="B86" s="100">
        <v>44564.0</v>
      </c>
      <c r="C86" s="101">
        <v>0.3424074074074074</v>
      </c>
      <c r="D86" s="102"/>
      <c r="E86" s="102"/>
      <c r="F86" s="102"/>
      <c r="G86" s="102"/>
      <c r="H86" s="102"/>
      <c r="I86" s="103"/>
      <c r="J86" s="103"/>
      <c r="K86" s="2" t="s">
        <v>244</v>
      </c>
      <c r="L86" s="100">
        <v>44564.0</v>
      </c>
      <c r="M86" s="101">
        <v>0.5280439814814815</v>
      </c>
      <c r="P86" s="104" t="b">
        <f>IFNA(IF(VLOOKUP($A86,'Add from APT'!$AA$2:$AC826,3,FALSE)&gt;0,TRUE,FALSE),"ER - NOT IN APT")</f>
        <v>0</v>
      </c>
      <c r="Q86" s="105" t="str">
        <f>IF(ISLOGICAL(P86),IF(P86,"ER - REPS IN APT", IFNA(VLOOKUP($A86,RAW_APT!$A$3:$M826,7,FALSE),"ER - NOT IN APT")),P86)</f>
        <v>Result</v>
      </c>
      <c r="R86" s="106" t="b">
        <f t="shared" si="2"/>
        <v>1</v>
      </c>
      <c r="S86" s="107">
        <f t="shared" si="3"/>
        <v>1</v>
      </c>
      <c r="T86" s="143"/>
      <c r="U86" s="142"/>
      <c r="V86" s="142"/>
      <c r="W86" s="142"/>
      <c r="X86" s="110" t="b">
        <f t="shared" si="4"/>
        <v>0</v>
      </c>
      <c r="Y86" s="111" t="b">
        <v>0</v>
      </c>
      <c r="Z86" s="104" t="str">
        <f t="shared" si="5"/>
        <v/>
      </c>
      <c r="AA86" s="112" t="b">
        <f t="shared" si="6"/>
        <v>0</v>
      </c>
      <c r="AB86" s="142" t="b">
        <v>0</v>
      </c>
      <c r="AC86" s="140">
        <v>703.0</v>
      </c>
      <c r="AD86" s="141" t="b">
        <v>0</v>
      </c>
      <c r="AE86" s="115">
        <f t="shared" si="7"/>
        <v>267.3166667</v>
      </c>
      <c r="AF86" s="116" t="b">
        <f t="shared" si="8"/>
        <v>0</v>
      </c>
      <c r="AG86" s="105" t="b">
        <f t="shared" si="9"/>
        <v>0</v>
      </c>
      <c r="AH86" s="140"/>
      <c r="AI86" s="140"/>
      <c r="AJ86" s="140"/>
      <c r="AK86" s="117" t="str">
        <f t="shared" si="10"/>
        <v>Negative</v>
      </c>
      <c r="AL86" s="142"/>
      <c r="AM86" s="112" t="s">
        <v>471</v>
      </c>
      <c r="AN86" s="112" t="s">
        <v>472</v>
      </c>
      <c r="AO86" s="112" t="str">
        <f>IFERROR(__xludf.DUMMYFUNCTION("IF($AG86, ""DELETED"",TRIM(JOIN("" "",D86:E86)))"),"")</f>
        <v/>
      </c>
      <c r="AP86" s="112" t="str">
        <f t="shared" ref="AP86:AQ86" si="111">IF($AG86, "DELETED", TRIM(CONCATENATE(F86,I86,U86)))</f>
        <v/>
      </c>
      <c r="AQ86" s="112" t="str">
        <f t="shared" si="111"/>
        <v/>
      </c>
      <c r="AR86" s="112" t="str">
        <f>IFERROR(__xludf.DUMMYFUNCTION("IF($AG86, ""DELETED"", TRIM(JOIN("" "",AP86,AQ86)))"),"")</f>
        <v/>
      </c>
      <c r="AS86" s="118"/>
      <c r="AT86" s="110" t="b">
        <f t="shared" si="12"/>
        <v>0</v>
      </c>
      <c r="AU86" s="110" t="str">
        <f t="shared" si="13"/>
        <v/>
      </c>
      <c r="AV86" s="110" t="str">
        <f t="shared" si="14"/>
        <v/>
      </c>
      <c r="AW86" s="110" t="str">
        <f t="shared" si="15"/>
        <v/>
      </c>
      <c r="AX86" s="119" t="str">
        <f t="shared" si="16"/>
        <v/>
      </c>
      <c r="AY86" s="120"/>
      <c r="AZ86" s="121"/>
      <c r="BA86" s="122" t="str">
        <f t="shared" si="17"/>
        <v/>
      </c>
      <c r="BB86" s="34"/>
      <c r="BC86" s="121"/>
      <c r="BD86" s="136"/>
      <c r="BE86" s="125" t="str">
        <f t="shared" si="18"/>
        <v/>
      </c>
      <c r="BF86" s="126" t="str">
        <f t="shared" si="19"/>
        <v>MA1049__44564_0.342407407407407</v>
      </c>
      <c r="BG86" s="127" t="str">
        <f t="shared" si="20"/>
        <v/>
      </c>
      <c r="BH86" s="137" t="s">
        <v>473</v>
      </c>
      <c r="BI86" s="128" t="str">
        <f t="shared" si="21"/>
        <v>FM339</v>
      </c>
      <c r="BJ86" s="129" t="b">
        <f t="shared" si="22"/>
        <v>0</v>
      </c>
      <c r="BK86" s="128" t="str">
        <f t="shared" si="23"/>
        <v/>
      </c>
      <c r="BL86" s="121"/>
      <c r="BM86" s="5" t="str">
        <f t="shared" si="24"/>
        <v>MISSING</v>
      </c>
      <c r="BN86" s="120" t="b">
        <f t="shared" si="25"/>
        <v>0</v>
      </c>
      <c r="BO86" s="131" t="b">
        <f t="shared" si="26"/>
        <v>1</v>
      </c>
      <c r="BP86" s="121"/>
      <c r="BQ86" s="132" t="str">
        <f>VLOOKUP(A86,RAW_APS!A$3:O826,15,FALSE)</f>
        <v/>
      </c>
      <c r="BR86" s="120" t="b">
        <f t="shared" si="27"/>
        <v>1</v>
      </c>
      <c r="BS86" s="121"/>
      <c r="BT86" s="138" t="s">
        <v>244</v>
      </c>
      <c r="BU86" s="10" t="b">
        <f t="shared" si="28"/>
        <v>1</v>
      </c>
      <c r="BV86" s="120"/>
      <c r="BW86" s="120"/>
      <c r="BX86" s="120"/>
      <c r="BY86" s="120"/>
      <c r="BZ86" s="120"/>
      <c r="CA86" s="120"/>
      <c r="CB86" s="120"/>
      <c r="CC86" s="120"/>
    </row>
    <row r="87">
      <c r="A87" s="2" t="s">
        <v>474</v>
      </c>
      <c r="B87" s="100">
        <v>44564.0</v>
      </c>
      <c r="C87" s="101">
        <v>0.3515509259259259</v>
      </c>
      <c r="D87" s="102"/>
      <c r="E87" s="102"/>
      <c r="F87" s="102"/>
      <c r="G87" s="102"/>
      <c r="H87" s="102"/>
      <c r="I87" s="103"/>
      <c r="J87" s="103"/>
      <c r="K87" s="2" t="s">
        <v>244</v>
      </c>
      <c r="L87" s="100">
        <v>44564.0</v>
      </c>
      <c r="M87" s="101">
        <v>0.5280439814814815</v>
      </c>
      <c r="P87" s="104" t="b">
        <f>IFNA(IF(VLOOKUP($A87,'Add from APT'!$AA$2:$AC826,3,FALSE)&gt;0,TRUE,FALSE),"ER - NOT IN APT")</f>
        <v>0</v>
      </c>
      <c r="Q87" s="105" t="str">
        <f>IF(ISLOGICAL(P87),IF(P87,"ER - REPS IN APT", IFNA(VLOOKUP($A87,RAW_APT!$A$3:$M826,7,FALSE),"ER - NOT IN APT")),P87)</f>
        <v>Result</v>
      </c>
      <c r="R87" s="106" t="b">
        <f t="shared" si="2"/>
        <v>1</v>
      </c>
      <c r="S87" s="107">
        <f t="shared" si="3"/>
        <v>1</v>
      </c>
      <c r="T87" s="143"/>
      <c r="U87" s="142"/>
      <c r="V87" s="142"/>
      <c r="W87" s="142"/>
      <c r="X87" s="110" t="b">
        <f t="shared" si="4"/>
        <v>0</v>
      </c>
      <c r="Y87" s="111" t="b">
        <v>0</v>
      </c>
      <c r="Z87" s="104" t="str">
        <f t="shared" si="5"/>
        <v/>
      </c>
      <c r="AA87" s="112" t="b">
        <f t="shared" si="6"/>
        <v>0</v>
      </c>
      <c r="AB87" s="142" t="b">
        <v>0</v>
      </c>
      <c r="AC87" s="140">
        <v>702.0</v>
      </c>
      <c r="AD87" s="141" t="b">
        <v>0</v>
      </c>
      <c r="AE87" s="115">
        <f t="shared" si="7"/>
        <v>254.15</v>
      </c>
      <c r="AF87" s="116" t="b">
        <f t="shared" si="8"/>
        <v>0</v>
      </c>
      <c r="AG87" s="105" t="b">
        <f t="shared" si="9"/>
        <v>0</v>
      </c>
      <c r="AH87" s="140"/>
      <c r="AI87" s="140"/>
      <c r="AJ87" s="140"/>
      <c r="AK87" s="117" t="str">
        <f t="shared" si="10"/>
        <v>Negative</v>
      </c>
      <c r="AL87" s="142"/>
      <c r="AM87" s="112" t="s">
        <v>398</v>
      </c>
      <c r="AN87" s="112" t="s">
        <v>399</v>
      </c>
      <c r="AO87" s="112" t="str">
        <f>IFERROR(__xludf.DUMMYFUNCTION("IF($AG87, ""DELETED"",TRIM(JOIN("" "",D87:E87)))"),"")</f>
        <v/>
      </c>
      <c r="AP87" s="112" t="str">
        <f t="shared" ref="AP87:AQ87" si="112">IF($AG87, "DELETED", TRIM(CONCATENATE(F87,I87,U87)))</f>
        <v/>
      </c>
      <c r="AQ87" s="112" t="str">
        <f t="shared" si="112"/>
        <v/>
      </c>
      <c r="AR87" s="112" t="str">
        <f>IFERROR(__xludf.DUMMYFUNCTION("IF($AG87, ""DELETED"", TRIM(JOIN("" "",AP87,AQ87)))"),"")</f>
        <v/>
      </c>
      <c r="AS87" s="118"/>
      <c r="AT87" s="110" t="b">
        <f t="shared" si="12"/>
        <v>0</v>
      </c>
      <c r="AU87" s="110" t="str">
        <f t="shared" si="13"/>
        <v/>
      </c>
      <c r="AV87" s="110" t="str">
        <f t="shared" si="14"/>
        <v/>
      </c>
      <c r="AW87" s="110" t="str">
        <f t="shared" si="15"/>
        <v/>
      </c>
      <c r="AX87" s="119" t="str">
        <f t="shared" si="16"/>
        <v/>
      </c>
      <c r="AY87" s="120"/>
      <c r="AZ87" s="121"/>
      <c r="BA87" s="122" t="str">
        <f t="shared" si="17"/>
        <v/>
      </c>
      <c r="BB87" s="34"/>
      <c r="BC87" s="121"/>
      <c r="BD87" s="136"/>
      <c r="BE87" s="125" t="str">
        <f t="shared" si="18"/>
        <v/>
      </c>
      <c r="BF87" s="126" t="str">
        <f t="shared" si="19"/>
        <v>MA1082__44564_0.351550925925926</v>
      </c>
      <c r="BG87" s="127" t="str">
        <f t="shared" si="20"/>
        <v/>
      </c>
      <c r="BH87" s="137" t="s">
        <v>475</v>
      </c>
      <c r="BI87" s="128" t="str">
        <f t="shared" si="21"/>
        <v>FM34</v>
      </c>
      <c r="BJ87" s="129" t="b">
        <f t="shared" si="22"/>
        <v>0</v>
      </c>
      <c r="BK87" s="128" t="str">
        <f t="shared" si="23"/>
        <v/>
      </c>
      <c r="BL87" s="121"/>
      <c r="BM87" s="5" t="str">
        <f t="shared" si="24"/>
        <v>MISSING</v>
      </c>
      <c r="BN87" s="120" t="b">
        <f t="shared" si="25"/>
        <v>0</v>
      </c>
      <c r="BO87" s="131" t="b">
        <f t="shared" si="26"/>
        <v>1</v>
      </c>
      <c r="BP87" s="121"/>
      <c r="BQ87" s="132" t="str">
        <f>VLOOKUP(A87,RAW_APS!A$3:O826,15,FALSE)</f>
        <v/>
      </c>
      <c r="BR87" s="120" t="b">
        <f t="shared" si="27"/>
        <v>1</v>
      </c>
      <c r="BS87" s="121"/>
      <c r="BT87" s="138" t="s">
        <v>244</v>
      </c>
      <c r="BU87" s="10" t="b">
        <f t="shared" si="28"/>
        <v>1</v>
      </c>
      <c r="BV87" s="120"/>
      <c r="BW87" s="120"/>
      <c r="BX87" s="120"/>
      <c r="BY87" s="120"/>
      <c r="BZ87" s="120"/>
      <c r="CA87" s="120"/>
      <c r="CB87" s="120"/>
      <c r="CC87" s="120"/>
    </row>
    <row r="88">
      <c r="A88" s="2" t="s">
        <v>476</v>
      </c>
      <c r="B88" s="100">
        <v>44564.0</v>
      </c>
      <c r="C88" s="101">
        <v>0.35965277777777777</v>
      </c>
      <c r="D88" s="102"/>
      <c r="E88" s="102"/>
      <c r="F88" s="102"/>
      <c r="G88" s="102"/>
      <c r="H88" s="102"/>
      <c r="I88" s="103"/>
      <c r="J88" s="103"/>
      <c r="K88" s="2" t="s">
        <v>52</v>
      </c>
      <c r="L88" s="100">
        <v>44564.0</v>
      </c>
      <c r="M88" s="101">
        <v>0.5280439814814815</v>
      </c>
      <c r="P88" s="104" t="b">
        <f>IFNA(IF(VLOOKUP($A88,'Add from APT'!$AA$2:$AC826,3,FALSE)&gt;0,TRUE,FALSE),"ER - NOT IN APT")</f>
        <v>0</v>
      </c>
      <c r="Q88" s="105" t="str">
        <f>IF(ISLOGICAL(P88),IF(P88,"ER - REPS IN APT", IFNA(VLOOKUP($A88,RAW_APT!$A$3:$M826,7,FALSE),"ER - NOT IN APT")),P88)</f>
        <v>Result</v>
      </c>
      <c r="R88" s="106" t="b">
        <f t="shared" si="2"/>
        <v>1</v>
      </c>
      <c r="S88" s="107">
        <f t="shared" si="3"/>
        <v>1</v>
      </c>
      <c r="T88" s="143"/>
      <c r="U88" s="142"/>
      <c r="V88" s="142"/>
      <c r="W88" s="142"/>
      <c r="X88" s="110" t="b">
        <f t="shared" si="4"/>
        <v>0</v>
      </c>
      <c r="Y88" s="111" t="b">
        <v>0</v>
      </c>
      <c r="Z88" s="104" t="str">
        <f t="shared" si="5"/>
        <v/>
      </c>
      <c r="AA88" s="112" t="b">
        <f t="shared" si="6"/>
        <v>0</v>
      </c>
      <c r="AB88" s="142" t="b">
        <v>0</v>
      </c>
      <c r="AC88" s="140">
        <v>701.0</v>
      </c>
      <c r="AD88" s="141" t="b">
        <v>0</v>
      </c>
      <c r="AE88" s="115">
        <f t="shared" si="7"/>
        <v>242.4833333</v>
      </c>
      <c r="AF88" s="116" t="b">
        <f t="shared" si="8"/>
        <v>0</v>
      </c>
      <c r="AG88" s="105" t="b">
        <f t="shared" si="9"/>
        <v>0</v>
      </c>
      <c r="AH88" s="140"/>
      <c r="AI88" s="140"/>
      <c r="AJ88" s="140"/>
      <c r="AK88" s="117" t="str">
        <f t="shared" si="10"/>
        <v>Positive</v>
      </c>
      <c r="AL88" s="142"/>
      <c r="AM88" s="112" t="s">
        <v>477</v>
      </c>
      <c r="AN88" s="112" t="s">
        <v>450</v>
      </c>
      <c r="AO88" s="112" t="str">
        <f>IFERROR(__xludf.DUMMYFUNCTION("IF($AG88, ""DELETED"",TRIM(JOIN("" "",D88:E88)))"),"")</f>
        <v/>
      </c>
      <c r="AP88" s="112" t="str">
        <f t="shared" ref="AP88:AQ88" si="113">IF($AG88, "DELETED", TRIM(CONCATENATE(F88,I88,U88)))</f>
        <v/>
      </c>
      <c r="AQ88" s="112" t="str">
        <f t="shared" si="113"/>
        <v/>
      </c>
      <c r="AR88" s="112" t="str">
        <f>IFERROR(__xludf.DUMMYFUNCTION("IF($AG88, ""DELETED"", TRIM(JOIN("" "",AP88,AQ88)))"),"")</f>
        <v/>
      </c>
      <c r="AS88" s="118"/>
      <c r="AT88" s="110" t="b">
        <f t="shared" si="12"/>
        <v>0</v>
      </c>
      <c r="AU88" s="110" t="str">
        <f t="shared" si="13"/>
        <v/>
      </c>
      <c r="AV88" s="110" t="str">
        <f t="shared" si="14"/>
        <v/>
      </c>
      <c r="AW88" s="110" t="str">
        <f t="shared" si="15"/>
        <v/>
      </c>
      <c r="AX88" s="119" t="str">
        <f t="shared" si="16"/>
        <v/>
      </c>
      <c r="AY88" s="120"/>
      <c r="AZ88" s="121"/>
      <c r="BA88" s="122" t="str">
        <f t="shared" si="17"/>
        <v/>
      </c>
      <c r="BB88" s="34"/>
      <c r="BC88" s="121"/>
      <c r="BD88" s="136"/>
      <c r="BE88" s="125" t="str">
        <f t="shared" si="18"/>
        <v/>
      </c>
      <c r="BF88" s="126" t="str">
        <f t="shared" si="19"/>
        <v>MA287__44564_0.359652777777778</v>
      </c>
      <c r="BG88" s="127" t="str">
        <f t="shared" si="20"/>
        <v/>
      </c>
      <c r="BH88" s="137" t="s">
        <v>478</v>
      </c>
      <c r="BI88" s="128" t="str">
        <f t="shared" si="21"/>
        <v>FM340</v>
      </c>
      <c r="BJ88" s="129" t="b">
        <f t="shared" si="22"/>
        <v>0</v>
      </c>
      <c r="BK88" s="128" t="str">
        <f t="shared" si="23"/>
        <v/>
      </c>
      <c r="BL88" s="121"/>
      <c r="BM88" s="5" t="str">
        <f t="shared" si="24"/>
        <v>MISSING</v>
      </c>
      <c r="BN88" s="120" t="b">
        <f t="shared" si="25"/>
        <v>0</v>
      </c>
      <c r="BO88" s="131" t="b">
        <f t="shared" si="26"/>
        <v>1</v>
      </c>
      <c r="BP88" s="121"/>
      <c r="BQ88" s="132" t="str">
        <f>VLOOKUP(A88,RAW_APS!A$3:O826,15,FALSE)</f>
        <v/>
      </c>
      <c r="BR88" s="120" t="b">
        <f t="shared" si="27"/>
        <v>1</v>
      </c>
      <c r="BS88" s="121"/>
      <c r="BT88" s="138" t="s">
        <v>52</v>
      </c>
      <c r="BU88" s="10" t="b">
        <f t="shared" si="28"/>
        <v>1</v>
      </c>
      <c r="BV88" s="120"/>
      <c r="BW88" s="120"/>
      <c r="BX88" s="120"/>
      <c r="BY88" s="120"/>
      <c r="BZ88" s="120"/>
      <c r="CA88" s="120"/>
      <c r="CB88" s="120"/>
      <c r="CC88" s="120"/>
    </row>
    <row r="89">
      <c r="A89" s="2" t="s">
        <v>479</v>
      </c>
      <c r="B89" s="100">
        <v>44564.0</v>
      </c>
      <c r="C89" s="101">
        <v>0.3654513888888889</v>
      </c>
      <c r="D89" s="102"/>
      <c r="E89" s="102"/>
      <c r="F89" s="102"/>
      <c r="G89" s="102"/>
      <c r="H89" s="102"/>
      <c r="I89" s="103"/>
      <c r="J89" s="103"/>
      <c r="K89" s="2" t="s">
        <v>52</v>
      </c>
      <c r="L89" s="100">
        <v>44564.0</v>
      </c>
      <c r="M89" s="101">
        <v>0.5280439814814815</v>
      </c>
      <c r="P89" s="104" t="b">
        <f>IFNA(IF(VLOOKUP($A89,'Add from APT'!$AA$2:$AC826,3,FALSE)&gt;0,TRUE,FALSE),"ER - NOT IN APT")</f>
        <v>0</v>
      </c>
      <c r="Q89" s="105" t="str">
        <f>IF(ISLOGICAL(P89),IF(P89,"ER - REPS IN APT", IFNA(VLOOKUP($A89,RAW_APT!$A$3:$M826,7,FALSE),"ER - NOT IN APT")),P89)</f>
        <v>Result</v>
      </c>
      <c r="R89" s="106" t="b">
        <f t="shared" si="2"/>
        <v>1</v>
      </c>
      <c r="S89" s="107">
        <f t="shared" si="3"/>
        <v>1</v>
      </c>
      <c r="T89" s="143"/>
      <c r="U89" s="142"/>
      <c r="V89" s="142"/>
      <c r="W89" s="142"/>
      <c r="X89" s="110" t="b">
        <f t="shared" si="4"/>
        <v>0</v>
      </c>
      <c r="Y89" s="111" t="b">
        <v>0</v>
      </c>
      <c r="Z89" s="104" t="str">
        <f t="shared" si="5"/>
        <v/>
      </c>
      <c r="AA89" s="112" t="b">
        <f t="shared" si="6"/>
        <v>0</v>
      </c>
      <c r="AB89" s="142" t="b">
        <v>0</v>
      </c>
      <c r="AC89" s="140">
        <v>700.0</v>
      </c>
      <c r="AD89" s="141" t="b">
        <v>0</v>
      </c>
      <c r="AE89" s="115">
        <f t="shared" si="7"/>
        <v>234.1333333</v>
      </c>
      <c r="AF89" s="116" t="b">
        <f t="shared" si="8"/>
        <v>0</v>
      </c>
      <c r="AG89" s="105" t="b">
        <f t="shared" si="9"/>
        <v>0</v>
      </c>
      <c r="AH89" s="140"/>
      <c r="AI89" s="140"/>
      <c r="AJ89" s="140"/>
      <c r="AK89" s="117" t="str">
        <f t="shared" si="10"/>
        <v>Positive</v>
      </c>
      <c r="AL89" s="142"/>
      <c r="AM89" s="112" t="s">
        <v>261</v>
      </c>
      <c r="AN89" s="112" t="s">
        <v>480</v>
      </c>
      <c r="AO89" s="112" t="str">
        <f>IFERROR(__xludf.DUMMYFUNCTION("IF($AG89, ""DELETED"",TRIM(JOIN("" "",D89:E89)))"),"")</f>
        <v/>
      </c>
      <c r="AP89" s="112" t="str">
        <f t="shared" ref="AP89:AQ89" si="114">IF($AG89, "DELETED", TRIM(CONCATENATE(F89,I89,U89)))</f>
        <v/>
      </c>
      <c r="AQ89" s="112" t="str">
        <f t="shared" si="114"/>
        <v/>
      </c>
      <c r="AR89" s="112" t="str">
        <f>IFERROR(__xludf.DUMMYFUNCTION("IF($AG89, ""DELETED"", TRIM(JOIN("" "",AP89,AQ89)))"),"")</f>
        <v/>
      </c>
      <c r="AS89" s="118"/>
      <c r="AT89" s="110" t="b">
        <f t="shared" si="12"/>
        <v>0</v>
      </c>
      <c r="AU89" s="110" t="str">
        <f t="shared" si="13"/>
        <v/>
      </c>
      <c r="AV89" s="110" t="str">
        <f t="shared" si="14"/>
        <v/>
      </c>
      <c r="AW89" s="110" t="str">
        <f t="shared" si="15"/>
        <v/>
      </c>
      <c r="AX89" s="119" t="str">
        <f t="shared" si="16"/>
        <v/>
      </c>
      <c r="AY89" s="120"/>
      <c r="AZ89" s="121"/>
      <c r="BA89" s="122" t="str">
        <f t="shared" si="17"/>
        <v/>
      </c>
      <c r="BB89" s="34"/>
      <c r="BC89" s="121"/>
      <c r="BD89" s="136"/>
      <c r="BE89" s="125" t="str">
        <f t="shared" si="18"/>
        <v/>
      </c>
      <c r="BF89" s="126" t="str">
        <f t="shared" si="19"/>
        <v>MA473__44564_0.365451388888889</v>
      </c>
      <c r="BG89" s="127" t="str">
        <f t="shared" si="20"/>
        <v/>
      </c>
      <c r="BH89" s="137" t="s">
        <v>481</v>
      </c>
      <c r="BI89" s="128" t="str">
        <f t="shared" si="21"/>
        <v>FM343</v>
      </c>
      <c r="BJ89" s="129" t="b">
        <f t="shared" si="22"/>
        <v>0</v>
      </c>
      <c r="BK89" s="128" t="str">
        <f t="shared" si="23"/>
        <v/>
      </c>
      <c r="BL89" s="121"/>
      <c r="BM89" s="5" t="str">
        <f t="shared" si="24"/>
        <v>MISSING</v>
      </c>
      <c r="BN89" s="120" t="b">
        <f t="shared" si="25"/>
        <v>0</v>
      </c>
      <c r="BO89" s="131" t="b">
        <f t="shared" si="26"/>
        <v>1</v>
      </c>
      <c r="BP89" s="121"/>
      <c r="BQ89" s="132" t="str">
        <f>VLOOKUP(A89,RAW_APS!A$3:O826,15,FALSE)</f>
        <v/>
      </c>
      <c r="BR89" s="120" t="b">
        <f t="shared" si="27"/>
        <v>1</v>
      </c>
      <c r="BS89" s="121"/>
      <c r="BT89" s="138" t="s">
        <v>52</v>
      </c>
      <c r="BU89" s="10" t="b">
        <f t="shared" si="28"/>
        <v>1</v>
      </c>
      <c r="BV89" s="120"/>
      <c r="BW89" s="120"/>
      <c r="BX89" s="120"/>
      <c r="BY89" s="120"/>
      <c r="BZ89" s="120"/>
      <c r="CA89" s="120"/>
      <c r="CB89" s="120"/>
      <c r="CC89" s="120"/>
    </row>
    <row r="90">
      <c r="A90" s="2" t="s">
        <v>482</v>
      </c>
      <c r="B90" s="100">
        <v>44564.0</v>
      </c>
      <c r="C90" s="101">
        <v>0.36962962962962964</v>
      </c>
      <c r="D90" s="102"/>
      <c r="E90" s="102"/>
      <c r="F90" s="102"/>
      <c r="G90" s="102"/>
      <c r="H90" s="102"/>
      <c r="I90" s="103"/>
      <c r="J90" s="103"/>
      <c r="K90" s="2" t="s">
        <v>244</v>
      </c>
      <c r="L90" s="100">
        <v>44564.0</v>
      </c>
      <c r="M90" s="101">
        <v>0.5280439814814815</v>
      </c>
      <c r="P90" s="104" t="b">
        <f>IFNA(IF(VLOOKUP($A90,'Add from APT'!$AA$2:$AC826,3,FALSE)&gt;0,TRUE,FALSE),"ER - NOT IN APT")</f>
        <v>0</v>
      </c>
      <c r="Q90" s="105" t="str">
        <f>IF(ISLOGICAL(P90),IF(P90,"ER - REPS IN APT", IFNA(VLOOKUP($A90,RAW_APT!$A$3:$M826,7,FALSE),"ER - NOT IN APT")),P90)</f>
        <v>Result</v>
      </c>
      <c r="R90" s="106" t="b">
        <f t="shared" si="2"/>
        <v>1</v>
      </c>
      <c r="S90" s="107">
        <f t="shared" si="3"/>
        <v>1</v>
      </c>
      <c r="T90" s="143"/>
      <c r="U90" s="142"/>
      <c r="V90" s="142"/>
      <c r="W90" s="142"/>
      <c r="X90" s="110" t="b">
        <f t="shared" si="4"/>
        <v>0</v>
      </c>
      <c r="Y90" s="111" t="b">
        <v>0</v>
      </c>
      <c r="Z90" s="104" t="str">
        <f t="shared" si="5"/>
        <v/>
      </c>
      <c r="AA90" s="112" t="b">
        <f t="shared" si="6"/>
        <v>0</v>
      </c>
      <c r="AB90" s="142" t="b">
        <v>0</v>
      </c>
      <c r="AC90" s="140">
        <v>699.0</v>
      </c>
      <c r="AD90" s="141" t="b">
        <v>0</v>
      </c>
      <c r="AE90" s="115">
        <f t="shared" si="7"/>
        <v>228.1166667</v>
      </c>
      <c r="AF90" s="116" t="b">
        <f t="shared" si="8"/>
        <v>0</v>
      </c>
      <c r="AG90" s="105" t="b">
        <f t="shared" si="9"/>
        <v>0</v>
      </c>
      <c r="AH90" s="140"/>
      <c r="AI90" s="140"/>
      <c r="AJ90" s="140"/>
      <c r="AK90" s="117" t="str">
        <f t="shared" si="10"/>
        <v>Negative</v>
      </c>
      <c r="AL90" s="142"/>
      <c r="AM90" s="112" t="s">
        <v>436</v>
      </c>
      <c r="AN90" s="112" t="s">
        <v>437</v>
      </c>
      <c r="AO90" s="112" t="str">
        <f>IFERROR(__xludf.DUMMYFUNCTION("IF($AG90, ""DELETED"",TRIM(JOIN("" "",D90:E90)))"),"")</f>
        <v/>
      </c>
      <c r="AP90" s="112" t="str">
        <f t="shared" ref="AP90:AQ90" si="115">IF($AG90, "DELETED", TRIM(CONCATENATE(F90,I90,U90)))</f>
        <v/>
      </c>
      <c r="AQ90" s="112" t="str">
        <f t="shared" si="115"/>
        <v/>
      </c>
      <c r="AR90" s="112" t="str">
        <f>IFERROR(__xludf.DUMMYFUNCTION("IF($AG90, ""DELETED"", TRIM(JOIN("" "",AP90,AQ90)))"),"")</f>
        <v/>
      </c>
      <c r="AS90" s="118"/>
      <c r="AT90" s="110" t="b">
        <f t="shared" si="12"/>
        <v>0</v>
      </c>
      <c r="AU90" s="110" t="str">
        <f t="shared" si="13"/>
        <v/>
      </c>
      <c r="AV90" s="110" t="str">
        <f t="shared" si="14"/>
        <v/>
      </c>
      <c r="AW90" s="110" t="str">
        <f t="shared" si="15"/>
        <v/>
      </c>
      <c r="AX90" s="119" t="str">
        <f t="shared" si="16"/>
        <v/>
      </c>
      <c r="AY90" s="120"/>
      <c r="AZ90" s="121"/>
      <c r="BA90" s="122" t="str">
        <f t="shared" si="17"/>
        <v/>
      </c>
      <c r="BB90" s="34"/>
      <c r="BC90" s="121"/>
      <c r="BD90" s="136"/>
      <c r="BE90" s="125" t="str">
        <f t="shared" si="18"/>
        <v/>
      </c>
      <c r="BF90" s="126" t="str">
        <f t="shared" si="19"/>
        <v>MA1022__44564_0.36962962962963</v>
      </c>
      <c r="BG90" s="127" t="str">
        <f t="shared" si="20"/>
        <v/>
      </c>
      <c r="BH90" s="137" t="s">
        <v>483</v>
      </c>
      <c r="BI90" s="128" t="str">
        <f t="shared" si="21"/>
        <v>FM35</v>
      </c>
      <c r="BJ90" s="129" t="b">
        <f t="shared" si="22"/>
        <v>0</v>
      </c>
      <c r="BK90" s="128" t="str">
        <f t="shared" si="23"/>
        <v/>
      </c>
      <c r="BL90" s="121"/>
      <c r="BM90" s="5" t="str">
        <f t="shared" si="24"/>
        <v>MISSING</v>
      </c>
      <c r="BN90" s="120" t="b">
        <f t="shared" si="25"/>
        <v>0</v>
      </c>
      <c r="BO90" s="131" t="b">
        <f t="shared" si="26"/>
        <v>1</v>
      </c>
      <c r="BP90" s="121"/>
      <c r="BQ90" s="132" t="str">
        <f>VLOOKUP(A90,RAW_APS!A$3:O826,15,FALSE)</f>
        <v/>
      </c>
      <c r="BR90" s="120" t="b">
        <f t="shared" si="27"/>
        <v>1</v>
      </c>
      <c r="BS90" s="121"/>
      <c r="BT90" s="138" t="s">
        <v>244</v>
      </c>
      <c r="BU90" s="10" t="b">
        <f t="shared" si="28"/>
        <v>1</v>
      </c>
      <c r="BV90" s="120"/>
      <c r="BW90" s="120"/>
      <c r="BX90" s="120"/>
      <c r="BY90" s="120"/>
      <c r="BZ90" s="120"/>
      <c r="CA90" s="120"/>
      <c r="CB90" s="120"/>
      <c r="CC90" s="120"/>
    </row>
    <row r="91">
      <c r="A91" s="2" t="s">
        <v>484</v>
      </c>
      <c r="B91" s="100">
        <v>44564.0</v>
      </c>
      <c r="C91" s="101">
        <v>0.38413194444444443</v>
      </c>
      <c r="D91" s="102"/>
      <c r="E91" s="102"/>
      <c r="F91" s="102"/>
      <c r="G91" s="102"/>
      <c r="H91" s="102"/>
      <c r="I91" s="103"/>
      <c r="J91" s="103"/>
      <c r="K91" s="2" t="s">
        <v>244</v>
      </c>
      <c r="L91" s="100">
        <v>44564.0</v>
      </c>
      <c r="M91" s="101">
        <v>0.5280439814814815</v>
      </c>
      <c r="P91" s="104" t="b">
        <f>IFNA(IF(VLOOKUP($A91,'Add from APT'!$AA$2:$AC826,3,FALSE)&gt;0,TRUE,FALSE),"ER - NOT IN APT")</f>
        <v>0</v>
      </c>
      <c r="Q91" s="105" t="str">
        <f>IF(ISLOGICAL(P91),IF(P91,"ER - REPS IN APT", IFNA(VLOOKUP($A91,RAW_APT!$A$3:$M826,7,FALSE),"ER - NOT IN APT")),P91)</f>
        <v>Result</v>
      </c>
      <c r="R91" s="106" t="b">
        <f t="shared" si="2"/>
        <v>1</v>
      </c>
      <c r="S91" s="107">
        <f t="shared" si="3"/>
        <v>1</v>
      </c>
      <c r="T91" s="143"/>
      <c r="U91" s="142"/>
      <c r="V91" s="142"/>
      <c r="W91" s="142"/>
      <c r="X91" s="110" t="b">
        <f t="shared" si="4"/>
        <v>0</v>
      </c>
      <c r="Y91" s="111" t="b">
        <v>0</v>
      </c>
      <c r="Z91" s="104" t="str">
        <f t="shared" si="5"/>
        <v/>
      </c>
      <c r="AA91" s="112" t="b">
        <f t="shared" si="6"/>
        <v>0</v>
      </c>
      <c r="AB91" s="142" t="b">
        <v>0</v>
      </c>
      <c r="AC91" s="140">
        <v>698.0</v>
      </c>
      <c r="AD91" s="141" t="b">
        <v>0</v>
      </c>
      <c r="AE91" s="115">
        <f t="shared" si="7"/>
        <v>207.2333333</v>
      </c>
      <c r="AF91" s="116" t="b">
        <f t="shared" si="8"/>
        <v>0</v>
      </c>
      <c r="AG91" s="105" t="b">
        <f t="shared" si="9"/>
        <v>0</v>
      </c>
      <c r="AH91" s="140"/>
      <c r="AI91" s="140"/>
      <c r="AJ91" s="140"/>
      <c r="AK91" s="117" t="str">
        <f t="shared" si="10"/>
        <v>Negative</v>
      </c>
      <c r="AL91" s="142"/>
      <c r="AM91" s="112" t="s">
        <v>307</v>
      </c>
      <c r="AN91" s="112" t="s">
        <v>266</v>
      </c>
      <c r="AO91" s="112" t="str">
        <f>IFERROR(__xludf.DUMMYFUNCTION("IF($AG91, ""DELETED"",TRIM(JOIN("" "",D91:E91)))"),"")</f>
        <v/>
      </c>
      <c r="AP91" s="112" t="str">
        <f t="shared" ref="AP91:AQ91" si="116">IF($AG91, "DELETED", TRIM(CONCATENATE(F91,I91,U91)))</f>
        <v/>
      </c>
      <c r="AQ91" s="112" t="str">
        <f t="shared" si="116"/>
        <v/>
      </c>
      <c r="AR91" s="112" t="str">
        <f>IFERROR(__xludf.DUMMYFUNCTION("IF($AG91, ""DELETED"", TRIM(JOIN("" "",AP91,AQ91)))"),"")</f>
        <v/>
      </c>
      <c r="AS91" s="118"/>
      <c r="AT91" s="110" t="b">
        <f t="shared" si="12"/>
        <v>0</v>
      </c>
      <c r="AU91" s="110" t="str">
        <f t="shared" si="13"/>
        <v/>
      </c>
      <c r="AV91" s="110" t="str">
        <f t="shared" si="14"/>
        <v/>
      </c>
      <c r="AW91" s="110" t="str">
        <f t="shared" si="15"/>
        <v/>
      </c>
      <c r="AX91" s="119" t="str">
        <f t="shared" si="16"/>
        <v/>
      </c>
      <c r="AY91" s="120"/>
      <c r="AZ91" s="121"/>
      <c r="BA91" s="122" t="str">
        <f t="shared" si="17"/>
        <v/>
      </c>
      <c r="BB91" s="34"/>
      <c r="BC91" s="121"/>
      <c r="BD91" s="136"/>
      <c r="BE91" s="125" t="str">
        <f t="shared" si="18"/>
        <v/>
      </c>
      <c r="BF91" s="126" t="str">
        <f t="shared" si="19"/>
        <v>MA644__44564_0.384131944444444</v>
      </c>
      <c r="BG91" s="127" t="str">
        <f t="shared" si="20"/>
        <v/>
      </c>
      <c r="BH91" s="137" t="s">
        <v>485</v>
      </c>
      <c r="BI91" s="128" t="str">
        <f t="shared" si="21"/>
        <v>FM352</v>
      </c>
      <c r="BJ91" s="129" t="b">
        <f t="shared" si="22"/>
        <v>0</v>
      </c>
      <c r="BK91" s="128" t="str">
        <f t="shared" si="23"/>
        <v/>
      </c>
      <c r="BL91" s="121"/>
      <c r="BM91" s="5" t="str">
        <f t="shared" si="24"/>
        <v>MISSING</v>
      </c>
      <c r="BN91" s="120" t="b">
        <f t="shared" si="25"/>
        <v>0</v>
      </c>
      <c r="BO91" s="131" t="b">
        <f t="shared" si="26"/>
        <v>1</v>
      </c>
      <c r="BP91" s="121"/>
      <c r="BQ91" s="132" t="str">
        <f>VLOOKUP(A91,RAW_APS!A$3:O826,15,FALSE)</f>
        <v/>
      </c>
      <c r="BR91" s="120" t="b">
        <f t="shared" si="27"/>
        <v>1</v>
      </c>
      <c r="BS91" s="121"/>
      <c r="BT91" s="138" t="s">
        <v>244</v>
      </c>
      <c r="BU91" s="10" t="b">
        <f t="shared" si="28"/>
        <v>1</v>
      </c>
      <c r="BV91" s="120"/>
      <c r="BW91" s="120"/>
      <c r="BX91" s="120"/>
      <c r="BY91" s="120"/>
      <c r="BZ91" s="120"/>
      <c r="CA91" s="120"/>
      <c r="CB91" s="120"/>
      <c r="CC91" s="120"/>
    </row>
    <row r="92">
      <c r="A92" s="2" t="s">
        <v>486</v>
      </c>
      <c r="B92" s="100">
        <v>44564.0</v>
      </c>
      <c r="C92" s="101">
        <v>0.39762731481481484</v>
      </c>
      <c r="D92" s="102"/>
      <c r="E92" s="102"/>
      <c r="F92" s="102"/>
      <c r="G92" s="102"/>
      <c r="H92" s="102"/>
      <c r="I92" s="103"/>
      <c r="J92" s="103"/>
      <c r="K92" s="2" t="s">
        <v>244</v>
      </c>
      <c r="L92" s="100">
        <v>44564.0</v>
      </c>
      <c r="M92" s="101">
        <v>0.5280439814814815</v>
      </c>
      <c r="P92" s="104" t="b">
        <f>IFNA(IF(VLOOKUP($A92,'Add from APT'!$AA$2:$AC826,3,FALSE)&gt;0,TRUE,FALSE),"ER - NOT IN APT")</f>
        <v>0</v>
      </c>
      <c r="Q92" s="105" t="str">
        <f>IF(ISLOGICAL(P92),IF(P92,"ER - REPS IN APT", IFNA(VLOOKUP($A92,RAW_APT!$A$3:$M826,7,FALSE),"ER - NOT IN APT")),P92)</f>
        <v>Result</v>
      </c>
      <c r="R92" s="106" t="b">
        <f t="shared" si="2"/>
        <v>1</v>
      </c>
      <c r="S92" s="107">
        <f t="shared" si="3"/>
        <v>1</v>
      </c>
      <c r="T92" s="143"/>
      <c r="U92" s="142"/>
      <c r="V92" s="142"/>
      <c r="W92" s="142"/>
      <c r="X92" s="110" t="b">
        <f t="shared" si="4"/>
        <v>0</v>
      </c>
      <c r="Y92" s="111" t="b">
        <v>0</v>
      </c>
      <c r="Z92" s="104" t="str">
        <f t="shared" si="5"/>
        <v/>
      </c>
      <c r="AA92" s="112" t="b">
        <f t="shared" si="6"/>
        <v>0</v>
      </c>
      <c r="AB92" s="142" t="b">
        <v>0</v>
      </c>
      <c r="AC92" s="140">
        <v>697.0</v>
      </c>
      <c r="AD92" s="141" t="b">
        <v>0</v>
      </c>
      <c r="AE92" s="115">
        <f t="shared" si="7"/>
        <v>187.8</v>
      </c>
      <c r="AF92" s="116" t="b">
        <f t="shared" si="8"/>
        <v>0</v>
      </c>
      <c r="AG92" s="105" t="b">
        <f t="shared" si="9"/>
        <v>0</v>
      </c>
      <c r="AH92" s="140"/>
      <c r="AI92" s="140"/>
      <c r="AJ92" s="140"/>
      <c r="AK92" s="117" t="str">
        <f t="shared" si="10"/>
        <v>Negative</v>
      </c>
      <c r="AL92" s="142"/>
      <c r="AM92" s="112" t="s">
        <v>362</v>
      </c>
      <c r="AN92" s="112" t="s">
        <v>363</v>
      </c>
      <c r="AO92" s="112" t="str">
        <f>IFERROR(__xludf.DUMMYFUNCTION("IF($AG92, ""DELETED"",TRIM(JOIN("" "",D92:E92)))"),"")</f>
        <v/>
      </c>
      <c r="AP92" s="112" t="str">
        <f t="shared" ref="AP92:AQ92" si="117">IF($AG92, "DELETED", TRIM(CONCATENATE(F92,I92,U92)))</f>
        <v/>
      </c>
      <c r="AQ92" s="112" t="str">
        <f t="shared" si="117"/>
        <v/>
      </c>
      <c r="AR92" s="112" t="str">
        <f>IFERROR(__xludf.DUMMYFUNCTION("IF($AG92, ""DELETED"", TRIM(JOIN("" "",AP92,AQ92)))"),"")</f>
        <v/>
      </c>
      <c r="AS92" s="118"/>
      <c r="AT92" s="110" t="b">
        <f t="shared" si="12"/>
        <v>0</v>
      </c>
      <c r="AU92" s="110" t="str">
        <f t="shared" si="13"/>
        <v/>
      </c>
      <c r="AV92" s="110" t="str">
        <f t="shared" si="14"/>
        <v/>
      </c>
      <c r="AW92" s="110" t="str">
        <f t="shared" si="15"/>
        <v/>
      </c>
      <c r="AX92" s="119" t="str">
        <f t="shared" si="16"/>
        <v/>
      </c>
      <c r="AY92" s="120"/>
      <c r="AZ92" s="121"/>
      <c r="BA92" s="122" t="str">
        <f t="shared" si="17"/>
        <v/>
      </c>
      <c r="BB92" s="34"/>
      <c r="BC92" s="121"/>
      <c r="BD92" s="136"/>
      <c r="BE92" s="125" t="str">
        <f t="shared" si="18"/>
        <v/>
      </c>
      <c r="BF92" s="126" t="str">
        <f t="shared" si="19"/>
        <v>MA248__44564_0.397627314814815</v>
      </c>
      <c r="BG92" s="127" t="str">
        <f t="shared" si="20"/>
        <v/>
      </c>
      <c r="BH92" s="137" t="s">
        <v>487</v>
      </c>
      <c r="BI92" s="128" t="str">
        <f t="shared" si="21"/>
        <v>FM354</v>
      </c>
      <c r="BJ92" s="129" t="b">
        <f t="shared" si="22"/>
        <v>0</v>
      </c>
      <c r="BK92" s="128" t="str">
        <f t="shared" si="23"/>
        <v/>
      </c>
      <c r="BL92" s="121"/>
      <c r="BM92" s="5" t="str">
        <f t="shared" si="24"/>
        <v>MISSING</v>
      </c>
      <c r="BN92" s="120" t="b">
        <f t="shared" si="25"/>
        <v>0</v>
      </c>
      <c r="BO92" s="131" t="b">
        <f t="shared" si="26"/>
        <v>1</v>
      </c>
      <c r="BP92" s="121"/>
      <c r="BQ92" s="132" t="str">
        <f>VLOOKUP(A92,RAW_APS!A$3:O826,15,FALSE)</f>
        <v/>
      </c>
      <c r="BR92" s="120" t="b">
        <f t="shared" si="27"/>
        <v>1</v>
      </c>
      <c r="BS92" s="121"/>
      <c r="BT92" s="138" t="s">
        <v>244</v>
      </c>
      <c r="BU92" s="10" t="b">
        <f t="shared" si="28"/>
        <v>1</v>
      </c>
      <c r="BV92" s="120"/>
      <c r="BW92" s="120"/>
      <c r="BX92" s="120"/>
      <c r="BY92" s="120"/>
      <c r="BZ92" s="120"/>
      <c r="CA92" s="120"/>
      <c r="CB92" s="120"/>
      <c r="CC92" s="120"/>
    </row>
    <row r="93">
      <c r="A93" s="2" t="s">
        <v>488</v>
      </c>
      <c r="B93" s="100">
        <v>44564.0</v>
      </c>
      <c r="C93" s="101">
        <v>0.40229166666666666</v>
      </c>
      <c r="D93" s="102"/>
      <c r="E93" s="102"/>
      <c r="F93" s="102"/>
      <c r="G93" s="102"/>
      <c r="H93" s="102"/>
      <c r="I93" s="103"/>
      <c r="J93" s="103"/>
      <c r="K93" s="2" t="s">
        <v>244</v>
      </c>
      <c r="L93" s="100">
        <v>44564.0</v>
      </c>
      <c r="M93" s="101">
        <v>0.5280439814814815</v>
      </c>
      <c r="P93" s="104" t="b">
        <f>IFNA(IF(VLOOKUP($A93,'Add from APT'!$AA$2:$AC826,3,FALSE)&gt;0,TRUE,FALSE),"ER - NOT IN APT")</f>
        <v>0</v>
      </c>
      <c r="Q93" s="105" t="str">
        <f>IF(ISLOGICAL(P93),IF(P93,"ER - REPS IN APT", IFNA(VLOOKUP($A93,RAW_APT!$A$3:$M826,7,FALSE),"ER - NOT IN APT")),P93)</f>
        <v>Result</v>
      </c>
      <c r="R93" s="106" t="b">
        <f t="shared" si="2"/>
        <v>1</v>
      </c>
      <c r="S93" s="107">
        <f t="shared" si="3"/>
        <v>1</v>
      </c>
      <c r="T93" s="143"/>
      <c r="U93" s="142"/>
      <c r="V93" s="142"/>
      <c r="W93" s="142"/>
      <c r="X93" s="110" t="b">
        <f t="shared" si="4"/>
        <v>0</v>
      </c>
      <c r="Y93" s="111" t="b">
        <v>0</v>
      </c>
      <c r="Z93" s="104" t="str">
        <f t="shared" si="5"/>
        <v/>
      </c>
      <c r="AA93" s="112" t="b">
        <f t="shared" si="6"/>
        <v>0</v>
      </c>
      <c r="AB93" s="142" t="b">
        <v>0</v>
      </c>
      <c r="AC93" s="140">
        <v>696.0</v>
      </c>
      <c r="AD93" s="141" t="b">
        <v>0</v>
      </c>
      <c r="AE93" s="115">
        <f t="shared" si="7"/>
        <v>181.0833333</v>
      </c>
      <c r="AF93" s="116" t="b">
        <f t="shared" si="8"/>
        <v>0</v>
      </c>
      <c r="AG93" s="105" t="b">
        <f t="shared" si="9"/>
        <v>0</v>
      </c>
      <c r="AH93" s="140"/>
      <c r="AI93" s="140"/>
      <c r="AJ93" s="140"/>
      <c r="AK93" s="117" t="str">
        <f t="shared" si="10"/>
        <v>Negative</v>
      </c>
      <c r="AL93" s="142"/>
      <c r="AM93" s="112" t="s">
        <v>257</v>
      </c>
      <c r="AN93" s="112" t="s">
        <v>406</v>
      </c>
      <c r="AO93" s="112" t="str">
        <f>IFERROR(__xludf.DUMMYFUNCTION("IF($AG93, ""DELETED"",TRIM(JOIN("" "",D93:E93)))"),"")</f>
        <v/>
      </c>
      <c r="AP93" s="112" t="str">
        <f t="shared" ref="AP93:AQ93" si="118">IF($AG93, "DELETED", TRIM(CONCATENATE(F93,I93,U93)))</f>
        <v/>
      </c>
      <c r="AQ93" s="112" t="str">
        <f t="shared" si="118"/>
        <v/>
      </c>
      <c r="AR93" s="112" t="str">
        <f>IFERROR(__xludf.DUMMYFUNCTION("IF($AG93, ""DELETED"", TRIM(JOIN("" "",AP93,AQ93)))"),"")</f>
        <v/>
      </c>
      <c r="AS93" s="118"/>
      <c r="AT93" s="110" t="b">
        <f t="shared" si="12"/>
        <v>0</v>
      </c>
      <c r="AU93" s="110" t="str">
        <f t="shared" si="13"/>
        <v/>
      </c>
      <c r="AV93" s="110" t="str">
        <f t="shared" si="14"/>
        <v/>
      </c>
      <c r="AW93" s="110" t="str">
        <f t="shared" si="15"/>
        <v/>
      </c>
      <c r="AX93" s="119" t="str">
        <f t="shared" si="16"/>
        <v/>
      </c>
      <c r="AY93" s="120"/>
      <c r="AZ93" s="121"/>
      <c r="BA93" s="122" t="str">
        <f t="shared" si="17"/>
        <v/>
      </c>
      <c r="BB93" s="34"/>
      <c r="BC93" s="121"/>
      <c r="BD93" s="136"/>
      <c r="BE93" s="125" t="str">
        <f t="shared" si="18"/>
        <v/>
      </c>
      <c r="BF93" s="126" t="str">
        <f t="shared" si="19"/>
        <v>MA282__44564_0.402291666666667</v>
      </c>
      <c r="BG93" s="127" t="str">
        <f t="shared" si="20"/>
        <v/>
      </c>
      <c r="BH93" s="137" t="s">
        <v>489</v>
      </c>
      <c r="BI93" s="128" t="str">
        <f t="shared" si="21"/>
        <v>FM355</v>
      </c>
      <c r="BJ93" s="129" t="b">
        <f t="shared" si="22"/>
        <v>0</v>
      </c>
      <c r="BK93" s="128" t="str">
        <f t="shared" si="23"/>
        <v/>
      </c>
      <c r="BL93" s="121"/>
      <c r="BM93" s="5" t="str">
        <f t="shared" si="24"/>
        <v>MISSING</v>
      </c>
      <c r="BN93" s="120" t="b">
        <f t="shared" si="25"/>
        <v>0</v>
      </c>
      <c r="BO93" s="131" t="b">
        <f t="shared" si="26"/>
        <v>1</v>
      </c>
      <c r="BP93" s="121"/>
      <c r="BQ93" s="132" t="str">
        <f>VLOOKUP(A93,RAW_APS!A$3:O826,15,FALSE)</f>
        <v/>
      </c>
      <c r="BR93" s="120" t="b">
        <f t="shared" si="27"/>
        <v>1</v>
      </c>
      <c r="BS93" s="121"/>
      <c r="BT93" s="138" t="s">
        <v>244</v>
      </c>
      <c r="BU93" s="10" t="b">
        <f t="shared" si="28"/>
        <v>1</v>
      </c>
      <c r="BV93" s="120"/>
      <c r="BW93" s="120"/>
      <c r="BX93" s="120"/>
      <c r="BY93" s="120"/>
      <c r="BZ93" s="120"/>
      <c r="CA93" s="120"/>
      <c r="CB93" s="120"/>
      <c r="CC93" s="120"/>
    </row>
    <row r="94">
      <c r="A94" s="2" t="s">
        <v>490</v>
      </c>
      <c r="B94" s="100">
        <v>44565.0</v>
      </c>
      <c r="C94" s="101">
        <v>0.6911574074074074</v>
      </c>
      <c r="D94" s="102"/>
      <c r="E94" s="102"/>
      <c r="F94" s="139"/>
      <c r="G94" s="139"/>
      <c r="H94" s="139"/>
      <c r="I94" s="103"/>
      <c r="J94" s="103"/>
      <c r="K94" s="2" t="s">
        <v>244</v>
      </c>
      <c r="L94" s="100">
        <v>44566.0</v>
      </c>
      <c r="M94" s="101">
        <v>0.4565625</v>
      </c>
      <c r="P94" s="104" t="b">
        <f>IFNA(IF(VLOOKUP($A94,'Add from APT'!$AA$2:$AC826,3,FALSE)&gt;0,TRUE,FALSE),"ER - NOT IN APT")</f>
        <v>0</v>
      </c>
      <c r="Q94" s="105" t="str">
        <f>IF(ISLOGICAL(P94),IF(P94,"ER - REPS IN APT", IFNA(VLOOKUP($A94,RAW_APT!$A$3:$M826,7,FALSE),"ER - NOT IN APT")),P94)</f>
        <v>Result</v>
      </c>
      <c r="R94" s="106" t="b">
        <f t="shared" si="2"/>
        <v>1</v>
      </c>
      <c r="S94" s="107">
        <f t="shared" si="3"/>
        <v>1</v>
      </c>
      <c r="T94" s="140">
        <v>0.0</v>
      </c>
      <c r="U94" s="141"/>
      <c r="V94" s="141"/>
      <c r="W94" s="141"/>
      <c r="X94" s="110" t="b">
        <f t="shared" si="4"/>
        <v>0</v>
      </c>
      <c r="Y94" s="111" t="b">
        <v>0</v>
      </c>
      <c r="Z94" s="104" t="str">
        <f t="shared" si="5"/>
        <v/>
      </c>
      <c r="AA94" s="112" t="b">
        <f t="shared" si="6"/>
        <v>0</v>
      </c>
      <c r="AB94" s="142" t="b">
        <v>0</v>
      </c>
      <c r="AC94" s="140">
        <v>695.0</v>
      </c>
      <c r="AD94" s="141" t="b">
        <v>0</v>
      </c>
      <c r="AE94" s="115" t="str">
        <f t="shared" si="7"/>
        <v/>
      </c>
      <c r="AF94" s="116" t="b">
        <f t="shared" si="8"/>
        <v>0</v>
      </c>
      <c r="AG94" s="105" t="b">
        <f t="shared" si="9"/>
        <v>0</v>
      </c>
      <c r="AH94" s="140"/>
      <c r="AI94" s="140"/>
      <c r="AJ94" s="140"/>
      <c r="AK94" s="117" t="str">
        <f t="shared" si="10"/>
        <v>Negative</v>
      </c>
      <c r="AL94" s="142"/>
      <c r="AM94" s="112" t="s">
        <v>491</v>
      </c>
      <c r="AN94" s="112" t="s">
        <v>492</v>
      </c>
      <c r="AO94" s="112" t="str">
        <f>IFERROR(__xludf.DUMMYFUNCTION("IF($AG94, ""DELETED"",TRIM(JOIN("" "",D94:E94)))"),"")</f>
        <v/>
      </c>
      <c r="AP94" s="112" t="str">
        <f t="shared" ref="AP94:AQ94" si="119">IF($AG94, "DELETED", TRIM(CONCATENATE(F94,I94,U94)))</f>
        <v/>
      </c>
      <c r="AQ94" s="112" t="str">
        <f t="shared" si="119"/>
        <v/>
      </c>
      <c r="AR94" s="112" t="str">
        <f>IFERROR(__xludf.DUMMYFUNCTION("IF($AG94, ""DELETED"", TRIM(JOIN("" "",AP94,AQ94)))"),"")</f>
        <v/>
      </c>
      <c r="AS94" s="118"/>
      <c r="AT94" s="110" t="b">
        <f t="shared" si="12"/>
        <v>0</v>
      </c>
      <c r="AU94" s="110" t="str">
        <f t="shared" si="13"/>
        <v/>
      </c>
      <c r="AV94" s="110" t="str">
        <f t="shared" si="14"/>
        <v/>
      </c>
      <c r="AW94" s="110" t="str">
        <f t="shared" si="15"/>
        <v/>
      </c>
      <c r="AX94" s="119" t="str">
        <f t="shared" si="16"/>
        <v/>
      </c>
      <c r="AY94" s="120"/>
      <c r="AZ94" s="121"/>
      <c r="BA94" s="122" t="str">
        <f t="shared" si="17"/>
        <v/>
      </c>
      <c r="BB94" s="34"/>
      <c r="BC94" s="121"/>
      <c r="BD94" s="136"/>
      <c r="BE94" s="125" t="str">
        <f t="shared" si="18"/>
        <v/>
      </c>
      <c r="BF94" s="126" t="str">
        <f t="shared" si="19"/>
        <v>MA660__44565_0.691157407407407</v>
      </c>
      <c r="BG94" s="127" t="str">
        <f t="shared" si="20"/>
        <v/>
      </c>
      <c r="BH94" s="137" t="s">
        <v>493</v>
      </c>
      <c r="BI94" s="128" t="str">
        <f t="shared" si="21"/>
        <v>FM360</v>
      </c>
      <c r="BJ94" s="129" t="b">
        <f t="shared" si="22"/>
        <v>0</v>
      </c>
      <c r="BK94" s="128" t="str">
        <f t="shared" si="23"/>
        <v/>
      </c>
      <c r="BL94" s="121"/>
      <c r="BM94" s="5" t="str">
        <f t="shared" si="24"/>
        <v>MISSING</v>
      </c>
      <c r="BN94" s="120" t="b">
        <f t="shared" si="25"/>
        <v>0</v>
      </c>
      <c r="BO94" s="131" t="b">
        <f t="shared" si="26"/>
        <v>1</v>
      </c>
      <c r="BP94" s="121"/>
      <c r="BQ94" s="132" t="str">
        <f>VLOOKUP(A94,RAW_APS!A$3:O826,15,FALSE)</f>
        <v/>
      </c>
      <c r="BR94" s="120" t="b">
        <f t="shared" si="27"/>
        <v>1</v>
      </c>
      <c r="BS94" s="121"/>
      <c r="BT94" s="138" t="s">
        <v>244</v>
      </c>
      <c r="BU94" s="10" t="b">
        <f t="shared" si="28"/>
        <v>1</v>
      </c>
      <c r="BV94" s="120"/>
      <c r="BW94" s="120"/>
      <c r="BX94" s="120"/>
      <c r="BY94" s="120"/>
      <c r="BZ94" s="120"/>
      <c r="CA94" s="120"/>
      <c r="CB94" s="120"/>
      <c r="CC94" s="120"/>
    </row>
    <row r="95">
      <c r="A95" s="2" t="s">
        <v>494</v>
      </c>
      <c r="B95" s="100">
        <v>44565.0</v>
      </c>
      <c r="C95" s="101">
        <v>0.716099537037037</v>
      </c>
      <c r="D95" s="102"/>
      <c r="E95" s="102"/>
      <c r="F95" s="102"/>
      <c r="G95" s="102"/>
      <c r="H95" s="102"/>
      <c r="I95" s="103"/>
      <c r="J95" s="103"/>
      <c r="K95" s="2" t="s">
        <v>244</v>
      </c>
      <c r="L95" s="100">
        <v>44566.0</v>
      </c>
      <c r="M95" s="101">
        <v>0.4565625</v>
      </c>
      <c r="P95" s="104" t="b">
        <f>IFNA(IF(VLOOKUP($A95,'Add from APT'!$AA$2:$AC826,3,FALSE)&gt;0,TRUE,FALSE),"ER - NOT IN APT")</f>
        <v>0</v>
      </c>
      <c r="Q95" s="105" t="str">
        <f>IF(ISLOGICAL(P95),IF(P95,"ER - REPS IN APT", IFNA(VLOOKUP($A95,RAW_APT!$A$3:$M826,7,FALSE),"ER - NOT IN APT")),P95)</f>
        <v>Result</v>
      </c>
      <c r="R95" s="106" t="b">
        <f t="shared" si="2"/>
        <v>1</v>
      </c>
      <c r="S95" s="107">
        <f t="shared" si="3"/>
        <v>1</v>
      </c>
      <c r="T95" s="143"/>
      <c r="U95" s="142"/>
      <c r="V95" s="142"/>
      <c r="W95" s="142"/>
      <c r="X95" s="110" t="b">
        <f t="shared" si="4"/>
        <v>0</v>
      </c>
      <c r="Y95" s="111" t="b">
        <v>0</v>
      </c>
      <c r="Z95" s="104" t="str">
        <f t="shared" si="5"/>
        <v/>
      </c>
      <c r="AA95" s="112" t="b">
        <f t="shared" si="6"/>
        <v>0</v>
      </c>
      <c r="AB95" s="142" t="b">
        <v>0</v>
      </c>
      <c r="AC95" s="140">
        <v>694.0</v>
      </c>
      <c r="AD95" s="141" t="b">
        <v>0</v>
      </c>
      <c r="AE95" s="115" t="str">
        <f t="shared" si="7"/>
        <v/>
      </c>
      <c r="AF95" s="116" t="b">
        <f t="shared" si="8"/>
        <v>0</v>
      </c>
      <c r="AG95" s="105" t="b">
        <f t="shared" si="9"/>
        <v>0</v>
      </c>
      <c r="AH95" s="140"/>
      <c r="AI95" s="140"/>
      <c r="AJ95" s="140"/>
      <c r="AK95" s="117" t="str">
        <f t="shared" si="10"/>
        <v>Negative</v>
      </c>
      <c r="AL95" s="142"/>
      <c r="AM95" s="112" t="s">
        <v>491</v>
      </c>
      <c r="AN95" s="112" t="s">
        <v>495</v>
      </c>
      <c r="AO95" s="112" t="str">
        <f>IFERROR(__xludf.DUMMYFUNCTION("IF($AG95, ""DELETED"",TRIM(JOIN("" "",D95:E95)))"),"")</f>
        <v/>
      </c>
      <c r="AP95" s="112" t="str">
        <f t="shared" ref="AP95:AQ95" si="120">IF($AG95, "DELETED", TRIM(CONCATENATE(F95,I95,U95)))</f>
        <v/>
      </c>
      <c r="AQ95" s="112" t="str">
        <f t="shared" si="120"/>
        <v/>
      </c>
      <c r="AR95" s="112" t="str">
        <f>IFERROR(__xludf.DUMMYFUNCTION("IF($AG95, ""DELETED"", TRIM(JOIN("" "",AP95,AQ95)))"),"")</f>
        <v/>
      </c>
      <c r="AS95" s="118"/>
      <c r="AT95" s="110" t="b">
        <f t="shared" si="12"/>
        <v>0</v>
      </c>
      <c r="AU95" s="110" t="str">
        <f t="shared" si="13"/>
        <v/>
      </c>
      <c r="AV95" s="110" t="str">
        <f t="shared" si="14"/>
        <v/>
      </c>
      <c r="AW95" s="110" t="str">
        <f t="shared" si="15"/>
        <v/>
      </c>
      <c r="AX95" s="119" t="str">
        <f t="shared" si="16"/>
        <v/>
      </c>
      <c r="AY95" s="120"/>
      <c r="AZ95" s="121"/>
      <c r="BA95" s="122" t="str">
        <f t="shared" si="17"/>
        <v/>
      </c>
      <c r="BB95" s="34"/>
      <c r="BC95" s="121"/>
      <c r="BD95" s="136"/>
      <c r="BE95" s="125" t="str">
        <f t="shared" si="18"/>
        <v/>
      </c>
      <c r="BF95" s="126" t="str">
        <f t="shared" si="19"/>
        <v>MA651__44565_0.716099537037037</v>
      </c>
      <c r="BG95" s="127" t="str">
        <f t="shared" si="20"/>
        <v/>
      </c>
      <c r="BH95" s="137" t="s">
        <v>496</v>
      </c>
      <c r="BI95" s="128" t="str">
        <f t="shared" si="21"/>
        <v>FM367</v>
      </c>
      <c r="BJ95" s="129" t="b">
        <f t="shared" si="22"/>
        <v>0</v>
      </c>
      <c r="BK95" s="128" t="str">
        <f t="shared" si="23"/>
        <v/>
      </c>
      <c r="BL95" s="121"/>
      <c r="BM95" s="5" t="str">
        <f t="shared" si="24"/>
        <v>MISSING</v>
      </c>
      <c r="BN95" s="120" t="b">
        <f t="shared" si="25"/>
        <v>0</v>
      </c>
      <c r="BO95" s="131" t="b">
        <f t="shared" si="26"/>
        <v>1</v>
      </c>
      <c r="BP95" s="121"/>
      <c r="BQ95" s="132" t="str">
        <f>VLOOKUP(A95,RAW_APS!A$3:O826,15,FALSE)</f>
        <v/>
      </c>
      <c r="BR95" s="120" t="b">
        <f t="shared" si="27"/>
        <v>1</v>
      </c>
      <c r="BS95" s="121"/>
      <c r="BT95" s="138" t="s">
        <v>244</v>
      </c>
      <c r="BU95" s="10" t="b">
        <f t="shared" si="28"/>
        <v>1</v>
      </c>
      <c r="BV95" s="120"/>
      <c r="BW95" s="120"/>
      <c r="BX95" s="120"/>
      <c r="BY95" s="120"/>
      <c r="BZ95" s="120"/>
      <c r="CA95" s="120"/>
      <c r="CB95" s="120"/>
      <c r="CC95" s="120"/>
    </row>
    <row r="96">
      <c r="A96" s="2" t="s">
        <v>497</v>
      </c>
      <c r="B96" s="100">
        <v>44566.0</v>
      </c>
      <c r="C96" s="101">
        <v>0.30583333333333335</v>
      </c>
      <c r="D96" s="102"/>
      <c r="E96" s="102"/>
      <c r="F96" s="102"/>
      <c r="G96" s="102"/>
      <c r="H96" s="102"/>
      <c r="I96" s="103"/>
      <c r="J96" s="103"/>
      <c r="K96" s="2" t="s">
        <v>244</v>
      </c>
      <c r="L96" s="100">
        <v>44566.0</v>
      </c>
      <c r="M96" s="101">
        <v>0.4565625</v>
      </c>
      <c r="P96" s="104" t="b">
        <f>IFNA(IF(VLOOKUP($A96,'Add from APT'!$AA$2:$AC826,3,FALSE)&gt;0,TRUE,FALSE),"ER - NOT IN APT")</f>
        <v>0</v>
      </c>
      <c r="Q96" s="105" t="str">
        <f>IF(ISLOGICAL(P96),IF(P96,"ER - REPS IN APT", IFNA(VLOOKUP($A96,RAW_APT!$A$3:$M826,7,FALSE),"ER - NOT IN APT")),P96)</f>
        <v>Result</v>
      </c>
      <c r="R96" s="106" t="b">
        <f t="shared" si="2"/>
        <v>1</v>
      </c>
      <c r="S96" s="107">
        <f t="shared" si="3"/>
        <v>1</v>
      </c>
      <c r="T96" s="143"/>
      <c r="U96" s="142"/>
      <c r="V96" s="142"/>
      <c r="W96" s="142"/>
      <c r="X96" s="110" t="b">
        <f t="shared" si="4"/>
        <v>0</v>
      </c>
      <c r="Y96" s="111" t="b">
        <v>0</v>
      </c>
      <c r="Z96" s="104" t="str">
        <f t="shared" si="5"/>
        <v/>
      </c>
      <c r="AA96" s="112" t="b">
        <f t="shared" si="6"/>
        <v>0</v>
      </c>
      <c r="AB96" s="142" t="b">
        <v>0</v>
      </c>
      <c r="AC96" s="140">
        <v>693.0</v>
      </c>
      <c r="AD96" s="141" t="b">
        <v>0</v>
      </c>
      <c r="AE96" s="115">
        <f t="shared" si="7"/>
        <v>217.05</v>
      </c>
      <c r="AF96" s="116" t="b">
        <f t="shared" si="8"/>
        <v>0</v>
      </c>
      <c r="AG96" s="105" t="b">
        <f t="shared" si="9"/>
        <v>0</v>
      </c>
      <c r="AH96" s="140"/>
      <c r="AI96" s="140"/>
      <c r="AJ96" s="140"/>
      <c r="AK96" s="117" t="str">
        <f t="shared" si="10"/>
        <v>Negative</v>
      </c>
      <c r="AL96" s="142"/>
      <c r="AM96" s="112" t="s">
        <v>471</v>
      </c>
      <c r="AN96" s="112" t="s">
        <v>472</v>
      </c>
      <c r="AO96" s="112" t="str">
        <f>IFERROR(__xludf.DUMMYFUNCTION("IF($AG96, ""DELETED"",TRIM(JOIN("" "",D96:E96)))"),"")</f>
        <v/>
      </c>
      <c r="AP96" s="112" t="str">
        <f t="shared" ref="AP96:AQ96" si="121">IF($AG96, "DELETED", TRIM(CONCATENATE(F96,I96,U96)))</f>
        <v/>
      </c>
      <c r="AQ96" s="112" t="str">
        <f t="shared" si="121"/>
        <v/>
      </c>
      <c r="AR96" s="112" t="str">
        <f>IFERROR(__xludf.DUMMYFUNCTION("IF($AG96, ""DELETED"", TRIM(JOIN("" "",AP96,AQ96)))"),"")</f>
        <v/>
      </c>
      <c r="AS96" s="118"/>
      <c r="AT96" s="110" t="b">
        <f t="shared" si="12"/>
        <v>0</v>
      </c>
      <c r="AU96" s="110" t="str">
        <f t="shared" si="13"/>
        <v/>
      </c>
      <c r="AV96" s="110" t="str">
        <f t="shared" si="14"/>
        <v/>
      </c>
      <c r="AW96" s="110" t="str">
        <f t="shared" si="15"/>
        <v/>
      </c>
      <c r="AX96" s="119" t="str">
        <f t="shared" si="16"/>
        <v/>
      </c>
      <c r="AY96" s="120"/>
      <c r="AZ96" s="121"/>
      <c r="BA96" s="122" t="str">
        <f t="shared" si="17"/>
        <v/>
      </c>
      <c r="BB96" s="34"/>
      <c r="BC96" s="121"/>
      <c r="BD96" s="136"/>
      <c r="BE96" s="125" t="str">
        <f t="shared" si="18"/>
        <v/>
      </c>
      <c r="BF96" s="126" t="str">
        <f t="shared" si="19"/>
        <v>MA366__44566_0.305833333333333</v>
      </c>
      <c r="BG96" s="127" t="str">
        <f t="shared" si="20"/>
        <v/>
      </c>
      <c r="BH96" s="137" t="s">
        <v>498</v>
      </c>
      <c r="BI96" s="128" t="str">
        <f t="shared" si="21"/>
        <v>FM369</v>
      </c>
      <c r="BJ96" s="129" t="b">
        <f t="shared" si="22"/>
        <v>0</v>
      </c>
      <c r="BK96" s="128" t="str">
        <f t="shared" si="23"/>
        <v/>
      </c>
      <c r="BL96" s="121"/>
      <c r="BM96" s="5" t="str">
        <f t="shared" si="24"/>
        <v>MISSING</v>
      </c>
      <c r="BN96" s="120" t="b">
        <f t="shared" si="25"/>
        <v>0</v>
      </c>
      <c r="BO96" s="131" t="b">
        <f t="shared" si="26"/>
        <v>1</v>
      </c>
      <c r="BP96" s="121"/>
      <c r="BQ96" s="132" t="str">
        <f>VLOOKUP(A96,RAW_APS!A$3:O826,15,FALSE)</f>
        <v/>
      </c>
      <c r="BR96" s="120" t="b">
        <f t="shared" si="27"/>
        <v>1</v>
      </c>
      <c r="BS96" s="121"/>
      <c r="BT96" s="138" t="s">
        <v>244</v>
      </c>
      <c r="BU96" s="10" t="b">
        <f t="shared" si="28"/>
        <v>1</v>
      </c>
      <c r="BV96" s="120"/>
      <c r="BW96" s="120"/>
      <c r="BX96" s="120"/>
      <c r="BY96" s="120"/>
      <c r="BZ96" s="120"/>
      <c r="CA96" s="120"/>
      <c r="CB96" s="120"/>
      <c r="CC96" s="120"/>
    </row>
    <row r="97">
      <c r="A97" s="2" t="s">
        <v>499</v>
      </c>
      <c r="B97" s="100">
        <v>44566.0</v>
      </c>
      <c r="C97" s="101">
        <v>0.3086921296296296</v>
      </c>
      <c r="D97" s="102"/>
      <c r="E97" s="102"/>
      <c r="F97" s="139"/>
      <c r="G97" s="139"/>
      <c r="H97" s="139"/>
      <c r="I97" s="135"/>
      <c r="J97" s="103"/>
      <c r="K97" s="2" t="s">
        <v>244</v>
      </c>
      <c r="L97" s="100">
        <v>44566.0</v>
      </c>
      <c r="M97" s="101">
        <v>0.4565625</v>
      </c>
      <c r="N97" s="2" t="s">
        <v>247</v>
      </c>
      <c r="P97" s="104" t="b">
        <f>IFNA(IF(VLOOKUP($A97,'Add from APT'!$AA$2:$AC826,3,FALSE)&gt;0,TRUE,FALSE),"ER - NOT IN APT")</f>
        <v>0</v>
      </c>
      <c r="Q97" s="105" t="str">
        <f>IF(ISLOGICAL(P97),IF(P97,"ER - REPS IN APT", IFNA(VLOOKUP($A97,RAW_APT!$A$3:$M826,7,FALSE),"ER - NOT IN APT")),P97)</f>
        <v>Result</v>
      </c>
      <c r="R97" s="106" t="b">
        <f t="shared" si="2"/>
        <v>1</v>
      </c>
      <c r="S97" s="107">
        <f t="shared" si="3"/>
        <v>1</v>
      </c>
      <c r="T97" s="140">
        <v>0.0</v>
      </c>
      <c r="U97" s="141"/>
      <c r="V97" s="141"/>
      <c r="W97" s="142"/>
      <c r="X97" s="110" t="b">
        <f t="shared" si="4"/>
        <v>0</v>
      </c>
      <c r="Y97" s="111" t="b">
        <v>0</v>
      </c>
      <c r="Z97" s="104" t="str">
        <f t="shared" si="5"/>
        <v/>
      </c>
      <c r="AA97" s="112" t="b">
        <f t="shared" si="6"/>
        <v>0</v>
      </c>
      <c r="AB97" s="142" t="b">
        <v>0</v>
      </c>
      <c r="AC97" s="140">
        <v>794.0</v>
      </c>
      <c r="AD97" s="141" t="b">
        <v>1</v>
      </c>
      <c r="AE97" s="115">
        <f t="shared" si="7"/>
        <v>212.9333333</v>
      </c>
      <c r="AF97" s="116" t="b">
        <f t="shared" si="8"/>
        <v>0</v>
      </c>
      <c r="AG97" s="105" t="b">
        <f t="shared" si="9"/>
        <v>0</v>
      </c>
      <c r="AH97" s="140"/>
      <c r="AI97" s="140"/>
      <c r="AJ97" s="140"/>
      <c r="AK97" s="117" t="str">
        <f t="shared" si="10"/>
        <v>Negative</v>
      </c>
      <c r="AL97" s="142"/>
      <c r="AM97" s="112" t="s">
        <v>500</v>
      </c>
      <c r="AN97" s="112" t="s">
        <v>501</v>
      </c>
      <c r="AO97" s="112" t="str">
        <f>IFERROR(__xludf.DUMMYFUNCTION("IF($AG97, ""DELETED"",TRIM(JOIN("" "",D97:E97)))"),"")</f>
        <v/>
      </c>
      <c r="AP97" s="112" t="str">
        <f t="shared" ref="AP97:AQ97" si="122">IF($AG97, "DELETED", TRIM(CONCATENATE(F97,I97,U97)))</f>
        <v/>
      </c>
      <c r="AQ97" s="112" t="str">
        <f t="shared" si="122"/>
        <v/>
      </c>
      <c r="AR97" s="112" t="str">
        <f>IFERROR(__xludf.DUMMYFUNCTION("IF($AG97, ""DELETED"", TRIM(JOIN("" "",AP97,AQ97)))"),"")</f>
        <v/>
      </c>
      <c r="AS97" s="118"/>
      <c r="AT97" s="110" t="b">
        <f t="shared" si="12"/>
        <v>0</v>
      </c>
      <c r="AU97" s="110" t="str">
        <f t="shared" si="13"/>
        <v/>
      </c>
      <c r="AV97" s="110" t="str">
        <f t="shared" si="14"/>
        <v/>
      </c>
      <c r="AW97" s="110" t="str">
        <f t="shared" si="15"/>
        <v/>
      </c>
      <c r="AX97" s="119" t="str">
        <f t="shared" si="16"/>
        <v/>
      </c>
      <c r="AY97" s="120"/>
      <c r="AZ97" s="121"/>
      <c r="BA97" s="122" t="str">
        <f t="shared" si="17"/>
        <v/>
      </c>
      <c r="BB97" s="34"/>
      <c r="BC97" s="121"/>
      <c r="BD97" s="136"/>
      <c r="BE97" s="125" t="str">
        <f t="shared" si="18"/>
        <v/>
      </c>
      <c r="BF97" s="126" t="str">
        <f t="shared" si="19"/>
        <v>MA1173__44566_0.30869212962963</v>
      </c>
      <c r="BG97" s="127" t="str">
        <f t="shared" si="20"/>
        <v/>
      </c>
      <c r="BH97" s="137" t="s">
        <v>502</v>
      </c>
      <c r="BI97" s="128" t="str">
        <f t="shared" si="21"/>
        <v>FM37</v>
      </c>
      <c r="BJ97" s="129" t="b">
        <f t="shared" si="22"/>
        <v>0</v>
      </c>
      <c r="BK97" s="128" t="str">
        <f t="shared" si="23"/>
        <v/>
      </c>
      <c r="BL97" s="121"/>
      <c r="BM97" s="5" t="str">
        <f t="shared" si="24"/>
        <v>MISSING</v>
      </c>
      <c r="BN97" s="120" t="b">
        <f t="shared" si="25"/>
        <v>0</v>
      </c>
      <c r="BO97" s="131" t="b">
        <f t="shared" si="26"/>
        <v>1</v>
      </c>
      <c r="BP97" s="121"/>
      <c r="BQ97" s="132" t="str">
        <f>VLOOKUP(A97,RAW_APS!A$3:O826,15,FALSE)</f>
        <v>#N/A</v>
      </c>
      <c r="BR97" s="120" t="str">
        <f t="shared" si="27"/>
        <v>***TUBE ID NOT FOUND</v>
      </c>
      <c r="BS97" s="121"/>
      <c r="BT97" s="138" t="s">
        <v>244</v>
      </c>
      <c r="BU97" s="10" t="b">
        <f t="shared" si="28"/>
        <v>1</v>
      </c>
      <c r="BV97" s="120"/>
      <c r="BW97" s="120"/>
      <c r="BX97" s="120"/>
      <c r="BY97" s="120"/>
      <c r="BZ97" s="120"/>
      <c r="CA97" s="120"/>
      <c r="CB97" s="120"/>
      <c r="CC97" s="120"/>
    </row>
    <row r="98">
      <c r="A98" s="2" t="s">
        <v>503</v>
      </c>
      <c r="B98" s="100">
        <v>44566.0</v>
      </c>
      <c r="C98" s="101">
        <v>0.3115277777777778</v>
      </c>
      <c r="D98" s="102"/>
      <c r="E98" s="102"/>
      <c r="F98" s="102"/>
      <c r="G98" s="102"/>
      <c r="H98" s="102"/>
      <c r="I98" s="103"/>
      <c r="J98" s="103"/>
      <c r="K98" s="2" t="s">
        <v>244</v>
      </c>
      <c r="L98" s="100">
        <v>44566.0</v>
      </c>
      <c r="M98" s="101">
        <v>0.4565625</v>
      </c>
      <c r="P98" s="104" t="b">
        <f>IFNA(IF(VLOOKUP($A98,'Add from APT'!$AA$2:$AC826,3,FALSE)&gt;0,TRUE,FALSE),"ER - NOT IN APT")</f>
        <v>0</v>
      </c>
      <c r="Q98" s="105" t="str">
        <f>IF(ISLOGICAL(P98),IF(P98,"ER - REPS IN APT", IFNA(VLOOKUP($A98,RAW_APT!$A$3:$M826,7,FALSE),"ER - NOT IN APT")),P98)</f>
        <v>Result</v>
      </c>
      <c r="R98" s="106" t="b">
        <f t="shared" si="2"/>
        <v>1</v>
      </c>
      <c r="S98" s="107">
        <f t="shared" si="3"/>
        <v>1</v>
      </c>
      <c r="T98" s="143"/>
      <c r="U98" s="142"/>
      <c r="V98" s="142"/>
      <c r="W98" s="142"/>
      <c r="X98" s="110" t="b">
        <f t="shared" si="4"/>
        <v>0</v>
      </c>
      <c r="Y98" s="111" t="b">
        <v>0</v>
      </c>
      <c r="Z98" s="104" t="str">
        <f t="shared" si="5"/>
        <v/>
      </c>
      <c r="AA98" s="112" t="b">
        <f t="shared" si="6"/>
        <v>0</v>
      </c>
      <c r="AB98" s="142" t="b">
        <v>0</v>
      </c>
      <c r="AC98" s="140">
        <v>692.0</v>
      </c>
      <c r="AD98" s="141" t="b">
        <v>0</v>
      </c>
      <c r="AE98" s="115">
        <f t="shared" si="7"/>
        <v>208.85</v>
      </c>
      <c r="AF98" s="116" t="b">
        <f t="shared" si="8"/>
        <v>0</v>
      </c>
      <c r="AG98" s="105" t="b">
        <f t="shared" si="9"/>
        <v>0</v>
      </c>
      <c r="AH98" s="140"/>
      <c r="AI98" s="140"/>
      <c r="AJ98" s="140"/>
      <c r="AK98" s="117" t="str">
        <f t="shared" si="10"/>
        <v>Negative</v>
      </c>
      <c r="AL98" s="142"/>
      <c r="AM98" s="112" t="s">
        <v>504</v>
      </c>
      <c r="AN98" s="112" t="s">
        <v>505</v>
      </c>
      <c r="AO98" s="112" t="str">
        <f>IFERROR(__xludf.DUMMYFUNCTION("IF($AG98, ""DELETED"",TRIM(JOIN("" "",D98:E98)))"),"")</f>
        <v/>
      </c>
      <c r="AP98" s="112" t="str">
        <f t="shared" ref="AP98:AQ98" si="123">IF($AG98, "DELETED", TRIM(CONCATENATE(F98,I98,U98)))</f>
        <v/>
      </c>
      <c r="AQ98" s="112" t="str">
        <f t="shared" si="123"/>
        <v/>
      </c>
      <c r="AR98" s="112" t="str">
        <f>IFERROR(__xludf.DUMMYFUNCTION("IF($AG98, ""DELETED"", TRIM(JOIN("" "",AP98,AQ98)))"),"")</f>
        <v/>
      </c>
      <c r="AS98" s="118"/>
      <c r="AT98" s="110" t="b">
        <f t="shared" si="12"/>
        <v>0</v>
      </c>
      <c r="AU98" s="110" t="str">
        <f t="shared" si="13"/>
        <v/>
      </c>
      <c r="AV98" s="110" t="str">
        <f t="shared" si="14"/>
        <v/>
      </c>
      <c r="AW98" s="110" t="str">
        <f t="shared" si="15"/>
        <v/>
      </c>
      <c r="AX98" s="119" t="str">
        <f t="shared" si="16"/>
        <v/>
      </c>
      <c r="AY98" s="120"/>
      <c r="AZ98" s="121"/>
      <c r="BA98" s="122" t="str">
        <f t="shared" si="17"/>
        <v/>
      </c>
      <c r="BB98" s="34"/>
      <c r="BC98" s="121"/>
      <c r="BD98" s="136"/>
      <c r="BE98" s="125" t="str">
        <f t="shared" si="18"/>
        <v/>
      </c>
      <c r="BF98" s="126" t="str">
        <f t="shared" si="19"/>
        <v>MA451__44566_0.311527777777778</v>
      </c>
      <c r="BG98" s="127" t="str">
        <f t="shared" si="20"/>
        <v/>
      </c>
      <c r="BH98" s="137" t="s">
        <v>506</v>
      </c>
      <c r="BI98" s="128" t="str">
        <f t="shared" si="21"/>
        <v>FM370</v>
      </c>
      <c r="BJ98" s="129" t="b">
        <f t="shared" si="22"/>
        <v>0</v>
      </c>
      <c r="BK98" s="128" t="str">
        <f t="shared" si="23"/>
        <v/>
      </c>
      <c r="BL98" s="121"/>
      <c r="BM98" s="5" t="str">
        <f t="shared" si="24"/>
        <v>MISSING</v>
      </c>
      <c r="BN98" s="120" t="b">
        <f t="shared" si="25"/>
        <v>0</v>
      </c>
      <c r="BO98" s="131" t="b">
        <f t="shared" si="26"/>
        <v>1</v>
      </c>
      <c r="BP98" s="121"/>
      <c r="BQ98" s="132" t="str">
        <f>VLOOKUP(A98,RAW_APS!A$3:O826,15,FALSE)</f>
        <v/>
      </c>
      <c r="BR98" s="120" t="b">
        <f t="shared" si="27"/>
        <v>1</v>
      </c>
      <c r="BS98" s="121"/>
      <c r="BT98" s="138" t="s">
        <v>244</v>
      </c>
      <c r="BU98" s="10" t="b">
        <f t="shared" si="28"/>
        <v>1</v>
      </c>
      <c r="BV98" s="120"/>
      <c r="BW98" s="120"/>
      <c r="BX98" s="120"/>
      <c r="BY98" s="120"/>
      <c r="BZ98" s="120"/>
      <c r="CA98" s="120"/>
      <c r="CB98" s="120"/>
      <c r="CC98" s="120"/>
    </row>
    <row r="99">
      <c r="A99" s="2" t="s">
        <v>507</v>
      </c>
      <c r="B99" s="100">
        <v>44566.0</v>
      </c>
      <c r="C99" s="101">
        <v>0.32104166666666667</v>
      </c>
      <c r="D99" s="102"/>
      <c r="E99" s="102"/>
      <c r="F99" s="139"/>
      <c r="G99" s="139"/>
      <c r="H99" s="139"/>
      <c r="I99" s="103"/>
      <c r="J99" s="103"/>
      <c r="K99" s="2" t="s">
        <v>244</v>
      </c>
      <c r="L99" s="100">
        <v>44566.0</v>
      </c>
      <c r="M99" s="101">
        <v>0.4565625</v>
      </c>
      <c r="P99" s="104" t="b">
        <f>IFNA(IF(VLOOKUP($A99,'Add from APT'!$AA$2:$AC826,3,FALSE)&gt;0,TRUE,FALSE),"ER - NOT IN APT")</f>
        <v>0</v>
      </c>
      <c r="Q99" s="105" t="str">
        <f>IF(ISLOGICAL(P99),IF(P99,"ER - REPS IN APT", IFNA(VLOOKUP($A99,RAW_APT!$A$3:$M826,7,FALSE),"ER - NOT IN APT")),P99)</f>
        <v>Result</v>
      </c>
      <c r="R99" s="106" t="b">
        <f t="shared" si="2"/>
        <v>1</v>
      </c>
      <c r="S99" s="107">
        <f t="shared" si="3"/>
        <v>1</v>
      </c>
      <c r="T99" s="140">
        <v>0.0</v>
      </c>
      <c r="U99" s="141"/>
      <c r="V99" s="141"/>
      <c r="W99" s="142"/>
      <c r="X99" s="110" t="b">
        <f t="shared" si="4"/>
        <v>0</v>
      </c>
      <c r="Y99" s="111" t="b">
        <v>0</v>
      </c>
      <c r="Z99" s="104" t="str">
        <f t="shared" si="5"/>
        <v/>
      </c>
      <c r="AA99" s="112" t="b">
        <f t="shared" si="6"/>
        <v>0</v>
      </c>
      <c r="AB99" s="142" t="b">
        <v>0</v>
      </c>
      <c r="AC99" s="140">
        <v>691.0</v>
      </c>
      <c r="AD99" s="141" t="b">
        <v>0</v>
      </c>
      <c r="AE99" s="115">
        <f t="shared" si="7"/>
        <v>195.15</v>
      </c>
      <c r="AF99" s="116" t="b">
        <f t="shared" si="8"/>
        <v>0</v>
      </c>
      <c r="AG99" s="105" t="b">
        <f t="shared" si="9"/>
        <v>0</v>
      </c>
      <c r="AH99" s="140"/>
      <c r="AI99" s="140"/>
      <c r="AJ99" s="140"/>
      <c r="AK99" s="117" t="str">
        <f t="shared" si="10"/>
        <v>Negative</v>
      </c>
      <c r="AL99" s="142"/>
      <c r="AM99" s="112" t="s">
        <v>508</v>
      </c>
      <c r="AN99" s="112" t="s">
        <v>509</v>
      </c>
      <c r="AO99" s="112" t="str">
        <f>IFERROR(__xludf.DUMMYFUNCTION("IF($AG99, ""DELETED"",TRIM(JOIN("" "",D99:E99)))"),"")</f>
        <v/>
      </c>
      <c r="AP99" s="112" t="str">
        <f t="shared" ref="AP99:AQ99" si="124">IF($AG99, "DELETED", TRIM(CONCATENATE(F99,I99,U99)))</f>
        <v/>
      </c>
      <c r="AQ99" s="112" t="str">
        <f t="shared" si="124"/>
        <v/>
      </c>
      <c r="AR99" s="112" t="str">
        <f>IFERROR(__xludf.DUMMYFUNCTION("IF($AG99, ""DELETED"", TRIM(JOIN("" "",AP99,AQ99)))"),"")</f>
        <v/>
      </c>
      <c r="AS99" s="118"/>
      <c r="AT99" s="110" t="b">
        <f t="shared" si="12"/>
        <v>0</v>
      </c>
      <c r="AU99" s="110" t="str">
        <f t="shared" si="13"/>
        <v/>
      </c>
      <c r="AV99" s="110" t="str">
        <f t="shared" si="14"/>
        <v/>
      </c>
      <c r="AW99" s="110" t="str">
        <f t="shared" si="15"/>
        <v/>
      </c>
      <c r="AX99" s="119" t="str">
        <f t="shared" si="16"/>
        <v/>
      </c>
      <c r="AY99" s="120"/>
      <c r="AZ99" s="121"/>
      <c r="BA99" s="122" t="str">
        <f t="shared" si="17"/>
        <v/>
      </c>
      <c r="BB99" s="34"/>
      <c r="BC99" s="121"/>
      <c r="BD99" s="136"/>
      <c r="BE99" s="125" t="str">
        <f t="shared" si="18"/>
        <v/>
      </c>
      <c r="BF99" s="126" t="str">
        <f t="shared" si="19"/>
        <v>MA356__44566_0.321041666666667</v>
      </c>
      <c r="BG99" s="127" t="str">
        <f t="shared" si="20"/>
        <v/>
      </c>
      <c r="BH99" s="137" t="s">
        <v>510</v>
      </c>
      <c r="BI99" s="128" t="str">
        <f t="shared" si="21"/>
        <v>FM371</v>
      </c>
      <c r="BJ99" s="129" t="b">
        <f t="shared" si="22"/>
        <v>0</v>
      </c>
      <c r="BK99" s="128" t="str">
        <f t="shared" si="23"/>
        <v/>
      </c>
      <c r="BL99" s="121"/>
      <c r="BM99" s="5" t="str">
        <f t="shared" si="24"/>
        <v>MISSING</v>
      </c>
      <c r="BN99" s="120" t="b">
        <f t="shared" si="25"/>
        <v>0</v>
      </c>
      <c r="BO99" s="131" t="b">
        <f t="shared" si="26"/>
        <v>1</v>
      </c>
      <c r="BP99" s="121"/>
      <c r="BQ99" s="132" t="str">
        <f>VLOOKUP(A99,RAW_APS!A$3:O826,15,FALSE)</f>
        <v/>
      </c>
      <c r="BR99" s="120" t="b">
        <f t="shared" si="27"/>
        <v>1</v>
      </c>
      <c r="BS99" s="121"/>
      <c r="BT99" s="138" t="s">
        <v>244</v>
      </c>
      <c r="BU99" s="10" t="b">
        <f t="shared" si="28"/>
        <v>1</v>
      </c>
      <c r="BV99" s="120"/>
      <c r="BW99" s="120"/>
      <c r="BX99" s="120"/>
      <c r="BY99" s="120"/>
      <c r="BZ99" s="120"/>
      <c r="CA99" s="120"/>
      <c r="CB99" s="120"/>
      <c r="CC99" s="120"/>
    </row>
    <row r="100">
      <c r="A100" s="2" t="s">
        <v>511</v>
      </c>
      <c r="B100" s="100">
        <v>44566.0</v>
      </c>
      <c r="C100" s="101">
        <v>0.3297453703703704</v>
      </c>
      <c r="D100" s="102"/>
      <c r="E100" s="102"/>
      <c r="F100" s="102"/>
      <c r="G100" s="102"/>
      <c r="H100" s="102"/>
      <c r="I100" s="103"/>
      <c r="J100" s="103"/>
      <c r="K100" s="2" t="s">
        <v>52</v>
      </c>
      <c r="L100" s="100">
        <v>44568.0</v>
      </c>
      <c r="M100" s="101">
        <v>0.508275462962963</v>
      </c>
      <c r="P100" s="104" t="b">
        <f>IFNA(IF(VLOOKUP($A100,'Add from APT'!$AA$2:$AC826,3,FALSE)&gt;0,TRUE,FALSE),"ER - NOT IN APT")</f>
        <v>0</v>
      </c>
      <c r="Q100" s="105" t="str">
        <f>IF(ISLOGICAL(P100),IF(P100,"ER - REPS IN APT", IFNA(VLOOKUP($A100,RAW_APT!$A$3:$M826,7,FALSE),"ER - NOT IN APT")),P100)</f>
        <v>Result</v>
      </c>
      <c r="R100" s="106" t="b">
        <f t="shared" si="2"/>
        <v>1</v>
      </c>
      <c r="S100" s="107">
        <f t="shared" si="3"/>
        <v>1</v>
      </c>
      <c r="T100" s="143"/>
      <c r="U100" s="142"/>
      <c r="V100" s="142"/>
      <c r="W100" s="142"/>
      <c r="X100" s="110" t="b">
        <f t="shared" si="4"/>
        <v>0</v>
      </c>
      <c r="Y100" s="111" t="b">
        <v>0</v>
      </c>
      <c r="Z100" s="104" t="str">
        <f t="shared" si="5"/>
        <v/>
      </c>
      <c r="AA100" s="112" t="b">
        <f t="shared" si="6"/>
        <v>0</v>
      </c>
      <c r="AB100" s="142" t="b">
        <v>0</v>
      </c>
      <c r="AC100" s="140">
        <v>690.0</v>
      </c>
      <c r="AD100" s="141" t="b">
        <v>0</v>
      </c>
      <c r="AE100" s="115" t="str">
        <f t="shared" si="7"/>
        <v/>
      </c>
      <c r="AF100" s="116" t="b">
        <f t="shared" si="8"/>
        <v>0</v>
      </c>
      <c r="AG100" s="105" t="b">
        <f t="shared" si="9"/>
        <v>0</v>
      </c>
      <c r="AH100" s="140"/>
      <c r="AI100" s="140"/>
      <c r="AJ100" s="140"/>
      <c r="AK100" s="117" t="str">
        <f t="shared" si="10"/>
        <v>Positive</v>
      </c>
      <c r="AL100" s="142"/>
      <c r="AM100" s="112" t="s">
        <v>512</v>
      </c>
      <c r="AN100" s="112" t="s">
        <v>513</v>
      </c>
      <c r="AO100" s="112" t="str">
        <f>IFERROR(__xludf.DUMMYFUNCTION("IF($AG100, ""DELETED"",TRIM(JOIN("" "",D100:E100)))"),"")</f>
        <v/>
      </c>
      <c r="AP100" s="112" t="str">
        <f t="shared" ref="AP100:AQ100" si="125">IF($AG100, "DELETED", TRIM(CONCATENATE(F100,I100,U100)))</f>
        <v/>
      </c>
      <c r="AQ100" s="112" t="str">
        <f t="shared" si="125"/>
        <v/>
      </c>
      <c r="AR100" s="112" t="str">
        <f>IFERROR(__xludf.DUMMYFUNCTION("IF($AG100, ""DELETED"", TRIM(JOIN("" "",AP100,AQ100)))"),"")</f>
        <v/>
      </c>
      <c r="AS100" s="118"/>
      <c r="AT100" s="110" t="b">
        <f t="shared" si="12"/>
        <v>0</v>
      </c>
      <c r="AU100" s="110" t="str">
        <f t="shared" si="13"/>
        <v/>
      </c>
      <c r="AV100" s="110" t="str">
        <f t="shared" si="14"/>
        <v/>
      </c>
      <c r="AW100" s="110" t="str">
        <f t="shared" si="15"/>
        <v/>
      </c>
      <c r="AX100" s="119" t="str">
        <f t="shared" si="16"/>
        <v/>
      </c>
      <c r="AY100" s="120"/>
      <c r="AZ100" s="121"/>
      <c r="BA100" s="122" t="str">
        <f t="shared" si="17"/>
        <v/>
      </c>
      <c r="BB100" s="34"/>
      <c r="BC100" s="121"/>
      <c r="BD100" s="136"/>
      <c r="BE100" s="125" t="str">
        <f t="shared" si="18"/>
        <v/>
      </c>
      <c r="BF100" s="126" t="str">
        <f t="shared" si="19"/>
        <v>MA263__44566_0.32974537037037</v>
      </c>
      <c r="BG100" s="127" t="str">
        <f t="shared" si="20"/>
        <v/>
      </c>
      <c r="BH100" s="137" t="s">
        <v>514</v>
      </c>
      <c r="BI100" s="128" t="str">
        <f t="shared" si="21"/>
        <v>FM372</v>
      </c>
      <c r="BJ100" s="129" t="b">
        <f t="shared" si="22"/>
        <v>0</v>
      </c>
      <c r="BK100" s="128" t="str">
        <f t="shared" si="23"/>
        <v/>
      </c>
      <c r="BL100" s="121"/>
      <c r="BM100" s="5" t="str">
        <f t="shared" si="24"/>
        <v>MISSING</v>
      </c>
      <c r="BN100" s="120" t="b">
        <f t="shared" si="25"/>
        <v>0</v>
      </c>
      <c r="BO100" s="131" t="b">
        <f t="shared" si="26"/>
        <v>1</v>
      </c>
      <c r="BP100" s="121"/>
      <c r="BQ100" s="132" t="str">
        <f>VLOOKUP(A100,RAW_APS!A$3:O826,15,FALSE)</f>
        <v/>
      </c>
      <c r="BR100" s="120" t="b">
        <f t="shared" si="27"/>
        <v>1</v>
      </c>
      <c r="BS100" s="121"/>
      <c r="BT100" s="138" t="s">
        <v>52</v>
      </c>
      <c r="BU100" s="10" t="b">
        <f t="shared" si="28"/>
        <v>1</v>
      </c>
      <c r="BV100" s="120"/>
      <c r="BW100" s="120"/>
      <c r="BX100" s="120"/>
      <c r="BY100" s="120"/>
      <c r="BZ100" s="120"/>
      <c r="CA100" s="120"/>
      <c r="CB100" s="120"/>
      <c r="CC100" s="120"/>
    </row>
    <row r="101">
      <c r="A101" s="2" t="s">
        <v>515</v>
      </c>
      <c r="B101" s="100">
        <v>44566.0</v>
      </c>
      <c r="C101" s="101">
        <v>0.3307638888888889</v>
      </c>
      <c r="D101" s="102"/>
      <c r="E101" s="102"/>
      <c r="F101" s="102"/>
      <c r="G101" s="102"/>
      <c r="H101" s="102"/>
      <c r="I101" s="103"/>
      <c r="J101" s="103"/>
      <c r="K101" s="2" t="s">
        <v>52</v>
      </c>
      <c r="L101" s="100">
        <v>44568.0</v>
      </c>
      <c r="M101" s="101">
        <v>0.508275462962963</v>
      </c>
      <c r="P101" s="104" t="b">
        <f>IFNA(IF(VLOOKUP($A101,'Add from APT'!$AA$2:$AC826,3,FALSE)&gt;0,TRUE,FALSE),"ER - NOT IN APT")</f>
        <v>0</v>
      </c>
      <c r="Q101" s="105" t="str">
        <f>IF(ISLOGICAL(P101),IF(P101,"ER - REPS IN APT", IFNA(VLOOKUP($A101,RAW_APT!$A$3:$M826,7,FALSE),"ER - NOT IN APT")),P101)</f>
        <v>Result</v>
      </c>
      <c r="R101" s="106" t="b">
        <f t="shared" si="2"/>
        <v>1</v>
      </c>
      <c r="S101" s="107">
        <f t="shared" si="3"/>
        <v>1</v>
      </c>
      <c r="T101" s="143"/>
      <c r="U101" s="142"/>
      <c r="V101" s="142"/>
      <c r="W101" s="142"/>
      <c r="X101" s="110" t="b">
        <f t="shared" si="4"/>
        <v>0</v>
      </c>
      <c r="Y101" s="111" t="b">
        <v>0</v>
      </c>
      <c r="Z101" s="104" t="str">
        <f t="shared" si="5"/>
        <v/>
      </c>
      <c r="AA101" s="112" t="b">
        <f t="shared" si="6"/>
        <v>0</v>
      </c>
      <c r="AB101" s="142" t="b">
        <v>0</v>
      </c>
      <c r="AC101" s="140">
        <v>689.0</v>
      </c>
      <c r="AD101" s="141" t="b">
        <v>0</v>
      </c>
      <c r="AE101" s="115" t="str">
        <f t="shared" si="7"/>
        <v/>
      </c>
      <c r="AF101" s="116" t="b">
        <f t="shared" si="8"/>
        <v>0</v>
      </c>
      <c r="AG101" s="105" t="b">
        <f t="shared" si="9"/>
        <v>0</v>
      </c>
      <c r="AH101" s="140"/>
      <c r="AI101" s="140"/>
      <c r="AJ101" s="140"/>
      <c r="AK101" s="117" t="str">
        <f t="shared" si="10"/>
        <v>Positive</v>
      </c>
      <c r="AL101" s="142"/>
      <c r="AM101" s="112" t="s">
        <v>477</v>
      </c>
      <c r="AN101" s="112" t="s">
        <v>450</v>
      </c>
      <c r="AO101" s="112" t="str">
        <f>IFERROR(__xludf.DUMMYFUNCTION("IF($AG101, ""DELETED"",TRIM(JOIN("" "",D101:E101)))"),"")</f>
        <v/>
      </c>
      <c r="AP101" s="112" t="str">
        <f t="shared" ref="AP101:AQ101" si="126">IF($AG101, "DELETED", TRIM(CONCATENATE(F101,I101,U101)))</f>
        <v/>
      </c>
      <c r="AQ101" s="112" t="str">
        <f t="shared" si="126"/>
        <v/>
      </c>
      <c r="AR101" s="112" t="str">
        <f>IFERROR(__xludf.DUMMYFUNCTION("IF($AG101, ""DELETED"", TRIM(JOIN("" "",AP101,AQ101)))"),"")</f>
        <v/>
      </c>
      <c r="AS101" s="118"/>
      <c r="AT101" s="110" t="b">
        <f t="shared" si="12"/>
        <v>0</v>
      </c>
      <c r="AU101" s="110" t="str">
        <f t="shared" si="13"/>
        <v/>
      </c>
      <c r="AV101" s="110" t="str">
        <f t="shared" si="14"/>
        <v/>
      </c>
      <c r="AW101" s="110" t="str">
        <f t="shared" si="15"/>
        <v/>
      </c>
      <c r="AX101" s="119" t="str">
        <f t="shared" si="16"/>
        <v/>
      </c>
      <c r="AY101" s="120"/>
      <c r="AZ101" s="121"/>
      <c r="BA101" s="122" t="str">
        <f t="shared" si="17"/>
        <v/>
      </c>
      <c r="BB101" s="34"/>
      <c r="BC101" s="121"/>
      <c r="BD101" s="136"/>
      <c r="BE101" s="125" t="str">
        <f t="shared" si="18"/>
        <v/>
      </c>
      <c r="BF101" s="126" t="str">
        <f t="shared" si="19"/>
        <v>MA218__44566_0.330763888888889</v>
      </c>
      <c r="BG101" s="127" t="str">
        <f t="shared" si="20"/>
        <v/>
      </c>
      <c r="BH101" s="137" t="s">
        <v>516</v>
      </c>
      <c r="BI101" s="128" t="str">
        <f t="shared" si="21"/>
        <v>FM374</v>
      </c>
      <c r="BJ101" s="129" t="b">
        <f t="shared" si="22"/>
        <v>0</v>
      </c>
      <c r="BK101" s="128" t="str">
        <f t="shared" si="23"/>
        <v/>
      </c>
      <c r="BL101" s="121"/>
      <c r="BM101" s="5" t="str">
        <f t="shared" si="24"/>
        <v>MISSING</v>
      </c>
      <c r="BN101" s="120" t="b">
        <f t="shared" si="25"/>
        <v>0</v>
      </c>
      <c r="BO101" s="131" t="b">
        <f t="shared" si="26"/>
        <v>1</v>
      </c>
      <c r="BP101" s="121"/>
      <c r="BQ101" s="132" t="str">
        <f>VLOOKUP(A101,RAW_APS!A$3:O826,15,FALSE)</f>
        <v/>
      </c>
      <c r="BR101" s="120" t="b">
        <f t="shared" si="27"/>
        <v>1</v>
      </c>
      <c r="BS101" s="121"/>
      <c r="BT101" s="138" t="s">
        <v>52</v>
      </c>
      <c r="BU101" s="10" t="b">
        <f t="shared" si="28"/>
        <v>1</v>
      </c>
      <c r="BV101" s="120"/>
      <c r="BW101" s="120"/>
      <c r="BX101" s="120"/>
      <c r="BY101" s="120"/>
      <c r="BZ101" s="120"/>
      <c r="CA101" s="120"/>
      <c r="CB101" s="120"/>
      <c r="CC101" s="120"/>
    </row>
    <row r="102">
      <c r="A102" s="2" t="s">
        <v>517</v>
      </c>
      <c r="B102" s="100">
        <v>44566.0</v>
      </c>
      <c r="C102" s="101">
        <v>0.33738425925925924</v>
      </c>
      <c r="D102" s="102"/>
      <c r="E102" s="102"/>
      <c r="F102" s="102"/>
      <c r="G102" s="102"/>
      <c r="H102" s="102"/>
      <c r="I102" s="103"/>
      <c r="J102" s="103"/>
      <c r="K102" s="2" t="s">
        <v>244</v>
      </c>
      <c r="L102" s="100">
        <v>44566.0</v>
      </c>
      <c r="M102" s="101">
        <v>0.4565625</v>
      </c>
      <c r="P102" s="104" t="b">
        <f>IFNA(IF(VLOOKUP($A102,'Add from APT'!$AA$2:$AC826,3,FALSE)&gt;0,TRUE,FALSE),"ER - NOT IN APT")</f>
        <v>0</v>
      </c>
      <c r="Q102" s="105" t="str">
        <f>IF(ISLOGICAL(P102),IF(P102,"ER - REPS IN APT", IFNA(VLOOKUP($A102,RAW_APT!$A$3:$M826,7,FALSE),"ER - NOT IN APT")),P102)</f>
        <v>Result</v>
      </c>
      <c r="R102" s="106" t="b">
        <f t="shared" si="2"/>
        <v>1</v>
      </c>
      <c r="S102" s="107">
        <f t="shared" si="3"/>
        <v>1</v>
      </c>
      <c r="T102" s="143"/>
      <c r="U102" s="142"/>
      <c r="V102" s="142"/>
      <c r="W102" s="142"/>
      <c r="X102" s="110" t="b">
        <f t="shared" si="4"/>
        <v>0</v>
      </c>
      <c r="Y102" s="111" t="b">
        <v>0</v>
      </c>
      <c r="Z102" s="104" t="str">
        <f t="shared" si="5"/>
        <v/>
      </c>
      <c r="AA102" s="112" t="b">
        <f t="shared" si="6"/>
        <v>0</v>
      </c>
      <c r="AB102" s="142" t="b">
        <v>0</v>
      </c>
      <c r="AC102" s="140">
        <v>688.0</v>
      </c>
      <c r="AD102" s="141" t="b">
        <v>0</v>
      </c>
      <c r="AE102" s="115">
        <f t="shared" si="7"/>
        <v>171.6166667</v>
      </c>
      <c r="AF102" s="116" t="b">
        <f t="shared" si="8"/>
        <v>0</v>
      </c>
      <c r="AG102" s="105" t="b">
        <f t="shared" si="9"/>
        <v>0</v>
      </c>
      <c r="AH102" s="140"/>
      <c r="AI102" s="140"/>
      <c r="AJ102" s="140"/>
      <c r="AK102" s="117" t="str">
        <f t="shared" si="10"/>
        <v>Negative</v>
      </c>
      <c r="AL102" s="142"/>
      <c r="AM102" s="112" t="s">
        <v>307</v>
      </c>
      <c r="AN102" s="112" t="s">
        <v>266</v>
      </c>
      <c r="AO102" s="112" t="str">
        <f>IFERROR(__xludf.DUMMYFUNCTION("IF($AG102, ""DELETED"",TRIM(JOIN("" "",D102:E102)))"),"")</f>
        <v/>
      </c>
      <c r="AP102" s="112" t="str">
        <f t="shared" ref="AP102:AQ102" si="127">IF($AG102, "DELETED", TRIM(CONCATENATE(F102,I102,U102)))</f>
        <v/>
      </c>
      <c r="AQ102" s="112" t="str">
        <f t="shared" si="127"/>
        <v/>
      </c>
      <c r="AR102" s="112" t="str">
        <f>IFERROR(__xludf.DUMMYFUNCTION("IF($AG102, ""DELETED"", TRIM(JOIN("" "",AP102,AQ102)))"),"")</f>
        <v/>
      </c>
      <c r="AS102" s="118"/>
      <c r="AT102" s="110" t="b">
        <f t="shared" si="12"/>
        <v>0</v>
      </c>
      <c r="AU102" s="110" t="str">
        <f t="shared" si="13"/>
        <v/>
      </c>
      <c r="AV102" s="110" t="str">
        <f t="shared" si="14"/>
        <v/>
      </c>
      <c r="AW102" s="110" t="str">
        <f t="shared" si="15"/>
        <v/>
      </c>
      <c r="AX102" s="119" t="str">
        <f t="shared" si="16"/>
        <v/>
      </c>
      <c r="AY102" s="120"/>
      <c r="AZ102" s="121"/>
      <c r="BA102" s="122" t="str">
        <f t="shared" si="17"/>
        <v/>
      </c>
      <c r="BB102" s="34"/>
      <c r="BC102" s="121"/>
      <c r="BD102" s="136"/>
      <c r="BE102" s="125" t="str">
        <f t="shared" si="18"/>
        <v/>
      </c>
      <c r="BF102" s="126" t="str">
        <f t="shared" si="19"/>
        <v>MA654__44566_0.337384259259259</v>
      </c>
      <c r="BG102" s="127" t="str">
        <f t="shared" si="20"/>
        <v/>
      </c>
      <c r="BH102" s="137" t="s">
        <v>518</v>
      </c>
      <c r="BI102" s="128" t="str">
        <f t="shared" si="21"/>
        <v>FM38</v>
      </c>
      <c r="BJ102" s="129" t="b">
        <f t="shared" si="22"/>
        <v>0</v>
      </c>
      <c r="BK102" s="128" t="str">
        <f t="shared" si="23"/>
        <v/>
      </c>
      <c r="BL102" s="121"/>
      <c r="BM102" s="5" t="str">
        <f t="shared" si="24"/>
        <v>MISSING</v>
      </c>
      <c r="BN102" s="120" t="b">
        <f t="shared" si="25"/>
        <v>0</v>
      </c>
      <c r="BO102" s="131" t="b">
        <f t="shared" si="26"/>
        <v>1</v>
      </c>
      <c r="BP102" s="121"/>
      <c r="BQ102" s="132" t="str">
        <f>VLOOKUP(A102,RAW_APS!A$3:O826,15,FALSE)</f>
        <v/>
      </c>
      <c r="BR102" s="120" t="b">
        <f t="shared" si="27"/>
        <v>1</v>
      </c>
      <c r="BS102" s="121"/>
      <c r="BT102" s="138" t="s">
        <v>244</v>
      </c>
      <c r="BU102" s="10" t="b">
        <f t="shared" si="28"/>
        <v>1</v>
      </c>
      <c r="BV102" s="120"/>
      <c r="BW102" s="120"/>
      <c r="BX102" s="120"/>
      <c r="BY102" s="120"/>
      <c r="BZ102" s="120"/>
      <c r="CA102" s="120"/>
      <c r="CB102" s="120"/>
      <c r="CC102" s="120"/>
    </row>
    <row r="103">
      <c r="A103" s="2" t="s">
        <v>519</v>
      </c>
      <c r="B103" s="100">
        <v>44566.0</v>
      </c>
      <c r="C103" s="101">
        <v>0.3388888888888889</v>
      </c>
      <c r="D103" s="102"/>
      <c r="E103" s="102"/>
      <c r="F103" s="102"/>
      <c r="G103" s="102"/>
      <c r="H103" s="102"/>
      <c r="I103" s="103"/>
      <c r="J103" s="103"/>
      <c r="K103" s="2" t="s">
        <v>244</v>
      </c>
      <c r="L103" s="100">
        <v>44566.0</v>
      </c>
      <c r="M103" s="101">
        <v>0.4565625</v>
      </c>
      <c r="P103" s="104" t="b">
        <f>IFNA(IF(VLOOKUP($A103,'Add from APT'!$AA$2:$AC826,3,FALSE)&gt;0,TRUE,FALSE),"ER - NOT IN APT")</f>
        <v>0</v>
      </c>
      <c r="Q103" s="105" t="str">
        <f>IF(ISLOGICAL(P103),IF(P103,"ER - REPS IN APT", IFNA(VLOOKUP($A103,RAW_APT!$A$3:$M826,7,FALSE),"ER - NOT IN APT")),P103)</f>
        <v>Result</v>
      </c>
      <c r="R103" s="106" t="b">
        <f t="shared" si="2"/>
        <v>1</v>
      </c>
      <c r="S103" s="107">
        <f t="shared" si="3"/>
        <v>1</v>
      </c>
      <c r="T103" s="143"/>
      <c r="U103" s="142"/>
      <c r="V103" s="142"/>
      <c r="W103" s="142"/>
      <c r="X103" s="110" t="b">
        <f t="shared" si="4"/>
        <v>0</v>
      </c>
      <c r="Y103" s="111" t="b">
        <v>0</v>
      </c>
      <c r="Z103" s="104" t="str">
        <f t="shared" si="5"/>
        <v/>
      </c>
      <c r="AA103" s="112" t="b">
        <f t="shared" si="6"/>
        <v>0</v>
      </c>
      <c r="AB103" s="142" t="b">
        <v>0</v>
      </c>
      <c r="AC103" s="140">
        <v>687.0</v>
      </c>
      <c r="AD103" s="141" t="b">
        <v>0</v>
      </c>
      <c r="AE103" s="115">
        <f t="shared" si="7"/>
        <v>169.45</v>
      </c>
      <c r="AF103" s="116" t="b">
        <f t="shared" si="8"/>
        <v>0</v>
      </c>
      <c r="AG103" s="105" t="b">
        <f t="shared" si="9"/>
        <v>0</v>
      </c>
      <c r="AH103" s="140"/>
      <c r="AI103" s="140"/>
      <c r="AJ103" s="140"/>
      <c r="AK103" s="117" t="str">
        <f t="shared" si="10"/>
        <v>Negative</v>
      </c>
      <c r="AL103" s="142"/>
      <c r="AM103" s="112" t="s">
        <v>520</v>
      </c>
      <c r="AN103" s="112" t="s">
        <v>521</v>
      </c>
      <c r="AO103" s="112" t="str">
        <f>IFERROR(__xludf.DUMMYFUNCTION("IF($AG103, ""DELETED"",TRIM(JOIN("" "",D103:E103)))"),"")</f>
        <v/>
      </c>
      <c r="AP103" s="112" t="str">
        <f t="shared" ref="AP103:AQ103" si="128">IF($AG103, "DELETED", TRIM(CONCATENATE(F103,I103,U103)))</f>
        <v/>
      </c>
      <c r="AQ103" s="112" t="str">
        <f t="shared" si="128"/>
        <v/>
      </c>
      <c r="AR103" s="112" t="str">
        <f>IFERROR(__xludf.DUMMYFUNCTION("IF($AG103, ""DELETED"", TRIM(JOIN("" "",AP103,AQ103)))"),"")</f>
        <v/>
      </c>
      <c r="AS103" s="118"/>
      <c r="AT103" s="110" t="b">
        <f t="shared" si="12"/>
        <v>0</v>
      </c>
      <c r="AU103" s="110" t="str">
        <f t="shared" si="13"/>
        <v/>
      </c>
      <c r="AV103" s="110" t="str">
        <f t="shared" si="14"/>
        <v/>
      </c>
      <c r="AW103" s="110" t="str">
        <f t="shared" si="15"/>
        <v/>
      </c>
      <c r="AX103" s="119" t="str">
        <f t="shared" si="16"/>
        <v/>
      </c>
      <c r="AY103" s="120"/>
      <c r="AZ103" s="121"/>
      <c r="BA103" s="122" t="str">
        <f t="shared" si="17"/>
        <v/>
      </c>
      <c r="BB103" s="34"/>
      <c r="BC103" s="121"/>
      <c r="BD103" s="136"/>
      <c r="BE103" s="125" t="str">
        <f t="shared" si="18"/>
        <v/>
      </c>
      <c r="BF103" s="126" t="str">
        <f t="shared" si="19"/>
        <v>MA230__44566_0.338888888888889</v>
      </c>
      <c r="BG103" s="127" t="str">
        <f t="shared" si="20"/>
        <v/>
      </c>
      <c r="BH103" s="137" t="s">
        <v>522</v>
      </c>
      <c r="BI103" s="128" t="str">
        <f t="shared" si="21"/>
        <v>FM380</v>
      </c>
      <c r="BJ103" s="129" t="b">
        <f t="shared" si="22"/>
        <v>0</v>
      </c>
      <c r="BK103" s="128" t="str">
        <f t="shared" si="23"/>
        <v/>
      </c>
      <c r="BL103" s="121"/>
      <c r="BM103" s="5" t="str">
        <f t="shared" si="24"/>
        <v>MISSING</v>
      </c>
      <c r="BN103" s="120" t="b">
        <f t="shared" si="25"/>
        <v>0</v>
      </c>
      <c r="BO103" s="131" t="b">
        <f t="shared" si="26"/>
        <v>1</v>
      </c>
      <c r="BP103" s="121"/>
      <c r="BQ103" s="132" t="str">
        <f>VLOOKUP(A103,RAW_APS!A$3:O826,15,FALSE)</f>
        <v/>
      </c>
      <c r="BR103" s="120" t="b">
        <f t="shared" si="27"/>
        <v>1</v>
      </c>
      <c r="BS103" s="121"/>
      <c r="BT103" s="138" t="s">
        <v>244</v>
      </c>
      <c r="BU103" s="10" t="b">
        <f t="shared" si="28"/>
        <v>1</v>
      </c>
      <c r="BV103" s="120"/>
      <c r="BW103" s="120"/>
      <c r="BX103" s="120"/>
      <c r="BY103" s="120"/>
      <c r="BZ103" s="120"/>
      <c r="CA103" s="120"/>
      <c r="CB103" s="120"/>
      <c r="CC103" s="120"/>
    </row>
    <row r="104">
      <c r="A104" s="2" t="s">
        <v>523</v>
      </c>
      <c r="B104" s="100">
        <v>44566.0</v>
      </c>
      <c r="C104" s="101">
        <v>0.35116898148148146</v>
      </c>
      <c r="D104" s="102"/>
      <c r="E104" s="102"/>
      <c r="F104" s="102"/>
      <c r="G104" s="102"/>
      <c r="H104" s="102"/>
      <c r="I104" s="103"/>
      <c r="J104" s="103"/>
      <c r="K104" s="2" t="s">
        <v>244</v>
      </c>
      <c r="L104" s="100">
        <v>44566.0</v>
      </c>
      <c r="M104" s="101">
        <v>0.4565625</v>
      </c>
      <c r="P104" s="104" t="b">
        <f>IFNA(IF(VLOOKUP($A104,'Add from APT'!$AA$2:$AC826,3,FALSE)&gt;0,TRUE,FALSE),"ER - NOT IN APT")</f>
        <v>0</v>
      </c>
      <c r="Q104" s="105" t="str">
        <f>IF(ISLOGICAL(P104),IF(P104,"ER - REPS IN APT", IFNA(VLOOKUP($A104,RAW_APT!$A$3:$M826,7,FALSE),"ER - NOT IN APT")),P104)</f>
        <v>Result</v>
      </c>
      <c r="R104" s="106" t="b">
        <f t="shared" si="2"/>
        <v>1</v>
      </c>
      <c r="S104" s="107">
        <f t="shared" si="3"/>
        <v>1</v>
      </c>
      <c r="T104" s="143"/>
      <c r="U104" s="142"/>
      <c r="V104" s="142"/>
      <c r="W104" s="142"/>
      <c r="X104" s="110" t="b">
        <f t="shared" si="4"/>
        <v>0</v>
      </c>
      <c r="Y104" s="111" t="b">
        <v>0</v>
      </c>
      <c r="Z104" s="104" t="str">
        <f t="shared" si="5"/>
        <v/>
      </c>
      <c r="AA104" s="112" t="b">
        <f t="shared" si="6"/>
        <v>0</v>
      </c>
      <c r="AB104" s="142" t="b">
        <v>0</v>
      </c>
      <c r="AC104" s="140">
        <v>686.0</v>
      </c>
      <c r="AD104" s="141" t="b">
        <v>0</v>
      </c>
      <c r="AE104" s="115">
        <f t="shared" si="7"/>
        <v>151.7666667</v>
      </c>
      <c r="AF104" s="116" t="b">
        <f t="shared" si="8"/>
        <v>0</v>
      </c>
      <c r="AG104" s="105" t="b">
        <f t="shared" si="9"/>
        <v>0</v>
      </c>
      <c r="AH104" s="140"/>
      <c r="AI104" s="140"/>
      <c r="AJ104" s="140"/>
      <c r="AK104" s="117" t="str">
        <f t="shared" si="10"/>
        <v>Negative</v>
      </c>
      <c r="AL104" s="142"/>
      <c r="AM104" s="112" t="s">
        <v>261</v>
      </c>
      <c r="AN104" s="112" t="s">
        <v>262</v>
      </c>
      <c r="AO104" s="112" t="str">
        <f>IFERROR(__xludf.DUMMYFUNCTION("IF($AG104, ""DELETED"",TRIM(JOIN("" "",D104:E104)))"),"")</f>
        <v/>
      </c>
      <c r="AP104" s="112" t="str">
        <f t="shared" ref="AP104:AQ104" si="129">IF($AG104, "DELETED", TRIM(CONCATENATE(F104,I104,U104)))</f>
        <v/>
      </c>
      <c r="AQ104" s="112" t="str">
        <f t="shared" si="129"/>
        <v/>
      </c>
      <c r="AR104" s="112" t="str">
        <f>IFERROR(__xludf.DUMMYFUNCTION("IF($AG104, ""DELETED"", TRIM(JOIN("" "",AP104,AQ104)))"),"")</f>
        <v/>
      </c>
      <c r="AS104" s="118"/>
      <c r="AT104" s="110" t="b">
        <f t="shared" si="12"/>
        <v>0</v>
      </c>
      <c r="AU104" s="110" t="str">
        <f t="shared" si="13"/>
        <v/>
      </c>
      <c r="AV104" s="110" t="str">
        <f t="shared" si="14"/>
        <v/>
      </c>
      <c r="AW104" s="110" t="str">
        <f t="shared" si="15"/>
        <v/>
      </c>
      <c r="AX104" s="119" t="str">
        <f t="shared" si="16"/>
        <v/>
      </c>
      <c r="AY104" s="120"/>
      <c r="AZ104" s="121"/>
      <c r="BA104" s="122" t="str">
        <f t="shared" si="17"/>
        <v/>
      </c>
      <c r="BB104" s="34"/>
      <c r="BC104" s="121"/>
      <c r="BD104" s="136"/>
      <c r="BE104" s="125" t="str">
        <f t="shared" si="18"/>
        <v/>
      </c>
      <c r="BF104" s="126" t="str">
        <f t="shared" si="19"/>
        <v>MA636__44566_0.351168981481481</v>
      </c>
      <c r="BG104" s="127" t="str">
        <f t="shared" si="20"/>
        <v/>
      </c>
      <c r="BH104" s="137" t="s">
        <v>524</v>
      </c>
      <c r="BI104" s="128" t="str">
        <f t="shared" si="21"/>
        <v>FM388</v>
      </c>
      <c r="BJ104" s="129" t="b">
        <f t="shared" si="22"/>
        <v>0</v>
      </c>
      <c r="BK104" s="128" t="str">
        <f t="shared" si="23"/>
        <v/>
      </c>
      <c r="BL104" s="121"/>
      <c r="BM104" s="5" t="str">
        <f t="shared" si="24"/>
        <v>MISSING</v>
      </c>
      <c r="BN104" s="120" t="b">
        <f t="shared" si="25"/>
        <v>0</v>
      </c>
      <c r="BO104" s="131" t="b">
        <f t="shared" si="26"/>
        <v>1</v>
      </c>
      <c r="BP104" s="121"/>
      <c r="BQ104" s="132" t="str">
        <f>VLOOKUP(A104,RAW_APS!A$3:O826,15,FALSE)</f>
        <v/>
      </c>
      <c r="BR104" s="120" t="b">
        <f t="shared" si="27"/>
        <v>1</v>
      </c>
      <c r="BS104" s="121"/>
      <c r="BT104" s="138" t="s">
        <v>244</v>
      </c>
      <c r="BU104" s="10" t="b">
        <f t="shared" si="28"/>
        <v>1</v>
      </c>
      <c r="BV104" s="120"/>
      <c r="BW104" s="120"/>
      <c r="BX104" s="120"/>
      <c r="BY104" s="120"/>
      <c r="BZ104" s="120"/>
      <c r="CA104" s="120"/>
      <c r="CB104" s="120"/>
      <c r="CC104" s="120"/>
    </row>
    <row r="105">
      <c r="A105" s="2" t="s">
        <v>525</v>
      </c>
      <c r="B105" s="100">
        <v>44566.0</v>
      </c>
      <c r="C105" s="101">
        <v>0.3789351851851852</v>
      </c>
      <c r="D105" s="102"/>
      <c r="E105" s="102"/>
      <c r="F105" s="102"/>
      <c r="G105" s="102"/>
      <c r="H105" s="102"/>
      <c r="I105" s="103"/>
      <c r="J105" s="103"/>
      <c r="K105" s="2" t="s">
        <v>244</v>
      </c>
      <c r="L105" s="100">
        <v>44566.0</v>
      </c>
      <c r="M105" s="101">
        <v>0.4565625</v>
      </c>
      <c r="P105" s="104" t="b">
        <f>IFNA(IF(VLOOKUP($A105,'Add from APT'!$AA$2:$AC826,3,FALSE)&gt;0,TRUE,FALSE),"ER - NOT IN APT")</f>
        <v>0</v>
      </c>
      <c r="Q105" s="105" t="str">
        <f>IF(ISLOGICAL(P105),IF(P105,"ER - REPS IN APT", IFNA(VLOOKUP($A105,RAW_APT!$A$3:$M826,7,FALSE),"ER - NOT IN APT")),P105)</f>
        <v>Result</v>
      </c>
      <c r="R105" s="106" t="b">
        <f t="shared" si="2"/>
        <v>1</v>
      </c>
      <c r="S105" s="107">
        <f t="shared" si="3"/>
        <v>1</v>
      </c>
      <c r="T105" s="143"/>
      <c r="U105" s="142"/>
      <c r="V105" s="142"/>
      <c r="W105" s="142"/>
      <c r="X105" s="110" t="b">
        <f t="shared" si="4"/>
        <v>0</v>
      </c>
      <c r="Y105" s="111" t="b">
        <v>0</v>
      </c>
      <c r="Z105" s="104" t="str">
        <f t="shared" si="5"/>
        <v/>
      </c>
      <c r="AA105" s="112" t="b">
        <f t="shared" si="6"/>
        <v>0</v>
      </c>
      <c r="AB105" s="142" t="b">
        <v>0</v>
      </c>
      <c r="AC105" s="140">
        <v>685.0</v>
      </c>
      <c r="AD105" s="141" t="b">
        <v>0</v>
      </c>
      <c r="AE105" s="115">
        <f t="shared" si="7"/>
        <v>111.7833333</v>
      </c>
      <c r="AF105" s="116" t="b">
        <f t="shared" si="8"/>
        <v>0</v>
      </c>
      <c r="AG105" s="105" t="b">
        <f t="shared" si="9"/>
        <v>0</v>
      </c>
      <c r="AH105" s="144"/>
      <c r="AI105" s="4"/>
      <c r="AJ105" s="3"/>
      <c r="AK105" s="117" t="str">
        <f t="shared" si="10"/>
        <v>Negative</v>
      </c>
      <c r="AL105" s="5"/>
      <c r="AM105" s="112" t="s">
        <v>261</v>
      </c>
      <c r="AN105" s="112" t="s">
        <v>425</v>
      </c>
      <c r="AO105" s="112" t="str">
        <f>IFERROR(__xludf.DUMMYFUNCTION("IF($AG105, ""DELETED"",TRIM(JOIN("" "",D105:E105)))"),"")</f>
        <v/>
      </c>
      <c r="AP105" s="112" t="str">
        <f t="shared" ref="AP105:AQ105" si="130">IF($AG105, "DELETED", TRIM(CONCATENATE(F105,I105,U105)))</f>
        <v/>
      </c>
      <c r="AQ105" s="112" t="str">
        <f t="shared" si="130"/>
        <v/>
      </c>
      <c r="AR105" s="112" t="str">
        <f>IFERROR(__xludf.DUMMYFUNCTION("IF($AG105, ""DELETED"", TRIM(JOIN("" "",AP105,AQ105)))"),"")</f>
        <v/>
      </c>
      <c r="AS105" s="118"/>
      <c r="AT105" s="110" t="b">
        <f t="shared" si="12"/>
        <v>0</v>
      </c>
      <c r="AU105" s="110" t="str">
        <f t="shared" si="13"/>
        <v/>
      </c>
      <c r="AV105" s="110" t="str">
        <f t="shared" si="14"/>
        <v/>
      </c>
      <c r="AW105" s="110" t="str">
        <f t="shared" si="15"/>
        <v/>
      </c>
      <c r="AX105" s="119" t="str">
        <f t="shared" si="16"/>
        <v/>
      </c>
      <c r="AY105" s="120"/>
      <c r="AZ105" s="121"/>
      <c r="BA105" s="122" t="str">
        <f t="shared" si="17"/>
        <v/>
      </c>
      <c r="BB105" s="34"/>
      <c r="BC105" s="121"/>
      <c r="BD105" s="136"/>
      <c r="BE105" s="125" t="str">
        <f t="shared" si="18"/>
        <v/>
      </c>
      <c r="BF105" s="126" t="str">
        <f t="shared" si="19"/>
        <v>MAX65__44566_0.378935185185185</v>
      </c>
      <c r="BG105" s="127" t="str">
        <f t="shared" si="20"/>
        <v/>
      </c>
      <c r="BH105" s="137" t="s">
        <v>526</v>
      </c>
      <c r="BI105" s="128" t="str">
        <f t="shared" si="21"/>
        <v>FM39</v>
      </c>
      <c r="BJ105" s="129" t="b">
        <f t="shared" si="22"/>
        <v>0</v>
      </c>
      <c r="BK105" s="128" t="str">
        <f t="shared" si="23"/>
        <v/>
      </c>
      <c r="BL105" s="121"/>
      <c r="BM105" s="5" t="str">
        <f t="shared" si="24"/>
        <v>MISSING</v>
      </c>
      <c r="BN105" s="120" t="b">
        <f t="shared" si="25"/>
        <v>0</v>
      </c>
      <c r="BO105" s="131" t="b">
        <f t="shared" si="26"/>
        <v>1</v>
      </c>
      <c r="BP105" s="121"/>
      <c r="BQ105" s="132" t="str">
        <f>VLOOKUP(A105,RAW_APS!A$3:O826,15,FALSE)</f>
        <v/>
      </c>
      <c r="BR105" s="120" t="b">
        <f t="shared" si="27"/>
        <v>1</v>
      </c>
      <c r="BS105" s="121"/>
      <c r="BT105" s="138" t="s">
        <v>244</v>
      </c>
      <c r="BU105" s="10" t="b">
        <f t="shared" si="28"/>
        <v>1</v>
      </c>
      <c r="BV105" s="120"/>
      <c r="BW105" s="120"/>
      <c r="BX105" s="120"/>
      <c r="BY105" s="120"/>
      <c r="BZ105" s="120"/>
      <c r="CA105" s="120"/>
      <c r="CB105" s="120"/>
      <c r="CC105" s="120"/>
    </row>
    <row r="106">
      <c r="A106" s="2" t="s">
        <v>527</v>
      </c>
      <c r="B106" s="100">
        <v>44566.0</v>
      </c>
      <c r="C106" s="101">
        <v>0.38178240740740743</v>
      </c>
      <c r="D106" s="102"/>
      <c r="E106" s="102"/>
      <c r="F106" s="102"/>
      <c r="G106" s="102"/>
      <c r="H106" s="102"/>
      <c r="I106" s="103"/>
      <c r="J106" s="103"/>
      <c r="K106" s="2" t="s">
        <v>244</v>
      </c>
      <c r="L106" s="100">
        <v>44566.0</v>
      </c>
      <c r="M106" s="101">
        <v>0.4565625</v>
      </c>
      <c r="P106" s="104" t="b">
        <f>IFNA(IF(VLOOKUP($A106,'Add from APT'!$AA$2:$AC826,3,FALSE)&gt;0,TRUE,FALSE),"ER - NOT IN APT")</f>
        <v>0</v>
      </c>
      <c r="Q106" s="105" t="str">
        <f>IF(ISLOGICAL(P106),IF(P106,"ER - REPS IN APT", IFNA(VLOOKUP($A106,RAW_APT!$A$3:$M826,7,FALSE),"ER - NOT IN APT")),P106)</f>
        <v>Result</v>
      </c>
      <c r="R106" s="106" t="b">
        <f t="shared" si="2"/>
        <v>1</v>
      </c>
      <c r="S106" s="107">
        <f t="shared" si="3"/>
        <v>1</v>
      </c>
      <c r="T106" s="143"/>
      <c r="U106" s="142"/>
      <c r="V106" s="142"/>
      <c r="W106" s="142"/>
      <c r="X106" s="110" t="b">
        <f t="shared" si="4"/>
        <v>0</v>
      </c>
      <c r="Y106" s="111" t="b">
        <v>0</v>
      </c>
      <c r="Z106" s="104" t="str">
        <f t="shared" si="5"/>
        <v/>
      </c>
      <c r="AA106" s="112" t="b">
        <f t="shared" si="6"/>
        <v>0</v>
      </c>
      <c r="AB106" s="142" t="b">
        <v>0</v>
      </c>
      <c r="AC106" s="140">
        <v>684.0</v>
      </c>
      <c r="AD106" s="141" t="b">
        <v>0</v>
      </c>
      <c r="AE106" s="115">
        <f t="shared" si="7"/>
        <v>107.6833333</v>
      </c>
      <c r="AF106" s="116" t="b">
        <f t="shared" si="8"/>
        <v>0</v>
      </c>
      <c r="AG106" s="105" t="b">
        <f t="shared" si="9"/>
        <v>0</v>
      </c>
      <c r="AH106" s="140"/>
      <c r="AI106" s="140"/>
      <c r="AJ106" s="140"/>
      <c r="AK106" s="117" t="str">
        <f t="shared" si="10"/>
        <v>Negative</v>
      </c>
      <c r="AL106" s="142"/>
      <c r="AM106" s="112" t="s">
        <v>261</v>
      </c>
      <c r="AN106" s="112" t="s">
        <v>458</v>
      </c>
      <c r="AO106" s="112" t="str">
        <f>IFERROR(__xludf.DUMMYFUNCTION("IF($AG106, ""DELETED"",TRIM(JOIN("" "",D106:E106)))"),"")</f>
        <v/>
      </c>
      <c r="AP106" s="112" t="str">
        <f t="shared" ref="AP106:AQ106" si="131">IF($AG106, "DELETED", TRIM(CONCATENATE(F106,I106,U106)))</f>
        <v/>
      </c>
      <c r="AQ106" s="112" t="str">
        <f t="shared" si="131"/>
        <v/>
      </c>
      <c r="AR106" s="112" t="str">
        <f>IFERROR(__xludf.DUMMYFUNCTION("IF($AG106, ""DELETED"", TRIM(JOIN("" "",AP106,AQ106)))"),"")</f>
        <v/>
      </c>
      <c r="AS106" s="118"/>
      <c r="AT106" s="110" t="b">
        <f t="shared" si="12"/>
        <v>0</v>
      </c>
      <c r="AU106" s="110" t="str">
        <f t="shared" si="13"/>
        <v/>
      </c>
      <c r="AV106" s="110" t="str">
        <f t="shared" si="14"/>
        <v/>
      </c>
      <c r="AW106" s="110" t="str">
        <f t="shared" si="15"/>
        <v/>
      </c>
      <c r="AX106" s="119" t="str">
        <f t="shared" si="16"/>
        <v/>
      </c>
      <c r="AY106" s="120"/>
      <c r="AZ106" s="121"/>
      <c r="BA106" s="122" t="str">
        <f t="shared" si="17"/>
        <v/>
      </c>
      <c r="BB106" s="34"/>
      <c r="BC106" s="121"/>
      <c r="BD106" s="136"/>
      <c r="BE106" s="125" t="str">
        <f t="shared" si="18"/>
        <v/>
      </c>
      <c r="BF106" s="126" t="str">
        <f t="shared" si="19"/>
        <v>MA648__44566_0.381782407407407</v>
      </c>
      <c r="BG106" s="127" t="str">
        <f t="shared" si="20"/>
        <v/>
      </c>
      <c r="BH106" s="137" t="s">
        <v>528</v>
      </c>
      <c r="BI106" s="128" t="str">
        <f t="shared" si="21"/>
        <v>FM390</v>
      </c>
      <c r="BJ106" s="129" t="b">
        <f t="shared" si="22"/>
        <v>0</v>
      </c>
      <c r="BK106" s="128" t="str">
        <f t="shared" si="23"/>
        <v/>
      </c>
      <c r="BL106" s="121"/>
      <c r="BM106" s="5" t="str">
        <f t="shared" si="24"/>
        <v>MISSING</v>
      </c>
      <c r="BN106" s="120" t="b">
        <f t="shared" si="25"/>
        <v>0</v>
      </c>
      <c r="BO106" s="131" t="b">
        <f t="shared" si="26"/>
        <v>1</v>
      </c>
      <c r="BP106" s="121"/>
      <c r="BQ106" s="132" t="str">
        <f>VLOOKUP(A106,RAW_APS!A$3:O826,15,FALSE)</f>
        <v/>
      </c>
      <c r="BR106" s="120" t="b">
        <f t="shared" si="27"/>
        <v>1</v>
      </c>
      <c r="BS106" s="121"/>
      <c r="BT106" s="138" t="s">
        <v>244</v>
      </c>
      <c r="BU106" s="10" t="b">
        <f t="shared" si="28"/>
        <v>1</v>
      </c>
      <c r="BV106" s="120"/>
      <c r="BW106" s="120"/>
      <c r="BX106" s="120"/>
      <c r="BY106" s="120"/>
      <c r="BZ106" s="120"/>
      <c r="CA106" s="120"/>
      <c r="CB106" s="120"/>
      <c r="CC106" s="120"/>
    </row>
    <row r="107">
      <c r="A107" s="2" t="s">
        <v>529</v>
      </c>
      <c r="B107" s="100">
        <v>44566.0</v>
      </c>
      <c r="C107" s="101">
        <v>0.3824652777777778</v>
      </c>
      <c r="D107" s="102"/>
      <c r="E107" s="102"/>
      <c r="F107" s="102"/>
      <c r="G107" s="102"/>
      <c r="H107" s="102"/>
      <c r="I107" s="103"/>
      <c r="J107" s="103"/>
      <c r="K107" s="2" t="s">
        <v>244</v>
      </c>
      <c r="L107" s="100">
        <v>44566.0</v>
      </c>
      <c r="M107" s="101">
        <v>0.4565625</v>
      </c>
      <c r="P107" s="104" t="b">
        <f>IFNA(IF(VLOOKUP($A107,'Add from APT'!$AA$2:$AC826,3,FALSE)&gt;0,TRUE,FALSE),"ER - NOT IN APT")</f>
        <v>0</v>
      </c>
      <c r="Q107" s="105" t="str">
        <f>IF(ISLOGICAL(P107),IF(P107,"ER - REPS IN APT", IFNA(VLOOKUP($A107,RAW_APT!$A$3:$M826,7,FALSE),"ER - NOT IN APT")),P107)</f>
        <v>Result</v>
      </c>
      <c r="R107" s="106" t="b">
        <f t="shared" si="2"/>
        <v>1</v>
      </c>
      <c r="S107" s="107">
        <f t="shared" si="3"/>
        <v>1</v>
      </c>
      <c r="T107" s="113">
        <v>0.0</v>
      </c>
      <c r="U107" s="146"/>
      <c r="V107" s="146"/>
      <c r="W107" s="147"/>
      <c r="X107" s="110" t="b">
        <f t="shared" si="4"/>
        <v>0</v>
      </c>
      <c r="Y107" s="111" t="b">
        <v>0</v>
      </c>
      <c r="Z107" s="104" t="str">
        <f t="shared" si="5"/>
        <v/>
      </c>
      <c r="AA107" s="112" t="b">
        <f t="shared" si="6"/>
        <v>0</v>
      </c>
      <c r="AB107" s="109" t="b">
        <v>0</v>
      </c>
      <c r="AC107" s="113">
        <v>683.0</v>
      </c>
      <c r="AD107" s="114" t="b">
        <v>0</v>
      </c>
      <c r="AE107" s="115">
        <f t="shared" si="7"/>
        <v>106.7</v>
      </c>
      <c r="AF107" s="116" t="b">
        <f t="shared" si="8"/>
        <v>0</v>
      </c>
      <c r="AG107" s="105" t="b">
        <f t="shared" si="9"/>
        <v>0</v>
      </c>
      <c r="AH107" s="113"/>
      <c r="AI107" s="113">
        <v>9.0</v>
      </c>
      <c r="AJ107" s="113"/>
      <c r="AK107" s="117" t="str">
        <f t="shared" si="10"/>
        <v>Negative</v>
      </c>
      <c r="AL107" s="114"/>
      <c r="AM107" s="112" t="s">
        <v>261</v>
      </c>
      <c r="AN107" s="112" t="s">
        <v>530</v>
      </c>
      <c r="AO107" s="112" t="str">
        <f>IFERROR(__xludf.DUMMYFUNCTION("IF($AG107, ""DELETED"",TRIM(JOIN("" "",D107:E107)))"),"")</f>
        <v/>
      </c>
      <c r="AP107" s="112" t="str">
        <f t="shared" ref="AP107:AQ107" si="132">IF($AG107, "DELETED", TRIM(CONCATENATE(F107,I107,U107)))</f>
        <v/>
      </c>
      <c r="AQ107" s="112" t="str">
        <f t="shared" si="132"/>
        <v/>
      </c>
      <c r="AR107" s="112" t="str">
        <f>IFERROR(__xludf.DUMMYFUNCTION("IF($AG107, ""DELETED"", TRIM(JOIN("" "",AP107,AQ107)))"),"")</f>
        <v/>
      </c>
      <c r="AS107" s="118"/>
      <c r="AT107" s="110" t="b">
        <f t="shared" si="12"/>
        <v>0</v>
      </c>
      <c r="AU107" s="110" t="str">
        <f t="shared" si="13"/>
        <v/>
      </c>
      <c r="AV107" s="110" t="str">
        <f t="shared" si="14"/>
        <v/>
      </c>
      <c r="AW107" s="110" t="str">
        <f t="shared" si="15"/>
        <v/>
      </c>
      <c r="AX107" s="119" t="str">
        <f t="shared" si="16"/>
        <v/>
      </c>
      <c r="AY107" s="120"/>
      <c r="AZ107" s="121"/>
      <c r="BA107" s="122" t="str">
        <f t="shared" si="17"/>
        <v/>
      </c>
      <c r="BB107" s="34"/>
      <c r="BC107" s="121"/>
      <c r="BD107" s="136"/>
      <c r="BE107" s="125" t="str">
        <f t="shared" si="18"/>
        <v/>
      </c>
      <c r="BF107" s="126" t="str">
        <f t="shared" si="19"/>
        <v>MA643__44566_0.382465277777778</v>
      </c>
      <c r="BG107" s="127" t="str">
        <f t="shared" si="20"/>
        <v/>
      </c>
      <c r="BH107" s="137" t="s">
        <v>531</v>
      </c>
      <c r="BI107" s="128" t="str">
        <f t="shared" si="21"/>
        <v>FM395</v>
      </c>
      <c r="BJ107" s="129" t="b">
        <f t="shared" si="22"/>
        <v>0</v>
      </c>
      <c r="BK107" s="128" t="str">
        <f t="shared" si="23"/>
        <v/>
      </c>
      <c r="BL107" s="121"/>
      <c r="BM107" s="5" t="str">
        <f t="shared" si="24"/>
        <v>MISSING</v>
      </c>
      <c r="BN107" s="120" t="b">
        <f t="shared" si="25"/>
        <v>0</v>
      </c>
      <c r="BO107" s="131" t="b">
        <f t="shared" si="26"/>
        <v>1</v>
      </c>
      <c r="BP107" s="121"/>
      <c r="BQ107" s="132" t="str">
        <f>VLOOKUP(A107,RAW_APS!A$3:O826,15,FALSE)</f>
        <v/>
      </c>
      <c r="BR107" s="120" t="b">
        <f t="shared" si="27"/>
        <v>1</v>
      </c>
      <c r="BS107" s="121"/>
      <c r="BT107" s="138" t="s">
        <v>244</v>
      </c>
      <c r="BU107" s="10" t="b">
        <f t="shared" si="28"/>
        <v>1</v>
      </c>
      <c r="BV107" s="120"/>
      <c r="BW107" s="120"/>
      <c r="BX107" s="120"/>
      <c r="BY107" s="120"/>
      <c r="BZ107" s="120"/>
      <c r="CA107" s="120"/>
      <c r="CB107" s="120"/>
      <c r="CC107" s="120"/>
    </row>
    <row r="108">
      <c r="A108" s="2" t="s">
        <v>532</v>
      </c>
      <c r="B108" s="100">
        <v>44566.0</v>
      </c>
      <c r="C108" s="101">
        <v>0.4174305555555556</v>
      </c>
      <c r="D108" s="102"/>
      <c r="E108" s="102"/>
      <c r="F108" s="139"/>
      <c r="G108" s="139"/>
      <c r="H108" s="148"/>
      <c r="I108" s="135"/>
      <c r="J108" s="103"/>
      <c r="K108" s="2" t="s">
        <v>244</v>
      </c>
      <c r="L108" s="100">
        <v>44566.0</v>
      </c>
      <c r="M108" s="101">
        <v>0.4565625</v>
      </c>
      <c r="N108" s="2" t="s">
        <v>247</v>
      </c>
      <c r="P108" s="104" t="b">
        <f>IFNA(IF(VLOOKUP($A108,'Add from APT'!$AA$2:$AC826,3,FALSE)&gt;0,TRUE,FALSE),"ER - NOT IN APT")</f>
        <v>0</v>
      </c>
      <c r="Q108" s="105" t="str">
        <f>IF(ISLOGICAL(P108),IF(P108,"ER - REPS IN APT", IFNA(VLOOKUP($A108,RAW_APT!$A$3:$M826,7,FALSE),"ER - NOT IN APT")),P108)</f>
        <v>Result</v>
      </c>
      <c r="R108" s="106" t="b">
        <f t="shared" si="2"/>
        <v>1</v>
      </c>
      <c r="S108" s="107">
        <f t="shared" si="3"/>
        <v>1</v>
      </c>
      <c r="T108" s="140">
        <v>0.0</v>
      </c>
      <c r="U108" s="149"/>
      <c r="V108" s="142"/>
      <c r="W108" s="141"/>
      <c r="X108" s="110" t="b">
        <f t="shared" si="4"/>
        <v>0</v>
      </c>
      <c r="Y108" s="111" t="b">
        <v>0</v>
      </c>
      <c r="Z108" s="104" t="str">
        <f t="shared" si="5"/>
        <v/>
      </c>
      <c r="AA108" s="112" t="b">
        <f t="shared" si="6"/>
        <v>0</v>
      </c>
      <c r="AB108" s="142" t="b">
        <v>0</v>
      </c>
      <c r="AC108" s="140">
        <v>813.0</v>
      </c>
      <c r="AD108" s="141" t="b">
        <v>1</v>
      </c>
      <c r="AE108" s="115">
        <f t="shared" si="7"/>
        <v>56.35</v>
      </c>
      <c r="AF108" s="116" t="b">
        <f t="shared" si="8"/>
        <v>0</v>
      </c>
      <c r="AG108" s="105" t="b">
        <f t="shared" si="9"/>
        <v>0</v>
      </c>
      <c r="AH108" s="140"/>
      <c r="AI108" s="140"/>
      <c r="AJ108" s="140"/>
      <c r="AK108" s="117" t="str">
        <f t="shared" si="10"/>
        <v>Negative</v>
      </c>
      <c r="AL108" s="142"/>
      <c r="AM108" s="112" t="s">
        <v>273</v>
      </c>
      <c r="AN108" s="112" t="s">
        <v>533</v>
      </c>
      <c r="AO108" s="112" t="str">
        <f>IFERROR(__xludf.DUMMYFUNCTION("IF($AG108, ""DELETED"",TRIM(JOIN("" "",D108:E108)))"),"")</f>
        <v/>
      </c>
      <c r="AP108" s="112" t="str">
        <f t="shared" ref="AP108:AQ108" si="133">IF($AG108, "DELETED", TRIM(CONCATENATE(F108,I108,U108)))</f>
        <v/>
      </c>
      <c r="AQ108" s="112" t="str">
        <f t="shared" si="133"/>
        <v/>
      </c>
      <c r="AR108" s="112" t="str">
        <f>IFERROR(__xludf.DUMMYFUNCTION("IF($AG108, ""DELETED"", TRIM(JOIN("" "",AP108,AQ108)))"),"")</f>
        <v/>
      </c>
      <c r="AS108" s="118"/>
      <c r="AT108" s="110" t="b">
        <f t="shared" si="12"/>
        <v>0</v>
      </c>
      <c r="AU108" s="110" t="str">
        <f t="shared" si="13"/>
        <v/>
      </c>
      <c r="AV108" s="110" t="str">
        <f t="shared" si="14"/>
        <v/>
      </c>
      <c r="AW108" s="110" t="str">
        <f t="shared" si="15"/>
        <v/>
      </c>
      <c r="AX108" s="119" t="str">
        <f t="shared" si="16"/>
        <v/>
      </c>
      <c r="AY108" s="120"/>
      <c r="AZ108" s="121"/>
      <c r="BA108" s="122" t="str">
        <f t="shared" si="17"/>
        <v/>
      </c>
      <c r="BB108" s="34"/>
      <c r="BC108" s="121"/>
      <c r="BD108" s="136"/>
      <c r="BE108" s="125" t="str">
        <f t="shared" si="18"/>
        <v/>
      </c>
      <c r="BF108" s="126" t="str">
        <f t="shared" si="19"/>
        <v>MA444__44566_0.417430555555556</v>
      </c>
      <c r="BG108" s="127" t="str">
        <f t="shared" si="20"/>
        <v/>
      </c>
      <c r="BH108" s="137" t="s">
        <v>534</v>
      </c>
      <c r="BI108" s="128" t="str">
        <f t="shared" si="21"/>
        <v>FM396</v>
      </c>
      <c r="BJ108" s="129" t="b">
        <f t="shared" si="22"/>
        <v>0</v>
      </c>
      <c r="BK108" s="128" t="str">
        <f t="shared" si="23"/>
        <v/>
      </c>
      <c r="BL108" s="121"/>
      <c r="BM108" s="5" t="str">
        <f t="shared" si="24"/>
        <v>MISSING</v>
      </c>
      <c r="BN108" s="120" t="b">
        <f t="shared" si="25"/>
        <v>0</v>
      </c>
      <c r="BO108" s="131" t="b">
        <f t="shared" si="26"/>
        <v>1</v>
      </c>
      <c r="BP108" s="121"/>
      <c r="BQ108" s="132" t="str">
        <f>VLOOKUP(A108,RAW_APS!A$3:O826,15,FALSE)</f>
        <v>#N/A</v>
      </c>
      <c r="BR108" s="120" t="str">
        <f t="shared" si="27"/>
        <v>***TUBE ID NOT FOUND</v>
      </c>
      <c r="BS108" s="121"/>
      <c r="BT108" s="138" t="s">
        <v>244</v>
      </c>
      <c r="BU108" s="10" t="b">
        <f t="shared" si="28"/>
        <v>1</v>
      </c>
      <c r="BV108" s="120"/>
      <c r="BW108" s="120"/>
      <c r="BX108" s="120"/>
      <c r="BY108" s="120"/>
      <c r="BZ108" s="120"/>
      <c r="CA108" s="120"/>
      <c r="CB108" s="120"/>
      <c r="CC108" s="120"/>
    </row>
    <row r="109">
      <c r="A109" s="2" t="s">
        <v>535</v>
      </c>
      <c r="B109" s="100">
        <v>44566.0</v>
      </c>
      <c r="C109" s="101">
        <v>0.4181828703703704</v>
      </c>
      <c r="D109" s="102"/>
      <c r="E109" s="102"/>
      <c r="F109" s="103"/>
      <c r="G109" s="148"/>
      <c r="H109" s="148"/>
      <c r="I109" s="135"/>
      <c r="J109" s="103"/>
      <c r="K109" s="2" t="s">
        <v>244</v>
      </c>
      <c r="L109" s="100">
        <v>44566.0</v>
      </c>
      <c r="M109" s="101">
        <v>0.4565625</v>
      </c>
      <c r="N109" s="2" t="s">
        <v>247</v>
      </c>
      <c r="P109" s="104" t="b">
        <f>IFNA(IF(VLOOKUP($A109,'Add from APT'!$AA$2:$AC826,3,FALSE)&gt;0,TRUE,FALSE),"ER - NOT IN APT")</f>
        <v>0</v>
      </c>
      <c r="Q109" s="105" t="str">
        <f>IF(ISLOGICAL(P109),IF(P109,"ER - REPS IN APT", IFNA(VLOOKUP($A109,RAW_APT!$A$3:$M826,7,FALSE),"ER - NOT IN APT")),P109)</f>
        <v>Result</v>
      </c>
      <c r="R109" s="106" t="b">
        <f t="shared" si="2"/>
        <v>1</v>
      </c>
      <c r="S109" s="107">
        <f t="shared" si="3"/>
        <v>1</v>
      </c>
      <c r="T109" s="140">
        <v>0.0</v>
      </c>
      <c r="V109" s="142"/>
      <c r="W109" s="142"/>
      <c r="X109" s="110" t="b">
        <f t="shared" si="4"/>
        <v>0</v>
      </c>
      <c r="Y109" s="111" t="b">
        <v>0</v>
      </c>
      <c r="Z109" s="104" t="str">
        <f t="shared" si="5"/>
        <v/>
      </c>
      <c r="AA109" s="112" t="b">
        <f t="shared" si="6"/>
        <v>0</v>
      </c>
      <c r="AB109" s="142" t="b">
        <v>0</v>
      </c>
      <c r="AC109" s="140">
        <v>814.0</v>
      </c>
      <c r="AD109" s="141" t="b">
        <v>1</v>
      </c>
      <c r="AE109" s="115">
        <f t="shared" si="7"/>
        <v>55.26666667</v>
      </c>
      <c r="AF109" s="116" t="b">
        <f t="shared" si="8"/>
        <v>0</v>
      </c>
      <c r="AG109" s="105" t="b">
        <f t="shared" si="9"/>
        <v>0</v>
      </c>
      <c r="AH109" s="140"/>
      <c r="AI109" s="140"/>
      <c r="AJ109" s="140"/>
      <c r="AK109" s="117" t="str">
        <f t="shared" si="10"/>
        <v>Negative</v>
      </c>
      <c r="AL109" s="142"/>
      <c r="AM109" s="112" t="s">
        <v>273</v>
      </c>
      <c r="AN109" s="112" t="s">
        <v>536</v>
      </c>
      <c r="AO109" s="112" t="str">
        <f>IFERROR(__xludf.DUMMYFUNCTION("IF($AG109, ""DELETED"",TRIM(JOIN("" "",D109:E109)))"),"")</f>
        <v/>
      </c>
      <c r="AP109" s="112" t="str">
        <f t="shared" ref="AP109:AQ109" si="134">IF($AG109, "DELETED", TRIM(CONCATENATE(F109,I109,U109)))</f>
        <v/>
      </c>
      <c r="AQ109" s="112" t="str">
        <f t="shared" si="134"/>
        <v/>
      </c>
      <c r="AR109" s="112" t="str">
        <f>IFERROR(__xludf.DUMMYFUNCTION("IF($AG109, ""DELETED"", TRIM(JOIN("" "",AP109,AQ109)))"),"")</f>
        <v/>
      </c>
      <c r="AS109" s="118"/>
      <c r="AT109" s="110" t="b">
        <f t="shared" si="12"/>
        <v>0</v>
      </c>
      <c r="AU109" s="110" t="str">
        <f t="shared" si="13"/>
        <v/>
      </c>
      <c r="AV109" s="110" t="str">
        <f t="shared" si="14"/>
        <v/>
      </c>
      <c r="AW109" s="110" t="str">
        <f t="shared" si="15"/>
        <v/>
      </c>
      <c r="AX109" s="119" t="str">
        <f t="shared" si="16"/>
        <v/>
      </c>
      <c r="AY109" s="120"/>
      <c r="AZ109" s="121"/>
      <c r="BA109" s="122" t="str">
        <f t="shared" si="17"/>
        <v/>
      </c>
      <c r="BB109" s="34"/>
      <c r="BC109" s="121"/>
      <c r="BD109" s="136"/>
      <c r="BE109" s="125" t="str">
        <f t="shared" si="18"/>
        <v/>
      </c>
      <c r="BF109" s="126" t="str">
        <f t="shared" si="19"/>
        <v>MA453__44566_0.41818287037037</v>
      </c>
      <c r="BG109" s="127" t="str">
        <f t="shared" si="20"/>
        <v/>
      </c>
      <c r="BH109" s="137" t="s">
        <v>537</v>
      </c>
      <c r="BI109" s="128" t="str">
        <f t="shared" si="21"/>
        <v>FM4</v>
      </c>
      <c r="BJ109" s="129" t="b">
        <f t="shared" si="22"/>
        <v>0</v>
      </c>
      <c r="BK109" s="128" t="str">
        <f t="shared" si="23"/>
        <v/>
      </c>
      <c r="BL109" s="121"/>
      <c r="BM109" s="5" t="str">
        <f t="shared" si="24"/>
        <v>MISSING</v>
      </c>
      <c r="BN109" s="120" t="b">
        <f t="shared" si="25"/>
        <v>0</v>
      </c>
      <c r="BO109" s="131" t="b">
        <f t="shared" si="26"/>
        <v>1</v>
      </c>
      <c r="BP109" s="121"/>
      <c r="BQ109" s="132" t="str">
        <f>VLOOKUP(A109,RAW_APS!A$3:O826,15,FALSE)</f>
        <v>#N/A</v>
      </c>
      <c r="BR109" s="120" t="str">
        <f t="shared" si="27"/>
        <v>***TUBE ID NOT FOUND</v>
      </c>
      <c r="BS109" s="121"/>
      <c r="BT109" s="138" t="s">
        <v>244</v>
      </c>
      <c r="BU109" s="10" t="b">
        <f t="shared" si="28"/>
        <v>1</v>
      </c>
      <c r="BV109" s="120"/>
      <c r="BW109" s="120"/>
      <c r="BX109" s="120"/>
      <c r="BY109" s="120"/>
      <c r="BZ109" s="120"/>
      <c r="CA109" s="120"/>
      <c r="CB109" s="120"/>
      <c r="CC109" s="120"/>
    </row>
    <row r="110">
      <c r="A110" s="2" t="s">
        <v>538</v>
      </c>
      <c r="B110" s="100">
        <v>44566.0</v>
      </c>
      <c r="C110" s="101">
        <v>0.41854166666666665</v>
      </c>
      <c r="D110" s="102"/>
      <c r="E110" s="102"/>
      <c r="F110" s="103"/>
      <c r="G110" s="139"/>
      <c r="H110" s="148"/>
      <c r="I110" s="135"/>
      <c r="J110" s="103"/>
      <c r="K110" s="2" t="s">
        <v>244</v>
      </c>
      <c r="L110" s="100">
        <v>44566.0</v>
      </c>
      <c r="M110" s="101">
        <v>0.4565625</v>
      </c>
      <c r="N110" s="2" t="s">
        <v>247</v>
      </c>
      <c r="P110" s="104" t="b">
        <f>IFNA(IF(VLOOKUP($A110,'Add from APT'!$AA$2:$AC826,3,FALSE)&gt;0,TRUE,FALSE),"ER - NOT IN APT")</f>
        <v>0</v>
      </c>
      <c r="Q110" s="105" t="str">
        <f>IF(ISLOGICAL(P110),IF(P110,"ER - REPS IN APT", IFNA(VLOOKUP($A110,RAW_APT!$A$3:$M826,7,FALSE),"ER - NOT IN APT")),P110)</f>
        <v>Result</v>
      </c>
      <c r="R110" s="106" t="b">
        <f t="shared" si="2"/>
        <v>1</v>
      </c>
      <c r="S110" s="107">
        <f t="shared" si="3"/>
        <v>1</v>
      </c>
      <c r="T110" s="140">
        <v>0.0</v>
      </c>
      <c r="V110" s="142"/>
      <c r="W110" s="141"/>
      <c r="X110" s="110" t="b">
        <f t="shared" si="4"/>
        <v>0</v>
      </c>
      <c r="Y110" s="111" t="b">
        <v>0</v>
      </c>
      <c r="Z110" s="104" t="str">
        <f t="shared" si="5"/>
        <v/>
      </c>
      <c r="AA110" s="112" t="b">
        <f t="shared" si="6"/>
        <v>0</v>
      </c>
      <c r="AB110" s="142" t="b">
        <v>0</v>
      </c>
      <c r="AC110" s="140">
        <v>815.0</v>
      </c>
      <c r="AD110" s="141" t="b">
        <v>1</v>
      </c>
      <c r="AE110" s="115">
        <f t="shared" si="7"/>
        <v>54.75</v>
      </c>
      <c r="AF110" s="116" t="b">
        <f t="shared" si="8"/>
        <v>0</v>
      </c>
      <c r="AG110" s="105" t="b">
        <f t="shared" si="9"/>
        <v>0</v>
      </c>
      <c r="AH110" s="140"/>
      <c r="AI110" s="140"/>
      <c r="AJ110" s="140"/>
      <c r="AK110" s="117" t="str">
        <f t="shared" si="10"/>
        <v>Negative</v>
      </c>
      <c r="AL110" s="142"/>
      <c r="AM110" s="112" t="s">
        <v>273</v>
      </c>
      <c r="AN110" s="112" t="s">
        <v>539</v>
      </c>
      <c r="AO110" s="112" t="str">
        <f>IFERROR(__xludf.DUMMYFUNCTION("IF($AG110, ""DELETED"",TRIM(JOIN("" "",D110:E110)))"),"")</f>
        <v/>
      </c>
      <c r="AP110" s="112" t="str">
        <f t="shared" ref="AP110:AQ110" si="135">IF($AG110, "DELETED", TRIM(CONCATENATE(F110,I110,U110)))</f>
        <v/>
      </c>
      <c r="AQ110" s="112" t="str">
        <f t="shared" si="135"/>
        <v/>
      </c>
      <c r="AR110" s="112" t="str">
        <f>IFERROR(__xludf.DUMMYFUNCTION("IF($AG110, ""DELETED"", TRIM(JOIN("" "",AP110,AQ110)))"),"")</f>
        <v/>
      </c>
      <c r="AS110" s="118"/>
      <c r="AT110" s="110" t="b">
        <f t="shared" si="12"/>
        <v>0</v>
      </c>
      <c r="AU110" s="110" t="str">
        <f t="shared" si="13"/>
        <v/>
      </c>
      <c r="AV110" s="110" t="str">
        <f t="shared" si="14"/>
        <v/>
      </c>
      <c r="AW110" s="110" t="str">
        <f t="shared" si="15"/>
        <v/>
      </c>
      <c r="AX110" s="119" t="str">
        <f t="shared" si="16"/>
        <v/>
      </c>
      <c r="AY110" s="120"/>
      <c r="AZ110" s="121"/>
      <c r="BA110" s="122" t="str">
        <f t="shared" si="17"/>
        <v/>
      </c>
      <c r="BB110" s="34"/>
      <c r="BC110" s="121"/>
      <c r="BD110" s="136"/>
      <c r="BE110" s="125" t="str">
        <f t="shared" si="18"/>
        <v/>
      </c>
      <c r="BF110" s="126" t="str">
        <f t="shared" si="19"/>
        <v>MA455__44566_0.418541666666667</v>
      </c>
      <c r="BG110" s="127" t="str">
        <f t="shared" si="20"/>
        <v/>
      </c>
      <c r="BH110" s="137" t="s">
        <v>540</v>
      </c>
      <c r="BI110" s="128" t="str">
        <f t="shared" si="21"/>
        <v>FM40</v>
      </c>
      <c r="BJ110" s="129" t="b">
        <f t="shared" si="22"/>
        <v>0</v>
      </c>
      <c r="BK110" s="128" t="str">
        <f t="shared" si="23"/>
        <v/>
      </c>
      <c r="BL110" s="121"/>
      <c r="BM110" s="5" t="str">
        <f t="shared" si="24"/>
        <v>MISSING</v>
      </c>
      <c r="BN110" s="120" t="b">
        <f t="shared" si="25"/>
        <v>0</v>
      </c>
      <c r="BO110" s="131" t="b">
        <f t="shared" si="26"/>
        <v>1</v>
      </c>
      <c r="BP110" s="121"/>
      <c r="BQ110" s="132" t="str">
        <f>VLOOKUP(A110,RAW_APS!A$3:O826,15,FALSE)</f>
        <v>#N/A</v>
      </c>
      <c r="BR110" s="120" t="str">
        <f t="shared" si="27"/>
        <v>***TUBE ID NOT FOUND</v>
      </c>
      <c r="BS110" s="121"/>
      <c r="BT110" s="138" t="s">
        <v>244</v>
      </c>
      <c r="BU110" s="10" t="b">
        <f t="shared" si="28"/>
        <v>1</v>
      </c>
      <c r="BV110" s="120"/>
      <c r="BW110" s="120"/>
      <c r="BX110" s="120"/>
      <c r="BY110" s="120"/>
      <c r="BZ110" s="120"/>
      <c r="CA110" s="120"/>
      <c r="CB110" s="120"/>
      <c r="CC110" s="120"/>
    </row>
    <row r="111">
      <c r="A111" s="2" t="s">
        <v>541</v>
      </c>
      <c r="B111" s="100">
        <v>44566.0</v>
      </c>
      <c r="C111" s="101">
        <v>0.4192361111111111</v>
      </c>
      <c r="D111" s="102"/>
      <c r="E111" s="102"/>
      <c r="F111" s="103"/>
      <c r="G111" s="139"/>
      <c r="H111" s="148"/>
      <c r="I111" s="135"/>
      <c r="J111" s="103"/>
      <c r="K111" s="2" t="s">
        <v>244</v>
      </c>
      <c r="L111" s="100">
        <v>44566.0</v>
      </c>
      <c r="M111" s="101">
        <v>0.4565625</v>
      </c>
      <c r="N111" s="2" t="s">
        <v>247</v>
      </c>
      <c r="P111" s="104" t="b">
        <f>IFNA(IF(VLOOKUP($A111,'Add from APT'!$AA$2:$AC826,3,FALSE)&gt;0,TRUE,FALSE),"ER - NOT IN APT")</f>
        <v>0</v>
      </c>
      <c r="Q111" s="105" t="str">
        <f>IF(ISLOGICAL(P111),IF(P111,"ER - REPS IN APT", IFNA(VLOOKUP($A111,RAW_APT!$A$3:$M826,7,FALSE),"ER - NOT IN APT")),P111)</f>
        <v>Result</v>
      </c>
      <c r="R111" s="106" t="b">
        <f t="shared" si="2"/>
        <v>1</v>
      </c>
      <c r="S111" s="107">
        <f t="shared" si="3"/>
        <v>1</v>
      </c>
      <c r="T111" s="140">
        <v>0.0</v>
      </c>
      <c r="V111" s="142"/>
      <c r="W111" s="141"/>
      <c r="X111" s="110" t="b">
        <f t="shared" si="4"/>
        <v>0</v>
      </c>
      <c r="Y111" s="111" t="b">
        <v>0</v>
      </c>
      <c r="Z111" s="104" t="str">
        <f t="shared" si="5"/>
        <v/>
      </c>
      <c r="AA111" s="112" t="b">
        <f t="shared" si="6"/>
        <v>0</v>
      </c>
      <c r="AB111" s="142" t="b">
        <v>0</v>
      </c>
      <c r="AC111" s="140">
        <v>816.0</v>
      </c>
      <c r="AD111" s="141" t="b">
        <v>1</v>
      </c>
      <c r="AE111" s="115">
        <f t="shared" si="7"/>
        <v>53.75</v>
      </c>
      <c r="AF111" s="116" t="b">
        <f t="shared" si="8"/>
        <v>0</v>
      </c>
      <c r="AG111" s="105" t="b">
        <f t="shared" si="9"/>
        <v>0</v>
      </c>
      <c r="AH111" s="140"/>
      <c r="AI111" s="140"/>
      <c r="AJ111" s="140"/>
      <c r="AK111" s="117" t="str">
        <f t="shared" si="10"/>
        <v>Negative</v>
      </c>
      <c r="AL111" s="142"/>
      <c r="AM111" s="112" t="s">
        <v>273</v>
      </c>
      <c r="AN111" s="112" t="s">
        <v>542</v>
      </c>
      <c r="AO111" s="112" t="str">
        <f>IFERROR(__xludf.DUMMYFUNCTION("IF($AG111, ""DELETED"",TRIM(JOIN("" "",D111:E111)))"),"")</f>
        <v/>
      </c>
      <c r="AP111" s="112" t="str">
        <f t="shared" ref="AP111:AQ111" si="136">IF($AG111, "DELETED", TRIM(CONCATENATE(F111,I111,U111)))</f>
        <v/>
      </c>
      <c r="AQ111" s="112" t="str">
        <f t="shared" si="136"/>
        <v/>
      </c>
      <c r="AR111" s="112" t="str">
        <f>IFERROR(__xludf.DUMMYFUNCTION("IF($AG111, ""DELETED"", TRIM(JOIN("" "",AP111,AQ111)))"),"")</f>
        <v/>
      </c>
      <c r="AS111" s="118"/>
      <c r="AT111" s="110" t="b">
        <f t="shared" si="12"/>
        <v>0</v>
      </c>
      <c r="AU111" s="110" t="str">
        <f t="shared" si="13"/>
        <v/>
      </c>
      <c r="AV111" s="110" t="str">
        <f t="shared" si="14"/>
        <v/>
      </c>
      <c r="AW111" s="110" t="str">
        <f t="shared" si="15"/>
        <v/>
      </c>
      <c r="AX111" s="119" t="str">
        <f t="shared" si="16"/>
        <v/>
      </c>
      <c r="AY111" s="120"/>
      <c r="AZ111" s="121"/>
      <c r="BA111" s="122" t="str">
        <f t="shared" si="17"/>
        <v/>
      </c>
      <c r="BB111" s="34"/>
      <c r="BC111" s="121"/>
      <c r="BD111" s="136"/>
      <c r="BE111" s="125" t="str">
        <f t="shared" si="18"/>
        <v/>
      </c>
      <c r="BF111" s="126" t="str">
        <f t="shared" si="19"/>
        <v>MA464__44566_0.419236111111111</v>
      </c>
      <c r="BG111" s="127" t="str">
        <f t="shared" si="20"/>
        <v/>
      </c>
      <c r="BH111" s="137" t="s">
        <v>543</v>
      </c>
      <c r="BI111" s="128" t="str">
        <f t="shared" si="21"/>
        <v>FM400</v>
      </c>
      <c r="BJ111" s="129" t="b">
        <f t="shared" si="22"/>
        <v>0</v>
      </c>
      <c r="BK111" s="128" t="str">
        <f t="shared" si="23"/>
        <v/>
      </c>
      <c r="BL111" s="121"/>
      <c r="BM111" s="5" t="str">
        <f t="shared" si="24"/>
        <v>MISSING</v>
      </c>
      <c r="BN111" s="120" t="b">
        <f t="shared" si="25"/>
        <v>0</v>
      </c>
      <c r="BO111" s="131" t="b">
        <f t="shared" si="26"/>
        <v>1</v>
      </c>
      <c r="BP111" s="121"/>
      <c r="BQ111" s="132" t="str">
        <f>VLOOKUP(A111,RAW_APS!A$3:O826,15,FALSE)</f>
        <v>#N/A</v>
      </c>
      <c r="BR111" s="120" t="str">
        <f t="shared" si="27"/>
        <v>***TUBE ID NOT FOUND</v>
      </c>
      <c r="BS111" s="121"/>
      <c r="BT111" s="138" t="s">
        <v>244</v>
      </c>
      <c r="BU111" s="10" t="b">
        <f t="shared" si="28"/>
        <v>1</v>
      </c>
      <c r="BV111" s="120"/>
      <c r="BW111" s="120"/>
      <c r="BX111" s="120"/>
      <c r="BY111" s="120"/>
      <c r="BZ111" s="120"/>
      <c r="CA111" s="120"/>
      <c r="CB111" s="120"/>
      <c r="CC111" s="120"/>
    </row>
    <row r="112">
      <c r="A112" s="2" t="s">
        <v>544</v>
      </c>
      <c r="B112" s="100">
        <v>44566.0</v>
      </c>
      <c r="C112" s="101">
        <v>0.41961805555555554</v>
      </c>
      <c r="D112" s="102"/>
      <c r="E112" s="102"/>
      <c r="F112" s="103"/>
      <c r="G112" s="139"/>
      <c r="H112" s="148"/>
      <c r="I112" s="135"/>
      <c r="J112" s="103"/>
      <c r="K112" s="2" t="s">
        <v>244</v>
      </c>
      <c r="L112" s="100">
        <v>44566.0</v>
      </c>
      <c r="M112" s="101">
        <v>0.4565625</v>
      </c>
      <c r="N112" s="2" t="s">
        <v>247</v>
      </c>
      <c r="P112" s="104" t="b">
        <f>IFNA(IF(VLOOKUP($A112,'Add from APT'!$AA$2:$AC826,3,FALSE)&gt;0,TRUE,FALSE),"ER - NOT IN APT")</f>
        <v>0</v>
      </c>
      <c r="Q112" s="105" t="str">
        <f>IF(ISLOGICAL(P112),IF(P112,"ER - REPS IN APT", IFNA(VLOOKUP($A112,RAW_APT!$A$3:$M826,7,FALSE),"ER - NOT IN APT")),P112)</f>
        <v>Result</v>
      </c>
      <c r="R112" s="106" t="b">
        <f t="shared" si="2"/>
        <v>1</v>
      </c>
      <c r="S112" s="107">
        <f t="shared" si="3"/>
        <v>1</v>
      </c>
      <c r="T112" s="140">
        <v>0.0</v>
      </c>
      <c r="V112" s="142"/>
      <c r="W112" s="141"/>
      <c r="X112" s="110" t="b">
        <f t="shared" si="4"/>
        <v>0</v>
      </c>
      <c r="Y112" s="111" t="b">
        <v>0</v>
      </c>
      <c r="Z112" s="104" t="str">
        <f t="shared" si="5"/>
        <v/>
      </c>
      <c r="AA112" s="112" t="b">
        <f t="shared" si="6"/>
        <v>0</v>
      </c>
      <c r="AB112" s="142" t="b">
        <v>0</v>
      </c>
      <c r="AC112" s="140">
        <v>817.0</v>
      </c>
      <c r="AD112" s="141" t="b">
        <v>1</v>
      </c>
      <c r="AE112" s="115">
        <f t="shared" si="7"/>
        <v>53.2</v>
      </c>
      <c r="AF112" s="116" t="b">
        <f t="shared" si="8"/>
        <v>0</v>
      </c>
      <c r="AG112" s="105" t="b">
        <f t="shared" si="9"/>
        <v>0</v>
      </c>
      <c r="AH112" s="140"/>
      <c r="AI112" s="140"/>
      <c r="AJ112" s="140"/>
      <c r="AK112" s="117" t="str">
        <f t="shared" si="10"/>
        <v>Negative</v>
      </c>
      <c r="AL112" s="142"/>
      <c r="AM112" s="112" t="s">
        <v>273</v>
      </c>
      <c r="AN112" s="112" t="s">
        <v>545</v>
      </c>
      <c r="AO112" s="112" t="str">
        <f>IFERROR(__xludf.DUMMYFUNCTION("IF($AG112, ""DELETED"",TRIM(JOIN("" "",D112:E112)))"),"")</f>
        <v/>
      </c>
      <c r="AP112" s="112" t="str">
        <f t="shared" ref="AP112:AQ112" si="137">IF($AG112, "DELETED", TRIM(CONCATENATE(F112,I112,U112)))</f>
        <v/>
      </c>
      <c r="AQ112" s="112" t="str">
        <f t="shared" si="137"/>
        <v/>
      </c>
      <c r="AR112" s="112" t="str">
        <f>IFERROR(__xludf.DUMMYFUNCTION("IF($AG112, ""DELETED"", TRIM(JOIN("" "",AP112,AQ112)))"),"")</f>
        <v/>
      </c>
      <c r="AS112" s="118"/>
      <c r="AT112" s="110" t="b">
        <f t="shared" si="12"/>
        <v>0</v>
      </c>
      <c r="AU112" s="110" t="str">
        <f t="shared" si="13"/>
        <v/>
      </c>
      <c r="AV112" s="110" t="str">
        <f t="shared" si="14"/>
        <v/>
      </c>
      <c r="AW112" s="110" t="str">
        <f t="shared" si="15"/>
        <v/>
      </c>
      <c r="AX112" s="119" t="str">
        <f t="shared" si="16"/>
        <v/>
      </c>
      <c r="AY112" s="120"/>
      <c r="AZ112" s="121"/>
      <c r="BA112" s="122" t="str">
        <f t="shared" si="17"/>
        <v/>
      </c>
      <c r="BB112" s="34"/>
      <c r="BC112" s="121"/>
      <c r="BD112" s="136"/>
      <c r="BE112" s="125" t="str">
        <f t="shared" si="18"/>
        <v/>
      </c>
      <c r="BF112" s="126" t="str">
        <f t="shared" si="19"/>
        <v>MA475__44566_0.419618055555556</v>
      </c>
      <c r="BG112" s="127" t="str">
        <f t="shared" si="20"/>
        <v/>
      </c>
      <c r="BH112" s="137" t="s">
        <v>546</v>
      </c>
      <c r="BI112" s="128" t="str">
        <f t="shared" si="21"/>
        <v>FM401</v>
      </c>
      <c r="BJ112" s="129" t="b">
        <f t="shared" si="22"/>
        <v>0</v>
      </c>
      <c r="BK112" s="128" t="str">
        <f t="shared" si="23"/>
        <v/>
      </c>
      <c r="BL112" s="121"/>
      <c r="BM112" s="5" t="str">
        <f t="shared" si="24"/>
        <v>MISSING</v>
      </c>
      <c r="BN112" s="120" t="b">
        <f t="shared" si="25"/>
        <v>0</v>
      </c>
      <c r="BO112" s="131" t="b">
        <f t="shared" si="26"/>
        <v>1</v>
      </c>
      <c r="BP112" s="121"/>
      <c r="BQ112" s="132" t="str">
        <f>VLOOKUP(A112,RAW_APS!A$3:O826,15,FALSE)</f>
        <v>#N/A</v>
      </c>
      <c r="BR112" s="120" t="str">
        <f t="shared" si="27"/>
        <v>***TUBE ID NOT FOUND</v>
      </c>
      <c r="BS112" s="121"/>
      <c r="BT112" s="138" t="s">
        <v>244</v>
      </c>
      <c r="BU112" s="10" t="b">
        <f t="shared" si="28"/>
        <v>1</v>
      </c>
      <c r="BV112" s="120"/>
      <c r="BW112" s="120"/>
      <c r="BX112" s="120"/>
      <c r="BY112" s="120"/>
      <c r="BZ112" s="120"/>
      <c r="CA112" s="120"/>
      <c r="CB112" s="120"/>
      <c r="CC112" s="120"/>
    </row>
    <row r="113">
      <c r="A113" s="2" t="s">
        <v>547</v>
      </c>
      <c r="B113" s="100">
        <v>44566.0</v>
      </c>
      <c r="C113" s="101">
        <v>0.4199421296296296</v>
      </c>
      <c r="D113" s="102"/>
      <c r="E113" s="102"/>
      <c r="F113" s="103"/>
      <c r="G113" s="139"/>
      <c r="H113" s="148"/>
      <c r="I113" s="135"/>
      <c r="J113" s="103"/>
      <c r="K113" s="2" t="s">
        <v>52</v>
      </c>
      <c r="L113" s="100">
        <v>44568.0</v>
      </c>
      <c r="M113" s="101">
        <v>0.508275462962963</v>
      </c>
      <c r="N113" s="2" t="s">
        <v>247</v>
      </c>
      <c r="P113" s="104" t="b">
        <f>IFNA(IF(VLOOKUP($A113,'Add from APT'!$AA$2:$AC826,3,FALSE)&gt;0,TRUE,FALSE),"ER - NOT IN APT")</f>
        <v>0</v>
      </c>
      <c r="Q113" s="105" t="str">
        <f>IF(ISLOGICAL(P113),IF(P113,"ER - REPS IN APT", IFNA(VLOOKUP($A113,RAW_APT!$A$3:$M826,7,FALSE),"ER - NOT IN APT")),P113)</f>
        <v>Result</v>
      </c>
      <c r="R113" s="106" t="b">
        <f t="shared" si="2"/>
        <v>1</v>
      </c>
      <c r="S113" s="107">
        <f t="shared" si="3"/>
        <v>1</v>
      </c>
      <c r="T113" s="140">
        <v>0.0</v>
      </c>
      <c r="V113" s="142"/>
      <c r="W113" s="141"/>
      <c r="X113" s="110" t="b">
        <f t="shared" si="4"/>
        <v>0</v>
      </c>
      <c r="Y113" s="111" t="b">
        <v>0</v>
      </c>
      <c r="Z113" s="104" t="str">
        <f t="shared" si="5"/>
        <v/>
      </c>
      <c r="AA113" s="112" t="b">
        <f t="shared" si="6"/>
        <v>0</v>
      </c>
      <c r="AB113" s="142" t="b">
        <v>0</v>
      </c>
      <c r="AC113" s="140">
        <v>818.0</v>
      </c>
      <c r="AD113" s="141" t="b">
        <v>1</v>
      </c>
      <c r="AE113" s="115" t="str">
        <f t="shared" si="7"/>
        <v/>
      </c>
      <c r="AF113" s="116" t="b">
        <f t="shared" si="8"/>
        <v>0</v>
      </c>
      <c r="AG113" s="105" t="b">
        <f t="shared" si="9"/>
        <v>0</v>
      </c>
      <c r="AH113" s="140"/>
      <c r="AI113" s="140"/>
      <c r="AJ113" s="140"/>
      <c r="AK113" s="117" t="str">
        <f t="shared" si="10"/>
        <v>Positive</v>
      </c>
      <c r="AL113" s="142"/>
      <c r="AM113" s="112" t="s">
        <v>273</v>
      </c>
      <c r="AN113" s="112" t="s">
        <v>548</v>
      </c>
      <c r="AO113" s="112" t="str">
        <f>IFERROR(__xludf.DUMMYFUNCTION("IF($AG113, ""DELETED"",TRIM(JOIN("" "",D113:E113)))"),"")</f>
        <v/>
      </c>
      <c r="AP113" s="112" t="str">
        <f t="shared" ref="AP113:AQ113" si="138">IF($AG113, "DELETED", TRIM(CONCATENATE(F113,I113,U113)))</f>
        <v/>
      </c>
      <c r="AQ113" s="112" t="str">
        <f t="shared" si="138"/>
        <v/>
      </c>
      <c r="AR113" s="112" t="str">
        <f>IFERROR(__xludf.DUMMYFUNCTION("IF($AG113, ""DELETED"", TRIM(JOIN("" "",AP113,AQ113)))"),"")</f>
        <v/>
      </c>
      <c r="AS113" s="118"/>
      <c r="AT113" s="110" t="b">
        <f t="shared" si="12"/>
        <v>0</v>
      </c>
      <c r="AU113" s="110" t="str">
        <f t="shared" si="13"/>
        <v/>
      </c>
      <c r="AV113" s="110" t="str">
        <f t="shared" si="14"/>
        <v/>
      </c>
      <c r="AW113" s="110" t="str">
        <f t="shared" si="15"/>
        <v/>
      </c>
      <c r="AX113" s="119" t="str">
        <f t="shared" si="16"/>
        <v/>
      </c>
      <c r="AY113" s="120"/>
      <c r="AZ113" s="121"/>
      <c r="BA113" s="122" t="str">
        <f t="shared" si="17"/>
        <v/>
      </c>
      <c r="BB113" s="34"/>
      <c r="BC113" s="121"/>
      <c r="BD113" s="136"/>
      <c r="BE113" s="125" t="str">
        <f t="shared" si="18"/>
        <v/>
      </c>
      <c r="BF113" s="126" t="str">
        <f t="shared" si="19"/>
        <v>MA605__44566_0.41994212962963</v>
      </c>
      <c r="BG113" s="127" t="str">
        <f t="shared" si="20"/>
        <v/>
      </c>
      <c r="BH113" s="137" t="s">
        <v>549</v>
      </c>
      <c r="BI113" s="128" t="str">
        <f t="shared" si="21"/>
        <v>FM402</v>
      </c>
      <c r="BJ113" s="129" t="b">
        <f t="shared" si="22"/>
        <v>0</v>
      </c>
      <c r="BK113" s="128" t="str">
        <f t="shared" si="23"/>
        <v/>
      </c>
      <c r="BL113" s="121"/>
      <c r="BM113" s="5" t="str">
        <f t="shared" si="24"/>
        <v>MISSING</v>
      </c>
      <c r="BN113" s="120" t="b">
        <f t="shared" si="25"/>
        <v>0</v>
      </c>
      <c r="BO113" s="131" t="b">
        <f t="shared" si="26"/>
        <v>1</v>
      </c>
      <c r="BP113" s="121"/>
      <c r="BQ113" s="132" t="str">
        <f>VLOOKUP(A113,RAW_APS!A$3:O826,15,FALSE)</f>
        <v>#N/A</v>
      </c>
      <c r="BR113" s="120" t="str">
        <f t="shared" si="27"/>
        <v>***TUBE ID NOT FOUND</v>
      </c>
      <c r="BS113" s="121"/>
      <c r="BT113" s="138" t="s">
        <v>52</v>
      </c>
      <c r="BU113" s="10" t="b">
        <f t="shared" si="28"/>
        <v>1</v>
      </c>
      <c r="BV113" s="120"/>
      <c r="BW113" s="120"/>
      <c r="BX113" s="120"/>
      <c r="BY113" s="120"/>
      <c r="BZ113" s="120"/>
      <c r="CA113" s="120"/>
      <c r="CB113" s="120"/>
      <c r="CC113" s="120"/>
    </row>
    <row r="114">
      <c r="A114" s="2" t="s">
        <v>550</v>
      </c>
      <c r="B114" s="100">
        <v>44567.0</v>
      </c>
      <c r="C114" s="101">
        <v>0.32329861111111113</v>
      </c>
      <c r="D114" s="102"/>
      <c r="E114" s="102"/>
      <c r="F114" s="102"/>
      <c r="G114" s="102"/>
      <c r="H114" s="102"/>
      <c r="I114" s="103"/>
      <c r="J114" s="103"/>
      <c r="K114" s="2" t="s">
        <v>244</v>
      </c>
      <c r="L114" s="100">
        <v>44568.0</v>
      </c>
      <c r="M114" s="101">
        <v>0.5079050925925926</v>
      </c>
      <c r="P114" s="104" t="b">
        <f>IFNA(IF(VLOOKUP($A114,'Add from APT'!$AA$2:$AC826,3,FALSE)&gt;0,TRUE,FALSE),"ER - NOT IN APT")</f>
        <v>0</v>
      </c>
      <c r="Q114" s="105" t="str">
        <f>IF(ISLOGICAL(P114),IF(P114,"ER - REPS IN APT", IFNA(VLOOKUP($A114,RAW_APT!$A$3:$M826,7,FALSE),"ER - NOT IN APT")),P114)</f>
        <v>Result</v>
      </c>
      <c r="R114" s="106" t="b">
        <f t="shared" si="2"/>
        <v>1</v>
      </c>
      <c r="S114" s="107">
        <f t="shared" si="3"/>
        <v>1</v>
      </c>
      <c r="T114" s="143"/>
      <c r="U114" s="142"/>
      <c r="V114" s="142"/>
      <c r="W114" s="142"/>
      <c r="X114" s="110" t="b">
        <f t="shared" si="4"/>
        <v>0</v>
      </c>
      <c r="Y114" s="111" t="b">
        <v>0</v>
      </c>
      <c r="Z114" s="104" t="str">
        <f t="shared" si="5"/>
        <v/>
      </c>
      <c r="AA114" s="112" t="b">
        <f t="shared" si="6"/>
        <v>0</v>
      </c>
      <c r="AB114" s="142" t="b">
        <v>0</v>
      </c>
      <c r="AC114" s="140">
        <v>682.0</v>
      </c>
      <c r="AD114" s="141" t="b">
        <v>0</v>
      </c>
      <c r="AE114" s="115" t="str">
        <f t="shared" si="7"/>
        <v/>
      </c>
      <c r="AF114" s="116" t="b">
        <f t="shared" si="8"/>
        <v>0</v>
      </c>
      <c r="AG114" s="105" t="b">
        <f t="shared" si="9"/>
        <v>0</v>
      </c>
      <c r="AH114" s="140"/>
      <c r="AI114" s="140"/>
      <c r="AJ114" s="140"/>
      <c r="AK114" s="117" t="str">
        <f t="shared" si="10"/>
        <v>Negative</v>
      </c>
      <c r="AL114" s="142"/>
      <c r="AM114" s="112" t="s">
        <v>299</v>
      </c>
      <c r="AN114" s="112" t="s">
        <v>300</v>
      </c>
      <c r="AO114" s="112" t="str">
        <f>IFERROR(__xludf.DUMMYFUNCTION("IF($AG114, ""DELETED"",TRIM(JOIN("" "",D114:E114)))"),"")</f>
        <v/>
      </c>
      <c r="AP114" s="112" t="str">
        <f t="shared" ref="AP114:AQ114" si="139">IF($AG114, "DELETED", TRIM(CONCATENATE(F114,I114,U114)))</f>
        <v/>
      </c>
      <c r="AQ114" s="112" t="str">
        <f t="shared" si="139"/>
        <v/>
      </c>
      <c r="AR114" s="112" t="str">
        <f>IFERROR(__xludf.DUMMYFUNCTION("IF($AG114, ""DELETED"", TRIM(JOIN("" "",AP114,AQ114)))"),"")</f>
        <v/>
      </c>
      <c r="AS114" s="118"/>
      <c r="AT114" s="110" t="b">
        <f t="shared" si="12"/>
        <v>0</v>
      </c>
      <c r="AU114" s="110" t="str">
        <f t="shared" si="13"/>
        <v/>
      </c>
      <c r="AV114" s="110" t="str">
        <f t="shared" si="14"/>
        <v/>
      </c>
      <c r="AW114" s="110" t="str">
        <f t="shared" si="15"/>
        <v/>
      </c>
      <c r="AX114" s="119" t="str">
        <f t="shared" si="16"/>
        <v/>
      </c>
      <c r="AY114" s="120"/>
      <c r="AZ114" s="121"/>
      <c r="BA114" s="122" t="str">
        <f t="shared" si="17"/>
        <v/>
      </c>
      <c r="BB114" s="34"/>
      <c r="BC114" s="121"/>
      <c r="BD114" s="136"/>
      <c r="BE114" s="125" t="str">
        <f t="shared" si="18"/>
        <v/>
      </c>
      <c r="BF114" s="126" t="str">
        <f t="shared" si="19"/>
        <v>MA457__44567_0.323298611111111</v>
      </c>
      <c r="BG114" s="127" t="str">
        <f t="shared" si="20"/>
        <v/>
      </c>
      <c r="BH114" s="137" t="s">
        <v>551</v>
      </c>
      <c r="BI114" s="128" t="str">
        <f t="shared" si="21"/>
        <v>FM404</v>
      </c>
      <c r="BJ114" s="129" t="b">
        <f t="shared" si="22"/>
        <v>0</v>
      </c>
      <c r="BK114" s="128" t="str">
        <f t="shared" si="23"/>
        <v/>
      </c>
      <c r="BL114" s="121"/>
      <c r="BM114" s="5" t="str">
        <f t="shared" si="24"/>
        <v>MISSING</v>
      </c>
      <c r="BN114" s="120" t="b">
        <f t="shared" si="25"/>
        <v>0</v>
      </c>
      <c r="BO114" s="131" t="b">
        <f t="shared" si="26"/>
        <v>1</v>
      </c>
      <c r="BP114" s="121"/>
      <c r="BQ114" s="132" t="str">
        <f>VLOOKUP(A114,RAW_APS!A$3:O826,15,FALSE)</f>
        <v/>
      </c>
      <c r="BR114" s="120" t="b">
        <f t="shared" si="27"/>
        <v>1</v>
      </c>
      <c r="BS114" s="121"/>
      <c r="BT114" s="138" t="s">
        <v>244</v>
      </c>
      <c r="BU114" s="10" t="b">
        <f t="shared" si="28"/>
        <v>1</v>
      </c>
      <c r="BV114" s="120"/>
      <c r="BW114" s="120"/>
      <c r="BX114" s="120"/>
      <c r="BY114" s="120"/>
      <c r="BZ114" s="120"/>
      <c r="CA114" s="120"/>
      <c r="CB114" s="120"/>
      <c r="CC114" s="120"/>
    </row>
    <row r="115">
      <c r="A115" s="2" t="s">
        <v>552</v>
      </c>
      <c r="B115" s="100">
        <v>44567.0</v>
      </c>
      <c r="C115" s="101">
        <v>0.3252662037037037</v>
      </c>
      <c r="D115" s="102"/>
      <c r="E115" s="102"/>
      <c r="F115" s="102"/>
      <c r="G115" s="102"/>
      <c r="H115" s="102"/>
      <c r="I115" s="103"/>
      <c r="J115" s="103"/>
      <c r="K115" s="2" t="s">
        <v>244</v>
      </c>
      <c r="L115" s="100">
        <v>44568.0</v>
      </c>
      <c r="M115" s="101">
        <v>0.5079050925925926</v>
      </c>
      <c r="P115" s="104" t="b">
        <f>IFNA(IF(VLOOKUP($A115,'Add from APT'!$AA$2:$AC826,3,FALSE)&gt;0,TRUE,FALSE),"ER - NOT IN APT")</f>
        <v>0</v>
      </c>
      <c r="Q115" s="105" t="str">
        <f>IF(ISLOGICAL(P115),IF(P115,"ER - REPS IN APT", IFNA(VLOOKUP($A115,RAW_APT!$A$3:$M826,7,FALSE),"ER - NOT IN APT")),P115)</f>
        <v>Result</v>
      </c>
      <c r="R115" s="106" t="b">
        <f t="shared" si="2"/>
        <v>1</v>
      </c>
      <c r="S115" s="107">
        <f t="shared" si="3"/>
        <v>1</v>
      </c>
      <c r="T115" s="143"/>
      <c r="U115" s="142"/>
      <c r="V115" s="142"/>
      <c r="W115" s="142"/>
      <c r="X115" s="110" t="b">
        <f t="shared" si="4"/>
        <v>0</v>
      </c>
      <c r="Y115" s="111" t="b">
        <v>0</v>
      </c>
      <c r="Z115" s="104" t="str">
        <f t="shared" si="5"/>
        <v/>
      </c>
      <c r="AA115" s="112" t="b">
        <f t="shared" si="6"/>
        <v>0</v>
      </c>
      <c r="AB115" s="142" t="b">
        <v>0</v>
      </c>
      <c r="AC115" s="140">
        <v>681.0</v>
      </c>
      <c r="AD115" s="141" t="b">
        <v>0</v>
      </c>
      <c r="AE115" s="115" t="str">
        <f t="shared" si="7"/>
        <v/>
      </c>
      <c r="AF115" s="116" t="b">
        <f t="shared" si="8"/>
        <v>0</v>
      </c>
      <c r="AG115" s="105" t="b">
        <f t="shared" si="9"/>
        <v>0</v>
      </c>
      <c r="AH115" s="140"/>
      <c r="AI115" s="140"/>
      <c r="AJ115" s="140"/>
      <c r="AK115" s="117" t="str">
        <f t="shared" si="10"/>
        <v>Negative</v>
      </c>
      <c r="AL115" s="142"/>
      <c r="AM115" s="112" t="s">
        <v>303</v>
      </c>
      <c r="AN115" s="112" t="s">
        <v>304</v>
      </c>
      <c r="AO115" s="112" t="str">
        <f>IFERROR(__xludf.DUMMYFUNCTION("IF($AG115, ""DELETED"",TRIM(JOIN("" "",D115:E115)))"),"")</f>
        <v/>
      </c>
      <c r="AP115" s="112" t="str">
        <f t="shared" ref="AP115:AQ115" si="140">IF($AG115, "DELETED", TRIM(CONCATENATE(F115,I115,U115)))</f>
        <v/>
      </c>
      <c r="AQ115" s="112" t="str">
        <f t="shared" si="140"/>
        <v/>
      </c>
      <c r="AR115" s="112" t="str">
        <f>IFERROR(__xludf.DUMMYFUNCTION("IF($AG115, ""DELETED"", TRIM(JOIN("" "",AP115,AQ115)))"),"")</f>
        <v/>
      </c>
      <c r="AS115" s="118"/>
      <c r="AT115" s="110" t="b">
        <f t="shared" si="12"/>
        <v>0</v>
      </c>
      <c r="AU115" s="110" t="str">
        <f t="shared" si="13"/>
        <v/>
      </c>
      <c r="AV115" s="110" t="str">
        <f t="shared" si="14"/>
        <v/>
      </c>
      <c r="AW115" s="110" t="str">
        <f t="shared" si="15"/>
        <v/>
      </c>
      <c r="AX115" s="119" t="str">
        <f t="shared" si="16"/>
        <v/>
      </c>
      <c r="AY115" s="120"/>
      <c r="AZ115" s="121"/>
      <c r="BA115" s="122" t="str">
        <f t="shared" si="17"/>
        <v/>
      </c>
      <c r="BB115" s="34"/>
      <c r="BC115" s="121"/>
      <c r="BD115" s="136"/>
      <c r="BE115" s="125" t="str">
        <f t="shared" si="18"/>
        <v/>
      </c>
      <c r="BF115" s="126" t="str">
        <f t="shared" si="19"/>
        <v>MA438__44567_0.325266203703704</v>
      </c>
      <c r="BG115" s="127" t="str">
        <f t="shared" si="20"/>
        <v/>
      </c>
      <c r="BH115" s="137" t="s">
        <v>553</v>
      </c>
      <c r="BI115" s="128" t="str">
        <f t="shared" si="21"/>
        <v>FM405</v>
      </c>
      <c r="BJ115" s="129" t="b">
        <f t="shared" si="22"/>
        <v>0</v>
      </c>
      <c r="BK115" s="128" t="str">
        <f t="shared" si="23"/>
        <v/>
      </c>
      <c r="BL115" s="121"/>
      <c r="BM115" s="5" t="str">
        <f t="shared" si="24"/>
        <v>MISSING</v>
      </c>
      <c r="BN115" s="120" t="b">
        <f t="shared" si="25"/>
        <v>0</v>
      </c>
      <c r="BO115" s="131" t="b">
        <f t="shared" si="26"/>
        <v>1</v>
      </c>
      <c r="BP115" s="121"/>
      <c r="BQ115" s="132" t="str">
        <f>VLOOKUP(A115,RAW_APS!A$3:O826,15,FALSE)</f>
        <v/>
      </c>
      <c r="BR115" s="120" t="b">
        <f t="shared" si="27"/>
        <v>1</v>
      </c>
      <c r="BS115" s="121"/>
      <c r="BT115" s="138" t="s">
        <v>244</v>
      </c>
      <c r="BU115" s="10" t="b">
        <f t="shared" si="28"/>
        <v>1</v>
      </c>
      <c r="BV115" s="120"/>
      <c r="BW115" s="120"/>
      <c r="BX115" s="120"/>
      <c r="BY115" s="120"/>
      <c r="BZ115" s="120"/>
      <c r="CA115" s="120"/>
      <c r="CB115" s="120"/>
      <c r="CC115" s="120"/>
    </row>
    <row r="116">
      <c r="A116" s="2" t="s">
        <v>554</v>
      </c>
      <c r="B116" s="100">
        <v>44567.0</v>
      </c>
      <c r="C116" s="101">
        <v>0.9539351851851852</v>
      </c>
      <c r="D116" s="102"/>
      <c r="E116" s="102"/>
      <c r="F116" s="102"/>
      <c r="G116" s="102"/>
      <c r="H116" s="102"/>
      <c r="I116" s="103"/>
      <c r="J116" s="103"/>
      <c r="K116" s="2" t="s">
        <v>244</v>
      </c>
      <c r="L116" s="100">
        <v>44568.0</v>
      </c>
      <c r="M116" s="101">
        <v>0.5079050925925926</v>
      </c>
      <c r="P116" s="104" t="b">
        <f>IFNA(IF(VLOOKUP($A116,'Add from APT'!$AA$2:$AC826,3,FALSE)&gt;0,TRUE,FALSE),"ER - NOT IN APT")</f>
        <v>0</v>
      </c>
      <c r="Q116" s="105" t="str">
        <f>IF(ISLOGICAL(P116),IF(P116,"ER - REPS IN APT", IFNA(VLOOKUP($A116,RAW_APT!$A$3:$M826,7,FALSE),"ER - NOT IN APT")),P116)</f>
        <v>Result</v>
      </c>
      <c r="R116" s="106" t="b">
        <f t="shared" si="2"/>
        <v>1</v>
      </c>
      <c r="S116" s="107">
        <f t="shared" si="3"/>
        <v>1</v>
      </c>
      <c r="T116" s="143"/>
      <c r="U116" s="142"/>
      <c r="V116" s="142"/>
      <c r="W116" s="142"/>
      <c r="X116" s="110" t="b">
        <f t="shared" si="4"/>
        <v>0</v>
      </c>
      <c r="Y116" s="111" t="b">
        <v>0</v>
      </c>
      <c r="Z116" s="104" t="str">
        <f t="shared" si="5"/>
        <v/>
      </c>
      <c r="AA116" s="112" t="b">
        <f t="shared" si="6"/>
        <v>0</v>
      </c>
      <c r="AB116" s="142" t="b">
        <v>0</v>
      </c>
      <c r="AC116" s="140">
        <v>680.0</v>
      </c>
      <c r="AD116" s="141" t="b">
        <v>0</v>
      </c>
      <c r="AE116" s="115" t="str">
        <f t="shared" si="7"/>
        <v/>
      </c>
      <c r="AF116" s="116" t="b">
        <f t="shared" si="8"/>
        <v>0</v>
      </c>
      <c r="AG116" s="105" t="b">
        <f t="shared" si="9"/>
        <v>0</v>
      </c>
      <c r="AH116" s="140"/>
      <c r="AI116" s="140"/>
      <c r="AJ116" s="140"/>
      <c r="AK116" s="117" t="str">
        <f t="shared" si="10"/>
        <v>Negative</v>
      </c>
      <c r="AL116" s="142"/>
      <c r="AM116" s="112" t="s">
        <v>310</v>
      </c>
      <c r="AN116" s="112" t="s">
        <v>311</v>
      </c>
      <c r="AO116" s="112" t="str">
        <f>IFERROR(__xludf.DUMMYFUNCTION("IF($AG116, ""DELETED"",TRIM(JOIN("" "",D116:E116)))"),"")</f>
        <v/>
      </c>
      <c r="AP116" s="112" t="str">
        <f t="shared" ref="AP116:AQ116" si="141">IF($AG116, "DELETED", TRIM(CONCATENATE(F116,I116,U116)))</f>
        <v/>
      </c>
      <c r="AQ116" s="112" t="str">
        <f t="shared" si="141"/>
        <v/>
      </c>
      <c r="AR116" s="112" t="str">
        <f>IFERROR(__xludf.DUMMYFUNCTION("IF($AG116, ""DELETED"", TRIM(JOIN("" "",AP116,AQ116)))"),"")</f>
        <v/>
      </c>
      <c r="AS116" s="118"/>
      <c r="AT116" s="110" t="b">
        <f t="shared" si="12"/>
        <v>0</v>
      </c>
      <c r="AU116" s="110" t="str">
        <f t="shared" si="13"/>
        <v/>
      </c>
      <c r="AV116" s="110" t="str">
        <f t="shared" si="14"/>
        <v/>
      </c>
      <c r="AW116" s="110" t="str">
        <f t="shared" si="15"/>
        <v/>
      </c>
      <c r="AX116" s="119" t="str">
        <f t="shared" si="16"/>
        <v/>
      </c>
      <c r="AY116" s="120"/>
      <c r="AZ116" s="121"/>
      <c r="BA116" s="122" t="str">
        <f t="shared" si="17"/>
        <v/>
      </c>
      <c r="BB116" s="34"/>
      <c r="BC116" s="121"/>
      <c r="BD116" s="136"/>
      <c r="BE116" s="125" t="str">
        <f t="shared" si="18"/>
        <v/>
      </c>
      <c r="BF116" s="126" t="str">
        <f t="shared" si="19"/>
        <v>MA556__44567_0.953935185185185</v>
      </c>
      <c r="BG116" s="127" t="str">
        <f t="shared" si="20"/>
        <v/>
      </c>
      <c r="BH116" s="137" t="s">
        <v>555</v>
      </c>
      <c r="BI116" s="128" t="str">
        <f t="shared" si="21"/>
        <v>FM408</v>
      </c>
      <c r="BJ116" s="129" t="b">
        <f t="shared" si="22"/>
        <v>0</v>
      </c>
      <c r="BK116" s="128" t="str">
        <f t="shared" si="23"/>
        <v/>
      </c>
      <c r="BL116" s="121"/>
      <c r="BM116" s="5" t="str">
        <f t="shared" si="24"/>
        <v>MISSING</v>
      </c>
      <c r="BN116" s="120" t="b">
        <f t="shared" si="25"/>
        <v>0</v>
      </c>
      <c r="BO116" s="131" t="b">
        <f t="shared" si="26"/>
        <v>1</v>
      </c>
      <c r="BP116" s="121"/>
      <c r="BQ116" s="132" t="str">
        <f>VLOOKUP(A116,RAW_APS!A$3:O826,15,FALSE)</f>
        <v/>
      </c>
      <c r="BR116" s="120" t="b">
        <f t="shared" si="27"/>
        <v>1</v>
      </c>
      <c r="BS116" s="121"/>
      <c r="BT116" s="138" t="s">
        <v>244</v>
      </c>
      <c r="BU116" s="10" t="b">
        <f t="shared" si="28"/>
        <v>1</v>
      </c>
      <c r="BV116" s="120"/>
      <c r="BW116" s="120"/>
      <c r="BX116" s="120"/>
      <c r="BY116" s="120"/>
      <c r="BZ116" s="120"/>
      <c r="CA116" s="120"/>
      <c r="CB116" s="120"/>
      <c r="CC116" s="120"/>
    </row>
    <row r="117">
      <c r="A117" s="2" t="s">
        <v>556</v>
      </c>
      <c r="B117" s="100">
        <v>44567.0</v>
      </c>
      <c r="C117" s="101">
        <v>0.9922800925925926</v>
      </c>
      <c r="D117" s="102"/>
      <c r="E117" s="102"/>
      <c r="F117" s="102"/>
      <c r="G117" s="102"/>
      <c r="H117" s="102"/>
      <c r="I117" s="103"/>
      <c r="J117" s="103"/>
      <c r="K117" s="2" t="s">
        <v>244</v>
      </c>
      <c r="L117" s="100">
        <v>44568.0</v>
      </c>
      <c r="M117" s="101">
        <v>0.5079050925925926</v>
      </c>
      <c r="P117" s="104" t="b">
        <f>IFNA(IF(VLOOKUP($A117,'Add from APT'!$AA$2:$AC826,3,FALSE)&gt;0,TRUE,FALSE),"ER - NOT IN APT")</f>
        <v>0</v>
      </c>
      <c r="Q117" s="105" t="str">
        <f>IF(ISLOGICAL(P117),IF(P117,"ER - REPS IN APT", IFNA(VLOOKUP($A117,RAW_APT!$A$3:$M826,7,FALSE),"ER - NOT IN APT")),P117)</f>
        <v>Result</v>
      </c>
      <c r="R117" s="106" t="b">
        <f t="shared" si="2"/>
        <v>1</v>
      </c>
      <c r="S117" s="107">
        <f t="shared" si="3"/>
        <v>1</v>
      </c>
      <c r="T117" s="143"/>
      <c r="U117" s="142"/>
      <c r="V117" s="142"/>
      <c r="W117" s="142"/>
      <c r="X117" s="110" t="b">
        <f t="shared" si="4"/>
        <v>0</v>
      </c>
      <c r="Y117" s="111" t="b">
        <v>0</v>
      </c>
      <c r="Z117" s="104" t="str">
        <f t="shared" si="5"/>
        <v/>
      </c>
      <c r="AA117" s="112" t="b">
        <f t="shared" si="6"/>
        <v>0</v>
      </c>
      <c r="AB117" s="142" t="b">
        <v>0</v>
      </c>
      <c r="AC117" s="140">
        <v>679.0</v>
      </c>
      <c r="AD117" s="141" t="b">
        <v>0</v>
      </c>
      <c r="AE117" s="115" t="str">
        <f t="shared" si="7"/>
        <v/>
      </c>
      <c r="AF117" s="116" t="b">
        <f t="shared" si="8"/>
        <v>0</v>
      </c>
      <c r="AG117" s="105" t="b">
        <f t="shared" si="9"/>
        <v>0</v>
      </c>
      <c r="AH117" s="140"/>
      <c r="AI117" s="140"/>
      <c r="AJ117" s="140"/>
      <c r="AK117" s="117" t="str">
        <f t="shared" si="10"/>
        <v>Negative</v>
      </c>
      <c r="AL117" s="142"/>
      <c r="AM117" s="112" t="s">
        <v>295</v>
      </c>
      <c r="AN117" s="112" t="s">
        <v>296</v>
      </c>
      <c r="AO117" s="112" t="str">
        <f>IFERROR(__xludf.DUMMYFUNCTION("IF($AG117, ""DELETED"",TRIM(JOIN("" "",D117:E117)))"),"")</f>
        <v/>
      </c>
      <c r="AP117" s="112" t="str">
        <f t="shared" ref="AP117:AQ117" si="142">IF($AG117, "DELETED", TRIM(CONCATENATE(F117,I117,U117)))</f>
        <v/>
      </c>
      <c r="AQ117" s="112" t="str">
        <f t="shared" si="142"/>
        <v/>
      </c>
      <c r="AR117" s="112" t="str">
        <f>IFERROR(__xludf.DUMMYFUNCTION("IF($AG117, ""DELETED"", TRIM(JOIN("" "",AP117,AQ117)))"),"")</f>
        <v/>
      </c>
      <c r="AS117" s="118"/>
      <c r="AT117" s="110" t="b">
        <f t="shared" si="12"/>
        <v>0</v>
      </c>
      <c r="AU117" s="110" t="str">
        <f t="shared" si="13"/>
        <v/>
      </c>
      <c r="AV117" s="110" t="str">
        <f t="shared" si="14"/>
        <v/>
      </c>
      <c r="AW117" s="110" t="str">
        <f t="shared" si="15"/>
        <v/>
      </c>
      <c r="AX117" s="119" t="str">
        <f t="shared" si="16"/>
        <v/>
      </c>
      <c r="AY117" s="120"/>
      <c r="AZ117" s="121"/>
      <c r="BA117" s="122" t="str">
        <f t="shared" si="17"/>
        <v/>
      </c>
      <c r="BB117" s="34"/>
      <c r="BC117" s="121"/>
      <c r="BD117" s="136"/>
      <c r="BE117" s="125" t="str">
        <f t="shared" si="18"/>
        <v/>
      </c>
      <c r="BF117" s="126" t="str">
        <f t="shared" si="19"/>
        <v>MA427__44567_0.992280092592593</v>
      </c>
      <c r="BG117" s="127" t="str">
        <f t="shared" si="20"/>
        <v/>
      </c>
      <c r="BH117" s="137" t="s">
        <v>557</v>
      </c>
      <c r="BI117" s="128" t="str">
        <f t="shared" si="21"/>
        <v>FM41</v>
      </c>
      <c r="BJ117" s="129" t="b">
        <f t="shared" si="22"/>
        <v>0</v>
      </c>
      <c r="BK117" s="128" t="str">
        <f t="shared" si="23"/>
        <v/>
      </c>
      <c r="BL117" s="121"/>
      <c r="BM117" s="5" t="str">
        <f t="shared" si="24"/>
        <v>MISSING</v>
      </c>
      <c r="BN117" s="120" t="b">
        <f t="shared" si="25"/>
        <v>0</v>
      </c>
      <c r="BO117" s="131" t="b">
        <f t="shared" si="26"/>
        <v>1</v>
      </c>
      <c r="BP117" s="121"/>
      <c r="BQ117" s="132" t="str">
        <f>VLOOKUP(A117,RAW_APS!A$3:O826,15,FALSE)</f>
        <v/>
      </c>
      <c r="BR117" s="120" t="b">
        <f t="shared" si="27"/>
        <v>1</v>
      </c>
      <c r="BS117" s="121"/>
      <c r="BT117" s="138" t="s">
        <v>244</v>
      </c>
      <c r="BU117" s="10" t="b">
        <f t="shared" si="28"/>
        <v>1</v>
      </c>
      <c r="BV117" s="120"/>
      <c r="BW117" s="120"/>
      <c r="BX117" s="120"/>
      <c r="BY117" s="120"/>
      <c r="BZ117" s="120"/>
      <c r="CA117" s="120"/>
      <c r="CB117" s="120"/>
      <c r="CC117" s="120"/>
    </row>
    <row r="118">
      <c r="A118" s="2" t="s">
        <v>558</v>
      </c>
      <c r="B118" s="100">
        <v>44568.0</v>
      </c>
      <c r="C118" s="101">
        <v>0.022118055555555554</v>
      </c>
      <c r="D118" s="102"/>
      <c r="E118" s="102"/>
      <c r="F118" s="102"/>
      <c r="G118" s="102"/>
      <c r="H118" s="102"/>
      <c r="I118" s="103"/>
      <c r="J118" s="103"/>
      <c r="K118" s="2" t="s">
        <v>244</v>
      </c>
      <c r="L118" s="100">
        <v>44568.0</v>
      </c>
      <c r="M118" s="101">
        <v>0.5079050925925926</v>
      </c>
      <c r="P118" s="104" t="b">
        <f>IFNA(IF(VLOOKUP($A118,'Add from APT'!$AA$2:$AC826,3,FALSE)&gt;0,TRUE,FALSE),"ER - NOT IN APT")</f>
        <v>0</v>
      </c>
      <c r="Q118" s="105" t="str">
        <f>IF(ISLOGICAL(P118),IF(P118,"ER - REPS IN APT", IFNA(VLOOKUP($A118,RAW_APT!$A$3:$M826,7,FALSE),"ER - NOT IN APT")),P118)</f>
        <v>Result</v>
      </c>
      <c r="R118" s="106" t="b">
        <f t="shared" si="2"/>
        <v>1</v>
      </c>
      <c r="S118" s="107">
        <f t="shared" si="3"/>
        <v>1</v>
      </c>
      <c r="T118" s="143"/>
      <c r="U118" s="142"/>
      <c r="V118" s="142"/>
      <c r="W118" s="142"/>
      <c r="X118" s="110" t="b">
        <f t="shared" si="4"/>
        <v>0</v>
      </c>
      <c r="Y118" s="111" t="b">
        <v>0</v>
      </c>
      <c r="Z118" s="104" t="str">
        <f t="shared" si="5"/>
        <v/>
      </c>
      <c r="AA118" s="112" t="b">
        <f t="shared" si="6"/>
        <v>0</v>
      </c>
      <c r="AB118" s="142" t="b">
        <v>0</v>
      </c>
      <c r="AC118" s="140">
        <v>678.0</v>
      </c>
      <c r="AD118" s="141" t="b">
        <v>0</v>
      </c>
      <c r="AE118" s="115">
        <f t="shared" si="7"/>
        <v>699.5333333</v>
      </c>
      <c r="AF118" s="116" t="b">
        <f t="shared" si="8"/>
        <v>0</v>
      </c>
      <c r="AG118" s="105" t="b">
        <f t="shared" si="9"/>
        <v>0</v>
      </c>
      <c r="AH118" s="140"/>
      <c r="AI118" s="140"/>
      <c r="AJ118" s="140"/>
      <c r="AK118" s="117" t="str">
        <f t="shared" si="10"/>
        <v>Negative</v>
      </c>
      <c r="AL118" s="142"/>
      <c r="AM118" s="112" t="s">
        <v>291</v>
      </c>
      <c r="AN118" s="112" t="s">
        <v>292</v>
      </c>
      <c r="AO118" s="112" t="str">
        <f>IFERROR(__xludf.DUMMYFUNCTION("IF($AG118, ""DELETED"",TRIM(JOIN("" "",D118:E118)))"),"")</f>
        <v/>
      </c>
      <c r="AP118" s="112" t="str">
        <f t="shared" ref="AP118:AQ118" si="143">IF($AG118, "DELETED", TRIM(CONCATENATE(F118,I118,U118)))</f>
        <v/>
      </c>
      <c r="AQ118" s="112" t="str">
        <f t="shared" si="143"/>
        <v/>
      </c>
      <c r="AR118" s="112" t="str">
        <f>IFERROR(__xludf.DUMMYFUNCTION("IF($AG118, ""DELETED"", TRIM(JOIN("" "",AP118,AQ118)))"),"")</f>
        <v/>
      </c>
      <c r="AS118" s="118"/>
      <c r="AT118" s="110" t="b">
        <f t="shared" si="12"/>
        <v>0</v>
      </c>
      <c r="AU118" s="110" t="str">
        <f t="shared" si="13"/>
        <v/>
      </c>
      <c r="AV118" s="110" t="str">
        <f t="shared" si="14"/>
        <v/>
      </c>
      <c r="AW118" s="110" t="str">
        <f t="shared" si="15"/>
        <v/>
      </c>
      <c r="AX118" s="119" t="str">
        <f t="shared" si="16"/>
        <v/>
      </c>
      <c r="AY118" s="120"/>
      <c r="AZ118" s="121"/>
      <c r="BA118" s="122" t="str">
        <f t="shared" si="17"/>
        <v/>
      </c>
      <c r="BB118" s="34"/>
      <c r="BC118" s="121"/>
      <c r="BD118" s="136"/>
      <c r="BE118" s="125" t="str">
        <f t="shared" si="18"/>
        <v/>
      </c>
      <c r="BF118" s="126" t="str">
        <f t="shared" si="19"/>
        <v>MA1149__44568_0.0221180555555556</v>
      </c>
      <c r="BG118" s="127" t="str">
        <f t="shared" si="20"/>
        <v/>
      </c>
      <c r="BH118" s="137" t="s">
        <v>559</v>
      </c>
      <c r="BI118" s="128" t="str">
        <f t="shared" si="21"/>
        <v>FM410</v>
      </c>
      <c r="BJ118" s="129" t="b">
        <f t="shared" si="22"/>
        <v>0</v>
      </c>
      <c r="BK118" s="128" t="str">
        <f t="shared" si="23"/>
        <v/>
      </c>
      <c r="BL118" s="121"/>
      <c r="BM118" s="5" t="str">
        <f t="shared" si="24"/>
        <v>MISSING</v>
      </c>
      <c r="BN118" s="120" t="b">
        <f t="shared" si="25"/>
        <v>0</v>
      </c>
      <c r="BO118" s="131" t="b">
        <f t="shared" si="26"/>
        <v>1</v>
      </c>
      <c r="BP118" s="121"/>
      <c r="BQ118" s="132" t="str">
        <f>VLOOKUP(A118,RAW_APS!A$3:O826,15,FALSE)</f>
        <v/>
      </c>
      <c r="BR118" s="120" t="b">
        <f t="shared" si="27"/>
        <v>1</v>
      </c>
      <c r="BS118" s="121"/>
      <c r="BT118" s="138" t="s">
        <v>244</v>
      </c>
      <c r="BU118" s="10" t="b">
        <f t="shared" si="28"/>
        <v>1</v>
      </c>
      <c r="BV118" s="120"/>
      <c r="BW118" s="120"/>
      <c r="BX118" s="120"/>
      <c r="BY118" s="120"/>
      <c r="BZ118" s="120"/>
      <c r="CA118" s="120"/>
      <c r="CB118" s="120"/>
      <c r="CC118" s="120"/>
    </row>
    <row r="119">
      <c r="A119" s="2" t="s">
        <v>560</v>
      </c>
      <c r="B119" s="100">
        <v>44568.0</v>
      </c>
      <c r="C119" s="101">
        <v>0.29755787037037035</v>
      </c>
      <c r="D119" s="102"/>
      <c r="E119" s="102"/>
      <c r="F119" s="103"/>
      <c r="G119" s="103"/>
      <c r="H119" s="103"/>
      <c r="I119" s="135"/>
      <c r="J119" s="103"/>
      <c r="K119" s="2" t="s">
        <v>244</v>
      </c>
      <c r="L119" s="100">
        <v>44568.0</v>
      </c>
      <c r="M119" s="101">
        <v>0.5079050925925926</v>
      </c>
      <c r="N119" s="2" t="s">
        <v>247</v>
      </c>
      <c r="P119" s="104" t="b">
        <f>IFNA(IF(VLOOKUP($A119,'Add from APT'!$AA$2:$AC826,3,FALSE)&gt;0,TRUE,FALSE),"ER - NOT IN APT")</f>
        <v>0</v>
      </c>
      <c r="Q119" s="105" t="str">
        <f>IF(ISLOGICAL(P119),IF(P119,"ER - REPS IN APT", IFNA(VLOOKUP($A119,RAW_APT!$A$3:$M826,7,FALSE),"ER - NOT IN APT")),P119)</f>
        <v>Result</v>
      </c>
      <c r="R119" s="106" t="b">
        <f t="shared" si="2"/>
        <v>1</v>
      </c>
      <c r="S119" s="107">
        <f t="shared" si="3"/>
        <v>1</v>
      </c>
      <c r="T119" s="140">
        <v>0.0</v>
      </c>
      <c r="W119" s="141"/>
      <c r="X119" s="110" t="b">
        <f t="shared" si="4"/>
        <v>0</v>
      </c>
      <c r="Y119" s="111" t="b">
        <v>0</v>
      </c>
      <c r="Z119" s="104" t="str">
        <f t="shared" si="5"/>
        <v/>
      </c>
      <c r="AA119" s="112" t="b">
        <f t="shared" si="6"/>
        <v>0</v>
      </c>
      <c r="AB119" s="142" t="b">
        <v>0</v>
      </c>
      <c r="AC119" s="140">
        <v>799.0</v>
      </c>
      <c r="AD119" s="141" t="b">
        <v>1</v>
      </c>
      <c r="AE119" s="115">
        <f t="shared" si="7"/>
        <v>302.9</v>
      </c>
      <c r="AF119" s="116" t="b">
        <f t="shared" si="8"/>
        <v>0</v>
      </c>
      <c r="AG119" s="105" t="b">
        <f t="shared" si="9"/>
        <v>0</v>
      </c>
      <c r="AH119" s="140"/>
      <c r="AI119" s="140"/>
      <c r="AJ119" s="140"/>
      <c r="AK119" s="117" t="str">
        <f t="shared" si="10"/>
        <v>Negative</v>
      </c>
      <c r="AL119" s="142"/>
      <c r="AM119" s="112" t="s">
        <v>500</v>
      </c>
      <c r="AN119" s="112" t="s">
        <v>377</v>
      </c>
      <c r="AO119" s="112" t="str">
        <f>IFERROR(__xludf.DUMMYFUNCTION("IF($AG119, ""DELETED"",TRIM(JOIN("" "",D119:E119)))"),"")</f>
        <v/>
      </c>
      <c r="AP119" s="112" t="str">
        <f t="shared" ref="AP119:AQ119" si="144">IF($AG119, "DELETED", TRIM(CONCATENATE(F119,I119,U119)))</f>
        <v/>
      </c>
      <c r="AQ119" s="112" t="str">
        <f t="shared" si="144"/>
        <v/>
      </c>
      <c r="AR119" s="112" t="str">
        <f>IFERROR(__xludf.DUMMYFUNCTION("IF($AG119, ""DELETED"", TRIM(JOIN("" "",AP119,AQ119)))"),"")</f>
        <v/>
      </c>
      <c r="AS119" s="118"/>
      <c r="AT119" s="110" t="b">
        <f t="shared" si="12"/>
        <v>0</v>
      </c>
      <c r="AU119" s="110" t="str">
        <f t="shared" si="13"/>
        <v/>
      </c>
      <c r="AV119" s="110" t="str">
        <f t="shared" si="14"/>
        <v/>
      </c>
      <c r="AW119" s="110" t="str">
        <f t="shared" si="15"/>
        <v/>
      </c>
      <c r="AX119" s="119" t="str">
        <f t="shared" si="16"/>
        <v/>
      </c>
      <c r="AY119" s="120"/>
      <c r="AZ119" s="121"/>
      <c r="BA119" s="122" t="str">
        <f t="shared" si="17"/>
        <v/>
      </c>
      <c r="BB119" s="34"/>
      <c r="BC119" s="121"/>
      <c r="BD119" s="136"/>
      <c r="BE119" s="125" t="str">
        <f t="shared" si="18"/>
        <v/>
      </c>
      <c r="BF119" s="126" t="str">
        <f t="shared" si="19"/>
        <v>MA1228__44568_0.29755787037037</v>
      </c>
      <c r="BG119" s="127" t="str">
        <f t="shared" si="20"/>
        <v/>
      </c>
      <c r="BH119" s="137" t="s">
        <v>561</v>
      </c>
      <c r="BI119" s="128" t="str">
        <f t="shared" si="21"/>
        <v>FM413</v>
      </c>
      <c r="BJ119" s="129" t="b">
        <f t="shared" si="22"/>
        <v>0</v>
      </c>
      <c r="BK119" s="128" t="str">
        <f t="shared" si="23"/>
        <v/>
      </c>
      <c r="BL119" s="121"/>
      <c r="BM119" s="5" t="str">
        <f t="shared" si="24"/>
        <v>MISSING</v>
      </c>
      <c r="BN119" s="120" t="b">
        <f t="shared" si="25"/>
        <v>0</v>
      </c>
      <c r="BO119" s="131" t="b">
        <f t="shared" si="26"/>
        <v>1</v>
      </c>
      <c r="BP119" s="121"/>
      <c r="BQ119" s="132" t="str">
        <f>VLOOKUP(A119,RAW_APS!A$3:O826,15,FALSE)</f>
        <v>#N/A</v>
      </c>
      <c r="BR119" s="120" t="str">
        <f t="shared" si="27"/>
        <v>***TUBE ID NOT FOUND</v>
      </c>
      <c r="BS119" s="121"/>
      <c r="BT119" s="138" t="s">
        <v>244</v>
      </c>
      <c r="BU119" s="10" t="b">
        <f t="shared" si="28"/>
        <v>1</v>
      </c>
      <c r="BV119" s="120"/>
      <c r="BW119" s="120"/>
      <c r="BX119" s="120"/>
      <c r="BY119" s="120"/>
      <c r="BZ119" s="120"/>
      <c r="CA119" s="120"/>
      <c r="CB119" s="120"/>
      <c r="CC119" s="120"/>
    </row>
    <row r="120">
      <c r="A120" s="2" t="s">
        <v>562</v>
      </c>
      <c r="B120" s="100">
        <v>44568.0</v>
      </c>
      <c r="C120" s="101">
        <v>0.2981828703703704</v>
      </c>
      <c r="D120" s="102"/>
      <c r="E120" s="102"/>
      <c r="F120" s="139"/>
      <c r="G120" s="103"/>
      <c r="H120" s="134"/>
      <c r="I120" s="135"/>
      <c r="J120" s="103"/>
      <c r="K120" s="2" t="s">
        <v>244</v>
      </c>
      <c r="L120" s="100">
        <v>44568.0</v>
      </c>
      <c r="M120" s="101">
        <v>0.5079050925925926</v>
      </c>
      <c r="N120" s="2" t="s">
        <v>247</v>
      </c>
      <c r="P120" s="104" t="b">
        <f>IFNA(IF(VLOOKUP($A120,'Add from APT'!$AA$2:$AC826,3,FALSE)&gt;0,TRUE,FALSE),"ER - NOT IN APT")</f>
        <v>0</v>
      </c>
      <c r="Q120" s="105" t="str">
        <f>IF(ISLOGICAL(P120),IF(P120,"ER - REPS IN APT", IFNA(VLOOKUP($A120,RAW_APT!$A$3:$M826,7,FALSE),"ER - NOT IN APT")),P120)</f>
        <v>Result</v>
      </c>
      <c r="R120" s="106" t="b">
        <f t="shared" si="2"/>
        <v>1</v>
      </c>
      <c r="S120" s="107">
        <f t="shared" si="3"/>
        <v>1</v>
      </c>
      <c r="T120" s="140">
        <v>0.0</v>
      </c>
      <c r="U120" s="141"/>
      <c r="W120" s="141"/>
      <c r="X120" s="110" t="b">
        <f t="shared" si="4"/>
        <v>0</v>
      </c>
      <c r="Y120" s="111" t="b">
        <v>0</v>
      </c>
      <c r="Z120" s="104" t="str">
        <f t="shared" si="5"/>
        <v/>
      </c>
      <c r="AA120" s="112" t="b">
        <f t="shared" si="6"/>
        <v>0</v>
      </c>
      <c r="AB120" s="142" t="b">
        <v>0</v>
      </c>
      <c r="AC120" s="140">
        <v>795.0</v>
      </c>
      <c r="AD120" s="141" t="b">
        <v>1</v>
      </c>
      <c r="AE120" s="115">
        <f t="shared" si="7"/>
        <v>302</v>
      </c>
      <c r="AF120" s="116" t="b">
        <f t="shared" si="8"/>
        <v>0</v>
      </c>
      <c r="AG120" s="105" t="b">
        <f t="shared" si="9"/>
        <v>0</v>
      </c>
      <c r="AH120" s="140"/>
      <c r="AI120" s="140"/>
      <c r="AJ120" s="140"/>
      <c r="AK120" s="117" t="str">
        <f t="shared" si="10"/>
        <v>Negative</v>
      </c>
      <c r="AL120" s="142"/>
      <c r="AM120" s="112" t="s">
        <v>500</v>
      </c>
      <c r="AN120" s="112" t="s">
        <v>563</v>
      </c>
      <c r="AO120" s="112" t="str">
        <f>IFERROR(__xludf.DUMMYFUNCTION("IF($AG120, ""DELETED"",TRIM(JOIN("" "",D120:E120)))"),"")</f>
        <v/>
      </c>
      <c r="AP120" s="112" t="str">
        <f t="shared" ref="AP120:AQ120" si="145">IF($AG120, "DELETED", TRIM(CONCATENATE(F120,I120,U120)))</f>
        <v/>
      </c>
      <c r="AQ120" s="112" t="str">
        <f t="shared" si="145"/>
        <v/>
      </c>
      <c r="AR120" s="112" t="str">
        <f>IFERROR(__xludf.DUMMYFUNCTION("IF($AG120, ""DELETED"", TRIM(JOIN("" "",AP120,AQ120)))"),"")</f>
        <v/>
      </c>
      <c r="AS120" s="118"/>
      <c r="AT120" s="110" t="b">
        <f t="shared" si="12"/>
        <v>0</v>
      </c>
      <c r="AU120" s="110" t="str">
        <f t="shared" si="13"/>
        <v/>
      </c>
      <c r="AV120" s="110" t="str">
        <f t="shared" si="14"/>
        <v/>
      </c>
      <c r="AW120" s="110" t="str">
        <f t="shared" si="15"/>
        <v/>
      </c>
      <c r="AX120" s="119" t="str">
        <f t="shared" si="16"/>
        <v/>
      </c>
      <c r="AY120" s="120"/>
      <c r="AZ120" s="121"/>
      <c r="BA120" s="122" t="str">
        <f t="shared" si="17"/>
        <v/>
      </c>
      <c r="BB120" s="34"/>
      <c r="BC120" s="121"/>
      <c r="BD120" s="136"/>
      <c r="BE120" s="125" t="str">
        <f t="shared" si="18"/>
        <v/>
      </c>
      <c r="BF120" s="126" t="str">
        <f t="shared" si="19"/>
        <v>MA1177__44568_0.29818287037037</v>
      </c>
      <c r="BG120" s="127" t="str">
        <f t="shared" si="20"/>
        <v/>
      </c>
      <c r="BH120" s="137" t="s">
        <v>564</v>
      </c>
      <c r="BI120" s="128" t="str">
        <f t="shared" si="21"/>
        <v>FM414</v>
      </c>
      <c r="BJ120" s="129" t="b">
        <f t="shared" si="22"/>
        <v>0</v>
      </c>
      <c r="BK120" s="128" t="str">
        <f t="shared" si="23"/>
        <v/>
      </c>
      <c r="BL120" s="121"/>
      <c r="BM120" s="5" t="str">
        <f t="shared" si="24"/>
        <v>MISSING</v>
      </c>
      <c r="BN120" s="120" t="b">
        <f t="shared" si="25"/>
        <v>0</v>
      </c>
      <c r="BO120" s="131" t="b">
        <f t="shared" si="26"/>
        <v>1</v>
      </c>
      <c r="BP120" s="121"/>
      <c r="BQ120" s="132" t="str">
        <f>VLOOKUP(A120,RAW_APS!A$3:O826,15,FALSE)</f>
        <v>#N/A</v>
      </c>
      <c r="BR120" s="120" t="str">
        <f t="shared" si="27"/>
        <v>***TUBE ID NOT FOUND</v>
      </c>
      <c r="BS120" s="121"/>
      <c r="BT120" s="138" t="s">
        <v>244</v>
      </c>
      <c r="BU120" s="10" t="b">
        <f t="shared" si="28"/>
        <v>1</v>
      </c>
      <c r="BV120" s="120"/>
      <c r="BW120" s="120"/>
      <c r="BX120" s="120"/>
      <c r="BY120" s="120"/>
      <c r="BZ120" s="120"/>
      <c r="CA120" s="120"/>
      <c r="CB120" s="120"/>
      <c r="CC120" s="120"/>
    </row>
    <row r="121">
      <c r="A121" s="2" t="s">
        <v>565</v>
      </c>
      <c r="B121" s="100">
        <v>44568.0</v>
      </c>
      <c r="C121" s="101">
        <v>0.29863425925925924</v>
      </c>
      <c r="D121" s="102"/>
      <c r="E121" s="102"/>
      <c r="F121" s="139"/>
      <c r="G121" s="103"/>
      <c r="H121" s="148"/>
      <c r="I121" s="135"/>
      <c r="J121" s="103"/>
      <c r="K121" s="2" t="s">
        <v>244</v>
      </c>
      <c r="L121" s="100">
        <v>44568.0</v>
      </c>
      <c r="M121" s="101">
        <v>0.5079050925925926</v>
      </c>
      <c r="N121" s="2" t="s">
        <v>247</v>
      </c>
      <c r="P121" s="104" t="b">
        <f>IFNA(IF(VLOOKUP($A121,'Add from APT'!$AA$2:$AC826,3,FALSE)&gt;0,TRUE,FALSE),"ER - NOT IN APT")</f>
        <v>0</v>
      </c>
      <c r="Q121" s="105" t="str">
        <f>IF(ISLOGICAL(P121),IF(P121,"ER - REPS IN APT", IFNA(VLOOKUP($A121,RAW_APT!$A$3:$M826,7,FALSE),"ER - NOT IN APT")),P121)</f>
        <v>Result</v>
      </c>
      <c r="R121" s="106" t="b">
        <f t="shared" si="2"/>
        <v>1</v>
      </c>
      <c r="S121" s="107">
        <f t="shared" si="3"/>
        <v>1</v>
      </c>
      <c r="T121" s="140">
        <v>0.0</v>
      </c>
      <c r="U121" s="141"/>
      <c r="W121" s="141"/>
      <c r="X121" s="110" t="b">
        <f t="shared" si="4"/>
        <v>0</v>
      </c>
      <c r="Y121" s="111" t="b">
        <v>0</v>
      </c>
      <c r="Z121" s="104" t="str">
        <f t="shared" si="5"/>
        <v/>
      </c>
      <c r="AA121" s="112" t="b">
        <f t="shared" si="6"/>
        <v>0</v>
      </c>
      <c r="AB121" s="142" t="b">
        <v>0</v>
      </c>
      <c r="AC121" s="140">
        <v>797.0</v>
      </c>
      <c r="AD121" s="141" t="b">
        <v>1</v>
      </c>
      <c r="AE121" s="115">
        <f t="shared" si="7"/>
        <v>301.35</v>
      </c>
      <c r="AF121" s="116" t="b">
        <f t="shared" si="8"/>
        <v>0</v>
      </c>
      <c r="AG121" s="105" t="b">
        <f t="shared" si="9"/>
        <v>0</v>
      </c>
      <c r="AH121" s="140"/>
      <c r="AI121" s="140"/>
      <c r="AJ121" s="140"/>
      <c r="AK121" s="117" t="str">
        <f t="shared" si="10"/>
        <v>Negative</v>
      </c>
      <c r="AL121" s="142"/>
      <c r="AM121" s="112" t="s">
        <v>500</v>
      </c>
      <c r="AN121" s="112" t="s">
        <v>566</v>
      </c>
      <c r="AO121" s="112" t="str">
        <f>IFERROR(__xludf.DUMMYFUNCTION("IF($AG121, ""DELETED"",TRIM(JOIN("" "",D121:E121)))"),"")</f>
        <v/>
      </c>
      <c r="AP121" s="112" t="str">
        <f t="shared" ref="AP121:AQ121" si="146">IF($AG121, "DELETED", TRIM(CONCATENATE(F121,I121,U121)))</f>
        <v/>
      </c>
      <c r="AQ121" s="112" t="str">
        <f t="shared" si="146"/>
        <v/>
      </c>
      <c r="AR121" s="112" t="str">
        <f>IFERROR(__xludf.DUMMYFUNCTION("IF($AG121, ""DELETED"", TRIM(JOIN("" "",AP121,AQ121)))"),"")</f>
        <v/>
      </c>
      <c r="AS121" s="118"/>
      <c r="AT121" s="110" t="b">
        <f t="shared" si="12"/>
        <v>0</v>
      </c>
      <c r="AU121" s="110" t="str">
        <f t="shared" si="13"/>
        <v/>
      </c>
      <c r="AV121" s="110" t="str">
        <f t="shared" si="14"/>
        <v/>
      </c>
      <c r="AW121" s="110" t="str">
        <f t="shared" si="15"/>
        <v/>
      </c>
      <c r="AX121" s="119" t="str">
        <f t="shared" si="16"/>
        <v/>
      </c>
      <c r="AY121" s="120"/>
      <c r="AZ121" s="121"/>
      <c r="BA121" s="122" t="str">
        <f t="shared" si="17"/>
        <v/>
      </c>
      <c r="BB121" s="34"/>
      <c r="BC121" s="121"/>
      <c r="BD121" s="136"/>
      <c r="BE121" s="125" t="str">
        <f t="shared" si="18"/>
        <v/>
      </c>
      <c r="BF121" s="126" t="str">
        <f t="shared" si="19"/>
        <v>MA1224__44568_0.298634259259259</v>
      </c>
      <c r="BG121" s="127" t="str">
        <f t="shared" si="20"/>
        <v/>
      </c>
      <c r="BH121" s="137" t="s">
        <v>567</v>
      </c>
      <c r="BI121" s="128" t="str">
        <f t="shared" si="21"/>
        <v>FM417</v>
      </c>
      <c r="BJ121" s="129" t="b">
        <f t="shared" si="22"/>
        <v>0</v>
      </c>
      <c r="BK121" s="128" t="str">
        <f t="shared" si="23"/>
        <v/>
      </c>
      <c r="BL121" s="121"/>
      <c r="BM121" s="5" t="str">
        <f t="shared" si="24"/>
        <v>MISSING</v>
      </c>
      <c r="BN121" s="120" t="b">
        <f t="shared" si="25"/>
        <v>0</v>
      </c>
      <c r="BO121" s="131" t="b">
        <f t="shared" si="26"/>
        <v>1</v>
      </c>
      <c r="BP121" s="121"/>
      <c r="BQ121" s="132" t="str">
        <f>VLOOKUP(A121,RAW_APS!A$3:O826,15,FALSE)</f>
        <v>#N/A</v>
      </c>
      <c r="BR121" s="120" t="str">
        <f t="shared" si="27"/>
        <v>***TUBE ID NOT FOUND</v>
      </c>
      <c r="BS121" s="121"/>
      <c r="BT121" s="138" t="s">
        <v>244</v>
      </c>
      <c r="BU121" s="10" t="b">
        <f t="shared" si="28"/>
        <v>1</v>
      </c>
      <c r="BV121" s="120"/>
      <c r="BW121" s="120"/>
      <c r="BX121" s="120"/>
      <c r="BY121" s="120"/>
      <c r="BZ121" s="120"/>
      <c r="CA121" s="120"/>
      <c r="CB121" s="120"/>
      <c r="CC121" s="120"/>
    </row>
    <row r="122">
      <c r="A122" s="2" t="s">
        <v>568</v>
      </c>
      <c r="B122" s="100">
        <v>44568.0</v>
      </c>
      <c r="C122" s="101">
        <v>0.3139351851851852</v>
      </c>
      <c r="D122" s="102"/>
      <c r="E122" s="102"/>
      <c r="F122" s="102"/>
      <c r="G122" s="102"/>
      <c r="H122" s="102"/>
      <c r="I122" s="103"/>
      <c r="J122" s="103"/>
      <c r="K122" s="2" t="s">
        <v>244</v>
      </c>
      <c r="L122" s="100">
        <v>44568.0</v>
      </c>
      <c r="M122" s="101">
        <v>0.5079050925925926</v>
      </c>
      <c r="P122" s="104" t="b">
        <f>IFNA(IF(VLOOKUP($A122,'Add from APT'!$AA$2:$AC826,3,FALSE)&gt;0,TRUE,FALSE),"ER - NOT IN APT")</f>
        <v>0</v>
      </c>
      <c r="Q122" s="105" t="str">
        <f>IF(ISLOGICAL(P122),IF(P122,"ER - REPS IN APT", IFNA(VLOOKUP($A122,RAW_APT!$A$3:$M826,7,FALSE),"ER - NOT IN APT")),P122)</f>
        <v>Result</v>
      </c>
      <c r="R122" s="106" t="b">
        <f t="shared" si="2"/>
        <v>1</v>
      </c>
      <c r="S122" s="107">
        <f t="shared" si="3"/>
        <v>1</v>
      </c>
      <c r="T122" s="143"/>
      <c r="U122" s="142"/>
      <c r="V122" s="142"/>
      <c r="W122" s="142"/>
      <c r="X122" s="110" t="b">
        <f t="shared" si="4"/>
        <v>0</v>
      </c>
      <c r="Y122" s="111" t="b">
        <v>0</v>
      </c>
      <c r="Z122" s="104" t="str">
        <f t="shared" si="5"/>
        <v/>
      </c>
      <c r="AA122" s="112" t="b">
        <f t="shared" si="6"/>
        <v>0</v>
      </c>
      <c r="AB122" s="142" t="b">
        <v>0</v>
      </c>
      <c r="AC122" s="140">
        <v>677.0</v>
      </c>
      <c r="AD122" s="141" t="b">
        <v>0</v>
      </c>
      <c r="AE122" s="115">
        <f t="shared" si="7"/>
        <v>279.3166667</v>
      </c>
      <c r="AF122" s="116" t="b">
        <f t="shared" si="8"/>
        <v>0</v>
      </c>
      <c r="AG122" s="105" t="b">
        <f t="shared" si="9"/>
        <v>0</v>
      </c>
      <c r="AH122" s="140"/>
      <c r="AI122" s="140"/>
      <c r="AJ122" s="140"/>
      <c r="AK122" s="117" t="str">
        <f t="shared" si="10"/>
        <v>Negative</v>
      </c>
      <c r="AL122" s="142"/>
      <c r="AM122" s="112" t="s">
        <v>356</v>
      </c>
      <c r="AN122" s="112" t="s">
        <v>357</v>
      </c>
      <c r="AO122" s="112" t="str">
        <f>IFERROR(__xludf.DUMMYFUNCTION("IF($AG122, ""DELETED"",TRIM(JOIN("" "",D122:E122)))"),"")</f>
        <v/>
      </c>
      <c r="AP122" s="112" t="str">
        <f t="shared" ref="AP122:AQ122" si="147">IF($AG122, "DELETED", TRIM(CONCATENATE(F122,I122,U122)))</f>
        <v/>
      </c>
      <c r="AQ122" s="112" t="str">
        <f t="shared" si="147"/>
        <v/>
      </c>
      <c r="AR122" s="112" t="str">
        <f>IFERROR(__xludf.DUMMYFUNCTION("IF($AG122, ""DELETED"", TRIM(JOIN("" "",AP122,AQ122)))"),"")</f>
        <v/>
      </c>
      <c r="AS122" s="118"/>
      <c r="AT122" s="110" t="b">
        <f t="shared" si="12"/>
        <v>0</v>
      </c>
      <c r="AU122" s="110" t="str">
        <f t="shared" si="13"/>
        <v/>
      </c>
      <c r="AV122" s="110" t="str">
        <f t="shared" si="14"/>
        <v/>
      </c>
      <c r="AW122" s="110" t="str">
        <f t="shared" si="15"/>
        <v/>
      </c>
      <c r="AX122" s="119" t="str">
        <f t="shared" si="16"/>
        <v/>
      </c>
      <c r="AY122" s="120"/>
      <c r="AZ122" s="121"/>
      <c r="BA122" s="122" t="str">
        <f t="shared" si="17"/>
        <v/>
      </c>
      <c r="BB122" s="34"/>
      <c r="BC122" s="121"/>
      <c r="BD122" s="136"/>
      <c r="BE122" s="125" t="str">
        <f t="shared" si="18"/>
        <v/>
      </c>
      <c r="BF122" s="126" t="str">
        <f t="shared" si="19"/>
        <v>MA1143__44568_0.313935185185185</v>
      </c>
      <c r="BG122" s="127" t="str">
        <f t="shared" si="20"/>
        <v/>
      </c>
      <c r="BH122" s="137" t="s">
        <v>569</v>
      </c>
      <c r="BI122" s="128" t="str">
        <f t="shared" si="21"/>
        <v>FM42</v>
      </c>
      <c r="BJ122" s="129" t="b">
        <f t="shared" si="22"/>
        <v>0</v>
      </c>
      <c r="BK122" s="128" t="str">
        <f t="shared" si="23"/>
        <v/>
      </c>
      <c r="BL122" s="121"/>
      <c r="BM122" s="5" t="str">
        <f t="shared" si="24"/>
        <v>MISSING</v>
      </c>
      <c r="BN122" s="120" t="b">
        <f t="shared" si="25"/>
        <v>0</v>
      </c>
      <c r="BO122" s="131" t="b">
        <f t="shared" si="26"/>
        <v>1</v>
      </c>
      <c r="BP122" s="121"/>
      <c r="BQ122" s="132" t="str">
        <f>VLOOKUP(A122,RAW_APS!A$3:O826,15,FALSE)</f>
        <v/>
      </c>
      <c r="BR122" s="120" t="b">
        <f t="shared" si="27"/>
        <v>1</v>
      </c>
      <c r="BS122" s="121"/>
      <c r="BT122" s="138" t="s">
        <v>244</v>
      </c>
      <c r="BU122" s="10" t="b">
        <f t="shared" si="28"/>
        <v>1</v>
      </c>
      <c r="BV122" s="120"/>
      <c r="BW122" s="120"/>
      <c r="BX122" s="120"/>
      <c r="BY122" s="120"/>
      <c r="BZ122" s="120"/>
      <c r="CA122" s="120"/>
      <c r="CB122" s="120"/>
      <c r="CC122" s="120"/>
    </row>
    <row r="123">
      <c r="A123" s="2" t="s">
        <v>570</v>
      </c>
      <c r="B123" s="100">
        <v>44568.0</v>
      </c>
      <c r="C123" s="101">
        <v>0.3292824074074074</v>
      </c>
      <c r="D123" s="102"/>
      <c r="E123" s="102"/>
      <c r="F123" s="102"/>
      <c r="G123" s="102"/>
      <c r="H123" s="102"/>
      <c r="I123" s="103"/>
      <c r="J123" s="103"/>
      <c r="K123" s="2" t="s">
        <v>244</v>
      </c>
      <c r="L123" s="100">
        <v>44568.0</v>
      </c>
      <c r="M123" s="101">
        <v>0.5079050925925926</v>
      </c>
      <c r="P123" s="104" t="b">
        <f>IFNA(IF(VLOOKUP($A123,'Add from APT'!$AA$2:$AC826,3,FALSE)&gt;0,TRUE,FALSE),"ER - NOT IN APT")</f>
        <v>0</v>
      </c>
      <c r="Q123" s="105" t="str">
        <f>IF(ISLOGICAL(P123),IF(P123,"ER - REPS IN APT", IFNA(VLOOKUP($A123,RAW_APT!$A$3:$M826,7,FALSE),"ER - NOT IN APT")),P123)</f>
        <v>Result</v>
      </c>
      <c r="R123" s="106" t="b">
        <f t="shared" si="2"/>
        <v>1</v>
      </c>
      <c r="S123" s="107">
        <f t="shared" si="3"/>
        <v>1</v>
      </c>
      <c r="T123" s="143"/>
      <c r="U123" s="142"/>
      <c r="V123" s="142"/>
      <c r="W123" s="142"/>
      <c r="X123" s="110" t="b">
        <f t="shared" si="4"/>
        <v>0</v>
      </c>
      <c r="Y123" s="111" t="b">
        <v>0</v>
      </c>
      <c r="Z123" s="104" t="str">
        <f t="shared" si="5"/>
        <v/>
      </c>
      <c r="AA123" s="112" t="b">
        <f t="shared" si="6"/>
        <v>0</v>
      </c>
      <c r="AB123" s="142" t="b">
        <v>0</v>
      </c>
      <c r="AC123" s="140">
        <v>676.0</v>
      </c>
      <c r="AD123" s="141" t="b">
        <v>0</v>
      </c>
      <c r="AE123" s="115">
        <f t="shared" si="7"/>
        <v>257.2166667</v>
      </c>
      <c r="AF123" s="116" t="b">
        <f t="shared" si="8"/>
        <v>0</v>
      </c>
      <c r="AG123" s="105" t="b">
        <f t="shared" si="9"/>
        <v>0</v>
      </c>
      <c r="AH123" s="140"/>
      <c r="AI123" s="140"/>
      <c r="AJ123" s="140"/>
      <c r="AK123" s="117" t="str">
        <f t="shared" si="10"/>
        <v>Negative</v>
      </c>
      <c r="AL123" s="142"/>
      <c r="AM123" s="112" t="s">
        <v>287</v>
      </c>
      <c r="AN123" s="112" t="s">
        <v>288</v>
      </c>
      <c r="AO123" s="112" t="str">
        <f>IFERROR(__xludf.DUMMYFUNCTION("IF($AG123, ""DELETED"",TRIM(JOIN("" "",D123:E123)))"),"")</f>
        <v/>
      </c>
      <c r="AP123" s="112" t="str">
        <f t="shared" ref="AP123:AQ123" si="148">IF($AG123, "DELETED", TRIM(CONCATENATE(F123,I123,U123)))</f>
        <v/>
      </c>
      <c r="AQ123" s="112" t="str">
        <f t="shared" si="148"/>
        <v/>
      </c>
      <c r="AR123" s="112" t="str">
        <f>IFERROR(__xludf.DUMMYFUNCTION("IF($AG123, ""DELETED"", TRIM(JOIN("" "",AP123,AQ123)))"),"")</f>
        <v/>
      </c>
      <c r="AS123" s="118"/>
      <c r="AT123" s="110" t="b">
        <f t="shared" si="12"/>
        <v>0</v>
      </c>
      <c r="AU123" s="110" t="str">
        <f t="shared" si="13"/>
        <v/>
      </c>
      <c r="AV123" s="110" t="str">
        <f t="shared" si="14"/>
        <v/>
      </c>
      <c r="AW123" s="110" t="str">
        <f t="shared" si="15"/>
        <v/>
      </c>
      <c r="AX123" s="119" t="str">
        <f t="shared" si="16"/>
        <v/>
      </c>
      <c r="AY123" s="120"/>
      <c r="AZ123" s="121"/>
      <c r="BA123" s="122" t="str">
        <f t="shared" si="17"/>
        <v/>
      </c>
      <c r="BB123" s="34"/>
      <c r="BC123" s="121"/>
      <c r="BD123" s="136"/>
      <c r="BE123" s="125" t="str">
        <f t="shared" si="18"/>
        <v/>
      </c>
      <c r="BF123" s="126" t="str">
        <f t="shared" si="19"/>
        <v>MA1051__44568_0.329282407407407</v>
      </c>
      <c r="BG123" s="127" t="str">
        <f t="shared" si="20"/>
        <v/>
      </c>
      <c r="BH123" s="137" t="s">
        <v>571</v>
      </c>
      <c r="BI123" s="128" t="str">
        <f t="shared" si="21"/>
        <v>FM422</v>
      </c>
      <c r="BJ123" s="129" t="b">
        <f t="shared" si="22"/>
        <v>0</v>
      </c>
      <c r="BK123" s="128" t="str">
        <f t="shared" si="23"/>
        <v/>
      </c>
      <c r="BL123" s="121"/>
      <c r="BM123" s="5" t="str">
        <f t="shared" si="24"/>
        <v>MISSING</v>
      </c>
      <c r="BN123" s="120" t="b">
        <f t="shared" si="25"/>
        <v>0</v>
      </c>
      <c r="BO123" s="131" t="b">
        <f t="shared" si="26"/>
        <v>1</v>
      </c>
      <c r="BP123" s="121"/>
      <c r="BQ123" s="132" t="str">
        <f>VLOOKUP(A123,RAW_APS!A$3:O826,15,FALSE)</f>
        <v/>
      </c>
      <c r="BR123" s="120" t="b">
        <f t="shared" si="27"/>
        <v>1</v>
      </c>
      <c r="BS123" s="121"/>
      <c r="BT123" s="138" t="s">
        <v>244</v>
      </c>
      <c r="BU123" s="10" t="b">
        <f t="shared" si="28"/>
        <v>1</v>
      </c>
      <c r="BV123" s="120"/>
      <c r="BW123" s="120"/>
      <c r="BX123" s="120"/>
      <c r="BY123" s="120"/>
      <c r="BZ123" s="120"/>
      <c r="CA123" s="120"/>
      <c r="CB123" s="120"/>
      <c r="CC123" s="120"/>
    </row>
    <row r="124">
      <c r="A124" s="2" t="s">
        <v>572</v>
      </c>
      <c r="B124" s="100">
        <v>44568.0</v>
      </c>
      <c r="C124" s="101">
        <v>0.3309490740740741</v>
      </c>
      <c r="D124" s="102"/>
      <c r="E124" s="102"/>
      <c r="F124" s="102"/>
      <c r="G124" s="102"/>
      <c r="H124" s="102"/>
      <c r="I124" s="103"/>
      <c r="J124" s="103"/>
      <c r="K124" s="2" t="s">
        <v>244</v>
      </c>
      <c r="L124" s="100">
        <v>44568.0</v>
      </c>
      <c r="M124" s="101">
        <v>0.5079050925925926</v>
      </c>
      <c r="P124" s="104" t="b">
        <f>IFNA(IF(VLOOKUP($A124,'Add from APT'!$AA$2:$AC826,3,FALSE)&gt;0,TRUE,FALSE),"ER - NOT IN APT")</f>
        <v>0</v>
      </c>
      <c r="Q124" s="105" t="str">
        <f>IF(ISLOGICAL(P124),IF(P124,"ER - REPS IN APT", IFNA(VLOOKUP($A124,RAW_APT!$A$3:$M826,7,FALSE),"ER - NOT IN APT")),P124)</f>
        <v>Result</v>
      </c>
      <c r="R124" s="106" t="b">
        <f t="shared" si="2"/>
        <v>1</v>
      </c>
      <c r="S124" s="107">
        <f t="shared" si="3"/>
        <v>1</v>
      </c>
      <c r="T124" s="143"/>
      <c r="U124" s="142"/>
      <c r="V124" s="142"/>
      <c r="W124" s="142"/>
      <c r="X124" s="110" t="b">
        <f t="shared" si="4"/>
        <v>0</v>
      </c>
      <c r="Y124" s="111" t="b">
        <v>0</v>
      </c>
      <c r="Z124" s="104" t="str">
        <f t="shared" si="5"/>
        <v/>
      </c>
      <c r="AA124" s="112" t="b">
        <f t="shared" si="6"/>
        <v>0</v>
      </c>
      <c r="AB124" s="142" t="b">
        <v>0</v>
      </c>
      <c r="AC124" s="140">
        <v>675.0</v>
      </c>
      <c r="AD124" s="141" t="b">
        <v>0</v>
      </c>
      <c r="AE124" s="115">
        <f t="shared" si="7"/>
        <v>254.8166667</v>
      </c>
      <c r="AF124" s="116" t="b">
        <f t="shared" si="8"/>
        <v>0</v>
      </c>
      <c r="AG124" s="105" t="b">
        <f t="shared" si="9"/>
        <v>0</v>
      </c>
      <c r="AH124" s="140"/>
      <c r="AI124" s="140"/>
      <c r="AJ124" s="140"/>
      <c r="AK124" s="117" t="str">
        <f t="shared" si="10"/>
        <v>Negative</v>
      </c>
      <c r="AL124" s="142"/>
      <c r="AM124" s="112" t="s">
        <v>573</v>
      </c>
      <c r="AN124" s="112" t="s">
        <v>574</v>
      </c>
      <c r="AO124" s="112" t="str">
        <f>IFERROR(__xludf.DUMMYFUNCTION("IF($AG124, ""DELETED"",TRIM(JOIN("" "",D124:E124)))"),"")</f>
        <v/>
      </c>
      <c r="AP124" s="112" t="str">
        <f t="shared" ref="AP124:AQ124" si="149">IF($AG124, "DELETED", TRIM(CONCATENATE(F124,I124,U124)))</f>
        <v/>
      </c>
      <c r="AQ124" s="112" t="str">
        <f t="shared" si="149"/>
        <v/>
      </c>
      <c r="AR124" s="112" t="str">
        <f>IFERROR(__xludf.DUMMYFUNCTION("IF($AG124, ""DELETED"", TRIM(JOIN("" "",AP124,AQ124)))"),"")</f>
        <v/>
      </c>
      <c r="AS124" s="118"/>
      <c r="AT124" s="110" t="b">
        <f t="shared" si="12"/>
        <v>0</v>
      </c>
      <c r="AU124" s="110" t="str">
        <f t="shared" si="13"/>
        <v/>
      </c>
      <c r="AV124" s="110" t="str">
        <f t="shared" si="14"/>
        <v/>
      </c>
      <c r="AW124" s="110" t="str">
        <f t="shared" si="15"/>
        <v/>
      </c>
      <c r="AX124" s="119" t="str">
        <f t="shared" si="16"/>
        <v/>
      </c>
      <c r="AY124" s="120"/>
      <c r="AZ124" s="121"/>
      <c r="BA124" s="122" t="str">
        <f t="shared" si="17"/>
        <v/>
      </c>
      <c r="BB124" s="34"/>
      <c r="BC124" s="121"/>
      <c r="BD124" s="136"/>
      <c r="BE124" s="125" t="str">
        <f t="shared" si="18"/>
        <v/>
      </c>
      <c r="BF124" s="126" t="str">
        <f t="shared" si="19"/>
        <v>MA462__44568_0.330949074074074</v>
      </c>
      <c r="BG124" s="127" t="str">
        <f t="shared" si="20"/>
        <v/>
      </c>
      <c r="BH124" s="137" t="s">
        <v>575</v>
      </c>
      <c r="BI124" s="128" t="str">
        <f t="shared" si="21"/>
        <v>FM423</v>
      </c>
      <c r="BJ124" s="129" t="b">
        <f t="shared" si="22"/>
        <v>0</v>
      </c>
      <c r="BK124" s="128" t="str">
        <f t="shared" si="23"/>
        <v/>
      </c>
      <c r="BL124" s="121"/>
      <c r="BM124" s="5" t="str">
        <f t="shared" si="24"/>
        <v>MISSING</v>
      </c>
      <c r="BN124" s="120" t="b">
        <f t="shared" si="25"/>
        <v>0</v>
      </c>
      <c r="BO124" s="131" t="b">
        <f t="shared" si="26"/>
        <v>1</v>
      </c>
      <c r="BP124" s="121"/>
      <c r="BQ124" s="132" t="str">
        <f>VLOOKUP(A124,RAW_APS!A$3:O826,15,FALSE)</f>
        <v/>
      </c>
      <c r="BR124" s="120" t="b">
        <f t="shared" si="27"/>
        <v>1</v>
      </c>
      <c r="BS124" s="121"/>
      <c r="BT124" s="138" t="s">
        <v>244</v>
      </c>
      <c r="BU124" s="10" t="b">
        <f t="shared" si="28"/>
        <v>1</v>
      </c>
      <c r="BV124" s="120"/>
      <c r="BW124" s="120"/>
      <c r="BX124" s="120"/>
      <c r="BY124" s="120"/>
      <c r="BZ124" s="120"/>
      <c r="CA124" s="120"/>
      <c r="CB124" s="120"/>
      <c r="CC124" s="120"/>
    </row>
    <row r="125">
      <c r="A125" s="2" t="s">
        <v>576</v>
      </c>
      <c r="B125" s="100">
        <v>44568.0</v>
      </c>
      <c r="C125" s="101">
        <v>0.3361689814814815</v>
      </c>
      <c r="D125" s="102"/>
      <c r="E125" s="102"/>
      <c r="F125" s="102"/>
      <c r="G125" s="102"/>
      <c r="H125" s="102"/>
      <c r="I125" s="103"/>
      <c r="J125" s="103"/>
      <c r="K125" s="2" t="s">
        <v>244</v>
      </c>
      <c r="L125" s="100">
        <v>44568.0</v>
      </c>
      <c r="M125" s="101">
        <v>0.5079050925925926</v>
      </c>
      <c r="P125" s="104" t="b">
        <f>IFNA(IF(VLOOKUP($A125,'Add from APT'!$AA$2:$AC826,3,FALSE)&gt;0,TRUE,FALSE),"ER - NOT IN APT")</f>
        <v>0</v>
      </c>
      <c r="Q125" s="105" t="str">
        <f>IF(ISLOGICAL(P125),IF(P125,"ER - REPS IN APT", IFNA(VLOOKUP($A125,RAW_APT!$A$3:$M826,7,FALSE),"ER - NOT IN APT")),P125)</f>
        <v>Result</v>
      </c>
      <c r="R125" s="106" t="b">
        <f t="shared" si="2"/>
        <v>1</v>
      </c>
      <c r="S125" s="107">
        <f t="shared" si="3"/>
        <v>1</v>
      </c>
      <c r="T125" s="143"/>
      <c r="U125" s="142"/>
      <c r="V125" s="142"/>
      <c r="W125" s="142"/>
      <c r="X125" s="110" t="b">
        <f t="shared" si="4"/>
        <v>0</v>
      </c>
      <c r="Y125" s="111" t="b">
        <v>0</v>
      </c>
      <c r="Z125" s="104" t="str">
        <f t="shared" si="5"/>
        <v/>
      </c>
      <c r="AA125" s="112" t="b">
        <f t="shared" si="6"/>
        <v>0</v>
      </c>
      <c r="AB125" s="142" t="b">
        <v>0</v>
      </c>
      <c r="AC125" s="140">
        <v>674.0</v>
      </c>
      <c r="AD125" s="141" t="b">
        <v>0</v>
      </c>
      <c r="AE125" s="115">
        <f t="shared" si="7"/>
        <v>247.3</v>
      </c>
      <c r="AF125" s="116" t="b">
        <f t="shared" si="8"/>
        <v>0</v>
      </c>
      <c r="AG125" s="105" t="b">
        <f t="shared" si="9"/>
        <v>0</v>
      </c>
      <c r="AH125" s="140"/>
      <c r="AI125" s="140"/>
      <c r="AJ125" s="140"/>
      <c r="AK125" s="117" t="str">
        <f t="shared" si="10"/>
        <v>Negative</v>
      </c>
      <c r="AL125" s="142"/>
      <c r="AM125" s="112" t="s">
        <v>577</v>
      </c>
      <c r="AN125" s="112" t="s">
        <v>578</v>
      </c>
      <c r="AO125" s="112" t="str">
        <f>IFERROR(__xludf.DUMMYFUNCTION("IF($AG125, ""DELETED"",TRIM(JOIN("" "",D125:E125)))"),"")</f>
        <v/>
      </c>
      <c r="AP125" s="112" t="str">
        <f t="shared" ref="AP125:AQ125" si="150">IF($AG125, "DELETED", TRIM(CONCATENATE(F125,I125,U125)))</f>
        <v/>
      </c>
      <c r="AQ125" s="112" t="str">
        <f t="shared" si="150"/>
        <v/>
      </c>
      <c r="AR125" s="112" t="str">
        <f>IFERROR(__xludf.DUMMYFUNCTION("IF($AG125, ""DELETED"", TRIM(JOIN("" "",AP125,AQ125)))"),"")</f>
        <v/>
      </c>
      <c r="AS125" s="118"/>
      <c r="AT125" s="110" t="b">
        <f t="shared" si="12"/>
        <v>0</v>
      </c>
      <c r="AU125" s="110" t="str">
        <f t="shared" si="13"/>
        <v/>
      </c>
      <c r="AV125" s="110" t="str">
        <f t="shared" si="14"/>
        <v/>
      </c>
      <c r="AW125" s="110" t="str">
        <f t="shared" si="15"/>
        <v/>
      </c>
      <c r="AX125" s="119" t="str">
        <f t="shared" si="16"/>
        <v/>
      </c>
      <c r="AY125" s="120"/>
      <c r="AZ125" s="121"/>
      <c r="BA125" s="122" t="str">
        <f t="shared" si="17"/>
        <v/>
      </c>
      <c r="BB125" s="34"/>
      <c r="BC125" s="121"/>
      <c r="BD125" s="136"/>
      <c r="BE125" s="125" t="str">
        <f t="shared" si="18"/>
        <v/>
      </c>
      <c r="BF125" s="126" t="str">
        <f t="shared" si="19"/>
        <v>MA254__44568_0.336168981481482</v>
      </c>
      <c r="BG125" s="127" t="str">
        <f t="shared" si="20"/>
        <v/>
      </c>
      <c r="BH125" s="137" t="s">
        <v>579</v>
      </c>
      <c r="BI125" s="128" t="str">
        <f t="shared" si="21"/>
        <v>FM425</v>
      </c>
      <c r="BJ125" s="129" t="b">
        <f t="shared" si="22"/>
        <v>0</v>
      </c>
      <c r="BK125" s="128" t="str">
        <f t="shared" si="23"/>
        <v/>
      </c>
      <c r="BL125" s="121"/>
      <c r="BM125" s="5" t="str">
        <f t="shared" si="24"/>
        <v>MISSING</v>
      </c>
      <c r="BN125" s="120" t="b">
        <f t="shared" si="25"/>
        <v>0</v>
      </c>
      <c r="BO125" s="131" t="b">
        <f t="shared" si="26"/>
        <v>1</v>
      </c>
      <c r="BP125" s="121"/>
      <c r="BQ125" s="132" t="str">
        <f>VLOOKUP(A125,RAW_APS!A$3:O826,15,FALSE)</f>
        <v/>
      </c>
      <c r="BR125" s="120" t="b">
        <f t="shared" si="27"/>
        <v>1</v>
      </c>
      <c r="BS125" s="121"/>
      <c r="BT125" s="138" t="s">
        <v>244</v>
      </c>
      <c r="BU125" s="10" t="b">
        <f t="shared" si="28"/>
        <v>1</v>
      </c>
      <c r="BV125" s="120"/>
      <c r="BW125" s="120"/>
      <c r="BX125" s="120"/>
      <c r="BY125" s="120"/>
      <c r="BZ125" s="120"/>
      <c r="CA125" s="120"/>
      <c r="CB125" s="120"/>
      <c r="CC125" s="120"/>
    </row>
    <row r="126">
      <c r="A126" s="2" t="s">
        <v>580</v>
      </c>
      <c r="B126" s="100">
        <v>44568.0</v>
      </c>
      <c r="C126" s="101">
        <v>0.34097222222222223</v>
      </c>
      <c r="D126" s="102"/>
      <c r="E126" s="102"/>
      <c r="F126" s="102"/>
      <c r="G126" s="102"/>
      <c r="H126" s="102"/>
      <c r="I126" s="103"/>
      <c r="J126" s="103"/>
      <c r="K126" s="2" t="s">
        <v>52</v>
      </c>
      <c r="L126" s="100">
        <v>44568.0</v>
      </c>
      <c r="M126" s="101">
        <v>0.5079050925925926</v>
      </c>
      <c r="P126" s="104" t="b">
        <f>IFNA(IF(VLOOKUP($A126,'Add from APT'!$AA$2:$AC826,3,FALSE)&gt;0,TRUE,FALSE),"ER - NOT IN APT")</f>
        <v>0</v>
      </c>
      <c r="Q126" s="105" t="str">
        <f>IF(ISLOGICAL(P126),IF(P126,"ER - REPS IN APT", IFNA(VLOOKUP($A126,RAW_APT!$A$3:$M826,7,FALSE),"ER - NOT IN APT")),P126)</f>
        <v>Result</v>
      </c>
      <c r="R126" s="106" t="b">
        <f t="shared" si="2"/>
        <v>1</v>
      </c>
      <c r="S126" s="107">
        <f t="shared" si="3"/>
        <v>1</v>
      </c>
      <c r="T126" s="143"/>
      <c r="U126" s="142"/>
      <c r="V126" s="142"/>
      <c r="W126" s="142"/>
      <c r="X126" s="110" t="b">
        <f t="shared" si="4"/>
        <v>0</v>
      </c>
      <c r="Y126" s="111" t="b">
        <v>0</v>
      </c>
      <c r="Z126" s="104" t="str">
        <f t="shared" si="5"/>
        <v/>
      </c>
      <c r="AA126" s="112" t="b">
        <f t="shared" si="6"/>
        <v>0</v>
      </c>
      <c r="AB126" s="142" t="b">
        <v>0</v>
      </c>
      <c r="AC126" s="140">
        <v>673.0</v>
      </c>
      <c r="AD126" s="141" t="b">
        <v>0</v>
      </c>
      <c r="AE126" s="115">
        <f t="shared" si="7"/>
        <v>240.3833333</v>
      </c>
      <c r="AF126" s="116" t="b">
        <f t="shared" si="8"/>
        <v>0</v>
      </c>
      <c r="AG126" s="105" t="b">
        <f t="shared" si="9"/>
        <v>0</v>
      </c>
      <c r="AH126" s="140"/>
      <c r="AI126" s="140"/>
      <c r="AJ126" s="140"/>
      <c r="AK126" s="117" t="str">
        <f t="shared" si="10"/>
        <v>Positive</v>
      </c>
      <c r="AL126" s="142"/>
      <c r="AM126" s="112" t="s">
        <v>477</v>
      </c>
      <c r="AN126" s="112" t="s">
        <v>450</v>
      </c>
      <c r="AO126" s="112" t="str">
        <f>IFERROR(__xludf.DUMMYFUNCTION("IF($AG126, ""DELETED"",TRIM(JOIN("" "",D126:E126)))"),"")</f>
        <v/>
      </c>
      <c r="AP126" s="112" t="str">
        <f t="shared" ref="AP126:AQ126" si="151">IF($AG126, "DELETED", TRIM(CONCATENATE(F126,I126,U126)))</f>
        <v/>
      </c>
      <c r="AQ126" s="112" t="str">
        <f t="shared" si="151"/>
        <v/>
      </c>
      <c r="AR126" s="112" t="str">
        <f>IFERROR(__xludf.DUMMYFUNCTION("IF($AG126, ""DELETED"", TRIM(JOIN("" "",AP126,AQ126)))"),"")</f>
        <v/>
      </c>
      <c r="AS126" s="118"/>
      <c r="AT126" s="110" t="b">
        <f t="shared" si="12"/>
        <v>0</v>
      </c>
      <c r="AU126" s="110" t="str">
        <f t="shared" si="13"/>
        <v/>
      </c>
      <c r="AV126" s="110" t="str">
        <f t="shared" si="14"/>
        <v/>
      </c>
      <c r="AW126" s="110" t="str">
        <f t="shared" si="15"/>
        <v/>
      </c>
      <c r="AX126" s="119" t="str">
        <f t="shared" si="16"/>
        <v/>
      </c>
      <c r="AY126" s="120"/>
      <c r="AZ126" s="121"/>
      <c r="BA126" s="122" t="str">
        <f t="shared" si="17"/>
        <v/>
      </c>
      <c r="BB126" s="34"/>
      <c r="BC126" s="121"/>
      <c r="BD126" s="136"/>
      <c r="BE126" s="125" t="str">
        <f t="shared" si="18"/>
        <v/>
      </c>
      <c r="BF126" s="126" t="str">
        <f t="shared" si="19"/>
        <v>MA1188__44568_0.340972222222222</v>
      </c>
      <c r="BG126" s="127" t="str">
        <f t="shared" si="20"/>
        <v/>
      </c>
      <c r="BH126" s="137" t="s">
        <v>581</v>
      </c>
      <c r="BI126" s="128" t="str">
        <f t="shared" si="21"/>
        <v>FM427</v>
      </c>
      <c r="BJ126" s="129" t="b">
        <f t="shared" si="22"/>
        <v>0</v>
      </c>
      <c r="BK126" s="128" t="str">
        <f t="shared" si="23"/>
        <v/>
      </c>
      <c r="BL126" s="121"/>
      <c r="BM126" s="5" t="str">
        <f t="shared" si="24"/>
        <v>MISSING</v>
      </c>
      <c r="BN126" s="120" t="b">
        <f t="shared" si="25"/>
        <v>0</v>
      </c>
      <c r="BO126" s="131" t="b">
        <f t="shared" si="26"/>
        <v>1</v>
      </c>
      <c r="BP126" s="121"/>
      <c r="BQ126" s="132" t="str">
        <f>VLOOKUP(A126,RAW_APS!A$3:O826,15,FALSE)</f>
        <v/>
      </c>
      <c r="BR126" s="120" t="b">
        <f t="shared" si="27"/>
        <v>1</v>
      </c>
      <c r="BS126" s="121"/>
      <c r="BT126" s="138" t="s">
        <v>52</v>
      </c>
      <c r="BU126" s="10" t="b">
        <f t="shared" si="28"/>
        <v>1</v>
      </c>
      <c r="BV126" s="120"/>
      <c r="BW126" s="120"/>
      <c r="BX126" s="120"/>
      <c r="BY126" s="120"/>
      <c r="BZ126" s="120"/>
      <c r="CA126" s="120"/>
      <c r="CB126" s="120"/>
      <c r="CC126" s="120"/>
    </row>
    <row r="127">
      <c r="A127" s="2" t="s">
        <v>582</v>
      </c>
      <c r="B127" s="100">
        <v>44568.0</v>
      </c>
      <c r="C127" s="101">
        <v>0.34206018518518516</v>
      </c>
      <c r="D127" s="102"/>
      <c r="E127" s="102"/>
      <c r="F127" s="102"/>
      <c r="G127" s="102"/>
      <c r="H127" s="102"/>
      <c r="I127" s="103"/>
      <c r="J127" s="103"/>
      <c r="K127" s="2" t="s">
        <v>63</v>
      </c>
      <c r="L127" s="100">
        <v>44568.0</v>
      </c>
      <c r="M127" s="101">
        <v>0.5079050925925926</v>
      </c>
      <c r="P127" s="104" t="b">
        <f>IFNA(IF(VLOOKUP($A127,'Add from APT'!$AA$2:$AC826,3,FALSE)&gt;0,TRUE,FALSE),"ER - NOT IN APT")</f>
        <v>0</v>
      </c>
      <c r="Q127" s="105" t="str">
        <f>IF(ISLOGICAL(P127),IF(P127,"ER - REPS IN APT", IFNA(VLOOKUP($A127,RAW_APT!$A$3:$M826,7,FALSE),"ER - NOT IN APT")),P127)</f>
        <v>Result</v>
      </c>
      <c r="R127" s="106" t="b">
        <f t="shared" si="2"/>
        <v>1</v>
      </c>
      <c r="S127" s="107">
        <f t="shared" si="3"/>
        <v>1</v>
      </c>
      <c r="T127" s="143"/>
      <c r="U127" s="142"/>
      <c r="V127" s="142"/>
      <c r="W127" s="142"/>
      <c r="X127" s="110" t="b">
        <f t="shared" si="4"/>
        <v>0</v>
      </c>
      <c r="Y127" s="111" t="b">
        <v>0</v>
      </c>
      <c r="Z127" s="104" t="str">
        <f t="shared" si="5"/>
        <v/>
      </c>
      <c r="AA127" s="112" t="b">
        <f t="shared" si="6"/>
        <v>0</v>
      </c>
      <c r="AB127" s="142" t="b">
        <v>0</v>
      </c>
      <c r="AC127" s="140">
        <v>671.0</v>
      </c>
      <c r="AD127" s="141" t="b">
        <v>0</v>
      </c>
      <c r="AE127" s="115">
        <f t="shared" si="7"/>
        <v>238.8166667</v>
      </c>
      <c r="AF127" s="116" t="b">
        <f t="shared" si="8"/>
        <v>0</v>
      </c>
      <c r="AG127" s="105" t="b">
        <f t="shared" si="9"/>
        <v>0</v>
      </c>
      <c r="AH127" s="140"/>
      <c r="AI127" s="140"/>
      <c r="AJ127" s="140"/>
      <c r="AK127" s="117" t="str">
        <f t="shared" si="10"/>
        <v>Inconclusive</v>
      </c>
      <c r="AL127" s="142"/>
      <c r="AM127" s="112" t="s">
        <v>583</v>
      </c>
      <c r="AN127" s="112" t="s">
        <v>584</v>
      </c>
      <c r="AO127" s="112" t="str">
        <f>IFERROR(__xludf.DUMMYFUNCTION("IF($AG127, ""DELETED"",TRIM(JOIN("" "",D127:E127)))"),"")</f>
        <v/>
      </c>
      <c r="AP127" s="112" t="str">
        <f t="shared" ref="AP127:AQ127" si="152">IF($AG127, "DELETED", TRIM(CONCATENATE(F127,I127,U127)))</f>
        <v/>
      </c>
      <c r="AQ127" s="112" t="str">
        <f t="shared" si="152"/>
        <v/>
      </c>
      <c r="AR127" s="112" t="str">
        <f>IFERROR(__xludf.DUMMYFUNCTION("IF($AG127, ""DELETED"", TRIM(JOIN("" "",AP127,AQ127)))"),"")</f>
        <v/>
      </c>
      <c r="AS127" s="118"/>
      <c r="AT127" s="110" t="b">
        <f t="shared" si="12"/>
        <v>0</v>
      </c>
      <c r="AU127" s="110" t="str">
        <f t="shared" si="13"/>
        <v/>
      </c>
      <c r="AV127" s="110" t="str">
        <f t="shared" si="14"/>
        <v/>
      </c>
      <c r="AW127" s="110" t="str">
        <f t="shared" si="15"/>
        <v/>
      </c>
      <c r="AX127" s="119" t="str">
        <f t="shared" si="16"/>
        <v/>
      </c>
      <c r="AY127" s="120"/>
      <c r="AZ127" s="121"/>
      <c r="BA127" s="122" t="str">
        <f t="shared" si="17"/>
        <v/>
      </c>
      <c r="BB127" s="34"/>
      <c r="BC127" s="121"/>
      <c r="BD127" s="136"/>
      <c r="BE127" s="125" t="str">
        <f t="shared" si="18"/>
        <v/>
      </c>
      <c r="BF127" s="126" t="str">
        <f t="shared" si="19"/>
        <v>MA347__44568_0.342060185185185</v>
      </c>
      <c r="BG127" s="127" t="str">
        <f t="shared" si="20"/>
        <v/>
      </c>
      <c r="BH127" s="137" t="s">
        <v>585</v>
      </c>
      <c r="BI127" s="128" t="str">
        <f t="shared" si="21"/>
        <v>FM428</v>
      </c>
      <c r="BJ127" s="129" t="b">
        <f t="shared" si="22"/>
        <v>0</v>
      </c>
      <c r="BK127" s="128" t="str">
        <f t="shared" si="23"/>
        <v/>
      </c>
      <c r="BL127" s="121"/>
      <c r="BM127" s="5" t="str">
        <f t="shared" si="24"/>
        <v>MISSING</v>
      </c>
      <c r="BN127" s="120" t="b">
        <f t="shared" si="25"/>
        <v>0</v>
      </c>
      <c r="BO127" s="131" t="b">
        <f t="shared" si="26"/>
        <v>1</v>
      </c>
      <c r="BP127" s="121"/>
      <c r="BQ127" s="132" t="str">
        <f>VLOOKUP(A127,RAW_APS!A$3:O826,15,FALSE)</f>
        <v/>
      </c>
      <c r="BR127" s="120" t="b">
        <f t="shared" si="27"/>
        <v>1</v>
      </c>
      <c r="BS127" s="121"/>
      <c r="BT127" s="138" t="s">
        <v>63</v>
      </c>
      <c r="BU127" s="10" t="b">
        <f t="shared" si="28"/>
        <v>1</v>
      </c>
      <c r="BV127" s="120"/>
      <c r="BW127" s="120"/>
      <c r="BX127" s="120"/>
      <c r="BY127" s="120"/>
      <c r="BZ127" s="120"/>
      <c r="CA127" s="120"/>
      <c r="CB127" s="120"/>
      <c r="CC127" s="120"/>
    </row>
    <row r="128">
      <c r="A128" s="2" t="s">
        <v>586</v>
      </c>
      <c r="B128" s="100">
        <v>44568.0</v>
      </c>
      <c r="C128" s="101">
        <v>0.3421064814814815</v>
      </c>
      <c r="D128" s="102"/>
      <c r="E128" s="102"/>
      <c r="F128" s="102"/>
      <c r="G128" s="102"/>
      <c r="H128" s="102"/>
      <c r="I128" s="103"/>
      <c r="J128" s="103"/>
      <c r="K128" s="2" t="s">
        <v>244</v>
      </c>
      <c r="L128" s="100">
        <v>44568.0</v>
      </c>
      <c r="M128" s="101">
        <v>0.5079050925925926</v>
      </c>
      <c r="P128" s="104" t="b">
        <f>IFNA(IF(VLOOKUP($A128,'Add from APT'!$AA$2:$AC826,3,FALSE)&gt;0,TRUE,FALSE),"ER - NOT IN APT")</f>
        <v>0</v>
      </c>
      <c r="Q128" s="105" t="str">
        <f>IF(ISLOGICAL(P128),IF(P128,"ER - REPS IN APT", IFNA(VLOOKUP($A128,RAW_APT!$A$3:$M826,7,FALSE),"ER - NOT IN APT")),P128)</f>
        <v>Result</v>
      </c>
      <c r="R128" s="106" t="b">
        <f t="shared" si="2"/>
        <v>1</v>
      </c>
      <c r="S128" s="107">
        <f t="shared" si="3"/>
        <v>1</v>
      </c>
      <c r="T128" s="143"/>
      <c r="U128" s="142"/>
      <c r="V128" s="142"/>
      <c r="W128" s="142"/>
      <c r="X128" s="110" t="b">
        <f t="shared" si="4"/>
        <v>0</v>
      </c>
      <c r="Y128" s="111" t="b">
        <v>0</v>
      </c>
      <c r="Z128" s="104" t="str">
        <f t="shared" si="5"/>
        <v/>
      </c>
      <c r="AA128" s="112" t="b">
        <f t="shared" si="6"/>
        <v>0</v>
      </c>
      <c r="AB128" s="142" t="b">
        <v>0</v>
      </c>
      <c r="AC128" s="140">
        <v>672.0</v>
      </c>
      <c r="AD128" s="141" t="b">
        <v>0</v>
      </c>
      <c r="AE128" s="115">
        <f t="shared" si="7"/>
        <v>238.75</v>
      </c>
      <c r="AF128" s="116" t="b">
        <f t="shared" si="8"/>
        <v>0</v>
      </c>
      <c r="AG128" s="105" t="b">
        <f t="shared" si="9"/>
        <v>0</v>
      </c>
      <c r="AH128" s="140"/>
      <c r="AI128" s="140"/>
      <c r="AJ128" s="140"/>
      <c r="AK128" s="117" t="str">
        <f t="shared" si="10"/>
        <v>Negative</v>
      </c>
      <c r="AL128" s="142"/>
      <c r="AM128" s="112" t="s">
        <v>587</v>
      </c>
      <c r="AN128" s="112" t="s">
        <v>588</v>
      </c>
      <c r="AO128" s="112" t="str">
        <f>IFERROR(__xludf.DUMMYFUNCTION("IF($AG128, ""DELETED"",TRIM(JOIN("" "",D128:E128)))"),"")</f>
        <v/>
      </c>
      <c r="AP128" s="112" t="str">
        <f t="shared" ref="AP128:AQ128" si="153">IF($AG128, "DELETED", TRIM(CONCATENATE(F128,I128,U128)))</f>
        <v/>
      </c>
      <c r="AQ128" s="112" t="str">
        <f t="shared" si="153"/>
        <v/>
      </c>
      <c r="AR128" s="112" t="str">
        <f>IFERROR(__xludf.DUMMYFUNCTION("IF($AG128, ""DELETED"", TRIM(JOIN("" "",AP128,AQ128)))"),"")</f>
        <v/>
      </c>
      <c r="AS128" s="118"/>
      <c r="AT128" s="110" t="b">
        <f t="shared" si="12"/>
        <v>0</v>
      </c>
      <c r="AU128" s="110" t="str">
        <f t="shared" si="13"/>
        <v/>
      </c>
      <c r="AV128" s="110" t="str">
        <f t="shared" si="14"/>
        <v/>
      </c>
      <c r="AW128" s="110" t="str">
        <f t="shared" si="15"/>
        <v/>
      </c>
      <c r="AX128" s="119" t="str">
        <f t="shared" si="16"/>
        <v/>
      </c>
      <c r="AY128" s="120"/>
      <c r="AZ128" s="121"/>
      <c r="BA128" s="122" t="str">
        <f t="shared" si="17"/>
        <v/>
      </c>
      <c r="BB128" s="34"/>
      <c r="BC128" s="121"/>
      <c r="BD128" s="136"/>
      <c r="BE128" s="125" t="str">
        <f t="shared" si="18"/>
        <v/>
      </c>
      <c r="BF128" s="126" t="str">
        <f t="shared" si="19"/>
        <v>MA461__44568_0.342106481481482</v>
      </c>
      <c r="BG128" s="127" t="str">
        <f t="shared" si="20"/>
        <v/>
      </c>
      <c r="BH128" s="137" t="s">
        <v>589</v>
      </c>
      <c r="BI128" s="128" t="str">
        <f t="shared" si="21"/>
        <v>FM429</v>
      </c>
      <c r="BJ128" s="129" t="b">
        <f t="shared" si="22"/>
        <v>0</v>
      </c>
      <c r="BK128" s="128" t="str">
        <f t="shared" si="23"/>
        <v/>
      </c>
      <c r="BL128" s="121"/>
      <c r="BM128" s="5" t="str">
        <f t="shared" si="24"/>
        <v>MISSING</v>
      </c>
      <c r="BN128" s="120" t="b">
        <f t="shared" si="25"/>
        <v>0</v>
      </c>
      <c r="BO128" s="131" t="b">
        <f t="shared" si="26"/>
        <v>1</v>
      </c>
      <c r="BP128" s="121"/>
      <c r="BQ128" s="132" t="str">
        <f>VLOOKUP(A128,RAW_APS!A$3:O826,15,FALSE)</f>
        <v/>
      </c>
      <c r="BR128" s="120" t="b">
        <f t="shared" si="27"/>
        <v>1</v>
      </c>
      <c r="BS128" s="121"/>
      <c r="BT128" s="138" t="s">
        <v>244</v>
      </c>
      <c r="BU128" s="10" t="b">
        <f t="shared" si="28"/>
        <v>1</v>
      </c>
      <c r="BV128" s="120"/>
      <c r="BW128" s="120"/>
      <c r="BX128" s="120"/>
      <c r="BY128" s="120"/>
      <c r="BZ128" s="120"/>
      <c r="CA128" s="120"/>
      <c r="CB128" s="120"/>
      <c r="CC128" s="120"/>
    </row>
    <row r="129">
      <c r="A129" s="2" t="s">
        <v>590</v>
      </c>
      <c r="B129" s="100">
        <v>44568.0</v>
      </c>
      <c r="C129" s="101">
        <v>0.34716435185185185</v>
      </c>
      <c r="D129" s="102"/>
      <c r="E129" s="102"/>
      <c r="F129" s="102"/>
      <c r="G129" s="102"/>
      <c r="H129" s="102"/>
      <c r="I129" s="103"/>
      <c r="J129" s="103"/>
      <c r="K129" s="2" t="s">
        <v>244</v>
      </c>
      <c r="L129" s="100">
        <v>44568.0</v>
      </c>
      <c r="M129" s="101">
        <v>0.5079166666666667</v>
      </c>
      <c r="P129" s="104" t="b">
        <f>IFNA(IF(VLOOKUP($A129,'Add from APT'!$AA$2:$AC826,3,FALSE)&gt;0,TRUE,FALSE),"ER - NOT IN APT")</f>
        <v>0</v>
      </c>
      <c r="Q129" s="105" t="str">
        <f>IF(ISLOGICAL(P129),IF(P129,"ER - REPS IN APT", IFNA(VLOOKUP($A129,RAW_APT!$A$3:$M826,7,FALSE),"ER - NOT IN APT")),P129)</f>
        <v>Result</v>
      </c>
      <c r="R129" s="106" t="b">
        <f t="shared" si="2"/>
        <v>1</v>
      </c>
      <c r="S129" s="107">
        <f t="shared" si="3"/>
        <v>1</v>
      </c>
      <c r="T129" s="143"/>
      <c r="U129" s="142"/>
      <c r="V129" s="142"/>
      <c r="W129" s="142"/>
      <c r="X129" s="110" t="b">
        <f t="shared" si="4"/>
        <v>0</v>
      </c>
      <c r="Y129" s="111" t="b">
        <v>0</v>
      </c>
      <c r="Z129" s="104" t="str">
        <f t="shared" si="5"/>
        <v/>
      </c>
      <c r="AA129" s="112" t="b">
        <f t="shared" si="6"/>
        <v>0</v>
      </c>
      <c r="AB129" s="142" t="b">
        <v>0</v>
      </c>
      <c r="AC129" s="140">
        <v>670.0</v>
      </c>
      <c r="AD129" s="141" t="b">
        <v>0</v>
      </c>
      <c r="AE129" s="115">
        <f t="shared" si="7"/>
        <v>231.4833333</v>
      </c>
      <c r="AF129" s="116" t="b">
        <f t="shared" si="8"/>
        <v>0</v>
      </c>
      <c r="AG129" s="105" t="b">
        <f t="shared" si="9"/>
        <v>0</v>
      </c>
      <c r="AH129" s="140"/>
      <c r="AI129" s="140"/>
      <c r="AJ129" s="140"/>
      <c r="AK129" s="117" t="str">
        <f t="shared" si="10"/>
        <v>Negative</v>
      </c>
      <c r="AL129" s="142"/>
      <c r="AM129" s="112" t="s">
        <v>520</v>
      </c>
      <c r="AN129" s="112" t="s">
        <v>521</v>
      </c>
      <c r="AO129" s="112" t="str">
        <f>IFERROR(__xludf.DUMMYFUNCTION("IF($AG129, ""DELETED"",TRIM(JOIN("" "",D129:E129)))"),"")</f>
        <v/>
      </c>
      <c r="AP129" s="112" t="str">
        <f t="shared" ref="AP129:AQ129" si="154">IF($AG129, "DELETED", TRIM(CONCATENATE(F129,I129,U129)))</f>
        <v/>
      </c>
      <c r="AQ129" s="112" t="str">
        <f t="shared" si="154"/>
        <v/>
      </c>
      <c r="AR129" s="112" t="str">
        <f>IFERROR(__xludf.DUMMYFUNCTION("IF($AG129, ""DELETED"", TRIM(JOIN("" "",AP129,AQ129)))"),"")</f>
        <v/>
      </c>
      <c r="AS129" s="118"/>
      <c r="AT129" s="110" t="b">
        <f t="shared" si="12"/>
        <v>0</v>
      </c>
      <c r="AU129" s="110" t="str">
        <f t="shared" si="13"/>
        <v/>
      </c>
      <c r="AV129" s="110" t="str">
        <f t="shared" si="14"/>
        <v/>
      </c>
      <c r="AW129" s="110" t="str">
        <f t="shared" si="15"/>
        <v/>
      </c>
      <c r="AX129" s="119" t="str">
        <f t="shared" si="16"/>
        <v/>
      </c>
      <c r="AY129" s="120"/>
      <c r="AZ129" s="121"/>
      <c r="BA129" s="122" t="str">
        <f t="shared" si="17"/>
        <v/>
      </c>
      <c r="BB129" s="34"/>
      <c r="BC129" s="121"/>
      <c r="BD129" s="136"/>
      <c r="BE129" s="125" t="str">
        <f t="shared" si="18"/>
        <v/>
      </c>
      <c r="BF129" s="126" t="str">
        <f t="shared" si="19"/>
        <v>MA238__44568_0.347164351851852</v>
      </c>
      <c r="BG129" s="127" t="str">
        <f t="shared" si="20"/>
        <v/>
      </c>
      <c r="BH129" s="137" t="s">
        <v>591</v>
      </c>
      <c r="BI129" s="128" t="str">
        <f t="shared" si="21"/>
        <v>FM43</v>
      </c>
      <c r="BJ129" s="129" t="b">
        <f t="shared" si="22"/>
        <v>0</v>
      </c>
      <c r="BK129" s="128" t="str">
        <f t="shared" si="23"/>
        <v/>
      </c>
      <c r="BL129" s="121"/>
      <c r="BM129" s="5" t="str">
        <f t="shared" si="24"/>
        <v>MISSING</v>
      </c>
      <c r="BN129" s="120" t="b">
        <f t="shared" si="25"/>
        <v>0</v>
      </c>
      <c r="BO129" s="131" t="b">
        <f t="shared" si="26"/>
        <v>1</v>
      </c>
      <c r="BP129" s="121"/>
      <c r="BQ129" s="132" t="str">
        <f>VLOOKUP(A129,RAW_APS!A$3:O826,15,FALSE)</f>
        <v/>
      </c>
      <c r="BR129" s="120" t="b">
        <f t="shared" si="27"/>
        <v>1</v>
      </c>
      <c r="BS129" s="121"/>
      <c r="BT129" s="138" t="s">
        <v>244</v>
      </c>
      <c r="BU129" s="10" t="b">
        <f t="shared" si="28"/>
        <v>1</v>
      </c>
      <c r="BV129" s="120"/>
      <c r="BW129" s="120"/>
      <c r="BX129" s="120"/>
      <c r="BY129" s="120"/>
      <c r="BZ129" s="120"/>
      <c r="CA129" s="120"/>
      <c r="CB129" s="120"/>
      <c r="CC129" s="120"/>
    </row>
    <row r="130">
      <c r="A130" s="2" t="s">
        <v>592</v>
      </c>
      <c r="B130" s="100">
        <v>44568.0</v>
      </c>
      <c r="C130" s="101">
        <v>0.34717592592592594</v>
      </c>
      <c r="D130" s="102"/>
      <c r="E130" s="102"/>
      <c r="F130" s="102"/>
      <c r="G130" s="102"/>
      <c r="H130" s="102"/>
      <c r="I130" s="103"/>
      <c r="J130" s="103"/>
      <c r="K130" s="2" t="s">
        <v>52</v>
      </c>
      <c r="L130" s="100">
        <v>44568.0</v>
      </c>
      <c r="M130" s="101">
        <v>0.5079050925925926</v>
      </c>
      <c r="P130" s="104" t="b">
        <f>IFNA(IF(VLOOKUP($A130,'Add from APT'!$AA$2:$AC826,3,FALSE)&gt;0,TRUE,FALSE),"ER - NOT IN APT")</f>
        <v>0</v>
      </c>
      <c r="Q130" s="105" t="str">
        <f>IF(ISLOGICAL(P130),IF(P130,"ER - REPS IN APT", IFNA(VLOOKUP($A130,RAW_APT!$A$3:$M826,7,FALSE),"ER - NOT IN APT")),P130)</f>
        <v>Result</v>
      </c>
      <c r="R130" s="106" t="b">
        <f t="shared" si="2"/>
        <v>1</v>
      </c>
      <c r="S130" s="107">
        <f t="shared" si="3"/>
        <v>1</v>
      </c>
      <c r="T130" s="143"/>
      <c r="U130" s="142"/>
      <c r="V130" s="142"/>
      <c r="W130" s="142"/>
      <c r="X130" s="110" t="b">
        <f t="shared" si="4"/>
        <v>0</v>
      </c>
      <c r="Y130" s="111" t="b">
        <v>0</v>
      </c>
      <c r="Z130" s="104" t="str">
        <f t="shared" si="5"/>
        <v/>
      </c>
      <c r="AA130" s="112" t="b">
        <f t="shared" si="6"/>
        <v>0</v>
      </c>
      <c r="AB130" s="142" t="b">
        <v>0</v>
      </c>
      <c r="AC130" s="140">
        <v>669.0</v>
      </c>
      <c r="AD130" s="141" t="b">
        <v>0</v>
      </c>
      <c r="AE130" s="115">
        <f t="shared" si="7"/>
        <v>231.45</v>
      </c>
      <c r="AF130" s="116" t="b">
        <f t="shared" si="8"/>
        <v>0</v>
      </c>
      <c r="AG130" s="105" t="b">
        <f t="shared" si="9"/>
        <v>0</v>
      </c>
      <c r="AH130" s="140"/>
      <c r="AI130" s="140"/>
      <c r="AJ130" s="140"/>
      <c r="AK130" s="117" t="str">
        <f t="shared" si="10"/>
        <v>Positive</v>
      </c>
      <c r="AL130" s="142"/>
      <c r="AM130" s="112" t="s">
        <v>593</v>
      </c>
      <c r="AN130" s="112" t="s">
        <v>594</v>
      </c>
      <c r="AO130" s="112" t="str">
        <f>IFERROR(__xludf.DUMMYFUNCTION("IF($AG130, ""DELETED"",TRIM(JOIN("" "",D130:E130)))"),"")</f>
        <v/>
      </c>
      <c r="AP130" s="112" t="str">
        <f t="shared" ref="AP130:AQ130" si="155">IF($AG130, "DELETED", TRIM(CONCATENATE(F130,I130,U130)))</f>
        <v/>
      </c>
      <c r="AQ130" s="112" t="str">
        <f t="shared" si="155"/>
        <v/>
      </c>
      <c r="AR130" s="112" t="str">
        <f>IFERROR(__xludf.DUMMYFUNCTION("IF($AG130, ""DELETED"", TRIM(JOIN("" "",AP130,AQ130)))"),"")</f>
        <v/>
      </c>
      <c r="AS130" s="118"/>
      <c r="AT130" s="110" t="b">
        <f t="shared" si="12"/>
        <v>0</v>
      </c>
      <c r="AU130" s="110" t="str">
        <f t="shared" si="13"/>
        <v/>
      </c>
      <c r="AV130" s="110" t="str">
        <f t="shared" si="14"/>
        <v/>
      </c>
      <c r="AW130" s="110" t="str">
        <f t="shared" si="15"/>
        <v/>
      </c>
      <c r="AX130" s="119" t="str">
        <f t="shared" si="16"/>
        <v/>
      </c>
      <c r="AY130" s="120"/>
      <c r="AZ130" s="121"/>
      <c r="BA130" s="122" t="str">
        <f t="shared" si="17"/>
        <v/>
      </c>
      <c r="BB130" s="34"/>
      <c r="BC130" s="121"/>
      <c r="BD130" s="136"/>
      <c r="BE130" s="125" t="str">
        <f t="shared" si="18"/>
        <v/>
      </c>
      <c r="BF130" s="126" t="str">
        <f t="shared" si="19"/>
        <v>MA1078__44568_0.347175925925926</v>
      </c>
      <c r="BG130" s="127" t="str">
        <f t="shared" si="20"/>
        <v/>
      </c>
      <c r="BH130" s="137" t="s">
        <v>595</v>
      </c>
      <c r="BI130" s="128" t="str">
        <f t="shared" si="21"/>
        <v>FM431</v>
      </c>
      <c r="BJ130" s="129" t="b">
        <f t="shared" si="22"/>
        <v>0</v>
      </c>
      <c r="BK130" s="128" t="str">
        <f t="shared" si="23"/>
        <v/>
      </c>
      <c r="BL130" s="121"/>
      <c r="BM130" s="5" t="str">
        <f t="shared" si="24"/>
        <v>MISSING</v>
      </c>
      <c r="BN130" s="120" t="b">
        <f t="shared" si="25"/>
        <v>0</v>
      </c>
      <c r="BO130" s="131" t="b">
        <f t="shared" si="26"/>
        <v>1</v>
      </c>
      <c r="BP130" s="121"/>
      <c r="BQ130" s="132" t="str">
        <f>VLOOKUP(A130,RAW_APS!A$3:O826,15,FALSE)</f>
        <v/>
      </c>
      <c r="BR130" s="120" t="b">
        <f t="shared" si="27"/>
        <v>1</v>
      </c>
      <c r="BS130" s="121"/>
      <c r="BT130" s="138" t="s">
        <v>52</v>
      </c>
      <c r="BU130" s="10" t="b">
        <f t="shared" si="28"/>
        <v>1</v>
      </c>
      <c r="BV130" s="120"/>
      <c r="BW130" s="120"/>
      <c r="BX130" s="120"/>
      <c r="BY130" s="120"/>
      <c r="BZ130" s="120"/>
      <c r="CA130" s="120"/>
      <c r="CB130" s="120"/>
      <c r="CC130" s="120"/>
    </row>
    <row r="131">
      <c r="A131" s="2" t="s">
        <v>596</v>
      </c>
      <c r="B131" s="100">
        <v>44568.0</v>
      </c>
      <c r="C131" s="101">
        <v>0.35561342592592593</v>
      </c>
      <c r="D131" s="102"/>
      <c r="E131" s="102"/>
      <c r="F131" s="102"/>
      <c r="G131" s="102"/>
      <c r="H131" s="102"/>
      <c r="I131" s="103"/>
      <c r="J131" s="103"/>
      <c r="K131" s="2" t="s">
        <v>244</v>
      </c>
      <c r="L131" s="100">
        <v>44568.0</v>
      </c>
      <c r="M131" s="101">
        <v>0.5079166666666667</v>
      </c>
      <c r="P131" s="104" t="b">
        <f>IFNA(IF(VLOOKUP($A131,'Add from APT'!$AA$2:$AC826,3,FALSE)&gt;0,TRUE,FALSE),"ER - NOT IN APT")</f>
        <v>0</v>
      </c>
      <c r="Q131" s="105" t="str">
        <f>IF(ISLOGICAL(P131),IF(P131,"ER - REPS IN APT", IFNA(VLOOKUP($A131,RAW_APT!$A$3:$M826,7,FALSE),"ER - NOT IN APT")),P131)</f>
        <v>Result</v>
      </c>
      <c r="R131" s="106" t="b">
        <f t="shared" si="2"/>
        <v>1</v>
      </c>
      <c r="S131" s="107">
        <f t="shared" si="3"/>
        <v>1</v>
      </c>
      <c r="T131" s="143"/>
      <c r="U131" s="142"/>
      <c r="V131" s="142"/>
      <c r="W131" s="142"/>
      <c r="X131" s="110" t="b">
        <f t="shared" si="4"/>
        <v>0</v>
      </c>
      <c r="Y131" s="111" t="b">
        <v>0</v>
      </c>
      <c r="Z131" s="104" t="str">
        <f t="shared" si="5"/>
        <v/>
      </c>
      <c r="AA131" s="112" t="b">
        <f t="shared" si="6"/>
        <v>0</v>
      </c>
      <c r="AB131" s="142" t="b">
        <v>0</v>
      </c>
      <c r="AC131" s="140">
        <v>668.0</v>
      </c>
      <c r="AD131" s="141" t="b">
        <v>0</v>
      </c>
      <c r="AE131" s="115">
        <f t="shared" si="7"/>
        <v>219.3166667</v>
      </c>
      <c r="AF131" s="116" t="b">
        <f t="shared" si="8"/>
        <v>0</v>
      </c>
      <c r="AG131" s="105" t="b">
        <f t="shared" si="9"/>
        <v>0</v>
      </c>
      <c r="AH131" s="140"/>
      <c r="AI131" s="140"/>
      <c r="AJ131" s="140"/>
      <c r="AK131" s="117" t="str">
        <f t="shared" si="10"/>
        <v>Negative</v>
      </c>
      <c r="AL131" s="142"/>
      <c r="AM131" s="112" t="s">
        <v>261</v>
      </c>
      <c r="AN131" s="112" t="s">
        <v>597</v>
      </c>
      <c r="AO131" s="112" t="str">
        <f>IFERROR(__xludf.DUMMYFUNCTION("IF($AG131, ""DELETED"",TRIM(JOIN("" "",D131:E131)))"),"")</f>
        <v/>
      </c>
      <c r="AP131" s="112" t="str">
        <f t="shared" ref="AP131:AQ131" si="156">IF($AG131, "DELETED", TRIM(CONCATENATE(F131,I131,U131)))</f>
        <v/>
      </c>
      <c r="AQ131" s="112" t="str">
        <f t="shared" si="156"/>
        <v/>
      </c>
      <c r="AR131" s="112" t="str">
        <f>IFERROR(__xludf.DUMMYFUNCTION("IF($AG131, ""DELETED"", TRIM(JOIN("" "",AP131,AQ131)))"),"")</f>
        <v/>
      </c>
      <c r="AS131" s="118"/>
      <c r="AT131" s="110" t="b">
        <f t="shared" si="12"/>
        <v>0</v>
      </c>
      <c r="AU131" s="110" t="str">
        <f t="shared" si="13"/>
        <v/>
      </c>
      <c r="AV131" s="110" t="str">
        <f t="shared" si="14"/>
        <v/>
      </c>
      <c r="AW131" s="110" t="str">
        <f t="shared" si="15"/>
        <v/>
      </c>
      <c r="AX131" s="119" t="str">
        <f t="shared" si="16"/>
        <v/>
      </c>
      <c r="AY131" s="120"/>
      <c r="AZ131" s="121"/>
      <c r="BA131" s="122" t="str">
        <f t="shared" si="17"/>
        <v/>
      </c>
      <c r="BB131" s="34"/>
      <c r="BC131" s="121"/>
      <c r="BD131" s="136"/>
      <c r="BE131" s="125" t="str">
        <f t="shared" si="18"/>
        <v/>
      </c>
      <c r="BF131" s="126" t="str">
        <f t="shared" si="19"/>
        <v>MAX125__44568_0.355613425925926</v>
      </c>
      <c r="BG131" s="127" t="str">
        <f t="shared" si="20"/>
        <v/>
      </c>
      <c r="BH131" s="137" t="s">
        <v>598</v>
      </c>
      <c r="BI131" s="128" t="str">
        <f t="shared" si="21"/>
        <v>FM432</v>
      </c>
      <c r="BJ131" s="129" t="b">
        <f t="shared" si="22"/>
        <v>0</v>
      </c>
      <c r="BK131" s="128" t="str">
        <f t="shared" si="23"/>
        <v/>
      </c>
      <c r="BL131" s="121"/>
      <c r="BM131" s="5" t="str">
        <f t="shared" si="24"/>
        <v>MISSING</v>
      </c>
      <c r="BN131" s="120" t="b">
        <f t="shared" si="25"/>
        <v>0</v>
      </c>
      <c r="BO131" s="131" t="b">
        <f t="shared" si="26"/>
        <v>1</v>
      </c>
      <c r="BP131" s="121"/>
      <c r="BQ131" s="132" t="str">
        <f>VLOOKUP(A131,RAW_APS!A$3:O826,15,FALSE)</f>
        <v/>
      </c>
      <c r="BR131" s="120" t="b">
        <f t="shared" si="27"/>
        <v>1</v>
      </c>
      <c r="BS131" s="121"/>
      <c r="BT131" s="138" t="s">
        <v>244</v>
      </c>
      <c r="BU131" s="10" t="b">
        <f t="shared" si="28"/>
        <v>1</v>
      </c>
      <c r="BV131" s="120"/>
      <c r="BW131" s="120"/>
      <c r="BX131" s="120"/>
      <c r="BY131" s="120"/>
      <c r="BZ131" s="120"/>
      <c r="CA131" s="120"/>
      <c r="CB131" s="120"/>
      <c r="CC131" s="120"/>
    </row>
    <row r="132">
      <c r="A132" s="2" t="s">
        <v>599</v>
      </c>
      <c r="B132" s="100">
        <v>44568.0</v>
      </c>
      <c r="C132" s="101">
        <v>0.3647800925925926</v>
      </c>
      <c r="D132" s="102"/>
      <c r="E132" s="102"/>
      <c r="F132" s="102"/>
      <c r="G132" s="102"/>
      <c r="H132" s="102"/>
      <c r="I132" s="103"/>
      <c r="J132" s="103"/>
      <c r="K132" s="2" t="s">
        <v>52</v>
      </c>
      <c r="L132" s="100">
        <v>44568.0</v>
      </c>
      <c r="M132" s="101">
        <v>0.508275462962963</v>
      </c>
      <c r="P132" s="104" t="b">
        <f>IFNA(IF(VLOOKUP($A132,'Add from APT'!$AA$2:$AC826,3,FALSE)&gt;0,TRUE,FALSE),"ER - NOT IN APT")</f>
        <v>0</v>
      </c>
      <c r="Q132" s="105" t="str">
        <f>IF(ISLOGICAL(P132),IF(P132,"ER - REPS IN APT", IFNA(VLOOKUP($A132,RAW_APT!$A$3:$M826,7,FALSE),"ER - NOT IN APT")),P132)</f>
        <v>Result</v>
      </c>
      <c r="R132" s="106" t="b">
        <f t="shared" si="2"/>
        <v>1</v>
      </c>
      <c r="S132" s="107">
        <f t="shared" si="3"/>
        <v>1</v>
      </c>
      <c r="T132" s="143"/>
      <c r="U132" s="142"/>
      <c r="V132" s="142"/>
      <c r="W132" s="142"/>
      <c r="X132" s="110" t="b">
        <f t="shared" si="4"/>
        <v>0</v>
      </c>
      <c r="Y132" s="111" t="b">
        <v>0</v>
      </c>
      <c r="Z132" s="104" t="str">
        <f t="shared" si="5"/>
        <v/>
      </c>
      <c r="AA132" s="112" t="b">
        <f t="shared" si="6"/>
        <v>0</v>
      </c>
      <c r="AB132" s="142" t="b">
        <v>0</v>
      </c>
      <c r="AC132" s="140">
        <v>667.0</v>
      </c>
      <c r="AD132" s="141" t="b">
        <v>0</v>
      </c>
      <c r="AE132" s="115">
        <f t="shared" si="7"/>
        <v>206.6333333</v>
      </c>
      <c r="AF132" s="116" t="b">
        <f t="shared" si="8"/>
        <v>0</v>
      </c>
      <c r="AG132" s="105" t="b">
        <f t="shared" si="9"/>
        <v>0</v>
      </c>
      <c r="AH132" s="140"/>
      <c r="AI132" s="140"/>
      <c r="AJ132" s="140"/>
      <c r="AK132" s="117" t="str">
        <f t="shared" si="10"/>
        <v>Positive</v>
      </c>
      <c r="AL132" s="142"/>
      <c r="AM132" s="112" t="s">
        <v>398</v>
      </c>
      <c r="AN132" s="112" t="s">
        <v>399</v>
      </c>
      <c r="AO132" s="112" t="str">
        <f>IFERROR(__xludf.DUMMYFUNCTION("IF($AG132, ""DELETED"",TRIM(JOIN("" "",D132:E132)))"),"")</f>
        <v/>
      </c>
      <c r="AP132" s="112" t="str">
        <f t="shared" ref="AP132:AQ132" si="157">IF($AG132, "DELETED", TRIM(CONCATENATE(F132,I132,U132)))</f>
        <v/>
      </c>
      <c r="AQ132" s="112" t="str">
        <f t="shared" si="157"/>
        <v/>
      </c>
      <c r="AR132" s="112" t="str">
        <f>IFERROR(__xludf.DUMMYFUNCTION("IF($AG132, ""DELETED"", TRIM(JOIN("" "",AP132,AQ132)))"),"")</f>
        <v/>
      </c>
      <c r="AS132" s="118"/>
      <c r="AT132" s="110" t="b">
        <f t="shared" si="12"/>
        <v>0</v>
      </c>
      <c r="AU132" s="110" t="str">
        <f t="shared" si="13"/>
        <v/>
      </c>
      <c r="AV132" s="110" t="str">
        <f t="shared" si="14"/>
        <v/>
      </c>
      <c r="AW132" s="110" t="str">
        <f t="shared" si="15"/>
        <v/>
      </c>
      <c r="AX132" s="119" t="str">
        <f t="shared" si="16"/>
        <v/>
      </c>
      <c r="AY132" s="120"/>
      <c r="AZ132" s="121"/>
      <c r="BA132" s="122" t="str">
        <f t="shared" si="17"/>
        <v/>
      </c>
      <c r="BB132" s="34"/>
      <c r="BC132" s="121"/>
      <c r="BD132" s="136"/>
      <c r="BE132" s="125" t="str">
        <f t="shared" si="18"/>
        <v/>
      </c>
      <c r="BF132" s="126" t="str">
        <f t="shared" si="19"/>
        <v>MAX74__44568_0.364780092592593</v>
      </c>
      <c r="BG132" s="127" t="str">
        <f t="shared" si="20"/>
        <v/>
      </c>
      <c r="BH132" s="137" t="s">
        <v>600</v>
      </c>
      <c r="BI132" s="128" t="str">
        <f t="shared" si="21"/>
        <v>FM433</v>
      </c>
      <c r="BJ132" s="129" t="b">
        <f t="shared" si="22"/>
        <v>0</v>
      </c>
      <c r="BK132" s="128" t="str">
        <f t="shared" si="23"/>
        <v/>
      </c>
      <c r="BL132" s="121"/>
      <c r="BM132" s="5" t="str">
        <f t="shared" si="24"/>
        <v>MISSING</v>
      </c>
      <c r="BN132" s="120" t="b">
        <f t="shared" si="25"/>
        <v>0</v>
      </c>
      <c r="BO132" s="131" t="b">
        <f t="shared" si="26"/>
        <v>1</v>
      </c>
      <c r="BP132" s="121"/>
      <c r="BQ132" s="132" t="str">
        <f>VLOOKUP(A132,RAW_APS!A$3:O826,15,FALSE)</f>
        <v/>
      </c>
      <c r="BR132" s="120" t="b">
        <f t="shared" si="27"/>
        <v>1</v>
      </c>
      <c r="BS132" s="121"/>
      <c r="BT132" s="138" t="s">
        <v>52</v>
      </c>
      <c r="BU132" s="10" t="b">
        <f t="shared" si="28"/>
        <v>1</v>
      </c>
      <c r="BV132" s="120"/>
      <c r="BW132" s="120"/>
      <c r="BX132" s="120"/>
      <c r="BY132" s="120"/>
      <c r="BZ132" s="120"/>
      <c r="CA132" s="120"/>
      <c r="CB132" s="120"/>
      <c r="CC132" s="120"/>
    </row>
    <row r="133">
      <c r="A133" s="2" t="s">
        <v>601</v>
      </c>
      <c r="B133" s="100">
        <v>44568.0</v>
      </c>
      <c r="C133" s="101">
        <v>0.4141782407407407</v>
      </c>
      <c r="D133" s="102"/>
      <c r="E133" s="102"/>
      <c r="F133" s="102"/>
      <c r="G133" s="102"/>
      <c r="H133" s="102"/>
      <c r="I133" s="103"/>
      <c r="J133" s="103"/>
      <c r="K133" s="2" t="s">
        <v>244</v>
      </c>
      <c r="L133" s="100">
        <v>44568.0</v>
      </c>
      <c r="M133" s="101">
        <v>0.5079166666666667</v>
      </c>
      <c r="P133" s="104" t="b">
        <f>IFNA(IF(VLOOKUP($A133,'Add from APT'!$AA$2:$AC826,3,FALSE)&gt;0,TRUE,FALSE),"ER - NOT IN APT")</f>
        <v>0</v>
      </c>
      <c r="Q133" s="105" t="str">
        <f>IF(ISLOGICAL(P133),IF(P133,"ER - REPS IN APT", IFNA(VLOOKUP($A133,RAW_APT!$A$3:$M826,7,FALSE),"ER - NOT IN APT")),P133)</f>
        <v>Result</v>
      </c>
      <c r="R133" s="106" t="b">
        <f t="shared" si="2"/>
        <v>1</v>
      </c>
      <c r="S133" s="107">
        <f t="shared" si="3"/>
        <v>1</v>
      </c>
      <c r="T133" s="143"/>
      <c r="U133" s="142"/>
      <c r="V133" s="142"/>
      <c r="W133" s="142"/>
      <c r="X133" s="110" t="b">
        <f t="shared" si="4"/>
        <v>0</v>
      </c>
      <c r="Y133" s="111" t="b">
        <v>0</v>
      </c>
      <c r="Z133" s="104" t="str">
        <f t="shared" si="5"/>
        <v/>
      </c>
      <c r="AA133" s="112" t="b">
        <f t="shared" si="6"/>
        <v>0</v>
      </c>
      <c r="AB133" s="142" t="b">
        <v>0</v>
      </c>
      <c r="AC133" s="140">
        <v>666.0</v>
      </c>
      <c r="AD133" s="141" t="b">
        <v>0</v>
      </c>
      <c r="AE133" s="115">
        <f t="shared" si="7"/>
        <v>134.9833333</v>
      </c>
      <c r="AF133" s="116" t="b">
        <f t="shared" si="8"/>
        <v>0</v>
      </c>
      <c r="AG133" s="105" t="b">
        <f t="shared" si="9"/>
        <v>0</v>
      </c>
      <c r="AH133" s="140"/>
      <c r="AI133" s="140"/>
      <c r="AJ133" s="140"/>
      <c r="AK133" s="117" t="str">
        <f t="shared" si="10"/>
        <v>Negative</v>
      </c>
      <c r="AL133" s="142"/>
      <c r="AM133" s="112" t="s">
        <v>261</v>
      </c>
      <c r="AN133" s="112" t="s">
        <v>458</v>
      </c>
      <c r="AO133" s="112" t="str">
        <f>IFERROR(__xludf.DUMMYFUNCTION("IF($AG133, ""DELETED"",TRIM(JOIN("" "",D133:E133)))"),"")</f>
        <v/>
      </c>
      <c r="AP133" s="112" t="str">
        <f t="shared" ref="AP133:AQ133" si="158">IF($AG133, "DELETED", TRIM(CONCATENATE(F133,I133,U133)))</f>
        <v/>
      </c>
      <c r="AQ133" s="112" t="str">
        <f t="shared" si="158"/>
        <v/>
      </c>
      <c r="AR133" s="112" t="str">
        <f>IFERROR(__xludf.DUMMYFUNCTION("IF($AG133, ""DELETED"", TRIM(JOIN("" "",AP133,AQ133)))"),"")</f>
        <v/>
      </c>
      <c r="AS133" s="118"/>
      <c r="AT133" s="110" t="b">
        <f t="shared" si="12"/>
        <v>0</v>
      </c>
      <c r="AU133" s="110" t="str">
        <f t="shared" si="13"/>
        <v/>
      </c>
      <c r="AV133" s="110" t="str">
        <f t="shared" si="14"/>
        <v/>
      </c>
      <c r="AW133" s="110" t="str">
        <f t="shared" si="15"/>
        <v/>
      </c>
      <c r="AX133" s="119" t="str">
        <f t="shared" si="16"/>
        <v/>
      </c>
      <c r="AY133" s="120"/>
      <c r="AZ133" s="121"/>
      <c r="BA133" s="122" t="str">
        <f t="shared" si="17"/>
        <v/>
      </c>
      <c r="BB133" s="34"/>
      <c r="BC133" s="121"/>
      <c r="BD133" s="136"/>
      <c r="BE133" s="125" t="str">
        <f t="shared" si="18"/>
        <v/>
      </c>
      <c r="BF133" s="126" t="str">
        <f t="shared" si="19"/>
        <v>MA617__44568_0.414178240740741</v>
      </c>
      <c r="BG133" s="127" t="str">
        <f t="shared" si="20"/>
        <v/>
      </c>
      <c r="BH133" s="137" t="s">
        <v>602</v>
      </c>
      <c r="BI133" s="128" t="str">
        <f t="shared" si="21"/>
        <v>FM436</v>
      </c>
      <c r="BJ133" s="129" t="b">
        <f t="shared" si="22"/>
        <v>0</v>
      </c>
      <c r="BK133" s="128" t="str">
        <f t="shared" si="23"/>
        <v/>
      </c>
      <c r="BL133" s="121"/>
      <c r="BM133" s="5" t="str">
        <f t="shared" si="24"/>
        <v>MISSING</v>
      </c>
      <c r="BN133" s="120" t="b">
        <f t="shared" si="25"/>
        <v>0</v>
      </c>
      <c r="BO133" s="131" t="b">
        <f t="shared" si="26"/>
        <v>1</v>
      </c>
      <c r="BP133" s="121"/>
      <c r="BQ133" s="132" t="str">
        <f>VLOOKUP(A133,RAW_APS!A$3:O826,15,FALSE)</f>
        <v/>
      </c>
      <c r="BR133" s="120" t="b">
        <f t="shared" si="27"/>
        <v>1</v>
      </c>
      <c r="BS133" s="121"/>
      <c r="BT133" s="138" t="s">
        <v>244</v>
      </c>
      <c r="BU133" s="10" t="b">
        <f t="shared" si="28"/>
        <v>1</v>
      </c>
      <c r="BV133" s="120"/>
      <c r="BW133" s="120"/>
      <c r="BX133" s="120"/>
      <c r="BY133" s="120"/>
      <c r="BZ133" s="120"/>
      <c r="CA133" s="120"/>
      <c r="CB133" s="120"/>
      <c r="CC133" s="120"/>
    </row>
    <row r="134">
      <c r="A134" s="2" t="s">
        <v>603</v>
      </c>
      <c r="B134" s="100">
        <v>44568.0</v>
      </c>
      <c r="C134" s="101">
        <v>0.5221759259259259</v>
      </c>
      <c r="D134" s="102"/>
      <c r="E134" s="102"/>
      <c r="F134" s="102"/>
      <c r="G134" s="102"/>
      <c r="H134" s="102"/>
      <c r="I134" s="103"/>
      <c r="J134" s="103"/>
      <c r="K134" s="2" t="s">
        <v>254</v>
      </c>
      <c r="L134" s="11"/>
      <c r="M134" s="11"/>
      <c r="N134" s="11"/>
      <c r="O134" s="11"/>
      <c r="P134" s="104" t="b">
        <f>IFNA(IF(VLOOKUP($A134,'Add from APT'!$AA$2:$AC826,3,FALSE)&gt;0,TRUE,FALSE),"ER - NOT IN APT")</f>
        <v>0</v>
      </c>
      <c r="Q134" s="105" t="str">
        <f>IF(ISLOGICAL(P134),IF(P134,"ER - REPS IN APT", IFNA(VLOOKUP($A134,RAW_APT!$A$3:$M826,7,FALSE),"ER - NOT IN APT")),P134)</f>
        <v>Deposited</v>
      </c>
      <c r="R134" s="106" t="b">
        <f t="shared" si="2"/>
        <v>1</v>
      </c>
      <c r="S134" s="107">
        <f t="shared" si="3"/>
        <v>1</v>
      </c>
      <c r="T134" s="143"/>
      <c r="U134" s="142"/>
      <c r="V134" s="142"/>
      <c r="W134" s="142"/>
      <c r="X134" s="110" t="b">
        <f t="shared" si="4"/>
        <v>0</v>
      </c>
      <c r="Y134" s="111" t="b">
        <v>0</v>
      </c>
      <c r="Z134" s="104" t="str">
        <f t="shared" si="5"/>
        <v/>
      </c>
      <c r="AA134" s="112" t="b">
        <f t="shared" si="6"/>
        <v>0</v>
      </c>
      <c r="AB134" s="142" t="b">
        <v>0</v>
      </c>
      <c r="AC134" s="140">
        <v>665.0</v>
      </c>
      <c r="AD134" s="141" t="b">
        <v>0</v>
      </c>
      <c r="AE134" s="115" t="str">
        <f t="shared" si="7"/>
        <v/>
      </c>
      <c r="AF134" s="116" t="b">
        <f t="shared" si="8"/>
        <v>0</v>
      </c>
      <c r="AG134" s="105" t="b">
        <f t="shared" si="9"/>
        <v>1</v>
      </c>
      <c r="AH134" s="145">
        <v>9.1</v>
      </c>
      <c r="AI134" s="4"/>
      <c r="AJ134" s="3"/>
      <c r="AK134" s="117" t="str">
        <f t="shared" si="10"/>
        <v>DELETED</v>
      </c>
      <c r="AL134" s="4" t="s">
        <v>604</v>
      </c>
      <c r="AM134" s="112" t="s">
        <v>245</v>
      </c>
      <c r="AN134" s="112" t="s">
        <v>245</v>
      </c>
      <c r="AO134" s="112" t="str">
        <f>IFERROR(__xludf.DUMMYFUNCTION("IF($AG134, ""DELETED"",TRIM(JOIN("" "",D134:E134)))"),"DELETED")</f>
        <v>DELETED</v>
      </c>
      <c r="AP134" s="112" t="str">
        <f t="shared" ref="AP134:AQ134" si="159">IF($AG134, "DELETED", TRIM(CONCATENATE(F134,I134,U134)))</f>
        <v>DELETED</v>
      </c>
      <c r="AQ134" s="112" t="str">
        <f t="shared" si="159"/>
        <v>DELETED</v>
      </c>
      <c r="AR134" s="112" t="str">
        <f>IFERROR(__xludf.DUMMYFUNCTION("IF($AG134, ""DELETED"", TRIM(JOIN("" "",AP134,AQ134)))"),"DELETED")</f>
        <v>DELETED</v>
      </c>
      <c r="AS134" s="118"/>
      <c r="AT134" s="110" t="b">
        <f t="shared" si="12"/>
        <v>1</v>
      </c>
      <c r="AU134" s="110" t="str">
        <f t="shared" si="13"/>
        <v/>
      </c>
      <c r="AV134" s="110" t="str">
        <f t="shared" si="14"/>
        <v/>
      </c>
      <c r="AW134" s="110" t="str">
        <f t="shared" si="15"/>
        <v/>
      </c>
      <c r="AX134" s="119" t="str">
        <f t="shared" si="16"/>
        <v/>
      </c>
      <c r="AY134" s="120"/>
      <c r="AZ134" s="121"/>
      <c r="BA134" s="122" t="b">
        <f t="shared" si="17"/>
        <v>1</v>
      </c>
      <c r="BB134" s="34"/>
      <c r="BC134" s="121"/>
      <c r="BD134" s="136"/>
      <c r="BE134" s="125" t="str">
        <f t="shared" si="18"/>
        <v/>
      </c>
      <c r="BF134" s="126" t="str">
        <f t="shared" si="19"/>
        <v>MA456__44568_0.522175925925926</v>
      </c>
      <c r="BG134" s="127" t="str">
        <f t="shared" si="20"/>
        <v/>
      </c>
      <c r="BH134" s="137" t="s">
        <v>605</v>
      </c>
      <c r="BI134" s="128" t="str">
        <f t="shared" si="21"/>
        <v>FM437</v>
      </c>
      <c r="BJ134" s="129" t="b">
        <f t="shared" si="22"/>
        <v>0</v>
      </c>
      <c r="BK134" s="128" t="str">
        <f t="shared" si="23"/>
        <v/>
      </c>
      <c r="BL134" s="121"/>
      <c r="BM134" s="5" t="str">
        <f t="shared" si="24"/>
        <v/>
      </c>
      <c r="BN134" s="120" t="b">
        <f t="shared" si="25"/>
        <v>0</v>
      </c>
      <c r="BO134" s="131" t="b">
        <f t="shared" si="26"/>
        <v>0</v>
      </c>
      <c r="BP134" s="121"/>
      <c r="BQ134" s="132" t="str">
        <f>VLOOKUP(A134,RAW_APS!A$3:O826,15,FALSE)</f>
        <v/>
      </c>
      <c r="BR134" s="120" t="b">
        <f t="shared" si="27"/>
        <v>1</v>
      </c>
      <c r="BS134" s="121"/>
      <c r="BT134" s="138" t="s">
        <v>245</v>
      </c>
      <c r="BU134" s="10" t="b">
        <f t="shared" si="28"/>
        <v>1</v>
      </c>
      <c r="BV134" s="120"/>
      <c r="BW134" s="120"/>
      <c r="BX134" s="120"/>
      <c r="BY134" s="120"/>
      <c r="BZ134" s="120"/>
      <c r="CA134" s="120"/>
      <c r="CB134" s="120"/>
      <c r="CC134" s="120"/>
    </row>
    <row r="135">
      <c r="A135" s="2" t="s">
        <v>606</v>
      </c>
      <c r="B135" s="100">
        <v>44568.0</v>
      </c>
      <c r="C135" s="101">
        <v>0.5227083333333333</v>
      </c>
      <c r="D135" s="102"/>
      <c r="E135" s="102"/>
      <c r="F135" s="139"/>
      <c r="G135" s="139"/>
      <c r="H135" s="139"/>
      <c r="I135" s="103"/>
      <c r="J135" s="103"/>
      <c r="K135" s="2" t="s">
        <v>254</v>
      </c>
      <c r="L135" s="11"/>
      <c r="M135" s="11"/>
      <c r="N135" s="11"/>
      <c r="O135" s="11"/>
      <c r="P135" s="104" t="b">
        <f>IFNA(IF(VLOOKUP($A135,'Add from APT'!$AA$2:$AC826,3,FALSE)&gt;0,TRUE,FALSE),"ER - NOT IN APT")</f>
        <v>0</v>
      </c>
      <c r="Q135" s="105" t="str">
        <f>IF(ISLOGICAL(P135),IF(P135,"ER - REPS IN APT", IFNA(VLOOKUP($A135,RAW_APT!$A$3:$M826,7,FALSE),"ER - NOT IN APT")),P135)</f>
        <v>Deposited</v>
      </c>
      <c r="R135" s="106" t="b">
        <f t="shared" si="2"/>
        <v>1</v>
      </c>
      <c r="S135" s="107">
        <f t="shared" si="3"/>
        <v>1</v>
      </c>
      <c r="T135" s="140">
        <v>0.0</v>
      </c>
      <c r="U135" s="141"/>
      <c r="V135" s="141"/>
      <c r="W135" s="142"/>
      <c r="X135" s="110" t="b">
        <f t="shared" si="4"/>
        <v>0</v>
      </c>
      <c r="Y135" s="111" t="b">
        <v>0</v>
      </c>
      <c r="Z135" s="104" t="str">
        <f t="shared" si="5"/>
        <v/>
      </c>
      <c r="AA135" s="112" t="b">
        <f t="shared" si="6"/>
        <v>0</v>
      </c>
      <c r="AB135" s="142" t="b">
        <v>0</v>
      </c>
      <c r="AC135" s="140">
        <v>664.0</v>
      </c>
      <c r="AD135" s="141" t="b">
        <v>0</v>
      </c>
      <c r="AE135" s="115" t="str">
        <f t="shared" si="7"/>
        <v/>
      </c>
      <c r="AF135" s="116" t="b">
        <f t="shared" si="8"/>
        <v>0</v>
      </c>
      <c r="AG135" s="105" t="b">
        <f t="shared" si="9"/>
        <v>1</v>
      </c>
      <c r="AH135" s="145">
        <v>9.1</v>
      </c>
      <c r="AI135" s="140"/>
      <c r="AJ135" s="140"/>
      <c r="AK135" s="117" t="str">
        <f t="shared" si="10"/>
        <v>DELETED</v>
      </c>
      <c r="AL135" s="4" t="s">
        <v>604</v>
      </c>
      <c r="AM135" s="112" t="s">
        <v>245</v>
      </c>
      <c r="AN135" s="112" t="s">
        <v>245</v>
      </c>
      <c r="AO135" s="112" t="str">
        <f>IFERROR(__xludf.DUMMYFUNCTION("IF($AG135, ""DELETED"",TRIM(JOIN("" "",D135:E135)))"),"DELETED")</f>
        <v>DELETED</v>
      </c>
      <c r="AP135" s="112" t="str">
        <f t="shared" ref="AP135:AQ135" si="160">IF($AG135, "DELETED", TRIM(CONCATENATE(F135,I135,U135)))</f>
        <v>DELETED</v>
      </c>
      <c r="AQ135" s="112" t="str">
        <f t="shared" si="160"/>
        <v>DELETED</v>
      </c>
      <c r="AR135" s="112" t="str">
        <f>IFERROR(__xludf.DUMMYFUNCTION("IF($AG135, ""DELETED"", TRIM(JOIN("" "",AP135,AQ135)))"),"DELETED")</f>
        <v>DELETED</v>
      </c>
      <c r="AS135" s="118"/>
      <c r="AT135" s="110" t="b">
        <f t="shared" si="12"/>
        <v>1</v>
      </c>
      <c r="AU135" s="110" t="str">
        <f t="shared" si="13"/>
        <v/>
      </c>
      <c r="AV135" s="110" t="str">
        <f t="shared" si="14"/>
        <v/>
      </c>
      <c r="AW135" s="110" t="str">
        <f t="shared" si="15"/>
        <v/>
      </c>
      <c r="AX135" s="119" t="str">
        <f t="shared" si="16"/>
        <v/>
      </c>
      <c r="AY135" s="120"/>
      <c r="AZ135" s="121"/>
      <c r="BA135" s="122" t="b">
        <f t="shared" si="17"/>
        <v>1</v>
      </c>
      <c r="BB135" s="34"/>
      <c r="BC135" s="121"/>
      <c r="BD135" s="136"/>
      <c r="BE135" s="125" t="str">
        <f t="shared" si="18"/>
        <v/>
      </c>
      <c r="BF135" s="126" t="str">
        <f t="shared" si="19"/>
        <v>MA1352__44568_0.522708333333333</v>
      </c>
      <c r="BG135" s="127" t="str">
        <f t="shared" si="20"/>
        <v/>
      </c>
      <c r="BH135" s="137" t="s">
        <v>607</v>
      </c>
      <c r="BI135" s="128" t="str">
        <f t="shared" si="21"/>
        <v>FM438</v>
      </c>
      <c r="BJ135" s="129" t="b">
        <f t="shared" si="22"/>
        <v>0</v>
      </c>
      <c r="BK135" s="128" t="str">
        <f t="shared" si="23"/>
        <v/>
      </c>
      <c r="BL135" s="121"/>
      <c r="BM135" s="5" t="str">
        <f t="shared" si="24"/>
        <v/>
      </c>
      <c r="BN135" s="120" t="b">
        <f t="shared" si="25"/>
        <v>0</v>
      </c>
      <c r="BO135" s="131" t="b">
        <f t="shared" si="26"/>
        <v>0</v>
      </c>
      <c r="BP135" s="121"/>
      <c r="BQ135" s="132" t="str">
        <f>VLOOKUP(A135,RAW_APS!A$3:O826,15,FALSE)</f>
        <v/>
      </c>
      <c r="BR135" s="120" t="b">
        <f t="shared" si="27"/>
        <v>1</v>
      </c>
      <c r="BS135" s="121"/>
      <c r="BT135" s="138" t="s">
        <v>245</v>
      </c>
      <c r="BU135" s="10" t="b">
        <f t="shared" si="28"/>
        <v>1</v>
      </c>
      <c r="BV135" s="120"/>
      <c r="BW135" s="120"/>
      <c r="BX135" s="120"/>
      <c r="BY135" s="120"/>
      <c r="BZ135" s="120"/>
      <c r="CA135" s="120"/>
      <c r="CB135" s="120"/>
      <c r="CC135" s="120"/>
    </row>
    <row r="136">
      <c r="A136" s="2" t="s">
        <v>608</v>
      </c>
      <c r="B136" s="100">
        <v>44569.0</v>
      </c>
      <c r="C136" s="101">
        <v>0.3123842592592593</v>
      </c>
      <c r="D136" s="102"/>
      <c r="E136" s="102"/>
      <c r="F136" s="102"/>
      <c r="G136" s="102"/>
      <c r="H136" s="102"/>
      <c r="I136" s="103"/>
      <c r="J136" s="103"/>
      <c r="K136" s="2" t="s">
        <v>254</v>
      </c>
      <c r="L136" s="11"/>
      <c r="M136" s="11"/>
      <c r="N136" s="11"/>
      <c r="O136" s="11"/>
      <c r="P136" s="104" t="b">
        <f>IFNA(IF(VLOOKUP($A136,'Add from APT'!$AA$2:$AC826,3,FALSE)&gt;0,TRUE,FALSE),"ER - NOT IN APT")</f>
        <v>0</v>
      </c>
      <c r="Q136" s="105" t="str">
        <f>IF(ISLOGICAL(P136),IF(P136,"ER - REPS IN APT", IFNA(VLOOKUP($A136,RAW_APT!$A$3:$M826,7,FALSE),"ER - NOT IN APT")),P136)</f>
        <v>Collected</v>
      </c>
      <c r="R136" s="106" t="b">
        <f t="shared" si="2"/>
        <v>1</v>
      </c>
      <c r="S136" s="107">
        <f t="shared" si="3"/>
        <v>1</v>
      </c>
      <c r="T136" s="143"/>
      <c r="U136" s="142"/>
      <c r="V136" s="142"/>
      <c r="W136" s="142"/>
      <c r="X136" s="110" t="b">
        <f t="shared" si="4"/>
        <v>0</v>
      </c>
      <c r="Y136" s="111" t="b">
        <v>0</v>
      </c>
      <c r="Z136" s="104" t="str">
        <f t="shared" si="5"/>
        <v/>
      </c>
      <c r="AA136" s="112" t="b">
        <f t="shared" si="6"/>
        <v>0</v>
      </c>
      <c r="AB136" s="142" t="b">
        <v>0</v>
      </c>
      <c r="AC136" s="140">
        <v>663.0</v>
      </c>
      <c r="AD136" s="141" t="b">
        <v>0</v>
      </c>
      <c r="AE136" s="115" t="str">
        <f t="shared" si="7"/>
        <v/>
      </c>
      <c r="AF136" s="116" t="b">
        <f t="shared" si="8"/>
        <v>0</v>
      </c>
      <c r="AG136" s="105" t="b">
        <f t="shared" si="9"/>
        <v>1</v>
      </c>
      <c r="AH136" s="145">
        <v>9.1</v>
      </c>
      <c r="AI136" s="140"/>
      <c r="AJ136" s="140"/>
      <c r="AK136" s="117" t="str">
        <f t="shared" si="10"/>
        <v>DELETED</v>
      </c>
      <c r="AL136" s="141" t="s">
        <v>609</v>
      </c>
      <c r="AM136" s="112" t="s">
        <v>245</v>
      </c>
      <c r="AN136" s="112" t="s">
        <v>245</v>
      </c>
      <c r="AO136" s="112" t="str">
        <f>IFERROR(__xludf.DUMMYFUNCTION("IF($AG136, ""DELETED"",TRIM(JOIN("" "",D136:E136)))"),"DELETED")</f>
        <v>DELETED</v>
      </c>
      <c r="AP136" s="112" t="str">
        <f t="shared" ref="AP136:AQ136" si="161">IF($AG136, "DELETED", TRIM(CONCATENATE(F136,I136,U136)))</f>
        <v>DELETED</v>
      </c>
      <c r="AQ136" s="112" t="str">
        <f t="shared" si="161"/>
        <v>DELETED</v>
      </c>
      <c r="AR136" s="112" t="str">
        <f>IFERROR(__xludf.DUMMYFUNCTION("IF($AG136, ""DELETED"", TRIM(JOIN("" "",AP136,AQ136)))"),"DELETED")</f>
        <v>DELETED</v>
      </c>
      <c r="AS136" s="118"/>
      <c r="AT136" s="110" t="b">
        <f t="shared" si="12"/>
        <v>1</v>
      </c>
      <c r="AU136" s="110" t="str">
        <f t="shared" si="13"/>
        <v/>
      </c>
      <c r="AV136" s="110" t="str">
        <f t="shared" si="14"/>
        <v/>
      </c>
      <c r="AW136" s="110" t="str">
        <f t="shared" si="15"/>
        <v/>
      </c>
      <c r="AX136" s="119" t="str">
        <f t="shared" si="16"/>
        <v/>
      </c>
      <c r="AY136" s="120"/>
      <c r="AZ136" s="121"/>
      <c r="BA136" s="122" t="b">
        <f t="shared" si="17"/>
        <v>1</v>
      </c>
      <c r="BB136" s="34"/>
      <c r="BC136" s="121"/>
      <c r="BD136" s="136"/>
      <c r="BE136" s="125" t="str">
        <f t="shared" si="18"/>
        <v/>
      </c>
      <c r="BF136" s="126" t="str">
        <f t="shared" si="19"/>
        <v>MA480__44569_0.312384259259259</v>
      </c>
      <c r="BG136" s="127" t="str">
        <f t="shared" si="20"/>
        <v/>
      </c>
      <c r="BH136" s="137" t="s">
        <v>610</v>
      </c>
      <c r="BI136" s="128" t="str">
        <f t="shared" si="21"/>
        <v>FM439</v>
      </c>
      <c r="BJ136" s="129" t="b">
        <f t="shared" si="22"/>
        <v>0</v>
      </c>
      <c r="BK136" s="128" t="str">
        <f t="shared" si="23"/>
        <v/>
      </c>
      <c r="BL136" s="121"/>
      <c r="BM136" s="5" t="str">
        <f t="shared" si="24"/>
        <v/>
      </c>
      <c r="BN136" s="120" t="b">
        <f t="shared" si="25"/>
        <v>0</v>
      </c>
      <c r="BO136" s="131" t="b">
        <f t="shared" si="26"/>
        <v>0</v>
      </c>
      <c r="BP136" s="121"/>
      <c r="BQ136" s="132" t="str">
        <f>VLOOKUP(A136,RAW_APS!A$3:O826,15,FALSE)</f>
        <v/>
      </c>
      <c r="BR136" s="120" t="b">
        <f t="shared" si="27"/>
        <v>1</v>
      </c>
      <c r="BS136" s="121"/>
      <c r="BT136" s="138" t="s">
        <v>245</v>
      </c>
      <c r="BU136" s="10" t="b">
        <f t="shared" si="28"/>
        <v>1</v>
      </c>
      <c r="BV136" s="120"/>
      <c r="BW136" s="120"/>
      <c r="BX136" s="120"/>
      <c r="BY136" s="120"/>
      <c r="BZ136" s="120"/>
      <c r="CA136" s="120"/>
      <c r="CB136" s="120"/>
      <c r="CC136" s="120"/>
    </row>
    <row r="137">
      <c r="A137" s="2" t="s">
        <v>611</v>
      </c>
      <c r="B137" s="100">
        <v>44571.0</v>
      </c>
      <c r="C137" s="101">
        <v>0.2715856481481482</v>
      </c>
      <c r="D137" s="102"/>
      <c r="E137" s="102"/>
      <c r="F137" s="102"/>
      <c r="G137" s="102"/>
      <c r="H137" s="102"/>
      <c r="I137" s="103"/>
      <c r="J137" s="103"/>
      <c r="K137" s="2" t="s">
        <v>244</v>
      </c>
      <c r="L137" s="100">
        <v>44571.0</v>
      </c>
      <c r="M137" s="101">
        <v>0.46598379629629627</v>
      </c>
      <c r="P137" s="104" t="b">
        <f>IFNA(IF(VLOOKUP($A137,'Add from APT'!$AA$2:$AC826,3,FALSE)&gt;0,TRUE,FALSE),"ER - NOT IN APT")</f>
        <v>0</v>
      </c>
      <c r="Q137" s="105" t="str">
        <f>IF(ISLOGICAL(P137),IF(P137,"ER - REPS IN APT", IFNA(VLOOKUP($A137,RAW_APT!$A$3:$M826,7,FALSE),"ER - NOT IN APT")),P137)</f>
        <v>Result</v>
      </c>
      <c r="R137" s="106" t="b">
        <f t="shared" si="2"/>
        <v>1</v>
      </c>
      <c r="S137" s="107">
        <f t="shared" si="3"/>
        <v>1</v>
      </c>
      <c r="T137" s="143"/>
      <c r="U137" s="142"/>
      <c r="V137" s="142"/>
      <c r="W137" s="142"/>
      <c r="X137" s="110" t="b">
        <f t="shared" si="4"/>
        <v>0</v>
      </c>
      <c r="Y137" s="111" t="b">
        <v>0</v>
      </c>
      <c r="Z137" s="104" t="str">
        <f t="shared" si="5"/>
        <v/>
      </c>
      <c r="AA137" s="112" t="b">
        <f t="shared" si="6"/>
        <v>0</v>
      </c>
      <c r="AB137" s="142" t="b">
        <v>0</v>
      </c>
      <c r="AC137" s="140">
        <v>662.0</v>
      </c>
      <c r="AD137" s="141" t="b">
        <v>0</v>
      </c>
      <c r="AE137" s="115">
        <f t="shared" si="7"/>
        <v>279.9333333</v>
      </c>
      <c r="AF137" s="116" t="b">
        <f t="shared" si="8"/>
        <v>0</v>
      </c>
      <c r="AG137" s="105" t="b">
        <f t="shared" si="9"/>
        <v>0</v>
      </c>
      <c r="AH137" s="140"/>
      <c r="AI137" s="140"/>
      <c r="AJ137" s="140"/>
      <c r="AK137" s="117" t="str">
        <f t="shared" si="10"/>
        <v>Negative</v>
      </c>
      <c r="AL137" s="142"/>
      <c r="AM137" s="112" t="s">
        <v>612</v>
      </c>
      <c r="AN137" s="112" t="s">
        <v>613</v>
      </c>
      <c r="AO137" s="112" t="str">
        <f>IFERROR(__xludf.DUMMYFUNCTION("IF($AG137, ""DELETED"",TRIM(JOIN("" "",D137:E137)))"),"")</f>
        <v/>
      </c>
      <c r="AP137" s="112" t="str">
        <f t="shared" ref="AP137:AQ137" si="162">IF($AG137, "DELETED", TRIM(CONCATENATE(F137,I137,U137)))</f>
        <v/>
      </c>
      <c r="AQ137" s="112" t="str">
        <f t="shared" si="162"/>
        <v/>
      </c>
      <c r="AR137" s="112" t="str">
        <f>IFERROR(__xludf.DUMMYFUNCTION("IF($AG137, ""DELETED"", TRIM(JOIN("" "",AP137,AQ137)))"),"")</f>
        <v/>
      </c>
      <c r="AS137" s="118"/>
      <c r="AT137" s="110" t="b">
        <f t="shared" si="12"/>
        <v>0</v>
      </c>
      <c r="AU137" s="110" t="str">
        <f t="shared" si="13"/>
        <v/>
      </c>
      <c r="AV137" s="110" t="str">
        <f t="shared" si="14"/>
        <v/>
      </c>
      <c r="AW137" s="110" t="str">
        <f t="shared" si="15"/>
        <v/>
      </c>
      <c r="AX137" s="119" t="str">
        <f t="shared" si="16"/>
        <v/>
      </c>
      <c r="AY137" s="120"/>
      <c r="AZ137" s="121"/>
      <c r="BA137" s="122" t="str">
        <f t="shared" si="17"/>
        <v/>
      </c>
      <c r="BB137" s="34"/>
      <c r="BC137" s="121"/>
      <c r="BD137" s="136"/>
      <c r="BE137" s="125" t="str">
        <f t="shared" si="18"/>
        <v/>
      </c>
      <c r="BF137" s="126" t="str">
        <f t="shared" si="19"/>
        <v>MA335__44571_0.271585648148148</v>
      </c>
      <c r="BG137" s="127" t="str">
        <f t="shared" si="20"/>
        <v/>
      </c>
      <c r="BH137" s="137" t="s">
        <v>614</v>
      </c>
      <c r="BI137" s="128" t="str">
        <f t="shared" si="21"/>
        <v>FM44</v>
      </c>
      <c r="BJ137" s="129" t="b">
        <f t="shared" si="22"/>
        <v>0</v>
      </c>
      <c r="BK137" s="128" t="str">
        <f t="shared" si="23"/>
        <v/>
      </c>
      <c r="BL137" s="121"/>
      <c r="BM137" s="5" t="str">
        <f t="shared" si="24"/>
        <v>MISSING</v>
      </c>
      <c r="BN137" s="120" t="b">
        <f t="shared" si="25"/>
        <v>0</v>
      </c>
      <c r="BO137" s="131" t="b">
        <f t="shared" si="26"/>
        <v>1</v>
      </c>
      <c r="BP137" s="121"/>
      <c r="BQ137" s="132" t="str">
        <f>VLOOKUP(A137,RAW_APS!A$3:O826,15,FALSE)</f>
        <v/>
      </c>
      <c r="BR137" s="120" t="b">
        <f t="shared" si="27"/>
        <v>1</v>
      </c>
      <c r="BS137" s="121"/>
      <c r="BT137" s="138" t="s">
        <v>244</v>
      </c>
      <c r="BU137" s="10" t="b">
        <f t="shared" si="28"/>
        <v>1</v>
      </c>
      <c r="BV137" s="120"/>
      <c r="BW137" s="120"/>
      <c r="BX137" s="120"/>
      <c r="BY137" s="120"/>
      <c r="BZ137" s="120"/>
      <c r="CA137" s="120"/>
      <c r="CB137" s="120"/>
      <c r="CC137" s="120"/>
    </row>
    <row r="138">
      <c r="A138" s="2" t="s">
        <v>615</v>
      </c>
      <c r="B138" s="100">
        <v>44571.0</v>
      </c>
      <c r="C138" s="101">
        <v>0.2969212962962963</v>
      </c>
      <c r="D138" s="102"/>
      <c r="E138" s="102"/>
      <c r="F138" s="102"/>
      <c r="G138" s="102"/>
      <c r="H138" s="102"/>
      <c r="I138" s="103"/>
      <c r="J138" s="103"/>
      <c r="K138" s="2" t="s">
        <v>244</v>
      </c>
      <c r="L138" s="100">
        <v>44571.0</v>
      </c>
      <c r="M138" s="101">
        <v>0.46598379629629627</v>
      </c>
      <c r="P138" s="104" t="b">
        <f>IFNA(IF(VLOOKUP($A138,'Add from APT'!$AA$2:$AC826,3,FALSE)&gt;0,TRUE,FALSE),"ER - NOT IN APT")</f>
        <v>0</v>
      </c>
      <c r="Q138" s="105" t="str">
        <f>IF(ISLOGICAL(P138),IF(P138,"ER - REPS IN APT", IFNA(VLOOKUP($A138,RAW_APT!$A$3:$M826,7,FALSE),"ER - NOT IN APT")),P138)</f>
        <v>Result</v>
      </c>
      <c r="R138" s="106" t="b">
        <f t="shared" si="2"/>
        <v>1</v>
      </c>
      <c r="S138" s="107">
        <f t="shared" si="3"/>
        <v>1</v>
      </c>
      <c r="T138" s="143"/>
      <c r="U138" s="142"/>
      <c r="V138" s="142"/>
      <c r="W138" s="142"/>
      <c r="X138" s="110" t="b">
        <f t="shared" si="4"/>
        <v>0</v>
      </c>
      <c r="Y138" s="111" t="b">
        <v>0</v>
      </c>
      <c r="Z138" s="104" t="str">
        <f t="shared" si="5"/>
        <v/>
      </c>
      <c r="AA138" s="112" t="b">
        <f t="shared" si="6"/>
        <v>0</v>
      </c>
      <c r="AB138" s="142" t="b">
        <v>0</v>
      </c>
      <c r="AC138" s="140">
        <v>661.0</v>
      </c>
      <c r="AD138" s="141" t="b">
        <v>0</v>
      </c>
      <c r="AE138" s="115">
        <f t="shared" si="7"/>
        <v>243.45</v>
      </c>
      <c r="AF138" s="116" t="b">
        <f t="shared" si="8"/>
        <v>0</v>
      </c>
      <c r="AG138" s="105" t="b">
        <f t="shared" si="9"/>
        <v>0</v>
      </c>
      <c r="AH138" s="140"/>
      <c r="AI138" s="140"/>
      <c r="AJ138" s="140"/>
      <c r="AK138" s="117" t="str">
        <f t="shared" si="10"/>
        <v>Negative</v>
      </c>
      <c r="AL138" s="142"/>
      <c r="AM138" s="112" t="s">
        <v>314</v>
      </c>
      <c r="AN138" s="112" t="s">
        <v>315</v>
      </c>
      <c r="AO138" s="112" t="str">
        <f>IFERROR(__xludf.DUMMYFUNCTION("IF($AG138, ""DELETED"",TRIM(JOIN("" "",D138:E138)))"),"")</f>
        <v/>
      </c>
      <c r="AP138" s="112" t="str">
        <f t="shared" ref="AP138:AQ138" si="163">IF($AG138, "DELETED", TRIM(CONCATENATE(F138,I138,U138)))</f>
        <v/>
      </c>
      <c r="AQ138" s="112" t="str">
        <f t="shared" si="163"/>
        <v/>
      </c>
      <c r="AR138" s="112" t="str">
        <f>IFERROR(__xludf.DUMMYFUNCTION("IF($AG138, ""DELETED"", TRIM(JOIN("" "",AP138,AQ138)))"),"")</f>
        <v/>
      </c>
      <c r="AS138" s="118"/>
      <c r="AT138" s="110" t="b">
        <f t="shared" si="12"/>
        <v>0</v>
      </c>
      <c r="AU138" s="110" t="str">
        <f t="shared" si="13"/>
        <v/>
      </c>
      <c r="AV138" s="110" t="str">
        <f t="shared" si="14"/>
        <v/>
      </c>
      <c r="AW138" s="110" t="str">
        <f t="shared" si="15"/>
        <v/>
      </c>
      <c r="AX138" s="119" t="str">
        <f t="shared" si="16"/>
        <v/>
      </c>
      <c r="AY138" s="120"/>
      <c r="AZ138" s="121"/>
      <c r="BA138" s="122" t="str">
        <f t="shared" si="17"/>
        <v/>
      </c>
      <c r="BB138" s="34"/>
      <c r="BC138" s="121"/>
      <c r="BD138" s="136"/>
      <c r="BE138" s="125" t="str">
        <f t="shared" si="18"/>
        <v/>
      </c>
      <c r="BF138" s="126" t="str">
        <f t="shared" si="19"/>
        <v>MA241__44571_0.296921296296296</v>
      </c>
      <c r="BG138" s="127" t="str">
        <f t="shared" si="20"/>
        <v/>
      </c>
      <c r="BH138" s="137" t="s">
        <v>616</v>
      </c>
      <c r="BI138" s="128" t="str">
        <f t="shared" si="21"/>
        <v>FM440</v>
      </c>
      <c r="BJ138" s="129" t="b">
        <f t="shared" si="22"/>
        <v>0</v>
      </c>
      <c r="BK138" s="128" t="str">
        <f t="shared" si="23"/>
        <v/>
      </c>
      <c r="BL138" s="121"/>
      <c r="BM138" s="5" t="str">
        <f t="shared" si="24"/>
        <v>MISSING</v>
      </c>
      <c r="BN138" s="120" t="b">
        <f t="shared" si="25"/>
        <v>0</v>
      </c>
      <c r="BO138" s="131" t="b">
        <f t="shared" si="26"/>
        <v>1</v>
      </c>
      <c r="BP138" s="121"/>
      <c r="BQ138" s="132" t="str">
        <f>VLOOKUP(A138,RAW_APS!A$3:O826,15,FALSE)</f>
        <v/>
      </c>
      <c r="BR138" s="120" t="b">
        <f t="shared" si="27"/>
        <v>1</v>
      </c>
      <c r="BS138" s="121"/>
      <c r="BT138" s="138" t="s">
        <v>244</v>
      </c>
      <c r="BU138" s="10" t="b">
        <f t="shared" si="28"/>
        <v>1</v>
      </c>
      <c r="BV138" s="120"/>
      <c r="BW138" s="120"/>
      <c r="BX138" s="120"/>
      <c r="BY138" s="120"/>
      <c r="BZ138" s="120"/>
      <c r="CA138" s="120"/>
      <c r="CB138" s="120"/>
      <c r="CC138" s="120"/>
    </row>
    <row r="139">
      <c r="A139" s="2" t="s">
        <v>617</v>
      </c>
      <c r="B139" s="100">
        <v>44571.0</v>
      </c>
      <c r="C139" s="101">
        <v>0.31167824074074074</v>
      </c>
      <c r="D139" s="102"/>
      <c r="E139" s="102"/>
      <c r="F139" s="102"/>
      <c r="G139" s="102"/>
      <c r="H139" s="102"/>
      <c r="I139" s="103"/>
      <c r="J139" s="103"/>
      <c r="K139" s="2" t="s">
        <v>244</v>
      </c>
      <c r="L139" s="100">
        <v>44571.0</v>
      </c>
      <c r="M139" s="101">
        <v>0.46598379629629627</v>
      </c>
      <c r="P139" s="104" t="b">
        <f>IFNA(IF(VLOOKUP($A139,'Add from APT'!$AA$2:$AC826,3,FALSE)&gt;0,TRUE,FALSE),"ER - NOT IN APT")</f>
        <v>0</v>
      </c>
      <c r="Q139" s="105" t="str">
        <f>IF(ISLOGICAL(P139),IF(P139,"ER - REPS IN APT", IFNA(VLOOKUP($A139,RAW_APT!$A$3:$M826,7,FALSE),"ER - NOT IN APT")),P139)</f>
        <v>Result</v>
      </c>
      <c r="R139" s="106" t="b">
        <f t="shared" si="2"/>
        <v>1</v>
      </c>
      <c r="S139" s="107">
        <f t="shared" si="3"/>
        <v>1</v>
      </c>
      <c r="T139" s="143"/>
      <c r="U139" s="142"/>
      <c r="V139" s="142"/>
      <c r="W139" s="142"/>
      <c r="X139" s="110" t="b">
        <f t="shared" si="4"/>
        <v>0</v>
      </c>
      <c r="Y139" s="111" t="b">
        <v>0</v>
      </c>
      <c r="Z139" s="104" t="str">
        <f t="shared" si="5"/>
        <v/>
      </c>
      <c r="AA139" s="112" t="b">
        <f t="shared" si="6"/>
        <v>0</v>
      </c>
      <c r="AB139" s="142" t="b">
        <v>0</v>
      </c>
      <c r="AC139" s="140">
        <v>660.0</v>
      </c>
      <c r="AD139" s="141" t="b">
        <v>0</v>
      </c>
      <c r="AE139" s="115">
        <f t="shared" si="7"/>
        <v>222.2</v>
      </c>
      <c r="AF139" s="116" t="b">
        <f t="shared" si="8"/>
        <v>0</v>
      </c>
      <c r="AG139" s="105" t="b">
        <f t="shared" si="9"/>
        <v>0</v>
      </c>
      <c r="AH139" s="140"/>
      <c r="AI139" s="140"/>
      <c r="AJ139" s="140"/>
      <c r="AK139" s="117" t="str">
        <f t="shared" si="10"/>
        <v>Negative</v>
      </c>
      <c r="AL139" s="142"/>
      <c r="AM139" s="112" t="s">
        <v>618</v>
      </c>
      <c r="AN139" s="112" t="s">
        <v>619</v>
      </c>
      <c r="AO139" s="112" t="str">
        <f>IFERROR(__xludf.DUMMYFUNCTION("IF($AG139, ""DELETED"",TRIM(JOIN("" "",D139:E139)))"),"")</f>
        <v/>
      </c>
      <c r="AP139" s="112" t="str">
        <f t="shared" ref="AP139:AQ139" si="164">IF($AG139, "DELETED", TRIM(CONCATENATE(F139,I139,U139)))</f>
        <v/>
      </c>
      <c r="AQ139" s="112" t="str">
        <f t="shared" si="164"/>
        <v/>
      </c>
      <c r="AR139" s="112" t="str">
        <f>IFERROR(__xludf.DUMMYFUNCTION("IF($AG139, ""DELETED"", TRIM(JOIN("" "",AP139,AQ139)))"),"")</f>
        <v/>
      </c>
      <c r="AS139" s="118"/>
      <c r="AT139" s="110" t="b">
        <f t="shared" si="12"/>
        <v>0</v>
      </c>
      <c r="AU139" s="110" t="str">
        <f t="shared" si="13"/>
        <v/>
      </c>
      <c r="AV139" s="110" t="str">
        <f t="shared" si="14"/>
        <v/>
      </c>
      <c r="AW139" s="110" t="str">
        <f t="shared" si="15"/>
        <v/>
      </c>
      <c r="AX139" s="119" t="str">
        <f t="shared" si="16"/>
        <v/>
      </c>
      <c r="AY139" s="120"/>
      <c r="AZ139" s="121"/>
      <c r="BA139" s="122" t="str">
        <f t="shared" si="17"/>
        <v/>
      </c>
      <c r="BB139" s="34"/>
      <c r="BC139" s="121"/>
      <c r="BD139" s="136"/>
      <c r="BE139" s="125" t="str">
        <f t="shared" si="18"/>
        <v/>
      </c>
      <c r="BF139" s="126" t="str">
        <f t="shared" si="19"/>
        <v>MA1175__44571_0.311678240740741</v>
      </c>
      <c r="BG139" s="127" t="str">
        <f t="shared" si="20"/>
        <v/>
      </c>
      <c r="BH139" s="137" t="s">
        <v>620</v>
      </c>
      <c r="BI139" s="128" t="str">
        <f t="shared" si="21"/>
        <v>FM442</v>
      </c>
      <c r="BJ139" s="129" t="b">
        <f t="shared" si="22"/>
        <v>0</v>
      </c>
      <c r="BK139" s="128" t="str">
        <f t="shared" si="23"/>
        <v/>
      </c>
      <c r="BL139" s="121"/>
      <c r="BM139" s="5" t="str">
        <f t="shared" si="24"/>
        <v>MISSING</v>
      </c>
      <c r="BN139" s="120" t="b">
        <f t="shared" si="25"/>
        <v>0</v>
      </c>
      <c r="BO139" s="131" t="b">
        <f t="shared" si="26"/>
        <v>1</v>
      </c>
      <c r="BP139" s="121"/>
      <c r="BQ139" s="132" t="str">
        <f>VLOOKUP(A139,RAW_APS!A$3:O826,15,FALSE)</f>
        <v/>
      </c>
      <c r="BR139" s="120" t="b">
        <f t="shared" si="27"/>
        <v>1</v>
      </c>
      <c r="BS139" s="121"/>
      <c r="BT139" s="138" t="s">
        <v>244</v>
      </c>
      <c r="BU139" s="10" t="b">
        <f t="shared" si="28"/>
        <v>1</v>
      </c>
      <c r="BV139" s="120"/>
      <c r="BW139" s="120"/>
      <c r="BX139" s="120"/>
      <c r="BY139" s="120"/>
      <c r="BZ139" s="120"/>
      <c r="CA139" s="120"/>
      <c r="CB139" s="120"/>
      <c r="CC139" s="120"/>
    </row>
    <row r="140">
      <c r="A140" s="2" t="s">
        <v>621</v>
      </c>
      <c r="B140" s="100">
        <v>44571.0</v>
      </c>
      <c r="C140" s="101">
        <v>0.313125</v>
      </c>
      <c r="D140" s="102"/>
      <c r="E140" s="102"/>
      <c r="F140" s="102"/>
      <c r="G140" s="102"/>
      <c r="H140" s="102"/>
      <c r="I140" s="103"/>
      <c r="J140" s="103"/>
      <c r="K140" s="2" t="s">
        <v>244</v>
      </c>
      <c r="L140" s="100">
        <v>44571.0</v>
      </c>
      <c r="M140" s="101">
        <v>0.46598379629629627</v>
      </c>
      <c r="P140" s="104" t="b">
        <f>IFNA(IF(VLOOKUP($A140,'Add from APT'!$AA$2:$AC826,3,FALSE)&gt;0,TRUE,FALSE),"ER - NOT IN APT")</f>
        <v>0</v>
      </c>
      <c r="Q140" s="105" t="str">
        <f>IF(ISLOGICAL(P140),IF(P140,"ER - REPS IN APT", IFNA(VLOOKUP($A140,RAW_APT!$A$3:$M826,7,FALSE),"ER - NOT IN APT")),P140)</f>
        <v>Result</v>
      </c>
      <c r="R140" s="106" t="b">
        <f t="shared" si="2"/>
        <v>1</v>
      </c>
      <c r="S140" s="107">
        <f t="shared" si="3"/>
        <v>1</v>
      </c>
      <c r="T140" s="143"/>
      <c r="U140" s="142"/>
      <c r="V140" s="142"/>
      <c r="W140" s="142"/>
      <c r="X140" s="110" t="b">
        <f t="shared" si="4"/>
        <v>0</v>
      </c>
      <c r="Y140" s="111" t="b">
        <v>0</v>
      </c>
      <c r="Z140" s="104" t="str">
        <f t="shared" si="5"/>
        <v/>
      </c>
      <c r="AA140" s="112" t="b">
        <f t="shared" si="6"/>
        <v>0</v>
      </c>
      <c r="AB140" s="142" t="b">
        <v>0</v>
      </c>
      <c r="AC140" s="140">
        <v>659.0</v>
      </c>
      <c r="AD140" s="141" t="b">
        <v>0</v>
      </c>
      <c r="AE140" s="115">
        <f t="shared" si="7"/>
        <v>220.1166667</v>
      </c>
      <c r="AF140" s="116" t="b">
        <f t="shared" si="8"/>
        <v>0</v>
      </c>
      <c r="AG140" s="105" t="b">
        <f t="shared" si="9"/>
        <v>0</v>
      </c>
      <c r="AH140" s="140"/>
      <c r="AI140" s="140"/>
      <c r="AJ140" s="140"/>
      <c r="AK140" s="117" t="str">
        <f t="shared" si="10"/>
        <v>Negative</v>
      </c>
      <c r="AL140" s="142"/>
      <c r="AM140" s="112" t="s">
        <v>307</v>
      </c>
      <c r="AN140" s="112" t="s">
        <v>266</v>
      </c>
      <c r="AO140" s="112" t="str">
        <f>IFERROR(__xludf.DUMMYFUNCTION("IF($AG140, ""DELETED"",TRIM(JOIN("" "",D140:E140)))"),"")</f>
        <v/>
      </c>
      <c r="AP140" s="112" t="str">
        <f t="shared" ref="AP140:AQ140" si="165">IF($AG140, "DELETED", TRIM(CONCATENATE(F140,I140,U140)))</f>
        <v/>
      </c>
      <c r="AQ140" s="112" t="str">
        <f t="shared" si="165"/>
        <v/>
      </c>
      <c r="AR140" s="112" t="str">
        <f>IFERROR(__xludf.DUMMYFUNCTION("IF($AG140, ""DELETED"", TRIM(JOIN("" "",AP140,AQ140)))"),"")</f>
        <v/>
      </c>
      <c r="AS140" s="118"/>
      <c r="AT140" s="110" t="b">
        <f t="shared" si="12"/>
        <v>0</v>
      </c>
      <c r="AU140" s="110" t="str">
        <f t="shared" si="13"/>
        <v/>
      </c>
      <c r="AV140" s="110" t="str">
        <f t="shared" si="14"/>
        <v/>
      </c>
      <c r="AW140" s="110" t="str">
        <f t="shared" si="15"/>
        <v/>
      </c>
      <c r="AX140" s="119" t="str">
        <f t="shared" si="16"/>
        <v/>
      </c>
      <c r="AY140" s="120"/>
      <c r="AZ140" s="121"/>
      <c r="BA140" s="122" t="str">
        <f t="shared" si="17"/>
        <v/>
      </c>
      <c r="BB140" s="34"/>
      <c r="BC140" s="121"/>
      <c r="BD140" s="136"/>
      <c r="BE140" s="125" t="str">
        <f t="shared" si="18"/>
        <v/>
      </c>
      <c r="BF140" s="126" t="str">
        <f t="shared" si="19"/>
        <v>MA478__44571_0.313125</v>
      </c>
      <c r="BG140" s="127" t="str">
        <f t="shared" si="20"/>
        <v/>
      </c>
      <c r="BH140" s="137" t="s">
        <v>622</v>
      </c>
      <c r="BI140" s="128" t="str">
        <f t="shared" si="21"/>
        <v>FM443</v>
      </c>
      <c r="BJ140" s="129" t="b">
        <f t="shared" si="22"/>
        <v>0</v>
      </c>
      <c r="BK140" s="128" t="str">
        <f t="shared" si="23"/>
        <v/>
      </c>
      <c r="BL140" s="121"/>
      <c r="BM140" s="5" t="str">
        <f t="shared" si="24"/>
        <v>MISSING</v>
      </c>
      <c r="BN140" s="120" t="b">
        <f t="shared" si="25"/>
        <v>0</v>
      </c>
      <c r="BO140" s="131" t="b">
        <f t="shared" si="26"/>
        <v>1</v>
      </c>
      <c r="BP140" s="121"/>
      <c r="BQ140" s="132" t="str">
        <f>VLOOKUP(A140,RAW_APS!A$3:O826,15,FALSE)</f>
        <v/>
      </c>
      <c r="BR140" s="120" t="b">
        <f t="shared" si="27"/>
        <v>1</v>
      </c>
      <c r="BS140" s="121"/>
      <c r="BT140" s="138" t="s">
        <v>244</v>
      </c>
      <c r="BU140" s="10" t="b">
        <f t="shared" si="28"/>
        <v>1</v>
      </c>
      <c r="BV140" s="120"/>
      <c r="BW140" s="120"/>
      <c r="BX140" s="120"/>
      <c r="BY140" s="120"/>
      <c r="BZ140" s="120"/>
      <c r="CA140" s="120"/>
      <c r="CB140" s="120"/>
      <c r="CC140" s="120"/>
    </row>
    <row r="141">
      <c r="A141" s="2" t="s">
        <v>623</v>
      </c>
      <c r="B141" s="100">
        <v>44571.0</v>
      </c>
      <c r="C141" s="101">
        <v>0.3181365740740741</v>
      </c>
      <c r="D141" s="102"/>
      <c r="E141" s="102"/>
      <c r="F141" s="102"/>
      <c r="G141" s="102"/>
      <c r="H141" s="102"/>
      <c r="I141" s="103"/>
      <c r="J141" s="103"/>
      <c r="K141" s="2" t="s">
        <v>244</v>
      </c>
      <c r="L141" s="100">
        <v>44571.0</v>
      </c>
      <c r="M141" s="101">
        <v>0.46598379629629627</v>
      </c>
      <c r="P141" s="104" t="b">
        <f>IFNA(IF(VLOOKUP($A141,'Add from APT'!$AA$2:$AC826,3,FALSE)&gt;0,TRUE,FALSE),"ER - NOT IN APT")</f>
        <v>0</v>
      </c>
      <c r="Q141" s="105" t="str">
        <f>IF(ISLOGICAL(P141),IF(P141,"ER - REPS IN APT", IFNA(VLOOKUP($A141,RAW_APT!$A$3:$M826,7,FALSE),"ER - NOT IN APT")),P141)</f>
        <v>Result</v>
      </c>
      <c r="R141" s="106" t="b">
        <f t="shared" si="2"/>
        <v>1</v>
      </c>
      <c r="S141" s="107">
        <f t="shared" si="3"/>
        <v>1</v>
      </c>
      <c r="T141" s="143"/>
      <c r="U141" s="142"/>
      <c r="V141" s="142"/>
      <c r="W141" s="142"/>
      <c r="X141" s="110" t="b">
        <f t="shared" si="4"/>
        <v>0</v>
      </c>
      <c r="Y141" s="111" t="b">
        <v>0</v>
      </c>
      <c r="Z141" s="104" t="str">
        <f t="shared" si="5"/>
        <v/>
      </c>
      <c r="AA141" s="112" t="b">
        <f t="shared" si="6"/>
        <v>0</v>
      </c>
      <c r="AB141" s="142" t="b">
        <v>0</v>
      </c>
      <c r="AC141" s="140">
        <v>658.0</v>
      </c>
      <c r="AD141" s="141" t="b">
        <v>0</v>
      </c>
      <c r="AE141" s="115">
        <f t="shared" si="7"/>
        <v>212.9</v>
      </c>
      <c r="AF141" s="116" t="b">
        <f t="shared" si="8"/>
        <v>0</v>
      </c>
      <c r="AG141" s="105" t="b">
        <f t="shared" si="9"/>
        <v>0</v>
      </c>
      <c r="AH141" s="140"/>
      <c r="AI141" s="140"/>
      <c r="AJ141" s="140"/>
      <c r="AK141" s="117" t="str">
        <f t="shared" si="10"/>
        <v>Negative</v>
      </c>
      <c r="AL141" s="142"/>
      <c r="AM141" s="112" t="s">
        <v>624</v>
      </c>
      <c r="AN141" s="112" t="s">
        <v>625</v>
      </c>
      <c r="AO141" s="112" t="str">
        <f>IFERROR(__xludf.DUMMYFUNCTION("IF($AG141, ""DELETED"",TRIM(JOIN("" "",D141:E141)))"),"")</f>
        <v/>
      </c>
      <c r="AP141" s="112" t="str">
        <f t="shared" ref="AP141:AQ141" si="166">IF($AG141, "DELETED", TRIM(CONCATENATE(F141,I141,U141)))</f>
        <v/>
      </c>
      <c r="AQ141" s="112" t="str">
        <f t="shared" si="166"/>
        <v/>
      </c>
      <c r="AR141" s="112" t="str">
        <f>IFERROR(__xludf.DUMMYFUNCTION("IF($AG141, ""DELETED"", TRIM(JOIN("" "",AP141,AQ141)))"),"")</f>
        <v/>
      </c>
      <c r="AS141" s="118"/>
      <c r="AT141" s="110" t="b">
        <f t="shared" si="12"/>
        <v>0</v>
      </c>
      <c r="AU141" s="110" t="str">
        <f t="shared" si="13"/>
        <v/>
      </c>
      <c r="AV141" s="110" t="str">
        <f t="shared" si="14"/>
        <v/>
      </c>
      <c r="AW141" s="110" t="str">
        <f t="shared" si="15"/>
        <v/>
      </c>
      <c r="AX141" s="119" t="str">
        <f t="shared" si="16"/>
        <v/>
      </c>
      <c r="AY141" s="120"/>
      <c r="AZ141" s="121"/>
      <c r="BA141" s="122" t="str">
        <f t="shared" si="17"/>
        <v/>
      </c>
      <c r="BB141" s="34"/>
      <c r="BC141" s="121"/>
      <c r="BD141" s="136"/>
      <c r="BE141" s="125" t="str">
        <f t="shared" si="18"/>
        <v/>
      </c>
      <c r="BF141" s="126" t="str">
        <f t="shared" si="19"/>
        <v>MA1159__44571_0.318136574074074</v>
      </c>
      <c r="BG141" s="127" t="str">
        <f t="shared" si="20"/>
        <v/>
      </c>
      <c r="BH141" s="137" t="s">
        <v>626</v>
      </c>
      <c r="BI141" s="128" t="str">
        <f t="shared" si="21"/>
        <v>FM444</v>
      </c>
      <c r="BJ141" s="129" t="b">
        <f t="shared" si="22"/>
        <v>0</v>
      </c>
      <c r="BK141" s="128" t="str">
        <f t="shared" si="23"/>
        <v/>
      </c>
      <c r="BL141" s="121"/>
      <c r="BM141" s="5" t="str">
        <f t="shared" si="24"/>
        <v>MISSING</v>
      </c>
      <c r="BN141" s="120" t="b">
        <f t="shared" si="25"/>
        <v>0</v>
      </c>
      <c r="BO141" s="131" t="b">
        <f t="shared" si="26"/>
        <v>1</v>
      </c>
      <c r="BP141" s="121"/>
      <c r="BQ141" s="132" t="str">
        <f>VLOOKUP(A141,RAW_APS!A$3:O826,15,FALSE)</f>
        <v/>
      </c>
      <c r="BR141" s="120" t="b">
        <f t="shared" si="27"/>
        <v>1</v>
      </c>
      <c r="BS141" s="121"/>
      <c r="BT141" s="138" t="s">
        <v>244</v>
      </c>
      <c r="BU141" s="10" t="b">
        <f t="shared" si="28"/>
        <v>1</v>
      </c>
      <c r="BV141" s="120"/>
      <c r="BW141" s="120"/>
      <c r="BX141" s="120"/>
      <c r="BY141" s="120"/>
      <c r="BZ141" s="120"/>
      <c r="CA141" s="120"/>
      <c r="CB141" s="120"/>
      <c r="CC141" s="120"/>
    </row>
    <row r="142">
      <c r="A142" s="2" t="s">
        <v>627</v>
      </c>
      <c r="B142" s="100">
        <v>44571.0</v>
      </c>
      <c r="C142" s="101">
        <v>0.3261689814814815</v>
      </c>
      <c r="D142" s="102"/>
      <c r="E142" s="102"/>
      <c r="F142" s="139"/>
      <c r="G142" s="148"/>
      <c r="H142" s="148"/>
      <c r="I142" s="135"/>
      <c r="J142" s="103"/>
      <c r="K142" s="2" t="s">
        <v>244</v>
      </c>
      <c r="L142" s="100">
        <v>44571.0</v>
      </c>
      <c r="M142" s="101">
        <v>0.46598379629629627</v>
      </c>
      <c r="N142" s="2" t="s">
        <v>247</v>
      </c>
      <c r="P142" s="104" t="b">
        <f>IFNA(IF(VLOOKUP($A142,'Add from APT'!$AA$2:$AC826,3,FALSE)&gt;0,TRUE,FALSE),"ER - NOT IN APT")</f>
        <v>0</v>
      </c>
      <c r="Q142" s="105" t="str">
        <f>IF(ISLOGICAL(P142),IF(P142,"ER - REPS IN APT", IFNA(VLOOKUP($A142,RAW_APT!$A$3:$M826,7,FALSE),"ER - NOT IN APT")),P142)</f>
        <v>Result</v>
      </c>
      <c r="R142" s="106" t="b">
        <f t="shared" si="2"/>
        <v>1</v>
      </c>
      <c r="S142" s="107">
        <f t="shared" si="3"/>
        <v>1</v>
      </c>
      <c r="T142" s="140">
        <v>0.0</v>
      </c>
      <c r="U142" s="141"/>
      <c r="V142" s="142"/>
      <c r="W142" s="142"/>
      <c r="X142" s="110" t="b">
        <f t="shared" si="4"/>
        <v>0</v>
      </c>
      <c r="Y142" s="111" t="b">
        <v>0</v>
      </c>
      <c r="Z142" s="104" t="str">
        <f t="shared" si="5"/>
        <v/>
      </c>
      <c r="AA142" s="112" t="b">
        <f t="shared" si="6"/>
        <v>0</v>
      </c>
      <c r="AB142" s="142" t="b">
        <v>0</v>
      </c>
      <c r="AC142" s="140">
        <v>811.0</v>
      </c>
      <c r="AD142" s="141" t="b">
        <v>1</v>
      </c>
      <c r="AE142" s="115">
        <f t="shared" si="7"/>
        <v>201.3333333</v>
      </c>
      <c r="AF142" s="116" t="b">
        <f t="shared" si="8"/>
        <v>0</v>
      </c>
      <c r="AG142" s="105" t="b">
        <f t="shared" si="9"/>
        <v>0</v>
      </c>
      <c r="AH142" s="140"/>
      <c r="AI142" s="140"/>
      <c r="AJ142" s="140"/>
      <c r="AK142" s="117" t="str">
        <f t="shared" si="10"/>
        <v>Negative</v>
      </c>
      <c r="AL142" s="142"/>
      <c r="AM142" s="112" t="s">
        <v>273</v>
      </c>
      <c r="AN142" s="112" t="s">
        <v>628</v>
      </c>
      <c r="AO142" s="112" t="str">
        <f>IFERROR(__xludf.DUMMYFUNCTION("IF($AG142, ""DELETED"",TRIM(JOIN("" "",D142:E142)))"),"")</f>
        <v/>
      </c>
      <c r="AP142" s="112" t="str">
        <f t="shared" ref="AP142:AQ142" si="167">IF($AG142, "DELETED", TRIM(CONCATENATE(F142,I142,U142)))</f>
        <v/>
      </c>
      <c r="AQ142" s="112" t="str">
        <f t="shared" si="167"/>
        <v/>
      </c>
      <c r="AR142" s="112" t="str">
        <f>IFERROR(__xludf.DUMMYFUNCTION("IF($AG142, ""DELETED"", TRIM(JOIN("" "",AP142,AQ142)))"),"")</f>
        <v/>
      </c>
      <c r="AS142" s="118"/>
      <c r="AT142" s="110" t="b">
        <f t="shared" si="12"/>
        <v>0</v>
      </c>
      <c r="AU142" s="110" t="str">
        <f t="shared" si="13"/>
        <v/>
      </c>
      <c r="AV142" s="110" t="str">
        <f t="shared" si="14"/>
        <v/>
      </c>
      <c r="AW142" s="110" t="str">
        <f t="shared" si="15"/>
        <v/>
      </c>
      <c r="AX142" s="119" t="str">
        <f t="shared" si="16"/>
        <v/>
      </c>
      <c r="AY142" s="120"/>
      <c r="AZ142" s="121"/>
      <c r="BA142" s="122" t="str">
        <f t="shared" si="17"/>
        <v/>
      </c>
      <c r="BB142" s="34"/>
      <c r="BC142" s="121"/>
      <c r="BD142" s="136"/>
      <c r="BE142" s="125" t="str">
        <f t="shared" si="18"/>
        <v/>
      </c>
      <c r="BF142" s="126" t="str">
        <f t="shared" si="19"/>
        <v>MA233__44571_0.326168981481482</v>
      </c>
      <c r="BG142" s="127" t="str">
        <f t="shared" si="20"/>
        <v/>
      </c>
      <c r="BH142" s="137" t="s">
        <v>629</v>
      </c>
      <c r="BI142" s="128" t="str">
        <f t="shared" si="21"/>
        <v>FM445</v>
      </c>
      <c r="BJ142" s="129" t="b">
        <f t="shared" si="22"/>
        <v>0</v>
      </c>
      <c r="BK142" s="128" t="str">
        <f t="shared" si="23"/>
        <v/>
      </c>
      <c r="BL142" s="121"/>
      <c r="BM142" s="5" t="str">
        <f t="shared" si="24"/>
        <v>MISSING</v>
      </c>
      <c r="BN142" s="120" t="b">
        <f t="shared" si="25"/>
        <v>0</v>
      </c>
      <c r="BO142" s="131" t="b">
        <f t="shared" si="26"/>
        <v>1</v>
      </c>
      <c r="BP142" s="121"/>
      <c r="BQ142" s="132" t="str">
        <f>VLOOKUP(A142,RAW_APS!A$3:O826,15,FALSE)</f>
        <v>#N/A</v>
      </c>
      <c r="BR142" s="120" t="str">
        <f t="shared" si="27"/>
        <v>***TUBE ID NOT FOUND</v>
      </c>
      <c r="BS142" s="121"/>
      <c r="BT142" s="138" t="s">
        <v>244</v>
      </c>
      <c r="BU142" s="10" t="b">
        <f t="shared" si="28"/>
        <v>1</v>
      </c>
      <c r="BV142" s="120"/>
      <c r="BW142" s="120"/>
      <c r="BX142" s="120"/>
      <c r="BY142" s="120"/>
      <c r="BZ142" s="120"/>
      <c r="CA142" s="120"/>
      <c r="CB142" s="120"/>
      <c r="CC142" s="120"/>
    </row>
    <row r="143">
      <c r="A143" s="2" t="s">
        <v>630</v>
      </c>
      <c r="B143" s="100">
        <v>44571.0</v>
      </c>
      <c r="C143" s="101">
        <v>0.32885416666666667</v>
      </c>
      <c r="D143" s="102"/>
      <c r="E143" s="102"/>
      <c r="F143" s="102"/>
      <c r="G143" s="102"/>
      <c r="H143" s="102"/>
      <c r="I143" s="103"/>
      <c r="J143" s="103"/>
      <c r="K143" s="2" t="s">
        <v>244</v>
      </c>
      <c r="L143" s="100">
        <v>44571.0</v>
      </c>
      <c r="M143" s="101">
        <v>0.46598379629629627</v>
      </c>
      <c r="P143" s="104" t="b">
        <f>IFNA(IF(VLOOKUP($A143,'Add from APT'!$AA$2:$AC826,3,FALSE)&gt;0,TRUE,FALSE),"ER - NOT IN APT")</f>
        <v>0</v>
      </c>
      <c r="Q143" s="105" t="str">
        <f>IF(ISLOGICAL(P143),IF(P143,"ER - REPS IN APT", IFNA(VLOOKUP($A143,RAW_APT!$A$3:$M826,7,FALSE),"ER - NOT IN APT")),P143)</f>
        <v>Result</v>
      </c>
      <c r="R143" s="106" t="b">
        <f t="shared" si="2"/>
        <v>1</v>
      </c>
      <c r="S143" s="107">
        <f t="shared" si="3"/>
        <v>1</v>
      </c>
      <c r="T143" s="143"/>
      <c r="U143" s="142"/>
      <c r="V143" s="142"/>
      <c r="W143" s="142"/>
      <c r="X143" s="110" t="b">
        <f t="shared" si="4"/>
        <v>0</v>
      </c>
      <c r="Y143" s="111" t="b">
        <v>0</v>
      </c>
      <c r="Z143" s="104" t="str">
        <f t="shared" si="5"/>
        <v/>
      </c>
      <c r="AA143" s="112" t="b">
        <f t="shared" si="6"/>
        <v>0</v>
      </c>
      <c r="AB143" s="142" t="b">
        <v>0</v>
      </c>
      <c r="AC143" s="140">
        <v>657.0</v>
      </c>
      <c r="AD143" s="141" t="b">
        <v>0</v>
      </c>
      <c r="AE143" s="115">
        <f t="shared" si="7"/>
        <v>197.4666667</v>
      </c>
      <c r="AF143" s="116" t="b">
        <f t="shared" si="8"/>
        <v>0</v>
      </c>
      <c r="AG143" s="105" t="b">
        <f t="shared" si="9"/>
        <v>0</v>
      </c>
      <c r="AH143" s="140"/>
      <c r="AI143" s="140"/>
      <c r="AJ143" s="140"/>
      <c r="AK143" s="117" t="str">
        <f t="shared" si="10"/>
        <v>Negative</v>
      </c>
      <c r="AL143" s="142"/>
      <c r="AM143" s="112" t="s">
        <v>587</v>
      </c>
      <c r="AN143" s="112" t="s">
        <v>588</v>
      </c>
      <c r="AO143" s="112" t="str">
        <f>IFERROR(__xludf.DUMMYFUNCTION("IF($AG143, ""DELETED"",TRIM(JOIN("" "",D143:E143)))"),"")</f>
        <v/>
      </c>
      <c r="AP143" s="112" t="str">
        <f t="shared" ref="AP143:AQ143" si="168">IF($AG143, "DELETED", TRIM(CONCATENATE(F143,I143,U143)))</f>
        <v/>
      </c>
      <c r="AQ143" s="112" t="str">
        <f t="shared" si="168"/>
        <v/>
      </c>
      <c r="AR143" s="112" t="str">
        <f>IFERROR(__xludf.DUMMYFUNCTION("IF($AG143, ""DELETED"", TRIM(JOIN("" "",AP143,AQ143)))"),"")</f>
        <v/>
      </c>
      <c r="AS143" s="118"/>
      <c r="AT143" s="110" t="b">
        <f t="shared" si="12"/>
        <v>0</v>
      </c>
      <c r="AU143" s="110" t="str">
        <f t="shared" si="13"/>
        <v/>
      </c>
      <c r="AV143" s="110" t="str">
        <f t="shared" si="14"/>
        <v/>
      </c>
      <c r="AW143" s="110" t="str">
        <f t="shared" si="15"/>
        <v/>
      </c>
      <c r="AX143" s="119" t="str">
        <f t="shared" si="16"/>
        <v/>
      </c>
      <c r="AY143" s="120"/>
      <c r="AZ143" s="121"/>
      <c r="BA143" s="122" t="str">
        <f t="shared" si="17"/>
        <v/>
      </c>
      <c r="BB143" s="34"/>
      <c r="BC143" s="121"/>
      <c r="BD143" s="136"/>
      <c r="BE143" s="125" t="str">
        <f t="shared" si="18"/>
        <v/>
      </c>
      <c r="BF143" s="126" t="str">
        <f t="shared" si="19"/>
        <v>MA977__44571_0.328854166666667</v>
      </c>
      <c r="BG143" s="127" t="str">
        <f t="shared" si="20"/>
        <v/>
      </c>
      <c r="BH143" s="137" t="s">
        <v>631</v>
      </c>
      <c r="BI143" s="128" t="str">
        <f t="shared" si="21"/>
        <v>FM446</v>
      </c>
      <c r="BJ143" s="129" t="b">
        <f t="shared" si="22"/>
        <v>0</v>
      </c>
      <c r="BK143" s="128" t="str">
        <f t="shared" si="23"/>
        <v/>
      </c>
      <c r="BL143" s="121"/>
      <c r="BM143" s="5" t="str">
        <f t="shared" si="24"/>
        <v>MISSING</v>
      </c>
      <c r="BN143" s="120" t="b">
        <f t="shared" si="25"/>
        <v>0</v>
      </c>
      <c r="BO143" s="131" t="b">
        <f t="shared" si="26"/>
        <v>1</v>
      </c>
      <c r="BP143" s="121"/>
      <c r="BQ143" s="132" t="str">
        <f>VLOOKUP(A143,RAW_APS!A$3:O826,15,FALSE)</f>
        <v/>
      </c>
      <c r="BR143" s="120" t="b">
        <f t="shared" si="27"/>
        <v>1</v>
      </c>
      <c r="BS143" s="121"/>
      <c r="BT143" s="138" t="s">
        <v>244</v>
      </c>
      <c r="BU143" s="10" t="b">
        <f t="shared" si="28"/>
        <v>1</v>
      </c>
      <c r="BV143" s="120"/>
      <c r="BW143" s="120"/>
      <c r="BX143" s="120"/>
      <c r="BY143" s="120"/>
      <c r="BZ143" s="120"/>
      <c r="CA143" s="120"/>
      <c r="CB143" s="120"/>
      <c r="CC143" s="120"/>
    </row>
    <row r="144">
      <c r="A144" s="2" t="s">
        <v>632</v>
      </c>
      <c r="B144" s="100">
        <v>44571.0</v>
      </c>
      <c r="C144" s="101">
        <v>0.3333101851851852</v>
      </c>
      <c r="D144" s="102"/>
      <c r="E144" s="102"/>
      <c r="F144" s="102"/>
      <c r="G144" s="102"/>
      <c r="H144" s="102"/>
      <c r="I144" s="103"/>
      <c r="J144" s="103"/>
      <c r="K144" s="2" t="s">
        <v>244</v>
      </c>
      <c r="L144" s="100">
        <v>44571.0</v>
      </c>
      <c r="M144" s="101">
        <v>0.46598379629629627</v>
      </c>
      <c r="P144" s="104" t="b">
        <f>IFNA(IF(VLOOKUP($A144,'Add from APT'!$AA$2:$AC826,3,FALSE)&gt;0,TRUE,FALSE),"ER - NOT IN APT")</f>
        <v>0</v>
      </c>
      <c r="Q144" s="105" t="str">
        <f>IF(ISLOGICAL(P144),IF(P144,"ER - REPS IN APT", IFNA(VLOOKUP($A144,RAW_APT!$A$3:$M826,7,FALSE),"ER - NOT IN APT")),P144)</f>
        <v>Result</v>
      </c>
      <c r="R144" s="106" t="b">
        <f t="shared" si="2"/>
        <v>1</v>
      </c>
      <c r="S144" s="107">
        <f t="shared" si="3"/>
        <v>1</v>
      </c>
      <c r="T144" s="143"/>
      <c r="U144" s="142"/>
      <c r="V144" s="142"/>
      <c r="W144" s="142"/>
      <c r="X144" s="110" t="b">
        <f t="shared" si="4"/>
        <v>0</v>
      </c>
      <c r="Y144" s="111" t="b">
        <v>0</v>
      </c>
      <c r="Z144" s="104" t="str">
        <f t="shared" si="5"/>
        <v/>
      </c>
      <c r="AA144" s="112" t="b">
        <f t="shared" si="6"/>
        <v>0</v>
      </c>
      <c r="AB144" s="142" t="b">
        <v>0</v>
      </c>
      <c r="AC144" s="140">
        <v>656.0</v>
      </c>
      <c r="AD144" s="141" t="b">
        <v>0</v>
      </c>
      <c r="AE144" s="115">
        <f t="shared" si="7"/>
        <v>191.05</v>
      </c>
      <c r="AF144" s="116" t="b">
        <f t="shared" si="8"/>
        <v>0</v>
      </c>
      <c r="AG144" s="105" t="b">
        <f t="shared" si="9"/>
        <v>0</v>
      </c>
      <c r="AH144" s="140"/>
      <c r="AI144" s="140"/>
      <c r="AJ144" s="140"/>
      <c r="AK144" s="117" t="str">
        <f t="shared" si="10"/>
        <v>Negative</v>
      </c>
      <c r="AL144" s="142"/>
      <c r="AM144" s="112" t="s">
        <v>633</v>
      </c>
      <c r="AN144" s="112" t="s">
        <v>634</v>
      </c>
      <c r="AO144" s="112" t="str">
        <f>IFERROR(__xludf.DUMMYFUNCTION("IF($AG144, ""DELETED"",TRIM(JOIN("" "",D144:E144)))"),"")</f>
        <v/>
      </c>
      <c r="AP144" s="112" t="str">
        <f t="shared" ref="AP144:AQ144" si="169">IF($AG144, "DELETED", TRIM(CONCATENATE(F144,I144,U144)))</f>
        <v/>
      </c>
      <c r="AQ144" s="112" t="str">
        <f t="shared" si="169"/>
        <v/>
      </c>
      <c r="AR144" s="112" t="str">
        <f>IFERROR(__xludf.DUMMYFUNCTION("IF($AG144, ""DELETED"", TRIM(JOIN("" "",AP144,AQ144)))"),"")</f>
        <v/>
      </c>
      <c r="AS144" s="118"/>
      <c r="AT144" s="110" t="b">
        <f t="shared" si="12"/>
        <v>0</v>
      </c>
      <c r="AU144" s="110" t="str">
        <f t="shared" si="13"/>
        <v/>
      </c>
      <c r="AV144" s="110" t="str">
        <f t="shared" si="14"/>
        <v/>
      </c>
      <c r="AW144" s="110" t="str">
        <f t="shared" si="15"/>
        <v/>
      </c>
      <c r="AX144" s="119" t="str">
        <f t="shared" si="16"/>
        <v/>
      </c>
      <c r="AY144" s="120"/>
      <c r="AZ144" s="121"/>
      <c r="BA144" s="122" t="str">
        <f t="shared" si="17"/>
        <v/>
      </c>
      <c r="BB144" s="34"/>
      <c r="BC144" s="121"/>
      <c r="BD144" s="136"/>
      <c r="BE144" s="125" t="str">
        <f t="shared" si="18"/>
        <v/>
      </c>
      <c r="BF144" s="126" t="str">
        <f t="shared" si="19"/>
        <v>MA466__44571_0.333310185185185</v>
      </c>
      <c r="BG144" s="127" t="str">
        <f t="shared" si="20"/>
        <v/>
      </c>
      <c r="BH144" s="137" t="s">
        <v>635</v>
      </c>
      <c r="BI144" s="128" t="str">
        <f t="shared" si="21"/>
        <v>FM448</v>
      </c>
      <c r="BJ144" s="129" t="b">
        <f t="shared" si="22"/>
        <v>0</v>
      </c>
      <c r="BK144" s="128" t="str">
        <f t="shared" si="23"/>
        <v/>
      </c>
      <c r="BL144" s="121"/>
      <c r="BM144" s="5" t="str">
        <f t="shared" si="24"/>
        <v>MISSING</v>
      </c>
      <c r="BN144" s="120" t="b">
        <f t="shared" si="25"/>
        <v>0</v>
      </c>
      <c r="BO144" s="131" t="b">
        <f t="shared" si="26"/>
        <v>1</v>
      </c>
      <c r="BP144" s="121"/>
      <c r="BQ144" s="132" t="str">
        <f>VLOOKUP(A144,RAW_APS!A$3:O826,15,FALSE)</f>
        <v/>
      </c>
      <c r="BR144" s="120" t="b">
        <f t="shared" si="27"/>
        <v>1</v>
      </c>
      <c r="BS144" s="121"/>
      <c r="BT144" s="138" t="s">
        <v>244</v>
      </c>
      <c r="BU144" s="10" t="b">
        <f t="shared" si="28"/>
        <v>1</v>
      </c>
      <c r="BV144" s="120"/>
      <c r="BW144" s="120"/>
      <c r="BX144" s="120"/>
      <c r="BY144" s="120"/>
      <c r="BZ144" s="120"/>
      <c r="CA144" s="120"/>
      <c r="CB144" s="120"/>
      <c r="CC144" s="120"/>
    </row>
    <row r="145">
      <c r="A145" s="2" t="s">
        <v>636</v>
      </c>
      <c r="B145" s="100">
        <v>44571.0</v>
      </c>
      <c r="C145" s="101">
        <v>0.33339120370370373</v>
      </c>
      <c r="D145" s="102"/>
      <c r="E145" s="102"/>
      <c r="F145" s="102"/>
      <c r="G145" s="102"/>
      <c r="H145" s="102"/>
      <c r="I145" s="103"/>
      <c r="J145" s="103"/>
      <c r="K145" s="2" t="s">
        <v>244</v>
      </c>
      <c r="L145" s="100">
        <v>44571.0</v>
      </c>
      <c r="M145" s="101">
        <v>0.46598379629629627</v>
      </c>
      <c r="P145" s="104" t="b">
        <f>IFNA(IF(VLOOKUP($A145,'Add from APT'!$AA$2:$AC826,3,FALSE)&gt;0,TRUE,FALSE),"ER - NOT IN APT")</f>
        <v>0</v>
      </c>
      <c r="Q145" s="105" t="str">
        <f>IF(ISLOGICAL(P145),IF(P145,"ER - REPS IN APT", IFNA(VLOOKUP($A145,RAW_APT!$A$3:$M826,7,FALSE),"ER - NOT IN APT")),P145)</f>
        <v>Result</v>
      </c>
      <c r="R145" s="106" t="b">
        <f t="shared" si="2"/>
        <v>1</v>
      </c>
      <c r="S145" s="107">
        <f t="shared" si="3"/>
        <v>1</v>
      </c>
      <c r="T145" s="143"/>
      <c r="U145" s="142"/>
      <c r="V145" s="142"/>
      <c r="W145" s="142"/>
      <c r="X145" s="110" t="b">
        <f t="shared" si="4"/>
        <v>0</v>
      </c>
      <c r="Y145" s="111" t="b">
        <v>0</v>
      </c>
      <c r="Z145" s="104" t="str">
        <f t="shared" si="5"/>
        <v/>
      </c>
      <c r="AA145" s="112" t="b">
        <f t="shared" si="6"/>
        <v>0</v>
      </c>
      <c r="AB145" s="142" t="b">
        <v>0</v>
      </c>
      <c r="AC145" s="140">
        <v>655.0</v>
      </c>
      <c r="AD145" s="141" t="b">
        <v>0</v>
      </c>
      <c r="AE145" s="115">
        <f t="shared" si="7"/>
        <v>190.9333333</v>
      </c>
      <c r="AF145" s="116" t="b">
        <f t="shared" si="8"/>
        <v>0</v>
      </c>
      <c r="AG145" s="105" t="b">
        <f t="shared" si="9"/>
        <v>0</v>
      </c>
      <c r="AH145" s="140"/>
      <c r="AI145" s="140"/>
      <c r="AJ145" s="140"/>
      <c r="AK145" s="117" t="str">
        <f t="shared" si="10"/>
        <v>Negative</v>
      </c>
      <c r="AL145" s="142"/>
      <c r="AM145" s="112" t="s">
        <v>303</v>
      </c>
      <c r="AN145" s="112" t="s">
        <v>304</v>
      </c>
      <c r="AO145" s="112" t="str">
        <f>IFERROR(__xludf.DUMMYFUNCTION("IF($AG145, ""DELETED"",TRIM(JOIN("" "",D145:E145)))"),"")</f>
        <v/>
      </c>
      <c r="AP145" s="112" t="str">
        <f t="shared" ref="AP145:AQ145" si="170">IF($AG145, "DELETED", TRIM(CONCATENATE(F145,I145,U145)))</f>
        <v/>
      </c>
      <c r="AQ145" s="112" t="str">
        <f t="shared" si="170"/>
        <v/>
      </c>
      <c r="AR145" s="112" t="str">
        <f>IFERROR(__xludf.DUMMYFUNCTION("IF($AG145, ""DELETED"", TRIM(JOIN("" "",AP145,AQ145)))"),"")</f>
        <v/>
      </c>
      <c r="AS145" s="118"/>
      <c r="AT145" s="110" t="b">
        <f t="shared" si="12"/>
        <v>0</v>
      </c>
      <c r="AU145" s="110" t="str">
        <f t="shared" si="13"/>
        <v/>
      </c>
      <c r="AV145" s="110" t="str">
        <f t="shared" si="14"/>
        <v/>
      </c>
      <c r="AW145" s="110" t="str">
        <f t="shared" si="15"/>
        <v/>
      </c>
      <c r="AX145" s="119" t="str">
        <f t="shared" si="16"/>
        <v/>
      </c>
      <c r="AY145" s="120"/>
      <c r="AZ145" s="121"/>
      <c r="BA145" s="122" t="str">
        <f t="shared" si="17"/>
        <v/>
      </c>
      <c r="BB145" s="34"/>
      <c r="BC145" s="121"/>
      <c r="BD145" s="136"/>
      <c r="BE145" s="125" t="str">
        <f t="shared" si="18"/>
        <v/>
      </c>
      <c r="BF145" s="126" t="str">
        <f t="shared" si="19"/>
        <v>MA623__44571_0.333391203703704</v>
      </c>
      <c r="BG145" s="127" t="str">
        <f t="shared" si="20"/>
        <v/>
      </c>
      <c r="BH145" s="137" t="s">
        <v>637</v>
      </c>
      <c r="BI145" s="128" t="str">
        <f t="shared" si="21"/>
        <v>FM45</v>
      </c>
      <c r="BJ145" s="129" t="b">
        <f t="shared" si="22"/>
        <v>0</v>
      </c>
      <c r="BK145" s="128" t="str">
        <f t="shared" si="23"/>
        <v/>
      </c>
      <c r="BL145" s="121"/>
      <c r="BM145" s="5" t="str">
        <f t="shared" si="24"/>
        <v>MISSING</v>
      </c>
      <c r="BN145" s="120" t="b">
        <f t="shared" si="25"/>
        <v>0</v>
      </c>
      <c r="BO145" s="131" t="b">
        <f t="shared" si="26"/>
        <v>1</v>
      </c>
      <c r="BP145" s="121"/>
      <c r="BQ145" s="132" t="str">
        <f>VLOOKUP(A145,RAW_APS!A$3:O826,15,FALSE)</f>
        <v/>
      </c>
      <c r="BR145" s="120" t="b">
        <f t="shared" si="27"/>
        <v>1</v>
      </c>
      <c r="BS145" s="121"/>
      <c r="BT145" s="138" t="s">
        <v>244</v>
      </c>
      <c r="BU145" s="10" t="b">
        <f t="shared" si="28"/>
        <v>1</v>
      </c>
      <c r="BV145" s="120"/>
      <c r="BW145" s="120"/>
      <c r="BX145" s="120"/>
      <c r="BY145" s="120"/>
      <c r="BZ145" s="120"/>
      <c r="CA145" s="120"/>
      <c r="CB145" s="120"/>
      <c r="CC145" s="120"/>
    </row>
    <row r="146">
      <c r="A146" s="2" t="s">
        <v>638</v>
      </c>
      <c r="B146" s="100">
        <v>44571.0</v>
      </c>
      <c r="C146" s="101">
        <v>0.3337731481481481</v>
      </c>
      <c r="D146" s="102"/>
      <c r="E146" s="102"/>
      <c r="F146" s="102"/>
      <c r="G146" s="102"/>
      <c r="H146" s="102"/>
      <c r="I146" s="103"/>
      <c r="J146" s="103"/>
      <c r="K146" s="2" t="s">
        <v>244</v>
      </c>
      <c r="L146" s="100">
        <v>44571.0</v>
      </c>
      <c r="M146" s="101">
        <v>0.46598379629629627</v>
      </c>
      <c r="P146" s="104" t="b">
        <f>IFNA(IF(VLOOKUP($A146,'Add from APT'!$AA$2:$AC826,3,FALSE)&gt;0,TRUE,FALSE),"ER - NOT IN APT")</f>
        <v>0</v>
      </c>
      <c r="Q146" s="105" t="str">
        <f>IF(ISLOGICAL(P146),IF(P146,"ER - REPS IN APT", IFNA(VLOOKUP($A146,RAW_APT!$A$3:$M826,7,FALSE),"ER - NOT IN APT")),P146)</f>
        <v>Result</v>
      </c>
      <c r="R146" s="106" t="b">
        <f t="shared" si="2"/>
        <v>1</v>
      </c>
      <c r="S146" s="107">
        <f t="shared" si="3"/>
        <v>1</v>
      </c>
      <c r="T146" s="143"/>
      <c r="U146" s="142"/>
      <c r="V146" s="142"/>
      <c r="W146" s="142"/>
      <c r="X146" s="110" t="b">
        <f t="shared" si="4"/>
        <v>0</v>
      </c>
      <c r="Y146" s="111" t="b">
        <v>0</v>
      </c>
      <c r="Z146" s="104" t="str">
        <f t="shared" si="5"/>
        <v/>
      </c>
      <c r="AA146" s="112" t="b">
        <f t="shared" si="6"/>
        <v>0</v>
      </c>
      <c r="AB146" s="142" t="b">
        <v>0</v>
      </c>
      <c r="AC146" s="140">
        <v>654.0</v>
      </c>
      <c r="AD146" s="141" t="b">
        <v>0</v>
      </c>
      <c r="AE146" s="115">
        <f t="shared" si="7"/>
        <v>190.3833333</v>
      </c>
      <c r="AF146" s="116" t="b">
        <f t="shared" si="8"/>
        <v>0</v>
      </c>
      <c r="AG146" s="105" t="b">
        <f t="shared" si="9"/>
        <v>0</v>
      </c>
      <c r="AH146" s="140"/>
      <c r="AI146" s="140"/>
      <c r="AJ146" s="140"/>
      <c r="AK146" s="117" t="str">
        <f t="shared" si="10"/>
        <v>Negative</v>
      </c>
      <c r="AL146" s="142"/>
      <c r="AM146" s="112" t="s">
        <v>639</v>
      </c>
      <c r="AN146" s="112" t="s">
        <v>640</v>
      </c>
      <c r="AO146" s="112" t="str">
        <f>IFERROR(__xludf.DUMMYFUNCTION("IF($AG146, ""DELETED"",TRIM(JOIN("" "",D146:E146)))"),"")</f>
        <v/>
      </c>
      <c r="AP146" s="112" t="str">
        <f t="shared" ref="AP146:AQ146" si="171">IF($AG146, "DELETED", TRIM(CONCATENATE(F146,I146,U146)))</f>
        <v/>
      </c>
      <c r="AQ146" s="112" t="str">
        <f t="shared" si="171"/>
        <v/>
      </c>
      <c r="AR146" s="112" t="str">
        <f>IFERROR(__xludf.DUMMYFUNCTION("IF($AG146, ""DELETED"", TRIM(JOIN("" "",AP146,AQ146)))"),"")</f>
        <v/>
      </c>
      <c r="AS146" s="118"/>
      <c r="AT146" s="110" t="b">
        <f t="shared" si="12"/>
        <v>0</v>
      </c>
      <c r="AU146" s="110" t="str">
        <f t="shared" si="13"/>
        <v/>
      </c>
      <c r="AV146" s="110" t="str">
        <f t="shared" si="14"/>
        <v/>
      </c>
      <c r="AW146" s="110" t="str">
        <f t="shared" si="15"/>
        <v/>
      </c>
      <c r="AX146" s="119" t="str">
        <f t="shared" si="16"/>
        <v/>
      </c>
      <c r="AY146" s="120"/>
      <c r="AZ146" s="121"/>
      <c r="BA146" s="122" t="str">
        <f t="shared" si="17"/>
        <v/>
      </c>
      <c r="BB146" s="34"/>
      <c r="BC146" s="121"/>
      <c r="BD146" s="136"/>
      <c r="BE146" s="125" t="str">
        <f t="shared" si="18"/>
        <v/>
      </c>
      <c r="BF146" s="126" t="str">
        <f t="shared" si="19"/>
        <v>MA433__44571_0.333773148148148</v>
      </c>
      <c r="BG146" s="127" t="str">
        <f t="shared" si="20"/>
        <v/>
      </c>
      <c r="BH146" s="137" t="s">
        <v>641</v>
      </c>
      <c r="BI146" s="128" t="str">
        <f t="shared" si="21"/>
        <v>FM450</v>
      </c>
      <c r="BJ146" s="129" t="b">
        <f t="shared" si="22"/>
        <v>0</v>
      </c>
      <c r="BK146" s="128" t="str">
        <f t="shared" si="23"/>
        <v/>
      </c>
      <c r="BL146" s="121"/>
      <c r="BM146" s="5" t="str">
        <f t="shared" si="24"/>
        <v>MISSING</v>
      </c>
      <c r="BN146" s="120" t="b">
        <f t="shared" si="25"/>
        <v>0</v>
      </c>
      <c r="BO146" s="131" t="b">
        <f t="shared" si="26"/>
        <v>1</v>
      </c>
      <c r="BP146" s="121"/>
      <c r="BQ146" s="132" t="str">
        <f>VLOOKUP(A146,RAW_APS!A$3:O826,15,FALSE)</f>
        <v/>
      </c>
      <c r="BR146" s="120" t="b">
        <f t="shared" si="27"/>
        <v>1</v>
      </c>
      <c r="BS146" s="121"/>
      <c r="BT146" s="138" t="s">
        <v>244</v>
      </c>
      <c r="BU146" s="10" t="b">
        <f t="shared" si="28"/>
        <v>1</v>
      </c>
      <c r="BV146" s="120"/>
      <c r="BW146" s="120"/>
      <c r="BX146" s="120"/>
      <c r="BY146" s="120"/>
      <c r="BZ146" s="120"/>
      <c r="CA146" s="120"/>
      <c r="CB146" s="120"/>
      <c r="CC146" s="120"/>
    </row>
    <row r="147">
      <c r="A147" s="2" t="s">
        <v>642</v>
      </c>
      <c r="B147" s="100">
        <v>44571.0</v>
      </c>
      <c r="C147" s="101">
        <v>0.3345138888888889</v>
      </c>
      <c r="D147" s="102"/>
      <c r="E147" s="102"/>
      <c r="F147" s="102"/>
      <c r="G147" s="102"/>
      <c r="H147" s="102"/>
      <c r="I147" s="103"/>
      <c r="J147" s="103"/>
      <c r="K147" s="2" t="s">
        <v>244</v>
      </c>
      <c r="L147" s="100">
        <v>44571.0</v>
      </c>
      <c r="M147" s="101">
        <v>0.46598379629629627</v>
      </c>
      <c r="P147" s="104" t="b">
        <f>IFNA(IF(VLOOKUP($A147,'Add from APT'!$AA$2:$AC826,3,FALSE)&gt;0,TRUE,FALSE),"ER - NOT IN APT")</f>
        <v>0</v>
      </c>
      <c r="Q147" s="105" t="str">
        <f>IF(ISLOGICAL(P147),IF(P147,"ER - REPS IN APT", IFNA(VLOOKUP($A147,RAW_APT!$A$3:$M826,7,FALSE),"ER - NOT IN APT")),P147)</f>
        <v>Result</v>
      </c>
      <c r="R147" s="106" t="b">
        <f t="shared" si="2"/>
        <v>1</v>
      </c>
      <c r="S147" s="107">
        <f t="shared" si="3"/>
        <v>1</v>
      </c>
      <c r="T147" s="143"/>
      <c r="U147" s="142"/>
      <c r="V147" s="142"/>
      <c r="W147" s="142"/>
      <c r="X147" s="110" t="b">
        <f t="shared" si="4"/>
        <v>0</v>
      </c>
      <c r="Y147" s="111" t="b">
        <v>0</v>
      </c>
      <c r="Z147" s="104" t="str">
        <f t="shared" si="5"/>
        <v/>
      </c>
      <c r="AA147" s="112" t="b">
        <f t="shared" si="6"/>
        <v>0</v>
      </c>
      <c r="AB147" s="142" t="b">
        <v>0</v>
      </c>
      <c r="AC147" s="140">
        <v>653.0</v>
      </c>
      <c r="AD147" s="141" t="b">
        <v>0</v>
      </c>
      <c r="AE147" s="115">
        <f t="shared" si="7"/>
        <v>189.3166667</v>
      </c>
      <c r="AF147" s="116" t="b">
        <f t="shared" si="8"/>
        <v>0</v>
      </c>
      <c r="AG147" s="105" t="b">
        <f t="shared" si="9"/>
        <v>0</v>
      </c>
      <c r="AH147" s="140"/>
      <c r="AI147" s="140"/>
      <c r="AJ147" s="140"/>
      <c r="AK147" s="117" t="str">
        <f t="shared" si="10"/>
        <v>Negative</v>
      </c>
      <c r="AL147" s="142"/>
      <c r="AM147" s="112" t="s">
        <v>504</v>
      </c>
      <c r="AN147" s="112" t="s">
        <v>505</v>
      </c>
      <c r="AO147" s="112" t="str">
        <f>IFERROR(__xludf.DUMMYFUNCTION("IF($AG147, ""DELETED"",TRIM(JOIN("" "",D147:E147)))"),"")</f>
        <v/>
      </c>
      <c r="AP147" s="112" t="str">
        <f t="shared" ref="AP147:AQ147" si="172">IF($AG147, "DELETED", TRIM(CONCATENATE(F147,I147,U147)))</f>
        <v/>
      </c>
      <c r="AQ147" s="112" t="str">
        <f t="shared" si="172"/>
        <v/>
      </c>
      <c r="AR147" s="112" t="str">
        <f>IFERROR(__xludf.DUMMYFUNCTION("IF($AG147, ""DELETED"", TRIM(JOIN("" "",AP147,AQ147)))"),"")</f>
        <v/>
      </c>
      <c r="AS147" s="118"/>
      <c r="AT147" s="110" t="b">
        <f t="shared" si="12"/>
        <v>0</v>
      </c>
      <c r="AU147" s="110" t="str">
        <f t="shared" si="13"/>
        <v/>
      </c>
      <c r="AV147" s="110" t="str">
        <f t="shared" si="14"/>
        <v/>
      </c>
      <c r="AW147" s="110" t="str">
        <f t="shared" si="15"/>
        <v/>
      </c>
      <c r="AX147" s="119" t="str">
        <f t="shared" si="16"/>
        <v/>
      </c>
      <c r="AY147" s="120"/>
      <c r="AZ147" s="121"/>
      <c r="BA147" s="122" t="str">
        <f t="shared" si="17"/>
        <v/>
      </c>
      <c r="BB147" s="34"/>
      <c r="BC147" s="121"/>
      <c r="BD147" s="136"/>
      <c r="BE147" s="125" t="str">
        <f t="shared" si="18"/>
        <v/>
      </c>
      <c r="BF147" s="126" t="str">
        <f t="shared" si="19"/>
        <v>MA649__44571_0.334513888888889</v>
      </c>
      <c r="BG147" s="127" t="str">
        <f t="shared" si="20"/>
        <v/>
      </c>
      <c r="BH147" s="137" t="s">
        <v>643</v>
      </c>
      <c r="BI147" s="128" t="str">
        <f t="shared" si="21"/>
        <v>FM452</v>
      </c>
      <c r="BJ147" s="129" t="b">
        <f t="shared" si="22"/>
        <v>0</v>
      </c>
      <c r="BK147" s="128" t="str">
        <f t="shared" si="23"/>
        <v/>
      </c>
      <c r="BL147" s="121"/>
      <c r="BM147" s="5" t="str">
        <f t="shared" si="24"/>
        <v>MISSING</v>
      </c>
      <c r="BN147" s="120" t="b">
        <f t="shared" si="25"/>
        <v>0</v>
      </c>
      <c r="BO147" s="131" t="b">
        <f t="shared" si="26"/>
        <v>1</v>
      </c>
      <c r="BP147" s="121"/>
      <c r="BQ147" s="132" t="str">
        <f>VLOOKUP(A147,RAW_APS!A$3:O826,15,FALSE)</f>
        <v/>
      </c>
      <c r="BR147" s="120" t="b">
        <f t="shared" si="27"/>
        <v>1</v>
      </c>
      <c r="BS147" s="121"/>
      <c r="BT147" s="138" t="s">
        <v>244</v>
      </c>
      <c r="BU147" s="10" t="b">
        <f t="shared" si="28"/>
        <v>1</v>
      </c>
      <c r="BV147" s="120"/>
      <c r="BW147" s="120"/>
      <c r="BX147" s="120"/>
      <c r="BY147" s="120"/>
      <c r="BZ147" s="120"/>
      <c r="CA147" s="120"/>
      <c r="CB147" s="120"/>
      <c r="CC147" s="120"/>
    </row>
    <row r="148">
      <c r="A148" s="2" t="s">
        <v>644</v>
      </c>
      <c r="B148" s="100">
        <v>44571.0</v>
      </c>
      <c r="C148" s="101">
        <v>0.3371412037037037</v>
      </c>
      <c r="D148" s="102"/>
      <c r="E148" s="102"/>
      <c r="F148" s="102"/>
      <c r="G148" s="102"/>
      <c r="H148" s="102"/>
      <c r="I148" s="103"/>
      <c r="J148" s="103"/>
      <c r="K148" s="2" t="s">
        <v>244</v>
      </c>
      <c r="L148" s="100">
        <v>44571.0</v>
      </c>
      <c r="M148" s="101">
        <v>0.46598379629629627</v>
      </c>
      <c r="P148" s="104" t="b">
        <f>IFNA(IF(VLOOKUP($A148,'Add from APT'!$AA$2:$AC826,3,FALSE)&gt;0,TRUE,FALSE),"ER - NOT IN APT")</f>
        <v>0</v>
      </c>
      <c r="Q148" s="105" t="str">
        <f>IF(ISLOGICAL(P148),IF(P148,"ER - REPS IN APT", IFNA(VLOOKUP($A148,RAW_APT!$A$3:$M826,7,FALSE),"ER - NOT IN APT")),P148)</f>
        <v>Result</v>
      </c>
      <c r="R148" s="106" t="b">
        <f t="shared" si="2"/>
        <v>1</v>
      </c>
      <c r="S148" s="107">
        <f t="shared" si="3"/>
        <v>1</v>
      </c>
      <c r="T148" s="143"/>
      <c r="U148" s="142"/>
      <c r="V148" s="142"/>
      <c r="W148" s="142"/>
      <c r="X148" s="110" t="b">
        <f t="shared" si="4"/>
        <v>0</v>
      </c>
      <c r="Y148" s="111" t="b">
        <v>0</v>
      </c>
      <c r="Z148" s="104" t="str">
        <f t="shared" si="5"/>
        <v/>
      </c>
      <c r="AA148" s="112" t="b">
        <f t="shared" si="6"/>
        <v>0</v>
      </c>
      <c r="AB148" s="142" t="b">
        <v>0</v>
      </c>
      <c r="AC148" s="140">
        <v>652.0</v>
      </c>
      <c r="AD148" s="141" t="b">
        <v>0</v>
      </c>
      <c r="AE148" s="115">
        <f t="shared" si="7"/>
        <v>185.5333333</v>
      </c>
      <c r="AF148" s="116" t="b">
        <f t="shared" si="8"/>
        <v>0</v>
      </c>
      <c r="AG148" s="105" t="b">
        <f t="shared" si="9"/>
        <v>0</v>
      </c>
      <c r="AH148" s="140"/>
      <c r="AI148" s="140"/>
      <c r="AJ148" s="140"/>
      <c r="AK148" s="117" t="str">
        <f t="shared" si="10"/>
        <v>Negative</v>
      </c>
      <c r="AL148" s="142"/>
      <c r="AM148" s="112" t="s">
        <v>491</v>
      </c>
      <c r="AN148" s="112" t="s">
        <v>495</v>
      </c>
      <c r="AO148" s="112" t="str">
        <f>IFERROR(__xludf.DUMMYFUNCTION("IF($AG148, ""DELETED"",TRIM(JOIN("" "",D148:E148)))"),"")</f>
        <v/>
      </c>
      <c r="AP148" s="112" t="str">
        <f t="shared" ref="AP148:AQ148" si="173">IF($AG148, "DELETED", TRIM(CONCATENATE(F148,I148,U148)))</f>
        <v/>
      </c>
      <c r="AQ148" s="112" t="str">
        <f t="shared" si="173"/>
        <v/>
      </c>
      <c r="AR148" s="112" t="str">
        <f>IFERROR(__xludf.DUMMYFUNCTION("IF($AG148, ""DELETED"", TRIM(JOIN("" "",AP148,AQ148)))"),"")</f>
        <v/>
      </c>
      <c r="AS148" s="118"/>
      <c r="AT148" s="110" t="b">
        <f t="shared" si="12"/>
        <v>0</v>
      </c>
      <c r="AU148" s="110" t="str">
        <f t="shared" si="13"/>
        <v/>
      </c>
      <c r="AV148" s="110" t="str">
        <f t="shared" si="14"/>
        <v/>
      </c>
      <c r="AW148" s="110" t="str">
        <f t="shared" si="15"/>
        <v/>
      </c>
      <c r="AX148" s="119" t="str">
        <f t="shared" si="16"/>
        <v/>
      </c>
      <c r="AY148" s="120"/>
      <c r="AZ148" s="121"/>
      <c r="BA148" s="122" t="str">
        <f t="shared" si="17"/>
        <v/>
      </c>
      <c r="BB148" s="34"/>
      <c r="BC148" s="121"/>
      <c r="BD148" s="136"/>
      <c r="BE148" s="125" t="str">
        <f t="shared" si="18"/>
        <v/>
      </c>
      <c r="BF148" s="126" t="str">
        <f t="shared" si="19"/>
        <v>MA647__44571_0.337141203703704</v>
      </c>
      <c r="BG148" s="127" t="str">
        <f t="shared" si="20"/>
        <v/>
      </c>
      <c r="BH148" s="137" t="s">
        <v>645</v>
      </c>
      <c r="BI148" s="128" t="str">
        <f t="shared" si="21"/>
        <v>FM454</v>
      </c>
      <c r="BJ148" s="129" t="b">
        <f t="shared" si="22"/>
        <v>0</v>
      </c>
      <c r="BK148" s="128" t="str">
        <f t="shared" si="23"/>
        <v/>
      </c>
      <c r="BL148" s="121"/>
      <c r="BM148" s="5" t="str">
        <f t="shared" si="24"/>
        <v>MISSING</v>
      </c>
      <c r="BN148" s="120" t="b">
        <f t="shared" si="25"/>
        <v>0</v>
      </c>
      <c r="BO148" s="131" t="b">
        <f t="shared" si="26"/>
        <v>1</v>
      </c>
      <c r="BP148" s="121"/>
      <c r="BQ148" s="132" t="str">
        <f>VLOOKUP(A148,RAW_APS!A$3:O826,15,FALSE)</f>
        <v/>
      </c>
      <c r="BR148" s="120" t="b">
        <f t="shared" si="27"/>
        <v>1</v>
      </c>
      <c r="BS148" s="121"/>
      <c r="BT148" s="138" t="s">
        <v>244</v>
      </c>
      <c r="BU148" s="10" t="b">
        <f t="shared" si="28"/>
        <v>1</v>
      </c>
      <c r="BV148" s="120"/>
      <c r="BW148" s="120"/>
      <c r="BX148" s="120"/>
      <c r="BY148" s="120"/>
      <c r="BZ148" s="120"/>
      <c r="CA148" s="120"/>
      <c r="CB148" s="120"/>
      <c r="CC148" s="120"/>
    </row>
    <row r="149">
      <c r="A149" s="2" t="s">
        <v>646</v>
      </c>
      <c r="B149" s="100">
        <v>44571.0</v>
      </c>
      <c r="C149" s="101">
        <v>0.3444212962962963</v>
      </c>
      <c r="D149" s="102"/>
      <c r="E149" s="102"/>
      <c r="F149" s="103"/>
      <c r="G149" s="103"/>
      <c r="H149" s="103"/>
      <c r="I149" s="135"/>
      <c r="J149" s="103"/>
      <c r="K149" s="2" t="s">
        <v>244</v>
      </c>
      <c r="L149" s="100">
        <v>44571.0</v>
      </c>
      <c r="M149" s="101">
        <v>0.46598379629629627</v>
      </c>
      <c r="N149" s="2" t="s">
        <v>247</v>
      </c>
      <c r="P149" s="104" t="b">
        <f>IFNA(IF(VLOOKUP($A149,'Add from APT'!$AA$2:$AC826,3,FALSE)&gt;0,TRUE,FALSE),"ER - NOT IN APT")</f>
        <v>0</v>
      </c>
      <c r="Q149" s="105" t="str">
        <f>IF(ISLOGICAL(P149),IF(P149,"ER - REPS IN APT", IFNA(VLOOKUP($A149,RAW_APT!$A$3:$M826,7,FALSE),"ER - NOT IN APT")),P149)</f>
        <v>Result</v>
      </c>
      <c r="R149" s="106" t="b">
        <f t="shared" si="2"/>
        <v>1</v>
      </c>
      <c r="S149" s="107">
        <f t="shared" si="3"/>
        <v>1</v>
      </c>
      <c r="T149" s="140">
        <v>0.0</v>
      </c>
      <c r="W149" s="141"/>
      <c r="X149" s="110" t="b">
        <f t="shared" si="4"/>
        <v>0</v>
      </c>
      <c r="Y149" s="111" t="b">
        <v>0</v>
      </c>
      <c r="Z149" s="104" t="str">
        <f t="shared" si="5"/>
        <v/>
      </c>
      <c r="AA149" s="112" t="b">
        <f t="shared" si="6"/>
        <v>0</v>
      </c>
      <c r="AB149" s="142" t="b">
        <v>0</v>
      </c>
      <c r="AC149" s="140">
        <v>820.0</v>
      </c>
      <c r="AD149" s="141" t="b">
        <v>1</v>
      </c>
      <c r="AE149" s="115">
        <f t="shared" si="7"/>
        <v>175.05</v>
      </c>
      <c r="AF149" s="116" t="b">
        <f t="shared" si="8"/>
        <v>0</v>
      </c>
      <c r="AG149" s="105" t="b">
        <f t="shared" si="9"/>
        <v>0</v>
      </c>
      <c r="AH149" s="140"/>
      <c r="AI149" s="140"/>
      <c r="AJ149" s="140"/>
      <c r="AK149" s="117" t="str">
        <f t="shared" si="10"/>
        <v>Negative</v>
      </c>
      <c r="AL149" s="142"/>
      <c r="AM149" s="112" t="s">
        <v>500</v>
      </c>
      <c r="AN149" s="112" t="s">
        <v>377</v>
      </c>
      <c r="AO149" s="112" t="str">
        <f>IFERROR(__xludf.DUMMYFUNCTION("IF($AG149, ""DELETED"",TRIM(JOIN("" "",D149:E149)))"),"")</f>
        <v/>
      </c>
      <c r="AP149" s="112" t="str">
        <f t="shared" ref="AP149:AQ149" si="174">IF($AG149, "DELETED", TRIM(CONCATENATE(F149,I149,U149)))</f>
        <v/>
      </c>
      <c r="AQ149" s="112" t="str">
        <f t="shared" si="174"/>
        <v/>
      </c>
      <c r="AR149" s="112" t="str">
        <f>IFERROR(__xludf.DUMMYFUNCTION("IF($AG149, ""DELETED"", TRIM(JOIN("" "",AP149,AQ149)))"),"")</f>
        <v/>
      </c>
      <c r="AS149" s="118"/>
      <c r="AT149" s="110" t="b">
        <f t="shared" si="12"/>
        <v>0</v>
      </c>
      <c r="AU149" s="110" t="str">
        <f t="shared" si="13"/>
        <v/>
      </c>
      <c r="AV149" s="110" t="str">
        <f t="shared" si="14"/>
        <v/>
      </c>
      <c r="AW149" s="110" t="str">
        <f t="shared" si="15"/>
        <v/>
      </c>
      <c r="AX149" s="119" t="str">
        <f t="shared" si="16"/>
        <v/>
      </c>
      <c r="AY149" s="120"/>
      <c r="AZ149" s="121"/>
      <c r="BA149" s="122" t="str">
        <f t="shared" si="17"/>
        <v/>
      </c>
      <c r="BB149" s="34"/>
      <c r="BC149" s="121"/>
      <c r="BD149" s="136"/>
      <c r="BE149" s="125" t="str">
        <f t="shared" si="18"/>
        <v/>
      </c>
      <c r="BF149" s="126" t="str">
        <f t="shared" si="19"/>
        <v>MAX59__44571_0.344421296296296</v>
      </c>
      <c r="BG149" s="127" t="str">
        <f t="shared" si="20"/>
        <v/>
      </c>
      <c r="BH149" s="137" t="s">
        <v>647</v>
      </c>
      <c r="BI149" s="128" t="str">
        <f t="shared" si="21"/>
        <v>FM455</v>
      </c>
      <c r="BJ149" s="129" t="b">
        <f t="shared" si="22"/>
        <v>0</v>
      </c>
      <c r="BK149" s="128" t="str">
        <f t="shared" si="23"/>
        <v/>
      </c>
      <c r="BL149" s="121"/>
      <c r="BM149" s="5" t="str">
        <f t="shared" si="24"/>
        <v>MISSING</v>
      </c>
      <c r="BN149" s="120" t="b">
        <f t="shared" si="25"/>
        <v>0</v>
      </c>
      <c r="BO149" s="131" t="b">
        <f t="shared" si="26"/>
        <v>1</v>
      </c>
      <c r="BP149" s="121"/>
      <c r="BQ149" s="132" t="str">
        <f>VLOOKUP(A149,RAW_APS!A$3:O826,15,FALSE)</f>
        <v>#N/A</v>
      </c>
      <c r="BR149" s="120" t="str">
        <f t="shared" si="27"/>
        <v>***TUBE ID NOT FOUND</v>
      </c>
      <c r="BS149" s="121"/>
      <c r="BT149" s="138" t="s">
        <v>244</v>
      </c>
      <c r="BU149" s="10" t="b">
        <f t="shared" si="28"/>
        <v>1</v>
      </c>
      <c r="BV149" s="120"/>
      <c r="BW149" s="120"/>
      <c r="BX149" s="120"/>
      <c r="BY149" s="120"/>
      <c r="BZ149" s="120"/>
      <c r="CA149" s="120"/>
      <c r="CB149" s="120"/>
      <c r="CC149" s="120"/>
    </row>
    <row r="150">
      <c r="A150" s="2" t="s">
        <v>648</v>
      </c>
      <c r="B150" s="100">
        <v>44571.0</v>
      </c>
      <c r="C150" s="101">
        <v>0.3492013888888889</v>
      </c>
      <c r="D150" s="102"/>
      <c r="E150" s="102"/>
      <c r="F150" s="102"/>
      <c r="G150" s="102"/>
      <c r="H150" s="102"/>
      <c r="I150" s="103"/>
      <c r="J150" s="103"/>
      <c r="K150" s="2" t="s">
        <v>244</v>
      </c>
      <c r="L150" s="100">
        <v>44571.0</v>
      </c>
      <c r="M150" s="101">
        <v>0.46598379629629627</v>
      </c>
      <c r="P150" s="104" t="b">
        <f>IFNA(IF(VLOOKUP($A150,'Add from APT'!$AA$2:$AC826,3,FALSE)&gt;0,TRUE,FALSE),"ER - NOT IN APT")</f>
        <v>0</v>
      </c>
      <c r="Q150" s="105" t="str">
        <f>IF(ISLOGICAL(P150),IF(P150,"ER - REPS IN APT", IFNA(VLOOKUP($A150,RAW_APT!$A$3:$M826,7,FALSE),"ER - NOT IN APT")),P150)</f>
        <v>Result</v>
      </c>
      <c r="R150" s="106" t="b">
        <f t="shared" si="2"/>
        <v>1</v>
      </c>
      <c r="S150" s="107">
        <f t="shared" si="3"/>
        <v>1</v>
      </c>
      <c r="T150" s="143"/>
      <c r="U150" s="142"/>
      <c r="V150" s="142"/>
      <c r="W150" s="142"/>
      <c r="X150" s="110" t="b">
        <f t="shared" si="4"/>
        <v>0</v>
      </c>
      <c r="Y150" s="111" t="b">
        <v>0</v>
      </c>
      <c r="Z150" s="104" t="str">
        <f t="shared" si="5"/>
        <v/>
      </c>
      <c r="AA150" s="112" t="b">
        <f t="shared" si="6"/>
        <v>0</v>
      </c>
      <c r="AB150" s="142" t="b">
        <v>0</v>
      </c>
      <c r="AC150" s="140">
        <v>651.0</v>
      </c>
      <c r="AD150" s="141" t="b">
        <v>0</v>
      </c>
      <c r="AE150" s="115">
        <f t="shared" si="7"/>
        <v>168.1666667</v>
      </c>
      <c r="AF150" s="116" t="b">
        <f t="shared" si="8"/>
        <v>0</v>
      </c>
      <c r="AG150" s="105" t="b">
        <f t="shared" si="9"/>
        <v>0</v>
      </c>
      <c r="AH150" s="140"/>
      <c r="AI150" s="140"/>
      <c r="AJ150" s="140"/>
      <c r="AK150" s="117" t="str">
        <f t="shared" si="10"/>
        <v>Negative</v>
      </c>
      <c r="AL150" s="142"/>
      <c r="AM150" s="112" t="s">
        <v>649</v>
      </c>
      <c r="AN150" s="112" t="s">
        <v>336</v>
      </c>
      <c r="AO150" s="112" t="str">
        <f>IFERROR(__xludf.DUMMYFUNCTION("IF($AG150, ""DELETED"",TRIM(JOIN("" "",D150:E150)))"),"")</f>
        <v/>
      </c>
      <c r="AP150" s="112" t="str">
        <f t="shared" ref="AP150:AQ150" si="175">IF($AG150, "DELETED", TRIM(CONCATENATE(F150,I150,U150)))</f>
        <v/>
      </c>
      <c r="AQ150" s="112" t="str">
        <f t="shared" si="175"/>
        <v/>
      </c>
      <c r="AR150" s="112" t="str">
        <f>IFERROR(__xludf.DUMMYFUNCTION("IF($AG150, ""DELETED"", TRIM(JOIN("" "",AP150,AQ150)))"),"")</f>
        <v/>
      </c>
      <c r="AS150" s="118"/>
      <c r="AT150" s="110" t="b">
        <f t="shared" si="12"/>
        <v>0</v>
      </c>
      <c r="AU150" s="110" t="str">
        <f t="shared" si="13"/>
        <v/>
      </c>
      <c r="AV150" s="110" t="str">
        <f t="shared" si="14"/>
        <v/>
      </c>
      <c r="AW150" s="110" t="str">
        <f t="shared" si="15"/>
        <v/>
      </c>
      <c r="AX150" s="119" t="str">
        <f t="shared" si="16"/>
        <v/>
      </c>
      <c r="AY150" s="120"/>
      <c r="AZ150" s="121"/>
      <c r="BA150" s="122" t="str">
        <f t="shared" si="17"/>
        <v/>
      </c>
      <c r="BB150" s="34"/>
      <c r="BC150" s="121"/>
      <c r="BD150" s="136"/>
      <c r="BE150" s="125" t="str">
        <f t="shared" si="18"/>
        <v/>
      </c>
      <c r="BF150" s="126" t="str">
        <f t="shared" si="19"/>
        <v>MA1035__44571_0.349201388888889</v>
      </c>
      <c r="BG150" s="127" t="str">
        <f t="shared" si="20"/>
        <v/>
      </c>
      <c r="BH150" s="137" t="s">
        <v>650</v>
      </c>
      <c r="BI150" s="128" t="str">
        <f t="shared" si="21"/>
        <v>FM456</v>
      </c>
      <c r="BJ150" s="129" t="b">
        <f t="shared" si="22"/>
        <v>0</v>
      </c>
      <c r="BK150" s="128" t="str">
        <f t="shared" si="23"/>
        <v/>
      </c>
      <c r="BL150" s="121"/>
      <c r="BM150" s="5" t="str">
        <f t="shared" si="24"/>
        <v>MISSING</v>
      </c>
      <c r="BN150" s="120" t="b">
        <f t="shared" si="25"/>
        <v>0</v>
      </c>
      <c r="BO150" s="131" t="b">
        <f t="shared" si="26"/>
        <v>1</v>
      </c>
      <c r="BP150" s="121"/>
      <c r="BQ150" s="132" t="str">
        <f>VLOOKUP(A150,RAW_APS!A$3:O826,15,FALSE)</f>
        <v/>
      </c>
      <c r="BR150" s="120" t="b">
        <f t="shared" si="27"/>
        <v>1</v>
      </c>
      <c r="BS150" s="121"/>
      <c r="BT150" s="138" t="s">
        <v>244</v>
      </c>
      <c r="BU150" s="10" t="b">
        <f t="shared" si="28"/>
        <v>1</v>
      </c>
      <c r="BV150" s="120"/>
      <c r="BW150" s="120"/>
      <c r="BX150" s="120"/>
      <c r="BY150" s="120"/>
      <c r="BZ150" s="120"/>
      <c r="CA150" s="120"/>
      <c r="CB150" s="120"/>
      <c r="CC150" s="120"/>
    </row>
    <row r="151">
      <c r="A151" s="2" t="s">
        <v>651</v>
      </c>
      <c r="B151" s="100">
        <v>44571.0</v>
      </c>
      <c r="C151" s="101">
        <v>0.35119212962962965</v>
      </c>
      <c r="D151" s="102"/>
      <c r="E151" s="102"/>
      <c r="F151" s="139"/>
      <c r="G151" s="139"/>
      <c r="H151" s="139"/>
      <c r="I151" s="103"/>
      <c r="J151" s="103"/>
      <c r="K151" s="2" t="s">
        <v>52</v>
      </c>
      <c r="L151" s="100">
        <v>44579.0</v>
      </c>
      <c r="M151" s="101">
        <v>0.5015740740740741</v>
      </c>
      <c r="P151" s="104" t="b">
        <f>IFNA(IF(VLOOKUP($A151,'Add from APT'!$AA$2:$AC826,3,FALSE)&gt;0,TRUE,FALSE),"ER - NOT IN APT")</f>
        <v>0</v>
      </c>
      <c r="Q151" s="105" t="str">
        <f>IF(ISLOGICAL(P151),IF(P151,"ER - REPS IN APT", IFNA(VLOOKUP($A151,RAW_APT!$A$3:$M826,7,FALSE),"ER - NOT IN APT")),P151)</f>
        <v>Result</v>
      </c>
      <c r="R151" s="106" t="b">
        <f t="shared" si="2"/>
        <v>1</v>
      </c>
      <c r="S151" s="107">
        <f t="shared" si="3"/>
        <v>1</v>
      </c>
      <c r="T151" s="140">
        <v>0.0</v>
      </c>
      <c r="U151" s="141"/>
      <c r="V151" s="141"/>
      <c r="W151" s="142"/>
      <c r="X151" s="110" t="b">
        <f t="shared" si="4"/>
        <v>0</v>
      </c>
      <c r="Y151" s="111" t="b">
        <v>0</v>
      </c>
      <c r="Z151" s="104" t="str">
        <f t="shared" si="5"/>
        <v/>
      </c>
      <c r="AA151" s="112" t="b">
        <f t="shared" si="6"/>
        <v>0</v>
      </c>
      <c r="AB151" s="142" t="b">
        <v>0</v>
      </c>
      <c r="AC151" s="140">
        <v>650.0</v>
      </c>
      <c r="AD151" s="141" t="b">
        <v>0</v>
      </c>
      <c r="AE151" s="115" t="str">
        <f t="shared" si="7"/>
        <v/>
      </c>
      <c r="AF151" s="116" t="b">
        <f t="shared" si="8"/>
        <v>0</v>
      </c>
      <c r="AG151" s="105" t="b">
        <f t="shared" si="9"/>
        <v>0</v>
      </c>
      <c r="AH151" s="140"/>
      <c r="AI151" s="140"/>
      <c r="AJ151" s="140"/>
      <c r="AK151" s="117" t="str">
        <f t="shared" si="10"/>
        <v>Positive</v>
      </c>
      <c r="AL151" s="142"/>
      <c r="AM151" s="112" t="s">
        <v>593</v>
      </c>
      <c r="AN151" s="112" t="s">
        <v>652</v>
      </c>
      <c r="AO151" s="112" t="str">
        <f>IFERROR(__xludf.DUMMYFUNCTION("IF($AG151, ""DELETED"",TRIM(JOIN("" "",D151:E151)))"),"")</f>
        <v/>
      </c>
      <c r="AP151" s="112" t="str">
        <f t="shared" ref="AP151:AQ151" si="176">IF($AG151, "DELETED", TRIM(CONCATENATE(F151,I151,U151)))</f>
        <v/>
      </c>
      <c r="AQ151" s="112" t="str">
        <f t="shared" si="176"/>
        <v/>
      </c>
      <c r="AR151" s="112" t="str">
        <f>IFERROR(__xludf.DUMMYFUNCTION("IF($AG151, ""DELETED"", TRIM(JOIN("" "",AP151,AQ151)))"),"")</f>
        <v/>
      </c>
      <c r="AS151" s="118"/>
      <c r="AT151" s="110" t="b">
        <f t="shared" si="12"/>
        <v>0</v>
      </c>
      <c r="AU151" s="110" t="str">
        <f t="shared" si="13"/>
        <v/>
      </c>
      <c r="AV151" s="110" t="str">
        <f t="shared" si="14"/>
        <v/>
      </c>
      <c r="AW151" s="110" t="str">
        <f t="shared" si="15"/>
        <v/>
      </c>
      <c r="AX151" s="119" t="str">
        <f t="shared" si="16"/>
        <v/>
      </c>
      <c r="AY151" s="120"/>
      <c r="AZ151" s="121"/>
      <c r="BA151" s="122" t="str">
        <f t="shared" si="17"/>
        <v/>
      </c>
      <c r="BB151" s="34"/>
      <c r="BC151" s="121"/>
      <c r="BD151" s="136"/>
      <c r="BE151" s="125" t="str">
        <f t="shared" si="18"/>
        <v/>
      </c>
      <c r="BF151" s="126" t="str">
        <f t="shared" si="19"/>
        <v>MA1024__44571_0.35119212962963</v>
      </c>
      <c r="BG151" s="127" t="str">
        <f t="shared" si="20"/>
        <v/>
      </c>
      <c r="BH151" s="137" t="s">
        <v>653</v>
      </c>
      <c r="BI151" s="128" t="str">
        <f t="shared" si="21"/>
        <v>FM458</v>
      </c>
      <c r="BJ151" s="129" t="b">
        <f t="shared" si="22"/>
        <v>0</v>
      </c>
      <c r="BK151" s="128" t="str">
        <f t="shared" si="23"/>
        <v/>
      </c>
      <c r="BL151" s="121"/>
      <c r="BM151" s="5" t="str">
        <f t="shared" si="24"/>
        <v>MISSING</v>
      </c>
      <c r="BN151" s="120" t="b">
        <f t="shared" si="25"/>
        <v>0</v>
      </c>
      <c r="BO151" s="131" t="b">
        <f t="shared" si="26"/>
        <v>1</v>
      </c>
      <c r="BP151" s="121"/>
      <c r="BQ151" s="132" t="str">
        <f>VLOOKUP(A151,RAW_APS!A$3:O826,15,FALSE)</f>
        <v/>
      </c>
      <c r="BR151" s="120" t="b">
        <f t="shared" si="27"/>
        <v>1</v>
      </c>
      <c r="BS151" s="121"/>
      <c r="BT151" s="138" t="s">
        <v>52</v>
      </c>
      <c r="BU151" s="10" t="b">
        <f t="shared" si="28"/>
        <v>1</v>
      </c>
      <c r="BV151" s="120"/>
      <c r="BW151" s="120"/>
      <c r="BX151" s="120"/>
      <c r="BY151" s="120"/>
      <c r="BZ151" s="120"/>
      <c r="CA151" s="120"/>
      <c r="CB151" s="120"/>
      <c r="CC151" s="120"/>
    </row>
    <row r="152">
      <c r="A152" s="2" t="s">
        <v>654</v>
      </c>
      <c r="B152" s="100">
        <v>44571.0</v>
      </c>
      <c r="C152" s="101">
        <v>0.35587962962962966</v>
      </c>
      <c r="D152" s="102"/>
      <c r="E152" s="102"/>
      <c r="F152" s="102"/>
      <c r="G152" s="102"/>
      <c r="H152" s="102"/>
      <c r="I152" s="103"/>
      <c r="J152" s="103"/>
      <c r="K152" s="2" t="s">
        <v>244</v>
      </c>
      <c r="L152" s="100">
        <v>44571.0</v>
      </c>
      <c r="M152" s="101">
        <v>0.46598379629629627</v>
      </c>
      <c r="P152" s="104" t="b">
        <f>IFNA(IF(VLOOKUP($A152,'Add from APT'!$AA$2:$AC826,3,FALSE)&gt;0,TRUE,FALSE),"ER - NOT IN APT")</f>
        <v>0</v>
      </c>
      <c r="Q152" s="105" t="str">
        <f>IF(ISLOGICAL(P152),IF(P152,"ER - REPS IN APT", IFNA(VLOOKUP($A152,RAW_APT!$A$3:$M826,7,FALSE),"ER - NOT IN APT")),P152)</f>
        <v>Result</v>
      </c>
      <c r="R152" s="106" t="b">
        <f t="shared" si="2"/>
        <v>1</v>
      </c>
      <c r="S152" s="107">
        <f t="shared" si="3"/>
        <v>1</v>
      </c>
      <c r="T152" s="143"/>
      <c r="U152" s="142"/>
      <c r="V152" s="142"/>
      <c r="W152" s="142"/>
      <c r="X152" s="110" t="b">
        <f t="shared" si="4"/>
        <v>0</v>
      </c>
      <c r="Y152" s="111" t="b">
        <v>0</v>
      </c>
      <c r="Z152" s="104" t="str">
        <f t="shared" si="5"/>
        <v/>
      </c>
      <c r="AA152" s="112" t="b">
        <f t="shared" si="6"/>
        <v>0</v>
      </c>
      <c r="AB152" s="142" t="b">
        <v>0</v>
      </c>
      <c r="AC152" s="140">
        <v>649.0</v>
      </c>
      <c r="AD152" s="141" t="b">
        <v>0</v>
      </c>
      <c r="AE152" s="115">
        <f t="shared" si="7"/>
        <v>158.55</v>
      </c>
      <c r="AF152" s="116" t="b">
        <f t="shared" si="8"/>
        <v>0</v>
      </c>
      <c r="AG152" s="105" t="b">
        <f t="shared" si="9"/>
        <v>0</v>
      </c>
      <c r="AH152" s="140"/>
      <c r="AI152" s="140"/>
      <c r="AJ152" s="140"/>
      <c r="AK152" s="117" t="str">
        <f t="shared" si="10"/>
        <v>Negative</v>
      </c>
      <c r="AL152" s="142"/>
      <c r="AM152" s="112" t="s">
        <v>273</v>
      </c>
      <c r="AN152" s="112" t="s">
        <v>655</v>
      </c>
      <c r="AO152" s="112" t="str">
        <f>IFERROR(__xludf.DUMMYFUNCTION("IF($AG152, ""DELETED"",TRIM(JOIN("" "",D152:E152)))"),"")</f>
        <v/>
      </c>
      <c r="AP152" s="112" t="str">
        <f t="shared" ref="AP152:AQ152" si="177">IF($AG152, "DELETED", TRIM(CONCATENATE(F152,I152,U152)))</f>
        <v/>
      </c>
      <c r="AQ152" s="112" t="str">
        <f t="shared" si="177"/>
        <v/>
      </c>
      <c r="AR152" s="112" t="str">
        <f>IFERROR(__xludf.DUMMYFUNCTION("IF($AG152, ""DELETED"", TRIM(JOIN("" "",AP152,AQ152)))"),"")</f>
        <v/>
      </c>
      <c r="AS152" s="118"/>
      <c r="AT152" s="110" t="b">
        <f t="shared" si="12"/>
        <v>0</v>
      </c>
      <c r="AU152" s="110" t="str">
        <f t="shared" si="13"/>
        <v/>
      </c>
      <c r="AV152" s="110" t="str">
        <f t="shared" si="14"/>
        <v/>
      </c>
      <c r="AW152" s="110" t="str">
        <f t="shared" si="15"/>
        <v/>
      </c>
      <c r="AX152" s="119" t="str">
        <f t="shared" si="16"/>
        <v/>
      </c>
      <c r="AY152" s="120"/>
      <c r="AZ152" s="121"/>
      <c r="BA152" s="122" t="str">
        <f t="shared" si="17"/>
        <v/>
      </c>
      <c r="BB152" s="34"/>
      <c r="BC152" s="121"/>
      <c r="BD152" s="136"/>
      <c r="BE152" s="125" t="str">
        <f t="shared" si="18"/>
        <v/>
      </c>
      <c r="BF152" s="126" t="str">
        <f t="shared" si="19"/>
        <v>MA1147__44571_0.35587962962963</v>
      </c>
      <c r="BG152" s="127" t="str">
        <f t="shared" si="20"/>
        <v/>
      </c>
      <c r="BH152" s="137" t="s">
        <v>656</v>
      </c>
      <c r="BI152" s="128" t="str">
        <f t="shared" si="21"/>
        <v>FM459</v>
      </c>
      <c r="BJ152" s="129" t="b">
        <f t="shared" si="22"/>
        <v>0</v>
      </c>
      <c r="BK152" s="128" t="str">
        <f t="shared" si="23"/>
        <v/>
      </c>
      <c r="BL152" s="121"/>
      <c r="BM152" s="5" t="str">
        <f t="shared" si="24"/>
        <v>MISSING</v>
      </c>
      <c r="BN152" s="120" t="b">
        <f t="shared" si="25"/>
        <v>0</v>
      </c>
      <c r="BO152" s="131" t="b">
        <f t="shared" si="26"/>
        <v>1</v>
      </c>
      <c r="BP152" s="121"/>
      <c r="BQ152" s="132" t="str">
        <f>VLOOKUP(A152,RAW_APS!A$3:O826,15,FALSE)</f>
        <v/>
      </c>
      <c r="BR152" s="120" t="b">
        <f t="shared" si="27"/>
        <v>1</v>
      </c>
      <c r="BS152" s="121"/>
      <c r="BT152" s="138" t="s">
        <v>244</v>
      </c>
      <c r="BU152" s="10" t="b">
        <f t="shared" si="28"/>
        <v>1</v>
      </c>
      <c r="BV152" s="120"/>
      <c r="BW152" s="120"/>
      <c r="BX152" s="120"/>
      <c r="BY152" s="120"/>
      <c r="BZ152" s="120"/>
      <c r="CA152" s="120"/>
      <c r="CB152" s="120"/>
      <c r="CC152" s="120"/>
    </row>
    <row r="153">
      <c r="A153" s="3" t="s">
        <v>657</v>
      </c>
      <c r="B153" s="44">
        <v>44571.0</v>
      </c>
      <c r="C153" s="150">
        <v>0.3882638888888889</v>
      </c>
      <c r="D153" s="151"/>
      <c r="E153" s="151"/>
      <c r="F153" s="151"/>
      <c r="G153" s="152"/>
      <c r="H153" s="152"/>
      <c r="I153" s="152"/>
      <c r="J153" s="152"/>
      <c r="K153" s="3" t="s">
        <v>52</v>
      </c>
      <c r="L153" s="44">
        <v>44579.0</v>
      </c>
      <c r="M153" s="150">
        <v>0.5015740740740741</v>
      </c>
      <c r="N153" s="5"/>
      <c r="O153" s="3"/>
      <c r="P153" s="104" t="b">
        <f>IFNA(IF(VLOOKUP($A153,'Add from APT'!$AA$2:$AC826,3,FALSE)&gt;0,TRUE,FALSE),"ER - NOT IN APT")</f>
        <v>0</v>
      </c>
      <c r="Q153" s="105" t="str">
        <f>IF(ISLOGICAL(P153),IF(P153,"ER - REPS IN APT", IFNA(VLOOKUP($A153,RAW_APT!$A$3:$M826,7,FALSE),"ER - NOT IN APT")),P153)</f>
        <v>Result</v>
      </c>
      <c r="R153" s="106" t="b">
        <f t="shared" si="2"/>
        <v>1</v>
      </c>
      <c r="S153" s="107">
        <f t="shared" si="3"/>
        <v>1</v>
      </c>
      <c r="T153" s="144">
        <v>1.0</v>
      </c>
      <c r="U153" s="3"/>
      <c r="V153" s="5"/>
      <c r="W153" s="5"/>
      <c r="X153" s="110" t="b">
        <f t="shared" si="4"/>
        <v>0</v>
      </c>
      <c r="Y153" s="10" t="b">
        <v>0</v>
      </c>
      <c r="Z153" s="104" t="str">
        <f t="shared" si="5"/>
        <v/>
      </c>
      <c r="AA153" s="112" t="b">
        <f t="shared" si="6"/>
        <v>0</v>
      </c>
      <c r="AB153" s="153" t="b">
        <v>0</v>
      </c>
      <c r="AC153" s="144">
        <v>648.0</v>
      </c>
      <c r="AD153" s="3" t="b">
        <v>0</v>
      </c>
      <c r="AE153" s="115" t="str">
        <f t="shared" si="7"/>
        <v/>
      </c>
      <c r="AF153" s="116" t="b">
        <f t="shared" si="8"/>
        <v>0</v>
      </c>
      <c r="AG153" s="105" t="b">
        <f t="shared" si="9"/>
        <v>0</v>
      </c>
      <c r="AH153" s="144"/>
      <c r="AI153" s="144"/>
      <c r="AJ153" s="144"/>
      <c r="AK153" s="117" t="str">
        <f t="shared" si="10"/>
        <v>Positive</v>
      </c>
      <c r="AL153" s="5"/>
      <c r="AM153" s="112" t="s">
        <v>261</v>
      </c>
      <c r="AN153" s="112" t="s">
        <v>658</v>
      </c>
      <c r="AO153" s="112" t="str">
        <f>IFERROR(__xludf.DUMMYFUNCTION("IF($AG153, ""DELETED"",TRIM(JOIN("" "",D153:E153)))"),"")</f>
        <v/>
      </c>
      <c r="AP153" s="112" t="str">
        <f t="shared" ref="AP153:AQ153" si="178">IF($AG153, "DELETED", TRIM(CONCATENATE(F153,I153,U153)))</f>
        <v/>
      </c>
      <c r="AQ153" s="112" t="str">
        <f t="shared" si="178"/>
        <v/>
      </c>
      <c r="AR153" s="112" t="str">
        <f>IFERROR(__xludf.DUMMYFUNCTION("IF($AG153, ""DELETED"", TRIM(JOIN("" "",AP153,AQ153)))"),"")</f>
        <v/>
      </c>
      <c r="AS153" s="118"/>
      <c r="AT153" s="110" t="b">
        <f t="shared" si="12"/>
        <v>0</v>
      </c>
      <c r="AU153" s="110" t="str">
        <f t="shared" si="13"/>
        <v/>
      </c>
      <c r="AV153" s="110" t="str">
        <f t="shared" si="14"/>
        <v/>
      </c>
      <c r="AW153" s="110" t="str">
        <f t="shared" si="15"/>
        <v/>
      </c>
      <c r="AX153" s="119" t="str">
        <f t="shared" si="16"/>
        <v/>
      </c>
      <c r="AY153" s="120"/>
      <c r="AZ153" s="121"/>
      <c r="BA153" s="122" t="str">
        <f t="shared" si="17"/>
        <v/>
      </c>
      <c r="BB153" s="34"/>
      <c r="BC153" s="121"/>
      <c r="BD153" s="136"/>
      <c r="BE153" s="125" t="str">
        <f t="shared" si="18"/>
        <v/>
      </c>
      <c r="BF153" s="126" t="str">
        <f t="shared" si="19"/>
        <v>MA463__44571_0.388263888888889</v>
      </c>
      <c r="BG153" s="127" t="str">
        <f t="shared" si="20"/>
        <v/>
      </c>
      <c r="BH153" s="137" t="s">
        <v>659</v>
      </c>
      <c r="BI153" s="128" t="str">
        <f t="shared" si="21"/>
        <v>FM46</v>
      </c>
      <c r="BJ153" s="129" t="b">
        <f t="shared" si="22"/>
        <v>0</v>
      </c>
      <c r="BK153" s="128" t="str">
        <f t="shared" si="23"/>
        <v/>
      </c>
      <c r="BL153" s="121"/>
      <c r="BM153" s="5" t="str">
        <f t="shared" si="24"/>
        <v>MISSING</v>
      </c>
      <c r="BN153" s="120" t="b">
        <f t="shared" si="25"/>
        <v>0</v>
      </c>
      <c r="BO153" s="131" t="b">
        <f t="shared" si="26"/>
        <v>1</v>
      </c>
      <c r="BP153" s="121"/>
      <c r="BQ153" s="132" t="str">
        <f>VLOOKUP(A153,RAW_APS!A$3:O826,15,FALSE)</f>
        <v/>
      </c>
      <c r="BR153" s="120" t="b">
        <f t="shared" si="27"/>
        <v>1</v>
      </c>
      <c r="BS153" s="121"/>
      <c r="BT153" s="138" t="s">
        <v>52</v>
      </c>
      <c r="BU153" s="10" t="b">
        <f t="shared" si="28"/>
        <v>1</v>
      </c>
      <c r="BV153" s="120"/>
      <c r="BW153" s="120"/>
      <c r="BX153" s="120"/>
      <c r="BY153" s="120"/>
      <c r="BZ153" s="120"/>
      <c r="CA153" s="120"/>
      <c r="CB153" s="120"/>
      <c r="CC153" s="120"/>
    </row>
    <row r="154">
      <c r="A154" s="2" t="s">
        <v>660</v>
      </c>
      <c r="B154" s="100">
        <v>44571.0</v>
      </c>
      <c r="C154" s="101">
        <v>0.3882638888888889</v>
      </c>
      <c r="D154" s="102"/>
      <c r="E154" s="102"/>
      <c r="F154" s="102"/>
      <c r="G154" s="102"/>
      <c r="H154" s="102"/>
      <c r="I154" s="103"/>
      <c r="J154" s="103"/>
      <c r="K154" s="2" t="s">
        <v>52</v>
      </c>
      <c r="L154" s="100">
        <v>44579.0</v>
      </c>
      <c r="M154" s="101">
        <v>0.5015740740740741</v>
      </c>
      <c r="P154" s="104" t="str">
        <f>IFNA(IF(VLOOKUP($A154,'Add from APT'!$AA$2:$AC826,3,FALSE)&gt;0,TRUE,FALSE),"ER - NOT IN APT")</f>
        <v>ER - NOT IN APT</v>
      </c>
      <c r="Q154" s="105" t="str">
        <f>IF(ISLOGICAL(P154),IF(P154,"ER - REPS IN APT", IFNA(VLOOKUP($A154,RAW_APT!$A$3:$M826,7,FALSE),"ER - NOT IN APT")),P154)</f>
        <v>ER - NOT IN APT</v>
      </c>
      <c r="R154" s="106" t="b">
        <f t="shared" si="2"/>
        <v>1</v>
      </c>
      <c r="S154" s="107">
        <f t="shared" si="3"/>
        <v>1</v>
      </c>
      <c r="T154" s="154">
        <v>1.0</v>
      </c>
      <c r="U154" s="155"/>
      <c r="V154" s="155"/>
      <c r="W154" s="155"/>
      <c r="X154" s="110" t="b">
        <f t="shared" si="4"/>
        <v>0</v>
      </c>
      <c r="Y154" s="111" t="b">
        <v>0</v>
      </c>
      <c r="Z154" s="104" t="str">
        <f t="shared" si="5"/>
        <v/>
      </c>
      <c r="AA154" s="112" t="b">
        <f t="shared" si="6"/>
        <v>0</v>
      </c>
      <c r="AB154" s="155" t="b">
        <v>0</v>
      </c>
      <c r="AC154" s="154">
        <v>648.0</v>
      </c>
      <c r="AD154" s="156" t="b">
        <v>0</v>
      </c>
      <c r="AE154" s="115" t="str">
        <f t="shared" si="7"/>
        <v/>
      </c>
      <c r="AF154" s="116" t="b">
        <f t="shared" si="8"/>
        <v>0</v>
      </c>
      <c r="AG154" s="105" t="b">
        <f t="shared" si="9"/>
        <v>1</v>
      </c>
      <c r="AH154" s="154">
        <v>9.1</v>
      </c>
      <c r="AI154" s="154">
        <v>1.3</v>
      </c>
      <c r="AJ154" s="154"/>
      <c r="AK154" s="117" t="str">
        <f t="shared" si="10"/>
        <v>DELETED</v>
      </c>
      <c r="AL154" s="156" t="s">
        <v>661</v>
      </c>
      <c r="AM154" s="112" t="s">
        <v>245</v>
      </c>
      <c r="AN154" s="112" t="s">
        <v>245</v>
      </c>
      <c r="AO154" s="112" t="str">
        <f>IFERROR(__xludf.DUMMYFUNCTION("IF($AG154, ""DELETED"",TRIM(JOIN("" "",D154:E154)))"),"DELETED")</f>
        <v>DELETED</v>
      </c>
      <c r="AP154" s="112" t="str">
        <f t="shared" ref="AP154:AQ154" si="179">IF($AG154, "DELETED", TRIM(CONCATENATE(F154,I154,U154)))</f>
        <v>DELETED</v>
      </c>
      <c r="AQ154" s="112" t="str">
        <f t="shared" si="179"/>
        <v>DELETED</v>
      </c>
      <c r="AR154" s="112" t="str">
        <f>IFERROR(__xludf.DUMMYFUNCTION("IF($AG154, ""DELETED"", TRIM(JOIN("" "",AP154,AQ154)))"),"DELETED")</f>
        <v>DELETED</v>
      </c>
      <c r="AS154" s="118"/>
      <c r="AT154" s="110" t="b">
        <f t="shared" si="12"/>
        <v>1</v>
      </c>
      <c r="AU154" s="110" t="str">
        <f t="shared" si="13"/>
        <v/>
      </c>
      <c r="AV154" s="110" t="str">
        <f t="shared" si="14"/>
        <v/>
      </c>
      <c r="AW154" s="110" t="str">
        <f t="shared" si="15"/>
        <v/>
      </c>
      <c r="AX154" s="119" t="str">
        <f t="shared" si="16"/>
        <v/>
      </c>
      <c r="AY154" s="120"/>
      <c r="AZ154" s="121"/>
      <c r="BA154" s="122" t="str">
        <f t="shared" si="17"/>
        <v/>
      </c>
      <c r="BB154" s="34"/>
      <c r="BC154" s="121"/>
      <c r="BD154" s="136"/>
      <c r="BE154" s="125" t="str">
        <f t="shared" si="18"/>
        <v/>
      </c>
      <c r="BF154" s="126" t="str">
        <f t="shared" si="19"/>
        <v>MA463A__44571_0.388263888888889</v>
      </c>
      <c r="BG154" s="127" t="str">
        <f t="shared" si="20"/>
        <v/>
      </c>
      <c r="BH154" s="137" t="s">
        <v>662</v>
      </c>
      <c r="BI154" s="128" t="str">
        <f t="shared" si="21"/>
        <v>FM461</v>
      </c>
      <c r="BJ154" s="129" t="b">
        <f t="shared" si="22"/>
        <v>0</v>
      </c>
      <c r="BK154" s="128" t="str">
        <f t="shared" si="23"/>
        <v/>
      </c>
      <c r="BL154" s="121"/>
      <c r="BM154" s="5" t="str">
        <f t="shared" si="24"/>
        <v/>
      </c>
      <c r="BN154" s="120" t="b">
        <f t="shared" si="25"/>
        <v>0</v>
      </c>
      <c r="BO154" s="131" t="b">
        <f t="shared" si="26"/>
        <v>0</v>
      </c>
      <c r="BP154" s="121"/>
      <c r="BQ154" s="132" t="str">
        <f>VLOOKUP(A154,RAW_APS!A$3:O826,15,FALSE)</f>
        <v>#N/A</v>
      </c>
      <c r="BR154" s="120" t="str">
        <f t="shared" si="27"/>
        <v>***TUBE ID NOT FOUND</v>
      </c>
      <c r="BS154" s="121"/>
      <c r="BT154" s="138" t="s">
        <v>245</v>
      </c>
      <c r="BU154" s="10" t="b">
        <f t="shared" si="28"/>
        <v>1</v>
      </c>
      <c r="BV154" s="120"/>
      <c r="BW154" s="120"/>
      <c r="BX154" s="120"/>
      <c r="BY154" s="120"/>
      <c r="BZ154" s="120"/>
      <c r="CA154" s="120"/>
      <c r="CB154" s="120"/>
      <c r="CC154" s="120"/>
    </row>
    <row r="155">
      <c r="A155" s="2" t="s">
        <v>663</v>
      </c>
      <c r="B155" s="100">
        <v>44571.0</v>
      </c>
      <c r="C155" s="101">
        <v>0.38880787037037035</v>
      </c>
      <c r="D155" s="102"/>
      <c r="E155" s="102"/>
      <c r="F155" s="102"/>
      <c r="G155" s="102"/>
      <c r="H155" s="102"/>
      <c r="I155" s="103"/>
      <c r="J155" s="103"/>
      <c r="K155" s="2" t="s">
        <v>52</v>
      </c>
      <c r="L155" s="100">
        <v>44579.0</v>
      </c>
      <c r="M155" s="101">
        <v>0.5015740740740741</v>
      </c>
      <c r="P155" s="104" t="b">
        <f>IFNA(IF(VLOOKUP($A155,'Add from APT'!$AA$2:$AC826,3,FALSE)&gt;0,TRUE,FALSE),"ER - NOT IN APT")</f>
        <v>0</v>
      </c>
      <c r="Q155" s="105" t="str">
        <f>IF(ISLOGICAL(P155),IF(P155,"ER - REPS IN APT", IFNA(VLOOKUP($A155,RAW_APT!$A$3:$M826,7,FALSE),"ER - NOT IN APT")),P155)</f>
        <v>Result</v>
      </c>
      <c r="R155" s="106" t="b">
        <f t="shared" si="2"/>
        <v>1</v>
      </c>
      <c r="S155" s="107">
        <f t="shared" si="3"/>
        <v>1</v>
      </c>
      <c r="T155" s="143"/>
      <c r="U155" s="142"/>
      <c r="V155" s="142"/>
      <c r="W155" s="142"/>
      <c r="X155" s="110" t="b">
        <f t="shared" si="4"/>
        <v>0</v>
      </c>
      <c r="Y155" s="111" t="b">
        <v>0</v>
      </c>
      <c r="Z155" s="104" t="str">
        <f t="shared" si="5"/>
        <v/>
      </c>
      <c r="AA155" s="112" t="b">
        <f t="shared" si="6"/>
        <v>0</v>
      </c>
      <c r="AB155" s="142" t="b">
        <v>0</v>
      </c>
      <c r="AC155" s="140">
        <v>647.0</v>
      </c>
      <c r="AD155" s="141" t="b">
        <v>0</v>
      </c>
      <c r="AE155" s="115" t="str">
        <f t="shared" si="7"/>
        <v/>
      </c>
      <c r="AF155" s="116" t="b">
        <f t="shared" si="8"/>
        <v>0</v>
      </c>
      <c r="AG155" s="105" t="b">
        <f t="shared" si="9"/>
        <v>0</v>
      </c>
      <c r="AH155" s="140"/>
      <c r="AI155" s="140"/>
      <c r="AJ155" s="140"/>
      <c r="AK155" s="117" t="str">
        <f t="shared" si="10"/>
        <v>Positive</v>
      </c>
      <c r="AL155" s="142"/>
      <c r="AM155" s="112" t="s">
        <v>261</v>
      </c>
      <c r="AN155" s="112" t="s">
        <v>597</v>
      </c>
      <c r="AO155" s="112" t="str">
        <f>IFERROR(__xludf.DUMMYFUNCTION("IF($AG155, ""DELETED"",TRIM(JOIN("" "",D155:E155)))"),"")</f>
        <v/>
      </c>
      <c r="AP155" s="112" t="str">
        <f t="shared" ref="AP155:AQ155" si="180">IF($AG155, "DELETED", TRIM(CONCATENATE(F155,I155,U155)))</f>
        <v/>
      </c>
      <c r="AQ155" s="112" t="str">
        <f t="shared" si="180"/>
        <v/>
      </c>
      <c r="AR155" s="112" t="str">
        <f>IFERROR(__xludf.DUMMYFUNCTION("IF($AG155, ""DELETED"", TRIM(JOIN("" "",AP155,AQ155)))"),"")</f>
        <v/>
      </c>
      <c r="AS155" s="118"/>
      <c r="AT155" s="110" t="b">
        <f t="shared" si="12"/>
        <v>0</v>
      </c>
      <c r="AU155" s="110" t="str">
        <f t="shared" si="13"/>
        <v/>
      </c>
      <c r="AV155" s="110" t="str">
        <f t="shared" si="14"/>
        <v/>
      </c>
      <c r="AW155" s="110" t="str">
        <f t="shared" si="15"/>
        <v/>
      </c>
      <c r="AX155" s="119" t="str">
        <f t="shared" si="16"/>
        <v/>
      </c>
      <c r="AY155" s="120"/>
      <c r="AZ155" s="121"/>
      <c r="BA155" s="122" t="str">
        <f t="shared" si="17"/>
        <v/>
      </c>
      <c r="BB155" s="34"/>
      <c r="BC155" s="121"/>
      <c r="BD155" s="136"/>
      <c r="BE155" s="125" t="str">
        <f t="shared" si="18"/>
        <v/>
      </c>
      <c r="BF155" s="126" t="str">
        <f t="shared" si="19"/>
        <v>MAX51__44571_0.38880787037037</v>
      </c>
      <c r="BG155" s="127" t="str">
        <f t="shared" si="20"/>
        <v/>
      </c>
      <c r="BH155" s="137" t="s">
        <v>664</v>
      </c>
      <c r="BI155" s="128" t="str">
        <f t="shared" si="21"/>
        <v>FM463</v>
      </c>
      <c r="BJ155" s="129" t="b">
        <f t="shared" si="22"/>
        <v>0</v>
      </c>
      <c r="BK155" s="128" t="str">
        <f t="shared" si="23"/>
        <v/>
      </c>
      <c r="BL155" s="121"/>
      <c r="BM155" s="5" t="str">
        <f t="shared" si="24"/>
        <v>MISSING</v>
      </c>
      <c r="BN155" s="120" t="b">
        <f t="shared" si="25"/>
        <v>0</v>
      </c>
      <c r="BO155" s="131" t="b">
        <f t="shared" si="26"/>
        <v>1</v>
      </c>
      <c r="BP155" s="121"/>
      <c r="BQ155" s="132" t="str">
        <f>VLOOKUP(A155,RAW_APS!A$3:O826,15,FALSE)</f>
        <v/>
      </c>
      <c r="BR155" s="120" t="b">
        <f t="shared" si="27"/>
        <v>1</v>
      </c>
      <c r="BS155" s="121"/>
      <c r="BT155" s="138" t="s">
        <v>52</v>
      </c>
      <c r="BU155" s="10" t="b">
        <f t="shared" si="28"/>
        <v>1</v>
      </c>
      <c r="BV155" s="120"/>
      <c r="BW155" s="120"/>
      <c r="BX155" s="120"/>
      <c r="BY155" s="120"/>
      <c r="BZ155" s="120"/>
      <c r="CA155" s="120"/>
      <c r="CB155" s="120"/>
      <c r="CC155" s="120"/>
    </row>
    <row r="156">
      <c r="A156" s="2" t="s">
        <v>665</v>
      </c>
      <c r="B156" s="100">
        <v>44571.0</v>
      </c>
      <c r="C156" s="101">
        <v>0.38936342592592593</v>
      </c>
      <c r="D156" s="102"/>
      <c r="E156" s="102"/>
      <c r="F156" s="139"/>
      <c r="G156" s="148"/>
      <c r="H156" s="148"/>
      <c r="I156" s="103"/>
      <c r="J156" s="103"/>
      <c r="K156" s="2" t="s">
        <v>52</v>
      </c>
      <c r="L156" s="100">
        <v>44579.0</v>
      </c>
      <c r="M156" s="101">
        <v>0.5015740740740741</v>
      </c>
      <c r="P156" s="104" t="b">
        <f>IFNA(IF(VLOOKUP($A156,'Add from APT'!$AA$2:$AC826,3,FALSE)&gt;0,TRUE,FALSE),"ER - NOT IN APT")</f>
        <v>0</v>
      </c>
      <c r="Q156" s="105" t="str">
        <f>IF(ISLOGICAL(P156),IF(P156,"ER - REPS IN APT", IFNA(VLOOKUP($A156,RAW_APT!$A$3:$M826,7,FALSE),"ER - NOT IN APT")),P156)</f>
        <v>Result</v>
      </c>
      <c r="R156" s="106" t="b">
        <f t="shared" si="2"/>
        <v>1</v>
      </c>
      <c r="S156" s="107">
        <f t="shared" si="3"/>
        <v>1</v>
      </c>
      <c r="T156" s="140">
        <v>0.0</v>
      </c>
      <c r="U156" s="141"/>
      <c r="V156" s="142"/>
      <c r="W156" s="141"/>
      <c r="X156" s="110" t="b">
        <f t="shared" si="4"/>
        <v>0</v>
      </c>
      <c r="Y156" s="111" t="b">
        <v>0</v>
      </c>
      <c r="Z156" s="104" t="str">
        <f t="shared" si="5"/>
        <v/>
      </c>
      <c r="AA156" s="112" t="b">
        <f t="shared" si="6"/>
        <v>0</v>
      </c>
      <c r="AB156" s="142" t="b">
        <v>0</v>
      </c>
      <c r="AC156" s="140">
        <v>646.0</v>
      </c>
      <c r="AD156" s="141" t="b">
        <v>0</v>
      </c>
      <c r="AE156" s="115" t="str">
        <f t="shared" si="7"/>
        <v/>
      </c>
      <c r="AF156" s="116" t="b">
        <f t="shared" si="8"/>
        <v>0</v>
      </c>
      <c r="AG156" s="105" t="b">
        <f t="shared" si="9"/>
        <v>0</v>
      </c>
      <c r="AH156" s="140"/>
      <c r="AI156" s="140"/>
      <c r="AJ156" s="140"/>
      <c r="AK156" s="117" t="str">
        <f t="shared" si="10"/>
        <v>Positive</v>
      </c>
      <c r="AL156" s="142"/>
      <c r="AM156" s="112" t="s">
        <v>261</v>
      </c>
      <c r="AN156" s="112" t="s">
        <v>666</v>
      </c>
      <c r="AO156" s="112" t="str">
        <f>IFERROR(__xludf.DUMMYFUNCTION("IF($AG156, ""DELETED"",TRIM(JOIN("" "",D156:E156)))"),"")</f>
        <v/>
      </c>
      <c r="AP156" s="112" t="str">
        <f t="shared" ref="AP156:AQ156" si="181">IF($AG156, "DELETED", TRIM(CONCATENATE(F156,I156,U156)))</f>
        <v/>
      </c>
      <c r="AQ156" s="112" t="str">
        <f t="shared" si="181"/>
        <v/>
      </c>
      <c r="AR156" s="112" t="str">
        <f>IFERROR(__xludf.DUMMYFUNCTION("IF($AG156, ""DELETED"", TRIM(JOIN("" "",AP156,AQ156)))"),"")</f>
        <v/>
      </c>
      <c r="AS156" s="118"/>
      <c r="AT156" s="110" t="b">
        <f t="shared" si="12"/>
        <v>0</v>
      </c>
      <c r="AU156" s="110" t="str">
        <f t="shared" si="13"/>
        <v/>
      </c>
      <c r="AV156" s="110" t="str">
        <f t="shared" si="14"/>
        <v/>
      </c>
      <c r="AW156" s="110" t="str">
        <f t="shared" si="15"/>
        <v/>
      </c>
      <c r="AX156" s="119" t="str">
        <f t="shared" si="16"/>
        <v/>
      </c>
      <c r="AY156" s="120"/>
      <c r="AZ156" s="121"/>
      <c r="BA156" s="122" t="str">
        <f t="shared" si="17"/>
        <v/>
      </c>
      <c r="BB156" s="34"/>
      <c r="BC156" s="121"/>
      <c r="BD156" s="136"/>
      <c r="BE156" s="125" t="str">
        <f t="shared" si="18"/>
        <v/>
      </c>
      <c r="BF156" s="126" t="str">
        <f t="shared" si="19"/>
        <v>MAX95__44571_0.389363425925926</v>
      </c>
      <c r="BG156" s="127" t="str">
        <f t="shared" si="20"/>
        <v/>
      </c>
      <c r="BH156" s="137" t="s">
        <v>667</v>
      </c>
      <c r="BI156" s="128" t="str">
        <f t="shared" si="21"/>
        <v>FM464</v>
      </c>
      <c r="BJ156" s="129" t="b">
        <f t="shared" si="22"/>
        <v>0</v>
      </c>
      <c r="BK156" s="128" t="str">
        <f t="shared" si="23"/>
        <v/>
      </c>
      <c r="BL156" s="121"/>
      <c r="BM156" s="5" t="str">
        <f t="shared" si="24"/>
        <v>MISSING</v>
      </c>
      <c r="BN156" s="120" t="b">
        <f t="shared" si="25"/>
        <v>0</v>
      </c>
      <c r="BO156" s="131" t="b">
        <f t="shared" si="26"/>
        <v>1</v>
      </c>
      <c r="BP156" s="121"/>
      <c r="BQ156" s="132" t="str">
        <f>VLOOKUP(A156,RAW_APS!A$3:O826,15,FALSE)</f>
        <v/>
      </c>
      <c r="BR156" s="120" t="b">
        <f t="shared" si="27"/>
        <v>1</v>
      </c>
      <c r="BS156" s="121"/>
      <c r="BT156" s="138" t="s">
        <v>52</v>
      </c>
      <c r="BU156" s="10" t="b">
        <f t="shared" si="28"/>
        <v>1</v>
      </c>
      <c r="BV156" s="120"/>
      <c r="BW156" s="120"/>
      <c r="BX156" s="120"/>
      <c r="BY156" s="120"/>
      <c r="BZ156" s="120"/>
      <c r="CA156" s="120"/>
      <c r="CB156" s="120"/>
      <c r="CC156" s="120"/>
    </row>
    <row r="157">
      <c r="A157" s="2" t="s">
        <v>668</v>
      </c>
      <c r="B157" s="100">
        <v>44571.0</v>
      </c>
      <c r="C157" s="101">
        <v>0.3899768518518518</v>
      </c>
      <c r="D157" s="102"/>
      <c r="E157" s="102"/>
      <c r="F157" s="139"/>
      <c r="G157" s="148"/>
      <c r="H157" s="148"/>
      <c r="I157" s="103"/>
      <c r="J157" s="103"/>
      <c r="K157" s="2" t="s">
        <v>52</v>
      </c>
      <c r="L157" s="100">
        <v>44579.0</v>
      </c>
      <c r="M157" s="101">
        <v>0.5015740740740741</v>
      </c>
      <c r="P157" s="104" t="b">
        <f>IFNA(IF(VLOOKUP($A157,'Add from APT'!$AA$2:$AC826,3,FALSE)&gt;0,TRUE,FALSE),"ER - NOT IN APT")</f>
        <v>0</v>
      </c>
      <c r="Q157" s="105" t="str">
        <f>IF(ISLOGICAL(P157),IF(P157,"ER - REPS IN APT", IFNA(VLOOKUP($A157,RAW_APT!$A$3:$M826,7,FALSE),"ER - NOT IN APT")),P157)</f>
        <v>Result</v>
      </c>
      <c r="R157" s="106" t="b">
        <f t="shared" si="2"/>
        <v>1</v>
      </c>
      <c r="S157" s="107">
        <f t="shared" si="3"/>
        <v>1</v>
      </c>
      <c r="T157" s="140">
        <v>0.0</v>
      </c>
      <c r="U157" s="141"/>
      <c r="V157" s="142"/>
      <c r="W157" s="141"/>
      <c r="X157" s="110" t="b">
        <f t="shared" si="4"/>
        <v>0</v>
      </c>
      <c r="Y157" s="111" t="b">
        <v>0</v>
      </c>
      <c r="Z157" s="104" t="str">
        <f t="shared" si="5"/>
        <v/>
      </c>
      <c r="AA157" s="112" t="b">
        <f t="shared" si="6"/>
        <v>0</v>
      </c>
      <c r="AB157" s="142" t="b">
        <v>0</v>
      </c>
      <c r="AC157" s="140">
        <v>645.0</v>
      </c>
      <c r="AD157" s="141" t="b">
        <v>0</v>
      </c>
      <c r="AE157" s="115" t="str">
        <f t="shared" si="7"/>
        <v/>
      </c>
      <c r="AF157" s="116" t="b">
        <f t="shared" si="8"/>
        <v>0</v>
      </c>
      <c r="AG157" s="105" t="b">
        <f t="shared" si="9"/>
        <v>0</v>
      </c>
      <c r="AH157" s="140"/>
      <c r="AI157" s="140"/>
      <c r="AJ157" s="140"/>
      <c r="AK157" s="117" t="str">
        <f t="shared" si="10"/>
        <v>Positive</v>
      </c>
      <c r="AL157" s="142"/>
      <c r="AM157" s="112" t="s">
        <v>261</v>
      </c>
      <c r="AN157" s="112" t="s">
        <v>669</v>
      </c>
      <c r="AO157" s="112" t="str">
        <f>IFERROR(__xludf.DUMMYFUNCTION("IF($AG157, ""DELETED"",TRIM(JOIN("" "",D157:E157)))"),"")</f>
        <v/>
      </c>
      <c r="AP157" s="112" t="str">
        <f t="shared" ref="AP157:AQ157" si="182">IF($AG157, "DELETED", TRIM(CONCATENATE(F157,I157,U157)))</f>
        <v/>
      </c>
      <c r="AQ157" s="112" t="str">
        <f t="shared" si="182"/>
        <v/>
      </c>
      <c r="AR157" s="112" t="str">
        <f>IFERROR(__xludf.DUMMYFUNCTION("IF($AG157, ""DELETED"", TRIM(JOIN("" "",AP157,AQ157)))"),"")</f>
        <v/>
      </c>
      <c r="AS157" s="118"/>
      <c r="AT157" s="110" t="b">
        <f t="shared" si="12"/>
        <v>0</v>
      </c>
      <c r="AU157" s="110" t="str">
        <f t="shared" si="13"/>
        <v/>
      </c>
      <c r="AV157" s="110" t="str">
        <f t="shared" si="14"/>
        <v/>
      </c>
      <c r="AW157" s="110" t="str">
        <f t="shared" si="15"/>
        <v/>
      </c>
      <c r="AX157" s="119" t="str">
        <f t="shared" si="16"/>
        <v/>
      </c>
      <c r="AY157" s="120"/>
      <c r="AZ157" s="121"/>
      <c r="BA157" s="122" t="str">
        <f t="shared" si="17"/>
        <v/>
      </c>
      <c r="BB157" s="34"/>
      <c r="BC157" s="121"/>
      <c r="BD157" s="136"/>
      <c r="BE157" s="125" t="str">
        <f t="shared" si="18"/>
        <v/>
      </c>
      <c r="BF157" s="126" t="str">
        <f t="shared" si="19"/>
        <v>MAX69__44571_0.389976851851852</v>
      </c>
      <c r="BG157" s="127" t="str">
        <f t="shared" si="20"/>
        <v/>
      </c>
      <c r="BH157" s="137" t="s">
        <v>670</v>
      </c>
      <c r="BI157" s="128" t="str">
        <f t="shared" si="21"/>
        <v>FM466</v>
      </c>
      <c r="BJ157" s="129" t="b">
        <f t="shared" si="22"/>
        <v>0</v>
      </c>
      <c r="BK157" s="128" t="str">
        <f t="shared" si="23"/>
        <v/>
      </c>
      <c r="BL157" s="121"/>
      <c r="BM157" s="5" t="str">
        <f t="shared" si="24"/>
        <v>MISSING</v>
      </c>
      <c r="BN157" s="120" t="b">
        <f t="shared" si="25"/>
        <v>0</v>
      </c>
      <c r="BO157" s="131" t="b">
        <f t="shared" si="26"/>
        <v>1</v>
      </c>
      <c r="BP157" s="121"/>
      <c r="BQ157" s="132" t="str">
        <f>VLOOKUP(A157,RAW_APS!A$3:O826,15,FALSE)</f>
        <v/>
      </c>
      <c r="BR157" s="120" t="b">
        <f t="shared" si="27"/>
        <v>1</v>
      </c>
      <c r="BS157" s="121"/>
      <c r="BT157" s="138" t="s">
        <v>52</v>
      </c>
      <c r="BU157" s="10" t="b">
        <f t="shared" si="28"/>
        <v>1</v>
      </c>
      <c r="BV157" s="120"/>
      <c r="BW157" s="120"/>
      <c r="BX157" s="120"/>
      <c r="BY157" s="120"/>
      <c r="BZ157" s="120"/>
      <c r="CA157" s="120"/>
      <c r="CB157" s="120"/>
      <c r="CC157" s="120"/>
    </row>
    <row r="158">
      <c r="A158" s="2" t="s">
        <v>671</v>
      </c>
      <c r="B158" s="100">
        <v>44571.0</v>
      </c>
      <c r="C158" s="101">
        <v>0.3904398148148148</v>
      </c>
      <c r="D158" s="102"/>
      <c r="E158" s="102"/>
      <c r="F158" s="103"/>
      <c r="G158" s="148"/>
      <c r="H158" s="148"/>
      <c r="I158" s="103"/>
      <c r="J158" s="103"/>
      <c r="K158" s="2" t="s">
        <v>244</v>
      </c>
      <c r="L158" s="100">
        <v>44571.0</v>
      </c>
      <c r="M158" s="101">
        <v>0.46598379629629627</v>
      </c>
      <c r="P158" s="104" t="b">
        <f>IFNA(IF(VLOOKUP($A158,'Add from APT'!$AA$2:$AC826,3,FALSE)&gt;0,TRUE,FALSE),"ER - NOT IN APT")</f>
        <v>0</v>
      </c>
      <c r="Q158" s="105" t="str">
        <f>IF(ISLOGICAL(P158),IF(P158,"ER - REPS IN APT", IFNA(VLOOKUP($A158,RAW_APT!$A$3:$M826,7,FALSE),"ER - NOT IN APT")),P158)</f>
        <v>Result</v>
      </c>
      <c r="R158" s="106" t="b">
        <f t="shared" si="2"/>
        <v>1</v>
      </c>
      <c r="S158" s="107">
        <f t="shared" si="3"/>
        <v>1</v>
      </c>
      <c r="T158" s="140">
        <v>0.0</v>
      </c>
      <c r="V158" s="142"/>
      <c r="W158" s="141"/>
      <c r="X158" s="110" t="b">
        <f t="shared" si="4"/>
        <v>0</v>
      </c>
      <c r="Y158" s="111" t="b">
        <v>0</v>
      </c>
      <c r="Z158" s="104" t="str">
        <f t="shared" si="5"/>
        <v/>
      </c>
      <c r="AA158" s="112" t="b">
        <f t="shared" si="6"/>
        <v>0</v>
      </c>
      <c r="AB158" s="142" t="b">
        <v>0</v>
      </c>
      <c r="AC158" s="140">
        <v>644.0</v>
      </c>
      <c r="AD158" s="141" t="b">
        <v>0</v>
      </c>
      <c r="AE158" s="115">
        <f t="shared" si="7"/>
        <v>108.7833333</v>
      </c>
      <c r="AF158" s="116" t="b">
        <f t="shared" si="8"/>
        <v>0</v>
      </c>
      <c r="AG158" s="105" t="b">
        <f t="shared" si="9"/>
        <v>0</v>
      </c>
      <c r="AH158" s="140"/>
      <c r="AI158" s="140"/>
      <c r="AJ158" s="140"/>
      <c r="AK158" s="117" t="str">
        <f t="shared" si="10"/>
        <v>Negative</v>
      </c>
      <c r="AL158" s="142"/>
      <c r="AM158" s="112" t="s">
        <v>261</v>
      </c>
      <c r="AN158" s="112" t="s">
        <v>672</v>
      </c>
      <c r="AO158" s="112" t="str">
        <f>IFERROR(__xludf.DUMMYFUNCTION("IF($AG158, ""DELETED"",TRIM(JOIN("" "",D158:E158)))"),"")</f>
        <v/>
      </c>
      <c r="AP158" s="112" t="str">
        <f t="shared" ref="AP158:AQ158" si="183">IF($AG158, "DELETED", TRIM(CONCATENATE(F158,I158,U158)))</f>
        <v/>
      </c>
      <c r="AQ158" s="112" t="str">
        <f t="shared" si="183"/>
        <v/>
      </c>
      <c r="AR158" s="112" t="str">
        <f>IFERROR(__xludf.DUMMYFUNCTION("IF($AG158, ""DELETED"", TRIM(JOIN("" "",AP158,AQ158)))"),"")</f>
        <v/>
      </c>
      <c r="AS158" s="118"/>
      <c r="AT158" s="110" t="b">
        <f t="shared" si="12"/>
        <v>0</v>
      </c>
      <c r="AU158" s="110" t="str">
        <f t="shared" si="13"/>
        <v/>
      </c>
      <c r="AV158" s="110" t="str">
        <f t="shared" si="14"/>
        <v/>
      </c>
      <c r="AW158" s="110" t="str">
        <f t="shared" si="15"/>
        <v/>
      </c>
      <c r="AX158" s="119" t="str">
        <f t="shared" si="16"/>
        <v/>
      </c>
      <c r="AY158" s="120"/>
      <c r="AZ158" s="121"/>
      <c r="BA158" s="122" t="str">
        <f t="shared" si="17"/>
        <v/>
      </c>
      <c r="BB158" s="34"/>
      <c r="BC158" s="121"/>
      <c r="BD158" s="136"/>
      <c r="BE158" s="125" t="str">
        <f t="shared" si="18"/>
        <v/>
      </c>
      <c r="BF158" s="126" t="str">
        <f t="shared" si="19"/>
        <v>MAX119__44571_0.390439814814815</v>
      </c>
      <c r="BG158" s="127" t="str">
        <f t="shared" si="20"/>
        <v/>
      </c>
      <c r="BH158" s="137" t="s">
        <v>673</v>
      </c>
      <c r="BI158" s="128" t="str">
        <f t="shared" si="21"/>
        <v>FM47</v>
      </c>
      <c r="BJ158" s="129" t="b">
        <f t="shared" si="22"/>
        <v>0</v>
      </c>
      <c r="BK158" s="128" t="str">
        <f t="shared" si="23"/>
        <v/>
      </c>
      <c r="BL158" s="121"/>
      <c r="BM158" s="5" t="str">
        <f t="shared" si="24"/>
        <v>MISSING</v>
      </c>
      <c r="BN158" s="120" t="b">
        <f t="shared" si="25"/>
        <v>0</v>
      </c>
      <c r="BO158" s="131" t="b">
        <f t="shared" si="26"/>
        <v>1</v>
      </c>
      <c r="BP158" s="121"/>
      <c r="BQ158" s="132" t="str">
        <f>VLOOKUP(A158,RAW_APS!A$3:O826,15,FALSE)</f>
        <v/>
      </c>
      <c r="BR158" s="120" t="b">
        <f t="shared" si="27"/>
        <v>1</v>
      </c>
      <c r="BS158" s="121"/>
      <c r="BT158" s="138" t="s">
        <v>244</v>
      </c>
      <c r="BU158" s="10" t="b">
        <f t="shared" si="28"/>
        <v>1</v>
      </c>
      <c r="BV158" s="120"/>
      <c r="BW158" s="120"/>
      <c r="BX158" s="120"/>
      <c r="BY158" s="120"/>
      <c r="BZ158" s="120"/>
      <c r="CA158" s="120"/>
      <c r="CB158" s="120"/>
      <c r="CC158" s="120"/>
    </row>
    <row r="159">
      <c r="A159" s="2" t="s">
        <v>674</v>
      </c>
      <c r="B159" s="100">
        <v>44571.0</v>
      </c>
      <c r="C159" s="101">
        <v>0.39141203703703703</v>
      </c>
      <c r="D159" s="102"/>
      <c r="E159" s="102"/>
      <c r="F159" s="102"/>
      <c r="G159" s="102"/>
      <c r="H159" s="102"/>
      <c r="I159" s="103"/>
      <c r="J159" s="103"/>
      <c r="K159" s="2" t="s">
        <v>244</v>
      </c>
      <c r="L159" s="100">
        <v>44571.0</v>
      </c>
      <c r="M159" s="101">
        <v>0.46598379629629627</v>
      </c>
      <c r="P159" s="104" t="b">
        <f>IFNA(IF(VLOOKUP($A159,'Add from APT'!$AA$2:$AC826,3,FALSE)&gt;0,TRUE,FALSE),"ER - NOT IN APT")</f>
        <v>0</v>
      </c>
      <c r="Q159" s="105" t="str">
        <f>IF(ISLOGICAL(P159),IF(P159,"ER - REPS IN APT", IFNA(VLOOKUP($A159,RAW_APT!$A$3:$M826,7,FALSE),"ER - NOT IN APT")),P159)</f>
        <v>Result</v>
      </c>
      <c r="R159" s="106" t="b">
        <f t="shared" si="2"/>
        <v>1</v>
      </c>
      <c r="S159" s="107">
        <f t="shared" si="3"/>
        <v>1</v>
      </c>
      <c r="T159" s="143"/>
      <c r="U159" s="142"/>
      <c r="V159" s="142"/>
      <c r="W159" s="142"/>
      <c r="X159" s="110" t="b">
        <f t="shared" si="4"/>
        <v>0</v>
      </c>
      <c r="Y159" s="111" t="b">
        <v>0</v>
      </c>
      <c r="Z159" s="104" t="str">
        <f t="shared" si="5"/>
        <v/>
      </c>
      <c r="AA159" s="112" t="b">
        <f t="shared" si="6"/>
        <v>0</v>
      </c>
      <c r="AB159" s="142" t="b">
        <v>0</v>
      </c>
      <c r="AC159" s="140">
        <v>643.0</v>
      </c>
      <c r="AD159" s="141" t="b">
        <v>0</v>
      </c>
      <c r="AE159" s="115">
        <f t="shared" si="7"/>
        <v>107.3833333</v>
      </c>
      <c r="AF159" s="116" t="b">
        <f t="shared" si="8"/>
        <v>0</v>
      </c>
      <c r="AG159" s="105" t="b">
        <f t="shared" si="9"/>
        <v>0</v>
      </c>
      <c r="AH159" s="140"/>
      <c r="AI159" s="140"/>
      <c r="AJ159" s="140"/>
      <c r="AK159" s="117" t="str">
        <f t="shared" si="10"/>
        <v>Negative</v>
      </c>
      <c r="AL159" s="142"/>
      <c r="AM159" s="112" t="s">
        <v>261</v>
      </c>
      <c r="AN159" s="112" t="s">
        <v>675</v>
      </c>
      <c r="AO159" s="112" t="str">
        <f>IFERROR(__xludf.DUMMYFUNCTION("IF($AG159, ""DELETED"",TRIM(JOIN("" "",D159:E159)))"),"")</f>
        <v/>
      </c>
      <c r="AP159" s="112" t="str">
        <f t="shared" ref="AP159:AQ159" si="184">IF($AG159, "DELETED", TRIM(CONCATENATE(F159,I159,U159)))</f>
        <v/>
      </c>
      <c r="AQ159" s="112" t="str">
        <f t="shared" si="184"/>
        <v/>
      </c>
      <c r="AR159" s="112" t="str">
        <f>IFERROR(__xludf.DUMMYFUNCTION("IF($AG159, ""DELETED"", TRIM(JOIN("" "",AP159,AQ159)))"),"")</f>
        <v/>
      </c>
      <c r="AS159" s="118"/>
      <c r="AT159" s="110" t="b">
        <f t="shared" si="12"/>
        <v>0</v>
      </c>
      <c r="AU159" s="110" t="str">
        <f t="shared" si="13"/>
        <v/>
      </c>
      <c r="AV159" s="110" t="str">
        <f t="shared" si="14"/>
        <v/>
      </c>
      <c r="AW159" s="110" t="str">
        <f t="shared" si="15"/>
        <v/>
      </c>
      <c r="AX159" s="119" t="str">
        <f t="shared" si="16"/>
        <v/>
      </c>
      <c r="AY159" s="120"/>
      <c r="AZ159" s="121"/>
      <c r="BA159" s="122" t="str">
        <f t="shared" si="17"/>
        <v/>
      </c>
      <c r="BB159" s="34"/>
      <c r="BC159" s="121"/>
      <c r="BD159" s="136"/>
      <c r="BE159" s="125" t="str">
        <f t="shared" si="18"/>
        <v/>
      </c>
      <c r="BF159" s="126" t="str">
        <f t="shared" si="19"/>
        <v>MA384__44571_0.391412037037037</v>
      </c>
      <c r="BG159" s="127" t="str">
        <f t="shared" si="20"/>
        <v/>
      </c>
      <c r="BH159" s="137" t="s">
        <v>676</v>
      </c>
      <c r="BI159" s="128" t="str">
        <f t="shared" si="21"/>
        <v>FM470</v>
      </c>
      <c r="BJ159" s="129" t="b">
        <f t="shared" si="22"/>
        <v>0</v>
      </c>
      <c r="BK159" s="128" t="str">
        <f t="shared" si="23"/>
        <v/>
      </c>
      <c r="BL159" s="121"/>
      <c r="BM159" s="5" t="str">
        <f t="shared" si="24"/>
        <v>MISSING</v>
      </c>
      <c r="BN159" s="120" t="b">
        <f t="shared" si="25"/>
        <v>0</v>
      </c>
      <c r="BO159" s="131" t="b">
        <f t="shared" si="26"/>
        <v>1</v>
      </c>
      <c r="BP159" s="121"/>
      <c r="BQ159" s="132" t="str">
        <f>VLOOKUP(A159,RAW_APS!A$3:O826,15,FALSE)</f>
        <v/>
      </c>
      <c r="BR159" s="120" t="b">
        <f t="shared" si="27"/>
        <v>1</v>
      </c>
      <c r="BS159" s="121"/>
      <c r="BT159" s="138" t="s">
        <v>244</v>
      </c>
      <c r="BU159" s="10" t="b">
        <f t="shared" si="28"/>
        <v>1</v>
      </c>
      <c r="BV159" s="120"/>
      <c r="BW159" s="120"/>
      <c r="BX159" s="120"/>
      <c r="BY159" s="120"/>
      <c r="BZ159" s="120"/>
      <c r="CA159" s="120"/>
      <c r="CB159" s="120"/>
      <c r="CC159" s="120"/>
    </row>
    <row r="160">
      <c r="A160" s="2" t="s">
        <v>677</v>
      </c>
      <c r="B160" s="100">
        <v>44571.0</v>
      </c>
      <c r="C160" s="101">
        <v>0.39194444444444443</v>
      </c>
      <c r="D160" s="102"/>
      <c r="E160" s="102"/>
      <c r="F160" s="103"/>
      <c r="G160" s="148"/>
      <c r="H160" s="148"/>
      <c r="I160" s="103"/>
      <c r="J160" s="103"/>
      <c r="K160" s="2" t="s">
        <v>244</v>
      </c>
      <c r="L160" s="100">
        <v>44571.0</v>
      </c>
      <c r="M160" s="101">
        <v>0.46598379629629627</v>
      </c>
      <c r="P160" s="104" t="b">
        <f>IFNA(IF(VLOOKUP($A160,'Add from APT'!$AA$2:$AC826,3,FALSE)&gt;0,TRUE,FALSE),"ER - NOT IN APT")</f>
        <v>0</v>
      </c>
      <c r="Q160" s="105" t="str">
        <f>IF(ISLOGICAL(P160),IF(P160,"ER - REPS IN APT", IFNA(VLOOKUP($A160,RAW_APT!$A$3:$M826,7,FALSE),"ER - NOT IN APT")),P160)</f>
        <v>Result</v>
      </c>
      <c r="R160" s="106" t="b">
        <f t="shared" si="2"/>
        <v>1</v>
      </c>
      <c r="S160" s="107">
        <f t="shared" si="3"/>
        <v>1</v>
      </c>
      <c r="T160" s="140">
        <v>0.0</v>
      </c>
      <c r="V160" s="142"/>
      <c r="W160" s="141"/>
      <c r="X160" s="110" t="b">
        <f t="shared" si="4"/>
        <v>0</v>
      </c>
      <c r="Y160" s="111" t="b">
        <v>0</v>
      </c>
      <c r="Z160" s="104" t="str">
        <f t="shared" si="5"/>
        <v/>
      </c>
      <c r="AA160" s="112" t="b">
        <f t="shared" si="6"/>
        <v>0</v>
      </c>
      <c r="AB160" s="142" t="b">
        <v>0</v>
      </c>
      <c r="AC160" s="140">
        <v>642.0</v>
      </c>
      <c r="AD160" s="141" t="b">
        <v>0</v>
      </c>
      <c r="AE160" s="115">
        <f t="shared" si="7"/>
        <v>106.6166667</v>
      </c>
      <c r="AF160" s="116" t="b">
        <f t="shared" si="8"/>
        <v>0</v>
      </c>
      <c r="AG160" s="105" t="b">
        <f t="shared" si="9"/>
        <v>0</v>
      </c>
      <c r="AH160" s="140"/>
      <c r="AI160" s="140"/>
      <c r="AJ160" s="140"/>
      <c r="AK160" s="117" t="str">
        <f t="shared" si="10"/>
        <v>Negative</v>
      </c>
      <c r="AL160" s="142"/>
      <c r="AM160" s="112" t="s">
        <v>261</v>
      </c>
      <c r="AN160" s="112" t="s">
        <v>678</v>
      </c>
      <c r="AO160" s="112" t="str">
        <f>IFERROR(__xludf.DUMMYFUNCTION("IF($AG160, ""DELETED"",TRIM(JOIN("" "",D160:E160)))"),"")</f>
        <v/>
      </c>
      <c r="AP160" s="112" t="str">
        <f t="shared" ref="AP160:AQ160" si="185">IF($AG160, "DELETED", TRIM(CONCATENATE(F160,I160,U160)))</f>
        <v/>
      </c>
      <c r="AQ160" s="112" t="str">
        <f t="shared" si="185"/>
        <v/>
      </c>
      <c r="AR160" s="112" t="str">
        <f>IFERROR(__xludf.DUMMYFUNCTION("IF($AG160, ""DELETED"", TRIM(JOIN("" "",AP160,AQ160)))"),"")</f>
        <v/>
      </c>
      <c r="AS160" s="118"/>
      <c r="AT160" s="110" t="b">
        <f t="shared" si="12"/>
        <v>0</v>
      </c>
      <c r="AU160" s="110" t="str">
        <f t="shared" si="13"/>
        <v/>
      </c>
      <c r="AV160" s="110" t="str">
        <f t="shared" si="14"/>
        <v/>
      </c>
      <c r="AW160" s="110" t="str">
        <f t="shared" si="15"/>
        <v/>
      </c>
      <c r="AX160" s="119" t="str">
        <f t="shared" si="16"/>
        <v/>
      </c>
      <c r="AY160" s="120"/>
      <c r="AZ160" s="121"/>
      <c r="BA160" s="122" t="str">
        <f t="shared" si="17"/>
        <v/>
      </c>
      <c r="BB160" s="34"/>
      <c r="BC160" s="121"/>
      <c r="BD160" s="136"/>
      <c r="BE160" s="125" t="str">
        <f t="shared" si="18"/>
        <v/>
      </c>
      <c r="BF160" s="126" t="str">
        <f t="shared" si="19"/>
        <v>MA344__44571_0.391944444444444</v>
      </c>
      <c r="BG160" s="127" t="str">
        <f t="shared" si="20"/>
        <v/>
      </c>
      <c r="BH160" s="137" t="s">
        <v>679</v>
      </c>
      <c r="BI160" s="128" t="str">
        <f t="shared" si="21"/>
        <v>FM471</v>
      </c>
      <c r="BJ160" s="129" t="b">
        <f t="shared" si="22"/>
        <v>0</v>
      </c>
      <c r="BK160" s="128" t="str">
        <f t="shared" si="23"/>
        <v/>
      </c>
      <c r="BL160" s="121"/>
      <c r="BM160" s="5" t="str">
        <f t="shared" si="24"/>
        <v>MISSING</v>
      </c>
      <c r="BN160" s="120" t="b">
        <f t="shared" si="25"/>
        <v>0</v>
      </c>
      <c r="BO160" s="131" t="b">
        <f t="shared" si="26"/>
        <v>1</v>
      </c>
      <c r="BP160" s="121"/>
      <c r="BQ160" s="132" t="str">
        <f>VLOOKUP(A160,RAW_APS!A$3:O826,15,FALSE)</f>
        <v/>
      </c>
      <c r="BR160" s="120" t="b">
        <f t="shared" si="27"/>
        <v>1</v>
      </c>
      <c r="BS160" s="121"/>
      <c r="BT160" s="138" t="s">
        <v>244</v>
      </c>
      <c r="BU160" s="10" t="b">
        <f t="shared" si="28"/>
        <v>1</v>
      </c>
      <c r="BV160" s="120"/>
      <c r="BW160" s="120"/>
      <c r="BX160" s="120"/>
      <c r="BY160" s="120"/>
      <c r="BZ160" s="120"/>
      <c r="CA160" s="120"/>
      <c r="CB160" s="120"/>
      <c r="CC160" s="120"/>
    </row>
    <row r="161">
      <c r="A161" s="2" t="s">
        <v>680</v>
      </c>
      <c r="B161" s="100">
        <v>44571.0</v>
      </c>
      <c r="C161" s="101">
        <v>0.3924884259259259</v>
      </c>
      <c r="D161" s="102"/>
      <c r="E161" s="102"/>
      <c r="F161" s="103"/>
      <c r="G161" s="148"/>
      <c r="H161" s="148"/>
      <c r="I161" s="103"/>
      <c r="J161" s="103"/>
      <c r="K161" s="2" t="s">
        <v>244</v>
      </c>
      <c r="L161" s="100">
        <v>44571.0</v>
      </c>
      <c r="M161" s="101">
        <v>0.46598379629629627</v>
      </c>
      <c r="P161" s="104" t="b">
        <f>IFNA(IF(VLOOKUP($A161,'Add from APT'!$AA$2:$AC826,3,FALSE)&gt;0,TRUE,FALSE),"ER - NOT IN APT")</f>
        <v>0</v>
      </c>
      <c r="Q161" s="105" t="str">
        <f>IF(ISLOGICAL(P161),IF(P161,"ER - REPS IN APT", IFNA(VLOOKUP($A161,RAW_APT!$A$3:$M826,7,FALSE),"ER - NOT IN APT")),P161)</f>
        <v>Result</v>
      </c>
      <c r="R161" s="106" t="b">
        <f t="shared" si="2"/>
        <v>1</v>
      </c>
      <c r="S161" s="107">
        <f t="shared" si="3"/>
        <v>1</v>
      </c>
      <c r="T161" s="140">
        <v>0.0</v>
      </c>
      <c r="V161" s="142"/>
      <c r="W161" s="141"/>
      <c r="X161" s="110" t="b">
        <f t="shared" si="4"/>
        <v>0</v>
      </c>
      <c r="Y161" s="111" t="b">
        <v>0</v>
      </c>
      <c r="Z161" s="104" t="str">
        <f t="shared" si="5"/>
        <v/>
      </c>
      <c r="AA161" s="112" t="b">
        <f t="shared" si="6"/>
        <v>0</v>
      </c>
      <c r="AB161" s="142" t="b">
        <v>0</v>
      </c>
      <c r="AC161" s="140">
        <v>641.0</v>
      </c>
      <c r="AD161" s="141" t="b">
        <v>0</v>
      </c>
      <c r="AE161" s="115">
        <f t="shared" si="7"/>
        <v>105.8333333</v>
      </c>
      <c r="AF161" s="116" t="b">
        <f t="shared" si="8"/>
        <v>0</v>
      </c>
      <c r="AG161" s="105" t="b">
        <f t="shared" si="9"/>
        <v>0</v>
      </c>
      <c r="AH161" s="140"/>
      <c r="AI161" s="140"/>
      <c r="AJ161" s="140"/>
      <c r="AK161" s="117" t="str">
        <f t="shared" si="10"/>
        <v>Negative</v>
      </c>
      <c r="AL161" s="142"/>
      <c r="AM161" s="112" t="s">
        <v>261</v>
      </c>
      <c r="AN161" s="112" t="s">
        <v>681</v>
      </c>
      <c r="AO161" s="112" t="str">
        <f>IFERROR(__xludf.DUMMYFUNCTION("IF($AG161, ""DELETED"",TRIM(JOIN("" "",D161:E161)))"),"")</f>
        <v/>
      </c>
      <c r="AP161" s="112" t="str">
        <f t="shared" ref="AP161:AQ161" si="186">IF($AG161, "DELETED", TRIM(CONCATENATE(F161,I161,U161)))</f>
        <v/>
      </c>
      <c r="AQ161" s="112" t="str">
        <f t="shared" si="186"/>
        <v/>
      </c>
      <c r="AR161" s="112" t="str">
        <f>IFERROR(__xludf.DUMMYFUNCTION("IF($AG161, ""DELETED"", TRIM(JOIN("" "",AP161,AQ161)))"),"")</f>
        <v/>
      </c>
      <c r="AS161" s="118"/>
      <c r="AT161" s="110" t="b">
        <f t="shared" si="12"/>
        <v>0</v>
      </c>
      <c r="AU161" s="110" t="str">
        <f t="shared" si="13"/>
        <v/>
      </c>
      <c r="AV161" s="110" t="str">
        <f t="shared" si="14"/>
        <v/>
      </c>
      <c r="AW161" s="110" t="str">
        <f t="shared" si="15"/>
        <v/>
      </c>
      <c r="AX161" s="119" t="str">
        <f t="shared" si="16"/>
        <v/>
      </c>
      <c r="AY161" s="120"/>
      <c r="AZ161" s="121"/>
      <c r="BA161" s="122" t="str">
        <f t="shared" si="17"/>
        <v/>
      </c>
      <c r="BB161" s="34"/>
      <c r="BC161" s="121"/>
      <c r="BD161" s="136"/>
      <c r="BE161" s="125" t="str">
        <f t="shared" si="18"/>
        <v/>
      </c>
      <c r="BF161" s="126" t="str">
        <f t="shared" si="19"/>
        <v>MA332__44571_0.392488425925926</v>
      </c>
      <c r="BG161" s="127" t="str">
        <f t="shared" si="20"/>
        <v/>
      </c>
      <c r="BH161" s="137" t="s">
        <v>682</v>
      </c>
      <c r="BI161" s="128" t="str">
        <f t="shared" si="21"/>
        <v>FM472</v>
      </c>
      <c r="BJ161" s="129" t="b">
        <f t="shared" si="22"/>
        <v>0</v>
      </c>
      <c r="BK161" s="128" t="str">
        <f t="shared" si="23"/>
        <v/>
      </c>
      <c r="BL161" s="121"/>
      <c r="BM161" s="5" t="str">
        <f t="shared" si="24"/>
        <v>MISSING</v>
      </c>
      <c r="BN161" s="120" t="b">
        <f t="shared" si="25"/>
        <v>0</v>
      </c>
      <c r="BO161" s="131" t="b">
        <f t="shared" si="26"/>
        <v>1</v>
      </c>
      <c r="BP161" s="121"/>
      <c r="BQ161" s="132" t="str">
        <f>VLOOKUP(A161,RAW_APS!A$3:O826,15,FALSE)</f>
        <v/>
      </c>
      <c r="BR161" s="120" t="b">
        <f t="shared" si="27"/>
        <v>1</v>
      </c>
      <c r="BS161" s="121"/>
      <c r="BT161" s="138" t="s">
        <v>244</v>
      </c>
      <c r="BU161" s="10" t="b">
        <f t="shared" si="28"/>
        <v>1</v>
      </c>
      <c r="BV161" s="120"/>
      <c r="BW161" s="120"/>
      <c r="BX161" s="120"/>
      <c r="BY161" s="120"/>
      <c r="BZ161" s="120"/>
      <c r="CA161" s="120"/>
      <c r="CB161" s="120"/>
      <c r="CC161" s="120"/>
    </row>
    <row r="162">
      <c r="A162" s="2" t="s">
        <v>683</v>
      </c>
      <c r="B162" s="100">
        <v>44571.0</v>
      </c>
      <c r="C162" s="101">
        <v>0.3928935185185185</v>
      </c>
      <c r="D162" s="102"/>
      <c r="E162" s="102"/>
      <c r="F162" s="103"/>
      <c r="G162" s="148"/>
      <c r="H162" s="148"/>
      <c r="I162" s="103"/>
      <c r="J162" s="103"/>
      <c r="K162" s="2" t="s">
        <v>52</v>
      </c>
      <c r="L162" s="100">
        <v>44579.0</v>
      </c>
      <c r="M162" s="101">
        <v>0.5015740740740741</v>
      </c>
      <c r="P162" s="104" t="b">
        <f>IFNA(IF(VLOOKUP($A162,'Add from APT'!$AA$2:$AC826,3,FALSE)&gt;0,TRUE,FALSE),"ER - NOT IN APT")</f>
        <v>0</v>
      </c>
      <c r="Q162" s="105" t="str">
        <f>IF(ISLOGICAL(P162),IF(P162,"ER - REPS IN APT", IFNA(VLOOKUP($A162,RAW_APT!$A$3:$M826,7,FALSE),"ER - NOT IN APT")),P162)</f>
        <v>Result</v>
      </c>
      <c r="R162" s="106" t="b">
        <f t="shared" si="2"/>
        <v>1</v>
      </c>
      <c r="S162" s="107">
        <f t="shared" si="3"/>
        <v>1</v>
      </c>
      <c r="T162" s="140">
        <v>0.0</v>
      </c>
      <c r="V162" s="142"/>
      <c r="W162" s="141"/>
      <c r="X162" s="110" t="b">
        <f t="shared" si="4"/>
        <v>0</v>
      </c>
      <c r="Y162" s="111" t="b">
        <v>0</v>
      </c>
      <c r="Z162" s="104" t="str">
        <f t="shared" si="5"/>
        <v/>
      </c>
      <c r="AA162" s="112" t="b">
        <f t="shared" si="6"/>
        <v>0</v>
      </c>
      <c r="AB162" s="142" t="b">
        <v>0</v>
      </c>
      <c r="AC162" s="140">
        <v>640.0</v>
      </c>
      <c r="AD162" s="141" t="b">
        <v>0</v>
      </c>
      <c r="AE162" s="115" t="str">
        <f t="shared" si="7"/>
        <v/>
      </c>
      <c r="AF162" s="116" t="b">
        <f t="shared" si="8"/>
        <v>0</v>
      </c>
      <c r="AG162" s="105" t="b">
        <f t="shared" si="9"/>
        <v>0</v>
      </c>
      <c r="AH162" s="140"/>
      <c r="AI162" s="140"/>
      <c r="AJ162" s="140"/>
      <c r="AK162" s="117" t="str">
        <f t="shared" si="10"/>
        <v>Positive</v>
      </c>
      <c r="AL162" s="142"/>
      <c r="AM162" s="112" t="s">
        <v>261</v>
      </c>
      <c r="AN162" s="112" t="s">
        <v>684</v>
      </c>
      <c r="AO162" s="112" t="str">
        <f>IFERROR(__xludf.DUMMYFUNCTION("IF($AG162, ""DELETED"",TRIM(JOIN("" "",D162:E162)))"),"")</f>
        <v/>
      </c>
      <c r="AP162" s="112" t="str">
        <f t="shared" ref="AP162:AQ162" si="187">IF($AG162, "DELETED", TRIM(CONCATENATE(F162,I162,U162)))</f>
        <v/>
      </c>
      <c r="AQ162" s="112" t="str">
        <f t="shared" si="187"/>
        <v/>
      </c>
      <c r="AR162" s="112" t="str">
        <f>IFERROR(__xludf.DUMMYFUNCTION("IF($AG162, ""DELETED"", TRIM(JOIN("" "",AP162,AQ162)))"),"")</f>
        <v/>
      </c>
      <c r="AS162" s="118"/>
      <c r="AT162" s="110" t="b">
        <f t="shared" si="12"/>
        <v>0</v>
      </c>
      <c r="AU162" s="110" t="str">
        <f t="shared" si="13"/>
        <v/>
      </c>
      <c r="AV162" s="110" t="str">
        <f t="shared" si="14"/>
        <v/>
      </c>
      <c r="AW162" s="110" t="str">
        <f t="shared" si="15"/>
        <v/>
      </c>
      <c r="AX162" s="119" t="str">
        <f t="shared" si="16"/>
        <v/>
      </c>
      <c r="AY162" s="120"/>
      <c r="AZ162" s="121"/>
      <c r="BA162" s="122" t="str">
        <f t="shared" si="17"/>
        <v/>
      </c>
      <c r="BB162" s="34"/>
      <c r="BC162" s="121"/>
      <c r="BD162" s="136"/>
      <c r="BE162" s="125" t="str">
        <f t="shared" si="18"/>
        <v/>
      </c>
      <c r="BF162" s="126" t="str">
        <f t="shared" si="19"/>
        <v>MA341__44571_0.392893518518519</v>
      </c>
      <c r="BG162" s="127" t="str">
        <f t="shared" si="20"/>
        <v/>
      </c>
      <c r="BH162" s="137" t="s">
        <v>685</v>
      </c>
      <c r="BI162" s="128" t="str">
        <f t="shared" si="21"/>
        <v>FM475</v>
      </c>
      <c r="BJ162" s="129" t="b">
        <f t="shared" si="22"/>
        <v>0</v>
      </c>
      <c r="BK162" s="128" t="str">
        <f t="shared" si="23"/>
        <v/>
      </c>
      <c r="BL162" s="121"/>
      <c r="BM162" s="5" t="str">
        <f t="shared" si="24"/>
        <v>MISSING</v>
      </c>
      <c r="BN162" s="120" t="b">
        <f t="shared" si="25"/>
        <v>0</v>
      </c>
      <c r="BO162" s="131" t="b">
        <f t="shared" si="26"/>
        <v>1</v>
      </c>
      <c r="BP162" s="121"/>
      <c r="BQ162" s="132" t="str">
        <f>VLOOKUP(A162,RAW_APS!A$3:O826,15,FALSE)</f>
        <v/>
      </c>
      <c r="BR162" s="120" t="b">
        <f t="shared" si="27"/>
        <v>1</v>
      </c>
      <c r="BS162" s="121"/>
      <c r="BT162" s="138" t="s">
        <v>52</v>
      </c>
      <c r="BU162" s="10" t="b">
        <f t="shared" si="28"/>
        <v>1</v>
      </c>
      <c r="BV162" s="120"/>
      <c r="BW162" s="120"/>
      <c r="BX162" s="120"/>
      <c r="BY162" s="120"/>
      <c r="BZ162" s="120"/>
      <c r="CA162" s="120"/>
      <c r="CB162" s="120"/>
      <c r="CC162" s="120"/>
    </row>
    <row r="163">
      <c r="A163" s="2" t="s">
        <v>686</v>
      </c>
      <c r="B163" s="100">
        <v>44571.0</v>
      </c>
      <c r="C163" s="101">
        <v>0.42594907407407406</v>
      </c>
      <c r="D163" s="102"/>
      <c r="E163" s="102"/>
      <c r="F163" s="102"/>
      <c r="G163" s="102"/>
      <c r="H163" s="102"/>
      <c r="I163" s="103"/>
      <c r="J163" s="103"/>
      <c r="K163" s="2" t="s">
        <v>244</v>
      </c>
      <c r="L163" s="100">
        <v>44571.0</v>
      </c>
      <c r="M163" s="101">
        <v>0.46598379629629627</v>
      </c>
      <c r="P163" s="104" t="b">
        <f>IFNA(IF(VLOOKUP($A163,'Add from APT'!$AA$2:$AC826,3,FALSE)&gt;0,TRUE,FALSE),"ER - NOT IN APT")</f>
        <v>0</v>
      </c>
      <c r="Q163" s="105" t="str">
        <f>IF(ISLOGICAL(P163),IF(P163,"ER - REPS IN APT", IFNA(VLOOKUP($A163,RAW_APT!$A$3:$M826,7,FALSE),"ER - NOT IN APT")),P163)</f>
        <v>Result</v>
      </c>
      <c r="R163" s="106" t="b">
        <f t="shared" si="2"/>
        <v>1</v>
      </c>
      <c r="S163" s="107">
        <f t="shared" si="3"/>
        <v>1</v>
      </c>
      <c r="T163" s="143"/>
      <c r="U163" s="142"/>
      <c r="V163" s="142"/>
      <c r="W163" s="142"/>
      <c r="X163" s="110" t="b">
        <f t="shared" si="4"/>
        <v>0</v>
      </c>
      <c r="Y163" s="111" t="b">
        <v>0</v>
      </c>
      <c r="Z163" s="104" t="str">
        <f t="shared" si="5"/>
        <v/>
      </c>
      <c r="AA163" s="112" t="b">
        <f t="shared" si="6"/>
        <v>0</v>
      </c>
      <c r="AB163" s="142" t="b">
        <v>0</v>
      </c>
      <c r="AC163" s="140">
        <v>639.0</v>
      </c>
      <c r="AD163" s="141" t="b">
        <v>0</v>
      </c>
      <c r="AE163" s="115">
        <f t="shared" si="7"/>
        <v>57.65</v>
      </c>
      <c r="AF163" s="116" t="b">
        <f t="shared" si="8"/>
        <v>0</v>
      </c>
      <c r="AG163" s="105" t="b">
        <f t="shared" si="9"/>
        <v>0</v>
      </c>
      <c r="AH163" s="140"/>
      <c r="AI163" s="140"/>
      <c r="AJ163" s="140"/>
      <c r="AK163" s="117" t="str">
        <f t="shared" si="10"/>
        <v>Negative</v>
      </c>
      <c r="AL163" s="142"/>
      <c r="AM163" s="112" t="s">
        <v>261</v>
      </c>
      <c r="AN163" s="112" t="s">
        <v>687</v>
      </c>
      <c r="AO163" s="112" t="str">
        <f>IFERROR(__xludf.DUMMYFUNCTION("IF($AG163, ""DELETED"",TRIM(JOIN("" "",D163:E163)))"),"")</f>
        <v/>
      </c>
      <c r="AP163" s="112" t="str">
        <f t="shared" ref="AP163:AQ163" si="188">IF($AG163, "DELETED", TRIM(CONCATENATE(F163,I163,U163)))</f>
        <v/>
      </c>
      <c r="AQ163" s="112" t="str">
        <f t="shared" si="188"/>
        <v/>
      </c>
      <c r="AR163" s="112" t="str">
        <f>IFERROR(__xludf.DUMMYFUNCTION("IF($AG163, ""DELETED"", TRIM(JOIN("" "",AP163,AQ163)))"),"")</f>
        <v/>
      </c>
      <c r="AS163" s="118"/>
      <c r="AT163" s="110" t="b">
        <f t="shared" si="12"/>
        <v>0</v>
      </c>
      <c r="AU163" s="110" t="str">
        <f t="shared" si="13"/>
        <v/>
      </c>
      <c r="AV163" s="110" t="str">
        <f t="shared" si="14"/>
        <v/>
      </c>
      <c r="AW163" s="110" t="str">
        <f t="shared" si="15"/>
        <v/>
      </c>
      <c r="AX163" s="119" t="str">
        <f t="shared" si="16"/>
        <v/>
      </c>
      <c r="AY163" s="120"/>
      <c r="AZ163" s="121"/>
      <c r="BA163" s="122" t="str">
        <f t="shared" si="17"/>
        <v/>
      </c>
      <c r="BB163" s="34"/>
      <c r="BC163" s="121"/>
      <c r="BD163" s="136"/>
      <c r="BE163" s="125" t="str">
        <f t="shared" si="18"/>
        <v/>
      </c>
      <c r="BF163" s="126" t="str">
        <f t="shared" si="19"/>
        <v>MA474__44571_0.425949074074074</v>
      </c>
      <c r="BG163" s="127" t="str">
        <f t="shared" si="20"/>
        <v/>
      </c>
      <c r="BH163" s="137" t="s">
        <v>688</v>
      </c>
      <c r="BI163" s="128" t="str">
        <f t="shared" si="21"/>
        <v>FM476</v>
      </c>
      <c r="BJ163" s="129" t="b">
        <f t="shared" si="22"/>
        <v>0</v>
      </c>
      <c r="BK163" s="128" t="str">
        <f t="shared" si="23"/>
        <v/>
      </c>
      <c r="BL163" s="121"/>
      <c r="BM163" s="5" t="str">
        <f t="shared" si="24"/>
        <v>MISSING</v>
      </c>
      <c r="BN163" s="120" t="b">
        <f t="shared" si="25"/>
        <v>0</v>
      </c>
      <c r="BO163" s="131" t="b">
        <f t="shared" si="26"/>
        <v>1</v>
      </c>
      <c r="BP163" s="121"/>
      <c r="BQ163" s="132" t="str">
        <f>VLOOKUP(A163,RAW_APS!A$3:O826,15,FALSE)</f>
        <v/>
      </c>
      <c r="BR163" s="120" t="b">
        <f t="shared" si="27"/>
        <v>1</v>
      </c>
      <c r="BS163" s="121"/>
      <c r="BT163" s="138" t="s">
        <v>244</v>
      </c>
      <c r="BU163" s="10" t="b">
        <f t="shared" si="28"/>
        <v>1</v>
      </c>
      <c r="BV163" s="120"/>
      <c r="BW163" s="120"/>
      <c r="BX163" s="120"/>
      <c r="BY163" s="120"/>
      <c r="BZ163" s="120"/>
      <c r="CA163" s="120"/>
      <c r="CB163" s="120"/>
      <c r="CC163" s="120"/>
    </row>
    <row r="164">
      <c r="A164" s="2" t="s">
        <v>689</v>
      </c>
      <c r="B164" s="100">
        <v>44571.0</v>
      </c>
      <c r="C164" s="101">
        <v>0.42716435185185186</v>
      </c>
      <c r="D164" s="102"/>
      <c r="E164" s="102"/>
      <c r="F164" s="102"/>
      <c r="G164" s="102"/>
      <c r="H164" s="102"/>
      <c r="I164" s="103"/>
      <c r="J164" s="103"/>
      <c r="K164" s="2" t="s">
        <v>52</v>
      </c>
      <c r="L164" s="100">
        <v>44579.0</v>
      </c>
      <c r="M164" s="101">
        <v>0.5015740740740741</v>
      </c>
      <c r="P164" s="104" t="b">
        <f>IFNA(IF(VLOOKUP($A164,'Add from APT'!$AA$2:$AC826,3,FALSE)&gt;0,TRUE,FALSE),"ER - NOT IN APT")</f>
        <v>0</v>
      </c>
      <c r="Q164" s="105" t="str">
        <f>IF(ISLOGICAL(P164),IF(P164,"ER - REPS IN APT", IFNA(VLOOKUP($A164,RAW_APT!$A$3:$M826,7,FALSE),"ER - NOT IN APT")),P164)</f>
        <v>Result</v>
      </c>
      <c r="R164" s="106" t="b">
        <f t="shared" si="2"/>
        <v>1</v>
      </c>
      <c r="S164" s="107">
        <f t="shared" si="3"/>
        <v>1</v>
      </c>
      <c r="T164" s="143"/>
      <c r="U164" s="142"/>
      <c r="V164" s="142"/>
      <c r="W164" s="142"/>
      <c r="X164" s="110" t="b">
        <f t="shared" si="4"/>
        <v>0</v>
      </c>
      <c r="Y164" s="111" t="b">
        <v>0</v>
      </c>
      <c r="Z164" s="104" t="str">
        <f t="shared" si="5"/>
        <v/>
      </c>
      <c r="AA164" s="112" t="b">
        <f t="shared" si="6"/>
        <v>0</v>
      </c>
      <c r="AB164" s="142" t="b">
        <v>0</v>
      </c>
      <c r="AC164" s="140">
        <v>638.0</v>
      </c>
      <c r="AD164" s="141" t="b">
        <v>0</v>
      </c>
      <c r="AE164" s="115" t="str">
        <f t="shared" si="7"/>
        <v/>
      </c>
      <c r="AF164" s="116" t="b">
        <f t="shared" si="8"/>
        <v>0</v>
      </c>
      <c r="AG164" s="105" t="b">
        <f t="shared" si="9"/>
        <v>0</v>
      </c>
      <c r="AH164" s="140"/>
      <c r="AI164" s="140"/>
      <c r="AJ164" s="140"/>
      <c r="AK164" s="117" t="str">
        <f t="shared" si="10"/>
        <v>Positive</v>
      </c>
      <c r="AL164" s="142"/>
      <c r="AM164" s="112" t="s">
        <v>261</v>
      </c>
      <c r="AN164" s="112" t="s">
        <v>533</v>
      </c>
      <c r="AO164" s="112" t="str">
        <f>IFERROR(__xludf.DUMMYFUNCTION("IF($AG164, ""DELETED"",TRIM(JOIN("" "",D164:E164)))"),"")</f>
        <v/>
      </c>
      <c r="AP164" s="112" t="str">
        <f t="shared" ref="AP164:AQ164" si="189">IF($AG164, "DELETED", TRIM(CONCATENATE(F164,I164,U164)))</f>
        <v/>
      </c>
      <c r="AQ164" s="112" t="str">
        <f t="shared" si="189"/>
        <v/>
      </c>
      <c r="AR164" s="112" t="str">
        <f>IFERROR(__xludf.DUMMYFUNCTION("IF($AG164, ""DELETED"", TRIM(JOIN("" "",AP164,AQ164)))"),"")</f>
        <v/>
      </c>
      <c r="AS164" s="118"/>
      <c r="AT164" s="110" t="b">
        <f t="shared" si="12"/>
        <v>0</v>
      </c>
      <c r="AU164" s="110" t="str">
        <f t="shared" si="13"/>
        <v/>
      </c>
      <c r="AV164" s="110" t="str">
        <f t="shared" si="14"/>
        <v/>
      </c>
      <c r="AW164" s="110" t="str">
        <f t="shared" si="15"/>
        <v/>
      </c>
      <c r="AX164" s="119" t="str">
        <f t="shared" si="16"/>
        <v/>
      </c>
      <c r="AY164" s="120"/>
      <c r="AZ164" s="121"/>
      <c r="BA164" s="122" t="str">
        <f t="shared" si="17"/>
        <v/>
      </c>
      <c r="BB164" s="34"/>
      <c r="BC164" s="121"/>
      <c r="BD164" s="136"/>
      <c r="BE164" s="125" t="str">
        <f t="shared" si="18"/>
        <v/>
      </c>
      <c r="BF164" s="126" t="str">
        <f t="shared" si="19"/>
        <v>MA435__44571_0.427164351851852</v>
      </c>
      <c r="BG164" s="127" t="str">
        <f t="shared" si="20"/>
        <v/>
      </c>
      <c r="BH164" s="137" t="s">
        <v>690</v>
      </c>
      <c r="BI164" s="128" t="str">
        <f t="shared" si="21"/>
        <v>FM477</v>
      </c>
      <c r="BJ164" s="129" t="b">
        <f t="shared" si="22"/>
        <v>0</v>
      </c>
      <c r="BK164" s="128" t="str">
        <f t="shared" si="23"/>
        <v/>
      </c>
      <c r="BL164" s="121"/>
      <c r="BM164" s="5" t="str">
        <f t="shared" si="24"/>
        <v>MISSING</v>
      </c>
      <c r="BN164" s="120" t="b">
        <f t="shared" si="25"/>
        <v>0</v>
      </c>
      <c r="BO164" s="131" t="b">
        <f t="shared" si="26"/>
        <v>1</v>
      </c>
      <c r="BP164" s="121"/>
      <c r="BQ164" s="132" t="str">
        <f>VLOOKUP(A164,RAW_APS!A$3:O826,15,FALSE)</f>
        <v/>
      </c>
      <c r="BR164" s="120" t="b">
        <f t="shared" si="27"/>
        <v>1</v>
      </c>
      <c r="BS164" s="121"/>
      <c r="BT164" s="138" t="s">
        <v>52</v>
      </c>
      <c r="BU164" s="10" t="b">
        <f t="shared" si="28"/>
        <v>1</v>
      </c>
      <c r="BV164" s="120"/>
      <c r="BW164" s="120"/>
      <c r="BX164" s="120"/>
      <c r="BY164" s="120"/>
      <c r="BZ164" s="120"/>
      <c r="CA164" s="120"/>
      <c r="CB164" s="120"/>
      <c r="CC164" s="120"/>
    </row>
    <row r="165">
      <c r="A165" s="2" t="s">
        <v>691</v>
      </c>
      <c r="B165" s="100">
        <v>44571.0</v>
      </c>
      <c r="C165" s="101">
        <v>0.42811342592592594</v>
      </c>
      <c r="D165" s="102"/>
      <c r="E165" s="102"/>
      <c r="F165" s="102"/>
      <c r="G165" s="102"/>
      <c r="H165" s="102"/>
      <c r="I165" s="103"/>
      <c r="J165" s="103"/>
      <c r="K165" s="2" t="s">
        <v>244</v>
      </c>
      <c r="L165" s="100">
        <v>44571.0</v>
      </c>
      <c r="M165" s="101">
        <v>0.46598379629629627</v>
      </c>
      <c r="P165" s="104" t="b">
        <f>IFNA(IF(VLOOKUP($A165,'Add from APT'!$AA$2:$AC826,3,FALSE)&gt;0,TRUE,FALSE),"ER - NOT IN APT")</f>
        <v>0</v>
      </c>
      <c r="Q165" s="105" t="str">
        <f>IF(ISLOGICAL(P165),IF(P165,"ER - REPS IN APT", IFNA(VLOOKUP($A165,RAW_APT!$A$3:$M826,7,FALSE),"ER - NOT IN APT")),P165)</f>
        <v>Result</v>
      </c>
      <c r="R165" s="106" t="b">
        <f t="shared" si="2"/>
        <v>1</v>
      </c>
      <c r="S165" s="107">
        <f t="shared" si="3"/>
        <v>1</v>
      </c>
      <c r="T165" s="143"/>
      <c r="U165" s="142"/>
      <c r="V165" s="142"/>
      <c r="W165" s="142"/>
      <c r="X165" s="110" t="b">
        <f t="shared" si="4"/>
        <v>0</v>
      </c>
      <c r="Y165" s="111" t="b">
        <v>0</v>
      </c>
      <c r="Z165" s="104" t="str">
        <f t="shared" si="5"/>
        <v/>
      </c>
      <c r="AA165" s="112" t="b">
        <f t="shared" si="6"/>
        <v>0</v>
      </c>
      <c r="AB165" s="142" t="b">
        <v>0</v>
      </c>
      <c r="AC165" s="140">
        <v>637.0</v>
      </c>
      <c r="AD165" s="141" t="b">
        <v>0</v>
      </c>
      <c r="AE165" s="115">
        <f t="shared" si="7"/>
        <v>54.53333333</v>
      </c>
      <c r="AF165" s="116" t="b">
        <f t="shared" si="8"/>
        <v>0</v>
      </c>
      <c r="AG165" s="105" t="b">
        <f t="shared" si="9"/>
        <v>0</v>
      </c>
      <c r="AH165" s="140"/>
      <c r="AI165" s="140"/>
      <c r="AJ165" s="140"/>
      <c r="AK165" s="117" t="str">
        <f t="shared" si="10"/>
        <v>Negative</v>
      </c>
      <c r="AL165" s="142"/>
      <c r="AM165" s="112" t="s">
        <v>261</v>
      </c>
      <c r="AN165" s="112" t="s">
        <v>545</v>
      </c>
      <c r="AO165" s="112" t="str">
        <f>IFERROR(__xludf.DUMMYFUNCTION("IF($AG165, ""DELETED"",TRIM(JOIN("" "",D165:E165)))"),"")</f>
        <v/>
      </c>
      <c r="AP165" s="112" t="str">
        <f t="shared" ref="AP165:AQ165" si="190">IF($AG165, "DELETED", TRIM(CONCATENATE(F165,I165,U165)))</f>
        <v/>
      </c>
      <c r="AQ165" s="112" t="str">
        <f t="shared" si="190"/>
        <v/>
      </c>
      <c r="AR165" s="112" t="str">
        <f>IFERROR(__xludf.DUMMYFUNCTION("IF($AG165, ""DELETED"", TRIM(JOIN("" "",AP165,AQ165)))"),"")</f>
        <v/>
      </c>
      <c r="AS165" s="118"/>
      <c r="AT165" s="110" t="b">
        <f t="shared" si="12"/>
        <v>0</v>
      </c>
      <c r="AU165" s="110" t="str">
        <f t="shared" si="13"/>
        <v/>
      </c>
      <c r="AV165" s="110" t="str">
        <f t="shared" si="14"/>
        <v/>
      </c>
      <c r="AW165" s="110" t="str">
        <f t="shared" si="15"/>
        <v/>
      </c>
      <c r="AX165" s="119" t="str">
        <f t="shared" si="16"/>
        <v/>
      </c>
      <c r="AY165" s="120"/>
      <c r="AZ165" s="121"/>
      <c r="BA165" s="122" t="str">
        <f t="shared" si="17"/>
        <v/>
      </c>
      <c r="BB165" s="34"/>
      <c r="BC165" s="121"/>
      <c r="BD165" s="136"/>
      <c r="BE165" s="125" t="str">
        <f t="shared" si="18"/>
        <v/>
      </c>
      <c r="BF165" s="126" t="str">
        <f t="shared" si="19"/>
        <v>MA436__44571_0.428113425925926</v>
      </c>
      <c r="BG165" s="127" t="str">
        <f t="shared" si="20"/>
        <v/>
      </c>
      <c r="BH165" s="137" t="s">
        <v>692</v>
      </c>
      <c r="BI165" s="128" t="str">
        <f t="shared" si="21"/>
        <v>FM478</v>
      </c>
      <c r="BJ165" s="129" t="b">
        <f t="shared" si="22"/>
        <v>0</v>
      </c>
      <c r="BK165" s="128" t="str">
        <f t="shared" si="23"/>
        <v/>
      </c>
      <c r="BL165" s="121"/>
      <c r="BM165" s="5" t="str">
        <f t="shared" si="24"/>
        <v>MISSING</v>
      </c>
      <c r="BN165" s="120" t="b">
        <f t="shared" si="25"/>
        <v>0</v>
      </c>
      <c r="BO165" s="131" t="b">
        <f t="shared" si="26"/>
        <v>1</v>
      </c>
      <c r="BP165" s="121"/>
      <c r="BQ165" s="132" t="str">
        <f>VLOOKUP(A165,RAW_APS!A$3:O826,15,FALSE)</f>
        <v/>
      </c>
      <c r="BR165" s="120" t="b">
        <f t="shared" si="27"/>
        <v>1</v>
      </c>
      <c r="BS165" s="121"/>
      <c r="BT165" s="138" t="s">
        <v>244</v>
      </c>
      <c r="BU165" s="10" t="b">
        <f t="shared" si="28"/>
        <v>1</v>
      </c>
      <c r="BV165" s="120"/>
      <c r="BW165" s="120"/>
      <c r="BX165" s="120"/>
      <c r="BY165" s="120"/>
      <c r="BZ165" s="120"/>
      <c r="CA165" s="120"/>
      <c r="CB165" s="120"/>
      <c r="CC165" s="120"/>
    </row>
    <row r="166">
      <c r="A166" s="2" t="s">
        <v>693</v>
      </c>
      <c r="B166" s="100">
        <v>44571.0</v>
      </c>
      <c r="C166" s="101">
        <v>0.4286111111111111</v>
      </c>
      <c r="D166" s="102"/>
      <c r="E166" s="102"/>
      <c r="F166" s="102"/>
      <c r="G166" s="102"/>
      <c r="H166" s="102"/>
      <c r="I166" s="103"/>
      <c r="J166" s="103"/>
      <c r="K166" s="2" t="s">
        <v>244</v>
      </c>
      <c r="L166" s="100">
        <v>44571.0</v>
      </c>
      <c r="M166" s="101">
        <v>0.46598379629629627</v>
      </c>
      <c r="P166" s="104" t="b">
        <f>IFNA(IF(VLOOKUP($A166,'Add from APT'!$AA$2:$AC826,3,FALSE)&gt;0,TRUE,FALSE),"ER - NOT IN APT")</f>
        <v>0</v>
      </c>
      <c r="Q166" s="105" t="str">
        <f>IF(ISLOGICAL(P166),IF(P166,"ER - REPS IN APT", IFNA(VLOOKUP($A166,RAW_APT!$A$3:$M826,7,FALSE),"ER - NOT IN APT")),P166)</f>
        <v>Result</v>
      </c>
      <c r="R166" s="106" t="b">
        <f t="shared" si="2"/>
        <v>1</v>
      </c>
      <c r="S166" s="107">
        <f t="shared" si="3"/>
        <v>1</v>
      </c>
      <c r="T166" s="143"/>
      <c r="U166" s="142"/>
      <c r="V166" s="142"/>
      <c r="W166" s="142"/>
      <c r="X166" s="110" t="b">
        <f t="shared" si="4"/>
        <v>0</v>
      </c>
      <c r="Y166" s="111" t="b">
        <v>0</v>
      </c>
      <c r="Z166" s="104" t="str">
        <f t="shared" si="5"/>
        <v/>
      </c>
      <c r="AA166" s="112" t="b">
        <f t="shared" si="6"/>
        <v>0</v>
      </c>
      <c r="AB166" s="142" t="b">
        <v>0</v>
      </c>
      <c r="AC166" s="140">
        <v>636.0</v>
      </c>
      <c r="AD166" s="141" t="b">
        <v>0</v>
      </c>
      <c r="AE166" s="115">
        <f t="shared" si="7"/>
        <v>53.81666667</v>
      </c>
      <c r="AF166" s="116" t="b">
        <f t="shared" si="8"/>
        <v>0</v>
      </c>
      <c r="AG166" s="105" t="b">
        <f t="shared" si="9"/>
        <v>0</v>
      </c>
      <c r="AH166" s="140"/>
      <c r="AI166" s="140"/>
      <c r="AJ166" s="140"/>
      <c r="AK166" s="117" t="str">
        <f t="shared" si="10"/>
        <v>Negative</v>
      </c>
      <c r="AL166" s="142"/>
      <c r="AM166" s="112" t="s">
        <v>261</v>
      </c>
      <c r="AN166" s="112" t="s">
        <v>574</v>
      </c>
      <c r="AO166" s="112" t="str">
        <f>IFERROR(__xludf.DUMMYFUNCTION("IF($AG166, ""DELETED"",TRIM(JOIN("" "",D166:E166)))"),"")</f>
        <v/>
      </c>
      <c r="AP166" s="112" t="str">
        <f t="shared" ref="AP166:AQ166" si="191">IF($AG166, "DELETED", TRIM(CONCATENATE(F166,I166,U166)))</f>
        <v/>
      </c>
      <c r="AQ166" s="112" t="str">
        <f t="shared" si="191"/>
        <v/>
      </c>
      <c r="AR166" s="112" t="str">
        <f>IFERROR(__xludf.DUMMYFUNCTION("IF($AG166, ""DELETED"", TRIM(JOIN("" "",AP166,AQ166)))"),"")</f>
        <v/>
      </c>
      <c r="AS166" s="118"/>
      <c r="AT166" s="110" t="b">
        <f t="shared" si="12"/>
        <v>0</v>
      </c>
      <c r="AU166" s="110" t="str">
        <f t="shared" si="13"/>
        <v/>
      </c>
      <c r="AV166" s="110" t="str">
        <f t="shared" si="14"/>
        <v/>
      </c>
      <c r="AW166" s="110" t="str">
        <f t="shared" si="15"/>
        <v/>
      </c>
      <c r="AX166" s="119" t="str">
        <f t="shared" si="16"/>
        <v/>
      </c>
      <c r="AY166" s="120"/>
      <c r="AZ166" s="121"/>
      <c r="BA166" s="122" t="str">
        <f t="shared" si="17"/>
        <v/>
      </c>
      <c r="BB166" s="34"/>
      <c r="BC166" s="121"/>
      <c r="BD166" s="136"/>
      <c r="BE166" s="125" t="str">
        <f t="shared" si="18"/>
        <v/>
      </c>
      <c r="BF166" s="126" t="str">
        <f t="shared" si="19"/>
        <v>MA468__44571_0.428611111111111</v>
      </c>
      <c r="BG166" s="127" t="str">
        <f t="shared" si="20"/>
        <v/>
      </c>
      <c r="BH166" s="137" t="s">
        <v>694</v>
      </c>
      <c r="BI166" s="128" t="str">
        <f t="shared" si="21"/>
        <v>FM479</v>
      </c>
      <c r="BJ166" s="129" t="b">
        <f t="shared" si="22"/>
        <v>0</v>
      </c>
      <c r="BK166" s="128" t="str">
        <f t="shared" si="23"/>
        <v/>
      </c>
      <c r="BL166" s="121"/>
      <c r="BM166" s="5" t="str">
        <f t="shared" si="24"/>
        <v>MISSING</v>
      </c>
      <c r="BN166" s="120" t="b">
        <f t="shared" si="25"/>
        <v>0</v>
      </c>
      <c r="BO166" s="131" t="b">
        <f t="shared" si="26"/>
        <v>1</v>
      </c>
      <c r="BP166" s="121"/>
      <c r="BQ166" s="132" t="str">
        <f>VLOOKUP(A166,RAW_APS!A$3:O826,15,FALSE)</f>
        <v/>
      </c>
      <c r="BR166" s="120" t="b">
        <f t="shared" si="27"/>
        <v>1</v>
      </c>
      <c r="BS166" s="121"/>
      <c r="BT166" s="138" t="s">
        <v>244</v>
      </c>
      <c r="BU166" s="10" t="b">
        <f t="shared" si="28"/>
        <v>1</v>
      </c>
      <c r="BV166" s="120"/>
      <c r="BW166" s="120"/>
      <c r="BX166" s="120"/>
      <c r="BY166" s="120"/>
      <c r="BZ166" s="120"/>
      <c r="CA166" s="120"/>
      <c r="CB166" s="120"/>
      <c r="CC166" s="120"/>
    </row>
    <row r="167">
      <c r="A167" s="2" t="s">
        <v>695</v>
      </c>
      <c r="B167" s="100">
        <v>44571.0</v>
      </c>
      <c r="C167" s="101">
        <v>0.4290162037037037</v>
      </c>
      <c r="D167" s="102"/>
      <c r="E167" s="102"/>
      <c r="F167" s="102"/>
      <c r="G167" s="102"/>
      <c r="H167" s="102"/>
      <c r="I167" s="103"/>
      <c r="J167" s="103"/>
      <c r="K167" s="2" t="s">
        <v>244</v>
      </c>
      <c r="L167" s="100">
        <v>44571.0</v>
      </c>
      <c r="M167" s="101">
        <v>0.46598379629629627</v>
      </c>
      <c r="P167" s="104" t="b">
        <f>IFNA(IF(VLOOKUP($A167,'Add from APT'!$AA$2:$AC826,3,FALSE)&gt;0,TRUE,FALSE),"ER - NOT IN APT")</f>
        <v>0</v>
      </c>
      <c r="Q167" s="105" t="str">
        <f>IF(ISLOGICAL(P167),IF(P167,"ER - REPS IN APT", IFNA(VLOOKUP($A167,RAW_APT!$A$3:$M826,7,FALSE),"ER - NOT IN APT")),P167)</f>
        <v>Result</v>
      </c>
      <c r="R167" s="106" t="b">
        <f t="shared" si="2"/>
        <v>1</v>
      </c>
      <c r="S167" s="107">
        <f t="shared" si="3"/>
        <v>1</v>
      </c>
      <c r="T167" s="143"/>
      <c r="U167" s="142"/>
      <c r="V167" s="142"/>
      <c r="W167" s="142"/>
      <c r="X167" s="110" t="b">
        <f t="shared" si="4"/>
        <v>0</v>
      </c>
      <c r="Y167" s="111" t="b">
        <v>0</v>
      </c>
      <c r="Z167" s="104" t="str">
        <f t="shared" si="5"/>
        <v/>
      </c>
      <c r="AA167" s="112" t="b">
        <f t="shared" si="6"/>
        <v>0</v>
      </c>
      <c r="AB167" s="142" t="b">
        <v>0</v>
      </c>
      <c r="AC167" s="140">
        <v>635.0</v>
      </c>
      <c r="AD167" s="141" t="b">
        <v>0</v>
      </c>
      <c r="AE167" s="115">
        <f t="shared" si="7"/>
        <v>53.23333333</v>
      </c>
      <c r="AF167" s="116" t="b">
        <f t="shared" si="8"/>
        <v>0</v>
      </c>
      <c r="AG167" s="105" t="b">
        <f t="shared" si="9"/>
        <v>0</v>
      </c>
      <c r="AH167" s="140"/>
      <c r="AI167" s="140"/>
      <c r="AJ167" s="140"/>
      <c r="AK167" s="117" t="str">
        <f t="shared" si="10"/>
        <v>Negative</v>
      </c>
      <c r="AL167" s="142"/>
      <c r="AM167" s="112" t="s">
        <v>261</v>
      </c>
      <c r="AN167" s="112" t="s">
        <v>696</v>
      </c>
      <c r="AO167" s="112" t="str">
        <f>IFERROR(__xludf.DUMMYFUNCTION("IF($AG167, ""DELETED"",TRIM(JOIN("" "",D167:E167)))"),"")</f>
        <v/>
      </c>
      <c r="AP167" s="112" t="str">
        <f t="shared" ref="AP167:AQ167" si="192">IF($AG167, "DELETED", TRIM(CONCATENATE(F167,I167,U167)))</f>
        <v/>
      </c>
      <c r="AQ167" s="112" t="str">
        <f t="shared" si="192"/>
        <v/>
      </c>
      <c r="AR167" s="112" t="str">
        <f>IFERROR(__xludf.DUMMYFUNCTION("IF($AG167, ""DELETED"", TRIM(JOIN("" "",AP167,AQ167)))"),"")</f>
        <v/>
      </c>
      <c r="AS167" s="118"/>
      <c r="AT167" s="110" t="b">
        <f t="shared" si="12"/>
        <v>0</v>
      </c>
      <c r="AU167" s="110" t="str">
        <f t="shared" si="13"/>
        <v/>
      </c>
      <c r="AV167" s="110" t="str">
        <f t="shared" si="14"/>
        <v/>
      </c>
      <c r="AW167" s="110" t="str">
        <f t="shared" si="15"/>
        <v/>
      </c>
      <c r="AX167" s="119" t="str">
        <f t="shared" si="16"/>
        <v/>
      </c>
      <c r="AY167" s="120"/>
      <c r="AZ167" s="121"/>
      <c r="BA167" s="122" t="str">
        <f t="shared" si="17"/>
        <v/>
      </c>
      <c r="BB167" s="34"/>
      <c r="BC167" s="121"/>
      <c r="BD167" s="136"/>
      <c r="BE167" s="125" t="str">
        <f t="shared" si="18"/>
        <v/>
      </c>
      <c r="BF167" s="126" t="str">
        <f t="shared" si="19"/>
        <v>MA622__44571_0.429016203703704</v>
      </c>
      <c r="BG167" s="127" t="str">
        <f t="shared" si="20"/>
        <v/>
      </c>
      <c r="BH167" s="137" t="s">
        <v>697</v>
      </c>
      <c r="BI167" s="128" t="str">
        <f t="shared" si="21"/>
        <v>FM480</v>
      </c>
      <c r="BJ167" s="129" t="b">
        <f t="shared" si="22"/>
        <v>0</v>
      </c>
      <c r="BK167" s="128" t="str">
        <f t="shared" si="23"/>
        <v/>
      </c>
      <c r="BL167" s="121"/>
      <c r="BM167" s="5" t="str">
        <f t="shared" si="24"/>
        <v>MISSING</v>
      </c>
      <c r="BN167" s="120" t="b">
        <f t="shared" si="25"/>
        <v>0</v>
      </c>
      <c r="BO167" s="131" t="b">
        <f t="shared" si="26"/>
        <v>1</v>
      </c>
      <c r="BP167" s="121"/>
      <c r="BQ167" s="132" t="str">
        <f>VLOOKUP(A167,RAW_APS!A$3:O826,15,FALSE)</f>
        <v/>
      </c>
      <c r="BR167" s="120" t="b">
        <f t="shared" si="27"/>
        <v>1</v>
      </c>
      <c r="BS167" s="121"/>
      <c r="BT167" s="138" t="s">
        <v>244</v>
      </c>
      <c r="BU167" s="10" t="b">
        <f t="shared" si="28"/>
        <v>1</v>
      </c>
      <c r="BV167" s="120"/>
      <c r="BW167" s="120"/>
      <c r="BX167" s="120"/>
      <c r="BY167" s="120"/>
      <c r="BZ167" s="120"/>
      <c r="CA167" s="120"/>
      <c r="CB167" s="120"/>
      <c r="CC167" s="120"/>
    </row>
    <row r="168">
      <c r="A168" s="2" t="s">
        <v>698</v>
      </c>
      <c r="B168" s="100">
        <v>44571.0</v>
      </c>
      <c r="C168" s="101">
        <v>0.42944444444444446</v>
      </c>
      <c r="D168" s="102"/>
      <c r="E168" s="102"/>
      <c r="F168" s="102"/>
      <c r="G168" s="102"/>
      <c r="H168" s="102"/>
      <c r="I168" s="103"/>
      <c r="J168" s="103"/>
      <c r="K168" s="2" t="s">
        <v>244</v>
      </c>
      <c r="L168" s="100">
        <v>44571.0</v>
      </c>
      <c r="M168" s="101">
        <v>0.46598379629629627</v>
      </c>
      <c r="P168" s="104" t="b">
        <f>IFNA(IF(VLOOKUP($A168,'Add from APT'!$AA$2:$AC826,3,FALSE)&gt;0,TRUE,FALSE),"ER - NOT IN APT")</f>
        <v>0</v>
      </c>
      <c r="Q168" s="105" t="str">
        <f>IF(ISLOGICAL(P168),IF(P168,"ER - REPS IN APT", IFNA(VLOOKUP($A168,RAW_APT!$A$3:$M826,7,FALSE),"ER - NOT IN APT")),P168)</f>
        <v>Result</v>
      </c>
      <c r="R168" s="106" t="b">
        <f t="shared" si="2"/>
        <v>1</v>
      </c>
      <c r="S168" s="107">
        <f t="shared" si="3"/>
        <v>1</v>
      </c>
      <c r="T168" s="143"/>
      <c r="U168" s="142"/>
      <c r="V168" s="142"/>
      <c r="W168" s="142"/>
      <c r="X168" s="110" t="b">
        <f t="shared" si="4"/>
        <v>0</v>
      </c>
      <c r="Y168" s="111" t="b">
        <v>0</v>
      </c>
      <c r="Z168" s="104" t="str">
        <f t="shared" si="5"/>
        <v/>
      </c>
      <c r="AA168" s="112" t="b">
        <f t="shared" si="6"/>
        <v>0</v>
      </c>
      <c r="AB168" s="142" t="b">
        <v>0</v>
      </c>
      <c r="AC168" s="140">
        <v>634.0</v>
      </c>
      <c r="AD168" s="141" t="b">
        <v>0</v>
      </c>
      <c r="AE168" s="115">
        <f t="shared" si="7"/>
        <v>52.61666667</v>
      </c>
      <c r="AF168" s="116" t="b">
        <f t="shared" si="8"/>
        <v>0</v>
      </c>
      <c r="AG168" s="105" t="b">
        <f t="shared" si="9"/>
        <v>0</v>
      </c>
      <c r="AH168" s="140"/>
      <c r="AI168" s="140"/>
      <c r="AJ168" s="140"/>
      <c r="AK168" s="117" t="str">
        <f t="shared" si="10"/>
        <v>Negative</v>
      </c>
      <c r="AL168" s="142"/>
      <c r="AM168" s="112" t="s">
        <v>261</v>
      </c>
      <c r="AN168" s="112" t="s">
        <v>696</v>
      </c>
      <c r="AO168" s="112" t="str">
        <f>IFERROR(__xludf.DUMMYFUNCTION("IF($AG168, ""DELETED"",TRIM(JOIN("" "",D168:E168)))"),"")</f>
        <v/>
      </c>
      <c r="AP168" s="112" t="str">
        <f t="shared" ref="AP168:AQ168" si="193">IF($AG168, "DELETED", TRIM(CONCATENATE(F168,I168,U168)))</f>
        <v/>
      </c>
      <c r="AQ168" s="112" t="str">
        <f t="shared" si="193"/>
        <v/>
      </c>
      <c r="AR168" s="112" t="str">
        <f>IFERROR(__xludf.DUMMYFUNCTION("IF($AG168, ""DELETED"", TRIM(JOIN("" "",AP168,AQ168)))"),"")</f>
        <v/>
      </c>
      <c r="AS168" s="118"/>
      <c r="AT168" s="110" t="b">
        <f t="shared" si="12"/>
        <v>0</v>
      </c>
      <c r="AU168" s="110" t="str">
        <f t="shared" si="13"/>
        <v/>
      </c>
      <c r="AV168" s="110" t="str">
        <f t="shared" si="14"/>
        <v/>
      </c>
      <c r="AW168" s="110" t="str">
        <f t="shared" si="15"/>
        <v/>
      </c>
      <c r="AX168" s="119" t="str">
        <f t="shared" si="16"/>
        <v/>
      </c>
      <c r="AY168" s="120"/>
      <c r="AZ168" s="121"/>
      <c r="BA168" s="122" t="str">
        <f t="shared" si="17"/>
        <v/>
      </c>
      <c r="BB168" s="34"/>
      <c r="BC168" s="121"/>
      <c r="BD168" s="136"/>
      <c r="BE168" s="125" t="str">
        <f t="shared" si="18"/>
        <v/>
      </c>
      <c r="BF168" s="126" t="str">
        <f t="shared" si="19"/>
        <v>MA653__44571_0.429444444444444</v>
      </c>
      <c r="BG168" s="127" t="str">
        <f t="shared" si="20"/>
        <v/>
      </c>
      <c r="BH168" s="137" t="s">
        <v>699</v>
      </c>
      <c r="BI168" s="128" t="str">
        <f t="shared" si="21"/>
        <v>FM481</v>
      </c>
      <c r="BJ168" s="129" t="b">
        <f t="shared" si="22"/>
        <v>0</v>
      </c>
      <c r="BK168" s="128" t="str">
        <f t="shared" si="23"/>
        <v/>
      </c>
      <c r="BL168" s="121"/>
      <c r="BM168" s="5" t="str">
        <f t="shared" si="24"/>
        <v>MISSING</v>
      </c>
      <c r="BN168" s="120" t="b">
        <f t="shared" si="25"/>
        <v>0</v>
      </c>
      <c r="BO168" s="131" t="b">
        <f t="shared" si="26"/>
        <v>1</v>
      </c>
      <c r="BP168" s="121"/>
      <c r="BQ168" s="132" t="str">
        <f>VLOOKUP(A168,RAW_APS!A$3:O826,15,FALSE)</f>
        <v/>
      </c>
      <c r="BR168" s="120" t="b">
        <f t="shared" si="27"/>
        <v>1</v>
      </c>
      <c r="BS168" s="121"/>
      <c r="BT168" s="138" t="s">
        <v>244</v>
      </c>
      <c r="BU168" s="10" t="b">
        <f t="shared" si="28"/>
        <v>1</v>
      </c>
      <c r="BV168" s="120"/>
      <c r="BW168" s="120"/>
      <c r="BX168" s="120"/>
      <c r="BY168" s="120"/>
      <c r="BZ168" s="120"/>
      <c r="CA168" s="120"/>
      <c r="CB168" s="120"/>
      <c r="CC168" s="120"/>
    </row>
    <row r="169">
      <c r="A169" s="2" t="s">
        <v>700</v>
      </c>
      <c r="B169" s="100">
        <v>44572.0</v>
      </c>
      <c r="C169" s="101">
        <v>0.536875</v>
      </c>
      <c r="D169" s="102"/>
      <c r="E169" s="102"/>
      <c r="F169" s="157"/>
      <c r="G169" s="139"/>
      <c r="H169" s="139"/>
      <c r="I169" s="103"/>
      <c r="J169" s="103"/>
      <c r="K169" s="2" t="s">
        <v>254</v>
      </c>
      <c r="L169" s="11"/>
      <c r="M169" s="11"/>
      <c r="N169" s="11"/>
      <c r="O169" s="11"/>
      <c r="P169" s="104" t="b">
        <f>IFNA(IF(VLOOKUP($A169,'Add from APT'!$AA$2:$AC826,3,FALSE)&gt;0,TRUE,FALSE),"ER - NOT IN APT")</f>
        <v>0</v>
      </c>
      <c r="Q169" s="105" t="str">
        <f>IF(ISLOGICAL(P169),IF(P169,"ER - REPS IN APT", IFNA(VLOOKUP($A169,RAW_APT!$A$3:$M826,7,FALSE),"ER - NOT IN APT")),P169)</f>
        <v>Collected</v>
      </c>
      <c r="R169" s="106" t="b">
        <f t="shared" si="2"/>
        <v>1</v>
      </c>
      <c r="S169" s="107">
        <f t="shared" si="3"/>
        <v>1</v>
      </c>
      <c r="T169" s="140">
        <v>0.0</v>
      </c>
      <c r="U169" s="158"/>
      <c r="V169" s="141"/>
      <c r="W169" s="141"/>
      <c r="X169" s="110" t="b">
        <f t="shared" si="4"/>
        <v>0</v>
      </c>
      <c r="Y169" s="111" t="b">
        <v>0</v>
      </c>
      <c r="Z169" s="104" t="str">
        <f t="shared" si="5"/>
        <v/>
      </c>
      <c r="AA169" s="112" t="b">
        <f t="shared" si="6"/>
        <v>0</v>
      </c>
      <c r="AB169" s="142" t="b">
        <v>0</v>
      </c>
      <c r="AC169" s="140">
        <v>633.0</v>
      </c>
      <c r="AD169" s="141" t="b">
        <v>0</v>
      </c>
      <c r="AE169" s="115" t="str">
        <f t="shared" si="7"/>
        <v/>
      </c>
      <c r="AF169" s="116" t="b">
        <f t="shared" si="8"/>
        <v>0</v>
      </c>
      <c r="AG169" s="105" t="b">
        <f t="shared" si="9"/>
        <v>1</v>
      </c>
      <c r="AH169" s="140" t="s">
        <v>701</v>
      </c>
      <c r="AI169" s="140"/>
      <c r="AJ169" s="140"/>
      <c r="AK169" s="117" t="str">
        <f t="shared" si="10"/>
        <v>DELETED</v>
      </c>
      <c r="AL169" s="142"/>
      <c r="AM169" s="112" t="s">
        <v>245</v>
      </c>
      <c r="AN169" s="112" t="s">
        <v>245</v>
      </c>
      <c r="AO169" s="112" t="str">
        <f>IFERROR(__xludf.DUMMYFUNCTION("IF($AG169, ""DELETED"",TRIM(JOIN("" "",D169:E169)))"),"DELETED")</f>
        <v>DELETED</v>
      </c>
      <c r="AP169" s="112" t="str">
        <f t="shared" ref="AP169:AQ169" si="194">IF($AG169, "DELETED", TRIM(CONCATENATE(F169,I169,U169)))</f>
        <v>DELETED</v>
      </c>
      <c r="AQ169" s="112" t="str">
        <f t="shared" si="194"/>
        <v>DELETED</v>
      </c>
      <c r="AR169" s="112" t="str">
        <f>IFERROR(__xludf.DUMMYFUNCTION("IF($AG169, ""DELETED"", TRIM(JOIN("" "",AP169,AQ169)))"),"DELETED")</f>
        <v>DELETED</v>
      </c>
      <c r="AS169" s="118"/>
      <c r="AT169" s="110" t="b">
        <f t="shared" si="12"/>
        <v>1</v>
      </c>
      <c r="AU169" s="110" t="str">
        <f t="shared" si="13"/>
        <v/>
      </c>
      <c r="AV169" s="110" t="str">
        <f t="shared" si="14"/>
        <v/>
      </c>
      <c r="AW169" s="110" t="str">
        <f t="shared" si="15"/>
        <v/>
      </c>
      <c r="AX169" s="119" t="str">
        <f t="shared" si="16"/>
        <v/>
      </c>
      <c r="AY169" s="120"/>
      <c r="AZ169" s="121"/>
      <c r="BA169" s="122" t="b">
        <f t="shared" si="17"/>
        <v>1</v>
      </c>
      <c r="BB169" s="34"/>
      <c r="BC169" s="121"/>
      <c r="BD169" s="136"/>
      <c r="BE169" s="125" t="str">
        <f t="shared" si="18"/>
        <v/>
      </c>
      <c r="BF169" s="126" t="str">
        <f t="shared" si="19"/>
        <v>MA1234__44572_0.536875</v>
      </c>
      <c r="BG169" s="127" t="str">
        <f t="shared" si="20"/>
        <v/>
      </c>
      <c r="BH169" s="137" t="s">
        <v>702</v>
      </c>
      <c r="BI169" s="128" t="str">
        <f t="shared" si="21"/>
        <v>FM485</v>
      </c>
      <c r="BJ169" s="129" t="b">
        <f t="shared" si="22"/>
        <v>0</v>
      </c>
      <c r="BK169" s="128" t="str">
        <f t="shared" si="23"/>
        <v/>
      </c>
      <c r="BL169" s="121"/>
      <c r="BM169" s="5" t="str">
        <f t="shared" si="24"/>
        <v/>
      </c>
      <c r="BN169" s="120" t="b">
        <f t="shared" si="25"/>
        <v>0</v>
      </c>
      <c r="BO169" s="131" t="b">
        <f t="shared" si="26"/>
        <v>0</v>
      </c>
      <c r="BP169" s="121"/>
      <c r="BQ169" s="132" t="str">
        <f>VLOOKUP(A169,RAW_APS!A$3:O826,15,FALSE)</f>
        <v/>
      </c>
      <c r="BR169" s="120" t="b">
        <f t="shared" si="27"/>
        <v>1</v>
      </c>
      <c r="BS169" s="121"/>
      <c r="BT169" s="138" t="s">
        <v>245</v>
      </c>
      <c r="BU169" s="10" t="b">
        <f t="shared" si="28"/>
        <v>1</v>
      </c>
      <c r="BV169" s="120"/>
      <c r="BW169" s="120"/>
      <c r="BX169" s="120"/>
      <c r="BY169" s="120"/>
      <c r="BZ169" s="120"/>
      <c r="CA169" s="120"/>
      <c r="CB169" s="120"/>
      <c r="CC169" s="120"/>
    </row>
    <row r="170">
      <c r="A170" s="2" t="s">
        <v>703</v>
      </c>
      <c r="B170" s="100">
        <v>44572.0</v>
      </c>
      <c r="C170" s="101">
        <v>0.5463310185185185</v>
      </c>
      <c r="D170" s="102"/>
      <c r="E170" s="102"/>
      <c r="F170" s="102"/>
      <c r="G170" s="102"/>
      <c r="H170" s="102"/>
      <c r="I170" s="103"/>
      <c r="J170" s="103"/>
      <c r="K170" s="2" t="s">
        <v>254</v>
      </c>
      <c r="L170" s="11"/>
      <c r="M170" s="11"/>
      <c r="N170" s="11"/>
      <c r="O170" s="11"/>
      <c r="P170" s="104" t="b">
        <f>IFNA(IF(VLOOKUP($A170,'Add from APT'!$AA$2:$AC826,3,FALSE)&gt;0,TRUE,FALSE),"ER - NOT IN APT")</f>
        <v>0</v>
      </c>
      <c r="Q170" s="105" t="str">
        <f>IF(ISLOGICAL(P170),IF(P170,"ER - REPS IN APT", IFNA(VLOOKUP($A170,RAW_APT!$A$3:$M826,7,FALSE),"ER - NOT IN APT")),P170)</f>
        <v>Collected</v>
      </c>
      <c r="R170" s="106" t="b">
        <f t="shared" si="2"/>
        <v>1</v>
      </c>
      <c r="S170" s="107">
        <f t="shared" si="3"/>
        <v>1</v>
      </c>
      <c r="T170" s="108"/>
      <c r="U170" s="109"/>
      <c r="V170" s="109"/>
      <c r="W170" s="109"/>
      <c r="X170" s="110" t="b">
        <f t="shared" si="4"/>
        <v>0</v>
      </c>
      <c r="Y170" s="111" t="b">
        <v>0</v>
      </c>
      <c r="Z170" s="104" t="str">
        <f t="shared" si="5"/>
        <v/>
      </c>
      <c r="AA170" s="112" t="b">
        <f t="shared" si="6"/>
        <v>0</v>
      </c>
      <c r="AB170" s="109" t="b">
        <v>0</v>
      </c>
      <c r="AC170" s="113">
        <v>632.0</v>
      </c>
      <c r="AD170" s="114" t="b">
        <v>0</v>
      </c>
      <c r="AE170" s="115" t="str">
        <f t="shared" si="7"/>
        <v/>
      </c>
      <c r="AF170" s="116" t="b">
        <f t="shared" si="8"/>
        <v>0</v>
      </c>
      <c r="AG170" s="105" t="b">
        <f t="shared" si="9"/>
        <v>1</v>
      </c>
      <c r="AH170" s="113">
        <v>2.0</v>
      </c>
      <c r="AI170" s="113"/>
      <c r="AJ170" s="113"/>
      <c r="AK170" s="117" t="str">
        <f t="shared" si="10"/>
        <v>DELETED</v>
      </c>
      <c r="AL170" s="109"/>
      <c r="AM170" s="112" t="s">
        <v>245</v>
      </c>
      <c r="AN170" s="112" t="s">
        <v>245</v>
      </c>
      <c r="AO170" s="112" t="str">
        <f>IFERROR(__xludf.DUMMYFUNCTION("IF($AG170, ""DELETED"",TRIM(JOIN("" "",D170:E170)))"),"DELETED")</f>
        <v>DELETED</v>
      </c>
      <c r="AP170" s="112" t="str">
        <f t="shared" ref="AP170:AQ170" si="195">IF($AG170, "DELETED", TRIM(CONCATENATE(F170,I170,U170)))</f>
        <v>DELETED</v>
      </c>
      <c r="AQ170" s="112" t="str">
        <f t="shared" si="195"/>
        <v>DELETED</v>
      </c>
      <c r="AR170" s="112" t="str">
        <f>IFERROR(__xludf.DUMMYFUNCTION("IF($AG170, ""DELETED"", TRIM(JOIN("" "",AP170,AQ170)))"),"DELETED")</f>
        <v>DELETED</v>
      </c>
      <c r="AS170" s="118"/>
      <c r="AT170" s="110" t="b">
        <f t="shared" si="12"/>
        <v>1</v>
      </c>
      <c r="AU170" s="110" t="str">
        <f t="shared" si="13"/>
        <v/>
      </c>
      <c r="AV170" s="110" t="str">
        <f t="shared" si="14"/>
        <v/>
      </c>
      <c r="AW170" s="110" t="str">
        <f t="shared" si="15"/>
        <v/>
      </c>
      <c r="AX170" s="119" t="str">
        <f t="shared" si="16"/>
        <v/>
      </c>
      <c r="AY170" s="120"/>
      <c r="AZ170" s="121"/>
      <c r="BA170" s="122" t="b">
        <f t="shared" si="17"/>
        <v>1</v>
      </c>
      <c r="BB170" s="34"/>
      <c r="BC170" s="121"/>
      <c r="BD170" s="136"/>
      <c r="BE170" s="125" t="str">
        <f t="shared" si="18"/>
        <v/>
      </c>
      <c r="BF170" s="126" t="str">
        <f t="shared" si="19"/>
        <v>Hero700__44572_0.546331018518519</v>
      </c>
      <c r="BG170" s="127" t="str">
        <f t="shared" si="20"/>
        <v/>
      </c>
      <c r="BH170" s="137" t="s">
        <v>704</v>
      </c>
      <c r="BI170" s="128" t="str">
        <f t="shared" si="21"/>
        <v>FM486</v>
      </c>
      <c r="BJ170" s="129" t="b">
        <f t="shared" si="22"/>
        <v>0</v>
      </c>
      <c r="BK170" s="128" t="str">
        <f t="shared" si="23"/>
        <v/>
      </c>
      <c r="BL170" s="121"/>
      <c r="BM170" s="5" t="str">
        <f t="shared" si="24"/>
        <v/>
      </c>
      <c r="BN170" s="120" t="b">
        <f t="shared" si="25"/>
        <v>0</v>
      </c>
      <c r="BO170" s="131" t="b">
        <f t="shared" si="26"/>
        <v>0</v>
      </c>
      <c r="BP170" s="121"/>
      <c r="BQ170" s="132" t="str">
        <f>VLOOKUP(A170,RAW_APS!A$3:O826,15,FALSE)</f>
        <v/>
      </c>
      <c r="BR170" s="120" t="b">
        <f t="shared" si="27"/>
        <v>1</v>
      </c>
      <c r="BS170" s="121"/>
      <c r="BT170" s="138" t="s">
        <v>245</v>
      </c>
      <c r="BU170" s="10" t="b">
        <f t="shared" si="28"/>
        <v>1</v>
      </c>
      <c r="BV170" s="120"/>
      <c r="BW170" s="120"/>
      <c r="BX170" s="120"/>
      <c r="BY170" s="120"/>
      <c r="BZ170" s="120"/>
      <c r="CA170" s="120"/>
      <c r="CB170" s="120"/>
      <c r="CC170" s="120"/>
    </row>
    <row r="171">
      <c r="A171" s="2" t="s">
        <v>705</v>
      </c>
      <c r="B171" s="100">
        <v>44573.0</v>
      </c>
      <c r="C171" s="101">
        <v>0.28099537037037037</v>
      </c>
      <c r="D171" s="102"/>
      <c r="E171" s="102"/>
      <c r="F171" s="102"/>
      <c r="G171" s="102"/>
      <c r="H171" s="102"/>
      <c r="I171" s="103"/>
      <c r="J171" s="103"/>
      <c r="K171" s="2" t="s">
        <v>244</v>
      </c>
      <c r="L171" s="100">
        <v>44575.0</v>
      </c>
      <c r="M171" s="101">
        <v>0.48202546296296295</v>
      </c>
      <c r="P171" s="104" t="b">
        <f>IFNA(IF(VLOOKUP($A171,'Add from APT'!$AA$2:$AC826,3,FALSE)&gt;0,TRUE,FALSE),"ER - NOT IN APT")</f>
        <v>0</v>
      </c>
      <c r="Q171" s="105" t="str">
        <f>IF(ISLOGICAL(P171),IF(P171,"ER - REPS IN APT", IFNA(VLOOKUP($A171,RAW_APT!$A$3:$M826,7,FALSE),"ER - NOT IN APT")),P171)</f>
        <v>Result</v>
      </c>
      <c r="R171" s="106" t="b">
        <f t="shared" si="2"/>
        <v>1</v>
      </c>
      <c r="S171" s="107">
        <f t="shared" si="3"/>
        <v>1</v>
      </c>
      <c r="T171" s="143"/>
      <c r="U171" s="142"/>
      <c r="V171" s="142"/>
      <c r="W171" s="142"/>
      <c r="X171" s="110" t="b">
        <f t="shared" si="4"/>
        <v>0</v>
      </c>
      <c r="Y171" s="111" t="b">
        <v>0</v>
      </c>
      <c r="Z171" s="104" t="str">
        <f t="shared" si="5"/>
        <v/>
      </c>
      <c r="AA171" s="112" t="b">
        <f t="shared" si="6"/>
        <v>0</v>
      </c>
      <c r="AB171" s="142" t="b">
        <v>0</v>
      </c>
      <c r="AC171" s="140">
        <v>631.0</v>
      </c>
      <c r="AD171" s="141" t="b">
        <v>0</v>
      </c>
      <c r="AE171" s="115" t="str">
        <f t="shared" si="7"/>
        <v/>
      </c>
      <c r="AF171" s="116" t="b">
        <f t="shared" si="8"/>
        <v>0</v>
      </c>
      <c r="AG171" s="105" t="b">
        <f t="shared" si="9"/>
        <v>0</v>
      </c>
      <c r="AH171" s="140"/>
      <c r="AI171" s="140"/>
      <c r="AJ171" s="140"/>
      <c r="AK171" s="117" t="str">
        <f t="shared" si="10"/>
        <v>Negative</v>
      </c>
      <c r="AL171" s="142"/>
      <c r="AM171" s="112" t="s">
        <v>471</v>
      </c>
      <c r="AN171" s="112" t="s">
        <v>472</v>
      </c>
      <c r="AO171" s="112" t="str">
        <f>IFERROR(__xludf.DUMMYFUNCTION("IF($AG171, ""DELETED"",TRIM(JOIN("" "",D171:E171)))"),"")</f>
        <v/>
      </c>
      <c r="AP171" s="112" t="str">
        <f t="shared" ref="AP171:AQ171" si="196">IF($AG171, "DELETED", TRIM(CONCATENATE(F171,I171,U171)))</f>
        <v/>
      </c>
      <c r="AQ171" s="112" t="str">
        <f t="shared" si="196"/>
        <v/>
      </c>
      <c r="AR171" s="112" t="str">
        <f>IFERROR(__xludf.DUMMYFUNCTION("IF($AG171, ""DELETED"", TRIM(JOIN("" "",AP171,AQ171)))"),"")</f>
        <v/>
      </c>
      <c r="AS171" s="118"/>
      <c r="AT171" s="110" t="b">
        <f t="shared" si="12"/>
        <v>0</v>
      </c>
      <c r="AU171" s="110" t="str">
        <f t="shared" si="13"/>
        <v/>
      </c>
      <c r="AV171" s="110" t="str">
        <f t="shared" si="14"/>
        <v/>
      </c>
      <c r="AW171" s="110" t="str">
        <f t="shared" si="15"/>
        <v/>
      </c>
      <c r="AX171" s="119" t="str">
        <f t="shared" si="16"/>
        <v/>
      </c>
      <c r="AY171" s="120"/>
      <c r="AZ171" s="121"/>
      <c r="BA171" s="122" t="str">
        <f t="shared" si="17"/>
        <v/>
      </c>
      <c r="BB171" s="34"/>
      <c r="BC171" s="121"/>
      <c r="BD171" s="136"/>
      <c r="BE171" s="125" t="str">
        <f t="shared" si="18"/>
        <v/>
      </c>
      <c r="BF171" s="126" t="str">
        <f t="shared" si="19"/>
        <v>MA683__44573_0.28099537037037</v>
      </c>
      <c r="BG171" s="127" t="str">
        <f t="shared" si="20"/>
        <v/>
      </c>
      <c r="BH171" s="137" t="s">
        <v>706</v>
      </c>
      <c r="BI171" s="128" t="str">
        <f t="shared" si="21"/>
        <v>FM489</v>
      </c>
      <c r="BJ171" s="129" t="b">
        <f t="shared" si="22"/>
        <v>0</v>
      </c>
      <c r="BK171" s="128" t="str">
        <f t="shared" si="23"/>
        <v/>
      </c>
      <c r="BL171" s="121"/>
      <c r="BM171" s="5" t="str">
        <f t="shared" si="24"/>
        <v>MISSING</v>
      </c>
      <c r="BN171" s="120" t="b">
        <f t="shared" si="25"/>
        <v>0</v>
      </c>
      <c r="BO171" s="131" t="b">
        <f t="shared" si="26"/>
        <v>1</v>
      </c>
      <c r="BP171" s="121"/>
      <c r="BQ171" s="132" t="str">
        <f>VLOOKUP(A171,RAW_APS!A$3:O826,15,FALSE)</f>
        <v/>
      </c>
      <c r="BR171" s="120" t="b">
        <f t="shared" si="27"/>
        <v>1</v>
      </c>
      <c r="BS171" s="121"/>
      <c r="BT171" s="138" t="s">
        <v>244</v>
      </c>
      <c r="BU171" s="10" t="b">
        <f t="shared" si="28"/>
        <v>1</v>
      </c>
      <c r="BV171" s="120"/>
      <c r="BW171" s="120"/>
      <c r="BX171" s="120"/>
      <c r="BY171" s="120"/>
      <c r="BZ171" s="120"/>
      <c r="CA171" s="120"/>
      <c r="CB171" s="120"/>
      <c r="CC171" s="120"/>
    </row>
    <row r="172">
      <c r="A172" s="2" t="s">
        <v>707</v>
      </c>
      <c r="B172" s="100">
        <v>44573.0</v>
      </c>
      <c r="C172" s="101">
        <v>0.28774305555555557</v>
      </c>
      <c r="D172" s="102"/>
      <c r="E172" s="102"/>
      <c r="F172" s="157"/>
      <c r="G172" s="139"/>
      <c r="H172" s="139"/>
      <c r="I172" s="103"/>
      <c r="J172" s="103"/>
      <c r="K172" s="2" t="s">
        <v>244</v>
      </c>
      <c r="L172" s="100">
        <v>44575.0</v>
      </c>
      <c r="M172" s="101">
        <v>0.48202546296296295</v>
      </c>
      <c r="P172" s="104" t="b">
        <f>IFNA(IF(VLOOKUP($A172,'Add from APT'!$AA$2:$AC826,3,FALSE)&gt;0,TRUE,FALSE),"ER - NOT IN APT")</f>
        <v>0</v>
      </c>
      <c r="Q172" s="105" t="str">
        <f>IF(ISLOGICAL(P172),IF(P172,"ER - REPS IN APT", IFNA(VLOOKUP($A172,RAW_APT!$A$3:$M826,7,FALSE),"ER - NOT IN APT")),P172)</f>
        <v>Result</v>
      </c>
      <c r="R172" s="106" t="b">
        <f t="shared" si="2"/>
        <v>1</v>
      </c>
      <c r="S172" s="107">
        <f t="shared" si="3"/>
        <v>1</v>
      </c>
      <c r="T172" s="140">
        <v>0.0</v>
      </c>
      <c r="U172" s="158"/>
      <c r="V172" s="141"/>
      <c r="W172" s="141"/>
      <c r="X172" s="110" t="b">
        <f t="shared" si="4"/>
        <v>0</v>
      </c>
      <c r="Y172" s="111" t="b">
        <v>0</v>
      </c>
      <c r="Z172" s="104" t="str">
        <f t="shared" si="5"/>
        <v/>
      </c>
      <c r="AA172" s="112" t="b">
        <f t="shared" si="6"/>
        <v>0</v>
      </c>
      <c r="AB172" s="142" t="b">
        <v>0</v>
      </c>
      <c r="AC172" s="140">
        <v>630.0</v>
      </c>
      <c r="AD172" s="141" t="b">
        <v>0</v>
      </c>
      <c r="AE172" s="115" t="str">
        <f t="shared" si="7"/>
        <v/>
      </c>
      <c r="AF172" s="116" t="b">
        <f t="shared" si="8"/>
        <v>0</v>
      </c>
      <c r="AG172" s="105" t="b">
        <f t="shared" si="9"/>
        <v>0</v>
      </c>
      <c r="AH172" s="140"/>
      <c r="AI172" s="140"/>
      <c r="AJ172" s="140"/>
      <c r="AK172" s="117" t="str">
        <f t="shared" si="10"/>
        <v>Negative</v>
      </c>
      <c r="AL172" s="142"/>
      <c r="AM172" s="112" t="s">
        <v>261</v>
      </c>
      <c r="AN172" s="112" t="s">
        <v>708</v>
      </c>
      <c r="AO172" s="112" t="str">
        <f>IFERROR(__xludf.DUMMYFUNCTION("IF($AG172, ""DELETED"",TRIM(JOIN("" "",D172:E172)))"),"")</f>
        <v/>
      </c>
      <c r="AP172" s="112" t="str">
        <f t="shared" ref="AP172:AQ172" si="197">IF($AG172, "DELETED", TRIM(CONCATENATE(F172,I172,U172)))</f>
        <v/>
      </c>
      <c r="AQ172" s="112" t="str">
        <f t="shared" si="197"/>
        <v/>
      </c>
      <c r="AR172" s="112" t="str">
        <f>IFERROR(__xludf.DUMMYFUNCTION("IF($AG172, ""DELETED"", TRIM(JOIN("" "",AP172,AQ172)))"),"")</f>
        <v/>
      </c>
      <c r="AS172" s="118"/>
      <c r="AT172" s="110" t="b">
        <f t="shared" si="12"/>
        <v>0</v>
      </c>
      <c r="AU172" s="110" t="str">
        <f t="shared" si="13"/>
        <v/>
      </c>
      <c r="AV172" s="110" t="str">
        <f t="shared" si="14"/>
        <v/>
      </c>
      <c r="AW172" s="110" t="str">
        <f t="shared" si="15"/>
        <v/>
      </c>
      <c r="AX172" s="119" t="str">
        <f t="shared" si="16"/>
        <v/>
      </c>
      <c r="AY172" s="120"/>
      <c r="AZ172" s="121"/>
      <c r="BA172" s="122" t="str">
        <f t="shared" si="17"/>
        <v/>
      </c>
      <c r="BB172" s="34"/>
      <c r="BC172" s="121"/>
      <c r="BD172" s="136"/>
      <c r="BE172" s="125" t="str">
        <f t="shared" si="18"/>
        <v/>
      </c>
      <c r="BF172" s="126" t="str">
        <f t="shared" si="19"/>
        <v>MAX128__44573_0.287743055555556</v>
      </c>
      <c r="BG172" s="127" t="str">
        <f t="shared" si="20"/>
        <v/>
      </c>
      <c r="BH172" s="137" t="s">
        <v>709</v>
      </c>
      <c r="BI172" s="128" t="str">
        <f t="shared" si="21"/>
        <v>FM493</v>
      </c>
      <c r="BJ172" s="129" t="b">
        <f t="shared" si="22"/>
        <v>0</v>
      </c>
      <c r="BK172" s="128" t="str">
        <f t="shared" si="23"/>
        <v/>
      </c>
      <c r="BL172" s="121"/>
      <c r="BM172" s="5" t="str">
        <f t="shared" si="24"/>
        <v>MISSING</v>
      </c>
      <c r="BN172" s="120" t="b">
        <f t="shared" si="25"/>
        <v>0</v>
      </c>
      <c r="BO172" s="131" t="b">
        <f t="shared" si="26"/>
        <v>1</v>
      </c>
      <c r="BP172" s="121"/>
      <c r="BQ172" s="132" t="str">
        <f>VLOOKUP(A172,RAW_APS!A$3:O826,15,FALSE)</f>
        <v/>
      </c>
      <c r="BR172" s="120" t="b">
        <f t="shared" si="27"/>
        <v>1</v>
      </c>
      <c r="BS172" s="121"/>
      <c r="BT172" s="138" t="s">
        <v>244</v>
      </c>
      <c r="BU172" s="10" t="b">
        <f t="shared" si="28"/>
        <v>1</v>
      </c>
      <c r="BV172" s="120"/>
      <c r="BW172" s="120"/>
      <c r="BX172" s="120"/>
      <c r="BY172" s="120"/>
      <c r="BZ172" s="120"/>
      <c r="CA172" s="120"/>
      <c r="CB172" s="120"/>
      <c r="CC172" s="120"/>
    </row>
    <row r="173">
      <c r="A173" s="2" t="s">
        <v>710</v>
      </c>
      <c r="B173" s="100">
        <v>44573.0</v>
      </c>
      <c r="C173" s="101">
        <v>0.2912037037037037</v>
      </c>
      <c r="D173" s="102"/>
      <c r="E173" s="102"/>
      <c r="F173" s="102"/>
      <c r="G173" s="102"/>
      <c r="H173" s="102"/>
      <c r="I173" s="103"/>
      <c r="J173" s="103"/>
      <c r="K173" s="2" t="s">
        <v>244</v>
      </c>
      <c r="L173" s="100">
        <v>44575.0</v>
      </c>
      <c r="M173" s="101">
        <v>0.48202546296296295</v>
      </c>
      <c r="P173" s="104" t="b">
        <f>IFNA(IF(VLOOKUP($A173,'Add from APT'!$AA$2:$AC826,3,FALSE)&gt;0,TRUE,FALSE),"ER - NOT IN APT")</f>
        <v>0</v>
      </c>
      <c r="Q173" s="105" t="str">
        <f>IF(ISLOGICAL(P173),IF(P173,"ER - REPS IN APT", IFNA(VLOOKUP($A173,RAW_APT!$A$3:$M826,7,FALSE),"ER - NOT IN APT")),P173)</f>
        <v>Result</v>
      </c>
      <c r="R173" s="106" t="b">
        <f t="shared" si="2"/>
        <v>1</v>
      </c>
      <c r="S173" s="107">
        <f t="shared" si="3"/>
        <v>1</v>
      </c>
      <c r="T173" s="143"/>
      <c r="U173" s="142"/>
      <c r="V173" s="142"/>
      <c r="W173" s="142"/>
      <c r="X173" s="110" t="b">
        <f t="shared" si="4"/>
        <v>0</v>
      </c>
      <c r="Y173" s="111" t="b">
        <v>0</v>
      </c>
      <c r="Z173" s="104" t="str">
        <f t="shared" si="5"/>
        <v/>
      </c>
      <c r="AA173" s="112" t="b">
        <f t="shared" si="6"/>
        <v>0</v>
      </c>
      <c r="AB173" s="142" t="b">
        <v>0</v>
      </c>
      <c r="AC173" s="140">
        <v>629.0</v>
      </c>
      <c r="AD173" s="141" t="b">
        <v>0</v>
      </c>
      <c r="AE173" s="115" t="str">
        <f t="shared" si="7"/>
        <v/>
      </c>
      <c r="AF173" s="116" t="b">
        <f t="shared" si="8"/>
        <v>0</v>
      </c>
      <c r="AG173" s="105" t="b">
        <f t="shared" si="9"/>
        <v>0</v>
      </c>
      <c r="AH173" s="140"/>
      <c r="AI173" s="140"/>
      <c r="AJ173" s="140"/>
      <c r="AK173" s="117" t="str">
        <f t="shared" si="10"/>
        <v>Negative</v>
      </c>
      <c r="AL173" s="142"/>
      <c r="AM173" s="112" t="s">
        <v>587</v>
      </c>
      <c r="AN173" s="112" t="s">
        <v>588</v>
      </c>
      <c r="AO173" s="112" t="str">
        <f>IFERROR(__xludf.DUMMYFUNCTION("IF($AG173, ""DELETED"",TRIM(JOIN("" "",D173:E173)))"),"")</f>
        <v/>
      </c>
      <c r="AP173" s="112" t="str">
        <f t="shared" ref="AP173:AQ173" si="198">IF($AG173, "DELETED", TRIM(CONCATENATE(F173,I173,U173)))</f>
        <v/>
      </c>
      <c r="AQ173" s="112" t="str">
        <f t="shared" si="198"/>
        <v/>
      </c>
      <c r="AR173" s="112" t="str">
        <f>IFERROR(__xludf.DUMMYFUNCTION("IF($AG173, ""DELETED"", TRIM(JOIN("" "",AP173,AQ173)))"),"")</f>
        <v/>
      </c>
      <c r="AS173" s="118"/>
      <c r="AT173" s="110" t="b">
        <f t="shared" si="12"/>
        <v>0</v>
      </c>
      <c r="AU173" s="110" t="str">
        <f t="shared" si="13"/>
        <v/>
      </c>
      <c r="AV173" s="110" t="str">
        <f t="shared" si="14"/>
        <v/>
      </c>
      <c r="AW173" s="110" t="str">
        <f t="shared" si="15"/>
        <v/>
      </c>
      <c r="AX173" s="119" t="str">
        <f t="shared" si="16"/>
        <v/>
      </c>
      <c r="AY173" s="120"/>
      <c r="AZ173" s="121"/>
      <c r="BA173" s="122" t="str">
        <f t="shared" si="17"/>
        <v/>
      </c>
      <c r="BB173" s="34"/>
      <c r="BC173" s="121"/>
      <c r="BD173" s="136"/>
      <c r="BE173" s="125" t="str">
        <f t="shared" si="18"/>
        <v/>
      </c>
      <c r="BF173" s="126" t="str">
        <f t="shared" si="19"/>
        <v>MA634__44573_0.291203703703704</v>
      </c>
      <c r="BG173" s="127" t="str">
        <f t="shared" si="20"/>
        <v/>
      </c>
      <c r="BH173" s="137" t="s">
        <v>711</v>
      </c>
      <c r="BI173" s="128" t="str">
        <f t="shared" si="21"/>
        <v>FM497</v>
      </c>
      <c r="BJ173" s="129" t="b">
        <f t="shared" si="22"/>
        <v>0</v>
      </c>
      <c r="BK173" s="128" t="str">
        <f t="shared" si="23"/>
        <v/>
      </c>
      <c r="BL173" s="121"/>
      <c r="BM173" s="5" t="str">
        <f t="shared" si="24"/>
        <v>MISSING</v>
      </c>
      <c r="BN173" s="120" t="b">
        <f t="shared" si="25"/>
        <v>0</v>
      </c>
      <c r="BO173" s="131" t="b">
        <f t="shared" si="26"/>
        <v>1</v>
      </c>
      <c r="BP173" s="121"/>
      <c r="BQ173" s="132" t="str">
        <f>VLOOKUP(A173,RAW_APS!A$3:O826,15,FALSE)</f>
        <v/>
      </c>
      <c r="BR173" s="120" t="b">
        <f t="shared" si="27"/>
        <v>1</v>
      </c>
      <c r="BS173" s="121"/>
      <c r="BT173" s="138" t="s">
        <v>244</v>
      </c>
      <c r="BU173" s="10" t="b">
        <f t="shared" si="28"/>
        <v>1</v>
      </c>
      <c r="BV173" s="120"/>
      <c r="BW173" s="120"/>
      <c r="BX173" s="120"/>
      <c r="BY173" s="120"/>
      <c r="BZ173" s="120"/>
      <c r="CA173" s="120"/>
      <c r="CB173" s="120"/>
      <c r="CC173" s="120"/>
    </row>
    <row r="174">
      <c r="A174" s="2" t="s">
        <v>712</v>
      </c>
      <c r="B174" s="100">
        <v>44573.0</v>
      </c>
      <c r="C174" s="101">
        <v>0.29791666666666666</v>
      </c>
      <c r="D174" s="102"/>
      <c r="E174" s="102"/>
      <c r="F174" s="102"/>
      <c r="G174" s="102"/>
      <c r="H174" s="102"/>
      <c r="I174" s="103"/>
      <c r="J174" s="103"/>
      <c r="K174" s="2" t="s">
        <v>244</v>
      </c>
      <c r="L174" s="100">
        <v>44575.0</v>
      </c>
      <c r="M174" s="101">
        <v>0.48202546296296295</v>
      </c>
      <c r="P174" s="104" t="b">
        <f>IFNA(IF(VLOOKUP($A174,'Add from APT'!$AA$2:$AC826,3,FALSE)&gt;0,TRUE,FALSE),"ER - NOT IN APT")</f>
        <v>0</v>
      </c>
      <c r="Q174" s="105" t="str">
        <f>IF(ISLOGICAL(P174),IF(P174,"ER - REPS IN APT", IFNA(VLOOKUP($A174,RAW_APT!$A$3:$M826,7,FALSE),"ER - NOT IN APT")),P174)</f>
        <v>Result</v>
      </c>
      <c r="R174" s="106" t="b">
        <f t="shared" si="2"/>
        <v>1</v>
      </c>
      <c r="S174" s="107">
        <f t="shared" si="3"/>
        <v>1</v>
      </c>
      <c r="T174" s="143"/>
      <c r="U174" s="142"/>
      <c r="V174" s="142"/>
      <c r="W174" s="142"/>
      <c r="X174" s="110" t="b">
        <f t="shared" si="4"/>
        <v>0</v>
      </c>
      <c r="Y174" s="111" t="b">
        <v>0</v>
      </c>
      <c r="Z174" s="104" t="str">
        <f t="shared" si="5"/>
        <v/>
      </c>
      <c r="AA174" s="112" t="b">
        <f t="shared" si="6"/>
        <v>0</v>
      </c>
      <c r="AB174" s="142" t="b">
        <v>0</v>
      </c>
      <c r="AC174" s="140">
        <v>628.0</v>
      </c>
      <c r="AD174" s="141" t="b">
        <v>0</v>
      </c>
      <c r="AE174" s="115" t="str">
        <f t="shared" si="7"/>
        <v/>
      </c>
      <c r="AF174" s="116" t="b">
        <f t="shared" si="8"/>
        <v>0</v>
      </c>
      <c r="AG174" s="105" t="b">
        <f t="shared" si="9"/>
        <v>0</v>
      </c>
      <c r="AH174" s="140"/>
      <c r="AI174" s="140"/>
      <c r="AJ174" s="140"/>
      <c r="AK174" s="117" t="str">
        <f t="shared" si="10"/>
        <v>Negative</v>
      </c>
      <c r="AL174" s="142"/>
      <c r="AM174" s="112" t="s">
        <v>491</v>
      </c>
      <c r="AN174" s="112" t="s">
        <v>495</v>
      </c>
      <c r="AO174" s="112" t="str">
        <f>IFERROR(__xludf.DUMMYFUNCTION("IF($AG174, ""DELETED"",TRIM(JOIN("" "",D174:E174)))"),"")</f>
        <v/>
      </c>
      <c r="AP174" s="112" t="str">
        <f t="shared" ref="AP174:AQ174" si="199">IF($AG174, "DELETED", TRIM(CONCATENATE(F174,I174,U174)))</f>
        <v/>
      </c>
      <c r="AQ174" s="112" t="str">
        <f t="shared" si="199"/>
        <v/>
      </c>
      <c r="AR174" s="112" t="str">
        <f>IFERROR(__xludf.DUMMYFUNCTION("IF($AG174, ""DELETED"", TRIM(JOIN("" "",AP174,AQ174)))"),"")</f>
        <v/>
      </c>
      <c r="AS174" s="118"/>
      <c r="AT174" s="110" t="b">
        <f t="shared" si="12"/>
        <v>0</v>
      </c>
      <c r="AU174" s="110" t="str">
        <f t="shared" si="13"/>
        <v/>
      </c>
      <c r="AV174" s="110" t="str">
        <f t="shared" si="14"/>
        <v/>
      </c>
      <c r="AW174" s="110" t="str">
        <f t="shared" si="15"/>
        <v/>
      </c>
      <c r="AX174" s="119" t="str">
        <f t="shared" si="16"/>
        <v/>
      </c>
      <c r="AY174" s="120"/>
      <c r="AZ174" s="121"/>
      <c r="BA174" s="122" t="str">
        <f t="shared" si="17"/>
        <v/>
      </c>
      <c r="BB174" s="34"/>
      <c r="BC174" s="121"/>
      <c r="BD174" s="136"/>
      <c r="BE174" s="125" t="str">
        <f t="shared" si="18"/>
        <v/>
      </c>
      <c r="BF174" s="126" t="str">
        <f t="shared" si="19"/>
        <v>MA658__44573_0.297916666666667</v>
      </c>
      <c r="BG174" s="127" t="str">
        <f t="shared" si="20"/>
        <v/>
      </c>
      <c r="BH174" s="137" t="s">
        <v>713</v>
      </c>
      <c r="BI174" s="128" t="str">
        <f t="shared" si="21"/>
        <v>FM498</v>
      </c>
      <c r="BJ174" s="129" t="b">
        <f t="shared" si="22"/>
        <v>0</v>
      </c>
      <c r="BK174" s="128" t="str">
        <f t="shared" si="23"/>
        <v/>
      </c>
      <c r="BL174" s="121"/>
      <c r="BM174" s="5" t="str">
        <f t="shared" si="24"/>
        <v>MISSING</v>
      </c>
      <c r="BN174" s="120" t="b">
        <f t="shared" si="25"/>
        <v>0</v>
      </c>
      <c r="BO174" s="131" t="b">
        <f t="shared" si="26"/>
        <v>1</v>
      </c>
      <c r="BP174" s="121"/>
      <c r="BQ174" s="132" t="str">
        <f>VLOOKUP(A174,RAW_APS!A$3:O826,15,FALSE)</f>
        <v/>
      </c>
      <c r="BR174" s="120" t="b">
        <f t="shared" si="27"/>
        <v>1</v>
      </c>
      <c r="BS174" s="121"/>
      <c r="BT174" s="138" t="s">
        <v>244</v>
      </c>
      <c r="BU174" s="10" t="b">
        <f t="shared" si="28"/>
        <v>1</v>
      </c>
      <c r="BV174" s="120"/>
      <c r="BW174" s="120"/>
      <c r="BX174" s="120"/>
      <c r="BY174" s="120"/>
      <c r="BZ174" s="120"/>
      <c r="CA174" s="120"/>
      <c r="CB174" s="120"/>
      <c r="CC174" s="120"/>
    </row>
    <row r="175">
      <c r="A175" s="2" t="s">
        <v>714</v>
      </c>
      <c r="B175" s="100">
        <v>44573.0</v>
      </c>
      <c r="C175" s="101">
        <v>0.31827546296296294</v>
      </c>
      <c r="D175" s="102"/>
      <c r="E175" s="102"/>
      <c r="F175" s="102"/>
      <c r="G175" s="102"/>
      <c r="H175" s="102"/>
      <c r="I175" s="103"/>
      <c r="J175" s="103"/>
      <c r="K175" s="2" t="s">
        <v>244</v>
      </c>
      <c r="L175" s="100">
        <v>44575.0</v>
      </c>
      <c r="M175" s="101">
        <v>0.48202546296296295</v>
      </c>
      <c r="P175" s="104" t="b">
        <f>IFNA(IF(VLOOKUP($A175,'Add from APT'!$AA$2:$AC826,3,FALSE)&gt;0,TRUE,FALSE),"ER - NOT IN APT")</f>
        <v>0</v>
      </c>
      <c r="Q175" s="105" t="str">
        <f>IF(ISLOGICAL(P175),IF(P175,"ER - REPS IN APT", IFNA(VLOOKUP($A175,RAW_APT!$A$3:$M826,7,FALSE),"ER - NOT IN APT")),P175)</f>
        <v>Result</v>
      </c>
      <c r="R175" s="106" t="b">
        <f t="shared" si="2"/>
        <v>1</v>
      </c>
      <c r="S175" s="107">
        <f t="shared" si="3"/>
        <v>1</v>
      </c>
      <c r="T175" s="143"/>
      <c r="U175" s="142"/>
      <c r="V175" s="142"/>
      <c r="W175" s="142"/>
      <c r="X175" s="110" t="b">
        <f t="shared" si="4"/>
        <v>0</v>
      </c>
      <c r="Y175" s="111" t="b">
        <v>0</v>
      </c>
      <c r="Z175" s="104" t="str">
        <f t="shared" si="5"/>
        <v/>
      </c>
      <c r="AA175" s="112" t="b">
        <f t="shared" si="6"/>
        <v>0</v>
      </c>
      <c r="AB175" s="142" t="b">
        <v>0</v>
      </c>
      <c r="AC175" s="140">
        <v>627.0</v>
      </c>
      <c r="AD175" s="141" t="b">
        <v>0</v>
      </c>
      <c r="AE175" s="115" t="str">
        <f t="shared" si="7"/>
        <v/>
      </c>
      <c r="AF175" s="116" t="b">
        <f t="shared" si="8"/>
        <v>0</v>
      </c>
      <c r="AG175" s="105" t="b">
        <f t="shared" si="9"/>
        <v>0</v>
      </c>
      <c r="AH175" s="140"/>
      <c r="AI175" s="140"/>
      <c r="AJ175" s="140"/>
      <c r="AK175" s="117" t="str">
        <f t="shared" si="10"/>
        <v>Negative</v>
      </c>
      <c r="AL175" s="142"/>
      <c r="AM175" s="112" t="s">
        <v>295</v>
      </c>
      <c r="AN175" s="112" t="s">
        <v>296</v>
      </c>
      <c r="AO175" s="112" t="str">
        <f>IFERROR(__xludf.DUMMYFUNCTION("IF($AG175, ""DELETED"",TRIM(JOIN("" "",D175:E175)))"),"")</f>
        <v/>
      </c>
      <c r="AP175" s="112" t="str">
        <f t="shared" ref="AP175:AQ175" si="200">IF($AG175, "DELETED", TRIM(CONCATENATE(F175,I175,U175)))</f>
        <v/>
      </c>
      <c r="AQ175" s="112" t="str">
        <f t="shared" si="200"/>
        <v/>
      </c>
      <c r="AR175" s="112" t="str">
        <f>IFERROR(__xludf.DUMMYFUNCTION("IF($AG175, ""DELETED"", TRIM(JOIN("" "",AP175,AQ175)))"),"")</f>
        <v/>
      </c>
      <c r="AS175" s="118"/>
      <c r="AT175" s="110" t="b">
        <f t="shared" si="12"/>
        <v>0</v>
      </c>
      <c r="AU175" s="110" t="str">
        <f t="shared" si="13"/>
        <v/>
      </c>
      <c r="AV175" s="110" t="str">
        <f t="shared" si="14"/>
        <v/>
      </c>
      <c r="AW175" s="110" t="str">
        <f t="shared" si="15"/>
        <v/>
      </c>
      <c r="AX175" s="119" t="str">
        <f t="shared" si="16"/>
        <v/>
      </c>
      <c r="AY175" s="120"/>
      <c r="AZ175" s="121"/>
      <c r="BA175" s="122" t="str">
        <f t="shared" si="17"/>
        <v/>
      </c>
      <c r="BB175" s="34"/>
      <c r="BC175" s="121"/>
      <c r="BD175" s="136"/>
      <c r="BE175" s="125" t="str">
        <f t="shared" si="18"/>
        <v/>
      </c>
      <c r="BF175" s="126" t="str">
        <f t="shared" si="19"/>
        <v>MA700__44573_0.318275462962963</v>
      </c>
      <c r="BG175" s="127" t="str">
        <f t="shared" si="20"/>
        <v/>
      </c>
      <c r="BH175" s="137" t="s">
        <v>715</v>
      </c>
      <c r="BI175" s="128" t="str">
        <f t="shared" si="21"/>
        <v>FM5</v>
      </c>
      <c r="BJ175" s="129" t="b">
        <f t="shared" si="22"/>
        <v>0</v>
      </c>
      <c r="BK175" s="128" t="str">
        <f t="shared" si="23"/>
        <v/>
      </c>
      <c r="BL175" s="121"/>
      <c r="BM175" s="5" t="str">
        <f t="shared" si="24"/>
        <v>MISSING</v>
      </c>
      <c r="BN175" s="120" t="b">
        <f t="shared" si="25"/>
        <v>0</v>
      </c>
      <c r="BO175" s="131" t="b">
        <f t="shared" si="26"/>
        <v>1</v>
      </c>
      <c r="BP175" s="121"/>
      <c r="BQ175" s="132" t="str">
        <f>VLOOKUP(A175,RAW_APS!A$3:O826,15,FALSE)</f>
        <v/>
      </c>
      <c r="BR175" s="120" t="b">
        <f t="shared" si="27"/>
        <v>1</v>
      </c>
      <c r="BS175" s="121"/>
      <c r="BT175" s="138" t="s">
        <v>244</v>
      </c>
      <c r="BU175" s="10" t="b">
        <f t="shared" si="28"/>
        <v>1</v>
      </c>
      <c r="BV175" s="120"/>
      <c r="BW175" s="120"/>
      <c r="BX175" s="120"/>
      <c r="BY175" s="120"/>
      <c r="BZ175" s="120"/>
      <c r="CA175" s="120"/>
      <c r="CB175" s="120"/>
      <c r="CC175" s="120"/>
    </row>
    <row r="176">
      <c r="A176" s="2" t="s">
        <v>716</v>
      </c>
      <c r="B176" s="100">
        <v>44573.0</v>
      </c>
      <c r="C176" s="101">
        <v>0.32337962962962963</v>
      </c>
      <c r="D176" s="102"/>
      <c r="E176" s="102"/>
      <c r="F176" s="102"/>
      <c r="G176" s="102"/>
      <c r="H176" s="102"/>
      <c r="I176" s="103"/>
      <c r="J176" s="103"/>
      <c r="K176" s="2" t="s">
        <v>52</v>
      </c>
      <c r="L176" s="100">
        <v>44579.0</v>
      </c>
      <c r="M176" s="101">
        <v>0.5015856481481481</v>
      </c>
      <c r="P176" s="104" t="b">
        <f>IFNA(IF(VLOOKUP($A176,'Add from APT'!$AA$2:$AC826,3,FALSE)&gt;0,TRUE,FALSE),"ER - NOT IN APT")</f>
        <v>0</v>
      </c>
      <c r="Q176" s="105" t="str">
        <f>IF(ISLOGICAL(P176),IF(P176,"ER - REPS IN APT", IFNA(VLOOKUP($A176,RAW_APT!$A$3:$M826,7,FALSE),"ER - NOT IN APT")),P176)</f>
        <v>Result</v>
      </c>
      <c r="R176" s="106" t="b">
        <f t="shared" si="2"/>
        <v>1</v>
      </c>
      <c r="S176" s="107">
        <f t="shared" si="3"/>
        <v>1</v>
      </c>
      <c r="T176" s="143"/>
      <c r="U176" s="142"/>
      <c r="V176" s="142"/>
      <c r="W176" s="142"/>
      <c r="X176" s="110" t="b">
        <f t="shared" si="4"/>
        <v>0</v>
      </c>
      <c r="Y176" s="111" t="b">
        <v>0</v>
      </c>
      <c r="Z176" s="104" t="str">
        <f t="shared" si="5"/>
        <v/>
      </c>
      <c r="AA176" s="112" t="b">
        <f t="shared" si="6"/>
        <v>0</v>
      </c>
      <c r="AB176" s="142" t="b">
        <v>0</v>
      </c>
      <c r="AC176" s="140">
        <v>626.0</v>
      </c>
      <c r="AD176" s="141" t="b">
        <v>0</v>
      </c>
      <c r="AE176" s="115" t="str">
        <f t="shared" si="7"/>
        <v/>
      </c>
      <c r="AF176" s="116" t="b">
        <f t="shared" si="8"/>
        <v>0</v>
      </c>
      <c r="AG176" s="105" t="b">
        <f t="shared" si="9"/>
        <v>0</v>
      </c>
      <c r="AH176" s="140"/>
      <c r="AI176" s="140"/>
      <c r="AJ176" s="140"/>
      <c r="AK176" s="117" t="str">
        <f t="shared" si="10"/>
        <v>Positive</v>
      </c>
      <c r="AL176" s="142"/>
      <c r="AM176" s="112" t="s">
        <v>717</v>
      </c>
      <c r="AN176" s="112" t="s">
        <v>718</v>
      </c>
      <c r="AO176" s="112" t="str">
        <f>IFERROR(__xludf.DUMMYFUNCTION("IF($AG176, ""DELETED"",TRIM(JOIN("" "",D176:E176)))"),"")</f>
        <v/>
      </c>
      <c r="AP176" s="112" t="str">
        <f t="shared" ref="AP176:AQ176" si="201">IF($AG176, "DELETED", TRIM(CONCATENATE(F176,I176,U176)))</f>
        <v/>
      </c>
      <c r="AQ176" s="112" t="str">
        <f t="shared" si="201"/>
        <v/>
      </c>
      <c r="AR176" s="112" t="str">
        <f>IFERROR(__xludf.DUMMYFUNCTION("IF($AG176, ""DELETED"", TRIM(JOIN("" "",AP176,AQ176)))"),"")</f>
        <v/>
      </c>
      <c r="AS176" s="118"/>
      <c r="AT176" s="110" t="b">
        <f t="shared" si="12"/>
        <v>0</v>
      </c>
      <c r="AU176" s="110" t="str">
        <f t="shared" si="13"/>
        <v/>
      </c>
      <c r="AV176" s="110" t="str">
        <f t="shared" si="14"/>
        <v/>
      </c>
      <c r="AW176" s="110" t="str">
        <f t="shared" si="15"/>
        <v/>
      </c>
      <c r="AX176" s="119" t="str">
        <f t="shared" si="16"/>
        <v/>
      </c>
      <c r="AY176" s="120"/>
      <c r="AZ176" s="121"/>
      <c r="BA176" s="122" t="str">
        <f t="shared" si="17"/>
        <v/>
      </c>
      <c r="BB176" s="34"/>
      <c r="BC176" s="121"/>
      <c r="BD176" s="136"/>
      <c r="BE176" s="125" t="str">
        <f t="shared" si="18"/>
        <v/>
      </c>
      <c r="BF176" s="126" t="str">
        <f t="shared" si="19"/>
        <v>MA1156__44573_0.32337962962963</v>
      </c>
      <c r="BG176" s="127" t="str">
        <f t="shared" si="20"/>
        <v/>
      </c>
      <c r="BH176" s="137" t="s">
        <v>719</v>
      </c>
      <c r="BI176" s="128" t="str">
        <f t="shared" si="21"/>
        <v>FM50</v>
      </c>
      <c r="BJ176" s="129" t="b">
        <f t="shared" si="22"/>
        <v>0</v>
      </c>
      <c r="BK176" s="128" t="str">
        <f t="shared" si="23"/>
        <v/>
      </c>
      <c r="BL176" s="121"/>
      <c r="BM176" s="5" t="str">
        <f t="shared" si="24"/>
        <v>MISSING</v>
      </c>
      <c r="BN176" s="120" t="b">
        <f t="shared" si="25"/>
        <v>0</v>
      </c>
      <c r="BO176" s="131" t="b">
        <f t="shared" si="26"/>
        <v>1</v>
      </c>
      <c r="BP176" s="121"/>
      <c r="BQ176" s="132" t="str">
        <f>VLOOKUP(A176,RAW_APS!A$3:O826,15,FALSE)</f>
        <v/>
      </c>
      <c r="BR176" s="120" t="b">
        <f t="shared" si="27"/>
        <v>1</v>
      </c>
      <c r="BS176" s="121"/>
      <c r="BT176" s="138" t="s">
        <v>52</v>
      </c>
      <c r="BU176" s="10" t="b">
        <f t="shared" si="28"/>
        <v>1</v>
      </c>
      <c r="BV176" s="120"/>
      <c r="BW176" s="120"/>
      <c r="BX176" s="120"/>
      <c r="BY176" s="120"/>
      <c r="BZ176" s="120"/>
      <c r="CA176" s="120"/>
      <c r="CB176" s="120"/>
      <c r="CC176" s="120"/>
    </row>
    <row r="177">
      <c r="A177" s="2" t="s">
        <v>720</v>
      </c>
      <c r="B177" s="100">
        <v>44573.0</v>
      </c>
      <c r="C177" s="101">
        <v>0.3285532407407407</v>
      </c>
      <c r="D177" s="102"/>
      <c r="E177" s="102"/>
      <c r="F177" s="102"/>
      <c r="G177" s="102"/>
      <c r="H177" s="102"/>
      <c r="I177" s="103"/>
      <c r="J177" s="103"/>
      <c r="K177" s="2" t="s">
        <v>244</v>
      </c>
      <c r="L177" s="100">
        <v>44575.0</v>
      </c>
      <c r="M177" s="101">
        <v>0.48202546296296295</v>
      </c>
      <c r="P177" s="104" t="b">
        <f>IFNA(IF(VLOOKUP($A177,'Add from APT'!$AA$2:$AC826,3,FALSE)&gt;0,TRUE,FALSE),"ER - NOT IN APT")</f>
        <v>0</v>
      </c>
      <c r="Q177" s="105" t="str">
        <f>IF(ISLOGICAL(P177),IF(P177,"ER - REPS IN APT", IFNA(VLOOKUP($A177,RAW_APT!$A$3:$M826,7,FALSE),"ER - NOT IN APT")),P177)</f>
        <v>Result</v>
      </c>
      <c r="R177" s="106" t="b">
        <f t="shared" si="2"/>
        <v>1</v>
      </c>
      <c r="S177" s="107">
        <f t="shared" si="3"/>
        <v>1</v>
      </c>
      <c r="T177" s="143"/>
      <c r="U177" s="142"/>
      <c r="V177" s="142"/>
      <c r="W177" s="142"/>
      <c r="X177" s="110" t="b">
        <f t="shared" si="4"/>
        <v>0</v>
      </c>
      <c r="Y177" s="111" t="b">
        <v>0</v>
      </c>
      <c r="Z177" s="104" t="str">
        <f t="shared" si="5"/>
        <v/>
      </c>
      <c r="AA177" s="112" t="b">
        <f t="shared" si="6"/>
        <v>0</v>
      </c>
      <c r="AB177" s="142" t="b">
        <v>0</v>
      </c>
      <c r="AC177" s="140">
        <v>625.0</v>
      </c>
      <c r="AD177" s="141" t="b">
        <v>0</v>
      </c>
      <c r="AE177" s="115" t="str">
        <f t="shared" si="7"/>
        <v/>
      </c>
      <c r="AF177" s="116" t="b">
        <f t="shared" si="8"/>
        <v>0</v>
      </c>
      <c r="AG177" s="105" t="b">
        <f t="shared" si="9"/>
        <v>0</v>
      </c>
      <c r="AH177" s="140"/>
      <c r="AI177" s="140"/>
      <c r="AJ177" s="140"/>
      <c r="AK177" s="117" t="str">
        <f t="shared" si="10"/>
        <v>Negative</v>
      </c>
      <c r="AL177" s="142"/>
      <c r="AM177" s="112" t="s">
        <v>287</v>
      </c>
      <c r="AN177" s="112" t="s">
        <v>288</v>
      </c>
      <c r="AO177" s="112" t="str">
        <f>IFERROR(__xludf.DUMMYFUNCTION("IF($AG177, ""DELETED"",TRIM(JOIN("" "",D177:E177)))"),"")</f>
        <v/>
      </c>
      <c r="AP177" s="112" t="str">
        <f t="shared" ref="AP177:AQ177" si="202">IF($AG177, "DELETED", TRIM(CONCATENATE(F177,I177,U177)))</f>
        <v/>
      </c>
      <c r="AQ177" s="112" t="str">
        <f t="shared" si="202"/>
        <v/>
      </c>
      <c r="AR177" s="112" t="str">
        <f>IFERROR(__xludf.DUMMYFUNCTION("IF($AG177, ""DELETED"", TRIM(JOIN("" "",AP177,AQ177)))"),"")</f>
        <v/>
      </c>
      <c r="AS177" s="118"/>
      <c r="AT177" s="110" t="b">
        <f t="shared" si="12"/>
        <v>0</v>
      </c>
      <c r="AU177" s="110" t="str">
        <f t="shared" si="13"/>
        <v/>
      </c>
      <c r="AV177" s="110" t="str">
        <f t="shared" si="14"/>
        <v/>
      </c>
      <c r="AW177" s="110" t="str">
        <f t="shared" si="15"/>
        <v/>
      </c>
      <c r="AX177" s="119" t="str">
        <f t="shared" si="16"/>
        <v/>
      </c>
      <c r="AY177" s="120"/>
      <c r="AZ177" s="121"/>
      <c r="BA177" s="122" t="str">
        <f t="shared" si="17"/>
        <v/>
      </c>
      <c r="BB177" s="34"/>
      <c r="BC177" s="121"/>
      <c r="BD177" s="136"/>
      <c r="BE177" s="125" t="str">
        <f t="shared" si="18"/>
        <v/>
      </c>
      <c r="BF177" s="126" t="str">
        <f t="shared" si="19"/>
        <v>MA1077__44573_0.328553240740741</v>
      </c>
      <c r="BG177" s="127" t="str">
        <f t="shared" si="20"/>
        <v/>
      </c>
      <c r="BH177" s="137" t="s">
        <v>721</v>
      </c>
      <c r="BI177" s="128" t="str">
        <f t="shared" si="21"/>
        <v>FM501</v>
      </c>
      <c r="BJ177" s="129" t="b">
        <f t="shared" si="22"/>
        <v>0</v>
      </c>
      <c r="BK177" s="128" t="str">
        <f t="shared" si="23"/>
        <v/>
      </c>
      <c r="BL177" s="121"/>
      <c r="BM177" s="5" t="str">
        <f t="shared" si="24"/>
        <v>MISSING</v>
      </c>
      <c r="BN177" s="120" t="b">
        <f t="shared" si="25"/>
        <v>0</v>
      </c>
      <c r="BO177" s="131" t="b">
        <f t="shared" si="26"/>
        <v>1</v>
      </c>
      <c r="BP177" s="121"/>
      <c r="BQ177" s="132" t="str">
        <f>VLOOKUP(A177,RAW_APS!A$3:O826,15,FALSE)</f>
        <v/>
      </c>
      <c r="BR177" s="120" t="b">
        <f t="shared" si="27"/>
        <v>1</v>
      </c>
      <c r="BS177" s="121"/>
      <c r="BT177" s="138" t="s">
        <v>244</v>
      </c>
      <c r="BU177" s="10" t="b">
        <f t="shared" si="28"/>
        <v>1</v>
      </c>
      <c r="BV177" s="120"/>
      <c r="BW177" s="120"/>
      <c r="BX177" s="120"/>
      <c r="BY177" s="120"/>
      <c r="BZ177" s="120"/>
      <c r="CA177" s="120"/>
      <c r="CB177" s="120"/>
      <c r="CC177" s="120"/>
    </row>
    <row r="178">
      <c r="A178" s="2" t="s">
        <v>722</v>
      </c>
      <c r="B178" s="100">
        <v>44573.0</v>
      </c>
      <c r="C178" s="101">
        <v>0.3347800925925926</v>
      </c>
      <c r="D178" s="102"/>
      <c r="E178" s="102"/>
      <c r="F178" s="102"/>
      <c r="G178" s="102"/>
      <c r="H178" s="102"/>
      <c r="I178" s="103"/>
      <c r="J178" s="103"/>
      <c r="K178" s="2" t="s">
        <v>244</v>
      </c>
      <c r="L178" s="100">
        <v>44575.0</v>
      </c>
      <c r="M178" s="101">
        <v>0.48202546296296295</v>
      </c>
      <c r="P178" s="104" t="b">
        <f>IFNA(IF(VLOOKUP($A178,'Add from APT'!$AA$2:$AC826,3,FALSE)&gt;0,TRUE,FALSE),"ER - NOT IN APT")</f>
        <v>0</v>
      </c>
      <c r="Q178" s="105" t="str">
        <f>IF(ISLOGICAL(P178),IF(P178,"ER - REPS IN APT", IFNA(VLOOKUP($A178,RAW_APT!$A$3:$M826,7,FALSE),"ER - NOT IN APT")),P178)</f>
        <v>Result</v>
      </c>
      <c r="R178" s="106" t="b">
        <f t="shared" si="2"/>
        <v>1</v>
      </c>
      <c r="S178" s="107">
        <f t="shared" si="3"/>
        <v>1</v>
      </c>
      <c r="T178" s="143"/>
      <c r="U178" s="142"/>
      <c r="V178" s="142"/>
      <c r="W178" s="142"/>
      <c r="X178" s="110" t="b">
        <f t="shared" si="4"/>
        <v>0</v>
      </c>
      <c r="Y178" s="111" t="b">
        <v>0</v>
      </c>
      <c r="Z178" s="104" t="str">
        <f t="shared" si="5"/>
        <v/>
      </c>
      <c r="AA178" s="112" t="b">
        <f t="shared" si="6"/>
        <v>0</v>
      </c>
      <c r="AB178" s="142" t="b">
        <v>0</v>
      </c>
      <c r="AC178" s="140">
        <v>624.0</v>
      </c>
      <c r="AD178" s="141" t="b">
        <v>0</v>
      </c>
      <c r="AE178" s="115" t="str">
        <f t="shared" si="7"/>
        <v/>
      </c>
      <c r="AF178" s="116" t="b">
        <f t="shared" si="8"/>
        <v>0</v>
      </c>
      <c r="AG178" s="105" t="b">
        <f t="shared" si="9"/>
        <v>0</v>
      </c>
      <c r="AH178" s="140"/>
      <c r="AI178" s="140"/>
      <c r="AJ178" s="140"/>
      <c r="AK178" s="117" t="str">
        <f t="shared" si="10"/>
        <v>Negative</v>
      </c>
      <c r="AL178" s="142"/>
      <c r="AM178" s="112" t="s">
        <v>299</v>
      </c>
      <c r="AN178" s="112" t="s">
        <v>300</v>
      </c>
      <c r="AO178" s="112" t="str">
        <f>IFERROR(__xludf.DUMMYFUNCTION("IF($AG178, ""DELETED"",TRIM(JOIN("" "",D178:E178)))"),"")</f>
        <v/>
      </c>
      <c r="AP178" s="112" t="str">
        <f t="shared" ref="AP178:AQ178" si="203">IF($AG178, "DELETED", TRIM(CONCATENATE(F178,I178,U178)))</f>
        <v/>
      </c>
      <c r="AQ178" s="112" t="str">
        <f t="shared" si="203"/>
        <v/>
      </c>
      <c r="AR178" s="112" t="str">
        <f>IFERROR(__xludf.DUMMYFUNCTION("IF($AG178, ""DELETED"", TRIM(JOIN("" "",AP178,AQ178)))"),"")</f>
        <v/>
      </c>
      <c r="AS178" s="118"/>
      <c r="AT178" s="110" t="b">
        <f t="shared" si="12"/>
        <v>0</v>
      </c>
      <c r="AU178" s="110" t="str">
        <f t="shared" si="13"/>
        <v/>
      </c>
      <c r="AV178" s="110" t="str">
        <f t="shared" si="14"/>
        <v/>
      </c>
      <c r="AW178" s="110" t="str">
        <f t="shared" si="15"/>
        <v/>
      </c>
      <c r="AX178" s="119" t="str">
        <f t="shared" si="16"/>
        <v/>
      </c>
      <c r="AY178" s="120"/>
      <c r="AZ178" s="121"/>
      <c r="BA178" s="122" t="str">
        <f t="shared" si="17"/>
        <v/>
      </c>
      <c r="BB178" s="34"/>
      <c r="BC178" s="121"/>
      <c r="BD178" s="136"/>
      <c r="BE178" s="125" t="str">
        <f t="shared" si="18"/>
        <v/>
      </c>
      <c r="BF178" s="126" t="str">
        <f t="shared" si="19"/>
        <v>MA633__44573_0.334780092592593</v>
      </c>
      <c r="BG178" s="127" t="str">
        <f t="shared" si="20"/>
        <v/>
      </c>
      <c r="BH178" s="137" t="s">
        <v>723</v>
      </c>
      <c r="BI178" s="128" t="str">
        <f t="shared" si="21"/>
        <v>FM505</v>
      </c>
      <c r="BJ178" s="129" t="b">
        <f t="shared" si="22"/>
        <v>0</v>
      </c>
      <c r="BK178" s="128" t="str">
        <f t="shared" si="23"/>
        <v/>
      </c>
      <c r="BL178" s="121"/>
      <c r="BM178" s="5" t="str">
        <f t="shared" si="24"/>
        <v>MISSING</v>
      </c>
      <c r="BN178" s="120" t="b">
        <f t="shared" si="25"/>
        <v>0</v>
      </c>
      <c r="BO178" s="131" t="b">
        <f t="shared" si="26"/>
        <v>1</v>
      </c>
      <c r="BP178" s="121"/>
      <c r="BQ178" s="132" t="str">
        <f>VLOOKUP(A178,RAW_APS!A$3:O826,15,FALSE)</f>
        <v/>
      </c>
      <c r="BR178" s="120" t="b">
        <f t="shared" si="27"/>
        <v>1</v>
      </c>
      <c r="BS178" s="121"/>
      <c r="BT178" s="138" t="s">
        <v>244</v>
      </c>
      <c r="BU178" s="10" t="b">
        <f t="shared" si="28"/>
        <v>1</v>
      </c>
      <c r="BV178" s="120"/>
      <c r="BW178" s="120"/>
      <c r="BX178" s="120"/>
      <c r="BY178" s="120"/>
      <c r="BZ178" s="120"/>
      <c r="CA178" s="120"/>
      <c r="CB178" s="120"/>
      <c r="CC178" s="120"/>
    </row>
    <row r="179">
      <c r="A179" s="2" t="s">
        <v>724</v>
      </c>
      <c r="B179" s="100">
        <v>44573.0</v>
      </c>
      <c r="C179" s="101">
        <v>0.347650462962963</v>
      </c>
      <c r="D179" s="102"/>
      <c r="E179" s="102"/>
      <c r="F179" s="102"/>
      <c r="G179" s="102"/>
      <c r="H179" s="102"/>
      <c r="I179" s="103"/>
      <c r="J179" s="103"/>
      <c r="K179" s="2" t="s">
        <v>244</v>
      </c>
      <c r="L179" s="100">
        <v>44575.0</v>
      </c>
      <c r="M179" s="101">
        <v>0.48202546296296295</v>
      </c>
      <c r="P179" s="104" t="b">
        <f>IFNA(IF(VLOOKUP($A179,'Add from APT'!$AA$2:$AC826,3,FALSE)&gt;0,TRUE,FALSE),"ER - NOT IN APT")</f>
        <v>0</v>
      </c>
      <c r="Q179" s="105" t="str">
        <f>IF(ISLOGICAL(P179),IF(P179,"ER - REPS IN APT", IFNA(VLOOKUP($A179,RAW_APT!$A$3:$M826,7,FALSE),"ER - NOT IN APT")),P179)</f>
        <v>Result</v>
      </c>
      <c r="R179" s="106" t="b">
        <f t="shared" si="2"/>
        <v>1</v>
      </c>
      <c r="S179" s="107">
        <f t="shared" si="3"/>
        <v>1</v>
      </c>
      <c r="T179" s="143"/>
      <c r="U179" s="142"/>
      <c r="V179" s="142"/>
      <c r="W179" s="142"/>
      <c r="X179" s="110" t="b">
        <f t="shared" si="4"/>
        <v>0</v>
      </c>
      <c r="Y179" s="111" t="b">
        <v>0</v>
      </c>
      <c r="Z179" s="104" t="str">
        <f t="shared" si="5"/>
        <v/>
      </c>
      <c r="AA179" s="112" t="b">
        <f t="shared" si="6"/>
        <v>0</v>
      </c>
      <c r="AB179" s="142" t="b">
        <v>0</v>
      </c>
      <c r="AC179" s="140">
        <v>623.0</v>
      </c>
      <c r="AD179" s="141" t="b">
        <v>0</v>
      </c>
      <c r="AE179" s="115" t="str">
        <f t="shared" si="7"/>
        <v/>
      </c>
      <c r="AF179" s="116" t="b">
        <f t="shared" si="8"/>
        <v>0</v>
      </c>
      <c r="AG179" s="105" t="b">
        <f t="shared" si="9"/>
        <v>0</v>
      </c>
      <c r="AH179" s="140"/>
      <c r="AI179" s="140"/>
      <c r="AJ179" s="140"/>
      <c r="AK179" s="117" t="str">
        <f t="shared" si="10"/>
        <v>Negative</v>
      </c>
      <c r="AL179" s="142"/>
      <c r="AM179" s="112" t="s">
        <v>362</v>
      </c>
      <c r="AN179" s="112" t="s">
        <v>363</v>
      </c>
      <c r="AO179" s="112" t="str">
        <f>IFERROR(__xludf.DUMMYFUNCTION("IF($AG179, ""DELETED"",TRIM(JOIN("" "",D179:E179)))"),"")</f>
        <v/>
      </c>
      <c r="AP179" s="112" t="str">
        <f t="shared" ref="AP179:AQ179" si="204">IF($AG179, "DELETED", TRIM(CONCATENATE(F179,I179,U179)))</f>
        <v/>
      </c>
      <c r="AQ179" s="112" t="str">
        <f t="shared" si="204"/>
        <v/>
      </c>
      <c r="AR179" s="112" t="str">
        <f>IFERROR(__xludf.DUMMYFUNCTION("IF($AG179, ""DELETED"", TRIM(JOIN("" "",AP179,AQ179)))"),"")</f>
        <v/>
      </c>
      <c r="AS179" s="118"/>
      <c r="AT179" s="110" t="b">
        <f t="shared" si="12"/>
        <v>0</v>
      </c>
      <c r="AU179" s="110" t="str">
        <f t="shared" si="13"/>
        <v/>
      </c>
      <c r="AV179" s="110" t="str">
        <f t="shared" si="14"/>
        <v/>
      </c>
      <c r="AW179" s="110" t="str">
        <f t="shared" si="15"/>
        <v/>
      </c>
      <c r="AX179" s="119" t="str">
        <f t="shared" si="16"/>
        <v/>
      </c>
      <c r="AY179" s="120"/>
      <c r="AZ179" s="121"/>
      <c r="BA179" s="122" t="str">
        <f t="shared" si="17"/>
        <v/>
      </c>
      <c r="BB179" s="34"/>
      <c r="BC179" s="121"/>
      <c r="BD179" s="136"/>
      <c r="BE179" s="125" t="str">
        <f t="shared" si="18"/>
        <v/>
      </c>
      <c r="BF179" s="126" t="str">
        <f t="shared" si="19"/>
        <v>MA1217__44573_0.347650462962963</v>
      </c>
      <c r="BG179" s="127" t="str">
        <f t="shared" si="20"/>
        <v/>
      </c>
      <c r="BH179" s="137" t="s">
        <v>725</v>
      </c>
      <c r="BI179" s="128" t="str">
        <f t="shared" si="21"/>
        <v>FM509</v>
      </c>
      <c r="BJ179" s="129" t="b">
        <f t="shared" si="22"/>
        <v>0</v>
      </c>
      <c r="BK179" s="128" t="str">
        <f t="shared" si="23"/>
        <v/>
      </c>
      <c r="BL179" s="121"/>
      <c r="BM179" s="5" t="str">
        <f t="shared" si="24"/>
        <v>MISSING</v>
      </c>
      <c r="BN179" s="120" t="b">
        <f t="shared" si="25"/>
        <v>0</v>
      </c>
      <c r="BO179" s="131" t="b">
        <f t="shared" si="26"/>
        <v>1</v>
      </c>
      <c r="BP179" s="121"/>
      <c r="BQ179" s="132" t="str">
        <f>VLOOKUP(A179,RAW_APS!A$3:O826,15,FALSE)</f>
        <v/>
      </c>
      <c r="BR179" s="120" t="b">
        <f t="shared" si="27"/>
        <v>1</v>
      </c>
      <c r="BS179" s="121"/>
      <c r="BT179" s="138" t="s">
        <v>244</v>
      </c>
      <c r="BU179" s="10" t="b">
        <f t="shared" si="28"/>
        <v>1</v>
      </c>
      <c r="BV179" s="120"/>
      <c r="BW179" s="120"/>
      <c r="BX179" s="120"/>
      <c r="BY179" s="120"/>
      <c r="BZ179" s="120"/>
      <c r="CA179" s="120"/>
      <c r="CB179" s="120"/>
      <c r="CC179" s="120"/>
    </row>
    <row r="180">
      <c r="A180" s="2" t="s">
        <v>726</v>
      </c>
      <c r="B180" s="100">
        <v>44573.0</v>
      </c>
      <c r="C180" s="101">
        <v>0.3486574074074074</v>
      </c>
      <c r="D180" s="102"/>
      <c r="E180" s="102"/>
      <c r="F180" s="102"/>
      <c r="G180" s="102"/>
      <c r="H180" s="102"/>
      <c r="I180" s="103"/>
      <c r="J180" s="103"/>
      <c r="K180" s="2" t="s">
        <v>244</v>
      </c>
      <c r="L180" s="100">
        <v>44575.0</v>
      </c>
      <c r="M180" s="101">
        <v>0.48202546296296295</v>
      </c>
      <c r="P180" s="104" t="b">
        <f>IFNA(IF(VLOOKUP($A180,'Add from APT'!$AA$2:$AC826,3,FALSE)&gt;0,TRUE,FALSE),"ER - NOT IN APT")</f>
        <v>0</v>
      </c>
      <c r="Q180" s="105" t="str">
        <f>IF(ISLOGICAL(P180),IF(P180,"ER - REPS IN APT", IFNA(VLOOKUP($A180,RAW_APT!$A$3:$M826,7,FALSE),"ER - NOT IN APT")),P180)</f>
        <v>Result</v>
      </c>
      <c r="R180" s="106" t="b">
        <f t="shared" si="2"/>
        <v>1</v>
      </c>
      <c r="S180" s="107">
        <f t="shared" si="3"/>
        <v>1</v>
      </c>
      <c r="T180" s="143"/>
      <c r="U180" s="142"/>
      <c r="V180" s="142"/>
      <c r="W180" s="142"/>
      <c r="X180" s="110" t="b">
        <f t="shared" si="4"/>
        <v>0</v>
      </c>
      <c r="Y180" s="111" t="b">
        <v>0</v>
      </c>
      <c r="Z180" s="104" t="str">
        <f t="shared" si="5"/>
        <v/>
      </c>
      <c r="AA180" s="112" t="b">
        <f t="shared" si="6"/>
        <v>0</v>
      </c>
      <c r="AB180" s="142" t="b">
        <v>0</v>
      </c>
      <c r="AC180" s="140">
        <v>622.0</v>
      </c>
      <c r="AD180" s="141" t="b">
        <v>0</v>
      </c>
      <c r="AE180" s="115" t="str">
        <f t="shared" si="7"/>
        <v/>
      </c>
      <c r="AF180" s="116" t="b">
        <f t="shared" si="8"/>
        <v>0</v>
      </c>
      <c r="AG180" s="105" t="b">
        <f t="shared" si="9"/>
        <v>0</v>
      </c>
      <c r="AH180" s="140"/>
      <c r="AI180" s="140"/>
      <c r="AJ180" s="140"/>
      <c r="AK180" s="117" t="str">
        <f t="shared" si="10"/>
        <v>Negative</v>
      </c>
      <c r="AL180" s="142"/>
      <c r="AM180" s="112" t="s">
        <v>727</v>
      </c>
      <c r="AN180" s="112" t="s">
        <v>728</v>
      </c>
      <c r="AO180" s="112" t="str">
        <f>IFERROR(__xludf.DUMMYFUNCTION("IF($AG180, ""DELETED"",TRIM(JOIN("" "",D180:E180)))"),"")</f>
        <v/>
      </c>
      <c r="AP180" s="112" t="str">
        <f t="shared" ref="AP180:AQ180" si="205">IF($AG180, "DELETED", TRIM(CONCATENATE(F180,I180,U180)))</f>
        <v/>
      </c>
      <c r="AQ180" s="112" t="str">
        <f t="shared" si="205"/>
        <v/>
      </c>
      <c r="AR180" s="112" t="str">
        <f>IFERROR(__xludf.DUMMYFUNCTION("IF($AG180, ""DELETED"", TRIM(JOIN("" "",AP180,AQ180)))"),"")</f>
        <v/>
      </c>
      <c r="AS180" s="118"/>
      <c r="AT180" s="110" t="b">
        <f t="shared" si="12"/>
        <v>0</v>
      </c>
      <c r="AU180" s="110" t="str">
        <f t="shared" si="13"/>
        <v/>
      </c>
      <c r="AV180" s="110" t="str">
        <f t="shared" si="14"/>
        <v/>
      </c>
      <c r="AW180" s="110" t="str">
        <f t="shared" si="15"/>
        <v/>
      </c>
      <c r="AX180" s="119" t="str">
        <f t="shared" si="16"/>
        <v/>
      </c>
      <c r="AY180" s="120"/>
      <c r="AZ180" s="121"/>
      <c r="BA180" s="122" t="str">
        <f t="shared" si="17"/>
        <v/>
      </c>
      <c r="BB180" s="34"/>
      <c r="BC180" s="121"/>
      <c r="BD180" s="136"/>
      <c r="BE180" s="125" t="str">
        <f t="shared" si="18"/>
        <v/>
      </c>
      <c r="BF180" s="126" t="str">
        <f t="shared" si="19"/>
        <v>MA396__44573_0.348657407407407</v>
      </c>
      <c r="BG180" s="127" t="str">
        <f t="shared" si="20"/>
        <v/>
      </c>
      <c r="BH180" s="137" t="s">
        <v>729</v>
      </c>
      <c r="BI180" s="128" t="str">
        <f t="shared" si="21"/>
        <v>FM51</v>
      </c>
      <c r="BJ180" s="129" t="b">
        <f t="shared" si="22"/>
        <v>0</v>
      </c>
      <c r="BK180" s="128" t="str">
        <f t="shared" si="23"/>
        <v/>
      </c>
      <c r="BL180" s="121"/>
      <c r="BM180" s="5" t="str">
        <f t="shared" si="24"/>
        <v>MISSING</v>
      </c>
      <c r="BN180" s="120" t="b">
        <f t="shared" si="25"/>
        <v>0</v>
      </c>
      <c r="BO180" s="131" t="b">
        <f t="shared" si="26"/>
        <v>1</v>
      </c>
      <c r="BP180" s="121"/>
      <c r="BQ180" s="132" t="str">
        <f>VLOOKUP(A180,RAW_APS!A$3:O826,15,FALSE)</f>
        <v/>
      </c>
      <c r="BR180" s="120" t="b">
        <f t="shared" si="27"/>
        <v>1</v>
      </c>
      <c r="BS180" s="121"/>
      <c r="BT180" s="138" t="s">
        <v>244</v>
      </c>
      <c r="BU180" s="10" t="b">
        <f t="shared" si="28"/>
        <v>1</v>
      </c>
      <c r="BV180" s="120"/>
      <c r="BW180" s="120"/>
      <c r="BX180" s="120"/>
      <c r="BY180" s="120"/>
      <c r="BZ180" s="120"/>
      <c r="CA180" s="120"/>
      <c r="CB180" s="120"/>
      <c r="CC180" s="120"/>
    </row>
    <row r="181">
      <c r="A181" s="2" t="s">
        <v>730</v>
      </c>
      <c r="B181" s="100">
        <v>44573.0</v>
      </c>
      <c r="C181" s="101">
        <v>0.35030092592592593</v>
      </c>
      <c r="D181" s="102"/>
      <c r="E181" s="102"/>
      <c r="F181" s="102"/>
      <c r="G181" s="102"/>
      <c r="H181" s="102"/>
      <c r="I181" s="103"/>
      <c r="J181" s="103"/>
      <c r="K181" s="2" t="s">
        <v>244</v>
      </c>
      <c r="L181" s="100">
        <v>44575.0</v>
      </c>
      <c r="M181" s="101">
        <v>0.48203703703703704</v>
      </c>
      <c r="P181" s="104" t="b">
        <f>IFNA(IF(VLOOKUP($A181,'Add from APT'!$AA$2:$AC826,3,FALSE)&gt;0,TRUE,FALSE),"ER - NOT IN APT")</f>
        <v>0</v>
      </c>
      <c r="Q181" s="105" t="str">
        <f>IF(ISLOGICAL(P181),IF(P181,"ER - REPS IN APT", IFNA(VLOOKUP($A181,RAW_APT!$A$3:$M826,7,FALSE),"ER - NOT IN APT")),P181)</f>
        <v>Result</v>
      </c>
      <c r="R181" s="106" t="b">
        <f t="shared" si="2"/>
        <v>1</v>
      </c>
      <c r="S181" s="107">
        <f t="shared" si="3"/>
        <v>1</v>
      </c>
      <c r="T181" s="143"/>
      <c r="U181" s="142"/>
      <c r="V181" s="142"/>
      <c r="W181" s="142"/>
      <c r="X181" s="110" t="b">
        <f t="shared" si="4"/>
        <v>0</v>
      </c>
      <c r="Y181" s="111" t="b">
        <v>0</v>
      </c>
      <c r="Z181" s="104" t="str">
        <f t="shared" si="5"/>
        <v/>
      </c>
      <c r="AA181" s="112" t="b">
        <f t="shared" si="6"/>
        <v>0</v>
      </c>
      <c r="AB181" s="142" t="b">
        <v>0</v>
      </c>
      <c r="AC181" s="140">
        <v>621.0</v>
      </c>
      <c r="AD181" s="141" t="b">
        <v>0</v>
      </c>
      <c r="AE181" s="115" t="str">
        <f t="shared" si="7"/>
        <v/>
      </c>
      <c r="AF181" s="116" t="b">
        <f t="shared" si="8"/>
        <v>0</v>
      </c>
      <c r="AG181" s="105" t="b">
        <f t="shared" si="9"/>
        <v>0</v>
      </c>
      <c r="AH181" s="140"/>
      <c r="AI181" s="140"/>
      <c r="AJ181" s="140"/>
      <c r="AK181" s="117" t="str">
        <f t="shared" si="10"/>
        <v>Negative</v>
      </c>
      <c r="AL181" s="142"/>
      <c r="AM181" s="112" t="s">
        <v>731</v>
      </c>
      <c r="AN181" s="112" t="s">
        <v>732</v>
      </c>
      <c r="AO181" s="112" t="str">
        <f>IFERROR(__xludf.DUMMYFUNCTION("IF($AG181, ""DELETED"",TRIM(JOIN("" "",D181:E181)))"),"")</f>
        <v/>
      </c>
      <c r="AP181" s="112" t="str">
        <f t="shared" ref="AP181:AQ181" si="206">IF($AG181, "DELETED", TRIM(CONCATENATE(F181,I181,U181)))</f>
        <v/>
      </c>
      <c r="AQ181" s="112" t="str">
        <f t="shared" si="206"/>
        <v/>
      </c>
      <c r="AR181" s="112" t="str">
        <f>IFERROR(__xludf.DUMMYFUNCTION("IF($AG181, ""DELETED"", TRIM(JOIN("" "",AP181,AQ181)))"),"")</f>
        <v/>
      </c>
      <c r="AS181" s="118"/>
      <c r="AT181" s="110" t="b">
        <f t="shared" si="12"/>
        <v>0</v>
      </c>
      <c r="AU181" s="110" t="str">
        <f t="shared" si="13"/>
        <v/>
      </c>
      <c r="AV181" s="110" t="str">
        <f t="shared" si="14"/>
        <v/>
      </c>
      <c r="AW181" s="110" t="str">
        <f t="shared" si="15"/>
        <v/>
      </c>
      <c r="AX181" s="119" t="str">
        <f t="shared" si="16"/>
        <v/>
      </c>
      <c r="AY181" s="120"/>
      <c r="AZ181" s="121"/>
      <c r="BA181" s="122" t="str">
        <f t="shared" si="17"/>
        <v/>
      </c>
      <c r="BB181" s="34"/>
      <c r="BC181" s="121"/>
      <c r="BD181" s="136"/>
      <c r="BE181" s="125" t="str">
        <f t="shared" si="18"/>
        <v/>
      </c>
      <c r="BF181" s="126" t="str">
        <f t="shared" si="19"/>
        <v>MA1199__44573_0.350300925925926</v>
      </c>
      <c r="BG181" s="127" t="str">
        <f t="shared" si="20"/>
        <v/>
      </c>
      <c r="BH181" s="137" t="s">
        <v>733</v>
      </c>
      <c r="BI181" s="128" t="str">
        <f t="shared" si="21"/>
        <v>FM512</v>
      </c>
      <c r="BJ181" s="129" t="b">
        <f t="shared" si="22"/>
        <v>0</v>
      </c>
      <c r="BK181" s="128" t="str">
        <f t="shared" si="23"/>
        <v/>
      </c>
      <c r="BL181" s="121"/>
      <c r="BM181" s="5" t="str">
        <f t="shared" si="24"/>
        <v>MISSING</v>
      </c>
      <c r="BN181" s="120" t="b">
        <f t="shared" si="25"/>
        <v>0</v>
      </c>
      <c r="BO181" s="131" t="b">
        <f t="shared" si="26"/>
        <v>1</v>
      </c>
      <c r="BP181" s="121"/>
      <c r="BQ181" s="132" t="str">
        <f>VLOOKUP(A181,RAW_APS!A$3:O826,15,FALSE)</f>
        <v/>
      </c>
      <c r="BR181" s="120" t="b">
        <f t="shared" si="27"/>
        <v>1</v>
      </c>
      <c r="BS181" s="121"/>
      <c r="BT181" s="138" t="s">
        <v>244</v>
      </c>
      <c r="BU181" s="10" t="b">
        <f t="shared" si="28"/>
        <v>1</v>
      </c>
      <c r="BV181" s="120"/>
      <c r="BW181" s="120"/>
      <c r="BX181" s="120"/>
      <c r="BY181" s="120"/>
      <c r="BZ181" s="120"/>
      <c r="CA181" s="120"/>
      <c r="CB181" s="120"/>
      <c r="CC181" s="120"/>
    </row>
    <row r="182">
      <c r="A182" s="2" t="s">
        <v>734</v>
      </c>
      <c r="B182" s="100">
        <v>44573.0</v>
      </c>
      <c r="C182" s="101">
        <v>0.38329861111111113</v>
      </c>
      <c r="D182" s="102"/>
      <c r="E182" s="102"/>
      <c r="F182" s="103"/>
      <c r="G182" s="148"/>
      <c r="H182" s="148"/>
      <c r="I182" s="103"/>
      <c r="J182" s="103"/>
      <c r="K182" s="2" t="s">
        <v>244</v>
      </c>
      <c r="L182" s="100">
        <v>44575.0</v>
      </c>
      <c r="M182" s="101">
        <v>0.48203703703703704</v>
      </c>
      <c r="P182" s="104" t="b">
        <f>IFNA(IF(VLOOKUP($A182,'Add from APT'!$AA$2:$AC826,3,FALSE)&gt;0,TRUE,FALSE),"ER - NOT IN APT")</f>
        <v>0</v>
      </c>
      <c r="Q182" s="105" t="str">
        <f>IF(ISLOGICAL(P182),IF(P182,"ER - REPS IN APT", IFNA(VLOOKUP($A182,RAW_APT!$A$3:$M826,7,FALSE),"ER - NOT IN APT")),P182)</f>
        <v>Result</v>
      </c>
      <c r="R182" s="106" t="b">
        <f t="shared" si="2"/>
        <v>1</v>
      </c>
      <c r="S182" s="107">
        <f t="shared" si="3"/>
        <v>1</v>
      </c>
      <c r="T182" s="140">
        <v>0.0</v>
      </c>
      <c r="V182" s="142"/>
      <c r="W182" s="141"/>
      <c r="X182" s="110" t="b">
        <f t="shared" si="4"/>
        <v>0</v>
      </c>
      <c r="Y182" s="111" t="b">
        <v>0</v>
      </c>
      <c r="Z182" s="104" t="str">
        <f t="shared" si="5"/>
        <v/>
      </c>
      <c r="AA182" s="112" t="b">
        <f t="shared" si="6"/>
        <v>0</v>
      </c>
      <c r="AB182" s="142" t="b">
        <v>0</v>
      </c>
      <c r="AC182" s="140">
        <v>620.0</v>
      </c>
      <c r="AD182" s="141" t="b">
        <v>0</v>
      </c>
      <c r="AE182" s="115" t="str">
        <f t="shared" si="7"/>
        <v/>
      </c>
      <c r="AF182" s="116" t="b">
        <f t="shared" si="8"/>
        <v>0</v>
      </c>
      <c r="AG182" s="105" t="b">
        <f t="shared" si="9"/>
        <v>0</v>
      </c>
      <c r="AH182" s="140"/>
      <c r="AI182" s="140"/>
      <c r="AJ182" s="140"/>
      <c r="AK182" s="117" t="str">
        <f t="shared" si="10"/>
        <v>Negative</v>
      </c>
      <c r="AL182" s="142"/>
      <c r="AM182" s="112" t="s">
        <v>261</v>
      </c>
      <c r="AN182" s="112" t="s">
        <v>672</v>
      </c>
      <c r="AO182" s="112" t="str">
        <f>IFERROR(__xludf.DUMMYFUNCTION("IF($AG182, ""DELETED"",TRIM(JOIN("" "",D182:E182)))"),"")</f>
        <v/>
      </c>
      <c r="AP182" s="112" t="str">
        <f t="shared" ref="AP182:AQ182" si="207">IF($AG182, "DELETED", TRIM(CONCATENATE(F182,I182,U182)))</f>
        <v/>
      </c>
      <c r="AQ182" s="112" t="str">
        <f t="shared" si="207"/>
        <v/>
      </c>
      <c r="AR182" s="112" t="str">
        <f>IFERROR(__xludf.DUMMYFUNCTION("IF($AG182, ""DELETED"", TRIM(JOIN("" "",AP182,AQ182)))"),"")</f>
        <v/>
      </c>
      <c r="AS182" s="118"/>
      <c r="AT182" s="110" t="b">
        <f t="shared" si="12"/>
        <v>0</v>
      </c>
      <c r="AU182" s="110" t="str">
        <f t="shared" si="13"/>
        <v/>
      </c>
      <c r="AV182" s="110" t="str">
        <f t="shared" si="14"/>
        <v/>
      </c>
      <c r="AW182" s="110" t="str">
        <f t="shared" si="15"/>
        <v/>
      </c>
      <c r="AX182" s="119" t="str">
        <f t="shared" si="16"/>
        <v/>
      </c>
      <c r="AY182" s="120"/>
      <c r="AZ182" s="121"/>
      <c r="BA182" s="122" t="str">
        <f t="shared" si="17"/>
        <v/>
      </c>
      <c r="BB182" s="34"/>
      <c r="BC182" s="121"/>
      <c r="BD182" s="136"/>
      <c r="BE182" s="125" t="str">
        <f t="shared" si="18"/>
        <v/>
      </c>
      <c r="BF182" s="126" t="str">
        <f t="shared" si="19"/>
        <v>MAX98__44573_0.383298611111111</v>
      </c>
      <c r="BG182" s="127" t="str">
        <f t="shared" si="20"/>
        <v/>
      </c>
      <c r="BH182" s="137" t="s">
        <v>735</v>
      </c>
      <c r="BI182" s="128" t="str">
        <f t="shared" si="21"/>
        <v>FM513</v>
      </c>
      <c r="BJ182" s="129" t="b">
        <f t="shared" si="22"/>
        <v>0</v>
      </c>
      <c r="BK182" s="128" t="str">
        <f t="shared" si="23"/>
        <v/>
      </c>
      <c r="BL182" s="121"/>
      <c r="BM182" s="5" t="str">
        <f t="shared" si="24"/>
        <v>MISSING</v>
      </c>
      <c r="BN182" s="120" t="b">
        <f t="shared" si="25"/>
        <v>0</v>
      </c>
      <c r="BO182" s="131" t="b">
        <f t="shared" si="26"/>
        <v>1</v>
      </c>
      <c r="BP182" s="121"/>
      <c r="BQ182" s="132" t="str">
        <f>VLOOKUP(A182,RAW_APS!A$3:O826,15,FALSE)</f>
        <v/>
      </c>
      <c r="BR182" s="120" t="b">
        <f t="shared" si="27"/>
        <v>1</v>
      </c>
      <c r="BS182" s="121"/>
      <c r="BT182" s="138" t="s">
        <v>244</v>
      </c>
      <c r="BU182" s="10" t="b">
        <f t="shared" si="28"/>
        <v>1</v>
      </c>
      <c r="BV182" s="120"/>
      <c r="BW182" s="120"/>
      <c r="BX182" s="120"/>
      <c r="BY182" s="120"/>
      <c r="BZ182" s="120"/>
      <c r="CA182" s="120"/>
      <c r="CB182" s="120"/>
      <c r="CC182" s="120"/>
    </row>
    <row r="183">
      <c r="A183" s="2" t="s">
        <v>736</v>
      </c>
      <c r="B183" s="100">
        <v>44573.0</v>
      </c>
      <c r="C183" s="101">
        <v>0.38359953703703703</v>
      </c>
      <c r="D183" s="102"/>
      <c r="E183" s="102"/>
      <c r="F183" s="102"/>
      <c r="G183" s="102"/>
      <c r="H183" s="102"/>
      <c r="I183" s="103"/>
      <c r="J183" s="103"/>
      <c r="K183" s="2" t="s">
        <v>52</v>
      </c>
      <c r="L183" s="100">
        <v>44579.0</v>
      </c>
      <c r="M183" s="101">
        <v>0.5015856481481481</v>
      </c>
      <c r="P183" s="104" t="b">
        <f>IFNA(IF(VLOOKUP($A183,'Add from APT'!$AA$2:$AC826,3,FALSE)&gt;0,TRUE,FALSE),"ER - NOT IN APT")</f>
        <v>0</v>
      </c>
      <c r="Q183" s="105" t="str">
        <f>IF(ISLOGICAL(P183),IF(P183,"ER - REPS IN APT", IFNA(VLOOKUP($A183,RAW_APT!$A$3:$M826,7,FALSE),"ER - NOT IN APT")),P183)</f>
        <v>Result</v>
      </c>
      <c r="R183" s="106" t="b">
        <f t="shared" si="2"/>
        <v>1</v>
      </c>
      <c r="S183" s="107">
        <f t="shared" si="3"/>
        <v>1</v>
      </c>
      <c r="T183" s="143"/>
      <c r="U183" s="142"/>
      <c r="V183" s="142"/>
      <c r="W183" s="142"/>
      <c r="X183" s="110" t="b">
        <f t="shared" si="4"/>
        <v>0</v>
      </c>
      <c r="Y183" s="111" t="b">
        <v>0</v>
      </c>
      <c r="Z183" s="104" t="str">
        <f t="shared" si="5"/>
        <v/>
      </c>
      <c r="AA183" s="112" t="b">
        <f t="shared" si="6"/>
        <v>0</v>
      </c>
      <c r="AB183" s="142" t="b">
        <v>0</v>
      </c>
      <c r="AC183" s="140">
        <v>619.0</v>
      </c>
      <c r="AD183" s="141" t="b">
        <v>0</v>
      </c>
      <c r="AE183" s="115" t="str">
        <f t="shared" si="7"/>
        <v/>
      </c>
      <c r="AF183" s="116" t="b">
        <f t="shared" si="8"/>
        <v>0</v>
      </c>
      <c r="AG183" s="105" t="b">
        <f t="shared" si="9"/>
        <v>0</v>
      </c>
      <c r="AH183" s="140"/>
      <c r="AI183" s="140"/>
      <c r="AJ183" s="140"/>
      <c r="AK183" s="117" t="str">
        <f t="shared" si="10"/>
        <v>Positive</v>
      </c>
      <c r="AL183" s="142"/>
      <c r="AM183" s="112" t="s">
        <v>261</v>
      </c>
      <c r="AN183" s="112" t="s">
        <v>597</v>
      </c>
      <c r="AO183" s="112" t="str">
        <f>IFERROR(__xludf.DUMMYFUNCTION("IF($AG183, ""DELETED"",TRIM(JOIN("" "",D183:E183)))"),"")</f>
        <v/>
      </c>
      <c r="AP183" s="112" t="str">
        <f t="shared" ref="AP183:AQ183" si="208">IF($AG183, "DELETED", TRIM(CONCATENATE(F183,I183,U183)))</f>
        <v/>
      </c>
      <c r="AQ183" s="112" t="str">
        <f t="shared" si="208"/>
        <v/>
      </c>
      <c r="AR183" s="112" t="str">
        <f>IFERROR(__xludf.DUMMYFUNCTION("IF($AG183, ""DELETED"", TRIM(JOIN("" "",AP183,AQ183)))"),"")</f>
        <v/>
      </c>
      <c r="AS183" s="118"/>
      <c r="AT183" s="110" t="b">
        <f t="shared" si="12"/>
        <v>0</v>
      </c>
      <c r="AU183" s="110" t="str">
        <f t="shared" si="13"/>
        <v/>
      </c>
      <c r="AV183" s="110" t="str">
        <f t="shared" si="14"/>
        <v/>
      </c>
      <c r="AW183" s="110" t="str">
        <f t="shared" si="15"/>
        <v/>
      </c>
      <c r="AX183" s="119" t="str">
        <f t="shared" si="16"/>
        <v/>
      </c>
      <c r="AY183" s="120"/>
      <c r="AZ183" s="121"/>
      <c r="BA183" s="122" t="str">
        <f t="shared" si="17"/>
        <v/>
      </c>
      <c r="BB183" s="34"/>
      <c r="BC183" s="121"/>
      <c r="BD183" s="136"/>
      <c r="BE183" s="125" t="str">
        <f t="shared" si="18"/>
        <v/>
      </c>
      <c r="BF183" s="126" t="str">
        <f t="shared" si="19"/>
        <v>MAX20__44573_0.383599537037037</v>
      </c>
      <c r="BG183" s="127" t="str">
        <f t="shared" si="20"/>
        <v/>
      </c>
      <c r="BH183" s="137" t="s">
        <v>737</v>
      </c>
      <c r="BI183" s="128" t="str">
        <f t="shared" si="21"/>
        <v>FM52</v>
      </c>
      <c r="BJ183" s="129" t="b">
        <f t="shared" si="22"/>
        <v>0</v>
      </c>
      <c r="BK183" s="128" t="str">
        <f t="shared" si="23"/>
        <v/>
      </c>
      <c r="BL183" s="121"/>
      <c r="BM183" s="5" t="str">
        <f t="shared" si="24"/>
        <v>MISSING</v>
      </c>
      <c r="BN183" s="120" t="b">
        <f t="shared" si="25"/>
        <v>0</v>
      </c>
      <c r="BO183" s="131" t="b">
        <f t="shared" si="26"/>
        <v>1</v>
      </c>
      <c r="BP183" s="121"/>
      <c r="BQ183" s="132" t="str">
        <f>VLOOKUP(A183,RAW_APS!A$3:O826,15,FALSE)</f>
        <v/>
      </c>
      <c r="BR183" s="120" t="b">
        <f t="shared" si="27"/>
        <v>1</v>
      </c>
      <c r="BS183" s="121"/>
      <c r="BT183" s="138" t="s">
        <v>52</v>
      </c>
      <c r="BU183" s="10" t="b">
        <f t="shared" si="28"/>
        <v>1</v>
      </c>
      <c r="BV183" s="120"/>
      <c r="BW183" s="120"/>
      <c r="BX183" s="120"/>
      <c r="BY183" s="120"/>
      <c r="BZ183" s="120"/>
      <c r="CA183" s="120"/>
      <c r="CB183" s="120"/>
      <c r="CC183" s="120"/>
    </row>
    <row r="184">
      <c r="A184" s="2" t="s">
        <v>738</v>
      </c>
      <c r="B184" s="100">
        <v>44573.0</v>
      </c>
      <c r="C184" s="101">
        <v>0.38538194444444446</v>
      </c>
      <c r="D184" s="102"/>
      <c r="E184" s="102"/>
      <c r="F184" s="102"/>
      <c r="G184" s="102"/>
      <c r="H184" s="102"/>
      <c r="I184" s="103"/>
      <c r="J184" s="103"/>
      <c r="K184" s="2" t="s">
        <v>244</v>
      </c>
      <c r="L184" s="100">
        <v>44575.0</v>
      </c>
      <c r="M184" s="101">
        <v>0.48203703703703704</v>
      </c>
      <c r="P184" s="104" t="b">
        <f>IFNA(IF(VLOOKUP($A184,'Add from APT'!$AA$2:$AC826,3,FALSE)&gt;0,TRUE,FALSE),"ER - NOT IN APT")</f>
        <v>0</v>
      </c>
      <c r="Q184" s="105" t="str">
        <f>IF(ISLOGICAL(P184),IF(P184,"ER - REPS IN APT", IFNA(VLOOKUP($A184,RAW_APT!$A$3:$M826,7,FALSE),"ER - NOT IN APT")),P184)</f>
        <v>Result</v>
      </c>
      <c r="R184" s="106" t="b">
        <f t="shared" si="2"/>
        <v>1</v>
      </c>
      <c r="S184" s="107">
        <f t="shared" si="3"/>
        <v>1</v>
      </c>
      <c r="T184" s="143"/>
      <c r="U184" s="142"/>
      <c r="V184" s="142"/>
      <c r="W184" s="142"/>
      <c r="X184" s="110" t="b">
        <f t="shared" si="4"/>
        <v>0</v>
      </c>
      <c r="Y184" s="111" t="b">
        <v>0</v>
      </c>
      <c r="Z184" s="104" t="str">
        <f t="shared" si="5"/>
        <v/>
      </c>
      <c r="AA184" s="112" t="b">
        <f t="shared" si="6"/>
        <v>0</v>
      </c>
      <c r="AB184" s="142" t="b">
        <v>0</v>
      </c>
      <c r="AC184" s="140">
        <v>618.0</v>
      </c>
      <c r="AD184" s="141" t="b">
        <v>0</v>
      </c>
      <c r="AE184" s="115" t="str">
        <f t="shared" si="7"/>
        <v/>
      </c>
      <c r="AF184" s="116" t="b">
        <f t="shared" si="8"/>
        <v>0</v>
      </c>
      <c r="AG184" s="105" t="b">
        <f t="shared" si="9"/>
        <v>0</v>
      </c>
      <c r="AH184" s="140"/>
      <c r="AI184" s="140"/>
      <c r="AJ184" s="140"/>
      <c r="AK184" s="117" t="str">
        <f t="shared" si="10"/>
        <v>Negative</v>
      </c>
      <c r="AL184" s="142"/>
      <c r="AM184" s="112" t="s">
        <v>261</v>
      </c>
      <c r="AN184" s="112" t="s">
        <v>675</v>
      </c>
      <c r="AO184" s="112" t="str">
        <f>IFERROR(__xludf.DUMMYFUNCTION("IF($AG184, ""DELETED"",TRIM(JOIN("" "",D184:E184)))"),"")</f>
        <v/>
      </c>
      <c r="AP184" s="112" t="str">
        <f t="shared" ref="AP184:AQ184" si="209">IF($AG184, "DELETED", TRIM(CONCATENATE(F184,I184,U184)))</f>
        <v/>
      </c>
      <c r="AQ184" s="112" t="str">
        <f t="shared" si="209"/>
        <v/>
      </c>
      <c r="AR184" s="112" t="str">
        <f>IFERROR(__xludf.DUMMYFUNCTION("IF($AG184, ""DELETED"", TRIM(JOIN("" "",AP184,AQ184)))"),"")</f>
        <v/>
      </c>
      <c r="AS184" s="118"/>
      <c r="AT184" s="110" t="b">
        <f t="shared" si="12"/>
        <v>0</v>
      </c>
      <c r="AU184" s="110" t="str">
        <f t="shared" si="13"/>
        <v/>
      </c>
      <c r="AV184" s="110" t="str">
        <f t="shared" si="14"/>
        <v/>
      </c>
      <c r="AW184" s="110" t="str">
        <f t="shared" si="15"/>
        <v/>
      </c>
      <c r="AX184" s="119" t="str">
        <f t="shared" si="16"/>
        <v/>
      </c>
      <c r="AY184" s="120"/>
      <c r="AZ184" s="121"/>
      <c r="BA184" s="122" t="str">
        <f t="shared" si="17"/>
        <v/>
      </c>
      <c r="BB184" s="34"/>
      <c r="BC184" s="121"/>
      <c r="BD184" s="136"/>
      <c r="BE184" s="125" t="str">
        <f t="shared" si="18"/>
        <v/>
      </c>
      <c r="BF184" s="126" t="str">
        <f t="shared" si="19"/>
        <v>MAX107__44573_0.385381944444444</v>
      </c>
      <c r="BG184" s="127" t="str">
        <f t="shared" si="20"/>
        <v/>
      </c>
      <c r="BH184" s="137" t="s">
        <v>739</v>
      </c>
      <c r="BI184" s="128" t="str">
        <f t="shared" si="21"/>
        <v>FM521</v>
      </c>
      <c r="BJ184" s="129" t="b">
        <f t="shared" si="22"/>
        <v>0</v>
      </c>
      <c r="BK184" s="128" t="str">
        <f t="shared" si="23"/>
        <v/>
      </c>
      <c r="BL184" s="121"/>
      <c r="BM184" s="5" t="str">
        <f t="shared" si="24"/>
        <v>MISSING</v>
      </c>
      <c r="BN184" s="120" t="b">
        <f t="shared" si="25"/>
        <v>0</v>
      </c>
      <c r="BO184" s="131" t="b">
        <f t="shared" si="26"/>
        <v>1</v>
      </c>
      <c r="BP184" s="121"/>
      <c r="BQ184" s="132" t="str">
        <f>VLOOKUP(A184,RAW_APS!A$3:O826,15,FALSE)</f>
        <v/>
      </c>
      <c r="BR184" s="120" t="b">
        <f t="shared" si="27"/>
        <v>1</v>
      </c>
      <c r="BS184" s="121"/>
      <c r="BT184" s="138" t="s">
        <v>244</v>
      </c>
      <c r="BU184" s="10" t="b">
        <f t="shared" si="28"/>
        <v>1</v>
      </c>
      <c r="BV184" s="120"/>
      <c r="BW184" s="120"/>
      <c r="BX184" s="120"/>
      <c r="BY184" s="120"/>
      <c r="BZ184" s="120"/>
      <c r="CA184" s="120"/>
      <c r="CB184" s="120"/>
      <c r="CC184" s="120"/>
    </row>
    <row r="185">
      <c r="A185" s="2" t="s">
        <v>740</v>
      </c>
      <c r="B185" s="100">
        <v>44573.0</v>
      </c>
      <c r="C185" s="101">
        <v>0.3858564814814815</v>
      </c>
      <c r="D185" s="102"/>
      <c r="E185" s="102"/>
      <c r="F185" s="139"/>
      <c r="G185" s="148"/>
      <c r="H185" s="148"/>
      <c r="I185" s="103"/>
      <c r="J185" s="103"/>
      <c r="K185" s="2" t="s">
        <v>52</v>
      </c>
      <c r="L185" s="100">
        <v>44579.0</v>
      </c>
      <c r="M185" s="101">
        <v>0.5015856481481481</v>
      </c>
      <c r="P185" s="104" t="b">
        <f>IFNA(IF(VLOOKUP($A185,'Add from APT'!$AA$2:$AC826,3,FALSE)&gt;0,TRUE,FALSE),"ER - NOT IN APT")</f>
        <v>0</v>
      </c>
      <c r="Q185" s="105" t="str">
        <f>IF(ISLOGICAL(P185),IF(P185,"ER - REPS IN APT", IFNA(VLOOKUP($A185,RAW_APT!$A$3:$M826,7,FALSE),"ER - NOT IN APT")),P185)</f>
        <v>Result</v>
      </c>
      <c r="R185" s="106" t="b">
        <f t="shared" si="2"/>
        <v>1</v>
      </c>
      <c r="S185" s="107">
        <f t="shared" si="3"/>
        <v>1</v>
      </c>
      <c r="T185" s="140">
        <v>0.0</v>
      </c>
      <c r="U185" s="141"/>
      <c r="V185" s="142"/>
      <c r="W185" s="141"/>
      <c r="X185" s="110" t="b">
        <f t="shared" si="4"/>
        <v>0</v>
      </c>
      <c r="Y185" s="111" t="b">
        <v>0</v>
      </c>
      <c r="Z185" s="104" t="str">
        <f t="shared" si="5"/>
        <v/>
      </c>
      <c r="AA185" s="112" t="b">
        <f t="shared" si="6"/>
        <v>0</v>
      </c>
      <c r="AB185" s="142" t="b">
        <v>0</v>
      </c>
      <c r="AC185" s="140">
        <v>617.0</v>
      </c>
      <c r="AD185" s="141" t="b">
        <v>0</v>
      </c>
      <c r="AE185" s="115" t="str">
        <f t="shared" si="7"/>
        <v/>
      </c>
      <c r="AF185" s="116" t="b">
        <f t="shared" si="8"/>
        <v>0</v>
      </c>
      <c r="AG185" s="105" t="b">
        <f t="shared" si="9"/>
        <v>0</v>
      </c>
      <c r="AH185" s="140"/>
      <c r="AI185" s="140"/>
      <c r="AJ185" s="140"/>
      <c r="AK185" s="117" t="str">
        <f t="shared" si="10"/>
        <v>Positive</v>
      </c>
      <c r="AL185" s="142"/>
      <c r="AM185" s="112" t="s">
        <v>261</v>
      </c>
      <c r="AN185" s="112" t="s">
        <v>741</v>
      </c>
      <c r="AO185" s="112" t="str">
        <f>IFERROR(__xludf.DUMMYFUNCTION("IF($AG185, ""DELETED"",TRIM(JOIN("" "",D185:E185)))"),"")</f>
        <v/>
      </c>
      <c r="AP185" s="112" t="str">
        <f t="shared" ref="AP185:AQ185" si="210">IF($AG185, "DELETED", TRIM(CONCATENATE(F185,I185,U185)))</f>
        <v/>
      </c>
      <c r="AQ185" s="112" t="str">
        <f t="shared" si="210"/>
        <v/>
      </c>
      <c r="AR185" s="112" t="str">
        <f>IFERROR(__xludf.DUMMYFUNCTION("IF($AG185, ""DELETED"", TRIM(JOIN("" "",AP185,AQ185)))"),"")</f>
        <v/>
      </c>
      <c r="AS185" s="118"/>
      <c r="AT185" s="110" t="b">
        <f t="shared" si="12"/>
        <v>0</v>
      </c>
      <c r="AU185" s="110" t="str">
        <f t="shared" si="13"/>
        <v/>
      </c>
      <c r="AV185" s="110" t="str">
        <f t="shared" si="14"/>
        <v/>
      </c>
      <c r="AW185" s="110" t="str">
        <f t="shared" si="15"/>
        <v/>
      </c>
      <c r="AX185" s="119" t="str">
        <f t="shared" si="16"/>
        <v/>
      </c>
      <c r="AY185" s="120"/>
      <c r="AZ185" s="121"/>
      <c r="BA185" s="122" t="str">
        <f t="shared" si="17"/>
        <v/>
      </c>
      <c r="BB185" s="34"/>
      <c r="BC185" s="121"/>
      <c r="BD185" s="136"/>
      <c r="BE185" s="125" t="str">
        <f t="shared" si="18"/>
        <v/>
      </c>
      <c r="BF185" s="126" t="str">
        <f t="shared" si="19"/>
        <v>MAX72__44573_0.385856481481482</v>
      </c>
      <c r="BG185" s="127" t="str">
        <f t="shared" si="20"/>
        <v/>
      </c>
      <c r="BH185" s="137" t="s">
        <v>742</v>
      </c>
      <c r="BI185" s="128" t="str">
        <f t="shared" si="21"/>
        <v>FM525</v>
      </c>
      <c r="BJ185" s="129" t="b">
        <f t="shared" si="22"/>
        <v>0</v>
      </c>
      <c r="BK185" s="128" t="str">
        <f t="shared" si="23"/>
        <v/>
      </c>
      <c r="BL185" s="121"/>
      <c r="BM185" s="5" t="str">
        <f t="shared" si="24"/>
        <v>MISSING</v>
      </c>
      <c r="BN185" s="120" t="b">
        <f t="shared" si="25"/>
        <v>0</v>
      </c>
      <c r="BO185" s="131" t="b">
        <f t="shared" si="26"/>
        <v>1</v>
      </c>
      <c r="BP185" s="121"/>
      <c r="BQ185" s="132" t="str">
        <f>VLOOKUP(A185,RAW_APS!A$3:O826,15,FALSE)</f>
        <v/>
      </c>
      <c r="BR185" s="120" t="b">
        <f t="shared" si="27"/>
        <v>1</v>
      </c>
      <c r="BS185" s="121"/>
      <c r="BT185" s="138" t="s">
        <v>52</v>
      </c>
      <c r="BU185" s="10" t="b">
        <f t="shared" si="28"/>
        <v>1</v>
      </c>
      <c r="BV185" s="120"/>
      <c r="BW185" s="120"/>
      <c r="BX185" s="120"/>
      <c r="BY185" s="120"/>
      <c r="BZ185" s="120"/>
      <c r="CA185" s="120"/>
      <c r="CB185" s="120"/>
      <c r="CC185" s="120"/>
    </row>
    <row r="186">
      <c r="A186" s="2" t="s">
        <v>743</v>
      </c>
      <c r="B186" s="100">
        <v>44573.0</v>
      </c>
      <c r="C186" s="101">
        <v>0.38631944444444444</v>
      </c>
      <c r="D186" s="102"/>
      <c r="E186" s="102"/>
      <c r="F186" s="103"/>
      <c r="G186" s="148"/>
      <c r="H186" s="148"/>
      <c r="I186" s="103"/>
      <c r="J186" s="103"/>
      <c r="K186" s="2" t="s">
        <v>244</v>
      </c>
      <c r="L186" s="100">
        <v>44575.0</v>
      </c>
      <c r="M186" s="101">
        <v>0.48203703703703704</v>
      </c>
      <c r="P186" s="104" t="b">
        <f>IFNA(IF(VLOOKUP($A186,'Add from APT'!$AA$2:$AC826,3,FALSE)&gt;0,TRUE,FALSE),"ER - NOT IN APT")</f>
        <v>0</v>
      </c>
      <c r="Q186" s="105" t="str">
        <f>IF(ISLOGICAL(P186),IF(P186,"ER - REPS IN APT", IFNA(VLOOKUP($A186,RAW_APT!$A$3:$M826,7,FALSE),"ER - NOT IN APT")),P186)</f>
        <v>Result</v>
      </c>
      <c r="R186" s="106" t="b">
        <f t="shared" si="2"/>
        <v>1</v>
      </c>
      <c r="S186" s="107">
        <f t="shared" si="3"/>
        <v>1</v>
      </c>
      <c r="T186" s="140">
        <v>0.0</v>
      </c>
      <c r="V186" s="142"/>
      <c r="W186" s="141"/>
      <c r="X186" s="110" t="b">
        <f t="shared" si="4"/>
        <v>0</v>
      </c>
      <c r="Y186" s="111" t="b">
        <v>0</v>
      </c>
      <c r="Z186" s="104" t="str">
        <f t="shared" si="5"/>
        <v/>
      </c>
      <c r="AA186" s="112" t="b">
        <f t="shared" si="6"/>
        <v>0</v>
      </c>
      <c r="AB186" s="142" t="b">
        <v>0</v>
      </c>
      <c r="AC186" s="140">
        <v>616.0</v>
      </c>
      <c r="AD186" s="141" t="b">
        <v>0</v>
      </c>
      <c r="AE186" s="115" t="str">
        <f t="shared" si="7"/>
        <v/>
      </c>
      <c r="AF186" s="116" t="b">
        <f t="shared" si="8"/>
        <v>0</v>
      </c>
      <c r="AG186" s="105" t="b">
        <f t="shared" si="9"/>
        <v>0</v>
      </c>
      <c r="AH186" s="140"/>
      <c r="AI186" s="140"/>
      <c r="AJ186" s="140"/>
      <c r="AK186" s="117" t="str">
        <f t="shared" si="10"/>
        <v>Negative</v>
      </c>
      <c r="AL186" s="142"/>
      <c r="AM186" s="112" t="s">
        <v>261</v>
      </c>
      <c r="AN186" s="112" t="s">
        <v>681</v>
      </c>
      <c r="AO186" s="112" t="str">
        <f>IFERROR(__xludf.DUMMYFUNCTION("IF($AG186, ""DELETED"",TRIM(JOIN("" "",D186:E186)))"),"")</f>
        <v/>
      </c>
      <c r="AP186" s="112" t="str">
        <f t="shared" ref="AP186:AQ186" si="211">IF($AG186, "DELETED", TRIM(CONCATENATE(F186,I186,U186)))</f>
        <v/>
      </c>
      <c r="AQ186" s="112" t="str">
        <f t="shared" si="211"/>
        <v/>
      </c>
      <c r="AR186" s="112" t="str">
        <f>IFERROR(__xludf.DUMMYFUNCTION("IF($AG186, ""DELETED"", TRIM(JOIN("" "",AP186,AQ186)))"),"")</f>
        <v/>
      </c>
      <c r="AS186" s="118"/>
      <c r="AT186" s="110" t="b">
        <f t="shared" si="12"/>
        <v>0</v>
      </c>
      <c r="AU186" s="110" t="str">
        <f t="shared" si="13"/>
        <v/>
      </c>
      <c r="AV186" s="110" t="str">
        <f t="shared" si="14"/>
        <v/>
      </c>
      <c r="AW186" s="110" t="str">
        <f t="shared" si="15"/>
        <v/>
      </c>
      <c r="AX186" s="119" t="str">
        <f t="shared" si="16"/>
        <v/>
      </c>
      <c r="AY186" s="120"/>
      <c r="AZ186" s="121"/>
      <c r="BA186" s="122" t="str">
        <f t="shared" si="17"/>
        <v/>
      </c>
      <c r="BB186" s="34"/>
      <c r="BC186" s="121"/>
      <c r="BD186" s="136"/>
      <c r="BE186" s="125" t="str">
        <f t="shared" si="18"/>
        <v/>
      </c>
      <c r="BF186" s="126" t="str">
        <f t="shared" si="19"/>
        <v>MAX81__44573_0.386319444444444</v>
      </c>
      <c r="BG186" s="127" t="str">
        <f t="shared" si="20"/>
        <v/>
      </c>
      <c r="BH186" s="137" t="s">
        <v>744</v>
      </c>
      <c r="BI186" s="128" t="str">
        <f t="shared" si="21"/>
        <v>FM529</v>
      </c>
      <c r="BJ186" s="129" t="b">
        <f t="shared" si="22"/>
        <v>0</v>
      </c>
      <c r="BK186" s="128" t="str">
        <f t="shared" si="23"/>
        <v/>
      </c>
      <c r="BL186" s="121"/>
      <c r="BM186" s="5" t="str">
        <f t="shared" si="24"/>
        <v>MISSING</v>
      </c>
      <c r="BN186" s="120" t="b">
        <f t="shared" si="25"/>
        <v>0</v>
      </c>
      <c r="BO186" s="131" t="b">
        <f t="shared" si="26"/>
        <v>1</v>
      </c>
      <c r="BP186" s="121"/>
      <c r="BQ186" s="132" t="str">
        <f>VLOOKUP(A186,RAW_APS!A$3:O826,15,FALSE)</f>
        <v/>
      </c>
      <c r="BR186" s="120" t="b">
        <f t="shared" si="27"/>
        <v>1</v>
      </c>
      <c r="BS186" s="121"/>
      <c r="BT186" s="138" t="s">
        <v>244</v>
      </c>
      <c r="BU186" s="10" t="b">
        <f t="shared" si="28"/>
        <v>1</v>
      </c>
      <c r="BV186" s="120"/>
      <c r="BW186" s="120"/>
      <c r="BX186" s="120"/>
      <c r="BY186" s="120"/>
      <c r="BZ186" s="120"/>
      <c r="CA186" s="120"/>
      <c r="CB186" s="120"/>
      <c r="CC186" s="120"/>
    </row>
    <row r="187">
      <c r="A187" s="2" t="s">
        <v>745</v>
      </c>
      <c r="B187" s="100">
        <v>44573.0</v>
      </c>
      <c r="C187" s="101">
        <v>0.3869444444444444</v>
      </c>
      <c r="D187" s="102"/>
      <c r="E187" s="102"/>
      <c r="F187" s="103"/>
      <c r="G187" s="148"/>
      <c r="H187" s="148"/>
      <c r="I187" s="103"/>
      <c r="J187" s="103"/>
      <c r="K187" s="2" t="s">
        <v>52</v>
      </c>
      <c r="L187" s="100">
        <v>44579.0</v>
      </c>
      <c r="M187" s="101">
        <v>0.5015856481481481</v>
      </c>
      <c r="P187" s="104" t="b">
        <f>IFNA(IF(VLOOKUP($A187,'Add from APT'!$AA$2:$AC826,3,FALSE)&gt;0,TRUE,FALSE),"ER - NOT IN APT")</f>
        <v>0</v>
      </c>
      <c r="Q187" s="105" t="str">
        <f>IF(ISLOGICAL(P187),IF(P187,"ER - REPS IN APT", IFNA(VLOOKUP($A187,RAW_APT!$A$3:$M826,7,FALSE),"ER - NOT IN APT")),P187)</f>
        <v>Result</v>
      </c>
      <c r="R187" s="106" t="b">
        <f t="shared" si="2"/>
        <v>1</v>
      </c>
      <c r="S187" s="107">
        <f t="shared" si="3"/>
        <v>1</v>
      </c>
      <c r="T187" s="140">
        <v>0.0</v>
      </c>
      <c r="V187" s="142"/>
      <c r="W187" s="141"/>
      <c r="X187" s="110" t="b">
        <f t="shared" si="4"/>
        <v>0</v>
      </c>
      <c r="Y187" s="111" t="b">
        <v>0</v>
      </c>
      <c r="Z187" s="104" t="str">
        <f t="shared" si="5"/>
        <v/>
      </c>
      <c r="AA187" s="112" t="b">
        <f t="shared" si="6"/>
        <v>0</v>
      </c>
      <c r="AB187" s="142" t="b">
        <v>0</v>
      </c>
      <c r="AC187" s="140">
        <v>615.0</v>
      </c>
      <c r="AD187" s="141" t="b">
        <v>0</v>
      </c>
      <c r="AE187" s="115" t="str">
        <f t="shared" si="7"/>
        <v/>
      </c>
      <c r="AF187" s="116" t="b">
        <f t="shared" si="8"/>
        <v>0</v>
      </c>
      <c r="AG187" s="105" t="b">
        <f t="shared" si="9"/>
        <v>0</v>
      </c>
      <c r="AH187" s="140"/>
      <c r="AI187" s="140"/>
      <c r="AJ187" s="140"/>
      <c r="AK187" s="117" t="str">
        <f t="shared" si="10"/>
        <v>Positive</v>
      </c>
      <c r="AL187" s="142"/>
      <c r="AM187" s="112" t="s">
        <v>261</v>
      </c>
      <c r="AN187" s="112" t="s">
        <v>684</v>
      </c>
      <c r="AO187" s="112" t="str">
        <f>IFERROR(__xludf.DUMMYFUNCTION("IF($AG187, ""DELETED"",TRIM(JOIN("" "",D187:E187)))"),"")</f>
        <v/>
      </c>
      <c r="AP187" s="112" t="str">
        <f t="shared" ref="AP187:AQ187" si="212">IF($AG187, "DELETED", TRIM(CONCATENATE(F187,I187,U187)))</f>
        <v/>
      </c>
      <c r="AQ187" s="112" t="str">
        <f t="shared" si="212"/>
        <v/>
      </c>
      <c r="AR187" s="112" t="str">
        <f>IFERROR(__xludf.DUMMYFUNCTION("IF($AG187, ""DELETED"", TRIM(JOIN("" "",AP187,AQ187)))"),"")</f>
        <v/>
      </c>
      <c r="AS187" s="118"/>
      <c r="AT187" s="110" t="b">
        <f t="shared" si="12"/>
        <v>0</v>
      </c>
      <c r="AU187" s="110" t="str">
        <f t="shared" si="13"/>
        <v/>
      </c>
      <c r="AV187" s="110" t="str">
        <f t="shared" si="14"/>
        <v/>
      </c>
      <c r="AW187" s="110" t="str">
        <f t="shared" si="15"/>
        <v/>
      </c>
      <c r="AX187" s="119" t="str">
        <f t="shared" si="16"/>
        <v/>
      </c>
      <c r="AY187" s="120"/>
      <c r="AZ187" s="121"/>
      <c r="BA187" s="122" t="str">
        <f t="shared" si="17"/>
        <v/>
      </c>
      <c r="BB187" s="34"/>
      <c r="BC187" s="121"/>
      <c r="BD187" s="136"/>
      <c r="BE187" s="125" t="str">
        <f t="shared" si="18"/>
        <v/>
      </c>
      <c r="BF187" s="126" t="str">
        <f t="shared" si="19"/>
        <v>MAX36__44573_0.386944444444444</v>
      </c>
      <c r="BG187" s="127" t="str">
        <f t="shared" si="20"/>
        <v/>
      </c>
      <c r="BH187" s="137" t="s">
        <v>746</v>
      </c>
      <c r="BI187" s="128" t="str">
        <f t="shared" si="21"/>
        <v>FM53</v>
      </c>
      <c r="BJ187" s="129" t="b">
        <f t="shared" si="22"/>
        <v>0</v>
      </c>
      <c r="BK187" s="128" t="str">
        <f t="shared" si="23"/>
        <v/>
      </c>
      <c r="BL187" s="121"/>
      <c r="BM187" s="5" t="str">
        <f t="shared" si="24"/>
        <v>MISSING</v>
      </c>
      <c r="BN187" s="120" t="b">
        <f t="shared" si="25"/>
        <v>0</v>
      </c>
      <c r="BO187" s="131" t="b">
        <f t="shared" si="26"/>
        <v>1</v>
      </c>
      <c r="BP187" s="121"/>
      <c r="BQ187" s="132" t="str">
        <f>VLOOKUP(A187,RAW_APS!A$3:O826,15,FALSE)</f>
        <v/>
      </c>
      <c r="BR187" s="120" t="b">
        <f t="shared" si="27"/>
        <v>1</v>
      </c>
      <c r="BS187" s="121"/>
      <c r="BT187" s="138" t="s">
        <v>52</v>
      </c>
      <c r="BU187" s="10" t="b">
        <f t="shared" si="28"/>
        <v>1</v>
      </c>
      <c r="BV187" s="120"/>
      <c r="BW187" s="120"/>
      <c r="BX187" s="120"/>
      <c r="BY187" s="120"/>
      <c r="BZ187" s="120"/>
      <c r="CA187" s="120"/>
      <c r="CB187" s="120"/>
      <c r="CC187" s="120"/>
    </row>
    <row r="188">
      <c r="A188" s="2" t="s">
        <v>747</v>
      </c>
      <c r="B188" s="100">
        <v>44573.0</v>
      </c>
      <c r="C188" s="101">
        <v>0.3873263888888889</v>
      </c>
      <c r="D188" s="102"/>
      <c r="E188" s="102"/>
      <c r="F188" s="103"/>
      <c r="G188" s="148"/>
      <c r="H188" s="148"/>
      <c r="I188" s="103"/>
      <c r="J188" s="103"/>
      <c r="K188" s="2" t="s">
        <v>244</v>
      </c>
      <c r="L188" s="100">
        <v>44575.0</v>
      </c>
      <c r="M188" s="101">
        <v>0.48203703703703704</v>
      </c>
      <c r="P188" s="104" t="b">
        <f>IFNA(IF(VLOOKUP($A188,'Add from APT'!$AA$2:$AC826,3,FALSE)&gt;0,TRUE,FALSE),"ER - NOT IN APT")</f>
        <v>0</v>
      </c>
      <c r="Q188" s="105" t="str">
        <f>IF(ISLOGICAL(P188),IF(P188,"ER - REPS IN APT", IFNA(VLOOKUP($A188,RAW_APT!$A$3:$M826,7,FALSE),"ER - NOT IN APT")),P188)</f>
        <v>Result</v>
      </c>
      <c r="R188" s="106" t="b">
        <f t="shared" si="2"/>
        <v>1</v>
      </c>
      <c r="S188" s="107">
        <f t="shared" si="3"/>
        <v>1</v>
      </c>
      <c r="T188" s="140">
        <v>0.0</v>
      </c>
      <c r="V188" s="142"/>
      <c r="W188" s="141"/>
      <c r="X188" s="110" t="b">
        <f t="shared" si="4"/>
        <v>0</v>
      </c>
      <c r="Y188" s="111" t="b">
        <v>0</v>
      </c>
      <c r="Z188" s="104" t="str">
        <f t="shared" si="5"/>
        <v/>
      </c>
      <c r="AA188" s="112" t="b">
        <f t="shared" si="6"/>
        <v>0</v>
      </c>
      <c r="AB188" s="142" t="b">
        <v>0</v>
      </c>
      <c r="AC188" s="140">
        <v>614.0</v>
      </c>
      <c r="AD188" s="141" t="b">
        <v>0</v>
      </c>
      <c r="AE188" s="115" t="str">
        <f t="shared" si="7"/>
        <v/>
      </c>
      <c r="AF188" s="116" t="b">
        <f t="shared" si="8"/>
        <v>0</v>
      </c>
      <c r="AG188" s="105" t="b">
        <f t="shared" si="9"/>
        <v>0</v>
      </c>
      <c r="AH188" s="140"/>
      <c r="AI188" s="140"/>
      <c r="AJ188" s="140"/>
      <c r="AK188" s="117" t="str">
        <f t="shared" si="10"/>
        <v>Negative</v>
      </c>
      <c r="AL188" s="142"/>
      <c r="AM188" s="112" t="s">
        <v>261</v>
      </c>
      <c r="AN188" s="112" t="s">
        <v>678</v>
      </c>
      <c r="AO188" s="112" t="str">
        <f>IFERROR(__xludf.DUMMYFUNCTION("IF($AG188, ""DELETED"",TRIM(JOIN("" "",D188:E188)))"),"")</f>
        <v/>
      </c>
      <c r="AP188" s="112" t="str">
        <f t="shared" ref="AP188:AQ188" si="213">IF($AG188, "DELETED", TRIM(CONCATENATE(F188,I188,U188)))</f>
        <v/>
      </c>
      <c r="AQ188" s="112" t="str">
        <f t="shared" si="213"/>
        <v/>
      </c>
      <c r="AR188" s="112" t="str">
        <f>IFERROR(__xludf.DUMMYFUNCTION("IF($AG188, ""DELETED"", TRIM(JOIN("" "",AP188,AQ188)))"),"")</f>
        <v/>
      </c>
      <c r="AS188" s="118"/>
      <c r="AT188" s="110" t="b">
        <f t="shared" si="12"/>
        <v>0</v>
      </c>
      <c r="AU188" s="110" t="str">
        <f t="shared" si="13"/>
        <v/>
      </c>
      <c r="AV188" s="110" t="str">
        <f t="shared" si="14"/>
        <v/>
      </c>
      <c r="AW188" s="110" t="str">
        <f t="shared" si="15"/>
        <v/>
      </c>
      <c r="AX188" s="119" t="str">
        <f t="shared" si="16"/>
        <v/>
      </c>
      <c r="AY188" s="120"/>
      <c r="AZ188" s="121"/>
      <c r="BA188" s="122" t="str">
        <f t="shared" si="17"/>
        <v/>
      </c>
      <c r="BB188" s="34"/>
      <c r="BC188" s="121"/>
      <c r="BD188" s="136"/>
      <c r="BE188" s="125" t="str">
        <f t="shared" si="18"/>
        <v/>
      </c>
      <c r="BF188" s="126" t="str">
        <f t="shared" si="19"/>
        <v>MAX104__44573_0.387326388888889</v>
      </c>
      <c r="BG188" s="127" t="str">
        <f t="shared" si="20"/>
        <v/>
      </c>
      <c r="BH188" s="137" t="s">
        <v>748</v>
      </c>
      <c r="BI188" s="128" t="str">
        <f t="shared" si="21"/>
        <v>FM532</v>
      </c>
      <c r="BJ188" s="129" t="b">
        <f t="shared" si="22"/>
        <v>0</v>
      </c>
      <c r="BK188" s="128" t="str">
        <f t="shared" si="23"/>
        <v/>
      </c>
      <c r="BL188" s="121"/>
      <c r="BM188" s="5" t="str">
        <f t="shared" si="24"/>
        <v>MISSING</v>
      </c>
      <c r="BN188" s="120" t="b">
        <f t="shared" si="25"/>
        <v>0</v>
      </c>
      <c r="BO188" s="131" t="b">
        <f t="shared" si="26"/>
        <v>1</v>
      </c>
      <c r="BP188" s="121"/>
      <c r="BQ188" s="132" t="str">
        <f>VLOOKUP(A188,RAW_APS!A$3:O826,15,FALSE)</f>
        <v/>
      </c>
      <c r="BR188" s="120" t="b">
        <f t="shared" si="27"/>
        <v>1</v>
      </c>
      <c r="BS188" s="121"/>
      <c r="BT188" s="138" t="s">
        <v>244</v>
      </c>
      <c r="BU188" s="10" t="b">
        <f t="shared" si="28"/>
        <v>1</v>
      </c>
      <c r="BV188" s="120"/>
      <c r="BW188" s="120"/>
      <c r="BX188" s="120"/>
      <c r="BY188" s="120"/>
      <c r="BZ188" s="120"/>
      <c r="CA188" s="120"/>
      <c r="CB188" s="120"/>
      <c r="CC188" s="120"/>
    </row>
    <row r="189">
      <c r="A189" s="2" t="s">
        <v>749</v>
      </c>
      <c r="B189" s="100">
        <v>44573.0</v>
      </c>
      <c r="C189" s="101">
        <v>0.39944444444444444</v>
      </c>
      <c r="D189" s="102"/>
      <c r="E189" s="102"/>
      <c r="F189" s="102"/>
      <c r="G189" s="102"/>
      <c r="H189" s="102"/>
      <c r="I189" s="103"/>
      <c r="J189" s="103"/>
      <c r="K189" s="2" t="s">
        <v>244</v>
      </c>
      <c r="L189" s="100">
        <v>44575.0</v>
      </c>
      <c r="M189" s="101">
        <v>0.48204861111111114</v>
      </c>
      <c r="P189" s="104" t="b">
        <f>IFNA(IF(VLOOKUP($A189,'Add from APT'!$AA$2:$AC826,3,FALSE)&gt;0,TRUE,FALSE),"ER - NOT IN APT")</f>
        <v>0</v>
      </c>
      <c r="Q189" s="105" t="str">
        <f>IF(ISLOGICAL(P189),IF(P189,"ER - REPS IN APT", IFNA(VLOOKUP($A189,RAW_APT!$A$3:$M826,7,FALSE),"ER - NOT IN APT")),P189)</f>
        <v>Result</v>
      </c>
      <c r="R189" s="106" t="b">
        <f t="shared" si="2"/>
        <v>1</v>
      </c>
      <c r="S189" s="107">
        <f t="shared" si="3"/>
        <v>1</v>
      </c>
      <c r="T189" s="143"/>
      <c r="U189" s="142"/>
      <c r="V189" s="142"/>
      <c r="W189" s="142"/>
      <c r="X189" s="110" t="b">
        <f t="shared" si="4"/>
        <v>0</v>
      </c>
      <c r="Y189" s="111" t="b">
        <v>0</v>
      </c>
      <c r="Z189" s="104" t="str">
        <f t="shared" si="5"/>
        <v/>
      </c>
      <c r="AA189" s="112" t="b">
        <f t="shared" si="6"/>
        <v>0</v>
      </c>
      <c r="AB189" s="142" t="b">
        <v>0</v>
      </c>
      <c r="AC189" s="140">
        <v>613.0</v>
      </c>
      <c r="AD189" s="141" t="b">
        <v>0</v>
      </c>
      <c r="AE189" s="115" t="str">
        <f t="shared" si="7"/>
        <v/>
      </c>
      <c r="AF189" s="116" t="b">
        <f t="shared" si="8"/>
        <v>0</v>
      </c>
      <c r="AG189" s="105" t="b">
        <f t="shared" si="9"/>
        <v>0</v>
      </c>
      <c r="AH189" s="140"/>
      <c r="AI189" s="140"/>
      <c r="AJ189" s="140"/>
      <c r="AK189" s="117" t="str">
        <f t="shared" si="10"/>
        <v>Negative</v>
      </c>
      <c r="AL189" s="142"/>
      <c r="AM189" s="112" t="s">
        <v>261</v>
      </c>
      <c r="AN189" s="112" t="s">
        <v>357</v>
      </c>
      <c r="AO189" s="112" t="str">
        <f>IFERROR(__xludf.DUMMYFUNCTION("IF($AG189, ""DELETED"",TRIM(JOIN("" "",D189:E189)))"),"")</f>
        <v/>
      </c>
      <c r="AP189" s="112" t="str">
        <f t="shared" ref="AP189:AQ189" si="214">IF($AG189, "DELETED", TRIM(CONCATENATE(F189,I189,U189)))</f>
        <v/>
      </c>
      <c r="AQ189" s="112" t="str">
        <f t="shared" si="214"/>
        <v/>
      </c>
      <c r="AR189" s="112" t="str">
        <f>IFERROR(__xludf.DUMMYFUNCTION("IF($AG189, ""DELETED"", TRIM(JOIN("" "",AP189,AQ189)))"),"")</f>
        <v/>
      </c>
      <c r="AS189" s="118"/>
      <c r="AT189" s="110" t="b">
        <f t="shared" si="12"/>
        <v>0</v>
      </c>
      <c r="AU189" s="110" t="str">
        <f t="shared" si="13"/>
        <v/>
      </c>
      <c r="AV189" s="110" t="str">
        <f t="shared" si="14"/>
        <v/>
      </c>
      <c r="AW189" s="110" t="str">
        <f t="shared" si="15"/>
        <v/>
      </c>
      <c r="AX189" s="119" t="str">
        <f t="shared" si="16"/>
        <v/>
      </c>
      <c r="AY189" s="120"/>
      <c r="AZ189" s="121"/>
      <c r="BA189" s="122" t="str">
        <f t="shared" si="17"/>
        <v/>
      </c>
      <c r="BB189" s="34"/>
      <c r="BC189" s="121"/>
      <c r="BD189" s="136"/>
      <c r="BE189" s="125" t="str">
        <f t="shared" si="18"/>
        <v/>
      </c>
      <c r="BF189" s="126" t="str">
        <f t="shared" si="19"/>
        <v>MA1107__44573_0.399444444444444</v>
      </c>
      <c r="BG189" s="127" t="str">
        <f t="shared" si="20"/>
        <v/>
      </c>
      <c r="BH189" s="137" t="s">
        <v>750</v>
      </c>
      <c r="BI189" s="128" t="str">
        <f t="shared" si="21"/>
        <v>FM533</v>
      </c>
      <c r="BJ189" s="129" t="b">
        <f t="shared" si="22"/>
        <v>0</v>
      </c>
      <c r="BK189" s="128" t="str">
        <f t="shared" si="23"/>
        <v/>
      </c>
      <c r="BL189" s="121"/>
      <c r="BM189" s="5" t="str">
        <f t="shared" si="24"/>
        <v>MISSING</v>
      </c>
      <c r="BN189" s="120" t="b">
        <f t="shared" si="25"/>
        <v>0</v>
      </c>
      <c r="BO189" s="131" t="b">
        <f t="shared" si="26"/>
        <v>1</v>
      </c>
      <c r="BP189" s="121"/>
      <c r="BQ189" s="132" t="str">
        <f>VLOOKUP(A189,RAW_APS!A$3:O826,15,FALSE)</f>
        <v/>
      </c>
      <c r="BR189" s="120" t="b">
        <f t="shared" si="27"/>
        <v>1</v>
      </c>
      <c r="BS189" s="121"/>
      <c r="BT189" s="138" t="s">
        <v>244</v>
      </c>
      <c r="BU189" s="10" t="b">
        <f t="shared" si="28"/>
        <v>1</v>
      </c>
      <c r="BV189" s="120"/>
      <c r="BW189" s="120"/>
      <c r="BX189" s="120"/>
      <c r="BY189" s="120"/>
      <c r="BZ189" s="120"/>
      <c r="CA189" s="120"/>
      <c r="CB189" s="120"/>
      <c r="CC189" s="120"/>
    </row>
    <row r="190">
      <c r="A190" s="2" t="s">
        <v>751</v>
      </c>
      <c r="B190" s="100">
        <v>44573.0</v>
      </c>
      <c r="C190" s="101">
        <v>0.4143287037037037</v>
      </c>
      <c r="D190" s="102"/>
      <c r="E190" s="102"/>
      <c r="F190" s="102"/>
      <c r="G190" s="102"/>
      <c r="H190" s="102"/>
      <c r="I190" s="103"/>
      <c r="J190" s="103"/>
      <c r="K190" s="2" t="s">
        <v>244</v>
      </c>
      <c r="L190" s="100">
        <v>44575.0</v>
      </c>
      <c r="M190" s="101">
        <v>0.48204861111111114</v>
      </c>
      <c r="P190" s="104" t="b">
        <f>IFNA(IF(VLOOKUP($A190,'Add from APT'!$AA$2:$AC826,3,FALSE)&gt;0,TRUE,FALSE),"ER - NOT IN APT")</f>
        <v>0</v>
      </c>
      <c r="Q190" s="105" t="str">
        <f>IF(ISLOGICAL(P190),IF(P190,"ER - REPS IN APT", IFNA(VLOOKUP($A190,RAW_APT!$A$3:$M826,7,FALSE),"ER - NOT IN APT")),P190)</f>
        <v>Result</v>
      </c>
      <c r="R190" s="106" t="b">
        <f t="shared" si="2"/>
        <v>1</v>
      </c>
      <c r="S190" s="107">
        <f t="shared" si="3"/>
        <v>1</v>
      </c>
      <c r="T190" s="140">
        <v>1.0</v>
      </c>
      <c r="V190" s="142"/>
      <c r="W190" s="142"/>
      <c r="X190" s="110" t="b">
        <f t="shared" si="4"/>
        <v>0</v>
      </c>
      <c r="Y190" s="111" t="b">
        <v>0</v>
      </c>
      <c r="Z190" s="104" t="str">
        <f t="shared" si="5"/>
        <v/>
      </c>
      <c r="AA190" s="112" t="b">
        <f t="shared" si="6"/>
        <v>0</v>
      </c>
      <c r="AB190" s="142" t="b">
        <v>0</v>
      </c>
      <c r="AC190" s="140">
        <v>612.0</v>
      </c>
      <c r="AD190" s="141" t="b">
        <v>0</v>
      </c>
      <c r="AE190" s="115" t="str">
        <f t="shared" si="7"/>
        <v/>
      </c>
      <c r="AF190" s="116" t="b">
        <f t="shared" si="8"/>
        <v>0</v>
      </c>
      <c r="AG190" s="105" t="b">
        <f t="shared" si="9"/>
        <v>0</v>
      </c>
      <c r="AH190" s="140"/>
      <c r="AI190" s="140"/>
      <c r="AJ190" s="140"/>
      <c r="AK190" s="117" t="str">
        <f t="shared" si="10"/>
        <v>Negative</v>
      </c>
      <c r="AL190" s="142"/>
      <c r="AM190" s="112" t="s">
        <v>261</v>
      </c>
      <c r="AN190" s="112" t="s">
        <v>521</v>
      </c>
      <c r="AO190" s="112" t="str">
        <f>IFERROR(__xludf.DUMMYFUNCTION("IF($AG190, ""DELETED"",TRIM(JOIN("" "",D190:E190)))"),"")</f>
        <v/>
      </c>
      <c r="AP190" s="112" t="str">
        <f t="shared" ref="AP190:AQ190" si="215">IF($AG190, "DELETED", TRIM(CONCATENATE(F190,I190,U190)))</f>
        <v/>
      </c>
      <c r="AQ190" s="112" t="str">
        <f t="shared" si="215"/>
        <v/>
      </c>
      <c r="AR190" s="112" t="str">
        <f>IFERROR(__xludf.DUMMYFUNCTION("IF($AG190, ""DELETED"", TRIM(JOIN("" "",AP190,AQ190)))"),"")</f>
        <v/>
      </c>
      <c r="AS190" s="118"/>
      <c r="AT190" s="110" t="b">
        <f t="shared" si="12"/>
        <v>0</v>
      </c>
      <c r="AU190" s="110" t="str">
        <f t="shared" si="13"/>
        <v/>
      </c>
      <c r="AV190" s="110" t="str">
        <f t="shared" si="14"/>
        <v/>
      </c>
      <c r="AW190" s="110" t="str">
        <f t="shared" si="15"/>
        <v/>
      </c>
      <c r="AX190" s="119" t="str">
        <f t="shared" si="16"/>
        <v/>
      </c>
      <c r="AY190" s="120"/>
      <c r="AZ190" s="121"/>
      <c r="BA190" s="122" t="str">
        <f t="shared" si="17"/>
        <v/>
      </c>
      <c r="BB190" s="34"/>
      <c r="BC190" s="121"/>
      <c r="BD190" s="136"/>
      <c r="BE190" s="125" t="str">
        <f t="shared" si="18"/>
        <v/>
      </c>
      <c r="BF190" s="126" t="str">
        <f t="shared" si="19"/>
        <v>MA190__44573_0.414328703703704</v>
      </c>
      <c r="BG190" s="127" t="str">
        <f t="shared" si="20"/>
        <v/>
      </c>
      <c r="BH190" s="137" t="s">
        <v>752</v>
      </c>
      <c r="BI190" s="128" t="str">
        <f t="shared" si="21"/>
        <v>FM537</v>
      </c>
      <c r="BJ190" s="129" t="b">
        <f t="shared" si="22"/>
        <v>0</v>
      </c>
      <c r="BK190" s="128" t="str">
        <f t="shared" si="23"/>
        <v/>
      </c>
      <c r="BL190" s="121"/>
      <c r="BM190" s="5" t="str">
        <f t="shared" si="24"/>
        <v>MISSING</v>
      </c>
      <c r="BN190" s="120" t="b">
        <f t="shared" si="25"/>
        <v>0</v>
      </c>
      <c r="BO190" s="131" t="b">
        <f t="shared" si="26"/>
        <v>1</v>
      </c>
      <c r="BP190" s="121"/>
      <c r="BQ190" s="132" t="str">
        <f>VLOOKUP(A190,RAW_APS!A$3:O826,15,FALSE)</f>
        <v/>
      </c>
      <c r="BR190" s="120" t="b">
        <f t="shared" si="27"/>
        <v>1</v>
      </c>
      <c r="BS190" s="121"/>
      <c r="BT190" s="138" t="s">
        <v>244</v>
      </c>
      <c r="BU190" s="10" t="b">
        <f t="shared" si="28"/>
        <v>1</v>
      </c>
      <c r="BV190" s="120"/>
      <c r="BW190" s="120"/>
      <c r="BX190" s="120"/>
      <c r="BY190" s="120"/>
      <c r="BZ190" s="120"/>
      <c r="CA190" s="120"/>
      <c r="CB190" s="120"/>
      <c r="CC190" s="120"/>
    </row>
    <row r="191">
      <c r="A191" s="4" t="s">
        <v>753</v>
      </c>
      <c r="B191" s="44">
        <v>44573.0</v>
      </c>
      <c r="C191" s="150">
        <v>0.4143287037037037</v>
      </c>
      <c r="D191" s="151"/>
      <c r="E191" s="151"/>
      <c r="F191" s="151"/>
      <c r="G191" s="152"/>
      <c r="H191" s="152"/>
      <c r="I191" s="152"/>
      <c r="J191" s="152"/>
      <c r="K191" s="3" t="s">
        <v>244</v>
      </c>
      <c r="L191" s="44">
        <v>44575.0</v>
      </c>
      <c r="M191" s="150">
        <v>0.48204861111111114</v>
      </c>
      <c r="N191" s="5"/>
      <c r="O191" s="3"/>
      <c r="P191" s="104" t="str">
        <f>IFNA(IF(VLOOKUP($A191,'Add from APT'!$AA$2:$AC826,3,FALSE)&gt;0,TRUE,FALSE),"ER - NOT IN APT")</f>
        <v>ER - NOT IN APT</v>
      </c>
      <c r="Q191" s="105" t="str">
        <f>IF(ISLOGICAL(P191),IF(P191,"ER - REPS IN APT", IFNA(VLOOKUP($A191,RAW_APT!$A$3:$M826,7,FALSE),"ER - NOT IN APT")),P191)</f>
        <v>ER - NOT IN APT</v>
      </c>
      <c r="R191" s="106" t="b">
        <f t="shared" si="2"/>
        <v>1</v>
      </c>
      <c r="S191" s="107">
        <f t="shared" si="3"/>
        <v>1</v>
      </c>
      <c r="T191" s="144">
        <v>1.0</v>
      </c>
      <c r="U191" s="3"/>
      <c r="V191" s="5"/>
      <c r="W191" s="5"/>
      <c r="X191" s="110" t="b">
        <f t="shared" si="4"/>
        <v>0</v>
      </c>
      <c r="Y191" s="10" t="b">
        <v>0</v>
      </c>
      <c r="Z191" s="104" t="str">
        <f t="shared" si="5"/>
        <v/>
      </c>
      <c r="AA191" s="112" t="b">
        <f t="shared" si="6"/>
        <v>0</v>
      </c>
      <c r="AB191" s="153" t="b">
        <v>0</v>
      </c>
      <c r="AC191" s="144">
        <v>612.0</v>
      </c>
      <c r="AD191" s="3" t="b">
        <v>0</v>
      </c>
      <c r="AE191" s="115" t="str">
        <f t="shared" si="7"/>
        <v/>
      </c>
      <c r="AF191" s="116" t="b">
        <f t="shared" si="8"/>
        <v>0</v>
      </c>
      <c r="AG191" s="105" t="b">
        <f t="shared" si="9"/>
        <v>1</v>
      </c>
      <c r="AH191" s="145">
        <v>9.1</v>
      </c>
      <c r="AI191" s="145">
        <v>1.3</v>
      </c>
      <c r="AJ191" s="144"/>
      <c r="AK191" s="117" t="str">
        <f t="shared" si="10"/>
        <v>DELETED</v>
      </c>
      <c r="AL191" s="4" t="s">
        <v>754</v>
      </c>
      <c r="AM191" s="112" t="s">
        <v>245</v>
      </c>
      <c r="AN191" s="112" t="s">
        <v>245</v>
      </c>
      <c r="AO191" s="112" t="str">
        <f>IFERROR(__xludf.DUMMYFUNCTION("IF($AG191, ""DELETED"",TRIM(JOIN("" "",D191:E191)))"),"DELETED")</f>
        <v>DELETED</v>
      </c>
      <c r="AP191" s="112" t="str">
        <f t="shared" ref="AP191:AQ191" si="216">IF($AG191, "DELETED", TRIM(CONCATENATE(F191,I191,U191)))</f>
        <v>DELETED</v>
      </c>
      <c r="AQ191" s="112" t="str">
        <f t="shared" si="216"/>
        <v>DELETED</v>
      </c>
      <c r="AR191" s="112" t="str">
        <f>IFERROR(__xludf.DUMMYFUNCTION("IF($AG191, ""DELETED"", TRIM(JOIN("" "",AP191,AQ191)))"),"DELETED")</f>
        <v>DELETED</v>
      </c>
      <c r="AS191" s="118"/>
      <c r="AT191" s="110" t="b">
        <f t="shared" si="12"/>
        <v>1</v>
      </c>
      <c r="AU191" s="110" t="str">
        <f t="shared" si="13"/>
        <v/>
      </c>
      <c r="AV191" s="110" t="str">
        <f t="shared" si="14"/>
        <v/>
      </c>
      <c r="AW191" s="110" t="str">
        <f t="shared" si="15"/>
        <v/>
      </c>
      <c r="AX191" s="119" t="str">
        <f t="shared" si="16"/>
        <v/>
      </c>
      <c r="AY191" s="120"/>
      <c r="AZ191" s="121"/>
      <c r="BA191" s="122" t="str">
        <f t="shared" si="17"/>
        <v/>
      </c>
      <c r="BB191" s="34"/>
      <c r="BC191" s="121"/>
      <c r="BD191" s="136"/>
      <c r="BE191" s="125" t="str">
        <f t="shared" si="18"/>
        <v/>
      </c>
      <c r="BF191" s="126" t="str">
        <f t="shared" si="19"/>
        <v>MA190A__44573_0.414328703703704</v>
      </c>
      <c r="BG191" s="127" t="str">
        <f t="shared" si="20"/>
        <v/>
      </c>
      <c r="BH191" s="137" t="s">
        <v>755</v>
      </c>
      <c r="BI191" s="128" t="str">
        <f t="shared" si="21"/>
        <v>FM537A</v>
      </c>
      <c r="BJ191" s="129" t="b">
        <f t="shared" si="22"/>
        <v>0</v>
      </c>
      <c r="BK191" s="128" t="str">
        <f t="shared" si="23"/>
        <v/>
      </c>
      <c r="BL191" s="121"/>
      <c r="BM191" s="5" t="str">
        <f t="shared" si="24"/>
        <v/>
      </c>
      <c r="BN191" s="120" t="b">
        <f t="shared" si="25"/>
        <v>0</v>
      </c>
      <c r="BO191" s="131" t="b">
        <f t="shared" si="26"/>
        <v>0</v>
      </c>
      <c r="BP191" s="121"/>
      <c r="BQ191" s="132" t="str">
        <f>VLOOKUP(A191,RAW_APS!A$3:O826,15,FALSE)</f>
        <v>#N/A</v>
      </c>
      <c r="BR191" s="120" t="str">
        <f t="shared" si="27"/>
        <v>***TUBE ID NOT FOUND</v>
      </c>
      <c r="BS191" s="121"/>
      <c r="BT191" s="138" t="s">
        <v>245</v>
      </c>
      <c r="BU191" s="10" t="b">
        <f t="shared" si="28"/>
        <v>1</v>
      </c>
      <c r="BV191" s="120"/>
      <c r="BW191" s="120"/>
      <c r="BX191" s="120"/>
      <c r="BY191" s="120"/>
      <c r="BZ191" s="120"/>
      <c r="CA191" s="120"/>
      <c r="CB191" s="120"/>
      <c r="CC191" s="120"/>
    </row>
    <row r="192">
      <c r="A192" s="2" t="s">
        <v>756</v>
      </c>
      <c r="B192" s="100">
        <v>44573.0</v>
      </c>
      <c r="C192" s="101">
        <v>0.42453703703703705</v>
      </c>
      <c r="D192" s="102"/>
      <c r="E192" s="102"/>
      <c r="F192" s="102"/>
      <c r="G192" s="102"/>
      <c r="H192" s="102"/>
      <c r="I192" s="103"/>
      <c r="J192" s="103"/>
      <c r="K192" s="2" t="s">
        <v>244</v>
      </c>
      <c r="L192" s="100">
        <v>44575.0</v>
      </c>
      <c r="M192" s="101">
        <v>0.48204861111111114</v>
      </c>
      <c r="P192" s="104" t="b">
        <f>IFNA(IF(VLOOKUP($A192,'Add from APT'!$AA$2:$AC826,3,FALSE)&gt;0,TRUE,FALSE),"ER - NOT IN APT")</f>
        <v>0</v>
      </c>
      <c r="Q192" s="105" t="str">
        <f>IF(ISLOGICAL(P192),IF(P192,"ER - REPS IN APT", IFNA(VLOOKUP($A192,RAW_APT!$A$3:$M826,7,FALSE),"ER - NOT IN APT")),P192)</f>
        <v>Result</v>
      </c>
      <c r="R192" s="106" t="b">
        <f t="shared" si="2"/>
        <v>1</v>
      </c>
      <c r="S192" s="107">
        <f t="shared" si="3"/>
        <v>1</v>
      </c>
      <c r="T192" s="143"/>
      <c r="U192" s="142"/>
      <c r="V192" s="142"/>
      <c r="W192" s="142"/>
      <c r="X192" s="110" t="b">
        <f t="shared" si="4"/>
        <v>0</v>
      </c>
      <c r="Y192" s="111" t="b">
        <v>0</v>
      </c>
      <c r="Z192" s="104" t="str">
        <f t="shared" si="5"/>
        <v/>
      </c>
      <c r="AA192" s="112" t="b">
        <f t="shared" si="6"/>
        <v>0</v>
      </c>
      <c r="AB192" s="142" t="b">
        <v>0</v>
      </c>
      <c r="AC192" s="140">
        <v>611.0</v>
      </c>
      <c r="AD192" s="141" t="b">
        <v>0</v>
      </c>
      <c r="AE192" s="115" t="str">
        <f t="shared" si="7"/>
        <v/>
      </c>
      <c r="AF192" s="116" t="b">
        <f t="shared" si="8"/>
        <v>0</v>
      </c>
      <c r="AG192" s="105" t="b">
        <f t="shared" si="9"/>
        <v>0</v>
      </c>
      <c r="AH192" s="140"/>
      <c r="AI192" s="140"/>
      <c r="AJ192" s="140"/>
      <c r="AK192" s="117" t="str">
        <f t="shared" si="10"/>
        <v>Negative</v>
      </c>
      <c r="AL192" s="142"/>
      <c r="AM192" s="112" t="s">
        <v>261</v>
      </c>
      <c r="AN192" s="112" t="s">
        <v>262</v>
      </c>
      <c r="AO192" s="112" t="str">
        <f>IFERROR(__xludf.DUMMYFUNCTION("IF($AG192, ""DELETED"",TRIM(JOIN("" "",D192:E192)))"),"")</f>
        <v/>
      </c>
      <c r="AP192" s="112" t="str">
        <f t="shared" ref="AP192:AQ192" si="217">IF($AG192, "DELETED", TRIM(CONCATENATE(F192,I192,U192)))</f>
        <v/>
      </c>
      <c r="AQ192" s="112" t="str">
        <f t="shared" si="217"/>
        <v/>
      </c>
      <c r="AR192" s="112" t="str">
        <f>IFERROR(__xludf.DUMMYFUNCTION("IF($AG192, ""DELETED"", TRIM(JOIN("" "",AP192,AQ192)))"),"")</f>
        <v/>
      </c>
      <c r="AS192" s="118"/>
      <c r="AT192" s="110" t="b">
        <f t="shared" si="12"/>
        <v>0</v>
      </c>
      <c r="AU192" s="110" t="str">
        <f t="shared" si="13"/>
        <v/>
      </c>
      <c r="AV192" s="110" t="str">
        <f t="shared" si="14"/>
        <v/>
      </c>
      <c r="AW192" s="110" t="str">
        <f t="shared" si="15"/>
        <v/>
      </c>
      <c r="AX192" s="119" t="str">
        <f t="shared" si="16"/>
        <v/>
      </c>
      <c r="AY192" s="120"/>
      <c r="AZ192" s="121"/>
      <c r="BA192" s="122" t="str">
        <f t="shared" si="17"/>
        <v/>
      </c>
      <c r="BB192" s="34"/>
      <c r="BC192" s="121"/>
      <c r="BD192" s="136"/>
      <c r="BE192" s="125" t="str">
        <f t="shared" si="18"/>
        <v/>
      </c>
      <c r="BF192" s="126" t="str">
        <f t="shared" si="19"/>
        <v>MAX92__44573_0.424537037037037</v>
      </c>
      <c r="BG192" s="127" t="str">
        <f t="shared" si="20"/>
        <v/>
      </c>
      <c r="BH192" s="137" t="s">
        <v>757</v>
      </c>
      <c r="BI192" s="128" t="str">
        <f t="shared" si="21"/>
        <v>FM54</v>
      </c>
      <c r="BJ192" s="129" t="b">
        <f t="shared" si="22"/>
        <v>0</v>
      </c>
      <c r="BK192" s="128" t="str">
        <f t="shared" si="23"/>
        <v/>
      </c>
      <c r="BL192" s="121"/>
      <c r="BM192" s="5" t="str">
        <f t="shared" si="24"/>
        <v>MISSING</v>
      </c>
      <c r="BN192" s="120" t="b">
        <f t="shared" si="25"/>
        <v>0</v>
      </c>
      <c r="BO192" s="131" t="b">
        <f t="shared" si="26"/>
        <v>1</v>
      </c>
      <c r="BP192" s="121"/>
      <c r="BQ192" s="132" t="str">
        <f>VLOOKUP(A192,RAW_APS!A$3:O826,15,FALSE)</f>
        <v/>
      </c>
      <c r="BR192" s="120" t="b">
        <f t="shared" si="27"/>
        <v>1</v>
      </c>
      <c r="BS192" s="121"/>
      <c r="BT192" s="138" t="s">
        <v>244</v>
      </c>
      <c r="BU192" s="10" t="b">
        <f t="shared" si="28"/>
        <v>1</v>
      </c>
      <c r="BV192" s="120"/>
      <c r="BW192" s="120"/>
      <c r="BX192" s="120"/>
      <c r="BY192" s="120"/>
      <c r="BZ192" s="120"/>
      <c r="CA192" s="120"/>
      <c r="CB192" s="120"/>
      <c r="CC192" s="120"/>
    </row>
    <row r="193">
      <c r="A193" s="2" t="s">
        <v>758</v>
      </c>
      <c r="B193" s="100">
        <v>44573.0</v>
      </c>
      <c r="C193" s="101">
        <v>0.444224537037037</v>
      </c>
      <c r="D193" s="102"/>
      <c r="E193" s="102"/>
      <c r="F193" s="139"/>
      <c r="G193" s="148"/>
      <c r="H193" s="148"/>
      <c r="I193" s="103"/>
      <c r="J193" s="103"/>
      <c r="K193" s="2" t="s">
        <v>244</v>
      </c>
      <c r="L193" s="100">
        <v>44575.0</v>
      </c>
      <c r="M193" s="101">
        <v>0.48204861111111114</v>
      </c>
      <c r="P193" s="104" t="b">
        <f>IFNA(IF(VLOOKUP($A193,'Add from APT'!$AA$2:$AC826,3,FALSE)&gt;0,TRUE,FALSE),"ER - NOT IN APT")</f>
        <v>0</v>
      </c>
      <c r="Q193" s="105" t="str">
        <f>IF(ISLOGICAL(P193),IF(P193,"ER - REPS IN APT", IFNA(VLOOKUP($A193,RAW_APT!$A$3:$M826,7,FALSE),"ER - NOT IN APT")),P193)</f>
        <v>Result</v>
      </c>
      <c r="R193" s="106" t="b">
        <f t="shared" si="2"/>
        <v>1</v>
      </c>
      <c r="S193" s="107">
        <f t="shared" si="3"/>
        <v>1</v>
      </c>
      <c r="T193" s="140">
        <v>0.0</v>
      </c>
      <c r="U193" s="141"/>
      <c r="V193" s="142"/>
      <c r="W193" s="141"/>
      <c r="X193" s="110" t="b">
        <f t="shared" si="4"/>
        <v>0</v>
      </c>
      <c r="Y193" s="111" t="b">
        <v>0</v>
      </c>
      <c r="Z193" s="104" t="str">
        <f t="shared" si="5"/>
        <v/>
      </c>
      <c r="AA193" s="112" t="b">
        <f t="shared" si="6"/>
        <v>0</v>
      </c>
      <c r="AB193" s="142" t="b">
        <v>0</v>
      </c>
      <c r="AC193" s="140">
        <v>610.0</v>
      </c>
      <c r="AD193" s="141" t="b">
        <v>0</v>
      </c>
      <c r="AE193" s="115" t="str">
        <f t="shared" si="7"/>
        <v/>
      </c>
      <c r="AF193" s="116" t="b">
        <f t="shared" si="8"/>
        <v>0</v>
      </c>
      <c r="AG193" s="105" t="b">
        <f t="shared" si="9"/>
        <v>0</v>
      </c>
      <c r="AH193" s="140"/>
      <c r="AI193" s="140"/>
      <c r="AJ193" s="140"/>
      <c r="AK193" s="117" t="str">
        <f t="shared" si="10"/>
        <v>Negative</v>
      </c>
      <c r="AL193" s="142"/>
      <c r="AM193" s="112" t="s">
        <v>261</v>
      </c>
      <c r="AN193" s="112" t="s">
        <v>759</v>
      </c>
      <c r="AO193" s="112" t="str">
        <f>IFERROR(__xludf.DUMMYFUNCTION("IF($AG193, ""DELETED"",TRIM(JOIN("" "",D193:E193)))"),"")</f>
        <v/>
      </c>
      <c r="AP193" s="112" t="str">
        <f t="shared" ref="AP193:AQ193" si="218">IF($AG193, "DELETED", TRIM(CONCATENATE(F193,I193,U193)))</f>
        <v/>
      </c>
      <c r="AQ193" s="112" t="str">
        <f t="shared" si="218"/>
        <v/>
      </c>
      <c r="AR193" s="112" t="str">
        <f>IFERROR(__xludf.DUMMYFUNCTION("IF($AG193, ""DELETED"", TRIM(JOIN("" "",AP193,AQ193)))"),"")</f>
        <v/>
      </c>
      <c r="AS193" s="118"/>
      <c r="AT193" s="110" t="b">
        <f t="shared" si="12"/>
        <v>0</v>
      </c>
      <c r="AU193" s="110" t="str">
        <f t="shared" si="13"/>
        <v/>
      </c>
      <c r="AV193" s="110" t="str">
        <f t="shared" si="14"/>
        <v/>
      </c>
      <c r="AW193" s="110" t="str">
        <f t="shared" si="15"/>
        <v/>
      </c>
      <c r="AX193" s="119" t="str">
        <f t="shared" si="16"/>
        <v/>
      </c>
      <c r="AY193" s="120"/>
      <c r="AZ193" s="121"/>
      <c r="BA193" s="122" t="str">
        <f t="shared" si="17"/>
        <v/>
      </c>
      <c r="BB193" s="34"/>
      <c r="BC193" s="121"/>
      <c r="BD193" s="136"/>
      <c r="BE193" s="125" t="str">
        <f t="shared" si="18"/>
        <v/>
      </c>
      <c r="BF193" s="126" t="str">
        <f t="shared" si="19"/>
        <v>MA1031__44573_0.444224537037037</v>
      </c>
      <c r="BG193" s="127" t="str">
        <f t="shared" si="20"/>
        <v/>
      </c>
      <c r="BH193" s="137" t="s">
        <v>760</v>
      </c>
      <c r="BI193" s="128" t="str">
        <f t="shared" si="21"/>
        <v>FM55</v>
      </c>
      <c r="BJ193" s="129" t="b">
        <f t="shared" si="22"/>
        <v>0</v>
      </c>
      <c r="BK193" s="128" t="str">
        <f t="shared" si="23"/>
        <v/>
      </c>
      <c r="BL193" s="121"/>
      <c r="BM193" s="5" t="str">
        <f t="shared" si="24"/>
        <v>MISSING</v>
      </c>
      <c r="BN193" s="120" t="b">
        <f t="shared" si="25"/>
        <v>0</v>
      </c>
      <c r="BO193" s="131" t="b">
        <f t="shared" si="26"/>
        <v>1</v>
      </c>
      <c r="BP193" s="121"/>
      <c r="BQ193" s="132" t="str">
        <f>VLOOKUP(A193,RAW_APS!A$3:O826,15,FALSE)</f>
        <v/>
      </c>
      <c r="BR193" s="120" t="b">
        <f t="shared" si="27"/>
        <v>1</v>
      </c>
      <c r="BS193" s="121"/>
      <c r="BT193" s="138" t="s">
        <v>244</v>
      </c>
      <c r="BU193" s="10" t="b">
        <f t="shared" si="28"/>
        <v>1</v>
      </c>
      <c r="BV193" s="120"/>
      <c r="BW193" s="120"/>
      <c r="BX193" s="120"/>
      <c r="BY193" s="120"/>
      <c r="BZ193" s="120"/>
      <c r="CA193" s="120"/>
      <c r="CB193" s="120"/>
      <c r="CC193" s="120"/>
    </row>
    <row r="194">
      <c r="A194" s="2" t="s">
        <v>761</v>
      </c>
      <c r="B194" s="100">
        <v>44574.0</v>
      </c>
      <c r="C194" s="101">
        <v>0.5845023148148148</v>
      </c>
      <c r="D194" s="102"/>
      <c r="E194" s="102"/>
      <c r="F194" s="102"/>
      <c r="G194" s="102"/>
      <c r="H194" s="102"/>
      <c r="I194" s="103"/>
      <c r="J194" s="103"/>
      <c r="K194" s="2" t="s">
        <v>52</v>
      </c>
      <c r="L194" s="100">
        <v>44579.0</v>
      </c>
      <c r="M194" s="101">
        <v>0.5015856481481481</v>
      </c>
      <c r="P194" s="104" t="b">
        <f>IFNA(IF(VLOOKUP($A194,'Add from APT'!$AA$2:$AC826,3,FALSE)&gt;0,TRUE,FALSE),"ER - NOT IN APT")</f>
        <v>0</v>
      </c>
      <c r="Q194" s="105" t="str">
        <f>IF(ISLOGICAL(P194),IF(P194,"ER - REPS IN APT", IFNA(VLOOKUP($A194,RAW_APT!$A$3:$M826,7,FALSE),"ER - NOT IN APT")),P194)</f>
        <v>Result</v>
      </c>
      <c r="R194" s="106" t="b">
        <f t="shared" si="2"/>
        <v>1</v>
      </c>
      <c r="S194" s="107">
        <f t="shared" si="3"/>
        <v>1</v>
      </c>
      <c r="T194" s="143"/>
      <c r="U194" s="142"/>
      <c r="V194" s="142"/>
      <c r="W194" s="142"/>
      <c r="X194" s="110" t="b">
        <f t="shared" si="4"/>
        <v>0</v>
      </c>
      <c r="Y194" s="111" t="b">
        <v>0</v>
      </c>
      <c r="Z194" s="104" t="str">
        <f t="shared" si="5"/>
        <v/>
      </c>
      <c r="AA194" s="112" t="b">
        <f t="shared" si="6"/>
        <v>0</v>
      </c>
      <c r="AB194" s="142" t="b">
        <v>0</v>
      </c>
      <c r="AC194" s="140">
        <v>609.0</v>
      </c>
      <c r="AD194" s="141" t="b">
        <v>0</v>
      </c>
      <c r="AE194" s="115" t="str">
        <f t="shared" si="7"/>
        <v/>
      </c>
      <c r="AF194" s="116" t="b">
        <f t="shared" si="8"/>
        <v>0</v>
      </c>
      <c r="AG194" s="105" t="b">
        <f t="shared" si="9"/>
        <v>0</v>
      </c>
      <c r="AH194" s="140"/>
      <c r="AI194" s="140"/>
      <c r="AJ194" s="140"/>
      <c r="AK194" s="117" t="str">
        <f t="shared" si="10"/>
        <v>Positive</v>
      </c>
      <c r="AL194" s="142"/>
      <c r="AM194" s="112" t="s">
        <v>762</v>
      </c>
      <c r="AN194" s="112" t="s">
        <v>763</v>
      </c>
      <c r="AO194" s="112" t="str">
        <f>IFERROR(__xludf.DUMMYFUNCTION("IF($AG194, ""DELETED"",TRIM(JOIN("" "",D194:E194)))"),"")</f>
        <v/>
      </c>
      <c r="AP194" s="112" t="str">
        <f t="shared" ref="AP194:AQ194" si="219">IF($AG194, "DELETED", TRIM(CONCATENATE(F194,I194,U194)))</f>
        <v/>
      </c>
      <c r="AQ194" s="112" t="str">
        <f t="shared" si="219"/>
        <v/>
      </c>
      <c r="AR194" s="112" t="str">
        <f>IFERROR(__xludf.DUMMYFUNCTION("IF($AG194, ""DELETED"", TRIM(JOIN("" "",AP194,AQ194)))"),"")</f>
        <v/>
      </c>
      <c r="AS194" s="118"/>
      <c r="AT194" s="110" t="b">
        <f t="shared" si="12"/>
        <v>0</v>
      </c>
      <c r="AU194" s="110" t="str">
        <f t="shared" si="13"/>
        <v/>
      </c>
      <c r="AV194" s="110" t="str">
        <f t="shared" si="14"/>
        <v/>
      </c>
      <c r="AW194" s="110" t="str">
        <f t="shared" si="15"/>
        <v/>
      </c>
      <c r="AX194" s="119" t="str">
        <f t="shared" si="16"/>
        <v/>
      </c>
      <c r="AY194" s="120"/>
      <c r="AZ194" s="121"/>
      <c r="BA194" s="122" t="str">
        <f t="shared" si="17"/>
        <v/>
      </c>
      <c r="BB194" s="34"/>
      <c r="BC194" s="121"/>
      <c r="BD194" s="136"/>
      <c r="BE194" s="125" t="str">
        <f t="shared" si="18"/>
        <v/>
      </c>
      <c r="BF194" s="126" t="str">
        <f t="shared" si="19"/>
        <v>MA1062__44574_0.584502314814815</v>
      </c>
      <c r="BG194" s="127" t="str">
        <f t="shared" si="20"/>
        <v/>
      </c>
      <c r="BH194" s="137" t="s">
        <v>764</v>
      </c>
      <c r="BI194" s="128" t="str">
        <f t="shared" si="21"/>
        <v>FM56</v>
      </c>
      <c r="BJ194" s="129" t="b">
        <f t="shared" si="22"/>
        <v>0</v>
      </c>
      <c r="BK194" s="128" t="str">
        <f t="shared" si="23"/>
        <v/>
      </c>
      <c r="BL194" s="121"/>
      <c r="BM194" s="5" t="str">
        <f t="shared" si="24"/>
        <v>MISSING</v>
      </c>
      <c r="BN194" s="120" t="b">
        <f t="shared" si="25"/>
        <v>0</v>
      </c>
      <c r="BO194" s="131" t="b">
        <f t="shared" si="26"/>
        <v>1</v>
      </c>
      <c r="BP194" s="121"/>
      <c r="BQ194" s="132" t="str">
        <f>VLOOKUP(A194,RAW_APS!A$3:O826,15,FALSE)</f>
        <v/>
      </c>
      <c r="BR194" s="120" t="b">
        <f t="shared" si="27"/>
        <v>1</v>
      </c>
      <c r="BS194" s="121"/>
      <c r="BT194" s="138" t="s">
        <v>52</v>
      </c>
      <c r="BU194" s="10" t="b">
        <f t="shared" si="28"/>
        <v>1</v>
      </c>
      <c r="BV194" s="120"/>
      <c r="BW194" s="120"/>
      <c r="BX194" s="120"/>
      <c r="BY194" s="120"/>
      <c r="BZ194" s="120"/>
      <c r="CA194" s="120"/>
      <c r="CB194" s="120"/>
      <c r="CC194" s="120"/>
    </row>
    <row r="195">
      <c r="A195" s="2" t="s">
        <v>765</v>
      </c>
      <c r="B195" s="100">
        <v>44574.0</v>
      </c>
      <c r="C195" s="101">
        <v>0.5852314814814815</v>
      </c>
      <c r="D195" s="102"/>
      <c r="E195" s="102"/>
      <c r="F195" s="103"/>
      <c r="G195" s="103"/>
      <c r="H195" s="134"/>
      <c r="I195" s="135"/>
      <c r="J195" s="103"/>
      <c r="K195" s="2" t="s">
        <v>254</v>
      </c>
      <c r="L195" s="100">
        <v>44861.0</v>
      </c>
      <c r="M195" s="101">
        <v>0.4895023148148148</v>
      </c>
      <c r="N195" s="2" t="s">
        <v>247</v>
      </c>
      <c r="O195" s="11"/>
      <c r="P195" s="104" t="b">
        <f>IFNA(IF(VLOOKUP($A195,'Add from APT'!$AA$2:$AC826,3,FALSE)&gt;0,TRUE,FALSE),"ER - NOT IN APT")</f>
        <v>0</v>
      </c>
      <c r="Q195" s="105" t="str">
        <f>IF(ISLOGICAL(P195),IF(P195,"ER - REPS IN APT", IFNA(VLOOKUP($A195,RAW_APT!$A$3:$M826,7,FALSE),"ER - NOT IN APT")),P195)</f>
        <v>Collected</v>
      </c>
      <c r="R195" s="106" t="b">
        <f t="shared" si="2"/>
        <v>1</v>
      </c>
      <c r="S195" s="107">
        <f t="shared" si="3"/>
        <v>1</v>
      </c>
      <c r="T195" s="108"/>
      <c r="U195" s="109"/>
      <c r="V195" s="109"/>
      <c r="W195" s="109"/>
      <c r="X195" s="110" t="b">
        <f t="shared" si="4"/>
        <v>0</v>
      </c>
      <c r="Y195" s="111" t="b">
        <v>0</v>
      </c>
      <c r="Z195" s="104" t="str">
        <f t="shared" si="5"/>
        <v/>
      </c>
      <c r="AA195" s="112" t="b">
        <f t="shared" si="6"/>
        <v>0</v>
      </c>
      <c r="AB195" s="109" t="b">
        <v>0</v>
      </c>
      <c r="AC195" s="113">
        <v>793.0</v>
      </c>
      <c r="AD195" s="114" t="b">
        <v>1</v>
      </c>
      <c r="AE195" s="115" t="str">
        <f t="shared" si="7"/>
        <v/>
      </c>
      <c r="AF195" s="116" t="b">
        <f t="shared" si="8"/>
        <v>0</v>
      </c>
      <c r="AG195" s="105" t="b">
        <f t="shared" si="9"/>
        <v>1</v>
      </c>
      <c r="AH195" s="113">
        <v>5.5</v>
      </c>
      <c r="AI195" s="113"/>
      <c r="AJ195" s="113"/>
      <c r="AK195" s="117" t="str">
        <f t="shared" si="10"/>
        <v>DELETED</v>
      </c>
      <c r="AL195" s="109"/>
      <c r="AM195" s="112" t="s">
        <v>245</v>
      </c>
      <c r="AN195" s="112" t="s">
        <v>245</v>
      </c>
      <c r="AO195" s="112" t="str">
        <f>IFERROR(__xludf.DUMMYFUNCTION("IF($AG195, ""DELETED"",TRIM(JOIN("" "",D195:E195)))"),"DELETED")</f>
        <v>DELETED</v>
      </c>
      <c r="AP195" s="112" t="str">
        <f t="shared" ref="AP195:AQ195" si="220">IF($AG195, "DELETED", TRIM(CONCATENATE(F195,I195,U195)))</f>
        <v>DELETED</v>
      </c>
      <c r="AQ195" s="112" t="str">
        <f t="shared" si="220"/>
        <v>DELETED</v>
      </c>
      <c r="AR195" s="112" t="str">
        <f>IFERROR(__xludf.DUMMYFUNCTION("IF($AG195, ""DELETED"", TRIM(JOIN("" "",AP195,AQ195)))"),"DELETED")</f>
        <v>DELETED</v>
      </c>
      <c r="AS195" s="118"/>
      <c r="AT195" s="110" t="b">
        <f t="shared" si="12"/>
        <v>1</v>
      </c>
      <c r="AU195" s="110" t="str">
        <f t="shared" si="13"/>
        <v/>
      </c>
      <c r="AV195" s="110" t="str">
        <f t="shared" si="14"/>
        <v/>
      </c>
      <c r="AW195" s="110" t="str">
        <f t="shared" si="15"/>
        <v/>
      </c>
      <c r="AX195" s="119" t="str">
        <f t="shared" si="16"/>
        <v/>
      </c>
      <c r="AY195" s="120"/>
      <c r="AZ195" s="121"/>
      <c r="BA195" s="122" t="b">
        <f t="shared" si="17"/>
        <v>1</v>
      </c>
      <c r="BB195" s="34"/>
      <c r="BC195" s="121"/>
      <c r="BD195" s="136"/>
      <c r="BE195" s="125" t="str">
        <f t="shared" si="18"/>
        <v/>
      </c>
      <c r="BF195" s="126" t="str">
        <f t="shared" si="19"/>
        <v>MA1119__44574_0.585231481481482</v>
      </c>
      <c r="BG195" s="127" t="str">
        <f t="shared" si="20"/>
        <v/>
      </c>
      <c r="BH195" s="137" t="s">
        <v>766</v>
      </c>
      <c r="BI195" s="128" t="str">
        <f t="shared" si="21"/>
        <v>FM569</v>
      </c>
      <c r="BJ195" s="129" t="b">
        <f t="shared" si="22"/>
        <v>0</v>
      </c>
      <c r="BK195" s="128" t="str">
        <f t="shared" si="23"/>
        <v/>
      </c>
      <c r="BL195" s="121"/>
      <c r="BM195" s="5" t="str">
        <f t="shared" si="24"/>
        <v/>
      </c>
      <c r="BN195" s="120" t="b">
        <f t="shared" si="25"/>
        <v>0</v>
      </c>
      <c r="BO195" s="131" t="b">
        <f t="shared" si="26"/>
        <v>0</v>
      </c>
      <c r="BP195" s="121"/>
      <c r="BQ195" s="132" t="str">
        <f>VLOOKUP(A195,RAW_APS!A$3:O826,15,FALSE)</f>
        <v>#N/A</v>
      </c>
      <c r="BR195" s="120" t="str">
        <f t="shared" si="27"/>
        <v>***TUBE ID NOT FOUND</v>
      </c>
      <c r="BS195" s="121"/>
      <c r="BT195" s="138" t="s">
        <v>245</v>
      </c>
      <c r="BU195" s="10" t="b">
        <f t="shared" si="28"/>
        <v>1</v>
      </c>
      <c r="BV195" s="120"/>
      <c r="BW195" s="120"/>
      <c r="BX195" s="120"/>
      <c r="BY195" s="120"/>
      <c r="BZ195" s="120"/>
      <c r="CA195" s="120"/>
      <c r="CB195" s="120"/>
      <c r="CC195" s="120"/>
    </row>
    <row r="196">
      <c r="A196" s="2" t="s">
        <v>767</v>
      </c>
      <c r="B196" s="100">
        <v>44574.0</v>
      </c>
      <c r="C196" s="101">
        <v>0.6161342592592592</v>
      </c>
      <c r="D196" s="102"/>
      <c r="E196" s="102"/>
      <c r="F196" s="103"/>
      <c r="G196" s="103"/>
      <c r="H196" s="103"/>
      <c r="I196" s="102"/>
      <c r="J196" s="103"/>
      <c r="K196" s="2" t="s">
        <v>52</v>
      </c>
      <c r="L196" s="100">
        <v>44579.0</v>
      </c>
      <c r="M196" s="101">
        <v>0.5015856481481481</v>
      </c>
      <c r="P196" s="104" t="b">
        <f>IFNA(IF(VLOOKUP($A196,'Add from APT'!$AA$2:$AC826,3,FALSE)&gt;0,TRUE,FALSE),"ER - NOT IN APT")</f>
        <v>0</v>
      </c>
      <c r="Q196" s="105" t="str">
        <f>IF(ISLOGICAL(P196),IF(P196,"ER - REPS IN APT", IFNA(VLOOKUP($A196,RAW_APT!$A$3:$M826,7,FALSE),"ER - NOT IN APT")),P196)</f>
        <v>Result</v>
      </c>
      <c r="R196" s="106" t="b">
        <f t="shared" si="2"/>
        <v>1</v>
      </c>
      <c r="S196" s="107">
        <f t="shared" si="3"/>
        <v>1</v>
      </c>
      <c r="T196" s="143"/>
      <c r="U196" s="142"/>
      <c r="V196" s="142"/>
      <c r="W196" s="142"/>
      <c r="X196" s="110" t="b">
        <f t="shared" si="4"/>
        <v>0</v>
      </c>
      <c r="Y196" s="111" t="b">
        <v>0</v>
      </c>
      <c r="Z196" s="104" t="str">
        <f t="shared" si="5"/>
        <v/>
      </c>
      <c r="AA196" s="112" t="b">
        <f t="shared" si="6"/>
        <v>0</v>
      </c>
      <c r="AB196" s="142" t="b">
        <v>0</v>
      </c>
      <c r="AC196" s="140">
        <v>608.0</v>
      </c>
      <c r="AD196" s="141" t="b">
        <v>0</v>
      </c>
      <c r="AE196" s="115" t="str">
        <f t="shared" si="7"/>
        <v/>
      </c>
      <c r="AF196" s="116" t="b">
        <f t="shared" si="8"/>
        <v>0</v>
      </c>
      <c r="AG196" s="105" t="b">
        <f t="shared" si="9"/>
        <v>0</v>
      </c>
      <c r="AH196" s="140"/>
      <c r="AI196" s="140"/>
      <c r="AJ196" s="140"/>
      <c r="AK196" s="117" t="str">
        <f t="shared" si="10"/>
        <v>Positive</v>
      </c>
      <c r="AL196" s="142"/>
      <c r="AM196" s="112" t="s">
        <v>762</v>
      </c>
      <c r="AN196" s="112" t="s">
        <v>768</v>
      </c>
      <c r="AO196" s="112" t="str">
        <f>IFERROR(__xludf.DUMMYFUNCTION("IF($AG196, ""DELETED"",TRIM(JOIN("" "",D196:E196)))"),"")</f>
        <v/>
      </c>
      <c r="AP196" s="112" t="str">
        <f t="shared" ref="AP196:AQ196" si="221">IF($AG196, "DELETED", TRIM(CONCATENATE(F196,I196,U196)))</f>
        <v/>
      </c>
      <c r="AQ196" s="112" t="str">
        <f t="shared" si="221"/>
        <v/>
      </c>
      <c r="AR196" s="112" t="str">
        <f>IFERROR(__xludf.DUMMYFUNCTION("IF($AG196, ""DELETED"", TRIM(JOIN("" "",AP196,AQ196)))"),"")</f>
        <v/>
      </c>
      <c r="AS196" s="118"/>
      <c r="AT196" s="110" t="b">
        <f t="shared" si="12"/>
        <v>0</v>
      </c>
      <c r="AU196" s="110" t="str">
        <f t="shared" si="13"/>
        <v/>
      </c>
      <c r="AV196" s="110" t="str">
        <f t="shared" si="14"/>
        <v/>
      </c>
      <c r="AW196" s="110" t="str">
        <f t="shared" si="15"/>
        <v/>
      </c>
      <c r="AX196" s="119" t="str">
        <f t="shared" si="16"/>
        <v/>
      </c>
      <c r="AY196" s="120"/>
      <c r="AZ196" s="121"/>
      <c r="BA196" s="122" t="str">
        <f t="shared" si="17"/>
        <v/>
      </c>
      <c r="BB196" s="34"/>
      <c r="BC196" s="121"/>
      <c r="BD196" s="136"/>
      <c r="BE196" s="125" t="str">
        <f t="shared" si="18"/>
        <v/>
      </c>
      <c r="BF196" s="126" t="str">
        <f t="shared" si="19"/>
        <v>MA1092__44574_0.616134259259259</v>
      </c>
      <c r="BG196" s="127" t="str">
        <f t="shared" si="20"/>
        <v/>
      </c>
      <c r="BH196" s="137" t="s">
        <v>769</v>
      </c>
      <c r="BI196" s="128" t="str">
        <f t="shared" si="21"/>
        <v>FM57</v>
      </c>
      <c r="BJ196" s="129" t="b">
        <f t="shared" si="22"/>
        <v>0</v>
      </c>
      <c r="BK196" s="128" t="str">
        <f t="shared" si="23"/>
        <v/>
      </c>
      <c r="BL196" s="121"/>
      <c r="BM196" s="5" t="str">
        <f t="shared" si="24"/>
        <v>MISSING</v>
      </c>
      <c r="BN196" s="120" t="b">
        <f t="shared" si="25"/>
        <v>0</v>
      </c>
      <c r="BO196" s="131" t="b">
        <f t="shared" si="26"/>
        <v>1</v>
      </c>
      <c r="BP196" s="121"/>
      <c r="BQ196" s="132" t="str">
        <f>VLOOKUP(A196,RAW_APS!A$3:O826,15,FALSE)</f>
        <v/>
      </c>
      <c r="BR196" s="120" t="b">
        <f t="shared" si="27"/>
        <v>1</v>
      </c>
      <c r="BS196" s="121"/>
      <c r="BT196" s="138" t="s">
        <v>52</v>
      </c>
      <c r="BU196" s="10" t="b">
        <f t="shared" si="28"/>
        <v>1</v>
      </c>
      <c r="BV196" s="120"/>
      <c r="BW196" s="120"/>
      <c r="BX196" s="120"/>
      <c r="BY196" s="120"/>
      <c r="BZ196" s="120"/>
      <c r="CA196" s="120"/>
      <c r="CB196" s="120"/>
      <c r="CC196" s="120"/>
    </row>
    <row r="197">
      <c r="A197" s="2" t="s">
        <v>770</v>
      </c>
      <c r="B197" s="100">
        <v>44574.0</v>
      </c>
      <c r="C197" s="101">
        <v>0.6712731481481482</v>
      </c>
      <c r="D197" s="102"/>
      <c r="E197" s="102"/>
      <c r="F197" s="139"/>
      <c r="G197" s="148"/>
      <c r="H197" s="139"/>
      <c r="I197" s="103"/>
      <c r="J197" s="103"/>
      <c r="K197" s="2" t="s">
        <v>244</v>
      </c>
      <c r="L197" s="100">
        <v>44575.0</v>
      </c>
      <c r="M197" s="101">
        <v>0.48204861111111114</v>
      </c>
      <c r="P197" s="104" t="b">
        <f>IFNA(IF(VLOOKUP($A197,'Add from APT'!$AA$2:$AC826,3,FALSE)&gt;0,TRUE,FALSE),"ER - NOT IN APT")</f>
        <v>0</v>
      </c>
      <c r="Q197" s="105" t="str">
        <f>IF(ISLOGICAL(P197),IF(P197,"ER - REPS IN APT", IFNA(VLOOKUP($A197,RAW_APT!$A$3:$M826,7,FALSE),"ER - NOT IN APT")),P197)</f>
        <v>Result</v>
      </c>
      <c r="R197" s="106" t="b">
        <f t="shared" si="2"/>
        <v>1</v>
      </c>
      <c r="S197" s="107">
        <f t="shared" si="3"/>
        <v>1</v>
      </c>
      <c r="T197" s="140">
        <v>0.0</v>
      </c>
      <c r="U197" s="141"/>
      <c r="V197" s="142"/>
      <c r="W197" s="142"/>
      <c r="X197" s="110" t="b">
        <f t="shared" si="4"/>
        <v>0</v>
      </c>
      <c r="Y197" s="111" t="b">
        <v>0</v>
      </c>
      <c r="Z197" s="104" t="str">
        <f t="shared" si="5"/>
        <v/>
      </c>
      <c r="AA197" s="112" t="b">
        <f t="shared" si="6"/>
        <v>0</v>
      </c>
      <c r="AB197" s="142" t="b">
        <v>0</v>
      </c>
      <c r="AC197" s="140">
        <v>607.0</v>
      </c>
      <c r="AD197" s="141" t="b">
        <v>0</v>
      </c>
      <c r="AE197" s="115" t="str">
        <f t="shared" si="7"/>
        <v/>
      </c>
      <c r="AF197" s="116" t="b">
        <f t="shared" si="8"/>
        <v>0</v>
      </c>
      <c r="AG197" s="105" t="b">
        <f t="shared" si="9"/>
        <v>0</v>
      </c>
      <c r="AH197" s="140"/>
      <c r="AI197" s="140"/>
      <c r="AJ197" s="140"/>
      <c r="AK197" s="117" t="str">
        <f t="shared" si="10"/>
        <v>Negative</v>
      </c>
      <c r="AL197" s="142"/>
      <c r="AM197" s="112" t="s">
        <v>717</v>
      </c>
      <c r="AN197" s="112" t="s">
        <v>771</v>
      </c>
      <c r="AO197" s="112" t="str">
        <f>IFERROR(__xludf.DUMMYFUNCTION("IF($AG197, ""DELETED"",TRIM(JOIN("" "",D197:E197)))"),"")</f>
        <v/>
      </c>
      <c r="AP197" s="112" t="str">
        <f t="shared" ref="AP197:AQ197" si="222">IF($AG197, "DELETED", TRIM(CONCATENATE(F197,I197,U197)))</f>
        <v/>
      </c>
      <c r="AQ197" s="112" t="str">
        <f t="shared" si="222"/>
        <v/>
      </c>
      <c r="AR197" s="112" t="str">
        <f>IFERROR(__xludf.DUMMYFUNCTION("IF($AG197, ""DELETED"", TRIM(JOIN("" "",AP197,AQ197)))"),"")</f>
        <v/>
      </c>
      <c r="AS197" s="118"/>
      <c r="AT197" s="110" t="b">
        <f t="shared" si="12"/>
        <v>0</v>
      </c>
      <c r="AU197" s="110" t="str">
        <f t="shared" si="13"/>
        <v/>
      </c>
      <c r="AV197" s="110" t="str">
        <f t="shared" si="14"/>
        <v/>
      </c>
      <c r="AW197" s="110" t="str">
        <f t="shared" si="15"/>
        <v/>
      </c>
      <c r="AX197" s="119" t="str">
        <f t="shared" si="16"/>
        <v/>
      </c>
      <c r="AY197" s="120"/>
      <c r="AZ197" s="121"/>
      <c r="BA197" s="122" t="str">
        <f t="shared" si="17"/>
        <v/>
      </c>
      <c r="BB197" s="34"/>
      <c r="BC197" s="121"/>
      <c r="BD197" s="136"/>
      <c r="BE197" s="125" t="str">
        <f t="shared" si="18"/>
        <v/>
      </c>
      <c r="BF197" s="126" t="str">
        <f t="shared" si="19"/>
        <v>MA1042__44574_0.671273148148148</v>
      </c>
      <c r="BG197" s="127" t="str">
        <f t="shared" si="20"/>
        <v/>
      </c>
      <c r="BH197" s="137" t="s">
        <v>772</v>
      </c>
      <c r="BI197" s="128" t="str">
        <f t="shared" si="21"/>
        <v>FM58</v>
      </c>
      <c r="BJ197" s="129" t="b">
        <f t="shared" si="22"/>
        <v>0</v>
      </c>
      <c r="BK197" s="128" t="str">
        <f t="shared" si="23"/>
        <v/>
      </c>
      <c r="BL197" s="121"/>
      <c r="BM197" s="5" t="str">
        <f t="shared" si="24"/>
        <v>MISSING</v>
      </c>
      <c r="BN197" s="120" t="b">
        <f t="shared" si="25"/>
        <v>0</v>
      </c>
      <c r="BO197" s="131" t="b">
        <f t="shared" si="26"/>
        <v>1</v>
      </c>
      <c r="BP197" s="121"/>
      <c r="BQ197" s="132" t="str">
        <f>VLOOKUP(A197,RAW_APS!A$3:O826,15,FALSE)</f>
        <v/>
      </c>
      <c r="BR197" s="120" t="b">
        <f t="shared" si="27"/>
        <v>1</v>
      </c>
      <c r="BS197" s="121"/>
      <c r="BT197" s="138" t="s">
        <v>244</v>
      </c>
      <c r="BU197" s="10" t="b">
        <f t="shared" si="28"/>
        <v>1</v>
      </c>
      <c r="BV197" s="120"/>
      <c r="BW197" s="120"/>
      <c r="BX197" s="120"/>
      <c r="BY197" s="120"/>
      <c r="BZ197" s="120"/>
      <c r="CA197" s="120"/>
      <c r="CB197" s="120"/>
      <c r="CC197" s="120"/>
    </row>
    <row r="198">
      <c r="A198" s="2" t="s">
        <v>773</v>
      </c>
      <c r="B198" s="100">
        <v>44574.0</v>
      </c>
      <c r="C198" s="101">
        <v>0.8485069444444444</v>
      </c>
      <c r="D198" s="102"/>
      <c r="E198" s="102"/>
      <c r="F198" s="102"/>
      <c r="G198" s="102"/>
      <c r="H198" s="102"/>
      <c r="I198" s="103"/>
      <c r="J198" s="103"/>
      <c r="K198" s="2" t="s">
        <v>244</v>
      </c>
      <c r="L198" s="100">
        <v>44575.0</v>
      </c>
      <c r="M198" s="101">
        <v>0.48204861111111114</v>
      </c>
      <c r="P198" s="104" t="b">
        <f>IFNA(IF(VLOOKUP($A198,'Add from APT'!$AA$2:$AC826,3,FALSE)&gt;0,TRUE,FALSE),"ER - NOT IN APT")</f>
        <v>0</v>
      </c>
      <c r="Q198" s="105" t="str">
        <f>IF(ISLOGICAL(P198),IF(P198,"ER - REPS IN APT", IFNA(VLOOKUP($A198,RAW_APT!$A$3:$M826,7,FALSE),"ER - NOT IN APT")),P198)</f>
        <v>Result</v>
      </c>
      <c r="R198" s="106" t="b">
        <f t="shared" si="2"/>
        <v>1</v>
      </c>
      <c r="S198" s="107">
        <f t="shared" si="3"/>
        <v>1</v>
      </c>
      <c r="T198" s="143"/>
      <c r="U198" s="142"/>
      <c r="V198" s="142"/>
      <c r="W198" s="142"/>
      <c r="X198" s="110" t="b">
        <f t="shared" si="4"/>
        <v>0</v>
      </c>
      <c r="Y198" s="111" t="b">
        <v>0</v>
      </c>
      <c r="Z198" s="104" t="str">
        <f t="shared" si="5"/>
        <v/>
      </c>
      <c r="AA198" s="112" t="b">
        <f t="shared" si="6"/>
        <v>0</v>
      </c>
      <c r="AB198" s="142" t="b">
        <v>0</v>
      </c>
      <c r="AC198" s="140">
        <v>606.0</v>
      </c>
      <c r="AD198" s="141" t="b">
        <v>0</v>
      </c>
      <c r="AE198" s="115" t="str">
        <f t="shared" si="7"/>
        <v/>
      </c>
      <c r="AF198" s="116" t="b">
        <f t="shared" si="8"/>
        <v>0</v>
      </c>
      <c r="AG198" s="105" t="b">
        <f t="shared" si="9"/>
        <v>0</v>
      </c>
      <c r="AH198" s="140"/>
      <c r="AI198" s="140"/>
      <c r="AJ198" s="140"/>
      <c r="AK198" s="117" t="str">
        <f t="shared" si="10"/>
        <v>Negative</v>
      </c>
      <c r="AL198" s="142"/>
      <c r="AM198" s="112" t="s">
        <v>639</v>
      </c>
      <c r="AN198" s="112" t="s">
        <v>640</v>
      </c>
      <c r="AO198" s="112" t="str">
        <f>IFERROR(__xludf.DUMMYFUNCTION("IF($AG198, ""DELETED"",TRIM(JOIN("" "",D198:E198)))"),"")</f>
        <v/>
      </c>
      <c r="AP198" s="112" t="str">
        <f t="shared" ref="AP198:AQ198" si="223">IF($AG198, "DELETED", TRIM(CONCATENATE(F198,I198,U198)))</f>
        <v/>
      </c>
      <c r="AQ198" s="112" t="str">
        <f t="shared" si="223"/>
        <v/>
      </c>
      <c r="AR198" s="112" t="str">
        <f>IFERROR(__xludf.DUMMYFUNCTION("IF($AG198, ""DELETED"", TRIM(JOIN("" "",AP198,AQ198)))"),"")</f>
        <v/>
      </c>
      <c r="AS198" s="118"/>
      <c r="AT198" s="110" t="b">
        <f t="shared" si="12"/>
        <v>0</v>
      </c>
      <c r="AU198" s="110" t="str">
        <f t="shared" si="13"/>
        <v/>
      </c>
      <c r="AV198" s="110" t="str">
        <f t="shared" si="14"/>
        <v/>
      </c>
      <c r="AW198" s="110" t="str">
        <f t="shared" si="15"/>
        <v/>
      </c>
      <c r="AX198" s="119" t="str">
        <f t="shared" si="16"/>
        <v/>
      </c>
      <c r="AY198" s="120"/>
      <c r="AZ198" s="121"/>
      <c r="BA198" s="122" t="str">
        <f t="shared" si="17"/>
        <v/>
      </c>
      <c r="BB198" s="34"/>
      <c r="BC198" s="121"/>
      <c r="BD198" s="136"/>
      <c r="BE198" s="125" t="str">
        <f t="shared" si="18"/>
        <v/>
      </c>
      <c r="BF198" s="126" t="str">
        <f t="shared" si="19"/>
        <v>MA1112__44574_0.848506944444444</v>
      </c>
      <c r="BG198" s="127" t="str">
        <f t="shared" si="20"/>
        <v/>
      </c>
      <c r="BH198" s="137" t="s">
        <v>774</v>
      </c>
      <c r="BI198" s="128" t="str">
        <f t="shared" si="21"/>
        <v>FM59</v>
      </c>
      <c r="BJ198" s="129" t="b">
        <f t="shared" si="22"/>
        <v>0</v>
      </c>
      <c r="BK198" s="128" t="str">
        <f t="shared" si="23"/>
        <v/>
      </c>
      <c r="BL198" s="121"/>
      <c r="BM198" s="5" t="str">
        <f t="shared" si="24"/>
        <v>MISSING</v>
      </c>
      <c r="BN198" s="120" t="b">
        <f t="shared" si="25"/>
        <v>0</v>
      </c>
      <c r="BO198" s="131" t="b">
        <f t="shared" si="26"/>
        <v>1</v>
      </c>
      <c r="BP198" s="121"/>
      <c r="BQ198" s="132" t="str">
        <f>VLOOKUP(A198,RAW_APS!A$3:O826,15,FALSE)</f>
        <v/>
      </c>
      <c r="BR198" s="120" t="b">
        <f t="shared" si="27"/>
        <v>1</v>
      </c>
      <c r="BS198" s="121"/>
      <c r="BT198" s="138" t="s">
        <v>244</v>
      </c>
      <c r="BU198" s="10" t="b">
        <f t="shared" si="28"/>
        <v>1</v>
      </c>
      <c r="BV198" s="120"/>
      <c r="BW198" s="120"/>
      <c r="BX198" s="120"/>
      <c r="BY198" s="120"/>
      <c r="BZ198" s="120"/>
      <c r="CA198" s="120"/>
      <c r="CB198" s="120"/>
      <c r="CC198" s="120"/>
    </row>
    <row r="199">
      <c r="A199" s="2" t="s">
        <v>775</v>
      </c>
      <c r="B199" s="100">
        <v>44574.0</v>
      </c>
      <c r="C199" s="101">
        <v>0.8491666666666666</v>
      </c>
      <c r="D199" s="102"/>
      <c r="E199" s="102"/>
      <c r="F199" s="157"/>
      <c r="G199" s="157"/>
      <c r="H199" s="157"/>
      <c r="I199" s="103"/>
      <c r="J199" s="103"/>
      <c r="K199" s="2" t="s">
        <v>244</v>
      </c>
      <c r="L199" s="100">
        <v>44575.0</v>
      </c>
      <c r="M199" s="101">
        <v>0.4820601851851852</v>
      </c>
      <c r="P199" s="104" t="b">
        <f>IFNA(IF(VLOOKUP($A199,'Add from APT'!$AA$2:$AC826,3,FALSE)&gt;0,TRUE,FALSE),"ER - NOT IN APT")</f>
        <v>0</v>
      </c>
      <c r="Q199" s="105" t="str">
        <f>IF(ISLOGICAL(P199),IF(P199,"ER - REPS IN APT", IFNA(VLOOKUP($A199,RAW_APT!$A$3:$M826,7,FALSE),"ER - NOT IN APT")),P199)</f>
        <v>Result</v>
      </c>
      <c r="R199" s="106" t="b">
        <f t="shared" si="2"/>
        <v>1</v>
      </c>
      <c r="S199" s="107">
        <f t="shared" si="3"/>
        <v>1</v>
      </c>
      <c r="T199" s="140">
        <v>0.0</v>
      </c>
      <c r="U199" s="158"/>
      <c r="V199" s="158"/>
      <c r="W199" s="141"/>
      <c r="X199" s="110" t="b">
        <f t="shared" si="4"/>
        <v>0</v>
      </c>
      <c r="Y199" s="111" t="b">
        <v>0</v>
      </c>
      <c r="Z199" s="104" t="str">
        <f t="shared" si="5"/>
        <v/>
      </c>
      <c r="AA199" s="112" t="b">
        <f t="shared" si="6"/>
        <v>0</v>
      </c>
      <c r="AB199" s="142" t="b">
        <v>0</v>
      </c>
      <c r="AC199" s="140">
        <v>605.0</v>
      </c>
      <c r="AD199" s="141" t="b">
        <v>0</v>
      </c>
      <c r="AE199" s="115" t="str">
        <f t="shared" si="7"/>
        <v/>
      </c>
      <c r="AF199" s="116" t="b">
        <f t="shared" si="8"/>
        <v>0</v>
      </c>
      <c r="AG199" s="105" t="b">
        <f t="shared" si="9"/>
        <v>0</v>
      </c>
      <c r="AH199" s="140"/>
      <c r="AI199" s="140"/>
      <c r="AJ199" s="140"/>
      <c r="AK199" s="117" t="str">
        <f t="shared" si="10"/>
        <v>Negative</v>
      </c>
      <c r="AL199" s="142"/>
      <c r="AM199" s="112" t="s">
        <v>639</v>
      </c>
      <c r="AN199" s="112" t="s">
        <v>776</v>
      </c>
      <c r="AO199" s="112" t="str">
        <f>IFERROR(__xludf.DUMMYFUNCTION("IF($AG199, ""DELETED"",TRIM(JOIN("" "",D199:E199)))"),"")</f>
        <v/>
      </c>
      <c r="AP199" s="112" t="str">
        <f t="shared" ref="AP199:AQ199" si="224">IF($AG199, "DELETED", TRIM(CONCATENATE(F199,I199,U199)))</f>
        <v/>
      </c>
      <c r="AQ199" s="112" t="str">
        <f t="shared" si="224"/>
        <v/>
      </c>
      <c r="AR199" s="112" t="str">
        <f>IFERROR(__xludf.DUMMYFUNCTION("IF($AG199, ""DELETED"", TRIM(JOIN("" "",AP199,AQ199)))"),"")</f>
        <v/>
      </c>
      <c r="AS199" s="118"/>
      <c r="AT199" s="110" t="b">
        <f t="shared" si="12"/>
        <v>0</v>
      </c>
      <c r="AU199" s="110" t="str">
        <f t="shared" si="13"/>
        <v/>
      </c>
      <c r="AV199" s="110" t="str">
        <f t="shared" si="14"/>
        <v/>
      </c>
      <c r="AW199" s="110" t="str">
        <f t="shared" si="15"/>
        <v/>
      </c>
      <c r="AX199" s="119" t="str">
        <f t="shared" si="16"/>
        <v/>
      </c>
      <c r="AY199" s="120"/>
      <c r="AZ199" s="121"/>
      <c r="BA199" s="122" t="str">
        <f t="shared" si="17"/>
        <v/>
      </c>
      <c r="BB199" s="34"/>
      <c r="BC199" s="121"/>
      <c r="BD199" s="136"/>
      <c r="BE199" s="125" t="str">
        <f t="shared" si="18"/>
        <v/>
      </c>
      <c r="BF199" s="126" t="str">
        <f t="shared" si="19"/>
        <v>MA1056__44574_0.849166666666667</v>
      </c>
      <c r="BG199" s="127" t="str">
        <f t="shared" si="20"/>
        <v/>
      </c>
      <c r="BH199" s="137" t="s">
        <v>777</v>
      </c>
      <c r="BI199" s="128" t="str">
        <f t="shared" si="21"/>
        <v>FM599</v>
      </c>
      <c r="BJ199" s="129" t="b">
        <f t="shared" si="22"/>
        <v>0</v>
      </c>
      <c r="BK199" s="128" t="str">
        <f t="shared" si="23"/>
        <v/>
      </c>
      <c r="BL199" s="121"/>
      <c r="BM199" s="5" t="str">
        <f t="shared" si="24"/>
        <v>MISSING</v>
      </c>
      <c r="BN199" s="120" t="b">
        <f t="shared" si="25"/>
        <v>0</v>
      </c>
      <c r="BO199" s="131" t="b">
        <f t="shared" si="26"/>
        <v>1</v>
      </c>
      <c r="BP199" s="121"/>
      <c r="BQ199" s="132" t="str">
        <f>VLOOKUP(A199,RAW_APS!A$3:O826,15,FALSE)</f>
        <v/>
      </c>
      <c r="BR199" s="120" t="b">
        <f t="shared" si="27"/>
        <v>1</v>
      </c>
      <c r="BS199" s="121"/>
      <c r="BT199" s="138" t="s">
        <v>244</v>
      </c>
      <c r="BU199" s="10" t="b">
        <f t="shared" si="28"/>
        <v>1</v>
      </c>
      <c r="BV199" s="120"/>
      <c r="BW199" s="120"/>
      <c r="BX199" s="120"/>
      <c r="BY199" s="120"/>
      <c r="BZ199" s="120"/>
      <c r="CA199" s="120"/>
      <c r="CB199" s="120"/>
      <c r="CC199" s="120"/>
    </row>
    <row r="200">
      <c r="A200" s="2" t="s">
        <v>778</v>
      </c>
      <c r="B200" s="100">
        <v>44575.0</v>
      </c>
      <c r="C200" s="101">
        <v>0.22658564814814816</v>
      </c>
      <c r="D200" s="102"/>
      <c r="E200" s="102"/>
      <c r="F200" s="102"/>
      <c r="G200" s="102"/>
      <c r="H200" s="102"/>
      <c r="I200" s="103"/>
      <c r="J200" s="103"/>
      <c r="K200" s="2" t="s">
        <v>244</v>
      </c>
      <c r="L200" s="100">
        <v>44575.0</v>
      </c>
      <c r="M200" s="101">
        <v>0.4820601851851852</v>
      </c>
      <c r="P200" s="104" t="b">
        <f>IFNA(IF(VLOOKUP($A200,'Add from APT'!$AA$2:$AC826,3,FALSE)&gt;0,TRUE,FALSE),"ER - NOT IN APT")</f>
        <v>0</v>
      </c>
      <c r="Q200" s="105" t="str">
        <f>IF(ISLOGICAL(P200),IF(P200,"ER - REPS IN APT", IFNA(VLOOKUP($A200,RAW_APT!$A$3:$M826,7,FALSE),"ER - NOT IN APT")),P200)</f>
        <v>Result</v>
      </c>
      <c r="R200" s="106" t="b">
        <f t="shared" si="2"/>
        <v>1</v>
      </c>
      <c r="S200" s="107">
        <f t="shared" si="3"/>
        <v>1</v>
      </c>
      <c r="T200" s="143"/>
      <c r="U200" s="142"/>
      <c r="V200" s="142"/>
      <c r="W200" s="142"/>
      <c r="X200" s="110" t="b">
        <f t="shared" si="4"/>
        <v>0</v>
      </c>
      <c r="Y200" s="111" t="b">
        <v>0</v>
      </c>
      <c r="Z200" s="104" t="str">
        <f t="shared" si="5"/>
        <v/>
      </c>
      <c r="AA200" s="112" t="b">
        <f t="shared" si="6"/>
        <v>0</v>
      </c>
      <c r="AB200" s="142" t="b">
        <v>0</v>
      </c>
      <c r="AC200" s="140">
        <v>604.0</v>
      </c>
      <c r="AD200" s="141" t="b">
        <v>0</v>
      </c>
      <c r="AE200" s="115">
        <f t="shared" si="7"/>
        <v>367.8833333</v>
      </c>
      <c r="AF200" s="116" t="b">
        <f t="shared" si="8"/>
        <v>0</v>
      </c>
      <c r="AG200" s="105" t="b">
        <f t="shared" si="9"/>
        <v>0</v>
      </c>
      <c r="AH200" s="140"/>
      <c r="AI200" s="140"/>
      <c r="AJ200" s="140"/>
      <c r="AK200" s="117" t="str">
        <f t="shared" si="10"/>
        <v>Negative</v>
      </c>
      <c r="AL200" s="142"/>
      <c r="AM200" s="112" t="s">
        <v>471</v>
      </c>
      <c r="AN200" s="112" t="s">
        <v>472</v>
      </c>
      <c r="AO200" s="112" t="str">
        <f>IFERROR(__xludf.DUMMYFUNCTION("IF($AG200, ""DELETED"",TRIM(JOIN("" "",D200:E200)))"),"")</f>
        <v/>
      </c>
      <c r="AP200" s="112" t="str">
        <f t="shared" ref="AP200:AQ200" si="225">IF($AG200, "DELETED", TRIM(CONCATENATE(F200,I200,U200)))</f>
        <v/>
      </c>
      <c r="AQ200" s="112" t="str">
        <f t="shared" si="225"/>
        <v/>
      </c>
      <c r="AR200" s="112" t="str">
        <f>IFERROR(__xludf.DUMMYFUNCTION("IF($AG200, ""DELETED"", TRIM(JOIN("" "",AP200,AQ200)))"),"")</f>
        <v/>
      </c>
      <c r="AS200" s="118"/>
      <c r="AT200" s="110" t="b">
        <f t="shared" si="12"/>
        <v>0</v>
      </c>
      <c r="AU200" s="110" t="str">
        <f t="shared" si="13"/>
        <v/>
      </c>
      <c r="AV200" s="110" t="str">
        <f t="shared" si="14"/>
        <v/>
      </c>
      <c r="AW200" s="110" t="str">
        <f t="shared" si="15"/>
        <v/>
      </c>
      <c r="AX200" s="119" t="str">
        <f t="shared" si="16"/>
        <v/>
      </c>
      <c r="AY200" s="120"/>
      <c r="AZ200" s="121"/>
      <c r="BA200" s="122" t="str">
        <f t="shared" si="17"/>
        <v/>
      </c>
      <c r="BB200" s="34"/>
      <c r="BC200" s="121"/>
      <c r="BD200" s="136"/>
      <c r="BE200" s="125" t="str">
        <f t="shared" si="18"/>
        <v/>
      </c>
      <c r="BF200" s="126" t="str">
        <f t="shared" si="19"/>
        <v>MA330__44575_0.226585648148148</v>
      </c>
      <c r="BG200" s="127" t="str">
        <f t="shared" si="20"/>
        <v/>
      </c>
      <c r="BH200" s="137" t="s">
        <v>779</v>
      </c>
      <c r="BI200" s="128" t="str">
        <f t="shared" si="21"/>
        <v>FM6</v>
      </c>
      <c r="BJ200" s="129" t="b">
        <f t="shared" si="22"/>
        <v>0</v>
      </c>
      <c r="BK200" s="128" t="str">
        <f t="shared" si="23"/>
        <v/>
      </c>
      <c r="BL200" s="121"/>
      <c r="BM200" s="5" t="str">
        <f t="shared" si="24"/>
        <v>MISSING</v>
      </c>
      <c r="BN200" s="120" t="b">
        <f t="shared" si="25"/>
        <v>0</v>
      </c>
      <c r="BO200" s="131" t="b">
        <f t="shared" si="26"/>
        <v>1</v>
      </c>
      <c r="BP200" s="121"/>
      <c r="BQ200" s="132" t="str">
        <f>VLOOKUP(A200,RAW_APS!A$3:O826,15,FALSE)</f>
        <v/>
      </c>
      <c r="BR200" s="120" t="b">
        <f t="shared" si="27"/>
        <v>1</v>
      </c>
      <c r="BS200" s="121"/>
      <c r="BT200" s="138" t="s">
        <v>244</v>
      </c>
      <c r="BU200" s="10" t="b">
        <f t="shared" si="28"/>
        <v>1</v>
      </c>
      <c r="BV200" s="120"/>
      <c r="BW200" s="120"/>
      <c r="BX200" s="120"/>
      <c r="BY200" s="120"/>
      <c r="BZ200" s="120"/>
      <c r="CA200" s="120"/>
      <c r="CB200" s="120"/>
      <c r="CC200" s="120"/>
    </row>
    <row r="201">
      <c r="A201" s="2" t="s">
        <v>780</v>
      </c>
      <c r="B201" s="100">
        <v>44575.0</v>
      </c>
      <c r="C201" s="101">
        <v>0.2949421296296296</v>
      </c>
      <c r="D201" s="102"/>
      <c r="E201" s="102"/>
      <c r="F201" s="102"/>
      <c r="G201" s="102"/>
      <c r="H201" s="102"/>
      <c r="I201" s="103"/>
      <c r="J201" s="103"/>
      <c r="K201" s="2" t="s">
        <v>244</v>
      </c>
      <c r="L201" s="100">
        <v>44575.0</v>
      </c>
      <c r="M201" s="101">
        <v>0.4820601851851852</v>
      </c>
      <c r="P201" s="104" t="b">
        <f>IFNA(IF(VLOOKUP($A201,'Add from APT'!$AA$2:$AC826,3,FALSE)&gt;0,TRUE,FALSE),"ER - NOT IN APT")</f>
        <v>0</v>
      </c>
      <c r="Q201" s="105" t="str">
        <f>IF(ISLOGICAL(P201),IF(P201,"ER - REPS IN APT", IFNA(VLOOKUP($A201,RAW_APT!$A$3:$M826,7,FALSE),"ER - NOT IN APT")),P201)</f>
        <v>Result</v>
      </c>
      <c r="R201" s="106" t="b">
        <f t="shared" si="2"/>
        <v>1</v>
      </c>
      <c r="S201" s="107">
        <f t="shared" si="3"/>
        <v>1</v>
      </c>
      <c r="T201" s="143"/>
      <c r="U201" s="142"/>
      <c r="V201" s="142"/>
      <c r="W201" s="142"/>
      <c r="X201" s="110" t="b">
        <f t="shared" si="4"/>
        <v>0</v>
      </c>
      <c r="Y201" s="111" t="b">
        <v>0</v>
      </c>
      <c r="Z201" s="104" t="str">
        <f t="shared" si="5"/>
        <v/>
      </c>
      <c r="AA201" s="112" t="b">
        <f t="shared" si="6"/>
        <v>0</v>
      </c>
      <c r="AB201" s="142" t="b">
        <v>0</v>
      </c>
      <c r="AC201" s="140">
        <v>603.0</v>
      </c>
      <c r="AD201" s="141" t="b">
        <v>0</v>
      </c>
      <c r="AE201" s="115">
        <f t="shared" si="7"/>
        <v>269.45</v>
      </c>
      <c r="AF201" s="116" t="b">
        <f t="shared" si="8"/>
        <v>0</v>
      </c>
      <c r="AG201" s="105" t="b">
        <f t="shared" si="9"/>
        <v>0</v>
      </c>
      <c r="AH201" s="140"/>
      <c r="AI201" s="140"/>
      <c r="AJ201" s="140"/>
      <c r="AK201" s="117" t="str">
        <f t="shared" si="10"/>
        <v>Negative</v>
      </c>
      <c r="AL201" s="142"/>
      <c r="AM201" s="112" t="s">
        <v>633</v>
      </c>
      <c r="AN201" s="112" t="s">
        <v>634</v>
      </c>
      <c r="AO201" s="112" t="str">
        <f>IFERROR(__xludf.DUMMYFUNCTION("IF($AG201, ""DELETED"",TRIM(JOIN("" "",D201:E201)))"),"")</f>
        <v/>
      </c>
      <c r="AP201" s="112" t="str">
        <f t="shared" ref="AP201:AQ201" si="226">IF($AG201, "DELETED", TRIM(CONCATENATE(F201,I201,U201)))</f>
        <v/>
      </c>
      <c r="AQ201" s="112" t="str">
        <f t="shared" si="226"/>
        <v/>
      </c>
      <c r="AR201" s="112" t="str">
        <f>IFERROR(__xludf.DUMMYFUNCTION("IF($AG201, ""DELETED"", TRIM(JOIN("" "",AP201,AQ201)))"),"")</f>
        <v/>
      </c>
      <c r="AS201" s="118"/>
      <c r="AT201" s="110" t="b">
        <f t="shared" si="12"/>
        <v>0</v>
      </c>
      <c r="AU201" s="110" t="str">
        <f t="shared" si="13"/>
        <v/>
      </c>
      <c r="AV201" s="110" t="str">
        <f t="shared" si="14"/>
        <v/>
      </c>
      <c r="AW201" s="110" t="str">
        <f t="shared" si="15"/>
        <v/>
      </c>
      <c r="AX201" s="119" t="str">
        <f t="shared" si="16"/>
        <v/>
      </c>
      <c r="AY201" s="120"/>
      <c r="AZ201" s="121"/>
      <c r="BA201" s="122" t="str">
        <f t="shared" si="17"/>
        <v/>
      </c>
      <c r="BB201" s="34"/>
      <c r="BC201" s="121"/>
      <c r="BD201" s="136"/>
      <c r="BE201" s="125" t="str">
        <f t="shared" si="18"/>
        <v/>
      </c>
      <c r="BF201" s="126" t="str">
        <f t="shared" si="19"/>
        <v>MA434__44575_0.29494212962963</v>
      </c>
      <c r="BG201" s="127" t="str">
        <f t="shared" si="20"/>
        <v/>
      </c>
      <c r="BH201" s="137" t="s">
        <v>781</v>
      </c>
      <c r="BI201" s="128" t="str">
        <f t="shared" si="21"/>
        <v>FM60</v>
      </c>
      <c r="BJ201" s="129" t="b">
        <f t="shared" si="22"/>
        <v>0</v>
      </c>
      <c r="BK201" s="128" t="str">
        <f t="shared" si="23"/>
        <v/>
      </c>
      <c r="BL201" s="121"/>
      <c r="BM201" s="5" t="str">
        <f t="shared" si="24"/>
        <v>MISSING</v>
      </c>
      <c r="BN201" s="120" t="b">
        <f t="shared" si="25"/>
        <v>0</v>
      </c>
      <c r="BO201" s="131" t="b">
        <f t="shared" si="26"/>
        <v>1</v>
      </c>
      <c r="BP201" s="121"/>
      <c r="BQ201" s="132" t="str">
        <f>VLOOKUP(A201,RAW_APS!A$3:O826,15,FALSE)</f>
        <v/>
      </c>
      <c r="BR201" s="120" t="b">
        <f t="shared" si="27"/>
        <v>1</v>
      </c>
      <c r="BS201" s="121"/>
      <c r="BT201" s="138" t="s">
        <v>244</v>
      </c>
      <c r="BU201" s="10" t="b">
        <f t="shared" si="28"/>
        <v>1</v>
      </c>
      <c r="BV201" s="120"/>
      <c r="BW201" s="120"/>
      <c r="BX201" s="120"/>
      <c r="BY201" s="120"/>
      <c r="BZ201" s="120"/>
      <c r="CA201" s="120"/>
      <c r="CB201" s="120"/>
      <c r="CC201" s="120"/>
    </row>
    <row r="202">
      <c r="A202" s="2" t="s">
        <v>782</v>
      </c>
      <c r="B202" s="100">
        <v>44575.0</v>
      </c>
      <c r="C202" s="101">
        <v>0.3110763888888889</v>
      </c>
      <c r="D202" s="102"/>
      <c r="E202" s="102"/>
      <c r="F202" s="102"/>
      <c r="G202" s="102"/>
      <c r="H202" s="102"/>
      <c r="I202" s="103"/>
      <c r="J202" s="103"/>
      <c r="K202" s="2" t="s">
        <v>244</v>
      </c>
      <c r="L202" s="100">
        <v>44575.0</v>
      </c>
      <c r="M202" s="101">
        <v>0.4820601851851852</v>
      </c>
      <c r="P202" s="104" t="b">
        <f>IFNA(IF(VLOOKUP($A202,'Add from APT'!$AA$2:$AC826,3,FALSE)&gt;0,TRUE,FALSE),"ER - NOT IN APT")</f>
        <v>0</v>
      </c>
      <c r="Q202" s="105" t="str">
        <f>IF(ISLOGICAL(P202),IF(P202,"ER - REPS IN APT", IFNA(VLOOKUP($A202,RAW_APT!$A$3:$M826,7,FALSE),"ER - NOT IN APT")),P202)</f>
        <v>Result</v>
      </c>
      <c r="R202" s="106" t="b">
        <f t="shared" si="2"/>
        <v>1</v>
      </c>
      <c r="S202" s="107">
        <f t="shared" si="3"/>
        <v>1</v>
      </c>
      <c r="T202" s="143"/>
      <c r="U202" s="142"/>
      <c r="V202" s="142"/>
      <c r="W202" s="142"/>
      <c r="X202" s="110" t="b">
        <f t="shared" si="4"/>
        <v>0</v>
      </c>
      <c r="Y202" s="111" t="b">
        <v>0</v>
      </c>
      <c r="Z202" s="104" t="str">
        <f t="shared" si="5"/>
        <v/>
      </c>
      <c r="AA202" s="112" t="b">
        <f t="shared" si="6"/>
        <v>0</v>
      </c>
      <c r="AB202" s="142" t="b">
        <v>0</v>
      </c>
      <c r="AC202" s="140">
        <v>602.0</v>
      </c>
      <c r="AD202" s="141" t="b">
        <v>0</v>
      </c>
      <c r="AE202" s="115">
        <f t="shared" si="7"/>
        <v>246.2166667</v>
      </c>
      <c r="AF202" s="116" t="b">
        <f t="shared" si="8"/>
        <v>0</v>
      </c>
      <c r="AG202" s="105" t="b">
        <f t="shared" si="9"/>
        <v>0</v>
      </c>
      <c r="AH202" s="140"/>
      <c r="AI202" s="140"/>
      <c r="AJ202" s="140"/>
      <c r="AK202" s="117" t="str">
        <f t="shared" si="10"/>
        <v>Negative</v>
      </c>
      <c r="AL202" s="142"/>
      <c r="AM202" s="112" t="s">
        <v>310</v>
      </c>
      <c r="AN202" s="112" t="s">
        <v>311</v>
      </c>
      <c r="AO202" s="112" t="str">
        <f>IFERROR(__xludf.DUMMYFUNCTION("IF($AG202, ""DELETED"",TRIM(JOIN("" "",D202:E202)))"),"")</f>
        <v/>
      </c>
      <c r="AP202" s="112" t="str">
        <f t="shared" ref="AP202:AQ202" si="227">IF($AG202, "DELETED", TRIM(CONCATENATE(F202,I202,U202)))</f>
        <v/>
      </c>
      <c r="AQ202" s="112" t="str">
        <f t="shared" si="227"/>
        <v/>
      </c>
      <c r="AR202" s="112" t="str">
        <f>IFERROR(__xludf.DUMMYFUNCTION("IF($AG202, ""DELETED"", TRIM(JOIN("" "",AP202,AQ202)))"),"")</f>
        <v/>
      </c>
      <c r="AS202" s="118"/>
      <c r="AT202" s="110" t="b">
        <f t="shared" si="12"/>
        <v>0</v>
      </c>
      <c r="AU202" s="110" t="str">
        <f t="shared" si="13"/>
        <v/>
      </c>
      <c r="AV202" s="110" t="str">
        <f t="shared" si="14"/>
        <v/>
      </c>
      <c r="AW202" s="110" t="str">
        <f t="shared" si="15"/>
        <v/>
      </c>
      <c r="AX202" s="119" t="str">
        <f t="shared" si="16"/>
        <v/>
      </c>
      <c r="AY202" s="120"/>
      <c r="AZ202" s="121"/>
      <c r="BA202" s="122" t="str">
        <f t="shared" si="17"/>
        <v/>
      </c>
      <c r="BB202" s="34"/>
      <c r="BC202" s="121"/>
      <c r="BD202" s="136"/>
      <c r="BE202" s="125" t="str">
        <f t="shared" si="18"/>
        <v/>
      </c>
      <c r="BF202" s="126" t="str">
        <f t="shared" si="19"/>
        <v>MA711__44575_0.311076388888889</v>
      </c>
      <c r="BG202" s="127" t="str">
        <f t="shared" si="20"/>
        <v/>
      </c>
      <c r="BH202" s="137" t="s">
        <v>783</v>
      </c>
      <c r="BI202" s="128" t="str">
        <f t="shared" si="21"/>
        <v>FM61</v>
      </c>
      <c r="BJ202" s="129" t="b">
        <f t="shared" si="22"/>
        <v>0</v>
      </c>
      <c r="BK202" s="128" t="str">
        <f t="shared" si="23"/>
        <v/>
      </c>
      <c r="BL202" s="121"/>
      <c r="BM202" s="5" t="str">
        <f t="shared" si="24"/>
        <v>MISSING</v>
      </c>
      <c r="BN202" s="120" t="b">
        <f t="shared" si="25"/>
        <v>0</v>
      </c>
      <c r="BO202" s="131" t="b">
        <f t="shared" si="26"/>
        <v>1</v>
      </c>
      <c r="BP202" s="121"/>
      <c r="BQ202" s="132" t="str">
        <f>VLOOKUP(A202,RAW_APS!A$3:O826,15,FALSE)</f>
        <v/>
      </c>
      <c r="BR202" s="120" t="b">
        <f t="shared" si="27"/>
        <v>1</v>
      </c>
      <c r="BS202" s="121"/>
      <c r="BT202" s="138" t="s">
        <v>244</v>
      </c>
      <c r="BU202" s="10" t="b">
        <f t="shared" si="28"/>
        <v>1</v>
      </c>
      <c r="BV202" s="120"/>
      <c r="BW202" s="120"/>
      <c r="BX202" s="120"/>
      <c r="BY202" s="120"/>
      <c r="BZ202" s="120"/>
      <c r="CA202" s="120"/>
      <c r="CB202" s="120"/>
      <c r="CC202" s="120"/>
    </row>
    <row r="203">
      <c r="A203" s="2" t="s">
        <v>784</v>
      </c>
      <c r="B203" s="100">
        <v>44575.0</v>
      </c>
      <c r="C203" s="101">
        <v>0.3111574074074074</v>
      </c>
      <c r="D203" s="102"/>
      <c r="E203" s="102"/>
      <c r="F203" s="102"/>
      <c r="G203" s="102"/>
      <c r="H203" s="102"/>
      <c r="I203" s="103"/>
      <c r="J203" s="103"/>
      <c r="K203" s="2" t="s">
        <v>244</v>
      </c>
      <c r="L203" s="100">
        <v>44575.0</v>
      </c>
      <c r="M203" s="101">
        <v>0.4820601851851852</v>
      </c>
      <c r="P203" s="104" t="b">
        <f>IFNA(IF(VLOOKUP($A203,'Add from APT'!$AA$2:$AC826,3,FALSE)&gt;0,TRUE,FALSE),"ER - NOT IN APT")</f>
        <v>0</v>
      </c>
      <c r="Q203" s="105" t="str">
        <f>IF(ISLOGICAL(P203),IF(P203,"ER - REPS IN APT", IFNA(VLOOKUP($A203,RAW_APT!$A$3:$M826,7,FALSE),"ER - NOT IN APT")),P203)</f>
        <v>Result</v>
      </c>
      <c r="R203" s="106" t="b">
        <f t="shared" si="2"/>
        <v>1</v>
      </c>
      <c r="S203" s="107">
        <f t="shared" si="3"/>
        <v>1</v>
      </c>
      <c r="T203" s="143"/>
      <c r="U203" s="142"/>
      <c r="V203" s="142"/>
      <c r="W203" s="142"/>
      <c r="X203" s="110" t="b">
        <f t="shared" si="4"/>
        <v>0</v>
      </c>
      <c r="Y203" s="111" t="b">
        <v>0</v>
      </c>
      <c r="Z203" s="104" t="str">
        <f t="shared" si="5"/>
        <v/>
      </c>
      <c r="AA203" s="112" t="b">
        <f t="shared" si="6"/>
        <v>0</v>
      </c>
      <c r="AB203" s="142" t="b">
        <v>0</v>
      </c>
      <c r="AC203" s="140">
        <v>601.0</v>
      </c>
      <c r="AD203" s="141" t="b">
        <v>0</v>
      </c>
      <c r="AE203" s="115">
        <f t="shared" si="7"/>
        <v>246.1</v>
      </c>
      <c r="AF203" s="116" t="b">
        <f t="shared" si="8"/>
        <v>0</v>
      </c>
      <c r="AG203" s="105" t="b">
        <f t="shared" si="9"/>
        <v>0</v>
      </c>
      <c r="AH203" s="140"/>
      <c r="AI203" s="140"/>
      <c r="AJ203" s="140"/>
      <c r="AK203" s="117" t="str">
        <f t="shared" si="10"/>
        <v>Negative</v>
      </c>
      <c r="AL203" s="142"/>
      <c r="AM203" s="112" t="s">
        <v>291</v>
      </c>
      <c r="AN203" s="112" t="s">
        <v>292</v>
      </c>
      <c r="AO203" s="112" t="str">
        <f>IFERROR(__xludf.DUMMYFUNCTION("IF($AG203, ""DELETED"",TRIM(JOIN("" "",D203:E203)))"),"")</f>
        <v/>
      </c>
      <c r="AP203" s="112" t="str">
        <f t="shared" ref="AP203:AQ203" si="228">IF($AG203, "DELETED", TRIM(CONCATENATE(F203,I203,U203)))</f>
        <v/>
      </c>
      <c r="AQ203" s="112" t="str">
        <f t="shared" si="228"/>
        <v/>
      </c>
      <c r="AR203" s="112" t="str">
        <f>IFERROR(__xludf.DUMMYFUNCTION("IF($AG203, ""DELETED"", TRIM(JOIN("" "",AP203,AQ203)))"),"")</f>
        <v/>
      </c>
      <c r="AS203" s="118"/>
      <c r="AT203" s="110" t="b">
        <f t="shared" si="12"/>
        <v>0</v>
      </c>
      <c r="AU203" s="110" t="str">
        <f t="shared" si="13"/>
        <v/>
      </c>
      <c r="AV203" s="110" t="str">
        <f t="shared" si="14"/>
        <v/>
      </c>
      <c r="AW203" s="110" t="str">
        <f t="shared" si="15"/>
        <v/>
      </c>
      <c r="AX203" s="119" t="str">
        <f t="shared" si="16"/>
        <v/>
      </c>
      <c r="AY203" s="120"/>
      <c r="AZ203" s="121"/>
      <c r="BA203" s="122" t="str">
        <f t="shared" si="17"/>
        <v/>
      </c>
      <c r="BB203" s="34"/>
      <c r="BC203" s="121"/>
      <c r="BD203" s="136"/>
      <c r="BE203" s="125" t="str">
        <f t="shared" si="18"/>
        <v/>
      </c>
      <c r="BF203" s="126" t="str">
        <f t="shared" si="19"/>
        <v>MA1163__44575_0.311157407407407</v>
      </c>
      <c r="BG203" s="127" t="str">
        <f t="shared" si="20"/>
        <v/>
      </c>
      <c r="BH203" s="137" t="s">
        <v>785</v>
      </c>
      <c r="BI203" s="128" t="str">
        <f t="shared" si="21"/>
        <v>FM617</v>
      </c>
      <c r="BJ203" s="129" t="b">
        <f t="shared" si="22"/>
        <v>0</v>
      </c>
      <c r="BK203" s="128" t="str">
        <f t="shared" si="23"/>
        <v/>
      </c>
      <c r="BL203" s="121"/>
      <c r="BM203" s="5" t="str">
        <f t="shared" si="24"/>
        <v>MISSING</v>
      </c>
      <c r="BN203" s="120" t="b">
        <f t="shared" si="25"/>
        <v>0</v>
      </c>
      <c r="BO203" s="131" t="b">
        <f t="shared" si="26"/>
        <v>1</v>
      </c>
      <c r="BP203" s="121"/>
      <c r="BQ203" s="132" t="str">
        <f>VLOOKUP(A203,RAW_APS!A$3:O826,15,FALSE)</f>
        <v/>
      </c>
      <c r="BR203" s="120" t="b">
        <f t="shared" si="27"/>
        <v>1</v>
      </c>
      <c r="BS203" s="121"/>
      <c r="BT203" s="138" t="s">
        <v>244</v>
      </c>
      <c r="BU203" s="10" t="b">
        <f t="shared" si="28"/>
        <v>1</v>
      </c>
      <c r="BV203" s="120"/>
      <c r="BW203" s="120"/>
      <c r="BX203" s="120"/>
      <c r="BY203" s="120"/>
      <c r="BZ203" s="120"/>
      <c r="CA203" s="120"/>
      <c r="CB203" s="120"/>
      <c r="CC203" s="120"/>
    </row>
    <row r="204">
      <c r="A204" s="2" t="s">
        <v>786</v>
      </c>
      <c r="B204" s="100">
        <v>44575.0</v>
      </c>
      <c r="C204" s="101">
        <v>0.3125925925925926</v>
      </c>
      <c r="D204" s="102"/>
      <c r="E204" s="102"/>
      <c r="F204" s="102"/>
      <c r="G204" s="102"/>
      <c r="H204" s="102"/>
      <c r="I204" s="103"/>
      <c r="J204" s="103"/>
      <c r="K204" s="2" t="s">
        <v>244</v>
      </c>
      <c r="L204" s="100">
        <v>44575.0</v>
      </c>
      <c r="M204" s="101">
        <v>0.4820601851851852</v>
      </c>
      <c r="P204" s="104" t="b">
        <f>IFNA(IF(VLOOKUP($A204,'Add from APT'!$AA$2:$AC826,3,FALSE)&gt;0,TRUE,FALSE),"ER - NOT IN APT")</f>
        <v>0</v>
      </c>
      <c r="Q204" s="105" t="str">
        <f>IF(ISLOGICAL(P204),IF(P204,"ER - REPS IN APT", IFNA(VLOOKUP($A204,RAW_APT!$A$3:$M826,7,FALSE),"ER - NOT IN APT")),P204)</f>
        <v>Result</v>
      </c>
      <c r="R204" s="106" t="b">
        <f t="shared" si="2"/>
        <v>1</v>
      </c>
      <c r="S204" s="107">
        <f t="shared" si="3"/>
        <v>1</v>
      </c>
      <c r="T204" s="143"/>
      <c r="U204" s="142"/>
      <c r="V204" s="142"/>
      <c r="W204" s="142"/>
      <c r="X204" s="110" t="b">
        <f t="shared" si="4"/>
        <v>0</v>
      </c>
      <c r="Y204" s="111" t="b">
        <v>0</v>
      </c>
      <c r="Z204" s="104" t="str">
        <f t="shared" si="5"/>
        <v/>
      </c>
      <c r="AA204" s="112" t="b">
        <f t="shared" si="6"/>
        <v>0</v>
      </c>
      <c r="AB204" s="142" t="b">
        <v>0</v>
      </c>
      <c r="AC204" s="140">
        <v>600.0</v>
      </c>
      <c r="AD204" s="141" t="b">
        <v>0</v>
      </c>
      <c r="AE204" s="115">
        <f t="shared" si="7"/>
        <v>244.0333333</v>
      </c>
      <c r="AF204" s="116" t="b">
        <f t="shared" si="8"/>
        <v>0</v>
      </c>
      <c r="AG204" s="105" t="b">
        <f t="shared" si="9"/>
        <v>0</v>
      </c>
      <c r="AH204" s="140"/>
      <c r="AI204" s="140"/>
      <c r="AJ204" s="140"/>
      <c r="AK204" s="117" t="str">
        <f t="shared" si="10"/>
        <v>Negative</v>
      </c>
      <c r="AL204" s="142"/>
      <c r="AM204" s="112" t="s">
        <v>731</v>
      </c>
      <c r="AN204" s="112" t="s">
        <v>732</v>
      </c>
      <c r="AO204" s="112" t="str">
        <f>IFERROR(__xludf.DUMMYFUNCTION("IF($AG204, ""DELETED"",TRIM(JOIN("" "",D204:E204)))"),"")</f>
        <v/>
      </c>
      <c r="AP204" s="112" t="str">
        <f t="shared" ref="AP204:AQ204" si="229">IF($AG204, "DELETED", TRIM(CONCATENATE(F204,I204,U204)))</f>
        <v/>
      </c>
      <c r="AQ204" s="112" t="str">
        <f t="shared" si="229"/>
        <v/>
      </c>
      <c r="AR204" s="112" t="str">
        <f>IFERROR(__xludf.DUMMYFUNCTION("IF($AG204, ""DELETED"", TRIM(JOIN("" "",AP204,AQ204)))"),"")</f>
        <v/>
      </c>
      <c r="AS204" s="118"/>
      <c r="AT204" s="110" t="b">
        <f t="shared" si="12"/>
        <v>0</v>
      </c>
      <c r="AU204" s="110" t="str">
        <f t="shared" si="13"/>
        <v/>
      </c>
      <c r="AV204" s="110" t="str">
        <f t="shared" si="14"/>
        <v/>
      </c>
      <c r="AW204" s="110" t="str">
        <f t="shared" si="15"/>
        <v/>
      </c>
      <c r="AX204" s="119" t="str">
        <f t="shared" si="16"/>
        <v/>
      </c>
      <c r="AY204" s="120"/>
      <c r="AZ204" s="121"/>
      <c r="BA204" s="122" t="str">
        <f t="shared" si="17"/>
        <v/>
      </c>
      <c r="BB204" s="34"/>
      <c r="BC204" s="121"/>
      <c r="BD204" s="136"/>
      <c r="BE204" s="125" t="str">
        <f t="shared" si="18"/>
        <v/>
      </c>
      <c r="BF204" s="126" t="str">
        <f t="shared" si="19"/>
        <v>MA490__44575_0.312592592592593</v>
      </c>
      <c r="BG204" s="127" t="str">
        <f t="shared" si="20"/>
        <v/>
      </c>
      <c r="BH204" s="137" t="s">
        <v>787</v>
      </c>
      <c r="BI204" s="128" t="str">
        <f t="shared" si="21"/>
        <v>FM62</v>
      </c>
      <c r="BJ204" s="129" t="b">
        <f t="shared" si="22"/>
        <v>0</v>
      </c>
      <c r="BK204" s="128" t="str">
        <f t="shared" si="23"/>
        <v/>
      </c>
      <c r="BL204" s="121"/>
      <c r="BM204" s="5" t="str">
        <f t="shared" si="24"/>
        <v>MISSING</v>
      </c>
      <c r="BN204" s="120" t="b">
        <f t="shared" si="25"/>
        <v>0</v>
      </c>
      <c r="BO204" s="131" t="b">
        <f t="shared" si="26"/>
        <v>1</v>
      </c>
      <c r="BP204" s="121"/>
      <c r="BQ204" s="132" t="str">
        <f>VLOOKUP(A204,RAW_APS!A$3:O826,15,FALSE)</f>
        <v/>
      </c>
      <c r="BR204" s="120" t="b">
        <f t="shared" si="27"/>
        <v>1</v>
      </c>
      <c r="BS204" s="121"/>
      <c r="BT204" s="138" t="s">
        <v>244</v>
      </c>
      <c r="BU204" s="10" t="b">
        <f t="shared" si="28"/>
        <v>1</v>
      </c>
      <c r="BV204" s="120"/>
      <c r="BW204" s="120"/>
      <c r="BX204" s="120"/>
      <c r="BY204" s="120"/>
      <c r="BZ204" s="120"/>
      <c r="CA204" s="120"/>
      <c r="CB204" s="120"/>
      <c r="CC204" s="120"/>
    </row>
    <row r="205">
      <c r="A205" s="2" t="s">
        <v>788</v>
      </c>
      <c r="B205" s="100">
        <v>44575.0</v>
      </c>
      <c r="C205" s="101">
        <v>0.3230439814814815</v>
      </c>
      <c r="D205" s="102"/>
      <c r="E205" s="102"/>
      <c r="F205" s="102"/>
      <c r="G205" s="102"/>
      <c r="H205" s="102"/>
      <c r="I205" s="103"/>
      <c r="J205" s="103"/>
      <c r="K205" s="2" t="s">
        <v>52</v>
      </c>
      <c r="L205" s="100">
        <v>44579.0</v>
      </c>
      <c r="M205" s="101">
        <v>0.5015856481481481</v>
      </c>
      <c r="P205" s="104" t="b">
        <f>IFNA(IF(VLOOKUP($A205,'Add from APT'!$AA$2:$AC826,3,FALSE)&gt;0,TRUE,FALSE),"ER - NOT IN APT")</f>
        <v>0</v>
      </c>
      <c r="Q205" s="105" t="str">
        <f>IF(ISLOGICAL(P205),IF(P205,"ER - REPS IN APT", IFNA(VLOOKUP($A205,RAW_APT!$A$3:$M826,7,FALSE),"ER - NOT IN APT")),P205)</f>
        <v>Result</v>
      </c>
      <c r="R205" s="106" t="b">
        <f t="shared" si="2"/>
        <v>1</v>
      </c>
      <c r="S205" s="107">
        <f t="shared" si="3"/>
        <v>1</v>
      </c>
      <c r="T205" s="143"/>
      <c r="U205" s="142"/>
      <c r="V205" s="142"/>
      <c r="W205" s="142"/>
      <c r="X205" s="110" t="b">
        <f t="shared" si="4"/>
        <v>0</v>
      </c>
      <c r="Y205" s="111" t="b">
        <v>0</v>
      </c>
      <c r="Z205" s="104" t="str">
        <f t="shared" si="5"/>
        <v/>
      </c>
      <c r="AA205" s="112" t="b">
        <f t="shared" si="6"/>
        <v>0</v>
      </c>
      <c r="AB205" s="142" t="b">
        <v>0</v>
      </c>
      <c r="AC205" s="140">
        <v>599.0</v>
      </c>
      <c r="AD205" s="141" t="b">
        <v>0</v>
      </c>
      <c r="AE205" s="115" t="str">
        <f t="shared" si="7"/>
        <v/>
      </c>
      <c r="AF205" s="116" t="b">
        <f t="shared" si="8"/>
        <v>0</v>
      </c>
      <c r="AG205" s="105" t="b">
        <f t="shared" si="9"/>
        <v>0</v>
      </c>
      <c r="AH205" s="140"/>
      <c r="AI205" s="140"/>
      <c r="AJ205" s="140"/>
      <c r="AK205" s="117" t="str">
        <f t="shared" si="10"/>
        <v>Positive</v>
      </c>
      <c r="AL205" s="142"/>
      <c r="AM205" s="112" t="s">
        <v>314</v>
      </c>
      <c r="AN205" s="112" t="s">
        <v>315</v>
      </c>
      <c r="AO205" s="112" t="str">
        <f>IFERROR(__xludf.DUMMYFUNCTION("IF($AG205, ""DELETED"",TRIM(JOIN("" "",D205:E205)))"),"")</f>
        <v/>
      </c>
      <c r="AP205" s="112" t="str">
        <f t="shared" ref="AP205:AQ205" si="230">IF($AG205, "DELETED", TRIM(CONCATENATE(F205,I205,U205)))</f>
        <v/>
      </c>
      <c r="AQ205" s="112" t="str">
        <f t="shared" si="230"/>
        <v/>
      </c>
      <c r="AR205" s="112" t="str">
        <f>IFERROR(__xludf.DUMMYFUNCTION("IF($AG205, ""DELETED"", TRIM(JOIN("" "",AP205,AQ205)))"),"")</f>
        <v/>
      </c>
      <c r="AS205" s="118"/>
      <c r="AT205" s="110" t="b">
        <f t="shared" si="12"/>
        <v>0</v>
      </c>
      <c r="AU205" s="110" t="str">
        <f t="shared" si="13"/>
        <v/>
      </c>
      <c r="AV205" s="110" t="str">
        <f t="shared" si="14"/>
        <v/>
      </c>
      <c r="AW205" s="110" t="str">
        <f t="shared" si="15"/>
        <v/>
      </c>
      <c r="AX205" s="119" t="str">
        <f t="shared" si="16"/>
        <v/>
      </c>
      <c r="AY205" s="120"/>
      <c r="AZ205" s="121"/>
      <c r="BA205" s="122" t="str">
        <f t="shared" si="17"/>
        <v/>
      </c>
      <c r="BB205" s="34"/>
      <c r="BC205" s="121"/>
      <c r="BD205" s="136"/>
      <c r="BE205" s="125" t="str">
        <f t="shared" si="18"/>
        <v/>
      </c>
      <c r="BF205" s="126" t="str">
        <f t="shared" si="19"/>
        <v>MA1243__44575_0.323043981481482</v>
      </c>
      <c r="BG205" s="127" t="str">
        <f t="shared" si="20"/>
        <v/>
      </c>
      <c r="BH205" s="137" t="s">
        <v>789</v>
      </c>
      <c r="BI205" s="128" t="str">
        <f t="shared" si="21"/>
        <v>FM63</v>
      </c>
      <c r="BJ205" s="129" t="b">
        <f t="shared" si="22"/>
        <v>0</v>
      </c>
      <c r="BK205" s="128" t="str">
        <f t="shared" si="23"/>
        <v/>
      </c>
      <c r="BL205" s="121"/>
      <c r="BM205" s="5" t="str">
        <f t="shared" si="24"/>
        <v>MISSING</v>
      </c>
      <c r="BN205" s="120" t="b">
        <f t="shared" si="25"/>
        <v>0</v>
      </c>
      <c r="BO205" s="131" t="b">
        <f t="shared" si="26"/>
        <v>1</v>
      </c>
      <c r="BP205" s="121"/>
      <c r="BQ205" s="132" t="str">
        <f>VLOOKUP(A205,RAW_APS!A$3:O826,15,FALSE)</f>
        <v/>
      </c>
      <c r="BR205" s="120" t="b">
        <f t="shared" si="27"/>
        <v>1</v>
      </c>
      <c r="BS205" s="121"/>
      <c r="BT205" s="138" t="s">
        <v>52</v>
      </c>
      <c r="BU205" s="10" t="b">
        <f t="shared" si="28"/>
        <v>1</v>
      </c>
      <c r="BV205" s="120"/>
      <c r="BW205" s="120"/>
      <c r="BX205" s="120"/>
      <c r="BY205" s="120"/>
      <c r="BZ205" s="120"/>
      <c r="CA205" s="120"/>
      <c r="CB205" s="120"/>
      <c r="CC205" s="120"/>
    </row>
    <row r="206">
      <c r="A206" s="2" t="s">
        <v>790</v>
      </c>
      <c r="B206" s="100">
        <v>44575.0</v>
      </c>
      <c r="C206" s="101">
        <v>0.3307175925925926</v>
      </c>
      <c r="D206" s="102"/>
      <c r="E206" s="102"/>
      <c r="F206" s="102"/>
      <c r="G206" s="102"/>
      <c r="H206" s="102"/>
      <c r="I206" s="103"/>
      <c r="J206" s="103"/>
      <c r="K206" s="2" t="s">
        <v>244</v>
      </c>
      <c r="L206" s="100">
        <v>44575.0</v>
      </c>
      <c r="M206" s="101">
        <v>0.4820601851851852</v>
      </c>
      <c r="P206" s="104" t="b">
        <f>IFNA(IF(VLOOKUP($A206,'Add from APT'!$AA$2:$AC826,3,FALSE)&gt;0,TRUE,FALSE),"ER - NOT IN APT")</f>
        <v>0</v>
      </c>
      <c r="Q206" s="105" t="str">
        <f>IF(ISLOGICAL(P206),IF(P206,"ER - REPS IN APT", IFNA(VLOOKUP($A206,RAW_APT!$A$3:$M826,7,FALSE),"ER - NOT IN APT")),P206)</f>
        <v>Result</v>
      </c>
      <c r="R206" s="106" t="b">
        <f t="shared" si="2"/>
        <v>1</v>
      </c>
      <c r="S206" s="107">
        <f t="shared" si="3"/>
        <v>1</v>
      </c>
      <c r="T206" s="143"/>
      <c r="U206" s="142"/>
      <c r="V206" s="142"/>
      <c r="W206" s="142"/>
      <c r="X206" s="110" t="b">
        <f t="shared" si="4"/>
        <v>0</v>
      </c>
      <c r="Y206" s="111" t="b">
        <v>0</v>
      </c>
      <c r="Z206" s="104" t="str">
        <f t="shared" si="5"/>
        <v/>
      </c>
      <c r="AA206" s="112" t="b">
        <f t="shared" si="6"/>
        <v>0</v>
      </c>
      <c r="AB206" s="142" t="b">
        <v>0</v>
      </c>
      <c r="AC206" s="140">
        <v>598.0</v>
      </c>
      <c r="AD206" s="141" t="b">
        <v>0</v>
      </c>
      <c r="AE206" s="115">
        <f t="shared" si="7"/>
        <v>217.9333333</v>
      </c>
      <c r="AF206" s="116" t="b">
        <f t="shared" si="8"/>
        <v>0</v>
      </c>
      <c r="AG206" s="105" t="b">
        <f t="shared" si="9"/>
        <v>0</v>
      </c>
      <c r="AH206" s="140"/>
      <c r="AI206" s="140"/>
      <c r="AJ206" s="140"/>
      <c r="AK206" s="117" t="str">
        <f t="shared" si="10"/>
        <v>Negative</v>
      </c>
      <c r="AL206" s="142"/>
      <c r="AM206" s="112" t="s">
        <v>328</v>
      </c>
      <c r="AN206" s="112" t="s">
        <v>329</v>
      </c>
      <c r="AO206" s="112" t="str">
        <f>IFERROR(__xludf.DUMMYFUNCTION("IF($AG206, ""DELETED"",TRIM(JOIN("" "",D206:E206)))"),"")</f>
        <v/>
      </c>
      <c r="AP206" s="112" t="str">
        <f t="shared" ref="AP206:AQ206" si="231">IF($AG206, "DELETED", TRIM(CONCATENATE(F206,I206,U206)))</f>
        <v/>
      </c>
      <c r="AQ206" s="112" t="str">
        <f t="shared" si="231"/>
        <v/>
      </c>
      <c r="AR206" s="112" t="str">
        <f>IFERROR(__xludf.DUMMYFUNCTION("IF($AG206, ""DELETED"", TRIM(JOIN("" "",AP206,AQ206)))"),"")</f>
        <v/>
      </c>
      <c r="AS206" s="118"/>
      <c r="AT206" s="110" t="b">
        <f t="shared" si="12"/>
        <v>0</v>
      </c>
      <c r="AU206" s="110" t="str">
        <f t="shared" si="13"/>
        <v/>
      </c>
      <c r="AV206" s="110" t="str">
        <f t="shared" si="14"/>
        <v/>
      </c>
      <c r="AW206" s="110" t="str">
        <f t="shared" si="15"/>
        <v/>
      </c>
      <c r="AX206" s="119" t="str">
        <f t="shared" si="16"/>
        <v/>
      </c>
      <c r="AY206" s="120"/>
      <c r="AZ206" s="121"/>
      <c r="BA206" s="122" t="str">
        <f t="shared" si="17"/>
        <v/>
      </c>
      <c r="BB206" s="34"/>
      <c r="BC206" s="121"/>
      <c r="BD206" s="136"/>
      <c r="BE206" s="125" t="str">
        <f t="shared" si="18"/>
        <v/>
      </c>
      <c r="BF206" s="126" t="str">
        <f t="shared" si="19"/>
        <v>MA1034__44575_0.330717592592593</v>
      </c>
      <c r="BG206" s="127" t="str">
        <f t="shared" si="20"/>
        <v/>
      </c>
      <c r="BH206" s="137" t="s">
        <v>791</v>
      </c>
      <c r="BI206" s="128" t="str">
        <f t="shared" si="21"/>
        <v>FM646</v>
      </c>
      <c r="BJ206" s="129" t="b">
        <f t="shared" si="22"/>
        <v>0</v>
      </c>
      <c r="BK206" s="128" t="str">
        <f t="shared" si="23"/>
        <v/>
      </c>
      <c r="BL206" s="121"/>
      <c r="BM206" s="5" t="str">
        <f t="shared" si="24"/>
        <v>MISSING</v>
      </c>
      <c r="BN206" s="120" t="b">
        <f t="shared" si="25"/>
        <v>0</v>
      </c>
      <c r="BO206" s="131" t="b">
        <f t="shared" si="26"/>
        <v>1</v>
      </c>
      <c r="BP206" s="121"/>
      <c r="BQ206" s="132" t="str">
        <f>VLOOKUP(A206,RAW_APS!A$3:O826,15,FALSE)</f>
        <v/>
      </c>
      <c r="BR206" s="120" t="b">
        <f t="shared" si="27"/>
        <v>1</v>
      </c>
      <c r="BS206" s="121"/>
      <c r="BT206" s="138" t="s">
        <v>244</v>
      </c>
      <c r="BU206" s="10" t="b">
        <f t="shared" si="28"/>
        <v>1</v>
      </c>
      <c r="BV206" s="120"/>
      <c r="BW206" s="120"/>
      <c r="BX206" s="120"/>
      <c r="BY206" s="120"/>
      <c r="BZ206" s="120"/>
      <c r="CA206" s="120"/>
      <c r="CB206" s="120"/>
      <c r="CC206" s="120"/>
    </row>
    <row r="207" ht="18.0" customHeight="1">
      <c r="A207" s="2" t="s">
        <v>792</v>
      </c>
      <c r="B207" s="100">
        <v>44575.0</v>
      </c>
      <c r="C207" s="101">
        <v>0.3400578703703704</v>
      </c>
      <c r="D207" s="102"/>
      <c r="E207" s="102"/>
      <c r="F207" s="139"/>
      <c r="G207" s="103"/>
      <c r="H207" s="103"/>
      <c r="I207" s="103"/>
      <c r="J207" s="103"/>
      <c r="K207" s="2" t="s">
        <v>52</v>
      </c>
      <c r="L207" s="100">
        <v>44579.0</v>
      </c>
      <c r="M207" s="101">
        <v>0.5015856481481481</v>
      </c>
      <c r="P207" s="104" t="b">
        <f>IFNA(IF(VLOOKUP($A207,'Add from APT'!$AA$2:$AC826,3,FALSE)&gt;0,TRUE,FALSE),"ER - NOT IN APT")</f>
        <v>0</v>
      </c>
      <c r="Q207" s="105" t="str">
        <f>IF(ISLOGICAL(P207),IF(P207,"ER - REPS IN APT", IFNA(VLOOKUP($A207,RAW_APT!$A$3:$M826,7,FALSE),"ER - NOT IN APT")),P207)</f>
        <v>Result</v>
      </c>
      <c r="R207" s="106" t="b">
        <f t="shared" si="2"/>
        <v>1</v>
      </c>
      <c r="S207" s="107">
        <f t="shared" si="3"/>
        <v>1</v>
      </c>
      <c r="T207" s="140">
        <v>0.0</v>
      </c>
      <c r="U207" s="141"/>
      <c r="W207" s="142"/>
      <c r="X207" s="110" t="b">
        <f t="shared" si="4"/>
        <v>0</v>
      </c>
      <c r="Y207" s="111" t="b">
        <v>0</v>
      </c>
      <c r="Z207" s="104" t="str">
        <f t="shared" si="5"/>
        <v/>
      </c>
      <c r="AA207" s="112" t="b">
        <f t="shared" si="6"/>
        <v>0</v>
      </c>
      <c r="AB207" s="142" t="b">
        <v>0</v>
      </c>
      <c r="AC207" s="140">
        <v>597.0</v>
      </c>
      <c r="AD207" s="141" t="b">
        <v>0</v>
      </c>
      <c r="AE207" s="115" t="str">
        <f t="shared" si="7"/>
        <v/>
      </c>
      <c r="AF207" s="116" t="b">
        <f t="shared" si="8"/>
        <v>0</v>
      </c>
      <c r="AG207" s="105" t="b">
        <f t="shared" si="9"/>
        <v>0</v>
      </c>
      <c r="AH207" s="140"/>
      <c r="AI207" s="140"/>
      <c r="AJ207" s="140"/>
      <c r="AK207" s="117" t="str">
        <f t="shared" si="10"/>
        <v>Positive</v>
      </c>
      <c r="AL207" s="142"/>
      <c r="AM207" s="112" t="s">
        <v>793</v>
      </c>
      <c r="AN207" s="112" t="s">
        <v>794</v>
      </c>
      <c r="AO207" s="112" t="str">
        <f>IFERROR(__xludf.DUMMYFUNCTION("IF($AG207, ""DELETED"",TRIM(JOIN("" "",D207:E207)))"),"")</f>
        <v/>
      </c>
      <c r="AP207" s="112" t="str">
        <f t="shared" ref="AP207:AQ207" si="232">IF($AG207, "DELETED", TRIM(CONCATENATE(F207,I207,U207)))</f>
        <v/>
      </c>
      <c r="AQ207" s="112" t="str">
        <f t="shared" si="232"/>
        <v/>
      </c>
      <c r="AR207" s="112" t="str">
        <f>IFERROR(__xludf.DUMMYFUNCTION("IF($AG207, ""DELETED"", TRIM(JOIN("" "",AP207,AQ207)))"),"")</f>
        <v/>
      </c>
      <c r="AS207" s="118"/>
      <c r="AT207" s="110" t="b">
        <f t="shared" si="12"/>
        <v>0</v>
      </c>
      <c r="AU207" s="110" t="str">
        <f t="shared" si="13"/>
        <v/>
      </c>
      <c r="AV207" s="110" t="str">
        <f t="shared" si="14"/>
        <v/>
      </c>
      <c r="AW207" s="110" t="str">
        <f t="shared" si="15"/>
        <v/>
      </c>
      <c r="AX207" s="119" t="str">
        <f t="shared" si="16"/>
        <v/>
      </c>
      <c r="AY207" s="120"/>
      <c r="AZ207" s="121"/>
      <c r="BA207" s="122" t="str">
        <f t="shared" si="17"/>
        <v/>
      </c>
      <c r="BB207" s="34"/>
      <c r="BC207" s="121"/>
      <c r="BD207" s="136"/>
      <c r="BE207" s="125" t="str">
        <f t="shared" si="18"/>
        <v/>
      </c>
      <c r="BF207" s="126" t="str">
        <f t="shared" si="19"/>
        <v>MA1186__44575_0.34005787037037</v>
      </c>
      <c r="BG207" s="127" t="str">
        <f t="shared" si="20"/>
        <v/>
      </c>
      <c r="BH207" s="137" t="s">
        <v>795</v>
      </c>
      <c r="BI207" s="128" t="str">
        <f t="shared" si="21"/>
        <v>FM65</v>
      </c>
      <c r="BJ207" s="129" t="b">
        <f t="shared" si="22"/>
        <v>0</v>
      </c>
      <c r="BK207" s="128" t="str">
        <f t="shared" si="23"/>
        <v/>
      </c>
      <c r="BL207" s="121"/>
      <c r="BM207" s="5" t="str">
        <f t="shared" si="24"/>
        <v>MISSING</v>
      </c>
      <c r="BN207" s="120" t="b">
        <f t="shared" si="25"/>
        <v>0</v>
      </c>
      <c r="BO207" s="131" t="b">
        <f t="shared" si="26"/>
        <v>1</v>
      </c>
      <c r="BP207" s="121"/>
      <c r="BQ207" s="132" t="str">
        <f>VLOOKUP(A207,RAW_APS!A$3:O826,15,FALSE)</f>
        <v/>
      </c>
      <c r="BR207" s="120" t="b">
        <f t="shared" si="27"/>
        <v>1</v>
      </c>
      <c r="BS207" s="121"/>
      <c r="BT207" s="138" t="s">
        <v>52</v>
      </c>
      <c r="BU207" s="10" t="b">
        <f t="shared" si="28"/>
        <v>1</v>
      </c>
      <c r="BV207" s="120"/>
      <c r="BW207" s="120"/>
      <c r="BX207" s="120"/>
      <c r="BY207" s="120"/>
      <c r="BZ207" s="120"/>
      <c r="CA207" s="120"/>
      <c r="CB207" s="120"/>
      <c r="CC207" s="120"/>
    </row>
    <row r="208">
      <c r="A208" s="2" t="s">
        <v>796</v>
      </c>
      <c r="B208" s="100">
        <v>44575.0</v>
      </c>
      <c r="C208" s="101">
        <v>0.3453703703703704</v>
      </c>
      <c r="D208" s="102"/>
      <c r="E208" s="102"/>
      <c r="F208" s="102"/>
      <c r="G208" s="102"/>
      <c r="H208" s="102"/>
      <c r="I208" s="103"/>
      <c r="J208" s="103"/>
      <c r="K208" s="2" t="s">
        <v>244</v>
      </c>
      <c r="L208" s="100">
        <v>44575.0</v>
      </c>
      <c r="M208" s="101">
        <v>0.4820601851851852</v>
      </c>
      <c r="P208" s="104" t="b">
        <f>IFNA(IF(VLOOKUP($A208,'Add from APT'!$AA$2:$AC826,3,FALSE)&gt;0,TRUE,FALSE),"ER - NOT IN APT")</f>
        <v>0</v>
      </c>
      <c r="Q208" s="105" t="str">
        <f>IF(ISLOGICAL(P208),IF(P208,"ER - REPS IN APT", IFNA(VLOOKUP($A208,RAW_APT!$A$3:$M826,7,FALSE),"ER - NOT IN APT")),P208)</f>
        <v>Result</v>
      </c>
      <c r="R208" s="106" t="b">
        <f t="shared" si="2"/>
        <v>1</v>
      </c>
      <c r="S208" s="107">
        <f t="shared" si="3"/>
        <v>1</v>
      </c>
      <c r="T208" s="143"/>
      <c r="U208" s="142"/>
      <c r="V208" s="142"/>
      <c r="W208" s="142"/>
      <c r="X208" s="110" t="b">
        <f t="shared" si="4"/>
        <v>0</v>
      </c>
      <c r="Y208" s="111" t="b">
        <v>0</v>
      </c>
      <c r="Z208" s="104" t="str">
        <f t="shared" si="5"/>
        <v/>
      </c>
      <c r="AA208" s="112" t="b">
        <f t="shared" si="6"/>
        <v>0</v>
      </c>
      <c r="AB208" s="142" t="b">
        <v>0</v>
      </c>
      <c r="AC208" s="140">
        <v>596.0</v>
      </c>
      <c r="AD208" s="141" t="b">
        <v>0</v>
      </c>
      <c r="AE208" s="115">
        <f t="shared" si="7"/>
        <v>196.8333333</v>
      </c>
      <c r="AF208" s="116" t="b">
        <f t="shared" si="8"/>
        <v>0</v>
      </c>
      <c r="AG208" s="105" t="b">
        <f t="shared" si="9"/>
        <v>0</v>
      </c>
      <c r="AH208" s="140"/>
      <c r="AI208" s="140"/>
      <c r="AJ208" s="140"/>
      <c r="AK208" s="117" t="str">
        <f t="shared" si="10"/>
        <v>Negative</v>
      </c>
      <c r="AL208" s="142"/>
      <c r="AM208" s="112" t="s">
        <v>797</v>
      </c>
      <c r="AN208" s="112" t="s">
        <v>798</v>
      </c>
      <c r="AO208" s="112" t="str">
        <f>IFERROR(__xludf.DUMMYFUNCTION("IF($AG208, ""DELETED"",TRIM(JOIN("" "",D208:E208)))"),"")</f>
        <v/>
      </c>
      <c r="AP208" s="112" t="str">
        <f t="shared" ref="AP208:AQ208" si="233">IF($AG208, "DELETED", TRIM(CONCATENATE(F208,I208,U208)))</f>
        <v/>
      </c>
      <c r="AQ208" s="112" t="str">
        <f t="shared" si="233"/>
        <v/>
      </c>
      <c r="AR208" s="112" t="str">
        <f>IFERROR(__xludf.DUMMYFUNCTION("IF($AG208, ""DELETED"", TRIM(JOIN("" "",AP208,AQ208)))"),"")</f>
        <v/>
      </c>
      <c r="AS208" s="118"/>
      <c r="AT208" s="110" t="b">
        <f t="shared" si="12"/>
        <v>0</v>
      </c>
      <c r="AU208" s="110" t="str">
        <f t="shared" si="13"/>
        <v/>
      </c>
      <c r="AV208" s="110" t="str">
        <f t="shared" si="14"/>
        <v/>
      </c>
      <c r="AW208" s="110" t="str">
        <f t="shared" si="15"/>
        <v/>
      </c>
      <c r="AX208" s="119" t="str">
        <f t="shared" si="16"/>
        <v/>
      </c>
      <c r="AY208" s="120"/>
      <c r="AZ208" s="121"/>
      <c r="BA208" s="122" t="str">
        <f t="shared" si="17"/>
        <v/>
      </c>
      <c r="BB208" s="34"/>
      <c r="BC208" s="121"/>
      <c r="BD208" s="136"/>
      <c r="BE208" s="125" t="str">
        <f t="shared" si="18"/>
        <v/>
      </c>
      <c r="BF208" s="126" t="str">
        <f t="shared" si="19"/>
        <v>MA1166__44575_0.34537037037037</v>
      </c>
      <c r="BG208" s="127" t="str">
        <f t="shared" si="20"/>
        <v/>
      </c>
      <c r="BH208" s="137" t="s">
        <v>799</v>
      </c>
      <c r="BI208" s="128" t="str">
        <f t="shared" si="21"/>
        <v>FM66</v>
      </c>
      <c r="BJ208" s="129" t="b">
        <f t="shared" si="22"/>
        <v>0</v>
      </c>
      <c r="BK208" s="128" t="str">
        <f t="shared" si="23"/>
        <v/>
      </c>
      <c r="BL208" s="121"/>
      <c r="BM208" s="5" t="str">
        <f t="shared" si="24"/>
        <v>MISSING</v>
      </c>
      <c r="BN208" s="120" t="b">
        <f t="shared" si="25"/>
        <v>0</v>
      </c>
      <c r="BO208" s="131" t="b">
        <f t="shared" si="26"/>
        <v>1</v>
      </c>
      <c r="BP208" s="121"/>
      <c r="BQ208" s="132" t="str">
        <f>VLOOKUP(A208,RAW_APS!A$3:O826,15,FALSE)</f>
        <v/>
      </c>
      <c r="BR208" s="120" t="b">
        <f t="shared" si="27"/>
        <v>1</v>
      </c>
      <c r="BS208" s="121"/>
      <c r="BT208" s="138" t="s">
        <v>244</v>
      </c>
      <c r="BU208" s="10" t="b">
        <f t="shared" si="28"/>
        <v>1</v>
      </c>
      <c r="BV208" s="120"/>
      <c r="BW208" s="120"/>
      <c r="BX208" s="120"/>
      <c r="BY208" s="120"/>
      <c r="BZ208" s="120"/>
      <c r="CA208" s="120"/>
      <c r="CB208" s="120"/>
      <c r="CC208" s="120"/>
    </row>
    <row r="209">
      <c r="A209" s="2" t="s">
        <v>800</v>
      </c>
      <c r="B209" s="100">
        <v>44575.0</v>
      </c>
      <c r="C209" s="101">
        <v>0.3471180555555556</v>
      </c>
      <c r="D209" s="102"/>
      <c r="E209" s="102"/>
      <c r="F209" s="139"/>
      <c r="G209" s="139"/>
      <c r="H209" s="139"/>
      <c r="I209" s="103"/>
      <c r="J209" s="103"/>
      <c r="K209" s="2" t="s">
        <v>244</v>
      </c>
      <c r="L209" s="100">
        <v>44575.0</v>
      </c>
      <c r="M209" s="101">
        <v>0.4820601851851852</v>
      </c>
      <c r="P209" s="104" t="b">
        <f>IFNA(IF(VLOOKUP($A209,'Add from APT'!$AA$2:$AC826,3,FALSE)&gt;0,TRUE,FALSE),"ER - NOT IN APT")</f>
        <v>0</v>
      </c>
      <c r="Q209" s="105" t="str">
        <f>IF(ISLOGICAL(P209),IF(P209,"ER - REPS IN APT", IFNA(VLOOKUP($A209,RAW_APT!$A$3:$M826,7,FALSE),"ER - NOT IN APT")),P209)</f>
        <v>Result</v>
      </c>
      <c r="R209" s="106" t="b">
        <f t="shared" si="2"/>
        <v>1</v>
      </c>
      <c r="S209" s="107">
        <f t="shared" si="3"/>
        <v>1</v>
      </c>
      <c r="T209" s="140">
        <v>0.0</v>
      </c>
      <c r="U209" s="141"/>
      <c r="V209" s="141"/>
      <c r="W209" s="141"/>
      <c r="X209" s="110" t="b">
        <f t="shared" si="4"/>
        <v>0</v>
      </c>
      <c r="Y209" s="111" t="b">
        <v>0</v>
      </c>
      <c r="Z209" s="104" t="str">
        <f t="shared" si="5"/>
        <v/>
      </c>
      <c r="AA209" s="112" t="b">
        <f t="shared" si="6"/>
        <v>0</v>
      </c>
      <c r="AB209" s="142" t="b">
        <v>0</v>
      </c>
      <c r="AC209" s="140">
        <v>595.0</v>
      </c>
      <c r="AD209" s="141" t="b">
        <v>0</v>
      </c>
      <c r="AE209" s="115">
        <f t="shared" si="7"/>
        <v>194.3166667</v>
      </c>
      <c r="AF209" s="116" t="b">
        <f t="shared" si="8"/>
        <v>0</v>
      </c>
      <c r="AG209" s="105" t="b">
        <f t="shared" si="9"/>
        <v>0</v>
      </c>
      <c r="AH209" s="140"/>
      <c r="AI209" s="140"/>
      <c r="AJ209" s="140"/>
      <c r="AK209" s="117" t="str">
        <f t="shared" si="10"/>
        <v>Negative</v>
      </c>
      <c r="AL209" s="142"/>
      <c r="AM209" s="112" t="s">
        <v>727</v>
      </c>
      <c r="AN209" s="112" t="s">
        <v>801</v>
      </c>
      <c r="AO209" s="112" t="str">
        <f>IFERROR(__xludf.DUMMYFUNCTION("IF($AG209, ""DELETED"",TRIM(JOIN("" "",D209:E209)))"),"")</f>
        <v/>
      </c>
      <c r="AP209" s="112" t="str">
        <f t="shared" ref="AP209:AQ209" si="234">IF($AG209, "DELETED", TRIM(CONCATENATE(F209,I209,U209)))</f>
        <v/>
      </c>
      <c r="AQ209" s="112" t="str">
        <f t="shared" si="234"/>
        <v/>
      </c>
      <c r="AR209" s="112" t="str">
        <f>IFERROR(__xludf.DUMMYFUNCTION("IF($AG209, ""DELETED"", TRIM(JOIN("" "",AP209,AQ209)))"),"")</f>
        <v/>
      </c>
      <c r="AS209" s="118"/>
      <c r="AT209" s="110" t="b">
        <f t="shared" si="12"/>
        <v>0</v>
      </c>
      <c r="AU209" s="110" t="str">
        <f t="shared" si="13"/>
        <v/>
      </c>
      <c r="AV209" s="110" t="str">
        <f t="shared" si="14"/>
        <v/>
      </c>
      <c r="AW209" s="110" t="str">
        <f t="shared" si="15"/>
        <v/>
      </c>
      <c r="AX209" s="119" t="str">
        <f t="shared" si="16"/>
        <v/>
      </c>
      <c r="AY209" s="120"/>
      <c r="AZ209" s="121"/>
      <c r="BA209" s="122" t="str">
        <f t="shared" si="17"/>
        <v/>
      </c>
      <c r="BB209" s="34"/>
      <c r="BC209" s="121"/>
      <c r="BD209" s="136"/>
      <c r="BE209" s="125" t="str">
        <f t="shared" si="18"/>
        <v/>
      </c>
      <c r="BF209" s="126" t="str">
        <f t="shared" si="19"/>
        <v>MA331__44575_0.347118055555556</v>
      </c>
      <c r="BG209" s="127" t="str">
        <f t="shared" si="20"/>
        <v/>
      </c>
      <c r="BH209" s="137" t="s">
        <v>802</v>
      </c>
      <c r="BI209" s="128" t="str">
        <f t="shared" si="21"/>
        <v>FM70</v>
      </c>
      <c r="BJ209" s="129" t="b">
        <f t="shared" si="22"/>
        <v>0</v>
      </c>
      <c r="BK209" s="128" t="str">
        <f t="shared" si="23"/>
        <v/>
      </c>
      <c r="BL209" s="121"/>
      <c r="BM209" s="5" t="str">
        <f t="shared" si="24"/>
        <v>MISSING</v>
      </c>
      <c r="BN209" s="120" t="b">
        <f t="shared" si="25"/>
        <v>0</v>
      </c>
      <c r="BO209" s="131" t="b">
        <f t="shared" si="26"/>
        <v>1</v>
      </c>
      <c r="BP209" s="121"/>
      <c r="BQ209" s="132" t="str">
        <f>VLOOKUP(A209,RAW_APS!A$3:O826,15,FALSE)</f>
        <v/>
      </c>
      <c r="BR209" s="120" t="b">
        <f t="shared" si="27"/>
        <v>1</v>
      </c>
      <c r="BS209" s="121"/>
      <c r="BT209" s="138" t="s">
        <v>244</v>
      </c>
      <c r="BU209" s="10" t="b">
        <f t="shared" si="28"/>
        <v>1</v>
      </c>
      <c r="BV209" s="120"/>
      <c r="BW209" s="120"/>
      <c r="BX209" s="120"/>
      <c r="BY209" s="120"/>
      <c r="BZ209" s="120"/>
      <c r="CA209" s="120"/>
      <c r="CB209" s="120"/>
      <c r="CC209" s="120"/>
    </row>
    <row r="210">
      <c r="A210" s="2" t="s">
        <v>803</v>
      </c>
      <c r="B210" s="100">
        <v>44575.0</v>
      </c>
      <c r="C210" s="101">
        <v>0.3519097222222222</v>
      </c>
      <c r="D210" s="102"/>
      <c r="E210" s="102"/>
      <c r="F210" s="102"/>
      <c r="G210" s="102"/>
      <c r="H210" s="102"/>
      <c r="I210" s="103"/>
      <c r="J210" s="103"/>
      <c r="K210" s="2" t="s">
        <v>244</v>
      </c>
      <c r="L210" s="100">
        <v>44575.0</v>
      </c>
      <c r="M210" s="101">
        <v>0.4820601851851852</v>
      </c>
      <c r="P210" s="104" t="b">
        <f>IFNA(IF(VLOOKUP($A210,'Add from APT'!$AA$2:$AC826,3,FALSE)&gt;0,TRUE,FALSE),"ER - NOT IN APT")</f>
        <v>0</v>
      </c>
      <c r="Q210" s="105" t="str">
        <f>IF(ISLOGICAL(P210),IF(P210,"ER - REPS IN APT", IFNA(VLOOKUP($A210,RAW_APT!$A$3:$M826,7,FALSE),"ER - NOT IN APT")),P210)</f>
        <v>Result</v>
      </c>
      <c r="R210" s="106" t="b">
        <f t="shared" si="2"/>
        <v>1</v>
      </c>
      <c r="S210" s="107">
        <f t="shared" si="3"/>
        <v>1</v>
      </c>
      <c r="T210" s="143"/>
      <c r="U210" s="142"/>
      <c r="V210" s="142"/>
      <c r="W210" s="142"/>
      <c r="X210" s="110" t="b">
        <f t="shared" si="4"/>
        <v>0</v>
      </c>
      <c r="Y210" s="111" t="b">
        <v>0</v>
      </c>
      <c r="Z210" s="104" t="str">
        <f t="shared" si="5"/>
        <v/>
      </c>
      <c r="AA210" s="112" t="b">
        <f t="shared" si="6"/>
        <v>0</v>
      </c>
      <c r="AB210" s="142" t="b">
        <v>0</v>
      </c>
      <c r="AC210" s="140">
        <v>594.0</v>
      </c>
      <c r="AD210" s="141" t="b">
        <v>0</v>
      </c>
      <c r="AE210" s="115">
        <f t="shared" si="7"/>
        <v>187.4166667</v>
      </c>
      <c r="AF210" s="116" t="b">
        <f t="shared" si="8"/>
        <v>0</v>
      </c>
      <c r="AG210" s="105" t="b">
        <f t="shared" si="9"/>
        <v>0</v>
      </c>
      <c r="AH210" s="140"/>
      <c r="AI210" s="140"/>
      <c r="AJ210" s="140"/>
      <c r="AK210" s="117" t="str">
        <f t="shared" si="10"/>
        <v>Negative</v>
      </c>
      <c r="AL210" s="142"/>
      <c r="AM210" s="112" t="s">
        <v>491</v>
      </c>
      <c r="AN210" s="112" t="s">
        <v>495</v>
      </c>
      <c r="AO210" s="112" t="str">
        <f>IFERROR(__xludf.DUMMYFUNCTION("IF($AG210, ""DELETED"",TRIM(JOIN("" "",D210:E210)))"),"")</f>
        <v/>
      </c>
      <c r="AP210" s="112" t="str">
        <f t="shared" ref="AP210:AQ210" si="235">IF($AG210, "DELETED", TRIM(CONCATENATE(F210,I210,U210)))</f>
        <v/>
      </c>
      <c r="AQ210" s="112" t="str">
        <f t="shared" si="235"/>
        <v/>
      </c>
      <c r="AR210" s="112" t="str">
        <f>IFERROR(__xludf.DUMMYFUNCTION("IF($AG210, ""DELETED"", TRIM(JOIN("" "",AP210,AQ210)))"),"")</f>
        <v/>
      </c>
      <c r="AS210" s="118"/>
      <c r="AT210" s="110" t="b">
        <f t="shared" si="12"/>
        <v>0</v>
      </c>
      <c r="AU210" s="110" t="str">
        <f t="shared" si="13"/>
        <v/>
      </c>
      <c r="AV210" s="110" t="str">
        <f t="shared" si="14"/>
        <v/>
      </c>
      <c r="AW210" s="110" t="str">
        <f t="shared" si="15"/>
        <v/>
      </c>
      <c r="AX210" s="119" t="str">
        <f t="shared" si="16"/>
        <v/>
      </c>
      <c r="AY210" s="120"/>
      <c r="AZ210" s="121"/>
      <c r="BA210" s="122" t="str">
        <f t="shared" si="17"/>
        <v/>
      </c>
      <c r="BB210" s="34"/>
      <c r="BC210" s="121"/>
      <c r="BD210" s="136"/>
      <c r="BE210" s="125" t="str">
        <f t="shared" si="18"/>
        <v/>
      </c>
      <c r="BF210" s="126" t="str">
        <f t="shared" si="19"/>
        <v>MA641__44575_0.351909722222222</v>
      </c>
      <c r="BG210" s="127" t="str">
        <f t="shared" si="20"/>
        <v/>
      </c>
      <c r="BH210" s="137" t="s">
        <v>804</v>
      </c>
      <c r="BI210" s="128" t="str">
        <f t="shared" si="21"/>
        <v>FM71</v>
      </c>
      <c r="BJ210" s="129" t="b">
        <f t="shared" si="22"/>
        <v>0</v>
      </c>
      <c r="BK210" s="128" t="str">
        <f t="shared" si="23"/>
        <v/>
      </c>
      <c r="BL210" s="121"/>
      <c r="BM210" s="5" t="str">
        <f t="shared" si="24"/>
        <v>MISSING</v>
      </c>
      <c r="BN210" s="120" t="b">
        <f t="shared" si="25"/>
        <v>0</v>
      </c>
      <c r="BO210" s="131" t="b">
        <f t="shared" si="26"/>
        <v>1</v>
      </c>
      <c r="BP210" s="121"/>
      <c r="BQ210" s="132" t="str">
        <f>VLOOKUP(A210,RAW_APS!A$3:O826,15,FALSE)</f>
        <v/>
      </c>
      <c r="BR210" s="120" t="b">
        <f t="shared" si="27"/>
        <v>1</v>
      </c>
      <c r="BS210" s="121"/>
      <c r="BT210" s="138" t="s">
        <v>244</v>
      </c>
      <c r="BU210" s="10" t="b">
        <f t="shared" si="28"/>
        <v>1</v>
      </c>
      <c r="BV210" s="120"/>
      <c r="BW210" s="120"/>
      <c r="BX210" s="120"/>
      <c r="BY210" s="120"/>
      <c r="BZ210" s="120"/>
      <c r="CA210" s="120"/>
      <c r="CB210" s="120"/>
      <c r="CC210" s="120"/>
    </row>
    <row r="211">
      <c r="A211" s="2" t="s">
        <v>805</v>
      </c>
      <c r="B211" s="100">
        <v>44575.0</v>
      </c>
      <c r="C211" s="101">
        <v>0.35594907407407406</v>
      </c>
      <c r="D211" s="102"/>
      <c r="E211" s="102"/>
      <c r="F211" s="102"/>
      <c r="G211" s="102"/>
      <c r="H211" s="102"/>
      <c r="I211" s="103"/>
      <c r="J211" s="103"/>
      <c r="K211" s="2" t="s">
        <v>244</v>
      </c>
      <c r="L211" s="100">
        <v>44575.0</v>
      </c>
      <c r="M211" s="101">
        <v>0.4820601851851852</v>
      </c>
      <c r="P211" s="104" t="b">
        <f>IFNA(IF(VLOOKUP($A211,'Add from APT'!$AA$2:$AC826,3,FALSE)&gt;0,TRUE,FALSE),"ER - NOT IN APT")</f>
        <v>0</v>
      </c>
      <c r="Q211" s="105" t="str">
        <f>IF(ISLOGICAL(P211),IF(P211,"ER - REPS IN APT", IFNA(VLOOKUP($A211,RAW_APT!$A$3:$M826,7,FALSE),"ER - NOT IN APT")),P211)</f>
        <v>Result</v>
      </c>
      <c r="R211" s="106" t="b">
        <f t="shared" si="2"/>
        <v>1</v>
      </c>
      <c r="S211" s="107">
        <f t="shared" si="3"/>
        <v>1</v>
      </c>
      <c r="T211" s="143"/>
      <c r="U211" s="142"/>
      <c r="V211" s="142"/>
      <c r="W211" s="142"/>
      <c r="X211" s="110" t="b">
        <f t="shared" si="4"/>
        <v>0</v>
      </c>
      <c r="Y211" s="111" t="b">
        <v>0</v>
      </c>
      <c r="Z211" s="104" t="str">
        <f t="shared" si="5"/>
        <v/>
      </c>
      <c r="AA211" s="112" t="b">
        <f t="shared" si="6"/>
        <v>0</v>
      </c>
      <c r="AB211" s="142" t="b">
        <v>0</v>
      </c>
      <c r="AC211" s="140">
        <v>593.0</v>
      </c>
      <c r="AD211" s="141" t="b">
        <v>0</v>
      </c>
      <c r="AE211" s="115">
        <f t="shared" si="7"/>
        <v>181.6</v>
      </c>
      <c r="AF211" s="116" t="b">
        <f t="shared" si="8"/>
        <v>0</v>
      </c>
      <c r="AG211" s="105" t="b">
        <f t="shared" si="9"/>
        <v>0</v>
      </c>
      <c r="AH211" s="140"/>
      <c r="AI211" s="140"/>
      <c r="AJ211" s="140"/>
      <c r="AK211" s="117" t="str">
        <f t="shared" si="10"/>
        <v>Negative</v>
      </c>
      <c r="AL211" s="142"/>
      <c r="AM211" s="112" t="s">
        <v>806</v>
      </c>
      <c r="AN211" s="112" t="s">
        <v>807</v>
      </c>
      <c r="AO211" s="112" t="str">
        <f>IFERROR(__xludf.DUMMYFUNCTION("IF($AG211, ""DELETED"",TRIM(JOIN("" "",D211:E211)))"),"")</f>
        <v/>
      </c>
      <c r="AP211" s="112" t="str">
        <f t="shared" ref="AP211:AQ211" si="236">IF($AG211, "DELETED", TRIM(CONCATENATE(F211,I211,U211)))</f>
        <v/>
      </c>
      <c r="AQ211" s="112" t="str">
        <f t="shared" si="236"/>
        <v/>
      </c>
      <c r="AR211" s="112" t="str">
        <f>IFERROR(__xludf.DUMMYFUNCTION("IF($AG211, ""DELETED"", TRIM(JOIN("" "",AP211,AQ211)))"),"")</f>
        <v/>
      </c>
      <c r="AS211" s="118"/>
      <c r="AT211" s="110" t="b">
        <f t="shared" si="12"/>
        <v>0</v>
      </c>
      <c r="AU211" s="110" t="str">
        <f t="shared" si="13"/>
        <v/>
      </c>
      <c r="AV211" s="110" t="str">
        <f t="shared" si="14"/>
        <v/>
      </c>
      <c r="AW211" s="110" t="str">
        <f t="shared" si="15"/>
        <v/>
      </c>
      <c r="AX211" s="119" t="str">
        <f t="shared" si="16"/>
        <v/>
      </c>
      <c r="AY211" s="120"/>
      <c r="AZ211" s="121"/>
      <c r="BA211" s="122" t="str">
        <f t="shared" si="17"/>
        <v/>
      </c>
      <c r="BB211" s="34"/>
      <c r="BC211" s="121"/>
      <c r="BD211" s="136"/>
      <c r="BE211" s="125" t="str">
        <f t="shared" si="18"/>
        <v/>
      </c>
      <c r="BF211" s="126" t="str">
        <f t="shared" si="19"/>
        <v>MA286__44575_0.355949074074074</v>
      </c>
      <c r="BG211" s="127" t="str">
        <f t="shared" si="20"/>
        <v/>
      </c>
      <c r="BH211" s="137" t="s">
        <v>808</v>
      </c>
      <c r="BI211" s="128" t="str">
        <f t="shared" si="21"/>
        <v>FM73</v>
      </c>
      <c r="BJ211" s="129" t="b">
        <f t="shared" si="22"/>
        <v>0</v>
      </c>
      <c r="BK211" s="128" t="str">
        <f t="shared" si="23"/>
        <v/>
      </c>
      <c r="BL211" s="121"/>
      <c r="BM211" s="5" t="str">
        <f t="shared" si="24"/>
        <v>MISSING</v>
      </c>
      <c r="BN211" s="120" t="b">
        <f t="shared" si="25"/>
        <v>0</v>
      </c>
      <c r="BO211" s="131" t="b">
        <f t="shared" si="26"/>
        <v>1</v>
      </c>
      <c r="BP211" s="121"/>
      <c r="BQ211" s="132" t="str">
        <f>VLOOKUP(A211,RAW_APS!A$3:O826,15,FALSE)</f>
        <v/>
      </c>
      <c r="BR211" s="120" t="b">
        <f t="shared" si="27"/>
        <v>1</v>
      </c>
      <c r="BS211" s="121"/>
      <c r="BT211" s="138" t="s">
        <v>244</v>
      </c>
      <c r="BU211" s="10" t="b">
        <f t="shared" si="28"/>
        <v>1</v>
      </c>
      <c r="BV211" s="120"/>
      <c r="BW211" s="120"/>
      <c r="BX211" s="120"/>
      <c r="BY211" s="120"/>
      <c r="BZ211" s="120"/>
      <c r="CA211" s="120"/>
      <c r="CB211" s="120"/>
      <c r="CC211" s="120"/>
    </row>
    <row r="212">
      <c r="A212" s="2" t="s">
        <v>809</v>
      </c>
      <c r="B212" s="100">
        <v>44575.0</v>
      </c>
      <c r="C212" s="101">
        <v>0.3859722222222222</v>
      </c>
      <c r="D212" s="102"/>
      <c r="E212" s="102"/>
      <c r="F212" s="139"/>
      <c r="G212" s="148"/>
      <c r="H212" s="148"/>
      <c r="I212" s="103"/>
      <c r="J212" s="103"/>
      <c r="K212" s="2" t="s">
        <v>52</v>
      </c>
      <c r="L212" s="100">
        <v>44579.0</v>
      </c>
      <c r="M212" s="101">
        <v>0.5015856481481481</v>
      </c>
      <c r="P212" s="104" t="b">
        <f>IFNA(IF(VLOOKUP($A212,'Add from APT'!$AA$2:$AC826,3,FALSE)&gt;0,TRUE,FALSE),"ER - NOT IN APT")</f>
        <v>0</v>
      </c>
      <c r="Q212" s="105" t="str">
        <f>IF(ISLOGICAL(P212),IF(P212,"ER - REPS IN APT", IFNA(VLOOKUP($A212,RAW_APT!$A$3:$M826,7,FALSE),"ER - NOT IN APT")),P212)</f>
        <v>Result</v>
      </c>
      <c r="R212" s="106" t="b">
        <f t="shared" si="2"/>
        <v>1</v>
      </c>
      <c r="S212" s="107">
        <f t="shared" si="3"/>
        <v>1</v>
      </c>
      <c r="T212" s="140">
        <v>0.0</v>
      </c>
      <c r="U212" s="141"/>
      <c r="V212" s="142"/>
      <c r="W212" s="141"/>
      <c r="X212" s="110" t="b">
        <f t="shared" si="4"/>
        <v>0</v>
      </c>
      <c r="Y212" s="111" t="b">
        <v>0</v>
      </c>
      <c r="Z212" s="104" t="str">
        <f t="shared" si="5"/>
        <v/>
      </c>
      <c r="AA212" s="112" t="b">
        <f t="shared" si="6"/>
        <v>0</v>
      </c>
      <c r="AB212" s="142" t="b">
        <v>0</v>
      </c>
      <c r="AC212" s="140">
        <v>592.0</v>
      </c>
      <c r="AD212" s="141" t="b">
        <v>0</v>
      </c>
      <c r="AE212" s="115" t="str">
        <f t="shared" si="7"/>
        <v/>
      </c>
      <c r="AF212" s="116" t="b">
        <f t="shared" si="8"/>
        <v>0</v>
      </c>
      <c r="AG212" s="105" t="b">
        <f t="shared" si="9"/>
        <v>0</v>
      </c>
      <c r="AH212" s="140"/>
      <c r="AI212" s="140"/>
      <c r="AJ212" s="140"/>
      <c r="AK212" s="117" t="str">
        <f t="shared" si="10"/>
        <v>Positive</v>
      </c>
      <c r="AL212" s="142"/>
      <c r="AM212" s="112" t="s">
        <v>261</v>
      </c>
      <c r="AN212" s="112" t="s">
        <v>669</v>
      </c>
      <c r="AO212" s="112" t="str">
        <f>IFERROR(__xludf.DUMMYFUNCTION("IF($AG212, ""DELETED"",TRIM(JOIN("" "",D212:E212)))"),"")</f>
        <v/>
      </c>
      <c r="AP212" s="112" t="str">
        <f t="shared" ref="AP212:AQ212" si="237">IF($AG212, "DELETED", TRIM(CONCATENATE(F212,I212,U212)))</f>
        <v/>
      </c>
      <c r="AQ212" s="112" t="str">
        <f t="shared" si="237"/>
        <v/>
      </c>
      <c r="AR212" s="112" t="str">
        <f>IFERROR(__xludf.DUMMYFUNCTION("IF($AG212, ""DELETED"", TRIM(JOIN("" "",AP212,AQ212)))"),"")</f>
        <v/>
      </c>
      <c r="AS212" s="118"/>
      <c r="AT212" s="110" t="b">
        <f t="shared" si="12"/>
        <v>0</v>
      </c>
      <c r="AU212" s="110" t="str">
        <f t="shared" si="13"/>
        <v/>
      </c>
      <c r="AV212" s="110" t="str">
        <f t="shared" si="14"/>
        <v/>
      </c>
      <c r="AW212" s="110" t="str">
        <f t="shared" si="15"/>
        <v/>
      </c>
      <c r="AX212" s="119" t="str">
        <f t="shared" si="16"/>
        <v/>
      </c>
      <c r="AY212" s="120"/>
      <c r="AZ212" s="121"/>
      <c r="BA212" s="122" t="str">
        <f t="shared" si="17"/>
        <v/>
      </c>
      <c r="BB212" s="34"/>
      <c r="BC212" s="121"/>
      <c r="BD212" s="136"/>
      <c r="BE212" s="125" t="str">
        <f t="shared" si="18"/>
        <v/>
      </c>
      <c r="BF212" s="126" t="str">
        <f t="shared" si="19"/>
        <v>MAX110__44575_0.385972222222222</v>
      </c>
      <c r="BG212" s="127" t="str">
        <f t="shared" si="20"/>
        <v/>
      </c>
      <c r="BH212" s="137" t="s">
        <v>810</v>
      </c>
      <c r="BI212" s="128" t="str">
        <f t="shared" si="21"/>
        <v>FM75</v>
      </c>
      <c r="BJ212" s="129" t="b">
        <f t="shared" si="22"/>
        <v>0</v>
      </c>
      <c r="BK212" s="128" t="str">
        <f t="shared" si="23"/>
        <v/>
      </c>
      <c r="BL212" s="121"/>
      <c r="BM212" s="5" t="str">
        <f t="shared" si="24"/>
        <v>MISSING</v>
      </c>
      <c r="BN212" s="120" t="b">
        <f t="shared" si="25"/>
        <v>0</v>
      </c>
      <c r="BO212" s="131" t="b">
        <f t="shared" si="26"/>
        <v>1</v>
      </c>
      <c r="BP212" s="121"/>
      <c r="BQ212" s="132" t="str">
        <f>VLOOKUP(A212,RAW_APS!A$3:O826,15,FALSE)</f>
        <v/>
      </c>
      <c r="BR212" s="120" t="b">
        <f t="shared" si="27"/>
        <v>1</v>
      </c>
      <c r="BS212" s="121"/>
      <c r="BT212" s="138" t="s">
        <v>52</v>
      </c>
      <c r="BU212" s="10" t="b">
        <f t="shared" si="28"/>
        <v>1</v>
      </c>
      <c r="BV212" s="120"/>
      <c r="BW212" s="120"/>
      <c r="BX212" s="120"/>
      <c r="BY212" s="120"/>
      <c r="BZ212" s="120"/>
      <c r="CA212" s="120"/>
      <c r="CB212" s="120"/>
      <c r="CC212" s="120"/>
    </row>
    <row r="213">
      <c r="A213" s="2" t="s">
        <v>811</v>
      </c>
      <c r="B213" s="100">
        <v>44575.0</v>
      </c>
      <c r="C213" s="101">
        <v>0.38623842592592594</v>
      </c>
      <c r="D213" s="102"/>
      <c r="E213" s="102"/>
      <c r="F213" s="102"/>
      <c r="G213" s="102"/>
      <c r="H213" s="102"/>
      <c r="I213" s="103"/>
      <c r="J213" s="103"/>
      <c r="K213" s="2" t="s">
        <v>52</v>
      </c>
      <c r="L213" s="100">
        <v>44579.0</v>
      </c>
      <c r="M213" s="101">
        <v>0.5015856481481481</v>
      </c>
      <c r="P213" s="104" t="b">
        <f>IFNA(IF(VLOOKUP($A213,'Add from APT'!$AA$2:$AC826,3,FALSE)&gt;0,TRUE,FALSE),"ER - NOT IN APT")</f>
        <v>0</v>
      </c>
      <c r="Q213" s="105" t="str">
        <f>IF(ISLOGICAL(P213),IF(P213,"ER - REPS IN APT", IFNA(VLOOKUP($A213,RAW_APT!$A$3:$M826,7,FALSE),"ER - NOT IN APT")),P213)</f>
        <v>Result</v>
      </c>
      <c r="R213" s="106" t="b">
        <f t="shared" si="2"/>
        <v>1</v>
      </c>
      <c r="S213" s="107">
        <f t="shared" si="3"/>
        <v>1</v>
      </c>
      <c r="T213" s="143"/>
      <c r="U213" s="142"/>
      <c r="V213" s="142"/>
      <c r="W213" s="142"/>
      <c r="X213" s="110" t="b">
        <f t="shared" si="4"/>
        <v>0</v>
      </c>
      <c r="Y213" s="111" t="b">
        <v>0</v>
      </c>
      <c r="Z213" s="104" t="str">
        <f t="shared" si="5"/>
        <v/>
      </c>
      <c r="AA213" s="112" t="b">
        <f t="shared" si="6"/>
        <v>0</v>
      </c>
      <c r="AB213" s="142" t="b">
        <v>0</v>
      </c>
      <c r="AC213" s="140">
        <v>591.0</v>
      </c>
      <c r="AD213" s="141" t="b">
        <v>0</v>
      </c>
      <c r="AE213" s="115" t="str">
        <f t="shared" si="7"/>
        <v/>
      </c>
      <c r="AF213" s="116" t="b">
        <f t="shared" si="8"/>
        <v>0</v>
      </c>
      <c r="AG213" s="105" t="b">
        <f t="shared" si="9"/>
        <v>0</v>
      </c>
      <c r="AH213" s="140"/>
      <c r="AI213" s="140"/>
      <c r="AJ213" s="140"/>
      <c r="AK213" s="117" t="str">
        <f t="shared" si="10"/>
        <v>Positive</v>
      </c>
      <c r="AL213" s="141" t="s">
        <v>812</v>
      </c>
      <c r="AM213" s="112" t="s">
        <v>261</v>
      </c>
      <c r="AN213" s="112" t="s">
        <v>597</v>
      </c>
      <c r="AO213" s="112" t="str">
        <f>IFERROR(__xludf.DUMMYFUNCTION("IF($AG213, ""DELETED"",TRIM(JOIN("" "",D213:E213)))"),"")</f>
        <v/>
      </c>
      <c r="AP213" s="112" t="str">
        <f t="shared" ref="AP213:AQ213" si="238">IF($AG213, "DELETED", TRIM(CONCATENATE(F213,I213,U213)))</f>
        <v/>
      </c>
      <c r="AQ213" s="112" t="str">
        <f t="shared" si="238"/>
        <v/>
      </c>
      <c r="AR213" s="112" t="str">
        <f>IFERROR(__xludf.DUMMYFUNCTION("IF($AG213, ""DELETED"", TRIM(JOIN("" "",AP213,AQ213)))"),"")</f>
        <v/>
      </c>
      <c r="AS213" s="118"/>
      <c r="AT213" s="110" t="b">
        <f t="shared" si="12"/>
        <v>0</v>
      </c>
      <c r="AU213" s="110" t="str">
        <f t="shared" si="13"/>
        <v/>
      </c>
      <c r="AV213" s="110" t="str">
        <f t="shared" si="14"/>
        <v/>
      </c>
      <c r="AW213" s="110" t="str">
        <f t="shared" si="15"/>
        <v/>
      </c>
      <c r="AX213" s="119" t="str">
        <f t="shared" si="16"/>
        <v/>
      </c>
      <c r="AY213" s="120"/>
      <c r="AZ213" s="121"/>
      <c r="BA213" s="122" t="str">
        <f t="shared" si="17"/>
        <v/>
      </c>
      <c r="BB213" s="34"/>
      <c r="BC213" s="121"/>
      <c r="BD213" s="136"/>
      <c r="BE213" s="125" t="str">
        <f t="shared" si="18"/>
        <v/>
      </c>
      <c r="BF213" s="126" t="str">
        <f t="shared" si="19"/>
        <v>MA1058__44575_0.386238425925926</v>
      </c>
      <c r="BG213" s="127" t="str">
        <f t="shared" si="20"/>
        <v/>
      </c>
      <c r="BH213" s="137" t="s">
        <v>813</v>
      </c>
      <c r="BI213" s="128" t="str">
        <f t="shared" si="21"/>
        <v>FM77</v>
      </c>
      <c r="BJ213" s="129" t="b">
        <f t="shared" si="22"/>
        <v>0</v>
      </c>
      <c r="BK213" s="128" t="str">
        <f t="shared" si="23"/>
        <v/>
      </c>
      <c r="BL213" s="121"/>
      <c r="BM213" s="5" t="str">
        <f t="shared" si="24"/>
        <v>MISSING</v>
      </c>
      <c r="BN213" s="120" t="b">
        <f t="shared" si="25"/>
        <v>0</v>
      </c>
      <c r="BO213" s="131" t="b">
        <f t="shared" si="26"/>
        <v>1</v>
      </c>
      <c r="BP213" s="121"/>
      <c r="BQ213" s="132" t="str">
        <f>VLOOKUP(A213,RAW_APS!A$3:O826,15,FALSE)</f>
        <v/>
      </c>
      <c r="BR213" s="120" t="b">
        <f t="shared" si="27"/>
        <v>1</v>
      </c>
      <c r="BS213" s="121"/>
      <c r="BT213" s="138" t="s">
        <v>52</v>
      </c>
      <c r="BU213" s="10" t="b">
        <f t="shared" si="28"/>
        <v>1</v>
      </c>
      <c r="BV213" s="120"/>
      <c r="BW213" s="120"/>
      <c r="BX213" s="120"/>
      <c r="BY213" s="120"/>
      <c r="BZ213" s="120"/>
      <c r="CA213" s="120"/>
      <c r="CB213" s="120"/>
      <c r="CC213" s="120"/>
    </row>
    <row r="214">
      <c r="A214" s="2" t="s">
        <v>814</v>
      </c>
      <c r="B214" s="100">
        <v>44575.0</v>
      </c>
      <c r="C214" s="101">
        <v>0.3866550925925926</v>
      </c>
      <c r="D214" s="102"/>
      <c r="E214" s="102"/>
      <c r="F214" s="102"/>
      <c r="G214" s="102"/>
      <c r="H214" s="102"/>
      <c r="I214" s="103"/>
      <c r="J214" s="103"/>
      <c r="K214" s="2" t="s">
        <v>52</v>
      </c>
      <c r="L214" s="100">
        <v>44579.0</v>
      </c>
      <c r="M214" s="101">
        <v>0.5015856481481481</v>
      </c>
      <c r="P214" s="104" t="b">
        <f>IFNA(IF(VLOOKUP($A214,'Add from APT'!$AA$2:$AC826,3,FALSE)&gt;0,TRUE,FALSE),"ER - NOT IN APT")</f>
        <v>0</v>
      </c>
      <c r="Q214" s="105" t="str">
        <f>IF(ISLOGICAL(P214),IF(P214,"ER - REPS IN APT", IFNA(VLOOKUP($A214,RAW_APT!$A$3:$M826,7,FALSE),"ER - NOT IN APT")),P214)</f>
        <v>Result</v>
      </c>
      <c r="R214" s="106" t="b">
        <f t="shared" si="2"/>
        <v>1</v>
      </c>
      <c r="S214" s="107">
        <f t="shared" si="3"/>
        <v>1</v>
      </c>
      <c r="T214" s="143"/>
      <c r="U214" s="142"/>
      <c r="V214" s="142"/>
      <c r="W214" s="142"/>
      <c r="X214" s="110" t="b">
        <f t="shared" si="4"/>
        <v>0</v>
      </c>
      <c r="Y214" s="111" t="b">
        <v>0</v>
      </c>
      <c r="Z214" s="104" t="str">
        <f t="shared" si="5"/>
        <v/>
      </c>
      <c r="AA214" s="112" t="b">
        <f t="shared" si="6"/>
        <v>0</v>
      </c>
      <c r="AB214" s="142" t="b">
        <v>0</v>
      </c>
      <c r="AC214" s="140">
        <v>590.0</v>
      </c>
      <c r="AD214" s="141" t="b">
        <v>0</v>
      </c>
      <c r="AE214" s="115" t="str">
        <f t="shared" si="7"/>
        <v/>
      </c>
      <c r="AF214" s="116" t="b">
        <f t="shared" si="8"/>
        <v>0</v>
      </c>
      <c r="AG214" s="105" t="b">
        <f t="shared" si="9"/>
        <v>0</v>
      </c>
      <c r="AH214" s="140"/>
      <c r="AI214" s="140"/>
      <c r="AJ214" s="140"/>
      <c r="AK214" s="117" t="str">
        <f t="shared" si="10"/>
        <v>Positive</v>
      </c>
      <c r="AL214" s="141" t="s">
        <v>812</v>
      </c>
      <c r="AM214" s="112" t="s">
        <v>261</v>
      </c>
      <c r="AN214" s="112" t="s">
        <v>597</v>
      </c>
      <c r="AO214" s="112" t="str">
        <f>IFERROR(__xludf.DUMMYFUNCTION("IF($AG214, ""DELETED"",TRIM(JOIN("" "",D214:E214)))"),"")</f>
        <v/>
      </c>
      <c r="AP214" s="112" t="str">
        <f t="shared" ref="AP214:AQ214" si="239">IF($AG214, "DELETED", TRIM(CONCATENATE(F214,I214,U214)))</f>
        <v/>
      </c>
      <c r="AQ214" s="112" t="str">
        <f t="shared" si="239"/>
        <v/>
      </c>
      <c r="AR214" s="112" t="str">
        <f>IFERROR(__xludf.DUMMYFUNCTION("IF($AG214, ""DELETED"", TRIM(JOIN("" "",AP214,AQ214)))"),"")</f>
        <v/>
      </c>
      <c r="AS214" s="118"/>
      <c r="AT214" s="110" t="b">
        <f t="shared" si="12"/>
        <v>0</v>
      </c>
      <c r="AU214" s="110" t="str">
        <f t="shared" si="13"/>
        <v/>
      </c>
      <c r="AV214" s="110" t="str">
        <f t="shared" si="14"/>
        <v/>
      </c>
      <c r="AW214" s="110" t="str">
        <f t="shared" si="15"/>
        <v/>
      </c>
      <c r="AX214" s="119" t="str">
        <f t="shared" si="16"/>
        <v/>
      </c>
      <c r="AY214" s="120"/>
      <c r="AZ214" s="121"/>
      <c r="BA214" s="122" t="str">
        <f t="shared" si="17"/>
        <v/>
      </c>
      <c r="BB214" s="34"/>
      <c r="BC214" s="121"/>
      <c r="BD214" s="136"/>
      <c r="BE214" s="125" t="str">
        <f t="shared" si="18"/>
        <v/>
      </c>
      <c r="BF214" s="126" t="str">
        <f t="shared" si="19"/>
        <v>MAX84__44575_0.386655092592593</v>
      </c>
      <c r="BG214" s="127" t="str">
        <f t="shared" si="20"/>
        <v/>
      </c>
      <c r="BH214" s="137" t="s">
        <v>815</v>
      </c>
      <c r="BI214" s="128" t="str">
        <f t="shared" si="21"/>
        <v>FM78</v>
      </c>
      <c r="BJ214" s="129" t="b">
        <f t="shared" si="22"/>
        <v>0</v>
      </c>
      <c r="BK214" s="128" t="str">
        <f t="shared" si="23"/>
        <v/>
      </c>
      <c r="BL214" s="121"/>
      <c r="BM214" s="5" t="str">
        <f t="shared" si="24"/>
        <v>MISSING</v>
      </c>
      <c r="BN214" s="120" t="b">
        <f t="shared" si="25"/>
        <v>0</v>
      </c>
      <c r="BO214" s="131" t="b">
        <f t="shared" si="26"/>
        <v>1</v>
      </c>
      <c r="BP214" s="121"/>
      <c r="BQ214" s="132" t="str">
        <f>VLOOKUP(A214,RAW_APS!A$3:O826,15,FALSE)</f>
        <v/>
      </c>
      <c r="BR214" s="120" t="b">
        <f t="shared" si="27"/>
        <v>1</v>
      </c>
      <c r="BS214" s="121"/>
      <c r="BT214" s="138" t="s">
        <v>52</v>
      </c>
      <c r="BU214" s="10" t="b">
        <f t="shared" si="28"/>
        <v>1</v>
      </c>
      <c r="BV214" s="120"/>
      <c r="BW214" s="120"/>
      <c r="BX214" s="120"/>
      <c r="BY214" s="120"/>
      <c r="BZ214" s="120"/>
      <c r="CA214" s="120"/>
      <c r="CB214" s="120"/>
      <c r="CC214" s="120"/>
    </row>
    <row r="215">
      <c r="A215" s="2" t="s">
        <v>816</v>
      </c>
      <c r="B215" s="100">
        <v>44575.0</v>
      </c>
      <c r="C215" s="101">
        <v>0.38960648148148147</v>
      </c>
      <c r="D215" s="102"/>
      <c r="E215" s="102"/>
      <c r="F215" s="102"/>
      <c r="G215" s="102"/>
      <c r="H215" s="102"/>
      <c r="I215" s="103"/>
      <c r="J215" s="103"/>
      <c r="K215" s="2" t="s">
        <v>244</v>
      </c>
      <c r="L215" s="100">
        <v>44575.0</v>
      </c>
      <c r="M215" s="101">
        <v>0.4820601851851852</v>
      </c>
      <c r="P215" s="104" t="b">
        <f>IFNA(IF(VLOOKUP($A215,'Add from APT'!$AA$2:$AC826,3,FALSE)&gt;0,TRUE,FALSE),"ER - NOT IN APT")</f>
        <v>0</v>
      </c>
      <c r="Q215" s="105" t="str">
        <f>IF(ISLOGICAL(P215),IF(P215,"ER - REPS IN APT", IFNA(VLOOKUP($A215,RAW_APT!$A$3:$M826,7,FALSE),"ER - NOT IN APT")),P215)</f>
        <v>Result</v>
      </c>
      <c r="R215" s="106" t="b">
        <f t="shared" si="2"/>
        <v>1</v>
      </c>
      <c r="S215" s="107">
        <f t="shared" si="3"/>
        <v>1</v>
      </c>
      <c r="T215" s="143"/>
      <c r="U215" s="142"/>
      <c r="V215" s="142"/>
      <c r="W215" s="142"/>
      <c r="X215" s="110" t="b">
        <f t="shared" si="4"/>
        <v>0</v>
      </c>
      <c r="Y215" s="111" t="b">
        <v>0</v>
      </c>
      <c r="Z215" s="104" t="str">
        <f t="shared" si="5"/>
        <v/>
      </c>
      <c r="AA215" s="112" t="b">
        <f t="shared" si="6"/>
        <v>0</v>
      </c>
      <c r="AB215" s="142" t="b">
        <v>0</v>
      </c>
      <c r="AC215" s="140">
        <v>589.0</v>
      </c>
      <c r="AD215" s="141" t="b">
        <v>0</v>
      </c>
      <c r="AE215" s="115">
        <f t="shared" si="7"/>
        <v>133.1333333</v>
      </c>
      <c r="AF215" s="116" t="b">
        <f t="shared" si="8"/>
        <v>0</v>
      </c>
      <c r="AG215" s="105" t="b">
        <f t="shared" si="9"/>
        <v>0</v>
      </c>
      <c r="AH215" s="140"/>
      <c r="AI215" s="140"/>
      <c r="AJ215" s="140"/>
      <c r="AK215" s="117" t="str">
        <f t="shared" si="10"/>
        <v>Negative</v>
      </c>
      <c r="AL215" s="142"/>
      <c r="AM215" s="112" t="s">
        <v>261</v>
      </c>
      <c r="AN215" s="112" t="s">
        <v>675</v>
      </c>
      <c r="AO215" s="112" t="str">
        <f>IFERROR(__xludf.DUMMYFUNCTION("IF($AG215, ""DELETED"",TRIM(JOIN("" "",D215:E215)))"),"")</f>
        <v/>
      </c>
      <c r="AP215" s="112" t="str">
        <f t="shared" ref="AP215:AQ215" si="240">IF($AG215, "DELETED", TRIM(CONCATENATE(F215,I215,U215)))</f>
        <v/>
      </c>
      <c r="AQ215" s="112" t="str">
        <f t="shared" si="240"/>
        <v/>
      </c>
      <c r="AR215" s="112" t="str">
        <f>IFERROR(__xludf.DUMMYFUNCTION("IF($AG215, ""DELETED"", TRIM(JOIN("" "",AP215,AQ215)))"),"")</f>
        <v/>
      </c>
      <c r="AS215" s="118"/>
      <c r="AT215" s="110" t="b">
        <f t="shared" si="12"/>
        <v>0</v>
      </c>
      <c r="AU215" s="110" t="str">
        <f t="shared" si="13"/>
        <v/>
      </c>
      <c r="AV215" s="110" t="str">
        <f t="shared" si="14"/>
        <v/>
      </c>
      <c r="AW215" s="110" t="str">
        <f t="shared" si="15"/>
        <v/>
      </c>
      <c r="AX215" s="119" t="str">
        <f t="shared" si="16"/>
        <v/>
      </c>
      <c r="AY215" s="120"/>
      <c r="AZ215" s="121"/>
      <c r="BA215" s="122" t="str">
        <f t="shared" si="17"/>
        <v/>
      </c>
      <c r="BB215" s="34"/>
      <c r="BC215" s="121"/>
      <c r="BD215" s="136"/>
      <c r="BE215" s="125" t="str">
        <f t="shared" si="18"/>
        <v/>
      </c>
      <c r="BF215" s="126" t="str">
        <f t="shared" si="19"/>
        <v>MAX97__44575_0.389606481481482</v>
      </c>
      <c r="BG215" s="127" t="str">
        <f t="shared" si="20"/>
        <v/>
      </c>
      <c r="BH215" s="137" t="s">
        <v>817</v>
      </c>
      <c r="BI215" s="128" t="str">
        <f t="shared" si="21"/>
        <v>FM782</v>
      </c>
      <c r="BJ215" s="129" t="b">
        <f t="shared" si="22"/>
        <v>0</v>
      </c>
      <c r="BK215" s="128" t="str">
        <f t="shared" si="23"/>
        <v/>
      </c>
      <c r="BL215" s="121"/>
      <c r="BM215" s="5" t="str">
        <f t="shared" si="24"/>
        <v>MISSING</v>
      </c>
      <c r="BN215" s="120" t="b">
        <f t="shared" si="25"/>
        <v>0</v>
      </c>
      <c r="BO215" s="131" t="b">
        <f t="shared" si="26"/>
        <v>1</v>
      </c>
      <c r="BP215" s="121"/>
      <c r="BQ215" s="132" t="str">
        <f>VLOOKUP(A215,RAW_APS!A$3:O826,15,FALSE)</f>
        <v/>
      </c>
      <c r="BR215" s="120" t="b">
        <f t="shared" si="27"/>
        <v>1</v>
      </c>
      <c r="BS215" s="121"/>
      <c r="BT215" s="138" t="s">
        <v>244</v>
      </c>
      <c r="BU215" s="10" t="b">
        <f t="shared" si="28"/>
        <v>1</v>
      </c>
      <c r="BV215" s="120"/>
      <c r="BW215" s="120"/>
      <c r="BX215" s="120"/>
      <c r="BY215" s="120"/>
      <c r="BZ215" s="120"/>
      <c r="CA215" s="120"/>
      <c r="CB215" s="120"/>
      <c r="CC215" s="120"/>
    </row>
    <row r="216">
      <c r="A216" s="3" t="s">
        <v>818</v>
      </c>
      <c r="B216" s="44">
        <v>44575.0</v>
      </c>
      <c r="C216" s="150">
        <v>0.40739583333333335</v>
      </c>
      <c r="D216" s="151"/>
      <c r="E216" s="151"/>
      <c r="F216" s="152"/>
      <c r="G216" s="152"/>
      <c r="H216" s="152"/>
      <c r="I216" s="152"/>
      <c r="J216" s="152"/>
      <c r="K216" s="3" t="s">
        <v>244</v>
      </c>
      <c r="L216" s="44">
        <v>44575.0</v>
      </c>
      <c r="M216" s="150">
        <v>0.4820601851851852</v>
      </c>
      <c r="N216" s="5"/>
      <c r="O216" s="3"/>
      <c r="P216" s="104" t="b">
        <f>IFNA(IF(VLOOKUP($A216,'Add from APT'!$AA$2:$AC826,3,FALSE)&gt;0,TRUE,FALSE),"ER - NOT IN APT")</f>
        <v>0</v>
      </c>
      <c r="Q216" s="105" t="str">
        <f>IF(ISLOGICAL(P216),IF(P216,"ER - REPS IN APT", IFNA(VLOOKUP($A216,RAW_APT!$A$3:$M826,7,FALSE),"ER - NOT IN APT")),P216)</f>
        <v>Result</v>
      </c>
      <c r="R216" s="106" t="b">
        <f t="shared" si="2"/>
        <v>1</v>
      </c>
      <c r="S216" s="107">
        <f t="shared" si="3"/>
        <v>1</v>
      </c>
      <c r="T216" s="144">
        <v>1.0</v>
      </c>
      <c r="U216" s="5"/>
      <c r="V216" s="5"/>
      <c r="W216" s="5"/>
      <c r="X216" s="110" t="b">
        <f t="shared" si="4"/>
        <v>0</v>
      </c>
      <c r="Y216" s="10" t="b">
        <v>0</v>
      </c>
      <c r="Z216" s="104" t="str">
        <f t="shared" si="5"/>
        <v/>
      </c>
      <c r="AA216" s="112" t="b">
        <f t="shared" si="6"/>
        <v>0</v>
      </c>
      <c r="AB216" s="153" t="b">
        <v>0</v>
      </c>
      <c r="AC216" s="144">
        <v>588.0</v>
      </c>
      <c r="AD216" s="3" t="b">
        <v>0</v>
      </c>
      <c r="AE216" s="115">
        <f t="shared" si="7"/>
        <v>107.5166667</v>
      </c>
      <c r="AF216" s="116" t="b">
        <f t="shared" si="8"/>
        <v>0</v>
      </c>
      <c r="AG216" s="105" t="b">
        <f t="shared" si="9"/>
        <v>0</v>
      </c>
      <c r="AH216" s="144"/>
      <c r="AI216" s="144"/>
      <c r="AJ216" s="144"/>
      <c r="AK216" s="117" t="str">
        <f t="shared" si="10"/>
        <v>Negative</v>
      </c>
      <c r="AL216" s="5"/>
      <c r="AM216" s="112" t="s">
        <v>261</v>
      </c>
      <c r="AN216" s="112" t="s">
        <v>530</v>
      </c>
      <c r="AO216" s="112" t="str">
        <f>IFERROR(__xludf.DUMMYFUNCTION("IF($AG216, ""DELETED"",TRIM(JOIN("" "",D216:E216)))"),"")</f>
        <v/>
      </c>
      <c r="AP216" s="112" t="str">
        <f t="shared" ref="AP216:AQ216" si="241">IF($AG216, "DELETED", TRIM(CONCATENATE(F216,I216,U216)))</f>
        <v/>
      </c>
      <c r="AQ216" s="112" t="str">
        <f t="shared" si="241"/>
        <v/>
      </c>
      <c r="AR216" s="112" t="str">
        <f>IFERROR(__xludf.DUMMYFUNCTION("IF($AG216, ""DELETED"", TRIM(JOIN("" "",AP216,AQ216)))"),"")</f>
        <v/>
      </c>
      <c r="AS216" s="118"/>
      <c r="AT216" s="110" t="b">
        <f t="shared" si="12"/>
        <v>0</v>
      </c>
      <c r="AU216" s="110" t="str">
        <f t="shared" si="13"/>
        <v/>
      </c>
      <c r="AV216" s="110" t="str">
        <f t="shared" si="14"/>
        <v/>
      </c>
      <c r="AW216" s="110" t="str">
        <f t="shared" si="15"/>
        <v/>
      </c>
      <c r="AX216" s="119" t="str">
        <f t="shared" si="16"/>
        <v/>
      </c>
      <c r="AY216" s="120"/>
      <c r="AZ216" s="121"/>
      <c r="BA216" s="122" t="str">
        <f t="shared" si="17"/>
        <v/>
      </c>
      <c r="BB216" s="34"/>
      <c r="BC216" s="121"/>
      <c r="BD216" s="136"/>
      <c r="BE216" s="125" t="str">
        <f t="shared" si="18"/>
        <v/>
      </c>
      <c r="BF216" s="126" t="str">
        <f t="shared" si="19"/>
        <v>MA477__44575_0.407395833333333</v>
      </c>
      <c r="BG216" s="127" t="str">
        <f t="shared" si="20"/>
        <v/>
      </c>
      <c r="BH216" s="137" t="s">
        <v>819</v>
      </c>
      <c r="BI216" s="128" t="str">
        <f t="shared" si="21"/>
        <v>FM783</v>
      </c>
      <c r="BJ216" s="129" t="b">
        <f t="shared" si="22"/>
        <v>0</v>
      </c>
      <c r="BK216" s="128" t="str">
        <f t="shared" si="23"/>
        <v/>
      </c>
      <c r="BL216" s="121"/>
      <c r="BM216" s="5" t="str">
        <f t="shared" si="24"/>
        <v>MISSING</v>
      </c>
      <c r="BN216" s="120" t="b">
        <f t="shared" si="25"/>
        <v>0</v>
      </c>
      <c r="BO216" s="131" t="b">
        <f t="shared" si="26"/>
        <v>1</v>
      </c>
      <c r="BP216" s="121"/>
      <c r="BQ216" s="132" t="str">
        <f>VLOOKUP(A216,RAW_APS!A$3:O826,15,FALSE)</f>
        <v/>
      </c>
      <c r="BR216" s="120" t="b">
        <f t="shared" si="27"/>
        <v>1</v>
      </c>
      <c r="BS216" s="121"/>
      <c r="BT216" s="138" t="s">
        <v>244</v>
      </c>
      <c r="BU216" s="10" t="b">
        <f t="shared" si="28"/>
        <v>1</v>
      </c>
      <c r="BV216" s="120"/>
      <c r="BW216" s="120"/>
      <c r="BX216" s="120"/>
      <c r="BY216" s="120"/>
      <c r="BZ216" s="120"/>
      <c r="CA216" s="120"/>
      <c r="CB216" s="120"/>
      <c r="CC216" s="120"/>
    </row>
    <row r="217">
      <c r="A217" s="2" t="s">
        <v>820</v>
      </c>
      <c r="B217" s="100">
        <v>44575.0</v>
      </c>
      <c r="C217" s="101">
        <v>0.40739583333333335</v>
      </c>
      <c r="D217" s="102"/>
      <c r="E217" s="102"/>
      <c r="F217" s="102"/>
      <c r="G217" s="102"/>
      <c r="H217" s="102"/>
      <c r="I217" s="103"/>
      <c r="J217" s="103"/>
      <c r="K217" s="2" t="s">
        <v>244</v>
      </c>
      <c r="L217" s="100">
        <v>44575.0</v>
      </c>
      <c r="M217" s="101">
        <v>0.4820601851851852</v>
      </c>
      <c r="P217" s="104" t="str">
        <f>IFNA(IF(VLOOKUP($A217,'Add from APT'!$AA$2:$AC826,3,FALSE)&gt;0,TRUE,FALSE),"ER - NOT IN APT")</f>
        <v>ER - NOT IN APT</v>
      </c>
      <c r="Q217" s="105" t="str">
        <f>IF(ISLOGICAL(P217),IF(P217,"ER - REPS IN APT", IFNA(VLOOKUP($A217,RAW_APT!$A$3:$M826,7,FALSE),"ER - NOT IN APT")),P217)</f>
        <v>ER - NOT IN APT</v>
      </c>
      <c r="R217" s="106" t="b">
        <f t="shared" si="2"/>
        <v>1</v>
      </c>
      <c r="S217" s="107">
        <f t="shared" si="3"/>
        <v>1</v>
      </c>
      <c r="T217" s="140">
        <v>1.0</v>
      </c>
      <c r="U217" s="141"/>
      <c r="V217" s="141"/>
      <c r="W217" s="142"/>
      <c r="X217" s="110" t="b">
        <f t="shared" si="4"/>
        <v>0</v>
      </c>
      <c r="Y217" s="111" t="b">
        <v>0</v>
      </c>
      <c r="Z217" s="104" t="str">
        <f t="shared" si="5"/>
        <v/>
      </c>
      <c r="AA217" s="112" t="b">
        <f t="shared" si="6"/>
        <v>0</v>
      </c>
      <c r="AB217" s="142" t="b">
        <v>0</v>
      </c>
      <c r="AC217" s="140">
        <v>588.0</v>
      </c>
      <c r="AD217" s="141" t="b">
        <v>0</v>
      </c>
      <c r="AE217" s="115">
        <f t="shared" si="7"/>
        <v>107.5166667</v>
      </c>
      <c r="AF217" s="116" t="b">
        <f t="shared" si="8"/>
        <v>0</v>
      </c>
      <c r="AG217" s="105" t="b">
        <f t="shared" si="9"/>
        <v>1</v>
      </c>
      <c r="AH217" s="140">
        <v>9.1</v>
      </c>
      <c r="AI217" s="140">
        <v>1.3</v>
      </c>
      <c r="AJ217" s="140"/>
      <c r="AK217" s="117" t="str">
        <f t="shared" si="10"/>
        <v>DELETED</v>
      </c>
      <c r="AL217" s="141" t="s">
        <v>754</v>
      </c>
      <c r="AM217" s="112" t="s">
        <v>245</v>
      </c>
      <c r="AN217" s="112" t="s">
        <v>245</v>
      </c>
      <c r="AO217" s="112" t="str">
        <f>IFERROR(__xludf.DUMMYFUNCTION("IF($AG217, ""DELETED"",TRIM(JOIN("" "",D217:E217)))"),"DELETED")</f>
        <v>DELETED</v>
      </c>
      <c r="AP217" s="112" t="str">
        <f t="shared" ref="AP217:AQ217" si="242">IF($AG217, "DELETED", TRIM(CONCATENATE(F217,I217,U217)))</f>
        <v>DELETED</v>
      </c>
      <c r="AQ217" s="112" t="str">
        <f t="shared" si="242"/>
        <v>DELETED</v>
      </c>
      <c r="AR217" s="112" t="str">
        <f>IFERROR(__xludf.DUMMYFUNCTION("IF($AG217, ""DELETED"", TRIM(JOIN("" "",AP217,AQ217)))"),"DELETED")</f>
        <v>DELETED</v>
      </c>
      <c r="AS217" s="118"/>
      <c r="AT217" s="110" t="b">
        <f t="shared" si="12"/>
        <v>1</v>
      </c>
      <c r="AU217" s="110" t="str">
        <f t="shared" si="13"/>
        <v/>
      </c>
      <c r="AV217" s="110" t="str">
        <f t="shared" si="14"/>
        <v/>
      </c>
      <c r="AW217" s="110" t="str">
        <f t="shared" si="15"/>
        <v/>
      </c>
      <c r="AX217" s="119" t="str">
        <f t="shared" si="16"/>
        <v/>
      </c>
      <c r="AY217" s="120"/>
      <c r="AZ217" s="121"/>
      <c r="BA217" s="122" t="str">
        <f t="shared" si="17"/>
        <v/>
      </c>
      <c r="BB217" s="34"/>
      <c r="BC217" s="121"/>
      <c r="BD217" s="136"/>
      <c r="BE217" s="125" t="str">
        <f t="shared" si="18"/>
        <v/>
      </c>
      <c r="BF217" s="126" t="str">
        <f t="shared" si="19"/>
        <v>MA477A__44575_0.407395833333333</v>
      </c>
      <c r="BG217" s="127" t="str">
        <f t="shared" si="20"/>
        <v/>
      </c>
      <c r="BH217" s="137" t="s">
        <v>821</v>
      </c>
      <c r="BI217" s="128" t="str">
        <f t="shared" si="21"/>
        <v>FM786</v>
      </c>
      <c r="BJ217" s="129" t="b">
        <f t="shared" si="22"/>
        <v>0</v>
      </c>
      <c r="BK217" s="128" t="str">
        <f t="shared" si="23"/>
        <v/>
      </c>
      <c r="BL217" s="121"/>
      <c r="BM217" s="5" t="str">
        <f t="shared" si="24"/>
        <v/>
      </c>
      <c r="BN217" s="120" t="b">
        <f t="shared" si="25"/>
        <v>0</v>
      </c>
      <c r="BO217" s="131" t="b">
        <f t="shared" si="26"/>
        <v>0</v>
      </c>
      <c r="BP217" s="121"/>
      <c r="BQ217" s="132" t="str">
        <f>VLOOKUP(A217,RAW_APS!A$3:O826,15,FALSE)</f>
        <v>#N/A</v>
      </c>
      <c r="BR217" s="120" t="str">
        <f t="shared" si="27"/>
        <v>***TUBE ID NOT FOUND</v>
      </c>
      <c r="BS217" s="121"/>
      <c r="BT217" s="138" t="s">
        <v>245</v>
      </c>
      <c r="BU217" s="10" t="b">
        <f t="shared" si="28"/>
        <v>1</v>
      </c>
      <c r="BV217" s="120"/>
      <c r="BW217" s="120"/>
      <c r="BX217" s="120"/>
      <c r="BY217" s="120"/>
      <c r="BZ217" s="120"/>
      <c r="CA217" s="120"/>
      <c r="CB217" s="120"/>
      <c r="CC217" s="120"/>
    </row>
    <row r="218">
      <c r="A218" s="2" t="s">
        <v>822</v>
      </c>
      <c r="B218" s="100">
        <v>44578.0</v>
      </c>
      <c r="C218" s="101">
        <v>0.35052083333333334</v>
      </c>
      <c r="D218" s="102"/>
      <c r="E218" s="102"/>
      <c r="F218" s="102"/>
      <c r="G218" s="102"/>
      <c r="H218" s="102"/>
      <c r="I218" s="103"/>
      <c r="J218" s="103"/>
      <c r="K218" s="2" t="s">
        <v>244</v>
      </c>
      <c r="L218" s="100">
        <v>44580.0</v>
      </c>
      <c r="M218" s="101">
        <v>0.5079976851851852</v>
      </c>
      <c r="P218" s="104" t="b">
        <f>IFNA(IF(VLOOKUP($A218,'Add from APT'!$AA$2:$AC826,3,FALSE)&gt;0,TRUE,FALSE),"ER - NOT IN APT")</f>
        <v>0</v>
      </c>
      <c r="Q218" s="105" t="str">
        <f>IF(ISLOGICAL(P218),IF(P218,"ER - REPS IN APT", IFNA(VLOOKUP($A218,RAW_APT!$A$3:$M826,7,FALSE),"ER - NOT IN APT")),P218)</f>
        <v>Result</v>
      </c>
      <c r="R218" s="106" t="b">
        <f t="shared" si="2"/>
        <v>1</v>
      </c>
      <c r="S218" s="107">
        <f t="shared" si="3"/>
        <v>1</v>
      </c>
      <c r="T218" s="143"/>
      <c r="U218" s="142"/>
      <c r="V218" s="142"/>
      <c r="W218" s="142"/>
      <c r="X218" s="110" t="b">
        <f t="shared" si="4"/>
        <v>0</v>
      </c>
      <c r="Y218" s="111" t="b">
        <v>0</v>
      </c>
      <c r="Z218" s="104" t="str">
        <f t="shared" si="5"/>
        <v/>
      </c>
      <c r="AA218" s="112" t="b">
        <f t="shared" si="6"/>
        <v>0</v>
      </c>
      <c r="AB218" s="142" t="b">
        <v>0</v>
      </c>
      <c r="AC218" s="140">
        <v>571.0</v>
      </c>
      <c r="AD218" s="141" t="b">
        <v>0</v>
      </c>
      <c r="AE218" s="115" t="str">
        <f t="shared" si="7"/>
        <v/>
      </c>
      <c r="AF218" s="116" t="b">
        <f t="shared" si="8"/>
        <v>0</v>
      </c>
      <c r="AG218" s="105" t="b">
        <f t="shared" si="9"/>
        <v>0</v>
      </c>
      <c r="AH218" s="140"/>
      <c r="AI218" s="140"/>
      <c r="AJ218" s="140"/>
      <c r="AK218" s="117" t="str">
        <f t="shared" si="10"/>
        <v>Negative</v>
      </c>
      <c r="AL218" s="142"/>
      <c r="AM218" s="112" t="s">
        <v>318</v>
      </c>
      <c r="AN218" s="112" t="s">
        <v>319</v>
      </c>
      <c r="AO218" s="112" t="str">
        <f>IFERROR(__xludf.DUMMYFUNCTION("IF($AG218, ""DELETED"",TRIM(JOIN("" "",D218:E218)))"),"")</f>
        <v/>
      </c>
      <c r="AP218" s="112" t="str">
        <f t="shared" ref="AP218:AQ218" si="243">IF($AG218, "DELETED", TRIM(CONCATENATE(F218,I218,U218)))</f>
        <v/>
      </c>
      <c r="AQ218" s="112" t="str">
        <f t="shared" si="243"/>
        <v/>
      </c>
      <c r="AR218" s="112" t="str">
        <f>IFERROR(__xludf.DUMMYFUNCTION("IF($AG218, ""DELETED"", TRIM(JOIN("" "",AP218,AQ218)))"),"")</f>
        <v/>
      </c>
      <c r="AS218" s="118"/>
      <c r="AT218" s="110" t="b">
        <f t="shared" si="12"/>
        <v>0</v>
      </c>
      <c r="AU218" s="110" t="str">
        <f t="shared" si="13"/>
        <v/>
      </c>
      <c r="AV218" s="110" t="str">
        <f t="shared" si="14"/>
        <v/>
      </c>
      <c r="AW218" s="110" t="str">
        <f t="shared" si="15"/>
        <v/>
      </c>
      <c r="AX218" s="119" t="str">
        <f t="shared" si="16"/>
        <v/>
      </c>
      <c r="AY218" s="120"/>
      <c r="AZ218" s="121"/>
      <c r="BA218" s="122" t="str">
        <f t="shared" si="17"/>
        <v/>
      </c>
      <c r="BB218" s="34"/>
      <c r="BC218" s="121"/>
      <c r="BD218" s="136"/>
      <c r="BE218" s="125" t="str">
        <f t="shared" si="18"/>
        <v/>
      </c>
      <c r="BF218" s="126" t="str">
        <f t="shared" si="19"/>
        <v>MA355__44578_0.350520833333333</v>
      </c>
      <c r="BG218" s="127" t="str">
        <f t="shared" si="20"/>
        <v/>
      </c>
      <c r="BH218" s="137" t="s">
        <v>823</v>
      </c>
      <c r="BI218" s="128" t="str">
        <f t="shared" si="21"/>
        <v>FM787</v>
      </c>
      <c r="BJ218" s="129" t="b">
        <f t="shared" si="22"/>
        <v>0</v>
      </c>
      <c r="BK218" s="128" t="str">
        <f t="shared" si="23"/>
        <v/>
      </c>
      <c r="BL218" s="121"/>
      <c r="BM218" s="5" t="str">
        <f t="shared" si="24"/>
        <v>MISSING</v>
      </c>
      <c r="BN218" s="120" t="b">
        <f t="shared" si="25"/>
        <v>0</v>
      </c>
      <c r="BO218" s="131" t="b">
        <f t="shared" si="26"/>
        <v>1</v>
      </c>
      <c r="BP218" s="121"/>
      <c r="BQ218" s="132" t="str">
        <f>VLOOKUP(A218,RAW_APS!A$3:O826,15,FALSE)</f>
        <v/>
      </c>
      <c r="BR218" s="120" t="b">
        <f t="shared" si="27"/>
        <v>1</v>
      </c>
      <c r="BS218" s="121"/>
      <c r="BT218" s="138" t="s">
        <v>244</v>
      </c>
      <c r="BU218" s="10" t="b">
        <f t="shared" si="28"/>
        <v>1</v>
      </c>
      <c r="BV218" s="120"/>
      <c r="BW218" s="120"/>
      <c r="BX218" s="120"/>
      <c r="BY218" s="120"/>
      <c r="BZ218" s="120"/>
      <c r="CA218" s="120"/>
      <c r="CB218" s="120"/>
      <c r="CC218" s="120"/>
    </row>
    <row r="219">
      <c r="A219" s="2" t="s">
        <v>824</v>
      </c>
      <c r="B219" s="100">
        <v>44579.0</v>
      </c>
      <c r="C219" s="101">
        <v>0.2984837962962963</v>
      </c>
      <c r="D219" s="102"/>
      <c r="E219" s="102"/>
      <c r="F219" s="102"/>
      <c r="G219" s="102"/>
      <c r="H219" s="102"/>
      <c r="I219" s="103"/>
      <c r="J219" s="103"/>
      <c r="K219" s="2" t="s">
        <v>244</v>
      </c>
      <c r="L219" s="100">
        <v>44580.0</v>
      </c>
      <c r="M219" s="101">
        <v>0.5079976851851852</v>
      </c>
      <c r="P219" s="104" t="b">
        <f>IFNA(IF(VLOOKUP($A219,'Add from APT'!$AA$2:$AC826,3,FALSE)&gt;0,TRUE,FALSE),"ER - NOT IN APT")</f>
        <v>0</v>
      </c>
      <c r="Q219" s="105" t="str">
        <f>IF(ISLOGICAL(P219),IF(P219,"ER - REPS IN APT", IFNA(VLOOKUP($A219,RAW_APT!$A$3:$M826,7,FALSE),"ER - NOT IN APT")),P219)</f>
        <v>Result</v>
      </c>
      <c r="R219" s="106" t="b">
        <f t="shared" si="2"/>
        <v>1</v>
      </c>
      <c r="S219" s="107">
        <f t="shared" si="3"/>
        <v>1</v>
      </c>
      <c r="T219" s="143"/>
      <c r="U219" s="142"/>
      <c r="V219" s="142"/>
      <c r="W219" s="142"/>
      <c r="X219" s="110" t="b">
        <f t="shared" si="4"/>
        <v>0</v>
      </c>
      <c r="Y219" s="111" t="b">
        <v>0</v>
      </c>
      <c r="Z219" s="104" t="str">
        <f t="shared" si="5"/>
        <v/>
      </c>
      <c r="AA219" s="112" t="b">
        <f t="shared" si="6"/>
        <v>0</v>
      </c>
      <c r="AB219" s="142" t="b">
        <v>0</v>
      </c>
      <c r="AC219" s="140">
        <v>570.0</v>
      </c>
      <c r="AD219" s="141" t="b">
        <v>0</v>
      </c>
      <c r="AE219" s="115" t="str">
        <f t="shared" si="7"/>
        <v/>
      </c>
      <c r="AF219" s="116" t="b">
        <f t="shared" si="8"/>
        <v>0</v>
      </c>
      <c r="AG219" s="105" t="b">
        <f t="shared" si="9"/>
        <v>0</v>
      </c>
      <c r="AH219" s="140"/>
      <c r="AI219" s="140"/>
      <c r="AJ219" s="140"/>
      <c r="AK219" s="117" t="str">
        <f t="shared" si="10"/>
        <v>Negative</v>
      </c>
      <c r="AL219" s="142"/>
      <c r="AM219" s="112" t="s">
        <v>504</v>
      </c>
      <c r="AN219" s="112" t="s">
        <v>505</v>
      </c>
      <c r="AO219" s="112" t="str">
        <f>IFERROR(__xludf.DUMMYFUNCTION("IF($AG219, ""DELETED"",TRIM(JOIN("" "",D219:E219)))"),"")</f>
        <v/>
      </c>
      <c r="AP219" s="112" t="str">
        <f t="shared" ref="AP219:AQ219" si="244">IF($AG219, "DELETED", TRIM(CONCATENATE(F219,I219,U219)))</f>
        <v/>
      </c>
      <c r="AQ219" s="112" t="str">
        <f t="shared" si="244"/>
        <v/>
      </c>
      <c r="AR219" s="112" t="str">
        <f>IFERROR(__xludf.DUMMYFUNCTION("IF($AG219, ""DELETED"", TRIM(JOIN("" "",AP219,AQ219)))"),"")</f>
        <v/>
      </c>
      <c r="AS219" s="118"/>
      <c r="AT219" s="110" t="b">
        <f t="shared" si="12"/>
        <v>0</v>
      </c>
      <c r="AU219" s="110" t="str">
        <f t="shared" si="13"/>
        <v/>
      </c>
      <c r="AV219" s="110" t="str">
        <f t="shared" si="14"/>
        <v/>
      </c>
      <c r="AW219" s="110" t="str">
        <f t="shared" si="15"/>
        <v/>
      </c>
      <c r="AX219" s="119" t="str">
        <f t="shared" si="16"/>
        <v/>
      </c>
      <c r="AY219" s="120"/>
      <c r="AZ219" s="121"/>
      <c r="BA219" s="122" t="str">
        <f t="shared" si="17"/>
        <v/>
      </c>
      <c r="BB219" s="34"/>
      <c r="BC219" s="121"/>
      <c r="BD219" s="136"/>
      <c r="BE219" s="125" t="str">
        <f t="shared" si="18"/>
        <v/>
      </c>
      <c r="BF219" s="126" t="str">
        <f t="shared" si="19"/>
        <v>MA638__44579_0.298483796296296</v>
      </c>
      <c r="BG219" s="127" t="str">
        <f t="shared" si="20"/>
        <v/>
      </c>
      <c r="BH219" s="137" t="s">
        <v>825</v>
      </c>
      <c r="BI219" s="128" t="str">
        <f t="shared" si="21"/>
        <v>FM792</v>
      </c>
      <c r="BJ219" s="129" t="b">
        <f t="shared" si="22"/>
        <v>0</v>
      </c>
      <c r="BK219" s="128" t="str">
        <f t="shared" si="23"/>
        <v/>
      </c>
      <c r="BL219" s="121"/>
      <c r="BM219" s="5" t="str">
        <f t="shared" si="24"/>
        <v>MISSING</v>
      </c>
      <c r="BN219" s="120" t="b">
        <f t="shared" si="25"/>
        <v>0</v>
      </c>
      <c r="BO219" s="131" t="b">
        <f t="shared" si="26"/>
        <v>1</v>
      </c>
      <c r="BP219" s="121"/>
      <c r="BQ219" s="132" t="str">
        <f>VLOOKUP(A219,RAW_APS!A$3:O826,15,FALSE)</f>
        <v/>
      </c>
      <c r="BR219" s="120" t="b">
        <f t="shared" si="27"/>
        <v>1</v>
      </c>
      <c r="BS219" s="121"/>
      <c r="BT219" s="138" t="s">
        <v>244</v>
      </c>
      <c r="BU219" s="10" t="b">
        <f t="shared" si="28"/>
        <v>1</v>
      </c>
      <c r="BV219" s="120"/>
      <c r="BW219" s="120"/>
      <c r="BX219" s="120"/>
      <c r="BY219" s="120"/>
      <c r="BZ219" s="120"/>
      <c r="CA219" s="120"/>
      <c r="CB219" s="120"/>
      <c r="CC219" s="120"/>
    </row>
    <row r="220">
      <c r="A220" s="2" t="s">
        <v>826</v>
      </c>
      <c r="B220" s="100">
        <v>44579.0</v>
      </c>
      <c r="C220" s="101">
        <v>0.3022685185185185</v>
      </c>
      <c r="D220" s="102"/>
      <c r="E220" s="102"/>
      <c r="F220" s="102"/>
      <c r="G220" s="102"/>
      <c r="H220" s="102"/>
      <c r="I220" s="103"/>
      <c r="J220" s="103"/>
      <c r="K220" s="2" t="s">
        <v>244</v>
      </c>
      <c r="L220" s="100">
        <v>44580.0</v>
      </c>
      <c r="M220" s="101">
        <v>0.5079976851851852</v>
      </c>
      <c r="P220" s="104" t="b">
        <f>IFNA(IF(VLOOKUP($A220,'Add from APT'!$AA$2:$AC826,3,FALSE)&gt;0,TRUE,FALSE),"ER - NOT IN APT")</f>
        <v>0</v>
      </c>
      <c r="Q220" s="105" t="str">
        <f>IF(ISLOGICAL(P220),IF(P220,"ER - REPS IN APT", IFNA(VLOOKUP($A220,RAW_APT!$A$3:$M826,7,FALSE),"ER - NOT IN APT")),P220)</f>
        <v>Result</v>
      </c>
      <c r="R220" s="106" t="b">
        <f t="shared" si="2"/>
        <v>1</v>
      </c>
      <c r="S220" s="107">
        <f t="shared" si="3"/>
        <v>1</v>
      </c>
      <c r="T220" s="143"/>
      <c r="U220" s="142"/>
      <c r="V220" s="142"/>
      <c r="W220" s="142"/>
      <c r="X220" s="110" t="b">
        <f t="shared" si="4"/>
        <v>0</v>
      </c>
      <c r="Y220" s="111" t="b">
        <v>0</v>
      </c>
      <c r="Z220" s="104" t="str">
        <f t="shared" si="5"/>
        <v/>
      </c>
      <c r="AA220" s="112" t="b">
        <f t="shared" si="6"/>
        <v>0</v>
      </c>
      <c r="AB220" s="142" t="b">
        <v>0</v>
      </c>
      <c r="AC220" s="140">
        <v>569.0</v>
      </c>
      <c r="AD220" s="141" t="b">
        <v>0</v>
      </c>
      <c r="AE220" s="115" t="str">
        <f t="shared" si="7"/>
        <v/>
      </c>
      <c r="AF220" s="116" t="b">
        <f t="shared" si="8"/>
        <v>0</v>
      </c>
      <c r="AG220" s="105" t="b">
        <f t="shared" si="9"/>
        <v>0</v>
      </c>
      <c r="AH220" s="140"/>
      <c r="AI220" s="140"/>
      <c r="AJ220" s="140"/>
      <c r="AK220" s="117" t="str">
        <f t="shared" si="10"/>
        <v>Negative</v>
      </c>
      <c r="AL220" s="142"/>
      <c r="AM220" s="112" t="s">
        <v>827</v>
      </c>
      <c r="AN220" s="112" t="s">
        <v>828</v>
      </c>
      <c r="AO220" s="112" t="str">
        <f>IFERROR(__xludf.DUMMYFUNCTION("IF($AG220, ""DELETED"",TRIM(JOIN("" "",D220:E220)))"),"")</f>
        <v/>
      </c>
      <c r="AP220" s="112" t="str">
        <f t="shared" ref="AP220:AQ220" si="245">IF($AG220, "DELETED", TRIM(CONCATENATE(F220,I220,U220)))</f>
        <v/>
      </c>
      <c r="AQ220" s="112" t="str">
        <f t="shared" si="245"/>
        <v/>
      </c>
      <c r="AR220" s="112" t="str">
        <f>IFERROR(__xludf.DUMMYFUNCTION("IF($AG220, ""DELETED"", TRIM(JOIN("" "",AP220,AQ220)))"),"")</f>
        <v/>
      </c>
      <c r="AS220" s="118"/>
      <c r="AT220" s="110" t="b">
        <f t="shared" si="12"/>
        <v>0</v>
      </c>
      <c r="AU220" s="110" t="str">
        <f t="shared" si="13"/>
        <v/>
      </c>
      <c r="AV220" s="110" t="str">
        <f t="shared" si="14"/>
        <v/>
      </c>
      <c r="AW220" s="110" t="str">
        <f t="shared" si="15"/>
        <v/>
      </c>
      <c r="AX220" s="119" t="str">
        <f t="shared" si="16"/>
        <v/>
      </c>
      <c r="AY220" s="120"/>
      <c r="AZ220" s="121"/>
      <c r="BA220" s="122" t="str">
        <f t="shared" si="17"/>
        <v/>
      </c>
      <c r="BB220" s="34"/>
      <c r="BC220" s="121"/>
      <c r="BD220" s="136"/>
      <c r="BE220" s="125" t="str">
        <f t="shared" si="18"/>
        <v/>
      </c>
      <c r="BF220" s="126" t="str">
        <f t="shared" si="19"/>
        <v>MA1109__44579_0.302268518518519</v>
      </c>
      <c r="BG220" s="127" t="str">
        <f t="shared" si="20"/>
        <v/>
      </c>
      <c r="BH220" s="137" t="s">
        <v>829</v>
      </c>
      <c r="BI220" s="128" t="str">
        <f t="shared" si="21"/>
        <v>FM793</v>
      </c>
      <c r="BJ220" s="129" t="b">
        <f t="shared" si="22"/>
        <v>0</v>
      </c>
      <c r="BK220" s="128" t="str">
        <f t="shared" si="23"/>
        <v/>
      </c>
      <c r="BL220" s="121"/>
      <c r="BM220" s="5" t="str">
        <f t="shared" si="24"/>
        <v>MISSING</v>
      </c>
      <c r="BN220" s="120" t="b">
        <f t="shared" si="25"/>
        <v>0</v>
      </c>
      <c r="BO220" s="131" t="b">
        <f t="shared" si="26"/>
        <v>1</v>
      </c>
      <c r="BP220" s="121"/>
      <c r="BQ220" s="132" t="str">
        <f>VLOOKUP(A220,RAW_APS!A$3:O826,15,FALSE)</f>
        <v/>
      </c>
      <c r="BR220" s="120" t="b">
        <f t="shared" si="27"/>
        <v>1</v>
      </c>
      <c r="BS220" s="121"/>
      <c r="BT220" s="138" t="s">
        <v>244</v>
      </c>
      <c r="BU220" s="10" t="b">
        <f t="shared" si="28"/>
        <v>1</v>
      </c>
      <c r="BV220" s="120"/>
      <c r="BW220" s="120"/>
      <c r="BX220" s="120"/>
      <c r="BY220" s="120"/>
      <c r="BZ220" s="120"/>
      <c r="CA220" s="120"/>
      <c r="CB220" s="120"/>
      <c r="CC220" s="120"/>
    </row>
    <row r="221">
      <c r="A221" s="2" t="s">
        <v>830</v>
      </c>
      <c r="B221" s="100">
        <v>44579.0</v>
      </c>
      <c r="C221" s="101">
        <v>0.3112847222222222</v>
      </c>
      <c r="D221" s="102"/>
      <c r="E221" s="102"/>
      <c r="F221" s="102"/>
      <c r="G221" s="102"/>
      <c r="H221" s="102"/>
      <c r="I221" s="103"/>
      <c r="J221" s="103"/>
      <c r="K221" s="2" t="s">
        <v>63</v>
      </c>
      <c r="L221" s="100">
        <v>44579.0</v>
      </c>
      <c r="M221" s="101">
        <v>0.5014930555555556</v>
      </c>
      <c r="P221" s="104" t="b">
        <f>IFNA(IF(VLOOKUP($A221,'Add from APT'!$AA$2:$AC826,3,FALSE)&gt;0,TRUE,FALSE),"ER - NOT IN APT")</f>
        <v>0</v>
      </c>
      <c r="Q221" s="105" t="str">
        <f>IF(ISLOGICAL(P221),IF(P221,"ER - REPS IN APT", IFNA(VLOOKUP($A221,RAW_APT!$A$3:$M826,7,FALSE),"ER - NOT IN APT")),P221)</f>
        <v>Result</v>
      </c>
      <c r="R221" s="106" t="b">
        <f t="shared" si="2"/>
        <v>1</v>
      </c>
      <c r="S221" s="107">
        <f t="shared" si="3"/>
        <v>1</v>
      </c>
      <c r="T221" s="143"/>
      <c r="U221" s="142"/>
      <c r="V221" s="142"/>
      <c r="W221" s="142"/>
      <c r="X221" s="110" t="b">
        <f t="shared" si="4"/>
        <v>0</v>
      </c>
      <c r="Y221" s="111" t="b">
        <v>0</v>
      </c>
      <c r="Z221" s="104" t="str">
        <f t="shared" si="5"/>
        <v/>
      </c>
      <c r="AA221" s="112" t="b">
        <f t="shared" si="6"/>
        <v>0</v>
      </c>
      <c r="AB221" s="142" t="b">
        <v>0</v>
      </c>
      <c r="AC221" s="140">
        <v>587.0</v>
      </c>
      <c r="AD221" s="141" t="b">
        <v>0</v>
      </c>
      <c r="AE221" s="115">
        <f t="shared" si="7"/>
        <v>273.9</v>
      </c>
      <c r="AF221" s="116" t="b">
        <f t="shared" si="8"/>
        <v>0</v>
      </c>
      <c r="AG221" s="105" t="b">
        <f t="shared" si="9"/>
        <v>0</v>
      </c>
      <c r="AH221" s="140"/>
      <c r="AI221" s="140"/>
      <c r="AJ221" s="140">
        <v>2.5</v>
      </c>
      <c r="AK221" s="117" t="str">
        <f t="shared" si="10"/>
        <v>Negative</v>
      </c>
      <c r="AL221" s="141" t="s">
        <v>831</v>
      </c>
      <c r="AM221" s="112" t="s">
        <v>471</v>
      </c>
      <c r="AN221" s="112" t="s">
        <v>472</v>
      </c>
      <c r="AO221" s="112" t="str">
        <f>IFERROR(__xludf.DUMMYFUNCTION("IF($AG221, ""DELETED"",TRIM(JOIN("" "",D221:E221)))"),"")</f>
        <v/>
      </c>
      <c r="AP221" s="112" t="str">
        <f t="shared" ref="AP221:AQ221" si="246">IF($AG221, "DELETED", TRIM(CONCATENATE(F221,I221,U221)))</f>
        <v/>
      </c>
      <c r="AQ221" s="112" t="str">
        <f t="shared" si="246"/>
        <v/>
      </c>
      <c r="AR221" s="112" t="str">
        <f>IFERROR(__xludf.DUMMYFUNCTION("IF($AG221, ""DELETED"", TRIM(JOIN("" "",AP221,AQ221)))"),"")</f>
        <v/>
      </c>
      <c r="AS221" s="118"/>
      <c r="AT221" s="110" t="b">
        <f t="shared" si="12"/>
        <v>0</v>
      </c>
      <c r="AU221" s="110" t="str">
        <f t="shared" si="13"/>
        <v/>
      </c>
      <c r="AV221" s="110" t="str">
        <f t="shared" si="14"/>
        <v/>
      </c>
      <c r="AW221" s="110" t="str">
        <f t="shared" si="15"/>
        <v/>
      </c>
      <c r="AX221" s="119" t="str">
        <f t="shared" si="16"/>
        <v/>
      </c>
      <c r="AY221" s="120"/>
      <c r="AZ221" s="121"/>
      <c r="BA221" s="122" t="str">
        <f t="shared" si="17"/>
        <v/>
      </c>
      <c r="BB221" s="34"/>
      <c r="BC221" s="121"/>
      <c r="BD221" s="136"/>
      <c r="BE221" s="125" t="str">
        <f t="shared" si="18"/>
        <v/>
      </c>
      <c r="BF221" s="126" t="str">
        <f t="shared" si="19"/>
        <v>MA1274__44579_0.311284722222222</v>
      </c>
      <c r="BG221" s="127" t="str">
        <f t="shared" si="20"/>
        <v/>
      </c>
      <c r="BH221" s="137" t="s">
        <v>832</v>
      </c>
      <c r="BI221" s="128" t="str">
        <f t="shared" si="21"/>
        <v>FM794</v>
      </c>
      <c r="BJ221" s="129" t="b">
        <f t="shared" si="22"/>
        <v>0</v>
      </c>
      <c r="BK221" s="128" t="str">
        <f t="shared" si="23"/>
        <v/>
      </c>
      <c r="BL221" s="121"/>
      <c r="BM221" s="5" t="str">
        <f t="shared" si="24"/>
        <v>MISSING</v>
      </c>
      <c r="BN221" s="120" t="b">
        <f t="shared" si="25"/>
        <v>0</v>
      </c>
      <c r="BO221" s="131" t="b">
        <f t="shared" si="26"/>
        <v>1</v>
      </c>
      <c r="BP221" s="121"/>
      <c r="BQ221" s="132" t="str">
        <f>VLOOKUP(A221,RAW_APS!A$3:O826,15,FALSE)</f>
        <v/>
      </c>
      <c r="BR221" s="120" t="b">
        <f t="shared" si="27"/>
        <v>1</v>
      </c>
      <c r="BS221" s="121"/>
      <c r="BT221" s="138" t="s">
        <v>244</v>
      </c>
      <c r="BU221" s="10" t="b">
        <f t="shared" si="28"/>
        <v>1</v>
      </c>
      <c r="BV221" s="120"/>
      <c r="BW221" s="120"/>
      <c r="BX221" s="120"/>
      <c r="BY221" s="120"/>
      <c r="BZ221" s="120"/>
      <c r="CA221" s="120"/>
      <c r="CB221" s="120"/>
      <c r="CC221" s="120"/>
    </row>
    <row r="222">
      <c r="A222" s="2" t="s">
        <v>833</v>
      </c>
      <c r="B222" s="100">
        <v>44579.0</v>
      </c>
      <c r="C222" s="101">
        <v>0.3162037037037037</v>
      </c>
      <c r="D222" s="102"/>
      <c r="E222" s="102"/>
      <c r="F222" s="102"/>
      <c r="G222" s="102"/>
      <c r="H222" s="102"/>
      <c r="I222" s="103"/>
      <c r="J222" s="103"/>
      <c r="K222" s="2" t="s">
        <v>244</v>
      </c>
      <c r="L222" s="100">
        <v>44580.0</v>
      </c>
      <c r="M222" s="101">
        <v>0.5080092592592592</v>
      </c>
      <c r="P222" s="104" t="b">
        <f>IFNA(IF(VLOOKUP($A222,'Add from APT'!$AA$2:$AC826,3,FALSE)&gt;0,TRUE,FALSE),"ER - NOT IN APT")</f>
        <v>0</v>
      </c>
      <c r="Q222" s="105" t="str">
        <f>IF(ISLOGICAL(P222),IF(P222,"ER - REPS IN APT", IFNA(VLOOKUP($A222,RAW_APT!$A$3:$M826,7,FALSE),"ER - NOT IN APT")),P222)</f>
        <v>Result</v>
      </c>
      <c r="R222" s="106" t="b">
        <f t="shared" si="2"/>
        <v>1</v>
      </c>
      <c r="S222" s="107">
        <f t="shared" si="3"/>
        <v>1</v>
      </c>
      <c r="T222" s="143"/>
      <c r="U222" s="142"/>
      <c r="V222" s="142"/>
      <c r="W222" s="142"/>
      <c r="X222" s="110" t="b">
        <f t="shared" si="4"/>
        <v>0</v>
      </c>
      <c r="Y222" s="111" t="b">
        <v>0</v>
      </c>
      <c r="Z222" s="104" t="str">
        <f t="shared" si="5"/>
        <v/>
      </c>
      <c r="AA222" s="112" t="b">
        <f t="shared" si="6"/>
        <v>0</v>
      </c>
      <c r="AB222" s="142" t="b">
        <v>0</v>
      </c>
      <c r="AC222" s="140">
        <v>568.0</v>
      </c>
      <c r="AD222" s="141" t="b">
        <v>0</v>
      </c>
      <c r="AE222" s="115" t="str">
        <f t="shared" si="7"/>
        <v/>
      </c>
      <c r="AF222" s="116" t="b">
        <f t="shared" si="8"/>
        <v>0</v>
      </c>
      <c r="AG222" s="105" t="b">
        <f t="shared" si="9"/>
        <v>0</v>
      </c>
      <c r="AH222" s="140"/>
      <c r="AI222" s="140"/>
      <c r="AJ222" s="140"/>
      <c r="AK222" s="117" t="str">
        <f t="shared" si="10"/>
        <v>Negative</v>
      </c>
      <c r="AL222" s="142"/>
      <c r="AM222" s="112" t="s">
        <v>639</v>
      </c>
      <c r="AN222" s="112" t="s">
        <v>640</v>
      </c>
      <c r="AO222" s="112" t="str">
        <f>IFERROR(__xludf.DUMMYFUNCTION("IF($AG222, ""DELETED"",TRIM(JOIN("" "",D222:E222)))"),"")</f>
        <v/>
      </c>
      <c r="AP222" s="112" t="str">
        <f t="shared" ref="AP222:AQ222" si="247">IF($AG222, "DELETED", TRIM(CONCATENATE(F222,I222,U222)))</f>
        <v/>
      </c>
      <c r="AQ222" s="112" t="str">
        <f t="shared" si="247"/>
        <v/>
      </c>
      <c r="AR222" s="112" t="str">
        <f>IFERROR(__xludf.DUMMYFUNCTION("IF($AG222, ""DELETED"", TRIM(JOIN("" "",AP222,AQ222)))"),"")</f>
        <v/>
      </c>
      <c r="AS222" s="118"/>
      <c r="AT222" s="110" t="b">
        <f t="shared" si="12"/>
        <v>0</v>
      </c>
      <c r="AU222" s="110" t="str">
        <f t="shared" si="13"/>
        <v/>
      </c>
      <c r="AV222" s="110" t="str">
        <f t="shared" si="14"/>
        <v/>
      </c>
      <c r="AW222" s="110" t="str">
        <f t="shared" si="15"/>
        <v/>
      </c>
      <c r="AX222" s="119" t="str">
        <f t="shared" si="16"/>
        <v/>
      </c>
      <c r="AY222" s="120"/>
      <c r="AZ222" s="121"/>
      <c r="BA222" s="122" t="str">
        <f t="shared" si="17"/>
        <v/>
      </c>
      <c r="BB222" s="34"/>
      <c r="BC222" s="121"/>
      <c r="BD222" s="136"/>
      <c r="BE222" s="125" t="str">
        <f t="shared" si="18"/>
        <v/>
      </c>
      <c r="BF222" s="126" t="str">
        <f t="shared" si="19"/>
        <v>MA1100__44579_0.316203703703704</v>
      </c>
      <c r="BG222" s="127" t="str">
        <f t="shared" si="20"/>
        <v/>
      </c>
      <c r="BH222" s="137" t="s">
        <v>834</v>
      </c>
      <c r="BI222" s="128" t="str">
        <f t="shared" si="21"/>
        <v>FM796</v>
      </c>
      <c r="BJ222" s="129" t="b">
        <f t="shared" si="22"/>
        <v>0</v>
      </c>
      <c r="BK222" s="128" t="str">
        <f t="shared" si="23"/>
        <v/>
      </c>
      <c r="BL222" s="121"/>
      <c r="BM222" s="5" t="str">
        <f t="shared" si="24"/>
        <v>MISSING</v>
      </c>
      <c r="BN222" s="120" t="b">
        <f t="shared" si="25"/>
        <v>0</v>
      </c>
      <c r="BO222" s="131" t="b">
        <f t="shared" si="26"/>
        <v>1</v>
      </c>
      <c r="BP222" s="121"/>
      <c r="BQ222" s="132" t="str">
        <f>VLOOKUP(A222,RAW_APS!A$3:O826,15,FALSE)</f>
        <v/>
      </c>
      <c r="BR222" s="120" t="b">
        <f t="shared" si="27"/>
        <v>1</v>
      </c>
      <c r="BS222" s="121"/>
      <c r="BT222" s="138" t="s">
        <v>244</v>
      </c>
      <c r="BU222" s="10" t="b">
        <f t="shared" si="28"/>
        <v>1</v>
      </c>
      <c r="BV222" s="120"/>
      <c r="BW222" s="120"/>
      <c r="BX222" s="120"/>
      <c r="BY222" s="120"/>
      <c r="BZ222" s="120"/>
      <c r="CA222" s="120"/>
      <c r="CB222" s="120"/>
      <c r="CC222" s="120"/>
    </row>
    <row r="223">
      <c r="A223" s="2" t="s">
        <v>835</v>
      </c>
      <c r="B223" s="100">
        <v>44579.0</v>
      </c>
      <c r="C223" s="101">
        <v>0.3205324074074074</v>
      </c>
      <c r="D223" s="102"/>
      <c r="E223" s="102"/>
      <c r="F223" s="102"/>
      <c r="G223" s="102"/>
      <c r="H223" s="102"/>
      <c r="I223" s="103"/>
      <c r="J223" s="103"/>
      <c r="K223" s="2" t="s">
        <v>244</v>
      </c>
      <c r="L223" s="100">
        <v>44580.0</v>
      </c>
      <c r="M223" s="101">
        <v>0.5080092592592592</v>
      </c>
      <c r="P223" s="104" t="b">
        <f>IFNA(IF(VLOOKUP($A223,'Add from APT'!$AA$2:$AC826,3,FALSE)&gt;0,TRUE,FALSE),"ER - NOT IN APT")</f>
        <v>0</v>
      </c>
      <c r="Q223" s="105" t="str">
        <f>IF(ISLOGICAL(P223),IF(P223,"ER - REPS IN APT", IFNA(VLOOKUP($A223,RAW_APT!$A$3:$M826,7,FALSE),"ER - NOT IN APT")),P223)</f>
        <v>Result</v>
      </c>
      <c r="R223" s="106" t="b">
        <f t="shared" si="2"/>
        <v>1</v>
      </c>
      <c r="S223" s="107">
        <f t="shared" si="3"/>
        <v>1</v>
      </c>
      <c r="T223" s="143"/>
      <c r="U223" s="142"/>
      <c r="V223" s="142"/>
      <c r="W223" s="142"/>
      <c r="X223" s="110" t="b">
        <f t="shared" si="4"/>
        <v>0</v>
      </c>
      <c r="Y223" s="111" t="b">
        <v>0</v>
      </c>
      <c r="Z223" s="104" t="str">
        <f t="shared" si="5"/>
        <v/>
      </c>
      <c r="AA223" s="112" t="b">
        <f t="shared" si="6"/>
        <v>0</v>
      </c>
      <c r="AB223" s="142" t="b">
        <v>0</v>
      </c>
      <c r="AC223" s="140">
        <v>567.0</v>
      </c>
      <c r="AD223" s="141" t="b">
        <v>0</v>
      </c>
      <c r="AE223" s="115" t="str">
        <f t="shared" si="7"/>
        <v/>
      </c>
      <c r="AF223" s="116" t="b">
        <f t="shared" si="8"/>
        <v>0</v>
      </c>
      <c r="AG223" s="105" t="b">
        <f t="shared" si="9"/>
        <v>0</v>
      </c>
      <c r="AH223" s="140"/>
      <c r="AI223" s="140"/>
      <c r="AJ223" s="140"/>
      <c r="AK223" s="117" t="str">
        <f t="shared" si="10"/>
        <v>Negative</v>
      </c>
      <c r="AL223" s="142"/>
      <c r="AM223" s="112" t="s">
        <v>793</v>
      </c>
      <c r="AN223" s="112" t="s">
        <v>836</v>
      </c>
      <c r="AO223" s="112" t="str">
        <f>IFERROR(__xludf.DUMMYFUNCTION("IF($AG223, ""DELETED"",TRIM(JOIN("" "",D223:E223)))"),"")</f>
        <v/>
      </c>
      <c r="AP223" s="112" t="str">
        <f t="shared" ref="AP223:AQ223" si="248">IF($AG223, "DELETED", TRIM(CONCATENATE(F223,I223,U223)))</f>
        <v/>
      </c>
      <c r="AQ223" s="112" t="str">
        <f t="shared" si="248"/>
        <v/>
      </c>
      <c r="AR223" s="112" t="str">
        <f>IFERROR(__xludf.DUMMYFUNCTION("IF($AG223, ""DELETED"", TRIM(JOIN("" "",AP223,AQ223)))"),"")</f>
        <v/>
      </c>
      <c r="AS223" s="118"/>
      <c r="AT223" s="110" t="b">
        <f t="shared" si="12"/>
        <v>0</v>
      </c>
      <c r="AU223" s="110" t="str">
        <f t="shared" si="13"/>
        <v/>
      </c>
      <c r="AV223" s="110" t="str">
        <f t="shared" si="14"/>
        <v/>
      </c>
      <c r="AW223" s="110" t="str">
        <f t="shared" si="15"/>
        <v/>
      </c>
      <c r="AX223" s="119" t="str">
        <f t="shared" si="16"/>
        <v/>
      </c>
      <c r="AY223" s="120"/>
      <c r="AZ223" s="121"/>
      <c r="BA223" s="122" t="str">
        <f t="shared" si="17"/>
        <v/>
      </c>
      <c r="BB223" s="34"/>
      <c r="BC223" s="121"/>
      <c r="BD223" s="136"/>
      <c r="BE223" s="125" t="str">
        <f t="shared" si="18"/>
        <v/>
      </c>
      <c r="BF223" s="126" t="str">
        <f t="shared" si="19"/>
        <v>MA1145__44579_0.320532407407407</v>
      </c>
      <c r="BG223" s="127" t="str">
        <f t="shared" si="20"/>
        <v/>
      </c>
      <c r="BH223" s="137" t="s">
        <v>837</v>
      </c>
      <c r="BI223" s="128" t="str">
        <f t="shared" si="21"/>
        <v>FM799</v>
      </c>
      <c r="BJ223" s="129" t="b">
        <f t="shared" si="22"/>
        <v>0</v>
      </c>
      <c r="BK223" s="128" t="str">
        <f t="shared" si="23"/>
        <v/>
      </c>
      <c r="BL223" s="121"/>
      <c r="BM223" s="5" t="str">
        <f t="shared" si="24"/>
        <v>MISSING</v>
      </c>
      <c r="BN223" s="120" t="b">
        <f t="shared" si="25"/>
        <v>0</v>
      </c>
      <c r="BO223" s="131" t="b">
        <f t="shared" si="26"/>
        <v>1</v>
      </c>
      <c r="BP223" s="121"/>
      <c r="BQ223" s="132" t="str">
        <f>VLOOKUP(A223,RAW_APS!A$3:O826,15,FALSE)</f>
        <v/>
      </c>
      <c r="BR223" s="120" t="b">
        <f t="shared" si="27"/>
        <v>1</v>
      </c>
      <c r="BS223" s="121"/>
      <c r="BT223" s="138" t="s">
        <v>244</v>
      </c>
      <c r="BU223" s="10" t="b">
        <f t="shared" si="28"/>
        <v>1</v>
      </c>
      <c r="BV223" s="120"/>
      <c r="BW223" s="120"/>
      <c r="BX223" s="120"/>
      <c r="BY223" s="120"/>
      <c r="BZ223" s="120"/>
      <c r="CA223" s="120"/>
      <c r="CB223" s="120"/>
      <c r="CC223" s="120"/>
    </row>
    <row r="224">
      <c r="A224" s="2" t="s">
        <v>838</v>
      </c>
      <c r="B224" s="100">
        <v>44579.0</v>
      </c>
      <c r="C224" s="101">
        <v>0.32251157407407405</v>
      </c>
      <c r="D224" s="102"/>
      <c r="E224" s="102"/>
      <c r="F224" s="102"/>
      <c r="G224" s="102"/>
      <c r="H224" s="102"/>
      <c r="I224" s="103"/>
      <c r="J224" s="103"/>
      <c r="K224" s="2" t="s">
        <v>52</v>
      </c>
      <c r="L224" s="100">
        <v>44579.0</v>
      </c>
      <c r="M224" s="101">
        <v>0.5015972222222222</v>
      </c>
      <c r="P224" s="104" t="b">
        <f>IFNA(IF(VLOOKUP($A224,'Add from APT'!$AA$2:$AC826,3,FALSE)&gt;0,TRUE,FALSE),"ER - NOT IN APT")</f>
        <v>0</v>
      </c>
      <c r="Q224" s="105" t="str">
        <f>IF(ISLOGICAL(P224),IF(P224,"ER - REPS IN APT", IFNA(VLOOKUP($A224,RAW_APT!$A$3:$M826,7,FALSE),"ER - NOT IN APT")),P224)</f>
        <v>Result</v>
      </c>
      <c r="R224" s="106" t="b">
        <f t="shared" si="2"/>
        <v>1</v>
      </c>
      <c r="S224" s="107">
        <f t="shared" si="3"/>
        <v>1</v>
      </c>
      <c r="T224" s="143"/>
      <c r="U224" s="142"/>
      <c r="V224" s="142"/>
      <c r="W224" s="142"/>
      <c r="X224" s="110" t="b">
        <f t="shared" si="4"/>
        <v>0</v>
      </c>
      <c r="Y224" s="111" t="b">
        <v>0</v>
      </c>
      <c r="Z224" s="104" t="str">
        <f t="shared" si="5"/>
        <v/>
      </c>
      <c r="AA224" s="112" t="b">
        <f t="shared" si="6"/>
        <v>0</v>
      </c>
      <c r="AB224" s="142" t="b">
        <v>0</v>
      </c>
      <c r="AC224" s="140">
        <v>586.0</v>
      </c>
      <c r="AD224" s="141" t="b">
        <v>0</v>
      </c>
      <c r="AE224" s="115">
        <f t="shared" si="7"/>
        <v>257.8833333</v>
      </c>
      <c r="AF224" s="116" t="b">
        <f t="shared" si="8"/>
        <v>0</v>
      </c>
      <c r="AG224" s="105" t="b">
        <f t="shared" si="9"/>
        <v>0</v>
      </c>
      <c r="AH224" s="140"/>
      <c r="AI224" s="140"/>
      <c r="AJ224" s="140"/>
      <c r="AK224" s="117" t="str">
        <f t="shared" si="10"/>
        <v>Positive</v>
      </c>
      <c r="AL224" s="142"/>
      <c r="AM224" s="112" t="s">
        <v>839</v>
      </c>
      <c r="AN224" s="112" t="s">
        <v>542</v>
      </c>
      <c r="AO224" s="112" t="str">
        <f>IFERROR(__xludf.DUMMYFUNCTION("IF($AG224, ""DELETED"",TRIM(JOIN("" "",D224:E224)))"),"")</f>
        <v/>
      </c>
      <c r="AP224" s="112" t="str">
        <f t="shared" ref="AP224:AQ224" si="249">IF($AG224, "DELETED", TRIM(CONCATENATE(F224,I224,U224)))</f>
        <v/>
      </c>
      <c r="AQ224" s="112" t="str">
        <f t="shared" si="249"/>
        <v/>
      </c>
      <c r="AR224" s="112" t="str">
        <f>IFERROR(__xludf.DUMMYFUNCTION("IF($AG224, ""DELETED"", TRIM(JOIN("" "",AP224,AQ224)))"),"")</f>
        <v/>
      </c>
      <c r="AS224" s="118"/>
      <c r="AT224" s="110" t="b">
        <f t="shared" si="12"/>
        <v>0</v>
      </c>
      <c r="AU224" s="110" t="str">
        <f t="shared" si="13"/>
        <v/>
      </c>
      <c r="AV224" s="110" t="str">
        <f t="shared" si="14"/>
        <v/>
      </c>
      <c r="AW224" s="110" t="str">
        <f t="shared" si="15"/>
        <v/>
      </c>
      <c r="AX224" s="119" t="str">
        <f t="shared" si="16"/>
        <v/>
      </c>
      <c r="AY224" s="120"/>
      <c r="AZ224" s="121"/>
      <c r="BA224" s="122" t="str">
        <f t="shared" si="17"/>
        <v/>
      </c>
      <c r="BB224" s="34"/>
      <c r="BC224" s="121"/>
      <c r="BD224" s="136"/>
      <c r="BE224" s="125" t="str">
        <f t="shared" si="18"/>
        <v/>
      </c>
      <c r="BF224" s="126" t="str">
        <f t="shared" si="19"/>
        <v>MA655__44579_0.322511574074074</v>
      </c>
      <c r="BG224" s="127" t="str">
        <f t="shared" si="20"/>
        <v/>
      </c>
      <c r="BH224" s="137" t="s">
        <v>840</v>
      </c>
      <c r="BI224" s="128" t="str">
        <f t="shared" si="21"/>
        <v>FM8</v>
      </c>
      <c r="BJ224" s="129" t="b">
        <f t="shared" si="22"/>
        <v>0</v>
      </c>
      <c r="BK224" s="128" t="str">
        <f t="shared" si="23"/>
        <v/>
      </c>
      <c r="BL224" s="121"/>
      <c r="BM224" s="5" t="str">
        <f t="shared" si="24"/>
        <v>MISSING</v>
      </c>
      <c r="BN224" s="120" t="b">
        <f t="shared" si="25"/>
        <v>0</v>
      </c>
      <c r="BO224" s="131" t="b">
        <f t="shared" si="26"/>
        <v>1</v>
      </c>
      <c r="BP224" s="121"/>
      <c r="BQ224" s="132" t="str">
        <f>VLOOKUP(A224,RAW_APS!A$3:O826,15,FALSE)</f>
        <v/>
      </c>
      <c r="BR224" s="120" t="b">
        <f t="shared" si="27"/>
        <v>1</v>
      </c>
      <c r="BS224" s="121"/>
      <c r="BT224" s="138" t="s">
        <v>52</v>
      </c>
      <c r="BU224" s="10" t="b">
        <f t="shared" si="28"/>
        <v>1</v>
      </c>
      <c r="BV224" s="120"/>
      <c r="BW224" s="120"/>
      <c r="BX224" s="120"/>
      <c r="BY224" s="120"/>
      <c r="BZ224" s="120"/>
      <c r="CA224" s="120"/>
      <c r="CB224" s="120"/>
      <c r="CC224" s="120"/>
    </row>
    <row r="225">
      <c r="A225" s="2" t="s">
        <v>841</v>
      </c>
      <c r="B225" s="100">
        <v>44579.0</v>
      </c>
      <c r="C225" s="101">
        <v>0.3232175925925926</v>
      </c>
      <c r="D225" s="102"/>
      <c r="E225" s="102"/>
      <c r="F225" s="102"/>
      <c r="G225" s="102"/>
      <c r="H225" s="102"/>
      <c r="I225" s="103"/>
      <c r="J225" s="103"/>
      <c r="K225" s="2" t="s">
        <v>244</v>
      </c>
      <c r="L225" s="100">
        <v>44580.0</v>
      </c>
      <c r="M225" s="101">
        <v>0.5080092592592592</v>
      </c>
      <c r="P225" s="104" t="b">
        <f>IFNA(IF(VLOOKUP($A225,'Add from APT'!$AA$2:$AC826,3,FALSE)&gt;0,TRUE,FALSE),"ER - NOT IN APT")</f>
        <v>0</v>
      </c>
      <c r="Q225" s="105" t="str">
        <f>IF(ISLOGICAL(P225),IF(P225,"ER - REPS IN APT", IFNA(VLOOKUP($A225,RAW_APT!$A$3:$M826,7,FALSE),"ER - NOT IN APT")),P225)</f>
        <v>Result</v>
      </c>
      <c r="R225" s="106" t="b">
        <f t="shared" si="2"/>
        <v>1</v>
      </c>
      <c r="S225" s="107">
        <f t="shared" si="3"/>
        <v>1</v>
      </c>
      <c r="T225" s="143"/>
      <c r="U225" s="142"/>
      <c r="V225" s="142"/>
      <c r="W225" s="142"/>
      <c r="X225" s="110" t="b">
        <f t="shared" si="4"/>
        <v>0</v>
      </c>
      <c r="Y225" s="111" t="b">
        <v>0</v>
      </c>
      <c r="Z225" s="104" t="str">
        <f t="shared" si="5"/>
        <v/>
      </c>
      <c r="AA225" s="112" t="b">
        <f t="shared" si="6"/>
        <v>0</v>
      </c>
      <c r="AB225" s="142" t="b">
        <v>0</v>
      </c>
      <c r="AC225" s="140">
        <v>566.0</v>
      </c>
      <c r="AD225" s="141" t="b">
        <v>0</v>
      </c>
      <c r="AE225" s="115" t="str">
        <f t="shared" si="7"/>
        <v/>
      </c>
      <c r="AF225" s="116" t="b">
        <f t="shared" si="8"/>
        <v>0</v>
      </c>
      <c r="AG225" s="105" t="b">
        <f t="shared" si="9"/>
        <v>0</v>
      </c>
      <c r="AH225" s="140"/>
      <c r="AI225" s="140"/>
      <c r="AJ225" s="140"/>
      <c r="AK225" s="117" t="str">
        <f t="shared" si="10"/>
        <v>Negative</v>
      </c>
      <c r="AL225" s="142"/>
      <c r="AM225" s="112" t="s">
        <v>307</v>
      </c>
      <c r="AN225" s="112" t="s">
        <v>266</v>
      </c>
      <c r="AO225" s="112" t="str">
        <f>IFERROR(__xludf.DUMMYFUNCTION("IF($AG225, ""DELETED"",TRIM(JOIN("" "",D225:E225)))"),"")</f>
        <v/>
      </c>
      <c r="AP225" s="112" t="str">
        <f t="shared" ref="AP225:AQ225" si="250">IF($AG225, "DELETED", TRIM(CONCATENATE(F225,I225,U225)))</f>
        <v/>
      </c>
      <c r="AQ225" s="112" t="str">
        <f t="shared" si="250"/>
        <v/>
      </c>
      <c r="AR225" s="112" t="str">
        <f>IFERROR(__xludf.DUMMYFUNCTION("IF($AG225, ""DELETED"", TRIM(JOIN("" "",AP225,AQ225)))"),"")</f>
        <v/>
      </c>
      <c r="AS225" s="118"/>
      <c r="AT225" s="110" t="b">
        <f t="shared" si="12"/>
        <v>0</v>
      </c>
      <c r="AU225" s="110" t="str">
        <f t="shared" si="13"/>
        <v/>
      </c>
      <c r="AV225" s="110" t="str">
        <f t="shared" si="14"/>
        <v/>
      </c>
      <c r="AW225" s="110" t="str">
        <f t="shared" si="15"/>
        <v/>
      </c>
      <c r="AX225" s="119" t="str">
        <f t="shared" si="16"/>
        <v/>
      </c>
      <c r="AY225" s="120"/>
      <c r="AZ225" s="121"/>
      <c r="BA225" s="122" t="str">
        <f t="shared" si="17"/>
        <v/>
      </c>
      <c r="BB225" s="34"/>
      <c r="BC225" s="121"/>
      <c r="BD225" s="136"/>
      <c r="BE225" s="125" t="str">
        <f t="shared" si="18"/>
        <v/>
      </c>
      <c r="BF225" s="126" t="str">
        <f t="shared" si="19"/>
        <v>MA645__44579_0.323217592592593</v>
      </c>
      <c r="BG225" s="127" t="str">
        <f t="shared" si="20"/>
        <v/>
      </c>
      <c r="BH225" s="137" t="s">
        <v>842</v>
      </c>
      <c r="BI225" s="128" t="str">
        <f t="shared" si="21"/>
        <v>FM802</v>
      </c>
      <c r="BJ225" s="129" t="b">
        <f t="shared" si="22"/>
        <v>0</v>
      </c>
      <c r="BK225" s="128" t="str">
        <f t="shared" si="23"/>
        <v/>
      </c>
      <c r="BL225" s="121"/>
      <c r="BM225" s="5" t="str">
        <f t="shared" si="24"/>
        <v>MISSING</v>
      </c>
      <c r="BN225" s="120" t="b">
        <f t="shared" si="25"/>
        <v>0</v>
      </c>
      <c r="BO225" s="131" t="b">
        <f t="shared" si="26"/>
        <v>1</v>
      </c>
      <c r="BP225" s="121"/>
      <c r="BQ225" s="132" t="str">
        <f>VLOOKUP(A225,RAW_APS!A$3:O826,15,FALSE)</f>
        <v/>
      </c>
      <c r="BR225" s="120" t="b">
        <f t="shared" si="27"/>
        <v>1</v>
      </c>
      <c r="BS225" s="121"/>
      <c r="BT225" s="138" t="s">
        <v>244</v>
      </c>
      <c r="BU225" s="10" t="b">
        <f t="shared" si="28"/>
        <v>1</v>
      </c>
      <c r="BV225" s="120"/>
      <c r="BW225" s="120"/>
      <c r="BX225" s="120"/>
      <c r="BY225" s="120"/>
      <c r="BZ225" s="120"/>
      <c r="CA225" s="120"/>
      <c r="CB225" s="120"/>
      <c r="CC225" s="120"/>
    </row>
    <row r="226">
      <c r="A226" s="2" t="s">
        <v>843</v>
      </c>
      <c r="B226" s="100">
        <v>44579.0</v>
      </c>
      <c r="C226" s="101">
        <v>0.3233101851851852</v>
      </c>
      <c r="D226" s="102"/>
      <c r="E226" s="102"/>
      <c r="F226" s="102"/>
      <c r="G226" s="102"/>
      <c r="H226" s="102"/>
      <c r="I226" s="103"/>
      <c r="J226" s="103"/>
      <c r="K226" s="2" t="s">
        <v>244</v>
      </c>
      <c r="L226" s="100">
        <v>44580.0</v>
      </c>
      <c r="M226" s="101">
        <v>0.5080092592592592</v>
      </c>
      <c r="P226" s="104" t="b">
        <f>IFNA(IF(VLOOKUP($A226,'Add from APT'!$AA$2:$AC826,3,FALSE)&gt;0,TRUE,FALSE),"ER - NOT IN APT")</f>
        <v>0</v>
      </c>
      <c r="Q226" s="105" t="str">
        <f>IF(ISLOGICAL(P226),IF(P226,"ER - REPS IN APT", IFNA(VLOOKUP($A226,RAW_APT!$A$3:$M826,7,FALSE),"ER - NOT IN APT")),P226)</f>
        <v>Result</v>
      </c>
      <c r="R226" s="106" t="b">
        <f t="shared" si="2"/>
        <v>1</v>
      </c>
      <c r="S226" s="107">
        <f t="shared" si="3"/>
        <v>1</v>
      </c>
      <c r="T226" s="143"/>
      <c r="U226" s="142"/>
      <c r="V226" s="142"/>
      <c r="W226" s="142"/>
      <c r="X226" s="110" t="b">
        <f t="shared" si="4"/>
        <v>0</v>
      </c>
      <c r="Y226" s="111" t="b">
        <v>0</v>
      </c>
      <c r="Z226" s="104" t="str">
        <f t="shared" si="5"/>
        <v/>
      </c>
      <c r="AA226" s="112" t="b">
        <f t="shared" si="6"/>
        <v>0</v>
      </c>
      <c r="AB226" s="142" t="b">
        <v>0</v>
      </c>
      <c r="AC226" s="140">
        <v>565.0</v>
      </c>
      <c r="AD226" s="141" t="b">
        <v>0</v>
      </c>
      <c r="AE226" s="115" t="str">
        <f t="shared" si="7"/>
        <v/>
      </c>
      <c r="AF226" s="116" t="b">
        <f t="shared" si="8"/>
        <v>0</v>
      </c>
      <c r="AG226" s="105" t="b">
        <f t="shared" si="9"/>
        <v>0</v>
      </c>
      <c r="AH226" s="140"/>
      <c r="AI226" s="140"/>
      <c r="AJ226" s="140"/>
      <c r="AK226" s="117" t="str">
        <f t="shared" si="10"/>
        <v>Negative</v>
      </c>
      <c r="AL226" s="142"/>
      <c r="AM226" s="112" t="s">
        <v>573</v>
      </c>
      <c r="AN226" s="112" t="s">
        <v>574</v>
      </c>
      <c r="AO226" s="112" t="str">
        <f>IFERROR(__xludf.DUMMYFUNCTION("IF($AG226, ""DELETED"",TRIM(JOIN("" "",D226:E226)))"),"")</f>
        <v/>
      </c>
      <c r="AP226" s="112" t="str">
        <f t="shared" ref="AP226:AQ226" si="251">IF($AG226, "DELETED", TRIM(CONCATENATE(F226,I226,U226)))</f>
        <v/>
      </c>
      <c r="AQ226" s="112" t="str">
        <f t="shared" si="251"/>
        <v/>
      </c>
      <c r="AR226" s="112" t="str">
        <f>IFERROR(__xludf.DUMMYFUNCTION("IF($AG226, ""DELETED"", TRIM(JOIN("" "",AP226,AQ226)))"),"")</f>
        <v/>
      </c>
      <c r="AS226" s="118"/>
      <c r="AT226" s="110" t="b">
        <f t="shared" si="12"/>
        <v>0</v>
      </c>
      <c r="AU226" s="110" t="str">
        <f t="shared" si="13"/>
        <v/>
      </c>
      <c r="AV226" s="110" t="str">
        <f t="shared" si="14"/>
        <v/>
      </c>
      <c r="AW226" s="110" t="str">
        <f t="shared" si="15"/>
        <v/>
      </c>
      <c r="AX226" s="119" t="str">
        <f t="shared" si="16"/>
        <v/>
      </c>
      <c r="AY226" s="120"/>
      <c r="AZ226" s="121"/>
      <c r="BA226" s="122" t="str">
        <f t="shared" si="17"/>
        <v/>
      </c>
      <c r="BB226" s="34"/>
      <c r="BC226" s="121"/>
      <c r="BD226" s="136"/>
      <c r="BE226" s="125" t="str">
        <f t="shared" si="18"/>
        <v/>
      </c>
      <c r="BF226" s="126" t="str">
        <f t="shared" si="19"/>
        <v>MA627__44579_0.323310185185185</v>
      </c>
      <c r="BG226" s="127" t="str">
        <f t="shared" si="20"/>
        <v/>
      </c>
      <c r="BH226" s="137" t="s">
        <v>844</v>
      </c>
      <c r="BI226" s="128" t="str">
        <f t="shared" si="21"/>
        <v>FM803</v>
      </c>
      <c r="BJ226" s="129" t="b">
        <f t="shared" si="22"/>
        <v>0</v>
      </c>
      <c r="BK226" s="128" t="str">
        <f t="shared" si="23"/>
        <v/>
      </c>
      <c r="BL226" s="121"/>
      <c r="BM226" s="5" t="str">
        <f t="shared" si="24"/>
        <v>MISSING</v>
      </c>
      <c r="BN226" s="120" t="b">
        <f t="shared" si="25"/>
        <v>0</v>
      </c>
      <c r="BO226" s="131" t="b">
        <f t="shared" si="26"/>
        <v>1</v>
      </c>
      <c r="BP226" s="121"/>
      <c r="BQ226" s="132" t="str">
        <f>VLOOKUP(A226,RAW_APS!A$3:O826,15,FALSE)</f>
        <v/>
      </c>
      <c r="BR226" s="120" t="b">
        <f t="shared" si="27"/>
        <v>1</v>
      </c>
      <c r="BS226" s="121"/>
      <c r="BT226" s="138" t="s">
        <v>244</v>
      </c>
      <c r="BU226" s="10" t="b">
        <f t="shared" si="28"/>
        <v>1</v>
      </c>
      <c r="BV226" s="120"/>
      <c r="BW226" s="120"/>
      <c r="BX226" s="120"/>
      <c r="BY226" s="120"/>
      <c r="BZ226" s="120"/>
      <c r="CA226" s="120"/>
      <c r="CB226" s="120"/>
      <c r="CC226" s="120"/>
    </row>
    <row r="227">
      <c r="A227" s="2" t="s">
        <v>845</v>
      </c>
      <c r="B227" s="100">
        <v>44579.0</v>
      </c>
      <c r="C227" s="101">
        <v>0.3278935185185185</v>
      </c>
      <c r="D227" s="102"/>
      <c r="E227" s="102"/>
      <c r="F227" s="102"/>
      <c r="G227" s="102"/>
      <c r="H227" s="102"/>
      <c r="I227" s="103"/>
      <c r="J227" s="103"/>
      <c r="K227" s="2" t="s">
        <v>244</v>
      </c>
      <c r="L227" s="100">
        <v>44580.0</v>
      </c>
      <c r="M227" s="101">
        <v>0.5080092592592592</v>
      </c>
      <c r="P227" s="104" t="b">
        <f>IFNA(IF(VLOOKUP($A227,'Add from APT'!$AA$2:$AC826,3,FALSE)&gt;0,TRUE,FALSE),"ER - NOT IN APT")</f>
        <v>0</v>
      </c>
      <c r="Q227" s="105" t="str">
        <f>IF(ISLOGICAL(P227),IF(P227,"ER - REPS IN APT", IFNA(VLOOKUP($A227,RAW_APT!$A$3:$M826,7,FALSE),"ER - NOT IN APT")),P227)</f>
        <v>Result</v>
      </c>
      <c r="R227" s="106" t="b">
        <f t="shared" si="2"/>
        <v>1</v>
      </c>
      <c r="S227" s="107">
        <f t="shared" si="3"/>
        <v>1</v>
      </c>
      <c r="T227" s="143"/>
      <c r="U227" s="142"/>
      <c r="V227" s="142"/>
      <c r="W227" s="142"/>
      <c r="X227" s="110" t="b">
        <f t="shared" si="4"/>
        <v>0</v>
      </c>
      <c r="Y227" s="111" t="b">
        <v>0</v>
      </c>
      <c r="Z227" s="104" t="str">
        <f t="shared" si="5"/>
        <v/>
      </c>
      <c r="AA227" s="112" t="b">
        <f t="shared" si="6"/>
        <v>0</v>
      </c>
      <c r="AB227" s="142" t="b">
        <v>0</v>
      </c>
      <c r="AC227" s="140">
        <v>564.0</v>
      </c>
      <c r="AD227" s="141" t="b">
        <v>0</v>
      </c>
      <c r="AE227" s="115" t="str">
        <f t="shared" si="7"/>
        <v/>
      </c>
      <c r="AF227" s="116" t="b">
        <f t="shared" si="8"/>
        <v>0</v>
      </c>
      <c r="AG227" s="105" t="b">
        <f t="shared" si="9"/>
        <v>0</v>
      </c>
      <c r="AH227" s="140"/>
      <c r="AI227" s="140"/>
      <c r="AJ227" s="140"/>
      <c r="AK227" s="117" t="str">
        <f t="shared" si="10"/>
        <v>Negative</v>
      </c>
      <c r="AL227" s="142"/>
      <c r="AM227" s="112" t="s">
        <v>356</v>
      </c>
      <c r="AN227" s="112" t="s">
        <v>357</v>
      </c>
      <c r="AO227" s="112" t="str">
        <f>IFERROR(__xludf.DUMMYFUNCTION("IF($AG227, ""DELETED"",TRIM(JOIN("" "",D227:E227)))"),"")</f>
        <v/>
      </c>
      <c r="AP227" s="112" t="str">
        <f t="shared" ref="AP227:AQ227" si="252">IF($AG227, "DELETED", TRIM(CONCATENATE(F227,I227,U227)))</f>
        <v/>
      </c>
      <c r="AQ227" s="112" t="str">
        <f t="shared" si="252"/>
        <v/>
      </c>
      <c r="AR227" s="112" t="str">
        <f>IFERROR(__xludf.DUMMYFUNCTION("IF($AG227, ""DELETED"", TRIM(JOIN("" "",AP227,AQ227)))"),"")</f>
        <v/>
      </c>
      <c r="AS227" s="118"/>
      <c r="AT227" s="110" t="b">
        <f t="shared" si="12"/>
        <v>0</v>
      </c>
      <c r="AU227" s="110" t="str">
        <f t="shared" si="13"/>
        <v/>
      </c>
      <c r="AV227" s="110" t="str">
        <f t="shared" si="14"/>
        <v/>
      </c>
      <c r="AW227" s="110" t="str">
        <f t="shared" si="15"/>
        <v/>
      </c>
      <c r="AX227" s="119" t="str">
        <f t="shared" si="16"/>
        <v/>
      </c>
      <c r="AY227" s="120"/>
      <c r="AZ227" s="121"/>
      <c r="BA227" s="122" t="str">
        <f t="shared" si="17"/>
        <v/>
      </c>
      <c r="BB227" s="34"/>
      <c r="BC227" s="121"/>
      <c r="BD227" s="136"/>
      <c r="BE227" s="125" t="str">
        <f t="shared" si="18"/>
        <v/>
      </c>
      <c r="BF227" s="126" t="str">
        <f t="shared" si="19"/>
        <v>MA295__44579_0.327893518518519</v>
      </c>
      <c r="BG227" s="127" t="str">
        <f t="shared" si="20"/>
        <v/>
      </c>
      <c r="BH227" s="137" t="s">
        <v>846</v>
      </c>
      <c r="BI227" s="128" t="str">
        <f t="shared" si="21"/>
        <v>FM804</v>
      </c>
      <c r="BJ227" s="129" t="b">
        <f t="shared" si="22"/>
        <v>0</v>
      </c>
      <c r="BK227" s="128" t="str">
        <f t="shared" si="23"/>
        <v/>
      </c>
      <c r="BL227" s="121"/>
      <c r="BM227" s="5" t="str">
        <f t="shared" si="24"/>
        <v>MISSING</v>
      </c>
      <c r="BN227" s="120" t="b">
        <f t="shared" si="25"/>
        <v>0</v>
      </c>
      <c r="BO227" s="131" t="b">
        <f t="shared" si="26"/>
        <v>1</v>
      </c>
      <c r="BP227" s="121"/>
      <c r="BQ227" s="132" t="str">
        <f>VLOOKUP(A227,RAW_APS!A$3:O826,15,FALSE)</f>
        <v/>
      </c>
      <c r="BR227" s="120" t="b">
        <f t="shared" si="27"/>
        <v>1</v>
      </c>
      <c r="BS227" s="121"/>
      <c r="BT227" s="138" t="s">
        <v>244</v>
      </c>
      <c r="BU227" s="10" t="b">
        <f t="shared" si="28"/>
        <v>1</v>
      </c>
      <c r="BV227" s="120"/>
      <c r="BW227" s="120"/>
      <c r="BX227" s="120"/>
      <c r="BY227" s="120"/>
      <c r="BZ227" s="120"/>
      <c r="CA227" s="120"/>
      <c r="CB227" s="120"/>
      <c r="CC227" s="120"/>
    </row>
    <row r="228">
      <c r="A228" s="2" t="s">
        <v>847</v>
      </c>
      <c r="B228" s="100">
        <v>44579.0</v>
      </c>
      <c r="C228" s="101">
        <v>0.32914351851851853</v>
      </c>
      <c r="D228" s="102"/>
      <c r="E228" s="102"/>
      <c r="F228" s="102"/>
      <c r="G228" s="102"/>
      <c r="H228" s="102"/>
      <c r="I228" s="103"/>
      <c r="J228" s="103"/>
      <c r="K228" s="2" t="s">
        <v>244</v>
      </c>
      <c r="L228" s="100">
        <v>44580.0</v>
      </c>
      <c r="M228" s="101">
        <v>0.5080092592592592</v>
      </c>
      <c r="P228" s="104" t="b">
        <f>IFNA(IF(VLOOKUP($A228,'Add from APT'!$AA$2:$AC826,3,FALSE)&gt;0,TRUE,FALSE),"ER - NOT IN APT")</f>
        <v>0</v>
      </c>
      <c r="Q228" s="105" t="str">
        <f>IF(ISLOGICAL(P228),IF(P228,"ER - REPS IN APT", IFNA(VLOOKUP($A228,RAW_APT!$A$3:$M826,7,FALSE),"ER - NOT IN APT")),P228)</f>
        <v>Result</v>
      </c>
      <c r="R228" s="106" t="b">
        <f t="shared" si="2"/>
        <v>1</v>
      </c>
      <c r="S228" s="107">
        <f t="shared" si="3"/>
        <v>1</v>
      </c>
      <c r="T228" s="140">
        <v>0.0</v>
      </c>
      <c r="U228" s="159"/>
      <c r="V228" s="159"/>
      <c r="W228" s="159"/>
      <c r="X228" s="110" t="b">
        <f t="shared" si="4"/>
        <v>0</v>
      </c>
      <c r="Y228" s="111" t="b">
        <v>0</v>
      </c>
      <c r="Z228" s="104" t="str">
        <f t="shared" si="5"/>
        <v/>
      </c>
      <c r="AA228" s="112" t="b">
        <f t="shared" si="6"/>
        <v>0</v>
      </c>
      <c r="AB228" s="142" t="b">
        <v>0</v>
      </c>
      <c r="AC228" s="140">
        <v>563.0</v>
      </c>
      <c r="AD228" s="141" t="b">
        <v>0</v>
      </c>
      <c r="AE228" s="115" t="str">
        <f t="shared" si="7"/>
        <v/>
      </c>
      <c r="AF228" s="116" t="b">
        <f t="shared" si="8"/>
        <v>0</v>
      </c>
      <c r="AG228" s="105" t="b">
        <f t="shared" si="9"/>
        <v>0</v>
      </c>
      <c r="AH228" s="140"/>
      <c r="AI228" s="140"/>
      <c r="AJ228" s="140"/>
      <c r="AK228" s="117" t="str">
        <f t="shared" si="10"/>
        <v>Negative</v>
      </c>
      <c r="AL228" s="142"/>
      <c r="AM228" s="112" t="s">
        <v>727</v>
      </c>
      <c r="AN228" s="112" t="s">
        <v>728</v>
      </c>
      <c r="AO228" s="112" t="str">
        <f>IFERROR(__xludf.DUMMYFUNCTION("IF($AG228, ""DELETED"",TRIM(JOIN("" "",D228:E228)))"),"")</f>
        <v/>
      </c>
      <c r="AP228" s="112" t="str">
        <f t="shared" ref="AP228:AQ228" si="253">IF($AG228, "DELETED", TRIM(CONCATENATE(F228,I228,U228)))</f>
        <v/>
      </c>
      <c r="AQ228" s="112" t="str">
        <f t="shared" si="253"/>
        <v/>
      </c>
      <c r="AR228" s="112" t="str">
        <f>IFERROR(__xludf.DUMMYFUNCTION("IF($AG228, ""DELETED"", TRIM(JOIN("" "",AP228,AQ228)))"),"")</f>
        <v/>
      </c>
      <c r="AS228" s="118"/>
      <c r="AT228" s="110" t="b">
        <f t="shared" si="12"/>
        <v>0</v>
      </c>
      <c r="AU228" s="110" t="str">
        <f t="shared" si="13"/>
        <v/>
      </c>
      <c r="AV228" s="110" t="str">
        <f t="shared" si="14"/>
        <v/>
      </c>
      <c r="AW228" s="110" t="str">
        <f t="shared" si="15"/>
        <v/>
      </c>
      <c r="AX228" s="119" t="str">
        <f t="shared" si="16"/>
        <v/>
      </c>
      <c r="AY228" s="120"/>
      <c r="AZ228" s="121"/>
      <c r="BA228" s="122" t="str">
        <f t="shared" si="17"/>
        <v/>
      </c>
      <c r="BB228" s="34"/>
      <c r="BC228" s="121"/>
      <c r="BD228" s="136"/>
      <c r="BE228" s="125" t="str">
        <f t="shared" si="18"/>
        <v/>
      </c>
      <c r="BF228" s="126" t="str">
        <f t="shared" si="19"/>
        <v>MA302__44579_0.329143518518519</v>
      </c>
      <c r="BG228" s="127" t="str">
        <f t="shared" si="20"/>
        <v/>
      </c>
      <c r="BH228" s="137" t="s">
        <v>848</v>
      </c>
      <c r="BI228" s="128" t="str">
        <f t="shared" si="21"/>
        <v>FM807</v>
      </c>
      <c r="BJ228" s="129" t="b">
        <f t="shared" si="22"/>
        <v>0</v>
      </c>
      <c r="BK228" s="128" t="str">
        <f t="shared" si="23"/>
        <v/>
      </c>
      <c r="BL228" s="121"/>
      <c r="BM228" s="5" t="str">
        <f t="shared" si="24"/>
        <v>MISSING</v>
      </c>
      <c r="BN228" s="120" t="b">
        <f t="shared" si="25"/>
        <v>0</v>
      </c>
      <c r="BO228" s="131" t="b">
        <f t="shared" si="26"/>
        <v>1</v>
      </c>
      <c r="BP228" s="121"/>
      <c r="BQ228" s="132" t="str">
        <f>VLOOKUP(A228,RAW_APS!A$3:O826,15,FALSE)</f>
        <v/>
      </c>
      <c r="BR228" s="120" t="b">
        <f t="shared" si="27"/>
        <v>1</v>
      </c>
      <c r="BS228" s="121"/>
      <c r="BT228" s="138" t="s">
        <v>244</v>
      </c>
      <c r="BU228" s="10" t="b">
        <f t="shared" si="28"/>
        <v>1</v>
      </c>
      <c r="BV228" s="120"/>
      <c r="BW228" s="120"/>
      <c r="BX228" s="120"/>
      <c r="BY228" s="120"/>
      <c r="BZ228" s="120"/>
      <c r="CA228" s="120"/>
      <c r="CB228" s="120"/>
      <c r="CC228" s="120"/>
    </row>
    <row r="229">
      <c r="A229" s="2" t="s">
        <v>849</v>
      </c>
      <c r="B229" s="100">
        <v>44579.0</v>
      </c>
      <c r="C229" s="101">
        <v>0.33091435185185186</v>
      </c>
      <c r="D229" s="102"/>
      <c r="E229" s="102"/>
      <c r="F229" s="102"/>
      <c r="G229" s="102"/>
      <c r="H229" s="102"/>
      <c r="I229" s="103"/>
      <c r="J229" s="103"/>
      <c r="K229" s="2" t="s">
        <v>52</v>
      </c>
      <c r="L229" s="100">
        <v>44579.0</v>
      </c>
      <c r="M229" s="101">
        <v>0.5015972222222222</v>
      </c>
      <c r="P229" s="104" t="b">
        <f>IFNA(IF(VLOOKUP($A229,'Add from APT'!$AA$2:$AC826,3,FALSE)&gt;0,TRUE,FALSE),"ER - NOT IN APT")</f>
        <v>0</v>
      </c>
      <c r="Q229" s="105" t="str">
        <f>IF(ISLOGICAL(P229),IF(P229,"ER - REPS IN APT", IFNA(VLOOKUP($A229,RAW_APT!$A$3:$M826,7,FALSE),"ER - NOT IN APT")),P229)</f>
        <v>Result</v>
      </c>
      <c r="R229" s="106" t="b">
        <f t="shared" si="2"/>
        <v>1</v>
      </c>
      <c r="S229" s="107">
        <f t="shared" si="3"/>
        <v>1</v>
      </c>
      <c r="T229" s="143"/>
      <c r="U229" s="142"/>
      <c r="V229" s="142"/>
      <c r="W229" s="142"/>
      <c r="X229" s="110" t="b">
        <f t="shared" si="4"/>
        <v>0</v>
      </c>
      <c r="Y229" s="111" t="b">
        <v>0</v>
      </c>
      <c r="Z229" s="104" t="str">
        <f t="shared" si="5"/>
        <v/>
      </c>
      <c r="AA229" s="112" t="b">
        <f t="shared" si="6"/>
        <v>0</v>
      </c>
      <c r="AB229" s="142" t="b">
        <v>0</v>
      </c>
      <c r="AC229" s="140">
        <v>585.0</v>
      </c>
      <c r="AD229" s="141" t="b">
        <v>0</v>
      </c>
      <c r="AE229" s="115">
        <f t="shared" si="7"/>
        <v>245.7833333</v>
      </c>
      <c r="AF229" s="116" t="b">
        <f t="shared" si="8"/>
        <v>0</v>
      </c>
      <c r="AG229" s="105" t="b">
        <f t="shared" si="9"/>
        <v>0</v>
      </c>
      <c r="AH229" s="140"/>
      <c r="AI229" s="140"/>
      <c r="AJ229" s="140"/>
      <c r="AK229" s="117" t="str">
        <f t="shared" si="10"/>
        <v>Positive</v>
      </c>
      <c r="AL229" s="142"/>
      <c r="AM229" s="112" t="s">
        <v>850</v>
      </c>
      <c r="AN229" s="112" t="s">
        <v>851</v>
      </c>
      <c r="AO229" s="112" t="str">
        <f>IFERROR(__xludf.DUMMYFUNCTION("IF($AG229, ""DELETED"",TRIM(JOIN("" "",D229:E229)))"),"")</f>
        <v/>
      </c>
      <c r="AP229" s="112" t="str">
        <f t="shared" ref="AP229:AQ229" si="254">IF($AG229, "DELETED", TRIM(CONCATENATE(F229,I229,U229)))</f>
        <v/>
      </c>
      <c r="AQ229" s="112" t="str">
        <f t="shared" si="254"/>
        <v/>
      </c>
      <c r="AR229" s="112" t="str">
        <f>IFERROR(__xludf.DUMMYFUNCTION("IF($AG229, ""DELETED"", TRIM(JOIN("" "",AP229,AQ229)))"),"")</f>
        <v/>
      </c>
      <c r="AS229" s="118"/>
      <c r="AT229" s="110" t="b">
        <f t="shared" si="12"/>
        <v>0</v>
      </c>
      <c r="AU229" s="110" t="str">
        <f t="shared" si="13"/>
        <v/>
      </c>
      <c r="AV229" s="110" t="str">
        <f t="shared" si="14"/>
        <v/>
      </c>
      <c r="AW229" s="110" t="str">
        <f t="shared" si="15"/>
        <v/>
      </c>
      <c r="AX229" s="119" t="str">
        <f t="shared" si="16"/>
        <v/>
      </c>
      <c r="AY229" s="120"/>
      <c r="AZ229" s="121"/>
      <c r="BA229" s="122" t="str">
        <f t="shared" si="17"/>
        <v/>
      </c>
      <c r="BB229" s="34"/>
      <c r="BC229" s="121"/>
      <c r="BD229" s="136"/>
      <c r="BE229" s="125" t="str">
        <f t="shared" si="18"/>
        <v/>
      </c>
      <c r="BF229" s="126" t="str">
        <f t="shared" si="19"/>
        <v>MAX68__44579_0.330914351851852</v>
      </c>
      <c r="BG229" s="127" t="str">
        <f t="shared" si="20"/>
        <v/>
      </c>
      <c r="BH229" s="137" t="s">
        <v>852</v>
      </c>
      <c r="BI229" s="128" t="str">
        <f t="shared" si="21"/>
        <v>FM81</v>
      </c>
      <c r="BJ229" s="129" t="b">
        <f t="shared" si="22"/>
        <v>0</v>
      </c>
      <c r="BK229" s="128" t="str">
        <f t="shared" si="23"/>
        <v/>
      </c>
      <c r="BL229" s="121"/>
      <c r="BM229" s="5" t="str">
        <f t="shared" si="24"/>
        <v>MISSING</v>
      </c>
      <c r="BN229" s="120" t="b">
        <f t="shared" si="25"/>
        <v>0</v>
      </c>
      <c r="BO229" s="131" t="b">
        <f t="shared" si="26"/>
        <v>1</v>
      </c>
      <c r="BP229" s="121"/>
      <c r="BQ229" s="132" t="str">
        <f>VLOOKUP(A229,RAW_APS!A$3:O826,15,FALSE)</f>
        <v/>
      </c>
      <c r="BR229" s="120" t="b">
        <f t="shared" si="27"/>
        <v>1</v>
      </c>
      <c r="BS229" s="121"/>
      <c r="BT229" s="138" t="s">
        <v>52</v>
      </c>
      <c r="BU229" s="10" t="b">
        <f t="shared" si="28"/>
        <v>1</v>
      </c>
      <c r="BV229" s="120"/>
      <c r="BW229" s="120"/>
      <c r="BX229" s="120"/>
      <c r="BY229" s="120"/>
      <c r="BZ229" s="120"/>
      <c r="CA229" s="120"/>
      <c r="CB229" s="120"/>
      <c r="CC229" s="120"/>
    </row>
    <row r="230">
      <c r="A230" s="2" t="s">
        <v>853</v>
      </c>
      <c r="B230" s="100">
        <v>44579.0</v>
      </c>
      <c r="C230" s="101">
        <v>0.33101851851851855</v>
      </c>
      <c r="D230" s="102"/>
      <c r="E230" s="102"/>
      <c r="F230" s="102"/>
      <c r="G230" s="102"/>
      <c r="H230" s="102"/>
      <c r="I230" s="103"/>
      <c r="J230" s="103"/>
      <c r="K230" s="2" t="s">
        <v>244</v>
      </c>
      <c r="L230" s="100">
        <v>44580.0</v>
      </c>
      <c r="M230" s="101">
        <v>0.5080092592592592</v>
      </c>
      <c r="P230" s="104" t="b">
        <f>IFNA(IF(VLOOKUP($A230,'Add from APT'!$AA$2:$AC826,3,FALSE)&gt;0,TRUE,FALSE),"ER - NOT IN APT")</f>
        <v>0</v>
      </c>
      <c r="Q230" s="105" t="str">
        <f>IF(ISLOGICAL(P230),IF(P230,"ER - REPS IN APT", IFNA(VLOOKUP($A230,RAW_APT!$A$3:$M826,7,FALSE),"ER - NOT IN APT")),P230)</f>
        <v>Result</v>
      </c>
      <c r="R230" s="106" t="b">
        <f t="shared" si="2"/>
        <v>1</v>
      </c>
      <c r="S230" s="107">
        <f t="shared" si="3"/>
        <v>1</v>
      </c>
      <c r="T230" s="143"/>
      <c r="U230" s="142"/>
      <c r="V230" s="142"/>
      <c r="W230" s="142"/>
      <c r="X230" s="110" t="b">
        <f t="shared" si="4"/>
        <v>0</v>
      </c>
      <c r="Y230" s="111" t="b">
        <v>0</v>
      </c>
      <c r="Z230" s="104" t="str">
        <f t="shared" si="5"/>
        <v/>
      </c>
      <c r="AA230" s="112" t="b">
        <f t="shared" si="6"/>
        <v>0</v>
      </c>
      <c r="AB230" s="142" t="b">
        <v>0</v>
      </c>
      <c r="AC230" s="140">
        <v>562.0</v>
      </c>
      <c r="AD230" s="141" t="b">
        <v>0</v>
      </c>
      <c r="AE230" s="115" t="str">
        <f t="shared" si="7"/>
        <v/>
      </c>
      <c r="AF230" s="116" t="b">
        <f t="shared" si="8"/>
        <v>0</v>
      </c>
      <c r="AG230" s="105" t="b">
        <f t="shared" si="9"/>
        <v>0</v>
      </c>
      <c r="AH230" s="140"/>
      <c r="AI230" s="140"/>
      <c r="AJ230" s="140"/>
      <c r="AK230" s="117" t="str">
        <f t="shared" si="10"/>
        <v>Negative</v>
      </c>
      <c r="AL230" s="142"/>
      <c r="AM230" s="112" t="s">
        <v>854</v>
      </c>
      <c r="AN230" s="112" t="s">
        <v>687</v>
      </c>
      <c r="AO230" s="112" t="str">
        <f>IFERROR(__xludf.DUMMYFUNCTION("IF($AG230, ""DELETED"",TRIM(JOIN("" "",D230:E230)))"),"")</f>
        <v/>
      </c>
      <c r="AP230" s="112" t="str">
        <f t="shared" ref="AP230:AQ230" si="255">IF($AG230, "DELETED", TRIM(CONCATENATE(F230,I230,U230)))</f>
        <v/>
      </c>
      <c r="AQ230" s="112" t="str">
        <f t="shared" si="255"/>
        <v/>
      </c>
      <c r="AR230" s="112" t="str">
        <f>IFERROR(__xludf.DUMMYFUNCTION("IF($AG230, ""DELETED"", TRIM(JOIN("" "",AP230,AQ230)))"),"")</f>
        <v/>
      </c>
      <c r="AS230" s="118"/>
      <c r="AT230" s="110" t="b">
        <f t="shared" si="12"/>
        <v>0</v>
      </c>
      <c r="AU230" s="110" t="str">
        <f t="shared" si="13"/>
        <v/>
      </c>
      <c r="AV230" s="110" t="str">
        <f t="shared" si="14"/>
        <v/>
      </c>
      <c r="AW230" s="110" t="str">
        <f t="shared" si="15"/>
        <v/>
      </c>
      <c r="AX230" s="119" t="str">
        <f t="shared" si="16"/>
        <v/>
      </c>
      <c r="AY230" s="120"/>
      <c r="AZ230" s="121"/>
      <c r="BA230" s="122" t="str">
        <f t="shared" si="17"/>
        <v/>
      </c>
      <c r="BB230" s="34"/>
      <c r="BC230" s="121"/>
      <c r="BD230" s="136"/>
      <c r="BE230" s="125" t="str">
        <f t="shared" si="18"/>
        <v/>
      </c>
      <c r="BF230" s="126" t="str">
        <f t="shared" si="19"/>
        <v>MA657__44579_0.331018518518519</v>
      </c>
      <c r="BG230" s="127" t="str">
        <f t="shared" si="20"/>
        <v/>
      </c>
      <c r="BH230" s="137" t="s">
        <v>855</v>
      </c>
      <c r="BI230" s="128" t="str">
        <f t="shared" si="21"/>
        <v>FM812</v>
      </c>
      <c r="BJ230" s="129" t="b">
        <f t="shared" si="22"/>
        <v>0</v>
      </c>
      <c r="BK230" s="128" t="str">
        <f t="shared" si="23"/>
        <v/>
      </c>
      <c r="BL230" s="121"/>
      <c r="BM230" s="5" t="str">
        <f t="shared" si="24"/>
        <v>MISSING</v>
      </c>
      <c r="BN230" s="120" t="b">
        <f t="shared" si="25"/>
        <v>0</v>
      </c>
      <c r="BO230" s="131" t="b">
        <f t="shared" si="26"/>
        <v>1</v>
      </c>
      <c r="BP230" s="121"/>
      <c r="BQ230" s="132" t="str">
        <f>VLOOKUP(A230,RAW_APS!A$3:O826,15,FALSE)</f>
        <v/>
      </c>
      <c r="BR230" s="120" t="b">
        <f t="shared" si="27"/>
        <v>1</v>
      </c>
      <c r="BS230" s="121"/>
      <c r="BT230" s="138" t="s">
        <v>244</v>
      </c>
      <c r="BU230" s="10" t="b">
        <f t="shared" si="28"/>
        <v>1</v>
      </c>
      <c r="BV230" s="120"/>
      <c r="BW230" s="120"/>
      <c r="BX230" s="120"/>
      <c r="BY230" s="120"/>
      <c r="BZ230" s="120"/>
      <c r="CA230" s="120"/>
      <c r="CB230" s="120"/>
      <c r="CC230" s="120"/>
    </row>
    <row r="231">
      <c r="A231" s="2" t="s">
        <v>856</v>
      </c>
      <c r="B231" s="100">
        <v>44579.0</v>
      </c>
      <c r="C231" s="101">
        <v>0.33121527777777776</v>
      </c>
      <c r="D231" s="102"/>
      <c r="E231" s="102"/>
      <c r="F231" s="102"/>
      <c r="G231" s="102"/>
      <c r="H231" s="102"/>
      <c r="I231" s="103"/>
      <c r="J231" s="103"/>
      <c r="K231" s="2" t="s">
        <v>244</v>
      </c>
      <c r="L231" s="100">
        <v>44580.0</v>
      </c>
      <c r="M231" s="101">
        <v>0.5080092592592592</v>
      </c>
      <c r="P231" s="104" t="b">
        <f>IFNA(IF(VLOOKUP($A231,'Add from APT'!$AA$2:$AC826,3,FALSE)&gt;0,TRUE,FALSE),"ER - NOT IN APT")</f>
        <v>0</v>
      </c>
      <c r="Q231" s="105" t="str">
        <f>IF(ISLOGICAL(P231),IF(P231,"ER - REPS IN APT", IFNA(VLOOKUP($A231,RAW_APT!$A$3:$M826,7,FALSE),"ER - NOT IN APT")),P231)</f>
        <v>Result</v>
      </c>
      <c r="R231" s="106" t="b">
        <f t="shared" si="2"/>
        <v>1</v>
      </c>
      <c r="S231" s="107">
        <f t="shared" si="3"/>
        <v>1</v>
      </c>
      <c r="T231" s="143"/>
      <c r="U231" s="142"/>
      <c r="V231" s="142"/>
      <c r="W231" s="142"/>
      <c r="X231" s="110" t="b">
        <f t="shared" si="4"/>
        <v>0</v>
      </c>
      <c r="Y231" s="111" t="b">
        <v>0</v>
      </c>
      <c r="Z231" s="104" t="str">
        <f t="shared" si="5"/>
        <v/>
      </c>
      <c r="AA231" s="112" t="b">
        <f t="shared" si="6"/>
        <v>0</v>
      </c>
      <c r="AB231" s="142" t="b">
        <v>0</v>
      </c>
      <c r="AC231" s="140">
        <v>561.0</v>
      </c>
      <c r="AD231" s="141" t="b">
        <v>0</v>
      </c>
      <c r="AE231" s="115" t="str">
        <f t="shared" si="7"/>
        <v/>
      </c>
      <c r="AF231" s="116" t="b">
        <f t="shared" si="8"/>
        <v>0</v>
      </c>
      <c r="AG231" s="105" t="b">
        <f t="shared" si="9"/>
        <v>0</v>
      </c>
      <c r="AH231" s="140"/>
      <c r="AI231" s="140"/>
      <c r="AJ231" s="140"/>
      <c r="AK231" s="117" t="str">
        <f t="shared" si="10"/>
        <v>Negative</v>
      </c>
      <c r="AL231" s="142"/>
      <c r="AM231" s="112" t="s">
        <v>857</v>
      </c>
      <c r="AN231" s="112" t="s">
        <v>696</v>
      </c>
      <c r="AO231" s="112" t="str">
        <f>IFERROR(__xludf.DUMMYFUNCTION("IF($AG231, ""DELETED"",TRIM(JOIN("" "",D231:E231)))"),"")</f>
        <v/>
      </c>
      <c r="AP231" s="112" t="str">
        <f t="shared" ref="AP231:AQ231" si="256">IF($AG231, "DELETED", TRIM(CONCATENATE(F231,I231,U231)))</f>
        <v/>
      </c>
      <c r="AQ231" s="112" t="str">
        <f t="shared" si="256"/>
        <v/>
      </c>
      <c r="AR231" s="112" t="str">
        <f>IFERROR(__xludf.DUMMYFUNCTION("IF($AG231, ""DELETED"", TRIM(JOIN("" "",AP231,AQ231)))"),"")</f>
        <v/>
      </c>
      <c r="AS231" s="118"/>
      <c r="AT231" s="110" t="b">
        <f t="shared" si="12"/>
        <v>0</v>
      </c>
      <c r="AU231" s="110" t="str">
        <f t="shared" si="13"/>
        <v/>
      </c>
      <c r="AV231" s="110" t="str">
        <f t="shared" si="14"/>
        <v/>
      </c>
      <c r="AW231" s="110" t="str">
        <f t="shared" si="15"/>
        <v/>
      </c>
      <c r="AX231" s="119" t="str">
        <f t="shared" si="16"/>
        <v/>
      </c>
      <c r="AY231" s="120"/>
      <c r="AZ231" s="121"/>
      <c r="BA231" s="122" t="str">
        <f t="shared" si="17"/>
        <v/>
      </c>
      <c r="BB231" s="34"/>
      <c r="BC231" s="121"/>
      <c r="BD231" s="136"/>
      <c r="BE231" s="125" t="str">
        <f t="shared" si="18"/>
        <v/>
      </c>
      <c r="BF231" s="126" t="str">
        <f t="shared" si="19"/>
        <v>MA431__44579_0.331215277777778</v>
      </c>
      <c r="BG231" s="127" t="str">
        <f t="shared" si="20"/>
        <v/>
      </c>
      <c r="BH231" s="137" t="s">
        <v>858</v>
      </c>
      <c r="BI231" s="128" t="str">
        <f t="shared" si="21"/>
        <v>FM813</v>
      </c>
      <c r="BJ231" s="129" t="b">
        <f t="shared" si="22"/>
        <v>0</v>
      </c>
      <c r="BK231" s="128" t="str">
        <f t="shared" si="23"/>
        <v/>
      </c>
      <c r="BL231" s="121"/>
      <c r="BM231" s="5" t="str">
        <f t="shared" si="24"/>
        <v>MISSING</v>
      </c>
      <c r="BN231" s="120" t="b">
        <f t="shared" si="25"/>
        <v>0</v>
      </c>
      <c r="BO231" s="131" t="b">
        <f t="shared" si="26"/>
        <v>1</v>
      </c>
      <c r="BP231" s="121"/>
      <c r="BQ231" s="132" t="str">
        <f>VLOOKUP(A231,RAW_APS!A$3:O826,15,FALSE)</f>
        <v/>
      </c>
      <c r="BR231" s="120" t="b">
        <f t="shared" si="27"/>
        <v>1</v>
      </c>
      <c r="BS231" s="121"/>
      <c r="BT231" s="138" t="s">
        <v>244</v>
      </c>
      <c r="BU231" s="10" t="b">
        <f t="shared" si="28"/>
        <v>1</v>
      </c>
      <c r="BV231" s="120"/>
      <c r="BW231" s="120"/>
      <c r="BX231" s="120"/>
      <c r="BY231" s="120"/>
      <c r="BZ231" s="120"/>
      <c r="CA231" s="120"/>
      <c r="CB231" s="120"/>
      <c r="CC231" s="120"/>
    </row>
    <row r="232">
      <c r="A232" s="2" t="s">
        <v>859</v>
      </c>
      <c r="B232" s="100">
        <v>44579.0</v>
      </c>
      <c r="C232" s="101">
        <v>0.3317824074074074</v>
      </c>
      <c r="D232" s="102"/>
      <c r="E232" s="102"/>
      <c r="F232" s="102"/>
      <c r="G232" s="102"/>
      <c r="H232" s="102"/>
      <c r="I232" s="103"/>
      <c r="J232" s="103"/>
      <c r="K232" s="2" t="s">
        <v>244</v>
      </c>
      <c r="L232" s="100">
        <v>44580.0</v>
      </c>
      <c r="M232" s="101">
        <v>0.5080092592592592</v>
      </c>
      <c r="P232" s="104" t="b">
        <f>IFNA(IF(VLOOKUP($A232,'Add from APT'!$AA$2:$AC826,3,FALSE)&gt;0,TRUE,FALSE),"ER - NOT IN APT")</f>
        <v>0</v>
      </c>
      <c r="Q232" s="105" t="str">
        <f>IF(ISLOGICAL(P232),IF(P232,"ER - REPS IN APT", IFNA(VLOOKUP($A232,RAW_APT!$A$3:$M826,7,FALSE),"ER - NOT IN APT")),P232)</f>
        <v>Result</v>
      </c>
      <c r="R232" s="106" t="b">
        <f t="shared" si="2"/>
        <v>1</v>
      </c>
      <c r="S232" s="107">
        <f t="shared" si="3"/>
        <v>1</v>
      </c>
      <c r="T232" s="143"/>
      <c r="U232" s="142"/>
      <c r="V232" s="142"/>
      <c r="W232" s="142"/>
      <c r="X232" s="110" t="b">
        <f t="shared" si="4"/>
        <v>0</v>
      </c>
      <c r="Y232" s="111" t="b">
        <v>0</v>
      </c>
      <c r="Z232" s="104" t="str">
        <f t="shared" si="5"/>
        <v/>
      </c>
      <c r="AA232" s="112" t="b">
        <f t="shared" si="6"/>
        <v>0</v>
      </c>
      <c r="AB232" s="142" t="b">
        <v>0</v>
      </c>
      <c r="AC232" s="140">
        <v>560.0</v>
      </c>
      <c r="AD232" s="141" t="b">
        <v>0</v>
      </c>
      <c r="AE232" s="115" t="str">
        <f t="shared" si="7"/>
        <v/>
      </c>
      <c r="AF232" s="116" t="b">
        <f t="shared" si="8"/>
        <v>0</v>
      </c>
      <c r="AG232" s="105" t="b">
        <f t="shared" si="9"/>
        <v>0</v>
      </c>
      <c r="AH232" s="140"/>
      <c r="AI232" s="140"/>
      <c r="AJ232" s="140"/>
      <c r="AK232" s="117" t="str">
        <f t="shared" si="10"/>
        <v>Negative</v>
      </c>
      <c r="AL232" s="142"/>
      <c r="AM232" s="112" t="s">
        <v>299</v>
      </c>
      <c r="AN232" s="112" t="s">
        <v>300</v>
      </c>
      <c r="AO232" s="112" t="str">
        <f>IFERROR(__xludf.DUMMYFUNCTION("IF($AG232, ""DELETED"",TRIM(JOIN("" "",D232:E232)))"),"")</f>
        <v/>
      </c>
      <c r="AP232" s="112" t="str">
        <f t="shared" ref="AP232:AQ232" si="257">IF($AG232, "DELETED", TRIM(CONCATENATE(F232,I232,U232)))</f>
        <v/>
      </c>
      <c r="AQ232" s="112" t="str">
        <f t="shared" si="257"/>
        <v/>
      </c>
      <c r="AR232" s="112" t="str">
        <f>IFERROR(__xludf.DUMMYFUNCTION("IF($AG232, ""DELETED"", TRIM(JOIN("" "",AP232,AQ232)))"),"")</f>
        <v/>
      </c>
      <c r="AS232" s="118"/>
      <c r="AT232" s="110" t="b">
        <f t="shared" si="12"/>
        <v>0</v>
      </c>
      <c r="AU232" s="110" t="str">
        <f t="shared" si="13"/>
        <v/>
      </c>
      <c r="AV232" s="110" t="str">
        <f t="shared" si="14"/>
        <v/>
      </c>
      <c r="AW232" s="110" t="str">
        <f t="shared" si="15"/>
        <v/>
      </c>
      <c r="AX232" s="119" t="str">
        <f t="shared" si="16"/>
        <v/>
      </c>
      <c r="AY232" s="120"/>
      <c r="AZ232" s="121"/>
      <c r="BA232" s="122" t="str">
        <f t="shared" si="17"/>
        <v/>
      </c>
      <c r="BB232" s="34"/>
      <c r="BC232" s="121"/>
      <c r="BD232" s="136"/>
      <c r="BE232" s="125" t="str">
        <f t="shared" si="18"/>
        <v/>
      </c>
      <c r="BF232" s="126" t="str">
        <f t="shared" si="19"/>
        <v>MA458__44579_0.331782407407407</v>
      </c>
      <c r="BG232" s="127" t="str">
        <f t="shared" si="20"/>
        <v/>
      </c>
      <c r="BH232" s="137" t="s">
        <v>860</v>
      </c>
      <c r="BI232" s="128" t="str">
        <f t="shared" si="21"/>
        <v>FM816</v>
      </c>
      <c r="BJ232" s="129" t="b">
        <f t="shared" si="22"/>
        <v>0</v>
      </c>
      <c r="BK232" s="128" t="str">
        <f t="shared" si="23"/>
        <v/>
      </c>
      <c r="BL232" s="121"/>
      <c r="BM232" s="5" t="str">
        <f t="shared" si="24"/>
        <v>MISSING</v>
      </c>
      <c r="BN232" s="120" t="b">
        <f t="shared" si="25"/>
        <v>0</v>
      </c>
      <c r="BO232" s="131" t="b">
        <f t="shared" si="26"/>
        <v>1</v>
      </c>
      <c r="BP232" s="121"/>
      <c r="BQ232" s="132" t="str">
        <f>VLOOKUP(A232,RAW_APS!A$3:O826,15,FALSE)</f>
        <v/>
      </c>
      <c r="BR232" s="120" t="b">
        <f t="shared" si="27"/>
        <v>1</v>
      </c>
      <c r="BS232" s="121"/>
      <c r="BT232" s="138" t="s">
        <v>244</v>
      </c>
      <c r="BU232" s="10" t="b">
        <f t="shared" si="28"/>
        <v>1</v>
      </c>
      <c r="BV232" s="120"/>
      <c r="BW232" s="120"/>
      <c r="BX232" s="120"/>
      <c r="BY232" s="120"/>
      <c r="BZ232" s="120"/>
      <c r="CA232" s="120"/>
      <c r="CB232" s="120"/>
      <c r="CC232" s="120"/>
    </row>
    <row r="233">
      <c r="A233" s="2" t="s">
        <v>861</v>
      </c>
      <c r="B233" s="100">
        <v>44579.0</v>
      </c>
      <c r="C233" s="101">
        <v>0.332025462962963</v>
      </c>
      <c r="D233" s="102"/>
      <c r="E233" s="102"/>
      <c r="F233" s="102"/>
      <c r="G233" s="102"/>
      <c r="H233" s="102"/>
      <c r="I233" s="103"/>
      <c r="J233" s="103"/>
      <c r="K233" s="2" t="s">
        <v>244</v>
      </c>
      <c r="L233" s="100">
        <v>44580.0</v>
      </c>
      <c r="M233" s="101">
        <v>0.5080092592592592</v>
      </c>
      <c r="P233" s="104" t="b">
        <f>IFNA(IF(VLOOKUP($A233,'Add from APT'!$AA$2:$AC826,3,FALSE)&gt;0,TRUE,FALSE),"ER - NOT IN APT")</f>
        <v>0</v>
      </c>
      <c r="Q233" s="105" t="str">
        <f>IF(ISLOGICAL(P233),IF(P233,"ER - REPS IN APT", IFNA(VLOOKUP($A233,RAW_APT!$A$3:$M826,7,FALSE),"ER - NOT IN APT")),P233)</f>
        <v>Result</v>
      </c>
      <c r="R233" s="106" t="b">
        <f t="shared" si="2"/>
        <v>1</v>
      </c>
      <c r="S233" s="107">
        <f t="shared" si="3"/>
        <v>1</v>
      </c>
      <c r="T233" s="140">
        <v>0.0</v>
      </c>
      <c r="U233" s="159"/>
      <c r="V233" s="142"/>
      <c r="W233" s="159"/>
      <c r="X233" s="110" t="b">
        <f t="shared" si="4"/>
        <v>0</v>
      </c>
      <c r="Y233" s="111" t="b">
        <v>0</v>
      </c>
      <c r="Z233" s="104" t="str">
        <f t="shared" si="5"/>
        <v/>
      </c>
      <c r="AA233" s="112" t="b">
        <f t="shared" si="6"/>
        <v>0</v>
      </c>
      <c r="AB233" s="142" t="b">
        <v>0</v>
      </c>
      <c r="AC233" s="140">
        <v>559.0</v>
      </c>
      <c r="AD233" s="141" t="b">
        <v>0</v>
      </c>
      <c r="AE233" s="115" t="str">
        <f t="shared" si="7"/>
        <v/>
      </c>
      <c r="AF233" s="116" t="b">
        <f t="shared" si="8"/>
        <v>0</v>
      </c>
      <c r="AG233" s="105" t="b">
        <f t="shared" si="9"/>
        <v>0</v>
      </c>
      <c r="AH233" s="140"/>
      <c r="AI233" s="140"/>
      <c r="AJ233" s="140"/>
      <c r="AK233" s="117" t="str">
        <f t="shared" si="10"/>
        <v>Negative</v>
      </c>
      <c r="AL233" s="142"/>
      <c r="AM233" s="112" t="s">
        <v>862</v>
      </c>
      <c r="AN233" s="112" t="s">
        <v>539</v>
      </c>
      <c r="AO233" s="112" t="str">
        <f>IFERROR(__xludf.DUMMYFUNCTION("IF($AG233, ""DELETED"",TRIM(JOIN("" "",D233:E233)))"),"")</f>
        <v/>
      </c>
      <c r="AP233" s="112" t="str">
        <f t="shared" ref="AP233:AQ233" si="258">IF($AG233, "DELETED", TRIM(CONCATENATE(F233,I233,U233)))</f>
        <v/>
      </c>
      <c r="AQ233" s="112" t="str">
        <f t="shared" si="258"/>
        <v/>
      </c>
      <c r="AR233" s="112" t="str">
        <f>IFERROR(__xludf.DUMMYFUNCTION("IF($AG233, ""DELETED"", TRIM(JOIN("" "",AP233,AQ233)))"),"")</f>
        <v/>
      </c>
      <c r="AS233" s="118"/>
      <c r="AT233" s="110" t="b">
        <f t="shared" si="12"/>
        <v>0</v>
      </c>
      <c r="AU233" s="110" t="str">
        <f t="shared" si="13"/>
        <v/>
      </c>
      <c r="AV233" s="110" t="str">
        <f t="shared" si="14"/>
        <v/>
      </c>
      <c r="AW233" s="110" t="str">
        <f t="shared" si="15"/>
        <v/>
      </c>
      <c r="AX233" s="119" t="str">
        <f t="shared" si="16"/>
        <v/>
      </c>
      <c r="AY233" s="120"/>
      <c r="AZ233" s="121"/>
      <c r="BA233" s="122" t="str">
        <f t="shared" si="17"/>
        <v/>
      </c>
      <c r="BB233" s="34"/>
      <c r="BC233" s="121"/>
      <c r="BD233" s="136"/>
      <c r="BE233" s="125" t="str">
        <f t="shared" si="18"/>
        <v/>
      </c>
      <c r="BF233" s="126" t="str">
        <f t="shared" si="19"/>
        <v>MA629__44579_0.332025462962963</v>
      </c>
      <c r="BG233" s="127" t="str">
        <f t="shared" si="20"/>
        <v/>
      </c>
      <c r="BH233" s="137" t="s">
        <v>863</v>
      </c>
      <c r="BI233" s="128" t="str">
        <f t="shared" si="21"/>
        <v>FM819</v>
      </c>
      <c r="BJ233" s="129" t="b">
        <f t="shared" si="22"/>
        <v>0</v>
      </c>
      <c r="BK233" s="128" t="str">
        <f t="shared" si="23"/>
        <v/>
      </c>
      <c r="BL233" s="121"/>
      <c r="BM233" s="5" t="str">
        <f t="shared" si="24"/>
        <v>MISSING</v>
      </c>
      <c r="BN233" s="120" t="b">
        <f t="shared" si="25"/>
        <v>0</v>
      </c>
      <c r="BO233" s="131" t="b">
        <f t="shared" si="26"/>
        <v>1</v>
      </c>
      <c r="BP233" s="121"/>
      <c r="BQ233" s="132" t="str">
        <f>VLOOKUP(A233,RAW_APS!A$3:O826,15,FALSE)</f>
        <v/>
      </c>
      <c r="BR233" s="120" t="b">
        <f t="shared" si="27"/>
        <v>1</v>
      </c>
      <c r="BS233" s="121"/>
      <c r="BT233" s="138" t="s">
        <v>244</v>
      </c>
      <c r="BU233" s="10" t="b">
        <f t="shared" si="28"/>
        <v>1</v>
      </c>
      <c r="BV233" s="120"/>
      <c r="BW233" s="120"/>
      <c r="BX233" s="120"/>
      <c r="BY233" s="120"/>
      <c r="BZ233" s="120"/>
      <c r="CA233" s="120"/>
      <c r="CB233" s="120"/>
      <c r="CC233" s="120"/>
    </row>
    <row r="234">
      <c r="A234" s="2" t="s">
        <v>864</v>
      </c>
      <c r="B234" s="100">
        <v>44579.0</v>
      </c>
      <c r="C234" s="101">
        <v>0.3321296296296296</v>
      </c>
      <c r="D234" s="102"/>
      <c r="E234" s="102"/>
      <c r="F234" s="102"/>
      <c r="G234" s="102"/>
      <c r="H234" s="102"/>
      <c r="I234" s="103"/>
      <c r="J234" s="103"/>
      <c r="K234" s="2" t="s">
        <v>244</v>
      </c>
      <c r="L234" s="100">
        <v>44580.0</v>
      </c>
      <c r="M234" s="101">
        <v>0.5080092592592592</v>
      </c>
      <c r="P234" s="104" t="b">
        <f>IFNA(IF(VLOOKUP($A234,'Add from APT'!$AA$2:$AC826,3,FALSE)&gt;0,TRUE,FALSE),"ER - NOT IN APT")</f>
        <v>0</v>
      </c>
      <c r="Q234" s="105" t="str">
        <f>IF(ISLOGICAL(P234),IF(P234,"ER - REPS IN APT", IFNA(VLOOKUP($A234,RAW_APT!$A$3:$M826,7,FALSE),"ER - NOT IN APT")),P234)</f>
        <v>Result</v>
      </c>
      <c r="R234" s="106" t="b">
        <f t="shared" si="2"/>
        <v>1</v>
      </c>
      <c r="S234" s="107">
        <f t="shared" si="3"/>
        <v>1</v>
      </c>
      <c r="T234" s="140">
        <v>0.0</v>
      </c>
      <c r="U234" s="160"/>
      <c r="V234" s="142"/>
      <c r="W234" s="159"/>
      <c r="X234" s="110" t="b">
        <f t="shared" si="4"/>
        <v>0</v>
      </c>
      <c r="Y234" s="111" t="b">
        <v>0</v>
      </c>
      <c r="Z234" s="104" t="str">
        <f t="shared" si="5"/>
        <v/>
      </c>
      <c r="AA234" s="112" t="b">
        <f t="shared" si="6"/>
        <v>0</v>
      </c>
      <c r="AB234" s="142" t="b">
        <v>0</v>
      </c>
      <c r="AC234" s="140">
        <v>558.0</v>
      </c>
      <c r="AD234" s="141" t="b">
        <v>0</v>
      </c>
      <c r="AE234" s="115" t="str">
        <f t="shared" si="7"/>
        <v/>
      </c>
      <c r="AF234" s="116" t="b">
        <f t="shared" si="8"/>
        <v>0</v>
      </c>
      <c r="AG234" s="105" t="b">
        <f t="shared" si="9"/>
        <v>0</v>
      </c>
      <c r="AH234" s="140"/>
      <c r="AI234" s="140"/>
      <c r="AJ234" s="140"/>
      <c r="AK234" s="117" t="str">
        <f t="shared" si="10"/>
        <v>Negative</v>
      </c>
      <c r="AL234" s="142"/>
      <c r="AM234" s="112" t="s">
        <v>865</v>
      </c>
      <c r="AN234" s="112" t="s">
        <v>548</v>
      </c>
      <c r="AO234" s="112" t="str">
        <f>IFERROR(__xludf.DUMMYFUNCTION("IF($AG234, ""DELETED"",TRIM(JOIN("" "",D234:E234)))"),"")</f>
        <v/>
      </c>
      <c r="AP234" s="112" t="str">
        <f t="shared" ref="AP234:AQ234" si="259">IF($AG234, "DELETED", TRIM(CONCATENATE(F234,I234,U234)))</f>
        <v/>
      </c>
      <c r="AQ234" s="112" t="str">
        <f t="shared" si="259"/>
        <v/>
      </c>
      <c r="AR234" s="112" t="str">
        <f>IFERROR(__xludf.DUMMYFUNCTION("IF($AG234, ""DELETED"", TRIM(JOIN("" "",AP234,AQ234)))"),"")</f>
        <v/>
      </c>
      <c r="AS234" s="118"/>
      <c r="AT234" s="110" t="b">
        <f t="shared" si="12"/>
        <v>0</v>
      </c>
      <c r="AU234" s="110" t="str">
        <f t="shared" si="13"/>
        <v/>
      </c>
      <c r="AV234" s="110" t="str">
        <f t="shared" si="14"/>
        <v/>
      </c>
      <c r="AW234" s="110" t="str">
        <f t="shared" si="15"/>
        <v/>
      </c>
      <c r="AX234" s="119" t="str">
        <f t="shared" si="16"/>
        <v/>
      </c>
      <c r="AY234" s="120"/>
      <c r="AZ234" s="121"/>
      <c r="BA234" s="122" t="str">
        <f t="shared" si="17"/>
        <v/>
      </c>
      <c r="BB234" s="34"/>
      <c r="BC234" s="121"/>
      <c r="BD234" s="136"/>
      <c r="BE234" s="125" t="str">
        <f t="shared" si="18"/>
        <v/>
      </c>
      <c r="BF234" s="126" t="str">
        <f t="shared" si="19"/>
        <v>MA652__44579_0.33212962962963</v>
      </c>
      <c r="BG234" s="127" t="str">
        <f t="shared" si="20"/>
        <v/>
      </c>
      <c r="BH234" s="137" t="s">
        <v>866</v>
      </c>
      <c r="BI234" s="128" t="str">
        <f t="shared" si="21"/>
        <v>FM82</v>
      </c>
      <c r="BJ234" s="129" t="b">
        <f t="shared" si="22"/>
        <v>0</v>
      </c>
      <c r="BK234" s="128" t="str">
        <f t="shared" si="23"/>
        <v/>
      </c>
      <c r="BL234" s="121"/>
      <c r="BM234" s="5" t="str">
        <f t="shared" si="24"/>
        <v>MISSING</v>
      </c>
      <c r="BN234" s="120" t="b">
        <f t="shared" si="25"/>
        <v>0</v>
      </c>
      <c r="BO234" s="131" t="b">
        <f t="shared" si="26"/>
        <v>1</v>
      </c>
      <c r="BP234" s="121"/>
      <c r="BQ234" s="132" t="str">
        <f>VLOOKUP(A234,RAW_APS!A$3:O826,15,FALSE)</f>
        <v/>
      </c>
      <c r="BR234" s="120" t="b">
        <f t="shared" si="27"/>
        <v>1</v>
      </c>
      <c r="BS234" s="121"/>
      <c r="BT234" s="138" t="s">
        <v>244</v>
      </c>
      <c r="BU234" s="10" t="b">
        <f t="shared" si="28"/>
        <v>1</v>
      </c>
      <c r="BV234" s="120"/>
      <c r="BW234" s="120"/>
      <c r="BX234" s="120"/>
      <c r="BY234" s="120"/>
      <c r="BZ234" s="120"/>
      <c r="CA234" s="120"/>
      <c r="CB234" s="120"/>
      <c r="CC234" s="120"/>
    </row>
    <row r="235">
      <c r="A235" s="2" t="s">
        <v>867</v>
      </c>
      <c r="B235" s="100">
        <v>44579.0</v>
      </c>
      <c r="C235" s="101">
        <v>0.3324884259259259</v>
      </c>
      <c r="D235" s="102"/>
      <c r="E235" s="102"/>
      <c r="F235" s="102"/>
      <c r="G235" s="102"/>
      <c r="H235" s="102"/>
      <c r="I235" s="103"/>
      <c r="J235" s="103"/>
      <c r="K235" s="2" t="s">
        <v>244</v>
      </c>
      <c r="L235" s="100">
        <v>44580.0</v>
      </c>
      <c r="M235" s="101">
        <v>0.5080092592592592</v>
      </c>
      <c r="P235" s="104" t="b">
        <f>IFNA(IF(VLOOKUP($A235,'Add from APT'!$AA$2:$AC826,3,FALSE)&gt;0,TRUE,FALSE),"ER - NOT IN APT")</f>
        <v>0</v>
      </c>
      <c r="Q235" s="105" t="str">
        <f>IF(ISLOGICAL(P235),IF(P235,"ER - REPS IN APT", IFNA(VLOOKUP($A235,RAW_APT!$A$3:$M826,7,FALSE),"ER - NOT IN APT")),P235)</f>
        <v>Result</v>
      </c>
      <c r="R235" s="106" t="b">
        <f t="shared" si="2"/>
        <v>1</v>
      </c>
      <c r="S235" s="107">
        <f t="shared" si="3"/>
        <v>1</v>
      </c>
      <c r="T235" s="140">
        <v>0.0</v>
      </c>
      <c r="U235" s="159"/>
      <c r="V235" s="142"/>
      <c r="W235" s="159"/>
      <c r="X235" s="110" t="b">
        <f t="shared" si="4"/>
        <v>0</v>
      </c>
      <c r="Y235" s="111" t="b">
        <v>0</v>
      </c>
      <c r="Z235" s="104" t="str">
        <f t="shared" si="5"/>
        <v/>
      </c>
      <c r="AA235" s="112" t="b">
        <f t="shared" si="6"/>
        <v>0</v>
      </c>
      <c r="AB235" s="142" t="b">
        <v>0</v>
      </c>
      <c r="AC235" s="140">
        <v>557.0</v>
      </c>
      <c r="AD235" s="141" t="b">
        <v>0</v>
      </c>
      <c r="AE235" s="115" t="str">
        <f t="shared" si="7"/>
        <v/>
      </c>
      <c r="AF235" s="116" t="b">
        <f t="shared" si="8"/>
        <v>0</v>
      </c>
      <c r="AG235" s="105" t="b">
        <f t="shared" si="9"/>
        <v>0</v>
      </c>
      <c r="AH235" s="140"/>
      <c r="AI235" s="140"/>
      <c r="AJ235" s="140"/>
      <c r="AK235" s="117" t="str">
        <f t="shared" si="10"/>
        <v>Negative</v>
      </c>
      <c r="AL235" s="142"/>
      <c r="AM235" s="112" t="s">
        <v>303</v>
      </c>
      <c r="AN235" s="112" t="s">
        <v>304</v>
      </c>
      <c r="AO235" s="112" t="str">
        <f>IFERROR(__xludf.DUMMYFUNCTION("IF($AG235, ""DELETED"",TRIM(JOIN("" "",D235:E235)))"),"")</f>
        <v/>
      </c>
      <c r="AP235" s="112" t="str">
        <f t="shared" ref="AP235:AQ235" si="260">IF($AG235, "DELETED", TRIM(CONCATENATE(F235,I235,U235)))</f>
        <v/>
      </c>
      <c r="AQ235" s="112" t="str">
        <f t="shared" si="260"/>
        <v/>
      </c>
      <c r="AR235" s="112" t="str">
        <f>IFERROR(__xludf.DUMMYFUNCTION("IF($AG235, ""DELETED"", TRIM(JOIN("" "",AP235,AQ235)))"),"")</f>
        <v/>
      </c>
      <c r="AS235" s="118"/>
      <c r="AT235" s="110" t="b">
        <f t="shared" si="12"/>
        <v>0</v>
      </c>
      <c r="AU235" s="110" t="str">
        <f t="shared" si="13"/>
        <v/>
      </c>
      <c r="AV235" s="110" t="str">
        <f t="shared" si="14"/>
        <v/>
      </c>
      <c r="AW235" s="110" t="str">
        <f t="shared" si="15"/>
        <v/>
      </c>
      <c r="AX235" s="119" t="str">
        <f t="shared" si="16"/>
        <v/>
      </c>
      <c r="AY235" s="120"/>
      <c r="AZ235" s="121"/>
      <c r="BA235" s="122" t="str">
        <f t="shared" si="17"/>
        <v/>
      </c>
      <c r="BB235" s="34"/>
      <c r="BC235" s="121"/>
      <c r="BD235" s="136"/>
      <c r="BE235" s="125" t="str">
        <f t="shared" si="18"/>
        <v/>
      </c>
      <c r="BF235" s="126" t="str">
        <f t="shared" si="19"/>
        <v>MA650__44579_0.332488425925926</v>
      </c>
      <c r="BG235" s="127" t="str">
        <f t="shared" si="20"/>
        <v/>
      </c>
      <c r="BH235" s="137" t="s">
        <v>868</v>
      </c>
      <c r="BI235" s="128" t="str">
        <f t="shared" si="21"/>
        <v>FM821</v>
      </c>
      <c r="BJ235" s="129" t="b">
        <f t="shared" si="22"/>
        <v>0</v>
      </c>
      <c r="BK235" s="128" t="str">
        <f t="shared" si="23"/>
        <v/>
      </c>
      <c r="BL235" s="121"/>
      <c r="BM235" s="5" t="str">
        <f t="shared" si="24"/>
        <v>MISSING</v>
      </c>
      <c r="BN235" s="120" t="b">
        <f t="shared" si="25"/>
        <v>0</v>
      </c>
      <c r="BO235" s="131" t="b">
        <f t="shared" si="26"/>
        <v>1</v>
      </c>
      <c r="BP235" s="121"/>
      <c r="BQ235" s="132" t="str">
        <f>VLOOKUP(A235,RAW_APS!A$3:O826,15,FALSE)</f>
        <v/>
      </c>
      <c r="BR235" s="120" t="b">
        <f t="shared" si="27"/>
        <v>1</v>
      </c>
      <c r="BS235" s="121"/>
      <c r="BT235" s="138" t="s">
        <v>244</v>
      </c>
      <c r="BU235" s="10" t="b">
        <f t="shared" si="28"/>
        <v>1</v>
      </c>
      <c r="BV235" s="120"/>
      <c r="BW235" s="120"/>
      <c r="BX235" s="120"/>
      <c r="BY235" s="120"/>
      <c r="BZ235" s="120"/>
      <c r="CA235" s="120"/>
      <c r="CB235" s="120"/>
      <c r="CC235" s="120"/>
    </row>
    <row r="236">
      <c r="A236" s="2" t="s">
        <v>869</v>
      </c>
      <c r="B236" s="100">
        <v>44579.0</v>
      </c>
      <c r="C236" s="101">
        <v>0.3325462962962963</v>
      </c>
      <c r="D236" s="102"/>
      <c r="E236" s="102"/>
      <c r="F236" s="102"/>
      <c r="G236" s="102"/>
      <c r="H236" s="102"/>
      <c r="I236" s="103"/>
      <c r="J236" s="103"/>
      <c r="K236" s="2" t="s">
        <v>244</v>
      </c>
      <c r="L236" s="100">
        <v>44580.0</v>
      </c>
      <c r="M236" s="101">
        <v>0.5080092592592592</v>
      </c>
      <c r="P236" s="104" t="b">
        <f>IFNA(IF(VLOOKUP($A236,'Add from APT'!$AA$2:$AC826,3,FALSE)&gt;0,TRUE,FALSE),"ER - NOT IN APT")</f>
        <v>0</v>
      </c>
      <c r="Q236" s="105" t="str">
        <f>IF(ISLOGICAL(P236),IF(P236,"ER - REPS IN APT", IFNA(VLOOKUP($A236,RAW_APT!$A$3:$M826,7,FALSE),"ER - NOT IN APT")),P236)</f>
        <v>Result</v>
      </c>
      <c r="R236" s="106" t="b">
        <f t="shared" si="2"/>
        <v>1</v>
      </c>
      <c r="S236" s="107">
        <f t="shared" si="3"/>
        <v>1</v>
      </c>
      <c r="T236" s="140">
        <v>0.0</v>
      </c>
      <c r="U236" s="160"/>
      <c r="V236" s="142"/>
      <c r="W236" s="159"/>
      <c r="X236" s="110" t="b">
        <f t="shared" si="4"/>
        <v>0</v>
      </c>
      <c r="Y236" s="111" t="b">
        <v>0</v>
      </c>
      <c r="Z236" s="104" t="str">
        <f t="shared" si="5"/>
        <v/>
      </c>
      <c r="AA236" s="112" t="b">
        <f t="shared" si="6"/>
        <v>0</v>
      </c>
      <c r="AB236" s="142" t="b">
        <v>0</v>
      </c>
      <c r="AC236" s="140">
        <v>556.0</v>
      </c>
      <c r="AD236" s="141" t="b">
        <v>0</v>
      </c>
      <c r="AE236" s="115" t="str">
        <f t="shared" si="7"/>
        <v/>
      </c>
      <c r="AF236" s="116" t="b">
        <f t="shared" si="8"/>
        <v>0</v>
      </c>
      <c r="AG236" s="105" t="b">
        <f t="shared" si="9"/>
        <v>0</v>
      </c>
      <c r="AH236" s="140"/>
      <c r="AI236" s="140"/>
      <c r="AJ236" s="140"/>
      <c r="AK236" s="117" t="str">
        <f t="shared" si="10"/>
        <v>Negative</v>
      </c>
      <c r="AL236" s="142"/>
      <c r="AM236" s="112" t="s">
        <v>870</v>
      </c>
      <c r="AN236" s="112" t="s">
        <v>533</v>
      </c>
      <c r="AO236" s="112" t="str">
        <f>IFERROR(__xludf.DUMMYFUNCTION("IF($AG236, ""DELETED"",TRIM(JOIN("" "",D236:E236)))"),"")</f>
        <v/>
      </c>
      <c r="AP236" s="112" t="str">
        <f t="shared" ref="AP236:AQ236" si="261">IF($AG236, "DELETED", TRIM(CONCATENATE(F236,I236,U236)))</f>
        <v/>
      </c>
      <c r="AQ236" s="112" t="str">
        <f t="shared" si="261"/>
        <v/>
      </c>
      <c r="AR236" s="112" t="str">
        <f>IFERROR(__xludf.DUMMYFUNCTION("IF($AG236, ""DELETED"", TRIM(JOIN("" "",AP236,AQ236)))"),"")</f>
        <v/>
      </c>
      <c r="AS236" s="118"/>
      <c r="AT236" s="110" t="b">
        <f t="shared" si="12"/>
        <v>0</v>
      </c>
      <c r="AU236" s="110" t="str">
        <f t="shared" si="13"/>
        <v/>
      </c>
      <c r="AV236" s="110" t="str">
        <f t="shared" si="14"/>
        <v/>
      </c>
      <c r="AW236" s="110" t="str">
        <f t="shared" si="15"/>
        <v/>
      </c>
      <c r="AX236" s="119" t="str">
        <f t="shared" si="16"/>
        <v/>
      </c>
      <c r="AY236" s="120"/>
      <c r="AZ236" s="121"/>
      <c r="BA236" s="122" t="str">
        <f t="shared" si="17"/>
        <v/>
      </c>
      <c r="BB236" s="34"/>
      <c r="BC236" s="121"/>
      <c r="BD236" s="136"/>
      <c r="BE236" s="125" t="str">
        <f t="shared" si="18"/>
        <v/>
      </c>
      <c r="BF236" s="126" t="str">
        <f t="shared" si="19"/>
        <v>MA656__44579_0.332546296296296</v>
      </c>
      <c r="BG236" s="127" t="str">
        <f t="shared" si="20"/>
        <v/>
      </c>
      <c r="BH236" s="137" t="s">
        <v>871</v>
      </c>
      <c r="BI236" s="128" t="str">
        <f t="shared" si="21"/>
        <v>FM823</v>
      </c>
      <c r="BJ236" s="129" t="b">
        <f t="shared" si="22"/>
        <v>0</v>
      </c>
      <c r="BK236" s="128" t="str">
        <f t="shared" si="23"/>
        <v/>
      </c>
      <c r="BL236" s="121"/>
      <c r="BM236" s="5" t="str">
        <f t="shared" si="24"/>
        <v>MISSING</v>
      </c>
      <c r="BN236" s="120" t="b">
        <f t="shared" si="25"/>
        <v>0</v>
      </c>
      <c r="BO236" s="131" t="b">
        <f t="shared" si="26"/>
        <v>1</v>
      </c>
      <c r="BP236" s="121"/>
      <c r="BQ236" s="132" t="str">
        <f>VLOOKUP(A236,RAW_APS!A$3:O826,15,FALSE)</f>
        <v/>
      </c>
      <c r="BR236" s="120" t="b">
        <f t="shared" si="27"/>
        <v>1</v>
      </c>
      <c r="BS236" s="121"/>
      <c r="BT236" s="138" t="s">
        <v>244</v>
      </c>
      <c r="BU236" s="10" t="b">
        <f t="shared" si="28"/>
        <v>1</v>
      </c>
      <c r="BV236" s="120"/>
      <c r="BW236" s="120"/>
      <c r="BX236" s="120"/>
      <c r="BY236" s="120"/>
      <c r="BZ236" s="120"/>
      <c r="CA236" s="120"/>
      <c r="CB236" s="120"/>
      <c r="CC236" s="120"/>
    </row>
    <row r="237">
      <c r="A237" s="2" t="s">
        <v>872</v>
      </c>
      <c r="B237" s="100">
        <v>44579.0</v>
      </c>
      <c r="C237" s="101">
        <v>0.34042824074074074</v>
      </c>
      <c r="D237" s="102"/>
      <c r="E237" s="102"/>
      <c r="F237" s="102"/>
      <c r="G237" s="102"/>
      <c r="H237" s="102"/>
      <c r="I237" s="103"/>
      <c r="J237" s="103"/>
      <c r="K237" s="2" t="s">
        <v>244</v>
      </c>
      <c r="L237" s="100">
        <v>44580.0</v>
      </c>
      <c r="M237" s="101">
        <v>0.5080092592592592</v>
      </c>
      <c r="P237" s="104" t="b">
        <f>IFNA(IF(VLOOKUP($A237,'Add from APT'!$AA$2:$AC826,3,FALSE)&gt;0,TRUE,FALSE),"ER - NOT IN APT")</f>
        <v>0</v>
      </c>
      <c r="Q237" s="105" t="str">
        <f>IF(ISLOGICAL(P237),IF(P237,"ER - REPS IN APT", IFNA(VLOOKUP($A237,RAW_APT!$A$3:$M826,7,FALSE),"ER - NOT IN APT")),P237)</f>
        <v>Result</v>
      </c>
      <c r="R237" s="106" t="b">
        <f t="shared" si="2"/>
        <v>1</v>
      </c>
      <c r="S237" s="107">
        <f t="shared" si="3"/>
        <v>1</v>
      </c>
      <c r="T237" s="143"/>
      <c r="U237" s="142"/>
      <c r="V237" s="142"/>
      <c r="W237" s="142"/>
      <c r="X237" s="110" t="b">
        <f t="shared" si="4"/>
        <v>0</v>
      </c>
      <c r="Y237" s="111" t="b">
        <v>0</v>
      </c>
      <c r="Z237" s="104" t="str">
        <f t="shared" si="5"/>
        <v/>
      </c>
      <c r="AA237" s="112" t="b">
        <f t="shared" si="6"/>
        <v>0</v>
      </c>
      <c r="AB237" s="142" t="b">
        <v>0</v>
      </c>
      <c r="AC237" s="140">
        <v>555.0</v>
      </c>
      <c r="AD237" s="141" t="b">
        <v>0</v>
      </c>
      <c r="AE237" s="115" t="str">
        <f t="shared" si="7"/>
        <v/>
      </c>
      <c r="AF237" s="116" t="b">
        <f t="shared" si="8"/>
        <v>0</v>
      </c>
      <c r="AG237" s="105" t="b">
        <f t="shared" si="9"/>
        <v>0</v>
      </c>
      <c r="AH237" s="140"/>
      <c r="AI237" s="140"/>
      <c r="AJ237" s="140"/>
      <c r="AK237" s="117" t="str">
        <f t="shared" si="10"/>
        <v>Negative</v>
      </c>
      <c r="AL237" s="142"/>
      <c r="AM237" s="112" t="s">
        <v>287</v>
      </c>
      <c r="AN237" s="112" t="s">
        <v>288</v>
      </c>
      <c r="AO237" s="112" t="str">
        <f>IFERROR(__xludf.DUMMYFUNCTION("IF($AG237, ""DELETED"",TRIM(JOIN("" "",D237:E237)))"),"")</f>
        <v/>
      </c>
      <c r="AP237" s="112" t="str">
        <f t="shared" ref="AP237:AQ237" si="262">IF($AG237, "DELETED", TRIM(CONCATENATE(F237,I237,U237)))</f>
        <v/>
      </c>
      <c r="AQ237" s="112" t="str">
        <f t="shared" si="262"/>
        <v/>
      </c>
      <c r="AR237" s="112" t="str">
        <f>IFERROR(__xludf.DUMMYFUNCTION("IF($AG237, ""DELETED"", TRIM(JOIN("" "",AP237,AQ237)))"),"")</f>
        <v/>
      </c>
      <c r="AS237" s="118"/>
      <c r="AT237" s="110" t="b">
        <f t="shared" si="12"/>
        <v>0</v>
      </c>
      <c r="AU237" s="110" t="str">
        <f t="shared" si="13"/>
        <v/>
      </c>
      <c r="AV237" s="110" t="str">
        <f t="shared" si="14"/>
        <v/>
      </c>
      <c r="AW237" s="110" t="str">
        <f t="shared" si="15"/>
        <v/>
      </c>
      <c r="AX237" s="119" t="str">
        <f t="shared" si="16"/>
        <v/>
      </c>
      <c r="AY237" s="120"/>
      <c r="AZ237" s="121"/>
      <c r="BA237" s="122" t="str">
        <f t="shared" si="17"/>
        <v/>
      </c>
      <c r="BB237" s="34"/>
      <c r="BC237" s="121"/>
      <c r="BD237" s="136"/>
      <c r="BE237" s="125" t="str">
        <f t="shared" si="18"/>
        <v/>
      </c>
      <c r="BF237" s="126" t="str">
        <f t="shared" si="19"/>
        <v>MA1124__44579_0.340428240740741</v>
      </c>
      <c r="BG237" s="127" t="str">
        <f t="shared" si="20"/>
        <v/>
      </c>
      <c r="BH237" s="137" t="s">
        <v>873</v>
      </c>
      <c r="BI237" s="128" t="str">
        <f t="shared" si="21"/>
        <v>FM824</v>
      </c>
      <c r="BJ237" s="129" t="b">
        <f t="shared" si="22"/>
        <v>0</v>
      </c>
      <c r="BK237" s="128" t="str">
        <f t="shared" si="23"/>
        <v/>
      </c>
      <c r="BL237" s="121"/>
      <c r="BM237" s="5" t="str">
        <f t="shared" si="24"/>
        <v>MISSING</v>
      </c>
      <c r="BN237" s="120" t="b">
        <f t="shared" si="25"/>
        <v>0</v>
      </c>
      <c r="BO237" s="131" t="b">
        <f t="shared" si="26"/>
        <v>1</v>
      </c>
      <c r="BP237" s="121"/>
      <c r="BQ237" s="132" t="str">
        <f>VLOOKUP(A237,RAW_APS!A$3:O826,15,FALSE)</f>
        <v/>
      </c>
      <c r="BR237" s="120" t="b">
        <f t="shared" si="27"/>
        <v>1</v>
      </c>
      <c r="BS237" s="121"/>
      <c r="BT237" s="138" t="s">
        <v>244</v>
      </c>
      <c r="BU237" s="10" t="b">
        <f t="shared" si="28"/>
        <v>1</v>
      </c>
      <c r="BV237" s="120"/>
      <c r="BW237" s="120"/>
      <c r="BX237" s="120"/>
      <c r="BY237" s="120"/>
      <c r="BZ237" s="120"/>
      <c r="CA237" s="120"/>
      <c r="CB237" s="120"/>
      <c r="CC237" s="120"/>
    </row>
    <row r="238">
      <c r="A238" s="2" t="s">
        <v>874</v>
      </c>
      <c r="B238" s="100">
        <v>44579.0</v>
      </c>
      <c r="C238" s="101">
        <v>0.3413888888888889</v>
      </c>
      <c r="D238" s="102"/>
      <c r="E238" s="102"/>
      <c r="F238" s="102"/>
      <c r="G238" s="102"/>
      <c r="H238" s="102"/>
      <c r="I238" s="103"/>
      <c r="J238" s="103"/>
      <c r="K238" s="2" t="s">
        <v>244</v>
      </c>
      <c r="L238" s="100">
        <v>44580.0</v>
      </c>
      <c r="M238" s="101">
        <v>0.5080208333333334</v>
      </c>
      <c r="P238" s="104" t="b">
        <f>IFNA(IF(VLOOKUP($A238,'Add from APT'!$AA$2:$AC826,3,FALSE)&gt;0,TRUE,FALSE),"ER - NOT IN APT")</f>
        <v>0</v>
      </c>
      <c r="Q238" s="105" t="str">
        <f>IF(ISLOGICAL(P238),IF(P238,"ER - REPS IN APT", IFNA(VLOOKUP($A238,RAW_APT!$A$3:$M826,7,FALSE),"ER - NOT IN APT")),P238)</f>
        <v>Result</v>
      </c>
      <c r="R238" s="106" t="b">
        <f t="shared" si="2"/>
        <v>1</v>
      </c>
      <c r="S238" s="107">
        <f t="shared" si="3"/>
        <v>1</v>
      </c>
      <c r="T238" s="143"/>
      <c r="U238" s="142"/>
      <c r="V238" s="142"/>
      <c r="W238" s="142"/>
      <c r="X238" s="110" t="b">
        <f t="shared" si="4"/>
        <v>0</v>
      </c>
      <c r="Y238" s="111" t="b">
        <v>0</v>
      </c>
      <c r="Z238" s="104" t="str">
        <f t="shared" si="5"/>
        <v/>
      </c>
      <c r="AA238" s="112" t="b">
        <f t="shared" si="6"/>
        <v>0</v>
      </c>
      <c r="AB238" s="142" t="b">
        <v>0</v>
      </c>
      <c r="AC238" s="140">
        <v>554.0</v>
      </c>
      <c r="AD238" s="141" t="b">
        <v>0</v>
      </c>
      <c r="AE238" s="115" t="str">
        <f t="shared" si="7"/>
        <v/>
      </c>
      <c r="AF238" s="116" t="b">
        <f t="shared" si="8"/>
        <v>0</v>
      </c>
      <c r="AG238" s="105" t="b">
        <f t="shared" si="9"/>
        <v>0</v>
      </c>
      <c r="AH238" s="140"/>
      <c r="AI238" s="140"/>
      <c r="AJ238" s="140"/>
      <c r="AK238" s="117" t="str">
        <f t="shared" si="10"/>
        <v>Negative</v>
      </c>
      <c r="AL238" s="142"/>
      <c r="AM238" s="112" t="s">
        <v>875</v>
      </c>
      <c r="AN238" s="112" t="s">
        <v>876</v>
      </c>
      <c r="AO238" s="112" t="str">
        <f>IFERROR(__xludf.DUMMYFUNCTION("IF($AG238, ""DELETED"",TRIM(JOIN("" "",D238:E238)))"),"")</f>
        <v/>
      </c>
      <c r="AP238" s="112" t="str">
        <f t="shared" ref="AP238:AQ238" si="263">IF($AG238, "DELETED", TRIM(CONCATENATE(F238,I238,U238)))</f>
        <v/>
      </c>
      <c r="AQ238" s="112" t="str">
        <f t="shared" si="263"/>
        <v/>
      </c>
      <c r="AR238" s="112" t="str">
        <f>IFERROR(__xludf.DUMMYFUNCTION("IF($AG238, ""DELETED"", TRIM(JOIN("" "",AP238,AQ238)))"),"")</f>
        <v/>
      </c>
      <c r="AS238" s="118"/>
      <c r="AT238" s="110" t="b">
        <f t="shared" si="12"/>
        <v>0</v>
      </c>
      <c r="AU238" s="110" t="str">
        <f t="shared" si="13"/>
        <v/>
      </c>
      <c r="AV238" s="110" t="str">
        <f t="shared" si="14"/>
        <v/>
      </c>
      <c r="AW238" s="110" t="str">
        <f t="shared" si="15"/>
        <v/>
      </c>
      <c r="AX238" s="119" t="str">
        <f t="shared" si="16"/>
        <v/>
      </c>
      <c r="AY238" s="120"/>
      <c r="AZ238" s="121"/>
      <c r="BA238" s="122" t="str">
        <f t="shared" si="17"/>
        <v/>
      </c>
      <c r="BB238" s="34"/>
      <c r="BC238" s="121"/>
      <c r="BD238" s="136"/>
      <c r="BE238" s="125" t="str">
        <f t="shared" si="18"/>
        <v/>
      </c>
      <c r="BF238" s="126" t="str">
        <f t="shared" si="19"/>
        <v>MA386__44579_0.341388888888889</v>
      </c>
      <c r="BG238" s="127" t="str">
        <f t="shared" si="20"/>
        <v/>
      </c>
      <c r="BH238" s="137" t="s">
        <v>877</v>
      </c>
      <c r="BI238" s="128" t="str">
        <f t="shared" si="21"/>
        <v>FM827</v>
      </c>
      <c r="BJ238" s="129" t="b">
        <f t="shared" si="22"/>
        <v>0</v>
      </c>
      <c r="BK238" s="128" t="str">
        <f t="shared" si="23"/>
        <v/>
      </c>
      <c r="BL238" s="121"/>
      <c r="BM238" s="5" t="str">
        <f t="shared" si="24"/>
        <v>MISSING</v>
      </c>
      <c r="BN238" s="120" t="b">
        <f t="shared" si="25"/>
        <v>0</v>
      </c>
      <c r="BO238" s="131" t="b">
        <f t="shared" si="26"/>
        <v>1</v>
      </c>
      <c r="BP238" s="121"/>
      <c r="BQ238" s="132" t="str">
        <f>VLOOKUP(A238,RAW_APS!A$3:O826,15,FALSE)</f>
        <v/>
      </c>
      <c r="BR238" s="120" t="b">
        <f t="shared" si="27"/>
        <v>1</v>
      </c>
      <c r="BS238" s="121"/>
      <c r="BT238" s="138" t="s">
        <v>244</v>
      </c>
      <c r="BU238" s="10" t="b">
        <f t="shared" si="28"/>
        <v>1</v>
      </c>
      <c r="BV238" s="120"/>
      <c r="BW238" s="120"/>
      <c r="BX238" s="120"/>
      <c r="BY238" s="120"/>
      <c r="BZ238" s="120"/>
      <c r="CA238" s="120"/>
      <c r="CB238" s="120"/>
      <c r="CC238" s="120"/>
    </row>
    <row r="239">
      <c r="A239" s="2" t="s">
        <v>878</v>
      </c>
      <c r="B239" s="100">
        <v>44579.0</v>
      </c>
      <c r="C239" s="101">
        <v>0.34629629629629627</v>
      </c>
      <c r="D239" s="102"/>
      <c r="E239" s="102"/>
      <c r="F239" s="102"/>
      <c r="G239" s="102"/>
      <c r="H239" s="102"/>
      <c r="I239" s="103"/>
      <c r="J239" s="103"/>
      <c r="K239" s="2" t="s">
        <v>244</v>
      </c>
      <c r="L239" s="100">
        <v>44580.0</v>
      </c>
      <c r="M239" s="101">
        <v>0.5080208333333334</v>
      </c>
      <c r="P239" s="104" t="b">
        <f>IFNA(IF(VLOOKUP($A239,'Add from APT'!$AA$2:$AC826,3,FALSE)&gt;0,TRUE,FALSE),"ER - NOT IN APT")</f>
        <v>0</v>
      </c>
      <c r="Q239" s="105" t="str">
        <f>IF(ISLOGICAL(P239),IF(P239,"ER - REPS IN APT", IFNA(VLOOKUP($A239,RAW_APT!$A$3:$M826,7,FALSE),"ER - NOT IN APT")),P239)</f>
        <v>Result</v>
      </c>
      <c r="R239" s="106" t="b">
        <f t="shared" si="2"/>
        <v>1</v>
      </c>
      <c r="S239" s="107">
        <f t="shared" si="3"/>
        <v>1</v>
      </c>
      <c r="T239" s="140">
        <v>0.0</v>
      </c>
      <c r="V239" s="141"/>
      <c r="W239" s="159"/>
      <c r="X239" s="110" t="b">
        <f t="shared" si="4"/>
        <v>0</v>
      </c>
      <c r="Y239" s="111" t="b">
        <v>0</v>
      </c>
      <c r="Z239" s="104" t="str">
        <f t="shared" si="5"/>
        <v/>
      </c>
      <c r="AA239" s="112" t="b">
        <f t="shared" si="6"/>
        <v>0</v>
      </c>
      <c r="AB239" s="142" t="b">
        <v>0</v>
      </c>
      <c r="AC239" s="140">
        <v>553.0</v>
      </c>
      <c r="AD239" s="141" t="b">
        <v>0</v>
      </c>
      <c r="AE239" s="115" t="str">
        <f t="shared" si="7"/>
        <v/>
      </c>
      <c r="AF239" s="116" t="b">
        <f t="shared" si="8"/>
        <v>0</v>
      </c>
      <c r="AG239" s="105" t="b">
        <f t="shared" si="9"/>
        <v>0</v>
      </c>
      <c r="AH239" s="140"/>
      <c r="AI239" s="140"/>
      <c r="AJ239" s="140"/>
      <c r="AK239" s="117" t="str">
        <f t="shared" si="10"/>
        <v>Negative</v>
      </c>
      <c r="AL239" s="142"/>
      <c r="AM239" s="112" t="s">
        <v>291</v>
      </c>
      <c r="AN239" s="112" t="s">
        <v>292</v>
      </c>
      <c r="AO239" s="112" t="str">
        <f>IFERROR(__xludf.DUMMYFUNCTION("IF($AG239, ""DELETED"",TRIM(JOIN("" "",D239:E239)))"),"")</f>
        <v/>
      </c>
      <c r="AP239" s="112" t="str">
        <f t="shared" ref="AP239:AQ239" si="264">IF($AG239, "DELETED", TRIM(CONCATENATE(F239,I239,U239)))</f>
        <v/>
      </c>
      <c r="AQ239" s="112" t="str">
        <f t="shared" si="264"/>
        <v/>
      </c>
      <c r="AR239" s="112" t="str">
        <f>IFERROR(__xludf.DUMMYFUNCTION("IF($AG239, ""DELETED"", TRIM(JOIN("" "",AP239,AQ239)))"),"")</f>
        <v/>
      </c>
      <c r="AS239" s="118"/>
      <c r="AT239" s="110" t="b">
        <f t="shared" si="12"/>
        <v>0</v>
      </c>
      <c r="AU239" s="110" t="str">
        <f t="shared" si="13"/>
        <v/>
      </c>
      <c r="AV239" s="110" t="str">
        <f t="shared" si="14"/>
        <v/>
      </c>
      <c r="AW239" s="110" t="str">
        <f t="shared" si="15"/>
        <v/>
      </c>
      <c r="AX239" s="119" t="str">
        <f t="shared" si="16"/>
        <v/>
      </c>
      <c r="AY239" s="120"/>
      <c r="AZ239" s="121"/>
      <c r="BA239" s="122" t="str">
        <f t="shared" si="17"/>
        <v/>
      </c>
      <c r="BB239" s="34"/>
      <c r="BC239" s="121"/>
      <c r="BD239" s="136"/>
      <c r="BE239" s="125" t="str">
        <f t="shared" si="18"/>
        <v/>
      </c>
      <c r="BF239" s="126" t="str">
        <f t="shared" si="19"/>
        <v>MA1165__44579_0.346296296296296</v>
      </c>
      <c r="BG239" s="127" t="str">
        <f t="shared" si="20"/>
        <v/>
      </c>
      <c r="BH239" s="137" t="s">
        <v>879</v>
      </c>
      <c r="BI239" s="128" t="str">
        <f t="shared" si="21"/>
        <v>FM828</v>
      </c>
      <c r="BJ239" s="129" t="b">
        <f t="shared" si="22"/>
        <v>0</v>
      </c>
      <c r="BK239" s="128" t="str">
        <f t="shared" si="23"/>
        <v/>
      </c>
      <c r="BL239" s="121"/>
      <c r="BM239" s="5" t="str">
        <f t="shared" si="24"/>
        <v>MISSING</v>
      </c>
      <c r="BN239" s="120" t="b">
        <f t="shared" si="25"/>
        <v>0</v>
      </c>
      <c r="BO239" s="131" t="b">
        <f t="shared" si="26"/>
        <v>1</v>
      </c>
      <c r="BP239" s="121"/>
      <c r="BQ239" s="132" t="str">
        <f>VLOOKUP(A239,RAW_APS!A$3:O826,15,FALSE)</f>
        <v/>
      </c>
      <c r="BR239" s="120" t="b">
        <f t="shared" si="27"/>
        <v>1</v>
      </c>
      <c r="BS239" s="121"/>
      <c r="BT239" s="138" t="s">
        <v>244</v>
      </c>
      <c r="BU239" s="10" t="b">
        <f t="shared" si="28"/>
        <v>1</v>
      </c>
      <c r="BV239" s="120"/>
      <c r="BW239" s="120"/>
      <c r="BX239" s="120"/>
      <c r="BY239" s="120"/>
      <c r="BZ239" s="120"/>
      <c r="CA239" s="120"/>
      <c r="CB239" s="120"/>
      <c r="CC239" s="120"/>
    </row>
    <row r="240">
      <c r="A240" s="2" t="s">
        <v>880</v>
      </c>
      <c r="B240" s="100">
        <v>44579.0</v>
      </c>
      <c r="C240" s="101">
        <v>0.3482060185185185</v>
      </c>
      <c r="D240" s="102"/>
      <c r="E240" s="102"/>
      <c r="F240" s="102"/>
      <c r="G240" s="102"/>
      <c r="H240" s="102"/>
      <c r="I240" s="103"/>
      <c r="J240" s="103"/>
      <c r="K240" s="2" t="s">
        <v>244</v>
      </c>
      <c r="L240" s="100">
        <v>44580.0</v>
      </c>
      <c r="M240" s="101">
        <v>0.5080208333333334</v>
      </c>
      <c r="O240" s="132"/>
      <c r="P240" s="104" t="b">
        <f>IFNA(IF(VLOOKUP($A240,'Add from APT'!$AA$2:$AC826,3,FALSE)&gt;0,TRUE,FALSE),"ER - NOT IN APT")</f>
        <v>0</v>
      </c>
      <c r="Q240" s="105" t="str">
        <f>IF(ISLOGICAL(P240),IF(P240,"ER - REPS IN APT", IFNA(VLOOKUP($A240,RAW_APT!$A$3:$M826,7,FALSE),"ER - NOT IN APT")),P240)</f>
        <v>Result</v>
      </c>
      <c r="R240" s="106" t="b">
        <f t="shared" si="2"/>
        <v>1</v>
      </c>
      <c r="S240" s="107">
        <f t="shared" si="3"/>
        <v>1</v>
      </c>
      <c r="T240" s="140">
        <v>0.0</v>
      </c>
      <c r="U240" s="158"/>
      <c r="V240" s="141"/>
      <c r="W240" s="159"/>
      <c r="X240" s="110" t="b">
        <f t="shared" si="4"/>
        <v>0</v>
      </c>
      <c r="Y240" s="111" t="b">
        <v>0</v>
      </c>
      <c r="Z240" s="104" t="str">
        <f t="shared" si="5"/>
        <v/>
      </c>
      <c r="AA240" s="112" t="b">
        <f t="shared" si="6"/>
        <v>0</v>
      </c>
      <c r="AB240" s="142" t="b">
        <v>0</v>
      </c>
      <c r="AC240" s="140">
        <v>552.0</v>
      </c>
      <c r="AD240" s="141" t="b">
        <v>0</v>
      </c>
      <c r="AE240" s="115" t="str">
        <f t="shared" si="7"/>
        <v/>
      </c>
      <c r="AF240" s="116" t="b">
        <f t="shared" si="8"/>
        <v>0</v>
      </c>
      <c r="AG240" s="105" t="b">
        <f t="shared" si="9"/>
        <v>0</v>
      </c>
      <c r="AH240" s="140"/>
      <c r="AI240" s="140"/>
      <c r="AJ240" s="140"/>
      <c r="AK240" s="117" t="str">
        <f t="shared" si="10"/>
        <v>Negative</v>
      </c>
      <c r="AL240" s="142"/>
      <c r="AM240" s="112" t="s">
        <v>881</v>
      </c>
      <c r="AN240" s="112" t="s">
        <v>655</v>
      </c>
      <c r="AO240" s="112" t="str">
        <f>IFERROR(__xludf.DUMMYFUNCTION("IF($AG240, ""DELETED"",TRIM(JOIN("" "",D240:E240)))"),"")</f>
        <v/>
      </c>
      <c r="AP240" s="112" t="str">
        <f t="shared" ref="AP240:AQ240" si="265">IF($AG240, "DELETED", TRIM(CONCATENATE(F240,I240,U240)))</f>
        <v/>
      </c>
      <c r="AQ240" s="112" t="str">
        <f t="shared" si="265"/>
        <v/>
      </c>
      <c r="AR240" s="112" t="str">
        <f>IFERROR(__xludf.DUMMYFUNCTION("IF($AG240, ""DELETED"", TRIM(JOIN("" "",AP240,AQ240)))"),"")</f>
        <v/>
      </c>
      <c r="AS240" s="118"/>
      <c r="AT240" s="110" t="b">
        <f t="shared" si="12"/>
        <v>0</v>
      </c>
      <c r="AU240" s="110" t="str">
        <f t="shared" si="13"/>
        <v/>
      </c>
      <c r="AV240" s="110" t="str">
        <f t="shared" si="14"/>
        <v/>
      </c>
      <c r="AW240" s="110" t="str">
        <f t="shared" si="15"/>
        <v/>
      </c>
      <c r="AX240" s="119" t="str">
        <f t="shared" si="16"/>
        <v/>
      </c>
      <c r="AY240" s="120"/>
      <c r="AZ240" s="121"/>
      <c r="BA240" s="122" t="str">
        <f t="shared" si="17"/>
        <v/>
      </c>
      <c r="BB240" s="34"/>
      <c r="BC240" s="121"/>
      <c r="BD240" s="136"/>
      <c r="BE240" s="125" t="str">
        <f t="shared" si="18"/>
        <v/>
      </c>
      <c r="BF240" s="126" t="str">
        <f t="shared" si="19"/>
        <v>MA262__44579_0.348206018518519</v>
      </c>
      <c r="BG240" s="127" t="str">
        <f t="shared" si="20"/>
        <v/>
      </c>
      <c r="BH240" s="137" t="s">
        <v>882</v>
      </c>
      <c r="BI240" s="128" t="str">
        <f t="shared" si="21"/>
        <v>FM829</v>
      </c>
      <c r="BJ240" s="129" t="b">
        <f t="shared" si="22"/>
        <v>0</v>
      </c>
      <c r="BK240" s="128" t="str">
        <f t="shared" si="23"/>
        <v/>
      </c>
      <c r="BL240" s="121"/>
      <c r="BM240" s="5" t="str">
        <f t="shared" si="24"/>
        <v>MISSING</v>
      </c>
      <c r="BN240" s="120" t="b">
        <f t="shared" si="25"/>
        <v>0</v>
      </c>
      <c r="BO240" s="131" t="b">
        <f t="shared" si="26"/>
        <v>1</v>
      </c>
      <c r="BP240" s="121"/>
      <c r="BQ240" s="132" t="str">
        <f>VLOOKUP(A240,RAW_APS!A$3:O826,15,FALSE)</f>
        <v/>
      </c>
      <c r="BR240" s="120" t="b">
        <f t="shared" si="27"/>
        <v>1</v>
      </c>
      <c r="BS240" s="121"/>
      <c r="BT240" s="138" t="s">
        <v>244</v>
      </c>
      <c r="BU240" s="10" t="b">
        <f t="shared" si="28"/>
        <v>1</v>
      </c>
      <c r="BV240" s="120"/>
      <c r="BW240" s="120"/>
      <c r="BX240" s="120"/>
      <c r="BY240" s="120"/>
      <c r="BZ240" s="120"/>
      <c r="CA240" s="120"/>
      <c r="CB240" s="120"/>
      <c r="CC240" s="120"/>
    </row>
    <row r="241">
      <c r="A241" s="2" t="s">
        <v>883</v>
      </c>
      <c r="B241" s="100">
        <v>44579.0</v>
      </c>
      <c r="C241" s="101">
        <v>0.34877314814814814</v>
      </c>
      <c r="D241" s="102"/>
      <c r="E241" s="102"/>
      <c r="F241" s="102"/>
      <c r="G241" s="102"/>
      <c r="H241" s="102"/>
      <c r="I241" s="103"/>
      <c r="J241" s="103"/>
      <c r="K241" s="2" t="s">
        <v>244</v>
      </c>
      <c r="L241" s="100">
        <v>44580.0</v>
      </c>
      <c r="M241" s="101">
        <v>0.5080208333333334</v>
      </c>
      <c r="N241" s="2" t="s">
        <v>247</v>
      </c>
      <c r="P241" s="104" t="b">
        <f>IFNA(IF(VLOOKUP($A241,'Add from APT'!$AA$2:$AC826,3,FALSE)&gt;0,TRUE,FALSE),"ER - NOT IN APT")</f>
        <v>0</v>
      </c>
      <c r="Q241" s="105" t="str">
        <f>IF(ISLOGICAL(P241),IF(P241,"ER - REPS IN APT", IFNA(VLOOKUP($A241,RAW_APT!$A$3:$M826,7,FALSE),"ER - NOT IN APT")),P241)</f>
        <v>Result</v>
      </c>
      <c r="R241" s="106" t="b">
        <f t="shared" si="2"/>
        <v>1</v>
      </c>
      <c r="S241" s="107">
        <f t="shared" si="3"/>
        <v>1</v>
      </c>
      <c r="T241" s="143"/>
      <c r="U241" s="142"/>
      <c r="V241" s="142"/>
      <c r="W241" s="142"/>
      <c r="X241" s="110" t="b">
        <f t="shared" si="4"/>
        <v>0</v>
      </c>
      <c r="Y241" s="111" t="b">
        <v>0</v>
      </c>
      <c r="Z241" s="104" t="str">
        <f t="shared" si="5"/>
        <v/>
      </c>
      <c r="AA241" s="112" t="b">
        <f t="shared" si="6"/>
        <v>0</v>
      </c>
      <c r="AB241" s="142" t="b">
        <v>0</v>
      </c>
      <c r="AC241" s="140">
        <v>819.0</v>
      </c>
      <c r="AD241" s="141" t="b">
        <v>1</v>
      </c>
      <c r="AE241" s="115" t="str">
        <f t="shared" si="7"/>
        <v/>
      </c>
      <c r="AF241" s="116" t="b">
        <f t="shared" si="8"/>
        <v>0</v>
      </c>
      <c r="AG241" s="105" t="b">
        <f t="shared" si="9"/>
        <v>0</v>
      </c>
      <c r="AH241" s="140"/>
      <c r="AI241" s="140">
        <v>7.0</v>
      </c>
      <c r="AJ241" s="140"/>
      <c r="AK241" s="117" t="str">
        <f t="shared" si="10"/>
        <v>Negative</v>
      </c>
      <c r="AL241" s="142"/>
      <c r="AM241" s="112" t="s">
        <v>593</v>
      </c>
      <c r="AN241" s="112" t="s">
        <v>594</v>
      </c>
      <c r="AO241" s="112" t="str">
        <f>IFERROR(__xludf.DUMMYFUNCTION("IF($AG241, ""DELETED"",TRIM(JOIN("" "",D241:E241)))"),"")</f>
        <v/>
      </c>
      <c r="AP241" s="112" t="str">
        <f t="shared" ref="AP241:AQ241" si="266">IF($AG241, "DELETED", TRIM(CONCATENATE(F241,I241,U241)))</f>
        <v/>
      </c>
      <c r="AQ241" s="112" t="str">
        <f t="shared" si="266"/>
        <v/>
      </c>
      <c r="AR241" s="112" t="str">
        <f>IFERROR(__xludf.DUMMYFUNCTION("IF($AG241, ""DELETED"", TRIM(JOIN("" "",AP241,AQ241)))"),"")</f>
        <v/>
      </c>
      <c r="AS241" s="118"/>
      <c r="AT241" s="110" t="b">
        <f t="shared" si="12"/>
        <v>0</v>
      </c>
      <c r="AU241" s="110" t="str">
        <f t="shared" si="13"/>
        <v/>
      </c>
      <c r="AV241" s="110" t="str">
        <f t="shared" si="14"/>
        <v/>
      </c>
      <c r="AW241" s="110" t="str">
        <f t="shared" si="15"/>
        <v/>
      </c>
      <c r="AX241" s="119" t="str">
        <f t="shared" si="16"/>
        <v/>
      </c>
      <c r="AY241" s="120"/>
      <c r="AZ241" s="121"/>
      <c r="BA241" s="122" t="str">
        <f t="shared" si="17"/>
        <v/>
      </c>
      <c r="BB241" s="34"/>
      <c r="BC241" s="121"/>
      <c r="BD241" s="136"/>
      <c r="BE241" s="125" t="str">
        <f t="shared" si="18"/>
        <v/>
      </c>
      <c r="BF241" s="126" t="str">
        <f t="shared" si="19"/>
        <v>MA1184__44579_0.348773148148148</v>
      </c>
      <c r="BG241" s="127" t="str">
        <f t="shared" si="20"/>
        <v/>
      </c>
      <c r="BH241" s="137" t="s">
        <v>884</v>
      </c>
      <c r="BI241" s="128" t="str">
        <f t="shared" si="21"/>
        <v>FM83</v>
      </c>
      <c r="BJ241" s="129" t="b">
        <f t="shared" si="22"/>
        <v>0</v>
      </c>
      <c r="BK241" s="128" t="str">
        <f t="shared" si="23"/>
        <v/>
      </c>
      <c r="BL241" s="121"/>
      <c r="BM241" s="5" t="str">
        <f t="shared" si="24"/>
        <v>MISSING</v>
      </c>
      <c r="BN241" s="120" t="b">
        <f t="shared" si="25"/>
        <v>0</v>
      </c>
      <c r="BO241" s="131" t="b">
        <f t="shared" si="26"/>
        <v>1</v>
      </c>
      <c r="BP241" s="121"/>
      <c r="BQ241" s="132" t="str">
        <f>VLOOKUP(A241,RAW_APS!A$3:O826,15,FALSE)</f>
        <v/>
      </c>
      <c r="BR241" s="120" t="b">
        <f t="shared" si="27"/>
        <v>1</v>
      </c>
      <c r="BS241" s="121"/>
      <c r="BT241" s="138" t="s">
        <v>244</v>
      </c>
      <c r="BU241" s="10" t="b">
        <f t="shared" si="28"/>
        <v>1</v>
      </c>
      <c r="BV241" s="120"/>
      <c r="BW241" s="120"/>
      <c r="BX241" s="120"/>
      <c r="BY241" s="120"/>
      <c r="BZ241" s="120"/>
      <c r="CA241" s="120"/>
      <c r="CB241" s="120"/>
      <c r="CC241" s="120"/>
    </row>
    <row r="242">
      <c r="A242" s="2" t="s">
        <v>885</v>
      </c>
      <c r="B242" s="100">
        <v>44579.0</v>
      </c>
      <c r="C242" s="101">
        <v>0.35052083333333334</v>
      </c>
      <c r="D242" s="102"/>
      <c r="E242" s="102"/>
      <c r="F242" s="139"/>
      <c r="G242" s="139"/>
      <c r="H242" s="139"/>
      <c r="I242" s="103"/>
      <c r="J242" s="103"/>
      <c r="K242" s="2" t="s">
        <v>244</v>
      </c>
      <c r="L242" s="100">
        <v>44580.0</v>
      </c>
      <c r="M242" s="101">
        <v>0.5080208333333334</v>
      </c>
      <c r="P242" s="104" t="b">
        <f>IFNA(IF(VLOOKUP($A242,'Add from APT'!$AA$2:$AC826,3,FALSE)&gt;0,TRUE,FALSE),"ER - NOT IN APT")</f>
        <v>0</v>
      </c>
      <c r="Q242" s="105" t="str">
        <f>IF(ISLOGICAL(P242),IF(P242,"ER - REPS IN APT", IFNA(VLOOKUP($A242,RAW_APT!$A$3:$M826,7,FALSE),"ER - NOT IN APT")),P242)</f>
        <v>Result</v>
      </c>
      <c r="R242" s="106" t="b">
        <f t="shared" si="2"/>
        <v>1</v>
      </c>
      <c r="S242" s="107">
        <f t="shared" si="3"/>
        <v>1</v>
      </c>
      <c r="T242" s="143"/>
      <c r="U242" s="161"/>
      <c r="V242" s="161"/>
      <c r="W242" s="159"/>
      <c r="X242" s="110" t="b">
        <f t="shared" si="4"/>
        <v>0</v>
      </c>
      <c r="Y242" s="111" t="b">
        <v>0</v>
      </c>
      <c r="Z242" s="104" t="str">
        <f t="shared" si="5"/>
        <v/>
      </c>
      <c r="AA242" s="112" t="b">
        <f t="shared" si="6"/>
        <v>0</v>
      </c>
      <c r="AB242" s="142" t="b">
        <v>0</v>
      </c>
      <c r="AC242" s="140">
        <v>551.0</v>
      </c>
      <c r="AD242" s="141" t="b">
        <v>0</v>
      </c>
      <c r="AE242" s="115" t="str">
        <f t="shared" si="7"/>
        <v/>
      </c>
      <c r="AF242" s="116" t="b">
        <f t="shared" si="8"/>
        <v>0</v>
      </c>
      <c r="AG242" s="105" t="b">
        <f t="shared" si="9"/>
        <v>0</v>
      </c>
      <c r="AH242" s="140"/>
      <c r="AI242" s="140"/>
      <c r="AJ242" s="140"/>
      <c r="AK242" s="117" t="str">
        <f t="shared" si="10"/>
        <v>Negative</v>
      </c>
      <c r="AL242" s="142"/>
      <c r="AM242" s="112" t="s">
        <v>593</v>
      </c>
      <c r="AN242" s="112" t="s">
        <v>886</v>
      </c>
      <c r="AO242" s="112" t="str">
        <f>IFERROR(__xludf.DUMMYFUNCTION("IF($AG242, ""DELETED"",TRIM(JOIN("" "",D242:E242)))"),"")</f>
        <v/>
      </c>
      <c r="AP242" s="112" t="str">
        <f t="shared" ref="AP242:AQ242" si="267">IF($AG242, "DELETED", TRIM(CONCATENATE(F242,I242,U242)))</f>
        <v/>
      </c>
      <c r="AQ242" s="112" t="str">
        <f t="shared" si="267"/>
        <v/>
      </c>
      <c r="AR242" s="112" t="str">
        <f>IFERROR(__xludf.DUMMYFUNCTION("IF($AG242, ""DELETED"", TRIM(JOIN("" "",AP242,AQ242)))"),"")</f>
        <v/>
      </c>
      <c r="AS242" s="118"/>
      <c r="AT242" s="110" t="b">
        <f t="shared" si="12"/>
        <v>0</v>
      </c>
      <c r="AU242" s="110" t="str">
        <f t="shared" si="13"/>
        <v/>
      </c>
      <c r="AV242" s="110" t="str">
        <f t="shared" si="14"/>
        <v/>
      </c>
      <c r="AW242" s="110" t="str">
        <f t="shared" si="15"/>
        <v/>
      </c>
      <c r="AX242" s="119" t="str">
        <f t="shared" si="16"/>
        <v/>
      </c>
      <c r="AY242" s="120"/>
      <c r="AZ242" s="121"/>
      <c r="BA242" s="122" t="str">
        <f t="shared" si="17"/>
        <v/>
      </c>
      <c r="BB242" s="34"/>
      <c r="BC242" s="121"/>
      <c r="BD242" s="136"/>
      <c r="BE242" s="125" t="str">
        <f t="shared" si="18"/>
        <v/>
      </c>
      <c r="BF242" s="126" t="str">
        <f t="shared" si="19"/>
        <v>MA1150__44579_0.350520833333333</v>
      </c>
      <c r="BG242" s="127" t="str">
        <f t="shared" si="20"/>
        <v/>
      </c>
      <c r="BH242" s="137" t="s">
        <v>887</v>
      </c>
      <c r="BI242" s="128" t="str">
        <f t="shared" si="21"/>
        <v>FM831</v>
      </c>
      <c r="BJ242" s="129" t="b">
        <f t="shared" si="22"/>
        <v>0</v>
      </c>
      <c r="BK242" s="128" t="str">
        <f t="shared" si="23"/>
        <v/>
      </c>
      <c r="BL242" s="121"/>
      <c r="BM242" s="5" t="str">
        <f t="shared" si="24"/>
        <v>MISSING</v>
      </c>
      <c r="BN242" s="120" t="b">
        <f t="shared" si="25"/>
        <v>0</v>
      </c>
      <c r="BO242" s="131" t="b">
        <f t="shared" si="26"/>
        <v>1</v>
      </c>
      <c r="BP242" s="121"/>
      <c r="BQ242" s="132" t="str">
        <f>VLOOKUP(A242,RAW_APS!A$3:O826,15,FALSE)</f>
        <v/>
      </c>
      <c r="BR242" s="120" t="b">
        <f t="shared" si="27"/>
        <v>1</v>
      </c>
      <c r="BS242" s="121"/>
      <c r="BT242" s="138" t="s">
        <v>244</v>
      </c>
      <c r="BU242" s="10" t="b">
        <f t="shared" si="28"/>
        <v>1</v>
      </c>
      <c r="BV242" s="120"/>
      <c r="BW242" s="120"/>
      <c r="BX242" s="120"/>
      <c r="BY242" s="120"/>
      <c r="BZ242" s="120"/>
      <c r="CA242" s="120"/>
      <c r="CB242" s="120"/>
      <c r="CC242" s="120"/>
    </row>
    <row r="243" ht="27.0" customHeight="1">
      <c r="A243" s="2" t="s">
        <v>888</v>
      </c>
      <c r="B243" s="100">
        <v>44579.0</v>
      </c>
      <c r="C243" s="101">
        <v>0.36159722222222224</v>
      </c>
      <c r="D243" s="102"/>
      <c r="E243" s="102"/>
      <c r="F243" s="102"/>
      <c r="G243" s="102"/>
      <c r="H243" s="102"/>
      <c r="I243" s="103"/>
      <c r="J243" s="103"/>
      <c r="K243" s="2" t="s">
        <v>244</v>
      </c>
      <c r="L243" s="100">
        <v>44580.0</v>
      </c>
      <c r="M243" s="101">
        <v>0.5080208333333334</v>
      </c>
      <c r="P243" s="104" t="b">
        <f>IFNA(IF(VLOOKUP($A243,'Add from APT'!$AA$2:$AC826,3,FALSE)&gt;0,TRUE,FALSE),"ER - NOT IN APT")</f>
        <v>0</v>
      </c>
      <c r="Q243" s="105" t="str">
        <f>IF(ISLOGICAL(P243),IF(P243,"ER - REPS IN APT", IFNA(VLOOKUP($A243,RAW_APT!$A$3:$M826,7,FALSE),"ER - NOT IN APT")),P243)</f>
        <v>Result</v>
      </c>
      <c r="R243" s="106" t="b">
        <f t="shared" si="2"/>
        <v>1</v>
      </c>
      <c r="S243" s="107">
        <f t="shared" si="3"/>
        <v>1</v>
      </c>
      <c r="T243" s="140">
        <v>0.0</v>
      </c>
      <c r="U243" s="159"/>
      <c r="V243" s="142"/>
      <c r="W243" s="159"/>
      <c r="X243" s="110" t="b">
        <f t="shared" si="4"/>
        <v>0</v>
      </c>
      <c r="Y243" s="111" t="b">
        <v>0</v>
      </c>
      <c r="Z243" s="104" t="str">
        <f t="shared" si="5"/>
        <v/>
      </c>
      <c r="AA243" s="112" t="b">
        <f t="shared" si="6"/>
        <v>0</v>
      </c>
      <c r="AB243" s="142" t="b">
        <v>0</v>
      </c>
      <c r="AC243" s="140">
        <v>550.0</v>
      </c>
      <c r="AD243" s="141" t="b">
        <v>0</v>
      </c>
      <c r="AE243" s="115" t="str">
        <f t="shared" si="7"/>
        <v/>
      </c>
      <c r="AF243" s="116" t="b">
        <f t="shared" si="8"/>
        <v>0</v>
      </c>
      <c r="AG243" s="105" t="b">
        <f t="shared" si="9"/>
        <v>0</v>
      </c>
      <c r="AH243" s="140"/>
      <c r="AI243" s="140"/>
      <c r="AJ243" s="140"/>
      <c r="AK243" s="117" t="str">
        <f t="shared" si="10"/>
        <v>Negative</v>
      </c>
      <c r="AL243" s="142"/>
      <c r="AM243" s="112" t="s">
        <v>362</v>
      </c>
      <c r="AN243" s="112" t="s">
        <v>363</v>
      </c>
      <c r="AO243" s="112" t="str">
        <f>IFERROR(__xludf.DUMMYFUNCTION("IF($AG243, ""DELETED"",TRIM(JOIN("" "",D243:E243)))"),"")</f>
        <v/>
      </c>
      <c r="AP243" s="112" t="str">
        <f t="shared" ref="AP243:AQ243" si="268">IF($AG243, "DELETED", TRIM(CONCATENATE(F243,I243,U243)))</f>
        <v/>
      </c>
      <c r="AQ243" s="112" t="str">
        <f t="shared" si="268"/>
        <v/>
      </c>
      <c r="AR243" s="112" t="str">
        <f>IFERROR(__xludf.DUMMYFUNCTION("IF($AG243, ""DELETED"", TRIM(JOIN("" "",AP243,AQ243)))"),"")</f>
        <v/>
      </c>
      <c r="AS243" s="118"/>
      <c r="AT243" s="110" t="b">
        <f t="shared" si="12"/>
        <v>0</v>
      </c>
      <c r="AU243" s="110" t="str">
        <f t="shared" si="13"/>
        <v/>
      </c>
      <c r="AV243" s="110" t="str">
        <f t="shared" si="14"/>
        <v/>
      </c>
      <c r="AW243" s="110" t="str">
        <f t="shared" si="15"/>
        <v/>
      </c>
      <c r="AX243" s="119" t="str">
        <f t="shared" si="16"/>
        <v/>
      </c>
      <c r="AY243" s="120"/>
      <c r="AZ243" s="121"/>
      <c r="BA243" s="122" t="str">
        <f t="shared" si="17"/>
        <v/>
      </c>
      <c r="BB243" s="34"/>
      <c r="BC243" s="121"/>
      <c r="BD243" s="136"/>
      <c r="BE243" s="125" t="str">
        <f t="shared" si="18"/>
        <v/>
      </c>
      <c r="BF243" s="126" t="str">
        <f t="shared" si="19"/>
        <v>MA1253__44579_0.361597222222222</v>
      </c>
      <c r="BG243" s="127" t="str">
        <f t="shared" si="20"/>
        <v/>
      </c>
      <c r="BH243" s="137" t="s">
        <v>889</v>
      </c>
      <c r="BI243" s="128" t="str">
        <f t="shared" si="21"/>
        <v>FM832</v>
      </c>
      <c r="BJ243" s="129" t="b">
        <f t="shared" si="22"/>
        <v>0</v>
      </c>
      <c r="BK243" s="128" t="str">
        <f t="shared" si="23"/>
        <v/>
      </c>
      <c r="BL243" s="121"/>
      <c r="BM243" s="5" t="str">
        <f t="shared" si="24"/>
        <v>MISSING</v>
      </c>
      <c r="BN243" s="120" t="b">
        <f t="shared" si="25"/>
        <v>0</v>
      </c>
      <c r="BO243" s="131" t="b">
        <f t="shared" si="26"/>
        <v>1</v>
      </c>
      <c r="BP243" s="121"/>
      <c r="BQ243" s="132" t="str">
        <f>VLOOKUP(A243,RAW_APS!A$3:O826,15,FALSE)</f>
        <v/>
      </c>
      <c r="BR243" s="120" t="b">
        <f t="shared" si="27"/>
        <v>1</v>
      </c>
      <c r="BS243" s="121"/>
      <c r="BT243" s="138" t="s">
        <v>244</v>
      </c>
      <c r="BU243" s="10" t="b">
        <f t="shared" si="28"/>
        <v>1</v>
      </c>
      <c r="BV243" s="120"/>
      <c r="BW243" s="120"/>
      <c r="BX243" s="120"/>
      <c r="BY243" s="120"/>
      <c r="BZ243" s="120"/>
      <c r="CA243" s="120"/>
      <c r="CB243" s="120"/>
      <c r="CC243" s="120"/>
    </row>
    <row r="244">
      <c r="A244" s="2" t="s">
        <v>890</v>
      </c>
      <c r="B244" s="100">
        <v>44579.0</v>
      </c>
      <c r="C244" s="101">
        <v>0.40466435185185184</v>
      </c>
      <c r="D244" s="102"/>
      <c r="E244" s="102"/>
      <c r="F244" s="102"/>
      <c r="G244" s="102"/>
      <c r="H244" s="102"/>
      <c r="I244" s="103"/>
      <c r="J244" s="103"/>
      <c r="K244" s="2" t="s">
        <v>52</v>
      </c>
      <c r="L244" s="100">
        <v>44579.0</v>
      </c>
      <c r="M244" s="101">
        <v>0.5015972222222222</v>
      </c>
      <c r="P244" s="104" t="b">
        <f>IFNA(IF(VLOOKUP($A244,'Add from APT'!$AA$2:$AC826,3,FALSE)&gt;0,TRUE,FALSE),"ER - NOT IN APT")</f>
        <v>0</v>
      </c>
      <c r="Q244" s="105" t="str">
        <f>IF(ISLOGICAL(P244),IF(P244,"ER - REPS IN APT", IFNA(VLOOKUP($A244,RAW_APT!$A$3:$M826,7,FALSE),"ER - NOT IN APT")),P244)</f>
        <v>Result</v>
      </c>
      <c r="R244" s="106" t="b">
        <f t="shared" si="2"/>
        <v>1</v>
      </c>
      <c r="S244" s="107">
        <f t="shared" si="3"/>
        <v>1</v>
      </c>
      <c r="T244" s="143"/>
      <c r="U244" s="142"/>
      <c r="V244" s="142"/>
      <c r="W244" s="142"/>
      <c r="X244" s="110" t="b">
        <f t="shared" si="4"/>
        <v>0</v>
      </c>
      <c r="Y244" s="111" t="b">
        <v>0</v>
      </c>
      <c r="Z244" s="104" t="str">
        <f t="shared" si="5"/>
        <v/>
      </c>
      <c r="AA244" s="112" t="b">
        <f t="shared" si="6"/>
        <v>0</v>
      </c>
      <c r="AB244" s="142" t="b">
        <v>0</v>
      </c>
      <c r="AC244" s="140">
        <v>584.0</v>
      </c>
      <c r="AD244" s="141" t="b">
        <v>0</v>
      </c>
      <c r="AE244" s="115">
        <f t="shared" si="7"/>
        <v>139.5833333</v>
      </c>
      <c r="AF244" s="116" t="b">
        <f t="shared" si="8"/>
        <v>0</v>
      </c>
      <c r="AG244" s="105" t="b">
        <f t="shared" si="9"/>
        <v>0</v>
      </c>
      <c r="AH244" s="140"/>
      <c r="AI244" s="140"/>
      <c r="AJ244" s="140"/>
      <c r="AK244" s="117" t="str">
        <f t="shared" si="10"/>
        <v>Positive</v>
      </c>
      <c r="AL244" s="142"/>
      <c r="AM244" s="112" t="s">
        <v>717</v>
      </c>
      <c r="AN244" s="112" t="s">
        <v>718</v>
      </c>
      <c r="AO244" s="112" t="str">
        <f>IFERROR(__xludf.DUMMYFUNCTION("IF($AG244, ""DELETED"",TRIM(JOIN("" "",D244:E244)))"),"")</f>
        <v/>
      </c>
      <c r="AP244" s="112" t="str">
        <f t="shared" ref="AP244:AQ244" si="269">IF($AG244, "DELETED", TRIM(CONCATENATE(F244,I244,U244)))</f>
        <v/>
      </c>
      <c r="AQ244" s="112" t="str">
        <f t="shared" si="269"/>
        <v/>
      </c>
      <c r="AR244" s="112" t="str">
        <f>IFERROR(__xludf.DUMMYFUNCTION("IF($AG244, ""DELETED"", TRIM(JOIN("" "",AP244,AQ244)))"),"")</f>
        <v/>
      </c>
      <c r="AS244" s="118"/>
      <c r="AT244" s="110" t="b">
        <f t="shared" si="12"/>
        <v>0</v>
      </c>
      <c r="AU244" s="110" t="str">
        <f t="shared" si="13"/>
        <v/>
      </c>
      <c r="AV244" s="110" t="str">
        <f t="shared" si="14"/>
        <v/>
      </c>
      <c r="AW244" s="110" t="str">
        <f t="shared" si="15"/>
        <v/>
      </c>
      <c r="AX244" s="119" t="str">
        <f t="shared" si="16"/>
        <v/>
      </c>
      <c r="AY244" s="120"/>
      <c r="AZ244" s="121"/>
      <c r="BA244" s="122" t="str">
        <f t="shared" si="17"/>
        <v/>
      </c>
      <c r="BB244" s="34"/>
      <c r="BC244" s="121"/>
      <c r="BD244" s="136"/>
      <c r="BE244" s="125" t="str">
        <f t="shared" si="18"/>
        <v/>
      </c>
      <c r="BF244" s="126" t="str">
        <f t="shared" si="19"/>
        <v>MAX44__44579_0.404664351851852</v>
      </c>
      <c r="BG244" s="127" t="str">
        <f t="shared" si="20"/>
        <v/>
      </c>
      <c r="BH244" s="137" t="s">
        <v>891</v>
      </c>
      <c r="BI244" s="128" t="str">
        <f t="shared" si="21"/>
        <v>FM833</v>
      </c>
      <c r="BJ244" s="129" t="b">
        <f t="shared" si="22"/>
        <v>0</v>
      </c>
      <c r="BK244" s="128" t="str">
        <f t="shared" si="23"/>
        <v/>
      </c>
      <c r="BL244" s="121"/>
      <c r="BM244" s="5" t="str">
        <f t="shared" si="24"/>
        <v>MISSING</v>
      </c>
      <c r="BN244" s="120" t="b">
        <f t="shared" si="25"/>
        <v>0</v>
      </c>
      <c r="BO244" s="131" t="b">
        <f t="shared" si="26"/>
        <v>1</v>
      </c>
      <c r="BP244" s="121"/>
      <c r="BQ244" s="132" t="str">
        <f>VLOOKUP(A244,RAW_APS!A$3:O826,15,FALSE)</f>
        <v/>
      </c>
      <c r="BR244" s="120" t="b">
        <f t="shared" si="27"/>
        <v>1</v>
      </c>
      <c r="BS244" s="121"/>
      <c r="BT244" s="138" t="s">
        <v>52</v>
      </c>
      <c r="BU244" s="10" t="b">
        <f t="shared" si="28"/>
        <v>1</v>
      </c>
      <c r="BV244" s="120"/>
      <c r="BW244" s="120"/>
      <c r="BX244" s="120"/>
      <c r="BY244" s="120"/>
      <c r="BZ244" s="120"/>
      <c r="CA244" s="120"/>
      <c r="CB244" s="120"/>
      <c r="CC244" s="120"/>
    </row>
    <row r="245">
      <c r="A245" s="2" t="s">
        <v>892</v>
      </c>
      <c r="B245" s="100">
        <v>44579.0</v>
      </c>
      <c r="C245" s="101">
        <v>0.41303240740740743</v>
      </c>
      <c r="D245" s="102"/>
      <c r="E245" s="102"/>
      <c r="F245" s="102"/>
      <c r="G245" s="102"/>
      <c r="H245" s="102"/>
      <c r="I245" s="103"/>
      <c r="J245" s="103"/>
      <c r="K245" s="2" t="s">
        <v>244</v>
      </c>
      <c r="L245" s="100">
        <v>44580.0</v>
      </c>
      <c r="M245" s="101">
        <v>0.5080208333333334</v>
      </c>
      <c r="P245" s="104" t="b">
        <f>IFNA(IF(VLOOKUP($A245,'Add from APT'!$AA$2:$AC826,3,FALSE)&gt;0,TRUE,FALSE),"ER - NOT IN APT")</f>
        <v>0</v>
      </c>
      <c r="Q245" s="105" t="str">
        <f>IF(ISLOGICAL(P245),IF(P245,"ER - REPS IN APT", IFNA(VLOOKUP($A245,RAW_APT!$A$3:$M826,7,FALSE),"ER - NOT IN APT")),P245)</f>
        <v>Result</v>
      </c>
      <c r="R245" s="106" t="b">
        <f t="shared" si="2"/>
        <v>1</v>
      </c>
      <c r="S245" s="107">
        <f t="shared" si="3"/>
        <v>1</v>
      </c>
      <c r="T245" s="140">
        <v>0.0</v>
      </c>
      <c r="U245" s="159"/>
      <c r="V245" s="142"/>
      <c r="W245" s="159"/>
      <c r="X245" s="110" t="b">
        <f t="shared" si="4"/>
        <v>0</v>
      </c>
      <c r="Y245" s="111" t="b">
        <v>0</v>
      </c>
      <c r="Z245" s="104" t="str">
        <f t="shared" si="5"/>
        <v/>
      </c>
      <c r="AA245" s="112" t="b">
        <f t="shared" si="6"/>
        <v>0</v>
      </c>
      <c r="AB245" s="142" t="b">
        <v>0</v>
      </c>
      <c r="AC245" s="140">
        <v>549.0</v>
      </c>
      <c r="AD245" s="141" t="b">
        <v>0</v>
      </c>
      <c r="AE245" s="115" t="str">
        <f t="shared" si="7"/>
        <v/>
      </c>
      <c r="AF245" s="116" t="b">
        <f t="shared" si="8"/>
        <v>0</v>
      </c>
      <c r="AG245" s="105" t="b">
        <f t="shared" si="9"/>
        <v>0</v>
      </c>
      <c r="AH245" s="140"/>
      <c r="AI245" s="140"/>
      <c r="AJ245" s="140"/>
      <c r="AK245" s="117" t="str">
        <f t="shared" si="10"/>
        <v>Negative</v>
      </c>
      <c r="AL245" s="142"/>
      <c r="AM245" s="112" t="s">
        <v>261</v>
      </c>
      <c r="AN245" s="112" t="s">
        <v>893</v>
      </c>
      <c r="AO245" s="112" t="str">
        <f>IFERROR(__xludf.DUMMYFUNCTION("IF($AG245, ""DELETED"",TRIM(JOIN("" "",D245:E245)))"),"")</f>
        <v/>
      </c>
      <c r="AP245" s="112" t="str">
        <f t="shared" ref="AP245:AQ245" si="270">IF($AG245, "DELETED", TRIM(CONCATENATE(F245,I245,U245)))</f>
        <v/>
      </c>
      <c r="AQ245" s="112" t="str">
        <f t="shared" si="270"/>
        <v/>
      </c>
      <c r="AR245" s="112" t="str">
        <f>IFERROR(__xludf.DUMMYFUNCTION("IF($AG245, ""DELETED"", TRIM(JOIN("" "",AP245,AQ245)))"),"")</f>
        <v/>
      </c>
      <c r="AS245" s="118"/>
      <c r="AT245" s="110" t="b">
        <f t="shared" si="12"/>
        <v>0</v>
      </c>
      <c r="AU245" s="110" t="str">
        <f t="shared" si="13"/>
        <v/>
      </c>
      <c r="AV245" s="110" t="str">
        <f t="shared" si="14"/>
        <v/>
      </c>
      <c r="AW245" s="110" t="str">
        <f t="shared" si="15"/>
        <v/>
      </c>
      <c r="AX245" s="119" t="str">
        <f t="shared" si="16"/>
        <v/>
      </c>
      <c r="AY245" s="120"/>
      <c r="AZ245" s="121"/>
      <c r="BA245" s="122" t="str">
        <f t="shared" si="17"/>
        <v/>
      </c>
      <c r="BB245" s="34"/>
      <c r="BC245" s="121"/>
      <c r="BD245" s="136"/>
      <c r="BE245" s="125" t="str">
        <f t="shared" si="18"/>
        <v/>
      </c>
      <c r="BF245" s="126" t="str">
        <f t="shared" si="19"/>
        <v>MA1248__44579_0.413032407407407</v>
      </c>
      <c r="BG245" s="127" t="str">
        <f t="shared" si="20"/>
        <v/>
      </c>
      <c r="BH245" s="137" t="s">
        <v>894</v>
      </c>
      <c r="BI245" s="128" t="str">
        <f t="shared" si="21"/>
        <v>FM834</v>
      </c>
      <c r="BJ245" s="129" t="b">
        <f t="shared" si="22"/>
        <v>0</v>
      </c>
      <c r="BK245" s="128" t="str">
        <f t="shared" si="23"/>
        <v/>
      </c>
      <c r="BL245" s="121"/>
      <c r="BM245" s="5" t="str">
        <f t="shared" si="24"/>
        <v>MISSING</v>
      </c>
      <c r="BN245" s="120" t="b">
        <f t="shared" si="25"/>
        <v>0</v>
      </c>
      <c r="BO245" s="131" t="b">
        <f t="shared" si="26"/>
        <v>1</v>
      </c>
      <c r="BP245" s="121"/>
      <c r="BQ245" s="132" t="str">
        <f>VLOOKUP(A245,RAW_APS!A$3:O826,15,FALSE)</f>
        <v/>
      </c>
      <c r="BR245" s="120" t="b">
        <f t="shared" si="27"/>
        <v>1</v>
      </c>
      <c r="BS245" s="121"/>
      <c r="BT245" s="138" t="s">
        <v>244</v>
      </c>
      <c r="BU245" s="10" t="b">
        <f t="shared" si="28"/>
        <v>1</v>
      </c>
      <c r="BV245" s="120"/>
      <c r="BW245" s="120"/>
      <c r="BX245" s="120"/>
      <c r="BY245" s="120"/>
      <c r="BZ245" s="120"/>
      <c r="CA245" s="120"/>
      <c r="CB245" s="120"/>
      <c r="CC245" s="120"/>
    </row>
    <row r="246">
      <c r="A246" s="2" t="s">
        <v>895</v>
      </c>
      <c r="B246" s="100">
        <v>44579.0</v>
      </c>
      <c r="C246" s="101">
        <v>0.41333333333333333</v>
      </c>
      <c r="D246" s="102"/>
      <c r="E246" s="102"/>
      <c r="F246" s="139"/>
      <c r="G246" s="148"/>
      <c r="H246" s="148"/>
      <c r="I246" s="103"/>
      <c r="J246" s="103"/>
      <c r="K246" s="2" t="s">
        <v>52</v>
      </c>
      <c r="L246" s="100">
        <v>44579.0</v>
      </c>
      <c r="M246" s="101">
        <v>0.5015972222222222</v>
      </c>
      <c r="P246" s="104" t="b">
        <f>IFNA(IF(VLOOKUP($A246,'Add from APT'!$AA$2:$AC826,3,FALSE)&gt;0,TRUE,FALSE),"ER - NOT IN APT")</f>
        <v>0</v>
      </c>
      <c r="Q246" s="105" t="str">
        <f>IF(ISLOGICAL(P246),IF(P246,"ER - REPS IN APT", IFNA(VLOOKUP($A246,RAW_APT!$A$3:$M826,7,FALSE),"ER - NOT IN APT")),P246)</f>
        <v>Result</v>
      </c>
      <c r="R246" s="106" t="b">
        <f t="shared" si="2"/>
        <v>1</v>
      </c>
      <c r="S246" s="107">
        <f t="shared" si="3"/>
        <v>1</v>
      </c>
      <c r="T246" s="143"/>
      <c r="U246" s="142"/>
      <c r="V246" s="142"/>
      <c r="W246" s="142"/>
      <c r="X246" s="110" t="b">
        <f t="shared" si="4"/>
        <v>0</v>
      </c>
      <c r="Y246" s="111" t="b">
        <v>0</v>
      </c>
      <c r="Z246" s="104" t="str">
        <f t="shared" si="5"/>
        <v/>
      </c>
      <c r="AA246" s="112" t="b">
        <f t="shared" si="6"/>
        <v>0</v>
      </c>
      <c r="AB246" s="142" t="b">
        <v>0</v>
      </c>
      <c r="AC246" s="140">
        <v>583.0</v>
      </c>
      <c r="AD246" s="141" t="b">
        <v>0</v>
      </c>
      <c r="AE246" s="115">
        <f t="shared" si="7"/>
        <v>127.1</v>
      </c>
      <c r="AF246" s="116" t="b">
        <f t="shared" si="8"/>
        <v>0</v>
      </c>
      <c r="AG246" s="105" t="b">
        <f t="shared" si="9"/>
        <v>0</v>
      </c>
      <c r="AH246" s="140"/>
      <c r="AI246" s="140"/>
      <c r="AJ246" s="140"/>
      <c r="AK246" s="117" t="str">
        <f t="shared" si="10"/>
        <v>Positive</v>
      </c>
      <c r="AL246" s="142"/>
      <c r="AM246" s="112" t="s">
        <v>261</v>
      </c>
      <c r="AN246" s="112" t="s">
        <v>896</v>
      </c>
      <c r="AO246" s="112" t="str">
        <f>IFERROR(__xludf.DUMMYFUNCTION("IF($AG246, ""DELETED"",TRIM(JOIN("" "",D246:E246)))"),"")</f>
        <v/>
      </c>
      <c r="AP246" s="112" t="str">
        <f t="shared" ref="AP246:AQ246" si="271">IF($AG246, "DELETED", TRIM(CONCATENATE(F246,I246,U246)))</f>
        <v/>
      </c>
      <c r="AQ246" s="112" t="str">
        <f t="shared" si="271"/>
        <v/>
      </c>
      <c r="AR246" s="112" t="str">
        <f>IFERROR(__xludf.DUMMYFUNCTION("IF($AG246, ""DELETED"", TRIM(JOIN("" "",AP246,AQ246)))"),"")</f>
        <v/>
      </c>
      <c r="AS246" s="118"/>
      <c r="AT246" s="110" t="b">
        <f t="shared" si="12"/>
        <v>0</v>
      </c>
      <c r="AU246" s="110" t="str">
        <f t="shared" si="13"/>
        <v/>
      </c>
      <c r="AV246" s="110" t="str">
        <f t="shared" si="14"/>
        <v/>
      </c>
      <c r="AW246" s="110" t="str">
        <f t="shared" si="15"/>
        <v/>
      </c>
      <c r="AX246" s="119" t="str">
        <f t="shared" si="16"/>
        <v/>
      </c>
      <c r="AY246" s="120"/>
      <c r="AZ246" s="121"/>
      <c r="BA246" s="122" t="str">
        <f t="shared" si="17"/>
        <v/>
      </c>
      <c r="BB246" s="34"/>
      <c r="BC246" s="121"/>
      <c r="BD246" s="136"/>
      <c r="BE246" s="125" t="str">
        <f t="shared" si="18"/>
        <v/>
      </c>
      <c r="BF246" s="126" t="str">
        <f t="shared" si="19"/>
        <v>MA422__44579_0.413333333333333</v>
      </c>
      <c r="BG246" s="127" t="str">
        <f t="shared" si="20"/>
        <v/>
      </c>
      <c r="BH246" s="137" t="s">
        <v>897</v>
      </c>
      <c r="BI246" s="128" t="str">
        <f t="shared" si="21"/>
        <v>FM836</v>
      </c>
      <c r="BJ246" s="129" t="b">
        <f t="shared" si="22"/>
        <v>0</v>
      </c>
      <c r="BK246" s="128" t="str">
        <f t="shared" si="23"/>
        <v/>
      </c>
      <c r="BL246" s="121"/>
      <c r="BM246" s="5" t="str">
        <f t="shared" si="24"/>
        <v>MISSING</v>
      </c>
      <c r="BN246" s="120" t="b">
        <f t="shared" si="25"/>
        <v>0</v>
      </c>
      <c r="BO246" s="131" t="b">
        <f t="shared" si="26"/>
        <v>1</v>
      </c>
      <c r="BP246" s="121"/>
      <c r="BQ246" s="132" t="str">
        <f>VLOOKUP(A246,RAW_APS!A$3:O826,15,FALSE)</f>
        <v/>
      </c>
      <c r="BR246" s="120" t="b">
        <f t="shared" si="27"/>
        <v>1</v>
      </c>
      <c r="BS246" s="121"/>
      <c r="BT246" s="138" t="s">
        <v>52</v>
      </c>
      <c r="BU246" s="10" t="b">
        <f t="shared" si="28"/>
        <v>1</v>
      </c>
      <c r="BV246" s="120"/>
      <c r="BW246" s="120"/>
      <c r="BX246" s="120"/>
      <c r="BY246" s="120"/>
      <c r="BZ246" s="120"/>
      <c r="CA246" s="120"/>
      <c r="CB246" s="120"/>
      <c r="CC246" s="120"/>
    </row>
    <row r="247">
      <c r="A247" s="2" t="s">
        <v>898</v>
      </c>
      <c r="B247" s="100">
        <v>44579.0</v>
      </c>
      <c r="C247" s="101">
        <v>0.41368055555555555</v>
      </c>
      <c r="D247" s="102"/>
      <c r="E247" s="102"/>
      <c r="F247" s="103"/>
      <c r="G247" s="148"/>
      <c r="H247" s="148"/>
      <c r="I247" s="103"/>
      <c r="J247" s="103"/>
      <c r="K247" s="2" t="s">
        <v>52</v>
      </c>
      <c r="L247" s="100">
        <v>44579.0</v>
      </c>
      <c r="M247" s="101">
        <v>0.5015972222222222</v>
      </c>
      <c r="P247" s="104" t="b">
        <f>IFNA(IF(VLOOKUP($A247,'Add from APT'!$AA$2:$AC826,3,FALSE)&gt;0,TRUE,FALSE),"ER - NOT IN APT")</f>
        <v>0</v>
      </c>
      <c r="Q247" s="105" t="str">
        <f>IF(ISLOGICAL(P247),IF(P247,"ER - REPS IN APT", IFNA(VLOOKUP($A247,RAW_APT!$A$3:$M826,7,FALSE),"ER - NOT IN APT")),P247)</f>
        <v>Result</v>
      </c>
      <c r="R247" s="106" t="b">
        <f t="shared" si="2"/>
        <v>1</v>
      </c>
      <c r="S247" s="107">
        <f t="shared" si="3"/>
        <v>1</v>
      </c>
      <c r="T247" s="143"/>
      <c r="U247" s="142"/>
      <c r="V247" s="142"/>
      <c r="W247" s="142"/>
      <c r="X247" s="110" t="b">
        <f t="shared" si="4"/>
        <v>0</v>
      </c>
      <c r="Y247" s="111" t="b">
        <v>0</v>
      </c>
      <c r="Z247" s="104" t="str">
        <f t="shared" si="5"/>
        <v/>
      </c>
      <c r="AA247" s="112" t="b">
        <f t="shared" si="6"/>
        <v>0</v>
      </c>
      <c r="AB247" s="142" t="b">
        <v>0</v>
      </c>
      <c r="AC247" s="140">
        <v>582.0</v>
      </c>
      <c r="AD247" s="141" t="b">
        <v>0</v>
      </c>
      <c r="AE247" s="115">
        <f t="shared" si="7"/>
        <v>126.6</v>
      </c>
      <c r="AF247" s="116" t="b">
        <f t="shared" si="8"/>
        <v>0</v>
      </c>
      <c r="AG247" s="105" t="b">
        <f t="shared" si="9"/>
        <v>0</v>
      </c>
      <c r="AH247" s="140"/>
      <c r="AI247" s="140"/>
      <c r="AJ247" s="140"/>
      <c r="AK247" s="117" t="str">
        <f t="shared" si="10"/>
        <v>Positive</v>
      </c>
      <c r="AL247" s="142"/>
      <c r="AM247" s="112" t="s">
        <v>261</v>
      </c>
      <c r="AN247" s="112" t="s">
        <v>899</v>
      </c>
      <c r="AO247" s="112" t="str">
        <f>IFERROR(__xludf.DUMMYFUNCTION("IF($AG247, ""DELETED"",TRIM(JOIN("" "",D247:E247)))"),"")</f>
        <v/>
      </c>
      <c r="AP247" s="112" t="str">
        <f t="shared" ref="AP247:AQ247" si="272">IF($AG247, "DELETED", TRIM(CONCATENATE(F247,I247,U247)))</f>
        <v/>
      </c>
      <c r="AQ247" s="112" t="str">
        <f t="shared" si="272"/>
        <v/>
      </c>
      <c r="AR247" s="112" t="str">
        <f>IFERROR(__xludf.DUMMYFUNCTION("IF($AG247, ""DELETED"", TRIM(JOIN("" "",AP247,AQ247)))"),"")</f>
        <v/>
      </c>
      <c r="AS247" s="118"/>
      <c r="AT247" s="110" t="b">
        <f t="shared" si="12"/>
        <v>0</v>
      </c>
      <c r="AU247" s="110" t="str">
        <f t="shared" si="13"/>
        <v/>
      </c>
      <c r="AV247" s="110" t="str">
        <f t="shared" si="14"/>
        <v/>
      </c>
      <c r="AW247" s="110" t="str">
        <f t="shared" si="15"/>
        <v/>
      </c>
      <c r="AX247" s="119" t="str">
        <f t="shared" si="16"/>
        <v/>
      </c>
      <c r="AY247" s="120"/>
      <c r="AZ247" s="121"/>
      <c r="BA247" s="122" t="str">
        <f t="shared" si="17"/>
        <v/>
      </c>
      <c r="BB247" s="34"/>
      <c r="BC247" s="121"/>
      <c r="BD247" s="136"/>
      <c r="BE247" s="125" t="str">
        <f t="shared" si="18"/>
        <v/>
      </c>
      <c r="BF247" s="126" t="str">
        <f t="shared" si="19"/>
        <v>MA1146__44579_0.413680555555556</v>
      </c>
      <c r="BG247" s="127" t="str">
        <f t="shared" si="20"/>
        <v/>
      </c>
      <c r="BH247" s="137" t="s">
        <v>900</v>
      </c>
      <c r="BI247" s="128" t="str">
        <f t="shared" si="21"/>
        <v>FM839</v>
      </c>
      <c r="BJ247" s="129" t="b">
        <f t="shared" si="22"/>
        <v>0</v>
      </c>
      <c r="BK247" s="128" t="str">
        <f t="shared" si="23"/>
        <v/>
      </c>
      <c r="BL247" s="121"/>
      <c r="BM247" s="5" t="str">
        <f t="shared" si="24"/>
        <v>MISSING</v>
      </c>
      <c r="BN247" s="120" t="b">
        <f t="shared" si="25"/>
        <v>0</v>
      </c>
      <c r="BO247" s="131" t="b">
        <f t="shared" si="26"/>
        <v>1</v>
      </c>
      <c r="BP247" s="121"/>
      <c r="BQ247" s="132" t="str">
        <f>VLOOKUP(A247,RAW_APS!A$3:O826,15,FALSE)</f>
        <v/>
      </c>
      <c r="BR247" s="120" t="b">
        <f t="shared" si="27"/>
        <v>1</v>
      </c>
      <c r="BS247" s="121"/>
      <c r="BT247" s="138" t="s">
        <v>52</v>
      </c>
      <c r="BU247" s="10" t="b">
        <f t="shared" si="28"/>
        <v>1</v>
      </c>
      <c r="BV247" s="120"/>
      <c r="BW247" s="120"/>
      <c r="BX247" s="120"/>
      <c r="BY247" s="120"/>
      <c r="BZ247" s="120"/>
      <c r="CA247" s="120"/>
      <c r="CB247" s="120"/>
      <c r="CC247" s="120"/>
    </row>
    <row r="248">
      <c r="A248" s="2" t="s">
        <v>901</v>
      </c>
      <c r="B248" s="100">
        <v>44579.0</v>
      </c>
      <c r="C248" s="101">
        <v>0.4140740740740741</v>
      </c>
      <c r="D248" s="102"/>
      <c r="E248" s="102"/>
      <c r="F248" s="139"/>
      <c r="G248" s="148"/>
      <c r="H248" s="148"/>
      <c r="I248" s="103"/>
      <c r="J248" s="103"/>
      <c r="K248" s="2" t="s">
        <v>52</v>
      </c>
      <c r="L248" s="100">
        <v>44579.0</v>
      </c>
      <c r="M248" s="101">
        <v>0.5015972222222222</v>
      </c>
      <c r="P248" s="104" t="b">
        <f>IFNA(IF(VLOOKUP($A248,'Add from APT'!$AA$2:$AC826,3,FALSE)&gt;0,TRUE,FALSE),"ER - NOT IN APT")</f>
        <v>0</v>
      </c>
      <c r="Q248" s="105" t="str">
        <f>IF(ISLOGICAL(P248),IF(P248,"ER - REPS IN APT", IFNA(VLOOKUP($A248,RAW_APT!$A$3:$M826,7,FALSE),"ER - NOT IN APT")),P248)</f>
        <v>Result</v>
      </c>
      <c r="R248" s="106" t="b">
        <f t="shared" si="2"/>
        <v>1</v>
      </c>
      <c r="S248" s="107">
        <f t="shared" si="3"/>
        <v>1</v>
      </c>
      <c r="T248" s="143"/>
      <c r="U248" s="142"/>
      <c r="V248" s="142"/>
      <c r="W248" s="142"/>
      <c r="X248" s="110" t="b">
        <f t="shared" si="4"/>
        <v>0</v>
      </c>
      <c r="Y248" s="111" t="b">
        <v>0</v>
      </c>
      <c r="Z248" s="104" t="str">
        <f t="shared" si="5"/>
        <v/>
      </c>
      <c r="AA248" s="112" t="b">
        <f t="shared" si="6"/>
        <v>0</v>
      </c>
      <c r="AB248" s="142" t="b">
        <v>0</v>
      </c>
      <c r="AC248" s="140">
        <v>580.0</v>
      </c>
      <c r="AD248" s="141" t="b">
        <v>0</v>
      </c>
      <c r="AE248" s="115">
        <f t="shared" si="7"/>
        <v>126.0333333</v>
      </c>
      <c r="AF248" s="116" t="b">
        <f t="shared" si="8"/>
        <v>0</v>
      </c>
      <c r="AG248" s="105" t="b">
        <f t="shared" si="9"/>
        <v>0</v>
      </c>
      <c r="AH248" s="140"/>
      <c r="AI248" s="140"/>
      <c r="AJ248" s="140"/>
      <c r="AK248" s="117" t="str">
        <f t="shared" si="10"/>
        <v>Positive</v>
      </c>
      <c r="AL248" s="142"/>
      <c r="AM248" s="112" t="s">
        <v>261</v>
      </c>
      <c r="AN248" s="112" t="s">
        <v>902</v>
      </c>
      <c r="AO248" s="112" t="str">
        <f>IFERROR(__xludf.DUMMYFUNCTION("IF($AG248, ""DELETED"",TRIM(JOIN("" "",D248:E248)))"),"")</f>
        <v/>
      </c>
      <c r="AP248" s="112" t="str">
        <f t="shared" ref="AP248:AQ248" si="273">IF($AG248, "DELETED", TRIM(CONCATENATE(F248,I248,U248)))</f>
        <v/>
      </c>
      <c r="AQ248" s="112" t="str">
        <f t="shared" si="273"/>
        <v/>
      </c>
      <c r="AR248" s="112" t="str">
        <f>IFERROR(__xludf.DUMMYFUNCTION("IF($AG248, ""DELETED"", TRIM(JOIN("" "",AP248,AQ248)))"),"")</f>
        <v/>
      </c>
      <c r="AS248" s="118"/>
      <c r="AT248" s="110" t="b">
        <f t="shared" si="12"/>
        <v>0</v>
      </c>
      <c r="AU248" s="110" t="str">
        <f t="shared" si="13"/>
        <v/>
      </c>
      <c r="AV248" s="110" t="str">
        <f t="shared" si="14"/>
        <v/>
      </c>
      <c r="AW248" s="110" t="str">
        <f t="shared" si="15"/>
        <v/>
      </c>
      <c r="AX248" s="119" t="str">
        <f t="shared" si="16"/>
        <v/>
      </c>
      <c r="AY248" s="120"/>
      <c r="AZ248" s="121"/>
      <c r="BA248" s="122" t="str">
        <f t="shared" si="17"/>
        <v/>
      </c>
      <c r="BB248" s="34"/>
      <c r="BC248" s="121"/>
      <c r="BD248" s="136"/>
      <c r="BE248" s="125" t="str">
        <f t="shared" si="18"/>
        <v/>
      </c>
      <c r="BF248" s="126" t="str">
        <f t="shared" si="19"/>
        <v>MA1162__44579_0.414074074074074</v>
      </c>
      <c r="BG248" s="127" t="str">
        <f t="shared" si="20"/>
        <v/>
      </c>
      <c r="BH248" s="137" t="s">
        <v>903</v>
      </c>
      <c r="BI248" s="128" t="str">
        <f t="shared" si="21"/>
        <v>FM85</v>
      </c>
      <c r="BJ248" s="129" t="b">
        <f t="shared" si="22"/>
        <v>0</v>
      </c>
      <c r="BK248" s="128" t="str">
        <f t="shared" si="23"/>
        <v/>
      </c>
      <c r="BL248" s="121"/>
      <c r="BM248" s="5" t="str">
        <f t="shared" si="24"/>
        <v>MISSING</v>
      </c>
      <c r="BN248" s="120" t="b">
        <f t="shared" si="25"/>
        <v>0</v>
      </c>
      <c r="BO248" s="131" t="b">
        <f t="shared" si="26"/>
        <v>1</v>
      </c>
      <c r="BP248" s="121"/>
      <c r="BQ248" s="132" t="str">
        <f>VLOOKUP(A248,RAW_APS!A$3:O826,15,FALSE)</f>
        <v/>
      </c>
      <c r="BR248" s="120" t="b">
        <f t="shared" si="27"/>
        <v>1</v>
      </c>
      <c r="BS248" s="121"/>
      <c r="BT248" s="138" t="s">
        <v>52</v>
      </c>
      <c r="BU248" s="10" t="b">
        <f t="shared" si="28"/>
        <v>1</v>
      </c>
      <c r="BV248" s="120"/>
      <c r="BW248" s="120"/>
      <c r="BX248" s="120"/>
      <c r="BY248" s="120"/>
      <c r="BZ248" s="120"/>
      <c r="CA248" s="120"/>
      <c r="CB248" s="120"/>
      <c r="CC248" s="120"/>
    </row>
    <row r="249">
      <c r="A249" s="2" t="s">
        <v>904</v>
      </c>
      <c r="B249" s="100">
        <v>44579.0</v>
      </c>
      <c r="C249" s="101">
        <v>0.41445601851851854</v>
      </c>
      <c r="D249" s="102"/>
      <c r="E249" s="102"/>
      <c r="F249" s="103"/>
      <c r="G249" s="148"/>
      <c r="H249" s="148"/>
      <c r="I249" s="103"/>
      <c r="J249" s="103"/>
      <c r="K249" s="2" t="s">
        <v>52</v>
      </c>
      <c r="L249" s="100">
        <v>44579.0</v>
      </c>
      <c r="M249" s="101">
        <v>0.5015972222222222</v>
      </c>
      <c r="P249" s="104" t="b">
        <f>IFNA(IF(VLOOKUP($A249,'Add from APT'!$AA$2:$AC826,3,FALSE)&gt;0,TRUE,FALSE),"ER - NOT IN APT")</f>
        <v>0</v>
      </c>
      <c r="Q249" s="105" t="str">
        <f>IF(ISLOGICAL(P249),IF(P249,"ER - REPS IN APT", IFNA(VLOOKUP($A249,RAW_APT!$A$3:$M826,7,FALSE),"ER - NOT IN APT")),P249)</f>
        <v>Result</v>
      </c>
      <c r="R249" s="106" t="b">
        <f t="shared" si="2"/>
        <v>1</v>
      </c>
      <c r="S249" s="107">
        <f t="shared" si="3"/>
        <v>1</v>
      </c>
      <c r="T249" s="143"/>
      <c r="U249" s="142"/>
      <c r="V249" s="142"/>
      <c r="W249" s="142"/>
      <c r="X249" s="110" t="b">
        <f t="shared" si="4"/>
        <v>0</v>
      </c>
      <c r="Y249" s="111" t="b">
        <v>0</v>
      </c>
      <c r="Z249" s="104" t="str">
        <f t="shared" si="5"/>
        <v/>
      </c>
      <c r="AA249" s="112" t="b">
        <f t="shared" si="6"/>
        <v>0</v>
      </c>
      <c r="AB249" s="142" t="b">
        <v>0</v>
      </c>
      <c r="AC249" s="140">
        <v>581.0</v>
      </c>
      <c r="AD249" s="141" t="b">
        <v>0</v>
      </c>
      <c r="AE249" s="115">
        <f t="shared" si="7"/>
        <v>125.4833333</v>
      </c>
      <c r="AF249" s="116" t="b">
        <f t="shared" si="8"/>
        <v>0</v>
      </c>
      <c r="AG249" s="105" t="b">
        <f t="shared" si="9"/>
        <v>0</v>
      </c>
      <c r="AH249" s="140"/>
      <c r="AI249" s="140"/>
      <c r="AJ249" s="140"/>
      <c r="AK249" s="117" t="str">
        <f t="shared" si="10"/>
        <v>Positive</v>
      </c>
      <c r="AL249" s="142"/>
      <c r="AM249" s="112" t="s">
        <v>261</v>
      </c>
      <c r="AN249" s="112" t="s">
        <v>905</v>
      </c>
      <c r="AO249" s="112" t="str">
        <f>IFERROR(__xludf.DUMMYFUNCTION("IF($AG249, ""DELETED"",TRIM(JOIN("" "",D249:E249)))"),"")</f>
        <v/>
      </c>
      <c r="AP249" s="112" t="str">
        <f t="shared" ref="AP249:AQ249" si="274">IF($AG249, "DELETED", TRIM(CONCATENATE(F249,I249,U249)))</f>
        <v/>
      </c>
      <c r="AQ249" s="112" t="str">
        <f t="shared" si="274"/>
        <v/>
      </c>
      <c r="AR249" s="112" t="str">
        <f>IFERROR(__xludf.DUMMYFUNCTION("IF($AG249, ""DELETED"", TRIM(JOIN("" "",AP249,AQ249)))"),"")</f>
        <v/>
      </c>
      <c r="AS249" s="118"/>
      <c r="AT249" s="110" t="b">
        <f t="shared" si="12"/>
        <v>0</v>
      </c>
      <c r="AU249" s="110" t="str">
        <f t="shared" si="13"/>
        <v/>
      </c>
      <c r="AV249" s="110" t="str">
        <f t="shared" si="14"/>
        <v/>
      </c>
      <c r="AW249" s="110" t="str">
        <f t="shared" si="15"/>
        <v/>
      </c>
      <c r="AX249" s="119" t="str">
        <f t="shared" si="16"/>
        <v/>
      </c>
      <c r="AY249" s="120"/>
      <c r="AZ249" s="121"/>
      <c r="BA249" s="122" t="str">
        <f t="shared" si="17"/>
        <v/>
      </c>
      <c r="BB249" s="34"/>
      <c r="BC249" s="121"/>
      <c r="BD249" s="136"/>
      <c r="BE249" s="125" t="str">
        <f t="shared" si="18"/>
        <v/>
      </c>
      <c r="BF249" s="126" t="str">
        <f t="shared" si="19"/>
        <v>MA547__44579_0.414456018518519</v>
      </c>
      <c r="BG249" s="127" t="str">
        <f t="shared" si="20"/>
        <v/>
      </c>
      <c r="BH249" s="137" t="s">
        <v>906</v>
      </c>
      <c r="BI249" s="128" t="str">
        <f t="shared" si="21"/>
        <v>FM87</v>
      </c>
      <c r="BJ249" s="129" t="b">
        <f t="shared" si="22"/>
        <v>0</v>
      </c>
      <c r="BK249" s="128" t="str">
        <f t="shared" si="23"/>
        <v/>
      </c>
      <c r="BL249" s="121"/>
      <c r="BM249" s="5" t="str">
        <f t="shared" si="24"/>
        <v>MISSING</v>
      </c>
      <c r="BN249" s="120" t="b">
        <f t="shared" si="25"/>
        <v>0</v>
      </c>
      <c r="BO249" s="131" t="b">
        <f t="shared" si="26"/>
        <v>1</v>
      </c>
      <c r="BP249" s="121"/>
      <c r="BQ249" s="132" t="str">
        <f>VLOOKUP(A249,RAW_APS!A$3:O826,15,FALSE)</f>
        <v/>
      </c>
      <c r="BR249" s="120" t="b">
        <f t="shared" si="27"/>
        <v>1</v>
      </c>
      <c r="BS249" s="121"/>
      <c r="BT249" s="138" t="s">
        <v>52</v>
      </c>
      <c r="BU249" s="10" t="b">
        <f t="shared" si="28"/>
        <v>1</v>
      </c>
      <c r="BV249" s="120"/>
      <c r="BW249" s="120"/>
      <c r="BX249" s="120"/>
      <c r="BY249" s="120"/>
      <c r="BZ249" s="120"/>
      <c r="CA249" s="120"/>
      <c r="CB249" s="120"/>
      <c r="CC249" s="120"/>
    </row>
    <row r="250">
      <c r="A250" s="2" t="s">
        <v>907</v>
      </c>
      <c r="B250" s="100">
        <v>44579.0</v>
      </c>
      <c r="C250" s="101">
        <v>0.4153472222222222</v>
      </c>
      <c r="D250" s="102"/>
      <c r="E250" s="102"/>
      <c r="F250" s="102"/>
      <c r="G250" s="102"/>
      <c r="H250" s="102"/>
      <c r="I250" s="103"/>
      <c r="J250" s="103"/>
      <c r="K250" s="2" t="s">
        <v>52</v>
      </c>
      <c r="L250" s="100">
        <v>44579.0</v>
      </c>
      <c r="M250" s="101">
        <v>0.5015972222222222</v>
      </c>
      <c r="P250" s="104" t="b">
        <f>IFNA(IF(VLOOKUP($A250,'Add from APT'!$AA$2:$AC826,3,FALSE)&gt;0,TRUE,FALSE),"ER - NOT IN APT")</f>
        <v>0</v>
      </c>
      <c r="Q250" s="105" t="str">
        <f>IF(ISLOGICAL(P250),IF(P250,"ER - REPS IN APT", IFNA(VLOOKUP($A250,RAW_APT!$A$3:$M826,7,FALSE),"ER - NOT IN APT")),P250)</f>
        <v>Result</v>
      </c>
      <c r="R250" s="106" t="b">
        <f t="shared" si="2"/>
        <v>1</v>
      </c>
      <c r="S250" s="107">
        <f t="shared" si="3"/>
        <v>1</v>
      </c>
      <c r="T250" s="143"/>
      <c r="U250" s="142"/>
      <c r="V250" s="142"/>
      <c r="W250" s="142"/>
      <c r="X250" s="110" t="b">
        <f t="shared" si="4"/>
        <v>0</v>
      </c>
      <c r="Y250" s="111" t="b">
        <v>0</v>
      </c>
      <c r="Z250" s="104" t="str">
        <f t="shared" si="5"/>
        <v/>
      </c>
      <c r="AA250" s="112" t="b">
        <f t="shared" si="6"/>
        <v>0</v>
      </c>
      <c r="AB250" s="142" t="b">
        <v>0</v>
      </c>
      <c r="AC250" s="140">
        <v>579.0</v>
      </c>
      <c r="AD250" s="141" t="b">
        <v>0</v>
      </c>
      <c r="AE250" s="115">
        <f t="shared" si="7"/>
        <v>124.2</v>
      </c>
      <c r="AF250" s="116" t="b">
        <f t="shared" si="8"/>
        <v>0</v>
      </c>
      <c r="AG250" s="105" t="b">
        <f t="shared" si="9"/>
        <v>0</v>
      </c>
      <c r="AH250" s="140"/>
      <c r="AI250" s="140"/>
      <c r="AJ250" s="140"/>
      <c r="AK250" s="117" t="str">
        <f t="shared" si="10"/>
        <v>Positive</v>
      </c>
      <c r="AL250" s="142"/>
      <c r="AM250" s="112" t="s">
        <v>261</v>
      </c>
      <c r="AN250" s="112" t="s">
        <v>908</v>
      </c>
      <c r="AO250" s="112" t="str">
        <f>IFERROR(__xludf.DUMMYFUNCTION("IF($AG250, ""DELETED"",TRIM(JOIN("" "",D250:E250)))"),"")</f>
        <v/>
      </c>
      <c r="AP250" s="112" t="str">
        <f t="shared" ref="AP250:AQ250" si="275">IF($AG250, "DELETED", TRIM(CONCATENATE(F250,I250,U250)))</f>
        <v/>
      </c>
      <c r="AQ250" s="112" t="str">
        <f t="shared" si="275"/>
        <v/>
      </c>
      <c r="AR250" s="112" t="str">
        <f>IFERROR(__xludf.DUMMYFUNCTION("IF($AG250, ""DELETED"", TRIM(JOIN("" "",AP250,AQ250)))"),"")</f>
        <v/>
      </c>
      <c r="AS250" s="118"/>
      <c r="AT250" s="110" t="b">
        <f t="shared" si="12"/>
        <v>0</v>
      </c>
      <c r="AU250" s="110" t="str">
        <f t="shared" si="13"/>
        <v/>
      </c>
      <c r="AV250" s="110" t="str">
        <f t="shared" si="14"/>
        <v/>
      </c>
      <c r="AW250" s="110" t="str">
        <f t="shared" si="15"/>
        <v/>
      </c>
      <c r="AX250" s="119" t="str">
        <f t="shared" si="16"/>
        <v/>
      </c>
      <c r="AY250" s="120"/>
      <c r="AZ250" s="121"/>
      <c r="BA250" s="122" t="str">
        <f t="shared" si="17"/>
        <v/>
      </c>
      <c r="BB250" s="34"/>
      <c r="BC250" s="121"/>
      <c r="BD250" s="136"/>
      <c r="BE250" s="125" t="str">
        <f t="shared" si="18"/>
        <v/>
      </c>
      <c r="BF250" s="126" t="str">
        <f t="shared" si="19"/>
        <v>MA1037__44579_0.415347222222222</v>
      </c>
      <c r="BG250" s="127" t="str">
        <f t="shared" si="20"/>
        <v/>
      </c>
      <c r="BH250" s="137" t="s">
        <v>909</v>
      </c>
      <c r="BI250" s="128" t="str">
        <f t="shared" si="21"/>
        <v>FM89</v>
      </c>
      <c r="BJ250" s="129" t="b">
        <f t="shared" si="22"/>
        <v>0</v>
      </c>
      <c r="BK250" s="128" t="str">
        <f t="shared" si="23"/>
        <v/>
      </c>
      <c r="BL250" s="121"/>
      <c r="BM250" s="5" t="str">
        <f t="shared" si="24"/>
        <v>MISSING</v>
      </c>
      <c r="BN250" s="120" t="b">
        <f t="shared" si="25"/>
        <v>0</v>
      </c>
      <c r="BO250" s="131" t="b">
        <f t="shared" si="26"/>
        <v>1</v>
      </c>
      <c r="BP250" s="121"/>
      <c r="BQ250" s="132" t="str">
        <f>VLOOKUP(A250,RAW_APS!A$3:O826,15,FALSE)</f>
        <v/>
      </c>
      <c r="BR250" s="120" t="b">
        <f t="shared" si="27"/>
        <v>1</v>
      </c>
      <c r="BS250" s="121"/>
      <c r="BT250" s="138" t="s">
        <v>52</v>
      </c>
      <c r="BU250" s="10" t="b">
        <f t="shared" si="28"/>
        <v>1</v>
      </c>
      <c r="BV250" s="120"/>
      <c r="BW250" s="120"/>
      <c r="BX250" s="120"/>
      <c r="BY250" s="120"/>
      <c r="BZ250" s="120"/>
      <c r="CA250" s="120"/>
      <c r="CB250" s="120"/>
      <c r="CC250" s="120"/>
    </row>
    <row r="251">
      <c r="A251" s="2" t="s">
        <v>910</v>
      </c>
      <c r="B251" s="100">
        <v>44579.0</v>
      </c>
      <c r="C251" s="101">
        <v>0.4159259259259259</v>
      </c>
      <c r="D251" s="102"/>
      <c r="E251" s="102"/>
      <c r="F251" s="102"/>
      <c r="G251" s="102"/>
      <c r="H251" s="102"/>
      <c r="I251" s="103"/>
      <c r="J251" s="103"/>
      <c r="K251" s="2" t="s">
        <v>52</v>
      </c>
      <c r="L251" s="100">
        <v>44579.0</v>
      </c>
      <c r="M251" s="101">
        <v>0.5015972222222222</v>
      </c>
      <c r="P251" s="104" t="b">
        <f>IFNA(IF(VLOOKUP($A251,'Add from APT'!$AA$2:$AC826,3,FALSE)&gt;0,TRUE,FALSE),"ER - NOT IN APT")</f>
        <v>0</v>
      </c>
      <c r="Q251" s="105" t="str">
        <f>IF(ISLOGICAL(P251),IF(P251,"ER - REPS IN APT", IFNA(VLOOKUP($A251,RAW_APT!$A$3:$M826,7,FALSE),"ER - NOT IN APT")),P251)</f>
        <v>Result</v>
      </c>
      <c r="R251" s="106" t="b">
        <f t="shared" si="2"/>
        <v>1</v>
      </c>
      <c r="S251" s="107">
        <f t="shared" si="3"/>
        <v>1</v>
      </c>
      <c r="T251" s="143"/>
      <c r="U251" s="142"/>
      <c r="V251" s="142"/>
      <c r="W251" s="142"/>
      <c r="X251" s="110" t="b">
        <f t="shared" si="4"/>
        <v>0</v>
      </c>
      <c r="Y251" s="111" t="b">
        <v>0</v>
      </c>
      <c r="Z251" s="104" t="str">
        <f t="shared" si="5"/>
        <v/>
      </c>
      <c r="AA251" s="112" t="b">
        <f t="shared" si="6"/>
        <v>0</v>
      </c>
      <c r="AB251" s="142" t="b">
        <v>0</v>
      </c>
      <c r="AC251" s="140">
        <v>578.0</v>
      </c>
      <c r="AD251" s="141" t="b">
        <v>0</v>
      </c>
      <c r="AE251" s="115">
        <f t="shared" si="7"/>
        <v>123.3666667</v>
      </c>
      <c r="AF251" s="116" t="b">
        <f t="shared" si="8"/>
        <v>0</v>
      </c>
      <c r="AG251" s="105" t="b">
        <f t="shared" si="9"/>
        <v>0</v>
      </c>
      <c r="AH251" s="140"/>
      <c r="AI251" s="140"/>
      <c r="AJ251" s="140"/>
      <c r="AK251" s="117" t="str">
        <f t="shared" si="10"/>
        <v>Positive</v>
      </c>
      <c r="AL251" s="142"/>
      <c r="AM251" s="112" t="s">
        <v>261</v>
      </c>
      <c r="AN251" s="112" t="s">
        <v>458</v>
      </c>
      <c r="AO251" s="112" t="str">
        <f>IFERROR(__xludf.DUMMYFUNCTION("IF($AG251, ""DELETED"",TRIM(JOIN("" "",D251:E251)))"),"")</f>
        <v/>
      </c>
      <c r="AP251" s="112" t="str">
        <f t="shared" ref="AP251:AQ251" si="276">IF($AG251, "DELETED", TRIM(CONCATENATE(F251,I251,U251)))</f>
        <v/>
      </c>
      <c r="AQ251" s="112" t="str">
        <f t="shared" si="276"/>
        <v/>
      </c>
      <c r="AR251" s="112" t="str">
        <f>IFERROR(__xludf.DUMMYFUNCTION("IF($AG251, ""DELETED"", TRIM(JOIN("" "",AP251,AQ251)))"),"")</f>
        <v/>
      </c>
      <c r="AS251" s="118"/>
      <c r="AT251" s="110" t="b">
        <f t="shared" si="12"/>
        <v>0</v>
      </c>
      <c r="AU251" s="110" t="str">
        <f t="shared" si="13"/>
        <v/>
      </c>
      <c r="AV251" s="110" t="str">
        <f t="shared" si="14"/>
        <v/>
      </c>
      <c r="AW251" s="110" t="str">
        <f t="shared" si="15"/>
        <v/>
      </c>
      <c r="AX251" s="119" t="str">
        <f t="shared" si="16"/>
        <v/>
      </c>
      <c r="AY251" s="120"/>
      <c r="AZ251" s="121"/>
      <c r="BA251" s="122" t="str">
        <f t="shared" si="17"/>
        <v/>
      </c>
      <c r="BB251" s="34"/>
      <c r="BC251" s="121"/>
      <c r="BD251" s="136"/>
      <c r="BE251" s="125" t="str">
        <f t="shared" si="18"/>
        <v/>
      </c>
      <c r="BF251" s="126" t="str">
        <f t="shared" si="19"/>
        <v>MA446__44579_0.415925925925926</v>
      </c>
      <c r="BG251" s="127" t="str">
        <f t="shared" si="20"/>
        <v/>
      </c>
      <c r="BH251" s="137" t="s">
        <v>911</v>
      </c>
      <c r="BI251" s="128" t="str">
        <f t="shared" si="21"/>
        <v>FM9</v>
      </c>
      <c r="BJ251" s="129" t="b">
        <f t="shared" si="22"/>
        <v>0</v>
      </c>
      <c r="BK251" s="128" t="str">
        <f t="shared" si="23"/>
        <v/>
      </c>
      <c r="BL251" s="121"/>
      <c r="BM251" s="5" t="str">
        <f t="shared" si="24"/>
        <v>MISSING</v>
      </c>
      <c r="BN251" s="120" t="b">
        <f t="shared" si="25"/>
        <v>0</v>
      </c>
      <c r="BO251" s="131" t="b">
        <f t="shared" si="26"/>
        <v>1</v>
      </c>
      <c r="BP251" s="121"/>
      <c r="BQ251" s="132" t="str">
        <f>VLOOKUP(A251,RAW_APS!A$3:O826,15,FALSE)</f>
        <v/>
      </c>
      <c r="BR251" s="120" t="b">
        <f t="shared" si="27"/>
        <v>1</v>
      </c>
      <c r="BS251" s="121"/>
      <c r="BT251" s="138" t="s">
        <v>52</v>
      </c>
      <c r="BU251" s="10" t="b">
        <f t="shared" si="28"/>
        <v>1</v>
      </c>
      <c r="BV251" s="120"/>
      <c r="BW251" s="120"/>
      <c r="BX251" s="120"/>
      <c r="BY251" s="120"/>
      <c r="BZ251" s="120"/>
      <c r="CA251" s="120"/>
      <c r="CB251" s="120"/>
      <c r="CC251" s="120"/>
    </row>
    <row r="252">
      <c r="A252" s="2" t="s">
        <v>912</v>
      </c>
      <c r="B252" s="100">
        <v>44580.0</v>
      </c>
      <c r="C252" s="101">
        <v>0.2888310185185185</v>
      </c>
      <c r="D252" s="102"/>
      <c r="E252" s="102"/>
      <c r="F252" s="103"/>
      <c r="G252" s="148"/>
      <c r="H252" s="148"/>
      <c r="I252" s="103"/>
      <c r="J252" s="103"/>
      <c r="K252" s="2" t="s">
        <v>244</v>
      </c>
      <c r="L252" s="100">
        <v>44580.0</v>
      </c>
      <c r="M252" s="101">
        <v>0.5080208333333334</v>
      </c>
      <c r="P252" s="104" t="b">
        <f>IFNA(IF(VLOOKUP($A252,'Add from APT'!$AA$2:$AC826,3,FALSE)&gt;0,TRUE,FALSE),"ER - NOT IN APT")</f>
        <v>0</v>
      </c>
      <c r="Q252" s="105" t="str">
        <f>IF(ISLOGICAL(P252),IF(P252,"ER - REPS IN APT", IFNA(VLOOKUP($A252,RAW_APT!$A$3:$M826,7,FALSE),"ER - NOT IN APT")),P252)</f>
        <v>Result</v>
      </c>
      <c r="R252" s="106" t="b">
        <f t="shared" si="2"/>
        <v>1</v>
      </c>
      <c r="S252" s="107">
        <f t="shared" si="3"/>
        <v>1</v>
      </c>
      <c r="T252" s="143"/>
      <c r="U252" s="162"/>
      <c r="V252" s="142"/>
      <c r="W252" s="159"/>
      <c r="X252" s="110" t="b">
        <f t="shared" si="4"/>
        <v>0</v>
      </c>
      <c r="Y252" s="111" t="b">
        <v>0</v>
      </c>
      <c r="Z252" s="104" t="str">
        <f t="shared" si="5"/>
        <v/>
      </c>
      <c r="AA252" s="112" t="b">
        <f t="shared" si="6"/>
        <v>0</v>
      </c>
      <c r="AB252" s="142" t="b">
        <v>0</v>
      </c>
      <c r="AC252" s="140">
        <v>548.0</v>
      </c>
      <c r="AD252" s="141" t="b">
        <v>0</v>
      </c>
      <c r="AE252" s="115">
        <f t="shared" si="7"/>
        <v>315.6333333</v>
      </c>
      <c r="AF252" s="116" t="b">
        <f t="shared" si="8"/>
        <v>0</v>
      </c>
      <c r="AG252" s="105" t="b">
        <f t="shared" si="9"/>
        <v>0</v>
      </c>
      <c r="AH252" s="140"/>
      <c r="AI252" s="140"/>
      <c r="AJ252" s="140"/>
      <c r="AK252" s="117" t="str">
        <f t="shared" si="10"/>
        <v>Negative</v>
      </c>
      <c r="AL252" s="142"/>
      <c r="AM252" s="112" t="s">
        <v>261</v>
      </c>
      <c r="AN252" s="112" t="s">
        <v>913</v>
      </c>
      <c r="AO252" s="112" t="str">
        <f>IFERROR(__xludf.DUMMYFUNCTION("IF($AG252, ""DELETED"",TRIM(JOIN("" "",D252:E252)))"),"")</f>
        <v/>
      </c>
      <c r="AP252" s="112" t="str">
        <f t="shared" ref="AP252:AQ252" si="277">IF($AG252, "DELETED", TRIM(CONCATENATE(F252,I252,U252)))</f>
        <v/>
      </c>
      <c r="AQ252" s="112" t="str">
        <f t="shared" si="277"/>
        <v/>
      </c>
      <c r="AR252" s="112" t="str">
        <f>IFERROR(__xludf.DUMMYFUNCTION("IF($AG252, ""DELETED"", TRIM(JOIN("" "",AP252,AQ252)))"),"")</f>
        <v/>
      </c>
      <c r="AS252" s="118"/>
      <c r="AT252" s="110" t="b">
        <f t="shared" si="12"/>
        <v>0</v>
      </c>
      <c r="AU252" s="110" t="str">
        <f t="shared" si="13"/>
        <v/>
      </c>
      <c r="AV252" s="110" t="str">
        <f t="shared" si="14"/>
        <v/>
      </c>
      <c r="AW252" s="110" t="str">
        <f t="shared" si="15"/>
        <v/>
      </c>
      <c r="AX252" s="119" t="str">
        <f t="shared" si="16"/>
        <v/>
      </c>
      <c r="AY252" s="120"/>
      <c r="AZ252" s="121"/>
      <c r="BA252" s="122" t="str">
        <f t="shared" si="17"/>
        <v/>
      </c>
      <c r="BB252" s="34"/>
      <c r="BC252" s="121"/>
      <c r="BD252" s="136"/>
      <c r="BE252" s="125" t="str">
        <f t="shared" si="18"/>
        <v/>
      </c>
      <c r="BF252" s="126" t="str">
        <f t="shared" si="19"/>
        <v>MAX90__44580_0.288831018518519</v>
      </c>
      <c r="BG252" s="127" t="str">
        <f t="shared" si="20"/>
        <v/>
      </c>
      <c r="BH252" s="137" t="s">
        <v>914</v>
      </c>
      <c r="BI252" s="128" t="str">
        <f t="shared" si="21"/>
        <v>FM90</v>
      </c>
      <c r="BJ252" s="129" t="b">
        <f t="shared" si="22"/>
        <v>0</v>
      </c>
      <c r="BK252" s="128" t="str">
        <f t="shared" si="23"/>
        <v/>
      </c>
      <c r="BL252" s="121"/>
      <c r="BM252" s="5" t="str">
        <f t="shared" si="24"/>
        <v>MISSING</v>
      </c>
      <c r="BN252" s="120" t="b">
        <f t="shared" si="25"/>
        <v>0</v>
      </c>
      <c r="BO252" s="131" t="b">
        <f t="shared" si="26"/>
        <v>1</v>
      </c>
      <c r="BP252" s="121"/>
      <c r="BQ252" s="132" t="str">
        <f>VLOOKUP(A252,RAW_APS!A$3:O826,15,FALSE)</f>
        <v/>
      </c>
      <c r="BR252" s="120" t="b">
        <f t="shared" si="27"/>
        <v>1</v>
      </c>
      <c r="BS252" s="121"/>
      <c r="BT252" s="138" t="s">
        <v>244</v>
      </c>
      <c r="BU252" s="10" t="b">
        <f t="shared" si="28"/>
        <v>1</v>
      </c>
      <c r="BV252" s="120"/>
      <c r="BW252" s="120"/>
      <c r="BX252" s="120"/>
      <c r="BY252" s="120"/>
      <c r="BZ252" s="120"/>
      <c r="CA252" s="120"/>
      <c r="CB252" s="120"/>
      <c r="CC252" s="120"/>
    </row>
    <row r="253">
      <c r="A253" s="2" t="s">
        <v>915</v>
      </c>
      <c r="B253" s="100">
        <v>44580.0</v>
      </c>
      <c r="C253" s="101">
        <v>0.2900578703703704</v>
      </c>
      <c r="D253" s="102"/>
      <c r="E253" s="102"/>
      <c r="F253" s="157"/>
      <c r="G253" s="139"/>
      <c r="H253" s="139"/>
      <c r="I253" s="103"/>
      <c r="J253" s="103"/>
      <c r="K253" s="2" t="s">
        <v>244</v>
      </c>
      <c r="L253" s="100">
        <v>44580.0</v>
      </c>
      <c r="M253" s="101">
        <v>0.5080208333333334</v>
      </c>
      <c r="P253" s="104" t="b">
        <f>IFNA(IF(VLOOKUP($A253,'Add from APT'!$AA$2:$AC826,3,FALSE)&gt;0,TRUE,FALSE),"ER - NOT IN APT")</f>
        <v>0</v>
      </c>
      <c r="Q253" s="105" t="str">
        <f>IF(ISLOGICAL(P253),IF(P253,"ER - REPS IN APT", IFNA(VLOOKUP($A253,RAW_APT!$A$3:$M826,7,FALSE),"ER - NOT IN APT")),P253)</f>
        <v>Result</v>
      </c>
      <c r="R253" s="106" t="b">
        <f t="shared" si="2"/>
        <v>1</v>
      </c>
      <c r="S253" s="107">
        <f t="shared" si="3"/>
        <v>1</v>
      </c>
      <c r="T253" s="140">
        <v>0.0</v>
      </c>
      <c r="U253" s="160"/>
      <c r="V253" s="141"/>
      <c r="W253" s="159"/>
      <c r="X253" s="110" t="b">
        <f t="shared" si="4"/>
        <v>0</v>
      </c>
      <c r="Y253" s="111" t="b">
        <v>0</v>
      </c>
      <c r="Z253" s="104" t="str">
        <f t="shared" si="5"/>
        <v/>
      </c>
      <c r="AA253" s="112" t="b">
        <f t="shared" si="6"/>
        <v>0</v>
      </c>
      <c r="AB253" s="142" t="b">
        <v>0</v>
      </c>
      <c r="AC253" s="140">
        <v>547.0</v>
      </c>
      <c r="AD253" s="141" t="b">
        <v>0</v>
      </c>
      <c r="AE253" s="115">
        <f t="shared" si="7"/>
        <v>313.8666667</v>
      </c>
      <c r="AF253" s="116" t="b">
        <f t="shared" si="8"/>
        <v>0</v>
      </c>
      <c r="AG253" s="105" t="b">
        <f t="shared" si="9"/>
        <v>0</v>
      </c>
      <c r="AH253" s="140"/>
      <c r="AI253" s="140"/>
      <c r="AJ253" s="140"/>
      <c r="AK253" s="117" t="str">
        <f t="shared" si="10"/>
        <v>Negative</v>
      </c>
      <c r="AL253" s="142"/>
      <c r="AM253" s="112" t="s">
        <v>261</v>
      </c>
      <c r="AN253" s="112" t="s">
        <v>708</v>
      </c>
      <c r="AO253" s="112" t="str">
        <f>IFERROR(__xludf.DUMMYFUNCTION("IF($AG253, ""DELETED"",TRIM(JOIN("" "",D253:E253)))"),"")</f>
        <v/>
      </c>
      <c r="AP253" s="112" t="str">
        <f t="shared" ref="AP253:AQ253" si="278">IF($AG253, "DELETED", TRIM(CONCATENATE(F253,I253,U253)))</f>
        <v/>
      </c>
      <c r="AQ253" s="112" t="str">
        <f t="shared" si="278"/>
        <v/>
      </c>
      <c r="AR253" s="112" t="str">
        <f>IFERROR(__xludf.DUMMYFUNCTION("IF($AG253, ""DELETED"", TRIM(JOIN("" "",AP253,AQ253)))"),"")</f>
        <v/>
      </c>
      <c r="AS253" s="118"/>
      <c r="AT253" s="110" t="b">
        <f t="shared" si="12"/>
        <v>0</v>
      </c>
      <c r="AU253" s="110" t="str">
        <f t="shared" si="13"/>
        <v/>
      </c>
      <c r="AV253" s="110" t="str">
        <f t="shared" si="14"/>
        <v/>
      </c>
      <c r="AW253" s="110" t="str">
        <f t="shared" si="15"/>
        <v/>
      </c>
      <c r="AX253" s="119" t="str">
        <f t="shared" si="16"/>
        <v/>
      </c>
      <c r="AY253" s="120"/>
      <c r="AZ253" s="121"/>
      <c r="BA253" s="122" t="str">
        <f t="shared" si="17"/>
        <v/>
      </c>
      <c r="BB253" s="34"/>
      <c r="BC253" s="121"/>
      <c r="BD253" s="136"/>
      <c r="BE253" s="125" t="str">
        <f t="shared" si="18"/>
        <v/>
      </c>
      <c r="BF253" s="126" t="str">
        <f t="shared" si="19"/>
        <v>MAX62__44580_0.29005787037037</v>
      </c>
      <c r="BG253" s="127" t="str">
        <f t="shared" si="20"/>
        <v/>
      </c>
      <c r="BH253" s="137" t="s">
        <v>916</v>
      </c>
      <c r="BI253" s="128" t="str">
        <f t="shared" si="21"/>
        <v>FM91</v>
      </c>
      <c r="BJ253" s="129" t="b">
        <f t="shared" si="22"/>
        <v>0</v>
      </c>
      <c r="BK253" s="128" t="str">
        <f t="shared" si="23"/>
        <v/>
      </c>
      <c r="BL253" s="121"/>
      <c r="BM253" s="5" t="str">
        <f t="shared" si="24"/>
        <v>MISSING</v>
      </c>
      <c r="BN253" s="120" t="b">
        <f t="shared" si="25"/>
        <v>0</v>
      </c>
      <c r="BO253" s="131" t="b">
        <f t="shared" si="26"/>
        <v>1</v>
      </c>
      <c r="BP253" s="121"/>
      <c r="BQ253" s="132" t="str">
        <f>VLOOKUP(A253,RAW_APS!A$3:O826,15,FALSE)</f>
        <v/>
      </c>
      <c r="BR253" s="120" t="b">
        <f t="shared" si="27"/>
        <v>1</v>
      </c>
      <c r="BS253" s="121"/>
      <c r="BT253" s="138" t="s">
        <v>244</v>
      </c>
      <c r="BU253" s="10" t="b">
        <f t="shared" si="28"/>
        <v>1</v>
      </c>
      <c r="BV253" s="120"/>
      <c r="BW253" s="120"/>
      <c r="BX253" s="120"/>
      <c r="BY253" s="120"/>
      <c r="BZ253" s="120"/>
      <c r="CA253" s="120"/>
      <c r="CB253" s="120"/>
      <c r="CC253" s="120"/>
    </row>
    <row r="254">
      <c r="A254" s="2" t="s">
        <v>917</v>
      </c>
      <c r="B254" s="100">
        <v>44580.0</v>
      </c>
      <c r="C254" s="101">
        <v>0.29824074074074075</v>
      </c>
      <c r="D254" s="102"/>
      <c r="E254" s="102"/>
      <c r="F254" s="102"/>
      <c r="G254" s="102"/>
      <c r="H254" s="102"/>
      <c r="I254" s="135"/>
      <c r="J254" s="103"/>
      <c r="K254" s="2" t="s">
        <v>244</v>
      </c>
      <c r="L254" s="100">
        <v>44580.0</v>
      </c>
      <c r="M254" s="101">
        <v>0.5080208333333334</v>
      </c>
      <c r="P254" s="104" t="b">
        <f>IFNA(IF(VLOOKUP($A254,'Add from APT'!$AA$2:$AC826,3,FALSE)&gt;0,TRUE,FALSE),"ER - NOT IN APT")</f>
        <v>0</v>
      </c>
      <c r="Q254" s="105" t="str">
        <f>IF(ISLOGICAL(P254),IF(P254,"ER - REPS IN APT", IFNA(VLOOKUP($A254,RAW_APT!$A$3:$M826,7,FALSE),"ER - NOT IN APT")),P254)</f>
        <v>Result</v>
      </c>
      <c r="R254" s="106" t="b">
        <f t="shared" si="2"/>
        <v>1</v>
      </c>
      <c r="S254" s="107">
        <f t="shared" si="3"/>
        <v>1</v>
      </c>
      <c r="T254" s="140">
        <v>0.0</v>
      </c>
      <c r="U254" s="160"/>
      <c r="V254" s="142"/>
      <c r="W254" s="159"/>
      <c r="X254" s="110" t="b">
        <f t="shared" si="4"/>
        <v>0</v>
      </c>
      <c r="Y254" s="111" t="b">
        <v>0</v>
      </c>
      <c r="Z254" s="104" t="str">
        <f t="shared" si="5"/>
        <v/>
      </c>
      <c r="AA254" s="112" t="b">
        <f t="shared" si="6"/>
        <v>0</v>
      </c>
      <c r="AB254" s="142" t="b">
        <v>0</v>
      </c>
      <c r="AC254" s="140">
        <v>546.0</v>
      </c>
      <c r="AD254" s="159" t="b">
        <v>1</v>
      </c>
      <c r="AE254" s="115">
        <f t="shared" si="7"/>
        <v>302.0833333</v>
      </c>
      <c r="AF254" s="116" t="b">
        <f t="shared" si="8"/>
        <v>0</v>
      </c>
      <c r="AG254" s="105" t="b">
        <f t="shared" si="9"/>
        <v>0</v>
      </c>
      <c r="AH254" s="140"/>
      <c r="AI254" s="140"/>
      <c r="AJ254" s="140"/>
      <c r="AK254" s="117" t="str">
        <f t="shared" si="10"/>
        <v>Negative</v>
      </c>
      <c r="AL254" s="142"/>
      <c r="AM254" s="112" t="s">
        <v>918</v>
      </c>
      <c r="AN254" s="112" t="s">
        <v>886</v>
      </c>
      <c r="AO254" s="112" t="str">
        <f>IFERROR(__xludf.DUMMYFUNCTION("IF($AG254, ""DELETED"",TRIM(JOIN("" "",D254:E254)))"),"")</f>
        <v/>
      </c>
      <c r="AP254" s="112" t="str">
        <f t="shared" ref="AP254:AQ254" si="279">IF($AG254, "DELETED", TRIM(CONCATENATE(F254,I254,U254)))</f>
        <v/>
      </c>
      <c r="AQ254" s="112" t="str">
        <f t="shared" si="279"/>
        <v/>
      </c>
      <c r="AR254" s="112" t="str">
        <f>IFERROR(__xludf.DUMMYFUNCTION("IF($AG254, ""DELETED"", TRIM(JOIN("" "",AP254,AQ254)))"),"")</f>
        <v/>
      </c>
      <c r="AS254" s="118"/>
      <c r="AT254" s="110" t="b">
        <f t="shared" si="12"/>
        <v>0</v>
      </c>
      <c r="AU254" s="110" t="str">
        <f t="shared" si="13"/>
        <v/>
      </c>
      <c r="AV254" s="110" t="str">
        <f t="shared" si="14"/>
        <v/>
      </c>
      <c r="AW254" s="110" t="str">
        <f t="shared" si="15"/>
        <v/>
      </c>
      <c r="AX254" s="119" t="str">
        <f t="shared" si="16"/>
        <v/>
      </c>
      <c r="AY254" s="120"/>
      <c r="AZ254" s="121"/>
      <c r="BA254" s="122" t="str">
        <f t="shared" si="17"/>
        <v/>
      </c>
      <c r="BB254" s="34"/>
      <c r="BC254" s="121"/>
      <c r="BD254" s="136"/>
      <c r="BE254" s="125" t="str">
        <f t="shared" si="18"/>
        <v/>
      </c>
      <c r="BF254" s="126" t="str">
        <f t="shared" si="19"/>
        <v>MA727__44580_0.298240740740741</v>
      </c>
      <c r="BG254" s="127" t="str">
        <f t="shared" si="20"/>
        <v/>
      </c>
      <c r="BH254" s="137" t="s">
        <v>919</v>
      </c>
      <c r="BI254" s="128" t="str">
        <f t="shared" si="21"/>
        <v>FM93</v>
      </c>
      <c r="BJ254" s="129" t="b">
        <f t="shared" si="22"/>
        <v>0</v>
      </c>
      <c r="BK254" s="128" t="str">
        <f t="shared" si="23"/>
        <v/>
      </c>
      <c r="BL254" s="121"/>
      <c r="BM254" s="5" t="str">
        <f t="shared" si="24"/>
        <v>MISSING</v>
      </c>
      <c r="BN254" s="120" t="b">
        <f t="shared" si="25"/>
        <v>0</v>
      </c>
      <c r="BO254" s="131" t="b">
        <f t="shared" si="26"/>
        <v>1</v>
      </c>
      <c r="BP254" s="121"/>
      <c r="BQ254" s="132" t="str">
        <f>VLOOKUP(A254,RAW_APS!A$3:O826,15,FALSE)</f>
        <v>#N/A</v>
      </c>
      <c r="BR254" s="120" t="str">
        <f t="shared" si="27"/>
        <v>***TUBE ID NOT FOUND</v>
      </c>
      <c r="BS254" s="121"/>
      <c r="BT254" s="138" t="s">
        <v>244</v>
      </c>
      <c r="BU254" s="10" t="b">
        <f t="shared" si="28"/>
        <v>1</v>
      </c>
      <c r="BV254" s="120"/>
      <c r="BW254" s="120"/>
      <c r="BX254" s="120"/>
      <c r="BY254" s="120"/>
      <c r="BZ254" s="120"/>
      <c r="CA254" s="120"/>
      <c r="CB254" s="120"/>
      <c r="CC254" s="120"/>
    </row>
    <row r="255">
      <c r="A255" s="2" t="s">
        <v>920</v>
      </c>
      <c r="B255" s="100">
        <v>44580.0</v>
      </c>
      <c r="C255" s="101">
        <v>0.3460648148148148</v>
      </c>
      <c r="D255" s="102"/>
      <c r="E255" s="102"/>
      <c r="F255" s="102"/>
      <c r="G255" s="102"/>
      <c r="H255" s="102"/>
      <c r="I255" s="103"/>
      <c r="J255" s="103"/>
      <c r="K255" s="2" t="s">
        <v>52</v>
      </c>
      <c r="L255" s="100">
        <v>44580.0</v>
      </c>
      <c r="M255" s="101">
        <v>0.5073611111111112</v>
      </c>
      <c r="P255" s="104" t="b">
        <f>IFNA(IF(VLOOKUP($A255,'Add from APT'!$AA$2:$AC826,3,FALSE)&gt;0,TRUE,FALSE),"ER - NOT IN APT")</f>
        <v>0</v>
      </c>
      <c r="Q255" s="105" t="str">
        <f>IF(ISLOGICAL(P255),IF(P255,"ER - REPS IN APT", IFNA(VLOOKUP($A255,RAW_APT!$A$3:$M826,7,FALSE),"ER - NOT IN APT")),P255)</f>
        <v>Result</v>
      </c>
      <c r="R255" s="106" t="b">
        <f t="shared" si="2"/>
        <v>1</v>
      </c>
      <c r="S255" s="107">
        <f t="shared" si="3"/>
        <v>1</v>
      </c>
      <c r="T255" s="143"/>
      <c r="U255" s="142"/>
      <c r="V255" s="142"/>
      <c r="W255" s="142"/>
      <c r="X255" s="110" t="b">
        <f t="shared" si="4"/>
        <v>0</v>
      </c>
      <c r="Y255" s="111" t="b">
        <v>0</v>
      </c>
      <c r="Z255" s="104" t="str">
        <f t="shared" si="5"/>
        <v/>
      </c>
      <c r="AA255" s="112" t="b">
        <f t="shared" si="6"/>
        <v>0</v>
      </c>
      <c r="AB255" s="142" t="b">
        <v>0</v>
      </c>
      <c r="AC255" s="140">
        <v>577.0</v>
      </c>
      <c r="AD255" s="141" t="b">
        <v>0</v>
      </c>
      <c r="AE255" s="115">
        <f t="shared" si="7"/>
        <v>232.2666667</v>
      </c>
      <c r="AF255" s="116" t="b">
        <f t="shared" si="8"/>
        <v>0</v>
      </c>
      <c r="AG255" s="105" t="b">
        <f t="shared" si="9"/>
        <v>0</v>
      </c>
      <c r="AH255" s="140"/>
      <c r="AI255" s="140"/>
      <c r="AJ255" s="140"/>
      <c r="AK255" s="117" t="str">
        <f t="shared" si="10"/>
        <v>Positive</v>
      </c>
      <c r="AL255" s="142"/>
      <c r="AM255" s="112" t="s">
        <v>257</v>
      </c>
      <c r="AN255" s="112" t="s">
        <v>406</v>
      </c>
      <c r="AO255" s="112" t="str">
        <f>IFERROR(__xludf.DUMMYFUNCTION("IF($AG255, ""DELETED"",TRIM(JOIN("" "",D255:E255)))"),"")</f>
        <v/>
      </c>
      <c r="AP255" s="112" t="str">
        <f t="shared" ref="AP255:AQ255" si="280">IF($AG255, "DELETED", TRIM(CONCATENATE(F255,I255,U255)))</f>
        <v/>
      </c>
      <c r="AQ255" s="112" t="str">
        <f t="shared" si="280"/>
        <v/>
      </c>
      <c r="AR255" s="112" t="str">
        <f>IFERROR(__xludf.DUMMYFUNCTION("IF($AG255, ""DELETED"", TRIM(JOIN("" "",AP255,AQ255)))"),"")</f>
        <v/>
      </c>
      <c r="AS255" s="118"/>
      <c r="AT255" s="110" t="b">
        <f t="shared" si="12"/>
        <v>0</v>
      </c>
      <c r="AU255" s="110" t="str">
        <f t="shared" si="13"/>
        <v/>
      </c>
      <c r="AV255" s="110" t="str">
        <f t="shared" si="14"/>
        <v/>
      </c>
      <c r="AW255" s="110" t="str">
        <f t="shared" si="15"/>
        <v/>
      </c>
      <c r="AX255" s="119" t="str">
        <f t="shared" si="16"/>
        <v/>
      </c>
      <c r="AY255" s="120"/>
      <c r="AZ255" s="121"/>
      <c r="BA255" s="122" t="str">
        <f t="shared" si="17"/>
        <v/>
      </c>
      <c r="BB255" s="34"/>
      <c r="BC255" s="121"/>
      <c r="BD255" s="136"/>
      <c r="BE255" s="125" t="str">
        <f t="shared" si="18"/>
        <v/>
      </c>
      <c r="BF255" s="126" t="str">
        <f t="shared" si="19"/>
        <v>MA1115__44580_0.346064814814815</v>
      </c>
      <c r="BG255" s="127" t="str">
        <f t="shared" si="20"/>
        <v/>
      </c>
      <c r="BH255" s="137" t="s">
        <v>921</v>
      </c>
      <c r="BI255" s="128" t="str">
        <f t="shared" si="21"/>
        <v>FM95</v>
      </c>
      <c r="BJ255" s="129" t="b">
        <f t="shared" si="22"/>
        <v>0</v>
      </c>
      <c r="BK255" s="128" t="str">
        <f t="shared" si="23"/>
        <v/>
      </c>
      <c r="BL255" s="121"/>
      <c r="BM255" s="5" t="str">
        <f t="shared" si="24"/>
        <v>MISSING</v>
      </c>
      <c r="BN255" s="120" t="b">
        <f t="shared" si="25"/>
        <v>0</v>
      </c>
      <c r="BO255" s="131" t="b">
        <f t="shared" si="26"/>
        <v>1</v>
      </c>
      <c r="BP255" s="121"/>
      <c r="BQ255" s="132" t="str">
        <f>VLOOKUP(A255,RAW_APS!A$3:O826,15,FALSE)</f>
        <v/>
      </c>
      <c r="BR255" s="120" t="b">
        <f t="shared" si="27"/>
        <v>1</v>
      </c>
      <c r="BS255" s="121"/>
      <c r="BT255" s="138" t="s">
        <v>52</v>
      </c>
      <c r="BU255" s="10" t="b">
        <f t="shared" si="28"/>
        <v>1</v>
      </c>
      <c r="BV255" s="120"/>
      <c r="BW255" s="120"/>
      <c r="BX255" s="120"/>
      <c r="BY255" s="120"/>
      <c r="BZ255" s="120"/>
      <c r="CA255" s="120"/>
      <c r="CB255" s="120"/>
      <c r="CC255" s="120"/>
    </row>
    <row r="256">
      <c r="A256" s="2" t="s">
        <v>922</v>
      </c>
      <c r="B256" s="100">
        <v>44580.0</v>
      </c>
      <c r="C256" s="101">
        <v>0.40792824074074074</v>
      </c>
      <c r="D256" s="102"/>
      <c r="E256" s="102"/>
      <c r="F256" s="139"/>
      <c r="G256" s="148"/>
      <c r="H256" s="148"/>
      <c r="I256" s="103"/>
      <c r="J256" s="103"/>
      <c r="K256" s="2" t="s">
        <v>244</v>
      </c>
      <c r="L256" s="100">
        <v>44580.0</v>
      </c>
      <c r="M256" s="101">
        <v>0.5080208333333334</v>
      </c>
      <c r="P256" s="104" t="b">
        <f>IFNA(IF(VLOOKUP($A256,'Add from APT'!$AA$2:$AC826,3,FALSE)&gt;0,TRUE,FALSE),"ER - NOT IN APT")</f>
        <v>0</v>
      </c>
      <c r="Q256" s="105" t="str">
        <f>IF(ISLOGICAL(P256),IF(P256,"ER - REPS IN APT", IFNA(VLOOKUP($A256,RAW_APT!$A$3:$M826,7,FALSE),"ER - NOT IN APT")),P256)</f>
        <v>Result</v>
      </c>
      <c r="R256" s="106" t="b">
        <f t="shared" si="2"/>
        <v>1</v>
      </c>
      <c r="S256" s="107">
        <f t="shared" si="3"/>
        <v>1</v>
      </c>
      <c r="T256" s="143"/>
      <c r="U256" s="162"/>
      <c r="V256" s="142"/>
      <c r="W256" s="159"/>
      <c r="X256" s="110" t="b">
        <f t="shared" si="4"/>
        <v>0</v>
      </c>
      <c r="Y256" s="111" t="b">
        <v>0</v>
      </c>
      <c r="Z256" s="104" t="str">
        <f t="shared" si="5"/>
        <v/>
      </c>
      <c r="AA256" s="112" t="b">
        <f t="shared" si="6"/>
        <v>0</v>
      </c>
      <c r="AB256" s="142" t="b">
        <v>0</v>
      </c>
      <c r="AC256" s="140">
        <v>545.0</v>
      </c>
      <c r="AD256" s="141" t="b">
        <v>0</v>
      </c>
      <c r="AE256" s="115">
        <f t="shared" si="7"/>
        <v>144.1333333</v>
      </c>
      <c r="AF256" s="116" t="b">
        <f t="shared" si="8"/>
        <v>0</v>
      </c>
      <c r="AG256" s="105" t="b">
        <f t="shared" si="9"/>
        <v>0</v>
      </c>
      <c r="AH256" s="140"/>
      <c r="AI256" s="140"/>
      <c r="AJ256" s="140"/>
      <c r="AK256" s="117" t="str">
        <f t="shared" si="10"/>
        <v>Negative</v>
      </c>
      <c r="AL256" s="142"/>
      <c r="AM256" s="112" t="s">
        <v>261</v>
      </c>
      <c r="AN256" s="112" t="s">
        <v>923</v>
      </c>
      <c r="AO256" s="112" t="str">
        <f>IFERROR(__xludf.DUMMYFUNCTION("IF($AG256, ""DELETED"",TRIM(JOIN("" "",D256:E256)))"),"")</f>
        <v/>
      </c>
      <c r="AP256" s="112" t="str">
        <f t="shared" ref="AP256:AQ256" si="281">IF($AG256, "DELETED", TRIM(CONCATENATE(F256,I256,U256)))</f>
        <v/>
      </c>
      <c r="AQ256" s="112" t="str">
        <f t="shared" si="281"/>
        <v/>
      </c>
      <c r="AR256" s="112" t="str">
        <f>IFERROR(__xludf.DUMMYFUNCTION("IF($AG256, ""DELETED"", TRIM(JOIN("" "",AP256,AQ256)))"),"")</f>
        <v/>
      </c>
      <c r="AS256" s="118"/>
      <c r="AT256" s="110" t="b">
        <f t="shared" si="12"/>
        <v>0</v>
      </c>
      <c r="AU256" s="110" t="str">
        <f t="shared" si="13"/>
        <v/>
      </c>
      <c r="AV256" s="110" t="str">
        <f t="shared" si="14"/>
        <v/>
      </c>
      <c r="AW256" s="110" t="str">
        <f t="shared" si="15"/>
        <v/>
      </c>
      <c r="AX256" s="119" t="str">
        <f t="shared" si="16"/>
        <v/>
      </c>
      <c r="AY256" s="120"/>
      <c r="AZ256" s="121"/>
      <c r="BA256" s="122" t="str">
        <f t="shared" si="17"/>
        <v/>
      </c>
      <c r="BB256" s="34"/>
      <c r="BC256" s="121"/>
      <c r="BD256" s="136"/>
      <c r="BE256" s="125" t="str">
        <f t="shared" si="18"/>
        <v/>
      </c>
      <c r="BF256" s="126" t="str">
        <f t="shared" si="19"/>
        <v>MAX56__44580_0.407928240740741</v>
      </c>
      <c r="BG256" s="127" t="str">
        <f t="shared" si="20"/>
        <v/>
      </c>
      <c r="BH256" s="137" t="s">
        <v>924</v>
      </c>
      <c r="BI256" s="128" t="str">
        <f t="shared" si="21"/>
        <v>FM967</v>
      </c>
      <c r="BJ256" s="129" t="b">
        <f t="shared" si="22"/>
        <v>0</v>
      </c>
      <c r="BK256" s="128" t="str">
        <f t="shared" si="23"/>
        <v/>
      </c>
      <c r="BL256" s="121"/>
      <c r="BM256" s="5" t="str">
        <f t="shared" si="24"/>
        <v>MISSING</v>
      </c>
      <c r="BN256" s="120" t="b">
        <f t="shared" si="25"/>
        <v>0</v>
      </c>
      <c r="BO256" s="131" t="b">
        <f t="shared" si="26"/>
        <v>1</v>
      </c>
      <c r="BP256" s="121"/>
      <c r="BQ256" s="132" t="str">
        <f>VLOOKUP(A256,RAW_APS!A$3:O826,15,FALSE)</f>
        <v/>
      </c>
      <c r="BR256" s="120" t="b">
        <f t="shared" si="27"/>
        <v>1</v>
      </c>
      <c r="BS256" s="121"/>
      <c r="BT256" s="138" t="s">
        <v>244</v>
      </c>
      <c r="BU256" s="10" t="b">
        <f t="shared" si="28"/>
        <v>1</v>
      </c>
      <c r="BV256" s="120"/>
      <c r="BW256" s="120"/>
      <c r="BX256" s="120"/>
      <c r="BY256" s="120"/>
      <c r="BZ256" s="120"/>
      <c r="CA256" s="120"/>
      <c r="CB256" s="120"/>
      <c r="CC256" s="120"/>
    </row>
    <row r="257">
      <c r="A257" s="2" t="s">
        <v>925</v>
      </c>
      <c r="B257" s="100">
        <v>44580.0</v>
      </c>
      <c r="C257" s="101">
        <v>0.41006944444444443</v>
      </c>
      <c r="D257" s="102"/>
      <c r="E257" s="102"/>
      <c r="F257" s="139"/>
      <c r="G257" s="148"/>
      <c r="H257" s="148"/>
      <c r="I257" s="103"/>
      <c r="J257" s="103"/>
      <c r="K257" s="2" t="s">
        <v>244</v>
      </c>
      <c r="L257" s="100">
        <v>44580.0</v>
      </c>
      <c r="M257" s="101">
        <v>0.5080208333333334</v>
      </c>
      <c r="P257" s="104" t="b">
        <f>IFNA(IF(VLOOKUP($A257,'Add from APT'!$AA$2:$AC826,3,FALSE)&gt;0,TRUE,FALSE),"ER - NOT IN APT")</f>
        <v>0</v>
      </c>
      <c r="Q257" s="105" t="str">
        <f>IF(ISLOGICAL(P257),IF(P257,"ER - REPS IN APT", IFNA(VLOOKUP($A257,RAW_APT!$A$3:$M826,7,FALSE),"ER - NOT IN APT")),P257)</f>
        <v>Result</v>
      </c>
      <c r="R257" s="106" t="b">
        <f t="shared" si="2"/>
        <v>1</v>
      </c>
      <c r="S257" s="107">
        <f t="shared" si="3"/>
        <v>1</v>
      </c>
      <c r="T257" s="143"/>
      <c r="U257" s="162"/>
      <c r="V257" s="142"/>
      <c r="W257" s="159"/>
      <c r="X257" s="110" t="b">
        <f t="shared" si="4"/>
        <v>0</v>
      </c>
      <c r="Y257" s="111" t="b">
        <v>0</v>
      </c>
      <c r="Z257" s="104" t="str">
        <f t="shared" si="5"/>
        <v/>
      </c>
      <c r="AA257" s="112" t="b">
        <f t="shared" si="6"/>
        <v>0</v>
      </c>
      <c r="AB257" s="142" t="b">
        <v>0</v>
      </c>
      <c r="AC257" s="140">
        <v>544.0</v>
      </c>
      <c r="AD257" s="141" t="b">
        <v>0</v>
      </c>
      <c r="AE257" s="115">
        <f t="shared" si="7"/>
        <v>141.05</v>
      </c>
      <c r="AF257" s="116" t="b">
        <f t="shared" si="8"/>
        <v>0</v>
      </c>
      <c r="AG257" s="105" t="b">
        <f t="shared" si="9"/>
        <v>0</v>
      </c>
      <c r="AH257" s="140"/>
      <c r="AI257" s="140"/>
      <c r="AJ257" s="140"/>
      <c r="AK257" s="117" t="str">
        <f t="shared" si="10"/>
        <v>Negative</v>
      </c>
      <c r="AL257" s="142"/>
      <c r="AM257" s="112" t="s">
        <v>261</v>
      </c>
      <c r="AN257" s="112" t="s">
        <v>926</v>
      </c>
      <c r="AO257" s="112" t="str">
        <f>IFERROR(__xludf.DUMMYFUNCTION("IF($AG257, ""DELETED"",TRIM(JOIN("" "",D257:E257)))"),"")</f>
        <v/>
      </c>
      <c r="AP257" s="112" t="str">
        <f t="shared" ref="AP257:AQ257" si="282">IF($AG257, "DELETED", TRIM(CONCATENATE(F257,I257,U257)))</f>
        <v/>
      </c>
      <c r="AQ257" s="112" t="str">
        <f t="shared" si="282"/>
        <v/>
      </c>
      <c r="AR257" s="112" t="str">
        <f>IFERROR(__xludf.DUMMYFUNCTION("IF($AG257, ""DELETED"", TRIM(JOIN("" "",AP257,AQ257)))"),"")</f>
        <v/>
      </c>
      <c r="AS257" s="118"/>
      <c r="AT257" s="110" t="b">
        <f t="shared" si="12"/>
        <v>0</v>
      </c>
      <c r="AU257" s="110" t="str">
        <f t="shared" si="13"/>
        <v/>
      </c>
      <c r="AV257" s="110" t="str">
        <f t="shared" si="14"/>
        <v/>
      </c>
      <c r="AW257" s="110" t="str">
        <f t="shared" si="15"/>
        <v/>
      </c>
      <c r="AX257" s="119" t="str">
        <f t="shared" si="16"/>
        <v/>
      </c>
      <c r="AY257" s="120"/>
      <c r="AZ257" s="121"/>
      <c r="BA257" s="122" t="str">
        <f t="shared" si="17"/>
        <v/>
      </c>
      <c r="BB257" s="34"/>
      <c r="BC257" s="121"/>
      <c r="BD257" s="136"/>
      <c r="BE257" s="125" t="str">
        <f t="shared" si="18"/>
        <v/>
      </c>
      <c r="BF257" s="126" t="str">
        <f t="shared" si="19"/>
        <v>MAX4__44580_0.410069444444444</v>
      </c>
      <c r="BG257" s="127" t="str">
        <f t="shared" si="20"/>
        <v/>
      </c>
      <c r="BH257" s="137" t="s">
        <v>927</v>
      </c>
      <c r="BI257" s="128" t="str">
        <f t="shared" si="21"/>
        <v>FM968</v>
      </c>
      <c r="BJ257" s="129" t="b">
        <f t="shared" si="22"/>
        <v>0</v>
      </c>
      <c r="BK257" s="128" t="str">
        <f t="shared" si="23"/>
        <v/>
      </c>
      <c r="BL257" s="121"/>
      <c r="BM257" s="5" t="str">
        <f t="shared" si="24"/>
        <v>MISSING</v>
      </c>
      <c r="BN257" s="120" t="b">
        <f t="shared" si="25"/>
        <v>0</v>
      </c>
      <c r="BO257" s="131" t="b">
        <f t="shared" si="26"/>
        <v>1</v>
      </c>
      <c r="BP257" s="121"/>
      <c r="BQ257" s="132" t="str">
        <f>VLOOKUP(A257,RAW_APS!A$3:O826,15,FALSE)</f>
        <v/>
      </c>
      <c r="BR257" s="120" t="b">
        <f t="shared" si="27"/>
        <v>1</v>
      </c>
      <c r="BS257" s="121"/>
      <c r="BT257" s="138" t="s">
        <v>244</v>
      </c>
      <c r="BU257" s="10" t="b">
        <f t="shared" si="28"/>
        <v>1</v>
      </c>
      <c r="BV257" s="120"/>
      <c r="BW257" s="120"/>
      <c r="BX257" s="120"/>
      <c r="BY257" s="120"/>
      <c r="BZ257" s="120"/>
      <c r="CA257" s="120"/>
      <c r="CB257" s="120"/>
      <c r="CC257" s="120"/>
    </row>
    <row r="258">
      <c r="A258" s="2" t="s">
        <v>928</v>
      </c>
      <c r="B258" s="100">
        <v>44580.0</v>
      </c>
      <c r="C258" s="101">
        <v>0.41456018518518517</v>
      </c>
      <c r="D258" s="102"/>
      <c r="E258" s="102"/>
      <c r="F258" s="102"/>
      <c r="G258" s="102"/>
      <c r="H258" s="102"/>
      <c r="I258" s="103"/>
      <c r="J258" s="103"/>
      <c r="K258" s="2" t="s">
        <v>52</v>
      </c>
      <c r="L258" s="100">
        <v>44580.0</v>
      </c>
      <c r="M258" s="101">
        <v>0.5073611111111112</v>
      </c>
      <c r="P258" s="104" t="b">
        <f>IFNA(IF(VLOOKUP($A258,'Add from APT'!$AA$2:$AC826,3,FALSE)&gt;0,TRUE,FALSE),"ER - NOT IN APT")</f>
        <v>0</v>
      </c>
      <c r="Q258" s="105" t="str">
        <f>IF(ISLOGICAL(P258),IF(P258,"ER - REPS IN APT", IFNA(VLOOKUP($A258,RAW_APT!$A$3:$M826,7,FALSE),"ER - NOT IN APT")),P258)</f>
        <v>Result</v>
      </c>
      <c r="R258" s="106" t="b">
        <f t="shared" si="2"/>
        <v>1</v>
      </c>
      <c r="S258" s="107">
        <f t="shared" si="3"/>
        <v>1</v>
      </c>
      <c r="T258" s="143"/>
      <c r="U258" s="142"/>
      <c r="V258" s="142"/>
      <c r="W258" s="142"/>
      <c r="X258" s="110" t="b">
        <f t="shared" si="4"/>
        <v>0</v>
      </c>
      <c r="Y258" s="111" t="b">
        <v>0</v>
      </c>
      <c r="Z258" s="104" t="str">
        <f t="shared" si="5"/>
        <v/>
      </c>
      <c r="AA258" s="112" t="b">
        <f t="shared" si="6"/>
        <v>0</v>
      </c>
      <c r="AB258" s="142" t="b">
        <v>0</v>
      </c>
      <c r="AC258" s="140">
        <v>576.0</v>
      </c>
      <c r="AD258" s="141" t="b">
        <v>0</v>
      </c>
      <c r="AE258" s="115">
        <f t="shared" si="7"/>
        <v>133.6333333</v>
      </c>
      <c r="AF258" s="116" t="b">
        <f t="shared" si="8"/>
        <v>0</v>
      </c>
      <c r="AG258" s="105" t="b">
        <f t="shared" si="9"/>
        <v>0</v>
      </c>
      <c r="AH258" s="140"/>
      <c r="AI258" s="140"/>
      <c r="AJ258" s="140"/>
      <c r="AK258" s="117" t="str">
        <f t="shared" si="10"/>
        <v>Positive</v>
      </c>
      <c r="AL258" s="142"/>
      <c r="AM258" s="112" t="s">
        <v>261</v>
      </c>
      <c r="AN258" s="112" t="s">
        <v>675</v>
      </c>
      <c r="AO258" s="112" t="str">
        <f>IFERROR(__xludf.DUMMYFUNCTION("IF($AG258, ""DELETED"",TRIM(JOIN("" "",D258:E258)))"),"")</f>
        <v/>
      </c>
      <c r="AP258" s="112" t="str">
        <f t="shared" ref="AP258:AQ258" si="283">IF($AG258, "DELETED", TRIM(CONCATENATE(F258,I258,U258)))</f>
        <v/>
      </c>
      <c r="AQ258" s="112" t="str">
        <f t="shared" si="283"/>
        <v/>
      </c>
      <c r="AR258" s="112" t="str">
        <f>IFERROR(__xludf.DUMMYFUNCTION("IF($AG258, ""DELETED"", TRIM(JOIN("" "",AP258,AQ258)))"),"")</f>
        <v/>
      </c>
      <c r="AS258" s="118"/>
      <c r="AT258" s="110" t="b">
        <f t="shared" si="12"/>
        <v>0</v>
      </c>
      <c r="AU258" s="110" t="str">
        <f t="shared" si="13"/>
        <v/>
      </c>
      <c r="AV258" s="110" t="str">
        <f t="shared" si="14"/>
        <v/>
      </c>
      <c r="AW258" s="110" t="str">
        <f t="shared" si="15"/>
        <v/>
      </c>
      <c r="AX258" s="119" t="str">
        <f t="shared" si="16"/>
        <v/>
      </c>
      <c r="AY258" s="120"/>
      <c r="AZ258" s="121"/>
      <c r="BA258" s="122" t="str">
        <f t="shared" si="17"/>
        <v/>
      </c>
      <c r="BB258" s="34"/>
      <c r="BC258" s="121"/>
      <c r="BD258" s="136"/>
      <c r="BE258" s="125" t="str">
        <f t="shared" si="18"/>
        <v/>
      </c>
      <c r="BF258" s="126" t="str">
        <f t="shared" si="19"/>
        <v>MA383__44580_0.414560185185185</v>
      </c>
      <c r="BG258" s="127" t="str">
        <f t="shared" si="20"/>
        <v/>
      </c>
      <c r="BH258" s="137" t="s">
        <v>929</v>
      </c>
      <c r="BI258" s="128" t="str">
        <f t="shared" si="21"/>
        <v>FM97</v>
      </c>
      <c r="BJ258" s="129" t="b">
        <f t="shared" si="22"/>
        <v>0</v>
      </c>
      <c r="BK258" s="128" t="str">
        <f t="shared" si="23"/>
        <v/>
      </c>
      <c r="BL258" s="121"/>
      <c r="BM258" s="5" t="str">
        <f t="shared" si="24"/>
        <v>MISSING</v>
      </c>
      <c r="BN258" s="120" t="b">
        <f t="shared" si="25"/>
        <v>0</v>
      </c>
      <c r="BO258" s="131" t="b">
        <f t="shared" si="26"/>
        <v>1</v>
      </c>
      <c r="BP258" s="121"/>
      <c r="BQ258" s="132" t="str">
        <f>VLOOKUP(A258,RAW_APS!A$3:O826,15,FALSE)</f>
        <v/>
      </c>
      <c r="BR258" s="120" t="b">
        <f t="shared" si="27"/>
        <v>1</v>
      </c>
      <c r="BS258" s="121"/>
      <c r="BT258" s="138" t="s">
        <v>52</v>
      </c>
      <c r="BU258" s="10" t="b">
        <f t="shared" si="28"/>
        <v>1</v>
      </c>
      <c r="BV258" s="120"/>
      <c r="BW258" s="120"/>
      <c r="BX258" s="120"/>
      <c r="BY258" s="120"/>
      <c r="BZ258" s="120"/>
      <c r="CA258" s="120"/>
      <c r="CB258" s="120"/>
      <c r="CC258" s="120"/>
    </row>
    <row r="259">
      <c r="A259" s="2" t="s">
        <v>930</v>
      </c>
      <c r="B259" s="100">
        <v>44580.0</v>
      </c>
      <c r="C259" s="101">
        <v>0.415</v>
      </c>
      <c r="D259" s="102"/>
      <c r="E259" s="102"/>
      <c r="F259" s="103"/>
      <c r="G259" s="148"/>
      <c r="H259" s="148"/>
      <c r="I259" s="103"/>
      <c r="J259" s="103"/>
      <c r="K259" s="2" t="s">
        <v>52</v>
      </c>
      <c r="L259" s="100">
        <v>44580.0</v>
      </c>
      <c r="M259" s="101">
        <v>0.5073726851851852</v>
      </c>
      <c r="P259" s="104" t="b">
        <f>IFNA(IF(VLOOKUP($A259,'Add from APT'!$AA$2:$AC826,3,FALSE)&gt;0,TRUE,FALSE),"ER - NOT IN APT")</f>
        <v>0</v>
      </c>
      <c r="Q259" s="105" t="str">
        <f>IF(ISLOGICAL(P259),IF(P259,"ER - REPS IN APT", IFNA(VLOOKUP($A259,RAW_APT!$A$3:$M826,7,FALSE),"ER - NOT IN APT")),P259)</f>
        <v>Result</v>
      </c>
      <c r="R259" s="106" t="b">
        <f t="shared" si="2"/>
        <v>1</v>
      </c>
      <c r="S259" s="107">
        <f t="shared" si="3"/>
        <v>1</v>
      </c>
      <c r="T259" s="143"/>
      <c r="U259" s="162"/>
      <c r="V259" s="142"/>
      <c r="W259" s="159"/>
      <c r="X259" s="110" t="b">
        <f t="shared" si="4"/>
        <v>0</v>
      </c>
      <c r="Y259" s="111" t="b">
        <v>0</v>
      </c>
      <c r="Z259" s="104" t="str">
        <f t="shared" si="5"/>
        <v/>
      </c>
      <c r="AA259" s="112" t="b">
        <f t="shared" si="6"/>
        <v>0</v>
      </c>
      <c r="AB259" s="142" t="b">
        <v>0</v>
      </c>
      <c r="AC259" s="140">
        <v>575.0</v>
      </c>
      <c r="AD259" s="141" t="b">
        <v>0</v>
      </c>
      <c r="AE259" s="115">
        <f t="shared" si="7"/>
        <v>133.0166667</v>
      </c>
      <c r="AF259" s="116" t="b">
        <f t="shared" si="8"/>
        <v>0</v>
      </c>
      <c r="AG259" s="105" t="b">
        <f t="shared" si="9"/>
        <v>0</v>
      </c>
      <c r="AH259" s="140"/>
      <c r="AI259" s="140"/>
      <c r="AJ259" s="140"/>
      <c r="AK259" s="117" t="str">
        <f t="shared" si="10"/>
        <v>Positive</v>
      </c>
      <c r="AL259" s="142"/>
      <c r="AM259" s="112" t="s">
        <v>261</v>
      </c>
      <c r="AN259" s="112" t="s">
        <v>678</v>
      </c>
      <c r="AO259" s="112" t="str">
        <f>IFERROR(__xludf.DUMMYFUNCTION("IF($AG259, ""DELETED"",TRIM(JOIN("" "",D259:E259)))"),"")</f>
        <v/>
      </c>
      <c r="AP259" s="112" t="str">
        <f t="shared" ref="AP259:AQ259" si="284">IF($AG259, "DELETED", TRIM(CONCATENATE(F259,I259,U259)))</f>
        <v/>
      </c>
      <c r="AQ259" s="112" t="str">
        <f t="shared" si="284"/>
        <v/>
      </c>
      <c r="AR259" s="112" t="str">
        <f>IFERROR(__xludf.DUMMYFUNCTION("IF($AG259, ""DELETED"", TRIM(JOIN("" "",AP259,AQ259)))"),"")</f>
        <v/>
      </c>
      <c r="AS259" s="118"/>
      <c r="AT259" s="110" t="b">
        <f t="shared" si="12"/>
        <v>0</v>
      </c>
      <c r="AU259" s="110" t="str">
        <f t="shared" si="13"/>
        <v/>
      </c>
      <c r="AV259" s="110" t="str">
        <f t="shared" si="14"/>
        <v/>
      </c>
      <c r="AW259" s="110" t="str">
        <f t="shared" si="15"/>
        <v/>
      </c>
      <c r="AX259" s="119" t="str">
        <f t="shared" si="16"/>
        <v/>
      </c>
      <c r="AY259" s="120"/>
      <c r="AZ259" s="121"/>
      <c r="BA259" s="122" t="str">
        <f t="shared" si="17"/>
        <v/>
      </c>
      <c r="BB259" s="34"/>
      <c r="BC259" s="121"/>
      <c r="BD259" s="136"/>
      <c r="BE259" s="125" t="str">
        <f t="shared" si="18"/>
        <v/>
      </c>
      <c r="BF259" s="126" t="str">
        <f t="shared" si="19"/>
        <v>MA372__44580_0.415</v>
      </c>
      <c r="BG259" s="127" t="str">
        <f t="shared" si="20"/>
        <v/>
      </c>
      <c r="BH259" s="137" t="s">
        <v>931</v>
      </c>
      <c r="BI259" s="128" t="str">
        <f t="shared" si="21"/>
        <v>FM972</v>
      </c>
      <c r="BJ259" s="129" t="b">
        <f t="shared" si="22"/>
        <v>0</v>
      </c>
      <c r="BK259" s="128" t="str">
        <f t="shared" si="23"/>
        <v/>
      </c>
      <c r="BL259" s="121"/>
      <c r="BM259" s="5" t="str">
        <f t="shared" si="24"/>
        <v>MISSING</v>
      </c>
      <c r="BN259" s="120" t="b">
        <f t="shared" si="25"/>
        <v>0</v>
      </c>
      <c r="BO259" s="131" t="b">
        <f t="shared" si="26"/>
        <v>1</v>
      </c>
      <c r="BP259" s="121"/>
      <c r="BQ259" s="132" t="str">
        <f>VLOOKUP(A259,RAW_APS!A$3:O826,15,FALSE)</f>
        <v/>
      </c>
      <c r="BR259" s="120" t="b">
        <f t="shared" si="27"/>
        <v>1</v>
      </c>
      <c r="BS259" s="121"/>
      <c r="BT259" s="138" t="s">
        <v>52</v>
      </c>
      <c r="BU259" s="10" t="b">
        <f t="shared" si="28"/>
        <v>1</v>
      </c>
      <c r="BV259" s="120"/>
      <c r="BW259" s="120"/>
      <c r="BX259" s="120"/>
      <c r="BY259" s="120"/>
      <c r="BZ259" s="120"/>
      <c r="CA259" s="120"/>
      <c r="CB259" s="120"/>
      <c r="CC259" s="120"/>
    </row>
    <row r="260">
      <c r="A260" s="2" t="s">
        <v>932</v>
      </c>
      <c r="B260" s="100">
        <v>44580.0</v>
      </c>
      <c r="C260" s="101">
        <v>0.4154398148148148</v>
      </c>
      <c r="D260" s="102"/>
      <c r="E260" s="102"/>
      <c r="F260" s="103"/>
      <c r="G260" s="148"/>
      <c r="H260" s="148"/>
      <c r="I260" s="103"/>
      <c r="J260" s="103"/>
      <c r="K260" s="2" t="s">
        <v>52</v>
      </c>
      <c r="L260" s="100">
        <v>44580.0</v>
      </c>
      <c r="M260" s="101">
        <v>0.5073726851851852</v>
      </c>
      <c r="P260" s="104" t="b">
        <f>IFNA(IF(VLOOKUP($A260,'Add from APT'!$AA$2:$AC826,3,FALSE)&gt;0,TRUE,FALSE),"ER - NOT IN APT")</f>
        <v>0</v>
      </c>
      <c r="Q260" s="105" t="str">
        <f>IF(ISLOGICAL(P260),IF(P260,"ER - REPS IN APT", IFNA(VLOOKUP($A260,RAW_APT!$A$3:$M826,7,FALSE),"ER - NOT IN APT")),P260)</f>
        <v>Result</v>
      </c>
      <c r="R260" s="106" t="b">
        <f t="shared" si="2"/>
        <v>1</v>
      </c>
      <c r="S260" s="107">
        <f t="shared" si="3"/>
        <v>1</v>
      </c>
      <c r="T260" s="143"/>
      <c r="U260" s="162"/>
      <c r="V260" s="142"/>
      <c r="W260" s="159"/>
      <c r="X260" s="110" t="b">
        <f t="shared" si="4"/>
        <v>0</v>
      </c>
      <c r="Y260" s="111" t="b">
        <v>0</v>
      </c>
      <c r="Z260" s="104" t="str">
        <f t="shared" si="5"/>
        <v/>
      </c>
      <c r="AA260" s="112" t="b">
        <f t="shared" si="6"/>
        <v>0</v>
      </c>
      <c r="AB260" s="142" t="b">
        <v>0</v>
      </c>
      <c r="AC260" s="140">
        <v>574.0</v>
      </c>
      <c r="AD260" s="141" t="b">
        <v>0</v>
      </c>
      <c r="AE260" s="115">
        <f t="shared" si="7"/>
        <v>132.3833333</v>
      </c>
      <c r="AF260" s="116" t="b">
        <f t="shared" si="8"/>
        <v>0</v>
      </c>
      <c r="AG260" s="105" t="b">
        <f t="shared" si="9"/>
        <v>0</v>
      </c>
      <c r="AH260" s="140"/>
      <c r="AI260" s="140"/>
      <c r="AJ260" s="140"/>
      <c r="AK260" s="117" t="str">
        <f t="shared" si="10"/>
        <v>Positive</v>
      </c>
      <c r="AL260" s="142"/>
      <c r="AM260" s="112" t="s">
        <v>261</v>
      </c>
      <c r="AN260" s="112" t="s">
        <v>681</v>
      </c>
      <c r="AO260" s="112" t="str">
        <f>IFERROR(__xludf.DUMMYFUNCTION("IF($AG260, ""DELETED"",TRIM(JOIN("" "",D260:E260)))"),"")</f>
        <v/>
      </c>
      <c r="AP260" s="112" t="str">
        <f t="shared" ref="AP260:AQ260" si="285">IF($AG260, "DELETED", TRIM(CONCATENATE(F260,I260,U260)))</f>
        <v/>
      </c>
      <c r="AQ260" s="112" t="str">
        <f t="shared" si="285"/>
        <v/>
      </c>
      <c r="AR260" s="112" t="str">
        <f>IFERROR(__xludf.DUMMYFUNCTION("IF($AG260, ""DELETED"", TRIM(JOIN("" "",AP260,AQ260)))"),"")</f>
        <v/>
      </c>
      <c r="AS260" s="118"/>
      <c r="AT260" s="110" t="b">
        <f t="shared" si="12"/>
        <v>0</v>
      </c>
      <c r="AU260" s="110" t="str">
        <f t="shared" si="13"/>
        <v/>
      </c>
      <c r="AV260" s="110" t="str">
        <f t="shared" si="14"/>
        <v/>
      </c>
      <c r="AW260" s="110" t="str">
        <f t="shared" si="15"/>
        <v/>
      </c>
      <c r="AX260" s="119" t="str">
        <f t="shared" si="16"/>
        <v/>
      </c>
      <c r="AY260" s="120"/>
      <c r="AZ260" s="121"/>
      <c r="BA260" s="122" t="str">
        <f t="shared" si="17"/>
        <v/>
      </c>
      <c r="BB260" s="34"/>
      <c r="BC260" s="121"/>
      <c r="BD260" s="136"/>
      <c r="BE260" s="125" t="str">
        <f t="shared" si="18"/>
        <v/>
      </c>
      <c r="BF260" s="126" t="str">
        <f t="shared" si="19"/>
        <v>MA303__44580_0.415439814814815</v>
      </c>
      <c r="BG260" s="127" t="str">
        <f t="shared" si="20"/>
        <v/>
      </c>
      <c r="BH260" s="137" t="s">
        <v>933</v>
      </c>
      <c r="BI260" s="128" t="str">
        <f t="shared" si="21"/>
        <v>FM976</v>
      </c>
      <c r="BJ260" s="129" t="b">
        <f t="shared" si="22"/>
        <v>0</v>
      </c>
      <c r="BK260" s="128" t="str">
        <f t="shared" si="23"/>
        <v/>
      </c>
      <c r="BL260" s="121"/>
      <c r="BM260" s="5" t="str">
        <f t="shared" si="24"/>
        <v>MISSING</v>
      </c>
      <c r="BN260" s="120" t="b">
        <f t="shared" si="25"/>
        <v>0</v>
      </c>
      <c r="BO260" s="131" t="b">
        <f t="shared" si="26"/>
        <v>1</v>
      </c>
      <c r="BP260" s="121"/>
      <c r="BQ260" s="132" t="str">
        <f>VLOOKUP(A260,RAW_APS!A$3:O826,15,FALSE)</f>
        <v/>
      </c>
      <c r="BR260" s="120" t="b">
        <f t="shared" si="27"/>
        <v>1</v>
      </c>
      <c r="BS260" s="121"/>
      <c r="BT260" s="138" t="s">
        <v>52</v>
      </c>
      <c r="BU260" s="10" t="b">
        <f t="shared" si="28"/>
        <v>1</v>
      </c>
      <c r="BV260" s="120"/>
      <c r="BW260" s="120"/>
      <c r="BX260" s="120"/>
      <c r="BY260" s="120"/>
      <c r="BZ260" s="120"/>
      <c r="CA260" s="120"/>
      <c r="CB260" s="120"/>
      <c r="CC260" s="120"/>
    </row>
    <row r="261">
      <c r="A261" s="2" t="s">
        <v>934</v>
      </c>
      <c r="B261" s="100">
        <v>44580.0</v>
      </c>
      <c r="C261" s="101">
        <v>0.42681712962962964</v>
      </c>
      <c r="D261" s="102"/>
      <c r="E261" s="102"/>
      <c r="F261" s="102"/>
      <c r="G261" s="102"/>
      <c r="H261" s="102"/>
      <c r="I261" s="103"/>
      <c r="J261" s="103"/>
      <c r="K261" s="2" t="s">
        <v>244</v>
      </c>
      <c r="L261" s="100">
        <v>44580.0</v>
      </c>
      <c r="M261" s="101">
        <v>0.5080324074074074</v>
      </c>
      <c r="P261" s="104" t="b">
        <f>IFNA(IF(VLOOKUP($A261,'Add from APT'!$AA$2:$AC826,3,FALSE)&gt;0,TRUE,FALSE),"ER - NOT IN APT")</f>
        <v>0</v>
      </c>
      <c r="Q261" s="105" t="str">
        <f>IF(ISLOGICAL(P261),IF(P261,"ER - REPS IN APT", IFNA(VLOOKUP($A261,RAW_APT!$A$3:$M826,7,FALSE),"ER - NOT IN APT")),P261)</f>
        <v>Result</v>
      </c>
      <c r="R261" s="106" t="b">
        <f t="shared" si="2"/>
        <v>1</v>
      </c>
      <c r="S261" s="107">
        <f t="shared" si="3"/>
        <v>1</v>
      </c>
      <c r="T261" s="143"/>
      <c r="U261" s="142"/>
      <c r="V261" s="142"/>
      <c r="W261" s="142"/>
      <c r="X261" s="110" t="b">
        <f t="shared" si="4"/>
        <v>0</v>
      </c>
      <c r="Y261" s="111" t="b">
        <v>0</v>
      </c>
      <c r="Z261" s="104" t="str">
        <f t="shared" si="5"/>
        <v/>
      </c>
      <c r="AA261" s="112" t="b">
        <f t="shared" si="6"/>
        <v>0</v>
      </c>
      <c r="AB261" s="142" t="b">
        <v>0</v>
      </c>
      <c r="AC261" s="140">
        <v>543.0</v>
      </c>
      <c r="AD261" s="141" t="b">
        <v>0</v>
      </c>
      <c r="AE261" s="115">
        <f t="shared" si="7"/>
        <v>116.95</v>
      </c>
      <c r="AF261" s="116" t="b">
        <f t="shared" si="8"/>
        <v>0</v>
      </c>
      <c r="AG261" s="105" t="b">
        <f t="shared" si="9"/>
        <v>0</v>
      </c>
      <c r="AH261" s="140"/>
      <c r="AI261" s="140"/>
      <c r="AJ261" s="140"/>
      <c r="AK261" s="117" t="str">
        <f t="shared" si="10"/>
        <v>Negative</v>
      </c>
      <c r="AL261" s="142"/>
      <c r="AM261" s="112" t="s">
        <v>356</v>
      </c>
      <c r="AN261" s="112" t="s">
        <v>357</v>
      </c>
      <c r="AO261" s="112" t="str">
        <f>IFERROR(__xludf.DUMMYFUNCTION("IF($AG261, ""DELETED"",TRIM(JOIN("" "",D261:E261)))"),"")</f>
        <v/>
      </c>
      <c r="AP261" s="112" t="str">
        <f t="shared" ref="AP261:AQ261" si="286">IF($AG261, "DELETED", TRIM(CONCATENATE(F261,I261,U261)))</f>
        <v/>
      </c>
      <c r="AQ261" s="112" t="str">
        <f t="shared" si="286"/>
        <v/>
      </c>
      <c r="AR261" s="112" t="str">
        <f>IFERROR(__xludf.DUMMYFUNCTION("IF($AG261, ""DELETED"", TRIM(JOIN("" "",AP261,AQ261)))"),"")</f>
        <v/>
      </c>
      <c r="AS261" s="118"/>
      <c r="AT261" s="110" t="b">
        <f t="shared" si="12"/>
        <v>0</v>
      </c>
      <c r="AU261" s="110" t="str">
        <f t="shared" si="13"/>
        <v/>
      </c>
      <c r="AV261" s="110" t="str">
        <f t="shared" si="14"/>
        <v/>
      </c>
      <c r="AW261" s="110" t="str">
        <f t="shared" si="15"/>
        <v/>
      </c>
      <c r="AX261" s="119" t="str">
        <f t="shared" si="16"/>
        <v/>
      </c>
      <c r="AY261" s="120"/>
      <c r="AZ261" s="121"/>
      <c r="BA261" s="122" t="str">
        <f t="shared" si="17"/>
        <v/>
      </c>
      <c r="BB261" s="34"/>
      <c r="BC261" s="121"/>
      <c r="BD261" s="136"/>
      <c r="BE261" s="125" t="str">
        <f t="shared" si="18"/>
        <v/>
      </c>
      <c r="BF261" s="126" t="str">
        <f t="shared" si="19"/>
        <v>MA420__44580_0.42681712962963</v>
      </c>
      <c r="BG261" s="127" t="str">
        <f t="shared" si="20"/>
        <v/>
      </c>
      <c r="BH261" s="137" t="s">
        <v>935</v>
      </c>
      <c r="BI261" s="128" t="str">
        <f t="shared" si="21"/>
        <v>FM980</v>
      </c>
      <c r="BJ261" s="129" t="b">
        <f t="shared" si="22"/>
        <v>0</v>
      </c>
      <c r="BK261" s="128" t="str">
        <f t="shared" si="23"/>
        <v/>
      </c>
      <c r="BL261" s="121"/>
      <c r="BM261" s="5" t="str">
        <f t="shared" si="24"/>
        <v>MISSING</v>
      </c>
      <c r="BN261" s="120" t="b">
        <f t="shared" si="25"/>
        <v>0</v>
      </c>
      <c r="BO261" s="131" t="b">
        <f t="shared" si="26"/>
        <v>1</v>
      </c>
      <c r="BP261" s="121"/>
      <c r="BQ261" s="132" t="str">
        <f>VLOOKUP(A261,RAW_APS!A$3:O826,15,FALSE)</f>
        <v/>
      </c>
      <c r="BR261" s="120" t="b">
        <f t="shared" si="27"/>
        <v>1</v>
      </c>
      <c r="BS261" s="121"/>
      <c r="BT261" s="138" t="s">
        <v>244</v>
      </c>
      <c r="BU261" s="10" t="b">
        <f t="shared" si="28"/>
        <v>1</v>
      </c>
      <c r="BV261" s="120"/>
      <c r="BW261" s="120"/>
      <c r="BX261" s="120"/>
      <c r="BY261" s="120"/>
      <c r="BZ261" s="120"/>
      <c r="CA261" s="120"/>
      <c r="CB261" s="120"/>
      <c r="CC261" s="120"/>
    </row>
    <row r="262">
      <c r="A262" s="2" t="s">
        <v>936</v>
      </c>
      <c r="B262" s="100">
        <v>44580.0</v>
      </c>
      <c r="C262" s="101">
        <v>0.43203703703703705</v>
      </c>
      <c r="D262" s="102"/>
      <c r="E262" s="102"/>
      <c r="F262" s="102"/>
      <c r="G262" s="102"/>
      <c r="H262" s="102"/>
      <c r="I262" s="103"/>
      <c r="J262" s="103"/>
      <c r="K262" s="2" t="s">
        <v>52</v>
      </c>
      <c r="L262" s="100">
        <v>44580.0</v>
      </c>
      <c r="M262" s="101">
        <v>0.5073726851851852</v>
      </c>
      <c r="P262" s="104" t="b">
        <f>IFNA(IF(VLOOKUP($A262,'Add from APT'!$AA$2:$AC826,3,FALSE)&gt;0,TRUE,FALSE),"ER - NOT IN APT")</f>
        <v>0</v>
      </c>
      <c r="Q262" s="105" t="str">
        <f>IF(ISLOGICAL(P262),IF(P262,"ER - REPS IN APT", IFNA(VLOOKUP($A262,RAW_APT!$A$3:$M826,7,FALSE),"ER - NOT IN APT")),P262)</f>
        <v>Result</v>
      </c>
      <c r="R262" s="106" t="b">
        <f t="shared" si="2"/>
        <v>1</v>
      </c>
      <c r="S262" s="107">
        <f t="shared" si="3"/>
        <v>1</v>
      </c>
      <c r="T262" s="143"/>
      <c r="U262" s="142"/>
      <c r="V262" s="142"/>
      <c r="W262" s="142"/>
      <c r="X262" s="110" t="b">
        <f t="shared" si="4"/>
        <v>0</v>
      </c>
      <c r="Y262" s="111" t="b">
        <v>0</v>
      </c>
      <c r="Z262" s="104" t="str">
        <f t="shared" si="5"/>
        <v/>
      </c>
      <c r="AA262" s="112" t="b">
        <f t="shared" si="6"/>
        <v>0</v>
      </c>
      <c r="AB262" s="142" t="b">
        <v>0</v>
      </c>
      <c r="AC262" s="140">
        <v>573.0</v>
      </c>
      <c r="AD262" s="141" t="b">
        <v>0</v>
      </c>
      <c r="AE262" s="115">
        <f t="shared" si="7"/>
        <v>108.4833333</v>
      </c>
      <c r="AF262" s="116" t="b">
        <f t="shared" si="8"/>
        <v>0</v>
      </c>
      <c r="AG262" s="105" t="b">
        <f t="shared" si="9"/>
        <v>0</v>
      </c>
      <c r="AH262" s="140"/>
      <c r="AI262" s="140"/>
      <c r="AJ262" s="140"/>
      <c r="AK262" s="117" t="str">
        <f t="shared" si="10"/>
        <v>Positive</v>
      </c>
      <c r="AL262" s="142"/>
      <c r="AM262" s="112" t="s">
        <v>261</v>
      </c>
      <c r="AN262" s="112" t="s">
        <v>937</v>
      </c>
      <c r="AO262" s="112" t="str">
        <f>IFERROR(__xludf.DUMMYFUNCTION("IF($AG262, ""DELETED"",TRIM(JOIN("" "",D262:E262)))"),"")</f>
        <v/>
      </c>
      <c r="AP262" s="112" t="str">
        <f t="shared" ref="AP262:AQ262" si="287">IF($AG262, "DELETED", TRIM(CONCATENATE(F262,I262,U262)))</f>
        <v/>
      </c>
      <c r="AQ262" s="112" t="str">
        <f t="shared" si="287"/>
        <v/>
      </c>
      <c r="AR262" s="112" t="str">
        <f>IFERROR(__xludf.DUMMYFUNCTION("IF($AG262, ""DELETED"", TRIM(JOIN("" "",AP262,AQ262)))"),"")</f>
        <v/>
      </c>
      <c r="AS262" s="118"/>
      <c r="AT262" s="110" t="b">
        <f t="shared" si="12"/>
        <v>0</v>
      </c>
      <c r="AU262" s="110" t="str">
        <f t="shared" si="13"/>
        <v/>
      </c>
      <c r="AV262" s="110" t="str">
        <f t="shared" si="14"/>
        <v/>
      </c>
      <c r="AW262" s="110" t="str">
        <f t="shared" si="15"/>
        <v/>
      </c>
      <c r="AX262" s="119" t="str">
        <f t="shared" si="16"/>
        <v/>
      </c>
      <c r="AY262" s="120"/>
      <c r="AZ262" s="121"/>
      <c r="BA262" s="122" t="str">
        <f t="shared" si="17"/>
        <v/>
      </c>
      <c r="BB262" s="34"/>
      <c r="BC262" s="121"/>
      <c r="BD262" s="136"/>
      <c r="BE262" s="125" t="str">
        <f t="shared" si="18"/>
        <v/>
      </c>
      <c r="BF262" s="126" t="str">
        <f t="shared" si="19"/>
        <v>MAX76__44580_0.432037037037037</v>
      </c>
      <c r="BG262" s="127" t="str">
        <f t="shared" si="20"/>
        <v/>
      </c>
      <c r="BH262" s="137" t="s">
        <v>938</v>
      </c>
      <c r="BI262" s="128" t="str">
        <f t="shared" si="21"/>
        <v>FM991</v>
      </c>
      <c r="BJ262" s="129" t="b">
        <f t="shared" si="22"/>
        <v>0</v>
      </c>
      <c r="BK262" s="128" t="str">
        <f t="shared" si="23"/>
        <v/>
      </c>
      <c r="BL262" s="121"/>
      <c r="BM262" s="5" t="str">
        <f t="shared" si="24"/>
        <v>MISSING</v>
      </c>
      <c r="BN262" s="120" t="b">
        <f t="shared" si="25"/>
        <v>0</v>
      </c>
      <c r="BO262" s="131" t="b">
        <f t="shared" si="26"/>
        <v>1</v>
      </c>
      <c r="BP262" s="121"/>
      <c r="BQ262" s="132" t="str">
        <f>VLOOKUP(A262,RAW_APS!A$3:O826,15,FALSE)</f>
        <v/>
      </c>
      <c r="BR262" s="120" t="b">
        <f t="shared" si="27"/>
        <v>1</v>
      </c>
      <c r="BS262" s="121"/>
      <c r="BT262" s="138" t="s">
        <v>52</v>
      </c>
      <c r="BU262" s="10" t="b">
        <f t="shared" si="28"/>
        <v>1</v>
      </c>
      <c r="BV262" s="120"/>
      <c r="BW262" s="120"/>
      <c r="BX262" s="120"/>
      <c r="BY262" s="120"/>
      <c r="BZ262" s="120"/>
      <c r="CA262" s="120"/>
      <c r="CB262" s="120"/>
      <c r="CC262" s="120"/>
    </row>
    <row r="263">
      <c r="A263" s="2" t="s">
        <v>939</v>
      </c>
      <c r="B263" s="100">
        <v>44580.0</v>
      </c>
      <c r="C263" s="101">
        <v>0.4405208333333333</v>
      </c>
      <c r="D263" s="102"/>
      <c r="E263" s="102"/>
      <c r="F263" s="102"/>
      <c r="G263" s="102"/>
      <c r="H263" s="102"/>
      <c r="I263" s="103"/>
      <c r="J263" s="103"/>
      <c r="K263" s="2" t="s">
        <v>52</v>
      </c>
      <c r="L263" s="100">
        <v>44580.0</v>
      </c>
      <c r="M263" s="101">
        <v>0.5073726851851852</v>
      </c>
      <c r="P263" s="104" t="b">
        <f>IFNA(IF(VLOOKUP($A263,'Add from APT'!$AA$2:$AC826,3,FALSE)&gt;0,TRUE,FALSE),"ER - NOT IN APT")</f>
        <v>0</v>
      </c>
      <c r="Q263" s="105" t="str">
        <f>IF(ISLOGICAL(P263),IF(P263,"ER - REPS IN APT", IFNA(VLOOKUP($A263,RAW_APT!$A$3:$M826,7,FALSE),"ER - NOT IN APT")),P263)</f>
        <v>Result</v>
      </c>
      <c r="R263" s="106" t="b">
        <f t="shared" si="2"/>
        <v>1</v>
      </c>
      <c r="S263" s="107">
        <f t="shared" si="3"/>
        <v>1</v>
      </c>
      <c r="T263" s="143"/>
      <c r="U263" s="142"/>
      <c r="V263" s="142"/>
      <c r="W263" s="142"/>
      <c r="X263" s="110" t="b">
        <f t="shared" si="4"/>
        <v>0</v>
      </c>
      <c r="Y263" s="111" t="b">
        <v>0</v>
      </c>
      <c r="Z263" s="104" t="str">
        <f t="shared" si="5"/>
        <v/>
      </c>
      <c r="AA263" s="112" t="b">
        <f t="shared" si="6"/>
        <v>0</v>
      </c>
      <c r="AB263" s="142" t="b">
        <v>0</v>
      </c>
      <c r="AC263" s="140">
        <v>572.0</v>
      </c>
      <c r="AD263" s="141" t="b">
        <v>0</v>
      </c>
      <c r="AE263" s="115">
        <f t="shared" si="7"/>
        <v>96.26666667</v>
      </c>
      <c r="AF263" s="116" t="b">
        <f t="shared" si="8"/>
        <v>0</v>
      </c>
      <c r="AG263" s="105" t="b">
        <f t="shared" si="9"/>
        <v>0</v>
      </c>
      <c r="AH263" s="140"/>
      <c r="AI263" s="140"/>
      <c r="AJ263" s="140"/>
      <c r="AK263" s="117" t="str">
        <f t="shared" si="10"/>
        <v>Positive</v>
      </c>
      <c r="AL263" s="142"/>
      <c r="AM263" s="112" t="s">
        <v>261</v>
      </c>
      <c r="AN263" s="112" t="s">
        <v>893</v>
      </c>
      <c r="AO263" s="112" t="str">
        <f>IFERROR(__xludf.DUMMYFUNCTION("IF($AG263, ""DELETED"",TRIM(JOIN("" "",D263:E263)))"),"")</f>
        <v/>
      </c>
      <c r="AP263" s="112" t="str">
        <f t="shared" ref="AP263:AQ263" si="288">IF($AG263, "DELETED", TRIM(CONCATENATE(F263,I263,U263)))</f>
        <v/>
      </c>
      <c r="AQ263" s="112" t="str">
        <f t="shared" si="288"/>
        <v/>
      </c>
      <c r="AR263" s="112" t="str">
        <f>IFERROR(__xludf.DUMMYFUNCTION("IF($AG263, ""DELETED"", TRIM(JOIN("" "",AP263,AQ263)))"),"")</f>
        <v/>
      </c>
      <c r="AS263" s="118"/>
      <c r="AT263" s="110" t="b">
        <f t="shared" si="12"/>
        <v>0</v>
      </c>
      <c r="AU263" s="110" t="str">
        <f t="shared" si="13"/>
        <v/>
      </c>
      <c r="AV263" s="110" t="str">
        <f t="shared" si="14"/>
        <v/>
      </c>
      <c r="AW263" s="110" t="str">
        <f t="shared" si="15"/>
        <v/>
      </c>
      <c r="AX263" s="119" t="str">
        <f t="shared" si="16"/>
        <v/>
      </c>
      <c r="AY263" s="120"/>
      <c r="AZ263" s="121"/>
      <c r="BA263" s="122" t="str">
        <f t="shared" si="17"/>
        <v/>
      </c>
      <c r="BB263" s="34"/>
      <c r="BC263" s="121"/>
      <c r="BD263" s="136"/>
      <c r="BE263" s="125" t="str">
        <f t="shared" si="18"/>
        <v/>
      </c>
      <c r="BF263" s="126" t="str">
        <f t="shared" si="19"/>
        <v>MA1252__44580_0.440520833333333</v>
      </c>
      <c r="BG263" s="127" t="str">
        <f t="shared" si="20"/>
        <v/>
      </c>
      <c r="BH263" s="137" t="s">
        <v>940</v>
      </c>
      <c r="BI263" s="128" t="str">
        <f t="shared" si="21"/>
        <v>FM994</v>
      </c>
      <c r="BJ263" s="129" t="b">
        <f t="shared" si="22"/>
        <v>0</v>
      </c>
      <c r="BK263" s="128" t="str">
        <f t="shared" si="23"/>
        <v/>
      </c>
      <c r="BL263" s="121"/>
      <c r="BM263" s="5" t="str">
        <f t="shared" si="24"/>
        <v>MISSING</v>
      </c>
      <c r="BN263" s="120" t="b">
        <f t="shared" si="25"/>
        <v>0</v>
      </c>
      <c r="BO263" s="131" t="b">
        <f t="shared" si="26"/>
        <v>1</v>
      </c>
      <c r="BP263" s="121"/>
      <c r="BQ263" s="132" t="str">
        <f>VLOOKUP(A263,RAW_APS!A$3:O826,15,FALSE)</f>
        <v/>
      </c>
      <c r="BR263" s="120" t="b">
        <f t="shared" si="27"/>
        <v>1</v>
      </c>
      <c r="BS263" s="121"/>
      <c r="BT263" s="138" t="s">
        <v>52</v>
      </c>
      <c r="BU263" s="10" t="b">
        <f t="shared" si="28"/>
        <v>1</v>
      </c>
      <c r="BV263" s="120"/>
      <c r="BW263" s="120"/>
      <c r="BX263" s="120"/>
      <c r="BY263" s="120"/>
      <c r="BZ263" s="120"/>
      <c r="CA263" s="120"/>
      <c r="CB263" s="120"/>
      <c r="CC263" s="120"/>
    </row>
    <row r="264">
      <c r="A264" s="2" t="s">
        <v>941</v>
      </c>
      <c r="B264" s="100">
        <v>44580.0</v>
      </c>
      <c r="C264" s="101">
        <v>0.4436689814814815</v>
      </c>
      <c r="D264" s="102"/>
      <c r="E264" s="102"/>
      <c r="F264" s="102"/>
      <c r="G264" s="102"/>
      <c r="H264" s="102"/>
      <c r="I264" s="103"/>
      <c r="J264" s="103"/>
      <c r="K264" s="2" t="s">
        <v>244</v>
      </c>
      <c r="L264" s="100">
        <v>44580.0</v>
      </c>
      <c r="M264" s="101">
        <v>0.5080324074074074</v>
      </c>
      <c r="P264" s="104" t="b">
        <f>IFNA(IF(VLOOKUP($A264,'Add from APT'!$AA$2:$AC826,3,FALSE)&gt;0,TRUE,FALSE),"ER - NOT IN APT")</f>
        <v>0</v>
      </c>
      <c r="Q264" s="105" t="str">
        <f>IF(ISLOGICAL(P264),IF(P264,"ER - REPS IN APT", IFNA(VLOOKUP($A264,RAW_APT!$A$3:$M826,7,FALSE),"ER - NOT IN APT")),P264)</f>
        <v>Result</v>
      </c>
      <c r="R264" s="106" t="b">
        <f t="shared" si="2"/>
        <v>1</v>
      </c>
      <c r="S264" s="107">
        <f t="shared" si="3"/>
        <v>1</v>
      </c>
      <c r="T264" s="143"/>
      <c r="U264" s="142"/>
      <c r="V264" s="142"/>
      <c r="W264" s="142"/>
      <c r="X264" s="110" t="b">
        <f t="shared" si="4"/>
        <v>0</v>
      </c>
      <c r="Y264" s="111" t="b">
        <v>0</v>
      </c>
      <c r="Z264" s="104" t="str">
        <f t="shared" si="5"/>
        <v/>
      </c>
      <c r="AA264" s="112" t="b">
        <f t="shared" si="6"/>
        <v>0</v>
      </c>
      <c r="AB264" s="142" t="b">
        <v>0</v>
      </c>
      <c r="AC264" s="140">
        <v>542.0</v>
      </c>
      <c r="AD264" s="141" t="b">
        <v>0</v>
      </c>
      <c r="AE264" s="115">
        <f t="shared" si="7"/>
        <v>92.68333333</v>
      </c>
      <c r="AF264" s="116" t="b">
        <f t="shared" si="8"/>
        <v>0</v>
      </c>
      <c r="AG264" s="105" t="b">
        <f t="shared" si="9"/>
        <v>0</v>
      </c>
      <c r="AH264" s="140"/>
      <c r="AI264" s="140"/>
      <c r="AJ264" s="140"/>
      <c r="AK264" s="117" t="str">
        <f t="shared" si="10"/>
        <v>Negative</v>
      </c>
      <c r="AL264" s="142"/>
      <c r="AM264" s="112" t="s">
        <v>261</v>
      </c>
      <c r="AN264" s="112" t="s">
        <v>521</v>
      </c>
      <c r="AO264" s="112" t="str">
        <f>IFERROR(__xludf.DUMMYFUNCTION("IF($AG264, ""DELETED"",TRIM(JOIN("" "",D264:E264)))"),"")</f>
        <v/>
      </c>
      <c r="AP264" s="112" t="str">
        <f t="shared" ref="AP264:AQ264" si="289">IF($AG264, "DELETED", TRIM(CONCATENATE(F264,I264,U264)))</f>
        <v/>
      </c>
      <c r="AQ264" s="112" t="str">
        <f t="shared" si="289"/>
        <v/>
      </c>
      <c r="AR264" s="112" t="str">
        <f>IFERROR(__xludf.DUMMYFUNCTION("IF($AG264, ""DELETED"", TRIM(JOIN("" "",AP264,AQ264)))"),"")</f>
        <v/>
      </c>
      <c r="AS264" s="118"/>
      <c r="AT264" s="110" t="b">
        <f t="shared" si="12"/>
        <v>0</v>
      </c>
      <c r="AU264" s="110" t="str">
        <f t="shared" si="13"/>
        <v/>
      </c>
      <c r="AV264" s="110" t="str">
        <f t="shared" si="14"/>
        <v/>
      </c>
      <c r="AW264" s="110" t="str">
        <f t="shared" si="15"/>
        <v/>
      </c>
      <c r="AX264" s="119" t="str">
        <f t="shared" si="16"/>
        <v/>
      </c>
      <c r="AY264" s="120"/>
      <c r="AZ264" s="121"/>
      <c r="BA264" s="122" t="str">
        <f t="shared" si="17"/>
        <v/>
      </c>
      <c r="BB264" s="34"/>
      <c r="BC264" s="121"/>
      <c r="BD264" s="136"/>
      <c r="BE264" s="125" t="str">
        <f t="shared" si="18"/>
        <v/>
      </c>
      <c r="BF264" s="126" t="str">
        <f t="shared" si="19"/>
        <v>MA198__44580_0.443668981481482</v>
      </c>
      <c r="BG264" s="127" t="str">
        <f t="shared" si="20"/>
        <v/>
      </c>
      <c r="BH264" s="137" t="s">
        <v>942</v>
      </c>
      <c r="BI264" s="128" t="str">
        <f t="shared" si="21"/>
        <v>FM996</v>
      </c>
      <c r="BJ264" s="129" t="b">
        <f t="shared" si="22"/>
        <v>0</v>
      </c>
      <c r="BK264" s="128" t="str">
        <f t="shared" si="23"/>
        <v/>
      </c>
      <c r="BL264" s="121"/>
      <c r="BM264" s="5" t="str">
        <f t="shared" si="24"/>
        <v>MISSING</v>
      </c>
      <c r="BN264" s="120" t="b">
        <f t="shared" si="25"/>
        <v>0</v>
      </c>
      <c r="BO264" s="131" t="b">
        <f t="shared" si="26"/>
        <v>1</v>
      </c>
      <c r="BP264" s="121"/>
      <c r="BQ264" s="132" t="str">
        <f>VLOOKUP(A264,RAW_APS!A$3:O826,15,FALSE)</f>
        <v/>
      </c>
      <c r="BR264" s="120" t="b">
        <f t="shared" si="27"/>
        <v>1</v>
      </c>
      <c r="BS264" s="121"/>
      <c r="BT264" s="138" t="s">
        <v>244</v>
      </c>
      <c r="BU264" s="10" t="b">
        <f t="shared" si="28"/>
        <v>1</v>
      </c>
      <c r="BV264" s="120"/>
      <c r="BW264" s="120"/>
      <c r="BX264" s="120"/>
      <c r="BY264" s="120"/>
      <c r="BZ264" s="120"/>
      <c r="CA264" s="120"/>
      <c r="CB264" s="120"/>
      <c r="CC264" s="120"/>
    </row>
    <row r="265">
      <c r="A265" s="2" t="s">
        <v>943</v>
      </c>
      <c r="B265" s="100">
        <v>44580.0</v>
      </c>
      <c r="C265" s="101">
        <v>0.4467476851851852</v>
      </c>
      <c r="D265" s="102"/>
      <c r="E265" s="102"/>
      <c r="F265" s="102"/>
      <c r="G265" s="102"/>
      <c r="H265" s="102"/>
      <c r="I265" s="103"/>
      <c r="J265" s="103"/>
      <c r="K265" s="2" t="s">
        <v>244</v>
      </c>
      <c r="L265" s="100">
        <v>44580.0</v>
      </c>
      <c r="M265" s="101">
        <v>0.5080324074074074</v>
      </c>
      <c r="P265" s="104" t="b">
        <f>IFNA(IF(VLOOKUP($A265,'Add from APT'!$AA$2:$AC826,3,FALSE)&gt;0,TRUE,FALSE),"ER - NOT IN APT")</f>
        <v>0</v>
      </c>
      <c r="Q265" s="105" t="str">
        <f>IF(ISLOGICAL(P265),IF(P265,"ER - REPS IN APT", IFNA(VLOOKUP($A265,RAW_APT!$A$3:$M826,7,FALSE),"ER - NOT IN APT")),P265)</f>
        <v>Result</v>
      </c>
      <c r="R265" s="106" t="b">
        <f t="shared" si="2"/>
        <v>1</v>
      </c>
      <c r="S265" s="107">
        <f t="shared" si="3"/>
        <v>1</v>
      </c>
      <c r="T265" s="143"/>
      <c r="U265" s="142"/>
      <c r="V265" s="142"/>
      <c r="W265" s="142"/>
      <c r="X265" s="110" t="b">
        <f t="shared" si="4"/>
        <v>0</v>
      </c>
      <c r="Y265" s="111" t="b">
        <v>0</v>
      </c>
      <c r="Z265" s="104" t="str">
        <f t="shared" si="5"/>
        <v/>
      </c>
      <c r="AA265" s="112" t="b">
        <f t="shared" si="6"/>
        <v>0</v>
      </c>
      <c r="AB265" s="142" t="b">
        <v>0</v>
      </c>
      <c r="AC265" s="140">
        <v>541.0</v>
      </c>
      <c r="AD265" s="141" t="b">
        <v>0</v>
      </c>
      <c r="AE265" s="115">
        <f t="shared" si="7"/>
        <v>88.25</v>
      </c>
      <c r="AF265" s="116" t="b">
        <f t="shared" si="8"/>
        <v>0</v>
      </c>
      <c r="AG265" s="105" t="b">
        <f t="shared" si="9"/>
        <v>0</v>
      </c>
      <c r="AH265" s="140"/>
      <c r="AI265" s="140"/>
      <c r="AJ265" s="140"/>
      <c r="AK265" s="117" t="str">
        <f t="shared" si="10"/>
        <v>Negative</v>
      </c>
      <c r="AL265" s="142"/>
      <c r="AM265" s="112" t="s">
        <v>261</v>
      </c>
      <c r="AN265" s="112" t="s">
        <v>944</v>
      </c>
      <c r="AO265" s="112" t="str">
        <f>IFERROR(__xludf.DUMMYFUNCTION("IF($AG265, ""DELETED"",TRIM(JOIN("" "",D265:E265)))"),"")</f>
        <v/>
      </c>
      <c r="AP265" s="112" t="str">
        <f t="shared" ref="AP265:AQ265" si="290">IF($AG265, "DELETED", TRIM(CONCATENATE(F265,I265,U265)))</f>
        <v/>
      </c>
      <c r="AQ265" s="112" t="str">
        <f t="shared" si="290"/>
        <v/>
      </c>
      <c r="AR265" s="112" t="str">
        <f>IFERROR(__xludf.DUMMYFUNCTION("IF($AG265, ""DELETED"", TRIM(JOIN("" "",AP265,AQ265)))"),"")</f>
        <v/>
      </c>
      <c r="AS265" s="118"/>
      <c r="AT265" s="110" t="b">
        <f t="shared" si="12"/>
        <v>0</v>
      </c>
      <c r="AU265" s="110" t="str">
        <f t="shared" si="13"/>
        <v/>
      </c>
      <c r="AV265" s="110" t="str">
        <f t="shared" si="14"/>
        <v/>
      </c>
      <c r="AW265" s="110" t="str">
        <f t="shared" si="15"/>
        <v/>
      </c>
      <c r="AX265" s="119" t="str">
        <f t="shared" si="16"/>
        <v/>
      </c>
      <c r="AY265" s="120"/>
      <c r="AZ265" s="121"/>
      <c r="BA265" s="122" t="str">
        <f t="shared" si="17"/>
        <v/>
      </c>
      <c r="BB265" s="34"/>
      <c r="BC265" s="121"/>
      <c r="BD265" s="136"/>
      <c r="BE265" s="125" t="str">
        <f t="shared" si="18"/>
        <v/>
      </c>
      <c r="BF265" s="126" t="str">
        <f t="shared" si="19"/>
        <v>MAX114__44580_0.446747685185185</v>
      </c>
      <c r="BG265" s="127" t="str">
        <f t="shared" si="20"/>
        <v/>
      </c>
      <c r="BH265" s="137" t="s">
        <v>945</v>
      </c>
      <c r="BI265" s="128" t="str">
        <f t="shared" si="21"/>
        <v>Hero</v>
      </c>
      <c r="BJ265" s="129" t="b">
        <f t="shared" si="22"/>
        <v>0</v>
      </c>
      <c r="BK265" s="128" t="str">
        <f t="shared" si="23"/>
        <v/>
      </c>
      <c r="BL265" s="121"/>
      <c r="BM265" s="5" t="str">
        <f t="shared" si="24"/>
        <v>MISSING</v>
      </c>
      <c r="BN265" s="120" t="b">
        <f t="shared" si="25"/>
        <v>0</v>
      </c>
      <c r="BO265" s="131" t="b">
        <f t="shared" si="26"/>
        <v>1</v>
      </c>
      <c r="BP265" s="121"/>
      <c r="BQ265" s="132" t="str">
        <f>VLOOKUP(A265,RAW_APS!A$3:O826,15,FALSE)</f>
        <v/>
      </c>
      <c r="BR265" s="120" t="b">
        <f t="shared" si="27"/>
        <v>1</v>
      </c>
      <c r="BS265" s="121"/>
      <c r="BT265" s="138" t="s">
        <v>244</v>
      </c>
      <c r="BU265" s="10" t="b">
        <f t="shared" si="28"/>
        <v>1</v>
      </c>
      <c r="BV265" s="120"/>
      <c r="BW265" s="120"/>
      <c r="BX265" s="120"/>
      <c r="BY265" s="120"/>
      <c r="BZ265" s="120"/>
      <c r="CA265" s="120"/>
      <c r="CB265" s="120"/>
      <c r="CC265" s="120"/>
    </row>
    <row r="266">
      <c r="A266" s="2" t="s">
        <v>946</v>
      </c>
      <c r="B266" s="100">
        <v>44581.0</v>
      </c>
      <c r="C266" s="101">
        <v>0.31288194444444445</v>
      </c>
      <c r="D266" s="102"/>
      <c r="E266" s="102"/>
      <c r="F266" s="139"/>
      <c r="G266" s="103"/>
      <c r="H266" s="103"/>
      <c r="I266" s="103"/>
      <c r="J266" s="103"/>
      <c r="K266" s="2" t="s">
        <v>52</v>
      </c>
      <c r="L266" s="100">
        <v>44582.0</v>
      </c>
      <c r="M266" s="101">
        <v>0.4883912037037037</v>
      </c>
      <c r="P266" s="104" t="b">
        <f>IFNA(IF(VLOOKUP($A266,'Add from APT'!$AA$2:$AC826,3,FALSE)&gt;0,TRUE,FALSE),"ER - NOT IN APT")</f>
        <v>0</v>
      </c>
      <c r="Q266" s="105" t="str">
        <f>IF(ISLOGICAL(P266),IF(P266,"ER - REPS IN APT", IFNA(VLOOKUP($A266,RAW_APT!$A$3:$M826,7,FALSE),"ER - NOT IN APT")),P266)</f>
        <v>Result</v>
      </c>
      <c r="R266" s="106" t="b">
        <f t="shared" si="2"/>
        <v>1</v>
      </c>
      <c r="S266" s="107">
        <f t="shared" si="3"/>
        <v>1</v>
      </c>
      <c r="T266" s="140">
        <v>0.0</v>
      </c>
      <c r="U266" s="141"/>
      <c r="W266" s="142"/>
      <c r="X266" s="110" t="b">
        <f t="shared" si="4"/>
        <v>0</v>
      </c>
      <c r="Y266" s="111" t="b">
        <v>0</v>
      </c>
      <c r="Z266" s="104" t="str">
        <f t="shared" si="5"/>
        <v/>
      </c>
      <c r="AA266" s="112" t="b">
        <f t="shared" si="6"/>
        <v>0</v>
      </c>
      <c r="AB266" s="142" t="b">
        <v>0</v>
      </c>
      <c r="AC266" s="140">
        <v>540.0</v>
      </c>
      <c r="AD266" s="141" t="b">
        <v>0</v>
      </c>
      <c r="AE266" s="115" t="str">
        <f t="shared" si="7"/>
        <v/>
      </c>
      <c r="AF266" s="116" t="b">
        <f t="shared" si="8"/>
        <v>0</v>
      </c>
      <c r="AG266" s="105" t="b">
        <f t="shared" si="9"/>
        <v>0</v>
      </c>
      <c r="AH266" s="140"/>
      <c r="AI266" s="140"/>
      <c r="AJ266" s="140"/>
      <c r="AK266" s="117" t="str">
        <f t="shared" si="10"/>
        <v>Positive</v>
      </c>
      <c r="AL266" s="142"/>
      <c r="AM266" s="112" t="s">
        <v>793</v>
      </c>
      <c r="AN266" s="112" t="s">
        <v>794</v>
      </c>
      <c r="AO266" s="112" t="str">
        <f>IFERROR(__xludf.DUMMYFUNCTION("IF($AG266, ""DELETED"",TRIM(JOIN("" "",D266:E266)))"),"")</f>
        <v/>
      </c>
      <c r="AP266" s="112" t="str">
        <f t="shared" ref="AP266:AQ266" si="291">IF($AG266, "DELETED", TRIM(CONCATENATE(F266,I266,U266)))</f>
        <v/>
      </c>
      <c r="AQ266" s="112" t="str">
        <f t="shared" si="291"/>
        <v/>
      </c>
      <c r="AR266" s="112" t="str">
        <f>IFERROR(__xludf.DUMMYFUNCTION("IF($AG266, ""DELETED"", TRIM(JOIN("" "",AP266,AQ266)))"),"")</f>
        <v/>
      </c>
      <c r="AS266" s="118"/>
      <c r="AT266" s="110" t="b">
        <f t="shared" si="12"/>
        <v>0</v>
      </c>
      <c r="AU266" s="110" t="str">
        <f t="shared" si="13"/>
        <v/>
      </c>
      <c r="AV266" s="110" t="str">
        <f t="shared" si="14"/>
        <v/>
      </c>
      <c r="AW266" s="110" t="str">
        <f t="shared" si="15"/>
        <v/>
      </c>
      <c r="AX266" s="119" t="str">
        <f t="shared" si="16"/>
        <v/>
      </c>
      <c r="AY266" s="120"/>
      <c r="AZ266" s="121"/>
      <c r="BA266" s="122" t="str">
        <f t="shared" si="17"/>
        <v/>
      </c>
      <c r="BB266" s="34"/>
      <c r="BC266" s="121"/>
      <c r="BD266" s="136"/>
      <c r="BE266" s="125" t="str">
        <f t="shared" si="18"/>
        <v/>
      </c>
      <c r="BF266" s="126" t="str">
        <f t="shared" si="19"/>
        <v>MA278__44581_0.312881944444444</v>
      </c>
      <c r="BG266" s="127" t="str">
        <f t="shared" si="20"/>
        <v/>
      </c>
      <c r="BH266" s="137" t="s">
        <v>947</v>
      </c>
      <c r="BI266" s="128" t="str">
        <f t="shared" si="21"/>
        <v>Hero1</v>
      </c>
      <c r="BJ266" s="129" t="b">
        <f t="shared" si="22"/>
        <v>0</v>
      </c>
      <c r="BK266" s="128" t="str">
        <f t="shared" si="23"/>
        <v/>
      </c>
      <c r="BL266" s="121"/>
      <c r="BM266" s="5" t="str">
        <f t="shared" si="24"/>
        <v>MISSING</v>
      </c>
      <c r="BN266" s="120" t="b">
        <f t="shared" si="25"/>
        <v>0</v>
      </c>
      <c r="BO266" s="131" t="b">
        <f t="shared" si="26"/>
        <v>1</v>
      </c>
      <c r="BP266" s="121"/>
      <c r="BQ266" s="132" t="str">
        <f>VLOOKUP(A266,RAW_APS!A$3:O826,15,FALSE)</f>
        <v/>
      </c>
      <c r="BR266" s="120" t="b">
        <f t="shared" si="27"/>
        <v>1</v>
      </c>
      <c r="BS266" s="121"/>
      <c r="BT266" s="138" t="s">
        <v>52</v>
      </c>
      <c r="BU266" s="10" t="b">
        <f t="shared" si="28"/>
        <v>1</v>
      </c>
      <c r="BV266" s="120"/>
      <c r="BW266" s="120"/>
      <c r="BX266" s="120"/>
      <c r="BY266" s="120"/>
      <c r="BZ266" s="120"/>
      <c r="CA266" s="120"/>
      <c r="CB266" s="120"/>
      <c r="CC266" s="120"/>
    </row>
    <row r="267">
      <c r="A267" s="2" t="s">
        <v>948</v>
      </c>
      <c r="B267" s="100">
        <v>44581.0</v>
      </c>
      <c r="C267" s="101">
        <v>0.3341550925925926</v>
      </c>
      <c r="D267" s="102"/>
      <c r="E267" s="102"/>
      <c r="F267" s="102"/>
      <c r="G267" s="102"/>
      <c r="H267" s="102"/>
      <c r="I267" s="103"/>
      <c r="J267" s="103"/>
      <c r="K267" s="2" t="s">
        <v>254</v>
      </c>
      <c r="L267" s="11"/>
      <c r="M267" s="11"/>
      <c r="N267" s="11"/>
      <c r="O267" s="11"/>
      <c r="P267" s="104" t="b">
        <f>IFNA(IF(VLOOKUP($A267,'Add from APT'!$AA$2:$AC826,3,FALSE)&gt;0,TRUE,FALSE),"ER - NOT IN APT")</f>
        <v>0</v>
      </c>
      <c r="Q267" s="105" t="str">
        <f>IF(ISLOGICAL(P267),IF(P267,"ER - REPS IN APT", IFNA(VLOOKUP($A267,RAW_APT!$A$3:$M826,7,FALSE),"ER - NOT IN APT")),P267)</f>
        <v>Collected</v>
      </c>
      <c r="R267" s="106" t="b">
        <f t="shared" si="2"/>
        <v>1</v>
      </c>
      <c r="S267" s="107">
        <f t="shared" si="3"/>
        <v>1</v>
      </c>
      <c r="T267" s="143"/>
      <c r="U267" s="142"/>
      <c r="V267" s="142"/>
      <c r="W267" s="142"/>
      <c r="X267" s="110" t="b">
        <f t="shared" si="4"/>
        <v>0</v>
      </c>
      <c r="Y267" s="111" t="b">
        <v>0</v>
      </c>
      <c r="Z267" s="104" t="str">
        <f t="shared" si="5"/>
        <v/>
      </c>
      <c r="AA267" s="112" t="b">
        <f t="shared" si="6"/>
        <v>0</v>
      </c>
      <c r="AB267" s="142" t="b">
        <v>0</v>
      </c>
      <c r="AC267" s="140">
        <v>539.0</v>
      </c>
      <c r="AD267" s="141" t="b">
        <v>0</v>
      </c>
      <c r="AE267" s="115" t="str">
        <f t="shared" si="7"/>
        <v/>
      </c>
      <c r="AF267" s="116" t="b">
        <f t="shared" si="8"/>
        <v>0</v>
      </c>
      <c r="AG267" s="105" t="b">
        <f t="shared" si="9"/>
        <v>1</v>
      </c>
      <c r="AH267" s="145">
        <v>9.1</v>
      </c>
      <c r="AI267" s="4"/>
      <c r="AJ267" s="3"/>
      <c r="AK267" s="117" t="str">
        <f t="shared" si="10"/>
        <v>DELETED</v>
      </c>
      <c r="AL267" s="5"/>
      <c r="AM267" s="112" t="s">
        <v>245</v>
      </c>
      <c r="AN267" s="112" t="s">
        <v>245</v>
      </c>
      <c r="AO267" s="112" t="str">
        <f>IFERROR(__xludf.DUMMYFUNCTION("IF($AG267, ""DELETED"",TRIM(JOIN("" "",D267:E267)))"),"DELETED")</f>
        <v>DELETED</v>
      </c>
      <c r="AP267" s="112" t="str">
        <f t="shared" ref="AP267:AQ267" si="292">IF($AG267, "DELETED", TRIM(CONCATENATE(F267,I267,U267)))</f>
        <v>DELETED</v>
      </c>
      <c r="AQ267" s="112" t="str">
        <f t="shared" si="292"/>
        <v>DELETED</v>
      </c>
      <c r="AR267" s="112" t="str">
        <f>IFERROR(__xludf.DUMMYFUNCTION("IF($AG267, ""DELETED"", TRIM(JOIN("" "",AP267,AQ267)))"),"DELETED")</f>
        <v>DELETED</v>
      </c>
      <c r="AS267" s="118"/>
      <c r="AT267" s="110" t="b">
        <f t="shared" si="12"/>
        <v>1</v>
      </c>
      <c r="AU267" s="110" t="str">
        <f t="shared" si="13"/>
        <v/>
      </c>
      <c r="AV267" s="110" t="str">
        <f t="shared" si="14"/>
        <v/>
      </c>
      <c r="AW267" s="110" t="str">
        <f t="shared" si="15"/>
        <v/>
      </c>
      <c r="AX267" s="119" t="str">
        <f t="shared" si="16"/>
        <v/>
      </c>
      <c r="AY267" s="120"/>
      <c r="AZ267" s="121"/>
      <c r="BA267" s="122" t="b">
        <f t="shared" si="17"/>
        <v>1</v>
      </c>
      <c r="BB267" s="34"/>
      <c r="BC267" s="121"/>
      <c r="BD267" s="136"/>
      <c r="BE267" s="125" t="str">
        <f t="shared" si="18"/>
        <v/>
      </c>
      <c r="BF267" s="126" t="str">
        <f t="shared" si="19"/>
        <v>MA1066__44581_0.334155092592593</v>
      </c>
      <c r="BG267" s="127" t="str">
        <f t="shared" si="20"/>
        <v/>
      </c>
      <c r="BH267" s="137" t="s">
        <v>949</v>
      </c>
      <c r="BI267" s="128" t="str">
        <f t="shared" si="21"/>
        <v>HERO11</v>
      </c>
      <c r="BJ267" s="129" t="b">
        <f t="shared" si="22"/>
        <v>0</v>
      </c>
      <c r="BK267" s="128" t="str">
        <f t="shared" si="23"/>
        <v/>
      </c>
      <c r="BL267" s="121"/>
      <c r="BM267" s="5" t="str">
        <f t="shared" si="24"/>
        <v/>
      </c>
      <c r="BN267" s="120" t="b">
        <f t="shared" si="25"/>
        <v>0</v>
      </c>
      <c r="BO267" s="131" t="b">
        <f t="shared" si="26"/>
        <v>0</v>
      </c>
      <c r="BP267" s="121"/>
      <c r="BQ267" s="132" t="str">
        <f>VLOOKUP(A267,RAW_APS!A$3:O826,15,FALSE)</f>
        <v/>
      </c>
      <c r="BR267" s="120" t="b">
        <f t="shared" si="27"/>
        <v>1</v>
      </c>
      <c r="BS267" s="121"/>
      <c r="BT267" s="138" t="s">
        <v>245</v>
      </c>
      <c r="BU267" s="10" t="b">
        <f t="shared" si="28"/>
        <v>1</v>
      </c>
      <c r="BV267" s="120"/>
      <c r="BW267" s="120"/>
      <c r="BX267" s="120"/>
      <c r="BY267" s="120"/>
      <c r="BZ267" s="120"/>
      <c r="CA267" s="120"/>
      <c r="CB267" s="120"/>
      <c r="CC267" s="120"/>
    </row>
    <row r="268">
      <c r="A268" s="2" t="s">
        <v>950</v>
      </c>
      <c r="B268" s="100">
        <v>44582.0</v>
      </c>
      <c r="C268" s="101">
        <v>0.26828703703703705</v>
      </c>
      <c r="D268" s="102"/>
      <c r="E268" s="102"/>
      <c r="F268" s="102"/>
      <c r="G268" s="102"/>
      <c r="H268" s="102"/>
      <c r="I268" s="103"/>
      <c r="J268" s="103"/>
      <c r="K268" s="2" t="s">
        <v>244</v>
      </c>
      <c r="L268" s="100">
        <v>44582.0</v>
      </c>
      <c r="M268" s="101">
        <v>0.4883912037037037</v>
      </c>
      <c r="P268" s="104" t="b">
        <f>IFNA(IF(VLOOKUP($A268,'Add from APT'!$AA$2:$AC826,3,FALSE)&gt;0,TRUE,FALSE),"ER - NOT IN APT")</f>
        <v>0</v>
      </c>
      <c r="Q268" s="105" t="str">
        <f>IF(ISLOGICAL(P268),IF(P268,"ER - REPS IN APT", IFNA(VLOOKUP($A268,RAW_APT!$A$3:$M826,7,FALSE),"ER - NOT IN APT")),P268)</f>
        <v>Result</v>
      </c>
      <c r="R268" s="106" t="b">
        <f t="shared" si="2"/>
        <v>1</v>
      </c>
      <c r="S268" s="107">
        <f t="shared" si="3"/>
        <v>1</v>
      </c>
      <c r="T268" s="143"/>
      <c r="U268" s="142"/>
      <c r="V268" s="142"/>
      <c r="W268" s="142"/>
      <c r="X268" s="110" t="b">
        <f t="shared" si="4"/>
        <v>0</v>
      </c>
      <c r="Y268" s="111" t="b">
        <v>0</v>
      </c>
      <c r="Z268" s="104" t="str">
        <f t="shared" si="5"/>
        <v/>
      </c>
      <c r="AA268" s="112" t="b">
        <f t="shared" si="6"/>
        <v>0</v>
      </c>
      <c r="AB268" s="142" t="b">
        <v>0</v>
      </c>
      <c r="AC268" s="140">
        <v>538.0</v>
      </c>
      <c r="AD268" s="141" t="b">
        <v>0</v>
      </c>
      <c r="AE268" s="115">
        <f t="shared" si="7"/>
        <v>316.95</v>
      </c>
      <c r="AF268" s="116" t="b">
        <f t="shared" si="8"/>
        <v>0</v>
      </c>
      <c r="AG268" s="105" t="b">
        <f t="shared" si="9"/>
        <v>0</v>
      </c>
      <c r="AH268" s="140"/>
      <c r="AI268" s="140"/>
      <c r="AJ268" s="140"/>
      <c r="AK268" s="117" t="str">
        <f t="shared" si="10"/>
        <v>Negative</v>
      </c>
      <c r="AL268" s="142"/>
      <c r="AM268" s="112" t="s">
        <v>328</v>
      </c>
      <c r="AN268" s="112" t="s">
        <v>329</v>
      </c>
      <c r="AO268" s="112" t="str">
        <f>IFERROR(__xludf.DUMMYFUNCTION("IF($AG268, ""DELETED"",TRIM(JOIN("" "",D268:E268)))"),"")</f>
        <v/>
      </c>
      <c r="AP268" s="112" t="str">
        <f t="shared" ref="AP268:AQ268" si="293">IF($AG268, "DELETED", TRIM(CONCATENATE(F268,I268,U268)))</f>
        <v/>
      </c>
      <c r="AQ268" s="112" t="str">
        <f t="shared" si="293"/>
        <v/>
      </c>
      <c r="AR268" s="112" t="str">
        <f>IFERROR(__xludf.DUMMYFUNCTION("IF($AG268, ""DELETED"", TRIM(JOIN("" "",AP268,AQ268)))"),"")</f>
        <v/>
      </c>
      <c r="AS268" s="118"/>
      <c r="AT268" s="110" t="b">
        <f t="shared" si="12"/>
        <v>0</v>
      </c>
      <c r="AU268" s="110" t="str">
        <f t="shared" si="13"/>
        <v/>
      </c>
      <c r="AV268" s="110" t="str">
        <f t="shared" si="14"/>
        <v/>
      </c>
      <c r="AW268" s="110" t="str">
        <f t="shared" si="15"/>
        <v/>
      </c>
      <c r="AX268" s="119" t="str">
        <f t="shared" si="16"/>
        <v/>
      </c>
      <c r="AY268" s="120"/>
      <c r="AZ268" s="121"/>
      <c r="BA268" s="122" t="str">
        <f t="shared" si="17"/>
        <v/>
      </c>
      <c r="BB268" s="34"/>
      <c r="BC268" s="121"/>
      <c r="BD268" s="136"/>
      <c r="BE268" s="125" t="str">
        <f t="shared" si="18"/>
        <v/>
      </c>
      <c r="BF268" s="126" t="str">
        <f t="shared" si="19"/>
        <v>MA1021__44582_0.268287037037037</v>
      </c>
      <c r="BG268" s="127" t="str">
        <f t="shared" si="20"/>
        <v/>
      </c>
      <c r="BH268" s="137" t="s">
        <v>951</v>
      </c>
      <c r="BI268" s="128" t="str">
        <f t="shared" si="21"/>
        <v>HERO12</v>
      </c>
      <c r="BJ268" s="129" t="b">
        <f t="shared" si="22"/>
        <v>0</v>
      </c>
      <c r="BK268" s="128" t="str">
        <f t="shared" si="23"/>
        <v/>
      </c>
      <c r="BL268" s="121"/>
      <c r="BM268" s="5" t="str">
        <f t="shared" si="24"/>
        <v>MISSING</v>
      </c>
      <c r="BN268" s="120" t="b">
        <f t="shared" si="25"/>
        <v>0</v>
      </c>
      <c r="BO268" s="131" t="b">
        <f t="shared" si="26"/>
        <v>1</v>
      </c>
      <c r="BP268" s="121"/>
      <c r="BQ268" s="132" t="str">
        <f>VLOOKUP(A268,RAW_APS!A$3:O826,15,FALSE)</f>
        <v/>
      </c>
      <c r="BR268" s="120" t="b">
        <f t="shared" si="27"/>
        <v>1</v>
      </c>
      <c r="BS268" s="121"/>
      <c r="BT268" s="138" t="s">
        <v>244</v>
      </c>
      <c r="BU268" s="10" t="b">
        <f t="shared" si="28"/>
        <v>1</v>
      </c>
      <c r="BV268" s="120"/>
      <c r="BW268" s="120"/>
      <c r="BX268" s="120"/>
      <c r="BY268" s="120"/>
      <c r="BZ268" s="120"/>
      <c r="CA268" s="120"/>
      <c r="CB268" s="120"/>
      <c r="CC268" s="120"/>
    </row>
    <row r="269">
      <c r="A269" s="2" t="s">
        <v>952</v>
      </c>
      <c r="B269" s="100">
        <v>44582.0</v>
      </c>
      <c r="C269" s="101">
        <v>0.28474537037037034</v>
      </c>
      <c r="D269" s="102"/>
      <c r="E269" s="102"/>
      <c r="F269" s="102"/>
      <c r="G269" s="102"/>
      <c r="H269" s="102"/>
      <c r="I269" s="103"/>
      <c r="J269" s="103"/>
      <c r="K269" s="2" t="s">
        <v>52</v>
      </c>
      <c r="L269" s="100">
        <v>44582.0</v>
      </c>
      <c r="M269" s="101">
        <v>0.4884027777777778</v>
      </c>
      <c r="P269" s="104" t="b">
        <f>IFNA(IF(VLOOKUP($A269,'Add from APT'!$AA$2:$AC826,3,FALSE)&gt;0,TRUE,FALSE),"ER - NOT IN APT")</f>
        <v>0</v>
      </c>
      <c r="Q269" s="105" t="str">
        <f>IF(ISLOGICAL(P269),IF(P269,"ER - REPS IN APT", IFNA(VLOOKUP($A269,RAW_APT!$A$3:$M826,7,FALSE),"ER - NOT IN APT")),P269)</f>
        <v>Result</v>
      </c>
      <c r="R269" s="106" t="b">
        <f t="shared" si="2"/>
        <v>1</v>
      </c>
      <c r="S269" s="107">
        <f t="shared" si="3"/>
        <v>1</v>
      </c>
      <c r="T269" s="143"/>
      <c r="U269" s="142"/>
      <c r="V269" s="142"/>
      <c r="W269" s="142"/>
      <c r="X269" s="110" t="b">
        <f t="shared" si="4"/>
        <v>0</v>
      </c>
      <c r="Y269" s="111" t="b">
        <v>0</v>
      </c>
      <c r="Z269" s="104" t="str">
        <f t="shared" si="5"/>
        <v/>
      </c>
      <c r="AA269" s="112" t="b">
        <f t="shared" si="6"/>
        <v>0</v>
      </c>
      <c r="AB269" s="142" t="b">
        <v>0</v>
      </c>
      <c r="AC269" s="140">
        <v>537.0</v>
      </c>
      <c r="AD269" s="141" t="b">
        <v>0</v>
      </c>
      <c r="AE269" s="115">
        <f t="shared" si="7"/>
        <v>293.2666667</v>
      </c>
      <c r="AF269" s="116" t="b">
        <f t="shared" si="8"/>
        <v>0</v>
      </c>
      <c r="AG269" s="105" t="b">
        <f t="shared" si="9"/>
        <v>0</v>
      </c>
      <c r="AH269" s="140"/>
      <c r="AI269" s="140"/>
      <c r="AJ269" s="140"/>
      <c r="AK269" s="117" t="str">
        <f t="shared" si="10"/>
        <v>Positive</v>
      </c>
      <c r="AL269" s="142"/>
      <c r="AM269" s="112" t="s">
        <v>850</v>
      </c>
      <c r="AN269" s="112" t="s">
        <v>851</v>
      </c>
      <c r="AO269" s="112" t="str">
        <f>IFERROR(__xludf.DUMMYFUNCTION("IF($AG269, ""DELETED"",TRIM(JOIN("" "",D269:E269)))"),"")</f>
        <v/>
      </c>
      <c r="AP269" s="112" t="str">
        <f t="shared" ref="AP269:AQ269" si="294">IF($AG269, "DELETED", TRIM(CONCATENATE(F269,I269,U269)))</f>
        <v/>
      </c>
      <c r="AQ269" s="112" t="str">
        <f t="shared" si="294"/>
        <v/>
      </c>
      <c r="AR269" s="112" t="str">
        <f>IFERROR(__xludf.DUMMYFUNCTION("IF($AG269, ""DELETED"", TRIM(JOIN("" "",AP269,AQ269)))"),"")</f>
        <v/>
      </c>
      <c r="AS269" s="118"/>
      <c r="AT269" s="110" t="b">
        <f t="shared" si="12"/>
        <v>0</v>
      </c>
      <c r="AU269" s="110" t="str">
        <f t="shared" si="13"/>
        <v/>
      </c>
      <c r="AV269" s="110" t="str">
        <f t="shared" si="14"/>
        <v/>
      </c>
      <c r="AW269" s="110" t="str">
        <f t="shared" si="15"/>
        <v/>
      </c>
      <c r="AX269" s="119" t="str">
        <f t="shared" si="16"/>
        <v/>
      </c>
      <c r="AY269" s="120"/>
      <c r="AZ269" s="121"/>
      <c r="BA269" s="122" t="str">
        <f t="shared" si="17"/>
        <v/>
      </c>
      <c r="BB269" s="34"/>
      <c r="BC269" s="121"/>
      <c r="BD269" s="136"/>
      <c r="BE269" s="125" t="str">
        <f t="shared" si="18"/>
        <v/>
      </c>
      <c r="BF269" s="126" t="str">
        <f t="shared" si="19"/>
        <v>MAX80__44582_0.28474537037037</v>
      </c>
      <c r="BG269" s="127" t="str">
        <f t="shared" si="20"/>
        <v/>
      </c>
      <c r="BH269" s="137" t="s">
        <v>953</v>
      </c>
      <c r="BI269" s="128" t="str">
        <f t="shared" si="21"/>
        <v>HERO13</v>
      </c>
      <c r="BJ269" s="129" t="b">
        <f t="shared" si="22"/>
        <v>0</v>
      </c>
      <c r="BK269" s="128" t="str">
        <f t="shared" si="23"/>
        <v/>
      </c>
      <c r="BL269" s="121"/>
      <c r="BM269" s="5" t="str">
        <f t="shared" si="24"/>
        <v>MISSING</v>
      </c>
      <c r="BN269" s="120" t="b">
        <f t="shared" si="25"/>
        <v>0</v>
      </c>
      <c r="BO269" s="131" t="b">
        <f t="shared" si="26"/>
        <v>1</v>
      </c>
      <c r="BP269" s="121"/>
      <c r="BQ269" s="132" t="str">
        <f>VLOOKUP(A269,RAW_APS!A$3:O826,15,FALSE)</f>
        <v/>
      </c>
      <c r="BR269" s="120" t="b">
        <f t="shared" si="27"/>
        <v>1</v>
      </c>
      <c r="BS269" s="121"/>
      <c r="BT269" s="138" t="s">
        <v>52</v>
      </c>
      <c r="BU269" s="10" t="b">
        <f t="shared" si="28"/>
        <v>1</v>
      </c>
      <c r="BV269" s="120"/>
      <c r="BW269" s="120"/>
      <c r="BX269" s="120"/>
      <c r="BY269" s="120"/>
      <c r="BZ269" s="120"/>
      <c r="CA269" s="120"/>
      <c r="CB269" s="120"/>
      <c r="CC269" s="120"/>
    </row>
    <row r="270">
      <c r="A270" s="2" t="s">
        <v>954</v>
      </c>
      <c r="B270" s="100">
        <v>44582.0</v>
      </c>
      <c r="C270" s="101">
        <v>0.28693287037037035</v>
      </c>
      <c r="D270" s="102"/>
      <c r="E270" s="102"/>
      <c r="F270" s="103"/>
      <c r="G270" s="148"/>
      <c r="H270" s="148"/>
      <c r="I270" s="103"/>
      <c r="J270" s="103"/>
      <c r="K270" s="2" t="s">
        <v>52</v>
      </c>
      <c r="L270" s="100">
        <v>44582.0</v>
      </c>
      <c r="M270" s="101">
        <v>0.4884027777777778</v>
      </c>
      <c r="P270" s="104" t="b">
        <f>IFNA(IF(VLOOKUP($A270,'Add from APT'!$AA$2:$AC826,3,FALSE)&gt;0,TRUE,FALSE),"ER - NOT IN APT")</f>
        <v>0</v>
      </c>
      <c r="Q270" s="105" t="str">
        <f>IF(ISLOGICAL(P270),IF(P270,"ER - REPS IN APT", IFNA(VLOOKUP($A270,RAW_APT!$A$3:$M826,7,FALSE),"ER - NOT IN APT")),P270)</f>
        <v>Result</v>
      </c>
      <c r="R270" s="106" t="b">
        <f t="shared" si="2"/>
        <v>1</v>
      </c>
      <c r="S270" s="107">
        <f t="shared" si="3"/>
        <v>1</v>
      </c>
      <c r="T270" s="140">
        <v>0.0</v>
      </c>
      <c r="V270" s="142"/>
      <c r="W270" s="141"/>
      <c r="X270" s="110" t="b">
        <f t="shared" si="4"/>
        <v>0</v>
      </c>
      <c r="Y270" s="111" t="b">
        <v>0</v>
      </c>
      <c r="Z270" s="104" t="str">
        <f t="shared" si="5"/>
        <v/>
      </c>
      <c r="AA270" s="112" t="b">
        <f t="shared" si="6"/>
        <v>0</v>
      </c>
      <c r="AB270" s="142" t="b">
        <v>0</v>
      </c>
      <c r="AC270" s="140">
        <v>536.0</v>
      </c>
      <c r="AD270" s="141" t="b">
        <v>0</v>
      </c>
      <c r="AE270" s="115">
        <f t="shared" si="7"/>
        <v>290.1166667</v>
      </c>
      <c r="AF270" s="116" t="b">
        <f t="shared" si="8"/>
        <v>0</v>
      </c>
      <c r="AG270" s="105" t="b">
        <f t="shared" si="9"/>
        <v>0</v>
      </c>
      <c r="AH270" s="140"/>
      <c r="AI270" s="140"/>
      <c r="AJ270" s="140"/>
      <c r="AK270" s="117" t="str">
        <f t="shared" si="10"/>
        <v>Positive</v>
      </c>
      <c r="AL270" s="142"/>
      <c r="AM270" s="112" t="s">
        <v>850</v>
      </c>
      <c r="AN270" s="112" t="s">
        <v>955</v>
      </c>
      <c r="AO270" s="112" t="str">
        <f>IFERROR(__xludf.DUMMYFUNCTION("IF($AG270, ""DELETED"",TRIM(JOIN("" "",D270:E270)))"),"")</f>
        <v/>
      </c>
      <c r="AP270" s="112" t="str">
        <f t="shared" ref="AP270:AQ270" si="295">IF($AG270, "DELETED", TRIM(CONCATENATE(F270,I270,U270)))</f>
        <v/>
      </c>
      <c r="AQ270" s="112" t="str">
        <f t="shared" si="295"/>
        <v/>
      </c>
      <c r="AR270" s="112" t="str">
        <f>IFERROR(__xludf.DUMMYFUNCTION("IF($AG270, ""DELETED"", TRIM(JOIN("" "",AP270,AQ270)))"),"")</f>
        <v/>
      </c>
      <c r="AS270" s="118"/>
      <c r="AT270" s="110" t="b">
        <f t="shared" si="12"/>
        <v>0</v>
      </c>
      <c r="AU270" s="110" t="str">
        <f t="shared" si="13"/>
        <v/>
      </c>
      <c r="AV270" s="110" t="str">
        <f t="shared" si="14"/>
        <v/>
      </c>
      <c r="AW270" s="110" t="str">
        <f t="shared" si="15"/>
        <v/>
      </c>
      <c r="AX270" s="119" t="str">
        <f t="shared" si="16"/>
        <v/>
      </c>
      <c r="AY270" s="120"/>
      <c r="AZ270" s="121"/>
      <c r="BA270" s="163" t="str">
        <f t="shared" si="17"/>
        <v/>
      </c>
      <c r="BB270" s="34"/>
      <c r="BC270" s="121"/>
      <c r="BD270" s="136"/>
      <c r="BE270" s="125" t="str">
        <f t="shared" si="18"/>
        <v/>
      </c>
      <c r="BF270" s="126" t="str">
        <f t="shared" si="19"/>
        <v>MAX89__44582_0.28693287037037</v>
      </c>
      <c r="BG270" s="127" t="str">
        <f t="shared" si="20"/>
        <v/>
      </c>
      <c r="BH270" s="137" t="s">
        <v>956</v>
      </c>
      <c r="BI270" s="128" t="str">
        <f t="shared" si="21"/>
        <v>HERO14</v>
      </c>
      <c r="BJ270" s="129" t="b">
        <f t="shared" si="22"/>
        <v>0</v>
      </c>
      <c r="BK270" s="128" t="str">
        <f t="shared" si="23"/>
        <v/>
      </c>
      <c r="BL270" s="121"/>
      <c r="BM270" s="5" t="str">
        <f t="shared" si="24"/>
        <v>MISSING</v>
      </c>
      <c r="BN270" s="120" t="b">
        <f t="shared" si="25"/>
        <v>0</v>
      </c>
      <c r="BO270" s="131" t="b">
        <f t="shared" si="26"/>
        <v>1</v>
      </c>
      <c r="BP270" s="121"/>
      <c r="BQ270" s="132" t="str">
        <f>VLOOKUP(A270,RAW_APS!A$3:O826,15,FALSE)</f>
        <v/>
      </c>
      <c r="BR270" s="120" t="b">
        <f t="shared" si="27"/>
        <v>1</v>
      </c>
      <c r="BS270" s="121"/>
      <c r="BT270" s="138" t="s">
        <v>52</v>
      </c>
      <c r="BU270" s="10" t="b">
        <f t="shared" si="28"/>
        <v>1</v>
      </c>
      <c r="BV270" s="120"/>
      <c r="BW270" s="120"/>
      <c r="BX270" s="120"/>
      <c r="BY270" s="120"/>
      <c r="BZ270" s="120"/>
      <c r="CA270" s="120"/>
      <c r="CB270" s="120"/>
      <c r="CC270" s="120"/>
    </row>
    <row r="271">
      <c r="A271" s="2" t="s">
        <v>957</v>
      </c>
      <c r="B271" s="100">
        <v>44582.0</v>
      </c>
      <c r="C271" s="101">
        <v>0.31300925925925926</v>
      </c>
      <c r="D271" s="102"/>
      <c r="E271" s="102"/>
      <c r="F271" s="102"/>
      <c r="G271" s="102"/>
      <c r="H271" s="102"/>
      <c r="I271" s="103"/>
      <c r="J271" s="103"/>
      <c r="K271" s="2" t="s">
        <v>244</v>
      </c>
      <c r="L271" s="100">
        <v>44582.0</v>
      </c>
      <c r="M271" s="101">
        <v>0.4883912037037037</v>
      </c>
      <c r="P271" s="104" t="b">
        <f>IFNA(IF(VLOOKUP($A271,'Add from APT'!$AA$2:$AC826,3,FALSE)&gt;0,TRUE,FALSE),"ER - NOT IN APT")</f>
        <v>0</v>
      </c>
      <c r="Q271" s="105" t="str">
        <f>IF(ISLOGICAL(P271),IF(P271,"ER - REPS IN APT", IFNA(VLOOKUP($A271,RAW_APT!$A$3:$M826,7,FALSE),"ER - NOT IN APT")),P271)</f>
        <v>Result</v>
      </c>
      <c r="R271" s="106" t="b">
        <f t="shared" si="2"/>
        <v>1</v>
      </c>
      <c r="S271" s="107">
        <f t="shared" si="3"/>
        <v>1</v>
      </c>
      <c r="T271" s="143"/>
      <c r="U271" s="142"/>
      <c r="V271" s="142"/>
      <c r="W271" s="142"/>
      <c r="X271" s="110" t="b">
        <f t="shared" si="4"/>
        <v>0</v>
      </c>
      <c r="Y271" s="111" t="b">
        <v>0</v>
      </c>
      <c r="Z271" s="104" t="str">
        <f t="shared" si="5"/>
        <v/>
      </c>
      <c r="AA271" s="112" t="b">
        <f t="shared" si="6"/>
        <v>0</v>
      </c>
      <c r="AB271" s="142" t="b">
        <v>0</v>
      </c>
      <c r="AC271" s="140">
        <v>535.0</v>
      </c>
      <c r="AD271" s="141" t="b">
        <v>0</v>
      </c>
      <c r="AE271" s="115">
        <f t="shared" si="7"/>
        <v>252.55</v>
      </c>
      <c r="AF271" s="116" t="b">
        <f t="shared" si="8"/>
        <v>0</v>
      </c>
      <c r="AG271" s="105" t="b">
        <f t="shared" si="9"/>
        <v>0</v>
      </c>
      <c r="AH271" s="140"/>
      <c r="AI271" s="140"/>
      <c r="AJ271" s="140"/>
      <c r="AK271" s="117" t="str">
        <f t="shared" si="10"/>
        <v>Negative</v>
      </c>
      <c r="AL271" s="142"/>
      <c r="AM271" s="112" t="s">
        <v>649</v>
      </c>
      <c r="AN271" s="112" t="s">
        <v>336</v>
      </c>
      <c r="AO271" s="112" t="str">
        <f>IFERROR(__xludf.DUMMYFUNCTION("IF($AG271, ""DELETED"",TRIM(JOIN("" "",D271:E271)))"),"")</f>
        <v/>
      </c>
      <c r="AP271" s="112" t="str">
        <f t="shared" ref="AP271:AQ271" si="296">IF($AG271, "DELETED", TRIM(CONCATENATE(F271,I271,U271)))</f>
        <v/>
      </c>
      <c r="AQ271" s="112" t="str">
        <f t="shared" si="296"/>
        <v/>
      </c>
      <c r="AR271" s="112" t="str">
        <f>IFERROR(__xludf.DUMMYFUNCTION("IF($AG271, ""DELETED"", TRIM(JOIN("" "",AP271,AQ271)))"),"")</f>
        <v/>
      </c>
      <c r="AS271" s="118"/>
      <c r="AT271" s="110" t="b">
        <f t="shared" si="12"/>
        <v>0</v>
      </c>
      <c r="AU271" s="110" t="str">
        <f t="shared" si="13"/>
        <v/>
      </c>
      <c r="AV271" s="110" t="str">
        <f t="shared" si="14"/>
        <v/>
      </c>
      <c r="AW271" s="110" t="str">
        <f t="shared" si="15"/>
        <v/>
      </c>
      <c r="AX271" s="119" t="str">
        <f t="shared" si="16"/>
        <v/>
      </c>
      <c r="AY271" s="120"/>
      <c r="AZ271" s="121"/>
      <c r="BA271" s="122" t="str">
        <f t="shared" si="17"/>
        <v/>
      </c>
      <c r="BB271" s="34"/>
      <c r="BC271" s="121"/>
      <c r="BD271" s="136"/>
      <c r="BE271" s="125" t="str">
        <f t="shared" si="18"/>
        <v/>
      </c>
      <c r="BF271" s="126" t="str">
        <f t="shared" si="19"/>
        <v>MA1151__44582_0.313009259259259</v>
      </c>
      <c r="BG271" s="127" t="str">
        <f t="shared" si="20"/>
        <v/>
      </c>
      <c r="BH271" s="137" t="s">
        <v>958</v>
      </c>
      <c r="BI271" s="128" t="str">
        <f t="shared" si="21"/>
        <v>Hero2</v>
      </c>
      <c r="BJ271" s="129" t="b">
        <f t="shared" si="22"/>
        <v>0</v>
      </c>
      <c r="BK271" s="128" t="str">
        <f t="shared" si="23"/>
        <v/>
      </c>
      <c r="BL271" s="121"/>
      <c r="BM271" s="5" t="str">
        <f t="shared" si="24"/>
        <v>MISSING</v>
      </c>
      <c r="BN271" s="120" t="b">
        <f t="shared" si="25"/>
        <v>0</v>
      </c>
      <c r="BO271" s="131" t="b">
        <f t="shared" si="26"/>
        <v>1</v>
      </c>
      <c r="BP271" s="121"/>
      <c r="BQ271" s="132" t="str">
        <f>VLOOKUP(A271,RAW_APS!A$3:O826,15,FALSE)</f>
        <v/>
      </c>
      <c r="BR271" s="120" t="b">
        <f t="shared" si="27"/>
        <v>1</v>
      </c>
      <c r="BS271" s="121"/>
      <c r="BT271" s="138" t="s">
        <v>244</v>
      </c>
      <c r="BU271" s="10" t="b">
        <f t="shared" si="28"/>
        <v>1</v>
      </c>
      <c r="BV271" s="120"/>
      <c r="BW271" s="120"/>
      <c r="BX271" s="120"/>
      <c r="BY271" s="120"/>
      <c r="BZ271" s="120"/>
      <c r="CA271" s="120"/>
      <c r="CB271" s="120"/>
      <c r="CC271" s="120"/>
    </row>
    <row r="272">
      <c r="A272" s="2" t="s">
        <v>959</v>
      </c>
      <c r="B272" s="100">
        <v>44582.0</v>
      </c>
      <c r="C272" s="101">
        <v>0.3404861111111111</v>
      </c>
      <c r="D272" s="102"/>
      <c r="E272" s="102"/>
      <c r="F272" s="139"/>
      <c r="G272" s="103"/>
      <c r="H272" s="103"/>
      <c r="I272" s="103"/>
      <c r="J272" s="103"/>
      <c r="K272" s="2" t="s">
        <v>244</v>
      </c>
      <c r="L272" s="100">
        <v>44582.0</v>
      </c>
      <c r="M272" s="101">
        <v>0.4883912037037037</v>
      </c>
      <c r="P272" s="104" t="b">
        <f>IFNA(IF(VLOOKUP($A272,'Add from APT'!$AA$2:$AC826,3,FALSE)&gt;0,TRUE,FALSE),"ER - NOT IN APT")</f>
        <v>0</v>
      </c>
      <c r="Q272" s="105" t="str">
        <f>IF(ISLOGICAL(P272),IF(P272,"ER - REPS IN APT", IFNA(VLOOKUP($A272,RAW_APT!$A$3:$M826,7,FALSE),"ER - NOT IN APT")),P272)</f>
        <v>Result</v>
      </c>
      <c r="R272" s="106" t="b">
        <f t="shared" si="2"/>
        <v>1</v>
      </c>
      <c r="S272" s="107">
        <f t="shared" si="3"/>
        <v>1</v>
      </c>
      <c r="T272" s="140">
        <v>0.0</v>
      </c>
      <c r="U272" s="141"/>
      <c r="W272" s="142"/>
      <c r="X272" s="110" t="b">
        <f t="shared" si="4"/>
        <v>0</v>
      </c>
      <c r="Y272" s="111" t="b">
        <v>0</v>
      </c>
      <c r="Z272" s="104" t="str">
        <f t="shared" si="5"/>
        <v/>
      </c>
      <c r="AA272" s="112" t="b">
        <f t="shared" si="6"/>
        <v>0</v>
      </c>
      <c r="AB272" s="142" t="b">
        <v>0</v>
      </c>
      <c r="AC272" s="140">
        <v>534.0</v>
      </c>
      <c r="AD272" s="141" t="b">
        <v>0</v>
      </c>
      <c r="AE272" s="115">
        <f t="shared" si="7"/>
        <v>212.9833333</v>
      </c>
      <c r="AF272" s="116" t="b">
        <f t="shared" si="8"/>
        <v>0</v>
      </c>
      <c r="AG272" s="105" t="b">
        <f t="shared" si="9"/>
        <v>0</v>
      </c>
      <c r="AH272" s="140"/>
      <c r="AI272" s="140"/>
      <c r="AJ272" s="140"/>
      <c r="AK272" s="117" t="str">
        <f t="shared" si="10"/>
        <v>Negative</v>
      </c>
      <c r="AL272" s="142"/>
      <c r="AM272" s="112" t="s">
        <v>587</v>
      </c>
      <c r="AN272" s="112" t="s">
        <v>960</v>
      </c>
      <c r="AO272" s="112" t="str">
        <f>IFERROR(__xludf.DUMMYFUNCTION("IF($AG272, ""DELETED"",TRIM(JOIN("" "",D272:E272)))"),"")</f>
        <v/>
      </c>
      <c r="AP272" s="112" t="str">
        <f t="shared" ref="AP272:AQ272" si="297">IF($AG272, "DELETED", TRIM(CONCATENATE(F272,I272,U272)))</f>
        <v/>
      </c>
      <c r="AQ272" s="112" t="str">
        <f t="shared" si="297"/>
        <v/>
      </c>
      <c r="AR272" s="112" t="str">
        <f>IFERROR(__xludf.DUMMYFUNCTION("IF($AG272, ""DELETED"", TRIM(JOIN("" "",AP272,AQ272)))"),"")</f>
        <v/>
      </c>
      <c r="AS272" s="118"/>
      <c r="AT272" s="110" t="b">
        <f t="shared" si="12"/>
        <v>0</v>
      </c>
      <c r="AU272" s="110" t="str">
        <f t="shared" si="13"/>
        <v/>
      </c>
      <c r="AV272" s="110" t="str">
        <f t="shared" si="14"/>
        <v/>
      </c>
      <c r="AW272" s="110" t="str">
        <f t="shared" si="15"/>
        <v/>
      </c>
      <c r="AX272" s="119" t="str">
        <f t="shared" si="16"/>
        <v/>
      </c>
      <c r="AY272" s="120"/>
      <c r="AZ272" s="121"/>
      <c r="BA272" s="122" t="str">
        <f t="shared" si="17"/>
        <v/>
      </c>
      <c r="BB272" s="34"/>
      <c r="BC272" s="121"/>
      <c r="BD272" s="136"/>
      <c r="BE272" s="125" t="str">
        <f t="shared" si="18"/>
        <v/>
      </c>
      <c r="BF272" s="126" t="str">
        <f t="shared" si="19"/>
        <v>MA1053__44582_0.340486111111111</v>
      </c>
      <c r="BG272" s="127" t="str">
        <f t="shared" si="20"/>
        <v/>
      </c>
      <c r="BH272" s="137" t="s">
        <v>961</v>
      </c>
      <c r="BI272" s="128" t="str">
        <f t="shared" si="21"/>
        <v>Hero700</v>
      </c>
      <c r="BJ272" s="129" t="b">
        <f t="shared" si="22"/>
        <v>0</v>
      </c>
      <c r="BK272" s="128" t="str">
        <f t="shared" si="23"/>
        <v/>
      </c>
      <c r="BL272" s="121"/>
      <c r="BM272" s="5" t="str">
        <f t="shared" si="24"/>
        <v>MISSING</v>
      </c>
      <c r="BN272" s="120" t="b">
        <f t="shared" si="25"/>
        <v>0</v>
      </c>
      <c r="BO272" s="131" t="b">
        <f t="shared" si="26"/>
        <v>1</v>
      </c>
      <c r="BP272" s="121"/>
      <c r="BQ272" s="132" t="str">
        <f>VLOOKUP(A272,RAW_APS!A$3:O826,15,FALSE)</f>
        <v/>
      </c>
      <c r="BR272" s="120" t="b">
        <f t="shared" si="27"/>
        <v>1</v>
      </c>
      <c r="BS272" s="121"/>
      <c r="BT272" s="138" t="s">
        <v>244</v>
      </c>
      <c r="BU272" s="10" t="b">
        <f t="shared" si="28"/>
        <v>1</v>
      </c>
      <c r="BV272" s="120"/>
      <c r="BW272" s="120"/>
      <c r="BX272" s="120"/>
      <c r="BY272" s="120"/>
      <c r="BZ272" s="120"/>
      <c r="CA272" s="120"/>
      <c r="CB272" s="120"/>
      <c r="CC272" s="120"/>
    </row>
    <row r="273">
      <c r="A273" s="2" t="s">
        <v>962</v>
      </c>
      <c r="B273" s="100">
        <v>44582.0</v>
      </c>
      <c r="C273" s="101">
        <v>0.34140046296296295</v>
      </c>
      <c r="D273" s="102"/>
      <c r="E273" s="102"/>
      <c r="F273" s="102"/>
      <c r="G273" s="102"/>
      <c r="H273" s="102"/>
      <c r="I273" s="103"/>
      <c r="J273" s="103"/>
      <c r="K273" s="2" t="s">
        <v>244</v>
      </c>
      <c r="L273" s="100">
        <v>44582.0</v>
      </c>
      <c r="M273" s="101">
        <v>0.4884027777777778</v>
      </c>
      <c r="P273" s="104" t="b">
        <f>IFNA(IF(VLOOKUP($A273,'Add from APT'!$AA$2:$AC826,3,FALSE)&gt;0,TRUE,FALSE),"ER - NOT IN APT")</f>
        <v>0</v>
      </c>
      <c r="Q273" s="105" t="str">
        <f>IF(ISLOGICAL(P273),IF(P273,"ER - REPS IN APT", IFNA(VLOOKUP($A273,RAW_APT!$A$3:$M826,7,FALSE),"ER - NOT IN APT")),P273)</f>
        <v>Result</v>
      </c>
      <c r="R273" s="106" t="b">
        <f t="shared" si="2"/>
        <v>1</v>
      </c>
      <c r="S273" s="107">
        <f t="shared" si="3"/>
        <v>1</v>
      </c>
      <c r="T273" s="143"/>
      <c r="U273" s="141"/>
      <c r="V273" s="142"/>
      <c r="W273" s="141"/>
      <c r="X273" s="110" t="b">
        <f t="shared" si="4"/>
        <v>0</v>
      </c>
      <c r="Y273" s="111" t="b">
        <v>0</v>
      </c>
      <c r="Z273" s="104" t="str">
        <f t="shared" si="5"/>
        <v/>
      </c>
      <c r="AA273" s="112" t="b">
        <f t="shared" si="6"/>
        <v>0</v>
      </c>
      <c r="AB273" s="142" t="b">
        <v>0</v>
      </c>
      <c r="AC273" s="140">
        <v>533.0</v>
      </c>
      <c r="AD273" s="141" t="b">
        <v>0</v>
      </c>
      <c r="AE273" s="115">
        <f t="shared" si="7"/>
        <v>211.6833333</v>
      </c>
      <c r="AF273" s="116" t="b">
        <f t="shared" si="8"/>
        <v>0</v>
      </c>
      <c r="AG273" s="105" t="b">
        <f t="shared" si="9"/>
        <v>0</v>
      </c>
      <c r="AH273" s="140"/>
      <c r="AI273" s="140"/>
      <c r="AJ273" s="140"/>
      <c r="AK273" s="117" t="str">
        <f t="shared" si="10"/>
        <v>Negative</v>
      </c>
      <c r="AL273" s="142"/>
      <c r="AM273" s="112" t="s">
        <v>587</v>
      </c>
      <c r="AN273" s="112" t="s">
        <v>588</v>
      </c>
      <c r="AO273" s="112" t="str">
        <f>IFERROR(__xludf.DUMMYFUNCTION("IF($AG273, ""DELETED"",TRIM(JOIN("" "",D273:E273)))"),"")</f>
        <v/>
      </c>
      <c r="AP273" s="112" t="str">
        <f t="shared" ref="AP273:AQ273" si="298">IF($AG273, "DELETED", TRIM(CONCATENATE(F273,I273,U273)))</f>
        <v/>
      </c>
      <c r="AQ273" s="112" t="str">
        <f t="shared" si="298"/>
        <v/>
      </c>
      <c r="AR273" s="112" t="str">
        <f>IFERROR(__xludf.DUMMYFUNCTION("IF($AG273, ""DELETED"", TRIM(JOIN("" "",AP273,AQ273)))"),"")</f>
        <v/>
      </c>
      <c r="AS273" s="118"/>
      <c r="AT273" s="110" t="b">
        <f t="shared" si="12"/>
        <v>0</v>
      </c>
      <c r="AU273" s="110" t="str">
        <f t="shared" si="13"/>
        <v/>
      </c>
      <c r="AV273" s="110" t="str">
        <f t="shared" si="14"/>
        <v/>
      </c>
      <c r="AW273" s="110" t="str">
        <f t="shared" si="15"/>
        <v/>
      </c>
      <c r="AX273" s="119" t="str">
        <f t="shared" si="16"/>
        <v/>
      </c>
      <c r="AY273" s="120"/>
      <c r="AZ273" s="121"/>
      <c r="BA273" s="122" t="str">
        <f t="shared" si="17"/>
        <v/>
      </c>
      <c r="BB273" s="34"/>
      <c r="BC273" s="121"/>
      <c r="BD273" s="136"/>
      <c r="BE273" s="125" t="str">
        <f t="shared" si="18"/>
        <v/>
      </c>
      <c r="BF273" s="126" t="str">
        <f t="shared" si="19"/>
        <v>MA1048__44582_0.341400462962963</v>
      </c>
      <c r="BG273" s="127" t="str">
        <f t="shared" si="20"/>
        <v/>
      </c>
      <c r="BH273" s="137" t="s">
        <v>963</v>
      </c>
      <c r="BI273" s="128" t="str">
        <f t="shared" si="21"/>
        <v>MA1011</v>
      </c>
      <c r="BJ273" s="129" t="b">
        <f t="shared" si="22"/>
        <v>0</v>
      </c>
      <c r="BK273" s="128" t="str">
        <f t="shared" si="23"/>
        <v/>
      </c>
      <c r="BL273" s="121"/>
      <c r="BM273" s="5" t="str">
        <f t="shared" si="24"/>
        <v>MISSING</v>
      </c>
      <c r="BN273" s="120" t="b">
        <f t="shared" si="25"/>
        <v>0</v>
      </c>
      <c r="BO273" s="131" t="b">
        <f t="shared" si="26"/>
        <v>1</v>
      </c>
      <c r="BP273" s="121"/>
      <c r="BQ273" s="132" t="str">
        <f>VLOOKUP(A273,RAW_APS!A$3:O826,15,FALSE)</f>
        <v/>
      </c>
      <c r="BR273" s="120" t="b">
        <f t="shared" si="27"/>
        <v>1</v>
      </c>
      <c r="BS273" s="121"/>
      <c r="BT273" s="138" t="s">
        <v>244</v>
      </c>
      <c r="BU273" s="10" t="b">
        <f t="shared" si="28"/>
        <v>1</v>
      </c>
      <c r="BV273" s="120"/>
      <c r="BW273" s="120"/>
      <c r="BX273" s="120"/>
      <c r="BY273" s="120"/>
      <c r="BZ273" s="120"/>
      <c r="CA273" s="120"/>
      <c r="CB273" s="120"/>
      <c r="CC273" s="120"/>
    </row>
    <row r="274">
      <c r="A274" s="2" t="s">
        <v>964</v>
      </c>
      <c r="B274" s="100">
        <v>44582.0</v>
      </c>
      <c r="C274" s="101">
        <v>0.35019675925925925</v>
      </c>
      <c r="D274" s="102"/>
      <c r="E274" s="102"/>
      <c r="F274" s="102"/>
      <c r="G274" s="102"/>
      <c r="H274" s="102"/>
      <c r="I274" s="103"/>
      <c r="J274" s="103"/>
      <c r="K274" s="2" t="s">
        <v>244</v>
      </c>
      <c r="L274" s="100">
        <v>44582.0</v>
      </c>
      <c r="M274" s="101">
        <v>0.4884027777777778</v>
      </c>
      <c r="P274" s="104" t="b">
        <f>IFNA(IF(VLOOKUP($A274,'Add from APT'!$AA$2:$AC826,3,FALSE)&gt;0,TRUE,FALSE),"ER - NOT IN APT")</f>
        <v>0</v>
      </c>
      <c r="Q274" s="105" t="str">
        <f>IF(ISLOGICAL(P274),IF(P274,"ER - REPS IN APT", IFNA(VLOOKUP($A274,RAW_APT!$A$3:$M826,7,FALSE),"ER - NOT IN APT")),P274)</f>
        <v>Result</v>
      </c>
      <c r="R274" s="106" t="b">
        <f t="shared" si="2"/>
        <v>1</v>
      </c>
      <c r="S274" s="107">
        <f t="shared" si="3"/>
        <v>1</v>
      </c>
      <c r="T274" s="143"/>
      <c r="U274" s="142"/>
      <c r="V274" s="142"/>
      <c r="W274" s="142"/>
      <c r="X274" s="110" t="b">
        <f t="shared" si="4"/>
        <v>0</v>
      </c>
      <c r="Y274" s="111" t="b">
        <v>0</v>
      </c>
      <c r="Z274" s="104" t="str">
        <f t="shared" si="5"/>
        <v/>
      </c>
      <c r="AA274" s="112" t="b">
        <f t="shared" si="6"/>
        <v>0</v>
      </c>
      <c r="AB274" s="142" t="b">
        <v>0</v>
      </c>
      <c r="AC274" s="140">
        <v>532.0</v>
      </c>
      <c r="AD274" s="141" t="b">
        <v>0</v>
      </c>
      <c r="AE274" s="115">
        <f t="shared" si="7"/>
        <v>199.0166667</v>
      </c>
      <c r="AF274" s="116" t="b">
        <f t="shared" si="8"/>
        <v>0</v>
      </c>
      <c r="AG274" s="105" t="b">
        <f t="shared" si="9"/>
        <v>0</v>
      </c>
      <c r="AH274" s="140"/>
      <c r="AI274" s="140"/>
      <c r="AJ274" s="140"/>
      <c r="AK274" s="117" t="str">
        <f t="shared" si="10"/>
        <v>Negative</v>
      </c>
      <c r="AL274" s="142"/>
      <c r="AM274" s="112" t="s">
        <v>318</v>
      </c>
      <c r="AN274" s="112" t="s">
        <v>319</v>
      </c>
      <c r="AO274" s="112" t="str">
        <f>IFERROR(__xludf.DUMMYFUNCTION("IF($AG274, ""DELETED"",TRIM(JOIN("" "",D274:E274)))"),"")</f>
        <v/>
      </c>
      <c r="AP274" s="112" t="str">
        <f t="shared" ref="AP274:AQ274" si="299">IF($AG274, "DELETED", TRIM(CONCATENATE(F274,I274,U274)))</f>
        <v/>
      </c>
      <c r="AQ274" s="112" t="str">
        <f t="shared" si="299"/>
        <v/>
      </c>
      <c r="AR274" s="112" t="str">
        <f>IFERROR(__xludf.DUMMYFUNCTION("IF($AG274, ""DELETED"", TRIM(JOIN("" "",AP274,AQ274)))"),"")</f>
        <v/>
      </c>
      <c r="AS274" s="118"/>
      <c r="AT274" s="110" t="b">
        <f t="shared" si="12"/>
        <v>0</v>
      </c>
      <c r="AU274" s="110" t="str">
        <f t="shared" si="13"/>
        <v/>
      </c>
      <c r="AV274" s="110" t="str">
        <f t="shared" si="14"/>
        <v/>
      </c>
      <c r="AW274" s="110" t="str">
        <f t="shared" si="15"/>
        <v/>
      </c>
      <c r="AX274" s="119" t="str">
        <f t="shared" si="16"/>
        <v/>
      </c>
      <c r="AY274" s="120"/>
      <c r="AZ274" s="121"/>
      <c r="BA274" s="122" t="str">
        <f t="shared" si="17"/>
        <v/>
      </c>
      <c r="BB274" s="34"/>
      <c r="BC274" s="121"/>
      <c r="BD274" s="136"/>
      <c r="BE274" s="125" t="str">
        <f t="shared" si="18"/>
        <v/>
      </c>
      <c r="BF274" s="126" t="str">
        <f t="shared" si="19"/>
        <v>MA376__44582_0.350196759259259</v>
      </c>
      <c r="BG274" s="127" t="str">
        <f t="shared" si="20"/>
        <v/>
      </c>
      <c r="BH274" s="137" t="s">
        <v>965</v>
      </c>
      <c r="BI274" s="128" t="str">
        <f t="shared" si="21"/>
        <v>MA1021</v>
      </c>
      <c r="BJ274" s="129" t="b">
        <f t="shared" si="22"/>
        <v>0</v>
      </c>
      <c r="BK274" s="128" t="str">
        <f t="shared" si="23"/>
        <v/>
      </c>
      <c r="BL274" s="121"/>
      <c r="BM274" s="5" t="str">
        <f t="shared" si="24"/>
        <v>MISSING</v>
      </c>
      <c r="BN274" s="120" t="b">
        <f t="shared" si="25"/>
        <v>0</v>
      </c>
      <c r="BO274" s="131" t="b">
        <f t="shared" si="26"/>
        <v>1</v>
      </c>
      <c r="BP274" s="121"/>
      <c r="BQ274" s="132" t="str">
        <f>VLOOKUP(A274,RAW_APS!A$3:O826,15,FALSE)</f>
        <v/>
      </c>
      <c r="BR274" s="120" t="b">
        <f t="shared" si="27"/>
        <v>1</v>
      </c>
      <c r="BS274" s="121"/>
      <c r="BT274" s="138" t="s">
        <v>244</v>
      </c>
      <c r="BU274" s="10" t="b">
        <f t="shared" si="28"/>
        <v>1</v>
      </c>
      <c r="BV274" s="120"/>
      <c r="BW274" s="120"/>
      <c r="BX274" s="120"/>
      <c r="BY274" s="120"/>
      <c r="BZ274" s="120"/>
      <c r="CA274" s="120"/>
      <c r="CB274" s="120"/>
      <c r="CC274" s="120"/>
    </row>
    <row r="275">
      <c r="A275" s="2" t="s">
        <v>966</v>
      </c>
      <c r="B275" s="100">
        <v>44582.0</v>
      </c>
      <c r="C275" s="101">
        <v>0.35087962962962965</v>
      </c>
      <c r="D275" s="102"/>
      <c r="E275" s="102"/>
      <c r="F275" s="103"/>
      <c r="G275" s="103"/>
      <c r="H275" s="103"/>
      <c r="I275" s="135"/>
      <c r="J275" s="103"/>
      <c r="K275" s="2" t="s">
        <v>244</v>
      </c>
      <c r="L275" s="100">
        <v>44582.0</v>
      </c>
      <c r="M275" s="101">
        <v>0.4884027777777778</v>
      </c>
      <c r="N275" s="2" t="s">
        <v>247</v>
      </c>
      <c r="P275" s="104" t="b">
        <f>IFNA(IF(VLOOKUP($A275,'Add from APT'!$AA$2:$AC826,3,FALSE)&gt;0,TRUE,FALSE),"ER - NOT IN APT")</f>
        <v>0</v>
      </c>
      <c r="Q275" s="105" t="str">
        <f>IF(ISLOGICAL(P275),IF(P275,"ER - REPS IN APT", IFNA(VLOOKUP($A275,RAW_APT!$A$3:$M826,7,FALSE),"ER - NOT IN APT")),P275)</f>
        <v>Result</v>
      </c>
      <c r="R275" s="106" t="b">
        <f t="shared" si="2"/>
        <v>1</v>
      </c>
      <c r="S275" s="107">
        <f t="shared" si="3"/>
        <v>1</v>
      </c>
      <c r="T275" s="140">
        <v>0.0</v>
      </c>
      <c r="W275" s="141"/>
      <c r="X275" s="110" t="b">
        <f t="shared" si="4"/>
        <v>0</v>
      </c>
      <c r="Y275" s="111" t="b">
        <v>0</v>
      </c>
      <c r="Z275" s="104" t="str">
        <f t="shared" si="5"/>
        <v/>
      </c>
      <c r="AA275" s="112" t="b">
        <f t="shared" si="6"/>
        <v>0</v>
      </c>
      <c r="AB275" s="142" t="b">
        <v>0</v>
      </c>
      <c r="AC275" s="140">
        <v>805.0</v>
      </c>
      <c r="AD275" s="141" t="b">
        <v>1</v>
      </c>
      <c r="AE275" s="115">
        <f t="shared" si="7"/>
        <v>198.0333333</v>
      </c>
      <c r="AF275" s="116" t="b">
        <f t="shared" si="8"/>
        <v>0</v>
      </c>
      <c r="AG275" s="105" t="b">
        <f t="shared" si="9"/>
        <v>0</v>
      </c>
      <c r="AH275" s="140"/>
      <c r="AI275" s="140"/>
      <c r="AJ275" s="140"/>
      <c r="AK275" s="117" t="str">
        <f t="shared" si="10"/>
        <v>Negative</v>
      </c>
      <c r="AL275" s="142"/>
      <c r="AM275" s="112" t="s">
        <v>918</v>
      </c>
      <c r="AN275" s="112" t="s">
        <v>886</v>
      </c>
      <c r="AO275" s="112" t="str">
        <f>IFERROR(__xludf.DUMMYFUNCTION("IF($AG275, ""DELETED"",TRIM(JOIN("" "",D275:E275)))"),"")</f>
        <v/>
      </c>
      <c r="AP275" s="112" t="str">
        <f t="shared" ref="AP275:AQ275" si="300">IF($AG275, "DELETED", TRIM(CONCATENATE(F275,I275,U275)))</f>
        <v/>
      </c>
      <c r="AQ275" s="112" t="str">
        <f t="shared" si="300"/>
        <v/>
      </c>
      <c r="AR275" s="112" t="str">
        <f>IFERROR(__xludf.DUMMYFUNCTION("IF($AG275, ""DELETED"", TRIM(JOIN("" "",AP275,AQ275)))"),"")</f>
        <v/>
      </c>
      <c r="AS275" s="118"/>
      <c r="AT275" s="110" t="b">
        <f t="shared" si="12"/>
        <v>0</v>
      </c>
      <c r="AU275" s="110" t="str">
        <f t="shared" si="13"/>
        <v/>
      </c>
      <c r="AV275" s="110" t="str">
        <f t="shared" si="14"/>
        <v/>
      </c>
      <c r="AW275" s="110" t="str">
        <f t="shared" si="15"/>
        <v/>
      </c>
      <c r="AX275" s="119" t="str">
        <f t="shared" si="16"/>
        <v/>
      </c>
      <c r="AY275" s="120"/>
      <c r="AZ275" s="121"/>
      <c r="BA275" s="122" t="str">
        <f t="shared" si="17"/>
        <v/>
      </c>
      <c r="BB275" s="34"/>
      <c r="BC275" s="121"/>
      <c r="BD275" s="136"/>
      <c r="BE275" s="125" t="str">
        <f t="shared" si="18"/>
        <v/>
      </c>
      <c r="BF275" s="126" t="str">
        <f t="shared" si="19"/>
        <v>MA1300__44582_0.35087962962963</v>
      </c>
      <c r="BG275" s="127" t="str">
        <f t="shared" si="20"/>
        <v/>
      </c>
      <c r="BH275" s="137" t="s">
        <v>967</v>
      </c>
      <c r="BI275" s="128" t="str">
        <f t="shared" si="21"/>
        <v>MA1022</v>
      </c>
      <c r="BJ275" s="129" t="b">
        <f t="shared" si="22"/>
        <v>0</v>
      </c>
      <c r="BK275" s="128" t="str">
        <f t="shared" si="23"/>
        <v/>
      </c>
      <c r="BL275" s="121"/>
      <c r="BM275" s="5" t="str">
        <f t="shared" si="24"/>
        <v>MISSING</v>
      </c>
      <c r="BN275" s="120" t="b">
        <f t="shared" si="25"/>
        <v>0</v>
      </c>
      <c r="BO275" s="131" t="b">
        <f t="shared" si="26"/>
        <v>1</v>
      </c>
      <c r="BP275" s="121"/>
      <c r="BQ275" s="132" t="str">
        <f>VLOOKUP(A275,RAW_APS!A$3:O826,15,FALSE)</f>
        <v>#N/A</v>
      </c>
      <c r="BR275" s="120" t="str">
        <f t="shared" si="27"/>
        <v>***TUBE ID NOT FOUND</v>
      </c>
      <c r="BS275" s="121"/>
      <c r="BT275" s="138" t="s">
        <v>244</v>
      </c>
      <c r="BU275" s="10" t="b">
        <f t="shared" si="28"/>
        <v>1</v>
      </c>
      <c r="BV275" s="120"/>
      <c r="BW275" s="120"/>
      <c r="BX275" s="120"/>
      <c r="BY275" s="120"/>
      <c r="BZ275" s="120"/>
      <c r="CA275" s="120"/>
      <c r="CB275" s="120"/>
      <c r="CC275" s="120"/>
    </row>
    <row r="276">
      <c r="A276" s="2" t="s">
        <v>968</v>
      </c>
      <c r="B276" s="100">
        <v>44582.0</v>
      </c>
      <c r="C276" s="101">
        <v>0.3514351851851852</v>
      </c>
      <c r="D276" s="102"/>
      <c r="E276" s="102"/>
      <c r="F276" s="102"/>
      <c r="G276" s="102"/>
      <c r="H276" s="102"/>
      <c r="I276" s="103"/>
      <c r="J276" s="103"/>
      <c r="K276" s="2" t="s">
        <v>244</v>
      </c>
      <c r="L276" s="100">
        <v>44582.0</v>
      </c>
      <c r="M276" s="101">
        <v>0.4884027777777778</v>
      </c>
      <c r="P276" s="104" t="b">
        <f>IFNA(IF(VLOOKUP($A276,'Add from APT'!$AA$2:$AC826,3,FALSE)&gt;0,TRUE,FALSE),"ER - NOT IN APT")</f>
        <v>0</v>
      </c>
      <c r="Q276" s="105" t="str">
        <f>IF(ISLOGICAL(P276),IF(P276,"ER - REPS IN APT", IFNA(VLOOKUP($A276,RAW_APT!$A$3:$M826,7,FALSE),"ER - NOT IN APT")),P276)</f>
        <v>Result</v>
      </c>
      <c r="R276" s="106" t="b">
        <f t="shared" si="2"/>
        <v>1</v>
      </c>
      <c r="S276" s="107">
        <f t="shared" si="3"/>
        <v>1</v>
      </c>
      <c r="T276" s="143"/>
      <c r="U276" s="142"/>
      <c r="V276" s="142"/>
      <c r="W276" s="142"/>
      <c r="X276" s="110" t="b">
        <f t="shared" si="4"/>
        <v>0</v>
      </c>
      <c r="Y276" s="111" t="b">
        <v>0</v>
      </c>
      <c r="Z276" s="104" t="str">
        <f t="shared" si="5"/>
        <v/>
      </c>
      <c r="AA276" s="112" t="b">
        <f t="shared" si="6"/>
        <v>0</v>
      </c>
      <c r="AB276" s="142" t="b">
        <v>0</v>
      </c>
      <c r="AC276" s="140">
        <v>531.0</v>
      </c>
      <c r="AD276" s="141" t="b">
        <v>0</v>
      </c>
      <c r="AE276" s="115">
        <f t="shared" si="7"/>
        <v>197.2333333</v>
      </c>
      <c r="AF276" s="116" t="b">
        <f t="shared" si="8"/>
        <v>0</v>
      </c>
      <c r="AG276" s="105" t="b">
        <f t="shared" si="9"/>
        <v>0</v>
      </c>
      <c r="AH276" s="140"/>
      <c r="AI276" s="140"/>
      <c r="AJ276" s="140"/>
      <c r="AK276" s="117" t="str">
        <f t="shared" si="10"/>
        <v>Negative</v>
      </c>
      <c r="AL276" s="142"/>
      <c r="AM276" s="112" t="s">
        <v>633</v>
      </c>
      <c r="AN276" s="112" t="s">
        <v>634</v>
      </c>
      <c r="AO276" s="112" t="str">
        <f>IFERROR(__xludf.DUMMYFUNCTION("IF($AG276, ""DELETED"",TRIM(JOIN("" "",D276:E276)))"),"")</f>
        <v/>
      </c>
      <c r="AP276" s="112" t="str">
        <f t="shared" ref="AP276:AQ276" si="301">IF($AG276, "DELETED", TRIM(CONCATENATE(F276,I276,U276)))</f>
        <v/>
      </c>
      <c r="AQ276" s="112" t="str">
        <f t="shared" si="301"/>
        <v/>
      </c>
      <c r="AR276" s="112" t="str">
        <f>IFERROR(__xludf.DUMMYFUNCTION("IF($AG276, ""DELETED"", TRIM(JOIN("" "",AP276,AQ276)))"),"")</f>
        <v/>
      </c>
      <c r="AS276" s="118"/>
      <c r="AT276" s="110" t="b">
        <f t="shared" si="12"/>
        <v>0</v>
      </c>
      <c r="AU276" s="110" t="str">
        <f t="shared" si="13"/>
        <v/>
      </c>
      <c r="AV276" s="110" t="str">
        <f t="shared" si="14"/>
        <v/>
      </c>
      <c r="AW276" s="110" t="str">
        <f t="shared" si="15"/>
        <v/>
      </c>
      <c r="AX276" s="119" t="str">
        <f t="shared" si="16"/>
        <v/>
      </c>
      <c r="AY276" s="120"/>
      <c r="AZ276" s="121"/>
      <c r="BA276" s="122" t="str">
        <f t="shared" si="17"/>
        <v/>
      </c>
      <c r="BB276" s="34"/>
      <c r="BC276" s="121"/>
      <c r="BD276" s="136"/>
      <c r="BE276" s="125" t="str">
        <f t="shared" si="18"/>
        <v/>
      </c>
      <c r="BF276" s="126" t="str">
        <f t="shared" si="19"/>
        <v>MA452__44582_0.351435185185185</v>
      </c>
      <c r="BG276" s="127" t="str">
        <f t="shared" si="20"/>
        <v/>
      </c>
      <c r="BH276" s="137" t="s">
        <v>969</v>
      </c>
      <c r="BI276" s="128" t="str">
        <f t="shared" si="21"/>
        <v>MA1024</v>
      </c>
      <c r="BJ276" s="129" t="b">
        <f t="shared" si="22"/>
        <v>0</v>
      </c>
      <c r="BK276" s="128" t="str">
        <f t="shared" si="23"/>
        <v/>
      </c>
      <c r="BL276" s="121"/>
      <c r="BM276" s="5" t="str">
        <f t="shared" si="24"/>
        <v>MISSING</v>
      </c>
      <c r="BN276" s="120" t="b">
        <f t="shared" si="25"/>
        <v>0</v>
      </c>
      <c r="BO276" s="131" t="b">
        <f t="shared" si="26"/>
        <v>1</v>
      </c>
      <c r="BP276" s="121"/>
      <c r="BQ276" s="132" t="str">
        <f>VLOOKUP(A276,RAW_APS!A$3:O826,15,FALSE)</f>
        <v/>
      </c>
      <c r="BR276" s="120" t="b">
        <f t="shared" si="27"/>
        <v>1</v>
      </c>
      <c r="BS276" s="121"/>
      <c r="BT276" s="138" t="s">
        <v>244</v>
      </c>
      <c r="BU276" s="10" t="b">
        <f t="shared" si="28"/>
        <v>1</v>
      </c>
      <c r="BV276" s="120"/>
      <c r="BW276" s="120"/>
      <c r="BX276" s="120"/>
      <c r="BY276" s="120"/>
      <c r="BZ276" s="120"/>
      <c r="CA276" s="120"/>
      <c r="CB276" s="120"/>
      <c r="CC276" s="120"/>
    </row>
    <row r="277">
      <c r="A277" s="2" t="s">
        <v>970</v>
      </c>
      <c r="B277" s="100">
        <v>44582.0</v>
      </c>
      <c r="C277" s="101">
        <v>0.3526388888888889</v>
      </c>
      <c r="D277" s="102"/>
      <c r="E277" s="102"/>
      <c r="F277" s="102"/>
      <c r="G277" s="102"/>
      <c r="H277" s="102"/>
      <c r="I277" s="103"/>
      <c r="J277" s="103"/>
      <c r="K277" s="2" t="s">
        <v>52</v>
      </c>
      <c r="L277" s="100">
        <v>44582.0</v>
      </c>
      <c r="M277" s="101">
        <v>0.4884027777777778</v>
      </c>
      <c r="P277" s="104" t="b">
        <f>IFNA(IF(VLOOKUP($A277,'Add from APT'!$AA$2:$AC826,3,FALSE)&gt;0,TRUE,FALSE),"ER - NOT IN APT")</f>
        <v>0</v>
      </c>
      <c r="Q277" s="105" t="str">
        <f>IF(ISLOGICAL(P277),IF(P277,"ER - REPS IN APT", IFNA(VLOOKUP($A277,RAW_APT!$A$3:$M826,7,FALSE),"ER - NOT IN APT")),P277)</f>
        <v>Result</v>
      </c>
      <c r="R277" s="106" t="b">
        <f t="shared" si="2"/>
        <v>1</v>
      </c>
      <c r="S277" s="107">
        <f t="shared" si="3"/>
        <v>1</v>
      </c>
      <c r="T277" s="143"/>
      <c r="U277" s="142"/>
      <c r="V277" s="142"/>
      <c r="W277" s="142"/>
      <c r="X277" s="110" t="b">
        <f t="shared" si="4"/>
        <v>0</v>
      </c>
      <c r="Y277" s="111" t="b">
        <v>0</v>
      </c>
      <c r="Z277" s="104" t="str">
        <f t="shared" si="5"/>
        <v/>
      </c>
      <c r="AA277" s="112" t="b">
        <f t="shared" si="6"/>
        <v>0</v>
      </c>
      <c r="AB277" s="142" t="b">
        <v>0</v>
      </c>
      <c r="AC277" s="140">
        <v>530.0</v>
      </c>
      <c r="AD277" s="141" t="b">
        <v>0</v>
      </c>
      <c r="AE277" s="115">
        <f t="shared" si="7"/>
        <v>195.5</v>
      </c>
      <c r="AF277" s="116" t="b">
        <f t="shared" si="8"/>
        <v>0</v>
      </c>
      <c r="AG277" s="105" t="b">
        <f t="shared" si="9"/>
        <v>0</v>
      </c>
      <c r="AH277" s="140"/>
      <c r="AI277" s="140"/>
      <c r="AJ277" s="140"/>
      <c r="AK277" s="117" t="str">
        <f t="shared" si="10"/>
        <v>Positive</v>
      </c>
      <c r="AL277" s="142"/>
      <c r="AM277" s="112" t="s">
        <v>257</v>
      </c>
      <c r="AN277" s="112" t="s">
        <v>406</v>
      </c>
      <c r="AO277" s="112" t="str">
        <f>IFERROR(__xludf.DUMMYFUNCTION("IF($AG277, ""DELETED"",TRIM(JOIN("" "",D277:E277)))"),"")</f>
        <v/>
      </c>
      <c r="AP277" s="112" t="str">
        <f t="shared" ref="AP277:AQ277" si="302">IF($AG277, "DELETED", TRIM(CONCATENATE(F277,I277,U277)))</f>
        <v/>
      </c>
      <c r="AQ277" s="112" t="str">
        <f t="shared" si="302"/>
        <v/>
      </c>
      <c r="AR277" s="112" t="str">
        <f>IFERROR(__xludf.DUMMYFUNCTION("IF($AG277, ""DELETED"", TRIM(JOIN("" "",AP277,AQ277)))"),"")</f>
        <v/>
      </c>
      <c r="AS277" s="118"/>
      <c r="AT277" s="110" t="b">
        <f t="shared" si="12"/>
        <v>0</v>
      </c>
      <c r="AU277" s="110" t="str">
        <f t="shared" si="13"/>
        <v/>
      </c>
      <c r="AV277" s="110" t="str">
        <f t="shared" si="14"/>
        <v/>
      </c>
      <c r="AW277" s="110" t="str">
        <f t="shared" si="15"/>
        <v/>
      </c>
      <c r="AX277" s="119" t="str">
        <f t="shared" si="16"/>
        <v/>
      </c>
      <c r="AY277" s="120"/>
      <c r="AZ277" s="121"/>
      <c r="BA277" s="122" t="str">
        <f t="shared" si="17"/>
        <v/>
      </c>
      <c r="BB277" s="34"/>
      <c r="BC277" s="121"/>
      <c r="BD277" s="136"/>
      <c r="BE277" s="125" t="str">
        <f t="shared" si="18"/>
        <v/>
      </c>
      <c r="BF277" s="126" t="str">
        <f t="shared" si="19"/>
        <v>MA1047__44582_0.352638888888889</v>
      </c>
      <c r="BG277" s="127" t="str">
        <f t="shared" si="20"/>
        <v/>
      </c>
      <c r="BH277" s="137" t="s">
        <v>971</v>
      </c>
      <c r="BI277" s="128" t="str">
        <f t="shared" si="21"/>
        <v>MA1025</v>
      </c>
      <c r="BJ277" s="129" t="b">
        <f t="shared" si="22"/>
        <v>0</v>
      </c>
      <c r="BK277" s="128" t="str">
        <f t="shared" si="23"/>
        <v/>
      </c>
      <c r="BL277" s="121"/>
      <c r="BM277" s="5" t="str">
        <f t="shared" si="24"/>
        <v>MISSING</v>
      </c>
      <c r="BN277" s="120" t="b">
        <f t="shared" si="25"/>
        <v>0</v>
      </c>
      <c r="BO277" s="131" t="b">
        <f t="shared" si="26"/>
        <v>1</v>
      </c>
      <c r="BP277" s="121"/>
      <c r="BQ277" s="132" t="str">
        <f>VLOOKUP(A277,RAW_APS!A$3:O826,15,FALSE)</f>
        <v/>
      </c>
      <c r="BR277" s="120" t="b">
        <f t="shared" si="27"/>
        <v>1</v>
      </c>
      <c r="BS277" s="121"/>
      <c r="BT277" s="138" t="s">
        <v>52</v>
      </c>
      <c r="BU277" s="10" t="b">
        <f t="shared" si="28"/>
        <v>1</v>
      </c>
      <c r="BV277" s="120"/>
      <c r="BW277" s="120"/>
      <c r="BX277" s="120"/>
      <c r="BY277" s="120"/>
      <c r="BZ277" s="120"/>
      <c r="CA277" s="120"/>
      <c r="CB277" s="120"/>
      <c r="CC277" s="120"/>
    </row>
    <row r="278">
      <c r="A278" s="2" t="s">
        <v>972</v>
      </c>
      <c r="B278" s="100">
        <v>44582.0</v>
      </c>
      <c r="C278" s="101">
        <v>0.39038194444444446</v>
      </c>
      <c r="D278" s="102"/>
      <c r="E278" s="102"/>
      <c r="F278" s="139"/>
      <c r="G278" s="148"/>
      <c r="H278" s="148"/>
      <c r="I278" s="103"/>
      <c r="J278" s="103"/>
      <c r="K278" s="2" t="s">
        <v>52</v>
      </c>
      <c r="L278" s="100">
        <v>44582.0</v>
      </c>
      <c r="M278" s="101">
        <v>0.4884027777777778</v>
      </c>
      <c r="P278" s="104" t="b">
        <f>IFNA(IF(VLOOKUP($A278,'Add from APT'!$AA$2:$AC826,3,FALSE)&gt;0,TRUE,FALSE),"ER - NOT IN APT")</f>
        <v>0</v>
      </c>
      <c r="Q278" s="105" t="str">
        <f>IF(ISLOGICAL(P278),IF(P278,"ER - REPS IN APT", IFNA(VLOOKUP($A278,RAW_APT!$A$3:$M826,7,FALSE),"ER - NOT IN APT")),P278)</f>
        <v>Result</v>
      </c>
      <c r="R278" s="106" t="b">
        <f t="shared" si="2"/>
        <v>1</v>
      </c>
      <c r="S278" s="107">
        <f t="shared" si="3"/>
        <v>1</v>
      </c>
      <c r="T278" s="140">
        <v>0.0</v>
      </c>
      <c r="U278" s="141"/>
      <c r="V278" s="142"/>
      <c r="W278" s="141"/>
      <c r="X278" s="110" t="b">
        <f t="shared" si="4"/>
        <v>0</v>
      </c>
      <c r="Y278" s="111" t="b">
        <v>0</v>
      </c>
      <c r="Z278" s="104" t="str">
        <f t="shared" si="5"/>
        <v/>
      </c>
      <c r="AA278" s="112" t="b">
        <f t="shared" si="6"/>
        <v>0</v>
      </c>
      <c r="AB278" s="142" t="b">
        <v>0</v>
      </c>
      <c r="AC278" s="140">
        <v>529.0</v>
      </c>
      <c r="AD278" s="141" t="b">
        <v>0</v>
      </c>
      <c r="AE278" s="115">
        <f t="shared" si="7"/>
        <v>141.15</v>
      </c>
      <c r="AF278" s="116" t="b">
        <f t="shared" si="8"/>
        <v>0</v>
      </c>
      <c r="AG278" s="105" t="b">
        <f t="shared" si="9"/>
        <v>0</v>
      </c>
      <c r="AH278" s="140"/>
      <c r="AI278" s="140"/>
      <c r="AJ278" s="140"/>
      <c r="AK278" s="117" t="str">
        <f t="shared" si="10"/>
        <v>Positive</v>
      </c>
      <c r="AL278" s="142"/>
      <c r="AM278" s="112" t="s">
        <v>261</v>
      </c>
      <c r="AN278" s="112" t="s">
        <v>973</v>
      </c>
      <c r="AO278" s="112" t="str">
        <f>IFERROR(__xludf.DUMMYFUNCTION("IF($AG278, ""DELETED"",TRIM(JOIN("" "",D278:E278)))"),"")</f>
        <v/>
      </c>
      <c r="AP278" s="112" t="str">
        <f t="shared" ref="AP278:AQ278" si="303">IF($AG278, "DELETED", TRIM(CONCATENATE(F278,I278,U278)))</f>
        <v/>
      </c>
      <c r="AQ278" s="112" t="str">
        <f t="shared" si="303"/>
        <v/>
      </c>
      <c r="AR278" s="112" t="str">
        <f>IFERROR(__xludf.DUMMYFUNCTION("IF($AG278, ""DELETED"", TRIM(JOIN("" "",AP278,AQ278)))"),"")</f>
        <v/>
      </c>
      <c r="AS278" s="118"/>
      <c r="AT278" s="110" t="b">
        <f t="shared" si="12"/>
        <v>0</v>
      </c>
      <c r="AU278" s="110" t="str">
        <f t="shared" si="13"/>
        <v/>
      </c>
      <c r="AV278" s="110" t="str">
        <f t="shared" si="14"/>
        <v/>
      </c>
      <c r="AW278" s="110" t="str">
        <f t="shared" si="15"/>
        <v/>
      </c>
      <c r="AX278" s="119" t="str">
        <f t="shared" si="16"/>
        <v/>
      </c>
      <c r="AY278" s="120"/>
      <c r="AZ278" s="121"/>
      <c r="BA278" s="122" t="str">
        <f t="shared" si="17"/>
        <v/>
      </c>
      <c r="BB278" s="34"/>
      <c r="BC278" s="121"/>
      <c r="BD278" s="136"/>
      <c r="BE278" s="125" t="str">
        <f t="shared" si="18"/>
        <v/>
      </c>
      <c r="BF278" s="126" t="str">
        <f t="shared" si="19"/>
        <v>MA305__44582_0.390381944444444</v>
      </c>
      <c r="BG278" s="127" t="str">
        <f t="shared" si="20"/>
        <v/>
      </c>
      <c r="BH278" s="137" t="s">
        <v>974</v>
      </c>
      <c r="BI278" s="128" t="str">
        <f t="shared" si="21"/>
        <v>MA1026</v>
      </c>
      <c r="BJ278" s="129" t="b">
        <f t="shared" si="22"/>
        <v>0</v>
      </c>
      <c r="BK278" s="128" t="str">
        <f t="shared" si="23"/>
        <v/>
      </c>
      <c r="BL278" s="121"/>
      <c r="BM278" s="5" t="str">
        <f t="shared" si="24"/>
        <v>MISSING</v>
      </c>
      <c r="BN278" s="120" t="b">
        <f t="shared" si="25"/>
        <v>0</v>
      </c>
      <c r="BO278" s="131" t="b">
        <f t="shared" si="26"/>
        <v>1</v>
      </c>
      <c r="BP278" s="121"/>
      <c r="BQ278" s="132" t="str">
        <f>VLOOKUP(A278,RAW_APS!A$3:O826,15,FALSE)</f>
        <v/>
      </c>
      <c r="BR278" s="120" t="b">
        <f t="shared" si="27"/>
        <v>1</v>
      </c>
      <c r="BS278" s="121"/>
      <c r="BT278" s="138" t="s">
        <v>52</v>
      </c>
      <c r="BU278" s="10" t="b">
        <f t="shared" si="28"/>
        <v>1</v>
      </c>
      <c r="BV278" s="120"/>
      <c r="BW278" s="120"/>
      <c r="BX278" s="120"/>
      <c r="BY278" s="120"/>
      <c r="BZ278" s="120"/>
      <c r="CA278" s="120"/>
      <c r="CB278" s="120"/>
      <c r="CC278" s="120"/>
    </row>
    <row r="279">
      <c r="A279" s="3" t="s">
        <v>975</v>
      </c>
      <c r="B279" s="44">
        <v>44582.0</v>
      </c>
      <c r="C279" s="150">
        <v>0.39101851851851854</v>
      </c>
      <c r="D279" s="151"/>
      <c r="E279" s="151"/>
      <c r="F279" s="151"/>
      <c r="G279" s="152"/>
      <c r="H279" s="152"/>
      <c r="I279" s="152"/>
      <c r="J279" s="152"/>
      <c r="K279" s="3" t="s">
        <v>52</v>
      </c>
      <c r="L279" s="44">
        <v>44582.0</v>
      </c>
      <c r="M279" s="150">
        <v>0.4884027777777778</v>
      </c>
      <c r="N279" s="5"/>
      <c r="O279" s="3"/>
      <c r="P279" s="104" t="b">
        <f>IFNA(IF(VLOOKUP($A279,'Add from APT'!$AA$2:$AC826,3,FALSE)&gt;0,TRUE,FALSE),"ER - NOT IN APT")</f>
        <v>0</v>
      </c>
      <c r="Q279" s="105" t="str">
        <f>IF(ISLOGICAL(P279),IF(P279,"ER - REPS IN APT", IFNA(VLOOKUP($A279,RAW_APT!$A$3:$M826,7,FALSE),"ER - NOT IN APT")),P279)</f>
        <v>Result</v>
      </c>
      <c r="R279" s="106" t="b">
        <f t="shared" si="2"/>
        <v>1</v>
      </c>
      <c r="S279" s="107">
        <f t="shared" si="3"/>
        <v>1</v>
      </c>
      <c r="T279" s="144">
        <v>1.0</v>
      </c>
      <c r="U279" s="3"/>
      <c r="V279" s="5"/>
      <c r="W279" s="5"/>
      <c r="X279" s="110" t="b">
        <f t="shared" si="4"/>
        <v>0</v>
      </c>
      <c r="Y279" s="10" t="b">
        <v>0</v>
      </c>
      <c r="Z279" s="104" t="str">
        <f t="shared" si="5"/>
        <v/>
      </c>
      <c r="AA279" s="112" t="b">
        <f t="shared" si="6"/>
        <v>0</v>
      </c>
      <c r="AB279" s="153" t="b">
        <v>0</v>
      </c>
      <c r="AC279" s="144">
        <v>528.0</v>
      </c>
      <c r="AD279" s="3" t="b">
        <v>0</v>
      </c>
      <c r="AE279" s="115">
        <f t="shared" si="7"/>
        <v>140.2333333</v>
      </c>
      <c r="AF279" s="116" t="b">
        <f t="shared" si="8"/>
        <v>0</v>
      </c>
      <c r="AG279" s="105" t="b">
        <f t="shared" si="9"/>
        <v>0</v>
      </c>
      <c r="AH279" s="144"/>
      <c r="AI279" s="144"/>
      <c r="AJ279" s="144"/>
      <c r="AK279" s="117" t="str">
        <f t="shared" si="10"/>
        <v>Positive</v>
      </c>
      <c r="AL279" s="5"/>
      <c r="AM279" s="112" t="s">
        <v>261</v>
      </c>
      <c r="AN279" s="112" t="s">
        <v>976</v>
      </c>
      <c r="AO279" s="112" t="str">
        <f>IFERROR(__xludf.DUMMYFUNCTION("IF($AG279, ""DELETED"",TRIM(JOIN("" "",D279:E279)))"),"")</f>
        <v/>
      </c>
      <c r="AP279" s="112" t="str">
        <f t="shared" ref="AP279:AQ279" si="304">IF($AG279, "DELETED", TRIM(CONCATENATE(F279,I279,U279)))</f>
        <v/>
      </c>
      <c r="AQ279" s="112" t="str">
        <f t="shared" si="304"/>
        <v/>
      </c>
      <c r="AR279" s="112" t="str">
        <f>IFERROR(__xludf.DUMMYFUNCTION("IF($AG279, ""DELETED"", TRIM(JOIN("" "",AP279,AQ279)))"),"")</f>
        <v/>
      </c>
      <c r="AS279" s="118"/>
      <c r="AT279" s="110" t="b">
        <f t="shared" si="12"/>
        <v>0</v>
      </c>
      <c r="AU279" s="110" t="str">
        <f t="shared" si="13"/>
        <v/>
      </c>
      <c r="AV279" s="110" t="str">
        <f t="shared" si="14"/>
        <v/>
      </c>
      <c r="AW279" s="110" t="str">
        <f t="shared" si="15"/>
        <v/>
      </c>
      <c r="AX279" s="119" t="str">
        <f t="shared" si="16"/>
        <v/>
      </c>
      <c r="AY279" s="120"/>
      <c r="AZ279" s="121"/>
      <c r="BA279" s="163" t="str">
        <f t="shared" si="17"/>
        <v/>
      </c>
      <c r="BB279" s="34"/>
      <c r="BC279" s="121"/>
      <c r="BD279" s="136"/>
      <c r="BE279" s="125" t="str">
        <f t="shared" si="18"/>
        <v/>
      </c>
      <c r="BF279" s="126" t="str">
        <f t="shared" si="19"/>
        <v>MA337__44582_0.391018518518519</v>
      </c>
      <c r="BG279" s="127" t="str">
        <f t="shared" si="20"/>
        <v/>
      </c>
      <c r="BH279" s="137" t="s">
        <v>977</v>
      </c>
      <c r="BI279" s="128" t="str">
        <f t="shared" si="21"/>
        <v>MA1027</v>
      </c>
      <c r="BJ279" s="129" t="b">
        <f t="shared" si="22"/>
        <v>0</v>
      </c>
      <c r="BK279" s="128" t="str">
        <f t="shared" si="23"/>
        <v/>
      </c>
      <c r="BL279" s="121"/>
      <c r="BM279" s="5" t="str">
        <f t="shared" si="24"/>
        <v>MISSING</v>
      </c>
      <c r="BN279" s="120" t="b">
        <f t="shared" si="25"/>
        <v>0</v>
      </c>
      <c r="BO279" s="131" t="b">
        <f t="shared" si="26"/>
        <v>1</v>
      </c>
      <c r="BP279" s="121"/>
      <c r="BQ279" s="132" t="str">
        <f>VLOOKUP(A279,RAW_APS!A$3:O826,15,FALSE)</f>
        <v/>
      </c>
      <c r="BR279" s="120" t="b">
        <f t="shared" si="27"/>
        <v>1</v>
      </c>
      <c r="BS279" s="121"/>
      <c r="BT279" s="138" t="s">
        <v>52</v>
      </c>
      <c r="BU279" s="10" t="b">
        <f t="shared" si="28"/>
        <v>1</v>
      </c>
      <c r="BV279" s="120"/>
      <c r="BW279" s="120"/>
      <c r="BX279" s="120"/>
      <c r="BY279" s="120"/>
      <c r="BZ279" s="120"/>
      <c r="CA279" s="120"/>
      <c r="CB279" s="120"/>
      <c r="CC279" s="120"/>
    </row>
    <row r="280">
      <c r="A280" s="2" t="s">
        <v>978</v>
      </c>
      <c r="B280" s="100">
        <v>44582.0</v>
      </c>
      <c r="C280" s="101">
        <v>0.39101851851851854</v>
      </c>
      <c r="D280" s="102"/>
      <c r="E280" s="102"/>
      <c r="F280" s="102"/>
      <c r="G280" s="102"/>
      <c r="H280" s="102"/>
      <c r="I280" s="103"/>
      <c r="J280" s="103"/>
      <c r="K280" s="2" t="s">
        <v>52</v>
      </c>
      <c r="L280" s="100">
        <v>44582.0</v>
      </c>
      <c r="M280" s="101">
        <v>0.4884027777777778</v>
      </c>
      <c r="P280" s="104" t="str">
        <f>IFNA(IF(VLOOKUP($A280,'Add from APT'!$AA$2:$AC826,3,FALSE)&gt;0,TRUE,FALSE),"ER - NOT IN APT")</f>
        <v>ER - NOT IN APT</v>
      </c>
      <c r="Q280" s="105" t="str">
        <f>IF(ISLOGICAL(P280),IF(P280,"ER - REPS IN APT", IFNA(VLOOKUP($A280,RAW_APT!$A$3:$M826,7,FALSE),"ER - NOT IN APT")),P280)</f>
        <v>ER - NOT IN APT</v>
      </c>
      <c r="R280" s="106" t="b">
        <f t="shared" si="2"/>
        <v>1</v>
      </c>
      <c r="S280" s="107">
        <f t="shared" si="3"/>
        <v>1</v>
      </c>
      <c r="T280" s="154">
        <v>1.0</v>
      </c>
      <c r="U280" s="155"/>
      <c r="V280" s="155"/>
      <c r="W280" s="155"/>
      <c r="X280" s="110" t="b">
        <f t="shared" si="4"/>
        <v>0</v>
      </c>
      <c r="Y280" s="111" t="b">
        <v>0</v>
      </c>
      <c r="Z280" s="104" t="str">
        <f t="shared" si="5"/>
        <v/>
      </c>
      <c r="AA280" s="112" t="b">
        <f t="shared" si="6"/>
        <v>0</v>
      </c>
      <c r="AB280" s="155" t="b">
        <v>0</v>
      </c>
      <c r="AC280" s="154">
        <v>528.0</v>
      </c>
      <c r="AD280" s="156" t="b">
        <v>0</v>
      </c>
      <c r="AE280" s="115">
        <f t="shared" si="7"/>
        <v>140.2333333</v>
      </c>
      <c r="AF280" s="116" t="b">
        <f t="shared" si="8"/>
        <v>0</v>
      </c>
      <c r="AG280" s="105" t="b">
        <f t="shared" si="9"/>
        <v>0</v>
      </c>
      <c r="AH280" s="154"/>
      <c r="AI280" s="154">
        <v>1.3</v>
      </c>
      <c r="AJ280" s="154"/>
      <c r="AK280" s="117" t="str">
        <f t="shared" si="10"/>
        <v>Positive</v>
      </c>
      <c r="AL280" s="156" t="s">
        <v>979</v>
      </c>
      <c r="AM280" s="112" t="s">
        <v>261</v>
      </c>
      <c r="AN280" s="112" t="s">
        <v>675</v>
      </c>
      <c r="AO280" s="112" t="str">
        <f>IFERROR(__xludf.DUMMYFUNCTION("IF($AG280, ""DELETED"",TRIM(JOIN("" "",D280:E280)))"),"")</f>
        <v/>
      </c>
      <c r="AP280" s="112" t="str">
        <f t="shared" ref="AP280:AQ280" si="305">IF($AG280, "DELETED", TRIM(CONCATENATE(F280,I280,U280)))</f>
        <v/>
      </c>
      <c r="AQ280" s="112" t="str">
        <f t="shared" si="305"/>
        <v/>
      </c>
      <c r="AR280" s="112" t="str">
        <f>IFERROR(__xludf.DUMMYFUNCTION("IF($AG280, ""DELETED"", TRIM(JOIN("" "",AP280,AQ280)))"),"")</f>
        <v/>
      </c>
      <c r="AS280" s="118"/>
      <c r="AT280" s="110" t="b">
        <f t="shared" si="12"/>
        <v>0</v>
      </c>
      <c r="AU280" s="110" t="str">
        <f t="shared" si="13"/>
        <v/>
      </c>
      <c r="AV280" s="110" t="str">
        <f t="shared" si="14"/>
        <v/>
      </c>
      <c r="AW280" s="110" t="str">
        <f t="shared" si="15"/>
        <v/>
      </c>
      <c r="AX280" s="119" t="str">
        <f t="shared" si="16"/>
        <v/>
      </c>
      <c r="AY280" s="120"/>
      <c r="AZ280" s="121"/>
      <c r="BA280" s="122" t="str">
        <f t="shared" si="17"/>
        <v/>
      </c>
      <c r="BB280" s="34"/>
      <c r="BC280" s="121"/>
      <c r="BD280" s="136"/>
      <c r="BE280" s="125" t="str">
        <f t="shared" si="18"/>
        <v/>
      </c>
      <c r="BF280" s="126" t="str">
        <f t="shared" si="19"/>
        <v>MA337A__44582_0.391018518518519</v>
      </c>
      <c r="BG280" s="127" t="str">
        <f t="shared" si="20"/>
        <v/>
      </c>
      <c r="BH280" s="137" t="s">
        <v>980</v>
      </c>
      <c r="BI280" s="128" t="str">
        <f t="shared" si="21"/>
        <v>MA1028</v>
      </c>
      <c r="BJ280" s="129" t="b">
        <f t="shared" si="22"/>
        <v>0</v>
      </c>
      <c r="BK280" s="128" t="str">
        <f t="shared" si="23"/>
        <v/>
      </c>
      <c r="BL280" s="121"/>
      <c r="BM280" s="5" t="str">
        <f t="shared" si="24"/>
        <v>MISSING</v>
      </c>
      <c r="BN280" s="120" t="b">
        <f t="shared" si="25"/>
        <v>0</v>
      </c>
      <c r="BO280" s="131" t="b">
        <f t="shared" si="26"/>
        <v>1</v>
      </c>
      <c r="BP280" s="121"/>
      <c r="BQ280" s="132" t="str">
        <f>VLOOKUP(A280,RAW_APS!A$3:O826,15,FALSE)</f>
        <v>#N/A</v>
      </c>
      <c r="BR280" s="120" t="str">
        <f t="shared" si="27"/>
        <v>***TUBE ID NOT FOUND</v>
      </c>
      <c r="BS280" s="121"/>
      <c r="BT280" s="138" t="s">
        <v>52</v>
      </c>
      <c r="BU280" s="10" t="b">
        <f t="shared" si="28"/>
        <v>1</v>
      </c>
      <c r="BV280" s="120"/>
      <c r="BW280" s="120"/>
      <c r="BX280" s="120"/>
      <c r="BY280" s="120"/>
      <c r="BZ280" s="120"/>
      <c r="CA280" s="120"/>
      <c r="CB280" s="120"/>
      <c r="CC280" s="120"/>
    </row>
    <row r="281">
      <c r="A281" s="2" t="s">
        <v>981</v>
      </c>
      <c r="B281" s="100">
        <v>44582.0</v>
      </c>
      <c r="C281" s="101">
        <v>0.3978009259259259</v>
      </c>
      <c r="D281" s="102"/>
      <c r="E281" s="102"/>
      <c r="F281" s="102"/>
      <c r="G281" s="102"/>
      <c r="H281" s="102"/>
      <c r="I281" s="103"/>
      <c r="J281" s="103"/>
      <c r="K281" s="2" t="s">
        <v>52</v>
      </c>
      <c r="L281" s="100">
        <v>44582.0</v>
      </c>
      <c r="M281" s="101">
        <v>0.4884027777777778</v>
      </c>
      <c r="P281" s="104" t="b">
        <f>IFNA(IF(VLOOKUP($A281,'Add from APT'!$AA$2:$AC826,3,FALSE)&gt;0,TRUE,FALSE),"ER - NOT IN APT")</f>
        <v>0</v>
      </c>
      <c r="Q281" s="105" t="str">
        <f>IF(ISLOGICAL(P281),IF(P281,"ER - REPS IN APT", IFNA(VLOOKUP($A281,RAW_APT!$A$3:$M826,7,FALSE),"ER - NOT IN APT")),P281)</f>
        <v>Result</v>
      </c>
      <c r="R281" s="106" t="b">
        <f t="shared" si="2"/>
        <v>1</v>
      </c>
      <c r="S281" s="107">
        <f t="shared" si="3"/>
        <v>1</v>
      </c>
      <c r="T281" s="143"/>
      <c r="U281" s="142"/>
      <c r="V281" s="142"/>
      <c r="W281" s="142"/>
      <c r="X281" s="110" t="b">
        <f t="shared" si="4"/>
        <v>0</v>
      </c>
      <c r="Y281" s="111" t="b">
        <v>0</v>
      </c>
      <c r="Z281" s="104" t="str">
        <f t="shared" si="5"/>
        <v/>
      </c>
      <c r="AA281" s="112" t="b">
        <f t="shared" si="6"/>
        <v>0</v>
      </c>
      <c r="AB281" s="142" t="b">
        <v>0</v>
      </c>
      <c r="AC281" s="140">
        <v>527.0</v>
      </c>
      <c r="AD281" s="141" t="b">
        <v>0</v>
      </c>
      <c r="AE281" s="115">
        <f t="shared" si="7"/>
        <v>130.4666667</v>
      </c>
      <c r="AF281" s="116" t="b">
        <f t="shared" si="8"/>
        <v>0</v>
      </c>
      <c r="AG281" s="105" t="b">
        <f t="shared" si="9"/>
        <v>0</v>
      </c>
      <c r="AH281" s="140"/>
      <c r="AI281" s="140"/>
      <c r="AJ281" s="140"/>
      <c r="AK281" s="117" t="str">
        <f t="shared" si="10"/>
        <v>Positive</v>
      </c>
      <c r="AL281" s="142"/>
      <c r="AM281" s="112" t="s">
        <v>982</v>
      </c>
      <c r="AN281" s="112" t="s">
        <v>983</v>
      </c>
      <c r="AO281" s="112" t="str">
        <f>IFERROR(__xludf.DUMMYFUNCTION("IF($AG281, ""DELETED"",TRIM(JOIN("" "",D281:E281)))"),"")</f>
        <v/>
      </c>
      <c r="AP281" s="112" t="str">
        <f t="shared" ref="AP281:AQ281" si="306">IF($AG281, "DELETED", TRIM(CONCATENATE(F281,I281,U281)))</f>
        <v/>
      </c>
      <c r="AQ281" s="112" t="str">
        <f t="shared" si="306"/>
        <v/>
      </c>
      <c r="AR281" s="112" t="str">
        <f>IFERROR(__xludf.DUMMYFUNCTION("IF($AG281, ""DELETED"", TRIM(JOIN("" "",AP281,AQ281)))"),"")</f>
        <v/>
      </c>
      <c r="AS281" s="118"/>
      <c r="AT281" s="110" t="b">
        <f t="shared" si="12"/>
        <v>0</v>
      </c>
      <c r="AU281" s="110" t="str">
        <f t="shared" si="13"/>
        <v/>
      </c>
      <c r="AV281" s="110" t="str">
        <f t="shared" si="14"/>
        <v/>
      </c>
      <c r="AW281" s="110" t="str">
        <f t="shared" si="15"/>
        <v/>
      </c>
      <c r="AX281" s="119" t="str">
        <f t="shared" si="16"/>
        <v/>
      </c>
      <c r="AY281" s="120"/>
      <c r="AZ281" s="121"/>
      <c r="BA281" s="122" t="str">
        <f t="shared" si="17"/>
        <v/>
      </c>
      <c r="BB281" s="34"/>
      <c r="BC281" s="121"/>
      <c r="BD281" s="136"/>
      <c r="BE281" s="125" t="str">
        <f t="shared" si="18"/>
        <v/>
      </c>
      <c r="BF281" s="126" t="str">
        <f t="shared" si="19"/>
        <v>MAX141__44582_0.397800925925926</v>
      </c>
      <c r="BG281" s="127" t="str">
        <f t="shared" si="20"/>
        <v/>
      </c>
      <c r="BH281" s="137" t="s">
        <v>984</v>
      </c>
      <c r="BI281" s="128" t="str">
        <f t="shared" si="21"/>
        <v>MA1029</v>
      </c>
      <c r="BJ281" s="129" t="b">
        <f t="shared" si="22"/>
        <v>0</v>
      </c>
      <c r="BK281" s="128" t="str">
        <f t="shared" si="23"/>
        <v/>
      </c>
      <c r="BL281" s="121"/>
      <c r="BM281" s="5" t="str">
        <f t="shared" si="24"/>
        <v>MISSING</v>
      </c>
      <c r="BN281" s="120" t="b">
        <f t="shared" si="25"/>
        <v>0</v>
      </c>
      <c r="BO281" s="131" t="b">
        <f t="shared" si="26"/>
        <v>1</v>
      </c>
      <c r="BP281" s="121"/>
      <c r="BQ281" s="132" t="str">
        <f>VLOOKUP(A281,RAW_APS!A$3:O826,15,FALSE)</f>
        <v/>
      </c>
      <c r="BR281" s="120" t="b">
        <f t="shared" si="27"/>
        <v>1</v>
      </c>
      <c r="BS281" s="121"/>
      <c r="BT281" s="138" t="s">
        <v>52</v>
      </c>
      <c r="BU281" s="10" t="b">
        <f t="shared" si="28"/>
        <v>1</v>
      </c>
      <c r="BV281" s="120"/>
      <c r="BW281" s="120"/>
      <c r="BX281" s="120"/>
      <c r="BY281" s="120"/>
      <c r="BZ281" s="120"/>
      <c r="CA281" s="120"/>
      <c r="CB281" s="120"/>
      <c r="CC281" s="120"/>
    </row>
    <row r="282">
      <c r="A282" s="2" t="s">
        <v>985</v>
      </c>
      <c r="B282" s="100">
        <v>44582.0</v>
      </c>
      <c r="C282" s="101">
        <v>0.797349537037037</v>
      </c>
      <c r="D282" s="102"/>
      <c r="E282" s="102"/>
      <c r="F282" s="102"/>
      <c r="G282" s="102"/>
      <c r="H282" s="102"/>
      <c r="I282" s="103"/>
      <c r="J282" s="103"/>
      <c r="K282" s="2" t="s">
        <v>254</v>
      </c>
      <c r="L282" s="100">
        <v>44582.0</v>
      </c>
      <c r="M282" s="101">
        <v>0.8075810185185185</v>
      </c>
      <c r="N282" s="11"/>
      <c r="O282" s="11"/>
      <c r="P282" s="104" t="b">
        <f>IFNA(IF(VLOOKUP($A282,'Add from APT'!$AA$2:$AC826,3,FALSE)&gt;0,TRUE,FALSE),"ER - NOT IN APT")</f>
        <v>0</v>
      </c>
      <c r="Q282" s="105" t="str">
        <f>IF(ISLOGICAL(P282),IF(P282,"ER - REPS IN APT", IFNA(VLOOKUP($A282,RAW_APT!$A$3:$M826,7,FALSE),"ER - NOT IN APT")),P282)</f>
        <v>Result</v>
      </c>
      <c r="R282" s="106" t="b">
        <f t="shared" si="2"/>
        <v>1</v>
      </c>
      <c r="S282" s="107">
        <f t="shared" si="3"/>
        <v>1</v>
      </c>
      <c r="T282" s="108"/>
      <c r="U282" s="109"/>
      <c r="V282" s="109"/>
      <c r="W282" s="109"/>
      <c r="X282" s="110" t="b">
        <f t="shared" si="4"/>
        <v>0</v>
      </c>
      <c r="Y282" s="111" t="b">
        <v>0</v>
      </c>
      <c r="Z282" s="104" t="str">
        <f t="shared" si="5"/>
        <v/>
      </c>
      <c r="AA282" s="112" t="b">
        <f t="shared" si="6"/>
        <v>0</v>
      </c>
      <c r="AB282" s="109" t="b">
        <v>0</v>
      </c>
      <c r="AC282" s="113">
        <v>526.0</v>
      </c>
      <c r="AD282" s="114" t="b">
        <v>0</v>
      </c>
      <c r="AE282" s="115">
        <f t="shared" si="7"/>
        <v>14.73333333</v>
      </c>
      <c r="AF282" s="116" t="b">
        <f t="shared" si="8"/>
        <v>0</v>
      </c>
      <c r="AG282" s="105" t="b">
        <f t="shared" si="9"/>
        <v>1</v>
      </c>
      <c r="AH282" s="113">
        <v>2.0</v>
      </c>
      <c r="AI282" s="113"/>
      <c r="AJ282" s="113"/>
      <c r="AK282" s="117" t="str">
        <f t="shared" si="10"/>
        <v>DELETED</v>
      </c>
      <c r="AL282" s="109"/>
      <c r="AM282" s="112" t="s">
        <v>245</v>
      </c>
      <c r="AN282" s="112" t="s">
        <v>245</v>
      </c>
      <c r="AO282" s="112" t="str">
        <f>IFERROR(__xludf.DUMMYFUNCTION("IF($AG282, ""DELETED"",TRIM(JOIN("" "",D282:E282)))"),"DELETED")</f>
        <v>DELETED</v>
      </c>
      <c r="AP282" s="112" t="str">
        <f t="shared" ref="AP282:AQ282" si="307">IF($AG282, "DELETED", TRIM(CONCATENATE(F282,I282,U282)))</f>
        <v>DELETED</v>
      </c>
      <c r="AQ282" s="112" t="str">
        <f t="shared" si="307"/>
        <v>DELETED</v>
      </c>
      <c r="AR282" s="112" t="str">
        <f>IFERROR(__xludf.DUMMYFUNCTION("IF($AG282, ""DELETED"", TRIM(JOIN("" "",AP282,AQ282)))"),"DELETED")</f>
        <v>DELETED</v>
      </c>
      <c r="AS282" s="118"/>
      <c r="AT282" s="110" t="b">
        <f t="shared" si="12"/>
        <v>1</v>
      </c>
      <c r="AU282" s="110" t="str">
        <f t="shared" si="13"/>
        <v/>
      </c>
      <c r="AV282" s="110" t="str">
        <f t="shared" si="14"/>
        <v/>
      </c>
      <c r="AW282" s="110" t="str">
        <f t="shared" si="15"/>
        <v/>
      </c>
      <c r="AX282" s="119" t="str">
        <f t="shared" si="16"/>
        <v/>
      </c>
      <c r="AY282" s="120"/>
      <c r="AZ282" s="121"/>
      <c r="BA282" s="163" t="b">
        <f t="shared" si="17"/>
        <v>1</v>
      </c>
      <c r="BB282" s="34"/>
      <c r="BC282" s="121"/>
      <c r="BD282" s="136"/>
      <c r="BE282" s="125" t="str">
        <f t="shared" si="18"/>
        <v/>
      </c>
      <c r="BF282" s="126" t="str">
        <f t="shared" si="19"/>
        <v>HERO12__44582_0.797349537037037</v>
      </c>
      <c r="BG282" s="127" t="str">
        <f t="shared" si="20"/>
        <v/>
      </c>
      <c r="BH282" s="137" t="s">
        <v>986</v>
      </c>
      <c r="BI282" s="128" t="str">
        <f t="shared" si="21"/>
        <v>MA1030</v>
      </c>
      <c r="BJ282" s="129" t="b">
        <f t="shared" si="22"/>
        <v>0</v>
      </c>
      <c r="BK282" s="128" t="str">
        <f t="shared" si="23"/>
        <v/>
      </c>
      <c r="BL282" s="121"/>
      <c r="BM282" s="5" t="str">
        <f t="shared" si="24"/>
        <v/>
      </c>
      <c r="BN282" s="120" t="b">
        <f t="shared" si="25"/>
        <v>0</v>
      </c>
      <c r="BO282" s="131" t="b">
        <f t="shared" si="26"/>
        <v>0</v>
      </c>
      <c r="BP282" s="121"/>
      <c r="BQ282" s="132" t="str">
        <f>VLOOKUP(A282,RAW_APS!A$3:O826,15,FALSE)</f>
        <v/>
      </c>
      <c r="BR282" s="120" t="b">
        <f t="shared" si="27"/>
        <v>1</v>
      </c>
      <c r="BS282" s="121"/>
      <c r="BT282" s="138" t="s">
        <v>245</v>
      </c>
      <c r="BU282" s="10" t="b">
        <f t="shared" si="28"/>
        <v>1</v>
      </c>
      <c r="BV282" s="120"/>
      <c r="BW282" s="120"/>
      <c r="BX282" s="120"/>
      <c r="BY282" s="120"/>
      <c r="BZ282" s="120"/>
      <c r="CA282" s="120"/>
      <c r="CB282" s="120"/>
      <c r="CC282" s="120"/>
    </row>
    <row r="283">
      <c r="A283" s="2" t="s">
        <v>987</v>
      </c>
      <c r="B283" s="100">
        <v>44582.0</v>
      </c>
      <c r="C283" s="101">
        <v>0.7976388888888889</v>
      </c>
      <c r="D283" s="102"/>
      <c r="E283" s="102"/>
      <c r="F283" s="102"/>
      <c r="G283" s="102"/>
      <c r="H283" s="102"/>
      <c r="I283" s="103"/>
      <c r="J283" s="103"/>
      <c r="K283" s="2" t="s">
        <v>254</v>
      </c>
      <c r="L283" s="100">
        <v>44582.0</v>
      </c>
      <c r="M283" s="101">
        <v>0.8075810185185185</v>
      </c>
      <c r="N283" s="11"/>
      <c r="O283" s="11"/>
      <c r="P283" s="104" t="b">
        <f>IFNA(IF(VLOOKUP($A283,'Add from APT'!$AA$2:$AC826,3,FALSE)&gt;0,TRUE,FALSE),"ER - NOT IN APT")</f>
        <v>0</v>
      </c>
      <c r="Q283" s="105" t="str">
        <f>IF(ISLOGICAL(P283),IF(P283,"ER - REPS IN APT", IFNA(VLOOKUP($A283,RAW_APT!$A$3:$M826,7,FALSE),"ER - NOT IN APT")),P283)</f>
        <v>Result</v>
      </c>
      <c r="R283" s="106" t="b">
        <f t="shared" si="2"/>
        <v>1</v>
      </c>
      <c r="S283" s="107">
        <f t="shared" si="3"/>
        <v>1</v>
      </c>
      <c r="T283" s="108"/>
      <c r="U283" s="109"/>
      <c r="V283" s="109"/>
      <c r="W283" s="109"/>
      <c r="X283" s="110" t="b">
        <f t="shared" si="4"/>
        <v>0</v>
      </c>
      <c r="Y283" s="111" t="b">
        <v>0</v>
      </c>
      <c r="Z283" s="104" t="str">
        <f t="shared" si="5"/>
        <v/>
      </c>
      <c r="AA283" s="112" t="b">
        <f t="shared" si="6"/>
        <v>0</v>
      </c>
      <c r="AB283" s="109" t="b">
        <v>0</v>
      </c>
      <c r="AC283" s="113">
        <v>525.0</v>
      </c>
      <c r="AD283" s="114" t="b">
        <v>0</v>
      </c>
      <c r="AE283" s="115">
        <f t="shared" si="7"/>
        <v>14.31666667</v>
      </c>
      <c r="AF283" s="116" t="b">
        <f t="shared" si="8"/>
        <v>0</v>
      </c>
      <c r="AG283" s="105" t="b">
        <f t="shared" si="9"/>
        <v>1</v>
      </c>
      <c r="AH283" s="113">
        <v>2.0</v>
      </c>
      <c r="AI283" s="113"/>
      <c r="AJ283" s="113"/>
      <c r="AK283" s="117" t="str">
        <f t="shared" si="10"/>
        <v>DELETED</v>
      </c>
      <c r="AL283" s="109"/>
      <c r="AM283" s="112" t="s">
        <v>245</v>
      </c>
      <c r="AN283" s="112" t="s">
        <v>245</v>
      </c>
      <c r="AO283" s="112" t="str">
        <f>IFERROR(__xludf.DUMMYFUNCTION("IF($AG283, ""DELETED"",TRIM(JOIN("" "",D283:E283)))"),"DELETED")</f>
        <v>DELETED</v>
      </c>
      <c r="AP283" s="112" t="str">
        <f t="shared" ref="AP283:AQ283" si="308">IF($AG283, "DELETED", TRIM(CONCATENATE(F283,I283,U283)))</f>
        <v>DELETED</v>
      </c>
      <c r="AQ283" s="112" t="str">
        <f t="shared" si="308"/>
        <v>DELETED</v>
      </c>
      <c r="AR283" s="112" t="str">
        <f>IFERROR(__xludf.DUMMYFUNCTION("IF($AG283, ""DELETED"", TRIM(JOIN("" "",AP283,AQ283)))"),"DELETED")</f>
        <v>DELETED</v>
      </c>
      <c r="AS283" s="118"/>
      <c r="AT283" s="110" t="b">
        <f t="shared" si="12"/>
        <v>1</v>
      </c>
      <c r="AU283" s="110" t="str">
        <f t="shared" si="13"/>
        <v/>
      </c>
      <c r="AV283" s="110" t="str">
        <f t="shared" si="14"/>
        <v/>
      </c>
      <c r="AW283" s="110" t="str">
        <f t="shared" si="15"/>
        <v/>
      </c>
      <c r="AX283" s="119" t="str">
        <f t="shared" si="16"/>
        <v/>
      </c>
      <c r="AY283" s="120"/>
      <c r="AZ283" s="121"/>
      <c r="BA283" s="163" t="b">
        <f t="shared" si="17"/>
        <v>1</v>
      </c>
      <c r="BB283" s="34"/>
      <c r="BC283" s="121"/>
      <c r="BD283" s="136"/>
      <c r="BE283" s="125" t="str">
        <f t="shared" si="18"/>
        <v/>
      </c>
      <c r="BF283" s="126" t="str">
        <f t="shared" si="19"/>
        <v>HERO13__44582_0.797638888888889</v>
      </c>
      <c r="BG283" s="127" t="str">
        <f t="shared" si="20"/>
        <v/>
      </c>
      <c r="BH283" s="137" t="s">
        <v>988</v>
      </c>
      <c r="BI283" s="128" t="str">
        <f t="shared" si="21"/>
        <v>MA1031</v>
      </c>
      <c r="BJ283" s="129" t="b">
        <f t="shared" si="22"/>
        <v>0</v>
      </c>
      <c r="BK283" s="128" t="str">
        <f t="shared" si="23"/>
        <v/>
      </c>
      <c r="BL283" s="121"/>
      <c r="BM283" s="5" t="str">
        <f t="shared" si="24"/>
        <v/>
      </c>
      <c r="BN283" s="120" t="b">
        <f t="shared" si="25"/>
        <v>0</v>
      </c>
      <c r="BO283" s="131" t="b">
        <f t="shared" si="26"/>
        <v>0</v>
      </c>
      <c r="BP283" s="121"/>
      <c r="BQ283" s="132" t="str">
        <f>VLOOKUP(A283,RAW_APS!A$3:O826,15,FALSE)</f>
        <v/>
      </c>
      <c r="BR283" s="120" t="b">
        <f t="shared" si="27"/>
        <v>1</v>
      </c>
      <c r="BS283" s="121"/>
      <c r="BT283" s="138" t="s">
        <v>245</v>
      </c>
      <c r="BU283" s="10" t="b">
        <f t="shared" si="28"/>
        <v>1</v>
      </c>
      <c r="BV283" s="120"/>
      <c r="BW283" s="120"/>
      <c r="BX283" s="120"/>
      <c r="BY283" s="120"/>
      <c r="BZ283" s="120"/>
      <c r="CA283" s="120"/>
      <c r="CB283" s="120"/>
      <c r="CC283" s="120"/>
    </row>
    <row r="284">
      <c r="A284" s="2" t="s">
        <v>989</v>
      </c>
      <c r="B284" s="100">
        <v>44582.0</v>
      </c>
      <c r="C284" s="101">
        <v>0.7995138888888889</v>
      </c>
      <c r="D284" s="102"/>
      <c r="E284" s="102"/>
      <c r="F284" s="102"/>
      <c r="G284" s="102"/>
      <c r="H284" s="102"/>
      <c r="I284" s="103"/>
      <c r="J284" s="103"/>
      <c r="K284" s="2" t="s">
        <v>254</v>
      </c>
      <c r="L284" s="100">
        <v>44582.0</v>
      </c>
      <c r="M284" s="101">
        <v>0.8075810185185185</v>
      </c>
      <c r="N284" s="11"/>
      <c r="O284" s="11"/>
      <c r="P284" s="104" t="b">
        <f>IFNA(IF(VLOOKUP($A284,'Add from APT'!$AA$2:$AC826,3,FALSE)&gt;0,TRUE,FALSE),"ER - NOT IN APT")</f>
        <v>0</v>
      </c>
      <c r="Q284" s="105" t="str">
        <f>IF(ISLOGICAL(P284),IF(P284,"ER - REPS IN APT", IFNA(VLOOKUP($A284,RAW_APT!$A$3:$M826,7,FALSE),"ER - NOT IN APT")),P284)</f>
        <v>Result</v>
      </c>
      <c r="R284" s="106" t="b">
        <f t="shared" si="2"/>
        <v>1</v>
      </c>
      <c r="S284" s="107">
        <f t="shared" si="3"/>
        <v>1</v>
      </c>
      <c r="T284" s="108"/>
      <c r="U284" s="109"/>
      <c r="V284" s="109"/>
      <c r="W284" s="109"/>
      <c r="X284" s="110" t="b">
        <f t="shared" si="4"/>
        <v>0</v>
      </c>
      <c r="Y284" s="111" t="b">
        <v>0</v>
      </c>
      <c r="Z284" s="104" t="str">
        <f t="shared" si="5"/>
        <v/>
      </c>
      <c r="AA284" s="112" t="b">
        <f t="shared" si="6"/>
        <v>0</v>
      </c>
      <c r="AB284" s="109" t="b">
        <v>0</v>
      </c>
      <c r="AC284" s="113">
        <v>524.0</v>
      </c>
      <c r="AD284" s="114" t="b">
        <v>0</v>
      </c>
      <c r="AE284" s="115">
        <f t="shared" si="7"/>
        <v>11.61666667</v>
      </c>
      <c r="AF284" s="116" t="b">
        <f t="shared" si="8"/>
        <v>0</v>
      </c>
      <c r="AG284" s="105" t="b">
        <f t="shared" si="9"/>
        <v>1</v>
      </c>
      <c r="AH284" s="113">
        <v>2.0</v>
      </c>
      <c r="AI284" s="113"/>
      <c r="AJ284" s="113"/>
      <c r="AK284" s="117" t="str">
        <f t="shared" si="10"/>
        <v>DELETED</v>
      </c>
      <c r="AL284" s="109"/>
      <c r="AM284" s="112" t="s">
        <v>245</v>
      </c>
      <c r="AN284" s="112" t="s">
        <v>245</v>
      </c>
      <c r="AO284" s="112" t="str">
        <f>IFERROR(__xludf.DUMMYFUNCTION("IF($AG284, ""DELETED"",TRIM(JOIN("" "",D284:E284)))"),"DELETED")</f>
        <v>DELETED</v>
      </c>
      <c r="AP284" s="112" t="str">
        <f t="shared" ref="AP284:AQ284" si="309">IF($AG284, "DELETED", TRIM(CONCATENATE(F284,I284,U284)))</f>
        <v>DELETED</v>
      </c>
      <c r="AQ284" s="112" t="str">
        <f t="shared" si="309"/>
        <v>DELETED</v>
      </c>
      <c r="AR284" s="112" t="str">
        <f>IFERROR(__xludf.DUMMYFUNCTION("IF($AG284, ""DELETED"", TRIM(JOIN("" "",AP284,AQ284)))"),"DELETED")</f>
        <v>DELETED</v>
      </c>
      <c r="AS284" s="118"/>
      <c r="AT284" s="110" t="b">
        <f t="shared" si="12"/>
        <v>1</v>
      </c>
      <c r="AU284" s="110" t="str">
        <f t="shared" si="13"/>
        <v/>
      </c>
      <c r="AV284" s="110" t="str">
        <f t="shared" si="14"/>
        <v/>
      </c>
      <c r="AW284" s="110" t="str">
        <f t="shared" si="15"/>
        <v/>
      </c>
      <c r="AX284" s="119" t="str">
        <f t="shared" si="16"/>
        <v/>
      </c>
      <c r="AY284" s="120"/>
      <c r="AZ284" s="121"/>
      <c r="BA284" s="163" t="b">
        <f t="shared" si="17"/>
        <v>1</v>
      </c>
      <c r="BB284" s="34"/>
      <c r="BC284" s="121"/>
      <c r="BD284" s="136"/>
      <c r="BE284" s="125" t="str">
        <f t="shared" si="18"/>
        <v/>
      </c>
      <c r="BF284" s="126" t="str">
        <f t="shared" si="19"/>
        <v>HERO14__44582_0.799513888888889</v>
      </c>
      <c r="BG284" s="127" t="str">
        <f t="shared" si="20"/>
        <v/>
      </c>
      <c r="BH284" s="137" t="s">
        <v>990</v>
      </c>
      <c r="BI284" s="128" t="str">
        <f t="shared" si="21"/>
        <v>MA1032</v>
      </c>
      <c r="BJ284" s="129" t="b">
        <f t="shared" si="22"/>
        <v>0</v>
      </c>
      <c r="BK284" s="128" t="str">
        <f t="shared" si="23"/>
        <v/>
      </c>
      <c r="BL284" s="121"/>
      <c r="BM284" s="5" t="str">
        <f t="shared" si="24"/>
        <v/>
      </c>
      <c r="BN284" s="120" t="b">
        <f t="shared" si="25"/>
        <v>0</v>
      </c>
      <c r="BO284" s="131" t="b">
        <f t="shared" si="26"/>
        <v>0</v>
      </c>
      <c r="BP284" s="121"/>
      <c r="BQ284" s="132" t="str">
        <f>VLOOKUP(A284,RAW_APS!A$3:O826,15,FALSE)</f>
        <v/>
      </c>
      <c r="BR284" s="120" t="b">
        <f t="shared" si="27"/>
        <v>1</v>
      </c>
      <c r="BS284" s="121"/>
      <c r="BT284" s="138" t="s">
        <v>245</v>
      </c>
      <c r="BU284" s="10" t="b">
        <f t="shared" si="28"/>
        <v>1</v>
      </c>
      <c r="BV284" s="120"/>
      <c r="BW284" s="120"/>
      <c r="BX284" s="120"/>
      <c r="BY284" s="120"/>
      <c r="BZ284" s="120"/>
      <c r="CA284" s="120"/>
      <c r="CB284" s="120"/>
      <c r="CC284" s="120"/>
    </row>
    <row r="285">
      <c r="A285" s="2" t="s">
        <v>991</v>
      </c>
      <c r="B285" s="100">
        <v>44585.0</v>
      </c>
      <c r="C285" s="101">
        <v>0.29939814814814814</v>
      </c>
      <c r="D285" s="102"/>
      <c r="E285" s="102"/>
      <c r="F285" s="102"/>
      <c r="G285" s="102"/>
      <c r="H285" s="102"/>
      <c r="I285" s="103"/>
      <c r="J285" s="103"/>
      <c r="K285" s="2" t="s">
        <v>244</v>
      </c>
      <c r="L285" s="100">
        <v>44585.0</v>
      </c>
      <c r="M285" s="101">
        <v>0.4705902777777778</v>
      </c>
      <c r="P285" s="104" t="b">
        <f>IFNA(IF(VLOOKUP($A285,'Add from APT'!$AA$2:$AC826,3,FALSE)&gt;0,TRUE,FALSE),"ER - NOT IN APT")</f>
        <v>0</v>
      </c>
      <c r="Q285" s="105" t="str">
        <f>IF(ISLOGICAL(P285),IF(P285,"ER - REPS IN APT", IFNA(VLOOKUP($A285,RAW_APT!$A$3:$M826,7,FALSE),"ER - NOT IN APT")),P285)</f>
        <v>Result</v>
      </c>
      <c r="R285" s="106" t="b">
        <f t="shared" si="2"/>
        <v>1</v>
      </c>
      <c r="S285" s="107">
        <f t="shared" si="3"/>
        <v>1</v>
      </c>
      <c r="T285" s="143"/>
      <c r="U285" s="142"/>
      <c r="V285" s="142"/>
      <c r="W285" s="142"/>
      <c r="X285" s="110" t="b">
        <f t="shared" si="4"/>
        <v>0</v>
      </c>
      <c r="Y285" s="111" t="b">
        <v>0</v>
      </c>
      <c r="Z285" s="104" t="str">
        <f t="shared" si="5"/>
        <v/>
      </c>
      <c r="AA285" s="112" t="b">
        <f t="shared" si="6"/>
        <v>0</v>
      </c>
      <c r="AB285" s="142" t="b">
        <v>0</v>
      </c>
      <c r="AC285" s="140">
        <v>523.0</v>
      </c>
      <c r="AD285" s="141" t="b">
        <v>0</v>
      </c>
      <c r="AE285" s="115">
        <f t="shared" si="7"/>
        <v>246.5166667</v>
      </c>
      <c r="AF285" s="116" t="b">
        <f t="shared" si="8"/>
        <v>0</v>
      </c>
      <c r="AG285" s="105" t="b">
        <f t="shared" si="9"/>
        <v>0</v>
      </c>
      <c r="AH285" s="140"/>
      <c r="AI285" s="140"/>
      <c r="AJ285" s="140"/>
      <c r="AK285" s="117" t="str">
        <f t="shared" si="10"/>
        <v>Negative</v>
      </c>
      <c r="AL285" s="142"/>
      <c r="AM285" s="112" t="s">
        <v>587</v>
      </c>
      <c r="AN285" s="112" t="s">
        <v>588</v>
      </c>
      <c r="AO285" s="112" t="str">
        <f>IFERROR(__xludf.DUMMYFUNCTION("IF($AG285, ""DELETED"",TRIM(JOIN("" "",D285:E285)))"),"")</f>
        <v/>
      </c>
      <c r="AP285" s="112" t="str">
        <f t="shared" ref="AP285:AQ285" si="310">IF($AG285, "DELETED", TRIM(CONCATENATE(F285,I285,U285)))</f>
        <v/>
      </c>
      <c r="AQ285" s="112" t="str">
        <f t="shared" si="310"/>
        <v/>
      </c>
      <c r="AR285" s="112" t="str">
        <f>IFERROR(__xludf.DUMMYFUNCTION("IF($AG285, ""DELETED"", TRIM(JOIN("" "",AP285,AQ285)))"),"")</f>
        <v/>
      </c>
      <c r="AS285" s="118"/>
      <c r="AT285" s="110" t="b">
        <f t="shared" si="12"/>
        <v>0</v>
      </c>
      <c r="AU285" s="110" t="str">
        <f t="shared" si="13"/>
        <v/>
      </c>
      <c r="AV285" s="110" t="str">
        <f t="shared" si="14"/>
        <v/>
      </c>
      <c r="AW285" s="110" t="str">
        <f t="shared" si="15"/>
        <v/>
      </c>
      <c r="AX285" s="119" t="str">
        <f t="shared" si="16"/>
        <v/>
      </c>
      <c r="AY285" s="120"/>
      <c r="AZ285" s="121"/>
      <c r="BA285" s="122" t="str">
        <f t="shared" si="17"/>
        <v/>
      </c>
      <c r="BB285" s="34"/>
      <c r="BC285" s="121"/>
      <c r="BD285" s="136"/>
      <c r="BE285" s="125" t="str">
        <f t="shared" si="18"/>
        <v/>
      </c>
      <c r="BF285" s="126" t="str">
        <f t="shared" si="19"/>
        <v>MA1063__44585_0.299398148148148</v>
      </c>
      <c r="BG285" s="127" t="str">
        <f t="shared" si="20"/>
        <v/>
      </c>
      <c r="BH285" s="137" t="s">
        <v>992</v>
      </c>
      <c r="BI285" s="128" t="str">
        <f t="shared" si="21"/>
        <v>MA1033</v>
      </c>
      <c r="BJ285" s="129" t="b">
        <f t="shared" si="22"/>
        <v>0</v>
      </c>
      <c r="BK285" s="128" t="str">
        <f t="shared" si="23"/>
        <v/>
      </c>
      <c r="BL285" s="121"/>
      <c r="BM285" s="5" t="str">
        <f t="shared" si="24"/>
        <v>MISSING</v>
      </c>
      <c r="BN285" s="120" t="b">
        <f t="shared" si="25"/>
        <v>0</v>
      </c>
      <c r="BO285" s="131" t="b">
        <f t="shared" si="26"/>
        <v>1</v>
      </c>
      <c r="BP285" s="121"/>
      <c r="BQ285" s="132" t="str">
        <f>VLOOKUP(A285,RAW_APS!A$3:O826,15,FALSE)</f>
        <v/>
      </c>
      <c r="BR285" s="120" t="b">
        <f t="shared" si="27"/>
        <v>1</v>
      </c>
      <c r="BS285" s="121"/>
      <c r="BT285" s="138" t="s">
        <v>244</v>
      </c>
      <c r="BU285" s="10" t="b">
        <f t="shared" si="28"/>
        <v>1</v>
      </c>
      <c r="BV285" s="120"/>
      <c r="BW285" s="120"/>
      <c r="BX285" s="120"/>
      <c r="BY285" s="120"/>
      <c r="BZ285" s="120"/>
      <c r="CA285" s="120"/>
      <c r="CB285" s="120"/>
      <c r="CC285" s="120"/>
    </row>
    <row r="286" ht="18.75" customHeight="1">
      <c r="A286" s="2" t="s">
        <v>993</v>
      </c>
      <c r="B286" s="100">
        <v>44585.0</v>
      </c>
      <c r="C286" s="101">
        <v>0.30181712962962964</v>
      </c>
      <c r="D286" s="102"/>
      <c r="E286" s="102"/>
      <c r="F286" s="139"/>
      <c r="G286" s="103"/>
      <c r="H286" s="103"/>
      <c r="I286" s="103"/>
      <c r="J286" s="103"/>
      <c r="K286" s="2" t="s">
        <v>244</v>
      </c>
      <c r="L286" s="100">
        <v>44585.0</v>
      </c>
      <c r="M286" s="101">
        <v>0.4705902777777778</v>
      </c>
      <c r="P286" s="104" t="b">
        <f>IFNA(IF(VLOOKUP($A286,'Add from APT'!$AA$2:$AC826,3,FALSE)&gt;0,TRUE,FALSE),"ER - NOT IN APT")</f>
        <v>0</v>
      </c>
      <c r="Q286" s="105" t="str">
        <f>IF(ISLOGICAL(P286),IF(P286,"ER - REPS IN APT", IFNA(VLOOKUP($A286,RAW_APT!$A$3:$M826,7,FALSE),"ER - NOT IN APT")),P286)</f>
        <v>Result</v>
      </c>
      <c r="R286" s="106" t="b">
        <f t="shared" si="2"/>
        <v>1</v>
      </c>
      <c r="S286" s="107">
        <f t="shared" si="3"/>
        <v>1</v>
      </c>
      <c r="T286" s="140">
        <v>0.0</v>
      </c>
      <c r="U286" s="141"/>
      <c r="W286" s="142"/>
      <c r="X286" s="110" t="b">
        <f t="shared" si="4"/>
        <v>0</v>
      </c>
      <c r="Y286" s="111" t="b">
        <v>0</v>
      </c>
      <c r="Z286" s="104" t="str">
        <f t="shared" si="5"/>
        <v/>
      </c>
      <c r="AA286" s="112" t="b">
        <f t="shared" si="6"/>
        <v>0</v>
      </c>
      <c r="AB286" s="142" t="b">
        <v>0</v>
      </c>
      <c r="AC286" s="140">
        <v>522.0</v>
      </c>
      <c r="AD286" s="141" t="b">
        <v>0</v>
      </c>
      <c r="AE286" s="115">
        <f t="shared" si="7"/>
        <v>243.0333333</v>
      </c>
      <c r="AF286" s="116" t="b">
        <f t="shared" si="8"/>
        <v>0</v>
      </c>
      <c r="AG286" s="105" t="b">
        <f t="shared" si="9"/>
        <v>0</v>
      </c>
      <c r="AH286" s="140"/>
      <c r="AI286" s="140"/>
      <c r="AJ286" s="140"/>
      <c r="AK286" s="117" t="str">
        <f t="shared" si="10"/>
        <v>Negative</v>
      </c>
      <c r="AL286" s="142"/>
      <c r="AM286" s="112" t="s">
        <v>587</v>
      </c>
      <c r="AN286" s="112" t="s">
        <v>960</v>
      </c>
      <c r="AO286" s="112" t="str">
        <f>IFERROR(__xludf.DUMMYFUNCTION("IF($AG286, ""DELETED"",TRIM(JOIN("" "",D286:E286)))"),"")</f>
        <v/>
      </c>
      <c r="AP286" s="112" t="str">
        <f t="shared" ref="AP286:AQ286" si="311">IF($AG286, "DELETED", TRIM(CONCATENATE(F286,I286,U286)))</f>
        <v/>
      </c>
      <c r="AQ286" s="112" t="str">
        <f t="shared" si="311"/>
        <v/>
      </c>
      <c r="AR286" s="112" t="str">
        <f>IFERROR(__xludf.DUMMYFUNCTION("IF($AG286, ""DELETED"", TRIM(JOIN("" "",AP286,AQ286)))"),"")</f>
        <v/>
      </c>
      <c r="AS286" s="118"/>
      <c r="AT286" s="110" t="b">
        <f t="shared" si="12"/>
        <v>0</v>
      </c>
      <c r="AU286" s="110" t="str">
        <f t="shared" si="13"/>
        <v/>
      </c>
      <c r="AV286" s="110" t="str">
        <f t="shared" si="14"/>
        <v/>
      </c>
      <c r="AW286" s="110" t="str">
        <f t="shared" si="15"/>
        <v/>
      </c>
      <c r="AX286" s="119" t="str">
        <f t="shared" si="16"/>
        <v/>
      </c>
      <c r="AY286" s="120"/>
      <c r="AZ286" s="121"/>
      <c r="BA286" s="122" t="str">
        <f t="shared" si="17"/>
        <v/>
      </c>
      <c r="BB286" s="34"/>
      <c r="BC286" s="121"/>
      <c r="BD286" s="136"/>
      <c r="BE286" s="125" t="str">
        <f t="shared" si="18"/>
        <v/>
      </c>
      <c r="BF286" s="126" t="str">
        <f t="shared" si="19"/>
        <v>MA1065__44585_0.30181712962963</v>
      </c>
      <c r="BG286" s="127" t="str">
        <f t="shared" si="20"/>
        <v/>
      </c>
      <c r="BH286" s="137" t="s">
        <v>994</v>
      </c>
      <c r="BI286" s="128" t="str">
        <f t="shared" si="21"/>
        <v>MA1034</v>
      </c>
      <c r="BJ286" s="129" t="b">
        <f t="shared" si="22"/>
        <v>0</v>
      </c>
      <c r="BK286" s="128" t="str">
        <f t="shared" si="23"/>
        <v/>
      </c>
      <c r="BL286" s="121"/>
      <c r="BM286" s="5" t="str">
        <f t="shared" si="24"/>
        <v>MISSING</v>
      </c>
      <c r="BN286" s="120" t="b">
        <f t="shared" si="25"/>
        <v>0</v>
      </c>
      <c r="BO286" s="131" t="b">
        <f t="shared" si="26"/>
        <v>1</v>
      </c>
      <c r="BP286" s="121"/>
      <c r="BQ286" s="132" t="str">
        <f>VLOOKUP(A286,RAW_APS!A$3:O826,15,FALSE)</f>
        <v/>
      </c>
      <c r="BR286" s="120" t="b">
        <f t="shared" si="27"/>
        <v>1</v>
      </c>
      <c r="BS286" s="121"/>
      <c r="BT286" s="138" t="s">
        <v>244</v>
      </c>
      <c r="BU286" s="10" t="b">
        <f t="shared" si="28"/>
        <v>1</v>
      </c>
      <c r="BV286" s="120"/>
      <c r="BW286" s="120"/>
      <c r="BX286" s="120"/>
      <c r="BY286" s="120"/>
      <c r="BZ286" s="120"/>
      <c r="CA286" s="120"/>
      <c r="CB286" s="120"/>
      <c r="CC286" s="120"/>
    </row>
    <row r="287" ht="20.25" customHeight="1">
      <c r="A287" s="2" t="s">
        <v>995</v>
      </c>
      <c r="B287" s="100">
        <v>44585.0</v>
      </c>
      <c r="C287" s="101">
        <v>0.3030555555555556</v>
      </c>
      <c r="D287" s="102"/>
      <c r="E287" s="102"/>
      <c r="F287" s="139"/>
      <c r="G287" s="103"/>
      <c r="H287" s="103"/>
      <c r="I287" s="103"/>
      <c r="J287" s="103"/>
      <c r="K287" s="2" t="s">
        <v>52</v>
      </c>
      <c r="L287" s="100">
        <v>44587.0</v>
      </c>
      <c r="M287" s="101">
        <v>0.5008796296296296</v>
      </c>
      <c r="P287" s="104" t="b">
        <f>IFNA(IF(VLOOKUP($A287,'Add from APT'!$AA$2:$AC826,3,FALSE)&gt;0,TRUE,FALSE),"ER - NOT IN APT")</f>
        <v>0</v>
      </c>
      <c r="Q287" s="105" t="str">
        <f>IF(ISLOGICAL(P287),IF(P287,"ER - REPS IN APT", IFNA(VLOOKUP($A287,RAW_APT!$A$3:$M826,7,FALSE),"ER - NOT IN APT")),P287)</f>
        <v>Result</v>
      </c>
      <c r="R287" s="106" t="b">
        <f t="shared" si="2"/>
        <v>1</v>
      </c>
      <c r="S287" s="107">
        <f t="shared" si="3"/>
        <v>1</v>
      </c>
      <c r="T287" s="140">
        <v>0.0</v>
      </c>
      <c r="U287" s="141"/>
      <c r="W287" s="142"/>
      <c r="X287" s="110" t="b">
        <f t="shared" si="4"/>
        <v>0</v>
      </c>
      <c r="Y287" s="111" t="b">
        <v>0</v>
      </c>
      <c r="Z287" s="104" t="str">
        <f t="shared" si="5"/>
        <v/>
      </c>
      <c r="AA287" s="112" t="b">
        <f t="shared" si="6"/>
        <v>0</v>
      </c>
      <c r="AB287" s="142" t="b">
        <v>0</v>
      </c>
      <c r="AC287" s="140">
        <v>521.0</v>
      </c>
      <c r="AD287" s="141" t="b">
        <v>0</v>
      </c>
      <c r="AE287" s="115" t="str">
        <f t="shared" si="7"/>
        <v/>
      </c>
      <c r="AF287" s="116" t="b">
        <f t="shared" si="8"/>
        <v>0</v>
      </c>
      <c r="AG287" s="105" t="b">
        <f t="shared" si="9"/>
        <v>0</v>
      </c>
      <c r="AH287" s="140"/>
      <c r="AI287" s="140"/>
      <c r="AJ287" s="140"/>
      <c r="AK287" s="117" t="str">
        <f t="shared" si="10"/>
        <v>Positive</v>
      </c>
      <c r="AL287" s="142"/>
      <c r="AM287" s="112" t="s">
        <v>593</v>
      </c>
      <c r="AN287" s="112" t="s">
        <v>996</v>
      </c>
      <c r="AO287" s="112" t="str">
        <f>IFERROR(__xludf.DUMMYFUNCTION("IF($AG287, ""DELETED"",TRIM(JOIN("" "",D287:E287)))"),"")</f>
        <v/>
      </c>
      <c r="AP287" s="112" t="str">
        <f t="shared" ref="AP287:AQ287" si="312">IF($AG287, "DELETED", TRIM(CONCATENATE(F287,I287,U287)))</f>
        <v/>
      </c>
      <c r="AQ287" s="112" t="str">
        <f t="shared" si="312"/>
        <v/>
      </c>
      <c r="AR287" s="112" t="str">
        <f>IFERROR(__xludf.DUMMYFUNCTION("IF($AG287, ""DELETED"", TRIM(JOIN("" "",AP287,AQ287)))"),"")</f>
        <v/>
      </c>
      <c r="AS287" s="118"/>
      <c r="AT287" s="110" t="b">
        <f t="shared" si="12"/>
        <v>0</v>
      </c>
      <c r="AU287" s="110" t="str">
        <f t="shared" si="13"/>
        <v/>
      </c>
      <c r="AV287" s="110" t="str">
        <f t="shared" si="14"/>
        <v/>
      </c>
      <c r="AW287" s="110" t="str">
        <f t="shared" si="15"/>
        <v/>
      </c>
      <c r="AX287" s="119" t="str">
        <f t="shared" si="16"/>
        <v/>
      </c>
      <c r="AY287" s="120"/>
      <c r="AZ287" s="121"/>
      <c r="BA287" s="122" t="str">
        <f t="shared" si="17"/>
        <v/>
      </c>
      <c r="BB287" s="34"/>
      <c r="BC287" s="121"/>
      <c r="BD287" s="136"/>
      <c r="BE287" s="125" t="str">
        <f t="shared" si="18"/>
        <v/>
      </c>
      <c r="BF287" s="126" t="str">
        <f t="shared" si="19"/>
        <v>MA1068__44585_0.303055555555556</v>
      </c>
      <c r="BG287" s="127" t="str">
        <f t="shared" si="20"/>
        <v/>
      </c>
      <c r="BH287" s="137" t="s">
        <v>997</v>
      </c>
      <c r="BI287" s="128" t="str">
        <f t="shared" si="21"/>
        <v>MA1035</v>
      </c>
      <c r="BJ287" s="129" t="b">
        <f t="shared" si="22"/>
        <v>0</v>
      </c>
      <c r="BK287" s="128" t="str">
        <f t="shared" si="23"/>
        <v/>
      </c>
      <c r="BL287" s="121"/>
      <c r="BM287" s="5" t="str">
        <f t="shared" si="24"/>
        <v>MISSING</v>
      </c>
      <c r="BN287" s="120" t="b">
        <f t="shared" si="25"/>
        <v>0</v>
      </c>
      <c r="BO287" s="131" t="b">
        <f t="shared" si="26"/>
        <v>1</v>
      </c>
      <c r="BP287" s="121"/>
      <c r="BQ287" s="132" t="str">
        <f>VLOOKUP(A287,RAW_APS!A$3:O826,15,FALSE)</f>
        <v/>
      </c>
      <c r="BR287" s="120" t="b">
        <f t="shared" si="27"/>
        <v>1</v>
      </c>
      <c r="BS287" s="121"/>
      <c r="BT287" s="138" t="s">
        <v>52</v>
      </c>
      <c r="BU287" s="10" t="b">
        <f t="shared" si="28"/>
        <v>1</v>
      </c>
      <c r="BV287" s="120"/>
      <c r="BW287" s="120"/>
      <c r="BX287" s="120"/>
      <c r="BY287" s="120"/>
      <c r="BZ287" s="120"/>
      <c r="CA287" s="120"/>
      <c r="CB287" s="120"/>
      <c r="CC287" s="120"/>
    </row>
    <row r="288">
      <c r="A288" s="2" t="s">
        <v>998</v>
      </c>
      <c r="B288" s="100">
        <v>44585.0</v>
      </c>
      <c r="C288" s="101">
        <v>0.3088310185185185</v>
      </c>
      <c r="D288" s="102"/>
      <c r="E288" s="102"/>
      <c r="F288" s="102"/>
      <c r="G288" s="102"/>
      <c r="H288" s="102"/>
      <c r="I288" s="103"/>
      <c r="J288" s="103"/>
      <c r="K288" s="2" t="s">
        <v>244</v>
      </c>
      <c r="L288" s="100">
        <v>44585.0</v>
      </c>
      <c r="M288" s="101">
        <v>0.46827546296296296</v>
      </c>
      <c r="P288" s="104" t="b">
        <f>IFNA(IF(VLOOKUP($A288,'Add from APT'!$AA$2:$AC826,3,FALSE)&gt;0,TRUE,FALSE),"ER - NOT IN APT")</f>
        <v>0</v>
      </c>
      <c r="Q288" s="105" t="str">
        <f>IF(ISLOGICAL(P288),IF(P288,"ER - REPS IN APT", IFNA(VLOOKUP($A288,RAW_APT!$A$3:$M826,7,FALSE),"ER - NOT IN APT")),P288)</f>
        <v>Result</v>
      </c>
      <c r="R288" s="106" t="b">
        <f t="shared" si="2"/>
        <v>1</v>
      </c>
      <c r="S288" s="107">
        <f t="shared" si="3"/>
        <v>1</v>
      </c>
      <c r="T288" s="143"/>
      <c r="U288" s="142"/>
      <c r="V288" s="142"/>
      <c r="W288" s="142"/>
      <c r="X288" s="110" t="b">
        <f t="shared" si="4"/>
        <v>0</v>
      </c>
      <c r="Y288" s="111" t="b">
        <v>0</v>
      </c>
      <c r="Z288" s="104" t="str">
        <f t="shared" si="5"/>
        <v/>
      </c>
      <c r="AA288" s="112" t="b">
        <f t="shared" si="6"/>
        <v>0</v>
      </c>
      <c r="AB288" s="142" t="b">
        <v>0</v>
      </c>
      <c r="AC288" s="140">
        <v>520.0</v>
      </c>
      <c r="AD288" s="141" t="b">
        <v>0</v>
      </c>
      <c r="AE288" s="115">
        <f t="shared" si="7"/>
        <v>229.6</v>
      </c>
      <c r="AF288" s="116" t="b">
        <f t="shared" si="8"/>
        <v>0</v>
      </c>
      <c r="AG288" s="105" t="b">
        <f t="shared" si="9"/>
        <v>0</v>
      </c>
      <c r="AH288" s="140"/>
      <c r="AI288" s="140"/>
      <c r="AJ288" s="140"/>
      <c r="AK288" s="117" t="str">
        <f t="shared" si="10"/>
        <v>Negative</v>
      </c>
      <c r="AL288" s="142"/>
      <c r="AM288" s="112" t="s">
        <v>356</v>
      </c>
      <c r="AN288" s="112" t="s">
        <v>357</v>
      </c>
      <c r="AO288" s="112" t="str">
        <f>IFERROR(__xludf.DUMMYFUNCTION("IF($AG288, ""DELETED"",TRIM(JOIN("" "",D288:E288)))"),"")</f>
        <v/>
      </c>
      <c r="AP288" s="112" t="str">
        <f t="shared" ref="AP288:AQ288" si="313">IF($AG288, "DELETED", TRIM(CONCATENATE(F288,I288,U288)))</f>
        <v/>
      </c>
      <c r="AQ288" s="112" t="str">
        <f t="shared" si="313"/>
        <v/>
      </c>
      <c r="AR288" s="112" t="str">
        <f>IFERROR(__xludf.DUMMYFUNCTION("IF($AG288, ""DELETED"", TRIM(JOIN("" "",AP288,AQ288)))"),"")</f>
        <v/>
      </c>
      <c r="AS288" s="118"/>
      <c r="AT288" s="110" t="b">
        <f t="shared" si="12"/>
        <v>0</v>
      </c>
      <c r="AU288" s="110" t="str">
        <f t="shared" si="13"/>
        <v/>
      </c>
      <c r="AV288" s="110" t="str">
        <f t="shared" si="14"/>
        <v/>
      </c>
      <c r="AW288" s="110" t="str">
        <f t="shared" si="15"/>
        <v/>
      </c>
      <c r="AX288" s="119" t="str">
        <f t="shared" si="16"/>
        <v/>
      </c>
      <c r="AY288" s="120"/>
      <c r="AZ288" s="121"/>
      <c r="BA288" s="163" t="str">
        <f t="shared" si="17"/>
        <v/>
      </c>
      <c r="BB288" s="34"/>
      <c r="BC288" s="121"/>
      <c r="BD288" s="136"/>
      <c r="BE288" s="125" t="str">
        <f t="shared" si="18"/>
        <v/>
      </c>
      <c r="BF288" s="126" t="str">
        <f t="shared" si="19"/>
        <v>MA221__44585_0.308831018518519</v>
      </c>
      <c r="BG288" s="127" t="str">
        <f t="shared" si="20"/>
        <v/>
      </c>
      <c r="BH288" s="137" t="s">
        <v>999</v>
      </c>
      <c r="BI288" s="128" t="str">
        <f t="shared" si="21"/>
        <v>MA1036</v>
      </c>
      <c r="BJ288" s="129" t="b">
        <f t="shared" si="22"/>
        <v>0</v>
      </c>
      <c r="BK288" s="128" t="str">
        <f t="shared" si="23"/>
        <v/>
      </c>
      <c r="BL288" s="121"/>
      <c r="BM288" s="5" t="str">
        <f t="shared" si="24"/>
        <v>MISSING</v>
      </c>
      <c r="BN288" s="120" t="b">
        <f t="shared" si="25"/>
        <v>0</v>
      </c>
      <c r="BO288" s="131" t="b">
        <f t="shared" si="26"/>
        <v>1</v>
      </c>
      <c r="BP288" s="121"/>
      <c r="BQ288" s="132" t="str">
        <f>VLOOKUP(A288,RAW_APS!A$3:O826,15,FALSE)</f>
        <v/>
      </c>
      <c r="BR288" s="120" t="b">
        <f t="shared" si="27"/>
        <v>1</v>
      </c>
      <c r="BS288" s="121"/>
      <c r="BT288" s="138" t="s">
        <v>244</v>
      </c>
      <c r="BU288" s="10" t="b">
        <f t="shared" si="28"/>
        <v>1</v>
      </c>
      <c r="BV288" s="120"/>
      <c r="BW288" s="120"/>
      <c r="BX288" s="120"/>
      <c r="BY288" s="120"/>
      <c r="BZ288" s="120"/>
      <c r="CA288" s="120"/>
      <c r="CB288" s="120"/>
      <c r="CC288" s="120"/>
    </row>
    <row r="289">
      <c r="A289" s="2" t="s">
        <v>1000</v>
      </c>
      <c r="B289" s="100">
        <v>44585.0</v>
      </c>
      <c r="C289" s="101">
        <v>0.3161921296296296</v>
      </c>
      <c r="D289" s="102"/>
      <c r="E289" s="102"/>
      <c r="F289" s="102"/>
      <c r="G289" s="102"/>
      <c r="H289" s="102"/>
      <c r="I289" s="103"/>
      <c r="J289" s="103"/>
      <c r="K289" s="2" t="s">
        <v>244</v>
      </c>
      <c r="L289" s="100">
        <v>44585.0</v>
      </c>
      <c r="M289" s="101">
        <v>0.46827546296296296</v>
      </c>
      <c r="P289" s="104" t="b">
        <f>IFNA(IF(VLOOKUP($A289,'Add from APT'!$AA$2:$AC826,3,FALSE)&gt;0,TRUE,FALSE),"ER - NOT IN APT")</f>
        <v>0</v>
      </c>
      <c r="Q289" s="105" t="str">
        <f>IF(ISLOGICAL(P289),IF(P289,"ER - REPS IN APT", IFNA(VLOOKUP($A289,RAW_APT!$A$3:$M826,7,FALSE),"ER - NOT IN APT")),P289)</f>
        <v>Result</v>
      </c>
      <c r="R289" s="106" t="b">
        <f t="shared" si="2"/>
        <v>1</v>
      </c>
      <c r="S289" s="107">
        <f t="shared" si="3"/>
        <v>1</v>
      </c>
      <c r="T289" s="143"/>
      <c r="U289" s="142"/>
      <c r="V289" s="142"/>
      <c r="W289" s="142"/>
      <c r="X289" s="110" t="b">
        <f t="shared" si="4"/>
        <v>0</v>
      </c>
      <c r="Y289" s="111" t="b">
        <v>0</v>
      </c>
      <c r="Z289" s="104" t="str">
        <f t="shared" si="5"/>
        <v/>
      </c>
      <c r="AA289" s="112" t="b">
        <f t="shared" si="6"/>
        <v>0</v>
      </c>
      <c r="AB289" s="142" t="b">
        <v>0</v>
      </c>
      <c r="AC289" s="140">
        <v>519.0</v>
      </c>
      <c r="AD289" s="141" t="b">
        <v>0</v>
      </c>
      <c r="AE289" s="115">
        <f t="shared" si="7"/>
        <v>219</v>
      </c>
      <c r="AF289" s="116" t="b">
        <f t="shared" si="8"/>
        <v>0</v>
      </c>
      <c r="AG289" s="105" t="b">
        <f t="shared" si="9"/>
        <v>0</v>
      </c>
      <c r="AH289" s="140"/>
      <c r="AI289" s="140"/>
      <c r="AJ289" s="140"/>
      <c r="AK289" s="117" t="str">
        <f t="shared" si="10"/>
        <v>Negative</v>
      </c>
      <c r="AL289" s="142"/>
      <c r="AM289" s="112" t="s">
        <v>295</v>
      </c>
      <c r="AN289" s="112" t="s">
        <v>296</v>
      </c>
      <c r="AO289" s="112" t="str">
        <f>IFERROR(__xludf.DUMMYFUNCTION("IF($AG289, ""DELETED"",TRIM(JOIN("" "",D289:E289)))"),"")</f>
        <v/>
      </c>
      <c r="AP289" s="112" t="str">
        <f t="shared" ref="AP289:AQ289" si="314">IF($AG289, "DELETED", TRIM(CONCATENATE(F289,I289,U289)))</f>
        <v/>
      </c>
      <c r="AQ289" s="112" t="str">
        <f t="shared" si="314"/>
        <v/>
      </c>
      <c r="AR289" s="112" t="str">
        <f>IFERROR(__xludf.DUMMYFUNCTION("IF($AG289, ""DELETED"", TRIM(JOIN("" "",AP289,AQ289)))"),"")</f>
        <v/>
      </c>
      <c r="AS289" s="118"/>
      <c r="AT289" s="110" t="b">
        <f t="shared" si="12"/>
        <v>0</v>
      </c>
      <c r="AU289" s="110" t="str">
        <f t="shared" si="13"/>
        <v/>
      </c>
      <c r="AV289" s="110" t="str">
        <f t="shared" si="14"/>
        <v/>
      </c>
      <c r="AW289" s="110" t="str">
        <f t="shared" si="15"/>
        <v/>
      </c>
      <c r="AX289" s="119" t="str">
        <f t="shared" si="16"/>
        <v/>
      </c>
      <c r="AY289" s="120"/>
      <c r="AZ289" s="121"/>
      <c r="BA289" s="163" t="str">
        <f t="shared" si="17"/>
        <v/>
      </c>
      <c r="BB289" s="34"/>
      <c r="BC289" s="121"/>
      <c r="BD289" s="136"/>
      <c r="BE289" s="125" t="str">
        <f t="shared" si="18"/>
        <v/>
      </c>
      <c r="BF289" s="126" t="str">
        <f t="shared" si="19"/>
        <v>MA377__44585_0.31619212962963</v>
      </c>
      <c r="BG289" s="127" t="str">
        <f t="shared" si="20"/>
        <v/>
      </c>
      <c r="BH289" s="137" t="s">
        <v>1001</v>
      </c>
      <c r="BI289" s="128" t="str">
        <f t="shared" si="21"/>
        <v>MA1037</v>
      </c>
      <c r="BJ289" s="129" t="b">
        <f t="shared" si="22"/>
        <v>0</v>
      </c>
      <c r="BK289" s="128" t="str">
        <f t="shared" si="23"/>
        <v/>
      </c>
      <c r="BL289" s="121"/>
      <c r="BM289" s="5" t="str">
        <f t="shared" si="24"/>
        <v>MISSING</v>
      </c>
      <c r="BN289" s="120" t="b">
        <f t="shared" si="25"/>
        <v>0</v>
      </c>
      <c r="BO289" s="131" t="b">
        <f t="shared" si="26"/>
        <v>1</v>
      </c>
      <c r="BP289" s="121"/>
      <c r="BQ289" s="132" t="str">
        <f>VLOOKUP(A289,RAW_APS!A$3:O826,15,FALSE)</f>
        <v/>
      </c>
      <c r="BR289" s="120" t="b">
        <f t="shared" si="27"/>
        <v>1</v>
      </c>
      <c r="BS289" s="121"/>
      <c r="BT289" s="138" t="s">
        <v>244</v>
      </c>
      <c r="BU289" s="10" t="b">
        <f t="shared" si="28"/>
        <v>1</v>
      </c>
      <c r="BV289" s="120"/>
      <c r="BW289" s="120"/>
      <c r="BX289" s="120"/>
      <c r="BY289" s="120"/>
      <c r="BZ289" s="120"/>
      <c r="CA289" s="120"/>
      <c r="CB289" s="120"/>
      <c r="CC289" s="120"/>
    </row>
    <row r="290">
      <c r="A290" s="2" t="s">
        <v>1002</v>
      </c>
      <c r="B290" s="100">
        <v>44585.0</v>
      </c>
      <c r="C290" s="101">
        <v>0.31993055555555555</v>
      </c>
      <c r="D290" s="102"/>
      <c r="E290" s="102"/>
      <c r="F290" s="102"/>
      <c r="G290" s="102"/>
      <c r="H290" s="102"/>
      <c r="I290" s="103"/>
      <c r="J290" s="103"/>
      <c r="K290" s="2" t="s">
        <v>244</v>
      </c>
      <c r="L290" s="100">
        <v>44585.0</v>
      </c>
      <c r="M290" s="101">
        <v>0.4705902777777778</v>
      </c>
      <c r="P290" s="104" t="b">
        <f>IFNA(IF(VLOOKUP($A290,'Add from APT'!$AA$2:$AC826,3,FALSE)&gt;0,TRUE,FALSE),"ER - NOT IN APT")</f>
        <v>0</v>
      </c>
      <c r="Q290" s="105" t="str">
        <f>IF(ISLOGICAL(P290),IF(P290,"ER - REPS IN APT", IFNA(VLOOKUP($A290,RAW_APT!$A$3:$M826,7,FALSE),"ER - NOT IN APT")),P290)</f>
        <v>Result</v>
      </c>
      <c r="R290" s="106" t="b">
        <f t="shared" si="2"/>
        <v>1</v>
      </c>
      <c r="S290" s="107">
        <f t="shared" si="3"/>
        <v>1</v>
      </c>
      <c r="T290" s="143"/>
      <c r="U290" s="142"/>
      <c r="V290" s="142"/>
      <c r="W290" s="142"/>
      <c r="X290" s="110" t="b">
        <f t="shared" si="4"/>
        <v>0</v>
      </c>
      <c r="Y290" s="111" t="b">
        <v>0</v>
      </c>
      <c r="Z290" s="104" t="str">
        <f t="shared" si="5"/>
        <v/>
      </c>
      <c r="AA290" s="112" t="b">
        <f t="shared" si="6"/>
        <v>0</v>
      </c>
      <c r="AB290" s="142" t="b">
        <v>0</v>
      </c>
      <c r="AC290" s="140">
        <v>518.0</v>
      </c>
      <c r="AD290" s="141" t="b">
        <v>0</v>
      </c>
      <c r="AE290" s="115">
        <f t="shared" si="7"/>
        <v>216.95</v>
      </c>
      <c r="AF290" s="116" t="b">
        <f t="shared" si="8"/>
        <v>0</v>
      </c>
      <c r="AG290" s="105" t="b">
        <f t="shared" si="9"/>
        <v>0</v>
      </c>
      <c r="AH290" s="140"/>
      <c r="AI290" s="140"/>
      <c r="AJ290" s="140"/>
      <c r="AK290" s="117" t="str">
        <f t="shared" si="10"/>
        <v>Negative</v>
      </c>
      <c r="AL290" s="142"/>
      <c r="AM290" s="112" t="s">
        <v>299</v>
      </c>
      <c r="AN290" s="112" t="s">
        <v>300</v>
      </c>
      <c r="AO290" s="112" t="str">
        <f>IFERROR(__xludf.DUMMYFUNCTION("IF($AG290, ""DELETED"",TRIM(JOIN("" "",D290:E290)))"),"")</f>
        <v/>
      </c>
      <c r="AP290" s="112" t="str">
        <f t="shared" ref="AP290:AQ290" si="315">IF($AG290, "DELETED", TRIM(CONCATENATE(F290,I290,U290)))</f>
        <v/>
      </c>
      <c r="AQ290" s="112" t="str">
        <f t="shared" si="315"/>
        <v/>
      </c>
      <c r="AR290" s="112" t="str">
        <f>IFERROR(__xludf.DUMMYFUNCTION("IF($AG290, ""DELETED"", TRIM(JOIN("" "",AP290,AQ290)))"),"")</f>
        <v/>
      </c>
      <c r="AS290" s="118"/>
      <c r="AT290" s="110" t="b">
        <f t="shared" si="12"/>
        <v>0</v>
      </c>
      <c r="AU290" s="110" t="str">
        <f t="shared" si="13"/>
        <v/>
      </c>
      <c r="AV290" s="110" t="str">
        <f t="shared" si="14"/>
        <v/>
      </c>
      <c r="AW290" s="110" t="str">
        <f t="shared" si="15"/>
        <v/>
      </c>
      <c r="AX290" s="119" t="str">
        <f t="shared" si="16"/>
        <v/>
      </c>
      <c r="AY290" s="120"/>
      <c r="AZ290" s="121"/>
      <c r="BA290" s="122" t="str">
        <f t="shared" si="17"/>
        <v/>
      </c>
      <c r="BB290" s="34"/>
      <c r="BC290" s="121"/>
      <c r="BD290" s="136"/>
      <c r="BE290" s="125" t="str">
        <f t="shared" si="18"/>
        <v/>
      </c>
      <c r="BF290" s="126" t="str">
        <f t="shared" si="19"/>
        <v>MA449__44585_0.319930555555556</v>
      </c>
      <c r="BG290" s="127" t="str">
        <f t="shared" si="20"/>
        <v/>
      </c>
      <c r="BH290" s="137" t="s">
        <v>1003</v>
      </c>
      <c r="BI290" s="128" t="str">
        <f t="shared" si="21"/>
        <v>MA1038</v>
      </c>
      <c r="BJ290" s="129" t="b">
        <f t="shared" si="22"/>
        <v>0</v>
      </c>
      <c r="BK290" s="128" t="str">
        <f t="shared" si="23"/>
        <v/>
      </c>
      <c r="BL290" s="121"/>
      <c r="BM290" s="5" t="str">
        <f t="shared" si="24"/>
        <v>MISSING</v>
      </c>
      <c r="BN290" s="120" t="b">
        <f t="shared" si="25"/>
        <v>0</v>
      </c>
      <c r="BO290" s="131" t="b">
        <f t="shared" si="26"/>
        <v>1</v>
      </c>
      <c r="BP290" s="121"/>
      <c r="BQ290" s="132" t="str">
        <f>VLOOKUP(A290,RAW_APS!A$3:O826,15,FALSE)</f>
        <v/>
      </c>
      <c r="BR290" s="120" t="b">
        <f t="shared" si="27"/>
        <v>1</v>
      </c>
      <c r="BS290" s="121"/>
      <c r="BT290" s="138" t="s">
        <v>244</v>
      </c>
      <c r="BU290" s="10" t="b">
        <f t="shared" si="28"/>
        <v>1</v>
      </c>
      <c r="BV290" s="120"/>
      <c r="BW290" s="120"/>
      <c r="BX290" s="120"/>
      <c r="BY290" s="120"/>
      <c r="BZ290" s="120"/>
      <c r="CA290" s="120"/>
      <c r="CB290" s="120"/>
      <c r="CC290" s="120"/>
    </row>
    <row r="291">
      <c r="A291" s="2" t="s">
        <v>1004</v>
      </c>
      <c r="B291" s="100">
        <v>44585.0</v>
      </c>
      <c r="C291" s="101">
        <v>0.3261689814814815</v>
      </c>
      <c r="D291" s="102"/>
      <c r="E291" s="102"/>
      <c r="F291" s="102"/>
      <c r="G291" s="102"/>
      <c r="H291" s="102"/>
      <c r="I291" s="103"/>
      <c r="J291" s="103"/>
      <c r="K291" s="2" t="s">
        <v>244</v>
      </c>
      <c r="L291" s="100">
        <v>44585.0</v>
      </c>
      <c r="M291" s="101">
        <v>0.4705902777777778</v>
      </c>
      <c r="P291" s="104" t="b">
        <f>IFNA(IF(VLOOKUP($A291,'Add from APT'!$AA$2:$AC826,3,FALSE)&gt;0,TRUE,FALSE),"ER - NOT IN APT")</f>
        <v>0</v>
      </c>
      <c r="Q291" s="105" t="str">
        <f>IF(ISLOGICAL(P291),IF(P291,"ER - REPS IN APT", IFNA(VLOOKUP($A291,RAW_APT!$A$3:$M826,7,FALSE),"ER - NOT IN APT")),P291)</f>
        <v>Result</v>
      </c>
      <c r="R291" s="106" t="b">
        <f t="shared" si="2"/>
        <v>1</v>
      </c>
      <c r="S291" s="107">
        <f t="shared" si="3"/>
        <v>1</v>
      </c>
      <c r="T291" s="143"/>
      <c r="U291" s="142"/>
      <c r="V291" s="142"/>
      <c r="W291" s="142"/>
      <c r="X291" s="110" t="b">
        <f t="shared" si="4"/>
        <v>0</v>
      </c>
      <c r="Y291" s="111" t="b">
        <v>0</v>
      </c>
      <c r="Z291" s="104" t="str">
        <f t="shared" si="5"/>
        <v/>
      </c>
      <c r="AA291" s="112" t="b">
        <f t="shared" si="6"/>
        <v>0</v>
      </c>
      <c r="AB291" s="142" t="b">
        <v>0</v>
      </c>
      <c r="AC291" s="140">
        <v>517.0</v>
      </c>
      <c r="AD291" s="141" t="b">
        <v>0</v>
      </c>
      <c r="AE291" s="115">
        <f t="shared" si="7"/>
        <v>207.9666667</v>
      </c>
      <c r="AF291" s="116" t="b">
        <f t="shared" si="8"/>
        <v>0</v>
      </c>
      <c r="AG291" s="105" t="b">
        <f t="shared" si="9"/>
        <v>0</v>
      </c>
      <c r="AH291" s="140"/>
      <c r="AI291" s="140"/>
      <c r="AJ291" s="140"/>
      <c r="AK291" s="117" t="str">
        <f t="shared" si="10"/>
        <v>Negative</v>
      </c>
      <c r="AL291" s="142"/>
      <c r="AM291" s="112" t="s">
        <v>287</v>
      </c>
      <c r="AN291" s="112" t="s">
        <v>288</v>
      </c>
      <c r="AO291" s="112" t="str">
        <f>IFERROR(__xludf.DUMMYFUNCTION("IF($AG291, ""DELETED"",TRIM(JOIN("" "",D291:E291)))"),"")</f>
        <v/>
      </c>
      <c r="AP291" s="112" t="str">
        <f t="shared" ref="AP291:AQ291" si="316">IF($AG291, "DELETED", TRIM(CONCATENATE(F291,I291,U291)))</f>
        <v/>
      </c>
      <c r="AQ291" s="112" t="str">
        <f t="shared" si="316"/>
        <v/>
      </c>
      <c r="AR291" s="112" t="str">
        <f>IFERROR(__xludf.DUMMYFUNCTION("IF($AG291, ""DELETED"", TRIM(JOIN("" "",AP291,AQ291)))"),"")</f>
        <v/>
      </c>
      <c r="AS291" s="118"/>
      <c r="AT291" s="110" t="b">
        <f t="shared" si="12"/>
        <v>0</v>
      </c>
      <c r="AU291" s="110" t="str">
        <f t="shared" si="13"/>
        <v/>
      </c>
      <c r="AV291" s="110" t="str">
        <f t="shared" si="14"/>
        <v/>
      </c>
      <c r="AW291" s="110" t="str">
        <f t="shared" si="15"/>
        <v/>
      </c>
      <c r="AX291" s="119" t="str">
        <f t="shared" si="16"/>
        <v/>
      </c>
      <c r="AY291" s="120"/>
      <c r="AZ291" s="121"/>
      <c r="BA291" s="122" t="str">
        <f t="shared" si="17"/>
        <v/>
      </c>
      <c r="BB291" s="34"/>
      <c r="BC291" s="121"/>
      <c r="BD291" s="136"/>
      <c r="BE291" s="125" t="str">
        <f t="shared" si="18"/>
        <v/>
      </c>
      <c r="BF291" s="126" t="str">
        <f t="shared" si="19"/>
        <v>MA1061__44585_0.326168981481482</v>
      </c>
      <c r="BG291" s="127" t="str">
        <f t="shared" si="20"/>
        <v/>
      </c>
      <c r="BH291" s="137" t="s">
        <v>1005</v>
      </c>
      <c r="BI291" s="128" t="str">
        <f t="shared" si="21"/>
        <v>MA1039</v>
      </c>
      <c r="BJ291" s="129" t="b">
        <f t="shared" si="22"/>
        <v>0</v>
      </c>
      <c r="BK291" s="128" t="str">
        <f t="shared" si="23"/>
        <v/>
      </c>
      <c r="BL291" s="121"/>
      <c r="BM291" s="5" t="str">
        <f t="shared" si="24"/>
        <v>MISSING</v>
      </c>
      <c r="BN291" s="120" t="b">
        <f t="shared" si="25"/>
        <v>0</v>
      </c>
      <c r="BO291" s="131" t="b">
        <f t="shared" si="26"/>
        <v>1</v>
      </c>
      <c r="BP291" s="121"/>
      <c r="BQ291" s="132" t="str">
        <f>VLOOKUP(A291,RAW_APS!A$3:O826,15,FALSE)</f>
        <v/>
      </c>
      <c r="BR291" s="120" t="b">
        <f t="shared" si="27"/>
        <v>1</v>
      </c>
      <c r="BS291" s="121"/>
      <c r="BT291" s="138" t="s">
        <v>244</v>
      </c>
      <c r="BU291" s="10" t="b">
        <f t="shared" si="28"/>
        <v>1</v>
      </c>
      <c r="BV291" s="120"/>
      <c r="BW291" s="120"/>
      <c r="BX291" s="120"/>
      <c r="BY291" s="120"/>
      <c r="BZ291" s="120"/>
      <c r="CA291" s="120"/>
      <c r="CB291" s="120"/>
      <c r="CC291" s="120"/>
    </row>
    <row r="292">
      <c r="A292" s="2" t="s">
        <v>1006</v>
      </c>
      <c r="B292" s="100">
        <v>44585.0</v>
      </c>
      <c r="C292" s="101">
        <v>0.32657407407407407</v>
      </c>
      <c r="D292" s="102"/>
      <c r="E292" s="102"/>
      <c r="F292" s="102"/>
      <c r="G292" s="102"/>
      <c r="H292" s="102"/>
      <c r="I292" s="103"/>
      <c r="J292" s="103"/>
      <c r="K292" s="2" t="s">
        <v>244</v>
      </c>
      <c r="L292" s="100">
        <v>44585.0</v>
      </c>
      <c r="M292" s="101">
        <v>0.4705902777777778</v>
      </c>
      <c r="P292" s="104" t="b">
        <f>IFNA(IF(VLOOKUP($A292,'Add from APT'!$AA$2:$AC826,3,FALSE)&gt;0,TRUE,FALSE),"ER - NOT IN APT")</f>
        <v>0</v>
      </c>
      <c r="Q292" s="105" t="str">
        <f>IF(ISLOGICAL(P292),IF(P292,"ER - REPS IN APT", IFNA(VLOOKUP($A292,RAW_APT!$A$3:$M826,7,FALSE),"ER - NOT IN APT")),P292)</f>
        <v>Result</v>
      </c>
      <c r="R292" s="106" t="b">
        <f t="shared" si="2"/>
        <v>1</v>
      </c>
      <c r="S292" s="107">
        <f t="shared" si="3"/>
        <v>1</v>
      </c>
      <c r="T292" s="143"/>
      <c r="U292" s="142"/>
      <c r="V292" s="142"/>
      <c r="W292" s="142"/>
      <c r="X292" s="110" t="b">
        <f t="shared" si="4"/>
        <v>0</v>
      </c>
      <c r="Y292" s="111" t="b">
        <v>0</v>
      </c>
      <c r="Z292" s="104" t="str">
        <f t="shared" si="5"/>
        <v/>
      </c>
      <c r="AA292" s="112" t="b">
        <f t="shared" si="6"/>
        <v>0</v>
      </c>
      <c r="AB292" s="142" t="b">
        <v>0</v>
      </c>
      <c r="AC292" s="140">
        <v>516.0</v>
      </c>
      <c r="AD292" s="141" t="b">
        <v>0</v>
      </c>
      <c r="AE292" s="115">
        <f t="shared" si="7"/>
        <v>207.3833333</v>
      </c>
      <c r="AF292" s="116" t="b">
        <f t="shared" si="8"/>
        <v>0</v>
      </c>
      <c r="AG292" s="105" t="b">
        <f t="shared" si="9"/>
        <v>0</v>
      </c>
      <c r="AH292" s="140"/>
      <c r="AI292" s="140"/>
      <c r="AJ292" s="140"/>
      <c r="AK292" s="117" t="str">
        <f t="shared" si="10"/>
        <v>Negative</v>
      </c>
      <c r="AL292" s="142"/>
      <c r="AM292" s="112" t="s">
        <v>307</v>
      </c>
      <c r="AN292" s="112" t="s">
        <v>266</v>
      </c>
      <c r="AO292" s="112" t="str">
        <f>IFERROR(__xludf.DUMMYFUNCTION("IF($AG292, ""DELETED"",TRIM(JOIN("" "",D292:E292)))"),"")</f>
        <v/>
      </c>
      <c r="AP292" s="112" t="str">
        <f t="shared" ref="AP292:AQ292" si="317">IF($AG292, "DELETED", TRIM(CONCATENATE(F292,I292,U292)))</f>
        <v/>
      </c>
      <c r="AQ292" s="112" t="str">
        <f t="shared" si="317"/>
        <v/>
      </c>
      <c r="AR292" s="112" t="str">
        <f>IFERROR(__xludf.DUMMYFUNCTION("IF($AG292, ""DELETED"", TRIM(JOIN("" "",AP292,AQ292)))"),"")</f>
        <v/>
      </c>
      <c r="AS292" s="118"/>
      <c r="AT292" s="110" t="b">
        <f t="shared" si="12"/>
        <v>0</v>
      </c>
      <c r="AU292" s="110" t="str">
        <f t="shared" si="13"/>
        <v/>
      </c>
      <c r="AV292" s="110" t="str">
        <f t="shared" si="14"/>
        <v/>
      </c>
      <c r="AW292" s="110" t="str">
        <f t="shared" si="15"/>
        <v/>
      </c>
      <c r="AX292" s="119" t="str">
        <f t="shared" si="16"/>
        <v/>
      </c>
      <c r="AY292" s="120"/>
      <c r="AZ292" s="121"/>
      <c r="BA292" s="122" t="str">
        <f t="shared" si="17"/>
        <v/>
      </c>
      <c r="BB292" s="34"/>
      <c r="BC292" s="121"/>
      <c r="BD292" s="136"/>
      <c r="BE292" s="125" t="str">
        <f t="shared" si="18"/>
        <v/>
      </c>
      <c r="BF292" s="126" t="str">
        <f t="shared" si="19"/>
        <v>MA1178__44585_0.326574074074074</v>
      </c>
      <c r="BG292" s="127" t="str">
        <f t="shared" si="20"/>
        <v/>
      </c>
      <c r="BH292" s="137" t="s">
        <v>1007</v>
      </c>
      <c r="BI292" s="128" t="str">
        <f t="shared" si="21"/>
        <v>MA1040</v>
      </c>
      <c r="BJ292" s="129" t="b">
        <f t="shared" si="22"/>
        <v>0</v>
      </c>
      <c r="BK292" s="128" t="str">
        <f t="shared" si="23"/>
        <v/>
      </c>
      <c r="BL292" s="121"/>
      <c r="BM292" s="5" t="str">
        <f t="shared" si="24"/>
        <v>MISSING</v>
      </c>
      <c r="BN292" s="120" t="b">
        <f t="shared" si="25"/>
        <v>0</v>
      </c>
      <c r="BO292" s="131" t="b">
        <f t="shared" si="26"/>
        <v>1</v>
      </c>
      <c r="BP292" s="121"/>
      <c r="BQ292" s="132" t="str">
        <f>VLOOKUP(A292,RAW_APS!A$3:O826,15,FALSE)</f>
        <v/>
      </c>
      <c r="BR292" s="120" t="b">
        <f t="shared" si="27"/>
        <v>1</v>
      </c>
      <c r="BS292" s="121"/>
      <c r="BT292" s="138" t="s">
        <v>244</v>
      </c>
      <c r="BU292" s="10" t="b">
        <f t="shared" si="28"/>
        <v>1</v>
      </c>
      <c r="BV292" s="120"/>
      <c r="BW292" s="120"/>
      <c r="BX292" s="120"/>
      <c r="BY292" s="120"/>
      <c r="BZ292" s="120"/>
      <c r="CA292" s="120"/>
      <c r="CB292" s="120"/>
      <c r="CC292" s="120"/>
    </row>
    <row r="293">
      <c r="A293" s="2" t="s">
        <v>1008</v>
      </c>
      <c r="B293" s="100">
        <v>44585.0</v>
      </c>
      <c r="C293" s="101">
        <v>0.33229166666666665</v>
      </c>
      <c r="D293" s="102"/>
      <c r="E293" s="102"/>
      <c r="F293" s="102"/>
      <c r="G293" s="102"/>
      <c r="H293" s="102"/>
      <c r="I293" s="103"/>
      <c r="J293" s="103"/>
      <c r="K293" s="2" t="s">
        <v>244</v>
      </c>
      <c r="L293" s="100">
        <v>44585.0</v>
      </c>
      <c r="M293" s="101">
        <v>0.4705902777777778</v>
      </c>
      <c r="P293" s="104" t="b">
        <f>IFNA(IF(VLOOKUP($A293,'Add from APT'!$AA$2:$AC826,3,FALSE)&gt;0,TRUE,FALSE),"ER - NOT IN APT")</f>
        <v>0</v>
      </c>
      <c r="Q293" s="105" t="str">
        <f>IF(ISLOGICAL(P293),IF(P293,"ER - REPS IN APT", IFNA(VLOOKUP($A293,RAW_APT!$A$3:$M826,7,FALSE),"ER - NOT IN APT")),P293)</f>
        <v>Result</v>
      </c>
      <c r="R293" s="106" t="b">
        <f t="shared" si="2"/>
        <v>1</v>
      </c>
      <c r="S293" s="107">
        <f t="shared" si="3"/>
        <v>1</v>
      </c>
      <c r="T293" s="143"/>
      <c r="U293" s="142"/>
      <c r="V293" s="142"/>
      <c r="W293" s="142"/>
      <c r="X293" s="110" t="b">
        <f t="shared" si="4"/>
        <v>0</v>
      </c>
      <c r="Y293" s="111" t="b">
        <v>0</v>
      </c>
      <c r="Z293" s="104" t="str">
        <f t="shared" si="5"/>
        <v/>
      </c>
      <c r="AA293" s="112" t="b">
        <f t="shared" si="6"/>
        <v>0</v>
      </c>
      <c r="AB293" s="142" t="b">
        <v>0</v>
      </c>
      <c r="AC293" s="140">
        <v>515.0</v>
      </c>
      <c r="AD293" s="141" t="b">
        <v>0</v>
      </c>
      <c r="AE293" s="115">
        <f t="shared" si="7"/>
        <v>199.15</v>
      </c>
      <c r="AF293" s="116" t="b">
        <f t="shared" si="8"/>
        <v>0</v>
      </c>
      <c r="AG293" s="105" t="b">
        <f t="shared" si="9"/>
        <v>0</v>
      </c>
      <c r="AH293" s="140"/>
      <c r="AI293" s="140"/>
      <c r="AJ293" s="140"/>
      <c r="AK293" s="117" t="str">
        <f t="shared" si="10"/>
        <v>Negative</v>
      </c>
      <c r="AL293" s="142"/>
      <c r="AM293" s="112" t="s">
        <v>310</v>
      </c>
      <c r="AN293" s="112" t="s">
        <v>311</v>
      </c>
      <c r="AO293" s="112" t="str">
        <f>IFERROR(__xludf.DUMMYFUNCTION("IF($AG293, ""DELETED"",TRIM(JOIN("" "",D293:E293)))"),"")</f>
        <v/>
      </c>
      <c r="AP293" s="112" t="str">
        <f t="shared" ref="AP293:AQ293" si="318">IF($AG293, "DELETED", TRIM(CONCATENATE(F293,I293,U293)))</f>
        <v/>
      </c>
      <c r="AQ293" s="112" t="str">
        <f t="shared" si="318"/>
        <v/>
      </c>
      <c r="AR293" s="112" t="str">
        <f>IFERROR(__xludf.DUMMYFUNCTION("IF($AG293, ""DELETED"", TRIM(JOIN("" "",AP293,AQ293)))"),"")</f>
        <v/>
      </c>
      <c r="AS293" s="118"/>
      <c r="AT293" s="110" t="b">
        <f t="shared" si="12"/>
        <v>0</v>
      </c>
      <c r="AU293" s="110" t="str">
        <f t="shared" si="13"/>
        <v/>
      </c>
      <c r="AV293" s="110" t="str">
        <f t="shared" si="14"/>
        <v/>
      </c>
      <c r="AW293" s="110" t="str">
        <f t="shared" si="15"/>
        <v/>
      </c>
      <c r="AX293" s="119" t="str">
        <f t="shared" si="16"/>
        <v/>
      </c>
      <c r="AY293" s="120"/>
      <c r="AZ293" s="121"/>
      <c r="BA293" s="163" t="str">
        <f t="shared" si="17"/>
        <v/>
      </c>
      <c r="BB293" s="34"/>
      <c r="BC293" s="121"/>
      <c r="BD293" s="136"/>
      <c r="BE293" s="125" t="str">
        <f t="shared" si="18"/>
        <v/>
      </c>
      <c r="BF293" s="126" t="str">
        <f t="shared" si="19"/>
        <v>MA574__44585_0.332291666666667</v>
      </c>
      <c r="BG293" s="127" t="str">
        <f t="shared" si="20"/>
        <v/>
      </c>
      <c r="BH293" s="137" t="s">
        <v>1009</v>
      </c>
      <c r="BI293" s="128" t="str">
        <f t="shared" si="21"/>
        <v>MA1041</v>
      </c>
      <c r="BJ293" s="129" t="b">
        <f t="shared" si="22"/>
        <v>0</v>
      </c>
      <c r="BK293" s="128" t="str">
        <f t="shared" si="23"/>
        <v/>
      </c>
      <c r="BL293" s="121"/>
      <c r="BM293" s="5" t="str">
        <f t="shared" si="24"/>
        <v>MISSING</v>
      </c>
      <c r="BN293" s="120" t="b">
        <f t="shared" si="25"/>
        <v>0</v>
      </c>
      <c r="BO293" s="131" t="b">
        <f t="shared" si="26"/>
        <v>1</v>
      </c>
      <c r="BP293" s="121"/>
      <c r="BQ293" s="132" t="str">
        <f>VLOOKUP(A293,RAW_APS!A$3:O826,15,FALSE)</f>
        <v/>
      </c>
      <c r="BR293" s="120" t="b">
        <f t="shared" si="27"/>
        <v>1</v>
      </c>
      <c r="BS293" s="121"/>
      <c r="BT293" s="138" t="s">
        <v>244</v>
      </c>
      <c r="BU293" s="10" t="b">
        <f t="shared" si="28"/>
        <v>1</v>
      </c>
      <c r="BV293" s="120"/>
      <c r="BW293" s="120"/>
      <c r="BX293" s="120"/>
      <c r="BY293" s="120"/>
      <c r="BZ293" s="120"/>
      <c r="CA293" s="120"/>
      <c r="CB293" s="120"/>
      <c r="CC293" s="120"/>
    </row>
    <row r="294">
      <c r="A294" s="2" t="s">
        <v>1010</v>
      </c>
      <c r="B294" s="100">
        <v>44585.0</v>
      </c>
      <c r="C294" s="101">
        <v>0.33292824074074073</v>
      </c>
      <c r="D294" s="102"/>
      <c r="E294" s="102"/>
      <c r="F294" s="102"/>
      <c r="G294" s="102"/>
      <c r="H294" s="102"/>
      <c r="I294" s="103"/>
      <c r="J294" s="103"/>
      <c r="K294" s="2" t="s">
        <v>244</v>
      </c>
      <c r="L294" s="100">
        <v>44585.0</v>
      </c>
      <c r="M294" s="101">
        <v>0.4705902777777778</v>
      </c>
      <c r="P294" s="104" t="b">
        <f>IFNA(IF(VLOOKUP($A294,'Add from APT'!$AA$2:$AC826,3,FALSE)&gt;0,TRUE,FALSE),"ER - NOT IN APT")</f>
        <v>0</v>
      </c>
      <c r="Q294" s="105" t="str">
        <f>IF(ISLOGICAL(P294),IF(P294,"ER - REPS IN APT", IFNA(VLOOKUP($A294,RAW_APT!$A$3:$M826,7,FALSE),"ER - NOT IN APT")),P294)</f>
        <v>Result</v>
      </c>
      <c r="R294" s="106" t="b">
        <f t="shared" si="2"/>
        <v>1</v>
      </c>
      <c r="S294" s="107">
        <f t="shared" si="3"/>
        <v>1</v>
      </c>
      <c r="T294" s="143"/>
      <c r="U294" s="142"/>
      <c r="V294" s="142"/>
      <c r="W294" s="142"/>
      <c r="X294" s="110" t="b">
        <f t="shared" si="4"/>
        <v>0</v>
      </c>
      <c r="Y294" s="111" t="b">
        <v>0</v>
      </c>
      <c r="Z294" s="104" t="str">
        <f t="shared" si="5"/>
        <v/>
      </c>
      <c r="AA294" s="112" t="b">
        <f t="shared" si="6"/>
        <v>0</v>
      </c>
      <c r="AB294" s="142" t="b">
        <v>0</v>
      </c>
      <c r="AC294" s="140">
        <v>514.0</v>
      </c>
      <c r="AD294" s="141" t="b">
        <v>0</v>
      </c>
      <c r="AE294" s="115">
        <f t="shared" si="7"/>
        <v>198.2333333</v>
      </c>
      <c r="AF294" s="116" t="b">
        <f t="shared" si="8"/>
        <v>0</v>
      </c>
      <c r="AG294" s="105" t="b">
        <f t="shared" si="9"/>
        <v>0</v>
      </c>
      <c r="AH294" s="140"/>
      <c r="AI294" s="140"/>
      <c r="AJ294" s="140"/>
      <c r="AK294" s="117" t="str">
        <f t="shared" si="10"/>
        <v>Negative</v>
      </c>
      <c r="AL294" s="142"/>
      <c r="AM294" s="112" t="s">
        <v>291</v>
      </c>
      <c r="AN294" s="112" t="s">
        <v>292</v>
      </c>
      <c r="AO294" s="112" t="str">
        <f>IFERROR(__xludf.DUMMYFUNCTION("IF($AG294, ""DELETED"",TRIM(JOIN("" "",D294:E294)))"),"")</f>
        <v/>
      </c>
      <c r="AP294" s="112" t="str">
        <f t="shared" ref="AP294:AQ294" si="319">IF($AG294, "DELETED", TRIM(CONCATENATE(F294,I294,U294)))</f>
        <v/>
      </c>
      <c r="AQ294" s="112" t="str">
        <f t="shared" si="319"/>
        <v/>
      </c>
      <c r="AR294" s="112" t="str">
        <f>IFERROR(__xludf.DUMMYFUNCTION("IF($AG294, ""DELETED"", TRIM(JOIN("" "",AP294,AQ294)))"),"")</f>
        <v/>
      </c>
      <c r="AS294" s="118"/>
      <c r="AT294" s="110" t="b">
        <f t="shared" si="12"/>
        <v>0</v>
      </c>
      <c r="AU294" s="110" t="str">
        <f t="shared" si="13"/>
        <v/>
      </c>
      <c r="AV294" s="110" t="str">
        <f t="shared" si="14"/>
        <v/>
      </c>
      <c r="AW294" s="110" t="str">
        <f t="shared" si="15"/>
        <v/>
      </c>
      <c r="AX294" s="119" t="str">
        <f t="shared" si="16"/>
        <v/>
      </c>
      <c r="AY294" s="120"/>
      <c r="AZ294" s="121"/>
      <c r="BA294" s="163" t="str">
        <f t="shared" si="17"/>
        <v/>
      </c>
      <c r="BB294" s="34"/>
      <c r="BC294" s="121"/>
      <c r="BD294" s="136"/>
      <c r="BE294" s="125" t="str">
        <f t="shared" si="18"/>
        <v/>
      </c>
      <c r="BF294" s="126" t="str">
        <f t="shared" si="19"/>
        <v>MA1180__44585_0.332928240740741</v>
      </c>
      <c r="BG294" s="127" t="str">
        <f t="shared" si="20"/>
        <v/>
      </c>
      <c r="BH294" s="137" t="s">
        <v>1011</v>
      </c>
      <c r="BI294" s="128" t="str">
        <f t="shared" si="21"/>
        <v>MA1042</v>
      </c>
      <c r="BJ294" s="129" t="b">
        <f t="shared" si="22"/>
        <v>0</v>
      </c>
      <c r="BK294" s="128" t="str">
        <f t="shared" si="23"/>
        <v/>
      </c>
      <c r="BL294" s="121"/>
      <c r="BM294" s="5" t="str">
        <f t="shared" si="24"/>
        <v>MISSING</v>
      </c>
      <c r="BN294" s="120" t="b">
        <f t="shared" si="25"/>
        <v>0</v>
      </c>
      <c r="BO294" s="131" t="b">
        <f t="shared" si="26"/>
        <v>1</v>
      </c>
      <c r="BP294" s="121"/>
      <c r="BQ294" s="132" t="str">
        <f>VLOOKUP(A294,RAW_APS!A$3:O826,15,FALSE)</f>
        <v/>
      </c>
      <c r="BR294" s="120" t="b">
        <f t="shared" si="27"/>
        <v>1</v>
      </c>
      <c r="BS294" s="121"/>
      <c r="BT294" s="138" t="s">
        <v>244</v>
      </c>
      <c r="BU294" s="10" t="b">
        <f t="shared" si="28"/>
        <v>1</v>
      </c>
      <c r="BV294" s="120"/>
      <c r="BW294" s="120"/>
      <c r="BX294" s="120"/>
      <c r="BY294" s="120"/>
      <c r="BZ294" s="120"/>
      <c r="CA294" s="120"/>
      <c r="CB294" s="120"/>
      <c r="CC294" s="120"/>
    </row>
    <row r="295">
      <c r="A295" s="2" t="s">
        <v>1012</v>
      </c>
      <c r="B295" s="100">
        <v>44585.0</v>
      </c>
      <c r="C295" s="101">
        <v>0.3420949074074074</v>
      </c>
      <c r="D295" s="102"/>
      <c r="E295" s="102"/>
      <c r="F295" s="102"/>
      <c r="G295" s="102"/>
      <c r="H295" s="102"/>
      <c r="I295" s="103"/>
      <c r="J295" s="103"/>
      <c r="K295" s="2" t="s">
        <v>52</v>
      </c>
      <c r="L295" s="100">
        <v>44587.0</v>
      </c>
      <c r="M295" s="101">
        <v>0.5008796296296296</v>
      </c>
      <c r="P295" s="104" t="b">
        <f>IFNA(IF(VLOOKUP($A295,'Add from APT'!$AA$2:$AC826,3,FALSE)&gt;0,TRUE,FALSE),"ER - NOT IN APT")</f>
        <v>0</v>
      </c>
      <c r="Q295" s="105" t="str">
        <f>IF(ISLOGICAL(P295),IF(P295,"ER - REPS IN APT", IFNA(VLOOKUP($A295,RAW_APT!$A$3:$M826,7,FALSE),"ER - NOT IN APT")),P295)</f>
        <v>Result</v>
      </c>
      <c r="R295" s="106" t="b">
        <f t="shared" si="2"/>
        <v>1</v>
      </c>
      <c r="S295" s="107">
        <f t="shared" si="3"/>
        <v>1</v>
      </c>
      <c r="T295" s="143"/>
      <c r="U295" s="142"/>
      <c r="V295" s="142"/>
      <c r="W295" s="142"/>
      <c r="X295" s="110" t="b">
        <f t="shared" si="4"/>
        <v>0</v>
      </c>
      <c r="Y295" s="111" t="b">
        <v>0</v>
      </c>
      <c r="Z295" s="104" t="str">
        <f t="shared" si="5"/>
        <v/>
      </c>
      <c r="AA295" s="112" t="b">
        <f t="shared" si="6"/>
        <v>0</v>
      </c>
      <c r="AB295" s="142" t="b">
        <v>0</v>
      </c>
      <c r="AC295" s="140">
        <v>513.0</v>
      </c>
      <c r="AD295" s="141" t="b">
        <v>0</v>
      </c>
      <c r="AE295" s="115" t="str">
        <f t="shared" si="7"/>
        <v/>
      </c>
      <c r="AF295" s="116" t="b">
        <f t="shared" si="8"/>
        <v>0</v>
      </c>
      <c r="AG295" s="105" t="b">
        <f t="shared" si="9"/>
        <v>0</v>
      </c>
      <c r="AH295" s="140"/>
      <c r="AI295" s="140"/>
      <c r="AJ295" s="140"/>
      <c r="AK295" s="117" t="str">
        <f t="shared" si="10"/>
        <v>Positive</v>
      </c>
      <c r="AL295" s="142"/>
      <c r="AM295" s="112" t="s">
        <v>314</v>
      </c>
      <c r="AN295" s="112" t="s">
        <v>315</v>
      </c>
      <c r="AO295" s="112" t="str">
        <f>IFERROR(__xludf.DUMMYFUNCTION("IF($AG295, ""DELETED"",TRIM(JOIN("" "",D295:E295)))"),"")</f>
        <v/>
      </c>
      <c r="AP295" s="112" t="str">
        <f t="shared" ref="AP295:AQ295" si="320">IF($AG295, "DELETED", TRIM(CONCATENATE(F295,I295,U295)))</f>
        <v/>
      </c>
      <c r="AQ295" s="112" t="str">
        <f t="shared" si="320"/>
        <v/>
      </c>
      <c r="AR295" s="112" t="str">
        <f>IFERROR(__xludf.DUMMYFUNCTION("IF($AG295, ""DELETED"", TRIM(JOIN("" "",AP295,AQ295)))"),"")</f>
        <v/>
      </c>
      <c r="AS295" s="118"/>
      <c r="AT295" s="110" t="b">
        <f t="shared" si="12"/>
        <v>0</v>
      </c>
      <c r="AU295" s="110" t="str">
        <f t="shared" si="13"/>
        <v/>
      </c>
      <c r="AV295" s="110" t="str">
        <f t="shared" si="14"/>
        <v/>
      </c>
      <c r="AW295" s="110" t="str">
        <f t="shared" si="15"/>
        <v/>
      </c>
      <c r="AX295" s="119" t="str">
        <f t="shared" si="16"/>
        <v/>
      </c>
      <c r="AY295" s="120"/>
      <c r="AZ295" s="121"/>
      <c r="BA295" s="122" t="str">
        <f t="shared" si="17"/>
        <v/>
      </c>
      <c r="BB295" s="34"/>
      <c r="BC295" s="121"/>
      <c r="BD295" s="136"/>
      <c r="BE295" s="125" t="str">
        <f t="shared" si="18"/>
        <v/>
      </c>
      <c r="BF295" s="126" t="str">
        <f t="shared" si="19"/>
        <v>MA545__44585_0.342094907407407</v>
      </c>
      <c r="BG295" s="127" t="str">
        <f t="shared" si="20"/>
        <v/>
      </c>
      <c r="BH295" s="137" t="s">
        <v>1013</v>
      </c>
      <c r="BI295" s="128" t="str">
        <f t="shared" si="21"/>
        <v>MA1043</v>
      </c>
      <c r="BJ295" s="129" t="b">
        <f t="shared" si="22"/>
        <v>0</v>
      </c>
      <c r="BK295" s="128" t="str">
        <f t="shared" si="23"/>
        <v/>
      </c>
      <c r="BL295" s="121"/>
      <c r="BM295" s="5" t="str">
        <f t="shared" si="24"/>
        <v>MISSING</v>
      </c>
      <c r="BN295" s="120" t="b">
        <f t="shared" si="25"/>
        <v>0</v>
      </c>
      <c r="BO295" s="131" t="b">
        <f t="shared" si="26"/>
        <v>1</v>
      </c>
      <c r="BP295" s="121"/>
      <c r="BQ295" s="132" t="str">
        <f>VLOOKUP(A295,RAW_APS!A$3:O826,15,FALSE)</f>
        <v/>
      </c>
      <c r="BR295" s="120" t="b">
        <f t="shared" si="27"/>
        <v>1</v>
      </c>
      <c r="BS295" s="121"/>
      <c r="BT295" s="138" t="s">
        <v>52</v>
      </c>
      <c r="BU295" s="10" t="b">
        <f t="shared" si="28"/>
        <v>1</v>
      </c>
      <c r="BV295" s="120"/>
      <c r="BW295" s="120"/>
      <c r="BX295" s="120"/>
      <c r="BY295" s="120"/>
      <c r="BZ295" s="120"/>
      <c r="CA295" s="120"/>
      <c r="CB295" s="120"/>
      <c r="CC295" s="120"/>
    </row>
    <row r="296">
      <c r="A296" s="2" t="s">
        <v>1014</v>
      </c>
      <c r="B296" s="100">
        <v>44585.0</v>
      </c>
      <c r="C296" s="101">
        <v>0.3784722222222222</v>
      </c>
      <c r="D296" s="102"/>
      <c r="E296" s="102"/>
      <c r="F296" s="102"/>
      <c r="G296" s="102"/>
      <c r="H296" s="102"/>
      <c r="I296" s="103"/>
      <c r="J296" s="103"/>
      <c r="K296" s="2" t="s">
        <v>244</v>
      </c>
      <c r="L296" s="100">
        <v>44585.0</v>
      </c>
      <c r="M296" s="101">
        <v>0.4705902777777778</v>
      </c>
      <c r="P296" s="104" t="b">
        <f>IFNA(IF(VLOOKUP($A296,'Add from APT'!$AA$2:$AC826,3,FALSE)&gt;0,TRUE,FALSE),"ER - NOT IN APT")</f>
        <v>0</v>
      </c>
      <c r="Q296" s="105" t="str">
        <f>IF(ISLOGICAL(P296),IF(P296,"ER - REPS IN APT", IFNA(VLOOKUP($A296,RAW_APT!$A$3:$M826,7,FALSE),"ER - NOT IN APT")),P296)</f>
        <v>Result</v>
      </c>
      <c r="R296" s="106" t="b">
        <f t="shared" si="2"/>
        <v>1</v>
      </c>
      <c r="S296" s="107">
        <f t="shared" si="3"/>
        <v>1</v>
      </c>
      <c r="T296" s="143"/>
      <c r="U296" s="142"/>
      <c r="V296" s="142"/>
      <c r="W296" s="142"/>
      <c r="X296" s="110" t="b">
        <f t="shared" si="4"/>
        <v>0</v>
      </c>
      <c r="Y296" s="111" t="b">
        <v>0</v>
      </c>
      <c r="Z296" s="104" t="str">
        <f t="shared" si="5"/>
        <v/>
      </c>
      <c r="AA296" s="112" t="b">
        <f t="shared" si="6"/>
        <v>0</v>
      </c>
      <c r="AB296" s="142" t="b">
        <v>0</v>
      </c>
      <c r="AC296" s="140">
        <v>512.0</v>
      </c>
      <c r="AD296" s="141" t="b">
        <v>0</v>
      </c>
      <c r="AE296" s="115">
        <f t="shared" si="7"/>
        <v>132.65</v>
      </c>
      <c r="AF296" s="116" t="b">
        <f t="shared" si="8"/>
        <v>0</v>
      </c>
      <c r="AG296" s="105" t="b">
        <f t="shared" si="9"/>
        <v>0</v>
      </c>
      <c r="AH296" s="140"/>
      <c r="AI296" s="140"/>
      <c r="AJ296" s="140"/>
      <c r="AK296" s="117" t="str">
        <f t="shared" si="10"/>
        <v>Negative</v>
      </c>
      <c r="AL296" s="142"/>
      <c r="AM296" s="112" t="s">
        <v>261</v>
      </c>
      <c r="AN296" s="112" t="s">
        <v>363</v>
      </c>
      <c r="AO296" s="112" t="str">
        <f>IFERROR(__xludf.DUMMYFUNCTION("IF($AG296, ""DELETED"",TRIM(JOIN("" "",D296:E296)))"),"")</f>
        <v/>
      </c>
      <c r="AP296" s="112" t="str">
        <f t="shared" ref="AP296:AQ296" si="321">IF($AG296, "DELETED", TRIM(CONCATENATE(F296,I296,U296)))</f>
        <v/>
      </c>
      <c r="AQ296" s="112" t="str">
        <f t="shared" si="321"/>
        <v/>
      </c>
      <c r="AR296" s="112" t="str">
        <f>IFERROR(__xludf.DUMMYFUNCTION("IF($AG296, ""DELETED"", TRIM(JOIN("" "",AP296,AQ296)))"),"")</f>
        <v/>
      </c>
      <c r="AS296" s="118"/>
      <c r="AT296" s="110" t="b">
        <f t="shared" si="12"/>
        <v>0</v>
      </c>
      <c r="AU296" s="110" t="str">
        <f t="shared" si="13"/>
        <v/>
      </c>
      <c r="AV296" s="110" t="str">
        <f t="shared" si="14"/>
        <v/>
      </c>
      <c r="AW296" s="110" t="str">
        <f t="shared" si="15"/>
        <v/>
      </c>
      <c r="AX296" s="119" t="str">
        <f t="shared" si="16"/>
        <v/>
      </c>
      <c r="AY296" s="120"/>
      <c r="AZ296" s="121"/>
      <c r="BA296" s="122" t="str">
        <f t="shared" si="17"/>
        <v/>
      </c>
      <c r="BB296" s="34"/>
      <c r="BC296" s="121"/>
      <c r="BD296" s="136"/>
      <c r="BE296" s="125" t="str">
        <f t="shared" si="18"/>
        <v/>
      </c>
      <c r="BF296" s="126" t="str">
        <f t="shared" si="19"/>
        <v>MA1237__44585_0.378472222222222</v>
      </c>
      <c r="BG296" s="127" t="str">
        <f t="shared" si="20"/>
        <v/>
      </c>
      <c r="BH296" s="137" t="s">
        <v>1015</v>
      </c>
      <c r="BI296" s="128" t="str">
        <f t="shared" si="21"/>
        <v>MA1043DEL</v>
      </c>
      <c r="BJ296" s="129" t="b">
        <f t="shared" si="22"/>
        <v>0</v>
      </c>
      <c r="BK296" s="128" t="str">
        <f t="shared" si="23"/>
        <v/>
      </c>
      <c r="BL296" s="121"/>
      <c r="BM296" s="5" t="str">
        <f t="shared" si="24"/>
        <v>MISSING</v>
      </c>
      <c r="BN296" s="120" t="b">
        <f t="shared" si="25"/>
        <v>0</v>
      </c>
      <c r="BO296" s="131" t="b">
        <f t="shared" si="26"/>
        <v>1</v>
      </c>
      <c r="BP296" s="121"/>
      <c r="BQ296" s="132" t="str">
        <f>VLOOKUP(A296,RAW_APS!A$3:O826,15,FALSE)</f>
        <v/>
      </c>
      <c r="BR296" s="120" t="b">
        <f t="shared" si="27"/>
        <v>1</v>
      </c>
      <c r="BS296" s="121"/>
      <c r="BT296" s="138" t="s">
        <v>244</v>
      </c>
      <c r="BU296" s="10" t="b">
        <f t="shared" si="28"/>
        <v>1</v>
      </c>
      <c r="BV296" s="120"/>
      <c r="BW296" s="120"/>
      <c r="BX296" s="120"/>
      <c r="BY296" s="120"/>
      <c r="BZ296" s="120"/>
      <c r="CA296" s="120"/>
      <c r="CB296" s="120"/>
      <c r="CC296" s="120"/>
    </row>
    <row r="297">
      <c r="A297" s="2" t="s">
        <v>1016</v>
      </c>
      <c r="B297" s="100">
        <v>44585.0</v>
      </c>
      <c r="C297" s="101">
        <v>0.38686342592592593</v>
      </c>
      <c r="D297" s="102"/>
      <c r="E297" s="102"/>
      <c r="F297" s="102"/>
      <c r="G297" s="102"/>
      <c r="H297" s="102"/>
      <c r="I297" s="103"/>
      <c r="J297" s="103"/>
      <c r="K297" s="2" t="s">
        <v>52</v>
      </c>
      <c r="L297" s="100">
        <v>44587.0</v>
      </c>
      <c r="M297" s="101">
        <v>0.5008796296296296</v>
      </c>
      <c r="P297" s="104" t="b">
        <f>IFNA(IF(VLOOKUP($A297,'Add from APT'!$AA$2:$AC826,3,FALSE)&gt;0,TRUE,FALSE),"ER - NOT IN APT")</f>
        <v>0</v>
      </c>
      <c r="Q297" s="105" t="str">
        <f>IF(ISLOGICAL(P297),IF(P297,"ER - REPS IN APT", IFNA(VLOOKUP($A297,RAW_APT!$A$3:$M826,7,FALSE),"ER - NOT IN APT")),P297)</f>
        <v>Result</v>
      </c>
      <c r="R297" s="106" t="b">
        <f t="shared" si="2"/>
        <v>1</v>
      </c>
      <c r="S297" s="107">
        <f t="shared" si="3"/>
        <v>1</v>
      </c>
      <c r="T297" s="143"/>
      <c r="U297" s="142"/>
      <c r="V297" s="142"/>
      <c r="W297" s="142"/>
      <c r="X297" s="110" t="b">
        <f t="shared" si="4"/>
        <v>0</v>
      </c>
      <c r="Y297" s="111" t="b">
        <v>0</v>
      </c>
      <c r="Z297" s="104" t="str">
        <f t="shared" si="5"/>
        <v/>
      </c>
      <c r="AA297" s="112" t="b">
        <f t="shared" si="6"/>
        <v>0</v>
      </c>
      <c r="AB297" s="142" t="b">
        <v>0</v>
      </c>
      <c r="AC297" s="140">
        <v>511.0</v>
      </c>
      <c r="AD297" s="141" t="b">
        <v>0</v>
      </c>
      <c r="AE297" s="115" t="str">
        <f t="shared" si="7"/>
        <v/>
      </c>
      <c r="AF297" s="116" t="b">
        <f t="shared" si="8"/>
        <v>0</v>
      </c>
      <c r="AG297" s="105" t="b">
        <f t="shared" si="9"/>
        <v>0</v>
      </c>
      <c r="AH297" s="140"/>
      <c r="AI297" s="140"/>
      <c r="AJ297" s="140"/>
      <c r="AK297" s="117" t="str">
        <f t="shared" si="10"/>
        <v>Positive</v>
      </c>
      <c r="AL297" s="142"/>
      <c r="AM297" s="112" t="s">
        <v>261</v>
      </c>
      <c r="AN297" s="112" t="s">
        <v>893</v>
      </c>
      <c r="AO297" s="112" t="str">
        <f>IFERROR(__xludf.DUMMYFUNCTION("IF($AG297, ""DELETED"",TRIM(JOIN("" "",D297:E297)))"),"")</f>
        <v/>
      </c>
      <c r="AP297" s="112" t="str">
        <f t="shared" ref="AP297:AQ297" si="322">IF($AG297, "DELETED", TRIM(CONCATENATE(F297,I297,U297)))</f>
        <v/>
      </c>
      <c r="AQ297" s="112" t="str">
        <f t="shared" si="322"/>
        <v/>
      </c>
      <c r="AR297" s="112" t="str">
        <f>IFERROR(__xludf.DUMMYFUNCTION("IF($AG297, ""DELETED"", TRIM(JOIN("" "",AP297,AQ297)))"),"")</f>
        <v/>
      </c>
      <c r="AS297" s="118"/>
      <c r="AT297" s="110" t="b">
        <f t="shared" si="12"/>
        <v>0</v>
      </c>
      <c r="AU297" s="110" t="str">
        <f t="shared" si="13"/>
        <v/>
      </c>
      <c r="AV297" s="110" t="str">
        <f t="shared" si="14"/>
        <v/>
      </c>
      <c r="AW297" s="110" t="str">
        <f t="shared" si="15"/>
        <v/>
      </c>
      <c r="AX297" s="119" t="str">
        <f t="shared" si="16"/>
        <v/>
      </c>
      <c r="AY297" s="120"/>
      <c r="AZ297" s="121"/>
      <c r="BA297" s="122" t="str">
        <f t="shared" si="17"/>
        <v/>
      </c>
      <c r="BB297" s="34"/>
      <c r="BC297" s="121"/>
      <c r="BD297" s="136"/>
      <c r="BE297" s="125" t="str">
        <f t="shared" si="18"/>
        <v/>
      </c>
      <c r="BF297" s="126" t="str">
        <f t="shared" si="19"/>
        <v>MA1011__44585_0.386863425925926</v>
      </c>
      <c r="BG297" s="127" t="str">
        <f t="shared" si="20"/>
        <v/>
      </c>
      <c r="BH297" s="137" t="s">
        <v>1017</v>
      </c>
      <c r="BI297" s="128" t="str">
        <f t="shared" si="21"/>
        <v>MA1044</v>
      </c>
      <c r="BJ297" s="129" t="b">
        <f t="shared" si="22"/>
        <v>0</v>
      </c>
      <c r="BK297" s="128" t="str">
        <f t="shared" si="23"/>
        <v/>
      </c>
      <c r="BL297" s="121"/>
      <c r="BM297" s="5" t="str">
        <f t="shared" si="24"/>
        <v>MISSING</v>
      </c>
      <c r="BN297" s="120" t="b">
        <f t="shared" si="25"/>
        <v>0</v>
      </c>
      <c r="BO297" s="131" t="b">
        <f t="shared" si="26"/>
        <v>1</v>
      </c>
      <c r="BP297" s="121"/>
      <c r="BQ297" s="132" t="str">
        <f>VLOOKUP(A297,RAW_APS!A$3:O826,15,FALSE)</f>
        <v/>
      </c>
      <c r="BR297" s="120" t="b">
        <f t="shared" si="27"/>
        <v>1</v>
      </c>
      <c r="BS297" s="121"/>
      <c r="BT297" s="138" t="s">
        <v>52</v>
      </c>
      <c r="BU297" s="10" t="b">
        <f t="shared" si="28"/>
        <v>1</v>
      </c>
      <c r="BV297" s="120"/>
      <c r="BW297" s="120"/>
      <c r="BX297" s="120"/>
      <c r="BY297" s="120"/>
      <c r="BZ297" s="120"/>
      <c r="CA297" s="120"/>
      <c r="CB297" s="120"/>
      <c r="CC297" s="120"/>
    </row>
    <row r="298">
      <c r="A298" s="2" t="s">
        <v>1018</v>
      </c>
      <c r="B298" s="100">
        <v>44585.0</v>
      </c>
      <c r="C298" s="101">
        <v>0.38797453703703705</v>
      </c>
      <c r="D298" s="102"/>
      <c r="E298" s="102"/>
      <c r="F298" s="102"/>
      <c r="G298" s="102"/>
      <c r="H298" s="102"/>
      <c r="I298" s="103"/>
      <c r="J298" s="103"/>
      <c r="K298" s="2" t="s">
        <v>52</v>
      </c>
      <c r="L298" s="100">
        <v>44587.0</v>
      </c>
      <c r="M298" s="101">
        <v>0.5008796296296296</v>
      </c>
      <c r="P298" s="104" t="b">
        <f>IFNA(IF(VLOOKUP($A298,'Add from APT'!$AA$2:$AC826,3,FALSE)&gt;0,TRUE,FALSE),"ER - NOT IN APT")</f>
        <v>0</v>
      </c>
      <c r="Q298" s="105" t="str">
        <f>IF(ISLOGICAL(P298),IF(P298,"ER - REPS IN APT", IFNA(VLOOKUP($A298,RAW_APT!$A$3:$M826,7,FALSE),"ER - NOT IN APT")),P298)</f>
        <v>Result</v>
      </c>
      <c r="R298" s="106" t="b">
        <f t="shared" si="2"/>
        <v>1</v>
      </c>
      <c r="S298" s="107">
        <f t="shared" si="3"/>
        <v>1</v>
      </c>
      <c r="T298" s="143"/>
      <c r="U298" s="142"/>
      <c r="V298" s="142"/>
      <c r="W298" s="142"/>
      <c r="X298" s="110" t="b">
        <f t="shared" si="4"/>
        <v>0</v>
      </c>
      <c r="Y298" s="111" t="b">
        <v>0</v>
      </c>
      <c r="Z298" s="104" t="str">
        <f t="shared" si="5"/>
        <v/>
      </c>
      <c r="AA298" s="112" t="b">
        <f t="shared" si="6"/>
        <v>0</v>
      </c>
      <c r="AB298" s="142" t="b">
        <v>0</v>
      </c>
      <c r="AC298" s="140">
        <v>510.0</v>
      </c>
      <c r="AD298" s="141" t="b">
        <v>0</v>
      </c>
      <c r="AE298" s="115" t="str">
        <f t="shared" si="7"/>
        <v/>
      </c>
      <c r="AF298" s="116" t="b">
        <f t="shared" si="8"/>
        <v>0</v>
      </c>
      <c r="AG298" s="105" t="b">
        <f t="shared" si="9"/>
        <v>0</v>
      </c>
      <c r="AH298" s="140"/>
      <c r="AI298" s="140"/>
      <c r="AJ298" s="140"/>
      <c r="AK298" s="117" t="str">
        <f t="shared" si="10"/>
        <v>Positive</v>
      </c>
      <c r="AL298" s="142"/>
      <c r="AM298" s="112" t="s">
        <v>261</v>
      </c>
      <c r="AN298" s="112" t="s">
        <v>944</v>
      </c>
      <c r="AO298" s="112" t="str">
        <f>IFERROR(__xludf.DUMMYFUNCTION("IF($AG298, ""DELETED"",TRIM(JOIN("" "",D298:E298)))"),"")</f>
        <v/>
      </c>
      <c r="AP298" s="112" t="str">
        <f t="shared" ref="AP298:AQ298" si="323">IF($AG298, "DELETED", TRIM(CONCATENATE(F298,I298,U298)))</f>
        <v/>
      </c>
      <c r="AQ298" s="112" t="str">
        <f t="shared" si="323"/>
        <v/>
      </c>
      <c r="AR298" s="112" t="str">
        <f>IFERROR(__xludf.DUMMYFUNCTION("IF($AG298, ""DELETED"", TRIM(JOIN("" "",AP298,AQ298)))"),"")</f>
        <v/>
      </c>
      <c r="AS298" s="118"/>
      <c r="AT298" s="110" t="b">
        <f t="shared" si="12"/>
        <v>0</v>
      </c>
      <c r="AU298" s="110" t="str">
        <f t="shared" si="13"/>
        <v/>
      </c>
      <c r="AV298" s="110" t="str">
        <f t="shared" si="14"/>
        <v/>
      </c>
      <c r="AW298" s="110" t="str">
        <f t="shared" si="15"/>
        <v/>
      </c>
      <c r="AX298" s="119" t="str">
        <f t="shared" si="16"/>
        <v/>
      </c>
      <c r="AY298" s="120"/>
      <c r="AZ298" s="121"/>
      <c r="BA298" s="122" t="str">
        <f t="shared" si="17"/>
        <v/>
      </c>
      <c r="BB298" s="34"/>
      <c r="BC298" s="121"/>
      <c r="BD298" s="136"/>
      <c r="BE298" s="125" t="str">
        <f t="shared" si="18"/>
        <v/>
      </c>
      <c r="BF298" s="126" t="str">
        <f t="shared" si="19"/>
        <v>MA598__44585_0.387974537037037</v>
      </c>
      <c r="BG298" s="127" t="str">
        <f t="shared" si="20"/>
        <v/>
      </c>
      <c r="BH298" s="137" t="s">
        <v>1019</v>
      </c>
      <c r="BI298" s="128" t="str">
        <f t="shared" si="21"/>
        <v>MA1045</v>
      </c>
      <c r="BJ298" s="129" t="b">
        <f t="shared" si="22"/>
        <v>0</v>
      </c>
      <c r="BK298" s="128" t="str">
        <f t="shared" si="23"/>
        <v/>
      </c>
      <c r="BL298" s="121"/>
      <c r="BM298" s="5" t="str">
        <f t="shared" si="24"/>
        <v>MISSING</v>
      </c>
      <c r="BN298" s="120" t="b">
        <f t="shared" si="25"/>
        <v>0</v>
      </c>
      <c r="BO298" s="131" t="b">
        <f t="shared" si="26"/>
        <v>1</v>
      </c>
      <c r="BP298" s="121"/>
      <c r="BQ298" s="132" t="str">
        <f>VLOOKUP(A298,RAW_APS!A$3:O826,15,FALSE)</f>
        <v/>
      </c>
      <c r="BR298" s="120" t="b">
        <f t="shared" si="27"/>
        <v>1</v>
      </c>
      <c r="BS298" s="121"/>
      <c r="BT298" s="138" t="s">
        <v>52</v>
      </c>
      <c r="BU298" s="10" t="b">
        <f t="shared" si="28"/>
        <v>1</v>
      </c>
      <c r="BV298" s="120"/>
      <c r="BW298" s="120"/>
      <c r="BX298" s="120"/>
      <c r="BY298" s="120"/>
      <c r="BZ298" s="120"/>
      <c r="CA298" s="120"/>
      <c r="CB298" s="120"/>
      <c r="CC298" s="120"/>
    </row>
    <row r="299">
      <c r="A299" s="2" t="s">
        <v>1020</v>
      </c>
      <c r="B299" s="100">
        <v>44585.0</v>
      </c>
      <c r="C299" s="101">
        <v>0.4306712962962963</v>
      </c>
      <c r="D299" s="102"/>
      <c r="E299" s="102"/>
      <c r="F299" s="103"/>
      <c r="G299" s="148"/>
      <c r="H299" s="148"/>
      <c r="I299" s="103"/>
      <c r="J299" s="103"/>
      <c r="K299" s="2" t="s">
        <v>244</v>
      </c>
      <c r="L299" s="100">
        <v>44585.0</v>
      </c>
      <c r="M299" s="101">
        <v>0.4705902777777778</v>
      </c>
      <c r="P299" s="104" t="b">
        <f>IFNA(IF(VLOOKUP($A299,'Add from APT'!$AA$2:$AC826,3,FALSE)&gt;0,TRUE,FALSE),"ER - NOT IN APT")</f>
        <v>0</v>
      </c>
      <c r="Q299" s="105" t="str">
        <f>IF(ISLOGICAL(P299),IF(P299,"ER - REPS IN APT", IFNA(VLOOKUP($A299,RAW_APT!$A$3:$M826,7,FALSE),"ER - NOT IN APT")),P299)</f>
        <v>Result</v>
      </c>
      <c r="R299" s="106" t="b">
        <f t="shared" si="2"/>
        <v>1</v>
      </c>
      <c r="S299" s="107">
        <f t="shared" si="3"/>
        <v>1</v>
      </c>
      <c r="T299" s="140">
        <v>0.0</v>
      </c>
      <c r="V299" s="142"/>
      <c r="W299" s="141"/>
      <c r="X299" s="110" t="b">
        <f t="shared" si="4"/>
        <v>0</v>
      </c>
      <c r="Y299" s="111" t="b">
        <v>0</v>
      </c>
      <c r="Z299" s="104" t="str">
        <f t="shared" si="5"/>
        <v/>
      </c>
      <c r="AA299" s="112" t="b">
        <f t="shared" si="6"/>
        <v>0</v>
      </c>
      <c r="AB299" s="142" t="b">
        <v>0</v>
      </c>
      <c r="AC299" s="140">
        <v>509.0</v>
      </c>
      <c r="AD299" s="141" t="b">
        <v>0</v>
      </c>
      <c r="AE299" s="115">
        <f t="shared" si="7"/>
        <v>57.48333333</v>
      </c>
      <c r="AF299" s="116" t="b">
        <f t="shared" si="8"/>
        <v>0</v>
      </c>
      <c r="AG299" s="105" t="b">
        <f t="shared" si="9"/>
        <v>0</v>
      </c>
      <c r="AH299" s="140"/>
      <c r="AI299" s="140"/>
      <c r="AJ299" s="140"/>
      <c r="AK299" s="117" t="str">
        <f t="shared" si="10"/>
        <v>Negative</v>
      </c>
      <c r="AL299" s="142"/>
      <c r="AM299" s="112" t="s">
        <v>261</v>
      </c>
      <c r="AN299" s="112" t="s">
        <v>1021</v>
      </c>
      <c r="AO299" s="112" t="str">
        <f>IFERROR(__xludf.DUMMYFUNCTION("IF($AG299, ""DELETED"",TRIM(JOIN("" "",D299:E299)))"),"")</f>
        <v/>
      </c>
      <c r="AP299" s="112" t="str">
        <f t="shared" ref="AP299:AQ299" si="324">IF($AG299, "DELETED", TRIM(CONCATENATE(F299,I299,U299)))</f>
        <v/>
      </c>
      <c r="AQ299" s="112" t="str">
        <f t="shared" si="324"/>
        <v/>
      </c>
      <c r="AR299" s="112" t="str">
        <f>IFERROR(__xludf.DUMMYFUNCTION("IF($AG299, ""DELETED"", TRIM(JOIN("" "",AP299,AQ299)))"),"")</f>
        <v/>
      </c>
      <c r="AS299" s="118"/>
      <c r="AT299" s="110" t="b">
        <f t="shared" si="12"/>
        <v>0</v>
      </c>
      <c r="AU299" s="110" t="str">
        <f t="shared" si="13"/>
        <v/>
      </c>
      <c r="AV299" s="110" t="str">
        <f t="shared" si="14"/>
        <v/>
      </c>
      <c r="AW299" s="110" t="str">
        <f t="shared" si="15"/>
        <v/>
      </c>
      <c r="AX299" s="119" t="str">
        <f t="shared" si="16"/>
        <v/>
      </c>
      <c r="AY299" s="120"/>
      <c r="AZ299" s="121"/>
      <c r="BA299" s="122" t="str">
        <f t="shared" si="17"/>
        <v/>
      </c>
      <c r="BB299" s="34"/>
      <c r="BC299" s="121"/>
      <c r="BD299" s="136"/>
      <c r="BE299" s="125" t="str">
        <f t="shared" si="18"/>
        <v/>
      </c>
      <c r="BF299" s="126" t="str">
        <f t="shared" si="19"/>
        <v>MAX103__44585_0.430671296296296</v>
      </c>
      <c r="BG299" s="127" t="str">
        <f t="shared" si="20"/>
        <v/>
      </c>
      <c r="BH299" s="137" t="s">
        <v>1022</v>
      </c>
      <c r="BI299" s="128" t="str">
        <f t="shared" si="21"/>
        <v>MA1047</v>
      </c>
      <c r="BJ299" s="129" t="b">
        <f t="shared" si="22"/>
        <v>0</v>
      </c>
      <c r="BK299" s="128" t="str">
        <f t="shared" si="23"/>
        <v/>
      </c>
      <c r="BL299" s="121"/>
      <c r="BM299" s="5" t="str">
        <f t="shared" si="24"/>
        <v>MISSING</v>
      </c>
      <c r="BN299" s="120" t="b">
        <f t="shared" si="25"/>
        <v>0</v>
      </c>
      <c r="BO299" s="131" t="b">
        <f t="shared" si="26"/>
        <v>1</v>
      </c>
      <c r="BP299" s="121"/>
      <c r="BQ299" s="132" t="str">
        <f>VLOOKUP(A299,RAW_APS!A$3:O826,15,FALSE)</f>
        <v/>
      </c>
      <c r="BR299" s="120" t="b">
        <f t="shared" si="27"/>
        <v>1</v>
      </c>
      <c r="BS299" s="121"/>
      <c r="BT299" s="138" t="s">
        <v>244</v>
      </c>
      <c r="BU299" s="10" t="b">
        <f t="shared" si="28"/>
        <v>1</v>
      </c>
      <c r="BV299" s="120"/>
      <c r="BW299" s="120"/>
      <c r="BX299" s="120"/>
      <c r="BY299" s="120"/>
      <c r="BZ299" s="120"/>
      <c r="CA299" s="120"/>
      <c r="CB299" s="120"/>
      <c r="CC299" s="120"/>
    </row>
    <row r="300">
      <c r="A300" s="2" t="s">
        <v>1023</v>
      </c>
      <c r="B300" s="100">
        <v>44585.0</v>
      </c>
      <c r="C300" s="101">
        <v>0.43105324074074075</v>
      </c>
      <c r="D300" s="102"/>
      <c r="E300" s="102"/>
      <c r="F300" s="102"/>
      <c r="G300" s="102"/>
      <c r="H300" s="102"/>
      <c r="I300" s="103"/>
      <c r="J300" s="103"/>
      <c r="K300" s="2" t="s">
        <v>244</v>
      </c>
      <c r="L300" s="100">
        <v>44585.0</v>
      </c>
      <c r="M300" s="101">
        <v>0.4705902777777778</v>
      </c>
      <c r="P300" s="104" t="b">
        <f>IFNA(IF(VLOOKUP($A300,'Add from APT'!$AA$2:$AC826,3,FALSE)&gt;0,TRUE,FALSE),"ER - NOT IN APT")</f>
        <v>0</v>
      </c>
      <c r="Q300" s="105" t="str">
        <f>IF(ISLOGICAL(P300),IF(P300,"ER - REPS IN APT", IFNA(VLOOKUP($A300,RAW_APT!$A$3:$M826,7,FALSE),"ER - NOT IN APT")),P300)</f>
        <v>Result</v>
      </c>
      <c r="R300" s="106" t="b">
        <f t="shared" si="2"/>
        <v>1</v>
      </c>
      <c r="S300" s="107">
        <f t="shared" si="3"/>
        <v>1</v>
      </c>
      <c r="T300" s="143"/>
      <c r="U300" s="142"/>
      <c r="V300" s="142"/>
      <c r="W300" s="142"/>
      <c r="X300" s="110" t="b">
        <f t="shared" si="4"/>
        <v>0</v>
      </c>
      <c r="Y300" s="111" t="b">
        <v>0</v>
      </c>
      <c r="Z300" s="104" t="str">
        <f t="shared" si="5"/>
        <v/>
      </c>
      <c r="AA300" s="112" t="b">
        <f t="shared" si="6"/>
        <v>0</v>
      </c>
      <c r="AB300" s="142" t="b">
        <v>0</v>
      </c>
      <c r="AC300" s="140">
        <v>508.0</v>
      </c>
      <c r="AD300" s="141" t="b">
        <v>0</v>
      </c>
      <c r="AE300" s="115">
        <f t="shared" si="7"/>
        <v>56.93333333</v>
      </c>
      <c r="AF300" s="116" t="b">
        <f t="shared" si="8"/>
        <v>0</v>
      </c>
      <c r="AG300" s="105" t="b">
        <f t="shared" si="9"/>
        <v>0</v>
      </c>
      <c r="AH300" s="140"/>
      <c r="AI300" s="140"/>
      <c r="AJ300" s="140"/>
      <c r="AK300" s="117" t="str">
        <f t="shared" si="10"/>
        <v>Negative</v>
      </c>
      <c r="AL300" s="142"/>
      <c r="AM300" s="112" t="s">
        <v>261</v>
      </c>
      <c r="AN300" s="112" t="s">
        <v>937</v>
      </c>
      <c r="AO300" s="112" t="str">
        <f>IFERROR(__xludf.DUMMYFUNCTION("IF($AG300, ""DELETED"",TRIM(JOIN("" "",D300:E300)))"),"")</f>
        <v/>
      </c>
      <c r="AP300" s="112" t="str">
        <f t="shared" ref="AP300:AQ300" si="325">IF($AG300, "DELETED", TRIM(CONCATENATE(F300,I300,U300)))</f>
        <v/>
      </c>
      <c r="AQ300" s="112" t="str">
        <f t="shared" si="325"/>
        <v/>
      </c>
      <c r="AR300" s="112" t="str">
        <f>IFERROR(__xludf.DUMMYFUNCTION("IF($AG300, ""DELETED"", TRIM(JOIN("" "",AP300,AQ300)))"),"")</f>
        <v/>
      </c>
      <c r="AS300" s="118"/>
      <c r="AT300" s="110" t="b">
        <f t="shared" si="12"/>
        <v>0</v>
      </c>
      <c r="AU300" s="110" t="str">
        <f t="shared" si="13"/>
        <v/>
      </c>
      <c r="AV300" s="110" t="str">
        <f t="shared" si="14"/>
        <v/>
      </c>
      <c r="AW300" s="110" t="str">
        <f t="shared" si="15"/>
        <v/>
      </c>
      <c r="AX300" s="119" t="str">
        <f t="shared" si="16"/>
        <v/>
      </c>
      <c r="AY300" s="120"/>
      <c r="AZ300" s="121"/>
      <c r="BA300" s="122" t="str">
        <f t="shared" si="17"/>
        <v/>
      </c>
      <c r="BB300" s="34"/>
      <c r="BC300" s="121"/>
      <c r="BD300" s="136"/>
      <c r="BE300" s="125" t="str">
        <f t="shared" si="18"/>
        <v/>
      </c>
      <c r="BF300" s="126" t="str">
        <f t="shared" si="19"/>
        <v>MAX109__44585_0.431053240740741</v>
      </c>
      <c r="BG300" s="127" t="str">
        <f t="shared" si="20"/>
        <v/>
      </c>
      <c r="BH300" s="137" t="s">
        <v>1024</v>
      </c>
      <c r="BI300" s="128" t="str">
        <f t="shared" si="21"/>
        <v>MA1048</v>
      </c>
      <c r="BJ300" s="129" t="b">
        <f t="shared" si="22"/>
        <v>0</v>
      </c>
      <c r="BK300" s="128" t="str">
        <f t="shared" si="23"/>
        <v/>
      </c>
      <c r="BL300" s="121"/>
      <c r="BM300" s="5" t="str">
        <f t="shared" si="24"/>
        <v>MISSING</v>
      </c>
      <c r="BN300" s="120" t="b">
        <f t="shared" si="25"/>
        <v>0</v>
      </c>
      <c r="BO300" s="131" t="b">
        <f t="shared" si="26"/>
        <v>1</v>
      </c>
      <c r="BP300" s="121"/>
      <c r="BQ300" s="132" t="str">
        <f>VLOOKUP(A300,RAW_APS!A$3:O826,15,FALSE)</f>
        <v/>
      </c>
      <c r="BR300" s="120" t="b">
        <f t="shared" si="27"/>
        <v>1</v>
      </c>
      <c r="BS300" s="121"/>
      <c r="BT300" s="138" t="s">
        <v>244</v>
      </c>
      <c r="BU300" s="10" t="b">
        <f t="shared" si="28"/>
        <v>1</v>
      </c>
      <c r="BV300" s="120"/>
      <c r="BW300" s="120"/>
      <c r="BX300" s="120"/>
      <c r="BY300" s="120"/>
      <c r="BZ300" s="120"/>
      <c r="CA300" s="120"/>
      <c r="CB300" s="120"/>
      <c r="CC300" s="120"/>
    </row>
    <row r="301">
      <c r="A301" s="2" t="s">
        <v>1025</v>
      </c>
      <c r="B301" s="100">
        <v>44587.0</v>
      </c>
      <c r="C301" s="101">
        <v>0.29574074074074075</v>
      </c>
      <c r="D301" s="102"/>
      <c r="E301" s="102"/>
      <c r="F301" s="102"/>
      <c r="G301" s="102"/>
      <c r="H301" s="102"/>
      <c r="I301" s="103"/>
      <c r="J301" s="103"/>
      <c r="K301" s="2" t="s">
        <v>244</v>
      </c>
      <c r="L301" s="100">
        <v>44587.0</v>
      </c>
      <c r="M301" s="101">
        <v>0.5005439814814815</v>
      </c>
      <c r="P301" s="104" t="b">
        <f>IFNA(IF(VLOOKUP($A301,'Add from APT'!$AA$2:$AC826,3,FALSE)&gt;0,TRUE,FALSE),"ER - NOT IN APT")</f>
        <v>0</v>
      </c>
      <c r="Q301" s="105" t="str">
        <f>IF(ISLOGICAL(P301),IF(P301,"ER - REPS IN APT", IFNA(VLOOKUP($A301,RAW_APT!$A$3:$M826,7,FALSE),"ER - NOT IN APT")),P301)</f>
        <v>Result</v>
      </c>
      <c r="R301" s="106" t="b">
        <f t="shared" si="2"/>
        <v>1</v>
      </c>
      <c r="S301" s="107">
        <f t="shared" si="3"/>
        <v>1</v>
      </c>
      <c r="T301" s="143"/>
      <c r="U301" s="142"/>
      <c r="V301" s="142"/>
      <c r="W301" s="142"/>
      <c r="X301" s="110" t="b">
        <f t="shared" si="4"/>
        <v>0</v>
      </c>
      <c r="Y301" s="111" t="b">
        <v>0</v>
      </c>
      <c r="Z301" s="104" t="str">
        <f t="shared" si="5"/>
        <v/>
      </c>
      <c r="AA301" s="112" t="b">
        <f t="shared" si="6"/>
        <v>0</v>
      </c>
      <c r="AB301" s="142" t="b">
        <v>0</v>
      </c>
      <c r="AC301" s="140">
        <v>507.0</v>
      </c>
      <c r="AD301" s="141" t="b">
        <v>0</v>
      </c>
      <c r="AE301" s="115">
        <f t="shared" si="7"/>
        <v>294.9166667</v>
      </c>
      <c r="AF301" s="116" t="b">
        <f t="shared" si="8"/>
        <v>0</v>
      </c>
      <c r="AG301" s="105" t="b">
        <f t="shared" si="9"/>
        <v>0</v>
      </c>
      <c r="AH301" s="140"/>
      <c r="AI301" s="140"/>
      <c r="AJ301" s="140"/>
      <c r="AK301" s="117" t="str">
        <f t="shared" si="10"/>
        <v>Negative</v>
      </c>
      <c r="AL301" s="142"/>
      <c r="AM301" s="112" t="s">
        <v>261</v>
      </c>
      <c r="AN301" s="112" t="s">
        <v>262</v>
      </c>
      <c r="AO301" s="112" t="str">
        <f>IFERROR(__xludf.DUMMYFUNCTION("IF($AG301, ""DELETED"",TRIM(JOIN("" "",D301:E301)))"),"")</f>
        <v/>
      </c>
      <c r="AP301" s="112" t="str">
        <f t="shared" ref="AP301:AQ301" si="326">IF($AG301, "DELETED", TRIM(CONCATENATE(F301,I301,U301)))</f>
        <v/>
      </c>
      <c r="AQ301" s="112" t="str">
        <f t="shared" si="326"/>
        <v/>
      </c>
      <c r="AR301" s="112" t="str">
        <f>IFERROR(__xludf.DUMMYFUNCTION("IF($AG301, ""DELETED"", TRIM(JOIN("" "",AP301,AQ301)))"),"")</f>
        <v/>
      </c>
      <c r="AS301" s="118"/>
      <c r="AT301" s="110" t="b">
        <f t="shared" si="12"/>
        <v>0</v>
      </c>
      <c r="AU301" s="110" t="str">
        <f t="shared" si="13"/>
        <v/>
      </c>
      <c r="AV301" s="110" t="str">
        <f t="shared" si="14"/>
        <v/>
      </c>
      <c r="AW301" s="110" t="str">
        <f t="shared" si="15"/>
        <v/>
      </c>
      <c r="AX301" s="119" t="str">
        <f t="shared" si="16"/>
        <v/>
      </c>
      <c r="AY301" s="120"/>
      <c r="AZ301" s="121"/>
      <c r="BA301" s="122" t="str">
        <f t="shared" si="17"/>
        <v/>
      </c>
      <c r="BB301" s="34"/>
      <c r="BC301" s="121"/>
      <c r="BD301" s="136"/>
      <c r="BE301" s="125" t="str">
        <f t="shared" si="18"/>
        <v/>
      </c>
      <c r="BF301" s="126" t="str">
        <f t="shared" si="19"/>
        <v>MAX137__44587_0.295740740740741</v>
      </c>
      <c r="BG301" s="127" t="str">
        <f t="shared" si="20"/>
        <v/>
      </c>
      <c r="BH301" s="137" t="s">
        <v>1026</v>
      </c>
      <c r="BI301" s="128" t="str">
        <f t="shared" si="21"/>
        <v>MA1049</v>
      </c>
      <c r="BJ301" s="129" t="b">
        <f t="shared" si="22"/>
        <v>0</v>
      </c>
      <c r="BK301" s="128" t="str">
        <f t="shared" si="23"/>
        <v/>
      </c>
      <c r="BL301" s="121"/>
      <c r="BM301" s="5" t="str">
        <f t="shared" si="24"/>
        <v>MISSING</v>
      </c>
      <c r="BN301" s="120" t="b">
        <f t="shared" si="25"/>
        <v>0</v>
      </c>
      <c r="BO301" s="131" t="b">
        <f t="shared" si="26"/>
        <v>1</v>
      </c>
      <c r="BP301" s="121"/>
      <c r="BQ301" s="132" t="str">
        <f>VLOOKUP(A301,RAW_APS!A$3:O826,15,FALSE)</f>
        <v/>
      </c>
      <c r="BR301" s="120" t="b">
        <f t="shared" si="27"/>
        <v>1</v>
      </c>
      <c r="BS301" s="121"/>
      <c r="BT301" s="138" t="s">
        <v>244</v>
      </c>
      <c r="BU301" s="10" t="b">
        <f t="shared" si="28"/>
        <v>1</v>
      </c>
      <c r="BV301" s="120"/>
      <c r="BW301" s="120"/>
      <c r="BX301" s="120"/>
      <c r="BY301" s="120"/>
      <c r="BZ301" s="120"/>
      <c r="CA301" s="120"/>
      <c r="CB301" s="120"/>
      <c r="CC301" s="120"/>
    </row>
    <row r="302">
      <c r="A302" s="2" t="s">
        <v>1027</v>
      </c>
      <c r="B302" s="100">
        <v>44587.0</v>
      </c>
      <c r="C302" s="101">
        <v>0.2965162037037037</v>
      </c>
      <c r="D302" s="102"/>
      <c r="E302" s="102"/>
      <c r="F302" s="157"/>
      <c r="G302" s="139"/>
      <c r="H302" s="139"/>
      <c r="I302" s="103"/>
      <c r="J302" s="103"/>
      <c r="K302" s="2" t="s">
        <v>244</v>
      </c>
      <c r="L302" s="100">
        <v>44587.0</v>
      </c>
      <c r="M302" s="101">
        <v>0.5005439814814815</v>
      </c>
      <c r="P302" s="104" t="b">
        <f>IFNA(IF(VLOOKUP($A302,'Add from APT'!$AA$2:$AC826,3,FALSE)&gt;0,TRUE,FALSE),"ER - NOT IN APT")</f>
        <v>0</v>
      </c>
      <c r="Q302" s="105" t="str">
        <f>IF(ISLOGICAL(P302),IF(P302,"ER - REPS IN APT", IFNA(VLOOKUP($A302,RAW_APT!$A$3:$M826,7,FALSE),"ER - NOT IN APT")),P302)</f>
        <v>Result</v>
      </c>
      <c r="R302" s="106" t="b">
        <f t="shared" si="2"/>
        <v>1</v>
      </c>
      <c r="S302" s="107">
        <f t="shared" si="3"/>
        <v>1</v>
      </c>
      <c r="T302" s="140">
        <v>0.0</v>
      </c>
      <c r="U302" s="158"/>
      <c r="V302" s="141"/>
      <c r="W302" s="141"/>
      <c r="X302" s="110" t="b">
        <f t="shared" si="4"/>
        <v>0</v>
      </c>
      <c r="Y302" s="111" t="b">
        <v>0</v>
      </c>
      <c r="Z302" s="104" t="str">
        <f t="shared" si="5"/>
        <v/>
      </c>
      <c r="AA302" s="112" t="b">
        <f t="shared" si="6"/>
        <v>0</v>
      </c>
      <c r="AB302" s="142" t="b">
        <v>0</v>
      </c>
      <c r="AC302" s="140">
        <v>506.0</v>
      </c>
      <c r="AD302" s="141" t="b">
        <v>0</v>
      </c>
      <c r="AE302" s="115">
        <f t="shared" si="7"/>
        <v>293.8</v>
      </c>
      <c r="AF302" s="116" t="b">
        <f t="shared" si="8"/>
        <v>0</v>
      </c>
      <c r="AG302" s="105" t="b">
        <f t="shared" si="9"/>
        <v>0</v>
      </c>
      <c r="AH302" s="140"/>
      <c r="AI302" s="140"/>
      <c r="AJ302" s="140"/>
      <c r="AK302" s="117" t="str">
        <f t="shared" si="10"/>
        <v>Negative</v>
      </c>
      <c r="AL302" s="142"/>
      <c r="AM302" s="112" t="s">
        <v>261</v>
      </c>
      <c r="AN302" s="112" t="s">
        <v>708</v>
      </c>
      <c r="AO302" s="112" t="str">
        <f>IFERROR(__xludf.DUMMYFUNCTION("IF($AG302, ""DELETED"",TRIM(JOIN("" "",D302:E302)))"),"")</f>
        <v/>
      </c>
      <c r="AP302" s="112" t="str">
        <f t="shared" ref="AP302:AQ302" si="327">IF($AG302, "DELETED", TRIM(CONCATENATE(F302,I302,U302)))</f>
        <v/>
      </c>
      <c r="AQ302" s="112" t="str">
        <f t="shared" si="327"/>
        <v/>
      </c>
      <c r="AR302" s="112" t="str">
        <f>IFERROR(__xludf.DUMMYFUNCTION("IF($AG302, ""DELETED"", TRIM(JOIN("" "",AP302,AQ302)))"),"")</f>
        <v/>
      </c>
      <c r="AS302" s="118"/>
      <c r="AT302" s="110" t="b">
        <f t="shared" si="12"/>
        <v>0</v>
      </c>
      <c r="AU302" s="110" t="str">
        <f t="shared" si="13"/>
        <v/>
      </c>
      <c r="AV302" s="110" t="str">
        <f t="shared" si="14"/>
        <v/>
      </c>
      <c r="AW302" s="110" t="str">
        <f t="shared" si="15"/>
        <v/>
      </c>
      <c r="AX302" s="119" t="str">
        <f t="shared" si="16"/>
        <v/>
      </c>
      <c r="AY302" s="120"/>
      <c r="AZ302" s="121"/>
      <c r="BA302" s="122" t="str">
        <f t="shared" si="17"/>
        <v/>
      </c>
      <c r="BB302" s="34"/>
      <c r="BC302" s="121"/>
      <c r="BD302" s="136"/>
      <c r="BE302" s="125" t="str">
        <f t="shared" si="18"/>
        <v/>
      </c>
      <c r="BF302" s="126" t="str">
        <f t="shared" si="19"/>
        <v>MAX112__44587_0.296516203703704</v>
      </c>
      <c r="BG302" s="127" t="str">
        <f t="shared" si="20"/>
        <v/>
      </c>
      <c r="BH302" s="137" t="s">
        <v>1028</v>
      </c>
      <c r="BI302" s="128" t="str">
        <f t="shared" si="21"/>
        <v>MA1050</v>
      </c>
      <c r="BJ302" s="129" t="b">
        <f t="shared" si="22"/>
        <v>0</v>
      </c>
      <c r="BK302" s="128" t="str">
        <f t="shared" si="23"/>
        <v/>
      </c>
      <c r="BL302" s="121"/>
      <c r="BM302" s="5" t="str">
        <f t="shared" si="24"/>
        <v>MISSING</v>
      </c>
      <c r="BN302" s="120" t="b">
        <f t="shared" si="25"/>
        <v>0</v>
      </c>
      <c r="BO302" s="131" t="b">
        <f t="shared" si="26"/>
        <v>1</v>
      </c>
      <c r="BP302" s="121"/>
      <c r="BQ302" s="132" t="str">
        <f>VLOOKUP(A302,RAW_APS!A$3:O826,15,FALSE)</f>
        <v/>
      </c>
      <c r="BR302" s="120" t="b">
        <f t="shared" si="27"/>
        <v>1</v>
      </c>
      <c r="BS302" s="121"/>
      <c r="BT302" s="138" t="s">
        <v>244</v>
      </c>
      <c r="BU302" s="10" t="b">
        <f t="shared" si="28"/>
        <v>1</v>
      </c>
      <c r="BV302" s="120"/>
      <c r="BW302" s="120"/>
      <c r="BX302" s="120"/>
      <c r="BY302" s="120"/>
      <c r="BZ302" s="120"/>
      <c r="CA302" s="120"/>
      <c r="CB302" s="120"/>
      <c r="CC302" s="120"/>
    </row>
    <row r="303">
      <c r="A303" s="2" t="s">
        <v>1029</v>
      </c>
      <c r="B303" s="100">
        <v>44587.0</v>
      </c>
      <c r="C303" s="101">
        <v>0.3039351851851852</v>
      </c>
      <c r="D303" s="102"/>
      <c r="E303" s="102"/>
      <c r="F303" s="102"/>
      <c r="G303" s="102"/>
      <c r="H303" s="102"/>
      <c r="I303" s="103"/>
      <c r="J303" s="103"/>
      <c r="K303" s="2" t="s">
        <v>244</v>
      </c>
      <c r="L303" s="100">
        <v>44587.0</v>
      </c>
      <c r="M303" s="101">
        <v>0.5005439814814815</v>
      </c>
      <c r="P303" s="104" t="b">
        <f>IFNA(IF(VLOOKUP($A303,'Add from APT'!$AA$2:$AC826,3,FALSE)&gt;0,TRUE,FALSE),"ER - NOT IN APT")</f>
        <v>0</v>
      </c>
      <c r="Q303" s="105" t="str">
        <f>IF(ISLOGICAL(P303),IF(P303,"ER - REPS IN APT", IFNA(VLOOKUP($A303,RAW_APT!$A$3:$M826,7,FALSE),"ER - NOT IN APT")),P303)</f>
        <v>Result</v>
      </c>
      <c r="R303" s="106" t="b">
        <f t="shared" si="2"/>
        <v>1</v>
      </c>
      <c r="S303" s="107">
        <f t="shared" si="3"/>
        <v>1</v>
      </c>
      <c r="T303" s="143"/>
      <c r="U303" s="142"/>
      <c r="V303" s="142"/>
      <c r="W303" s="142"/>
      <c r="X303" s="110" t="b">
        <f t="shared" si="4"/>
        <v>0</v>
      </c>
      <c r="Y303" s="111" t="b">
        <v>0</v>
      </c>
      <c r="Z303" s="104" t="str">
        <f t="shared" si="5"/>
        <v/>
      </c>
      <c r="AA303" s="112" t="b">
        <f t="shared" si="6"/>
        <v>0</v>
      </c>
      <c r="AB303" s="142" t="b">
        <v>0</v>
      </c>
      <c r="AC303" s="140">
        <v>505.0</v>
      </c>
      <c r="AD303" s="141" t="b">
        <v>0</v>
      </c>
      <c r="AE303" s="115">
        <f t="shared" si="7"/>
        <v>283.1166667</v>
      </c>
      <c r="AF303" s="116" t="b">
        <f t="shared" si="8"/>
        <v>0</v>
      </c>
      <c r="AG303" s="105" t="b">
        <f t="shared" si="9"/>
        <v>0</v>
      </c>
      <c r="AH303" s="140"/>
      <c r="AI303" s="140"/>
      <c r="AJ303" s="140"/>
      <c r="AK303" s="117" t="str">
        <f t="shared" si="10"/>
        <v>Negative</v>
      </c>
      <c r="AL303" s="142"/>
      <c r="AM303" s="112" t="s">
        <v>322</v>
      </c>
      <c r="AN303" s="112" t="s">
        <v>323</v>
      </c>
      <c r="AO303" s="112" t="str">
        <f>IFERROR(__xludf.DUMMYFUNCTION("IF($AG303, ""DELETED"",TRIM(JOIN("" "",D303:E303)))"),"")</f>
        <v/>
      </c>
      <c r="AP303" s="112" t="str">
        <f t="shared" ref="AP303:AQ303" si="328">IF($AG303, "DELETED", TRIM(CONCATENATE(F303,I303,U303)))</f>
        <v/>
      </c>
      <c r="AQ303" s="112" t="str">
        <f t="shared" si="328"/>
        <v/>
      </c>
      <c r="AR303" s="112" t="str">
        <f>IFERROR(__xludf.DUMMYFUNCTION("IF($AG303, ""DELETED"", TRIM(JOIN("" "",AP303,AQ303)))"),"")</f>
        <v/>
      </c>
      <c r="AS303" s="118"/>
      <c r="AT303" s="110" t="b">
        <f t="shared" si="12"/>
        <v>0</v>
      </c>
      <c r="AU303" s="110" t="str">
        <f t="shared" si="13"/>
        <v/>
      </c>
      <c r="AV303" s="110" t="str">
        <f t="shared" si="14"/>
        <v/>
      </c>
      <c r="AW303" s="110" t="str">
        <f t="shared" si="15"/>
        <v/>
      </c>
      <c r="AX303" s="119" t="str">
        <f t="shared" si="16"/>
        <v/>
      </c>
      <c r="AY303" s="120"/>
      <c r="AZ303" s="121"/>
      <c r="BA303" s="122" t="str">
        <f t="shared" si="17"/>
        <v/>
      </c>
      <c r="BB303" s="34"/>
      <c r="BC303" s="121"/>
      <c r="BD303" s="136"/>
      <c r="BE303" s="125" t="str">
        <f t="shared" si="18"/>
        <v/>
      </c>
      <c r="BF303" s="126" t="str">
        <f t="shared" si="19"/>
        <v>MA467__44587_0.303935185185185</v>
      </c>
      <c r="BG303" s="127" t="str">
        <f t="shared" si="20"/>
        <v/>
      </c>
      <c r="BH303" s="137" t="s">
        <v>1030</v>
      </c>
      <c r="BI303" s="128" t="str">
        <f t="shared" si="21"/>
        <v>MA1051</v>
      </c>
      <c r="BJ303" s="129" t="b">
        <f t="shared" si="22"/>
        <v>0</v>
      </c>
      <c r="BK303" s="128" t="str">
        <f t="shared" si="23"/>
        <v/>
      </c>
      <c r="BL303" s="121"/>
      <c r="BM303" s="5" t="str">
        <f t="shared" si="24"/>
        <v>MISSING</v>
      </c>
      <c r="BN303" s="120" t="b">
        <f t="shared" si="25"/>
        <v>0</v>
      </c>
      <c r="BO303" s="131" t="b">
        <f t="shared" si="26"/>
        <v>1</v>
      </c>
      <c r="BP303" s="121"/>
      <c r="BQ303" s="132" t="str">
        <f>VLOOKUP(A303,RAW_APS!A$3:O826,15,FALSE)</f>
        <v/>
      </c>
      <c r="BR303" s="120" t="b">
        <f t="shared" si="27"/>
        <v>1</v>
      </c>
      <c r="BS303" s="121"/>
      <c r="BT303" s="138" t="s">
        <v>244</v>
      </c>
      <c r="BU303" s="10" t="b">
        <f t="shared" si="28"/>
        <v>1</v>
      </c>
      <c r="BV303" s="120"/>
      <c r="BW303" s="120"/>
      <c r="BX303" s="120"/>
      <c r="BY303" s="120"/>
      <c r="BZ303" s="120"/>
      <c r="CA303" s="120"/>
      <c r="CB303" s="120"/>
      <c r="CC303" s="120"/>
    </row>
    <row r="304">
      <c r="A304" s="2" t="s">
        <v>1031</v>
      </c>
      <c r="B304" s="100">
        <v>44587.0</v>
      </c>
      <c r="C304" s="101">
        <v>0.32349537037037035</v>
      </c>
      <c r="D304" s="102"/>
      <c r="E304" s="102"/>
      <c r="F304" s="102"/>
      <c r="G304" s="102"/>
      <c r="H304" s="102"/>
      <c r="I304" s="103"/>
      <c r="J304" s="103"/>
      <c r="K304" s="2" t="s">
        <v>244</v>
      </c>
      <c r="L304" s="100">
        <v>44587.0</v>
      </c>
      <c r="M304" s="101">
        <v>0.5005439814814815</v>
      </c>
      <c r="P304" s="104" t="b">
        <f>IFNA(IF(VLOOKUP($A304,'Add from APT'!$AA$2:$AC826,3,FALSE)&gt;0,TRUE,FALSE),"ER - NOT IN APT")</f>
        <v>0</v>
      </c>
      <c r="Q304" s="105" t="str">
        <f>IF(ISLOGICAL(P304),IF(P304,"ER - REPS IN APT", IFNA(VLOOKUP($A304,RAW_APT!$A$3:$M826,7,FALSE),"ER - NOT IN APT")),P304)</f>
        <v>Result</v>
      </c>
      <c r="R304" s="106" t="b">
        <f t="shared" si="2"/>
        <v>1</v>
      </c>
      <c r="S304" s="107">
        <f t="shared" si="3"/>
        <v>1</v>
      </c>
      <c r="T304" s="143"/>
      <c r="U304" s="142"/>
      <c r="V304" s="142"/>
      <c r="W304" s="142"/>
      <c r="X304" s="110" t="b">
        <f t="shared" si="4"/>
        <v>0</v>
      </c>
      <c r="Y304" s="111" t="b">
        <v>0</v>
      </c>
      <c r="Z304" s="104" t="str">
        <f t="shared" si="5"/>
        <v/>
      </c>
      <c r="AA304" s="112" t="b">
        <f t="shared" si="6"/>
        <v>0</v>
      </c>
      <c r="AB304" s="142" t="b">
        <v>0</v>
      </c>
      <c r="AC304" s="140">
        <v>504.0</v>
      </c>
      <c r="AD304" s="141" t="b">
        <v>0</v>
      </c>
      <c r="AE304" s="115">
        <f t="shared" si="7"/>
        <v>254.95</v>
      </c>
      <c r="AF304" s="116" t="b">
        <f t="shared" si="8"/>
        <v>0</v>
      </c>
      <c r="AG304" s="105" t="b">
        <f t="shared" si="9"/>
        <v>0</v>
      </c>
      <c r="AH304" s="140"/>
      <c r="AI304" s="140"/>
      <c r="AJ304" s="140"/>
      <c r="AK304" s="117" t="str">
        <f t="shared" si="10"/>
        <v>Negative</v>
      </c>
      <c r="AL304" s="142"/>
      <c r="AM304" s="112" t="s">
        <v>587</v>
      </c>
      <c r="AN304" s="112" t="s">
        <v>588</v>
      </c>
      <c r="AO304" s="112" t="str">
        <f>IFERROR(__xludf.DUMMYFUNCTION("IF($AG304, ""DELETED"",TRIM(JOIN("" "",D304:E304)))"),"")</f>
        <v/>
      </c>
      <c r="AP304" s="112" t="str">
        <f t="shared" ref="AP304:AQ304" si="329">IF($AG304, "DELETED", TRIM(CONCATENATE(F304,I304,U304)))</f>
        <v/>
      </c>
      <c r="AQ304" s="112" t="str">
        <f t="shared" si="329"/>
        <v/>
      </c>
      <c r="AR304" s="112" t="str">
        <f>IFERROR(__xludf.DUMMYFUNCTION("IF($AG304, ""DELETED"", TRIM(JOIN("" "",AP304,AQ304)))"),"")</f>
        <v/>
      </c>
      <c r="AS304" s="118"/>
      <c r="AT304" s="110" t="b">
        <f t="shared" si="12"/>
        <v>0</v>
      </c>
      <c r="AU304" s="110" t="str">
        <f t="shared" si="13"/>
        <v/>
      </c>
      <c r="AV304" s="110" t="str">
        <f t="shared" si="14"/>
        <v/>
      </c>
      <c r="AW304" s="110" t="str">
        <f t="shared" si="15"/>
        <v/>
      </c>
      <c r="AX304" s="119" t="str">
        <f t="shared" si="16"/>
        <v/>
      </c>
      <c r="AY304" s="120"/>
      <c r="AZ304" s="121"/>
      <c r="BA304" s="122" t="str">
        <f t="shared" si="17"/>
        <v/>
      </c>
      <c r="BB304" s="34"/>
      <c r="BC304" s="121"/>
      <c r="BD304" s="136"/>
      <c r="BE304" s="125" t="str">
        <f t="shared" si="18"/>
        <v/>
      </c>
      <c r="BF304" s="126" t="str">
        <f t="shared" si="19"/>
        <v>MA1128__44587_0.32349537037037</v>
      </c>
      <c r="BG304" s="127" t="str">
        <f t="shared" si="20"/>
        <v/>
      </c>
      <c r="BH304" s="137" t="s">
        <v>1032</v>
      </c>
      <c r="BI304" s="128" t="str">
        <f t="shared" si="21"/>
        <v>MA1052</v>
      </c>
      <c r="BJ304" s="129" t="b">
        <f t="shared" si="22"/>
        <v>0</v>
      </c>
      <c r="BK304" s="128" t="str">
        <f t="shared" si="23"/>
        <v/>
      </c>
      <c r="BL304" s="121"/>
      <c r="BM304" s="5" t="str">
        <f t="shared" si="24"/>
        <v>MISSING</v>
      </c>
      <c r="BN304" s="120" t="b">
        <f t="shared" si="25"/>
        <v>0</v>
      </c>
      <c r="BO304" s="131" t="b">
        <f t="shared" si="26"/>
        <v>1</v>
      </c>
      <c r="BP304" s="121"/>
      <c r="BQ304" s="132" t="str">
        <f>VLOOKUP(A304,RAW_APS!A$3:O826,15,FALSE)</f>
        <v/>
      </c>
      <c r="BR304" s="120" t="b">
        <f t="shared" si="27"/>
        <v>1</v>
      </c>
      <c r="BS304" s="121"/>
      <c r="BT304" s="138" t="s">
        <v>244</v>
      </c>
      <c r="BU304" s="10" t="b">
        <f t="shared" si="28"/>
        <v>1</v>
      </c>
      <c r="BV304" s="120"/>
      <c r="BW304" s="120"/>
      <c r="BX304" s="120"/>
      <c r="BY304" s="120"/>
      <c r="BZ304" s="120"/>
      <c r="CA304" s="120"/>
      <c r="CB304" s="120"/>
      <c r="CC304" s="120"/>
    </row>
    <row r="305">
      <c r="A305" s="2" t="s">
        <v>1033</v>
      </c>
      <c r="B305" s="100">
        <v>44587.0</v>
      </c>
      <c r="C305" s="101">
        <v>0.32371527777777775</v>
      </c>
      <c r="D305" s="102"/>
      <c r="E305" s="102"/>
      <c r="F305" s="102"/>
      <c r="G305" s="102"/>
      <c r="H305" s="102"/>
      <c r="I305" s="103"/>
      <c r="J305" s="103"/>
      <c r="K305" s="2" t="s">
        <v>244</v>
      </c>
      <c r="L305" s="100">
        <v>44587.0</v>
      </c>
      <c r="M305" s="101">
        <v>0.5005439814814815</v>
      </c>
      <c r="P305" s="104" t="b">
        <f>IFNA(IF(VLOOKUP($A305,'Add from APT'!$AA$2:$AC826,3,FALSE)&gt;0,TRUE,FALSE),"ER - NOT IN APT")</f>
        <v>0</v>
      </c>
      <c r="Q305" s="105" t="str">
        <f>IF(ISLOGICAL(P305),IF(P305,"ER - REPS IN APT", IFNA(VLOOKUP($A305,RAW_APT!$A$3:$M826,7,FALSE),"ER - NOT IN APT")),P305)</f>
        <v>Result</v>
      </c>
      <c r="R305" s="106" t="b">
        <f t="shared" si="2"/>
        <v>1</v>
      </c>
      <c r="S305" s="107">
        <f t="shared" si="3"/>
        <v>1</v>
      </c>
      <c r="T305" s="143"/>
      <c r="U305" s="142"/>
      <c r="V305" s="142"/>
      <c r="W305" s="142"/>
      <c r="X305" s="110" t="b">
        <f t="shared" si="4"/>
        <v>0</v>
      </c>
      <c r="Y305" s="111" t="b">
        <v>0</v>
      </c>
      <c r="Z305" s="104" t="str">
        <f t="shared" si="5"/>
        <v/>
      </c>
      <c r="AA305" s="112" t="b">
        <f t="shared" si="6"/>
        <v>0</v>
      </c>
      <c r="AB305" s="142" t="b">
        <v>0</v>
      </c>
      <c r="AC305" s="140">
        <v>503.0</v>
      </c>
      <c r="AD305" s="141" t="b">
        <v>0</v>
      </c>
      <c r="AE305" s="115">
        <f t="shared" si="7"/>
        <v>254.6333333</v>
      </c>
      <c r="AF305" s="116" t="b">
        <f t="shared" si="8"/>
        <v>0</v>
      </c>
      <c r="AG305" s="105" t="b">
        <f t="shared" si="9"/>
        <v>0</v>
      </c>
      <c r="AH305" s="140"/>
      <c r="AI305" s="140"/>
      <c r="AJ305" s="140"/>
      <c r="AK305" s="117" t="str">
        <f t="shared" si="10"/>
        <v>Negative</v>
      </c>
      <c r="AL305" s="142"/>
      <c r="AM305" s="112" t="s">
        <v>314</v>
      </c>
      <c r="AN305" s="112" t="s">
        <v>315</v>
      </c>
      <c r="AO305" s="112" t="str">
        <f>IFERROR(__xludf.DUMMYFUNCTION("IF($AG305, ""DELETED"",TRIM(JOIN("" "",D305:E305)))"),"")</f>
        <v/>
      </c>
      <c r="AP305" s="112" t="str">
        <f t="shared" ref="AP305:AQ305" si="330">IF($AG305, "DELETED", TRIM(CONCATENATE(F305,I305,U305)))</f>
        <v/>
      </c>
      <c r="AQ305" s="112" t="str">
        <f t="shared" si="330"/>
        <v/>
      </c>
      <c r="AR305" s="112" t="str">
        <f>IFERROR(__xludf.DUMMYFUNCTION("IF($AG305, ""DELETED"", TRIM(JOIN("" "",AP305,AQ305)))"),"")</f>
        <v/>
      </c>
      <c r="AS305" s="118"/>
      <c r="AT305" s="110" t="b">
        <f t="shared" si="12"/>
        <v>0</v>
      </c>
      <c r="AU305" s="110" t="str">
        <f t="shared" si="13"/>
        <v/>
      </c>
      <c r="AV305" s="110" t="str">
        <f t="shared" si="14"/>
        <v/>
      </c>
      <c r="AW305" s="110" t="str">
        <f t="shared" si="15"/>
        <v/>
      </c>
      <c r="AX305" s="119" t="str">
        <f t="shared" si="16"/>
        <v/>
      </c>
      <c r="AY305" s="120"/>
      <c r="AZ305" s="121"/>
      <c r="BA305" s="122" t="str">
        <f t="shared" si="17"/>
        <v/>
      </c>
      <c r="BB305" s="34"/>
      <c r="BC305" s="121"/>
      <c r="BD305" s="136"/>
      <c r="BE305" s="125" t="str">
        <f t="shared" si="18"/>
        <v/>
      </c>
      <c r="BF305" s="126" t="str">
        <f t="shared" si="19"/>
        <v>MA1245__44587_0.323715277777778</v>
      </c>
      <c r="BG305" s="127" t="str">
        <f t="shared" si="20"/>
        <v/>
      </c>
      <c r="BH305" s="137" t="s">
        <v>1034</v>
      </c>
      <c r="BI305" s="128" t="str">
        <f t="shared" si="21"/>
        <v>MA1053</v>
      </c>
      <c r="BJ305" s="129" t="b">
        <f t="shared" si="22"/>
        <v>0</v>
      </c>
      <c r="BK305" s="128" t="str">
        <f t="shared" si="23"/>
        <v/>
      </c>
      <c r="BL305" s="121"/>
      <c r="BM305" s="5" t="str">
        <f t="shared" si="24"/>
        <v>MISSING</v>
      </c>
      <c r="BN305" s="120" t="b">
        <f t="shared" si="25"/>
        <v>0</v>
      </c>
      <c r="BO305" s="131" t="b">
        <f t="shared" si="26"/>
        <v>1</v>
      </c>
      <c r="BP305" s="121"/>
      <c r="BQ305" s="132" t="str">
        <f>VLOOKUP(A305,RAW_APS!A$3:O826,15,FALSE)</f>
        <v/>
      </c>
      <c r="BR305" s="120" t="b">
        <f t="shared" si="27"/>
        <v>1</v>
      </c>
      <c r="BS305" s="121"/>
      <c r="BT305" s="138" t="s">
        <v>244</v>
      </c>
      <c r="BU305" s="10" t="b">
        <f t="shared" si="28"/>
        <v>1</v>
      </c>
      <c r="BV305" s="120"/>
      <c r="BW305" s="120"/>
      <c r="BX305" s="120"/>
      <c r="BY305" s="120"/>
      <c r="BZ305" s="120"/>
      <c r="CA305" s="120"/>
      <c r="CB305" s="120"/>
      <c r="CC305" s="120"/>
    </row>
    <row r="306">
      <c r="A306" s="2" t="s">
        <v>1035</v>
      </c>
      <c r="B306" s="100">
        <v>44587.0</v>
      </c>
      <c r="C306" s="101">
        <v>0.32375</v>
      </c>
      <c r="D306" s="102"/>
      <c r="E306" s="102"/>
      <c r="F306" s="139"/>
      <c r="G306" s="103"/>
      <c r="H306" s="103"/>
      <c r="I306" s="103"/>
      <c r="J306" s="103"/>
      <c r="K306" s="2" t="s">
        <v>244</v>
      </c>
      <c r="L306" s="100">
        <v>44587.0</v>
      </c>
      <c r="M306" s="101">
        <v>0.5005439814814815</v>
      </c>
      <c r="P306" s="104" t="b">
        <f>IFNA(IF(VLOOKUP($A306,'Add from APT'!$AA$2:$AC826,3,FALSE)&gt;0,TRUE,FALSE),"ER - NOT IN APT")</f>
        <v>0</v>
      </c>
      <c r="Q306" s="105" t="str">
        <f>IF(ISLOGICAL(P306),IF(P306,"ER - REPS IN APT", IFNA(VLOOKUP($A306,RAW_APT!$A$3:$M826,7,FALSE),"ER - NOT IN APT")),P306)</f>
        <v>Result</v>
      </c>
      <c r="R306" s="106" t="b">
        <f t="shared" si="2"/>
        <v>1</v>
      </c>
      <c r="S306" s="107">
        <f t="shared" si="3"/>
        <v>1</v>
      </c>
      <c r="T306" s="140">
        <v>0.0</v>
      </c>
      <c r="U306" s="141"/>
      <c r="W306" s="142"/>
      <c r="X306" s="110" t="b">
        <f t="shared" si="4"/>
        <v>0</v>
      </c>
      <c r="Y306" s="111" t="b">
        <v>0</v>
      </c>
      <c r="Z306" s="104" t="str">
        <f t="shared" si="5"/>
        <v/>
      </c>
      <c r="AA306" s="112" t="b">
        <f t="shared" si="6"/>
        <v>0</v>
      </c>
      <c r="AB306" s="142" t="b">
        <v>0</v>
      </c>
      <c r="AC306" s="140">
        <v>502.0</v>
      </c>
      <c r="AD306" s="141" t="b">
        <v>0</v>
      </c>
      <c r="AE306" s="115">
        <f t="shared" si="7"/>
        <v>254.5833333</v>
      </c>
      <c r="AF306" s="116" t="b">
        <f t="shared" si="8"/>
        <v>0</v>
      </c>
      <c r="AG306" s="105" t="b">
        <f t="shared" si="9"/>
        <v>0</v>
      </c>
      <c r="AH306" s="140"/>
      <c r="AI306" s="140"/>
      <c r="AJ306" s="140"/>
      <c r="AK306" s="117" t="str">
        <f t="shared" si="10"/>
        <v>Negative</v>
      </c>
      <c r="AL306" s="142"/>
      <c r="AM306" s="112" t="s">
        <v>587</v>
      </c>
      <c r="AN306" s="112" t="s">
        <v>960</v>
      </c>
      <c r="AO306" s="112" t="str">
        <f>IFERROR(__xludf.DUMMYFUNCTION("IF($AG306, ""DELETED"",TRIM(JOIN("" "",D306:E306)))"),"")</f>
        <v/>
      </c>
      <c r="AP306" s="112" t="str">
        <f t="shared" ref="AP306:AQ306" si="331">IF($AG306, "DELETED", TRIM(CONCATENATE(F306,I306,U306)))</f>
        <v/>
      </c>
      <c r="AQ306" s="112" t="str">
        <f t="shared" si="331"/>
        <v/>
      </c>
      <c r="AR306" s="112" t="str">
        <f>IFERROR(__xludf.DUMMYFUNCTION("IF($AG306, ""DELETED"", TRIM(JOIN("" "",AP306,AQ306)))"),"")</f>
        <v/>
      </c>
      <c r="AS306" s="118"/>
      <c r="AT306" s="110" t="b">
        <f t="shared" si="12"/>
        <v>0</v>
      </c>
      <c r="AU306" s="110" t="str">
        <f t="shared" si="13"/>
        <v/>
      </c>
      <c r="AV306" s="110" t="str">
        <f t="shared" si="14"/>
        <v/>
      </c>
      <c r="AW306" s="110" t="str">
        <f t="shared" si="15"/>
        <v/>
      </c>
      <c r="AX306" s="119" t="str">
        <f t="shared" si="16"/>
        <v/>
      </c>
      <c r="AY306" s="120"/>
      <c r="AZ306" s="121"/>
      <c r="BA306" s="122" t="str">
        <f t="shared" si="17"/>
        <v/>
      </c>
      <c r="BB306" s="34"/>
      <c r="BC306" s="121"/>
      <c r="BD306" s="136"/>
      <c r="BE306" s="125" t="str">
        <f t="shared" si="18"/>
        <v/>
      </c>
      <c r="BF306" s="126" t="str">
        <f t="shared" si="19"/>
        <v>MA1070__44587_0.32375</v>
      </c>
      <c r="BG306" s="127" t="str">
        <f t="shared" si="20"/>
        <v/>
      </c>
      <c r="BH306" s="137" t="s">
        <v>1036</v>
      </c>
      <c r="BI306" s="128" t="str">
        <f t="shared" si="21"/>
        <v>MA1054</v>
      </c>
      <c r="BJ306" s="129" t="b">
        <f t="shared" si="22"/>
        <v>0</v>
      </c>
      <c r="BK306" s="128" t="str">
        <f t="shared" si="23"/>
        <v/>
      </c>
      <c r="BL306" s="121"/>
      <c r="BM306" s="5" t="str">
        <f t="shared" si="24"/>
        <v>MISSING</v>
      </c>
      <c r="BN306" s="120" t="b">
        <f t="shared" si="25"/>
        <v>0</v>
      </c>
      <c r="BO306" s="131" t="b">
        <f t="shared" si="26"/>
        <v>1</v>
      </c>
      <c r="BP306" s="121"/>
      <c r="BQ306" s="132" t="str">
        <f>VLOOKUP(A306,RAW_APS!A$3:O826,15,FALSE)</f>
        <v/>
      </c>
      <c r="BR306" s="120" t="b">
        <f t="shared" si="27"/>
        <v>1</v>
      </c>
      <c r="BS306" s="121"/>
      <c r="BT306" s="138" t="s">
        <v>244</v>
      </c>
      <c r="BU306" s="10" t="b">
        <f t="shared" si="28"/>
        <v>1</v>
      </c>
      <c r="BV306" s="120"/>
      <c r="BW306" s="120"/>
      <c r="BX306" s="120"/>
      <c r="BY306" s="120"/>
      <c r="BZ306" s="120"/>
      <c r="CA306" s="120"/>
      <c r="CB306" s="120"/>
      <c r="CC306" s="120"/>
    </row>
    <row r="307">
      <c r="A307" s="2" t="s">
        <v>1037</v>
      </c>
      <c r="B307" s="100">
        <v>44587.0</v>
      </c>
      <c r="C307" s="101">
        <v>0.3313425925925926</v>
      </c>
      <c r="D307" s="102"/>
      <c r="E307" s="102"/>
      <c r="F307" s="102"/>
      <c r="G307" s="102"/>
      <c r="H307" s="102"/>
      <c r="I307" s="103"/>
      <c r="J307" s="103"/>
      <c r="K307" s="2" t="s">
        <v>244</v>
      </c>
      <c r="L307" s="100">
        <v>44587.0</v>
      </c>
      <c r="M307" s="101">
        <v>0.5005555555555555</v>
      </c>
      <c r="P307" s="104" t="b">
        <f>IFNA(IF(VLOOKUP($A307,'Add from APT'!$AA$2:$AC826,3,FALSE)&gt;0,TRUE,FALSE),"ER - NOT IN APT")</f>
        <v>0</v>
      </c>
      <c r="Q307" s="105" t="str">
        <f>IF(ISLOGICAL(P307),IF(P307,"ER - REPS IN APT", IFNA(VLOOKUP($A307,RAW_APT!$A$3:$M826,7,FALSE),"ER - NOT IN APT")),P307)</f>
        <v>Result</v>
      </c>
      <c r="R307" s="106" t="b">
        <f t="shared" si="2"/>
        <v>1</v>
      </c>
      <c r="S307" s="107">
        <f t="shared" si="3"/>
        <v>1</v>
      </c>
      <c r="T307" s="143"/>
      <c r="U307" s="142"/>
      <c r="V307" s="142"/>
      <c r="W307" s="142"/>
      <c r="X307" s="110" t="b">
        <f t="shared" si="4"/>
        <v>0</v>
      </c>
      <c r="Y307" s="111" t="b">
        <v>0</v>
      </c>
      <c r="Z307" s="104" t="str">
        <f t="shared" si="5"/>
        <v/>
      </c>
      <c r="AA307" s="112" t="b">
        <f t="shared" si="6"/>
        <v>0</v>
      </c>
      <c r="AB307" s="142" t="b">
        <v>0</v>
      </c>
      <c r="AC307" s="140">
        <v>501.0</v>
      </c>
      <c r="AD307" s="141" t="b">
        <v>0</v>
      </c>
      <c r="AE307" s="115">
        <f t="shared" si="7"/>
        <v>243.6666667</v>
      </c>
      <c r="AF307" s="116" t="b">
        <f t="shared" si="8"/>
        <v>0</v>
      </c>
      <c r="AG307" s="105" t="b">
        <f t="shared" si="9"/>
        <v>0</v>
      </c>
      <c r="AH307" s="140"/>
      <c r="AI307" s="140"/>
      <c r="AJ307" s="140"/>
      <c r="AK307" s="117" t="str">
        <f t="shared" si="10"/>
        <v>Negative</v>
      </c>
      <c r="AL307" s="142"/>
      <c r="AM307" s="112" t="s">
        <v>328</v>
      </c>
      <c r="AN307" s="112" t="s">
        <v>329</v>
      </c>
      <c r="AO307" s="112" t="str">
        <f>IFERROR(__xludf.DUMMYFUNCTION("IF($AG307, ""DELETED"",TRIM(JOIN("" "",D307:E307)))"),"")</f>
        <v/>
      </c>
      <c r="AP307" s="112" t="str">
        <f t="shared" ref="AP307:AQ307" si="332">IF($AG307, "DELETED", TRIM(CONCATENATE(F307,I307,U307)))</f>
        <v/>
      </c>
      <c r="AQ307" s="112" t="str">
        <f t="shared" si="332"/>
        <v/>
      </c>
      <c r="AR307" s="112" t="str">
        <f>IFERROR(__xludf.DUMMYFUNCTION("IF($AG307, ""DELETED"", TRIM(JOIN("" "",AP307,AQ307)))"),"")</f>
        <v/>
      </c>
      <c r="AS307" s="118"/>
      <c r="AT307" s="110" t="b">
        <f t="shared" si="12"/>
        <v>0</v>
      </c>
      <c r="AU307" s="110" t="str">
        <f t="shared" si="13"/>
        <v/>
      </c>
      <c r="AV307" s="110" t="str">
        <f t="shared" si="14"/>
        <v/>
      </c>
      <c r="AW307" s="110" t="str">
        <f t="shared" si="15"/>
        <v/>
      </c>
      <c r="AX307" s="119" t="str">
        <f t="shared" si="16"/>
        <v/>
      </c>
      <c r="AY307" s="120"/>
      <c r="AZ307" s="121"/>
      <c r="BA307" s="122" t="str">
        <f t="shared" si="17"/>
        <v/>
      </c>
      <c r="BB307" s="34"/>
      <c r="BC307" s="121"/>
      <c r="BD307" s="136"/>
      <c r="BE307" s="125" t="str">
        <f t="shared" si="18"/>
        <v/>
      </c>
      <c r="BF307" s="126" t="str">
        <f t="shared" si="19"/>
        <v>MA1076__44587_0.331342592592593</v>
      </c>
      <c r="BG307" s="127" t="str">
        <f t="shared" si="20"/>
        <v/>
      </c>
      <c r="BH307" s="137" t="s">
        <v>1038</v>
      </c>
      <c r="BI307" s="128" t="str">
        <f t="shared" si="21"/>
        <v>MA1055</v>
      </c>
      <c r="BJ307" s="129" t="b">
        <f t="shared" si="22"/>
        <v>0</v>
      </c>
      <c r="BK307" s="128" t="str">
        <f t="shared" si="23"/>
        <v/>
      </c>
      <c r="BL307" s="121"/>
      <c r="BM307" s="5" t="str">
        <f t="shared" si="24"/>
        <v>MISSING</v>
      </c>
      <c r="BN307" s="120" t="b">
        <f t="shared" si="25"/>
        <v>0</v>
      </c>
      <c r="BO307" s="131" t="b">
        <f t="shared" si="26"/>
        <v>1</v>
      </c>
      <c r="BP307" s="121"/>
      <c r="BQ307" s="132" t="str">
        <f>VLOOKUP(A307,RAW_APS!A$3:O826,15,FALSE)</f>
        <v/>
      </c>
      <c r="BR307" s="120" t="b">
        <f t="shared" si="27"/>
        <v>1</v>
      </c>
      <c r="BS307" s="121"/>
      <c r="BT307" s="138" t="s">
        <v>244</v>
      </c>
      <c r="BU307" s="10" t="b">
        <f t="shared" si="28"/>
        <v>1</v>
      </c>
      <c r="BV307" s="120"/>
      <c r="BW307" s="120"/>
      <c r="BX307" s="120"/>
      <c r="BY307" s="120"/>
      <c r="BZ307" s="120"/>
      <c r="CA307" s="120"/>
      <c r="CB307" s="120"/>
      <c r="CC307" s="120"/>
    </row>
    <row r="308">
      <c r="A308" s="2" t="s">
        <v>1039</v>
      </c>
      <c r="B308" s="100">
        <v>44587.0</v>
      </c>
      <c r="C308" s="101">
        <v>0.33185185185185184</v>
      </c>
      <c r="D308" s="102"/>
      <c r="E308" s="102"/>
      <c r="F308" s="139"/>
      <c r="G308" s="103"/>
      <c r="H308" s="103"/>
      <c r="I308" s="103"/>
      <c r="J308" s="103"/>
      <c r="K308" s="2" t="s">
        <v>244</v>
      </c>
      <c r="L308" s="100">
        <v>44587.0</v>
      </c>
      <c r="M308" s="101">
        <v>0.5005555555555555</v>
      </c>
      <c r="P308" s="104" t="b">
        <f>IFNA(IF(VLOOKUP($A308,'Add from APT'!$AA$2:$AC826,3,FALSE)&gt;0,TRUE,FALSE),"ER - NOT IN APT")</f>
        <v>0</v>
      </c>
      <c r="Q308" s="105" t="str">
        <f>IF(ISLOGICAL(P308),IF(P308,"ER - REPS IN APT", IFNA(VLOOKUP($A308,RAW_APT!$A$3:$M826,7,FALSE),"ER - NOT IN APT")),P308)</f>
        <v>Result</v>
      </c>
      <c r="R308" s="106" t="b">
        <f t="shared" si="2"/>
        <v>1</v>
      </c>
      <c r="S308" s="107">
        <f t="shared" si="3"/>
        <v>1</v>
      </c>
      <c r="T308" s="140">
        <v>0.0</v>
      </c>
      <c r="U308" s="141"/>
      <c r="W308" s="142"/>
      <c r="X308" s="110" t="b">
        <f t="shared" si="4"/>
        <v>0</v>
      </c>
      <c r="Y308" s="111" t="b">
        <v>0</v>
      </c>
      <c r="Z308" s="104" t="str">
        <f t="shared" si="5"/>
        <v/>
      </c>
      <c r="AA308" s="112" t="b">
        <f t="shared" si="6"/>
        <v>0</v>
      </c>
      <c r="AB308" s="142" t="b">
        <v>0</v>
      </c>
      <c r="AC308" s="140">
        <v>500.0</v>
      </c>
      <c r="AD308" s="141" t="b">
        <v>0</v>
      </c>
      <c r="AE308" s="115">
        <f t="shared" si="7"/>
        <v>242.9333333</v>
      </c>
      <c r="AF308" s="116" t="b">
        <f t="shared" si="8"/>
        <v>0</v>
      </c>
      <c r="AG308" s="105" t="b">
        <f t="shared" si="9"/>
        <v>0</v>
      </c>
      <c r="AH308" s="140"/>
      <c r="AI308" s="140"/>
      <c r="AJ308" s="140"/>
      <c r="AK308" s="117" t="str">
        <f t="shared" si="10"/>
        <v>Negative</v>
      </c>
      <c r="AL308" s="142"/>
      <c r="AM308" s="112" t="s">
        <v>583</v>
      </c>
      <c r="AN308" s="112" t="s">
        <v>1040</v>
      </c>
      <c r="AO308" s="112" t="str">
        <f>IFERROR(__xludf.DUMMYFUNCTION("IF($AG308, ""DELETED"",TRIM(JOIN("" "",D308:E308)))"),"")</f>
        <v/>
      </c>
      <c r="AP308" s="112" t="str">
        <f t="shared" ref="AP308:AQ308" si="333">IF($AG308, "DELETED", TRIM(CONCATENATE(F308,I308,U308)))</f>
        <v/>
      </c>
      <c r="AQ308" s="112" t="str">
        <f t="shared" si="333"/>
        <v/>
      </c>
      <c r="AR308" s="112" t="str">
        <f>IFERROR(__xludf.DUMMYFUNCTION("IF($AG308, ""DELETED"", TRIM(JOIN("" "",AP308,AQ308)))"),"")</f>
        <v/>
      </c>
      <c r="AS308" s="118"/>
      <c r="AT308" s="110" t="b">
        <f t="shared" si="12"/>
        <v>0</v>
      </c>
      <c r="AU308" s="110" t="str">
        <f t="shared" si="13"/>
        <v/>
      </c>
      <c r="AV308" s="110" t="str">
        <f t="shared" si="14"/>
        <v/>
      </c>
      <c r="AW308" s="110" t="str">
        <f t="shared" si="15"/>
        <v/>
      </c>
      <c r="AX308" s="119" t="str">
        <f t="shared" si="16"/>
        <v/>
      </c>
      <c r="AY308" s="120"/>
      <c r="AZ308" s="121"/>
      <c r="BA308" s="122" t="str">
        <f t="shared" si="17"/>
        <v/>
      </c>
      <c r="BB308" s="34"/>
      <c r="BC308" s="121"/>
      <c r="BD308" s="136"/>
      <c r="BE308" s="125" t="str">
        <f t="shared" si="18"/>
        <v/>
      </c>
      <c r="BF308" s="126" t="str">
        <f t="shared" si="19"/>
        <v>MA411__44587_0.331851851851852</v>
      </c>
      <c r="BG308" s="127" t="str">
        <f t="shared" si="20"/>
        <v/>
      </c>
      <c r="BH308" s="137" t="s">
        <v>1041</v>
      </c>
      <c r="BI308" s="128" t="str">
        <f t="shared" si="21"/>
        <v>MA1056</v>
      </c>
      <c r="BJ308" s="129" t="b">
        <f t="shared" si="22"/>
        <v>0</v>
      </c>
      <c r="BK308" s="128" t="str">
        <f t="shared" si="23"/>
        <v/>
      </c>
      <c r="BL308" s="121"/>
      <c r="BM308" s="5" t="str">
        <f t="shared" si="24"/>
        <v>MISSING</v>
      </c>
      <c r="BN308" s="120" t="b">
        <f t="shared" si="25"/>
        <v>0</v>
      </c>
      <c r="BO308" s="131" t="b">
        <f t="shared" si="26"/>
        <v>1</v>
      </c>
      <c r="BP308" s="121"/>
      <c r="BQ308" s="132" t="str">
        <f>VLOOKUP(A308,RAW_APS!A$3:O826,15,FALSE)</f>
        <v/>
      </c>
      <c r="BR308" s="120" t="b">
        <f t="shared" si="27"/>
        <v>1</v>
      </c>
      <c r="BS308" s="121"/>
      <c r="BT308" s="138" t="s">
        <v>244</v>
      </c>
      <c r="BU308" s="10" t="b">
        <f t="shared" si="28"/>
        <v>1</v>
      </c>
      <c r="BV308" s="120"/>
      <c r="BW308" s="120"/>
      <c r="BX308" s="120"/>
      <c r="BY308" s="120"/>
      <c r="BZ308" s="120"/>
      <c r="CA308" s="120"/>
      <c r="CB308" s="120"/>
      <c r="CC308" s="120"/>
    </row>
    <row r="309">
      <c r="A309" s="2" t="s">
        <v>1042</v>
      </c>
      <c r="B309" s="100">
        <v>44587.0</v>
      </c>
      <c r="C309" s="101">
        <v>0.3365972222222222</v>
      </c>
      <c r="D309" s="102"/>
      <c r="E309" s="102"/>
      <c r="F309" s="102"/>
      <c r="G309" s="102"/>
      <c r="H309" s="102"/>
      <c r="I309" s="103"/>
      <c r="J309" s="103"/>
      <c r="K309" s="2" t="s">
        <v>244</v>
      </c>
      <c r="L309" s="100">
        <v>44587.0</v>
      </c>
      <c r="M309" s="101">
        <v>0.5005555555555555</v>
      </c>
      <c r="P309" s="104" t="b">
        <f>IFNA(IF(VLOOKUP($A309,'Add from APT'!$AA$2:$AC826,3,FALSE)&gt;0,TRUE,FALSE),"ER - NOT IN APT")</f>
        <v>0</v>
      </c>
      <c r="Q309" s="105" t="str">
        <f>IF(ISLOGICAL(P309),IF(P309,"ER - REPS IN APT", IFNA(VLOOKUP($A309,RAW_APT!$A$3:$M826,7,FALSE),"ER - NOT IN APT")),P309)</f>
        <v>Result</v>
      </c>
      <c r="R309" s="106" t="b">
        <f t="shared" si="2"/>
        <v>1</v>
      </c>
      <c r="S309" s="107">
        <f t="shared" si="3"/>
        <v>1</v>
      </c>
      <c r="T309" s="143"/>
      <c r="U309" s="142"/>
      <c r="V309" s="142"/>
      <c r="W309" s="142"/>
      <c r="X309" s="110" t="b">
        <f t="shared" si="4"/>
        <v>0</v>
      </c>
      <c r="Y309" s="111" t="b">
        <v>0</v>
      </c>
      <c r="Z309" s="104" t="str">
        <f t="shared" si="5"/>
        <v/>
      </c>
      <c r="AA309" s="112" t="b">
        <f t="shared" si="6"/>
        <v>0</v>
      </c>
      <c r="AB309" s="142" t="b">
        <v>0</v>
      </c>
      <c r="AC309" s="140">
        <v>499.0</v>
      </c>
      <c r="AD309" s="141" t="b">
        <v>0</v>
      </c>
      <c r="AE309" s="115">
        <f t="shared" si="7"/>
        <v>236.1</v>
      </c>
      <c r="AF309" s="116" t="b">
        <f t="shared" si="8"/>
        <v>0</v>
      </c>
      <c r="AG309" s="105" t="b">
        <f t="shared" si="9"/>
        <v>0</v>
      </c>
      <c r="AH309" s="140"/>
      <c r="AI309" s="140"/>
      <c r="AJ309" s="140"/>
      <c r="AK309" s="117" t="str">
        <f t="shared" si="10"/>
        <v>Negative</v>
      </c>
      <c r="AL309" s="142"/>
      <c r="AM309" s="112" t="s">
        <v>504</v>
      </c>
      <c r="AN309" s="112" t="s">
        <v>505</v>
      </c>
      <c r="AO309" s="112" t="str">
        <f>IFERROR(__xludf.DUMMYFUNCTION("IF($AG309, ""DELETED"",TRIM(JOIN("" "",D309:E309)))"),"")</f>
        <v/>
      </c>
      <c r="AP309" s="112" t="str">
        <f t="shared" ref="AP309:AQ309" si="334">IF($AG309, "DELETED", TRIM(CONCATENATE(F309,I309,U309)))</f>
        <v/>
      </c>
      <c r="AQ309" s="112" t="str">
        <f t="shared" si="334"/>
        <v/>
      </c>
      <c r="AR309" s="112" t="str">
        <f>IFERROR(__xludf.DUMMYFUNCTION("IF($AG309, ""DELETED"", TRIM(JOIN("" "",AP309,AQ309)))"),"")</f>
        <v/>
      </c>
      <c r="AS309" s="118"/>
      <c r="AT309" s="110" t="b">
        <f t="shared" si="12"/>
        <v>0</v>
      </c>
      <c r="AU309" s="110" t="str">
        <f t="shared" si="13"/>
        <v/>
      </c>
      <c r="AV309" s="110" t="str">
        <f t="shared" si="14"/>
        <v/>
      </c>
      <c r="AW309" s="110" t="str">
        <f t="shared" si="15"/>
        <v/>
      </c>
      <c r="AX309" s="119" t="str">
        <f t="shared" si="16"/>
        <v/>
      </c>
      <c r="AY309" s="120"/>
      <c r="AZ309" s="121"/>
      <c r="BA309" s="122" t="str">
        <f t="shared" si="17"/>
        <v/>
      </c>
      <c r="BB309" s="34"/>
      <c r="BC309" s="121"/>
      <c r="BD309" s="136"/>
      <c r="BE309" s="125" t="str">
        <f t="shared" si="18"/>
        <v/>
      </c>
      <c r="BF309" s="126" t="str">
        <f t="shared" si="19"/>
        <v>MA610__44587_0.336597222222222</v>
      </c>
      <c r="BG309" s="127" t="str">
        <f t="shared" si="20"/>
        <v/>
      </c>
      <c r="BH309" s="137" t="s">
        <v>1043</v>
      </c>
      <c r="BI309" s="128" t="str">
        <f t="shared" si="21"/>
        <v>MA1057</v>
      </c>
      <c r="BJ309" s="129" t="b">
        <f t="shared" si="22"/>
        <v>0</v>
      </c>
      <c r="BK309" s="128" t="str">
        <f t="shared" si="23"/>
        <v/>
      </c>
      <c r="BL309" s="121"/>
      <c r="BM309" s="5" t="str">
        <f t="shared" si="24"/>
        <v>MISSING</v>
      </c>
      <c r="BN309" s="120" t="b">
        <f t="shared" si="25"/>
        <v>0</v>
      </c>
      <c r="BO309" s="131" t="b">
        <f t="shared" si="26"/>
        <v>1</v>
      </c>
      <c r="BP309" s="121"/>
      <c r="BQ309" s="132" t="str">
        <f>VLOOKUP(A309,RAW_APS!A$3:O826,15,FALSE)</f>
        <v/>
      </c>
      <c r="BR309" s="120" t="b">
        <f t="shared" si="27"/>
        <v>1</v>
      </c>
      <c r="BS309" s="121"/>
      <c r="BT309" s="138" t="s">
        <v>244</v>
      </c>
      <c r="BU309" s="10" t="b">
        <f t="shared" si="28"/>
        <v>1</v>
      </c>
      <c r="BV309" s="120"/>
      <c r="BW309" s="120"/>
      <c r="BX309" s="120"/>
      <c r="BY309" s="120"/>
      <c r="BZ309" s="120"/>
      <c r="CA309" s="120"/>
      <c r="CB309" s="120"/>
      <c r="CC309" s="120"/>
    </row>
    <row r="310">
      <c r="A310" s="2" t="s">
        <v>1044</v>
      </c>
      <c r="B310" s="100">
        <v>44587.0</v>
      </c>
      <c r="C310" s="101">
        <v>0.3372222222222222</v>
      </c>
      <c r="D310" s="102"/>
      <c r="E310" s="102"/>
      <c r="F310" s="102"/>
      <c r="G310" s="102"/>
      <c r="H310" s="102"/>
      <c r="I310" s="103"/>
      <c r="J310" s="103"/>
      <c r="K310" s="2" t="s">
        <v>244</v>
      </c>
      <c r="L310" s="100">
        <v>44587.0</v>
      </c>
      <c r="M310" s="101">
        <v>0.5005555555555555</v>
      </c>
      <c r="P310" s="104" t="b">
        <f>IFNA(IF(VLOOKUP($A310,'Add from APT'!$AA$2:$AC826,3,FALSE)&gt;0,TRUE,FALSE),"ER - NOT IN APT")</f>
        <v>0</v>
      </c>
      <c r="Q310" s="105" t="str">
        <f>IF(ISLOGICAL(P310),IF(P310,"ER - REPS IN APT", IFNA(VLOOKUP($A310,RAW_APT!$A$3:$M826,7,FALSE),"ER - NOT IN APT")),P310)</f>
        <v>Result</v>
      </c>
      <c r="R310" s="106" t="b">
        <f t="shared" si="2"/>
        <v>1</v>
      </c>
      <c r="S310" s="107">
        <f t="shared" si="3"/>
        <v>1</v>
      </c>
      <c r="T310" s="143"/>
      <c r="U310" s="142"/>
      <c r="V310" s="142"/>
      <c r="W310" s="142"/>
      <c r="X310" s="110" t="b">
        <f t="shared" si="4"/>
        <v>0</v>
      </c>
      <c r="Y310" s="111" t="b">
        <v>0</v>
      </c>
      <c r="Z310" s="104" t="str">
        <f t="shared" si="5"/>
        <v/>
      </c>
      <c r="AA310" s="112" t="b">
        <f t="shared" si="6"/>
        <v>0</v>
      </c>
      <c r="AB310" s="142" t="b">
        <v>0</v>
      </c>
      <c r="AC310" s="140">
        <v>498.0</v>
      </c>
      <c r="AD310" s="141" t="b">
        <v>0</v>
      </c>
      <c r="AE310" s="115">
        <f t="shared" si="7"/>
        <v>235.2</v>
      </c>
      <c r="AF310" s="116" t="b">
        <f t="shared" si="8"/>
        <v>0</v>
      </c>
      <c r="AG310" s="105" t="b">
        <f t="shared" si="9"/>
        <v>0</v>
      </c>
      <c r="AH310" s="140"/>
      <c r="AI310" s="140"/>
      <c r="AJ310" s="140"/>
      <c r="AK310" s="117" t="str">
        <f t="shared" si="10"/>
        <v>Negative</v>
      </c>
      <c r="AL310" s="142"/>
      <c r="AM310" s="112" t="s">
        <v>303</v>
      </c>
      <c r="AN310" s="112" t="s">
        <v>304</v>
      </c>
      <c r="AO310" s="112" t="str">
        <f>IFERROR(__xludf.DUMMYFUNCTION("IF($AG310, ""DELETED"",TRIM(JOIN("" "",D310:E310)))"),"")</f>
        <v/>
      </c>
      <c r="AP310" s="112" t="str">
        <f t="shared" ref="AP310:AQ310" si="335">IF($AG310, "DELETED", TRIM(CONCATENATE(F310,I310,U310)))</f>
        <v/>
      </c>
      <c r="AQ310" s="112" t="str">
        <f t="shared" si="335"/>
        <v/>
      </c>
      <c r="AR310" s="112" t="str">
        <f>IFERROR(__xludf.DUMMYFUNCTION("IF($AG310, ""DELETED"", TRIM(JOIN("" "",AP310,AQ310)))"),"")</f>
        <v/>
      </c>
      <c r="AS310" s="118"/>
      <c r="AT310" s="110" t="b">
        <f t="shared" si="12"/>
        <v>0</v>
      </c>
      <c r="AU310" s="110" t="str">
        <f t="shared" si="13"/>
        <v/>
      </c>
      <c r="AV310" s="110" t="str">
        <f t="shared" si="14"/>
        <v/>
      </c>
      <c r="AW310" s="110" t="str">
        <f t="shared" si="15"/>
        <v/>
      </c>
      <c r="AX310" s="119" t="str">
        <f t="shared" si="16"/>
        <v/>
      </c>
      <c r="AY310" s="120"/>
      <c r="AZ310" s="121"/>
      <c r="BA310" s="122" t="str">
        <f t="shared" si="17"/>
        <v/>
      </c>
      <c r="BB310" s="34"/>
      <c r="BC310" s="121"/>
      <c r="BD310" s="136"/>
      <c r="BE310" s="125" t="str">
        <f t="shared" si="18"/>
        <v/>
      </c>
      <c r="BF310" s="126" t="str">
        <f t="shared" si="19"/>
        <v>MA454__44587_0.337222222222222</v>
      </c>
      <c r="BG310" s="127" t="str">
        <f t="shared" si="20"/>
        <v/>
      </c>
      <c r="BH310" s="137" t="s">
        <v>1045</v>
      </c>
      <c r="BI310" s="128" t="str">
        <f t="shared" si="21"/>
        <v>MA1058</v>
      </c>
      <c r="BJ310" s="129" t="b">
        <f t="shared" si="22"/>
        <v>0</v>
      </c>
      <c r="BK310" s="128" t="str">
        <f t="shared" si="23"/>
        <v/>
      </c>
      <c r="BL310" s="121"/>
      <c r="BM310" s="5" t="str">
        <f t="shared" si="24"/>
        <v>MISSING</v>
      </c>
      <c r="BN310" s="120" t="b">
        <f t="shared" si="25"/>
        <v>0</v>
      </c>
      <c r="BO310" s="131" t="b">
        <f t="shared" si="26"/>
        <v>1</v>
      </c>
      <c r="BP310" s="121"/>
      <c r="BQ310" s="132" t="str">
        <f>VLOOKUP(A310,RAW_APS!A$3:O826,15,FALSE)</f>
        <v/>
      </c>
      <c r="BR310" s="120" t="b">
        <f t="shared" si="27"/>
        <v>1</v>
      </c>
      <c r="BS310" s="121"/>
      <c r="BT310" s="138" t="s">
        <v>244</v>
      </c>
      <c r="BU310" s="10" t="b">
        <f t="shared" si="28"/>
        <v>1</v>
      </c>
      <c r="BV310" s="120"/>
      <c r="BW310" s="120"/>
      <c r="BX310" s="120"/>
      <c r="BY310" s="120"/>
      <c r="BZ310" s="120"/>
      <c r="CA310" s="120"/>
      <c r="CB310" s="120"/>
      <c r="CC310" s="120"/>
    </row>
    <row r="311">
      <c r="A311" s="2" t="s">
        <v>1046</v>
      </c>
      <c r="B311" s="100">
        <v>44587.0</v>
      </c>
      <c r="C311" s="101">
        <v>0.3502314814814815</v>
      </c>
      <c r="D311" s="102"/>
      <c r="E311" s="102"/>
      <c r="F311" s="102"/>
      <c r="G311" s="102"/>
      <c r="H311" s="102"/>
      <c r="I311" s="103"/>
      <c r="J311" s="103"/>
      <c r="K311" s="2" t="s">
        <v>244</v>
      </c>
      <c r="L311" s="100">
        <v>44587.0</v>
      </c>
      <c r="M311" s="101">
        <v>0.5005555555555555</v>
      </c>
      <c r="P311" s="104" t="b">
        <f>IFNA(IF(VLOOKUP($A311,'Add from APT'!$AA$2:$AC826,3,FALSE)&gt;0,TRUE,FALSE),"ER - NOT IN APT")</f>
        <v>0</v>
      </c>
      <c r="Q311" s="105" t="str">
        <f>IF(ISLOGICAL(P311),IF(P311,"ER - REPS IN APT", IFNA(VLOOKUP($A311,RAW_APT!$A$3:$M826,7,FALSE),"ER - NOT IN APT")),P311)</f>
        <v>Result</v>
      </c>
      <c r="R311" s="106" t="b">
        <f t="shared" si="2"/>
        <v>1</v>
      </c>
      <c r="S311" s="107">
        <f t="shared" si="3"/>
        <v>1</v>
      </c>
      <c r="T311" s="143"/>
      <c r="U311" s="142"/>
      <c r="V311" s="142"/>
      <c r="W311" s="142"/>
      <c r="X311" s="110" t="b">
        <f t="shared" si="4"/>
        <v>0</v>
      </c>
      <c r="Y311" s="111" t="b">
        <v>0</v>
      </c>
      <c r="Z311" s="104" t="str">
        <f t="shared" si="5"/>
        <v/>
      </c>
      <c r="AA311" s="112" t="b">
        <f t="shared" si="6"/>
        <v>0</v>
      </c>
      <c r="AB311" s="142" t="b">
        <v>0</v>
      </c>
      <c r="AC311" s="140">
        <v>497.0</v>
      </c>
      <c r="AD311" s="141" t="b">
        <v>0</v>
      </c>
      <c r="AE311" s="115">
        <f t="shared" si="7"/>
        <v>216.4666667</v>
      </c>
      <c r="AF311" s="116" t="b">
        <f t="shared" si="8"/>
        <v>0</v>
      </c>
      <c r="AG311" s="105" t="b">
        <f t="shared" si="9"/>
        <v>0</v>
      </c>
      <c r="AH311" s="140"/>
      <c r="AI311" s="140"/>
      <c r="AJ311" s="140"/>
      <c r="AK311" s="117" t="str">
        <f t="shared" si="10"/>
        <v>Negative</v>
      </c>
      <c r="AL311" s="142"/>
      <c r="AM311" s="112" t="s">
        <v>577</v>
      </c>
      <c r="AN311" s="112" t="s">
        <v>578</v>
      </c>
      <c r="AO311" s="112" t="str">
        <f>IFERROR(__xludf.DUMMYFUNCTION("IF($AG311, ""DELETED"",TRIM(JOIN("" "",D311:E311)))"),"")</f>
        <v/>
      </c>
      <c r="AP311" s="112" t="str">
        <f t="shared" ref="AP311:AQ311" si="336">IF($AG311, "DELETED", TRIM(CONCATENATE(F311,I311,U311)))</f>
        <v/>
      </c>
      <c r="AQ311" s="112" t="str">
        <f t="shared" si="336"/>
        <v/>
      </c>
      <c r="AR311" s="112" t="str">
        <f>IFERROR(__xludf.DUMMYFUNCTION("IF($AG311, ""DELETED"", TRIM(JOIN("" "",AP311,AQ311)))"),"")</f>
        <v/>
      </c>
      <c r="AS311" s="118"/>
      <c r="AT311" s="110" t="b">
        <f t="shared" si="12"/>
        <v>0</v>
      </c>
      <c r="AU311" s="110" t="str">
        <f t="shared" si="13"/>
        <v/>
      </c>
      <c r="AV311" s="110" t="str">
        <f t="shared" si="14"/>
        <v/>
      </c>
      <c r="AW311" s="110" t="str">
        <f t="shared" si="15"/>
        <v/>
      </c>
      <c r="AX311" s="119" t="str">
        <f t="shared" si="16"/>
        <v/>
      </c>
      <c r="AY311" s="120"/>
      <c r="AZ311" s="121"/>
      <c r="BA311" s="122" t="str">
        <f t="shared" si="17"/>
        <v/>
      </c>
      <c r="BB311" s="34"/>
      <c r="BC311" s="121"/>
      <c r="BD311" s="136"/>
      <c r="BE311" s="125" t="str">
        <f t="shared" si="18"/>
        <v/>
      </c>
      <c r="BF311" s="126" t="str">
        <f t="shared" si="19"/>
        <v>MA1278__44587_0.350231481481482</v>
      </c>
      <c r="BG311" s="127" t="str">
        <f t="shared" si="20"/>
        <v/>
      </c>
      <c r="BH311" s="137" t="s">
        <v>1047</v>
      </c>
      <c r="BI311" s="128" t="str">
        <f t="shared" si="21"/>
        <v>MA1061</v>
      </c>
      <c r="BJ311" s="129" t="b">
        <f t="shared" si="22"/>
        <v>0</v>
      </c>
      <c r="BK311" s="128" t="str">
        <f t="shared" si="23"/>
        <v/>
      </c>
      <c r="BL311" s="121"/>
      <c r="BM311" s="5" t="str">
        <f t="shared" si="24"/>
        <v>MISSING</v>
      </c>
      <c r="BN311" s="120" t="b">
        <f t="shared" si="25"/>
        <v>0</v>
      </c>
      <c r="BO311" s="131" t="b">
        <f t="shared" si="26"/>
        <v>1</v>
      </c>
      <c r="BP311" s="121"/>
      <c r="BQ311" s="132" t="str">
        <f>VLOOKUP(A311,RAW_APS!A$3:O826,15,FALSE)</f>
        <v/>
      </c>
      <c r="BR311" s="120" t="b">
        <f t="shared" si="27"/>
        <v>1</v>
      </c>
      <c r="BS311" s="121"/>
      <c r="BT311" s="138" t="s">
        <v>244</v>
      </c>
      <c r="BU311" s="10" t="b">
        <f t="shared" si="28"/>
        <v>1</v>
      </c>
      <c r="BV311" s="120"/>
      <c r="BW311" s="120"/>
      <c r="BX311" s="120"/>
      <c r="BY311" s="120"/>
      <c r="BZ311" s="120"/>
      <c r="CA311" s="120"/>
      <c r="CB311" s="120"/>
      <c r="CC311" s="120"/>
    </row>
    <row r="312">
      <c r="A312" s="2" t="s">
        <v>1048</v>
      </c>
      <c r="B312" s="100">
        <v>44587.0</v>
      </c>
      <c r="C312" s="101">
        <v>0.3566898148148148</v>
      </c>
      <c r="D312" s="102"/>
      <c r="E312" s="102"/>
      <c r="F312" s="102"/>
      <c r="G312" s="102"/>
      <c r="H312" s="102"/>
      <c r="I312" s="103"/>
      <c r="J312" s="103"/>
      <c r="K312" s="2" t="s">
        <v>244</v>
      </c>
      <c r="L312" s="100">
        <v>44587.0</v>
      </c>
      <c r="M312" s="101">
        <v>0.5005671296296297</v>
      </c>
      <c r="P312" s="104" t="b">
        <f>IFNA(IF(VLOOKUP($A312,'Add from APT'!$AA$2:$AC826,3,FALSE)&gt;0,TRUE,FALSE),"ER - NOT IN APT")</f>
        <v>0</v>
      </c>
      <c r="Q312" s="105" t="str">
        <f>IF(ISLOGICAL(P312),IF(P312,"ER - REPS IN APT", IFNA(VLOOKUP($A312,RAW_APT!$A$3:$M826,7,FALSE),"ER - NOT IN APT")),P312)</f>
        <v>Result</v>
      </c>
      <c r="R312" s="106" t="b">
        <f t="shared" si="2"/>
        <v>1</v>
      </c>
      <c r="S312" s="107">
        <f t="shared" si="3"/>
        <v>1</v>
      </c>
      <c r="T312" s="143"/>
      <c r="U312" s="142"/>
      <c r="V312" s="142"/>
      <c r="W312" s="142"/>
      <c r="X312" s="110" t="b">
        <f t="shared" si="4"/>
        <v>0</v>
      </c>
      <c r="Y312" s="111" t="b">
        <v>0</v>
      </c>
      <c r="Z312" s="104" t="str">
        <f t="shared" si="5"/>
        <v/>
      </c>
      <c r="AA312" s="112" t="b">
        <f t="shared" si="6"/>
        <v>0</v>
      </c>
      <c r="AB312" s="142" t="b">
        <v>0</v>
      </c>
      <c r="AC312" s="140">
        <v>496.0</v>
      </c>
      <c r="AD312" s="141" t="b">
        <v>0</v>
      </c>
      <c r="AE312" s="115">
        <f t="shared" si="7"/>
        <v>207.1833333</v>
      </c>
      <c r="AF312" s="116" t="b">
        <f t="shared" si="8"/>
        <v>0</v>
      </c>
      <c r="AG312" s="105" t="b">
        <f t="shared" si="9"/>
        <v>0</v>
      </c>
      <c r="AH312" s="140"/>
      <c r="AI312" s="140"/>
      <c r="AJ312" s="140"/>
      <c r="AK312" s="117" t="str">
        <f t="shared" si="10"/>
        <v>Negative</v>
      </c>
      <c r="AL312" s="142"/>
      <c r="AM312" s="112" t="s">
        <v>273</v>
      </c>
      <c r="AN312" s="112" t="s">
        <v>1049</v>
      </c>
      <c r="AO312" s="112" t="str">
        <f>IFERROR(__xludf.DUMMYFUNCTION("IF($AG312, ""DELETED"",TRIM(JOIN("" "",D312:E312)))"),"")</f>
        <v/>
      </c>
      <c r="AP312" s="112" t="str">
        <f t="shared" ref="AP312:AQ312" si="337">IF($AG312, "DELETED", TRIM(CONCATENATE(F312,I312,U312)))</f>
        <v/>
      </c>
      <c r="AQ312" s="112" t="str">
        <f t="shared" si="337"/>
        <v/>
      </c>
      <c r="AR312" s="112" t="str">
        <f>IFERROR(__xludf.DUMMYFUNCTION("IF($AG312, ""DELETED"", TRIM(JOIN("" "",AP312,AQ312)))"),"")</f>
        <v/>
      </c>
      <c r="AS312" s="118"/>
      <c r="AT312" s="110" t="b">
        <f t="shared" si="12"/>
        <v>0</v>
      </c>
      <c r="AU312" s="110" t="str">
        <f t="shared" si="13"/>
        <v/>
      </c>
      <c r="AV312" s="110" t="str">
        <f t="shared" si="14"/>
        <v/>
      </c>
      <c r="AW312" s="110" t="str">
        <f t="shared" si="15"/>
        <v/>
      </c>
      <c r="AX312" s="119" t="str">
        <f t="shared" si="16"/>
        <v/>
      </c>
      <c r="AY312" s="120"/>
      <c r="AZ312" s="121"/>
      <c r="BA312" s="122" t="str">
        <f t="shared" si="17"/>
        <v/>
      </c>
      <c r="BB312" s="34"/>
      <c r="BC312" s="121"/>
      <c r="BD312" s="136"/>
      <c r="BE312" s="125" t="str">
        <f t="shared" si="18"/>
        <v/>
      </c>
      <c r="BF312" s="126" t="str">
        <f t="shared" si="19"/>
        <v>MA524__44587_0.356689814814815</v>
      </c>
      <c r="BG312" s="127" t="str">
        <f t="shared" si="20"/>
        <v/>
      </c>
      <c r="BH312" s="137" t="s">
        <v>1050</v>
      </c>
      <c r="BI312" s="128" t="str">
        <f t="shared" si="21"/>
        <v>MA1062</v>
      </c>
      <c r="BJ312" s="129" t="b">
        <f t="shared" si="22"/>
        <v>0</v>
      </c>
      <c r="BK312" s="128" t="str">
        <f t="shared" si="23"/>
        <v/>
      </c>
      <c r="BL312" s="121"/>
      <c r="BM312" s="5" t="str">
        <f t="shared" si="24"/>
        <v>MISSING</v>
      </c>
      <c r="BN312" s="120" t="b">
        <f t="shared" si="25"/>
        <v>0</v>
      </c>
      <c r="BO312" s="131" t="b">
        <f t="shared" si="26"/>
        <v>1</v>
      </c>
      <c r="BP312" s="121"/>
      <c r="BQ312" s="132" t="str">
        <f>VLOOKUP(A312,RAW_APS!A$3:O826,15,FALSE)</f>
        <v/>
      </c>
      <c r="BR312" s="120" t="b">
        <f t="shared" si="27"/>
        <v>1</v>
      </c>
      <c r="BS312" s="121"/>
      <c r="BT312" s="138" t="s">
        <v>244</v>
      </c>
      <c r="BU312" s="10" t="b">
        <f t="shared" si="28"/>
        <v>1</v>
      </c>
      <c r="BV312" s="120"/>
      <c r="BW312" s="120"/>
      <c r="BX312" s="120"/>
      <c r="BY312" s="120"/>
      <c r="BZ312" s="120"/>
      <c r="CA312" s="120"/>
      <c r="CB312" s="120"/>
      <c r="CC312" s="120"/>
    </row>
    <row r="313">
      <c r="A313" s="2" t="s">
        <v>1051</v>
      </c>
      <c r="B313" s="100">
        <v>44587.0</v>
      </c>
      <c r="C313" s="101">
        <v>0.38894675925925926</v>
      </c>
      <c r="D313" s="102"/>
      <c r="E313" s="102"/>
      <c r="F313" s="102"/>
      <c r="G313" s="102"/>
      <c r="H313" s="102"/>
      <c r="I313" s="103"/>
      <c r="J313" s="103"/>
      <c r="K313" s="2" t="s">
        <v>244</v>
      </c>
      <c r="L313" s="100">
        <v>44587.0</v>
      </c>
      <c r="M313" s="101">
        <v>0.5005671296296297</v>
      </c>
      <c r="P313" s="104" t="b">
        <f>IFNA(IF(VLOOKUP($A313,'Add from APT'!$AA$2:$AC826,3,FALSE)&gt;0,TRUE,FALSE),"ER - NOT IN APT")</f>
        <v>0</v>
      </c>
      <c r="Q313" s="105" t="str">
        <f>IF(ISLOGICAL(P313),IF(P313,"ER - REPS IN APT", IFNA(VLOOKUP($A313,RAW_APT!$A$3:$M826,7,FALSE),"ER - NOT IN APT")),P313)</f>
        <v>Result</v>
      </c>
      <c r="R313" s="106" t="b">
        <f t="shared" si="2"/>
        <v>1</v>
      </c>
      <c r="S313" s="107">
        <f t="shared" si="3"/>
        <v>1</v>
      </c>
      <c r="T313" s="143"/>
      <c r="U313" s="142"/>
      <c r="V313" s="142"/>
      <c r="W313" s="142"/>
      <c r="X313" s="110" t="b">
        <f t="shared" si="4"/>
        <v>0</v>
      </c>
      <c r="Y313" s="111" t="b">
        <v>0</v>
      </c>
      <c r="Z313" s="104" t="str">
        <f t="shared" si="5"/>
        <v/>
      </c>
      <c r="AA313" s="112" t="b">
        <f t="shared" si="6"/>
        <v>0</v>
      </c>
      <c r="AB313" s="142" t="b">
        <v>0</v>
      </c>
      <c r="AC313" s="140">
        <v>495.0</v>
      </c>
      <c r="AD313" s="141" t="b">
        <v>0</v>
      </c>
      <c r="AE313" s="115">
        <f t="shared" si="7"/>
        <v>160.7333333</v>
      </c>
      <c r="AF313" s="116" t="b">
        <f t="shared" si="8"/>
        <v>0</v>
      </c>
      <c r="AG313" s="105" t="b">
        <f t="shared" si="9"/>
        <v>0</v>
      </c>
      <c r="AH313" s="140"/>
      <c r="AI313" s="140"/>
      <c r="AJ313" s="140"/>
      <c r="AK313" s="117" t="str">
        <f t="shared" si="10"/>
        <v>Negative</v>
      </c>
      <c r="AL313" s="142"/>
      <c r="AM313" s="112" t="s">
        <v>261</v>
      </c>
      <c r="AN313" s="112" t="s">
        <v>262</v>
      </c>
      <c r="AO313" s="112" t="str">
        <f>IFERROR(__xludf.DUMMYFUNCTION("IF($AG313, ""DELETED"",TRIM(JOIN("" "",D313:E313)))"),"")</f>
        <v/>
      </c>
      <c r="AP313" s="112" t="str">
        <f t="shared" ref="AP313:AQ313" si="338">IF($AG313, "DELETED", TRIM(CONCATENATE(F313,I313,U313)))</f>
        <v/>
      </c>
      <c r="AQ313" s="112" t="str">
        <f t="shared" si="338"/>
        <v/>
      </c>
      <c r="AR313" s="112" t="str">
        <f>IFERROR(__xludf.DUMMYFUNCTION("IF($AG313, ""DELETED"", TRIM(JOIN("" "",AP313,AQ313)))"),"")</f>
        <v/>
      </c>
      <c r="AS313" s="118"/>
      <c r="AT313" s="110" t="b">
        <f t="shared" si="12"/>
        <v>0</v>
      </c>
      <c r="AU313" s="110" t="str">
        <f t="shared" si="13"/>
        <v/>
      </c>
      <c r="AV313" s="110" t="str">
        <f t="shared" si="14"/>
        <v/>
      </c>
      <c r="AW313" s="110" t="str">
        <f t="shared" si="15"/>
        <v/>
      </c>
      <c r="AX313" s="119" t="str">
        <f t="shared" si="16"/>
        <v/>
      </c>
      <c r="AY313" s="120"/>
      <c r="AZ313" s="121"/>
      <c r="BA313" s="122" t="str">
        <f t="shared" si="17"/>
        <v/>
      </c>
      <c r="BB313" s="34"/>
      <c r="BC313" s="121"/>
      <c r="BD313" s="136"/>
      <c r="BE313" s="125" t="str">
        <f t="shared" si="18"/>
        <v/>
      </c>
      <c r="BF313" s="126" t="str">
        <f t="shared" si="19"/>
        <v>MAX123__44587_0.388946759259259</v>
      </c>
      <c r="BG313" s="127" t="str">
        <f t="shared" si="20"/>
        <v/>
      </c>
      <c r="BH313" s="137" t="s">
        <v>1052</v>
      </c>
      <c r="BI313" s="128" t="str">
        <f t="shared" si="21"/>
        <v>MA1063</v>
      </c>
      <c r="BJ313" s="129" t="b">
        <f t="shared" si="22"/>
        <v>0</v>
      </c>
      <c r="BK313" s="128" t="str">
        <f t="shared" si="23"/>
        <v/>
      </c>
      <c r="BL313" s="121"/>
      <c r="BM313" s="5" t="str">
        <f t="shared" si="24"/>
        <v>MISSING</v>
      </c>
      <c r="BN313" s="120" t="b">
        <f t="shared" si="25"/>
        <v>0</v>
      </c>
      <c r="BO313" s="131" t="b">
        <f t="shared" si="26"/>
        <v>1</v>
      </c>
      <c r="BP313" s="121"/>
      <c r="BQ313" s="132" t="str">
        <f>VLOOKUP(A313,RAW_APS!A$3:O826,15,FALSE)</f>
        <v/>
      </c>
      <c r="BR313" s="120" t="b">
        <f t="shared" si="27"/>
        <v>1</v>
      </c>
      <c r="BS313" s="121"/>
      <c r="BT313" s="138" t="s">
        <v>244</v>
      </c>
      <c r="BU313" s="10" t="b">
        <f t="shared" si="28"/>
        <v>1</v>
      </c>
      <c r="BV313" s="120"/>
      <c r="BW313" s="120"/>
      <c r="BX313" s="120"/>
      <c r="BY313" s="120"/>
      <c r="BZ313" s="120"/>
      <c r="CA313" s="120"/>
      <c r="CB313" s="120"/>
      <c r="CC313" s="120"/>
    </row>
    <row r="314">
      <c r="A314" s="2" t="s">
        <v>1053</v>
      </c>
      <c r="B314" s="100">
        <v>44589.0</v>
      </c>
      <c r="C314" s="101">
        <v>0.31453703703703706</v>
      </c>
      <c r="D314" s="102"/>
      <c r="E314" s="102"/>
      <c r="F314" s="102"/>
      <c r="G314" s="102"/>
      <c r="H314" s="102"/>
      <c r="I314" s="103"/>
      <c r="J314" s="103"/>
      <c r="K314" s="2" t="s">
        <v>244</v>
      </c>
      <c r="L314" s="100">
        <v>44589.0</v>
      </c>
      <c r="M314" s="101">
        <v>0.48390046296296296</v>
      </c>
      <c r="P314" s="104" t="b">
        <f>IFNA(IF(VLOOKUP($A314,'Add from APT'!$AA$2:$AC826,3,FALSE)&gt;0,TRUE,FALSE),"ER - NOT IN APT")</f>
        <v>0</v>
      </c>
      <c r="Q314" s="105" t="str">
        <f>IF(ISLOGICAL(P314),IF(P314,"ER - REPS IN APT", IFNA(VLOOKUP($A314,RAW_APT!$A$3:$M826,7,FALSE),"ER - NOT IN APT")),P314)</f>
        <v>Result</v>
      </c>
      <c r="R314" s="106" t="b">
        <f t="shared" si="2"/>
        <v>1</v>
      </c>
      <c r="S314" s="107">
        <f t="shared" si="3"/>
        <v>1</v>
      </c>
      <c r="T314" s="143"/>
      <c r="U314" s="142"/>
      <c r="V314" s="142"/>
      <c r="W314" s="142"/>
      <c r="X314" s="110" t="b">
        <f t="shared" si="4"/>
        <v>0</v>
      </c>
      <c r="Y314" s="111" t="b">
        <v>0</v>
      </c>
      <c r="Z314" s="104" t="str">
        <f t="shared" si="5"/>
        <v/>
      </c>
      <c r="AA314" s="112" t="b">
        <f t="shared" si="6"/>
        <v>0</v>
      </c>
      <c r="AB314" s="142" t="b">
        <v>0</v>
      </c>
      <c r="AC314" s="140">
        <v>494.0</v>
      </c>
      <c r="AD314" s="141" t="b">
        <v>0</v>
      </c>
      <c r="AE314" s="115">
        <f t="shared" si="7"/>
        <v>243.8833333</v>
      </c>
      <c r="AF314" s="116" t="b">
        <f t="shared" si="8"/>
        <v>0</v>
      </c>
      <c r="AG314" s="105" t="b">
        <f t="shared" si="9"/>
        <v>0</v>
      </c>
      <c r="AH314" s="140"/>
      <c r="AI314" s="140"/>
      <c r="AJ314" s="140"/>
      <c r="AK314" s="117" t="str">
        <f t="shared" si="10"/>
        <v>Negative</v>
      </c>
      <c r="AL314" s="142"/>
      <c r="AM314" s="112" t="s">
        <v>865</v>
      </c>
      <c r="AN314" s="112" t="s">
        <v>548</v>
      </c>
      <c r="AO314" s="112" t="str">
        <f>IFERROR(__xludf.DUMMYFUNCTION("IF($AG314, ""DELETED"",TRIM(JOIN("" "",D314:E314)))"),"")</f>
        <v/>
      </c>
      <c r="AP314" s="112" t="str">
        <f t="shared" ref="AP314:AQ314" si="339">IF($AG314, "DELETED", TRIM(CONCATENATE(F314,I314,U314)))</f>
        <v/>
      </c>
      <c r="AQ314" s="112" t="str">
        <f t="shared" si="339"/>
        <v/>
      </c>
      <c r="AR314" s="112" t="str">
        <f>IFERROR(__xludf.DUMMYFUNCTION("IF($AG314, ""DELETED"", TRIM(JOIN("" "",AP314,AQ314)))"),"")</f>
        <v/>
      </c>
      <c r="AS314" s="118"/>
      <c r="AT314" s="110" t="b">
        <f t="shared" si="12"/>
        <v>0</v>
      </c>
      <c r="AU314" s="110" t="str">
        <f t="shared" si="13"/>
        <v/>
      </c>
      <c r="AV314" s="110" t="str">
        <f t="shared" si="14"/>
        <v/>
      </c>
      <c r="AW314" s="110" t="str">
        <f t="shared" si="15"/>
        <v/>
      </c>
      <c r="AX314" s="119" t="str">
        <f t="shared" si="16"/>
        <v/>
      </c>
      <c r="AY314" s="120"/>
      <c r="AZ314" s="121"/>
      <c r="BA314" s="122" t="str">
        <f t="shared" si="17"/>
        <v/>
      </c>
      <c r="BB314" s="34"/>
      <c r="BC314" s="121"/>
      <c r="BD314" s="136"/>
      <c r="BE314" s="125" t="str">
        <f t="shared" si="18"/>
        <v/>
      </c>
      <c r="BF314" s="126" t="str">
        <f t="shared" si="19"/>
        <v>MA271__44589_0.314537037037037</v>
      </c>
      <c r="BG314" s="127" t="str">
        <f t="shared" si="20"/>
        <v/>
      </c>
      <c r="BH314" s="137" t="s">
        <v>1054</v>
      </c>
      <c r="BI314" s="128" t="str">
        <f t="shared" si="21"/>
        <v>MA1064</v>
      </c>
      <c r="BJ314" s="129" t="b">
        <f t="shared" si="22"/>
        <v>0</v>
      </c>
      <c r="BK314" s="128" t="str">
        <f t="shared" si="23"/>
        <v/>
      </c>
      <c r="BL314" s="121"/>
      <c r="BM314" s="5" t="str">
        <f t="shared" si="24"/>
        <v>MISSING</v>
      </c>
      <c r="BN314" s="120" t="b">
        <f t="shared" si="25"/>
        <v>0</v>
      </c>
      <c r="BO314" s="131" t="b">
        <f t="shared" si="26"/>
        <v>1</v>
      </c>
      <c r="BP314" s="121"/>
      <c r="BQ314" s="132" t="str">
        <f>VLOOKUP(A314,RAW_APS!A$3:O826,15,FALSE)</f>
        <v/>
      </c>
      <c r="BR314" s="120" t="b">
        <f t="shared" si="27"/>
        <v>1</v>
      </c>
      <c r="BS314" s="121"/>
      <c r="BT314" s="138" t="s">
        <v>244</v>
      </c>
      <c r="BU314" s="10" t="b">
        <f t="shared" si="28"/>
        <v>1</v>
      </c>
      <c r="BV314" s="120"/>
      <c r="BW314" s="120"/>
      <c r="BX314" s="120"/>
      <c r="BY314" s="120"/>
      <c r="BZ314" s="120"/>
      <c r="CA314" s="120"/>
      <c r="CB314" s="120"/>
      <c r="CC314" s="120"/>
    </row>
    <row r="315">
      <c r="A315" s="2" t="s">
        <v>1055</v>
      </c>
      <c r="B315" s="100">
        <v>44589.0</v>
      </c>
      <c r="C315" s="101">
        <v>0.33037037037037037</v>
      </c>
      <c r="D315" s="102"/>
      <c r="E315" s="102"/>
      <c r="F315" s="102"/>
      <c r="G315" s="102"/>
      <c r="H315" s="102"/>
      <c r="I315" s="103"/>
      <c r="J315" s="103"/>
      <c r="K315" s="2" t="s">
        <v>244</v>
      </c>
      <c r="L315" s="100">
        <v>44589.0</v>
      </c>
      <c r="M315" s="101">
        <v>0.48390046296296296</v>
      </c>
      <c r="P315" s="104" t="b">
        <f>IFNA(IF(VLOOKUP($A315,'Add from APT'!$AA$2:$AC826,3,FALSE)&gt;0,TRUE,FALSE),"ER - NOT IN APT")</f>
        <v>0</v>
      </c>
      <c r="Q315" s="105" t="str">
        <f>IF(ISLOGICAL(P315),IF(P315,"ER - REPS IN APT", IFNA(VLOOKUP($A315,RAW_APT!$A$3:$M826,7,FALSE),"ER - NOT IN APT")),P315)</f>
        <v>Result</v>
      </c>
      <c r="R315" s="106" t="b">
        <f t="shared" si="2"/>
        <v>1</v>
      </c>
      <c r="S315" s="107">
        <f t="shared" si="3"/>
        <v>1</v>
      </c>
      <c r="T315" s="143"/>
      <c r="U315" s="142"/>
      <c r="V315" s="142"/>
      <c r="W315" s="142"/>
      <c r="X315" s="110" t="b">
        <f t="shared" si="4"/>
        <v>0</v>
      </c>
      <c r="Y315" s="111" t="b">
        <v>0</v>
      </c>
      <c r="Z315" s="104" t="str">
        <f t="shared" si="5"/>
        <v/>
      </c>
      <c r="AA315" s="112" t="b">
        <f t="shared" si="6"/>
        <v>0</v>
      </c>
      <c r="AB315" s="142" t="b">
        <v>0</v>
      </c>
      <c r="AC315" s="140">
        <v>493.0</v>
      </c>
      <c r="AD315" s="141" t="b">
        <v>0</v>
      </c>
      <c r="AE315" s="115">
        <f t="shared" si="7"/>
        <v>221.0833333</v>
      </c>
      <c r="AF315" s="116" t="b">
        <f t="shared" si="8"/>
        <v>0</v>
      </c>
      <c r="AG315" s="105" t="b">
        <f t="shared" si="9"/>
        <v>0</v>
      </c>
      <c r="AH315" s="140"/>
      <c r="AI315" s="140"/>
      <c r="AJ315" s="140"/>
      <c r="AK315" s="117" t="str">
        <f t="shared" si="10"/>
        <v>Negative</v>
      </c>
      <c r="AL315" s="142"/>
      <c r="AM315" s="112" t="s">
        <v>577</v>
      </c>
      <c r="AN315" s="112" t="s">
        <v>578</v>
      </c>
      <c r="AO315" s="112" t="str">
        <f>IFERROR(__xludf.DUMMYFUNCTION("IF($AG315, ""DELETED"",TRIM(JOIN("" "",D315:E315)))"),"")</f>
        <v/>
      </c>
      <c r="AP315" s="112" t="str">
        <f t="shared" ref="AP315:AQ315" si="340">IF($AG315, "DELETED", TRIM(CONCATENATE(F315,I315,U315)))</f>
        <v/>
      </c>
      <c r="AQ315" s="112" t="str">
        <f t="shared" si="340"/>
        <v/>
      </c>
      <c r="AR315" s="112" t="str">
        <f>IFERROR(__xludf.DUMMYFUNCTION("IF($AG315, ""DELETED"", TRIM(JOIN("" "",AP315,AQ315)))"),"")</f>
        <v/>
      </c>
      <c r="AS315" s="118"/>
      <c r="AT315" s="110" t="b">
        <f t="shared" si="12"/>
        <v>0</v>
      </c>
      <c r="AU315" s="110" t="str">
        <f t="shared" si="13"/>
        <v/>
      </c>
      <c r="AV315" s="110" t="str">
        <f t="shared" si="14"/>
        <v/>
      </c>
      <c r="AW315" s="110" t="str">
        <f t="shared" si="15"/>
        <v/>
      </c>
      <c r="AX315" s="119" t="str">
        <f t="shared" si="16"/>
        <v/>
      </c>
      <c r="AY315" s="120"/>
      <c r="AZ315" s="121"/>
      <c r="BA315" s="122" t="str">
        <f t="shared" si="17"/>
        <v/>
      </c>
      <c r="BB315" s="34"/>
      <c r="BC315" s="121"/>
      <c r="BD315" s="136"/>
      <c r="BE315" s="125" t="str">
        <f t="shared" si="18"/>
        <v/>
      </c>
      <c r="BF315" s="126" t="str">
        <f t="shared" si="19"/>
        <v>MA247__44589_0.33037037037037</v>
      </c>
      <c r="BG315" s="127" t="str">
        <f t="shared" si="20"/>
        <v/>
      </c>
      <c r="BH315" s="137" t="s">
        <v>1056</v>
      </c>
      <c r="BI315" s="128" t="str">
        <f t="shared" si="21"/>
        <v>MA1065</v>
      </c>
      <c r="BJ315" s="129" t="b">
        <f t="shared" si="22"/>
        <v>0</v>
      </c>
      <c r="BK315" s="128" t="str">
        <f t="shared" si="23"/>
        <v/>
      </c>
      <c r="BL315" s="121"/>
      <c r="BM315" s="5" t="str">
        <f t="shared" si="24"/>
        <v>MISSING</v>
      </c>
      <c r="BN315" s="120" t="b">
        <f t="shared" si="25"/>
        <v>0</v>
      </c>
      <c r="BO315" s="131" t="b">
        <f t="shared" si="26"/>
        <v>1</v>
      </c>
      <c r="BP315" s="121"/>
      <c r="BQ315" s="132" t="str">
        <f>VLOOKUP(A315,RAW_APS!A$3:O826,15,FALSE)</f>
        <v/>
      </c>
      <c r="BR315" s="120" t="b">
        <f t="shared" si="27"/>
        <v>1</v>
      </c>
      <c r="BS315" s="121"/>
      <c r="BT315" s="138" t="s">
        <v>244</v>
      </c>
      <c r="BU315" s="10" t="b">
        <f t="shared" si="28"/>
        <v>1</v>
      </c>
      <c r="BV315" s="120"/>
      <c r="BW315" s="120"/>
      <c r="BX315" s="120"/>
      <c r="BY315" s="120"/>
      <c r="BZ315" s="120"/>
      <c r="CA315" s="120"/>
      <c r="CB315" s="120"/>
      <c r="CC315" s="120"/>
    </row>
    <row r="316">
      <c r="A316" s="2" t="s">
        <v>1057</v>
      </c>
      <c r="B316" s="100">
        <v>44589.0</v>
      </c>
      <c r="C316" s="101">
        <v>0.33152777777777775</v>
      </c>
      <c r="D316" s="102"/>
      <c r="E316" s="102"/>
      <c r="F316" s="139"/>
      <c r="G316" s="103"/>
      <c r="H316" s="103"/>
      <c r="I316" s="103"/>
      <c r="J316" s="103"/>
      <c r="K316" s="2" t="s">
        <v>244</v>
      </c>
      <c r="L316" s="100">
        <v>44589.0</v>
      </c>
      <c r="M316" s="101">
        <v>0.48390046296296296</v>
      </c>
      <c r="P316" s="104" t="b">
        <f>IFNA(IF(VLOOKUP($A316,'Add from APT'!$AA$2:$AC826,3,FALSE)&gt;0,TRUE,FALSE),"ER - NOT IN APT")</f>
        <v>0</v>
      </c>
      <c r="Q316" s="105" t="str">
        <f>IF(ISLOGICAL(P316),IF(P316,"ER - REPS IN APT", IFNA(VLOOKUP($A316,RAW_APT!$A$3:$M826,7,FALSE),"ER - NOT IN APT")),P316)</f>
        <v>Result</v>
      </c>
      <c r="R316" s="106" t="b">
        <f t="shared" si="2"/>
        <v>1</v>
      </c>
      <c r="S316" s="107">
        <f t="shared" si="3"/>
        <v>1</v>
      </c>
      <c r="T316" s="140">
        <v>0.0</v>
      </c>
      <c r="U316" s="141"/>
      <c r="W316" s="142"/>
      <c r="X316" s="110" t="b">
        <f t="shared" si="4"/>
        <v>0</v>
      </c>
      <c r="Y316" s="111" t="b">
        <v>0</v>
      </c>
      <c r="Z316" s="104" t="str">
        <f t="shared" si="5"/>
        <v/>
      </c>
      <c r="AA316" s="112" t="b">
        <f t="shared" si="6"/>
        <v>0</v>
      </c>
      <c r="AB316" s="142" t="b">
        <v>0</v>
      </c>
      <c r="AC316" s="140">
        <v>492.0</v>
      </c>
      <c r="AD316" s="141" t="b">
        <v>0</v>
      </c>
      <c r="AE316" s="115">
        <f t="shared" si="7"/>
        <v>219.4166667</v>
      </c>
      <c r="AF316" s="116" t="b">
        <f t="shared" si="8"/>
        <v>0</v>
      </c>
      <c r="AG316" s="105" t="b">
        <f t="shared" si="9"/>
        <v>0</v>
      </c>
      <c r="AH316" s="140"/>
      <c r="AI316" s="140"/>
      <c r="AJ316" s="140"/>
      <c r="AK316" s="117" t="str">
        <f t="shared" si="10"/>
        <v>Negative</v>
      </c>
      <c r="AL316" s="142"/>
      <c r="AM316" s="112" t="s">
        <v>587</v>
      </c>
      <c r="AN316" s="112" t="s">
        <v>960</v>
      </c>
      <c r="AO316" s="112" t="str">
        <f>IFERROR(__xludf.DUMMYFUNCTION("IF($AG316, ""DELETED"",TRIM(JOIN("" "",D316:E316)))"),"")</f>
        <v/>
      </c>
      <c r="AP316" s="112" t="str">
        <f t="shared" ref="AP316:AQ316" si="341">IF($AG316, "DELETED", TRIM(CONCATENATE(F316,I316,U316)))</f>
        <v/>
      </c>
      <c r="AQ316" s="112" t="str">
        <f t="shared" si="341"/>
        <v/>
      </c>
      <c r="AR316" s="112" t="str">
        <f>IFERROR(__xludf.DUMMYFUNCTION("IF($AG316, ""DELETED"", TRIM(JOIN("" "",AP316,AQ316)))"),"")</f>
        <v/>
      </c>
      <c r="AS316" s="118"/>
      <c r="AT316" s="110" t="b">
        <f t="shared" si="12"/>
        <v>0</v>
      </c>
      <c r="AU316" s="110" t="str">
        <f t="shared" si="13"/>
        <v/>
      </c>
      <c r="AV316" s="110" t="str">
        <f t="shared" si="14"/>
        <v/>
      </c>
      <c r="AW316" s="110" t="str">
        <f t="shared" si="15"/>
        <v/>
      </c>
      <c r="AX316" s="119" t="str">
        <f t="shared" si="16"/>
        <v/>
      </c>
      <c r="AY316" s="120"/>
      <c r="AZ316" s="121"/>
      <c r="BA316" s="122" t="str">
        <f t="shared" si="17"/>
        <v/>
      </c>
      <c r="BB316" s="34"/>
      <c r="BC316" s="121"/>
      <c r="BD316" s="136"/>
      <c r="BE316" s="125" t="str">
        <f t="shared" si="18"/>
        <v/>
      </c>
      <c r="BF316" s="126" t="str">
        <f t="shared" si="19"/>
        <v>MA607__44589_0.331527777777778</v>
      </c>
      <c r="BG316" s="127" t="str">
        <f t="shared" si="20"/>
        <v/>
      </c>
      <c r="BH316" s="137" t="s">
        <v>1058</v>
      </c>
      <c r="BI316" s="128" t="str">
        <f t="shared" si="21"/>
        <v>MA1066</v>
      </c>
      <c r="BJ316" s="129" t="b">
        <f t="shared" si="22"/>
        <v>0</v>
      </c>
      <c r="BK316" s="128" t="str">
        <f t="shared" si="23"/>
        <v/>
      </c>
      <c r="BL316" s="121"/>
      <c r="BM316" s="5" t="str">
        <f t="shared" si="24"/>
        <v>MISSING</v>
      </c>
      <c r="BN316" s="120" t="b">
        <f t="shared" si="25"/>
        <v>0</v>
      </c>
      <c r="BO316" s="131" t="b">
        <f t="shared" si="26"/>
        <v>1</v>
      </c>
      <c r="BP316" s="121"/>
      <c r="BQ316" s="132" t="str">
        <f>VLOOKUP(A316,RAW_APS!A$3:O826,15,FALSE)</f>
        <v/>
      </c>
      <c r="BR316" s="120" t="b">
        <f t="shared" si="27"/>
        <v>1</v>
      </c>
      <c r="BS316" s="121"/>
      <c r="BT316" s="138" t="s">
        <v>244</v>
      </c>
      <c r="BU316" s="10" t="b">
        <f t="shared" si="28"/>
        <v>1</v>
      </c>
      <c r="BV316" s="120"/>
      <c r="BW316" s="120"/>
      <c r="BX316" s="120"/>
      <c r="BY316" s="120"/>
      <c r="BZ316" s="120"/>
      <c r="CA316" s="120"/>
      <c r="CB316" s="120"/>
      <c r="CC316" s="120"/>
    </row>
    <row r="317">
      <c r="A317" s="2" t="s">
        <v>1059</v>
      </c>
      <c r="B317" s="100">
        <v>44589.0</v>
      </c>
      <c r="C317" s="101">
        <v>0.33208333333333334</v>
      </c>
      <c r="D317" s="102"/>
      <c r="E317" s="102"/>
      <c r="F317" s="102"/>
      <c r="G317" s="102"/>
      <c r="H317" s="102"/>
      <c r="I317" s="103"/>
      <c r="J317" s="103"/>
      <c r="K317" s="2" t="s">
        <v>244</v>
      </c>
      <c r="L317" s="100">
        <v>44589.0</v>
      </c>
      <c r="M317" s="101">
        <v>0.48390046296296296</v>
      </c>
      <c r="P317" s="104" t="b">
        <f>IFNA(IF(VLOOKUP($A317,'Add from APT'!$AA$2:$AC826,3,FALSE)&gt;0,TRUE,FALSE),"ER - NOT IN APT")</f>
        <v>0</v>
      </c>
      <c r="Q317" s="105" t="str">
        <f>IF(ISLOGICAL(P317),IF(P317,"ER - REPS IN APT", IFNA(VLOOKUP($A317,RAW_APT!$A$3:$M826,7,FALSE),"ER - NOT IN APT")),P317)</f>
        <v>Result</v>
      </c>
      <c r="R317" s="106" t="b">
        <f t="shared" si="2"/>
        <v>1</v>
      </c>
      <c r="S317" s="107">
        <f t="shared" si="3"/>
        <v>1</v>
      </c>
      <c r="T317" s="143"/>
      <c r="U317" s="142"/>
      <c r="V317" s="142"/>
      <c r="W317" s="142"/>
      <c r="X317" s="110" t="b">
        <f t="shared" si="4"/>
        <v>0</v>
      </c>
      <c r="Y317" s="111" t="b">
        <v>0</v>
      </c>
      <c r="Z317" s="104" t="str">
        <f t="shared" si="5"/>
        <v/>
      </c>
      <c r="AA317" s="112" t="b">
        <f t="shared" si="6"/>
        <v>0</v>
      </c>
      <c r="AB317" s="142" t="b">
        <v>0</v>
      </c>
      <c r="AC317" s="140">
        <v>491.0</v>
      </c>
      <c r="AD317" s="141" t="b">
        <v>0</v>
      </c>
      <c r="AE317" s="115">
        <f t="shared" si="7"/>
        <v>218.6166667</v>
      </c>
      <c r="AF317" s="116" t="b">
        <f t="shared" si="8"/>
        <v>0</v>
      </c>
      <c r="AG317" s="105" t="b">
        <f t="shared" si="9"/>
        <v>0</v>
      </c>
      <c r="AH317" s="140"/>
      <c r="AI317" s="140"/>
      <c r="AJ317" s="140"/>
      <c r="AK317" s="117" t="str">
        <f t="shared" si="10"/>
        <v>Negative</v>
      </c>
      <c r="AL317" s="142"/>
      <c r="AM317" s="112" t="s">
        <v>587</v>
      </c>
      <c r="AN317" s="112" t="s">
        <v>588</v>
      </c>
      <c r="AO317" s="112" t="str">
        <f>IFERROR(__xludf.DUMMYFUNCTION("IF($AG317, ""DELETED"",TRIM(JOIN("" "",D317:E317)))"),"")</f>
        <v/>
      </c>
      <c r="AP317" s="112" t="str">
        <f t="shared" ref="AP317:AQ317" si="342">IF($AG317, "DELETED", TRIM(CONCATENATE(F317,I317,U317)))</f>
        <v/>
      </c>
      <c r="AQ317" s="112" t="str">
        <f t="shared" si="342"/>
        <v/>
      </c>
      <c r="AR317" s="112" t="str">
        <f>IFERROR(__xludf.DUMMYFUNCTION("IF($AG317, ""DELETED"", TRIM(JOIN("" "",AP317,AQ317)))"),"")</f>
        <v/>
      </c>
      <c r="AS317" s="118"/>
      <c r="AT317" s="110" t="b">
        <f t="shared" si="12"/>
        <v>0</v>
      </c>
      <c r="AU317" s="110" t="str">
        <f t="shared" si="13"/>
        <v/>
      </c>
      <c r="AV317" s="110" t="str">
        <f t="shared" si="14"/>
        <v/>
      </c>
      <c r="AW317" s="110" t="str">
        <f t="shared" si="15"/>
        <v/>
      </c>
      <c r="AX317" s="119" t="str">
        <f t="shared" si="16"/>
        <v/>
      </c>
      <c r="AY317" s="120"/>
      <c r="AZ317" s="121"/>
      <c r="BA317" s="122" t="str">
        <f t="shared" si="17"/>
        <v/>
      </c>
      <c r="BB317" s="34"/>
      <c r="BC317" s="121"/>
      <c r="BD317" s="136"/>
      <c r="BE317" s="125" t="str">
        <f t="shared" si="18"/>
        <v/>
      </c>
      <c r="BF317" s="126" t="str">
        <f t="shared" si="19"/>
        <v>MA1120__44589_0.332083333333333</v>
      </c>
      <c r="BG317" s="127" t="str">
        <f t="shared" si="20"/>
        <v/>
      </c>
      <c r="BH317" s="137" t="s">
        <v>1060</v>
      </c>
      <c r="BI317" s="128" t="str">
        <f t="shared" si="21"/>
        <v>MA1067</v>
      </c>
      <c r="BJ317" s="129" t="b">
        <f t="shared" si="22"/>
        <v>0</v>
      </c>
      <c r="BK317" s="128" t="str">
        <f t="shared" si="23"/>
        <v/>
      </c>
      <c r="BL317" s="121"/>
      <c r="BM317" s="5" t="str">
        <f t="shared" si="24"/>
        <v>MISSING</v>
      </c>
      <c r="BN317" s="120" t="b">
        <f t="shared" si="25"/>
        <v>0</v>
      </c>
      <c r="BO317" s="131" t="b">
        <f t="shared" si="26"/>
        <v>1</v>
      </c>
      <c r="BP317" s="121"/>
      <c r="BQ317" s="132" t="str">
        <f>VLOOKUP(A317,RAW_APS!A$3:O826,15,FALSE)</f>
        <v/>
      </c>
      <c r="BR317" s="120" t="b">
        <f t="shared" si="27"/>
        <v>1</v>
      </c>
      <c r="BS317" s="121"/>
      <c r="BT317" s="138" t="s">
        <v>244</v>
      </c>
      <c r="BU317" s="10" t="b">
        <f t="shared" si="28"/>
        <v>1</v>
      </c>
      <c r="BV317" s="120"/>
      <c r="BW317" s="120"/>
      <c r="BX317" s="120"/>
      <c r="BY317" s="120"/>
      <c r="BZ317" s="120"/>
      <c r="CA317" s="120"/>
      <c r="CB317" s="120"/>
      <c r="CC317" s="120"/>
    </row>
    <row r="318">
      <c r="A318" s="2" t="s">
        <v>1061</v>
      </c>
      <c r="B318" s="100">
        <v>44589.0</v>
      </c>
      <c r="C318" s="101">
        <v>0.3442013888888889</v>
      </c>
      <c r="D318" s="102"/>
      <c r="E318" s="102"/>
      <c r="F318" s="102"/>
      <c r="G318" s="102"/>
      <c r="H318" s="102"/>
      <c r="I318" s="103"/>
      <c r="J318" s="103"/>
      <c r="K318" s="2" t="s">
        <v>244</v>
      </c>
      <c r="L318" s="100">
        <v>44589.0</v>
      </c>
      <c r="M318" s="101">
        <v>0.48390046296296296</v>
      </c>
      <c r="P318" s="104" t="b">
        <f>IFNA(IF(VLOOKUP($A318,'Add from APT'!$AA$2:$AC826,3,FALSE)&gt;0,TRUE,FALSE),"ER - NOT IN APT")</f>
        <v>0</v>
      </c>
      <c r="Q318" s="105" t="str">
        <f>IF(ISLOGICAL(P318),IF(P318,"ER - REPS IN APT", IFNA(VLOOKUP($A318,RAW_APT!$A$3:$M826,7,FALSE),"ER - NOT IN APT")),P318)</f>
        <v>Result</v>
      </c>
      <c r="R318" s="106" t="b">
        <f t="shared" si="2"/>
        <v>1</v>
      </c>
      <c r="S318" s="107">
        <f t="shared" si="3"/>
        <v>1</v>
      </c>
      <c r="T318" s="143"/>
      <c r="U318" s="142"/>
      <c r="V318" s="142"/>
      <c r="W318" s="142"/>
      <c r="X318" s="110" t="b">
        <f t="shared" si="4"/>
        <v>0</v>
      </c>
      <c r="Y318" s="111" t="b">
        <v>0</v>
      </c>
      <c r="Z318" s="104" t="str">
        <f t="shared" si="5"/>
        <v/>
      </c>
      <c r="AA318" s="112" t="b">
        <f t="shared" si="6"/>
        <v>0</v>
      </c>
      <c r="AB318" s="142" t="b">
        <v>0</v>
      </c>
      <c r="AC318" s="140">
        <v>490.0</v>
      </c>
      <c r="AD318" s="141" t="b">
        <v>0</v>
      </c>
      <c r="AE318" s="115">
        <f t="shared" si="7"/>
        <v>201.1666667</v>
      </c>
      <c r="AF318" s="116" t="b">
        <f t="shared" si="8"/>
        <v>0</v>
      </c>
      <c r="AG318" s="105" t="b">
        <f t="shared" si="9"/>
        <v>0</v>
      </c>
      <c r="AH318" s="140"/>
      <c r="AI318" s="140"/>
      <c r="AJ318" s="140"/>
      <c r="AK318" s="117" t="str">
        <f t="shared" si="10"/>
        <v>Negative</v>
      </c>
      <c r="AL318" s="142"/>
      <c r="AM318" s="112" t="s">
        <v>409</v>
      </c>
      <c r="AN318" s="112" t="s">
        <v>410</v>
      </c>
      <c r="AO318" s="112" t="str">
        <f>IFERROR(__xludf.DUMMYFUNCTION("IF($AG318, ""DELETED"",TRIM(JOIN("" "",D318:E318)))"),"")</f>
        <v/>
      </c>
      <c r="AP318" s="112" t="str">
        <f t="shared" ref="AP318:AQ318" si="343">IF($AG318, "DELETED", TRIM(CONCATENATE(F318,I318,U318)))</f>
        <v/>
      </c>
      <c r="AQ318" s="112" t="str">
        <f t="shared" si="343"/>
        <v/>
      </c>
      <c r="AR318" s="112" t="str">
        <f>IFERROR(__xludf.DUMMYFUNCTION("IF($AG318, ""DELETED"", TRIM(JOIN("" "",AP318,AQ318)))"),"")</f>
        <v/>
      </c>
      <c r="AS318" s="118"/>
      <c r="AT318" s="110" t="b">
        <f t="shared" si="12"/>
        <v>0</v>
      </c>
      <c r="AU318" s="110" t="str">
        <f t="shared" si="13"/>
        <v/>
      </c>
      <c r="AV318" s="110" t="str">
        <f t="shared" si="14"/>
        <v/>
      </c>
      <c r="AW318" s="110" t="str">
        <f t="shared" si="15"/>
        <v/>
      </c>
      <c r="AX318" s="119" t="str">
        <f t="shared" si="16"/>
        <v/>
      </c>
      <c r="AY318" s="120"/>
      <c r="AZ318" s="121"/>
      <c r="BA318" s="122" t="str">
        <f t="shared" si="17"/>
        <v/>
      </c>
      <c r="BB318" s="34"/>
      <c r="BC318" s="121"/>
      <c r="BD318" s="136"/>
      <c r="BE318" s="125" t="str">
        <f t="shared" si="18"/>
        <v/>
      </c>
      <c r="BF318" s="126" t="str">
        <f t="shared" si="19"/>
        <v>MA283__44589_0.344201388888889</v>
      </c>
      <c r="BG318" s="127" t="str">
        <f t="shared" si="20"/>
        <v/>
      </c>
      <c r="BH318" s="137" t="s">
        <v>1062</v>
      </c>
      <c r="BI318" s="128" t="str">
        <f t="shared" si="21"/>
        <v>MA1068</v>
      </c>
      <c r="BJ318" s="129" t="b">
        <f t="shared" si="22"/>
        <v>0</v>
      </c>
      <c r="BK318" s="128" t="str">
        <f t="shared" si="23"/>
        <v/>
      </c>
      <c r="BL318" s="121"/>
      <c r="BM318" s="5" t="str">
        <f t="shared" si="24"/>
        <v>MISSING</v>
      </c>
      <c r="BN318" s="120" t="b">
        <f t="shared" si="25"/>
        <v>0</v>
      </c>
      <c r="BO318" s="131" t="b">
        <f t="shared" si="26"/>
        <v>1</v>
      </c>
      <c r="BP318" s="121"/>
      <c r="BQ318" s="132" t="str">
        <f>VLOOKUP(A318,RAW_APS!A$3:O826,15,FALSE)</f>
        <v/>
      </c>
      <c r="BR318" s="120" t="b">
        <f t="shared" si="27"/>
        <v>1</v>
      </c>
      <c r="BS318" s="121"/>
      <c r="BT318" s="138" t="s">
        <v>244</v>
      </c>
      <c r="BU318" s="10" t="b">
        <f t="shared" si="28"/>
        <v>1</v>
      </c>
      <c r="BV318" s="120"/>
      <c r="BW318" s="120"/>
      <c r="BX318" s="120"/>
      <c r="BY318" s="120"/>
      <c r="BZ318" s="120"/>
      <c r="CA318" s="120"/>
      <c r="CB318" s="120"/>
      <c r="CC318" s="120"/>
    </row>
    <row r="319">
      <c r="A319" s="2" t="s">
        <v>1063</v>
      </c>
      <c r="B319" s="100">
        <v>44589.0</v>
      </c>
      <c r="C319" s="101">
        <v>0.3478819444444444</v>
      </c>
      <c r="D319" s="102"/>
      <c r="E319" s="102"/>
      <c r="F319" s="102"/>
      <c r="G319" s="102"/>
      <c r="H319" s="102"/>
      <c r="I319" s="103"/>
      <c r="J319" s="103"/>
      <c r="K319" s="2" t="s">
        <v>244</v>
      </c>
      <c r="L319" s="100">
        <v>44589.0</v>
      </c>
      <c r="M319" s="101">
        <v>0.48390046296296296</v>
      </c>
      <c r="P319" s="104" t="b">
        <f>IFNA(IF(VLOOKUP($A319,'Add from APT'!$AA$2:$AC826,3,FALSE)&gt;0,TRUE,FALSE),"ER - NOT IN APT")</f>
        <v>0</v>
      </c>
      <c r="Q319" s="105" t="str">
        <f>IF(ISLOGICAL(P319),IF(P319,"ER - REPS IN APT", IFNA(VLOOKUP($A319,RAW_APT!$A$3:$M826,7,FALSE),"ER - NOT IN APT")),P319)</f>
        <v>Result</v>
      </c>
      <c r="R319" s="106" t="b">
        <f t="shared" si="2"/>
        <v>1</v>
      </c>
      <c r="S319" s="107">
        <f t="shared" si="3"/>
        <v>1</v>
      </c>
      <c r="T319" s="143"/>
      <c r="U319" s="142"/>
      <c r="V319" s="142"/>
      <c r="W319" s="142"/>
      <c r="X319" s="110" t="b">
        <f t="shared" si="4"/>
        <v>0</v>
      </c>
      <c r="Y319" s="111" t="b">
        <v>0</v>
      </c>
      <c r="Z319" s="104" t="str">
        <f t="shared" si="5"/>
        <v/>
      </c>
      <c r="AA319" s="112" t="b">
        <f t="shared" si="6"/>
        <v>0</v>
      </c>
      <c r="AB319" s="142" t="b">
        <v>0</v>
      </c>
      <c r="AC319" s="140">
        <v>489.0</v>
      </c>
      <c r="AD319" s="141" t="b">
        <v>0</v>
      </c>
      <c r="AE319" s="115">
        <f t="shared" si="7"/>
        <v>195.8666667</v>
      </c>
      <c r="AF319" s="116" t="b">
        <f t="shared" si="8"/>
        <v>0</v>
      </c>
      <c r="AG319" s="105" t="b">
        <f t="shared" si="9"/>
        <v>0</v>
      </c>
      <c r="AH319" s="140"/>
      <c r="AI319" s="140"/>
      <c r="AJ319" s="140"/>
      <c r="AK319" s="117" t="str">
        <f t="shared" si="10"/>
        <v>Negative</v>
      </c>
      <c r="AL319" s="142"/>
      <c r="AM319" s="112" t="s">
        <v>649</v>
      </c>
      <c r="AN319" s="112" t="s">
        <v>336</v>
      </c>
      <c r="AO319" s="112" t="str">
        <f>IFERROR(__xludf.DUMMYFUNCTION("IF($AG319, ""DELETED"",TRIM(JOIN("" "",D319:E319)))"),"")</f>
        <v/>
      </c>
      <c r="AP319" s="112" t="str">
        <f t="shared" ref="AP319:AQ319" si="344">IF($AG319, "DELETED", TRIM(CONCATENATE(F319,I319,U319)))</f>
        <v/>
      </c>
      <c r="AQ319" s="112" t="str">
        <f t="shared" si="344"/>
        <v/>
      </c>
      <c r="AR319" s="112" t="str">
        <f>IFERROR(__xludf.DUMMYFUNCTION("IF($AG319, ""DELETED"", TRIM(JOIN("" "",AP319,AQ319)))"),"")</f>
        <v/>
      </c>
      <c r="AS319" s="118"/>
      <c r="AT319" s="110" t="b">
        <f t="shared" si="12"/>
        <v>0</v>
      </c>
      <c r="AU319" s="110" t="str">
        <f t="shared" si="13"/>
        <v/>
      </c>
      <c r="AV319" s="110" t="str">
        <f t="shared" si="14"/>
        <v/>
      </c>
      <c r="AW319" s="110" t="str">
        <f t="shared" si="15"/>
        <v/>
      </c>
      <c r="AX319" s="119" t="str">
        <f t="shared" si="16"/>
        <v/>
      </c>
      <c r="AY319" s="120"/>
      <c r="AZ319" s="121"/>
      <c r="BA319" s="122" t="str">
        <f t="shared" si="17"/>
        <v/>
      </c>
      <c r="BB319" s="34"/>
      <c r="BC319" s="121"/>
      <c r="BD319" s="136"/>
      <c r="BE319" s="125" t="str">
        <f t="shared" si="18"/>
        <v/>
      </c>
      <c r="BF319" s="126" t="str">
        <f t="shared" si="19"/>
        <v>MA1135__44589_0.347881944444444</v>
      </c>
      <c r="BG319" s="127" t="str">
        <f t="shared" si="20"/>
        <v/>
      </c>
      <c r="BH319" s="137" t="s">
        <v>1064</v>
      </c>
      <c r="BI319" s="128" t="str">
        <f t="shared" si="21"/>
        <v>MA1069</v>
      </c>
      <c r="BJ319" s="129" t="b">
        <f t="shared" si="22"/>
        <v>0</v>
      </c>
      <c r="BK319" s="128" t="str">
        <f t="shared" si="23"/>
        <v/>
      </c>
      <c r="BL319" s="121"/>
      <c r="BM319" s="5" t="str">
        <f t="shared" si="24"/>
        <v>MISSING</v>
      </c>
      <c r="BN319" s="120" t="b">
        <f t="shared" si="25"/>
        <v>0</v>
      </c>
      <c r="BO319" s="131" t="b">
        <f t="shared" si="26"/>
        <v>1</v>
      </c>
      <c r="BP319" s="121"/>
      <c r="BQ319" s="132" t="str">
        <f>VLOOKUP(A319,RAW_APS!A$3:O826,15,FALSE)</f>
        <v/>
      </c>
      <c r="BR319" s="120" t="b">
        <f t="shared" si="27"/>
        <v>1</v>
      </c>
      <c r="BS319" s="121"/>
      <c r="BT319" s="138" t="s">
        <v>244</v>
      </c>
      <c r="BU319" s="10" t="b">
        <f t="shared" si="28"/>
        <v>1</v>
      </c>
      <c r="BV319" s="120"/>
      <c r="BW319" s="120"/>
      <c r="BX319" s="120"/>
      <c r="BY319" s="120"/>
      <c r="BZ319" s="120"/>
      <c r="CA319" s="120"/>
      <c r="CB319" s="120"/>
      <c r="CC319" s="120"/>
    </row>
    <row r="320">
      <c r="A320" s="2" t="s">
        <v>1065</v>
      </c>
      <c r="B320" s="100">
        <v>44589.0</v>
      </c>
      <c r="C320" s="101">
        <v>0.3656828703703704</v>
      </c>
      <c r="D320" s="102"/>
      <c r="E320" s="102"/>
      <c r="F320" s="102"/>
      <c r="G320" s="102"/>
      <c r="H320" s="102"/>
      <c r="I320" s="103"/>
      <c r="J320" s="103"/>
      <c r="K320" s="2" t="s">
        <v>244</v>
      </c>
      <c r="L320" s="100">
        <v>44589.0</v>
      </c>
      <c r="M320" s="101">
        <v>0.48391203703703706</v>
      </c>
      <c r="P320" s="104" t="b">
        <f>IFNA(IF(VLOOKUP($A320,'Add from APT'!$AA$2:$AC826,3,FALSE)&gt;0,TRUE,FALSE),"ER - NOT IN APT")</f>
        <v>0</v>
      </c>
      <c r="Q320" s="105" t="str">
        <f>IF(ISLOGICAL(P320),IF(P320,"ER - REPS IN APT", IFNA(VLOOKUP($A320,RAW_APT!$A$3:$M826,7,FALSE),"ER - NOT IN APT")),P320)</f>
        <v>Result</v>
      </c>
      <c r="R320" s="106" t="b">
        <f t="shared" si="2"/>
        <v>1</v>
      </c>
      <c r="S320" s="107">
        <f t="shared" si="3"/>
        <v>1</v>
      </c>
      <c r="T320" s="143"/>
      <c r="U320" s="142"/>
      <c r="V320" s="142"/>
      <c r="W320" s="142"/>
      <c r="X320" s="110" t="b">
        <f t="shared" si="4"/>
        <v>0</v>
      </c>
      <c r="Y320" s="111" t="b">
        <v>0</v>
      </c>
      <c r="Z320" s="104" t="str">
        <f t="shared" si="5"/>
        <v/>
      </c>
      <c r="AA320" s="112" t="b">
        <f t="shared" si="6"/>
        <v>0</v>
      </c>
      <c r="AB320" s="142" t="b">
        <v>0</v>
      </c>
      <c r="AC320" s="140">
        <v>488.0</v>
      </c>
      <c r="AD320" s="141" t="b">
        <v>0</v>
      </c>
      <c r="AE320" s="115">
        <f t="shared" si="7"/>
        <v>170.25</v>
      </c>
      <c r="AF320" s="116" t="b">
        <f t="shared" si="8"/>
        <v>0</v>
      </c>
      <c r="AG320" s="105" t="b">
        <f t="shared" si="9"/>
        <v>0</v>
      </c>
      <c r="AH320" s="140"/>
      <c r="AI320" s="140"/>
      <c r="AJ320" s="140"/>
      <c r="AK320" s="117" t="str">
        <f t="shared" si="10"/>
        <v>Negative</v>
      </c>
      <c r="AL320" s="142"/>
      <c r="AM320" s="112" t="s">
        <v>261</v>
      </c>
      <c r="AN320" s="112" t="s">
        <v>640</v>
      </c>
      <c r="AO320" s="112" t="str">
        <f>IFERROR(__xludf.DUMMYFUNCTION("IF($AG320, ""DELETED"",TRIM(JOIN("" "",D320:E320)))"),"")</f>
        <v/>
      </c>
      <c r="AP320" s="112" t="str">
        <f t="shared" ref="AP320:AQ320" si="345">IF($AG320, "DELETED", TRIM(CONCATENATE(F320,I320,U320)))</f>
        <v/>
      </c>
      <c r="AQ320" s="112" t="str">
        <f t="shared" si="345"/>
        <v/>
      </c>
      <c r="AR320" s="112" t="str">
        <f>IFERROR(__xludf.DUMMYFUNCTION("IF($AG320, ""DELETED"", TRIM(JOIN("" "",AP320,AQ320)))"),"")</f>
        <v/>
      </c>
      <c r="AS320" s="118"/>
      <c r="AT320" s="110" t="b">
        <f t="shared" si="12"/>
        <v>0</v>
      </c>
      <c r="AU320" s="110" t="str">
        <f t="shared" si="13"/>
        <v/>
      </c>
      <c r="AV320" s="110" t="str">
        <f t="shared" si="14"/>
        <v/>
      </c>
      <c r="AW320" s="110" t="str">
        <f t="shared" si="15"/>
        <v/>
      </c>
      <c r="AX320" s="119" t="str">
        <f t="shared" si="16"/>
        <v/>
      </c>
      <c r="AY320" s="120"/>
      <c r="AZ320" s="121"/>
      <c r="BA320" s="122" t="str">
        <f t="shared" si="17"/>
        <v/>
      </c>
      <c r="BB320" s="34"/>
      <c r="BC320" s="121"/>
      <c r="BD320" s="136"/>
      <c r="BE320" s="125" t="str">
        <f t="shared" si="18"/>
        <v/>
      </c>
      <c r="BF320" s="126" t="str">
        <f t="shared" si="19"/>
        <v>MA276__44589_0.36568287037037</v>
      </c>
      <c r="BG320" s="127" t="str">
        <f t="shared" si="20"/>
        <v/>
      </c>
      <c r="BH320" s="137" t="s">
        <v>1066</v>
      </c>
      <c r="BI320" s="128" t="str">
        <f t="shared" si="21"/>
        <v>MA1070</v>
      </c>
      <c r="BJ320" s="129" t="b">
        <f t="shared" si="22"/>
        <v>0</v>
      </c>
      <c r="BK320" s="128" t="str">
        <f t="shared" si="23"/>
        <v/>
      </c>
      <c r="BL320" s="121"/>
      <c r="BM320" s="5" t="str">
        <f t="shared" si="24"/>
        <v>MISSING</v>
      </c>
      <c r="BN320" s="120" t="b">
        <f t="shared" si="25"/>
        <v>0</v>
      </c>
      <c r="BO320" s="131" t="b">
        <f t="shared" si="26"/>
        <v>1</v>
      </c>
      <c r="BP320" s="121"/>
      <c r="BQ320" s="132" t="str">
        <f>VLOOKUP(A320,RAW_APS!A$3:O826,15,FALSE)</f>
        <v/>
      </c>
      <c r="BR320" s="120" t="b">
        <f t="shared" si="27"/>
        <v>1</v>
      </c>
      <c r="BS320" s="121"/>
      <c r="BT320" s="138" t="s">
        <v>244</v>
      </c>
      <c r="BU320" s="10" t="b">
        <f t="shared" si="28"/>
        <v>1</v>
      </c>
      <c r="BV320" s="120"/>
      <c r="BW320" s="120"/>
      <c r="BX320" s="120"/>
      <c r="BY320" s="120"/>
      <c r="BZ320" s="120"/>
      <c r="CA320" s="120"/>
      <c r="CB320" s="120"/>
      <c r="CC320" s="120"/>
    </row>
    <row r="321">
      <c r="A321" s="2" t="s">
        <v>1067</v>
      </c>
      <c r="B321" s="100">
        <v>44592.0</v>
      </c>
      <c r="C321" s="101">
        <v>0.32427083333333334</v>
      </c>
      <c r="D321" s="102"/>
      <c r="E321" s="102"/>
      <c r="F321" s="102"/>
      <c r="G321" s="102"/>
      <c r="H321" s="102"/>
      <c r="I321" s="103"/>
      <c r="J321" s="103"/>
      <c r="K321" s="2" t="s">
        <v>244</v>
      </c>
      <c r="L321" s="100">
        <v>44592.0</v>
      </c>
      <c r="M321" s="101">
        <v>0.46023148148148146</v>
      </c>
      <c r="P321" s="104" t="b">
        <f>IFNA(IF(VLOOKUP($A321,'Add from APT'!$AA$2:$AC826,3,FALSE)&gt;0,TRUE,FALSE),"ER - NOT IN APT")</f>
        <v>0</v>
      </c>
      <c r="Q321" s="105" t="str">
        <f>IF(ISLOGICAL(P321),IF(P321,"ER - REPS IN APT", IFNA(VLOOKUP($A321,RAW_APT!$A$3:$M826,7,FALSE),"ER - NOT IN APT")),P321)</f>
        <v>Result</v>
      </c>
      <c r="R321" s="106" t="b">
        <f t="shared" si="2"/>
        <v>1</v>
      </c>
      <c r="S321" s="107">
        <f t="shared" si="3"/>
        <v>1</v>
      </c>
      <c r="T321" s="143"/>
      <c r="U321" s="142"/>
      <c r="V321" s="142"/>
      <c r="W321" s="142"/>
      <c r="X321" s="110" t="b">
        <f t="shared" si="4"/>
        <v>0</v>
      </c>
      <c r="Y321" s="111" t="b">
        <v>0</v>
      </c>
      <c r="Z321" s="104" t="str">
        <f t="shared" si="5"/>
        <v/>
      </c>
      <c r="AA321" s="112" t="b">
        <f t="shared" si="6"/>
        <v>0</v>
      </c>
      <c r="AB321" s="142" t="b">
        <v>0</v>
      </c>
      <c r="AC321" s="140">
        <v>487.0</v>
      </c>
      <c r="AD321" s="141" t="b">
        <v>0</v>
      </c>
      <c r="AE321" s="115">
        <f t="shared" si="7"/>
        <v>195.7833333</v>
      </c>
      <c r="AF321" s="116" t="b">
        <f t="shared" si="8"/>
        <v>0</v>
      </c>
      <c r="AG321" s="105" t="b">
        <f t="shared" si="9"/>
        <v>0</v>
      </c>
      <c r="AH321" s="140"/>
      <c r="AI321" s="140"/>
      <c r="AJ321" s="140"/>
      <c r="AK321" s="117" t="str">
        <f t="shared" si="10"/>
        <v>Negative</v>
      </c>
      <c r="AL321" s="142"/>
      <c r="AM321" s="112" t="s">
        <v>310</v>
      </c>
      <c r="AN321" s="112" t="s">
        <v>311</v>
      </c>
      <c r="AO321" s="112" t="str">
        <f>IFERROR(__xludf.DUMMYFUNCTION("IF($AG321, ""DELETED"",TRIM(JOIN("" "",D321:E321)))"),"")</f>
        <v/>
      </c>
      <c r="AP321" s="112" t="str">
        <f t="shared" ref="AP321:AQ321" si="346">IF($AG321, "DELETED", TRIM(CONCATENATE(F321,I321,U321)))</f>
        <v/>
      </c>
      <c r="AQ321" s="112" t="str">
        <f t="shared" si="346"/>
        <v/>
      </c>
      <c r="AR321" s="112" t="str">
        <f>IFERROR(__xludf.DUMMYFUNCTION("IF($AG321, ""DELETED"", TRIM(JOIN("" "",AP321,AQ321)))"),"")</f>
        <v/>
      </c>
      <c r="AS321" s="118"/>
      <c r="AT321" s="110" t="b">
        <f t="shared" si="12"/>
        <v>0</v>
      </c>
      <c r="AU321" s="110" t="str">
        <f t="shared" si="13"/>
        <v/>
      </c>
      <c r="AV321" s="110" t="str">
        <f t="shared" si="14"/>
        <v/>
      </c>
      <c r="AW321" s="110" t="str">
        <f t="shared" si="15"/>
        <v/>
      </c>
      <c r="AX321" s="119" t="str">
        <f t="shared" si="16"/>
        <v/>
      </c>
      <c r="AY321" s="120"/>
      <c r="AZ321" s="121"/>
      <c r="BA321" s="122" t="str">
        <f t="shared" si="17"/>
        <v/>
      </c>
      <c r="BB321" s="34"/>
      <c r="BC321" s="121"/>
      <c r="BD321" s="136"/>
      <c r="BE321" s="125" t="str">
        <f t="shared" si="18"/>
        <v/>
      </c>
      <c r="BF321" s="126" t="str">
        <f t="shared" si="19"/>
        <v>MA917__44592_0.324270833333333</v>
      </c>
      <c r="BG321" s="127" t="str">
        <f t="shared" si="20"/>
        <v/>
      </c>
      <c r="BH321" s="137" t="s">
        <v>1068</v>
      </c>
      <c r="BI321" s="128" t="str">
        <f t="shared" si="21"/>
        <v>MA1071</v>
      </c>
      <c r="BJ321" s="129" t="b">
        <f t="shared" si="22"/>
        <v>0</v>
      </c>
      <c r="BK321" s="128" t="str">
        <f t="shared" si="23"/>
        <v/>
      </c>
      <c r="BL321" s="121"/>
      <c r="BM321" s="5" t="str">
        <f t="shared" si="24"/>
        <v>MISSING</v>
      </c>
      <c r="BN321" s="120" t="b">
        <f t="shared" si="25"/>
        <v>0</v>
      </c>
      <c r="BO321" s="131" t="b">
        <f t="shared" si="26"/>
        <v>1</v>
      </c>
      <c r="BP321" s="121"/>
      <c r="BQ321" s="132" t="str">
        <f>VLOOKUP(A321,RAW_APS!A$3:O826,15,FALSE)</f>
        <v/>
      </c>
      <c r="BR321" s="120" t="b">
        <f t="shared" si="27"/>
        <v>1</v>
      </c>
      <c r="BS321" s="121"/>
      <c r="BT321" s="138" t="s">
        <v>244</v>
      </c>
      <c r="BU321" s="10" t="b">
        <f t="shared" si="28"/>
        <v>1</v>
      </c>
      <c r="BV321" s="120"/>
      <c r="BW321" s="120"/>
      <c r="BX321" s="120"/>
      <c r="BY321" s="120"/>
      <c r="BZ321" s="120"/>
      <c r="CA321" s="120"/>
      <c r="CB321" s="120"/>
      <c r="CC321" s="120"/>
    </row>
    <row r="322">
      <c r="A322" s="2" t="s">
        <v>1069</v>
      </c>
      <c r="B322" s="100">
        <v>44592.0</v>
      </c>
      <c r="C322" s="101">
        <v>0.3260416666666667</v>
      </c>
      <c r="D322" s="102"/>
      <c r="E322" s="102"/>
      <c r="F322" s="102"/>
      <c r="G322" s="102"/>
      <c r="H322" s="102"/>
      <c r="I322" s="103"/>
      <c r="J322" s="103"/>
      <c r="K322" s="2" t="s">
        <v>244</v>
      </c>
      <c r="L322" s="100">
        <v>44592.0</v>
      </c>
      <c r="M322" s="101">
        <v>0.46024305555555556</v>
      </c>
      <c r="P322" s="104" t="b">
        <f>IFNA(IF(VLOOKUP($A322,'Add from APT'!$AA$2:$AC826,3,FALSE)&gt;0,TRUE,FALSE),"ER - NOT IN APT")</f>
        <v>0</v>
      </c>
      <c r="Q322" s="105" t="str">
        <f>IF(ISLOGICAL(P322),IF(P322,"ER - REPS IN APT", IFNA(VLOOKUP($A322,RAW_APT!$A$3:$M826,7,FALSE),"ER - NOT IN APT")),P322)</f>
        <v>Result</v>
      </c>
      <c r="R322" s="106" t="b">
        <f t="shared" si="2"/>
        <v>1</v>
      </c>
      <c r="S322" s="107">
        <f t="shared" si="3"/>
        <v>1</v>
      </c>
      <c r="T322" s="143"/>
      <c r="U322" s="142"/>
      <c r="V322" s="142"/>
      <c r="W322" s="142"/>
      <c r="X322" s="110" t="b">
        <f t="shared" si="4"/>
        <v>0</v>
      </c>
      <c r="Y322" s="111" t="b">
        <v>0</v>
      </c>
      <c r="Z322" s="104" t="str">
        <f t="shared" si="5"/>
        <v/>
      </c>
      <c r="AA322" s="112" t="b">
        <f t="shared" si="6"/>
        <v>0</v>
      </c>
      <c r="AB322" s="142" t="b">
        <v>0</v>
      </c>
      <c r="AC322" s="140">
        <v>486.0</v>
      </c>
      <c r="AD322" s="141" t="b">
        <v>0</v>
      </c>
      <c r="AE322" s="115">
        <f t="shared" si="7"/>
        <v>193.25</v>
      </c>
      <c r="AF322" s="116" t="b">
        <f t="shared" si="8"/>
        <v>0</v>
      </c>
      <c r="AG322" s="105" t="b">
        <f t="shared" si="9"/>
        <v>0</v>
      </c>
      <c r="AH322" s="140"/>
      <c r="AI322" s="140"/>
      <c r="AJ322" s="140"/>
      <c r="AK322" s="117" t="str">
        <f t="shared" si="10"/>
        <v>Negative</v>
      </c>
      <c r="AL322" s="142"/>
      <c r="AM322" s="112" t="s">
        <v>287</v>
      </c>
      <c r="AN322" s="112" t="s">
        <v>288</v>
      </c>
      <c r="AO322" s="112" t="str">
        <f>IFERROR(__xludf.DUMMYFUNCTION("IF($AG322, ""DELETED"",TRIM(JOIN("" "",D322:E322)))"),"")</f>
        <v/>
      </c>
      <c r="AP322" s="112" t="str">
        <f t="shared" ref="AP322:AQ322" si="347">IF($AG322, "DELETED", TRIM(CONCATENATE(F322,I322,U322)))</f>
        <v/>
      </c>
      <c r="AQ322" s="112" t="str">
        <f t="shared" si="347"/>
        <v/>
      </c>
      <c r="AR322" s="112" t="str">
        <f>IFERROR(__xludf.DUMMYFUNCTION("IF($AG322, ""DELETED"", TRIM(JOIN("" "",AP322,AQ322)))"),"")</f>
        <v/>
      </c>
      <c r="AS322" s="118"/>
      <c r="AT322" s="110" t="b">
        <f t="shared" si="12"/>
        <v>0</v>
      </c>
      <c r="AU322" s="110" t="str">
        <f t="shared" si="13"/>
        <v/>
      </c>
      <c r="AV322" s="110" t="str">
        <f t="shared" si="14"/>
        <v/>
      </c>
      <c r="AW322" s="110" t="str">
        <f t="shared" si="15"/>
        <v/>
      </c>
      <c r="AX322" s="119" t="str">
        <f t="shared" si="16"/>
        <v/>
      </c>
      <c r="AY322" s="120"/>
      <c r="AZ322" s="121"/>
      <c r="BA322" s="122" t="str">
        <f t="shared" si="17"/>
        <v/>
      </c>
      <c r="BB322" s="34"/>
      <c r="BC322" s="121"/>
      <c r="BD322" s="136"/>
      <c r="BE322" s="125" t="str">
        <f t="shared" si="18"/>
        <v/>
      </c>
      <c r="BF322" s="126" t="str">
        <f t="shared" si="19"/>
        <v>MA256__44592_0.326041666666667</v>
      </c>
      <c r="BG322" s="127" t="str">
        <f t="shared" si="20"/>
        <v/>
      </c>
      <c r="BH322" s="137" t="s">
        <v>1070</v>
      </c>
      <c r="BI322" s="128" t="str">
        <f t="shared" si="21"/>
        <v>MA1072</v>
      </c>
      <c r="BJ322" s="129" t="b">
        <f t="shared" si="22"/>
        <v>0</v>
      </c>
      <c r="BK322" s="128" t="str">
        <f t="shared" si="23"/>
        <v/>
      </c>
      <c r="BL322" s="121"/>
      <c r="BM322" s="5" t="str">
        <f t="shared" si="24"/>
        <v>MISSING</v>
      </c>
      <c r="BN322" s="120" t="b">
        <f t="shared" si="25"/>
        <v>0</v>
      </c>
      <c r="BO322" s="131" t="b">
        <f t="shared" si="26"/>
        <v>1</v>
      </c>
      <c r="BP322" s="121"/>
      <c r="BQ322" s="132" t="str">
        <f>VLOOKUP(A322,RAW_APS!A$3:O826,15,FALSE)</f>
        <v/>
      </c>
      <c r="BR322" s="120" t="b">
        <f t="shared" si="27"/>
        <v>1</v>
      </c>
      <c r="BS322" s="121"/>
      <c r="BT322" s="138" t="s">
        <v>244</v>
      </c>
      <c r="BU322" s="10" t="b">
        <f t="shared" si="28"/>
        <v>1</v>
      </c>
      <c r="BV322" s="120"/>
      <c r="BW322" s="120"/>
      <c r="BX322" s="120"/>
      <c r="BY322" s="120"/>
      <c r="BZ322" s="120"/>
      <c r="CA322" s="120"/>
      <c r="CB322" s="120"/>
      <c r="CC322" s="120"/>
    </row>
    <row r="323">
      <c r="A323" s="2" t="s">
        <v>1071</v>
      </c>
      <c r="B323" s="100">
        <v>44592.0</v>
      </c>
      <c r="C323" s="101">
        <v>0.3271759259259259</v>
      </c>
      <c r="D323" s="102"/>
      <c r="E323" s="102"/>
      <c r="F323" s="102"/>
      <c r="G323" s="102"/>
      <c r="H323" s="102"/>
      <c r="I323" s="103"/>
      <c r="J323" s="103"/>
      <c r="K323" s="2" t="s">
        <v>244</v>
      </c>
      <c r="L323" s="100">
        <v>44592.0</v>
      </c>
      <c r="M323" s="101">
        <v>0.46024305555555556</v>
      </c>
      <c r="P323" s="104" t="b">
        <f>IFNA(IF(VLOOKUP($A323,'Add from APT'!$AA$2:$AC826,3,FALSE)&gt;0,TRUE,FALSE),"ER - NOT IN APT")</f>
        <v>0</v>
      </c>
      <c r="Q323" s="105" t="str">
        <f>IF(ISLOGICAL(P323),IF(P323,"ER - REPS IN APT", IFNA(VLOOKUP($A323,RAW_APT!$A$3:$M826,7,FALSE),"ER - NOT IN APT")),P323)</f>
        <v>Result</v>
      </c>
      <c r="R323" s="106" t="b">
        <f t="shared" si="2"/>
        <v>1</v>
      </c>
      <c r="S323" s="107">
        <f t="shared" si="3"/>
        <v>1</v>
      </c>
      <c r="T323" s="143"/>
      <c r="U323" s="142"/>
      <c r="V323" s="142"/>
      <c r="W323" s="142"/>
      <c r="X323" s="110" t="b">
        <f t="shared" si="4"/>
        <v>0</v>
      </c>
      <c r="Y323" s="111" t="b">
        <v>0</v>
      </c>
      <c r="Z323" s="104" t="str">
        <f t="shared" si="5"/>
        <v/>
      </c>
      <c r="AA323" s="112" t="b">
        <f t="shared" si="6"/>
        <v>0</v>
      </c>
      <c r="AB323" s="142" t="b">
        <v>0</v>
      </c>
      <c r="AC323" s="140">
        <v>485.0</v>
      </c>
      <c r="AD323" s="141" t="b">
        <v>0</v>
      </c>
      <c r="AE323" s="115">
        <f t="shared" si="7"/>
        <v>191.6166667</v>
      </c>
      <c r="AF323" s="116" t="b">
        <f t="shared" si="8"/>
        <v>0</v>
      </c>
      <c r="AG323" s="105" t="b">
        <f t="shared" si="9"/>
        <v>0</v>
      </c>
      <c r="AH323" s="140"/>
      <c r="AI323" s="140"/>
      <c r="AJ323" s="140"/>
      <c r="AK323" s="117" t="str">
        <f t="shared" si="10"/>
        <v>Negative</v>
      </c>
      <c r="AL323" s="142"/>
      <c r="AM323" s="112" t="s">
        <v>356</v>
      </c>
      <c r="AN323" s="112" t="s">
        <v>357</v>
      </c>
      <c r="AO323" s="112" t="str">
        <f>IFERROR(__xludf.DUMMYFUNCTION("IF($AG323, ""DELETED"",TRIM(JOIN("" "",D323:E323)))"),"")</f>
        <v/>
      </c>
      <c r="AP323" s="112" t="str">
        <f t="shared" ref="AP323:AQ323" si="348">IF($AG323, "DELETED", TRIM(CONCATENATE(F323,I323,U323)))</f>
        <v/>
      </c>
      <c r="AQ323" s="112" t="str">
        <f t="shared" si="348"/>
        <v/>
      </c>
      <c r="AR323" s="112" t="str">
        <f>IFERROR(__xludf.DUMMYFUNCTION("IF($AG323, ""DELETED"", TRIM(JOIN("" "",AP323,AQ323)))"),"")</f>
        <v/>
      </c>
      <c r="AS323" s="118"/>
      <c r="AT323" s="110" t="b">
        <f t="shared" si="12"/>
        <v>0</v>
      </c>
      <c r="AU323" s="110" t="str">
        <f t="shared" si="13"/>
        <v/>
      </c>
      <c r="AV323" s="110" t="str">
        <f t="shared" si="14"/>
        <v/>
      </c>
      <c r="AW323" s="110" t="str">
        <f t="shared" si="15"/>
        <v/>
      </c>
      <c r="AX323" s="119" t="str">
        <f t="shared" si="16"/>
        <v/>
      </c>
      <c r="AY323" s="120"/>
      <c r="AZ323" s="121"/>
      <c r="BA323" s="122" t="str">
        <f t="shared" si="17"/>
        <v/>
      </c>
      <c r="BB323" s="34"/>
      <c r="BC323" s="121"/>
      <c r="BD323" s="136"/>
      <c r="BE323" s="125" t="str">
        <f t="shared" si="18"/>
        <v/>
      </c>
      <c r="BF323" s="126" t="str">
        <f t="shared" si="19"/>
        <v>MA1158__44592_0.327175925925926</v>
      </c>
      <c r="BG323" s="127" t="str">
        <f t="shared" si="20"/>
        <v/>
      </c>
      <c r="BH323" s="137" t="s">
        <v>1072</v>
      </c>
      <c r="BI323" s="128" t="str">
        <f t="shared" si="21"/>
        <v>MA1073</v>
      </c>
      <c r="BJ323" s="129" t="b">
        <f t="shared" si="22"/>
        <v>0</v>
      </c>
      <c r="BK323" s="128" t="str">
        <f t="shared" si="23"/>
        <v/>
      </c>
      <c r="BL323" s="121"/>
      <c r="BM323" s="5" t="str">
        <f t="shared" si="24"/>
        <v>MISSING</v>
      </c>
      <c r="BN323" s="120" t="b">
        <f t="shared" si="25"/>
        <v>0</v>
      </c>
      <c r="BO323" s="131" t="b">
        <f t="shared" si="26"/>
        <v>1</v>
      </c>
      <c r="BP323" s="121"/>
      <c r="BQ323" s="132" t="str">
        <f>VLOOKUP(A323,RAW_APS!A$3:O826,15,FALSE)</f>
        <v/>
      </c>
      <c r="BR323" s="120" t="b">
        <f t="shared" si="27"/>
        <v>1</v>
      </c>
      <c r="BS323" s="121"/>
      <c r="BT323" s="138" t="s">
        <v>244</v>
      </c>
      <c r="BU323" s="10" t="b">
        <f t="shared" si="28"/>
        <v>1</v>
      </c>
      <c r="BV323" s="120"/>
      <c r="BW323" s="120"/>
      <c r="BX323" s="120"/>
      <c r="BY323" s="120"/>
      <c r="BZ323" s="120"/>
      <c r="CA323" s="120"/>
      <c r="CB323" s="120"/>
      <c r="CC323" s="120"/>
    </row>
    <row r="324">
      <c r="A324" s="2" t="s">
        <v>1073</v>
      </c>
      <c r="B324" s="100">
        <v>44592.0</v>
      </c>
      <c r="C324" s="101">
        <v>0.32744212962962965</v>
      </c>
      <c r="D324" s="102"/>
      <c r="E324" s="102"/>
      <c r="F324" s="102"/>
      <c r="G324" s="102"/>
      <c r="H324" s="102"/>
      <c r="I324" s="103"/>
      <c r="J324" s="103"/>
      <c r="K324" s="2" t="s">
        <v>244</v>
      </c>
      <c r="L324" s="100">
        <v>44592.0</v>
      </c>
      <c r="M324" s="101">
        <v>0.46024305555555556</v>
      </c>
      <c r="P324" s="104" t="b">
        <f>IFNA(IF(VLOOKUP($A324,'Add from APT'!$AA$2:$AC826,3,FALSE)&gt;0,TRUE,FALSE),"ER - NOT IN APT")</f>
        <v>0</v>
      </c>
      <c r="Q324" s="105" t="str">
        <f>IF(ISLOGICAL(P324),IF(P324,"ER - REPS IN APT", IFNA(VLOOKUP($A324,RAW_APT!$A$3:$M826,7,FALSE),"ER - NOT IN APT")),P324)</f>
        <v>Result</v>
      </c>
      <c r="R324" s="106" t="b">
        <f t="shared" si="2"/>
        <v>1</v>
      </c>
      <c r="S324" s="107">
        <f t="shared" si="3"/>
        <v>1</v>
      </c>
      <c r="T324" s="143"/>
      <c r="U324" s="142"/>
      <c r="V324" s="142"/>
      <c r="W324" s="142"/>
      <c r="X324" s="110" t="b">
        <f t="shared" si="4"/>
        <v>0</v>
      </c>
      <c r="Y324" s="111" t="b">
        <v>0</v>
      </c>
      <c r="Z324" s="104" t="str">
        <f t="shared" si="5"/>
        <v/>
      </c>
      <c r="AA324" s="112" t="b">
        <f t="shared" si="6"/>
        <v>0</v>
      </c>
      <c r="AB324" s="142" t="b">
        <v>0</v>
      </c>
      <c r="AC324" s="140">
        <v>484.0</v>
      </c>
      <c r="AD324" s="141" t="b">
        <v>0</v>
      </c>
      <c r="AE324" s="115">
        <f t="shared" si="7"/>
        <v>191.2333333</v>
      </c>
      <c r="AF324" s="116" t="b">
        <f t="shared" si="8"/>
        <v>0</v>
      </c>
      <c r="AG324" s="105" t="b">
        <f t="shared" si="9"/>
        <v>0</v>
      </c>
      <c r="AH324" s="140"/>
      <c r="AI324" s="140"/>
      <c r="AJ324" s="140"/>
      <c r="AK324" s="117" t="str">
        <f t="shared" si="10"/>
        <v>Negative</v>
      </c>
      <c r="AL324" s="142"/>
      <c r="AM324" s="112" t="s">
        <v>307</v>
      </c>
      <c r="AN324" s="112" t="s">
        <v>266</v>
      </c>
      <c r="AO324" s="112" t="str">
        <f>IFERROR(__xludf.DUMMYFUNCTION("IF($AG324, ""DELETED"",TRIM(JOIN("" "",D324:E324)))"),"")</f>
        <v/>
      </c>
      <c r="AP324" s="112" t="str">
        <f t="shared" ref="AP324:AQ324" si="349">IF($AG324, "DELETED", TRIM(CONCATENATE(F324,I324,U324)))</f>
        <v/>
      </c>
      <c r="AQ324" s="112" t="str">
        <f t="shared" si="349"/>
        <v/>
      </c>
      <c r="AR324" s="112" t="str">
        <f>IFERROR(__xludf.DUMMYFUNCTION("IF($AG324, ""DELETED"", TRIM(JOIN("" "",AP324,AQ324)))"),"")</f>
        <v/>
      </c>
      <c r="AS324" s="118"/>
      <c r="AT324" s="110" t="b">
        <f t="shared" si="12"/>
        <v>0</v>
      </c>
      <c r="AU324" s="110" t="str">
        <f t="shared" si="13"/>
        <v/>
      </c>
      <c r="AV324" s="110" t="str">
        <f t="shared" si="14"/>
        <v/>
      </c>
      <c r="AW324" s="110" t="str">
        <f t="shared" si="15"/>
        <v/>
      </c>
      <c r="AX324" s="119" t="str">
        <f t="shared" si="16"/>
        <v/>
      </c>
      <c r="AY324" s="120"/>
      <c r="AZ324" s="121"/>
      <c r="BA324" s="122" t="str">
        <f t="shared" si="17"/>
        <v/>
      </c>
      <c r="BB324" s="34"/>
      <c r="BC324" s="121"/>
      <c r="BD324" s="136"/>
      <c r="BE324" s="125" t="str">
        <f t="shared" si="18"/>
        <v/>
      </c>
      <c r="BF324" s="126" t="str">
        <f t="shared" si="19"/>
        <v>MA619__44592_0.32744212962963</v>
      </c>
      <c r="BG324" s="127" t="str">
        <f t="shared" si="20"/>
        <v/>
      </c>
      <c r="BH324" s="137" t="s">
        <v>1074</v>
      </c>
      <c r="BI324" s="128" t="str">
        <f t="shared" si="21"/>
        <v>MA1075</v>
      </c>
      <c r="BJ324" s="129" t="b">
        <f t="shared" si="22"/>
        <v>0</v>
      </c>
      <c r="BK324" s="128" t="str">
        <f t="shared" si="23"/>
        <v/>
      </c>
      <c r="BL324" s="121"/>
      <c r="BM324" s="5" t="str">
        <f t="shared" si="24"/>
        <v>MISSING</v>
      </c>
      <c r="BN324" s="120" t="b">
        <f t="shared" si="25"/>
        <v>0</v>
      </c>
      <c r="BO324" s="131" t="b">
        <f t="shared" si="26"/>
        <v>1</v>
      </c>
      <c r="BP324" s="121"/>
      <c r="BQ324" s="132" t="str">
        <f>VLOOKUP(A324,RAW_APS!A$3:O826,15,FALSE)</f>
        <v/>
      </c>
      <c r="BR324" s="120" t="b">
        <f t="shared" si="27"/>
        <v>1</v>
      </c>
      <c r="BS324" s="121"/>
      <c r="BT324" s="138" t="s">
        <v>244</v>
      </c>
      <c r="BU324" s="10" t="b">
        <f t="shared" si="28"/>
        <v>1</v>
      </c>
      <c r="BV324" s="120"/>
      <c r="BW324" s="120"/>
      <c r="BX324" s="120"/>
      <c r="BY324" s="120"/>
      <c r="BZ324" s="120"/>
      <c r="CA324" s="120"/>
      <c r="CB324" s="120"/>
      <c r="CC324" s="120"/>
    </row>
    <row r="325">
      <c r="A325" s="2" t="s">
        <v>1075</v>
      </c>
      <c r="B325" s="100">
        <v>44592.0</v>
      </c>
      <c r="C325" s="101">
        <v>0.3297337962962963</v>
      </c>
      <c r="D325" s="102"/>
      <c r="E325" s="102"/>
      <c r="F325" s="102"/>
      <c r="G325" s="102"/>
      <c r="H325" s="102"/>
      <c r="I325" s="103"/>
      <c r="J325" s="103"/>
      <c r="K325" s="2" t="s">
        <v>244</v>
      </c>
      <c r="L325" s="100">
        <v>44592.0</v>
      </c>
      <c r="M325" s="101">
        <v>0.46024305555555556</v>
      </c>
      <c r="P325" s="104" t="b">
        <f>IFNA(IF(VLOOKUP($A325,'Add from APT'!$AA$2:$AC826,3,FALSE)&gt;0,TRUE,FALSE),"ER - NOT IN APT")</f>
        <v>0</v>
      </c>
      <c r="Q325" s="105" t="str">
        <f>IF(ISLOGICAL(P325),IF(P325,"ER - REPS IN APT", IFNA(VLOOKUP($A325,RAW_APT!$A$3:$M826,7,FALSE),"ER - NOT IN APT")),P325)</f>
        <v>Result</v>
      </c>
      <c r="R325" s="106" t="b">
        <f t="shared" si="2"/>
        <v>1</v>
      </c>
      <c r="S325" s="107">
        <f t="shared" si="3"/>
        <v>1</v>
      </c>
      <c r="T325" s="143"/>
      <c r="U325" s="142"/>
      <c r="V325" s="142"/>
      <c r="W325" s="142"/>
      <c r="X325" s="110" t="b">
        <f t="shared" si="4"/>
        <v>0</v>
      </c>
      <c r="Y325" s="111" t="b">
        <v>0</v>
      </c>
      <c r="Z325" s="104" t="str">
        <f t="shared" si="5"/>
        <v/>
      </c>
      <c r="AA325" s="112" t="b">
        <f t="shared" si="6"/>
        <v>0</v>
      </c>
      <c r="AB325" s="142" t="b">
        <v>0</v>
      </c>
      <c r="AC325" s="140">
        <v>483.0</v>
      </c>
      <c r="AD325" s="141" t="b">
        <v>0</v>
      </c>
      <c r="AE325" s="115">
        <f t="shared" si="7"/>
        <v>187.9333333</v>
      </c>
      <c r="AF325" s="116" t="b">
        <f t="shared" si="8"/>
        <v>0</v>
      </c>
      <c r="AG325" s="105" t="b">
        <f t="shared" si="9"/>
        <v>0</v>
      </c>
      <c r="AH325" s="140"/>
      <c r="AI325" s="140"/>
      <c r="AJ325" s="140"/>
      <c r="AK325" s="117" t="str">
        <f t="shared" si="10"/>
        <v>Negative</v>
      </c>
      <c r="AL325" s="142"/>
      <c r="AM325" s="112" t="s">
        <v>318</v>
      </c>
      <c r="AN325" s="112" t="s">
        <v>319</v>
      </c>
      <c r="AO325" s="112" t="str">
        <f>IFERROR(__xludf.DUMMYFUNCTION("IF($AG325, ""DELETED"",TRIM(JOIN("" "",D325:E325)))"),"")</f>
        <v/>
      </c>
      <c r="AP325" s="112" t="str">
        <f t="shared" ref="AP325:AQ325" si="350">IF($AG325, "DELETED", TRIM(CONCATENATE(F325,I325,U325)))</f>
        <v/>
      </c>
      <c r="AQ325" s="112" t="str">
        <f t="shared" si="350"/>
        <v/>
      </c>
      <c r="AR325" s="112" t="str">
        <f>IFERROR(__xludf.DUMMYFUNCTION("IF($AG325, ""DELETED"", TRIM(JOIN("" "",AP325,AQ325)))"),"")</f>
        <v/>
      </c>
      <c r="AS325" s="118"/>
      <c r="AT325" s="110" t="b">
        <f t="shared" si="12"/>
        <v>0</v>
      </c>
      <c r="AU325" s="110" t="str">
        <f t="shared" si="13"/>
        <v/>
      </c>
      <c r="AV325" s="110" t="str">
        <f t="shared" si="14"/>
        <v/>
      </c>
      <c r="AW325" s="110" t="str">
        <f t="shared" si="15"/>
        <v/>
      </c>
      <c r="AX325" s="119" t="str">
        <f t="shared" si="16"/>
        <v/>
      </c>
      <c r="AY325" s="120"/>
      <c r="AZ325" s="121"/>
      <c r="BA325" s="122" t="str">
        <f t="shared" si="17"/>
        <v/>
      </c>
      <c r="BB325" s="34"/>
      <c r="BC325" s="121"/>
      <c r="BD325" s="136"/>
      <c r="BE325" s="125" t="str">
        <f t="shared" si="18"/>
        <v/>
      </c>
      <c r="BF325" s="126" t="str">
        <f t="shared" si="19"/>
        <v>MA348__44592_0.329733796296296</v>
      </c>
      <c r="BG325" s="127" t="str">
        <f t="shared" si="20"/>
        <v/>
      </c>
      <c r="BH325" s="137" t="s">
        <v>1076</v>
      </c>
      <c r="BI325" s="128" t="str">
        <f t="shared" si="21"/>
        <v>MA1076</v>
      </c>
      <c r="BJ325" s="129" t="b">
        <f t="shared" si="22"/>
        <v>0</v>
      </c>
      <c r="BK325" s="128" t="str">
        <f t="shared" si="23"/>
        <v/>
      </c>
      <c r="BL325" s="121"/>
      <c r="BM325" s="5" t="str">
        <f t="shared" si="24"/>
        <v>MISSING</v>
      </c>
      <c r="BN325" s="120" t="b">
        <f t="shared" si="25"/>
        <v>0</v>
      </c>
      <c r="BO325" s="131" t="b">
        <f t="shared" si="26"/>
        <v>1</v>
      </c>
      <c r="BP325" s="121"/>
      <c r="BQ325" s="132" t="str">
        <f>VLOOKUP(A325,RAW_APS!A$3:O826,15,FALSE)</f>
        <v/>
      </c>
      <c r="BR325" s="120" t="b">
        <f t="shared" si="27"/>
        <v>1</v>
      </c>
      <c r="BS325" s="121"/>
      <c r="BT325" s="138" t="s">
        <v>244</v>
      </c>
      <c r="BU325" s="10" t="b">
        <f t="shared" si="28"/>
        <v>1</v>
      </c>
      <c r="BV325" s="120"/>
      <c r="BW325" s="120"/>
      <c r="BX325" s="120"/>
      <c r="BY325" s="120"/>
      <c r="BZ325" s="120"/>
      <c r="CA325" s="120"/>
      <c r="CB325" s="120"/>
      <c r="CC325" s="120"/>
    </row>
    <row r="326">
      <c r="A326" s="2" t="s">
        <v>1077</v>
      </c>
      <c r="B326" s="100">
        <v>44592.0</v>
      </c>
      <c r="C326" s="101">
        <v>0.33358796296296295</v>
      </c>
      <c r="D326" s="102"/>
      <c r="E326" s="102"/>
      <c r="F326" s="102"/>
      <c r="G326" s="102"/>
      <c r="H326" s="102"/>
      <c r="I326" s="103"/>
      <c r="J326" s="103"/>
      <c r="K326" s="2" t="s">
        <v>244</v>
      </c>
      <c r="L326" s="100">
        <v>44592.0</v>
      </c>
      <c r="M326" s="101">
        <v>0.46024305555555556</v>
      </c>
      <c r="P326" s="104" t="b">
        <f>IFNA(IF(VLOOKUP($A326,'Add from APT'!$AA$2:$AC826,3,FALSE)&gt;0,TRUE,FALSE),"ER - NOT IN APT")</f>
        <v>0</v>
      </c>
      <c r="Q326" s="105" t="str">
        <f>IF(ISLOGICAL(P326),IF(P326,"ER - REPS IN APT", IFNA(VLOOKUP($A326,RAW_APT!$A$3:$M826,7,FALSE),"ER - NOT IN APT")),P326)</f>
        <v>Result</v>
      </c>
      <c r="R326" s="106" t="b">
        <f t="shared" si="2"/>
        <v>1</v>
      </c>
      <c r="S326" s="107">
        <f t="shared" si="3"/>
        <v>1</v>
      </c>
      <c r="T326" s="143"/>
      <c r="U326" s="142"/>
      <c r="V326" s="142"/>
      <c r="W326" s="142"/>
      <c r="X326" s="110" t="b">
        <f t="shared" si="4"/>
        <v>0</v>
      </c>
      <c r="Y326" s="111" t="b">
        <v>0</v>
      </c>
      <c r="Z326" s="104" t="str">
        <f t="shared" si="5"/>
        <v/>
      </c>
      <c r="AA326" s="112" t="b">
        <f t="shared" si="6"/>
        <v>0</v>
      </c>
      <c r="AB326" s="142" t="b">
        <v>0</v>
      </c>
      <c r="AC326" s="140">
        <v>482.0</v>
      </c>
      <c r="AD326" s="141" t="b">
        <v>0</v>
      </c>
      <c r="AE326" s="115">
        <f t="shared" si="7"/>
        <v>182.3833333</v>
      </c>
      <c r="AF326" s="116" t="b">
        <f t="shared" si="8"/>
        <v>0</v>
      </c>
      <c r="AG326" s="105" t="b">
        <f t="shared" si="9"/>
        <v>0</v>
      </c>
      <c r="AH326" s="140"/>
      <c r="AI326" s="140"/>
      <c r="AJ326" s="140"/>
      <c r="AK326" s="117" t="str">
        <f t="shared" si="10"/>
        <v>Negative</v>
      </c>
      <c r="AL326" s="142"/>
      <c r="AM326" s="112" t="s">
        <v>299</v>
      </c>
      <c r="AN326" s="112" t="s">
        <v>300</v>
      </c>
      <c r="AO326" s="112" t="str">
        <f>IFERROR(__xludf.DUMMYFUNCTION("IF($AG326, ""DELETED"",TRIM(JOIN("" "",D326:E326)))"),"")</f>
        <v/>
      </c>
      <c r="AP326" s="112" t="str">
        <f t="shared" ref="AP326:AQ326" si="351">IF($AG326, "DELETED", TRIM(CONCATENATE(F326,I326,U326)))</f>
        <v/>
      </c>
      <c r="AQ326" s="112" t="str">
        <f t="shared" si="351"/>
        <v/>
      </c>
      <c r="AR326" s="112" t="str">
        <f>IFERROR(__xludf.DUMMYFUNCTION("IF($AG326, ""DELETED"", TRIM(JOIN("" "",AP326,AQ326)))"),"")</f>
        <v/>
      </c>
      <c r="AS326" s="118"/>
      <c r="AT326" s="110" t="b">
        <f t="shared" si="12"/>
        <v>0</v>
      </c>
      <c r="AU326" s="110" t="str">
        <f t="shared" si="13"/>
        <v/>
      </c>
      <c r="AV326" s="110" t="str">
        <f t="shared" si="14"/>
        <v/>
      </c>
      <c r="AW326" s="110" t="str">
        <f t="shared" si="15"/>
        <v/>
      </c>
      <c r="AX326" s="119" t="str">
        <f t="shared" si="16"/>
        <v/>
      </c>
      <c r="AY326" s="120"/>
      <c r="AZ326" s="121"/>
      <c r="BA326" s="122" t="str">
        <f t="shared" si="17"/>
        <v/>
      </c>
      <c r="BB326" s="34"/>
      <c r="BC326" s="121"/>
      <c r="BD326" s="136"/>
      <c r="BE326" s="125" t="str">
        <f t="shared" si="18"/>
        <v/>
      </c>
      <c r="BF326" s="126" t="str">
        <f t="shared" si="19"/>
        <v>MA615__44592_0.333587962962963</v>
      </c>
      <c r="BG326" s="127" t="str">
        <f t="shared" si="20"/>
        <v/>
      </c>
      <c r="BH326" s="137" t="s">
        <v>1078</v>
      </c>
      <c r="BI326" s="128" t="str">
        <f t="shared" si="21"/>
        <v>MA1077</v>
      </c>
      <c r="BJ326" s="129" t="b">
        <f t="shared" si="22"/>
        <v>0</v>
      </c>
      <c r="BK326" s="128" t="str">
        <f t="shared" si="23"/>
        <v/>
      </c>
      <c r="BL326" s="121"/>
      <c r="BM326" s="5" t="str">
        <f t="shared" si="24"/>
        <v>MISSING</v>
      </c>
      <c r="BN326" s="120" t="b">
        <f t="shared" si="25"/>
        <v>0</v>
      </c>
      <c r="BO326" s="131" t="b">
        <f t="shared" si="26"/>
        <v>1</v>
      </c>
      <c r="BP326" s="121"/>
      <c r="BQ326" s="132" t="str">
        <f>VLOOKUP(A326,RAW_APS!A$3:O826,15,FALSE)</f>
        <v/>
      </c>
      <c r="BR326" s="120" t="b">
        <f t="shared" si="27"/>
        <v>1</v>
      </c>
      <c r="BS326" s="121"/>
      <c r="BT326" s="138" t="s">
        <v>244</v>
      </c>
      <c r="BU326" s="10" t="b">
        <f t="shared" si="28"/>
        <v>1</v>
      </c>
      <c r="BV326" s="120"/>
      <c r="BW326" s="120"/>
      <c r="BX326" s="120"/>
      <c r="BY326" s="120"/>
      <c r="BZ326" s="120"/>
      <c r="CA326" s="120"/>
      <c r="CB326" s="120"/>
      <c r="CC326" s="120"/>
    </row>
    <row r="327">
      <c r="A327" s="2" t="s">
        <v>1079</v>
      </c>
      <c r="B327" s="100">
        <v>44592.0</v>
      </c>
      <c r="C327" s="101">
        <v>0.33368055555555554</v>
      </c>
      <c r="D327" s="102"/>
      <c r="E327" s="102"/>
      <c r="F327" s="102"/>
      <c r="G327" s="102"/>
      <c r="H327" s="102"/>
      <c r="I327" s="103"/>
      <c r="J327" s="103"/>
      <c r="K327" s="2" t="s">
        <v>244</v>
      </c>
      <c r="L327" s="100">
        <v>44592.0</v>
      </c>
      <c r="M327" s="101">
        <v>0.46024305555555556</v>
      </c>
      <c r="P327" s="104" t="b">
        <f>IFNA(IF(VLOOKUP($A327,'Add from APT'!$AA$2:$AC826,3,FALSE)&gt;0,TRUE,FALSE),"ER - NOT IN APT")</f>
        <v>0</v>
      </c>
      <c r="Q327" s="105" t="str">
        <f>IF(ISLOGICAL(P327),IF(P327,"ER - REPS IN APT", IFNA(VLOOKUP($A327,RAW_APT!$A$3:$M826,7,FALSE),"ER - NOT IN APT")),P327)</f>
        <v>Result</v>
      </c>
      <c r="R327" s="106" t="b">
        <f t="shared" si="2"/>
        <v>1</v>
      </c>
      <c r="S327" s="107">
        <f t="shared" si="3"/>
        <v>1</v>
      </c>
      <c r="T327" s="143"/>
      <c r="U327" s="142"/>
      <c r="V327" s="142"/>
      <c r="W327" s="142"/>
      <c r="X327" s="110" t="b">
        <f t="shared" si="4"/>
        <v>0</v>
      </c>
      <c r="Y327" s="111" t="b">
        <v>0</v>
      </c>
      <c r="Z327" s="104" t="str">
        <f t="shared" si="5"/>
        <v/>
      </c>
      <c r="AA327" s="112" t="b">
        <f t="shared" si="6"/>
        <v>0</v>
      </c>
      <c r="AB327" s="142" t="b">
        <v>0</v>
      </c>
      <c r="AC327" s="140">
        <v>481.0</v>
      </c>
      <c r="AD327" s="141" t="b">
        <v>0</v>
      </c>
      <c r="AE327" s="115">
        <f t="shared" si="7"/>
        <v>182.25</v>
      </c>
      <c r="AF327" s="116" t="b">
        <f t="shared" si="8"/>
        <v>0</v>
      </c>
      <c r="AG327" s="105" t="b">
        <f t="shared" si="9"/>
        <v>0</v>
      </c>
      <c r="AH327" s="140"/>
      <c r="AI327" s="140"/>
      <c r="AJ327" s="140"/>
      <c r="AK327" s="117" t="str">
        <f t="shared" si="10"/>
        <v>Negative</v>
      </c>
      <c r="AL327" s="142"/>
      <c r="AM327" s="112" t="s">
        <v>303</v>
      </c>
      <c r="AN327" s="112" t="s">
        <v>304</v>
      </c>
      <c r="AO327" s="112" t="str">
        <f>IFERROR(__xludf.DUMMYFUNCTION("IF($AG327, ""DELETED"",TRIM(JOIN("" "",D327:E327)))"),"")</f>
        <v/>
      </c>
      <c r="AP327" s="112" t="str">
        <f t="shared" ref="AP327:AQ327" si="352">IF($AG327, "DELETED", TRIM(CONCATENATE(F327,I327,U327)))</f>
        <v/>
      </c>
      <c r="AQ327" s="112" t="str">
        <f t="shared" si="352"/>
        <v/>
      </c>
      <c r="AR327" s="112" t="str">
        <f>IFERROR(__xludf.DUMMYFUNCTION("IF($AG327, ""DELETED"", TRIM(JOIN("" "",AP327,AQ327)))"),"")</f>
        <v/>
      </c>
      <c r="AS327" s="118"/>
      <c r="AT327" s="110" t="b">
        <f t="shared" si="12"/>
        <v>0</v>
      </c>
      <c r="AU327" s="110" t="str">
        <f t="shared" si="13"/>
        <v/>
      </c>
      <c r="AV327" s="110" t="str">
        <f t="shared" si="14"/>
        <v/>
      </c>
      <c r="AW327" s="110" t="str">
        <f t="shared" si="15"/>
        <v/>
      </c>
      <c r="AX327" s="119" t="str">
        <f t="shared" si="16"/>
        <v/>
      </c>
      <c r="AY327" s="120"/>
      <c r="AZ327" s="121"/>
      <c r="BA327" s="122" t="str">
        <f t="shared" si="17"/>
        <v/>
      </c>
      <c r="BB327" s="34"/>
      <c r="BC327" s="121"/>
      <c r="BD327" s="136"/>
      <c r="BE327" s="125" t="str">
        <f t="shared" si="18"/>
        <v/>
      </c>
      <c r="BF327" s="126" t="str">
        <f t="shared" si="19"/>
        <v>MA613__44592_0.333680555555556</v>
      </c>
      <c r="BG327" s="127" t="str">
        <f t="shared" si="20"/>
        <v/>
      </c>
      <c r="BH327" s="137" t="s">
        <v>1080</v>
      </c>
      <c r="BI327" s="128" t="str">
        <f t="shared" si="21"/>
        <v>MA1078</v>
      </c>
      <c r="BJ327" s="129" t="b">
        <f t="shared" si="22"/>
        <v>0</v>
      </c>
      <c r="BK327" s="128" t="str">
        <f t="shared" si="23"/>
        <v/>
      </c>
      <c r="BL327" s="121"/>
      <c r="BM327" s="5" t="str">
        <f t="shared" si="24"/>
        <v>MISSING</v>
      </c>
      <c r="BN327" s="120" t="b">
        <f t="shared" si="25"/>
        <v>0</v>
      </c>
      <c r="BO327" s="131" t="b">
        <f t="shared" si="26"/>
        <v>1</v>
      </c>
      <c r="BP327" s="121"/>
      <c r="BQ327" s="132" t="str">
        <f>VLOOKUP(A327,RAW_APS!A$3:O826,15,FALSE)</f>
        <v/>
      </c>
      <c r="BR327" s="120" t="b">
        <f t="shared" si="27"/>
        <v>1</v>
      </c>
      <c r="BS327" s="121"/>
      <c r="BT327" s="138" t="s">
        <v>244</v>
      </c>
      <c r="BU327" s="10" t="b">
        <f t="shared" si="28"/>
        <v>1</v>
      </c>
      <c r="BV327" s="120"/>
      <c r="BW327" s="120"/>
      <c r="BX327" s="120"/>
      <c r="BY327" s="120"/>
      <c r="BZ327" s="120"/>
      <c r="CA327" s="120"/>
      <c r="CB327" s="120"/>
      <c r="CC327" s="120"/>
    </row>
    <row r="328">
      <c r="A328" s="2" t="s">
        <v>1081</v>
      </c>
      <c r="B328" s="100">
        <v>44592.0</v>
      </c>
      <c r="C328" s="101">
        <v>0.34346064814814814</v>
      </c>
      <c r="D328" s="102"/>
      <c r="E328" s="102"/>
      <c r="F328" s="102"/>
      <c r="G328" s="102"/>
      <c r="H328" s="102"/>
      <c r="I328" s="103"/>
      <c r="J328" s="103"/>
      <c r="K328" s="2" t="s">
        <v>244</v>
      </c>
      <c r="L328" s="100">
        <v>44592.0</v>
      </c>
      <c r="M328" s="101">
        <v>0.46024305555555556</v>
      </c>
      <c r="P328" s="104" t="b">
        <f>IFNA(IF(VLOOKUP($A328,'Add from APT'!$AA$2:$AC826,3,FALSE)&gt;0,TRUE,FALSE),"ER - NOT IN APT")</f>
        <v>0</v>
      </c>
      <c r="Q328" s="105" t="str">
        <f>IF(ISLOGICAL(P328),IF(P328,"ER - REPS IN APT", IFNA(VLOOKUP($A328,RAW_APT!$A$3:$M826,7,FALSE),"ER - NOT IN APT")),P328)</f>
        <v>Result</v>
      </c>
      <c r="R328" s="106" t="b">
        <f t="shared" si="2"/>
        <v>1</v>
      </c>
      <c r="S328" s="107">
        <f t="shared" si="3"/>
        <v>1</v>
      </c>
      <c r="T328" s="143"/>
      <c r="U328" s="142"/>
      <c r="V328" s="142"/>
      <c r="W328" s="142"/>
      <c r="X328" s="110" t="b">
        <f t="shared" si="4"/>
        <v>0</v>
      </c>
      <c r="Y328" s="111" t="b">
        <v>0</v>
      </c>
      <c r="Z328" s="104" t="str">
        <f t="shared" si="5"/>
        <v/>
      </c>
      <c r="AA328" s="112" t="b">
        <f t="shared" si="6"/>
        <v>0</v>
      </c>
      <c r="AB328" s="142" t="b">
        <v>0</v>
      </c>
      <c r="AC328" s="140">
        <v>480.0</v>
      </c>
      <c r="AD328" s="141" t="b">
        <v>0</v>
      </c>
      <c r="AE328" s="115">
        <f t="shared" si="7"/>
        <v>168.1666667</v>
      </c>
      <c r="AF328" s="116" t="b">
        <f t="shared" si="8"/>
        <v>0</v>
      </c>
      <c r="AG328" s="105" t="b">
        <f t="shared" si="9"/>
        <v>0</v>
      </c>
      <c r="AH328" s="140"/>
      <c r="AI328" s="140"/>
      <c r="AJ328" s="140"/>
      <c r="AK328" s="117" t="str">
        <f t="shared" si="10"/>
        <v>Negative</v>
      </c>
      <c r="AL328" s="142"/>
      <c r="AM328" s="112" t="s">
        <v>504</v>
      </c>
      <c r="AN328" s="112" t="s">
        <v>505</v>
      </c>
      <c r="AO328" s="112" t="str">
        <f>IFERROR(__xludf.DUMMYFUNCTION("IF($AG328, ""DELETED"",TRIM(JOIN("" "",D328:E328)))"),"")</f>
        <v/>
      </c>
      <c r="AP328" s="112" t="str">
        <f t="shared" ref="AP328:AQ328" si="353">IF($AG328, "DELETED", TRIM(CONCATENATE(F328,I328,U328)))</f>
        <v/>
      </c>
      <c r="AQ328" s="112" t="str">
        <f t="shared" si="353"/>
        <v/>
      </c>
      <c r="AR328" s="112" t="str">
        <f>IFERROR(__xludf.DUMMYFUNCTION("IF($AG328, ""DELETED"", TRIM(JOIN("" "",AP328,AQ328)))"),"")</f>
        <v/>
      </c>
      <c r="AS328" s="118"/>
      <c r="AT328" s="110" t="b">
        <f t="shared" si="12"/>
        <v>0</v>
      </c>
      <c r="AU328" s="110" t="str">
        <f t="shared" si="13"/>
        <v/>
      </c>
      <c r="AV328" s="110" t="str">
        <f t="shared" si="14"/>
        <v/>
      </c>
      <c r="AW328" s="110" t="str">
        <f t="shared" si="15"/>
        <v/>
      </c>
      <c r="AX328" s="119" t="str">
        <f t="shared" si="16"/>
        <v/>
      </c>
      <c r="AY328" s="120"/>
      <c r="AZ328" s="121"/>
      <c r="BA328" s="122" t="str">
        <f t="shared" si="17"/>
        <v/>
      </c>
      <c r="BB328" s="34"/>
      <c r="BC328" s="121"/>
      <c r="BD328" s="136"/>
      <c r="BE328" s="125" t="str">
        <f t="shared" si="18"/>
        <v/>
      </c>
      <c r="BF328" s="126" t="str">
        <f t="shared" si="19"/>
        <v>MA625__44592_0.343460648148148</v>
      </c>
      <c r="BG328" s="127" t="str">
        <f t="shared" si="20"/>
        <v/>
      </c>
      <c r="BH328" s="137" t="s">
        <v>1082</v>
      </c>
      <c r="BI328" s="128" t="str">
        <f t="shared" si="21"/>
        <v>MA1079</v>
      </c>
      <c r="BJ328" s="129" t="b">
        <f t="shared" si="22"/>
        <v>0</v>
      </c>
      <c r="BK328" s="128" t="str">
        <f t="shared" si="23"/>
        <v/>
      </c>
      <c r="BL328" s="121"/>
      <c r="BM328" s="5" t="str">
        <f t="shared" si="24"/>
        <v>MISSING</v>
      </c>
      <c r="BN328" s="120" t="b">
        <f t="shared" si="25"/>
        <v>0</v>
      </c>
      <c r="BO328" s="131" t="b">
        <f t="shared" si="26"/>
        <v>1</v>
      </c>
      <c r="BP328" s="121"/>
      <c r="BQ328" s="132" t="str">
        <f>VLOOKUP(A328,RAW_APS!A$3:O826,15,FALSE)</f>
        <v/>
      </c>
      <c r="BR328" s="120" t="b">
        <f t="shared" si="27"/>
        <v>1</v>
      </c>
      <c r="BS328" s="121"/>
      <c r="BT328" s="138" t="s">
        <v>244</v>
      </c>
      <c r="BU328" s="10" t="b">
        <f t="shared" si="28"/>
        <v>1</v>
      </c>
      <c r="BV328" s="120"/>
      <c r="BW328" s="120"/>
      <c r="BX328" s="120"/>
      <c r="BY328" s="120"/>
      <c r="BZ328" s="120"/>
      <c r="CA328" s="120"/>
      <c r="CB328" s="120"/>
      <c r="CC328" s="120"/>
    </row>
    <row r="329">
      <c r="A329" s="2" t="s">
        <v>1083</v>
      </c>
      <c r="B329" s="100">
        <v>44592.0</v>
      </c>
      <c r="C329" s="101">
        <v>0.3622800925925926</v>
      </c>
      <c r="D329" s="102"/>
      <c r="E329" s="102"/>
      <c r="F329" s="102"/>
      <c r="G329" s="102"/>
      <c r="H329" s="102"/>
      <c r="I329" s="103"/>
      <c r="J329" s="103"/>
      <c r="K329" s="2" t="s">
        <v>244</v>
      </c>
      <c r="L329" s="100">
        <v>44592.0</v>
      </c>
      <c r="M329" s="101">
        <v>0.46024305555555556</v>
      </c>
      <c r="P329" s="104" t="b">
        <f>IFNA(IF(VLOOKUP($A329,'Add from APT'!$AA$2:$AC826,3,FALSE)&gt;0,TRUE,FALSE),"ER - NOT IN APT")</f>
        <v>0</v>
      </c>
      <c r="Q329" s="105" t="str">
        <f>IF(ISLOGICAL(P329),IF(P329,"ER - REPS IN APT", IFNA(VLOOKUP($A329,RAW_APT!$A$3:$M826,7,FALSE),"ER - NOT IN APT")),P329)</f>
        <v>Result</v>
      </c>
      <c r="R329" s="106" t="b">
        <f t="shared" si="2"/>
        <v>1</v>
      </c>
      <c r="S329" s="107">
        <f t="shared" si="3"/>
        <v>1</v>
      </c>
      <c r="T329" s="143"/>
      <c r="U329" s="142"/>
      <c r="V329" s="142"/>
      <c r="W329" s="142"/>
      <c r="X329" s="110" t="b">
        <f t="shared" si="4"/>
        <v>0</v>
      </c>
      <c r="Y329" s="111" t="b">
        <v>0</v>
      </c>
      <c r="Z329" s="104" t="str">
        <f t="shared" si="5"/>
        <v/>
      </c>
      <c r="AA329" s="112" t="b">
        <f t="shared" si="6"/>
        <v>0</v>
      </c>
      <c r="AB329" s="142" t="b">
        <v>0</v>
      </c>
      <c r="AC329" s="140">
        <v>479.0</v>
      </c>
      <c r="AD329" s="141" t="b">
        <v>0</v>
      </c>
      <c r="AE329" s="115">
        <f t="shared" si="7"/>
        <v>141.0666667</v>
      </c>
      <c r="AF329" s="116" t="b">
        <f t="shared" si="8"/>
        <v>0</v>
      </c>
      <c r="AG329" s="105" t="b">
        <f t="shared" si="9"/>
        <v>0</v>
      </c>
      <c r="AH329" s="140"/>
      <c r="AI329" s="140"/>
      <c r="AJ329" s="140"/>
      <c r="AK329" s="117" t="str">
        <f t="shared" si="10"/>
        <v>Negative</v>
      </c>
      <c r="AL329" s="142"/>
      <c r="AM329" s="112" t="s">
        <v>291</v>
      </c>
      <c r="AN329" s="112" t="s">
        <v>292</v>
      </c>
      <c r="AO329" s="112" t="str">
        <f>IFERROR(__xludf.DUMMYFUNCTION("IF($AG329, ""DELETED"",TRIM(JOIN("" "",D329:E329)))"),"")</f>
        <v/>
      </c>
      <c r="AP329" s="112" t="str">
        <f t="shared" ref="AP329:AQ329" si="354">IF($AG329, "DELETED", TRIM(CONCATENATE(F329,I329,U329)))</f>
        <v/>
      </c>
      <c r="AQ329" s="112" t="str">
        <f t="shared" si="354"/>
        <v/>
      </c>
      <c r="AR329" s="112" t="str">
        <f>IFERROR(__xludf.DUMMYFUNCTION("IF($AG329, ""DELETED"", TRIM(JOIN("" "",AP329,AQ329)))"),"")</f>
        <v/>
      </c>
      <c r="AS329" s="118"/>
      <c r="AT329" s="110" t="b">
        <f t="shared" si="12"/>
        <v>0</v>
      </c>
      <c r="AU329" s="110" t="str">
        <f t="shared" si="13"/>
        <v/>
      </c>
      <c r="AV329" s="110" t="str">
        <f t="shared" si="14"/>
        <v/>
      </c>
      <c r="AW329" s="110" t="str">
        <f t="shared" si="15"/>
        <v/>
      </c>
      <c r="AX329" s="119" t="str">
        <f t="shared" si="16"/>
        <v/>
      </c>
      <c r="AY329" s="120"/>
      <c r="AZ329" s="121"/>
      <c r="BA329" s="122" t="str">
        <f t="shared" si="17"/>
        <v/>
      </c>
      <c r="BB329" s="34"/>
      <c r="BC329" s="121"/>
      <c r="BD329" s="136"/>
      <c r="BE329" s="125" t="str">
        <f t="shared" si="18"/>
        <v/>
      </c>
      <c r="BF329" s="126" t="str">
        <f t="shared" si="19"/>
        <v>MA397__44592_0.362280092592593</v>
      </c>
      <c r="BG329" s="127" t="str">
        <f t="shared" si="20"/>
        <v/>
      </c>
      <c r="BH329" s="137" t="s">
        <v>1084</v>
      </c>
      <c r="BI329" s="128" t="str">
        <f t="shared" si="21"/>
        <v>MA1080</v>
      </c>
      <c r="BJ329" s="129" t="b">
        <f t="shared" si="22"/>
        <v>0</v>
      </c>
      <c r="BK329" s="128" t="str">
        <f t="shared" si="23"/>
        <v/>
      </c>
      <c r="BL329" s="121"/>
      <c r="BM329" s="5" t="str">
        <f t="shared" si="24"/>
        <v>MISSING</v>
      </c>
      <c r="BN329" s="120" t="b">
        <f t="shared" si="25"/>
        <v>0</v>
      </c>
      <c r="BO329" s="131" t="b">
        <f t="shared" si="26"/>
        <v>1</v>
      </c>
      <c r="BP329" s="121"/>
      <c r="BQ329" s="132" t="str">
        <f>VLOOKUP(A329,RAW_APS!A$3:O826,15,FALSE)</f>
        <v/>
      </c>
      <c r="BR329" s="120" t="b">
        <f t="shared" si="27"/>
        <v>1</v>
      </c>
      <c r="BS329" s="121"/>
      <c r="BT329" s="138" t="s">
        <v>244</v>
      </c>
      <c r="BU329" s="10" t="b">
        <f t="shared" si="28"/>
        <v>1</v>
      </c>
      <c r="BV329" s="120"/>
      <c r="BW329" s="120"/>
      <c r="BX329" s="120"/>
      <c r="BY329" s="120"/>
      <c r="BZ329" s="120"/>
      <c r="CA329" s="120"/>
      <c r="CB329" s="120"/>
      <c r="CC329" s="120"/>
    </row>
    <row r="330">
      <c r="A330" s="2" t="s">
        <v>1085</v>
      </c>
      <c r="B330" s="100">
        <v>44592.0</v>
      </c>
      <c r="C330" s="101">
        <v>0.42983796296296295</v>
      </c>
      <c r="D330" s="102"/>
      <c r="E330" s="102"/>
      <c r="F330" s="102"/>
      <c r="G330" s="102"/>
      <c r="H330" s="102"/>
      <c r="I330" s="103"/>
      <c r="J330" s="103"/>
      <c r="K330" s="2" t="s">
        <v>244</v>
      </c>
      <c r="L330" s="100">
        <v>44592.0</v>
      </c>
      <c r="M330" s="101">
        <v>0.46024305555555556</v>
      </c>
      <c r="P330" s="104" t="b">
        <f>IFNA(IF(VLOOKUP($A330,'Add from APT'!$AA$2:$AC826,3,FALSE)&gt;0,TRUE,FALSE),"ER - NOT IN APT")</f>
        <v>0</v>
      </c>
      <c r="Q330" s="105" t="str">
        <f>IF(ISLOGICAL(P330),IF(P330,"ER - REPS IN APT", IFNA(VLOOKUP($A330,RAW_APT!$A$3:$M826,7,FALSE),"ER - NOT IN APT")),P330)</f>
        <v>Result</v>
      </c>
      <c r="R330" s="106" t="b">
        <f t="shared" si="2"/>
        <v>1</v>
      </c>
      <c r="S330" s="107">
        <f t="shared" si="3"/>
        <v>1</v>
      </c>
      <c r="T330" s="143"/>
      <c r="U330" s="142"/>
      <c r="V330" s="142"/>
      <c r="W330" s="142"/>
      <c r="X330" s="110" t="b">
        <f t="shared" si="4"/>
        <v>0</v>
      </c>
      <c r="Y330" s="111" t="b">
        <v>0</v>
      </c>
      <c r="Z330" s="104" t="str">
        <f t="shared" si="5"/>
        <v/>
      </c>
      <c r="AA330" s="112" t="b">
        <f t="shared" si="6"/>
        <v>0</v>
      </c>
      <c r="AB330" s="142" t="b">
        <v>0</v>
      </c>
      <c r="AC330" s="140">
        <v>478.0</v>
      </c>
      <c r="AD330" s="141" t="b">
        <v>0</v>
      </c>
      <c r="AE330" s="115">
        <f t="shared" si="7"/>
        <v>43.78333333</v>
      </c>
      <c r="AF330" s="116" t="b">
        <f t="shared" si="8"/>
        <v>0</v>
      </c>
      <c r="AG330" s="105" t="b">
        <f t="shared" si="9"/>
        <v>0</v>
      </c>
      <c r="AH330" s="140"/>
      <c r="AI330" s="140"/>
      <c r="AJ330" s="140"/>
      <c r="AK330" s="117" t="str">
        <f t="shared" si="10"/>
        <v>Negative</v>
      </c>
      <c r="AL330" s="142"/>
      <c r="AM330" s="112" t="s">
        <v>362</v>
      </c>
      <c r="AN330" s="112" t="s">
        <v>363</v>
      </c>
      <c r="AO330" s="112" t="str">
        <f>IFERROR(__xludf.DUMMYFUNCTION("IF($AG330, ""DELETED"",TRIM(JOIN("" "",D330:E330)))"),"")</f>
        <v/>
      </c>
      <c r="AP330" s="112" t="str">
        <f t="shared" ref="AP330:AQ330" si="355">IF($AG330, "DELETED", TRIM(CONCATENATE(F330,I330,U330)))</f>
        <v/>
      </c>
      <c r="AQ330" s="112" t="str">
        <f t="shared" si="355"/>
        <v/>
      </c>
      <c r="AR330" s="112" t="str">
        <f>IFERROR(__xludf.DUMMYFUNCTION("IF($AG330, ""DELETED"", TRIM(JOIN("" "",AP330,AQ330)))"),"")</f>
        <v/>
      </c>
      <c r="AS330" s="118"/>
      <c r="AT330" s="110" t="b">
        <f t="shared" si="12"/>
        <v>0</v>
      </c>
      <c r="AU330" s="110" t="str">
        <f t="shared" si="13"/>
        <v/>
      </c>
      <c r="AV330" s="110" t="str">
        <f t="shared" si="14"/>
        <v/>
      </c>
      <c r="AW330" s="110" t="str">
        <f t="shared" si="15"/>
        <v/>
      </c>
      <c r="AX330" s="119" t="str">
        <f t="shared" si="16"/>
        <v/>
      </c>
      <c r="AY330" s="120"/>
      <c r="AZ330" s="121"/>
      <c r="BA330" s="122" t="str">
        <f t="shared" si="17"/>
        <v/>
      </c>
      <c r="BB330" s="34"/>
      <c r="BC330" s="121"/>
      <c r="BD330" s="136"/>
      <c r="BE330" s="125" t="str">
        <f t="shared" si="18"/>
        <v/>
      </c>
      <c r="BF330" s="126" t="str">
        <f t="shared" si="19"/>
        <v>MAX85__44592_0.429837962962963</v>
      </c>
      <c r="BG330" s="127" t="str">
        <f t="shared" si="20"/>
        <v/>
      </c>
      <c r="BH330" s="137" t="s">
        <v>1086</v>
      </c>
      <c r="BI330" s="128" t="str">
        <f t="shared" si="21"/>
        <v>MA1081</v>
      </c>
      <c r="BJ330" s="129" t="b">
        <f t="shared" si="22"/>
        <v>0</v>
      </c>
      <c r="BK330" s="128" t="str">
        <f t="shared" si="23"/>
        <v/>
      </c>
      <c r="BL330" s="121"/>
      <c r="BM330" s="5" t="str">
        <f t="shared" si="24"/>
        <v>MISSING</v>
      </c>
      <c r="BN330" s="120" t="b">
        <f t="shared" si="25"/>
        <v>0</v>
      </c>
      <c r="BO330" s="131" t="b">
        <f t="shared" si="26"/>
        <v>1</v>
      </c>
      <c r="BP330" s="121"/>
      <c r="BQ330" s="132" t="str">
        <f>VLOOKUP(A330,RAW_APS!A$3:O826,15,FALSE)</f>
        <v/>
      </c>
      <c r="BR330" s="120" t="b">
        <f t="shared" si="27"/>
        <v>1</v>
      </c>
      <c r="BS330" s="121"/>
      <c r="BT330" s="138" t="s">
        <v>244</v>
      </c>
      <c r="BU330" s="10" t="b">
        <f t="shared" si="28"/>
        <v>1</v>
      </c>
      <c r="BV330" s="120"/>
      <c r="BW330" s="120"/>
      <c r="BX330" s="120"/>
      <c r="BY330" s="120"/>
      <c r="BZ330" s="120"/>
      <c r="CA330" s="120"/>
      <c r="CB330" s="120"/>
      <c r="CC330" s="120"/>
    </row>
    <row r="331">
      <c r="A331" s="2" t="s">
        <v>1087</v>
      </c>
      <c r="B331" s="100">
        <v>44594.0</v>
      </c>
      <c r="C331" s="101">
        <v>0.3244675925925926</v>
      </c>
      <c r="D331" s="102"/>
      <c r="E331" s="102"/>
      <c r="F331" s="102"/>
      <c r="G331" s="102"/>
      <c r="H331" s="102"/>
      <c r="I331" s="103"/>
      <c r="J331" s="103"/>
      <c r="K331" s="2" t="s">
        <v>52</v>
      </c>
      <c r="L331" s="100">
        <v>44594.0</v>
      </c>
      <c r="M331" s="101">
        <v>0.48358796296296297</v>
      </c>
      <c r="P331" s="104" t="b">
        <f>IFNA(IF(VLOOKUP($A331,'Add from APT'!$AA$2:$AC826,3,FALSE)&gt;0,TRUE,FALSE),"ER - NOT IN APT")</f>
        <v>0</v>
      </c>
      <c r="Q331" s="105" t="str">
        <f>IF(ISLOGICAL(P331),IF(P331,"ER - REPS IN APT", IFNA(VLOOKUP($A331,RAW_APT!$A$3:$M826,7,FALSE),"ER - NOT IN APT")),P331)</f>
        <v>Result</v>
      </c>
      <c r="R331" s="106" t="b">
        <f t="shared" si="2"/>
        <v>1</v>
      </c>
      <c r="S331" s="107">
        <f t="shared" si="3"/>
        <v>1</v>
      </c>
      <c r="T331" s="143"/>
      <c r="U331" s="142"/>
      <c r="V331" s="142"/>
      <c r="W331" s="142"/>
      <c r="X331" s="110" t="b">
        <f t="shared" si="4"/>
        <v>0</v>
      </c>
      <c r="Y331" s="111" t="b">
        <v>0</v>
      </c>
      <c r="Z331" s="104" t="str">
        <f t="shared" si="5"/>
        <v/>
      </c>
      <c r="AA331" s="112" t="b">
        <f t="shared" si="6"/>
        <v>0</v>
      </c>
      <c r="AB331" s="142" t="b">
        <v>0</v>
      </c>
      <c r="AC331" s="140">
        <v>477.0</v>
      </c>
      <c r="AD331" s="141" t="b">
        <v>0</v>
      </c>
      <c r="AE331" s="115">
        <f t="shared" si="7"/>
        <v>229.1333333</v>
      </c>
      <c r="AF331" s="116" t="b">
        <f t="shared" si="8"/>
        <v>0</v>
      </c>
      <c r="AG331" s="105" t="b">
        <f t="shared" si="9"/>
        <v>0</v>
      </c>
      <c r="AH331" s="140"/>
      <c r="AI331" s="140"/>
      <c r="AJ331" s="140"/>
      <c r="AK331" s="117" t="str">
        <f t="shared" si="10"/>
        <v>Positive</v>
      </c>
      <c r="AL331" s="142"/>
      <c r="AM331" s="112" t="s">
        <v>328</v>
      </c>
      <c r="AN331" s="112" t="s">
        <v>329</v>
      </c>
      <c r="AO331" s="112" t="str">
        <f>IFERROR(__xludf.DUMMYFUNCTION("IF($AG331, ""DELETED"",TRIM(JOIN("" "",D331:E331)))"),"")</f>
        <v/>
      </c>
      <c r="AP331" s="112" t="str">
        <f t="shared" ref="AP331:AQ331" si="356">IF($AG331, "DELETED", TRIM(CONCATENATE(F331,I331,U331)))</f>
        <v/>
      </c>
      <c r="AQ331" s="112" t="str">
        <f t="shared" si="356"/>
        <v/>
      </c>
      <c r="AR331" s="112" t="str">
        <f>IFERROR(__xludf.DUMMYFUNCTION("IF($AG331, ""DELETED"", TRIM(JOIN("" "",AP331,AQ331)))"),"")</f>
        <v/>
      </c>
      <c r="AS331" s="118"/>
      <c r="AT331" s="110" t="b">
        <f t="shared" si="12"/>
        <v>0</v>
      </c>
      <c r="AU331" s="110" t="str">
        <f t="shared" si="13"/>
        <v/>
      </c>
      <c r="AV331" s="110" t="str">
        <f t="shared" si="14"/>
        <v/>
      </c>
      <c r="AW331" s="110" t="str">
        <f t="shared" si="15"/>
        <v/>
      </c>
      <c r="AX331" s="119" t="str">
        <f t="shared" si="16"/>
        <v/>
      </c>
      <c r="AY331" s="120"/>
      <c r="AZ331" s="121"/>
      <c r="BA331" s="122" t="str">
        <f t="shared" si="17"/>
        <v/>
      </c>
      <c r="BB331" s="34"/>
      <c r="BC331" s="121"/>
      <c r="BD331" s="136"/>
      <c r="BE331" s="125" t="str">
        <f t="shared" si="18"/>
        <v/>
      </c>
      <c r="BF331" s="126" t="str">
        <f t="shared" si="19"/>
        <v>MA310__44594_0.324467592592593</v>
      </c>
      <c r="BG331" s="127" t="str">
        <f t="shared" si="20"/>
        <v/>
      </c>
      <c r="BH331" s="137" t="s">
        <v>1088</v>
      </c>
      <c r="BI331" s="128" t="str">
        <f t="shared" si="21"/>
        <v>MA1082</v>
      </c>
      <c r="BJ331" s="129" t="b">
        <f t="shared" si="22"/>
        <v>0</v>
      </c>
      <c r="BK331" s="128" t="str">
        <f t="shared" si="23"/>
        <v/>
      </c>
      <c r="BL331" s="121"/>
      <c r="BM331" s="5" t="str">
        <f t="shared" si="24"/>
        <v>MISSING</v>
      </c>
      <c r="BN331" s="120" t="b">
        <f t="shared" si="25"/>
        <v>0</v>
      </c>
      <c r="BO331" s="131" t="b">
        <f t="shared" si="26"/>
        <v>1</v>
      </c>
      <c r="BP331" s="121"/>
      <c r="BQ331" s="132" t="str">
        <f>VLOOKUP(A331,RAW_APS!A$3:O826,15,FALSE)</f>
        <v/>
      </c>
      <c r="BR331" s="120" t="b">
        <f t="shared" si="27"/>
        <v>1</v>
      </c>
      <c r="BS331" s="121"/>
      <c r="BT331" s="138" t="s">
        <v>52</v>
      </c>
      <c r="BU331" s="10" t="b">
        <f t="shared" si="28"/>
        <v>1</v>
      </c>
      <c r="BV331" s="120"/>
      <c r="BW331" s="120"/>
      <c r="BX331" s="120"/>
      <c r="BY331" s="120"/>
      <c r="BZ331" s="120"/>
      <c r="CA331" s="120"/>
      <c r="CB331" s="120"/>
      <c r="CC331" s="120"/>
    </row>
    <row r="332">
      <c r="A332" s="2" t="s">
        <v>1089</v>
      </c>
      <c r="B332" s="100">
        <v>44594.0</v>
      </c>
      <c r="C332" s="101">
        <v>0.3348263888888889</v>
      </c>
      <c r="D332" s="102"/>
      <c r="E332" s="102"/>
      <c r="F332" s="102"/>
      <c r="G332" s="102"/>
      <c r="H332" s="102"/>
      <c r="I332" s="103"/>
      <c r="J332" s="103"/>
      <c r="K332" s="2" t="s">
        <v>244</v>
      </c>
      <c r="L332" s="100">
        <v>44596.0</v>
      </c>
      <c r="M332" s="101">
        <v>0.48193287037037036</v>
      </c>
      <c r="P332" s="104" t="b">
        <f>IFNA(IF(VLOOKUP($A332,'Add from APT'!$AA$2:$AC826,3,FALSE)&gt;0,TRUE,FALSE),"ER - NOT IN APT")</f>
        <v>0</v>
      </c>
      <c r="Q332" s="105" t="str">
        <f>IF(ISLOGICAL(P332),IF(P332,"ER - REPS IN APT", IFNA(VLOOKUP($A332,RAW_APT!$A$3:$M826,7,FALSE),"ER - NOT IN APT")),P332)</f>
        <v>Result</v>
      </c>
      <c r="R332" s="106" t="b">
        <f t="shared" si="2"/>
        <v>1</v>
      </c>
      <c r="S332" s="107">
        <f t="shared" si="3"/>
        <v>1</v>
      </c>
      <c r="T332" s="143"/>
      <c r="U332" s="142"/>
      <c r="V332" s="142"/>
      <c r="W332" s="142"/>
      <c r="X332" s="110" t="b">
        <f t="shared" si="4"/>
        <v>0</v>
      </c>
      <c r="Y332" s="111" t="b">
        <v>0</v>
      </c>
      <c r="Z332" s="104" t="str">
        <f t="shared" si="5"/>
        <v/>
      </c>
      <c r="AA332" s="112" t="b">
        <f t="shared" si="6"/>
        <v>0</v>
      </c>
      <c r="AB332" s="142" t="b">
        <v>0</v>
      </c>
      <c r="AC332" s="140">
        <v>476.0</v>
      </c>
      <c r="AD332" s="141" t="b">
        <v>0</v>
      </c>
      <c r="AE332" s="115" t="str">
        <f t="shared" si="7"/>
        <v/>
      </c>
      <c r="AF332" s="116" t="b">
        <f t="shared" si="8"/>
        <v>0</v>
      </c>
      <c r="AG332" s="105" t="b">
        <f t="shared" si="9"/>
        <v>0</v>
      </c>
      <c r="AH332" s="140"/>
      <c r="AI332" s="140"/>
      <c r="AJ332" s="140"/>
      <c r="AK332" s="117" t="str">
        <f t="shared" si="10"/>
        <v>Negative</v>
      </c>
      <c r="AL332" s="142"/>
      <c r="AM332" s="112" t="s">
        <v>577</v>
      </c>
      <c r="AN332" s="112" t="s">
        <v>578</v>
      </c>
      <c r="AO332" s="112" t="str">
        <f>IFERROR(__xludf.DUMMYFUNCTION("IF($AG332, ""DELETED"",TRIM(JOIN("" "",D332:E332)))"),"")</f>
        <v/>
      </c>
      <c r="AP332" s="112" t="str">
        <f t="shared" ref="AP332:AQ332" si="357">IF($AG332, "DELETED", TRIM(CONCATENATE(F332,I332,U332)))</f>
        <v/>
      </c>
      <c r="AQ332" s="112" t="str">
        <f t="shared" si="357"/>
        <v/>
      </c>
      <c r="AR332" s="112" t="str">
        <f>IFERROR(__xludf.DUMMYFUNCTION("IF($AG332, ""DELETED"", TRIM(JOIN("" "",AP332,AQ332)))"),"")</f>
        <v/>
      </c>
      <c r="AS332" s="118"/>
      <c r="AT332" s="110" t="b">
        <f t="shared" si="12"/>
        <v>0</v>
      </c>
      <c r="AU332" s="110" t="str">
        <f t="shared" si="13"/>
        <v/>
      </c>
      <c r="AV332" s="110" t="str">
        <f t="shared" si="14"/>
        <v/>
      </c>
      <c r="AW332" s="110" t="str">
        <f t="shared" si="15"/>
        <v/>
      </c>
      <c r="AX332" s="119" t="str">
        <f t="shared" si="16"/>
        <v/>
      </c>
      <c r="AY332" s="120"/>
      <c r="AZ332" s="121"/>
      <c r="BA332" s="122" t="str">
        <f t="shared" si="17"/>
        <v/>
      </c>
      <c r="BB332" s="34"/>
      <c r="BC332" s="121"/>
      <c r="BD332" s="136"/>
      <c r="BE332" s="125" t="str">
        <f t="shared" si="18"/>
        <v/>
      </c>
      <c r="BF332" s="126" t="str">
        <f t="shared" si="19"/>
        <v>MA1209__44594_0.334826388888889</v>
      </c>
      <c r="BG332" s="127" t="str">
        <f t="shared" si="20"/>
        <v/>
      </c>
      <c r="BH332" s="137" t="s">
        <v>1090</v>
      </c>
      <c r="BI332" s="128" t="str">
        <f t="shared" si="21"/>
        <v>MA1084</v>
      </c>
      <c r="BJ332" s="129" t="b">
        <f t="shared" si="22"/>
        <v>0</v>
      </c>
      <c r="BK332" s="128" t="str">
        <f t="shared" si="23"/>
        <v/>
      </c>
      <c r="BL332" s="121"/>
      <c r="BM332" s="5" t="str">
        <f t="shared" si="24"/>
        <v>MISSING</v>
      </c>
      <c r="BN332" s="120" t="b">
        <f t="shared" si="25"/>
        <v>0</v>
      </c>
      <c r="BO332" s="131" t="b">
        <f t="shared" si="26"/>
        <v>1</v>
      </c>
      <c r="BP332" s="121"/>
      <c r="BQ332" s="132" t="str">
        <f>VLOOKUP(A332,RAW_APS!A$3:O826,15,FALSE)</f>
        <v/>
      </c>
      <c r="BR332" s="120" t="b">
        <f t="shared" si="27"/>
        <v>1</v>
      </c>
      <c r="BS332" s="121"/>
      <c r="BT332" s="138" t="s">
        <v>244</v>
      </c>
      <c r="BU332" s="10" t="b">
        <f t="shared" si="28"/>
        <v>1</v>
      </c>
      <c r="BV332" s="120"/>
      <c r="BW332" s="120"/>
      <c r="BX332" s="120"/>
      <c r="BY332" s="120"/>
      <c r="BZ332" s="120"/>
      <c r="CA332" s="120"/>
      <c r="CB332" s="120"/>
      <c r="CC332" s="120"/>
    </row>
    <row r="333">
      <c r="A333" s="2" t="s">
        <v>1091</v>
      </c>
      <c r="B333" s="100">
        <v>44594.0</v>
      </c>
      <c r="C333" s="101">
        <v>0.33846064814814814</v>
      </c>
      <c r="D333" s="102"/>
      <c r="E333" s="102"/>
      <c r="F333" s="102"/>
      <c r="G333" s="102"/>
      <c r="H333" s="102"/>
      <c r="I333" s="103"/>
      <c r="J333" s="103"/>
      <c r="K333" s="2" t="s">
        <v>244</v>
      </c>
      <c r="L333" s="100">
        <v>44596.0</v>
      </c>
      <c r="M333" s="101">
        <v>0.48194444444444445</v>
      </c>
      <c r="P333" s="104" t="b">
        <f>IFNA(IF(VLOOKUP($A333,'Add from APT'!$AA$2:$AC826,3,FALSE)&gt;0,TRUE,FALSE),"ER - NOT IN APT")</f>
        <v>0</v>
      </c>
      <c r="Q333" s="105" t="str">
        <f>IF(ISLOGICAL(P333),IF(P333,"ER - REPS IN APT", IFNA(VLOOKUP($A333,RAW_APT!$A$3:$M826,7,FALSE),"ER - NOT IN APT")),P333)</f>
        <v>Result</v>
      </c>
      <c r="R333" s="106" t="b">
        <f t="shared" si="2"/>
        <v>1</v>
      </c>
      <c r="S333" s="107">
        <f t="shared" si="3"/>
        <v>1</v>
      </c>
      <c r="T333" s="143"/>
      <c r="U333" s="142"/>
      <c r="V333" s="142"/>
      <c r="W333" s="142"/>
      <c r="X333" s="110" t="b">
        <f t="shared" si="4"/>
        <v>0</v>
      </c>
      <c r="Y333" s="111" t="b">
        <v>0</v>
      </c>
      <c r="Z333" s="104" t="str">
        <f t="shared" si="5"/>
        <v/>
      </c>
      <c r="AA333" s="112" t="b">
        <f t="shared" si="6"/>
        <v>0</v>
      </c>
      <c r="AB333" s="142" t="b">
        <v>0</v>
      </c>
      <c r="AC333" s="140">
        <v>475.0</v>
      </c>
      <c r="AD333" s="141" t="b">
        <v>0</v>
      </c>
      <c r="AE333" s="115" t="str">
        <f t="shared" si="7"/>
        <v/>
      </c>
      <c r="AF333" s="116" t="b">
        <f t="shared" si="8"/>
        <v>0</v>
      </c>
      <c r="AG333" s="105" t="b">
        <f t="shared" si="9"/>
        <v>0</v>
      </c>
      <c r="AH333" s="140"/>
      <c r="AI333" s="140"/>
      <c r="AJ333" s="140"/>
      <c r="AK333" s="117" t="str">
        <f t="shared" si="10"/>
        <v>Negative</v>
      </c>
      <c r="AL333" s="142"/>
      <c r="AM333" s="112" t="s">
        <v>649</v>
      </c>
      <c r="AN333" s="112" t="s">
        <v>336</v>
      </c>
      <c r="AO333" s="112" t="str">
        <f>IFERROR(__xludf.DUMMYFUNCTION("IF($AG333, ""DELETED"",TRIM(JOIN("" "",D333:E333)))"),"")</f>
        <v/>
      </c>
      <c r="AP333" s="112" t="str">
        <f t="shared" ref="AP333:AQ333" si="358">IF($AG333, "DELETED", TRIM(CONCATENATE(F333,I333,U333)))</f>
        <v/>
      </c>
      <c r="AQ333" s="112" t="str">
        <f t="shared" si="358"/>
        <v/>
      </c>
      <c r="AR333" s="112" t="str">
        <f>IFERROR(__xludf.DUMMYFUNCTION("IF($AG333, ""DELETED"", TRIM(JOIN("" "",AP333,AQ333)))"),"")</f>
        <v/>
      </c>
      <c r="AS333" s="118"/>
      <c r="AT333" s="110" t="b">
        <f t="shared" si="12"/>
        <v>0</v>
      </c>
      <c r="AU333" s="110" t="str">
        <f t="shared" si="13"/>
        <v/>
      </c>
      <c r="AV333" s="110" t="str">
        <f t="shared" si="14"/>
        <v/>
      </c>
      <c r="AW333" s="110" t="str">
        <f t="shared" si="15"/>
        <v/>
      </c>
      <c r="AX333" s="119" t="str">
        <f t="shared" si="16"/>
        <v/>
      </c>
      <c r="AY333" s="120"/>
      <c r="AZ333" s="121"/>
      <c r="BA333" s="122" t="str">
        <f t="shared" si="17"/>
        <v/>
      </c>
      <c r="BB333" s="34"/>
      <c r="BC333" s="121"/>
      <c r="BD333" s="136"/>
      <c r="BE333" s="125" t="str">
        <f t="shared" si="18"/>
        <v/>
      </c>
      <c r="BF333" s="126" t="str">
        <f t="shared" si="19"/>
        <v>MA604__44594_0.338460648148148</v>
      </c>
      <c r="BG333" s="127" t="str">
        <f t="shared" si="20"/>
        <v/>
      </c>
      <c r="BH333" s="137" t="s">
        <v>1092</v>
      </c>
      <c r="BI333" s="128" t="str">
        <f t="shared" si="21"/>
        <v>MA1087</v>
      </c>
      <c r="BJ333" s="129" t="b">
        <f t="shared" si="22"/>
        <v>0</v>
      </c>
      <c r="BK333" s="128" t="str">
        <f t="shared" si="23"/>
        <v/>
      </c>
      <c r="BL333" s="121"/>
      <c r="BM333" s="5" t="str">
        <f t="shared" si="24"/>
        <v>MISSING</v>
      </c>
      <c r="BN333" s="120" t="b">
        <f t="shared" si="25"/>
        <v>0</v>
      </c>
      <c r="BO333" s="131" t="b">
        <f t="shared" si="26"/>
        <v>1</v>
      </c>
      <c r="BP333" s="121"/>
      <c r="BQ333" s="132" t="str">
        <f>VLOOKUP(A333,RAW_APS!A$3:O826,15,FALSE)</f>
        <v/>
      </c>
      <c r="BR333" s="120" t="b">
        <f t="shared" si="27"/>
        <v>1</v>
      </c>
      <c r="BS333" s="121"/>
      <c r="BT333" s="138" t="s">
        <v>244</v>
      </c>
      <c r="BU333" s="10" t="b">
        <f t="shared" si="28"/>
        <v>1</v>
      </c>
      <c r="BV333" s="120"/>
      <c r="BW333" s="120"/>
      <c r="BX333" s="120"/>
      <c r="BY333" s="120"/>
      <c r="BZ333" s="120"/>
      <c r="CA333" s="120"/>
      <c r="CB333" s="120"/>
      <c r="CC333" s="120"/>
    </row>
    <row r="334">
      <c r="A334" s="2" t="s">
        <v>1093</v>
      </c>
      <c r="B334" s="100">
        <v>44594.0</v>
      </c>
      <c r="C334" s="101">
        <v>0.34377314814814813</v>
      </c>
      <c r="D334" s="102"/>
      <c r="E334" s="102"/>
      <c r="F334" s="102"/>
      <c r="G334" s="102"/>
      <c r="H334" s="102"/>
      <c r="I334" s="103"/>
      <c r="J334" s="103"/>
      <c r="K334" s="2" t="s">
        <v>244</v>
      </c>
      <c r="L334" s="100">
        <v>44596.0</v>
      </c>
      <c r="M334" s="101">
        <v>0.48194444444444445</v>
      </c>
      <c r="P334" s="104" t="b">
        <f>IFNA(IF(VLOOKUP($A334,'Add from APT'!$AA$2:$AC826,3,FALSE)&gt;0,TRUE,FALSE),"ER - NOT IN APT")</f>
        <v>0</v>
      </c>
      <c r="Q334" s="105" t="str">
        <f>IF(ISLOGICAL(P334),IF(P334,"ER - REPS IN APT", IFNA(VLOOKUP($A334,RAW_APT!$A$3:$M826,7,FALSE),"ER - NOT IN APT")),P334)</f>
        <v>Result</v>
      </c>
      <c r="R334" s="106" t="b">
        <f t="shared" si="2"/>
        <v>1</v>
      </c>
      <c r="S334" s="107">
        <f t="shared" si="3"/>
        <v>1</v>
      </c>
      <c r="T334" s="143"/>
      <c r="U334" s="142"/>
      <c r="V334" s="142"/>
      <c r="W334" s="142"/>
      <c r="X334" s="110" t="b">
        <f t="shared" si="4"/>
        <v>0</v>
      </c>
      <c r="Y334" s="111" t="b">
        <v>0</v>
      </c>
      <c r="Z334" s="104" t="str">
        <f t="shared" si="5"/>
        <v/>
      </c>
      <c r="AA334" s="112" t="b">
        <f t="shared" si="6"/>
        <v>0</v>
      </c>
      <c r="AB334" s="142" t="b">
        <v>0</v>
      </c>
      <c r="AC334" s="140">
        <v>474.0</v>
      </c>
      <c r="AD334" s="141" t="b">
        <v>0</v>
      </c>
      <c r="AE334" s="115" t="str">
        <f t="shared" si="7"/>
        <v/>
      </c>
      <c r="AF334" s="116" t="b">
        <f t="shared" si="8"/>
        <v>0</v>
      </c>
      <c r="AG334" s="105" t="b">
        <f t="shared" si="9"/>
        <v>0</v>
      </c>
      <c r="AH334" s="140"/>
      <c r="AI334" s="140"/>
      <c r="AJ334" s="140"/>
      <c r="AK334" s="117" t="str">
        <f t="shared" si="10"/>
        <v>Negative</v>
      </c>
      <c r="AL334" s="142"/>
      <c r="AM334" s="112" t="s">
        <v>639</v>
      </c>
      <c r="AN334" s="112" t="s">
        <v>640</v>
      </c>
      <c r="AO334" s="112" t="str">
        <f>IFERROR(__xludf.DUMMYFUNCTION("IF($AG334, ""DELETED"",TRIM(JOIN("" "",D334:E334)))"),"")</f>
        <v/>
      </c>
      <c r="AP334" s="112" t="str">
        <f t="shared" ref="AP334:AQ334" si="359">IF($AG334, "DELETED", TRIM(CONCATENATE(F334,I334,U334)))</f>
        <v/>
      </c>
      <c r="AQ334" s="112" t="str">
        <f t="shared" si="359"/>
        <v/>
      </c>
      <c r="AR334" s="112" t="str">
        <f>IFERROR(__xludf.DUMMYFUNCTION("IF($AG334, ""DELETED"", TRIM(JOIN("" "",AP334,AQ334)))"),"")</f>
        <v/>
      </c>
      <c r="AS334" s="118"/>
      <c r="AT334" s="110" t="b">
        <f t="shared" si="12"/>
        <v>0</v>
      </c>
      <c r="AU334" s="110" t="str">
        <f t="shared" si="13"/>
        <v/>
      </c>
      <c r="AV334" s="110" t="str">
        <f t="shared" si="14"/>
        <v/>
      </c>
      <c r="AW334" s="110" t="str">
        <f t="shared" si="15"/>
        <v/>
      </c>
      <c r="AX334" s="119" t="str">
        <f t="shared" si="16"/>
        <v/>
      </c>
      <c r="AY334" s="120"/>
      <c r="AZ334" s="121"/>
      <c r="BA334" s="122" t="str">
        <f t="shared" si="17"/>
        <v/>
      </c>
      <c r="BB334" s="34"/>
      <c r="BC334" s="121"/>
      <c r="BD334" s="136"/>
      <c r="BE334" s="125" t="str">
        <f t="shared" si="18"/>
        <v/>
      </c>
      <c r="BF334" s="126" t="str">
        <f t="shared" si="19"/>
        <v>MA1136__44594_0.343773148148148</v>
      </c>
      <c r="BG334" s="127" t="str">
        <f t="shared" si="20"/>
        <v/>
      </c>
      <c r="BH334" s="137" t="s">
        <v>1094</v>
      </c>
      <c r="BI334" s="128" t="str">
        <f t="shared" si="21"/>
        <v>MA1088</v>
      </c>
      <c r="BJ334" s="129" t="b">
        <f t="shared" si="22"/>
        <v>0</v>
      </c>
      <c r="BK334" s="128" t="str">
        <f t="shared" si="23"/>
        <v/>
      </c>
      <c r="BL334" s="121"/>
      <c r="BM334" s="5" t="str">
        <f t="shared" si="24"/>
        <v>MISSING</v>
      </c>
      <c r="BN334" s="120" t="b">
        <f t="shared" si="25"/>
        <v>0</v>
      </c>
      <c r="BO334" s="131" t="b">
        <f t="shared" si="26"/>
        <v>1</v>
      </c>
      <c r="BP334" s="121"/>
      <c r="BQ334" s="132" t="str">
        <f>VLOOKUP(A334,RAW_APS!A$3:O826,15,FALSE)</f>
        <v/>
      </c>
      <c r="BR334" s="120" t="b">
        <f t="shared" si="27"/>
        <v>1</v>
      </c>
      <c r="BS334" s="121"/>
      <c r="BT334" s="138" t="s">
        <v>244</v>
      </c>
      <c r="BU334" s="10" t="b">
        <f t="shared" si="28"/>
        <v>1</v>
      </c>
      <c r="BV334" s="120"/>
      <c r="BW334" s="120"/>
      <c r="BX334" s="120"/>
      <c r="BY334" s="120"/>
      <c r="BZ334" s="120"/>
      <c r="CA334" s="120"/>
      <c r="CB334" s="120"/>
      <c r="CC334" s="120"/>
    </row>
    <row r="335">
      <c r="A335" s="2" t="s">
        <v>1095</v>
      </c>
      <c r="B335" s="100">
        <v>44594.0</v>
      </c>
      <c r="C335" s="101">
        <v>0.34423611111111113</v>
      </c>
      <c r="D335" s="102"/>
      <c r="E335" s="102"/>
      <c r="F335" s="139"/>
      <c r="G335" s="139"/>
      <c r="H335" s="139"/>
      <c r="I335" s="103"/>
      <c r="J335" s="103"/>
      <c r="K335" s="2" t="s">
        <v>244</v>
      </c>
      <c r="L335" s="100">
        <v>44596.0</v>
      </c>
      <c r="M335" s="101">
        <v>0.48194444444444445</v>
      </c>
      <c r="P335" s="104" t="b">
        <f>IFNA(IF(VLOOKUP($A335,'Add from APT'!$AA$2:$AC826,3,FALSE)&gt;0,TRUE,FALSE),"ER - NOT IN APT")</f>
        <v>0</v>
      </c>
      <c r="Q335" s="105" t="str">
        <f>IF(ISLOGICAL(P335),IF(P335,"ER - REPS IN APT", IFNA(VLOOKUP($A335,RAW_APT!$A$3:$M826,7,FALSE),"ER - NOT IN APT")),P335)</f>
        <v>Result</v>
      </c>
      <c r="R335" s="106" t="b">
        <f t="shared" si="2"/>
        <v>1</v>
      </c>
      <c r="S335" s="107">
        <f t="shared" si="3"/>
        <v>1</v>
      </c>
      <c r="T335" s="140">
        <v>0.0</v>
      </c>
      <c r="U335" s="141"/>
      <c r="V335" s="141"/>
      <c r="W335" s="141"/>
      <c r="X335" s="110" t="b">
        <f t="shared" si="4"/>
        <v>0</v>
      </c>
      <c r="Y335" s="111" t="b">
        <v>0</v>
      </c>
      <c r="Z335" s="104" t="str">
        <f t="shared" si="5"/>
        <v/>
      </c>
      <c r="AA335" s="112" t="b">
        <f t="shared" si="6"/>
        <v>0</v>
      </c>
      <c r="AB335" s="142" t="b">
        <v>0</v>
      </c>
      <c r="AC335" s="140">
        <v>473.0</v>
      </c>
      <c r="AD335" s="141" t="b">
        <v>0</v>
      </c>
      <c r="AE335" s="115" t="str">
        <f t="shared" si="7"/>
        <v/>
      </c>
      <c r="AF335" s="116" t="b">
        <f t="shared" si="8"/>
        <v>0</v>
      </c>
      <c r="AG335" s="105" t="b">
        <f t="shared" si="9"/>
        <v>0</v>
      </c>
      <c r="AH335" s="140"/>
      <c r="AI335" s="140"/>
      <c r="AJ335" s="140"/>
      <c r="AK335" s="117" t="str">
        <f t="shared" si="10"/>
        <v>Negative</v>
      </c>
      <c r="AL335" s="142"/>
      <c r="AM335" s="112" t="s">
        <v>639</v>
      </c>
      <c r="AN335" s="112" t="s">
        <v>1096</v>
      </c>
      <c r="AO335" s="112" t="str">
        <f>IFERROR(__xludf.DUMMYFUNCTION("IF($AG335, ""DELETED"",TRIM(JOIN("" "",D335:E335)))"),"")</f>
        <v/>
      </c>
      <c r="AP335" s="112" t="str">
        <f t="shared" ref="AP335:AQ335" si="360">IF($AG335, "DELETED", TRIM(CONCATENATE(F335,I335,U335)))</f>
        <v/>
      </c>
      <c r="AQ335" s="112" t="str">
        <f t="shared" si="360"/>
        <v/>
      </c>
      <c r="AR335" s="112" t="str">
        <f>IFERROR(__xludf.DUMMYFUNCTION("IF($AG335, ""DELETED"", TRIM(JOIN("" "",AP335,AQ335)))"),"")</f>
        <v/>
      </c>
      <c r="AS335" s="118"/>
      <c r="AT335" s="110" t="b">
        <f t="shared" si="12"/>
        <v>0</v>
      </c>
      <c r="AU335" s="110" t="str">
        <f t="shared" si="13"/>
        <v/>
      </c>
      <c r="AV335" s="110" t="str">
        <f t="shared" si="14"/>
        <v/>
      </c>
      <c r="AW335" s="110" t="str">
        <f t="shared" si="15"/>
        <v/>
      </c>
      <c r="AX335" s="119" t="str">
        <f t="shared" si="16"/>
        <v/>
      </c>
      <c r="AY335" s="120"/>
      <c r="AZ335" s="121"/>
      <c r="BA335" s="122" t="str">
        <f t="shared" si="17"/>
        <v/>
      </c>
      <c r="BB335" s="34"/>
      <c r="BC335" s="121"/>
      <c r="BD335" s="136"/>
      <c r="BE335" s="125" t="str">
        <f t="shared" si="18"/>
        <v/>
      </c>
      <c r="BF335" s="126" t="str">
        <f t="shared" si="19"/>
        <v>MA1033__44594_0.344236111111111</v>
      </c>
      <c r="BG335" s="127" t="str">
        <f t="shared" si="20"/>
        <v/>
      </c>
      <c r="BH335" s="137" t="s">
        <v>1097</v>
      </c>
      <c r="BI335" s="128" t="str">
        <f t="shared" si="21"/>
        <v>MA1090</v>
      </c>
      <c r="BJ335" s="129" t="b">
        <f t="shared" si="22"/>
        <v>0</v>
      </c>
      <c r="BK335" s="128" t="str">
        <f t="shared" si="23"/>
        <v/>
      </c>
      <c r="BL335" s="121"/>
      <c r="BM335" s="5" t="str">
        <f t="shared" si="24"/>
        <v>MISSING</v>
      </c>
      <c r="BN335" s="120" t="b">
        <f t="shared" si="25"/>
        <v>0</v>
      </c>
      <c r="BO335" s="131" t="b">
        <f t="shared" si="26"/>
        <v>1</v>
      </c>
      <c r="BP335" s="121"/>
      <c r="BQ335" s="132" t="str">
        <f>VLOOKUP(A335,RAW_APS!A$3:O826,15,FALSE)</f>
        <v/>
      </c>
      <c r="BR335" s="120" t="b">
        <f t="shared" si="27"/>
        <v>1</v>
      </c>
      <c r="BS335" s="121"/>
      <c r="BT335" s="138" t="s">
        <v>244</v>
      </c>
      <c r="BU335" s="10" t="b">
        <f t="shared" si="28"/>
        <v>1</v>
      </c>
      <c r="BV335" s="120"/>
      <c r="BW335" s="120"/>
      <c r="BX335" s="120"/>
      <c r="BY335" s="120"/>
      <c r="BZ335" s="120"/>
      <c r="CA335" s="120"/>
      <c r="CB335" s="120"/>
      <c r="CC335" s="120"/>
    </row>
    <row r="336">
      <c r="A336" s="2" t="s">
        <v>1098</v>
      </c>
      <c r="B336" s="100">
        <v>44594.0</v>
      </c>
      <c r="C336" s="101">
        <v>0.34739583333333335</v>
      </c>
      <c r="D336" s="102"/>
      <c r="E336" s="102"/>
      <c r="F336" s="102"/>
      <c r="G336" s="102"/>
      <c r="H336" s="102"/>
      <c r="I336" s="103"/>
      <c r="J336" s="103"/>
      <c r="K336" s="2" t="s">
        <v>244</v>
      </c>
      <c r="L336" s="100">
        <v>44596.0</v>
      </c>
      <c r="M336" s="101">
        <v>0.48194444444444445</v>
      </c>
      <c r="P336" s="104" t="b">
        <f>IFNA(IF(VLOOKUP($A336,'Add from APT'!$AA$2:$AC826,3,FALSE)&gt;0,TRUE,FALSE),"ER - NOT IN APT")</f>
        <v>0</v>
      </c>
      <c r="Q336" s="105" t="str">
        <f>IF(ISLOGICAL(P336),IF(P336,"ER - REPS IN APT", IFNA(VLOOKUP($A336,RAW_APT!$A$3:$M826,7,FALSE),"ER - NOT IN APT")),P336)</f>
        <v>Result</v>
      </c>
      <c r="R336" s="106" t="b">
        <f t="shared" si="2"/>
        <v>1</v>
      </c>
      <c r="S336" s="107">
        <f t="shared" si="3"/>
        <v>1</v>
      </c>
      <c r="T336" s="143"/>
      <c r="U336" s="142"/>
      <c r="V336" s="142"/>
      <c r="W336" s="142"/>
      <c r="X336" s="110" t="b">
        <f t="shared" si="4"/>
        <v>0</v>
      </c>
      <c r="Y336" s="111" t="b">
        <v>0</v>
      </c>
      <c r="Z336" s="104" t="str">
        <f t="shared" si="5"/>
        <v/>
      </c>
      <c r="AA336" s="112" t="b">
        <f t="shared" si="6"/>
        <v>0</v>
      </c>
      <c r="AB336" s="142" t="b">
        <v>0</v>
      </c>
      <c r="AC336" s="140">
        <v>472.0</v>
      </c>
      <c r="AD336" s="141" t="b">
        <v>0</v>
      </c>
      <c r="AE336" s="115" t="str">
        <f t="shared" si="7"/>
        <v/>
      </c>
      <c r="AF336" s="116" t="b">
        <f t="shared" si="8"/>
        <v>0</v>
      </c>
      <c r="AG336" s="105" t="b">
        <f t="shared" si="9"/>
        <v>0</v>
      </c>
      <c r="AH336" s="140"/>
      <c r="AI336" s="140"/>
      <c r="AJ336" s="140"/>
      <c r="AK336" s="117" t="str">
        <f t="shared" si="10"/>
        <v>Negative</v>
      </c>
      <c r="AL336" s="142"/>
      <c r="AM336" s="112" t="s">
        <v>1099</v>
      </c>
      <c r="AN336" s="112" t="s">
        <v>1100</v>
      </c>
      <c r="AO336" s="112" t="str">
        <f>IFERROR(__xludf.DUMMYFUNCTION("IF($AG336, ""DELETED"",TRIM(JOIN("" "",D336:E336)))"),"")</f>
        <v/>
      </c>
      <c r="AP336" s="112" t="str">
        <f t="shared" ref="AP336:AQ336" si="361">IF($AG336, "DELETED", TRIM(CONCATENATE(F336,I336,U336)))</f>
        <v/>
      </c>
      <c r="AQ336" s="112" t="str">
        <f t="shared" si="361"/>
        <v/>
      </c>
      <c r="AR336" s="112" t="str">
        <f>IFERROR(__xludf.DUMMYFUNCTION("IF($AG336, ""DELETED"", TRIM(JOIN("" "",AP336,AQ336)))"),"")</f>
        <v/>
      </c>
      <c r="AS336" s="118"/>
      <c r="AT336" s="110" t="b">
        <f t="shared" si="12"/>
        <v>0</v>
      </c>
      <c r="AU336" s="110" t="str">
        <f t="shared" si="13"/>
        <v/>
      </c>
      <c r="AV336" s="110" t="str">
        <f t="shared" si="14"/>
        <v/>
      </c>
      <c r="AW336" s="110" t="str">
        <f t="shared" si="15"/>
        <v/>
      </c>
      <c r="AX336" s="119" t="str">
        <f t="shared" si="16"/>
        <v/>
      </c>
      <c r="AY336" s="120"/>
      <c r="AZ336" s="121"/>
      <c r="BA336" s="122" t="str">
        <f t="shared" si="17"/>
        <v/>
      </c>
      <c r="BB336" s="34"/>
      <c r="BC336" s="121"/>
      <c r="BD336" s="136"/>
      <c r="BE336" s="125" t="str">
        <f t="shared" si="18"/>
        <v/>
      </c>
      <c r="BF336" s="126" t="str">
        <f t="shared" si="19"/>
        <v>MA1195__44594_0.347395833333333</v>
      </c>
      <c r="BG336" s="127" t="str">
        <f t="shared" si="20"/>
        <v/>
      </c>
      <c r="BH336" s="137" t="s">
        <v>1101</v>
      </c>
      <c r="BI336" s="128" t="str">
        <f t="shared" si="21"/>
        <v>MA1091</v>
      </c>
      <c r="BJ336" s="129" t="b">
        <f t="shared" si="22"/>
        <v>0</v>
      </c>
      <c r="BK336" s="128" t="str">
        <f t="shared" si="23"/>
        <v/>
      </c>
      <c r="BL336" s="121"/>
      <c r="BM336" s="5" t="str">
        <f t="shared" si="24"/>
        <v>MISSING</v>
      </c>
      <c r="BN336" s="120" t="b">
        <f t="shared" si="25"/>
        <v>0</v>
      </c>
      <c r="BO336" s="131" t="b">
        <f t="shared" si="26"/>
        <v>1</v>
      </c>
      <c r="BP336" s="121"/>
      <c r="BQ336" s="132" t="str">
        <f>VLOOKUP(A336,RAW_APS!A$3:O826,15,FALSE)</f>
        <v/>
      </c>
      <c r="BR336" s="120" t="b">
        <f t="shared" si="27"/>
        <v>1</v>
      </c>
      <c r="BS336" s="121"/>
      <c r="BT336" s="138" t="s">
        <v>244</v>
      </c>
      <c r="BU336" s="10" t="b">
        <f t="shared" si="28"/>
        <v>1</v>
      </c>
      <c r="BV336" s="120"/>
      <c r="BW336" s="120"/>
      <c r="BX336" s="120"/>
      <c r="BY336" s="120"/>
      <c r="BZ336" s="120"/>
      <c r="CA336" s="120"/>
      <c r="CB336" s="120"/>
      <c r="CC336" s="120"/>
    </row>
    <row r="337">
      <c r="A337" s="2" t="s">
        <v>1102</v>
      </c>
      <c r="B337" s="100">
        <v>44594.0</v>
      </c>
      <c r="C337" s="101">
        <v>0.3539351851851852</v>
      </c>
      <c r="D337" s="102"/>
      <c r="E337" s="102"/>
      <c r="F337" s="102"/>
      <c r="G337" s="102"/>
      <c r="H337" s="102"/>
      <c r="I337" s="103"/>
      <c r="J337" s="103"/>
      <c r="K337" s="2" t="s">
        <v>244</v>
      </c>
      <c r="L337" s="100">
        <v>44596.0</v>
      </c>
      <c r="M337" s="101">
        <v>0.48194444444444445</v>
      </c>
      <c r="P337" s="104" t="b">
        <f>IFNA(IF(VLOOKUP($A337,'Add from APT'!$AA$2:$AC826,3,FALSE)&gt;0,TRUE,FALSE),"ER - NOT IN APT")</f>
        <v>0</v>
      </c>
      <c r="Q337" s="105" t="str">
        <f>IF(ISLOGICAL(P337),IF(P337,"ER - REPS IN APT", IFNA(VLOOKUP($A337,RAW_APT!$A$3:$M826,7,FALSE),"ER - NOT IN APT")),P337)</f>
        <v>Result</v>
      </c>
      <c r="R337" s="106" t="b">
        <f t="shared" si="2"/>
        <v>1</v>
      </c>
      <c r="S337" s="107">
        <f t="shared" si="3"/>
        <v>1</v>
      </c>
      <c r="T337" s="143"/>
      <c r="U337" s="142"/>
      <c r="V337" s="142"/>
      <c r="W337" s="142"/>
      <c r="X337" s="110" t="b">
        <f t="shared" si="4"/>
        <v>0</v>
      </c>
      <c r="Y337" s="111" t="b">
        <v>0</v>
      </c>
      <c r="Z337" s="104" t="str">
        <f t="shared" si="5"/>
        <v/>
      </c>
      <c r="AA337" s="112" t="b">
        <f t="shared" si="6"/>
        <v>0</v>
      </c>
      <c r="AB337" s="142" t="b">
        <v>0</v>
      </c>
      <c r="AC337" s="140">
        <v>471.0</v>
      </c>
      <c r="AD337" s="141" t="b">
        <v>0</v>
      </c>
      <c r="AE337" s="115" t="str">
        <f t="shared" si="7"/>
        <v/>
      </c>
      <c r="AF337" s="116" t="b">
        <f t="shared" si="8"/>
        <v>0</v>
      </c>
      <c r="AG337" s="105" t="b">
        <f t="shared" si="9"/>
        <v>0</v>
      </c>
      <c r="AH337" s="140"/>
      <c r="AI337" s="140"/>
      <c r="AJ337" s="140"/>
      <c r="AK337" s="117" t="str">
        <f t="shared" si="10"/>
        <v>Negative</v>
      </c>
      <c r="AL337" s="142"/>
      <c r="AM337" s="112" t="s">
        <v>520</v>
      </c>
      <c r="AN337" s="112" t="s">
        <v>521</v>
      </c>
      <c r="AO337" s="112" t="str">
        <f>IFERROR(__xludf.DUMMYFUNCTION("IF($AG337, ""DELETED"",TRIM(JOIN("" "",D337:E337)))"),"")</f>
        <v/>
      </c>
      <c r="AP337" s="112" t="str">
        <f t="shared" ref="AP337:AQ337" si="362">IF($AG337, "DELETED", TRIM(CONCATENATE(F337,I337,U337)))</f>
        <v/>
      </c>
      <c r="AQ337" s="112" t="str">
        <f t="shared" si="362"/>
        <v/>
      </c>
      <c r="AR337" s="112" t="str">
        <f>IFERROR(__xludf.DUMMYFUNCTION("IF($AG337, ""DELETED"", TRIM(JOIN("" "",AP337,AQ337)))"),"")</f>
        <v/>
      </c>
      <c r="AS337" s="118"/>
      <c r="AT337" s="110" t="b">
        <f t="shared" si="12"/>
        <v>0</v>
      </c>
      <c r="AU337" s="110" t="str">
        <f t="shared" si="13"/>
        <v/>
      </c>
      <c r="AV337" s="110" t="str">
        <f t="shared" si="14"/>
        <v/>
      </c>
      <c r="AW337" s="110" t="str">
        <f t="shared" si="15"/>
        <v/>
      </c>
      <c r="AX337" s="119" t="str">
        <f t="shared" si="16"/>
        <v/>
      </c>
      <c r="AY337" s="120"/>
      <c r="AZ337" s="121"/>
      <c r="BA337" s="122" t="str">
        <f t="shared" si="17"/>
        <v/>
      </c>
      <c r="BB337" s="34"/>
      <c r="BC337" s="121"/>
      <c r="BD337" s="136"/>
      <c r="BE337" s="125" t="str">
        <f t="shared" si="18"/>
        <v/>
      </c>
      <c r="BF337" s="126" t="str">
        <f t="shared" si="19"/>
        <v>MA1161__44594_0.353935185185185</v>
      </c>
      <c r="BG337" s="127" t="str">
        <f t="shared" si="20"/>
        <v/>
      </c>
      <c r="BH337" s="137" t="s">
        <v>1103</v>
      </c>
      <c r="BI337" s="128" t="str">
        <f t="shared" si="21"/>
        <v>MA1092</v>
      </c>
      <c r="BJ337" s="129" t="b">
        <f t="shared" si="22"/>
        <v>0</v>
      </c>
      <c r="BK337" s="128" t="str">
        <f t="shared" si="23"/>
        <v/>
      </c>
      <c r="BL337" s="121"/>
      <c r="BM337" s="5" t="str">
        <f t="shared" si="24"/>
        <v>MISSING</v>
      </c>
      <c r="BN337" s="120" t="b">
        <f t="shared" si="25"/>
        <v>0</v>
      </c>
      <c r="BO337" s="131" t="b">
        <f t="shared" si="26"/>
        <v>1</v>
      </c>
      <c r="BP337" s="121"/>
      <c r="BQ337" s="132" t="str">
        <f>VLOOKUP(A337,RAW_APS!A$3:O826,15,FALSE)</f>
        <v/>
      </c>
      <c r="BR337" s="120" t="b">
        <f t="shared" si="27"/>
        <v>1</v>
      </c>
      <c r="BS337" s="121"/>
      <c r="BT337" s="138" t="s">
        <v>244</v>
      </c>
      <c r="BU337" s="10" t="b">
        <f t="shared" si="28"/>
        <v>1</v>
      </c>
      <c r="BV337" s="120"/>
      <c r="BW337" s="120"/>
      <c r="BX337" s="120"/>
      <c r="BY337" s="120"/>
      <c r="BZ337" s="120"/>
      <c r="CA337" s="120"/>
      <c r="CB337" s="120"/>
      <c r="CC337" s="120"/>
    </row>
    <row r="338">
      <c r="A338" s="2" t="s">
        <v>1104</v>
      </c>
      <c r="B338" s="100">
        <v>44594.0</v>
      </c>
      <c r="C338" s="101">
        <v>0.3751157407407407</v>
      </c>
      <c r="D338" s="102"/>
      <c r="E338" s="102"/>
      <c r="F338" s="157"/>
      <c r="G338" s="139"/>
      <c r="H338" s="139"/>
      <c r="I338" s="103"/>
      <c r="J338" s="103"/>
      <c r="K338" s="2" t="s">
        <v>244</v>
      </c>
      <c r="L338" s="100">
        <v>44596.0</v>
      </c>
      <c r="M338" s="101">
        <v>0.48194444444444445</v>
      </c>
      <c r="P338" s="104" t="b">
        <f>IFNA(IF(VLOOKUP($A338,'Add from APT'!$AA$2:$AC826,3,FALSE)&gt;0,TRUE,FALSE),"ER - NOT IN APT")</f>
        <v>0</v>
      </c>
      <c r="Q338" s="105" t="str">
        <f>IF(ISLOGICAL(P338),IF(P338,"ER - REPS IN APT", IFNA(VLOOKUP($A338,RAW_APT!$A$3:$M826,7,FALSE),"ER - NOT IN APT")),P338)</f>
        <v>Result</v>
      </c>
      <c r="R338" s="106" t="b">
        <f t="shared" si="2"/>
        <v>1</v>
      </c>
      <c r="S338" s="107">
        <f t="shared" si="3"/>
        <v>1</v>
      </c>
      <c r="T338" s="140">
        <v>0.0</v>
      </c>
      <c r="U338" s="158"/>
      <c r="V338" s="141"/>
      <c r="W338" s="141"/>
      <c r="X338" s="110" t="b">
        <f t="shared" si="4"/>
        <v>0</v>
      </c>
      <c r="Y338" s="111" t="b">
        <v>0</v>
      </c>
      <c r="Z338" s="104" t="str">
        <f t="shared" si="5"/>
        <v/>
      </c>
      <c r="AA338" s="112" t="b">
        <f t="shared" si="6"/>
        <v>0</v>
      </c>
      <c r="AB338" s="142" t="b">
        <v>0</v>
      </c>
      <c r="AC338" s="140">
        <v>470.0</v>
      </c>
      <c r="AD338" s="141" t="b">
        <v>0</v>
      </c>
      <c r="AE338" s="115" t="str">
        <f t="shared" si="7"/>
        <v/>
      </c>
      <c r="AF338" s="116" t="b">
        <f t="shared" si="8"/>
        <v>0</v>
      </c>
      <c r="AG338" s="105" t="b">
        <f t="shared" si="9"/>
        <v>0</v>
      </c>
      <c r="AH338" s="140"/>
      <c r="AI338" s="140"/>
      <c r="AJ338" s="140"/>
      <c r="AK338" s="117" t="str">
        <f t="shared" si="10"/>
        <v>Negative</v>
      </c>
      <c r="AL338" s="142"/>
      <c r="AM338" s="112" t="s">
        <v>261</v>
      </c>
      <c r="AN338" s="112" t="s">
        <v>708</v>
      </c>
      <c r="AO338" s="112" t="str">
        <f>IFERROR(__xludf.DUMMYFUNCTION("IF($AG338, ""DELETED"",TRIM(JOIN("" "",D338:E338)))"),"")</f>
        <v/>
      </c>
      <c r="AP338" s="112" t="str">
        <f t="shared" ref="AP338:AQ338" si="363">IF($AG338, "DELETED", TRIM(CONCATENATE(F338,I338,U338)))</f>
        <v/>
      </c>
      <c r="AQ338" s="112" t="str">
        <f t="shared" si="363"/>
        <v/>
      </c>
      <c r="AR338" s="112" t="str">
        <f>IFERROR(__xludf.DUMMYFUNCTION("IF($AG338, ""DELETED"", TRIM(JOIN("" "",AP338,AQ338)))"),"")</f>
        <v/>
      </c>
      <c r="AS338" s="118"/>
      <c r="AT338" s="110" t="b">
        <f t="shared" si="12"/>
        <v>0</v>
      </c>
      <c r="AU338" s="110" t="str">
        <f t="shared" si="13"/>
        <v/>
      </c>
      <c r="AV338" s="110" t="str">
        <f t="shared" si="14"/>
        <v/>
      </c>
      <c r="AW338" s="110" t="str">
        <f t="shared" si="15"/>
        <v/>
      </c>
      <c r="AX338" s="119" t="str">
        <f t="shared" si="16"/>
        <v/>
      </c>
      <c r="AY338" s="120"/>
      <c r="AZ338" s="121"/>
      <c r="BA338" s="122" t="str">
        <f t="shared" si="17"/>
        <v/>
      </c>
      <c r="BB338" s="34"/>
      <c r="BC338" s="121"/>
      <c r="BD338" s="136"/>
      <c r="BE338" s="125" t="str">
        <f t="shared" si="18"/>
        <v/>
      </c>
      <c r="BF338" s="126" t="str">
        <f t="shared" si="19"/>
        <v>MAX105__44594_0.375115740740741</v>
      </c>
      <c r="BG338" s="127" t="str">
        <f t="shared" si="20"/>
        <v/>
      </c>
      <c r="BH338" s="137" t="s">
        <v>1105</v>
      </c>
      <c r="BI338" s="128" t="str">
        <f t="shared" si="21"/>
        <v>MA1095</v>
      </c>
      <c r="BJ338" s="129" t="b">
        <f t="shared" si="22"/>
        <v>0</v>
      </c>
      <c r="BK338" s="128" t="str">
        <f t="shared" si="23"/>
        <v/>
      </c>
      <c r="BL338" s="121"/>
      <c r="BM338" s="5" t="str">
        <f t="shared" si="24"/>
        <v>MISSING</v>
      </c>
      <c r="BN338" s="120" t="b">
        <f t="shared" si="25"/>
        <v>0</v>
      </c>
      <c r="BO338" s="131" t="b">
        <f t="shared" si="26"/>
        <v>1</v>
      </c>
      <c r="BP338" s="121"/>
      <c r="BQ338" s="132" t="str">
        <f>VLOOKUP(A338,RAW_APS!A$3:O826,15,FALSE)</f>
        <v/>
      </c>
      <c r="BR338" s="120" t="b">
        <f t="shared" si="27"/>
        <v>1</v>
      </c>
      <c r="BS338" s="121"/>
      <c r="BT338" s="138" t="s">
        <v>244</v>
      </c>
      <c r="BU338" s="10" t="b">
        <f t="shared" si="28"/>
        <v>1</v>
      </c>
      <c r="BV338" s="120"/>
      <c r="BW338" s="120"/>
      <c r="BX338" s="120"/>
      <c r="BY338" s="120"/>
      <c r="BZ338" s="120"/>
      <c r="CA338" s="120"/>
      <c r="CB338" s="120"/>
      <c r="CC338" s="120"/>
    </row>
    <row r="339">
      <c r="A339" s="2" t="s">
        <v>1106</v>
      </c>
      <c r="B339" s="100">
        <v>44594.0</v>
      </c>
      <c r="C339" s="101">
        <v>0.37555555555555553</v>
      </c>
      <c r="D339" s="102"/>
      <c r="E339" s="102"/>
      <c r="F339" s="102"/>
      <c r="G339" s="102"/>
      <c r="H339" s="102"/>
      <c r="I339" s="103"/>
      <c r="J339" s="103"/>
      <c r="K339" s="2" t="s">
        <v>244</v>
      </c>
      <c r="L339" s="100">
        <v>44596.0</v>
      </c>
      <c r="M339" s="101">
        <v>0.48194444444444445</v>
      </c>
      <c r="P339" s="104" t="b">
        <f>IFNA(IF(VLOOKUP($A339,'Add from APT'!$AA$2:$AC826,3,FALSE)&gt;0,TRUE,FALSE),"ER - NOT IN APT")</f>
        <v>0</v>
      </c>
      <c r="Q339" s="105" t="str">
        <f>IF(ISLOGICAL(P339),IF(P339,"ER - REPS IN APT", IFNA(VLOOKUP($A339,RAW_APT!$A$3:$M826,7,FALSE),"ER - NOT IN APT")),P339)</f>
        <v>Result</v>
      </c>
      <c r="R339" s="106" t="b">
        <f t="shared" si="2"/>
        <v>1</v>
      </c>
      <c r="S339" s="107">
        <f t="shared" si="3"/>
        <v>1</v>
      </c>
      <c r="T339" s="143"/>
      <c r="U339" s="142"/>
      <c r="V339" s="142"/>
      <c r="W339" s="142"/>
      <c r="X339" s="110" t="b">
        <f t="shared" si="4"/>
        <v>0</v>
      </c>
      <c r="Y339" s="111" t="b">
        <v>0</v>
      </c>
      <c r="Z339" s="104" t="str">
        <f t="shared" si="5"/>
        <v/>
      </c>
      <c r="AA339" s="112" t="b">
        <f t="shared" si="6"/>
        <v>0</v>
      </c>
      <c r="AB339" s="142" t="b">
        <v>0</v>
      </c>
      <c r="AC339" s="140">
        <v>469.0</v>
      </c>
      <c r="AD339" s="141" t="b">
        <v>0</v>
      </c>
      <c r="AE339" s="115" t="str">
        <f t="shared" si="7"/>
        <v/>
      </c>
      <c r="AF339" s="116" t="b">
        <f t="shared" si="8"/>
        <v>0</v>
      </c>
      <c r="AG339" s="105" t="b">
        <f t="shared" si="9"/>
        <v>0</v>
      </c>
      <c r="AH339" s="140"/>
      <c r="AI339" s="140"/>
      <c r="AJ339" s="140"/>
      <c r="AK339" s="117" t="str">
        <f t="shared" si="10"/>
        <v>Negative</v>
      </c>
      <c r="AL339" s="142"/>
      <c r="AM339" s="112" t="s">
        <v>261</v>
      </c>
      <c r="AN339" s="112" t="s">
        <v>262</v>
      </c>
      <c r="AO339" s="112" t="str">
        <f>IFERROR(__xludf.DUMMYFUNCTION("IF($AG339, ""DELETED"",TRIM(JOIN("" "",D339:E339)))"),"")</f>
        <v/>
      </c>
      <c r="AP339" s="112" t="str">
        <f t="shared" ref="AP339:AQ339" si="364">IF($AG339, "DELETED", TRIM(CONCATENATE(F339,I339,U339)))</f>
        <v/>
      </c>
      <c r="AQ339" s="112" t="str">
        <f t="shared" si="364"/>
        <v/>
      </c>
      <c r="AR339" s="112" t="str">
        <f>IFERROR(__xludf.DUMMYFUNCTION("IF($AG339, ""DELETED"", TRIM(JOIN("" "",AP339,AQ339)))"),"")</f>
        <v/>
      </c>
      <c r="AS339" s="118"/>
      <c r="AT339" s="110" t="b">
        <f t="shared" si="12"/>
        <v>0</v>
      </c>
      <c r="AU339" s="110" t="str">
        <f t="shared" si="13"/>
        <v/>
      </c>
      <c r="AV339" s="110" t="str">
        <f t="shared" si="14"/>
        <v/>
      </c>
      <c r="AW339" s="110" t="str">
        <f t="shared" si="15"/>
        <v/>
      </c>
      <c r="AX339" s="119" t="str">
        <f t="shared" si="16"/>
        <v/>
      </c>
      <c r="AY339" s="120"/>
      <c r="AZ339" s="121"/>
      <c r="BA339" s="122" t="str">
        <f t="shared" si="17"/>
        <v/>
      </c>
      <c r="BB339" s="34"/>
      <c r="BC339" s="121"/>
      <c r="BD339" s="136"/>
      <c r="BE339" s="125" t="str">
        <f t="shared" si="18"/>
        <v/>
      </c>
      <c r="BF339" s="126" t="str">
        <f t="shared" si="19"/>
        <v>MAX138__44594_0.375555555555556</v>
      </c>
      <c r="BG339" s="127" t="str">
        <f t="shared" si="20"/>
        <v/>
      </c>
      <c r="BH339" s="137" t="s">
        <v>1107</v>
      </c>
      <c r="BI339" s="128" t="str">
        <f t="shared" si="21"/>
        <v>MA1096</v>
      </c>
      <c r="BJ339" s="129" t="b">
        <f t="shared" si="22"/>
        <v>0</v>
      </c>
      <c r="BK339" s="128" t="str">
        <f t="shared" si="23"/>
        <v/>
      </c>
      <c r="BL339" s="121"/>
      <c r="BM339" s="5" t="str">
        <f t="shared" si="24"/>
        <v>MISSING</v>
      </c>
      <c r="BN339" s="120" t="b">
        <f t="shared" si="25"/>
        <v>0</v>
      </c>
      <c r="BO339" s="131" t="b">
        <f t="shared" si="26"/>
        <v>1</v>
      </c>
      <c r="BP339" s="121"/>
      <c r="BQ339" s="132" t="str">
        <f>VLOOKUP(A339,RAW_APS!A$3:O826,15,FALSE)</f>
        <v/>
      </c>
      <c r="BR339" s="120" t="b">
        <f t="shared" si="27"/>
        <v>1</v>
      </c>
      <c r="BS339" s="121"/>
      <c r="BT339" s="138" t="s">
        <v>244</v>
      </c>
      <c r="BU339" s="10" t="b">
        <f t="shared" si="28"/>
        <v>1</v>
      </c>
      <c r="BV339" s="120"/>
      <c r="BW339" s="120"/>
      <c r="BX339" s="120"/>
      <c r="BY339" s="120"/>
      <c r="BZ339" s="120"/>
      <c r="CA339" s="120"/>
      <c r="CB339" s="120"/>
      <c r="CC339" s="120"/>
    </row>
    <row r="340">
      <c r="A340" s="2" t="s">
        <v>1108</v>
      </c>
      <c r="B340" s="100">
        <v>44596.0</v>
      </c>
      <c r="C340" s="101">
        <v>0.30917824074074074</v>
      </c>
      <c r="D340" s="102"/>
      <c r="E340" s="102"/>
      <c r="F340" s="103"/>
      <c r="G340" s="148"/>
      <c r="H340" s="148"/>
      <c r="I340" s="103"/>
      <c r="J340" s="103"/>
      <c r="K340" s="2" t="s">
        <v>244</v>
      </c>
      <c r="L340" s="100">
        <v>44596.0</v>
      </c>
      <c r="M340" s="101">
        <v>0.48193287037037036</v>
      </c>
      <c r="P340" s="104" t="b">
        <f>IFNA(IF(VLOOKUP($A340,'Add from APT'!$AA$2:$AC826,3,FALSE)&gt;0,TRUE,FALSE),"ER - NOT IN APT")</f>
        <v>0</v>
      </c>
      <c r="Q340" s="105" t="str">
        <f>IF(ISLOGICAL(P340),IF(P340,"ER - REPS IN APT", IFNA(VLOOKUP($A340,RAW_APT!$A$3:$M826,7,FALSE),"ER - NOT IN APT")),P340)</f>
        <v>Result</v>
      </c>
      <c r="R340" s="106" t="b">
        <f t="shared" si="2"/>
        <v>1</v>
      </c>
      <c r="S340" s="107">
        <f t="shared" si="3"/>
        <v>1</v>
      </c>
      <c r="T340" s="140">
        <v>0.0</v>
      </c>
      <c r="V340" s="142"/>
      <c r="W340" s="142"/>
      <c r="X340" s="110" t="b">
        <f t="shared" si="4"/>
        <v>0</v>
      </c>
      <c r="Y340" s="111" t="b">
        <v>0</v>
      </c>
      <c r="Z340" s="104" t="str">
        <f t="shared" si="5"/>
        <v/>
      </c>
      <c r="AA340" s="112" t="b">
        <f t="shared" si="6"/>
        <v>0</v>
      </c>
      <c r="AB340" s="142" t="b">
        <v>0</v>
      </c>
      <c r="AC340" s="140">
        <v>468.0</v>
      </c>
      <c r="AD340" s="141" t="b">
        <v>0</v>
      </c>
      <c r="AE340" s="115">
        <f t="shared" si="7"/>
        <v>248.7666667</v>
      </c>
      <c r="AF340" s="116" t="b">
        <f t="shared" si="8"/>
        <v>0</v>
      </c>
      <c r="AG340" s="105" t="b">
        <f t="shared" si="9"/>
        <v>0</v>
      </c>
      <c r="AH340" s="140"/>
      <c r="AI340" s="140"/>
      <c r="AJ340" s="140"/>
      <c r="AK340" s="117" t="str">
        <f t="shared" si="10"/>
        <v>Negative</v>
      </c>
      <c r="AL340" s="142"/>
      <c r="AM340" s="112" t="s">
        <v>261</v>
      </c>
      <c r="AN340" s="112" t="s">
        <v>913</v>
      </c>
      <c r="AO340" s="112" t="str">
        <f>IFERROR(__xludf.DUMMYFUNCTION("IF($AG340, ""DELETED"",TRIM(JOIN("" "",D340:E340)))"),"")</f>
        <v/>
      </c>
      <c r="AP340" s="112" t="str">
        <f t="shared" ref="AP340:AQ340" si="365">IF($AG340, "DELETED", TRIM(CONCATENATE(F340,I340,U340)))</f>
        <v/>
      </c>
      <c r="AQ340" s="112" t="str">
        <f t="shared" si="365"/>
        <v/>
      </c>
      <c r="AR340" s="112" t="str">
        <f>IFERROR(__xludf.DUMMYFUNCTION("IF($AG340, ""DELETED"", TRIM(JOIN("" "",AP340,AQ340)))"),"")</f>
        <v/>
      </c>
      <c r="AS340" s="118"/>
      <c r="AT340" s="110" t="b">
        <f t="shared" si="12"/>
        <v>0</v>
      </c>
      <c r="AU340" s="110" t="str">
        <f t="shared" si="13"/>
        <v/>
      </c>
      <c r="AV340" s="110" t="str">
        <f t="shared" si="14"/>
        <v/>
      </c>
      <c r="AW340" s="110" t="str">
        <f t="shared" si="15"/>
        <v/>
      </c>
      <c r="AX340" s="119" t="str">
        <f t="shared" si="16"/>
        <v/>
      </c>
      <c r="AY340" s="120"/>
      <c r="AZ340" s="121"/>
      <c r="BA340" s="122" t="str">
        <f t="shared" si="17"/>
        <v/>
      </c>
      <c r="BB340" s="34"/>
      <c r="BC340" s="121"/>
      <c r="BD340" s="136"/>
      <c r="BE340" s="125" t="str">
        <f t="shared" si="18"/>
        <v/>
      </c>
      <c r="BF340" s="126" t="str">
        <f t="shared" si="19"/>
        <v>MAX108__44596_0.309178240740741</v>
      </c>
      <c r="BG340" s="127" t="str">
        <f t="shared" si="20"/>
        <v/>
      </c>
      <c r="BH340" s="137" t="s">
        <v>1109</v>
      </c>
      <c r="BI340" s="128" t="str">
        <f t="shared" si="21"/>
        <v>MA1099</v>
      </c>
      <c r="BJ340" s="129" t="b">
        <f t="shared" si="22"/>
        <v>0</v>
      </c>
      <c r="BK340" s="128" t="str">
        <f t="shared" si="23"/>
        <v/>
      </c>
      <c r="BL340" s="121"/>
      <c r="BM340" s="5" t="str">
        <f t="shared" si="24"/>
        <v>MISSING</v>
      </c>
      <c r="BN340" s="120" t="b">
        <f t="shared" si="25"/>
        <v>0</v>
      </c>
      <c r="BO340" s="131" t="b">
        <f t="shared" si="26"/>
        <v>1</v>
      </c>
      <c r="BP340" s="121"/>
      <c r="BQ340" s="132" t="str">
        <f>VLOOKUP(A340,RAW_APS!A$3:O826,15,FALSE)</f>
        <v/>
      </c>
      <c r="BR340" s="120" t="b">
        <f t="shared" si="27"/>
        <v>1</v>
      </c>
      <c r="BS340" s="121"/>
      <c r="BT340" s="138" t="s">
        <v>244</v>
      </c>
      <c r="BU340" s="10" t="b">
        <f t="shared" si="28"/>
        <v>1</v>
      </c>
      <c r="BV340" s="120"/>
      <c r="BW340" s="120"/>
      <c r="BX340" s="120"/>
      <c r="BY340" s="120"/>
      <c r="BZ340" s="120"/>
      <c r="CA340" s="120"/>
      <c r="CB340" s="120"/>
      <c r="CC340" s="120"/>
    </row>
    <row r="341">
      <c r="A341" s="2" t="s">
        <v>1110</v>
      </c>
      <c r="B341" s="100">
        <v>44596.0</v>
      </c>
      <c r="C341" s="101">
        <v>0.3431712962962963</v>
      </c>
      <c r="D341" s="102"/>
      <c r="E341" s="102"/>
      <c r="F341" s="102"/>
      <c r="G341" s="102"/>
      <c r="H341" s="102"/>
      <c r="I341" s="103"/>
      <c r="J341" s="103"/>
      <c r="K341" s="2" t="s">
        <v>244</v>
      </c>
      <c r="L341" s="100">
        <v>44596.0</v>
      </c>
      <c r="M341" s="101">
        <v>0.48193287037037036</v>
      </c>
      <c r="P341" s="104" t="b">
        <f>IFNA(IF(VLOOKUP($A341,'Add from APT'!$AA$2:$AC826,3,FALSE)&gt;0,TRUE,FALSE),"ER - NOT IN APT")</f>
        <v>0</v>
      </c>
      <c r="Q341" s="105" t="str">
        <f>IF(ISLOGICAL(P341),IF(P341,"ER - REPS IN APT", IFNA(VLOOKUP($A341,RAW_APT!$A$3:$M826,7,FALSE),"ER - NOT IN APT")),P341)</f>
        <v>Result</v>
      </c>
      <c r="R341" s="106" t="b">
        <f t="shared" si="2"/>
        <v>1</v>
      </c>
      <c r="S341" s="107">
        <f t="shared" si="3"/>
        <v>1</v>
      </c>
      <c r="T341" s="143"/>
      <c r="U341" s="142"/>
      <c r="V341" s="142"/>
      <c r="W341" s="142"/>
      <c r="X341" s="110" t="b">
        <f t="shared" si="4"/>
        <v>0</v>
      </c>
      <c r="Y341" s="111" t="b">
        <v>0</v>
      </c>
      <c r="Z341" s="104" t="str">
        <f t="shared" si="5"/>
        <v/>
      </c>
      <c r="AA341" s="112" t="b">
        <f t="shared" si="6"/>
        <v>0</v>
      </c>
      <c r="AB341" s="142" t="b">
        <v>0</v>
      </c>
      <c r="AC341" s="140">
        <v>467.0</v>
      </c>
      <c r="AD341" s="141" t="b">
        <v>0</v>
      </c>
      <c r="AE341" s="115">
        <f t="shared" si="7"/>
        <v>199.8166667</v>
      </c>
      <c r="AF341" s="116" t="b">
        <f t="shared" si="8"/>
        <v>0</v>
      </c>
      <c r="AG341" s="105" t="b">
        <f t="shared" si="9"/>
        <v>0</v>
      </c>
      <c r="AH341" s="140"/>
      <c r="AI341" s="140"/>
      <c r="AJ341" s="140"/>
      <c r="AK341" s="117" t="str">
        <f t="shared" si="10"/>
        <v>Negative</v>
      </c>
      <c r="AL341" s="142"/>
      <c r="AM341" s="112" t="s">
        <v>577</v>
      </c>
      <c r="AN341" s="112" t="s">
        <v>578</v>
      </c>
      <c r="AO341" s="112" t="str">
        <f>IFERROR(__xludf.DUMMYFUNCTION("IF($AG341, ""DELETED"",TRIM(JOIN("" "",D341:E341)))"),"")</f>
        <v/>
      </c>
      <c r="AP341" s="112" t="str">
        <f t="shared" ref="AP341:AQ341" si="366">IF($AG341, "DELETED", TRIM(CONCATENATE(F341,I341,U341)))</f>
        <v/>
      </c>
      <c r="AQ341" s="112" t="str">
        <f t="shared" si="366"/>
        <v/>
      </c>
      <c r="AR341" s="112" t="str">
        <f>IFERROR(__xludf.DUMMYFUNCTION("IF($AG341, ""DELETED"", TRIM(JOIN("" "",AP341,AQ341)))"),"")</f>
        <v/>
      </c>
      <c r="AS341" s="118"/>
      <c r="AT341" s="110" t="b">
        <f t="shared" si="12"/>
        <v>0</v>
      </c>
      <c r="AU341" s="110" t="str">
        <f t="shared" si="13"/>
        <v/>
      </c>
      <c r="AV341" s="110" t="str">
        <f t="shared" si="14"/>
        <v/>
      </c>
      <c r="AW341" s="110" t="str">
        <f t="shared" si="15"/>
        <v/>
      </c>
      <c r="AX341" s="119" t="str">
        <f t="shared" si="16"/>
        <v/>
      </c>
      <c r="AY341" s="120"/>
      <c r="AZ341" s="121"/>
      <c r="BA341" s="122" t="str">
        <f t="shared" si="17"/>
        <v/>
      </c>
      <c r="BB341" s="34"/>
      <c r="BC341" s="121"/>
      <c r="BD341" s="136"/>
      <c r="BE341" s="125" t="str">
        <f t="shared" si="18"/>
        <v/>
      </c>
      <c r="BF341" s="126" t="str">
        <f t="shared" si="19"/>
        <v>MA1257__44596_0.343171296296296</v>
      </c>
      <c r="BG341" s="127" t="str">
        <f t="shared" si="20"/>
        <v/>
      </c>
      <c r="BH341" s="137" t="s">
        <v>1111</v>
      </c>
      <c r="BI341" s="128" t="str">
        <f t="shared" si="21"/>
        <v>MA1100</v>
      </c>
      <c r="BJ341" s="129" t="b">
        <f t="shared" si="22"/>
        <v>0</v>
      </c>
      <c r="BK341" s="128" t="str">
        <f t="shared" si="23"/>
        <v/>
      </c>
      <c r="BL341" s="121"/>
      <c r="BM341" s="5" t="str">
        <f t="shared" si="24"/>
        <v>MISSING</v>
      </c>
      <c r="BN341" s="120" t="b">
        <f t="shared" si="25"/>
        <v>0</v>
      </c>
      <c r="BO341" s="131" t="b">
        <f t="shared" si="26"/>
        <v>1</v>
      </c>
      <c r="BP341" s="121"/>
      <c r="BQ341" s="132" t="str">
        <f>VLOOKUP(A341,RAW_APS!A$3:O826,15,FALSE)</f>
        <v/>
      </c>
      <c r="BR341" s="120" t="b">
        <f t="shared" si="27"/>
        <v>1</v>
      </c>
      <c r="BS341" s="121"/>
      <c r="BT341" s="138" t="s">
        <v>244</v>
      </c>
      <c r="BU341" s="10" t="b">
        <f t="shared" si="28"/>
        <v>1</v>
      </c>
      <c r="BV341" s="120"/>
      <c r="BW341" s="120"/>
      <c r="BX341" s="120"/>
      <c r="BY341" s="120"/>
      <c r="BZ341" s="120"/>
      <c r="CA341" s="120"/>
      <c r="CB341" s="120"/>
      <c r="CC341" s="120"/>
    </row>
    <row r="342">
      <c r="A342" s="2" t="s">
        <v>1112</v>
      </c>
      <c r="B342" s="100">
        <v>44596.0</v>
      </c>
      <c r="C342" s="101">
        <v>0.351875</v>
      </c>
      <c r="D342" s="102"/>
      <c r="E342" s="102"/>
      <c r="F342" s="139"/>
      <c r="G342" s="148"/>
      <c r="H342" s="148"/>
      <c r="I342" s="103"/>
      <c r="J342" s="103"/>
      <c r="K342" s="2" t="s">
        <v>244</v>
      </c>
      <c r="L342" s="100">
        <v>44596.0</v>
      </c>
      <c r="M342" s="101">
        <v>0.48193287037037036</v>
      </c>
      <c r="P342" s="104" t="b">
        <f>IFNA(IF(VLOOKUP($A342,'Add from APT'!$AA$2:$AC826,3,FALSE)&gt;0,TRUE,FALSE),"ER - NOT IN APT")</f>
        <v>0</v>
      </c>
      <c r="Q342" s="105" t="str">
        <f>IF(ISLOGICAL(P342),IF(P342,"ER - REPS IN APT", IFNA(VLOOKUP($A342,RAW_APT!$A$3:$M826,7,FALSE),"ER - NOT IN APT")),P342)</f>
        <v>Result</v>
      </c>
      <c r="R342" s="106" t="b">
        <f t="shared" si="2"/>
        <v>1</v>
      </c>
      <c r="S342" s="107">
        <f t="shared" si="3"/>
        <v>1</v>
      </c>
      <c r="T342" s="140">
        <v>0.0</v>
      </c>
      <c r="U342" s="141"/>
      <c r="V342" s="142"/>
      <c r="W342" s="141"/>
      <c r="X342" s="110" t="b">
        <f t="shared" si="4"/>
        <v>0</v>
      </c>
      <c r="Y342" s="111" t="b">
        <v>0</v>
      </c>
      <c r="Z342" s="104" t="str">
        <f t="shared" si="5"/>
        <v/>
      </c>
      <c r="AA342" s="112" t="b">
        <f t="shared" si="6"/>
        <v>0</v>
      </c>
      <c r="AB342" s="142" t="b">
        <v>0</v>
      </c>
      <c r="AC342" s="140">
        <v>466.0</v>
      </c>
      <c r="AD342" s="141" t="b">
        <v>0</v>
      </c>
      <c r="AE342" s="115">
        <f t="shared" si="7"/>
        <v>187.2833333</v>
      </c>
      <c r="AF342" s="116" t="b">
        <f t="shared" si="8"/>
        <v>0</v>
      </c>
      <c r="AG342" s="105" t="b">
        <f t="shared" si="9"/>
        <v>0</v>
      </c>
      <c r="AH342" s="140"/>
      <c r="AI342" s="140"/>
      <c r="AJ342" s="140"/>
      <c r="AK342" s="117" t="str">
        <f t="shared" si="10"/>
        <v>Negative</v>
      </c>
      <c r="AL342" s="142"/>
      <c r="AM342" s="112" t="s">
        <v>261</v>
      </c>
      <c r="AN342" s="112" t="s">
        <v>1113</v>
      </c>
      <c r="AO342" s="112" t="str">
        <f>IFERROR(__xludf.DUMMYFUNCTION("IF($AG342, ""DELETED"",TRIM(JOIN("" "",D342:E342)))"),"")</f>
        <v/>
      </c>
      <c r="AP342" s="112" t="str">
        <f t="shared" ref="AP342:AQ342" si="367">IF($AG342, "DELETED", TRIM(CONCATENATE(F342,I342,U342)))</f>
        <v/>
      </c>
      <c r="AQ342" s="112" t="str">
        <f t="shared" si="367"/>
        <v/>
      </c>
      <c r="AR342" s="112" t="str">
        <f>IFERROR(__xludf.DUMMYFUNCTION("IF($AG342, ""DELETED"", TRIM(JOIN("" "",AP342,AQ342)))"),"")</f>
        <v/>
      </c>
      <c r="AS342" s="118"/>
      <c r="AT342" s="110" t="b">
        <f t="shared" si="12"/>
        <v>0</v>
      </c>
      <c r="AU342" s="110" t="str">
        <f t="shared" si="13"/>
        <v/>
      </c>
      <c r="AV342" s="110" t="str">
        <f t="shared" si="14"/>
        <v/>
      </c>
      <c r="AW342" s="110" t="str">
        <f t="shared" si="15"/>
        <v/>
      </c>
      <c r="AX342" s="119" t="str">
        <f t="shared" si="16"/>
        <v/>
      </c>
      <c r="AY342" s="120"/>
      <c r="AZ342" s="121"/>
      <c r="BA342" s="122" t="str">
        <f t="shared" si="17"/>
        <v/>
      </c>
      <c r="BB342" s="34"/>
      <c r="BC342" s="121"/>
      <c r="BD342" s="136"/>
      <c r="BE342" s="125" t="str">
        <f t="shared" si="18"/>
        <v/>
      </c>
      <c r="BF342" s="126" t="str">
        <f t="shared" si="19"/>
        <v>MAX142__44596_0.351875</v>
      </c>
      <c r="BG342" s="127" t="str">
        <f t="shared" si="20"/>
        <v/>
      </c>
      <c r="BH342" s="137" t="s">
        <v>1114</v>
      </c>
      <c r="BI342" s="128" t="str">
        <f t="shared" si="21"/>
        <v>MA1103</v>
      </c>
      <c r="BJ342" s="129" t="b">
        <f t="shared" si="22"/>
        <v>0</v>
      </c>
      <c r="BK342" s="128" t="str">
        <f t="shared" si="23"/>
        <v/>
      </c>
      <c r="BL342" s="121"/>
      <c r="BM342" s="5" t="str">
        <f t="shared" si="24"/>
        <v>MISSING</v>
      </c>
      <c r="BN342" s="120" t="b">
        <f t="shared" si="25"/>
        <v>0</v>
      </c>
      <c r="BO342" s="131" t="b">
        <f t="shared" si="26"/>
        <v>1</v>
      </c>
      <c r="BP342" s="121"/>
      <c r="BQ342" s="132" t="str">
        <f>VLOOKUP(A342,RAW_APS!A$3:O826,15,FALSE)</f>
        <v/>
      </c>
      <c r="BR342" s="120" t="b">
        <f t="shared" si="27"/>
        <v>1</v>
      </c>
      <c r="BS342" s="121"/>
      <c r="BT342" s="138" t="s">
        <v>244</v>
      </c>
      <c r="BU342" s="10" t="b">
        <f t="shared" si="28"/>
        <v>1</v>
      </c>
      <c r="BV342" s="120"/>
      <c r="BW342" s="120"/>
      <c r="BX342" s="120"/>
      <c r="BY342" s="120"/>
      <c r="BZ342" s="120"/>
      <c r="CA342" s="120"/>
      <c r="CB342" s="120"/>
      <c r="CC342" s="120"/>
    </row>
    <row r="343">
      <c r="A343" s="2" t="s">
        <v>1115</v>
      </c>
      <c r="B343" s="100">
        <v>44596.0</v>
      </c>
      <c r="C343" s="101">
        <v>0.35225694444444444</v>
      </c>
      <c r="D343" s="102"/>
      <c r="E343" s="102"/>
      <c r="F343" s="102"/>
      <c r="G343" s="102"/>
      <c r="H343" s="102"/>
      <c r="I343" s="103"/>
      <c r="J343" s="103"/>
      <c r="K343" s="2" t="s">
        <v>244</v>
      </c>
      <c r="L343" s="100">
        <v>44596.0</v>
      </c>
      <c r="M343" s="101">
        <v>0.48193287037037036</v>
      </c>
      <c r="P343" s="104" t="b">
        <f>IFNA(IF(VLOOKUP($A343,'Add from APT'!$AA$2:$AC826,3,FALSE)&gt;0,TRUE,FALSE),"ER - NOT IN APT")</f>
        <v>0</v>
      </c>
      <c r="Q343" s="105" t="str">
        <f>IF(ISLOGICAL(P343),IF(P343,"ER - REPS IN APT", IFNA(VLOOKUP($A343,RAW_APT!$A$3:$M826,7,FALSE),"ER - NOT IN APT")),P343)</f>
        <v>Result</v>
      </c>
      <c r="R343" s="106" t="b">
        <f t="shared" si="2"/>
        <v>1</v>
      </c>
      <c r="S343" s="107">
        <f t="shared" si="3"/>
        <v>1</v>
      </c>
      <c r="T343" s="143"/>
      <c r="U343" s="142"/>
      <c r="V343" s="142"/>
      <c r="W343" s="142"/>
      <c r="X343" s="110" t="b">
        <f t="shared" si="4"/>
        <v>0</v>
      </c>
      <c r="Y343" s="111" t="b">
        <v>0</v>
      </c>
      <c r="Z343" s="104" t="str">
        <f t="shared" si="5"/>
        <v/>
      </c>
      <c r="AA343" s="112" t="b">
        <f t="shared" si="6"/>
        <v>0</v>
      </c>
      <c r="AB343" s="142" t="b">
        <v>0</v>
      </c>
      <c r="AC343" s="140">
        <v>465.0</v>
      </c>
      <c r="AD343" s="141" t="b">
        <v>0</v>
      </c>
      <c r="AE343" s="115">
        <f t="shared" si="7"/>
        <v>186.7333333</v>
      </c>
      <c r="AF343" s="116" t="b">
        <f t="shared" si="8"/>
        <v>0</v>
      </c>
      <c r="AG343" s="105" t="b">
        <f t="shared" si="9"/>
        <v>0</v>
      </c>
      <c r="AH343" s="140"/>
      <c r="AI343" s="140"/>
      <c r="AJ343" s="140"/>
      <c r="AK343" s="117" t="str">
        <f t="shared" si="10"/>
        <v>Negative</v>
      </c>
      <c r="AL343" s="142"/>
      <c r="AM343" s="112" t="s">
        <v>322</v>
      </c>
      <c r="AN343" s="112" t="s">
        <v>323</v>
      </c>
      <c r="AO343" s="112" t="str">
        <f>IFERROR(__xludf.DUMMYFUNCTION("IF($AG343, ""DELETED"",TRIM(JOIN("" "",D343:E343)))"),"")</f>
        <v/>
      </c>
      <c r="AP343" s="112" t="str">
        <f t="shared" ref="AP343:AQ343" si="368">IF($AG343, "DELETED", TRIM(CONCATENATE(F343,I343,U343)))</f>
        <v/>
      </c>
      <c r="AQ343" s="112" t="str">
        <f t="shared" si="368"/>
        <v/>
      </c>
      <c r="AR343" s="112" t="str">
        <f>IFERROR(__xludf.DUMMYFUNCTION("IF($AG343, ""DELETED"", TRIM(JOIN("" "",AP343,AQ343)))"),"")</f>
        <v/>
      </c>
      <c r="AS343" s="118"/>
      <c r="AT343" s="110" t="b">
        <f t="shared" si="12"/>
        <v>0</v>
      </c>
      <c r="AU343" s="110" t="str">
        <f t="shared" si="13"/>
        <v/>
      </c>
      <c r="AV343" s="110" t="str">
        <f t="shared" si="14"/>
        <v/>
      </c>
      <c r="AW343" s="110" t="str">
        <f t="shared" si="15"/>
        <v/>
      </c>
      <c r="AX343" s="119" t="str">
        <f t="shared" si="16"/>
        <v/>
      </c>
      <c r="AY343" s="120"/>
      <c r="AZ343" s="121"/>
      <c r="BA343" s="122" t="str">
        <f t="shared" si="17"/>
        <v/>
      </c>
      <c r="BB343" s="34"/>
      <c r="BC343" s="121"/>
      <c r="BD343" s="136"/>
      <c r="BE343" s="125" t="str">
        <f t="shared" si="18"/>
        <v/>
      </c>
      <c r="BF343" s="126" t="str">
        <f t="shared" si="19"/>
        <v>MA635__44596_0.352256944444444</v>
      </c>
      <c r="BG343" s="127" t="str">
        <f t="shared" si="20"/>
        <v/>
      </c>
      <c r="BH343" s="137" t="s">
        <v>1116</v>
      </c>
      <c r="BI343" s="128" t="str">
        <f t="shared" si="21"/>
        <v>MA1104</v>
      </c>
      <c r="BJ343" s="129" t="b">
        <f t="shared" si="22"/>
        <v>0</v>
      </c>
      <c r="BK343" s="128" t="str">
        <f t="shared" si="23"/>
        <v/>
      </c>
      <c r="BL343" s="121"/>
      <c r="BM343" s="5" t="str">
        <f t="shared" si="24"/>
        <v>MISSING</v>
      </c>
      <c r="BN343" s="120" t="b">
        <f t="shared" si="25"/>
        <v>0</v>
      </c>
      <c r="BO343" s="131" t="b">
        <f t="shared" si="26"/>
        <v>1</v>
      </c>
      <c r="BP343" s="121"/>
      <c r="BQ343" s="132" t="str">
        <f>VLOOKUP(A343,RAW_APS!A$3:O826,15,FALSE)</f>
        <v/>
      </c>
      <c r="BR343" s="120" t="b">
        <f t="shared" si="27"/>
        <v>1</v>
      </c>
      <c r="BS343" s="121"/>
      <c r="BT343" s="138" t="s">
        <v>244</v>
      </c>
      <c r="BU343" s="10" t="b">
        <f t="shared" si="28"/>
        <v>1</v>
      </c>
      <c r="BV343" s="120"/>
      <c r="BW343" s="120"/>
      <c r="BX343" s="120"/>
      <c r="BY343" s="120"/>
      <c r="BZ343" s="120"/>
      <c r="CA343" s="120"/>
      <c r="CB343" s="120"/>
      <c r="CC343" s="120"/>
    </row>
    <row r="344">
      <c r="A344" s="2" t="s">
        <v>1117</v>
      </c>
      <c r="B344" s="100">
        <v>44596.0</v>
      </c>
      <c r="C344" s="101">
        <v>0.3524189814814815</v>
      </c>
      <c r="D344" s="102"/>
      <c r="E344" s="102"/>
      <c r="F344" s="102"/>
      <c r="G344" s="102"/>
      <c r="H344" s="102"/>
      <c r="I344" s="103"/>
      <c r="J344" s="103"/>
      <c r="K344" s="2" t="s">
        <v>244</v>
      </c>
      <c r="L344" s="100">
        <v>44596.0</v>
      </c>
      <c r="M344" s="101">
        <v>0.48193287037037036</v>
      </c>
      <c r="P344" s="104" t="b">
        <f>IFNA(IF(VLOOKUP($A344,'Add from APT'!$AA$2:$AC826,3,FALSE)&gt;0,TRUE,FALSE),"ER - NOT IN APT")</f>
        <v>0</v>
      </c>
      <c r="Q344" s="105" t="str">
        <f>IF(ISLOGICAL(P344),IF(P344,"ER - REPS IN APT", IFNA(VLOOKUP($A344,RAW_APT!$A$3:$M826,7,FALSE),"ER - NOT IN APT")),P344)</f>
        <v>Result</v>
      </c>
      <c r="R344" s="106" t="b">
        <f t="shared" si="2"/>
        <v>1</v>
      </c>
      <c r="S344" s="107">
        <f t="shared" si="3"/>
        <v>1</v>
      </c>
      <c r="T344" s="143"/>
      <c r="U344" s="142"/>
      <c r="V344" s="142"/>
      <c r="W344" s="142"/>
      <c r="X344" s="110" t="b">
        <f t="shared" si="4"/>
        <v>0</v>
      </c>
      <c r="Y344" s="111" t="b">
        <v>0</v>
      </c>
      <c r="Z344" s="104" t="str">
        <f t="shared" si="5"/>
        <v/>
      </c>
      <c r="AA344" s="112" t="b">
        <f t="shared" si="6"/>
        <v>0</v>
      </c>
      <c r="AB344" s="142" t="b">
        <v>0</v>
      </c>
      <c r="AC344" s="140">
        <v>464.0</v>
      </c>
      <c r="AD344" s="141" t="b">
        <v>0</v>
      </c>
      <c r="AE344" s="115">
        <f t="shared" si="7"/>
        <v>186.5</v>
      </c>
      <c r="AF344" s="116" t="b">
        <f t="shared" si="8"/>
        <v>0</v>
      </c>
      <c r="AG344" s="105" t="b">
        <f t="shared" si="9"/>
        <v>0</v>
      </c>
      <c r="AH344" s="140"/>
      <c r="AI344" s="140"/>
      <c r="AJ344" s="140"/>
      <c r="AK344" s="117" t="str">
        <f t="shared" si="10"/>
        <v>Negative</v>
      </c>
      <c r="AL344" s="142"/>
      <c r="AM344" s="112" t="s">
        <v>261</v>
      </c>
      <c r="AN344" s="112" t="s">
        <v>655</v>
      </c>
      <c r="AO344" s="112" t="str">
        <f>IFERROR(__xludf.DUMMYFUNCTION("IF($AG344, ""DELETED"",TRIM(JOIN("" "",D344:E344)))"),"")</f>
        <v/>
      </c>
      <c r="AP344" s="112" t="str">
        <f t="shared" ref="AP344:AQ344" si="369">IF($AG344, "DELETED", TRIM(CONCATENATE(F344,I344,U344)))</f>
        <v/>
      </c>
      <c r="AQ344" s="112" t="str">
        <f t="shared" si="369"/>
        <v/>
      </c>
      <c r="AR344" s="112" t="str">
        <f>IFERROR(__xludf.DUMMYFUNCTION("IF($AG344, ""DELETED"", TRIM(JOIN("" "",AP344,AQ344)))"),"")</f>
        <v/>
      </c>
      <c r="AS344" s="118"/>
      <c r="AT344" s="110" t="b">
        <f t="shared" si="12"/>
        <v>0</v>
      </c>
      <c r="AU344" s="110" t="str">
        <f t="shared" si="13"/>
        <v/>
      </c>
      <c r="AV344" s="110" t="str">
        <f t="shared" si="14"/>
        <v/>
      </c>
      <c r="AW344" s="110" t="str">
        <f t="shared" si="15"/>
        <v/>
      </c>
      <c r="AX344" s="119" t="str">
        <f t="shared" si="16"/>
        <v/>
      </c>
      <c r="AY344" s="120"/>
      <c r="AZ344" s="121"/>
      <c r="BA344" s="122" t="str">
        <f t="shared" si="17"/>
        <v/>
      </c>
      <c r="BB344" s="34"/>
      <c r="BC344" s="121"/>
      <c r="BD344" s="136"/>
      <c r="BE344" s="125" t="str">
        <f t="shared" si="18"/>
        <v/>
      </c>
      <c r="BF344" s="126" t="str">
        <f t="shared" si="19"/>
        <v>MAX134__44596_0.352418981481482</v>
      </c>
      <c r="BG344" s="127" t="str">
        <f t="shared" si="20"/>
        <v/>
      </c>
      <c r="BH344" s="137" t="s">
        <v>1118</v>
      </c>
      <c r="BI344" s="128" t="str">
        <f t="shared" si="21"/>
        <v>MA1107</v>
      </c>
      <c r="BJ344" s="129" t="b">
        <f t="shared" si="22"/>
        <v>0</v>
      </c>
      <c r="BK344" s="128" t="str">
        <f t="shared" si="23"/>
        <v/>
      </c>
      <c r="BL344" s="121"/>
      <c r="BM344" s="5" t="str">
        <f t="shared" si="24"/>
        <v>MISSING</v>
      </c>
      <c r="BN344" s="120" t="b">
        <f t="shared" si="25"/>
        <v>0</v>
      </c>
      <c r="BO344" s="131" t="b">
        <f t="shared" si="26"/>
        <v>1</v>
      </c>
      <c r="BP344" s="121"/>
      <c r="BQ344" s="132" t="str">
        <f>VLOOKUP(A344,RAW_APS!A$3:O826,15,FALSE)</f>
        <v/>
      </c>
      <c r="BR344" s="120" t="b">
        <f t="shared" si="27"/>
        <v>1</v>
      </c>
      <c r="BS344" s="121"/>
      <c r="BT344" s="138" t="s">
        <v>244</v>
      </c>
      <c r="BU344" s="10" t="b">
        <f t="shared" si="28"/>
        <v>1</v>
      </c>
      <c r="BV344" s="120"/>
      <c r="BW344" s="120"/>
      <c r="BX344" s="120"/>
      <c r="BY344" s="120"/>
      <c r="BZ344" s="120"/>
      <c r="CA344" s="120"/>
      <c r="CB344" s="120"/>
      <c r="CC344" s="120"/>
    </row>
    <row r="345">
      <c r="A345" s="2" t="s">
        <v>1119</v>
      </c>
      <c r="B345" s="100">
        <v>44599.0</v>
      </c>
      <c r="C345" s="101">
        <v>0.2763541666666667</v>
      </c>
      <c r="D345" s="102"/>
      <c r="E345" s="102"/>
      <c r="F345" s="102"/>
      <c r="G345" s="102"/>
      <c r="H345" s="102"/>
      <c r="I345" s="103"/>
      <c r="J345" s="103"/>
      <c r="K345" s="2" t="s">
        <v>244</v>
      </c>
      <c r="L345" s="100">
        <v>44599.0</v>
      </c>
      <c r="M345" s="101">
        <v>0.4875347222222222</v>
      </c>
      <c r="P345" s="104" t="b">
        <f>IFNA(IF(VLOOKUP($A345,'Add from APT'!$AA$2:$AC826,3,FALSE)&gt;0,TRUE,FALSE),"ER - NOT IN APT")</f>
        <v>0</v>
      </c>
      <c r="Q345" s="105" t="str">
        <f>IF(ISLOGICAL(P345),IF(P345,"ER - REPS IN APT", IFNA(VLOOKUP($A345,RAW_APT!$A$3:$M826,7,FALSE),"ER - NOT IN APT")),P345)</f>
        <v>Result</v>
      </c>
      <c r="R345" s="106" t="b">
        <f t="shared" si="2"/>
        <v>1</v>
      </c>
      <c r="S345" s="107">
        <f t="shared" si="3"/>
        <v>1</v>
      </c>
      <c r="T345" s="143"/>
      <c r="U345" s="142"/>
      <c r="V345" s="142"/>
      <c r="W345" s="142"/>
      <c r="X345" s="110" t="b">
        <f t="shared" si="4"/>
        <v>0</v>
      </c>
      <c r="Y345" s="111" t="b">
        <v>0</v>
      </c>
      <c r="Z345" s="104" t="str">
        <f t="shared" si="5"/>
        <v/>
      </c>
      <c r="AA345" s="112" t="b">
        <f t="shared" si="6"/>
        <v>0</v>
      </c>
      <c r="AB345" s="142" t="b">
        <v>0</v>
      </c>
      <c r="AC345" s="140">
        <v>463.0</v>
      </c>
      <c r="AD345" s="141" t="b">
        <v>0</v>
      </c>
      <c r="AE345" s="115">
        <f t="shared" si="7"/>
        <v>304.1</v>
      </c>
      <c r="AF345" s="116" t="b">
        <f t="shared" si="8"/>
        <v>0</v>
      </c>
      <c r="AG345" s="105" t="b">
        <f t="shared" si="9"/>
        <v>0</v>
      </c>
      <c r="AH345" s="140"/>
      <c r="AI345" s="140"/>
      <c r="AJ345" s="140"/>
      <c r="AK345" s="117" t="str">
        <f t="shared" si="10"/>
        <v>Negative</v>
      </c>
      <c r="AL345" s="142"/>
      <c r="AM345" s="112" t="s">
        <v>356</v>
      </c>
      <c r="AN345" s="112" t="s">
        <v>357</v>
      </c>
      <c r="AO345" s="112" t="str">
        <f>IFERROR(__xludf.DUMMYFUNCTION("IF($AG345, ""DELETED"",TRIM(JOIN("" "",D345:E345)))"),"")</f>
        <v/>
      </c>
      <c r="AP345" s="112" t="str">
        <f t="shared" ref="AP345:AQ345" si="370">IF($AG345, "DELETED", TRIM(CONCATENATE(F345,I345,U345)))</f>
        <v/>
      </c>
      <c r="AQ345" s="112" t="str">
        <f t="shared" si="370"/>
        <v/>
      </c>
      <c r="AR345" s="112" t="str">
        <f>IFERROR(__xludf.DUMMYFUNCTION("IF($AG345, ""DELETED"", TRIM(JOIN("" "",AP345,AQ345)))"),"")</f>
        <v/>
      </c>
      <c r="AS345" s="118"/>
      <c r="AT345" s="110" t="b">
        <f t="shared" si="12"/>
        <v>0</v>
      </c>
      <c r="AU345" s="110" t="str">
        <f t="shared" si="13"/>
        <v/>
      </c>
      <c r="AV345" s="110" t="str">
        <f t="shared" si="14"/>
        <v/>
      </c>
      <c r="AW345" s="110" t="str">
        <f t="shared" si="15"/>
        <v/>
      </c>
      <c r="AX345" s="119" t="str">
        <f t="shared" si="16"/>
        <v/>
      </c>
      <c r="AY345" s="120"/>
      <c r="AZ345" s="121"/>
      <c r="BA345" s="122" t="str">
        <f t="shared" si="17"/>
        <v/>
      </c>
      <c r="BB345" s="34"/>
      <c r="BC345" s="121"/>
      <c r="BD345" s="136"/>
      <c r="BE345" s="125" t="str">
        <f t="shared" si="18"/>
        <v/>
      </c>
      <c r="BF345" s="126" t="str">
        <f t="shared" si="19"/>
        <v>MA390__44599_0.276354166666667</v>
      </c>
      <c r="BG345" s="127" t="str">
        <f t="shared" si="20"/>
        <v/>
      </c>
      <c r="BH345" s="137" t="s">
        <v>1120</v>
      </c>
      <c r="BI345" s="128" t="str">
        <f t="shared" si="21"/>
        <v>MA1108</v>
      </c>
      <c r="BJ345" s="129" t="b">
        <f t="shared" si="22"/>
        <v>0</v>
      </c>
      <c r="BK345" s="128" t="str">
        <f t="shared" si="23"/>
        <v/>
      </c>
      <c r="BL345" s="121"/>
      <c r="BM345" s="5" t="str">
        <f t="shared" si="24"/>
        <v>MISSING</v>
      </c>
      <c r="BN345" s="120" t="b">
        <f t="shared" si="25"/>
        <v>0</v>
      </c>
      <c r="BO345" s="131" t="b">
        <f t="shared" si="26"/>
        <v>1</v>
      </c>
      <c r="BP345" s="121"/>
      <c r="BQ345" s="132" t="str">
        <f>VLOOKUP(A345,RAW_APS!A$3:O826,15,FALSE)</f>
        <v/>
      </c>
      <c r="BR345" s="120" t="b">
        <f t="shared" si="27"/>
        <v>1</v>
      </c>
      <c r="BS345" s="121"/>
      <c r="BT345" s="138" t="s">
        <v>244</v>
      </c>
      <c r="BU345" s="10" t="b">
        <f t="shared" si="28"/>
        <v>1</v>
      </c>
      <c r="BV345" s="120"/>
      <c r="BW345" s="120"/>
      <c r="BX345" s="120"/>
      <c r="BY345" s="120"/>
      <c r="BZ345" s="120"/>
      <c r="CA345" s="120"/>
      <c r="CB345" s="120"/>
      <c r="CC345" s="120"/>
    </row>
    <row r="346">
      <c r="A346" s="2" t="s">
        <v>1121</v>
      </c>
      <c r="B346" s="100">
        <v>44599.0</v>
      </c>
      <c r="C346" s="101">
        <v>0.3005902777777778</v>
      </c>
      <c r="D346" s="102"/>
      <c r="E346" s="102"/>
      <c r="F346" s="102"/>
      <c r="G346" s="102"/>
      <c r="H346" s="102"/>
      <c r="I346" s="103"/>
      <c r="J346" s="103"/>
      <c r="K346" s="2" t="s">
        <v>244</v>
      </c>
      <c r="L346" s="100">
        <v>44599.0</v>
      </c>
      <c r="M346" s="101">
        <v>0.4875347222222222</v>
      </c>
      <c r="P346" s="104" t="b">
        <f>IFNA(IF(VLOOKUP($A346,'Add from APT'!$AA$2:$AC826,3,FALSE)&gt;0,TRUE,FALSE),"ER - NOT IN APT")</f>
        <v>0</v>
      </c>
      <c r="Q346" s="105" t="str">
        <f>IF(ISLOGICAL(P346),IF(P346,"ER - REPS IN APT", IFNA(VLOOKUP($A346,RAW_APT!$A$3:$M826,7,FALSE),"ER - NOT IN APT")),P346)</f>
        <v>Result</v>
      </c>
      <c r="R346" s="106" t="b">
        <f t="shared" si="2"/>
        <v>1</v>
      </c>
      <c r="S346" s="107">
        <f t="shared" si="3"/>
        <v>1</v>
      </c>
      <c r="T346" s="143"/>
      <c r="U346" s="142"/>
      <c r="V346" s="142"/>
      <c r="W346" s="142"/>
      <c r="X346" s="110" t="b">
        <f t="shared" si="4"/>
        <v>0</v>
      </c>
      <c r="Y346" s="111" t="b">
        <v>0</v>
      </c>
      <c r="Z346" s="104" t="str">
        <f t="shared" si="5"/>
        <v/>
      </c>
      <c r="AA346" s="112" t="b">
        <f t="shared" si="6"/>
        <v>0</v>
      </c>
      <c r="AB346" s="142" t="b">
        <v>0</v>
      </c>
      <c r="AC346" s="140">
        <v>462.0</v>
      </c>
      <c r="AD346" s="141" t="b">
        <v>0</v>
      </c>
      <c r="AE346" s="115">
        <f t="shared" si="7"/>
        <v>269.2</v>
      </c>
      <c r="AF346" s="116" t="b">
        <f t="shared" si="8"/>
        <v>0</v>
      </c>
      <c r="AG346" s="105" t="b">
        <f t="shared" si="9"/>
        <v>0</v>
      </c>
      <c r="AH346" s="140"/>
      <c r="AI346" s="140"/>
      <c r="AJ346" s="140"/>
      <c r="AK346" s="117" t="str">
        <f t="shared" si="10"/>
        <v>Negative</v>
      </c>
      <c r="AL346" s="142"/>
      <c r="AM346" s="112" t="s">
        <v>318</v>
      </c>
      <c r="AN346" s="112" t="s">
        <v>319</v>
      </c>
      <c r="AO346" s="112" t="str">
        <f>IFERROR(__xludf.DUMMYFUNCTION("IF($AG346, ""DELETED"",TRIM(JOIN("" "",D346:E346)))"),"")</f>
        <v/>
      </c>
      <c r="AP346" s="112" t="str">
        <f t="shared" ref="AP346:AQ346" si="371">IF($AG346, "DELETED", TRIM(CONCATENATE(F346,I346,U346)))</f>
        <v/>
      </c>
      <c r="AQ346" s="112" t="str">
        <f t="shared" si="371"/>
        <v/>
      </c>
      <c r="AR346" s="112" t="str">
        <f>IFERROR(__xludf.DUMMYFUNCTION("IF($AG346, ""DELETED"", TRIM(JOIN("" "",AP346,AQ346)))"),"")</f>
        <v/>
      </c>
      <c r="AS346" s="118"/>
      <c r="AT346" s="110" t="b">
        <f t="shared" si="12"/>
        <v>0</v>
      </c>
      <c r="AU346" s="110" t="str">
        <f t="shared" si="13"/>
        <v/>
      </c>
      <c r="AV346" s="110" t="str">
        <f t="shared" si="14"/>
        <v/>
      </c>
      <c r="AW346" s="110" t="str">
        <f t="shared" si="15"/>
        <v/>
      </c>
      <c r="AX346" s="119" t="str">
        <f t="shared" si="16"/>
        <v/>
      </c>
      <c r="AY346" s="120"/>
      <c r="AZ346" s="121"/>
      <c r="BA346" s="122" t="str">
        <f t="shared" si="17"/>
        <v/>
      </c>
      <c r="BB346" s="34"/>
      <c r="BC346" s="121"/>
      <c r="BD346" s="136"/>
      <c r="BE346" s="125" t="str">
        <f t="shared" si="18"/>
        <v/>
      </c>
      <c r="BF346" s="126" t="str">
        <f t="shared" si="19"/>
        <v>MA368__44599_0.300590277777778</v>
      </c>
      <c r="BG346" s="127" t="str">
        <f t="shared" si="20"/>
        <v/>
      </c>
      <c r="BH346" s="137" t="s">
        <v>1122</v>
      </c>
      <c r="BI346" s="128" t="str">
        <f t="shared" si="21"/>
        <v>MA1109</v>
      </c>
      <c r="BJ346" s="129" t="b">
        <f t="shared" si="22"/>
        <v>0</v>
      </c>
      <c r="BK346" s="128" t="str">
        <f t="shared" si="23"/>
        <v/>
      </c>
      <c r="BL346" s="121"/>
      <c r="BM346" s="5" t="str">
        <f t="shared" si="24"/>
        <v>MISSING</v>
      </c>
      <c r="BN346" s="120" t="b">
        <f t="shared" si="25"/>
        <v>0</v>
      </c>
      <c r="BO346" s="131" t="b">
        <f t="shared" si="26"/>
        <v>1</v>
      </c>
      <c r="BP346" s="121"/>
      <c r="BQ346" s="132" t="str">
        <f>VLOOKUP(A346,RAW_APS!A$3:O826,15,FALSE)</f>
        <v/>
      </c>
      <c r="BR346" s="120" t="b">
        <f t="shared" si="27"/>
        <v>1</v>
      </c>
      <c r="BS346" s="121"/>
      <c r="BT346" s="138" t="s">
        <v>244</v>
      </c>
      <c r="BU346" s="10" t="b">
        <f t="shared" si="28"/>
        <v>1</v>
      </c>
      <c r="BV346" s="120"/>
      <c r="BW346" s="120"/>
      <c r="BX346" s="120"/>
      <c r="BY346" s="120"/>
      <c r="BZ346" s="120"/>
      <c r="CA346" s="120"/>
      <c r="CB346" s="120"/>
      <c r="CC346" s="120"/>
    </row>
    <row r="347">
      <c r="A347" s="2" t="s">
        <v>1123</v>
      </c>
      <c r="B347" s="100">
        <v>44599.0</v>
      </c>
      <c r="C347" s="101">
        <v>0.30591435185185184</v>
      </c>
      <c r="D347" s="102"/>
      <c r="E347" s="102"/>
      <c r="F347" s="102"/>
      <c r="G347" s="102"/>
      <c r="H347" s="102"/>
      <c r="I347" s="103"/>
      <c r="J347" s="103"/>
      <c r="K347" s="2" t="s">
        <v>244</v>
      </c>
      <c r="L347" s="100">
        <v>44599.0</v>
      </c>
      <c r="M347" s="101">
        <v>0.4875347222222222</v>
      </c>
      <c r="P347" s="104" t="b">
        <f>IFNA(IF(VLOOKUP($A347,'Add from APT'!$AA$2:$AC826,3,FALSE)&gt;0,TRUE,FALSE),"ER - NOT IN APT")</f>
        <v>0</v>
      </c>
      <c r="Q347" s="105" t="str">
        <f>IF(ISLOGICAL(P347),IF(P347,"ER - REPS IN APT", IFNA(VLOOKUP($A347,RAW_APT!$A$3:$M826,7,FALSE),"ER - NOT IN APT")),P347)</f>
        <v>Result</v>
      </c>
      <c r="R347" s="106" t="b">
        <f t="shared" si="2"/>
        <v>1</v>
      </c>
      <c r="S347" s="107">
        <f t="shared" si="3"/>
        <v>1</v>
      </c>
      <c r="T347" s="143"/>
      <c r="U347" s="142"/>
      <c r="V347" s="142"/>
      <c r="W347" s="142"/>
      <c r="X347" s="110" t="b">
        <f t="shared" si="4"/>
        <v>0</v>
      </c>
      <c r="Y347" s="111" t="b">
        <v>0</v>
      </c>
      <c r="Z347" s="104" t="str">
        <f t="shared" si="5"/>
        <v/>
      </c>
      <c r="AA347" s="112" t="b">
        <f t="shared" si="6"/>
        <v>0</v>
      </c>
      <c r="AB347" s="142" t="b">
        <v>0</v>
      </c>
      <c r="AC347" s="140">
        <v>461.0</v>
      </c>
      <c r="AD347" s="141" t="b">
        <v>0</v>
      </c>
      <c r="AE347" s="115">
        <f t="shared" si="7"/>
        <v>261.5333333</v>
      </c>
      <c r="AF347" s="116" t="b">
        <f t="shared" si="8"/>
        <v>0</v>
      </c>
      <c r="AG347" s="105" t="b">
        <f t="shared" si="9"/>
        <v>0</v>
      </c>
      <c r="AH347" s="140"/>
      <c r="AI347" s="140"/>
      <c r="AJ347" s="140"/>
      <c r="AK347" s="117" t="str">
        <f t="shared" si="10"/>
        <v>Negative</v>
      </c>
      <c r="AL347" s="142"/>
      <c r="AM347" s="112" t="s">
        <v>310</v>
      </c>
      <c r="AN347" s="112" t="s">
        <v>311</v>
      </c>
      <c r="AO347" s="112" t="str">
        <f>IFERROR(__xludf.DUMMYFUNCTION("IF($AG347, ""DELETED"",TRIM(JOIN("" "",D347:E347)))"),"")</f>
        <v/>
      </c>
      <c r="AP347" s="112" t="str">
        <f t="shared" ref="AP347:AQ347" si="372">IF($AG347, "DELETED", TRIM(CONCATENATE(F347,I347,U347)))</f>
        <v/>
      </c>
      <c r="AQ347" s="112" t="str">
        <f t="shared" si="372"/>
        <v/>
      </c>
      <c r="AR347" s="112" t="str">
        <f>IFERROR(__xludf.DUMMYFUNCTION("IF($AG347, ""DELETED"", TRIM(JOIN("" "",AP347,AQ347)))"),"")</f>
        <v/>
      </c>
      <c r="AS347" s="118"/>
      <c r="AT347" s="110" t="b">
        <f t="shared" si="12"/>
        <v>0</v>
      </c>
      <c r="AU347" s="110" t="str">
        <f t="shared" si="13"/>
        <v/>
      </c>
      <c r="AV347" s="110" t="str">
        <f t="shared" si="14"/>
        <v/>
      </c>
      <c r="AW347" s="110" t="str">
        <f t="shared" si="15"/>
        <v/>
      </c>
      <c r="AX347" s="119" t="str">
        <f t="shared" si="16"/>
        <v/>
      </c>
      <c r="AY347" s="120"/>
      <c r="AZ347" s="121"/>
      <c r="BA347" s="122" t="str">
        <f t="shared" si="17"/>
        <v/>
      </c>
      <c r="BB347" s="34"/>
      <c r="BC347" s="121"/>
      <c r="BD347" s="136"/>
      <c r="BE347" s="125" t="str">
        <f t="shared" si="18"/>
        <v/>
      </c>
      <c r="BF347" s="126" t="str">
        <f t="shared" si="19"/>
        <v>MA1190__44599_0.305914351851852</v>
      </c>
      <c r="BG347" s="127" t="str">
        <f t="shared" si="20"/>
        <v/>
      </c>
      <c r="BH347" s="137" t="s">
        <v>1124</v>
      </c>
      <c r="BI347" s="128" t="str">
        <f t="shared" si="21"/>
        <v>MA1111</v>
      </c>
      <c r="BJ347" s="129" t="b">
        <f t="shared" si="22"/>
        <v>0</v>
      </c>
      <c r="BK347" s="128" t="str">
        <f t="shared" si="23"/>
        <v/>
      </c>
      <c r="BL347" s="121"/>
      <c r="BM347" s="5" t="str">
        <f t="shared" si="24"/>
        <v>MISSING</v>
      </c>
      <c r="BN347" s="120" t="b">
        <f t="shared" si="25"/>
        <v>0</v>
      </c>
      <c r="BO347" s="131" t="b">
        <f t="shared" si="26"/>
        <v>1</v>
      </c>
      <c r="BP347" s="121"/>
      <c r="BQ347" s="132" t="str">
        <f>VLOOKUP(A347,RAW_APS!A$3:O826,15,FALSE)</f>
        <v/>
      </c>
      <c r="BR347" s="120" t="b">
        <f t="shared" si="27"/>
        <v>1</v>
      </c>
      <c r="BS347" s="121"/>
      <c r="BT347" s="138" t="s">
        <v>244</v>
      </c>
      <c r="BU347" s="10" t="b">
        <f t="shared" si="28"/>
        <v>1</v>
      </c>
      <c r="BV347" s="120"/>
      <c r="BW347" s="120"/>
      <c r="BX347" s="120"/>
      <c r="BY347" s="120"/>
      <c r="BZ347" s="120"/>
      <c r="CA347" s="120"/>
      <c r="CB347" s="120"/>
      <c r="CC347" s="120"/>
    </row>
    <row r="348">
      <c r="A348" s="2" t="s">
        <v>1125</v>
      </c>
      <c r="B348" s="100">
        <v>44599.0</v>
      </c>
      <c r="C348" s="101">
        <v>0.3065393518518518</v>
      </c>
      <c r="D348" s="102"/>
      <c r="E348" s="102"/>
      <c r="F348" s="102"/>
      <c r="G348" s="102"/>
      <c r="H348" s="102"/>
      <c r="I348" s="103"/>
      <c r="J348" s="103"/>
      <c r="K348" s="2" t="s">
        <v>244</v>
      </c>
      <c r="L348" s="100">
        <v>44599.0</v>
      </c>
      <c r="M348" s="101">
        <v>0.4875347222222222</v>
      </c>
      <c r="P348" s="104" t="b">
        <f>IFNA(IF(VLOOKUP($A348,'Add from APT'!$AA$2:$AC826,3,FALSE)&gt;0,TRUE,FALSE),"ER - NOT IN APT")</f>
        <v>0</v>
      </c>
      <c r="Q348" s="105" t="str">
        <f>IF(ISLOGICAL(P348),IF(P348,"ER - REPS IN APT", IFNA(VLOOKUP($A348,RAW_APT!$A$3:$M826,7,FALSE),"ER - NOT IN APT")),P348)</f>
        <v>Result</v>
      </c>
      <c r="R348" s="106" t="b">
        <f t="shared" si="2"/>
        <v>1</v>
      </c>
      <c r="S348" s="107">
        <f t="shared" si="3"/>
        <v>1</v>
      </c>
      <c r="T348" s="143"/>
      <c r="U348" s="142"/>
      <c r="V348" s="142"/>
      <c r="W348" s="142"/>
      <c r="X348" s="110" t="b">
        <f t="shared" si="4"/>
        <v>0</v>
      </c>
      <c r="Y348" s="111" t="b">
        <v>0</v>
      </c>
      <c r="Z348" s="104" t="str">
        <f t="shared" si="5"/>
        <v/>
      </c>
      <c r="AA348" s="112" t="b">
        <f t="shared" si="6"/>
        <v>0</v>
      </c>
      <c r="AB348" s="142" t="b">
        <v>0</v>
      </c>
      <c r="AC348" s="140">
        <v>460.0</v>
      </c>
      <c r="AD348" s="141" t="b">
        <v>0</v>
      </c>
      <c r="AE348" s="115">
        <f t="shared" si="7"/>
        <v>260.6333333</v>
      </c>
      <c r="AF348" s="116" t="b">
        <f t="shared" si="8"/>
        <v>0</v>
      </c>
      <c r="AG348" s="105" t="b">
        <f t="shared" si="9"/>
        <v>0</v>
      </c>
      <c r="AH348" s="140"/>
      <c r="AI348" s="140"/>
      <c r="AJ348" s="140"/>
      <c r="AK348" s="117" t="str">
        <f t="shared" si="10"/>
        <v>Negative</v>
      </c>
      <c r="AL348" s="142"/>
      <c r="AM348" s="112" t="s">
        <v>291</v>
      </c>
      <c r="AN348" s="112" t="s">
        <v>292</v>
      </c>
      <c r="AO348" s="112" t="str">
        <f>IFERROR(__xludf.DUMMYFUNCTION("IF($AG348, ""DELETED"",TRIM(JOIN("" "",D348:E348)))"),"")</f>
        <v/>
      </c>
      <c r="AP348" s="112" t="str">
        <f t="shared" ref="AP348:AQ348" si="373">IF($AG348, "DELETED", TRIM(CONCATENATE(F348,I348,U348)))</f>
        <v/>
      </c>
      <c r="AQ348" s="112" t="str">
        <f t="shared" si="373"/>
        <v/>
      </c>
      <c r="AR348" s="112" t="str">
        <f>IFERROR(__xludf.DUMMYFUNCTION("IF($AG348, ""DELETED"", TRIM(JOIN("" "",AP348,AQ348)))"),"")</f>
        <v/>
      </c>
      <c r="AS348" s="118"/>
      <c r="AT348" s="110" t="b">
        <f t="shared" si="12"/>
        <v>0</v>
      </c>
      <c r="AU348" s="110" t="str">
        <f t="shared" si="13"/>
        <v/>
      </c>
      <c r="AV348" s="110" t="str">
        <f t="shared" si="14"/>
        <v/>
      </c>
      <c r="AW348" s="110" t="str">
        <f t="shared" si="15"/>
        <v/>
      </c>
      <c r="AX348" s="119" t="str">
        <f t="shared" si="16"/>
        <v/>
      </c>
      <c r="AY348" s="120"/>
      <c r="AZ348" s="121"/>
      <c r="BA348" s="122" t="str">
        <f t="shared" si="17"/>
        <v/>
      </c>
      <c r="BB348" s="34"/>
      <c r="BC348" s="121"/>
      <c r="BD348" s="136"/>
      <c r="BE348" s="125" t="str">
        <f t="shared" si="18"/>
        <v/>
      </c>
      <c r="BF348" s="126" t="str">
        <f t="shared" si="19"/>
        <v>MA1174__44599_0.306539351851852</v>
      </c>
      <c r="BG348" s="127" t="str">
        <f t="shared" si="20"/>
        <v/>
      </c>
      <c r="BH348" s="137" t="s">
        <v>1126</v>
      </c>
      <c r="BI348" s="128" t="str">
        <f t="shared" si="21"/>
        <v>MA1112</v>
      </c>
      <c r="BJ348" s="129" t="b">
        <f t="shared" si="22"/>
        <v>0</v>
      </c>
      <c r="BK348" s="128" t="str">
        <f t="shared" si="23"/>
        <v/>
      </c>
      <c r="BL348" s="121"/>
      <c r="BM348" s="5" t="str">
        <f t="shared" si="24"/>
        <v>MISSING</v>
      </c>
      <c r="BN348" s="120" t="b">
        <f t="shared" si="25"/>
        <v>0</v>
      </c>
      <c r="BO348" s="131" t="b">
        <f t="shared" si="26"/>
        <v>1</v>
      </c>
      <c r="BP348" s="121"/>
      <c r="BQ348" s="132" t="str">
        <f>VLOOKUP(A348,RAW_APS!A$3:O826,15,FALSE)</f>
        <v/>
      </c>
      <c r="BR348" s="120" t="b">
        <f t="shared" si="27"/>
        <v>1</v>
      </c>
      <c r="BS348" s="121"/>
      <c r="BT348" s="138" t="s">
        <v>244</v>
      </c>
      <c r="BU348" s="10" t="b">
        <f t="shared" si="28"/>
        <v>1</v>
      </c>
      <c r="BV348" s="120"/>
      <c r="BW348" s="120"/>
      <c r="BX348" s="120"/>
      <c r="BY348" s="120"/>
      <c r="BZ348" s="120"/>
      <c r="CA348" s="120"/>
      <c r="CB348" s="120"/>
      <c r="CC348" s="120"/>
    </row>
    <row r="349">
      <c r="A349" s="2" t="s">
        <v>1127</v>
      </c>
      <c r="B349" s="100">
        <v>44599.0</v>
      </c>
      <c r="C349" s="101">
        <v>0.3181365740740741</v>
      </c>
      <c r="D349" s="102"/>
      <c r="E349" s="102"/>
      <c r="F349" s="102"/>
      <c r="G349" s="102"/>
      <c r="H349" s="102"/>
      <c r="I349" s="103"/>
      <c r="J349" s="103"/>
      <c r="K349" s="2" t="s">
        <v>244</v>
      </c>
      <c r="L349" s="100">
        <v>44599.0</v>
      </c>
      <c r="M349" s="101">
        <v>0.4875462962962963</v>
      </c>
      <c r="P349" s="104" t="b">
        <f>IFNA(IF(VLOOKUP($A349,'Add from APT'!$AA$2:$AC826,3,FALSE)&gt;0,TRUE,FALSE),"ER - NOT IN APT")</f>
        <v>0</v>
      </c>
      <c r="Q349" s="105" t="str">
        <f>IF(ISLOGICAL(P349),IF(P349,"ER - REPS IN APT", IFNA(VLOOKUP($A349,RAW_APT!$A$3:$M826,7,FALSE),"ER - NOT IN APT")),P349)</f>
        <v>Result</v>
      </c>
      <c r="R349" s="106" t="b">
        <f t="shared" si="2"/>
        <v>1</v>
      </c>
      <c r="S349" s="107">
        <f t="shared" si="3"/>
        <v>1</v>
      </c>
      <c r="T349" s="143"/>
      <c r="U349" s="142"/>
      <c r="V349" s="142"/>
      <c r="W349" s="142"/>
      <c r="X349" s="110" t="b">
        <f t="shared" si="4"/>
        <v>0</v>
      </c>
      <c r="Y349" s="111" t="b">
        <v>0</v>
      </c>
      <c r="Z349" s="104" t="str">
        <f t="shared" si="5"/>
        <v/>
      </c>
      <c r="AA349" s="112" t="b">
        <f t="shared" si="6"/>
        <v>0</v>
      </c>
      <c r="AB349" s="142" t="b">
        <v>0</v>
      </c>
      <c r="AC349" s="140">
        <v>459.0</v>
      </c>
      <c r="AD349" s="141" t="b">
        <v>0</v>
      </c>
      <c r="AE349" s="115">
        <f t="shared" si="7"/>
        <v>243.95</v>
      </c>
      <c r="AF349" s="116" t="b">
        <f t="shared" si="8"/>
        <v>0</v>
      </c>
      <c r="AG349" s="105" t="b">
        <f t="shared" si="9"/>
        <v>0</v>
      </c>
      <c r="AH349" s="140"/>
      <c r="AI349" s="140"/>
      <c r="AJ349" s="140"/>
      <c r="AK349" s="117" t="str">
        <f t="shared" si="10"/>
        <v>Negative</v>
      </c>
      <c r="AL349" s="142"/>
      <c r="AM349" s="112" t="s">
        <v>504</v>
      </c>
      <c r="AN349" s="112" t="s">
        <v>505</v>
      </c>
      <c r="AO349" s="112" t="str">
        <f>IFERROR(__xludf.DUMMYFUNCTION("IF($AG349, ""DELETED"",TRIM(JOIN("" "",D349:E349)))"),"")</f>
        <v/>
      </c>
      <c r="AP349" s="112" t="str">
        <f t="shared" ref="AP349:AQ349" si="374">IF($AG349, "DELETED", TRIM(CONCATENATE(F349,I349,U349)))</f>
        <v/>
      </c>
      <c r="AQ349" s="112" t="str">
        <f t="shared" si="374"/>
        <v/>
      </c>
      <c r="AR349" s="112" t="str">
        <f>IFERROR(__xludf.DUMMYFUNCTION("IF($AG349, ""DELETED"", TRIM(JOIN("" "",AP349,AQ349)))"),"")</f>
        <v/>
      </c>
      <c r="AS349" s="118"/>
      <c r="AT349" s="110" t="b">
        <f t="shared" si="12"/>
        <v>0</v>
      </c>
      <c r="AU349" s="110" t="str">
        <f t="shared" si="13"/>
        <v/>
      </c>
      <c r="AV349" s="110" t="str">
        <f t="shared" si="14"/>
        <v/>
      </c>
      <c r="AW349" s="110" t="str">
        <f t="shared" si="15"/>
        <v/>
      </c>
      <c r="AX349" s="119" t="str">
        <f t="shared" si="16"/>
        <v/>
      </c>
      <c r="AY349" s="120"/>
      <c r="AZ349" s="121"/>
      <c r="BA349" s="122" t="str">
        <f t="shared" si="17"/>
        <v/>
      </c>
      <c r="BB349" s="34"/>
      <c r="BC349" s="121"/>
      <c r="BD349" s="136"/>
      <c r="BE349" s="125" t="str">
        <f t="shared" si="18"/>
        <v/>
      </c>
      <c r="BF349" s="126" t="str">
        <f t="shared" si="19"/>
        <v>MA440__44599_0.318136574074074</v>
      </c>
      <c r="BG349" s="127" t="str">
        <f t="shared" si="20"/>
        <v/>
      </c>
      <c r="BH349" s="137" t="s">
        <v>1128</v>
      </c>
      <c r="BI349" s="128" t="str">
        <f t="shared" si="21"/>
        <v>MA1115</v>
      </c>
      <c r="BJ349" s="129" t="b">
        <f t="shared" si="22"/>
        <v>0</v>
      </c>
      <c r="BK349" s="128" t="str">
        <f t="shared" si="23"/>
        <v/>
      </c>
      <c r="BL349" s="121"/>
      <c r="BM349" s="5" t="str">
        <f t="shared" si="24"/>
        <v>MISSING</v>
      </c>
      <c r="BN349" s="120" t="b">
        <f t="shared" si="25"/>
        <v>0</v>
      </c>
      <c r="BO349" s="131" t="b">
        <f t="shared" si="26"/>
        <v>1</v>
      </c>
      <c r="BP349" s="121"/>
      <c r="BQ349" s="132" t="str">
        <f>VLOOKUP(A349,RAW_APS!A$3:O826,15,FALSE)</f>
        <v/>
      </c>
      <c r="BR349" s="120" t="b">
        <f t="shared" si="27"/>
        <v>1</v>
      </c>
      <c r="BS349" s="121"/>
      <c r="BT349" s="138" t="s">
        <v>244</v>
      </c>
      <c r="BU349" s="10" t="b">
        <f t="shared" si="28"/>
        <v>1</v>
      </c>
      <c r="BV349" s="120"/>
      <c r="BW349" s="120"/>
      <c r="BX349" s="120"/>
      <c r="BY349" s="120"/>
      <c r="BZ349" s="120"/>
      <c r="CA349" s="120"/>
      <c r="CB349" s="120"/>
      <c r="CC349" s="120"/>
    </row>
    <row r="350">
      <c r="A350" s="2" t="s">
        <v>1129</v>
      </c>
      <c r="B350" s="100">
        <v>44599.0</v>
      </c>
      <c r="C350" s="101">
        <v>0.31884259259259257</v>
      </c>
      <c r="D350" s="102"/>
      <c r="E350" s="102"/>
      <c r="F350" s="102"/>
      <c r="G350" s="102"/>
      <c r="H350" s="102"/>
      <c r="I350" s="103"/>
      <c r="J350" s="103"/>
      <c r="K350" s="2" t="s">
        <v>244</v>
      </c>
      <c r="L350" s="100">
        <v>44599.0</v>
      </c>
      <c r="M350" s="101">
        <v>0.4875462962962963</v>
      </c>
      <c r="P350" s="104" t="b">
        <f>IFNA(IF(VLOOKUP($A350,'Add from APT'!$AA$2:$AC826,3,FALSE)&gt;0,TRUE,FALSE),"ER - NOT IN APT")</f>
        <v>0</v>
      </c>
      <c r="Q350" s="105" t="str">
        <f>IF(ISLOGICAL(P350),IF(P350,"ER - REPS IN APT", IFNA(VLOOKUP($A350,RAW_APT!$A$3:$M826,7,FALSE),"ER - NOT IN APT")),P350)</f>
        <v>Result</v>
      </c>
      <c r="R350" s="106" t="b">
        <f t="shared" si="2"/>
        <v>1</v>
      </c>
      <c r="S350" s="107">
        <f t="shared" si="3"/>
        <v>1</v>
      </c>
      <c r="T350" s="143"/>
      <c r="U350" s="142"/>
      <c r="V350" s="142"/>
      <c r="W350" s="142"/>
      <c r="X350" s="110" t="b">
        <f t="shared" si="4"/>
        <v>0</v>
      </c>
      <c r="Y350" s="111" t="b">
        <v>0</v>
      </c>
      <c r="Z350" s="104" t="str">
        <f t="shared" si="5"/>
        <v/>
      </c>
      <c r="AA350" s="112" t="b">
        <f t="shared" si="6"/>
        <v>0</v>
      </c>
      <c r="AB350" s="142" t="b">
        <v>0</v>
      </c>
      <c r="AC350" s="140">
        <v>458.0</v>
      </c>
      <c r="AD350" s="141" t="b">
        <v>0</v>
      </c>
      <c r="AE350" s="115">
        <f t="shared" si="7"/>
        <v>242.9333333</v>
      </c>
      <c r="AF350" s="116" t="b">
        <f t="shared" si="8"/>
        <v>0</v>
      </c>
      <c r="AG350" s="105" t="b">
        <f t="shared" si="9"/>
        <v>0</v>
      </c>
      <c r="AH350" s="140"/>
      <c r="AI350" s="140"/>
      <c r="AJ350" s="140"/>
      <c r="AK350" s="117" t="str">
        <f t="shared" si="10"/>
        <v>Negative</v>
      </c>
      <c r="AL350" s="142"/>
      <c r="AM350" s="112" t="s">
        <v>295</v>
      </c>
      <c r="AN350" s="112" t="s">
        <v>296</v>
      </c>
      <c r="AO350" s="112" t="str">
        <f>IFERROR(__xludf.DUMMYFUNCTION("IF($AG350, ""DELETED"",TRIM(JOIN("" "",D350:E350)))"),"")</f>
        <v/>
      </c>
      <c r="AP350" s="112" t="str">
        <f t="shared" ref="AP350:AQ350" si="375">IF($AG350, "DELETED", TRIM(CONCATENATE(F350,I350,U350)))</f>
        <v/>
      </c>
      <c r="AQ350" s="112" t="str">
        <f t="shared" si="375"/>
        <v/>
      </c>
      <c r="AR350" s="112" t="str">
        <f>IFERROR(__xludf.DUMMYFUNCTION("IF($AG350, ""DELETED"", TRIM(JOIN("" "",AP350,AQ350)))"),"")</f>
        <v/>
      </c>
      <c r="AS350" s="118"/>
      <c r="AT350" s="110" t="b">
        <f t="shared" si="12"/>
        <v>0</v>
      </c>
      <c r="AU350" s="110" t="str">
        <f t="shared" si="13"/>
        <v/>
      </c>
      <c r="AV350" s="110" t="str">
        <f t="shared" si="14"/>
        <v/>
      </c>
      <c r="AW350" s="110" t="str">
        <f t="shared" si="15"/>
        <v/>
      </c>
      <c r="AX350" s="119" t="str">
        <f t="shared" si="16"/>
        <v/>
      </c>
      <c r="AY350" s="120"/>
      <c r="AZ350" s="121"/>
      <c r="BA350" s="122" t="str">
        <f t="shared" si="17"/>
        <v/>
      </c>
      <c r="BB350" s="34"/>
      <c r="BC350" s="121"/>
      <c r="BD350" s="136"/>
      <c r="BE350" s="125" t="str">
        <f t="shared" si="18"/>
        <v/>
      </c>
      <c r="BF350" s="126" t="str">
        <f t="shared" si="19"/>
        <v>MA959__44599_0.318842592592593</v>
      </c>
      <c r="BG350" s="127" t="str">
        <f t="shared" si="20"/>
        <v/>
      </c>
      <c r="BH350" s="137" t="s">
        <v>1130</v>
      </c>
      <c r="BI350" s="128" t="str">
        <f t="shared" si="21"/>
        <v>MA1116</v>
      </c>
      <c r="BJ350" s="129" t="b">
        <f t="shared" si="22"/>
        <v>0</v>
      </c>
      <c r="BK350" s="128" t="str">
        <f t="shared" si="23"/>
        <v/>
      </c>
      <c r="BL350" s="121"/>
      <c r="BM350" s="5" t="str">
        <f t="shared" si="24"/>
        <v>MISSING</v>
      </c>
      <c r="BN350" s="120" t="b">
        <f t="shared" si="25"/>
        <v>0</v>
      </c>
      <c r="BO350" s="131" t="b">
        <f t="shared" si="26"/>
        <v>1</v>
      </c>
      <c r="BP350" s="121"/>
      <c r="BQ350" s="132" t="str">
        <f>VLOOKUP(A350,RAW_APS!A$3:O826,15,FALSE)</f>
        <v/>
      </c>
      <c r="BR350" s="120" t="b">
        <f t="shared" si="27"/>
        <v>1</v>
      </c>
      <c r="BS350" s="121"/>
      <c r="BT350" s="138" t="s">
        <v>244</v>
      </c>
      <c r="BU350" s="10" t="b">
        <f t="shared" si="28"/>
        <v>1</v>
      </c>
      <c r="BV350" s="120"/>
      <c r="BW350" s="120"/>
      <c r="BX350" s="120"/>
      <c r="BY350" s="120"/>
      <c r="BZ350" s="120"/>
      <c r="CA350" s="120"/>
      <c r="CB350" s="120"/>
      <c r="CC350" s="120"/>
    </row>
    <row r="351">
      <c r="A351" s="2" t="s">
        <v>1131</v>
      </c>
      <c r="B351" s="100">
        <v>44599.0</v>
      </c>
      <c r="C351" s="101">
        <v>0.32459490740740743</v>
      </c>
      <c r="D351" s="102"/>
      <c r="E351" s="102"/>
      <c r="F351" s="102"/>
      <c r="G351" s="102"/>
      <c r="H351" s="102"/>
      <c r="I351" s="103"/>
      <c r="J351" s="103"/>
      <c r="K351" s="2" t="s">
        <v>244</v>
      </c>
      <c r="L351" s="100">
        <v>44599.0</v>
      </c>
      <c r="M351" s="101">
        <v>0.4875462962962963</v>
      </c>
      <c r="P351" s="104" t="b">
        <f>IFNA(IF(VLOOKUP($A351,'Add from APT'!$AA$2:$AC826,3,FALSE)&gt;0,TRUE,FALSE),"ER - NOT IN APT")</f>
        <v>0</v>
      </c>
      <c r="Q351" s="105" t="str">
        <f>IF(ISLOGICAL(P351),IF(P351,"ER - REPS IN APT", IFNA(VLOOKUP($A351,RAW_APT!$A$3:$M826,7,FALSE),"ER - NOT IN APT")),P351)</f>
        <v>Result</v>
      </c>
      <c r="R351" s="106" t="b">
        <f t="shared" si="2"/>
        <v>1</v>
      </c>
      <c r="S351" s="107">
        <f t="shared" si="3"/>
        <v>1</v>
      </c>
      <c r="T351" s="143"/>
      <c r="U351" s="142"/>
      <c r="V351" s="142"/>
      <c r="W351" s="142"/>
      <c r="X351" s="110" t="b">
        <f t="shared" si="4"/>
        <v>0</v>
      </c>
      <c r="Y351" s="111" t="b">
        <v>0</v>
      </c>
      <c r="Z351" s="104" t="str">
        <f t="shared" si="5"/>
        <v/>
      </c>
      <c r="AA351" s="112" t="b">
        <f t="shared" si="6"/>
        <v>0</v>
      </c>
      <c r="AB351" s="142" t="b">
        <v>0</v>
      </c>
      <c r="AC351" s="140">
        <v>457.0</v>
      </c>
      <c r="AD351" s="141" t="b">
        <v>0</v>
      </c>
      <c r="AE351" s="115">
        <f t="shared" si="7"/>
        <v>234.65</v>
      </c>
      <c r="AF351" s="116" t="b">
        <f t="shared" si="8"/>
        <v>0</v>
      </c>
      <c r="AG351" s="105" t="b">
        <f t="shared" si="9"/>
        <v>0</v>
      </c>
      <c r="AH351" s="140"/>
      <c r="AI351" s="140"/>
      <c r="AJ351" s="140"/>
      <c r="AK351" s="117" t="str">
        <f t="shared" si="10"/>
        <v>Negative</v>
      </c>
      <c r="AL351" s="142"/>
      <c r="AM351" s="112" t="s">
        <v>314</v>
      </c>
      <c r="AN351" s="112" t="s">
        <v>315</v>
      </c>
      <c r="AO351" s="112" t="str">
        <f>IFERROR(__xludf.DUMMYFUNCTION("IF($AG351, ""DELETED"",TRIM(JOIN("" "",D351:E351)))"),"")</f>
        <v/>
      </c>
      <c r="AP351" s="112" t="str">
        <f t="shared" ref="AP351:AQ351" si="376">IF($AG351, "DELETED", TRIM(CONCATENATE(F351,I351,U351)))</f>
        <v/>
      </c>
      <c r="AQ351" s="112" t="str">
        <f t="shared" si="376"/>
        <v/>
      </c>
      <c r="AR351" s="112" t="str">
        <f>IFERROR(__xludf.DUMMYFUNCTION("IF($AG351, ""DELETED"", TRIM(JOIN("" "",AP351,AQ351)))"),"")</f>
        <v/>
      </c>
      <c r="AS351" s="118"/>
      <c r="AT351" s="110" t="b">
        <f t="shared" si="12"/>
        <v>0</v>
      </c>
      <c r="AU351" s="110" t="str">
        <f t="shared" si="13"/>
        <v/>
      </c>
      <c r="AV351" s="110" t="str">
        <f t="shared" si="14"/>
        <v/>
      </c>
      <c r="AW351" s="110" t="str">
        <f t="shared" si="15"/>
        <v/>
      </c>
      <c r="AX351" s="119" t="str">
        <f t="shared" si="16"/>
        <v/>
      </c>
      <c r="AY351" s="120"/>
      <c r="AZ351" s="121"/>
      <c r="BA351" s="122" t="str">
        <f t="shared" si="17"/>
        <v/>
      </c>
      <c r="BB351" s="34"/>
      <c r="BC351" s="121"/>
      <c r="BD351" s="136"/>
      <c r="BE351" s="125" t="str">
        <f t="shared" si="18"/>
        <v/>
      </c>
      <c r="BF351" s="126" t="str">
        <f t="shared" si="19"/>
        <v>MA274__44599_0.324594907407407</v>
      </c>
      <c r="BG351" s="127" t="str">
        <f t="shared" si="20"/>
        <v/>
      </c>
      <c r="BH351" s="137" t="s">
        <v>1132</v>
      </c>
      <c r="BI351" s="128" t="str">
        <f t="shared" si="21"/>
        <v>MA1119</v>
      </c>
      <c r="BJ351" s="129" t="b">
        <f t="shared" si="22"/>
        <v>0</v>
      </c>
      <c r="BK351" s="128" t="str">
        <f t="shared" si="23"/>
        <v/>
      </c>
      <c r="BL351" s="121"/>
      <c r="BM351" s="5" t="str">
        <f t="shared" si="24"/>
        <v>MISSING</v>
      </c>
      <c r="BN351" s="120" t="b">
        <f t="shared" si="25"/>
        <v>0</v>
      </c>
      <c r="BO351" s="131" t="b">
        <f t="shared" si="26"/>
        <v>1</v>
      </c>
      <c r="BP351" s="121"/>
      <c r="BQ351" s="132" t="str">
        <f>VLOOKUP(A351,RAW_APS!A$3:O826,15,FALSE)</f>
        <v/>
      </c>
      <c r="BR351" s="120" t="b">
        <f t="shared" si="27"/>
        <v>1</v>
      </c>
      <c r="BS351" s="121"/>
      <c r="BT351" s="138" t="s">
        <v>244</v>
      </c>
      <c r="BU351" s="10" t="b">
        <f t="shared" si="28"/>
        <v>1</v>
      </c>
      <c r="BV351" s="120"/>
      <c r="BW351" s="120"/>
      <c r="BX351" s="120"/>
      <c r="BY351" s="120"/>
      <c r="BZ351" s="120"/>
      <c r="CA351" s="120"/>
      <c r="CB351" s="120"/>
      <c r="CC351" s="120"/>
    </row>
    <row r="352">
      <c r="A352" s="2" t="s">
        <v>1133</v>
      </c>
      <c r="B352" s="100">
        <v>44599.0</v>
      </c>
      <c r="C352" s="101">
        <v>0.33288194444444447</v>
      </c>
      <c r="D352" s="102"/>
      <c r="E352" s="102"/>
      <c r="F352" s="102"/>
      <c r="G352" s="102"/>
      <c r="H352" s="102"/>
      <c r="I352" s="103"/>
      <c r="J352" s="103"/>
      <c r="K352" s="2" t="s">
        <v>52</v>
      </c>
      <c r="L352" s="100">
        <v>44599.0</v>
      </c>
      <c r="M352" s="101">
        <v>0.4875347222222222</v>
      </c>
      <c r="P352" s="104" t="b">
        <f>IFNA(IF(VLOOKUP($A352,'Add from APT'!$AA$2:$AC826,3,FALSE)&gt;0,TRUE,FALSE),"ER - NOT IN APT")</f>
        <v>0</v>
      </c>
      <c r="Q352" s="105" t="str">
        <f>IF(ISLOGICAL(P352),IF(P352,"ER - REPS IN APT", IFNA(VLOOKUP($A352,RAW_APT!$A$3:$M826,7,FALSE),"ER - NOT IN APT")),P352)</f>
        <v>Result</v>
      </c>
      <c r="R352" s="106" t="b">
        <f t="shared" si="2"/>
        <v>1</v>
      </c>
      <c r="S352" s="107">
        <f t="shared" si="3"/>
        <v>1</v>
      </c>
      <c r="T352" s="143"/>
      <c r="U352" s="142"/>
      <c r="V352" s="142"/>
      <c r="W352" s="142"/>
      <c r="X352" s="110" t="b">
        <f t="shared" si="4"/>
        <v>0</v>
      </c>
      <c r="Y352" s="111" t="b">
        <v>0</v>
      </c>
      <c r="Z352" s="104" t="str">
        <f t="shared" si="5"/>
        <v/>
      </c>
      <c r="AA352" s="112" t="b">
        <f t="shared" si="6"/>
        <v>0</v>
      </c>
      <c r="AB352" s="142" t="b">
        <v>0</v>
      </c>
      <c r="AC352" s="140">
        <v>456.0</v>
      </c>
      <c r="AD352" s="141" t="b">
        <v>0</v>
      </c>
      <c r="AE352" s="115">
        <f t="shared" si="7"/>
        <v>222.7</v>
      </c>
      <c r="AF352" s="116" t="b">
        <f t="shared" si="8"/>
        <v>0</v>
      </c>
      <c r="AG352" s="105" t="b">
        <f t="shared" si="9"/>
        <v>0</v>
      </c>
      <c r="AH352" s="140"/>
      <c r="AI352" s="140"/>
      <c r="AJ352" s="140"/>
      <c r="AK352" s="117" t="str">
        <f t="shared" si="10"/>
        <v>Positive</v>
      </c>
      <c r="AL352" s="142"/>
      <c r="AM352" s="112" t="s">
        <v>624</v>
      </c>
      <c r="AN352" s="112" t="s">
        <v>625</v>
      </c>
      <c r="AO352" s="112" t="str">
        <f>IFERROR(__xludf.DUMMYFUNCTION("IF($AG352, ""DELETED"",TRIM(JOIN("" "",D352:E352)))"),"")</f>
        <v/>
      </c>
      <c r="AP352" s="112" t="str">
        <f t="shared" ref="AP352:AQ352" si="377">IF($AG352, "DELETED", TRIM(CONCATENATE(F352,I352,U352)))</f>
        <v/>
      </c>
      <c r="AQ352" s="112" t="str">
        <f t="shared" si="377"/>
        <v/>
      </c>
      <c r="AR352" s="112" t="str">
        <f>IFERROR(__xludf.DUMMYFUNCTION("IF($AG352, ""DELETED"", TRIM(JOIN("" "",AP352,AQ352)))"),"")</f>
        <v/>
      </c>
      <c r="AS352" s="118"/>
      <c r="AT352" s="110" t="b">
        <f t="shared" si="12"/>
        <v>0</v>
      </c>
      <c r="AU352" s="110" t="str">
        <f t="shared" si="13"/>
        <v/>
      </c>
      <c r="AV352" s="110" t="str">
        <f t="shared" si="14"/>
        <v/>
      </c>
      <c r="AW352" s="110" t="str">
        <f t="shared" si="15"/>
        <v/>
      </c>
      <c r="AX352" s="119" t="str">
        <f t="shared" si="16"/>
        <v/>
      </c>
      <c r="AY352" s="120"/>
      <c r="AZ352" s="121"/>
      <c r="BA352" s="122" t="str">
        <f t="shared" si="17"/>
        <v/>
      </c>
      <c r="BB352" s="34"/>
      <c r="BC352" s="121"/>
      <c r="BD352" s="136"/>
      <c r="BE352" s="125" t="str">
        <f t="shared" si="18"/>
        <v/>
      </c>
      <c r="BF352" s="126" t="str">
        <f t="shared" si="19"/>
        <v>MA253__44599_0.332881944444444</v>
      </c>
      <c r="BG352" s="127" t="str">
        <f t="shared" si="20"/>
        <v/>
      </c>
      <c r="BH352" s="137" t="s">
        <v>1134</v>
      </c>
      <c r="BI352" s="128" t="str">
        <f t="shared" si="21"/>
        <v>MA1120</v>
      </c>
      <c r="BJ352" s="129" t="b">
        <f t="shared" si="22"/>
        <v>0</v>
      </c>
      <c r="BK352" s="128" t="str">
        <f t="shared" si="23"/>
        <v/>
      </c>
      <c r="BL352" s="121"/>
      <c r="BM352" s="5" t="str">
        <f t="shared" si="24"/>
        <v>MISSING</v>
      </c>
      <c r="BN352" s="120" t="b">
        <f t="shared" si="25"/>
        <v>0</v>
      </c>
      <c r="BO352" s="131" t="b">
        <f t="shared" si="26"/>
        <v>1</v>
      </c>
      <c r="BP352" s="121"/>
      <c r="BQ352" s="132" t="str">
        <f>VLOOKUP(A352,RAW_APS!A$3:O826,15,FALSE)</f>
        <v/>
      </c>
      <c r="BR352" s="120" t="b">
        <f t="shared" si="27"/>
        <v>1</v>
      </c>
      <c r="BS352" s="121"/>
      <c r="BT352" s="138" t="s">
        <v>52</v>
      </c>
      <c r="BU352" s="10" t="b">
        <f t="shared" si="28"/>
        <v>1</v>
      </c>
      <c r="BV352" s="120"/>
      <c r="BW352" s="120"/>
      <c r="BX352" s="120"/>
      <c r="BY352" s="120"/>
      <c r="BZ352" s="120"/>
      <c r="CA352" s="120"/>
      <c r="CB352" s="120"/>
      <c r="CC352" s="120"/>
    </row>
    <row r="353">
      <c r="A353" s="2" t="s">
        <v>1135</v>
      </c>
      <c r="B353" s="100">
        <v>44599.0</v>
      </c>
      <c r="C353" s="101">
        <v>0.3376736111111111</v>
      </c>
      <c r="D353" s="102"/>
      <c r="E353" s="102"/>
      <c r="F353" s="102"/>
      <c r="G353" s="102"/>
      <c r="H353" s="102"/>
      <c r="I353" s="103"/>
      <c r="J353" s="103"/>
      <c r="K353" s="2" t="s">
        <v>244</v>
      </c>
      <c r="L353" s="100">
        <v>44599.0</v>
      </c>
      <c r="M353" s="101">
        <v>0.4875462962962963</v>
      </c>
      <c r="P353" s="104" t="b">
        <f>IFNA(IF(VLOOKUP($A353,'Add from APT'!$AA$2:$AC826,3,FALSE)&gt;0,TRUE,FALSE),"ER - NOT IN APT")</f>
        <v>0</v>
      </c>
      <c r="Q353" s="105" t="str">
        <f>IF(ISLOGICAL(P353),IF(P353,"ER - REPS IN APT", IFNA(VLOOKUP($A353,RAW_APT!$A$3:$M826,7,FALSE),"ER - NOT IN APT")),P353)</f>
        <v>Result</v>
      </c>
      <c r="R353" s="106" t="b">
        <f t="shared" si="2"/>
        <v>1</v>
      </c>
      <c r="S353" s="107">
        <f t="shared" si="3"/>
        <v>1</v>
      </c>
      <c r="T353" s="143"/>
      <c r="U353" s="142"/>
      <c r="V353" s="142"/>
      <c r="W353" s="141"/>
      <c r="X353" s="110" t="b">
        <f t="shared" si="4"/>
        <v>0</v>
      </c>
      <c r="Y353" s="111" t="b">
        <v>0</v>
      </c>
      <c r="Z353" s="104" t="str">
        <f t="shared" si="5"/>
        <v/>
      </c>
      <c r="AA353" s="112" t="b">
        <f t="shared" si="6"/>
        <v>0</v>
      </c>
      <c r="AB353" s="142" t="b">
        <v>0</v>
      </c>
      <c r="AC353" s="140">
        <v>455.0</v>
      </c>
      <c r="AD353" s="141" t="b">
        <v>0</v>
      </c>
      <c r="AE353" s="115">
        <f t="shared" si="7"/>
        <v>215.8166667</v>
      </c>
      <c r="AF353" s="116" t="b">
        <f t="shared" si="8"/>
        <v>0</v>
      </c>
      <c r="AG353" s="105" t="b">
        <f t="shared" si="9"/>
        <v>0</v>
      </c>
      <c r="AH353" s="140"/>
      <c r="AI353" s="140"/>
      <c r="AJ353" s="140"/>
      <c r="AK353" s="117" t="str">
        <f t="shared" si="10"/>
        <v>Negative</v>
      </c>
      <c r="AL353" s="142"/>
      <c r="AM353" s="112" t="s">
        <v>307</v>
      </c>
      <c r="AN353" s="112" t="s">
        <v>266</v>
      </c>
      <c r="AO353" s="112" t="str">
        <f>IFERROR(__xludf.DUMMYFUNCTION("IF($AG353, ""DELETED"",TRIM(JOIN("" "",D353:E353)))"),"")</f>
        <v/>
      </c>
      <c r="AP353" s="112" t="str">
        <f t="shared" ref="AP353:AQ353" si="378">IF($AG353, "DELETED", TRIM(CONCATENATE(F353,I353,U353)))</f>
        <v/>
      </c>
      <c r="AQ353" s="112" t="str">
        <f t="shared" si="378"/>
        <v/>
      </c>
      <c r="AR353" s="112" t="str">
        <f>IFERROR(__xludf.DUMMYFUNCTION("IF($AG353, ""DELETED"", TRIM(JOIN("" "",AP353,AQ353)))"),"")</f>
        <v/>
      </c>
      <c r="AS353" s="118"/>
      <c r="AT353" s="110" t="b">
        <f t="shared" si="12"/>
        <v>0</v>
      </c>
      <c r="AU353" s="110" t="str">
        <f t="shared" si="13"/>
        <v/>
      </c>
      <c r="AV353" s="110" t="str">
        <f t="shared" si="14"/>
        <v/>
      </c>
      <c r="AW353" s="110" t="str">
        <f t="shared" si="15"/>
        <v/>
      </c>
      <c r="AX353" s="119" t="str">
        <f t="shared" si="16"/>
        <v/>
      </c>
      <c r="AY353" s="120"/>
      <c r="AZ353" s="121"/>
      <c r="BA353" s="122" t="str">
        <f t="shared" si="17"/>
        <v/>
      </c>
      <c r="BB353" s="34"/>
      <c r="BC353" s="121"/>
      <c r="BD353" s="136"/>
      <c r="BE353" s="125" t="str">
        <f t="shared" si="18"/>
        <v/>
      </c>
      <c r="BF353" s="126" t="str">
        <f t="shared" si="19"/>
        <v>MA423__44599_0.337673611111111</v>
      </c>
      <c r="BG353" s="127" t="str">
        <f t="shared" si="20"/>
        <v/>
      </c>
      <c r="BH353" s="137" t="s">
        <v>1136</v>
      </c>
      <c r="BI353" s="128" t="str">
        <f t="shared" si="21"/>
        <v>MA1123</v>
      </c>
      <c r="BJ353" s="129" t="b">
        <f t="shared" si="22"/>
        <v>0</v>
      </c>
      <c r="BK353" s="128" t="str">
        <f t="shared" si="23"/>
        <v/>
      </c>
      <c r="BL353" s="121"/>
      <c r="BM353" s="5" t="str">
        <f t="shared" si="24"/>
        <v>MISSING</v>
      </c>
      <c r="BN353" s="120" t="b">
        <f t="shared" si="25"/>
        <v>0</v>
      </c>
      <c r="BO353" s="131" t="b">
        <f t="shared" si="26"/>
        <v>1</v>
      </c>
      <c r="BP353" s="121"/>
      <c r="BQ353" s="132" t="str">
        <f>VLOOKUP(A353,RAW_APS!A$3:O826,15,FALSE)</f>
        <v/>
      </c>
      <c r="BR353" s="120" t="b">
        <f t="shared" si="27"/>
        <v>1</v>
      </c>
      <c r="BS353" s="121"/>
      <c r="BT353" s="138" t="s">
        <v>244</v>
      </c>
      <c r="BU353" s="10" t="b">
        <f t="shared" si="28"/>
        <v>1</v>
      </c>
      <c r="BV353" s="120"/>
      <c r="BW353" s="120"/>
      <c r="BX353" s="120"/>
      <c r="BY353" s="120"/>
      <c r="BZ353" s="120"/>
      <c r="CA353" s="120"/>
      <c r="CB353" s="120"/>
      <c r="CC353" s="120"/>
    </row>
    <row r="354">
      <c r="A354" s="2" t="s">
        <v>1137</v>
      </c>
      <c r="B354" s="100">
        <v>44599.0</v>
      </c>
      <c r="C354" s="101">
        <v>0.34703703703703703</v>
      </c>
      <c r="D354" s="102"/>
      <c r="E354" s="102"/>
      <c r="F354" s="102"/>
      <c r="G354" s="102"/>
      <c r="H354" s="102"/>
      <c r="I354" s="103"/>
      <c r="J354" s="103"/>
      <c r="K354" s="2" t="s">
        <v>244</v>
      </c>
      <c r="L354" s="100">
        <v>44599.0</v>
      </c>
      <c r="M354" s="101">
        <v>0.4875462962962963</v>
      </c>
      <c r="P354" s="104" t="b">
        <f>IFNA(IF(VLOOKUP($A354,'Add from APT'!$AA$2:$AC826,3,FALSE)&gt;0,TRUE,FALSE),"ER - NOT IN APT")</f>
        <v>0</v>
      </c>
      <c r="Q354" s="105" t="str">
        <f>IF(ISLOGICAL(P354),IF(P354,"ER - REPS IN APT", IFNA(VLOOKUP($A354,RAW_APT!$A$3:$M826,7,FALSE),"ER - NOT IN APT")),P354)</f>
        <v>Result</v>
      </c>
      <c r="R354" s="106" t="b">
        <f t="shared" si="2"/>
        <v>1</v>
      </c>
      <c r="S354" s="107">
        <f t="shared" si="3"/>
        <v>1</v>
      </c>
      <c r="T354" s="143"/>
      <c r="U354" s="142"/>
      <c r="V354" s="142"/>
      <c r="W354" s="142"/>
      <c r="X354" s="110" t="b">
        <f t="shared" si="4"/>
        <v>0</v>
      </c>
      <c r="Y354" s="111" t="b">
        <v>0</v>
      </c>
      <c r="Z354" s="104" t="str">
        <f t="shared" si="5"/>
        <v/>
      </c>
      <c r="AA354" s="112" t="b">
        <f t="shared" si="6"/>
        <v>0</v>
      </c>
      <c r="AB354" s="142" t="b">
        <v>0</v>
      </c>
      <c r="AC354" s="140">
        <v>454.0</v>
      </c>
      <c r="AD354" s="141" t="b">
        <v>0</v>
      </c>
      <c r="AE354" s="115">
        <f t="shared" si="7"/>
        <v>202.3333333</v>
      </c>
      <c r="AF354" s="116" t="b">
        <f t="shared" si="8"/>
        <v>0</v>
      </c>
      <c r="AG354" s="105" t="b">
        <f t="shared" si="9"/>
        <v>0</v>
      </c>
      <c r="AH354" s="140"/>
      <c r="AI354" s="140"/>
      <c r="AJ354" s="140"/>
      <c r="AK354" s="117" t="str">
        <f t="shared" si="10"/>
        <v>Negative</v>
      </c>
      <c r="AL354" s="142"/>
      <c r="AM354" s="112" t="s">
        <v>287</v>
      </c>
      <c r="AN354" s="112" t="s">
        <v>288</v>
      </c>
      <c r="AO354" s="112" t="str">
        <f>IFERROR(__xludf.DUMMYFUNCTION("IF($AG354, ""DELETED"",TRIM(JOIN("" "",D354:E354)))"),"")</f>
        <v/>
      </c>
      <c r="AP354" s="112" t="str">
        <f t="shared" ref="AP354:AQ354" si="379">IF($AG354, "DELETED", TRIM(CONCATENATE(F354,I354,U354)))</f>
        <v/>
      </c>
      <c r="AQ354" s="112" t="str">
        <f t="shared" si="379"/>
        <v/>
      </c>
      <c r="AR354" s="112" t="str">
        <f>IFERROR(__xludf.DUMMYFUNCTION("IF($AG354, ""DELETED"", TRIM(JOIN("" "",AP354,AQ354)))"),"")</f>
        <v/>
      </c>
      <c r="AS354" s="118"/>
      <c r="AT354" s="110" t="b">
        <f t="shared" si="12"/>
        <v>0</v>
      </c>
      <c r="AU354" s="110" t="str">
        <f t="shared" si="13"/>
        <v/>
      </c>
      <c r="AV354" s="110" t="str">
        <f t="shared" si="14"/>
        <v/>
      </c>
      <c r="AW354" s="110" t="str">
        <f t="shared" si="15"/>
        <v/>
      </c>
      <c r="AX354" s="119" t="str">
        <f t="shared" si="16"/>
        <v/>
      </c>
      <c r="AY354" s="120"/>
      <c r="AZ354" s="121"/>
      <c r="BA354" s="122" t="str">
        <f t="shared" si="17"/>
        <v/>
      </c>
      <c r="BB354" s="34"/>
      <c r="BC354" s="121"/>
      <c r="BD354" s="136"/>
      <c r="BE354" s="125" t="str">
        <f t="shared" si="18"/>
        <v/>
      </c>
      <c r="BF354" s="126" t="str">
        <f t="shared" si="19"/>
        <v>MA1229__44599_0.347037037037037</v>
      </c>
      <c r="BG354" s="127" t="str">
        <f t="shared" si="20"/>
        <v/>
      </c>
      <c r="BH354" s="137" t="s">
        <v>1138</v>
      </c>
      <c r="BI354" s="128" t="str">
        <f t="shared" si="21"/>
        <v>MA1124</v>
      </c>
      <c r="BJ354" s="129" t="b">
        <f t="shared" si="22"/>
        <v>0</v>
      </c>
      <c r="BK354" s="128" t="str">
        <f t="shared" si="23"/>
        <v/>
      </c>
      <c r="BL354" s="121"/>
      <c r="BM354" s="5" t="str">
        <f t="shared" si="24"/>
        <v>MISSING</v>
      </c>
      <c r="BN354" s="120" t="b">
        <f t="shared" si="25"/>
        <v>0</v>
      </c>
      <c r="BO354" s="131" t="b">
        <f t="shared" si="26"/>
        <v>1</v>
      </c>
      <c r="BP354" s="121"/>
      <c r="BQ354" s="132" t="str">
        <f>VLOOKUP(A354,RAW_APS!A$3:O826,15,FALSE)</f>
        <v/>
      </c>
      <c r="BR354" s="120" t="b">
        <f t="shared" si="27"/>
        <v>1</v>
      </c>
      <c r="BS354" s="121"/>
      <c r="BT354" s="138" t="s">
        <v>244</v>
      </c>
      <c r="BU354" s="10" t="b">
        <f t="shared" si="28"/>
        <v>1</v>
      </c>
      <c r="BV354" s="120"/>
      <c r="BW354" s="120"/>
      <c r="BX354" s="120"/>
      <c r="BY354" s="120"/>
      <c r="BZ354" s="120"/>
      <c r="CA354" s="120"/>
      <c r="CB354" s="120"/>
      <c r="CC354" s="120"/>
    </row>
    <row r="355">
      <c r="A355" s="2" t="s">
        <v>1139</v>
      </c>
      <c r="B355" s="100">
        <v>44599.0</v>
      </c>
      <c r="C355" s="101">
        <v>0.4626388888888889</v>
      </c>
      <c r="D355" s="102"/>
      <c r="E355" s="102"/>
      <c r="F355" s="139"/>
      <c r="G355" s="139"/>
      <c r="H355" s="139"/>
      <c r="I355" s="103"/>
      <c r="J355" s="103"/>
      <c r="K355" s="2" t="s">
        <v>244</v>
      </c>
      <c r="L355" s="100">
        <v>44599.0</v>
      </c>
      <c r="M355" s="101">
        <v>0.4875462962962963</v>
      </c>
      <c r="P355" s="104" t="b">
        <f>IFNA(IF(VLOOKUP($A355,'Add from APT'!$AA$2:$AC826,3,FALSE)&gt;0,TRUE,FALSE),"ER - NOT IN APT")</f>
        <v>0</v>
      </c>
      <c r="Q355" s="105" t="str">
        <f>IF(ISLOGICAL(P355),IF(P355,"ER - REPS IN APT", IFNA(VLOOKUP($A355,RAW_APT!$A$3:$M826,7,FALSE),"ER - NOT IN APT")),P355)</f>
        <v>Result</v>
      </c>
      <c r="R355" s="106" t="b">
        <f t="shared" si="2"/>
        <v>1</v>
      </c>
      <c r="S355" s="107">
        <f t="shared" si="3"/>
        <v>1</v>
      </c>
      <c r="T355" s="140">
        <v>0.0</v>
      </c>
      <c r="U355" s="141"/>
      <c r="V355" s="141"/>
      <c r="W355" s="141"/>
      <c r="X355" s="110" t="b">
        <f t="shared" si="4"/>
        <v>0</v>
      </c>
      <c r="Y355" s="111" t="b">
        <v>0</v>
      </c>
      <c r="Z355" s="104" t="str">
        <f t="shared" si="5"/>
        <v/>
      </c>
      <c r="AA355" s="112" t="b">
        <f t="shared" si="6"/>
        <v>0</v>
      </c>
      <c r="AB355" s="142" t="b">
        <v>0</v>
      </c>
      <c r="AC355" s="140">
        <v>453.0</v>
      </c>
      <c r="AD355" s="141" t="b">
        <v>0</v>
      </c>
      <c r="AE355" s="115">
        <f t="shared" si="7"/>
        <v>35.86666667</v>
      </c>
      <c r="AF355" s="116" t="b">
        <f t="shared" si="8"/>
        <v>0</v>
      </c>
      <c r="AG355" s="105" t="b">
        <f t="shared" si="9"/>
        <v>0</v>
      </c>
      <c r="AH355" s="140"/>
      <c r="AI355" s="140"/>
      <c r="AJ355" s="140"/>
      <c r="AK355" s="117" t="str">
        <f t="shared" si="10"/>
        <v>Negative</v>
      </c>
      <c r="AL355" s="142"/>
      <c r="AM355" s="112" t="s">
        <v>261</v>
      </c>
      <c r="AN355" s="112" t="s">
        <v>1140</v>
      </c>
      <c r="AO355" s="112" t="str">
        <f>IFERROR(__xludf.DUMMYFUNCTION("IF($AG355, ""DELETED"",TRIM(JOIN("" "",D355:E355)))"),"")</f>
        <v/>
      </c>
      <c r="AP355" s="112" t="str">
        <f t="shared" ref="AP355:AQ355" si="380">IF($AG355, "DELETED", TRIM(CONCATENATE(F355,I355,U355)))</f>
        <v/>
      </c>
      <c r="AQ355" s="112" t="str">
        <f t="shared" si="380"/>
        <v/>
      </c>
      <c r="AR355" s="112" t="str">
        <f>IFERROR(__xludf.DUMMYFUNCTION("IF($AG355, ""DELETED"", TRIM(JOIN("" "",AP355,AQ355)))"),"")</f>
        <v/>
      </c>
      <c r="AS355" s="118"/>
      <c r="AT355" s="110" t="b">
        <f t="shared" si="12"/>
        <v>0</v>
      </c>
      <c r="AU355" s="110" t="str">
        <f t="shared" si="13"/>
        <v/>
      </c>
      <c r="AV355" s="110" t="str">
        <f t="shared" si="14"/>
        <v/>
      </c>
      <c r="AW355" s="110" t="str">
        <f t="shared" si="15"/>
        <v/>
      </c>
      <c r="AX355" s="119" t="str">
        <f t="shared" si="16"/>
        <v/>
      </c>
      <c r="AY355" s="120"/>
      <c r="AZ355" s="121"/>
      <c r="BA355" s="122" t="str">
        <f t="shared" si="17"/>
        <v/>
      </c>
      <c r="BB355" s="34"/>
      <c r="BC355" s="121"/>
      <c r="BD355" s="136"/>
      <c r="BE355" s="125" t="str">
        <f t="shared" si="18"/>
        <v/>
      </c>
      <c r="BF355" s="126" t="str">
        <f t="shared" si="19"/>
        <v>MA424__44599_0.462638888888889</v>
      </c>
      <c r="BG355" s="127" t="str">
        <f t="shared" si="20"/>
        <v/>
      </c>
      <c r="BH355" s="137" t="s">
        <v>1141</v>
      </c>
      <c r="BI355" s="128" t="str">
        <f t="shared" si="21"/>
        <v>MA1127</v>
      </c>
      <c r="BJ355" s="129" t="b">
        <f t="shared" si="22"/>
        <v>0</v>
      </c>
      <c r="BK355" s="128" t="str">
        <f t="shared" si="23"/>
        <v/>
      </c>
      <c r="BL355" s="121"/>
      <c r="BM355" s="5" t="str">
        <f t="shared" si="24"/>
        <v>MISSING</v>
      </c>
      <c r="BN355" s="120" t="b">
        <f t="shared" si="25"/>
        <v>0</v>
      </c>
      <c r="BO355" s="131" t="b">
        <f t="shared" si="26"/>
        <v>1</v>
      </c>
      <c r="BP355" s="121"/>
      <c r="BQ355" s="132" t="str">
        <f>VLOOKUP(A355,RAW_APS!A$3:O826,15,FALSE)</f>
        <v/>
      </c>
      <c r="BR355" s="120" t="b">
        <f t="shared" si="27"/>
        <v>1</v>
      </c>
      <c r="BS355" s="121"/>
      <c r="BT355" s="138" t="s">
        <v>244</v>
      </c>
      <c r="BU355" s="10" t="b">
        <f t="shared" si="28"/>
        <v>1</v>
      </c>
      <c r="BV355" s="120"/>
      <c r="BW355" s="120"/>
      <c r="BX355" s="120"/>
      <c r="BY355" s="120"/>
      <c r="BZ355" s="120"/>
      <c r="CA355" s="120"/>
      <c r="CB355" s="120"/>
      <c r="CC355" s="120"/>
    </row>
    <row r="356">
      <c r="A356" s="2" t="s">
        <v>1142</v>
      </c>
      <c r="B356" s="100">
        <v>44599.0</v>
      </c>
      <c r="C356" s="101">
        <v>0.46304398148148146</v>
      </c>
      <c r="D356" s="102"/>
      <c r="E356" s="102"/>
      <c r="F356" s="139"/>
      <c r="G356" s="139"/>
      <c r="H356" s="139"/>
      <c r="I356" s="103"/>
      <c r="J356" s="103"/>
      <c r="K356" s="2" t="s">
        <v>244</v>
      </c>
      <c r="L356" s="100">
        <v>44599.0</v>
      </c>
      <c r="M356" s="101">
        <v>0.4875462962962963</v>
      </c>
      <c r="P356" s="104" t="b">
        <f>IFNA(IF(VLOOKUP($A356,'Add from APT'!$AA$2:$AC826,3,FALSE)&gt;0,TRUE,FALSE),"ER - NOT IN APT")</f>
        <v>0</v>
      </c>
      <c r="Q356" s="105" t="str">
        <f>IF(ISLOGICAL(P356),IF(P356,"ER - REPS IN APT", IFNA(VLOOKUP($A356,RAW_APT!$A$3:$M826,7,FALSE),"ER - NOT IN APT")),P356)</f>
        <v>Result</v>
      </c>
      <c r="R356" s="106" t="b">
        <f t="shared" si="2"/>
        <v>1</v>
      </c>
      <c r="S356" s="107">
        <f t="shared" si="3"/>
        <v>1</v>
      </c>
      <c r="T356" s="140">
        <v>0.0</v>
      </c>
      <c r="U356" s="141"/>
      <c r="V356" s="141"/>
      <c r="W356" s="141"/>
      <c r="X356" s="110" t="b">
        <f t="shared" si="4"/>
        <v>0</v>
      </c>
      <c r="Y356" s="111" t="b">
        <v>0</v>
      </c>
      <c r="Z356" s="104" t="str">
        <f t="shared" si="5"/>
        <v/>
      </c>
      <c r="AA356" s="112" t="b">
        <f t="shared" si="6"/>
        <v>0</v>
      </c>
      <c r="AB356" s="142" t="b">
        <v>0</v>
      </c>
      <c r="AC356" s="140">
        <v>452.0</v>
      </c>
      <c r="AD356" s="141" t="b">
        <v>0</v>
      </c>
      <c r="AE356" s="115">
        <f t="shared" si="7"/>
        <v>35.28333333</v>
      </c>
      <c r="AF356" s="116" t="b">
        <f t="shared" si="8"/>
        <v>0</v>
      </c>
      <c r="AG356" s="105" t="b">
        <f t="shared" si="9"/>
        <v>0</v>
      </c>
      <c r="AH356" s="140"/>
      <c r="AI356" s="140"/>
      <c r="AJ356" s="140"/>
      <c r="AK356" s="117" t="str">
        <f t="shared" si="10"/>
        <v>Negative</v>
      </c>
      <c r="AL356" s="142"/>
      <c r="AM356" s="112" t="s">
        <v>261</v>
      </c>
      <c r="AN356" s="112" t="s">
        <v>1143</v>
      </c>
      <c r="AO356" s="112" t="str">
        <f>IFERROR(__xludf.DUMMYFUNCTION("IF($AG356, ""DELETED"",TRIM(JOIN("" "",D356:E356)))"),"")</f>
        <v/>
      </c>
      <c r="AP356" s="112" t="str">
        <f t="shared" ref="AP356:AQ356" si="381">IF($AG356, "DELETED", TRIM(CONCATENATE(F356,I356,U356)))</f>
        <v/>
      </c>
      <c r="AQ356" s="112" t="str">
        <f t="shared" si="381"/>
        <v/>
      </c>
      <c r="AR356" s="112" t="str">
        <f>IFERROR(__xludf.DUMMYFUNCTION("IF($AG356, ""DELETED"", TRIM(JOIN("" "",AP356,AQ356)))"),"")</f>
        <v/>
      </c>
      <c r="AS356" s="118"/>
      <c r="AT356" s="110" t="b">
        <f t="shared" si="12"/>
        <v>0</v>
      </c>
      <c r="AU356" s="110" t="str">
        <f t="shared" si="13"/>
        <v/>
      </c>
      <c r="AV356" s="110" t="str">
        <f t="shared" si="14"/>
        <v/>
      </c>
      <c r="AW356" s="110" t="str">
        <f t="shared" si="15"/>
        <v/>
      </c>
      <c r="AX356" s="119" t="str">
        <f t="shared" si="16"/>
        <v/>
      </c>
      <c r="AY356" s="120"/>
      <c r="AZ356" s="121"/>
      <c r="BA356" s="122" t="str">
        <f t="shared" si="17"/>
        <v/>
      </c>
      <c r="BB356" s="34"/>
      <c r="BC356" s="121"/>
      <c r="BD356" s="136"/>
      <c r="BE356" s="125" t="str">
        <f t="shared" si="18"/>
        <v/>
      </c>
      <c r="BF356" s="126" t="str">
        <f t="shared" si="19"/>
        <v>MA659__44599_0.463043981481481</v>
      </c>
      <c r="BG356" s="127" t="str">
        <f t="shared" si="20"/>
        <v/>
      </c>
      <c r="BH356" s="137" t="s">
        <v>1144</v>
      </c>
      <c r="BI356" s="128" t="str">
        <f t="shared" si="21"/>
        <v>MA1128</v>
      </c>
      <c r="BJ356" s="129" t="b">
        <f t="shared" si="22"/>
        <v>0</v>
      </c>
      <c r="BK356" s="128" t="str">
        <f t="shared" si="23"/>
        <v/>
      </c>
      <c r="BL356" s="121"/>
      <c r="BM356" s="5" t="str">
        <f t="shared" si="24"/>
        <v>MISSING</v>
      </c>
      <c r="BN356" s="120" t="b">
        <f t="shared" si="25"/>
        <v>0</v>
      </c>
      <c r="BO356" s="131" t="b">
        <f t="shared" si="26"/>
        <v>1</v>
      </c>
      <c r="BP356" s="121"/>
      <c r="BQ356" s="132" t="str">
        <f>VLOOKUP(A356,RAW_APS!A$3:O826,15,FALSE)</f>
        <v/>
      </c>
      <c r="BR356" s="120" t="b">
        <f t="shared" si="27"/>
        <v>1</v>
      </c>
      <c r="BS356" s="121"/>
      <c r="BT356" s="138" t="s">
        <v>244</v>
      </c>
      <c r="BU356" s="10" t="b">
        <f t="shared" si="28"/>
        <v>1</v>
      </c>
      <c r="BV356" s="120"/>
      <c r="BW356" s="120"/>
      <c r="BX356" s="120"/>
      <c r="BY356" s="120"/>
      <c r="BZ356" s="120"/>
      <c r="CA356" s="120"/>
      <c r="CB356" s="120"/>
      <c r="CC356" s="120"/>
    </row>
    <row r="357">
      <c r="A357" s="2" t="s">
        <v>1145</v>
      </c>
      <c r="B357" s="100">
        <v>44599.0</v>
      </c>
      <c r="C357" s="101">
        <v>0.47069444444444447</v>
      </c>
      <c r="D357" s="102"/>
      <c r="E357" s="102"/>
      <c r="F357" s="102"/>
      <c r="G357" s="102"/>
      <c r="H357" s="102"/>
      <c r="I357" s="103"/>
      <c r="J357" s="103"/>
      <c r="K357" s="2" t="s">
        <v>244</v>
      </c>
      <c r="L357" s="100">
        <v>44599.0</v>
      </c>
      <c r="M357" s="101">
        <v>0.4875462962962963</v>
      </c>
      <c r="P357" s="104" t="b">
        <f>IFNA(IF(VLOOKUP($A357,'Add from APT'!$AA$2:$AC826,3,FALSE)&gt;0,TRUE,FALSE),"ER - NOT IN APT")</f>
        <v>0</v>
      </c>
      <c r="Q357" s="105" t="str">
        <f>IF(ISLOGICAL(P357),IF(P357,"ER - REPS IN APT", IFNA(VLOOKUP($A357,RAW_APT!$A$3:$M826,7,FALSE),"ER - NOT IN APT")),P357)</f>
        <v>Result</v>
      </c>
      <c r="R357" s="106" t="b">
        <f t="shared" si="2"/>
        <v>1</v>
      </c>
      <c r="S357" s="107">
        <f t="shared" si="3"/>
        <v>1</v>
      </c>
      <c r="T357" s="143"/>
      <c r="U357" s="142"/>
      <c r="V357" s="142"/>
      <c r="W357" s="142"/>
      <c r="X357" s="110" t="b">
        <f t="shared" si="4"/>
        <v>0</v>
      </c>
      <c r="Y357" s="111" t="b">
        <v>0</v>
      </c>
      <c r="Z357" s="104" t="str">
        <f t="shared" si="5"/>
        <v/>
      </c>
      <c r="AA357" s="112" t="b">
        <f t="shared" si="6"/>
        <v>0</v>
      </c>
      <c r="AB357" s="142" t="b">
        <v>0</v>
      </c>
      <c r="AC357" s="140">
        <v>451.0</v>
      </c>
      <c r="AD357" s="141" t="b">
        <v>0</v>
      </c>
      <c r="AE357" s="115">
        <f t="shared" si="7"/>
        <v>24.26666667</v>
      </c>
      <c r="AF357" s="116" t="b">
        <f t="shared" si="8"/>
        <v>0</v>
      </c>
      <c r="AG357" s="105" t="b">
        <f t="shared" si="9"/>
        <v>0</v>
      </c>
      <c r="AH357" s="140"/>
      <c r="AI357" s="140"/>
      <c r="AJ357" s="140"/>
      <c r="AK357" s="117" t="str">
        <f t="shared" si="10"/>
        <v>Negative</v>
      </c>
      <c r="AL357" s="142"/>
      <c r="AM357" s="112" t="s">
        <v>261</v>
      </c>
      <c r="AN357" s="112" t="s">
        <v>300</v>
      </c>
      <c r="AO357" s="112" t="str">
        <f>IFERROR(__xludf.DUMMYFUNCTION("IF($AG357, ""DELETED"",TRIM(JOIN("" "",D357:E357)))"),"")</f>
        <v/>
      </c>
      <c r="AP357" s="112" t="str">
        <f t="shared" ref="AP357:AQ357" si="382">IF($AG357, "DELETED", TRIM(CONCATENATE(F357,I357,U357)))</f>
        <v/>
      </c>
      <c r="AQ357" s="112" t="str">
        <f t="shared" si="382"/>
        <v/>
      </c>
      <c r="AR357" s="112" t="str">
        <f>IFERROR(__xludf.DUMMYFUNCTION("IF($AG357, ""DELETED"", TRIM(JOIN("" "",AP357,AQ357)))"),"")</f>
        <v/>
      </c>
      <c r="AS357" s="118"/>
      <c r="AT357" s="110" t="b">
        <f t="shared" si="12"/>
        <v>0</v>
      </c>
      <c r="AU357" s="110" t="str">
        <f t="shared" si="13"/>
        <v/>
      </c>
      <c r="AV357" s="110" t="str">
        <f t="shared" si="14"/>
        <v/>
      </c>
      <c r="AW357" s="110" t="str">
        <f t="shared" si="15"/>
        <v/>
      </c>
      <c r="AX357" s="119" t="str">
        <f t="shared" si="16"/>
        <v/>
      </c>
      <c r="AY357" s="120"/>
      <c r="AZ357" s="121"/>
      <c r="BA357" s="122" t="str">
        <f t="shared" si="17"/>
        <v/>
      </c>
      <c r="BB357" s="34"/>
      <c r="BC357" s="121"/>
      <c r="BD357" s="136"/>
      <c r="BE357" s="125" t="str">
        <f t="shared" si="18"/>
        <v/>
      </c>
      <c r="BF357" s="126" t="str">
        <f t="shared" si="19"/>
        <v>MA426__44599_0.470694444444445</v>
      </c>
      <c r="BG357" s="127" t="str">
        <f t="shared" si="20"/>
        <v/>
      </c>
      <c r="BH357" s="137" t="s">
        <v>1146</v>
      </c>
      <c r="BI357" s="128" t="str">
        <f t="shared" si="21"/>
        <v>MA1131</v>
      </c>
      <c r="BJ357" s="129" t="b">
        <f t="shared" si="22"/>
        <v>0</v>
      </c>
      <c r="BK357" s="128" t="str">
        <f t="shared" si="23"/>
        <v/>
      </c>
      <c r="BL357" s="121"/>
      <c r="BM357" s="5" t="str">
        <f t="shared" si="24"/>
        <v>MISSING</v>
      </c>
      <c r="BN357" s="120" t="b">
        <f t="shared" si="25"/>
        <v>0</v>
      </c>
      <c r="BO357" s="131" t="b">
        <f t="shared" si="26"/>
        <v>1</v>
      </c>
      <c r="BP357" s="121"/>
      <c r="BQ357" s="132" t="str">
        <f>VLOOKUP(A357,RAW_APS!A$3:O826,15,FALSE)</f>
        <v/>
      </c>
      <c r="BR357" s="120" t="b">
        <f t="shared" si="27"/>
        <v>1</v>
      </c>
      <c r="BS357" s="121"/>
      <c r="BT357" s="138" t="s">
        <v>244</v>
      </c>
      <c r="BU357" s="10" t="b">
        <f t="shared" si="28"/>
        <v>1</v>
      </c>
      <c r="BV357" s="120"/>
      <c r="BW357" s="120"/>
      <c r="BX357" s="120"/>
      <c r="BY357" s="120"/>
      <c r="BZ357" s="120"/>
      <c r="CA357" s="120"/>
      <c r="CB357" s="120"/>
      <c r="CC357" s="120"/>
    </row>
    <row r="358">
      <c r="A358" s="2" t="s">
        <v>1147</v>
      </c>
      <c r="B358" s="100">
        <v>44601.0</v>
      </c>
      <c r="C358" s="101">
        <v>0.26310185185185186</v>
      </c>
      <c r="D358" s="102"/>
      <c r="E358" s="102"/>
      <c r="F358" s="102"/>
      <c r="G358" s="102"/>
      <c r="H358" s="102"/>
      <c r="I358" s="103"/>
      <c r="J358" s="103"/>
      <c r="K358" s="2" t="s">
        <v>244</v>
      </c>
      <c r="L358" s="100">
        <v>44601.0</v>
      </c>
      <c r="M358" s="101">
        <v>0.48202546296296295</v>
      </c>
      <c r="P358" s="104" t="b">
        <f>IFNA(IF(VLOOKUP($A358,'Add from APT'!$AA$2:$AC826,3,FALSE)&gt;0,TRUE,FALSE),"ER - NOT IN APT")</f>
        <v>0</v>
      </c>
      <c r="Q358" s="105" t="str">
        <f>IF(ISLOGICAL(P358),IF(P358,"ER - REPS IN APT", IFNA(VLOOKUP($A358,RAW_APT!$A$3:$M826,7,FALSE),"ER - NOT IN APT")),P358)</f>
        <v>Result</v>
      </c>
      <c r="R358" s="106" t="b">
        <f t="shared" si="2"/>
        <v>1</v>
      </c>
      <c r="S358" s="107">
        <f t="shared" si="3"/>
        <v>1</v>
      </c>
      <c r="T358" s="143"/>
      <c r="U358" s="142"/>
      <c r="V358" s="142"/>
      <c r="W358" s="142"/>
      <c r="X358" s="110" t="b">
        <f t="shared" si="4"/>
        <v>0</v>
      </c>
      <c r="Y358" s="111" t="b">
        <v>0</v>
      </c>
      <c r="Z358" s="104" t="str">
        <f t="shared" si="5"/>
        <v/>
      </c>
      <c r="AA358" s="112" t="b">
        <f t="shared" si="6"/>
        <v>0</v>
      </c>
      <c r="AB358" s="142" t="b">
        <v>0</v>
      </c>
      <c r="AC358" s="140">
        <v>450.0</v>
      </c>
      <c r="AD358" s="141" t="b">
        <v>0</v>
      </c>
      <c r="AE358" s="115">
        <f t="shared" si="7"/>
        <v>315.25</v>
      </c>
      <c r="AF358" s="116" t="b">
        <f t="shared" si="8"/>
        <v>0</v>
      </c>
      <c r="AG358" s="105" t="b">
        <f t="shared" si="9"/>
        <v>0</v>
      </c>
      <c r="AH358" s="140"/>
      <c r="AI358" s="140"/>
      <c r="AJ358" s="140"/>
      <c r="AK358" s="117" t="str">
        <f t="shared" si="10"/>
        <v>Negative</v>
      </c>
      <c r="AL358" s="142"/>
      <c r="AM358" s="112" t="s">
        <v>850</v>
      </c>
      <c r="AN358" s="112" t="s">
        <v>851</v>
      </c>
      <c r="AO358" s="112" t="str">
        <f>IFERROR(__xludf.DUMMYFUNCTION("IF($AG358, ""DELETED"",TRIM(JOIN("" "",D358:E358)))"),"")</f>
        <v/>
      </c>
      <c r="AP358" s="112" t="str">
        <f t="shared" ref="AP358:AQ358" si="383">IF($AG358, "DELETED", TRIM(CONCATENATE(F358,I358,U358)))</f>
        <v/>
      </c>
      <c r="AQ358" s="112" t="str">
        <f t="shared" si="383"/>
        <v/>
      </c>
      <c r="AR358" s="112" t="str">
        <f>IFERROR(__xludf.DUMMYFUNCTION("IF($AG358, ""DELETED"", TRIM(JOIN("" "",AP358,AQ358)))"),"")</f>
        <v/>
      </c>
      <c r="AS358" s="118"/>
      <c r="AT358" s="110" t="b">
        <f t="shared" si="12"/>
        <v>0</v>
      </c>
      <c r="AU358" s="110" t="str">
        <f t="shared" si="13"/>
        <v/>
      </c>
      <c r="AV358" s="110" t="str">
        <f t="shared" si="14"/>
        <v/>
      </c>
      <c r="AW358" s="110" t="str">
        <f t="shared" si="15"/>
        <v/>
      </c>
      <c r="AX358" s="119" t="str">
        <f t="shared" si="16"/>
        <v/>
      </c>
      <c r="AY358" s="120"/>
      <c r="AZ358" s="121"/>
      <c r="BA358" s="122" t="str">
        <f t="shared" si="17"/>
        <v/>
      </c>
      <c r="BB358" s="34"/>
      <c r="BC358" s="121"/>
      <c r="BD358" s="136"/>
      <c r="BE358" s="125" t="str">
        <f t="shared" si="18"/>
        <v/>
      </c>
      <c r="BF358" s="126" t="str">
        <f t="shared" si="19"/>
        <v>FM501__44601_0.263101851851852</v>
      </c>
      <c r="BG358" s="127" t="str">
        <f t="shared" si="20"/>
        <v/>
      </c>
      <c r="BH358" s="137" t="s">
        <v>1148</v>
      </c>
      <c r="BI358" s="128" t="str">
        <f t="shared" si="21"/>
        <v>MA1135</v>
      </c>
      <c r="BJ358" s="129" t="b">
        <f t="shared" si="22"/>
        <v>0</v>
      </c>
      <c r="BK358" s="128" t="str">
        <f t="shared" si="23"/>
        <v/>
      </c>
      <c r="BL358" s="121"/>
      <c r="BM358" s="5" t="str">
        <f t="shared" si="24"/>
        <v>MISSING</v>
      </c>
      <c r="BN358" s="120" t="b">
        <f t="shared" si="25"/>
        <v>0</v>
      </c>
      <c r="BO358" s="131" t="b">
        <f t="shared" si="26"/>
        <v>1</v>
      </c>
      <c r="BP358" s="121"/>
      <c r="BQ358" s="132" t="str">
        <f>VLOOKUP(A358,RAW_APS!A$3:O826,15,FALSE)</f>
        <v/>
      </c>
      <c r="BR358" s="120" t="b">
        <f t="shared" si="27"/>
        <v>1</v>
      </c>
      <c r="BS358" s="121"/>
      <c r="BT358" s="138" t="s">
        <v>244</v>
      </c>
      <c r="BU358" s="10" t="b">
        <f t="shared" si="28"/>
        <v>1</v>
      </c>
      <c r="BV358" s="120"/>
      <c r="BW358" s="120"/>
      <c r="BX358" s="120"/>
      <c r="BY358" s="120"/>
      <c r="BZ358" s="120"/>
      <c r="CA358" s="120"/>
      <c r="CB358" s="120"/>
      <c r="CC358" s="120"/>
    </row>
    <row r="359">
      <c r="A359" s="2" t="s">
        <v>1149</v>
      </c>
      <c r="B359" s="100">
        <v>44601.0</v>
      </c>
      <c r="C359" s="101">
        <v>0.2634606481481481</v>
      </c>
      <c r="D359" s="102"/>
      <c r="E359" s="102"/>
      <c r="F359" s="103"/>
      <c r="G359" s="148"/>
      <c r="H359" s="148"/>
      <c r="I359" s="103"/>
      <c r="J359" s="103"/>
      <c r="K359" s="2" t="s">
        <v>52</v>
      </c>
      <c r="L359" s="100">
        <v>44601.0</v>
      </c>
      <c r="M359" s="101">
        <v>0.48203703703703704</v>
      </c>
      <c r="P359" s="104" t="b">
        <f>IFNA(IF(VLOOKUP($A359,'Add from APT'!$AA$2:$AC826,3,FALSE)&gt;0,TRUE,FALSE),"ER - NOT IN APT")</f>
        <v>0</v>
      </c>
      <c r="Q359" s="105" t="str">
        <f>IF(ISLOGICAL(P359),IF(P359,"ER - REPS IN APT", IFNA(VLOOKUP($A359,RAW_APT!$A$3:$M826,7,FALSE),"ER - NOT IN APT")),P359)</f>
        <v>Result</v>
      </c>
      <c r="R359" s="106" t="b">
        <f t="shared" si="2"/>
        <v>1</v>
      </c>
      <c r="S359" s="107">
        <f t="shared" si="3"/>
        <v>1</v>
      </c>
      <c r="T359" s="140">
        <v>0.0</v>
      </c>
      <c r="V359" s="142"/>
      <c r="W359" s="141"/>
      <c r="X359" s="110" t="b">
        <f t="shared" si="4"/>
        <v>0</v>
      </c>
      <c r="Y359" s="111" t="b">
        <v>0</v>
      </c>
      <c r="Z359" s="104" t="str">
        <f t="shared" si="5"/>
        <v/>
      </c>
      <c r="AA359" s="112" t="b">
        <f t="shared" si="6"/>
        <v>0</v>
      </c>
      <c r="AB359" s="142" t="b">
        <v>0</v>
      </c>
      <c r="AC359" s="140">
        <v>449.0</v>
      </c>
      <c r="AD359" s="141" t="b">
        <v>0</v>
      </c>
      <c r="AE359" s="115">
        <f t="shared" si="7"/>
        <v>314.75</v>
      </c>
      <c r="AF359" s="116" t="b">
        <f t="shared" si="8"/>
        <v>0</v>
      </c>
      <c r="AG359" s="105" t="b">
        <f t="shared" si="9"/>
        <v>0</v>
      </c>
      <c r="AH359" s="140"/>
      <c r="AI359" s="140"/>
      <c r="AJ359" s="140"/>
      <c r="AK359" s="117" t="str">
        <f t="shared" si="10"/>
        <v>Positive</v>
      </c>
      <c r="AL359" s="142"/>
      <c r="AM359" s="112" t="s">
        <v>850</v>
      </c>
      <c r="AN359" s="112" t="s">
        <v>955</v>
      </c>
      <c r="AO359" s="112" t="str">
        <f>IFERROR(__xludf.DUMMYFUNCTION("IF($AG359, ""DELETED"",TRIM(JOIN("" "",D359:E359)))"),"")</f>
        <v/>
      </c>
      <c r="AP359" s="112" t="str">
        <f t="shared" ref="AP359:AQ359" si="384">IF($AG359, "DELETED", TRIM(CONCATENATE(F359,I359,U359)))</f>
        <v/>
      </c>
      <c r="AQ359" s="112" t="str">
        <f t="shared" si="384"/>
        <v/>
      </c>
      <c r="AR359" s="112" t="str">
        <f>IFERROR(__xludf.DUMMYFUNCTION("IF($AG359, ""DELETED"", TRIM(JOIN("" "",AP359,AQ359)))"),"")</f>
        <v/>
      </c>
      <c r="AS359" s="118"/>
      <c r="AT359" s="110" t="b">
        <f t="shared" si="12"/>
        <v>0</v>
      </c>
      <c r="AU359" s="110" t="str">
        <f t="shared" si="13"/>
        <v/>
      </c>
      <c r="AV359" s="110" t="str">
        <f t="shared" si="14"/>
        <v/>
      </c>
      <c r="AW359" s="110" t="str">
        <f t="shared" si="15"/>
        <v/>
      </c>
      <c r="AX359" s="119" t="str">
        <f t="shared" si="16"/>
        <v/>
      </c>
      <c r="AY359" s="120"/>
      <c r="AZ359" s="121"/>
      <c r="BA359" s="122" t="str">
        <f t="shared" si="17"/>
        <v/>
      </c>
      <c r="BB359" s="34"/>
      <c r="BC359" s="121"/>
      <c r="BD359" s="136"/>
      <c r="BE359" s="125" t="str">
        <f t="shared" si="18"/>
        <v/>
      </c>
      <c r="BF359" s="126" t="str">
        <f t="shared" si="19"/>
        <v>FM431__44601_0.263460648148148</v>
      </c>
      <c r="BG359" s="127" t="str">
        <f t="shared" si="20"/>
        <v/>
      </c>
      <c r="BH359" s="137" t="s">
        <v>1150</v>
      </c>
      <c r="BI359" s="128" t="str">
        <f t="shared" si="21"/>
        <v>MA1136</v>
      </c>
      <c r="BJ359" s="129" t="b">
        <f t="shared" si="22"/>
        <v>0</v>
      </c>
      <c r="BK359" s="128" t="str">
        <f t="shared" si="23"/>
        <v/>
      </c>
      <c r="BL359" s="121"/>
      <c r="BM359" s="5" t="str">
        <f t="shared" si="24"/>
        <v>MISSING</v>
      </c>
      <c r="BN359" s="120" t="b">
        <f t="shared" si="25"/>
        <v>0</v>
      </c>
      <c r="BO359" s="131" t="b">
        <f t="shared" si="26"/>
        <v>1</v>
      </c>
      <c r="BP359" s="121"/>
      <c r="BQ359" s="132" t="str">
        <f>VLOOKUP(A359,RAW_APS!A$3:O826,15,FALSE)</f>
        <v/>
      </c>
      <c r="BR359" s="120" t="b">
        <f t="shared" si="27"/>
        <v>1</v>
      </c>
      <c r="BS359" s="121"/>
      <c r="BT359" s="138" t="s">
        <v>52</v>
      </c>
      <c r="BU359" s="10" t="b">
        <f t="shared" si="28"/>
        <v>1</v>
      </c>
      <c r="BV359" s="120"/>
      <c r="BW359" s="120"/>
      <c r="BX359" s="120"/>
      <c r="BY359" s="120"/>
      <c r="BZ359" s="120"/>
      <c r="CA359" s="120"/>
      <c r="CB359" s="120"/>
      <c r="CC359" s="120"/>
    </row>
    <row r="360">
      <c r="A360" s="2" t="s">
        <v>1151</v>
      </c>
      <c r="B360" s="100">
        <v>44601.0</v>
      </c>
      <c r="C360" s="101">
        <v>0.3012037037037037</v>
      </c>
      <c r="D360" s="102"/>
      <c r="E360" s="102"/>
      <c r="F360" s="157"/>
      <c r="G360" s="139"/>
      <c r="H360" s="139"/>
      <c r="I360" s="103"/>
      <c r="J360" s="103"/>
      <c r="K360" s="2" t="s">
        <v>244</v>
      </c>
      <c r="L360" s="100">
        <v>44601.0</v>
      </c>
      <c r="M360" s="101">
        <v>0.48203703703703704</v>
      </c>
      <c r="P360" s="104" t="b">
        <f>IFNA(IF(VLOOKUP($A360,'Add from APT'!$AA$2:$AC826,3,FALSE)&gt;0,TRUE,FALSE),"ER - NOT IN APT")</f>
        <v>0</v>
      </c>
      <c r="Q360" s="105" t="str">
        <f>IF(ISLOGICAL(P360),IF(P360,"ER - REPS IN APT", IFNA(VLOOKUP($A360,RAW_APT!$A$3:$M826,7,FALSE),"ER - NOT IN APT")),P360)</f>
        <v>Result</v>
      </c>
      <c r="R360" s="106" t="b">
        <f t="shared" si="2"/>
        <v>1</v>
      </c>
      <c r="S360" s="107">
        <f t="shared" si="3"/>
        <v>1</v>
      </c>
      <c r="T360" s="140">
        <v>0.0</v>
      </c>
      <c r="U360" s="158"/>
      <c r="V360" s="141"/>
      <c r="W360" s="141"/>
      <c r="X360" s="110" t="b">
        <f t="shared" si="4"/>
        <v>0</v>
      </c>
      <c r="Y360" s="111" t="b">
        <v>0</v>
      </c>
      <c r="Z360" s="104" t="str">
        <f t="shared" si="5"/>
        <v/>
      </c>
      <c r="AA360" s="112" t="b">
        <f t="shared" si="6"/>
        <v>0</v>
      </c>
      <c r="AB360" s="142" t="b">
        <v>0</v>
      </c>
      <c r="AC360" s="140">
        <v>448.0</v>
      </c>
      <c r="AD360" s="141" t="b">
        <v>0</v>
      </c>
      <c r="AE360" s="115">
        <f t="shared" si="7"/>
        <v>260.4</v>
      </c>
      <c r="AF360" s="116" t="b">
        <f t="shared" si="8"/>
        <v>0</v>
      </c>
      <c r="AG360" s="105" t="b">
        <f t="shared" si="9"/>
        <v>0</v>
      </c>
      <c r="AH360" s="140"/>
      <c r="AI360" s="140"/>
      <c r="AJ360" s="140"/>
      <c r="AK360" s="117" t="str">
        <f t="shared" si="10"/>
        <v>Negative</v>
      </c>
      <c r="AL360" s="142"/>
      <c r="AM360" s="112" t="s">
        <v>261</v>
      </c>
      <c r="AN360" s="112" t="s">
        <v>708</v>
      </c>
      <c r="AO360" s="112" t="str">
        <f>IFERROR(__xludf.DUMMYFUNCTION("IF($AG360, ""DELETED"",TRIM(JOIN("" "",D360:E360)))"),"")</f>
        <v/>
      </c>
      <c r="AP360" s="112" t="str">
        <f t="shared" ref="AP360:AQ360" si="385">IF($AG360, "DELETED", TRIM(CONCATENATE(F360,I360,U360)))</f>
        <v/>
      </c>
      <c r="AQ360" s="112" t="str">
        <f t="shared" si="385"/>
        <v/>
      </c>
      <c r="AR360" s="112" t="str">
        <f>IFERROR(__xludf.DUMMYFUNCTION("IF($AG360, ""DELETED"", TRIM(JOIN("" "",AP360,AQ360)))"),"")</f>
        <v/>
      </c>
      <c r="AS360" s="118"/>
      <c r="AT360" s="110" t="b">
        <f t="shared" si="12"/>
        <v>0</v>
      </c>
      <c r="AU360" s="110" t="str">
        <f t="shared" si="13"/>
        <v/>
      </c>
      <c r="AV360" s="110" t="str">
        <f t="shared" si="14"/>
        <v/>
      </c>
      <c r="AW360" s="110" t="str">
        <f t="shared" si="15"/>
        <v/>
      </c>
      <c r="AX360" s="119" t="str">
        <f t="shared" si="16"/>
        <v/>
      </c>
      <c r="AY360" s="120"/>
      <c r="AZ360" s="121"/>
      <c r="BA360" s="122" t="str">
        <f t="shared" si="17"/>
        <v/>
      </c>
      <c r="BB360" s="34"/>
      <c r="BC360" s="121"/>
      <c r="BD360" s="136"/>
      <c r="BE360" s="125" t="str">
        <f t="shared" si="18"/>
        <v/>
      </c>
      <c r="BF360" s="126" t="str">
        <f t="shared" si="19"/>
        <v>MAX60__44601_0.301203703703704</v>
      </c>
      <c r="BG360" s="127" t="str">
        <f t="shared" si="20"/>
        <v/>
      </c>
      <c r="BH360" s="137" t="s">
        <v>1152</v>
      </c>
      <c r="BI360" s="128" t="str">
        <f t="shared" si="21"/>
        <v>MA1139</v>
      </c>
      <c r="BJ360" s="129" t="b">
        <f t="shared" si="22"/>
        <v>0</v>
      </c>
      <c r="BK360" s="128" t="str">
        <f t="shared" si="23"/>
        <v/>
      </c>
      <c r="BL360" s="121"/>
      <c r="BM360" s="5" t="str">
        <f t="shared" si="24"/>
        <v>MISSING</v>
      </c>
      <c r="BN360" s="120" t="b">
        <f t="shared" si="25"/>
        <v>0</v>
      </c>
      <c r="BO360" s="131" t="b">
        <f t="shared" si="26"/>
        <v>1</v>
      </c>
      <c r="BP360" s="121"/>
      <c r="BQ360" s="132" t="str">
        <f>VLOOKUP(A360,RAW_APS!A$3:O826,15,FALSE)</f>
        <v/>
      </c>
      <c r="BR360" s="120" t="b">
        <f t="shared" si="27"/>
        <v>1</v>
      </c>
      <c r="BS360" s="121"/>
      <c r="BT360" s="138" t="s">
        <v>244</v>
      </c>
      <c r="BU360" s="10" t="b">
        <f t="shared" si="28"/>
        <v>1</v>
      </c>
      <c r="BV360" s="120"/>
      <c r="BW360" s="120"/>
      <c r="BX360" s="120"/>
      <c r="BY360" s="120"/>
      <c r="BZ360" s="120"/>
      <c r="CA360" s="120"/>
      <c r="CB360" s="120"/>
      <c r="CC360" s="120"/>
    </row>
    <row r="361">
      <c r="A361" s="2" t="s">
        <v>1153</v>
      </c>
      <c r="B361" s="100">
        <v>44601.0</v>
      </c>
      <c r="C361" s="101">
        <v>0.30150462962962965</v>
      </c>
      <c r="D361" s="102"/>
      <c r="E361" s="102"/>
      <c r="F361" s="103"/>
      <c r="G361" s="148"/>
      <c r="H361" s="148"/>
      <c r="I361" s="103"/>
      <c r="J361" s="103"/>
      <c r="K361" s="2" t="s">
        <v>244</v>
      </c>
      <c r="L361" s="100">
        <v>44601.0</v>
      </c>
      <c r="M361" s="101">
        <v>0.48203703703703704</v>
      </c>
      <c r="P361" s="104" t="b">
        <f>IFNA(IF(VLOOKUP($A361,'Add from APT'!$AA$2:$AC826,3,FALSE)&gt;0,TRUE,FALSE),"ER - NOT IN APT")</f>
        <v>0</v>
      </c>
      <c r="Q361" s="105" t="str">
        <f>IF(ISLOGICAL(P361),IF(P361,"ER - REPS IN APT", IFNA(VLOOKUP($A361,RAW_APT!$A$3:$M826,7,FALSE),"ER - NOT IN APT")),P361)</f>
        <v>Result</v>
      </c>
      <c r="R361" s="106" t="b">
        <f t="shared" si="2"/>
        <v>1</v>
      </c>
      <c r="S361" s="107">
        <f t="shared" si="3"/>
        <v>1</v>
      </c>
      <c r="T361" s="140">
        <v>0.0</v>
      </c>
      <c r="V361" s="141"/>
      <c r="W361" s="142"/>
      <c r="X361" s="110" t="b">
        <f t="shared" si="4"/>
        <v>0</v>
      </c>
      <c r="Y361" s="111" t="b">
        <v>0</v>
      </c>
      <c r="Z361" s="104" t="str">
        <f t="shared" si="5"/>
        <v/>
      </c>
      <c r="AA361" s="112" t="b">
        <f t="shared" si="6"/>
        <v>0</v>
      </c>
      <c r="AB361" s="142" t="b">
        <v>0</v>
      </c>
      <c r="AC361" s="140">
        <v>447.0</v>
      </c>
      <c r="AD361" s="141" t="b">
        <v>0</v>
      </c>
      <c r="AE361" s="115">
        <f t="shared" si="7"/>
        <v>259.9666667</v>
      </c>
      <c r="AF361" s="116" t="b">
        <f t="shared" si="8"/>
        <v>0</v>
      </c>
      <c r="AG361" s="105" t="b">
        <f t="shared" si="9"/>
        <v>0</v>
      </c>
      <c r="AH361" s="140"/>
      <c r="AI361" s="140"/>
      <c r="AJ361" s="140"/>
      <c r="AK361" s="117" t="str">
        <f t="shared" si="10"/>
        <v>Negative</v>
      </c>
      <c r="AL361" s="142"/>
      <c r="AM361" s="112" t="s">
        <v>261</v>
      </c>
      <c r="AN361" s="112" t="s">
        <v>913</v>
      </c>
      <c r="AO361" s="112" t="str">
        <f>IFERROR(__xludf.DUMMYFUNCTION("IF($AG361, ""DELETED"",TRIM(JOIN("" "",D361:E361)))"),"")</f>
        <v/>
      </c>
      <c r="AP361" s="112" t="str">
        <f t="shared" ref="AP361:AQ361" si="386">IF($AG361, "DELETED", TRIM(CONCATENATE(F361,I361,U361)))</f>
        <v/>
      </c>
      <c r="AQ361" s="112" t="str">
        <f t="shared" si="386"/>
        <v/>
      </c>
      <c r="AR361" s="112" t="str">
        <f>IFERROR(__xludf.DUMMYFUNCTION("IF($AG361, ""DELETED"", TRIM(JOIN("" "",AP361,AQ361)))"),"")</f>
        <v/>
      </c>
      <c r="AS361" s="118"/>
      <c r="AT361" s="110" t="b">
        <f t="shared" si="12"/>
        <v>0</v>
      </c>
      <c r="AU361" s="110" t="str">
        <f t="shared" si="13"/>
        <v/>
      </c>
      <c r="AV361" s="110" t="str">
        <f t="shared" si="14"/>
        <v/>
      </c>
      <c r="AW361" s="110" t="str">
        <f t="shared" si="15"/>
        <v/>
      </c>
      <c r="AX361" s="119" t="str">
        <f t="shared" si="16"/>
        <v/>
      </c>
      <c r="AY361" s="120"/>
      <c r="AZ361" s="121"/>
      <c r="BA361" s="122" t="str">
        <f t="shared" si="17"/>
        <v/>
      </c>
      <c r="BB361" s="34"/>
      <c r="BC361" s="121"/>
      <c r="BD361" s="136"/>
      <c r="BE361" s="125" t="str">
        <f t="shared" si="18"/>
        <v/>
      </c>
      <c r="BF361" s="126" t="str">
        <f t="shared" si="19"/>
        <v>MAX132__44601_0.30150462962963</v>
      </c>
      <c r="BG361" s="127" t="str">
        <f t="shared" si="20"/>
        <v/>
      </c>
      <c r="BH361" s="137" t="s">
        <v>1154</v>
      </c>
      <c r="BI361" s="128" t="str">
        <f t="shared" si="21"/>
        <v>MA1140</v>
      </c>
      <c r="BJ361" s="129" t="b">
        <f t="shared" si="22"/>
        <v>0</v>
      </c>
      <c r="BK361" s="128" t="str">
        <f t="shared" si="23"/>
        <v/>
      </c>
      <c r="BL361" s="121"/>
      <c r="BM361" s="5" t="str">
        <f t="shared" si="24"/>
        <v>MISSING</v>
      </c>
      <c r="BN361" s="120" t="b">
        <f t="shared" si="25"/>
        <v>0</v>
      </c>
      <c r="BO361" s="131" t="b">
        <f t="shared" si="26"/>
        <v>1</v>
      </c>
      <c r="BP361" s="121"/>
      <c r="BQ361" s="132" t="str">
        <f>VLOOKUP(A361,RAW_APS!A$3:O826,15,FALSE)</f>
        <v/>
      </c>
      <c r="BR361" s="120" t="b">
        <f t="shared" si="27"/>
        <v>1</v>
      </c>
      <c r="BS361" s="121"/>
      <c r="BT361" s="138" t="s">
        <v>244</v>
      </c>
      <c r="BU361" s="10" t="b">
        <f t="shared" si="28"/>
        <v>1</v>
      </c>
      <c r="BV361" s="120"/>
      <c r="BW361" s="120"/>
      <c r="BX361" s="120"/>
      <c r="BY361" s="120"/>
      <c r="BZ361" s="120"/>
      <c r="CA361" s="120"/>
      <c r="CB361" s="120"/>
      <c r="CC361" s="120"/>
    </row>
    <row r="362">
      <c r="A362" s="2" t="s">
        <v>1155</v>
      </c>
      <c r="B362" s="100">
        <v>44601.0</v>
      </c>
      <c r="C362" s="101">
        <v>0.31181712962962965</v>
      </c>
      <c r="D362" s="102"/>
      <c r="E362" s="102"/>
      <c r="F362" s="102"/>
      <c r="G362" s="102"/>
      <c r="H362" s="102"/>
      <c r="I362" s="103"/>
      <c r="J362" s="103"/>
      <c r="K362" s="2" t="s">
        <v>244</v>
      </c>
      <c r="L362" s="100">
        <v>44601.0</v>
      </c>
      <c r="M362" s="101">
        <v>0.48203703703703704</v>
      </c>
      <c r="P362" s="104" t="b">
        <f>IFNA(IF(VLOOKUP($A362,'Add from APT'!$AA$2:$AC826,3,FALSE)&gt;0,TRUE,FALSE),"ER - NOT IN APT")</f>
        <v>0</v>
      </c>
      <c r="Q362" s="105" t="str">
        <f>IF(ISLOGICAL(P362),IF(P362,"ER - REPS IN APT", IFNA(VLOOKUP($A362,RAW_APT!$A$3:$M826,7,FALSE),"ER - NOT IN APT")),P362)</f>
        <v>Result</v>
      </c>
      <c r="R362" s="106" t="b">
        <f t="shared" si="2"/>
        <v>1</v>
      </c>
      <c r="S362" s="107">
        <f t="shared" si="3"/>
        <v>1</v>
      </c>
      <c r="T362" s="143"/>
      <c r="U362" s="142"/>
      <c r="V362" s="142"/>
      <c r="W362" s="142"/>
      <c r="X362" s="110" t="b">
        <f t="shared" si="4"/>
        <v>0</v>
      </c>
      <c r="Y362" s="111" t="b">
        <v>0</v>
      </c>
      <c r="Z362" s="104" t="str">
        <f t="shared" si="5"/>
        <v/>
      </c>
      <c r="AA362" s="112" t="b">
        <f t="shared" si="6"/>
        <v>0</v>
      </c>
      <c r="AB362" s="142" t="b">
        <v>0</v>
      </c>
      <c r="AC362" s="140">
        <v>446.0</v>
      </c>
      <c r="AD362" s="141" t="b">
        <v>0</v>
      </c>
      <c r="AE362" s="115">
        <f t="shared" si="7"/>
        <v>245.1166667</v>
      </c>
      <c r="AF362" s="116" t="b">
        <f t="shared" si="8"/>
        <v>0</v>
      </c>
      <c r="AG362" s="105" t="b">
        <f t="shared" si="9"/>
        <v>0</v>
      </c>
      <c r="AH362" s="140"/>
      <c r="AI362" s="140"/>
      <c r="AJ362" s="140"/>
      <c r="AK362" s="117" t="str">
        <f t="shared" si="10"/>
        <v>Negative</v>
      </c>
      <c r="AL362" s="142"/>
      <c r="AM362" s="112" t="s">
        <v>322</v>
      </c>
      <c r="AN362" s="112" t="s">
        <v>323</v>
      </c>
      <c r="AO362" s="112" t="str">
        <f>IFERROR(__xludf.DUMMYFUNCTION("IF($AG362, ""DELETED"",TRIM(JOIN("" "",D362:E362)))"),"")</f>
        <v/>
      </c>
      <c r="AP362" s="112" t="str">
        <f t="shared" ref="AP362:AQ362" si="387">IF($AG362, "DELETED", TRIM(CONCATENATE(F362,I362,U362)))</f>
        <v/>
      </c>
      <c r="AQ362" s="112" t="str">
        <f t="shared" si="387"/>
        <v/>
      </c>
      <c r="AR362" s="112" t="str">
        <f>IFERROR(__xludf.DUMMYFUNCTION("IF($AG362, ""DELETED"", TRIM(JOIN("" "",AP362,AQ362)))"),"")</f>
        <v/>
      </c>
      <c r="AS362" s="118"/>
      <c r="AT362" s="110" t="b">
        <f t="shared" si="12"/>
        <v>0</v>
      </c>
      <c r="AU362" s="110" t="str">
        <f t="shared" si="13"/>
        <v/>
      </c>
      <c r="AV362" s="110" t="str">
        <f t="shared" si="14"/>
        <v/>
      </c>
      <c r="AW362" s="110" t="str">
        <f t="shared" si="15"/>
        <v/>
      </c>
      <c r="AX362" s="119" t="str">
        <f t="shared" si="16"/>
        <v/>
      </c>
      <c r="AY362" s="120"/>
      <c r="AZ362" s="121"/>
      <c r="BA362" s="122" t="str">
        <f t="shared" si="17"/>
        <v/>
      </c>
      <c r="BB362" s="34"/>
      <c r="BC362" s="121"/>
      <c r="BD362" s="136"/>
      <c r="BE362" s="125" t="str">
        <f t="shared" si="18"/>
        <v/>
      </c>
      <c r="BF362" s="126" t="str">
        <f t="shared" si="19"/>
        <v>FM87__44601_0.31181712962963</v>
      </c>
      <c r="BG362" s="127" t="str">
        <f t="shared" si="20"/>
        <v/>
      </c>
      <c r="BH362" s="137" t="s">
        <v>1156</v>
      </c>
      <c r="BI362" s="128" t="str">
        <f t="shared" si="21"/>
        <v>MA1143</v>
      </c>
      <c r="BJ362" s="129" t="b">
        <f t="shared" si="22"/>
        <v>0</v>
      </c>
      <c r="BK362" s="128" t="str">
        <f t="shared" si="23"/>
        <v/>
      </c>
      <c r="BL362" s="121"/>
      <c r="BM362" s="5" t="str">
        <f t="shared" si="24"/>
        <v>MISSING</v>
      </c>
      <c r="BN362" s="120" t="b">
        <f t="shared" si="25"/>
        <v>0</v>
      </c>
      <c r="BO362" s="131" t="b">
        <f t="shared" si="26"/>
        <v>1</v>
      </c>
      <c r="BP362" s="121"/>
      <c r="BQ362" s="132" t="str">
        <f>VLOOKUP(A362,RAW_APS!A$3:O826,15,FALSE)</f>
        <v/>
      </c>
      <c r="BR362" s="120" t="b">
        <f t="shared" si="27"/>
        <v>1</v>
      </c>
      <c r="BS362" s="121"/>
      <c r="BT362" s="138" t="s">
        <v>244</v>
      </c>
      <c r="BU362" s="10" t="b">
        <f t="shared" si="28"/>
        <v>1</v>
      </c>
      <c r="BV362" s="120"/>
      <c r="BW362" s="120"/>
      <c r="BX362" s="120"/>
      <c r="BY362" s="120"/>
      <c r="BZ362" s="120"/>
      <c r="CA362" s="120"/>
      <c r="CB362" s="120"/>
      <c r="CC362" s="120"/>
    </row>
    <row r="363">
      <c r="A363" s="2" t="s">
        <v>1157</v>
      </c>
      <c r="B363" s="100">
        <v>44601.0</v>
      </c>
      <c r="C363" s="101">
        <v>0.3174074074074074</v>
      </c>
      <c r="D363" s="102"/>
      <c r="E363" s="102"/>
      <c r="F363" s="102"/>
      <c r="G363" s="102"/>
      <c r="H363" s="102"/>
      <c r="I363" s="103"/>
      <c r="J363" s="103"/>
      <c r="K363" s="2" t="s">
        <v>244</v>
      </c>
      <c r="L363" s="100">
        <v>44601.0</v>
      </c>
      <c r="M363" s="101">
        <v>0.48203703703703704</v>
      </c>
      <c r="P363" s="104" t="b">
        <f>IFNA(IF(VLOOKUP($A363,'Add from APT'!$AA$2:$AC826,3,FALSE)&gt;0,TRUE,FALSE),"ER - NOT IN APT")</f>
        <v>0</v>
      </c>
      <c r="Q363" s="105" t="str">
        <f>IF(ISLOGICAL(P363),IF(P363,"ER - REPS IN APT", IFNA(VLOOKUP($A363,RAW_APT!$A$3:$M826,7,FALSE),"ER - NOT IN APT")),P363)</f>
        <v>Result</v>
      </c>
      <c r="R363" s="106" t="b">
        <f t="shared" si="2"/>
        <v>1</v>
      </c>
      <c r="S363" s="107">
        <f t="shared" si="3"/>
        <v>1</v>
      </c>
      <c r="T363" s="143"/>
      <c r="U363" s="142"/>
      <c r="V363" s="142"/>
      <c r="W363" s="142"/>
      <c r="X363" s="110" t="b">
        <f t="shared" si="4"/>
        <v>0</v>
      </c>
      <c r="Y363" s="111" t="b">
        <v>0</v>
      </c>
      <c r="Z363" s="104" t="str">
        <f t="shared" si="5"/>
        <v/>
      </c>
      <c r="AA363" s="112" t="b">
        <f t="shared" si="6"/>
        <v>0</v>
      </c>
      <c r="AB363" s="142" t="b">
        <v>0</v>
      </c>
      <c r="AC363" s="140">
        <v>445.0</v>
      </c>
      <c r="AD363" s="141" t="b">
        <v>0</v>
      </c>
      <c r="AE363" s="115">
        <f t="shared" si="7"/>
        <v>237.0666667</v>
      </c>
      <c r="AF363" s="116" t="b">
        <f t="shared" si="8"/>
        <v>0</v>
      </c>
      <c r="AG363" s="105" t="b">
        <f t="shared" si="9"/>
        <v>0</v>
      </c>
      <c r="AH363" s="140"/>
      <c r="AI363" s="140"/>
      <c r="AJ363" s="140"/>
      <c r="AK363" s="117" t="str">
        <f t="shared" si="10"/>
        <v>Negative</v>
      </c>
      <c r="AL363" s="142"/>
      <c r="AM363" s="112" t="s">
        <v>865</v>
      </c>
      <c r="AN363" s="112" t="s">
        <v>548</v>
      </c>
      <c r="AO363" s="112" t="str">
        <f>IFERROR(__xludf.DUMMYFUNCTION("IF($AG363, ""DELETED"",TRIM(JOIN("" "",D363:E363)))"),"")</f>
        <v/>
      </c>
      <c r="AP363" s="112" t="str">
        <f t="shared" ref="AP363:AQ363" si="388">IF($AG363, "DELETED", TRIM(CONCATENATE(F363,I363,U363)))</f>
        <v/>
      </c>
      <c r="AQ363" s="112" t="str">
        <f t="shared" si="388"/>
        <v/>
      </c>
      <c r="AR363" s="112" t="str">
        <f>IFERROR(__xludf.DUMMYFUNCTION("IF($AG363, ""DELETED"", TRIM(JOIN("" "",AP363,AQ363)))"),"")</f>
        <v/>
      </c>
      <c r="AS363" s="118"/>
      <c r="AT363" s="110" t="b">
        <f t="shared" si="12"/>
        <v>0</v>
      </c>
      <c r="AU363" s="110" t="str">
        <f t="shared" si="13"/>
        <v/>
      </c>
      <c r="AV363" s="110" t="str">
        <f t="shared" si="14"/>
        <v/>
      </c>
      <c r="AW363" s="110" t="str">
        <f t="shared" si="15"/>
        <v/>
      </c>
      <c r="AX363" s="119" t="str">
        <f t="shared" si="16"/>
        <v/>
      </c>
      <c r="AY363" s="120"/>
      <c r="AZ363" s="121"/>
      <c r="BA363" s="122" t="str">
        <f t="shared" si="17"/>
        <v/>
      </c>
      <c r="BB363" s="34"/>
      <c r="BC363" s="121"/>
      <c r="BD363" s="136"/>
      <c r="BE363" s="125" t="str">
        <f t="shared" si="18"/>
        <v/>
      </c>
      <c r="BF363" s="126" t="str">
        <f t="shared" si="19"/>
        <v>MA252__44601_0.317407407407407</v>
      </c>
      <c r="BG363" s="127" t="str">
        <f t="shared" si="20"/>
        <v/>
      </c>
      <c r="BH363" s="137" t="s">
        <v>1158</v>
      </c>
      <c r="BI363" s="128" t="str">
        <f t="shared" si="21"/>
        <v>MA1145</v>
      </c>
      <c r="BJ363" s="129" t="b">
        <f t="shared" si="22"/>
        <v>0</v>
      </c>
      <c r="BK363" s="128" t="str">
        <f t="shared" si="23"/>
        <v/>
      </c>
      <c r="BL363" s="121"/>
      <c r="BM363" s="5" t="str">
        <f t="shared" si="24"/>
        <v>MISSING</v>
      </c>
      <c r="BN363" s="120" t="b">
        <f t="shared" si="25"/>
        <v>0</v>
      </c>
      <c r="BO363" s="131" t="b">
        <f t="shared" si="26"/>
        <v>1</v>
      </c>
      <c r="BP363" s="121"/>
      <c r="BQ363" s="132" t="str">
        <f>VLOOKUP(A363,RAW_APS!A$3:O826,15,FALSE)</f>
        <v/>
      </c>
      <c r="BR363" s="120" t="b">
        <f t="shared" si="27"/>
        <v>1</v>
      </c>
      <c r="BS363" s="121"/>
      <c r="BT363" s="138" t="s">
        <v>244</v>
      </c>
      <c r="BU363" s="10" t="b">
        <f t="shared" si="28"/>
        <v>1</v>
      </c>
      <c r="BV363" s="120"/>
      <c r="BW363" s="120"/>
      <c r="BX363" s="120"/>
      <c r="BY363" s="120"/>
      <c r="BZ363" s="120"/>
      <c r="CA363" s="120"/>
      <c r="CB363" s="120"/>
      <c r="CC363" s="120"/>
    </row>
    <row r="364">
      <c r="A364" s="2" t="s">
        <v>1159</v>
      </c>
      <c r="B364" s="100">
        <v>44601.0</v>
      </c>
      <c r="C364" s="101">
        <v>0.3438310185185185</v>
      </c>
      <c r="D364" s="102"/>
      <c r="E364" s="102"/>
      <c r="F364" s="102"/>
      <c r="G364" s="102"/>
      <c r="H364" s="102"/>
      <c r="I364" s="103"/>
      <c r="J364" s="103"/>
      <c r="K364" s="2" t="s">
        <v>244</v>
      </c>
      <c r="L364" s="100">
        <v>44601.0</v>
      </c>
      <c r="M364" s="101">
        <v>0.48203703703703704</v>
      </c>
      <c r="P364" s="104" t="b">
        <f>IFNA(IF(VLOOKUP($A364,'Add from APT'!$AA$2:$AC826,3,FALSE)&gt;0,TRUE,FALSE),"ER - NOT IN APT")</f>
        <v>0</v>
      </c>
      <c r="Q364" s="105" t="str">
        <f>IF(ISLOGICAL(P364),IF(P364,"ER - REPS IN APT", IFNA(VLOOKUP($A364,RAW_APT!$A$3:$M826,7,FALSE),"ER - NOT IN APT")),P364)</f>
        <v>Result</v>
      </c>
      <c r="R364" s="106" t="b">
        <f t="shared" si="2"/>
        <v>1</v>
      </c>
      <c r="S364" s="107">
        <f t="shared" si="3"/>
        <v>1</v>
      </c>
      <c r="T364" s="143"/>
      <c r="U364" s="142"/>
      <c r="V364" s="142"/>
      <c r="W364" s="142"/>
      <c r="X364" s="110" t="b">
        <f t="shared" si="4"/>
        <v>0</v>
      </c>
      <c r="Y364" s="111" t="b">
        <v>0</v>
      </c>
      <c r="Z364" s="104" t="str">
        <f t="shared" si="5"/>
        <v/>
      </c>
      <c r="AA364" s="112" t="b">
        <f t="shared" si="6"/>
        <v>0</v>
      </c>
      <c r="AB364" s="142" t="b">
        <v>0</v>
      </c>
      <c r="AC364" s="140">
        <v>444.0</v>
      </c>
      <c r="AD364" s="141" t="b">
        <v>0</v>
      </c>
      <c r="AE364" s="115">
        <f t="shared" si="7"/>
        <v>199.0166667</v>
      </c>
      <c r="AF364" s="116" t="b">
        <f t="shared" si="8"/>
        <v>0</v>
      </c>
      <c r="AG364" s="105" t="b">
        <f t="shared" si="9"/>
        <v>0</v>
      </c>
      <c r="AH364" s="140"/>
      <c r="AI364" s="140"/>
      <c r="AJ364" s="140"/>
      <c r="AK364" s="117" t="str">
        <f t="shared" si="10"/>
        <v>Negative</v>
      </c>
      <c r="AL364" s="142"/>
      <c r="AM364" s="112" t="s">
        <v>261</v>
      </c>
      <c r="AN364" s="112" t="s">
        <v>374</v>
      </c>
      <c r="AO364" s="112" t="str">
        <f>IFERROR(__xludf.DUMMYFUNCTION("IF($AG364, ""DELETED"",TRIM(JOIN("" "",D364:E364)))"),"")</f>
        <v/>
      </c>
      <c r="AP364" s="112" t="str">
        <f t="shared" ref="AP364:AQ364" si="389">IF($AG364, "DELETED", TRIM(CONCATENATE(F364,I364,U364)))</f>
        <v/>
      </c>
      <c r="AQ364" s="112" t="str">
        <f t="shared" si="389"/>
        <v/>
      </c>
      <c r="AR364" s="112" t="str">
        <f>IFERROR(__xludf.DUMMYFUNCTION("IF($AG364, ""DELETED"", TRIM(JOIN("" "",AP364,AQ364)))"),"")</f>
        <v/>
      </c>
      <c r="AS364" s="118"/>
      <c r="AT364" s="110" t="b">
        <f t="shared" si="12"/>
        <v>0</v>
      </c>
      <c r="AU364" s="110" t="str">
        <f t="shared" si="13"/>
        <v/>
      </c>
      <c r="AV364" s="110" t="str">
        <f t="shared" si="14"/>
        <v/>
      </c>
      <c r="AW364" s="110" t="str">
        <f t="shared" si="15"/>
        <v/>
      </c>
      <c r="AX364" s="119" t="str">
        <f t="shared" si="16"/>
        <v/>
      </c>
      <c r="AY364" s="120"/>
      <c r="AZ364" s="121"/>
      <c r="BA364" s="122" t="str">
        <f t="shared" si="17"/>
        <v/>
      </c>
      <c r="BB364" s="34"/>
      <c r="BC364" s="121"/>
      <c r="BD364" s="136"/>
      <c r="BE364" s="125" t="str">
        <f t="shared" si="18"/>
        <v/>
      </c>
      <c r="BF364" s="126" t="str">
        <f t="shared" si="19"/>
        <v>MAX124__44601_0.343831018518519</v>
      </c>
      <c r="BG364" s="127" t="str">
        <f t="shared" si="20"/>
        <v/>
      </c>
      <c r="BH364" s="137" t="s">
        <v>1160</v>
      </c>
      <c r="BI364" s="128" t="str">
        <f t="shared" si="21"/>
        <v>MA1146</v>
      </c>
      <c r="BJ364" s="129" t="b">
        <f t="shared" si="22"/>
        <v>0</v>
      </c>
      <c r="BK364" s="128" t="str">
        <f t="shared" si="23"/>
        <v/>
      </c>
      <c r="BL364" s="121"/>
      <c r="BM364" s="5" t="str">
        <f t="shared" si="24"/>
        <v>MISSING</v>
      </c>
      <c r="BN364" s="120" t="b">
        <f t="shared" si="25"/>
        <v>0</v>
      </c>
      <c r="BO364" s="131" t="b">
        <f t="shared" si="26"/>
        <v>1</v>
      </c>
      <c r="BP364" s="121"/>
      <c r="BQ364" s="132" t="str">
        <f>VLOOKUP(A364,RAW_APS!A$3:O826,15,FALSE)</f>
        <v/>
      </c>
      <c r="BR364" s="120" t="b">
        <f t="shared" si="27"/>
        <v>1</v>
      </c>
      <c r="BS364" s="121"/>
      <c r="BT364" s="138" t="s">
        <v>244</v>
      </c>
      <c r="BU364" s="10" t="b">
        <f t="shared" si="28"/>
        <v>1</v>
      </c>
      <c r="BV364" s="120"/>
      <c r="BW364" s="120"/>
      <c r="BX364" s="120"/>
      <c r="BY364" s="120"/>
      <c r="BZ364" s="120"/>
      <c r="CA364" s="120"/>
      <c r="CB364" s="120"/>
      <c r="CC364" s="120"/>
    </row>
    <row r="365">
      <c r="A365" s="2" t="s">
        <v>1161</v>
      </c>
      <c r="B365" s="100">
        <v>44601.0</v>
      </c>
      <c r="C365" s="101">
        <v>0.3444212962962963</v>
      </c>
      <c r="D365" s="102"/>
      <c r="E365" s="102"/>
      <c r="F365" s="102"/>
      <c r="G365" s="102"/>
      <c r="H365" s="102"/>
      <c r="I365" s="103"/>
      <c r="J365" s="103"/>
      <c r="K365" s="2" t="s">
        <v>244</v>
      </c>
      <c r="L365" s="100">
        <v>44601.0</v>
      </c>
      <c r="M365" s="101">
        <v>0.48203703703703704</v>
      </c>
      <c r="P365" s="104" t="b">
        <f>IFNA(IF(VLOOKUP($A365,'Add from APT'!$AA$2:$AC826,3,FALSE)&gt;0,TRUE,FALSE),"ER - NOT IN APT")</f>
        <v>0</v>
      </c>
      <c r="Q365" s="105" t="str">
        <f>IF(ISLOGICAL(P365),IF(P365,"ER - REPS IN APT", IFNA(VLOOKUP($A365,RAW_APT!$A$3:$M826,7,FALSE),"ER - NOT IN APT")),P365)</f>
        <v>Result</v>
      </c>
      <c r="R365" s="106" t="b">
        <f t="shared" si="2"/>
        <v>1</v>
      </c>
      <c r="S365" s="107">
        <f t="shared" si="3"/>
        <v>1</v>
      </c>
      <c r="T365" s="143"/>
      <c r="U365" s="142"/>
      <c r="V365" s="142"/>
      <c r="W365" s="142"/>
      <c r="X365" s="110" t="b">
        <f t="shared" si="4"/>
        <v>0</v>
      </c>
      <c r="Y365" s="111" t="b">
        <v>0</v>
      </c>
      <c r="Z365" s="104" t="str">
        <f t="shared" si="5"/>
        <v/>
      </c>
      <c r="AA365" s="112" t="b">
        <f t="shared" si="6"/>
        <v>0</v>
      </c>
      <c r="AB365" s="142" t="b">
        <v>0</v>
      </c>
      <c r="AC365" s="140">
        <v>443.0</v>
      </c>
      <c r="AD365" s="141" t="b">
        <v>0</v>
      </c>
      <c r="AE365" s="115">
        <f t="shared" si="7"/>
        <v>198.1666667</v>
      </c>
      <c r="AF365" s="116" t="b">
        <f t="shared" si="8"/>
        <v>0</v>
      </c>
      <c r="AG365" s="105" t="b">
        <f t="shared" si="9"/>
        <v>0</v>
      </c>
      <c r="AH365" s="140"/>
      <c r="AI365" s="140"/>
      <c r="AJ365" s="140"/>
      <c r="AK365" s="117" t="str">
        <f t="shared" si="10"/>
        <v>Negative</v>
      </c>
      <c r="AL365" s="142"/>
      <c r="AM365" s="112" t="s">
        <v>261</v>
      </c>
      <c r="AN365" s="112" t="s">
        <v>1162</v>
      </c>
      <c r="AO365" s="112" t="str">
        <f>IFERROR(__xludf.DUMMYFUNCTION("IF($AG365, ""DELETED"",TRIM(JOIN("" "",D365:E365)))"),"")</f>
        <v/>
      </c>
      <c r="AP365" s="112" t="str">
        <f t="shared" ref="AP365:AQ365" si="390">IF($AG365, "DELETED", TRIM(CONCATENATE(F365,I365,U365)))</f>
        <v/>
      </c>
      <c r="AQ365" s="112" t="str">
        <f t="shared" si="390"/>
        <v/>
      </c>
      <c r="AR365" s="112" t="str">
        <f>IFERROR(__xludf.DUMMYFUNCTION("IF($AG365, ""DELETED"", TRIM(JOIN("" "",AP365,AQ365)))"),"")</f>
        <v/>
      </c>
      <c r="AS365" s="118"/>
      <c r="AT365" s="110" t="b">
        <f t="shared" si="12"/>
        <v>0</v>
      </c>
      <c r="AU365" s="110" t="str">
        <f t="shared" si="13"/>
        <v/>
      </c>
      <c r="AV365" s="110" t="str">
        <f t="shared" si="14"/>
        <v/>
      </c>
      <c r="AW365" s="110" t="str">
        <f t="shared" si="15"/>
        <v/>
      </c>
      <c r="AX365" s="119" t="str">
        <f t="shared" si="16"/>
        <v/>
      </c>
      <c r="AY365" s="120"/>
      <c r="AZ365" s="121"/>
      <c r="BA365" s="122" t="str">
        <f t="shared" si="17"/>
        <v/>
      </c>
      <c r="BB365" s="34"/>
      <c r="BC365" s="121"/>
      <c r="BD365" s="136"/>
      <c r="BE365" s="125" t="str">
        <f t="shared" si="18"/>
        <v/>
      </c>
      <c r="BF365" s="126" t="str">
        <f t="shared" si="19"/>
        <v>MAX12__44601_0.344421296296296</v>
      </c>
      <c r="BG365" s="127" t="str">
        <f t="shared" si="20"/>
        <v/>
      </c>
      <c r="BH365" s="137" t="s">
        <v>1163</v>
      </c>
      <c r="BI365" s="128" t="str">
        <f t="shared" si="21"/>
        <v>MA1147</v>
      </c>
      <c r="BJ365" s="129" t="b">
        <f t="shared" si="22"/>
        <v>0</v>
      </c>
      <c r="BK365" s="128" t="str">
        <f t="shared" si="23"/>
        <v/>
      </c>
      <c r="BL365" s="121"/>
      <c r="BM365" s="5" t="str">
        <f t="shared" si="24"/>
        <v>MISSING</v>
      </c>
      <c r="BN365" s="120" t="b">
        <f t="shared" si="25"/>
        <v>0</v>
      </c>
      <c r="BO365" s="131" t="b">
        <f t="shared" si="26"/>
        <v>1</v>
      </c>
      <c r="BP365" s="121"/>
      <c r="BQ365" s="132" t="str">
        <f>VLOOKUP(A365,RAW_APS!A$3:O826,15,FALSE)</f>
        <v/>
      </c>
      <c r="BR365" s="120" t="b">
        <f t="shared" si="27"/>
        <v>1</v>
      </c>
      <c r="BS365" s="121"/>
      <c r="BT365" s="138" t="s">
        <v>244</v>
      </c>
      <c r="BU365" s="10" t="b">
        <f t="shared" si="28"/>
        <v>1</v>
      </c>
      <c r="BV365" s="120"/>
      <c r="BW365" s="120"/>
      <c r="BX365" s="120"/>
      <c r="BY365" s="120"/>
      <c r="BZ365" s="120"/>
      <c r="CA365" s="120"/>
      <c r="CB365" s="120"/>
      <c r="CC365" s="120"/>
    </row>
    <row r="366">
      <c r="A366" s="2" t="s">
        <v>1164</v>
      </c>
      <c r="B366" s="100">
        <v>44601.0</v>
      </c>
      <c r="C366" s="101">
        <v>0.3448726851851852</v>
      </c>
      <c r="D366" s="102"/>
      <c r="E366" s="102"/>
      <c r="F366" s="102"/>
      <c r="G366" s="102"/>
      <c r="H366" s="102"/>
      <c r="I366" s="103"/>
      <c r="J366" s="103"/>
      <c r="K366" s="2" t="s">
        <v>244</v>
      </c>
      <c r="L366" s="100">
        <v>44601.0</v>
      </c>
      <c r="M366" s="101">
        <v>0.48203703703703704</v>
      </c>
      <c r="P366" s="104" t="b">
        <f>IFNA(IF(VLOOKUP($A366,'Add from APT'!$AA$2:$AC826,3,FALSE)&gt;0,TRUE,FALSE),"ER - NOT IN APT")</f>
        <v>0</v>
      </c>
      <c r="Q366" s="105" t="str">
        <f>IF(ISLOGICAL(P366),IF(P366,"ER - REPS IN APT", IFNA(VLOOKUP($A366,RAW_APT!$A$3:$M826,7,FALSE),"ER - NOT IN APT")),P366)</f>
        <v>Result</v>
      </c>
      <c r="R366" s="106" t="b">
        <f t="shared" si="2"/>
        <v>1</v>
      </c>
      <c r="S366" s="107">
        <f t="shared" si="3"/>
        <v>1</v>
      </c>
      <c r="T366" s="143"/>
      <c r="U366" s="142"/>
      <c r="V366" s="142"/>
      <c r="W366" s="142"/>
      <c r="X366" s="110" t="b">
        <f t="shared" si="4"/>
        <v>0</v>
      </c>
      <c r="Y366" s="111" t="b">
        <v>0</v>
      </c>
      <c r="Z366" s="104" t="str">
        <f t="shared" si="5"/>
        <v/>
      </c>
      <c r="AA366" s="112" t="b">
        <f t="shared" si="6"/>
        <v>0</v>
      </c>
      <c r="AB366" s="142" t="b">
        <v>0</v>
      </c>
      <c r="AC366" s="140">
        <v>442.0</v>
      </c>
      <c r="AD366" s="141" t="b">
        <v>0</v>
      </c>
      <c r="AE366" s="115">
        <f t="shared" si="7"/>
        <v>197.5166667</v>
      </c>
      <c r="AF366" s="116" t="b">
        <f t="shared" si="8"/>
        <v>0</v>
      </c>
      <c r="AG366" s="105" t="b">
        <f t="shared" si="9"/>
        <v>0</v>
      </c>
      <c r="AH366" s="140"/>
      <c r="AI366" s="140"/>
      <c r="AJ366" s="140"/>
      <c r="AK366" s="117" t="str">
        <f t="shared" si="10"/>
        <v>Negative</v>
      </c>
      <c r="AL366" s="142"/>
      <c r="AM366" s="112" t="s">
        <v>261</v>
      </c>
      <c r="AN366" s="112" t="s">
        <v>458</v>
      </c>
      <c r="AO366" s="112" t="str">
        <f>IFERROR(__xludf.DUMMYFUNCTION("IF($AG366, ""DELETED"",TRIM(JOIN("" "",D366:E366)))"),"")</f>
        <v/>
      </c>
      <c r="AP366" s="112" t="str">
        <f t="shared" ref="AP366:AQ366" si="391">IF($AG366, "DELETED", TRIM(CONCATENATE(F366,I366,U366)))</f>
        <v/>
      </c>
      <c r="AQ366" s="112" t="str">
        <f t="shared" si="391"/>
        <v/>
      </c>
      <c r="AR366" s="112" t="str">
        <f>IFERROR(__xludf.DUMMYFUNCTION("IF($AG366, ""DELETED"", TRIM(JOIN("" "",AP366,AQ366)))"),"")</f>
        <v/>
      </c>
      <c r="AS366" s="118"/>
      <c r="AT366" s="110" t="b">
        <f t="shared" si="12"/>
        <v>0</v>
      </c>
      <c r="AU366" s="110" t="str">
        <f t="shared" si="13"/>
        <v/>
      </c>
      <c r="AV366" s="110" t="str">
        <f t="shared" si="14"/>
        <v/>
      </c>
      <c r="AW366" s="110" t="str">
        <f t="shared" si="15"/>
        <v/>
      </c>
      <c r="AX366" s="119" t="str">
        <f t="shared" si="16"/>
        <v/>
      </c>
      <c r="AY366" s="120"/>
      <c r="AZ366" s="121"/>
      <c r="BA366" s="122" t="str">
        <f t="shared" si="17"/>
        <v/>
      </c>
      <c r="BB366" s="34"/>
      <c r="BC366" s="121"/>
      <c r="BD366" s="136"/>
      <c r="BE366" s="125" t="str">
        <f t="shared" si="18"/>
        <v/>
      </c>
      <c r="BF366" s="126" t="str">
        <f t="shared" si="19"/>
        <v>MAX116__44601_0.344872685185185</v>
      </c>
      <c r="BG366" s="127" t="str">
        <f t="shared" si="20"/>
        <v/>
      </c>
      <c r="BH366" s="137" t="s">
        <v>1165</v>
      </c>
      <c r="BI366" s="128" t="str">
        <f t="shared" si="21"/>
        <v>MA1149</v>
      </c>
      <c r="BJ366" s="129" t="b">
        <f t="shared" si="22"/>
        <v>0</v>
      </c>
      <c r="BK366" s="128" t="str">
        <f t="shared" si="23"/>
        <v/>
      </c>
      <c r="BL366" s="121"/>
      <c r="BM366" s="5" t="str">
        <f t="shared" si="24"/>
        <v>MISSING</v>
      </c>
      <c r="BN366" s="120" t="b">
        <f t="shared" si="25"/>
        <v>0</v>
      </c>
      <c r="BO366" s="131" t="b">
        <f t="shared" si="26"/>
        <v>1</v>
      </c>
      <c r="BP366" s="121"/>
      <c r="BQ366" s="132" t="str">
        <f>VLOOKUP(A366,RAW_APS!A$3:O826,15,FALSE)</f>
        <v/>
      </c>
      <c r="BR366" s="120" t="b">
        <f t="shared" si="27"/>
        <v>1</v>
      </c>
      <c r="BS366" s="121"/>
      <c r="BT366" s="138" t="s">
        <v>244</v>
      </c>
      <c r="BU366" s="10" t="b">
        <f t="shared" si="28"/>
        <v>1</v>
      </c>
      <c r="BV366" s="120"/>
      <c r="BW366" s="120"/>
      <c r="BX366" s="120"/>
      <c r="BY366" s="120"/>
      <c r="BZ366" s="120"/>
      <c r="CA366" s="120"/>
      <c r="CB366" s="120"/>
      <c r="CC366" s="120"/>
    </row>
    <row r="367">
      <c r="A367" s="2" t="s">
        <v>1166</v>
      </c>
      <c r="B367" s="100">
        <v>44601.0</v>
      </c>
      <c r="C367" s="101">
        <v>0.34546296296296297</v>
      </c>
      <c r="D367" s="102"/>
      <c r="E367" s="102"/>
      <c r="F367" s="103"/>
      <c r="G367" s="148"/>
      <c r="H367" s="148"/>
      <c r="I367" s="103"/>
      <c r="J367" s="103"/>
      <c r="K367" s="2" t="s">
        <v>244</v>
      </c>
      <c r="L367" s="100">
        <v>44601.0</v>
      </c>
      <c r="M367" s="101">
        <v>0.48203703703703704</v>
      </c>
      <c r="P367" s="104" t="b">
        <f>IFNA(IF(VLOOKUP($A367,'Add from APT'!$AA$2:$AC826,3,FALSE)&gt;0,TRUE,FALSE),"ER - NOT IN APT")</f>
        <v>0</v>
      </c>
      <c r="Q367" s="105" t="str">
        <f>IF(ISLOGICAL(P367),IF(P367,"ER - REPS IN APT", IFNA(VLOOKUP($A367,RAW_APT!$A$3:$M826,7,FALSE),"ER - NOT IN APT")),P367)</f>
        <v>Result</v>
      </c>
      <c r="R367" s="106" t="b">
        <f t="shared" si="2"/>
        <v>1</v>
      </c>
      <c r="S367" s="107">
        <f t="shared" si="3"/>
        <v>1</v>
      </c>
      <c r="T367" s="140">
        <v>0.0</v>
      </c>
      <c r="V367" s="142"/>
      <c r="W367" s="141"/>
      <c r="X367" s="110" t="b">
        <f t="shared" si="4"/>
        <v>0</v>
      </c>
      <c r="Y367" s="111" t="b">
        <v>0</v>
      </c>
      <c r="Z367" s="104" t="str">
        <f t="shared" si="5"/>
        <v/>
      </c>
      <c r="AA367" s="112" t="b">
        <f t="shared" si="6"/>
        <v>0</v>
      </c>
      <c r="AB367" s="142" t="b">
        <v>0</v>
      </c>
      <c r="AC367" s="140">
        <v>441.0</v>
      </c>
      <c r="AD367" s="141" t="b">
        <v>0</v>
      </c>
      <c r="AE367" s="115">
        <f t="shared" si="7"/>
        <v>196.6666667</v>
      </c>
      <c r="AF367" s="116" t="b">
        <f t="shared" si="8"/>
        <v>0</v>
      </c>
      <c r="AG367" s="105" t="b">
        <f t="shared" si="9"/>
        <v>0</v>
      </c>
      <c r="AH367" s="140"/>
      <c r="AI367" s="140"/>
      <c r="AJ367" s="140"/>
      <c r="AK367" s="117" t="str">
        <f t="shared" si="10"/>
        <v>Negative</v>
      </c>
      <c r="AL367" s="141"/>
      <c r="AM367" s="112" t="s">
        <v>261</v>
      </c>
      <c r="AN367" s="112" t="s">
        <v>1167</v>
      </c>
      <c r="AO367" s="112" t="str">
        <f>IFERROR(__xludf.DUMMYFUNCTION("IF($AG367, ""DELETED"",TRIM(JOIN("" "",D367:E367)))"),"")</f>
        <v/>
      </c>
      <c r="AP367" s="112" t="str">
        <f t="shared" ref="AP367:AQ367" si="392">IF($AG367, "DELETED", TRIM(CONCATENATE(F367,I367,U367)))</f>
        <v/>
      </c>
      <c r="AQ367" s="112" t="str">
        <f t="shared" si="392"/>
        <v/>
      </c>
      <c r="AR367" s="112" t="str">
        <f>IFERROR(__xludf.DUMMYFUNCTION("IF($AG367, ""DELETED"", TRIM(JOIN("" "",AP367,AQ367)))"),"")</f>
        <v/>
      </c>
      <c r="AS367" s="118"/>
      <c r="AT367" s="110" t="b">
        <f t="shared" si="12"/>
        <v>0</v>
      </c>
      <c r="AU367" s="110" t="str">
        <f t="shared" si="13"/>
        <v/>
      </c>
      <c r="AV367" s="110" t="str">
        <f t="shared" si="14"/>
        <v/>
      </c>
      <c r="AW367" s="110" t="str">
        <f t="shared" si="15"/>
        <v/>
      </c>
      <c r="AX367" s="119" t="str">
        <f t="shared" si="16"/>
        <v/>
      </c>
      <c r="AY367" s="120"/>
      <c r="AZ367" s="121"/>
      <c r="BA367" s="122" t="str">
        <f t="shared" si="17"/>
        <v/>
      </c>
      <c r="BB367" s="34"/>
      <c r="BC367" s="121"/>
      <c r="BD367" s="136"/>
      <c r="BE367" s="125" t="str">
        <f t="shared" si="18"/>
        <v/>
      </c>
      <c r="BF367" s="126" t="str">
        <f t="shared" si="19"/>
        <v>MAX67__44601_0.345462962962963</v>
      </c>
      <c r="BG367" s="127" t="str">
        <f t="shared" si="20"/>
        <v/>
      </c>
      <c r="BH367" s="137" t="s">
        <v>1168</v>
      </c>
      <c r="BI367" s="128" t="str">
        <f t="shared" si="21"/>
        <v>MA1150</v>
      </c>
      <c r="BJ367" s="129" t="b">
        <f t="shared" si="22"/>
        <v>0</v>
      </c>
      <c r="BK367" s="128" t="str">
        <f t="shared" si="23"/>
        <v/>
      </c>
      <c r="BL367" s="121"/>
      <c r="BM367" s="5" t="str">
        <f t="shared" si="24"/>
        <v>MISSING</v>
      </c>
      <c r="BN367" s="120" t="b">
        <f t="shared" si="25"/>
        <v>0</v>
      </c>
      <c r="BO367" s="131" t="b">
        <f t="shared" si="26"/>
        <v>1</v>
      </c>
      <c r="BP367" s="121"/>
      <c r="BQ367" s="132" t="str">
        <f>VLOOKUP(A367,RAW_APS!A$3:O826,15,FALSE)</f>
        <v/>
      </c>
      <c r="BR367" s="120" t="b">
        <f t="shared" si="27"/>
        <v>1</v>
      </c>
      <c r="BS367" s="121"/>
      <c r="BT367" s="138" t="s">
        <v>244</v>
      </c>
      <c r="BU367" s="10" t="b">
        <f t="shared" si="28"/>
        <v>1</v>
      </c>
      <c r="BV367" s="120"/>
      <c r="BW367" s="120"/>
      <c r="BX367" s="120"/>
      <c r="BY367" s="120"/>
      <c r="BZ367" s="120"/>
      <c r="CA367" s="120"/>
      <c r="CB367" s="120"/>
      <c r="CC367" s="120"/>
    </row>
    <row r="368">
      <c r="A368" s="2" t="s">
        <v>1169</v>
      </c>
      <c r="B368" s="100">
        <v>44601.0</v>
      </c>
      <c r="C368" s="101">
        <v>0.34578703703703706</v>
      </c>
      <c r="D368" s="102"/>
      <c r="E368" s="102"/>
      <c r="F368" s="103"/>
      <c r="G368" s="148"/>
      <c r="H368" s="148"/>
      <c r="I368" s="103"/>
      <c r="J368" s="103"/>
      <c r="K368" s="2" t="s">
        <v>244</v>
      </c>
      <c r="L368" s="100">
        <v>44601.0</v>
      </c>
      <c r="M368" s="101">
        <v>0.48203703703703704</v>
      </c>
      <c r="P368" s="104" t="b">
        <f>IFNA(IF(VLOOKUP($A368,'Add from APT'!$AA$2:$AC826,3,FALSE)&gt;0,TRUE,FALSE),"ER - NOT IN APT")</f>
        <v>0</v>
      </c>
      <c r="Q368" s="105" t="str">
        <f>IF(ISLOGICAL(P368),IF(P368,"ER - REPS IN APT", IFNA(VLOOKUP($A368,RAW_APT!$A$3:$M826,7,FALSE),"ER - NOT IN APT")),P368)</f>
        <v>Result</v>
      </c>
      <c r="R368" s="106" t="b">
        <f t="shared" si="2"/>
        <v>1</v>
      </c>
      <c r="S368" s="107">
        <f t="shared" si="3"/>
        <v>1</v>
      </c>
      <c r="T368" s="140">
        <v>0.0</v>
      </c>
      <c r="V368" s="142"/>
      <c r="W368" s="142"/>
      <c r="X368" s="110" t="b">
        <f t="shared" si="4"/>
        <v>0</v>
      </c>
      <c r="Y368" s="111" t="b">
        <v>0</v>
      </c>
      <c r="Z368" s="104" t="str">
        <f t="shared" si="5"/>
        <v/>
      </c>
      <c r="AA368" s="112" t="b">
        <f t="shared" si="6"/>
        <v>0</v>
      </c>
      <c r="AB368" s="142" t="b">
        <v>0</v>
      </c>
      <c r="AC368" s="140">
        <v>440.0</v>
      </c>
      <c r="AD368" s="141" t="b">
        <v>0</v>
      </c>
      <c r="AE368" s="115">
        <f t="shared" si="7"/>
        <v>196.2</v>
      </c>
      <c r="AF368" s="116" t="b">
        <f t="shared" si="8"/>
        <v>0</v>
      </c>
      <c r="AG368" s="105" t="b">
        <f t="shared" si="9"/>
        <v>0</v>
      </c>
      <c r="AH368" s="140"/>
      <c r="AI368" s="140"/>
      <c r="AJ368" s="140"/>
      <c r="AK368" s="117" t="str">
        <f t="shared" si="10"/>
        <v>Negative</v>
      </c>
      <c r="AL368" s="142"/>
      <c r="AM368" s="112" t="s">
        <v>261</v>
      </c>
      <c r="AN368" s="112" t="s">
        <v>1170</v>
      </c>
      <c r="AO368" s="112" t="str">
        <f>IFERROR(__xludf.DUMMYFUNCTION("IF($AG368, ""DELETED"",TRIM(JOIN("" "",D368:E368)))"),"")</f>
        <v/>
      </c>
      <c r="AP368" s="112" t="str">
        <f t="shared" ref="AP368:AQ368" si="393">IF($AG368, "DELETED", TRIM(CONCATENATE(F368,I368,U368)))</f>
        <v/>
      </c>
      <c r="AQ368" s="112" t="str">
        <f t="shared" si="393"/>
        <v/>
      </c>
      <c r="AR368" s="112" t="str">
        <f>IFERROR(__xludf.DUMMYFUNCTION("IF($AG368, ""DELETED"", TRIM(JOIN("" "",AP368,AQ368)))"),"")</f>
        <v/>
      </c>
      <c r="AS368" s="118"/>
      <c r="AT368" s="110" t="b">
        <f t="shared" si="12"/>
        <v>0</v>
      </c>
      <c r="AU368" s="110" t="str">
        <f t="shared" si="13"/>
        <v/>
      </c>
      <c r="AV368" s="110" t="str">
        <f t="shared" si="14"/>
        <v/>
      </c>
      <c r="AW368" s="110" t="str">
        <f t="shared" si="15"/>
        <v/>
      </c>
      <c r="AX368" s="119" t="str">
        <f t="shared" si="16"/>
        <v/>
      </c>
      <c r="AY368" s="120"/>
      <c r="AZ368" s="121"/>
      <c r="BA368" s="122" t="str">
        <f t="shared" si="17"/>
        <v/>
      </c>
      <c r="BB368" s="34"/>
      <c r="BC368" s="121"/>
      <c r="BD368" s="136"/>
      <c r="BE368" s="125" t="str">
        <f t="shared" si="18"/>
        <v/>
      </c>
      <c r="BF368" s="126" t="str">
        <f t="shared" si="19"/>
        <v>MAX75__44601_0.345787037037037</v>
      </c>
      <c r="BG368" s="127" t="str">
        <f t="shared" si="20"/>
        <v/>
      </c>
      <c r="BH368" s="137" t="s">
        <v>1171</v>
      </c>
      <c r="BI368" s="128" t="str">
        <f t="shared" si="21"/>
        <v>MA1151</v>
      </c>
      <c r="BJ368" s="129" t="b">
        <f t="shared" si="22"/>
        <v>0</v>
      </c>
      <c r="BK368" s="128" t="str">
        <f t="shared" si="23"/>
        <v/>
      </c>
      <c r="BL368" s="121"/>
      <c r="BM368" s="5" t="str">
        <f t="shared" si="24"/>
        <v>MISSING</v>
      </c>
      <c r="BN368" s="120" t="b">
        <f t="shared" si="25"/>
        <v>0</v>
      </c>
      <c r="BO368" s="131" t="b">
        <f t="shared" si="26"/>
        <v>1</v>
      </c>
      <c r="BP368" s="121"/>
      <c r="BQ368" s="132" t="str">
        <f>VLOOKUP(A368,RAW_APS!A$3:O826,15,FALSE)</f>
        <v/>
      </c>
      <c r="BR368" s="120" t="b">
        <f t="shared" si="27"/>
        <v>1</v>
      </c>
      <c r="BS368" s="121"/>
      <c r="BT368" s="138" t="s">
        <v>244</v>
      </c>
      <c r="BU368" s="10" t="b">
        <f t="shared" si="28"/>
        <v>1</v>
      </c>
      <c r="BV368" s="120"/>
      <c r="BW368" s="120"/>
      <c r="BX368" s="120"/>
      <c r="BY368" s="120"/>
      <c r="BZ368" s="120"/>
      <c r="CA368" s="120"/>
      <c r="CB368" s="120"/>
      <c r="CC368" s="120"/>
    </row>
    <row r="369">
      <c r="A369" s="2" t="s">
        <v>1172</v>
      </c>
      <c r="B369" s="100">
        <v>44601.0</v>
      </c>
      <c r="C369" s="101">
        <v>0.34619212962962964</v>
      </c>
      <c r="D369" s="102"/>
      <c r="E369" s="102"/>
      <c r="F369" s="103"/>
      <c r="G369" s="148"/>
      <c r="H369" s="148"/>
      <c r="I369" s="103"/>
      <c r="J369" s="103"/>
      <c r="K369" s="2" t="s">
        <v>244</v>
      </c>
      <c r="L369" s="100">
        <v>44601.0</v>
      </c>
      <c r="M369" s="101">
        <v>0.48203703703703704</v>
      </c>
      <c r="P369" s="104" t="b">
        <f>IFNA(IF(VLOOKUP($A369,'Add from APT'!$AA$2:$AC826,3,FALSE)&gt;0,TRUE,FALSE),"ER - NOT IN APT")</f>
        <v>0</v>
      </c>
      <c r="Q369" s="105" t="str">
        <f>IF(ISLOGICAL(P369),IF(P369,"ER - REPS IN APT", IFNA(VLOOKUP($A369,RAW_APT!$A$3:$M826,7,FALSE),"ER - NOT IN APT")),P369)</f>
        <v>Result</v>
      </c>
      <c r="R369" s="106" t="b">
        <f t="shared" si="2"/>
        <v>1</v>
      </c>
      <c r="S369" s="107">
        <f t="shared" si="3"/>
        <v>1</v>
      </c>
      <c r="T369" s="140">
        <v>0.0</v>
      </c>
      <c r="V369" s="142"/>
      <c r="W369" s="141"/>
      <c r="X369" s="110" t="b">
        <f t="shared" si="4"/>
        <v>0</v>
      </c>
      <c r="Y369" s="111" t="b">
        <v>0</v>
      </c>
      <c r="Z369" s="104" t="str">
        <f t="shared" si="5"/>
        <v/>
      </c>
      <c r="AA369" s="112" t="b">
        <f t="shared" si="6"/>
        <v>0</v>
      </c>
      <c r="AB369" s="142" t="b">
        <v>0</v>
      </c>
      <c r="AC369" s="140">
        <v>439.0</v>
      </c>
      <c r="AD369" s="141" t="b">
        <v>0</v>
      </c>
      <c r="AE369" s="115">
        <f t="shared" si="7"/>
        <v>195.6166667</v>
      </c>
      <c r="AF369" s="116" t="b">
        <f t="shared" si="8"/>
        <v>0</v>
      </c>
      <c r="AG369" s="105" t="b">
        <f t="shared" si="9"/>
        <v>0</v>
      </c>
      <c r="AH369" s="144"/>
      <c r="AI369" s="4"/>
      <c r="AJ369" s="3"/>
      <c r="AK369" s="117" t="str">
        <f t="shared" si="10"/>
        <v>Negative</v>
      </c>
      <c r="AL369" s="5"/>
      <c r="AM369" s="112" t="s">
        <v>261</v>
      </c>
      <c r="AN369" s="112" t="s">
        <v>1173</v>
      </c>
      <c r="AO369" s="112" t="str">
        <f>IFERROR(__xludf.DUMMYFUNCTION("IF($AG369, ""DELETED"",TRIM(JOIN("" "",D369:E369)))"),"")</f>
        <v/>
      </c>
      <c r="AP369" s="112" t="str">
        <f t="shared" ref="AP369:AQ369" si="394">IF($AG369, "DELETED", TRIM(CONCATENATE(F369,I369,U369)))</f>
        <v/>
      </c>
      <c r="AQ369" s="112" t="str">
        <f t="shared" si="394"/>
        <v/>
      </c>
      <c r="AR369" s="112" t="str">
        <f>IFERROR(__xludf.DUMMYFUNCTION("IF($AG369, ""DELETED"", TRIM(JOIN("" "",AP369,AQ369)))"),"")</f>
        <v/>
      </c>
      <c r="AS369" s="118"/>
      <c r="AT369" s="110" t="b">
        <f t="shared" si="12"/>
        <v>0</v>
      </c>
      <c r="AU369" s="110" t="str">
        <f t="shared" si="13"/>
        <v/>
      </c>
      <c r="AV369" s="110" t="str">
        <f t="shared" si="14"/>
        <v/>
      </c>
      <c r="AW369" s="110" t="str">
        <f t="shared" si="15"/>
        <v/>
      </c>
      <c r="AX369" s="119" t="str">
        <f t="shared" si="16"/>
        <v/>
      </c>
      <c r="AY369" s="120"/>
      <c r="AZ369" s="121"/>
      <c r="BA369" s="122" t="str">
        <f t="shared" si="17"/>
        <v/>
      </c>
      <c r="BB369" s="34"/>
      <c r="BC369" s="121"/>
      <c r="BD369" s="136"/>
      <c r="BE369" s="125" t="str">
        <f t="shared" si="18"/>
        <v/>
      </c>
      <c r="BF369" s="126" t="str">
        <f t="shared" si="19"/>
        <v>MAX131__44601_0.34619212962963</v>
      </c>
      <c r="BG369" s="127" t="str">
        <f t="shared" si="20"/>
        <v/>
      </c>
      <c r="BH369" s="137" t="s">
        <v>1174</v>
      </c>
      <c r="BI369" s="128" t="str">
        <f t="shared" si="21"/>
        <v>MA1152</v>
      </c>
      <c r="BJ369" s="129" t="b">
        <f t="shared" si="22"/>
        <v>0</v>
      </c>
      <c r="BK369" s="128" t="str">
        <f t="shared" si="23"/>
        <v/>
      </c>
      <c r="BL369" s="121"/>
      <c r="BM369" s="5" t="str">
        <f t="shared" si="24"/>
        <v>MISSING</v>
      </c>
      <c r="BN369" s="120" t="b">
        <f t="shared" si="25"/>
        <v>0</v>
      </c>
      <c r="BO369" s="131" t="b">
        <f t="shared" si="26"/>
        <v>1</v>
      </c>
      <c r="BP369" s="121"/>
      <c r="BQ369" s="132" t="str">
        <f>VLOOKUP(A369,RAW_APS!A$3:O826,15,FALSE)</f>
        <v/>
      </c>
      <c r="BR369" s="120" t="b">
        <f t="shared" si="27"/>
        <v>1</v>
      </c>
      <c r="BS369" s="121"/>
      <c r="BT369" s="138" t="s">
        <v>244</v>
      </c>
      <c r="BU369" s="10" t="b">
        <f t="shared" si="28"/>
        <v>1</v>
      </c>
      <c r="BV369" s="120"/>
      <c r="BW369" s="120"/>
      <c r="BX369" s="120"/>
      <c r="BY369" s="120"/>
      <c r="BZ369" s="120"/>
      <c r="CA369" s="120"/>
      <c r="CB369" s="120"/>
      <c r="CC369" s="120"/>
    </row>
    <row r="370">
      <c r="A370" s="2" t="s">
        <v>1175</v>
      </c>
      <c r="B370" s="100">
        <v>44601.0</v>
      </c>
      <c r="C370" s="101">
        <v>0.3908912037037037</v>
      </c>
      <c r="D370" s="102"/>
      <c r="E370" s="102"/>
      <c r="F370" s="102"/>
      <c r="G370" s="102"/>
      <c r="H370" s="102"/>
      <c r="I370" s="103"/>
      <c r="J370" s="103"/>
      <c r="K370" s="2" t="s">
        <v>244</v>
      </c>
      <c r="L370" s="100">
        <v>44601.0</v>
      </c>
      <c r="M370" s="101">
        <v>0.48203703703703704</v>
      </c>
      <c r="P370" s="104" t="b">
        <f>IFNA(IF(VLOOKUP($A370,'Add from APT'!$AA$2:$AC826,3,FALSE)&gt;0,TRUE,FALSE),"ER - NOT IN APT")</f>
        <v>0</v>
      </c>
      <c r="Q370" s="105" t="str">
        <f>IF(ISLOGICAL(P370),IF(P370,"ER - REPS IN APT", IFNA(VLOOKUP($A370,RAW_APT!$A$3:$M826,7,FALSE),"ER - NOT IN APT")),P370)</f>
        <v>Result</v>
      </c>
      <c r="R370" s="106" t="b">
        <f t="shared" si="2"/>
        <v>1</v>
      </c>
      <c r="S370" s="107">
        <f t="shared" si="3"/>
        <v>1</v>
      </c>
      <c r="T370" s="143"/>
      <c r="U370" s="142"/>
      <c r="V370" s="142"/>
      <c r="W370" s="142"/>
      <c r="X370" s="110" t="b">
        <f t="shared" si="4"/>
        <v>0</v>
      </c>
      <c r="Y370" s="111" t="b">
        <v>0</v>
      </c>
      <c r="Z370" s="104" t="str">
        <f t="shared" si="5"/>
        <v/>
      </c>
      <c r="AA370" s="112" t="b">
        <f t="shared" si="6"/>
        <v>0</v>
      </c>
      <c r="AB370" s="142" t="b">
        <v>0</v>
      </c>
      <c r="AC370" s="140">
        <v>438.0</v>
      </c>
      <c r="AD370" s="141" t="b">
        <v>0</v>
      </c>
      <c r="AE370" s="115">
        <f t="shared" si="7"/>
        <v>131.25</v>
      </c>
      <c r="AF370" s="116" t="b">
        <f t="shared" si="8"/>
        <v>0</v>
      </c>
      <c r="AG370" s="105" t="b">
        <f t="shared" si="9"/>
        <v>0</v>
      </c>
      <c r="AH370" s="140"/>
      <c r="AI370" s="140"/>
      <c r="AJ370" s="140"/>
      <c r="AK370" s="117" t="str">
        <f t="shared" si="10"/>
        <v>Negative</v>
      </c>
      <c r="AL370" s="142"/>
      <c r="AM370" s="112" t="s">
        <v>261</v>
      </c>
      <c r="AN370" s="112" t="s">
        <v>262</v>
      </c>
      <c r="AO370" s="112" t="str">
        <f>IFERROR(__xludf.DUMMYFUNCTION("IF($AG370, ""DELETED"",TRIM(JOIN("" "",D370:E370)))"),"")</f>
        <v/>
      </c>
      <c r="AP370" s="112" t="str">
        <f t="shared" ref="AP370:AQ370" si="395">IF($AG370, "DELETED", TRIM(CONCATENATE(F370,I370,U370)))</f>
        <v/>
      </c>
      <c r="AQ370" s="112" t="str">
        <f t="shared" si="395"/>
        <v/>
      </c>
      <c r="AR370" s="112" t="str">
        <f>IFERROR(__xludf.DUMMYFUNCTION("IF($AG370, ""DELETED"", TRIM(JOIN("" "",AP370,AQ370)))"),"")</f>
        <v/>
      </c>
      <c r="AS370" s="118"/>
      <c r="AT370" s="110" t="b">
        <f t="shared" si="12"/>
        <v>0</v>
      </c>
      <c r="AU370" s="110" t="str">
        <f t="shared" si="13"/>
        <v/>
      </c>
      <c r="AV370" s="110" t="str">
        <f t="shared" si="14"/>
        <v/>
      </c>
      <c r="AW370" s="110" t="str">
        <f t="shared" si="15"/>
        <v/>
      </c>
      <c r="AX370" s="119" t="str">
        <f t="shared" si="16"/>
        <v/>
      </c>
      <c r="AY370" s="120"/>
      <c r="AZ370" s="121"/>
      <c r="BA370" s="122" t="str">
        <f t="shared" si="17"/>
        <v/>
      </c>
      <c r="BB370" s="34"/>
      <c r="BC370" s="121"/>
      <c r="BD370" s="136"/>
      <c r="BE370" s="125" t="str">
        <f t="shared" si="18"/>
        <v/>
      </c>
      <c r="BF370" s="126" t="str">
        <f t="shared" si="19"/>
        <v>MAX120__44601_0.390891203703704</v>
      </c>
      <c r="BG370" s="127" t="str">
        <f t="shared" si="20"/>
        <v/>
      </c>
      <c r="BH370" s="137" t="s">
        <v>1176</v>
      </c>
      <c r="BI370" s="128" t="str">
        <f t="shared" si="21"/>
        <v>MA1153</v>
      </c>
      <c r="BJ370" s="129" t="b">
        <f t="shared" si="22"/>
        <v>0</v>
      </c>
      <c r="BK370" s="128" t="str">
        <f t="shared" si="23"/>
        <v/>
      </c>
      <c r="BL370" s="121"/>
      <c r="BM370" s="5" t="str">
        <f t="shared" si="24"/>
        <v>MISSING</v>
      </c>
      <c r="BN370" s="120" t="b">
        <f t="shared" si="25"/>
        <v>0</v>
      </c>
      <c r="BO370" s="131" t="b">
        <f t="shared" si="26"/>
        <v>1</v>
      </c>
      <c r="BP370" s="121"/>
      <c r="BQ370" s="132" t="str">
        <f>VLOOKUP(A370,RAW_APS!A$3:O826,15,FALSE)</f>
        <v/>
      </c>
      <c r="BR370" s="120" t="b">
        <f t="shared" si="27"/>
        <v>1</v>
      </c>
      <c r="BS370" s="121"/>
      <c r="BT370" s="138" t="s">
        <v>244</v>
      </c>
      <c r="BU370" s="10" t="b">
        <f t="shared" si="28"/>
        <v>1</v>
      </c>
      <c r="BV370" s="120"/>
      <c r="BW370" s="120"/>
      <c r="BX370" s="120"/>
      <c r="BY370" s="120"/>
      <c r="BZ370" s="120"/>
      <c r="CA370" s="120"/>
      <c r="CB370" s="120"/>
      <c r="CC370" s="120"/>
    </row>
    <row r="371">
      <c r="A371" s="2" t="s">
        <v>1177</v>
      </c>
      <c r="B371" s="100">
        <v>44601.0</v>
      </c>
      <c r="C371" s="101">
        <v>0.3924884259259259</v>
      </c>
      <c r="D371" s="102"/>
      <c r="E371" s="102"/>
      <c r="F371" s="139"/>
      <c r="G371" s="139"/>
      <c r="H371" s="139"/>
      <c r="I371" s="103"/>
      <c r="J371" s="103"/>
      <c r="K371" s="2" t="s">
        <v>244</v>
      </c>
      <c r="L371" s="100">
        <v>44601.0</v>
      </c>
      <c r="M371" s="101">
        <v>0.48203703703703704</v>
      </c>
      <c r="P371" s="104" t="b">
        <f>IFNA(IF(VLOOKUP($A371,'Add from APT'!$AA$2:$AC826,3,FALSE)&gt;0,TRUE,FALSE),"ER - NOT IN APT")</f>
        <v>0</v>
      </c>
      <c r="Q371" s="105" t="str">
        <f>IF(ISLOGICAL(P371),IF(P371,"ER - REPS IN APT", IFNA(VLOOKUP($A371,RAW_APT!$A$3:$M826,7,FALSE),"ER - NOT IN APT")),P371)</f>
        <v>Result</v>
      </c>
      <c r="R371" s="106" t="b">
        <f t="shared" si="2"/>
        <v>1</v>
      </c>
      <c r="S371" s="107">
        <f t="shared" si="3"/>
        <v>1</v>
      </c>
      <c r="T371" s="140">
        <v>0.0</v>
      </c>
      <c r="U371" s="141"/>
      <c r="V371" s="141"/>
      <c r="W371" s="141"/>
      <c r="X371" s="110" t="b">
        <f t="shared" si="4"/>
        <v>0</v>
      </c>
      <c r="Y371" s="10" t="b">
        <v>0</v>
      </c>
      <c r="Z371" s="104" t="str">
        <f t="shared" si="5"/>
        <v/>
      </c>
      <c r="AA371" s="112" t="b">
        <f t="shared" si="6"/>
        <v>0</v>
      </c>
      <c r="AB371" s="142" t="b">
        <v>0</v>
      </c>
      <c r="AC371" s="140">
        <v>437.0</v>
      </c>
      <c r="AD371" s="141" t="b">
        <v>0</v>
      </c>
      <c r="AE371" s="115">
        <f t="shared" si="7"/>
        <v>128.95</v>
      </c>
      <c r="AF371" s="116" t="b">
        <f t="shared" si="8"/>
        <v>0</v>
      </c>
      <c r="AG371" s="105" t="b">
        <f t="shared" si="9"/>
        <v>0</v>
      </c>
      <c r="AH371" s="140"/>
      <c r="AI371" s="140"/>
      <c r="AJ371" s="140"/>
      <c r="AK371" s="117" t="str">
        <f t="shared" si="10"/>
        <v>Negative</v>
      </c>
      <c r="AL371" s="142"/>
      <c r="AM371" s="112" t="s">
        <v>261</v>
      </c>
      <c r="AN371" s="112" t="s">
        <v>1178</v>
      </c>
      <c r="AO371" s="112" t="str">
        <f>IFERROR(__xludf.DUMMYFUNCTION("IF($AG371, ""DELETED"",TRIM(JOIN("" "",D371:E371)))"),"")</f>
        <v/>
      </c>
      <c r="AP371" s="112" t="str">
        <f t="shared" ref="AP371:AQ371" si="396">IF($AG371, "DELETED", TRIM(CONCATENATE(F371,I371,U371)))</f>
        <v/>
      </c>
      <c r="AQ371" s="112" t="str">
        <f t="shared" si="396"/>
        <v/>
      </c>
      <c r="AR371" s="112" t="str">
        <f>IFERROR(__xludf.DUMMYFUNCTION("IF($AG371, ""DELETED"", TRIM(JOIN("" "",AP371,AQ371)))"),"")</f>
        <v/>
      </c>
      <c r="AS371" s="118"/>
      <c r="AT371" s="110" t="b">
        <f t="shared" si="12"/>
        <v>0</v>
      </c>
      <c r="AU371" s="110" t="str">
        <f t="shared" si="13"/>
        <v/>
      </c>
      <c r="AV371" s="110" t="str">
        <f t="shared" si="14"/>
        <v/>
      </c>
      <c r="AW371" s="110" t="str">
        <f t="shared" si="15"/>
        <v/>
      </c>
      <c r="AX371" s="119" t="str">
        <f t="shared" si="16"/>
        <v/>
      </c>
      <c r="AY371" s="132"/>
      <c r="AZ371" s="130"/>
      <c r="BA371" s="122" t="str">
        <f t="shared" si="17"/>
        <v/>
      </c>
      <c r="BB371" s="34"/>
      <c r="BC371" s="121"/>
      <c r="BD371" s="136"/>
      <c r="BE371" s="125" t="str">
        <f t="shared" si="18"/>
        <v/>
      </c>
      <c r="BF371" s="126" t="str">
        <f t="shared" si="19"/>
        <v>MA1490__44601_0.392488425925926</v>
      </c>
      <c r="BG371" s="127" t="str">
        <f t="shared" si="20"/>
        <v/>
      </c>
      <c r="BH371" s="137" t="s">
        <v>1179</v>
      </c>
      <c r="BI371" s="128" t="str">
        <f t="shared" si="21"/>
        <v>MA1155</v>
      </c>
      <c r="BJ371" s="129" t="b">
        <f t="shared" si="22"/>
        <v>0</v>
      </c>
      <c r="BK371" s="128" t="str">
        <f t="shared" si="23"/>
        <v/>
      </c>
      <c r="BL371" s="121"/>
      <c r="BM371" s="5" t="str">
        <f t="shared" si="24"/>
        <v>MISSING</v>
      </c>
      <c r="BN371" s="120" t="b">
        <f t="shared" si="25"/>
        <v>0</v>
      </c>
      <c r="BO371" s="131" t="b">
        <f t="shared" si="26"/>
        <v>1</v>
      </c>
      <c r="BP371" s="121"/>
      <c r="BQ371" s="132" t="str">
        <f>VLOOKUP(A371,RAW_APS!A$3:O826,15,FALSE)</f>
        <v/>
      </c>
      <c r="BR371" s="120" t="b">
        <f t="shared" si="27"/>
        <v>1</v>
      </c>
      <c r="BS371" s="121"/>
      <c r="BT371" s="138" t="s">
        <v>244</v>
      </c>
      <c r="BU371" s="10" t="b">
        <f t="shared" si="28"/>
        <v>1</v>
      </c>
      <c r="BV371" s="120"/>
      <c r="BW371" s="120"/>
      <c r="BX371" s="120"/>
      <c r="BY371" s="120"/>
      <c r="BZ371" s="120"/>
      <c r="CA371" s="120"/>
      <c r="CB371" s="120"/>
      <c r="CC371" s="120"/>
    </row>
    <row r="372">
      <c r="A372" s="2" t="s">
        <v>1180</v>
      </c>
      <c r="B372" s="100">
        <v>44603.0</v>
      </c>
      <c r="C372" s="101">
        <v>0.28810185185185183</v>
      </c>
      <c r="D372" s="102"/>
      <c r="E372" s="102"/>
      <c r="F372" s="102"/>
      <c r="G372" s="102"/>
      <c r="H372" s="102"/>
      <c r="I372" s="103"/>
      <c r="J372" s="103"/>
      <c r="K372" s="2" t="s">
        <v>244</v>
      </c>
      <c r="L372" s="100">
        <v>44603.0</v>
      </c>
      <c r="M372" s="101">
        <v>0.46979166666666666</v>
      </c>
      <c r="P372" s="104" t="b">
        <f>IFNA(IF(VLOOKUP($A372,'Add from APT'!$AA$2:$AC826,3,FALSE)&gt;0,TRUE,FALSE),"ER - NOT IN APT")</f>
        <v>0</v>
      </c>
      <c r="Q372" s="105" t="str">
        <f>IF(ISLOGICAL(P372),IF(P372,"ER - REPS IN APT", IFNA(VLOOKUP($A372,RAW_APT!$A$3:$M826,7,FALSE),"ER - NOT IN APT")),P372)</f>
        <v>Result</v>
      </c>
      <c r="R372" s="106" t="b">
        <f t="shared" si="2"/>
        <v>1</v>
      </c>
      <c r="S372" s="107">
        <f t="shared" si="3"/>
        <v>1</v>
      </c>
      <c r="T372" s="143"/>
      <c r="U372" s="142"/>
      <c r="V372" s="142"/>
      <c r="W372" s="142"/>
      <c r="X372" s="110" t="b">
        <f t="shared" si="4"/>
        <v>0</v>
      </c>
      <c r="Y372" s="111" t="b">
        <v>0</v>
      </c>
      <c r="Z372" s="104" t="str">
        <f t="shared" si="5"/>
        <v/>
      </c>
      <c r="AA372" s="112" t="b">
        <f t="shared" si="6"/>
        <v>0</v>
      </c>
      <c r="AB372" s="142" t="b">
        <v>0</v>
      </c>
      <c r="AC372" s="140">
        <v>436.0</v>
      </c>
      <c r="AD372" s="141" t="b">
        <v>0</v>
      </c>
      <c r="AE372" s="115">
        <f t="shared" si="7"/>
        <v>261.6333333</v>
      </c>
      <c r="AF372" s="116" t="b">
        <f t="shared" si="8"/>
        <v>0</v>
      </c>
      <c r="AG372" s="105" t="b">
        <f t="shared" si="9"/>
        <v>0</v>
      </c>
      <c r="AH372" s="140"/>
      <c r="AI372" s="140"/>
      <c r="AJ372" s="140"/>
      <c r="AK372" s="117" t="str">
        <f t="shared" si="10"/>
        <v>Negative</v>
      </c>
      <c r="AL372" s="142"/>
      <c r="AM372" s="112" t="s">
        <v>639</v>
      </c>
      <c r="AN372" s="112" t="s">
        <v>640</v>
      </c>
      <c r="AO372" s="112" t="str">
        <f>IFERROR(__xludf.DUMMYFUNCTION("IF($AG372, ""DELETED"",TRIM(JOIN("" "",D372:E372)))"),"")</f>
        <v/>
      </c>
      <c r="AP372" s="112" t="str">
        <f t="shared" ref="AP372:AQ372" si="397">IF($AG372, "DELETED", TRIM(CONCATENATE(F372,I372,U372)))</f>
        <v/>
      </c>
      <c r="AQ372" s="112" t="str">
        <f t="shared" si="397"/>
        <v/>
      </c>
      <c r="AR372" s="112" t="str">
        <f>IFERROR(__xludf.DUMMYFUNCTION("IF($AG372, ""DELETED"", TRIM(JOIN("" "",AP372,AQ372)))"),"")</f>
        <v/>
      </c>
      <c r="AS372" s="118"/>
      <c r="AT372" s="110" t="b">
        <f t="shared" si="12"/>
        <v>0</v>
      </c>
      <c r="AU372" s="110" t="str">
        <f t="shared" si="13"/>
        <v/>
      </c>
      <c r="AV372" s="110" t="str">
        <f t="shared" si="14"/>
        <v/>
      </c>
      <c r="AW372" s="110" t="str">
        <f t="shared" si="15"/>
        <v/>
      </c>
      <c r="AX372" s="119" t="str">
        <f t="shared" si="16"/>
        <v/>
      </c>
      <c r="AY372" s="120"/>
      <c r="AZ372" s="121"/>
      <c r="BA372" s="122" t="str">
        <f t="shared" si="17"/>
        <v/>
      </c>
      <c r="BB372" s="34"/>
      <c r="BC372" s="121"/>
      <c r="BD372" s="136"/>
      <c r="BE372" s="125" t="str">
        <f t="shared" si="18"/>
        <v/>
      </c>
      <c r="BF372" s="126" t="str">
        <f t="shared" si="19"/>
        <v>MA203__44603_0.288101851851852</v>
      </c>
      <c r="BG372" s="127" t="str">
        <f t="shared" si="20"/>
        <v/>
      </c>
      <c r="BH372" s="137" t="s">
        <v>1181</v>
      </c>
      <c r="BI372" s="128" t="str">
        <f t="shared" si="21"/>
        <v>MA1156</v>
      </c>
      <c r="BJ372" s="129" t="b">
        <f t="shared" si="22"/>
        <v>0</v>
      </c>
      <c r="BK372" s="128" t="str">
        <f t="shared" si="23"/>
        <v/>
      </c>
      <c r="BL372" s="121"/>
      <c r="BM372" s="5" t="str">
        <f t="shared" si="24"/>
        <v>MISSING</v>
      </c>
      <c r="BN372" s="120" t="b">
        <f t="shared" si="25"/>
        <v>0</v>
      </c>
      <c r="BO372" s="131" t="b">
        <f t="shared" si="26"/>
        <v>1</v>
      </c>
      <c r="BP372" s="121"/>
      <c r="BQ372" s="132" t="str">
        <f>VLOOKUP(A372,RAW_APS!A$3:O826,15,FALSE)</f>
        <v/>
      </c>
      <c r="BR372" s="120" t="b">
        <f t="shared" si="27"/>
        <v>1</v>
      </c>
      <c r="BS372" s="121"/>
      <c r="BT372" s="138" t="s">
        <v>244</v>
      </c>
      <c r="BU372" s="10" t="b">
        <f t="shared" si="28"/>
        <v>1</v>
      </c>
      <c r="BV372" s="120"/>
      <c r="BW372" s="120"/>
      <c r="BX372" s="120"/>
      <c r="BY372" s="120"/>
      <c r="BZ372" s="120"/>
      <c r="CA372" s="120"/>
      <c r="CB372" s="120"/>
      <c r="CC372" s="120"/>
    </row>
    <row r="373">
      <c r="A373" s="2" t="s">
        <v>1182</v>
      </c>
      <c r="B373" s="100">
        <v>44603.0</v>
      </c>
      <c r="C373" s="101">
        <v>0.3151736111111111</v>
      </c>
      <c r="D373" s="102"/>
      <c r="E373" s="102"/>
      <c r="F373" s="102"/>
      <c r="G373" s="102"/>
      <c r="H373" s="102"/>
      <c r="I373" s="103"/>
      <c r="J373" s="103"/>
      <c r="K373" s="2" t="s">
        <v>244</v>
      </c>
      <c r="L373" s="100">
        <v>44603.0</v>
      </c>
      <c r="M373" s="101">
        <v>0.46979166666666666</v>
      </c>
      <c r="P373" s="104" t="b">
        <f>IFNA(IF(VLOOKUP($A373,'Add from APT'!$AA$2:$AC826,3,FALSE)&gt;0,TRUE,FALSE),"ER - NOT IN APT")</f>
        <v>0</v>
      </c>
      <c r="Q373" s="105" t="str">
        <f>IF(ISLOGICAL(P373),IF(P373,"ER - REPS IN APT", IFNA(VLOOKUP($A373,RAW_APT!$A$3:$M826,7,FALSE),"ER - NOT IN APT")),P373)</f>
        <v>Result</v>
      </c>
      <c r="R373" s="106" t="b">
        <f t="shared" si="2"/>
        <v>1</v>
      </c>
      <c r="S373" s="107">
        <f t="shared" si="3"/>
        <v>1</v>
      </c>
      <c r="T373" s="143"/>
      <c r="U373" s="142"/>
      <c r="V373" s="142"/>
      <c r="W373" s="142"/>
      <c r="X373" s="110" t="b">
        <f t="shared" si="4"/>
        <v>0</v>
      </c>
      <c r="Y373" s="111" t="b">
        <v>0</v>
      </c>
      <c r="Z373" s="104" t="str">
        <f t="shared" si="5"/>
        <v/>
      </c>
      <c r="AA373" s="112" t="b">
        <f t="shared" si="6"/>
        <v>0</v>
      </c>
      <c r="AB373" s="142" t="b">
        <v>0</v>
      </c>
      <c r="AC373" s="140">
        <v>435.0</v>
      </c>
      <c r="AD373" s="141" t="b">
        <v>0</v>
      </c>
      <c r="AE373" s="115">
        <f t="shared" si="7"/>
        <v>222.65</v>
      </c>
      <c r="AF373" s="116" t="b">
        <f t="shared" si="8"/>
        <v>0</v>
      </c>
      <c r="AG373" s="105" t="b">
        <f t="shared" si="9"/>
        <v>0</v>
      </c>
      <c r="AH373" s="140"/>
      <c r="AI373" s="140"/>
      <c r="AJ373" s="140"/>
      <c r="AK373" s="117" t="str">
        <f t="shared" si="10"/>
        <v>Negative</v>
      </c>
      <c r="AL373" s="142"/>
      <c r="AM373" s="112" t="s">
        <v>328</v>
      </c>
      <c r="AN373" s="112" t="s">
        <v>329</v>
      </c>
      <c r="AO373" s="112" t="str">
        <f>IFERROR(__xludf.DUMMYFUNCTION("IF($AG373, ""DELETED"",TRIM(JOIN("" "",D373:E373)))"),"")</f>
        <v/>
      </c>
      <c r="AP373" s="112" t="str">
        <f t="shared" ref="AP373:AQ373" si="398">IF($AG373, "DELETED", TRIM(CONCATENATE(F373,I373,U373)))</f>
        <v/>
      </c>
      <c r="AQ373" s="112" t="str">
        <f t="shared" si="398"/>
        <v/>
      </c>
      <c r="AR373" s="112" t="str">
        <f>IFERROR(__xludf.DUMMYFUNCTION("IF($AG373, ""DELETED"", TRIM(JOIN("" "",AP373,AQ373)))"),"")</f>
        <v/>
      </c>
      <c r="AS373" s="118"/>
      <c r="AT373" s="110" t="b">
        <f t="shared" si="12"/>
        <v>0</v>
      </c>
      <c r="AU373" s="110" t="str">
        <f t="shared" si="13"/>
        <v/>
      </c>
      <c r="AV373" s="110" t="str">
        <f t="shared" si="14"/>
        <v/>
      </c>
      <c r="AW373" s="110" t="str">
        <f t="shared" si="15"/>
        <v/>
      </c>
      <c r="AX373" s="119" t="str">
        <f t="shared" si="16"/>
        <v/>
      </c>
      <c r="AY373" s="120"/>
      <c r="AZ373" s="121"/>
      <c r="BA373" s="122" t="str">
        <f t="shared" si="17"/>
        <v/>
      </c>
      <c r="BB373" s="34"/>
      <c r="BC373" s="121"/>
      <c r="BD373" s="136"/>
      <c r="BE373" s="125" t="str">
        <f t="shared" si="18"/>
        <v/>
      </c>
      <c r="BF373" s="126" t="str">
        <f t="shared" si="19"/>
        <v>FM804__44603_0.315173611111111</v>
      </c>
      <c r="BG373" s="127" t="str">
        <f t="shared" si="20"/>
        <v/>
      </c>
      <c r="BH373" s="137" t="s">
        <v>1183</v>
      </c>
      <c r="BI373" s="128" t="str">
        <f t="shared" si="21"/>
        <v>MA1158</v>
      </c>
      <c r="BJ373" s="129" t="b">
        <f t="shared" si="22"/>
        <v>0</v>
      </c>
      <c r="BK373" s="128" t="str">
        <f t="shared" si="23"/>
        <v/>
      </c>
      <c r="BL373" s="121"/>
      <c r="BM373" s="5" t="str">
        <f t="shared" si="24"/>
        <v>MISSING</v>
      </c>
      <c r="BN373" s="120" t="b">
        <f t="shared" si="25"/>
        <v>0</v>
      </c>
      <c r="BO373" s="131" t="b">
        <f t="shared" si="26"/>
        <v>1</v>
      </c>
      <c r="BP373" s="121"/>
      <c r="BQ373" s="132" t="str">
        <f>VLOOKUP(A373,RAW_APS!A$3:O826,15,FALSE)</f>
        <v/>
      </c>
      <c r="BR373" s="120" t="b">
        <f t="shared" si="27"/>
        <v>1</v>
      </c>
      <c r="BS373" s="121"/>
      <c r="BT373" s="138" t="s">
        <v>244</v>
      </c>
      <c r="BU373" s="10" t="b">
        <f t="shared" si="28"/>
        <v>1</v>
      </c>
      <c r="BV373" s="120"/>
      <c r="BW373" s="120"/>
      <c r="BX373" s="120"/>
      <c r="BY373" s="120"/>
      <c r="BZ373" s="120"/>
      <c r="CA373" s="120"/>
      <c r="CB373" s="120"/>
      <c r="CC373" s="120"/>
    </row>
    <row r="374">
      <c r="A374" s="2" t="s">
        <v>1184</v>
      </c>
      <c r="B374" s="100">
        <v>44603.0</v>
      </c>
      <c r="C374" s="101">
        <v>0.31798611111111114</v>
      </c>
      <c r="D374" s="102"/>
      <c r="E374" s="102"/>
      <c r="F374" s="102"/>
      <c r="G374" s="102"/>
      <c r="H374" s="102"/>
      <c r="I374" s="103"/>
      <c r="J374" s="103"/>
      <c r="K374" s="2" t="s">
        <v>244</v>
      </c>
      <c r="L374" s="100">
        <v>44603.0</v>
      </c>
      <c r="M374" s="101">
        <v>0.46979166666666666</v>
      </c>
      <c r="P374" s="104" t="b">
        <f>IFNA(IF(VLOOKUP($A374,'Add from APT'!$AA$2:$AC826,3,FALSE)&gt;0,TRUE,FALSE),"ER - NOT IN APT")</f>
        <v>0</v>
      </c>
      <c r="Q374" s="105" t="str">
        <f>IF(ISLOGICAL(P374),IF(P374,"ER - REPS IN APT", IFNA(VLOOKUP($A374,RAW_APT!$A$3:$M826,7,FALSE),"ER - NOT IN APT")),P374)</f>
        <v>Result</v>
      </c>
      <c r="R374" s="106" t="b">
        <f t="shared" si="2"/>
        <v>1</v>
      </c>
      <c r="S374" s="107">
        <f t="shared" si="3"/>
        <v>1</v>
      </c>
      <c r="T374" s="143"/>
      <c r="U374" s="142"/>
      <c r="V374" s="142"/>
      <c r="W374" s="142"/>
      <c r="X374" s="110" t="b">
        <f t="shared" si="4"/>
        <v>0</v>
      </c>
      <c r="Y374" s="111" t="b">
        <v>0</v>
      </c>
      <c r="Z374" s="104" t="str">
        <f t="shared" si="5"/>
        <v/>
      </c>
      <c r="AA374" s="112" t="b">
        <f t="shared" si="6"/>
        <v>0</v>
      </c>
      <c r="AB374" s="142" t="b">
        <v>0</v>
      </c>
      <c r="AC374" s="140">
        <v>434.0</v>
      </c>
      <c r="AD374" s="141" t="b">
        <v>0</v>
      </c>
      <c r="AE374" s="115">
        <f t="shared" si="7"/>
        <v>218.6</v>
      </c>
      <c r="AF374" s="116" t="b">
        <f t="shared" si="8"/>
        <v>0</v>
      </c>
      <c r="AG374" s="105" t="b">
        <f t="shared" si="9"/>
        <v>0</v>
      </c>
      <c r="AH374" s="140"/>
      <c r="AI374" s="140"/>
      <c r="AJ374" s="140"/>
      <c r="AK374" s="117" t="str">
        <f t="shared" si="10"/>
        <v>Negative</v>
      </c>
      <c r="AL374" s="142"/>
      <c r="AM374" s="112" t="s">
        <v>295</v>
      </c>
      <c r="AN374" s="112" t="s">
        <v>296</v>
      </c>
      <c r="AO374" s="112" t="str">
        <f>IFERROR(__xludf.DUMMYFUNCTION("IF($AG374, ""DELETED"",TRIM(JOIN("" "",D374:E374)))"),"")</f>
        <v/>
      </c>
      <c r="AP374" s="112" t="str">
        <f t="shared" ref="AP374:AQ374" si="399">IF($AG374, "DELETED", TRIM(CONCATENATE(F374,I374,U374)))</f>
        <v/>
      </c>
      <c r="AQ374" s="112" t="str">
        <f t="shared" si="399"/>
        <v/>
      </c>
      <c r="AR374" s="112" t="str">
        <f>IFERROR(__xludf.DUMMYFUNCTION("IF($AG374, ""DELETED"", TRIM(JOIN("" "",AP374,AQ374)))"),"")</f>
        <v/>
      </c>
      <c r="AS374" s="118"/>
      <c r="AT374" s="110" t="b">
        <f t="shared" si="12"/>
        <v>0</v>
      </c>
      <c r="AU374" s="110" t="str">
        <f t="shared" si="13"/>
        <v/>
      </c>
      <c r="AV374" s="110" t="str">
        <f t="shared" si="14"/>
        <v/>
      </c>
      <c r="AW374" s="110" t="str">
        <f t="shared" si="15"/>
        <v/>
      </c>
      <c r="AX374" s="119" t="str">
        <f t="shared" si="16"/>
        <v/>
      </c>
      <c r="AY374" s="120"/>
      <c r="AZ374" s="121"/>
      <c r="BA374" s="122" t="str">
        <f t="shared" si="17"/>
        <v/>
      </c>
      <c r="BB374" s="34"/>
      <c r="BC374" s="121"/>
      <c r="BD374" s="136"/>
      <c r="BE374" s="125" t="str">
        <f t="shared" si="18"/>
        <v/>
      </c>
      <c r="BF374" s="126" t="str">
        <f t="shared" si="19"/>
        <v>MA1233__44603_0.317986111111111</v>
      </c>
      <c r="BG374" s="127" t="str">
        <f t="shared" si="20"/>
        <v/>
      </c>
      <c r="BH374" s="137" t="s">
        <v>1185</v>
      </c>
      <c r="BI374" s="128" t="str">
        <f t="shared" si="21"/>
        <v>MA1159</v>
      </c>
      <c r="BJ374" s="129" t="b">
        <f t="shared" si="22"/>
        <v>0</v>
      </c>
      <c r="BK374" s="128" t="str">
        <f t="shared" si="23"/>
        <v/>
      </c>
      <c r="BL374" s="121"/>
      <c r="BM374" s="5" t="str">
        <f t="shared" si="24"/>
        <v>MISSING</v>
      </c>
      <c r="BN374" s="120" t="b">
        <f t="shared" si="25"/>
        <v>0</v>
      </c>
      <c r="BO374" s="131" t="b">
        <f t="shared" si="26"/>
        <v>1</v>
      </c>
      <c r="BP374" s="121"/>
      <c r="BQ374" s="132" t="str">
        <f>VLOOKUP(A374,RAW_APS!A$3:O826,15,FALSE)</f>
        <v/>
      </c>
      <c r="BR374" s="120" t="b">
        <f t="shared" si="27"/>
        <v>1</v>
      </c>
      <c r="BS374" s="121"/>
      <c r="BT374" s="138" t="s">
        <v>244</v>
      </c>
      <c r="BU374" s="10" t="b">
        <f t="shared" si="28"/>
        <v>1</v>
      </c>
      <c r="BV374" s="120"/>
      <c r="BW374" s="120"/>
      <c r="BX374" s="120"/>
      <c r="BY374" s="120"/>
      <c r="BZ374" s="120"/>
      <c r="CA374" s="120"/>
      <c r="CB374" s="120"/>
      <c r="CC374" s="120"/>
    </row>
    <row r="375">
      <c r="A375" s="2" t="s">
        <v>1186</v>
      </c>
      <c r="B375" s="100">
        <v>44603.0</v>
      </c>
      <c r="C375" s="101">
        <v>0.3190972222222222</v>
      </c>
      <c r="D375" s="102"/>
      <c r="E375" s="102"/>
      <c r="F375" s="102"/>
      <c r="G375" s="102"/>
      <c r="H375" s="102"/>
      <c r="I375" s="103"/>
      <c r="J375" s="103"/>
      <c r="K375" s="2" t="s">
        <v>244</v>
      </c>
      <c r="L375" s="100">
        <v>44603.0</v>
      </c>
      <c r="M375" s="101">
        <v>0.46979166666666666</v>
      </c>
      <c r="P375" s="104" t="b">
        <f>IFNA(IF(VLOOKUP($A375,'Add from APT'!$AA$2:$AC826,3,FALSE)&gt;0,TRUE,FALSE),"ER - NOT IN APT")</f>
        <v>0</v>
      </c>
      <c r="Q375" s="105" t="str">
        <f>IF(ISLOGICAL(P375),IF(P375,"ER - REPS IN APT", IFNA(VLOOKUP($A375,RAW_APT!$A$3:$M826,7,FALSE),"ER - NOT IN APT")),P375)</f>
        <v>Result</v>
      </c>
      <c r="R375" s="106" t="b">
        <f t="shared" si="2"/>
        <v>1</v>
      </c>
      <c r="S375" s="107">
        <f t="shared" si="3"/>
        <v>1</v>
      </c>
      <c r="T375" s="143"/>
      <c r="U375" s="142"/>
      <c r="V375" s="142"/>
      <c r="W375" s="142"/>
      <c r="X375" s="110" t="b">
        <f t="shared" si="4"/>
        <v>0</v>
      </c>
      <c r="Y375" s="111" t="b">
        <v>0</v>
      </c>
      <c r="Z375" s="104" t="str">
        <f t="shared" si="5"/>
        <v/>
      </c>
      <c r="AA375" s="112" t="b">
        <f t="shared" si="6"/>
        <v>0</v>
      </c>
      <c r="AB375" s="142" t="b">
        <v>0</v>
      </c>
      <c r="AC375" s="140">
        <v>433.0</v>
      </c>
      <c r="AD375" s="141" t="b">
        <v>0</v>
      </c>
      <c r="AE375" s="115">
        <f t="shared" si="7"/>
        <v>217</v>
      </c>
      <c r="AF375" s="116" t="b">
        <f t="shared" si="8"/>
        <v>0</v>
      </c>
      <c r="AG375" s="105" t="b">
        <f t="shared" si="9"/>
        <v>0</v>
      </c>
      <c r="AH375" s="140"/>
      <c r="AI375" s="140"/>
      <c r="AJ375" s="140"/>
      <c r="AK375" s="117" t="str">
        <f t="shared" si="10"/>
        <v>Negative</v>
      </c>
      <c r="AL375" s="142"/>
      <c r="AM375" s="112" t="s">
        <v>299</v>
      </c>
      <c r="AN375" s="112" t="s">
        <v>300</v>
      </c>
      <c r="AO375" s="112" t="str">
        <f>IFERROR(__xludf.DUMMYFUNCTION("IF($AG375, ""DELETED"",TRIM(JOIN("" "",D375:E375)))"),"")</f>
        <v/>
      </c>
      <c r="AP375" s="112" t="str">
        <f t="shared" ref="AP375:AQ375" si="400">IF($AG375, "DELETED", TRIM(CONCATENATE(F375,I375,U375)))</f>
        <v/>
      </c>
      <c r="AQ375" s="112" t="str">
        <f t="shared" si="400"/>
        <v/>
      </c>
      <c r="AR375" s="112" t="str">
        <f>IFERROR(__xludf.DUMMYFUNCTION("IF($AG375, ""DELETED"", TRIM(JOIN("" "",AP375,AQ375)))"),"")</f>
        <v/>
      </c>
      <c r="AS375" s="118"/>
      <c r="AT375" s="110" t="b">
        <f t="shared" si="12"/>
        <v>0</v>
      </c>
      <c r="AU375" s="110" t="str">
        <f t="shared" si="13"/>
        <v/>
      </c>
      <c r="AV375" s="110" t="str">
        <f t="shared" si="14"/>
        <v/>
      </c>
      <c r="AW375" s="110" t="str">
        <f t="shared" si="15"/>
        <v/>
      </c>
      <c r="AX375" s="119" t="str">
        <f t="shared" si="16"/>
        <v/>
      </c>
      <c r="AY375" s="120"/>
      <c r="AZ375" s="121"/>
      <c r="BA375" s="122" t="str">
        <f t="shared" si="17"/>
        <v/>
      </c>
      <c r="BB375" s="34"/>
      <c r="BC375" s="121"/>
      <c r="BD375" s="136"/>
      <c r="BE375" s="125" t="str">
        <f t="shared" si="18"/>
        <v/>
      </c>
      <c r="BF375" s="126" t="str">
        <f t="shared" si="19"/>
        <v>FM90__44603_0.319097222222222</v>
      </c>
      <c r="BG375" s="127" t="str">
        <f t="shared" si="20"/>
        <v/>
      </c>
      <c r="BH375" s="137" t="s">
        <v>1187</v>
      </c>
      <c r="BI375" s="128" t="str">
        <f t="shared" si="21"/>
        <v>MA1160</v>
      </c>
      <c r="BJ375" s="129" t="b">
        <f t="shared" si="22"/>
        <v>0</v>
      </c>
      <c r="BK375" s="128" t="str">
        <f t="shared" si="23"/>
        <v/>
      </c>
      <c r="BL375" s="121"/>
      <c r="BM375" s="5" t="str">
        <f t="shared" si="24"/>
        <v>MISSING</v>
      </c>
      <c r="BN375" s="120" t="b">
        <f t="shared" si="25"/>
        <v>0</v>
      </c>
      <c r="BO375" s="131" t="b">
        <f t="shared" si="26"/>
        <v>1</v>
      </c>
      <c r="BP375" s="121"/>
      <c r="BQ375" s="132" t="str">
        <f>VLOOKUP(A375,RAW_APS!A$3:O826,15,FALSE)</f>
        <v/>
      </c>
      <c r="BR375" s="120" t="b">
        <f t="shared" si="27"/>
        <v>1</v>
      </c>
      <c r="BS375" s="121"/>
      <c r="BT375" s="138" t="s">
        <v>244</v>
      </c>
      <c r="BU375" s="10" t="b">
        <f t="shared" si="28"/>
        <v>1</v>
      </c>
      <c r="BV375" s="120"/>
      <c r="BW375" s="120"/>
      <c r="BX375" s="120"/>
      <c r="BY375" s="120"/>
      <c r="BZ375" s="120"/>
      <c r="CA375" s="120"/>
      <c r="CB375" s="120"/>
      <c r="CC375" s="120"/>
    </row>
    <row r="376">
      <c r="A376" s="2" t="s">
        <v>1188</v>
      </c>
      <c r="B376" s="100">
        <v>44603.0</v>
      </c>
      <c r="C376" s="101">
        <v>0.3376851851851852</v>
      </c>
      <c r="D376" s="102"/>
      <c r="E376" s="102"/>
      <c r="F376" s="102"/>
      <c r="G376" s="102"/>
      <c r="H376" s="102"/>
      <c r="I376" s="103"/>
      <c r="J376" s="103"/>
      <c r="K376" s="2" t="s">
        <v>244</v>
      </c>
      <c r="L376" s="100">
        <v>44603.0</v>
      </c>
      <c r="M376" s="101">
        <v>0.46979166666666666</v>
      </c>
      <c r="P376" s="104" t="b">
        <f>IFNA(IF(VLOOKUP($A376,'Add from APT'!$AA$2:$AC826,3,FALSE)&gt;0,TRUE,FALSE),"ER - NOT IN APT")</f>
        <v>0</v>
      </c>
      <c r="Q376" s="105" t="str">
        <f>IF(ISLOGICAL(P376),IF(P376,"ER - REPS IN APT", IFNA(VLOOKUP($A376,RAW_APT!$A$3:$M826,7,FALSE),"ER - NOT IN APT")),P376)</f>
        <v>Result</v>
      </c>
      <c r="R376" s="106" t="b">
        <f t="shared" si="2"/>
        <v>1</v>
      </c>
      <c r="S376" s="107">
        <f t="shared" si="3"/>
        <v>1</v>
      </c>
      <c r="T376" s="143"/>
      <c r="U376" s="142"/>
      <c r="V376" s="142"/>
      <c r="W376" s="142"/>
      <c r="X376" s="110" t="b">
        <f t="shared" si="4"/>
        <v>0</v>
      </c>
      <c r="Y376" s="111" t="b">
        <v>0</v>
      </c>
      <c r="Z376" s="104" t="str">
        <f t="shared" si="5"/>
        <v/>
      </c>
      <c r="AA376" s="112" t="b">
        <f t="shared" si="6"/>
        <v>0</v>
      </c>
      <c r="AB376" s="142" t="b">
        <v>0</v>
      </c>
      <c r="AC376" s="140">
        <v>432.0</v>
      </c>
      <c r="AD376" s="141" t="b">
        <v>0</v>
      </c>
      <c r="AE376" s="115">
        <f t="shared" si="7"/>
        <v>190.2333333</v>
      </c>
      <c r="AF376" s="116" t="b">
        <f t="shared" si="8"/>
        <v>0</v>
      </c>
      <c r="AG376" s="105" t="b">
        <f t="shared" si="9"/>
        <v>0</v>
      </c>
      <c r="AH376" s="140"/>
      <c r="AI376" s="140"/>
      <c r="AJ376" s="140"/>
      <c r="AK376" s="117" t="str">
        <f t="shared" si="10"/>
        <v>Negative</v>
      </c>
      <c r="AL376" s="142"/>
      <c r="AM376" s="112" t="s">
        <v>303</v>
      </c>
      <c r="AN376" s="112" t="s">
        <v>304</v>
      </c>
      <c r="AO376" s="112" t="str">
        <f>IFERROR(__xludf.DUMMYFUNCTION("IF($AG376, ""DELETED"",TRIM(JOIN("" "",D376:E376)))"),"")</f>
        <v/>
      </c>
      <c r="AP376" s="112" t="str">
        <f t="shared" ref="AP376:AQ376" si="401">IF($AG376, "DELETED", TRIM(CONCATENATE(F376,I376,U376)))</f>
        <v/>
      </c>
      <c r="AQ376" s="112" t="str">
        <f t="shared" si="401"/>
        <v/>
      </c>
      <c r="AR376" s="112" t="str">
        <f>IFERROR(__xludf.DUMMYFUNCTION("IF($AG376, ""DELETED"", TRIM(JOIN("" "",AP376,AQ376)))"),"")</f>
        <v/>
      </c>
      <c r="AS376" s="118"/>
      <c r="AT376" s="110" t="b">
        <f t="shared" si="12"/>
        <v>0</v>
      </c>
      <c r="AU376" s="110" t="str">
        <f t="shared" si="13"/>
        <v/>
      </c>
      <c r="AV376" s="110" t="str">
        <f t="shared" si="14"/>
        <v/>
      </c>
      <c r="AW376" s="110" t="str">
        <f t="shared" si="15"/>
        <v/>
      </c>
      <c r="AX376" s="119" t="str">
        <f t="shared" si="16"/>
        <v/>
      </c>
      <c r="AY376" s="120"/>
      <c r="AZ376" s="121"/>
      <c r="BA376" s="122" t="str">
        <f t="shared" si="17"/>
        <v/>
      </c>
      <c r="BB376" s="34"/>
      <c r="BC376" s="121"/>
      <c r="BD376" s="136"/>
      <c r="BE376" s="125" t="str">
        <f t="shared" si="18"/>
        <v/>
      </c>
      <c r="BF376" s="126" t="str">
        <f t="shared" si="19"/>
        <v>FM71__44603_0.337685185185185</v>
      </c>
      <c r="BG376" s="127" t="str">
        <f t="shared" si="20"/>
        <v/>
      </c>
      <c r="BH376" s="137" t="s">
        <v>1189</v>
      </c>
      <c r="BI376" s="128" t="str">
        <f t="shared" si="21"/>
        <v>MA1161</v>
      </c>
      <c r="BJ376" s="129" t="b">
        <f t="shared" si="22"/>
        <v>0</v>
      </c>
      <c r="BK376" s="128" t="str">
        <f t="shared" si="23"/>
        <v/>
      </c>
      <c r="BL376" s="121"/>
      <c r="BM376" s="5" t="str">
        <f t="shared" si="24"/>
        <v>MISSING</v>
      </c>
      <c r="BN376" s="120" t="b">
        <f t="shared" si="25"/>
        <v>0</v>
      </c>
      <c r="BO376" s="131" t="b">
        <f t="shared" si="26"/>
        <v>1</v>
      </c>
      <c r="BP376" s="121"/>
      <c r="BQ376" s="132" t="str">
        <f>VLOOKUP(A376,RAW_APS!A$3:O826,15,FALSE)</f>
        <v/>
      </c>
      <c r="BR376" s="120" t="b">
        <f t="shared" si="27"/>
        <v>1</v>
      </c>
      <c r="BS376" s="121"/>
      <c r="BT376" s="138" t="s">
        <v>244</v>
      </c>
      <c r="BU376" s="10" t="b">
        <f t="shared" si="28"/>
        <v>1</v>
      </c>
      <c r="BV376" s="120"/>
      <c r="BW376" s="120"/>
      <c r="BX376" s="120"/>
      <c r="BY376" s="120"/>
      <c r="BZ376" s="120"/>
      <c r="CA376" s="120"/>
      <c r="CB376" s="120"/>
      <c r="CC376" s="120"/>
    </row>
    <row r="377">
      <c r="A377" s="2" t="s">
        <v>1190</v>
      </c>
      <c r="B377" s="100">
        <v>44603.0</v>
      </c>
      <c r="C377" s="101">
        <v>0.3391550925925926</v>
      </c>
      <c r="D377" s="102"/>
      <c r="E377" s="102"/>
      <c r="F377" s="102"/>
      <c r="G377" s="102"/>
      <c r="H377" s="102"/>
      <c r="I377" s="103"/>
      <c r="J377" s="103"/>
      <c r="K377" s="2" t="s">
        <v>52</v>
      </c>
      <c r="L377" s="100">
        <v>44603.0</v>
      </c>
      <c r="M377" s="101">
        <v>0.46979166666666666</v>
      </c>
      <c r="P377" s="104" t="b">
        <f>IFNA(IF(VLOOKUP($A377,'Add from APT'!$AA$2:$AC826,3,FALSE)&gt;0,TRUE,FALSE),"ER - NOT IN APT")</f>
        <v>0</v>
      </c>
      <c r="Q377" s="105" t="str">
        <f>IF(ISLOGICAL(P377),IF(P377,"ER - REPS IN APT", IFNA(VLOOKUP($A377,RAW_APT!$A$3:$M826,7,FALSE),"ER - NOT IN APT")),P377)</f>
        <v>Result</v>
      </c>
      <c r="R377" s="106" t="b">
        <f t="shared" si="2"/>
        <v>1</v>
      </c>
      <c r="S377" s="107">
        <f t="shared" si="3"/>
        <v>1</v>
      </c>
      <c r="T377" s="143"/>
      <c r="U377" s="142"/>
      <c r="V377" s="142"/>
      <c r="W377" s="142"/>
      <c r="X377" s="110" t="b">
        <f t="shared" si="4"/>
        <v>0</v>
      </c>
      <c r="Y377" s="111" t="b">
        <v>0</v>
      </c>
      <c r="Z377" s="104" t="str">
        <f t="shared" si="5"/>
        <v/>
      </c>
      <c r="AA377" s="112" t="b">
        <f t="shared" si="6"/>
        <v>0</v>
      </c>
      <c r="AB377" s="142" t="b">
        <v>0</v>
      </c>
      <c r="AC377" s="140">
        <v>431.0</v>
      </c>
      <c r="AD377" s="141" t="b">
        <v>0</v>
      </c>
      <c r="AE377" s="115">
        <f t="shared" si="7"/>
        <v>188.1166667</v>
      </c>
      <c r="AF377" s="116" t="b">
        <f t="shared" si="8"/>
        <v>0</v>
      </c>
      <c r="AG377" s="105" t="b">
        <f t="shared" si="9"/>
        <v>0</v>
      </c>
      <c r="AH377" s="140"/>
      <c r="AI377" s="140"/>
      <c r="AJ377" s="140"/>
      <c r="AK377" s="117" t="str">
        <f t="shared" si="10"/>
        <v>Positive</v>
      </c>
      <c r="AL377" s="142"/>
      <c r="AM377" s="112" t="s">
        <v>1191</v>
      </c>
      <c r="AN377" s="112" t="s">
        <v>1192</v>
      </c>
      <c r="AO377" s="112" t="str">
        <f>IFERROR(__xludf.DUMMYFUNCTION("IF($AG377, ""DELETED"",TRIM(JOIN("" "",D377:E377)))"),"")</f>
        <v/>
      </c>
      <c r="AP377" s="112" t="str">
        <f t="shared" ref="AP377:AQ377" si="402">IF($AG377, "DELETED", TRIM(CONCATENATE(F377,I377,U377)))</f>
        <v/>
      </c>
      <c r="AQ377" s="112" t="str">
        <f t="shared" si="402"/>
        <v/>
      </c>
      <c r="AR377" s="112" t="str">
        <f>IFERROR(__xludf.DUMMYFUNCTION("IF($AG377, ""DELETED"", TRIM(JOIN("" "",AP377,AQ377)))"),"")</f>
        <v/>
      </c>
      <c r="AS377" s="118"/>
      <c r="AT377" s="110" t="b">
        <f t="shared" si="12"/>
        <v>0</v>
      </c>
      <c r="AU377" s="110" t="str">
        <f t="shared" si="13"/>
        <v/>
      </c>
      <c r="AV377" s="110" t="str">
        <f t="shared" si="14"/>
        <v/>
      </c>
      <c r="AW377" s="110" t="str">
        <f t="shared" si="15"/>
        <v/>
      </c>
      <c r="AX377" s="119" t="str">
        <f t="shared" si="16"/>
        <v/>
      </c>
      <c r="AY377" s="120"/>
      <c r="AZ377" s="121"/>
      <c r="BA377" s="122" t="str">
        <f t="shared" si="17"/>
        <v/>
      </c>
      <c r="BB377" s="34"/>
      <c r="BC377" s="121"/>
      <c r="BD377" s="136"/>
      <c r="BE377" s="125" t="str">
        <f t="shared" si="18"/>
        <v/>
      </c>
      <c r="BF377" s="126" t="str">
        <f t="shared" si="19"/>
        <v>MA632__44603_0.339155092592593</v>
      </c>
      <c r="BG377" s="127" t="str">
        <f t="shared" si="20"/>
        <v/>
      </c>
      <c r="BH377" s="137" t="s">
        <v>1193</v>
      </c>
      <c r="BI377" s="128" t="str">
        <f t="shared" si="21"/>
        <v>MA1162</v>
      </c>
      <c r="BJ377" s="129" t="b">
        <f t="shared" si="22"/>
        <v>0</v>
      </c>
      <c r="BK377" s="128" t="str">
        <f t="shared" si="23"/>
        <v/>
      </c>
      <c r="BL377" s="121"/>
      <c r="BM377" s="5" t="str">
        <f t="shared" si="24"/>
        <v>MISSING</v>
      </c>
      <c r="BN377" s="120" t="b">
        <f t="shared" si="25"/>
        <v>0</v>
      </c>
      <c r="BO377" s="131" t="b">
        <f t="shared" si="26"/>
        <v>1</v>
      </c>
      <c r="BP377" s="121"/>
      <c r="BQ377" s="132" t="str">
        <f>VLOOKUP(A377,RAW_APS!A$3:O826,15,FALSE)</f>
        <v/>
      </c>
      <c r="BR377" s="120" t="b">
        <f t="shared" si="27"/>
        <v>1</v>
      </c>
      <c r="BS377" s="121"/>
      <c r="BT377" s="138" t="s">
        <v>52</v>
      </c>
      <c r="BU377" s="10" t="b">
        <f t="shared" si="28"/>
        <v>1</v>
      </c>
      <c r="BV377" s="120"/>
      <c r="BW377" s="120"/>
      <c r="BX377" s="120"/>
      <c r="BY377" s="120"/>
      <c r="BZ377" s="120"/>
      <c r="CA377" s="120"/>
      <c r="CB377" s="120"/>
      <c r="CC377" s="120"/>
    </row>
    <row r="378">
      <c r="A378" s="2" t="s">
        <v>1194</v>
      </c>
      <c r="B378" s="100">
        <v>44603.0</v>
      </c>
      <c r="C378" s="101">
        <v>0.33946759259259257</v>
      </c>
      <c r="D378" s="102"/>
      <c r="E378" s="102"/>
      <c r="F378" s="102"/>
      <c r="G378" s="102"/>
      <c r="H378" s="102"/>
      <c r="I378" s="103"/>
      <c r="J378" s="103"/>
      <c r="K378" s="2" t="s">
        <v>52</v>
      </c>
      <c r="L378" s="100">
        <v>44603.0</v>
      </c>
      <c r="M378" s="101">
        <v>0.46979166666666666</v>
      </c>
      <c r="P378" s="104" t="b">
        <f>IFNA(IF(VLOOKUP($A378,'Add from APT'!$AA$2:$AC826,3,FALSE)&gt;0,TRUE,FALSE),"ER - NOT IN APT")</f>
        <v>0</v>
      </c>
      <c r="Q378" s="105" t="str">
        <f>IF(ISLOGICAL(P378),IF(P378,"ER - REPS IN APT", IFNA(VLOOKUP($A378,RAW_APT!$A$3:$M826,7,FALSE),"ER - NOT IN APT")),P378)</f>
        <v>Result</v>
      </c>
      <c r="R378" s="106" t="b">
        <f t="shared" si="2"/>
        <v>1</v>
      </c>
      <c r="S378" s="107">
        <f t="shared" si="3"/>
        <v>1</v>
      </c>
      <c r="T378" s="143"/>
      <c r="U378" s="142"/>
      <c r="V378" s="142"/>
      <c r="W378" s="142"/>
      <c r="X378" s="110" t="b">
        <f t="shared" si="4"/>
        <v>0</v>
      </c>
      <c r="Y378" s="111" t="b">
        <v>0</v>
      </c>
      <c r="Z378" s="104" t="str">
        <f t="shared" si="5"/>
        <v/>
      </c>
      <c r="AA378" s="112" t="b">
        <f t="shared" si="6"/>
        <v>0</v>
      </c>
      <c r="AB378" s="142" t="b">
        <v>0</v>
      </c>
      <c r="AC378" s="140">
        <v>430.0</v>
      </c>
      <c r="AD378" s="141" t="b">
        <v>0</v>
      </c>
      <c r="AE378" s="115">
        <f t="shared" si="7"/>
        <v>187.6666667</v>
      </c>
      <c r="AF378" s="116" t="b">
        <f t="shared" si="8"/>
        <v>0</v>
      </c>
      <c r="AG378" s="105" t="b">
        <f t="shared" si="9"/>
        <v>0</v>
      </c>
      <c r="AH378" s="140"/>
      <c r="AI378" s="140"/>
      <c r="AJ378" s="140"/>
      <c r="AK378" s="117" t="str">
        <f t="shared" si="10"/>
        <v>Positive</v>
      </c>
      <c r="AL378" s="142"/>
      <c r="AM378" s="112" t="s">
        <v>1191</v>
      </c>
      <c r="AN378" s="112" t="s">
        <v>1192</v>
      </c>
      <c r="AO378" s="112" t="str">
        <f>IFERROR(__xludf.DUMMYFUNCTION("IF($AG378, ""DELETED"",TRIM(JOIN("" "",D378:E378)))"),"")</f>
        <v/>
      </c>
      <c r="AP378" s="112" t="str">
        <f t="shared" ref="AP378:AQ378" si="403">IF($AG378, "DELETED", TRIM(CONCATENATE(F378,I378,U378)))</f>
        <v/>
      </c>
      <c r="AQ378" s="112" t="str">
        <f t="shared" si="403"/>
        <v/>
      </c>
      <c r="AR378" s="112" t="str">
        <f>IFERROR(__xludf.DUMMYFUNCTION("IF($AG378, ""DELETED"", TRIM(JOIN("" "",AP378,AQ378)))"),"")</f>
        <v/>
      </c>
      <c r="AS378" s="118"/>
      <c r="AT378" s="110" t="b">
        <f t="shared" si="12"/>
        <v>0</v>
      </c>
      <c r="AU378" s="110" t="str">
        <f t="shared" si="13"/>
        <v/>
      </c>
      <c r="AV378" s="110" t="str">
        <f t="shared" si="14"/>
        <v/>
      </c>
      <c r="AW378" s="110" t="str">
        <f t="shared" si="15"/>
        <v/>
      </c>
      <c r="AX378" s="119" t="str">
        <f t="shared" si="16"/>
        <v/>
      </c>
      <c r="AY378" s="120"/>
      <c r="AZ378" s="121"/>
      <c r="BA378" s="122" t="str">
        <f t="shared" si="17"/>
        <v/>
      </c>
      <c r="BB378" s="34"/>
      <c r="BC378" s="121"/>
      <c r="BD378" s="136"/>
      <c r="BE378" s="125" t="str">
        <f t="shared" si="18"/>
        <v/>
      </c>
      <c r="BF378" s="126" t="str">
        <f t="shared" si="19"/>
        <v>MA620__44603_0.339467592592593</v>
      </c>
      <c r="BG378" s="127" t="str">
        <f t="shared" si="20"/>
        <v/>
      </c>
      <c r="BH378" s="137" t="s">
        <v>1195</v>
      </c>
      <c r="BI378" s="128" t="str">
        <f t="shared" si="21"/>
        <v>MA1163</v>
      </c>
      <c r="BJ378" s="129" t="b">
        <f t="shared" si="22"/>
        <v>0</v>
      </c>
      <c r="BK378" s="128" t="str">
        <f t="shared" si="23"/>
        <v/>
      </c>
      <c r="BL378" s="121"/>
      <c r="BM378" s="5" t="str">
        <f t="shared" si="24"/>
        <v>MISSING</v>
      </c>
      <c r="BN378" s="120" t="b">
        <f t="shared" si="25"/>
        <v>0</v>
      </c>
      <c r="BO378" s="131" t="b">
        <f t="shared" si="26"/>
        <v>1</v>
      </c>
      <c r="BP378" s="121"/>
      <c r="BQ378" s="132" t="str">
        <f>VLOOKUP(A378,RAW_APS!A$3:O826,15,FALSE)</f>
        <v/>
      </c>
      <c r="BR378" s="120" t="b">
        <f t="shared" si="27"/>
        <v>1</v>
      </c>
      <c r="BS378" s="121"/>
      <c r="BT378" s="138" t="s">
        <v>52</v>
      </c>
      <c r="BU378" s="10" t="b">
        <f t="shared" si="28"/>
        <v>1</v>
      </c>
      <c r="BV378" s="120"/>
      <c r="BW378" s="120"/>
      <c r="BX378" s="120"/>
      <c r="BY378" s="120"/>
      <c r="BZ378" s="120"/>
      <c r="CA378" s="120"/>
      <c r="CB378" s="120"/>
      <c r="CC378" s="120"/>
    </row>
    <row r="379">
      <c r="A379" s="2" t="s">
        <v>1196</v>
      </c>
      <c r="B379" s="100">
        <v>44603.0</v>
      </c>
      <c r="C379" s="101">
        <v>0.3788888888888889</v>
      </c>
      <c r="D379" s="102"/>
      <c r="E379" s="102"/>
      <c r="F379" s="102"/>
      <c r="G379" s="102"/>
      <c r="H379" s="102"/>
      <c r="I379" s="103"/>
      <c r="J379" s="103"/>
      <c r="K379" s="2" t="s">
        <v>244</v>
      </c>
      <c r="L379" s="100">
        <v>44603.0</v>
      </c>
      <c r="M379" s="101">
        <v>0.46979166666666666</v>
      </c>
      <c r="P379" s="104" t="b">
        <f>IFNA(IF(VLOOKUP($A379,'Add from APT'!$AA$2:$AC826,3,FALSE)&gt;0,TRUE,FALSE),"ER - NOT IN APT")</f>
        <v>0</v>
      </c>
      <c r="Q379" s="105" t="str">
        <f>IF(ISLOGICAL(P379),IF(P379,"ER - REPS IN APT", IFNA(VLOOKUP($A379,RAW_APT!$A$3:$M826,7,FALSE),"ER - NOT IN APT")),P379)</f>
        <v>Result</v>
      </c>
      <c r="R379" s="106" t="b">
        <f t="shared" si="2"/>
        <v>1</v>
      </c>
      <c r="S379" s="107">
        <f t="shared" si="3"/>
        <v>1</v>
      </c>
      <c r="T379" s="143"/>
      <c r="U379" s="142"/>
      <c r="V379" s="142"/>
      <c r="W379" s="142"/>
      <c r="X379" s="110" t="b">
        <f t="shared" si="4"/>
        <v>0</v>
      </c>
      <c r="Y379" s="111" t="b">
        <v>0</v>
      </c>
      <c r="Z379" s="104" t="str">
        <f t="shared" si="5"/>
        <v/>
      </c>
      <c r="AA379" s="112" t="b">
        <f t="shared" si="6"/>
        <v>0</v>
      </c>
      <c r="AB379" s="142" t="b">
        <v>0</v>
      </c>
      <c r="AC379" s="140">
        <v>429.0</v>
      </c>
      <c r="AD379" s="141" t="b">
        <v>0</v>
      </c>
      <c r="AE379" s="115">
        <f t="shared" si="7"/>
        <v>130.9</v>
      </c>
      <c r="AF379" s="116" t="b">
        <f t="shared" si="8"/>
        <v>0</v>
      </c>
      <c r="AG379" s="105" t="b">
        <f t="shared" si="9"/>
        <v>0</v>
      </c>
      <c r="AH379" s="140"/>
      <c r="AI379" s="140"/>
      <c r="AJ379" s="140"/>
      <c r="AK379" s="117" t="str">
        <f t="shared" si="10"/>
        <v>Negative</v>
      </c>
      <c r="AL379" s="142"/>
      <c r="AM379" s="112" t="s">
        <v>261</v>
      </c>
      <c r="AN379" s="112" t="s">
        <v>363</v>
      </c>
      <c r="AO379" s="112" t="str">
        <f>IFERROR(__xludf.DUMMYFUNCTION("IF($AG379, ""DELETED"",TRIM(JOIN("" "",D379:E379)))"),"")</f>
        <v/>
      </c>
      <c r="AP379" s="112" t="str">
        <f t="shared" ref="AP379:AQ379" si="404">IF($AG379, "DELETED", TRIM(CONCATENATE(F379,I379,U379)))</f>
        <v/>
      </c>
      <c r="AQ379" s="112" t="str">
        <f t="shared" si="404"/>
        <v/>
      </c>
      <c r="AR379" s="112" t="str">
        <f>IFERROR(__xludf.DUMMYFUNCTION("IF($AG379, ""DELETED"", TRIM(JOIN("" "",AP379,AQ379)))"),"")</f>
        <v/>
      </c>
      <c r="AS379" s="118"/>
      <c r="AT379" s="110" t="b">
        <f t="shared" si="12"/>
        <v>0</v>
      </c>
      <c r="AU379" s="110" t="str">
        <f t="shared" si="13"/>
        <v/>
      </c>
      <c r="AV379" s="110" t="str">
        <f t="shared" si="14"/>
        <v/>
      </c>
      <c r="AW379" s="110" t="str">
        <f t="shared" si="15"/>
        <v/>
      </c>
      <c r="AX379" s="119" t="str">
        <f t="shared" si="16"/>
        <v/>
      </c>
      <c r="AY379" s="120"/>
      <c r="AZ379" s="121"/>
      <c r="BA379" s="122" t="str">
        <f t="shared" si="17"/>
        <v/>
      </c>
      <c r="BB379" s="34"/>
      <c r="BC379" s="121"/>
      <c r="BD379" s="136"/>
      <c r="BE379" s="125" t="str">
        <f t="shared" si="18"/>
        <v/>
      </c>
      <c r="BF379" s="126" t="str">
        <f t="shared" si="19"/>
        <v>MAX102__44603_0.378888888888889</v>
      </c>
      <c r="BG379" s="127" t="str">
        <f t="shared" si="20"/>
        <v/>
      </c>
      <c r="BH379" s="137" t="s">
        <v>1197</v>
      </c>
      <c r="BI379" s="128" t="str">
        <f t="shared" si="21"/>
        <v>MA1165</v>
      </c>
      <c r="BJ379" s="129" t="b">
        <f t="shared" si="22"/>
        <v>0</v>
      </c>
      <c r="BK379" s="128" t="str">
        <f t="shared" si="23"/>
        <v/>
      </c>
      <c r="BL379" s="121"/>
      <c r="BM379" s="5" t="str">
        <f t="shared" si="24"/>
        <v>MISSING</v>
      </c>
      <c r="BN379" s="120" t="b">
        <f t="shared" si="25"/>
        <v>0</v>
      </c>
      <c r="BO379" s="131" t="b">
        <f t="shared" si="26"/>
        <v>1</v>
      </c>
      <c r="BP379" s="121"/>
      <c r="BQ379" s="132" t="str">
        <f>VLOOKUP(A379,RAW_APS!A$3:O826,15,FALSE)</f>
        <v/>
      </c>
      <c r="BR379" s="120" t="b">
        <f t="shared" si="27"/>
        <v>1</v>
      </c>
      <c r="BS379" s="121"/>
      <c r="BT379" s="138" t="s">
        <v>244</v>
      </c>
      <c r="BU379" s="10" t="b">
        <f t="shared" si="28"/>
        <v>1</v>
      </c>
      <c r="BV379" s="120"/>
      <c r="BW379" s="120"/>
      <c r="BX379" s="120"/>
      <c r="BY379" s="120"/>
      <c r="BZ379" s="120"/>
      <c r="CA379" s="120"/>
      <c r="CB379" s="120"/>
      <c r="CC379" s="120"/>
    </row>
    <row r="380">
      <c r="A380" s="2" t="s">
        <v>1198</v>
      </c>
      <c r="B380" s="100">
        <v>44603.0</v>
      </c>
      <c r="C380" s="101">
        <v>0.42311342592592593</v>
      </c>
      <c r="D380" s="102"/>
      <c r="E380" s="102"/>
      <c r="F380" s="102"/>
      <c r="G380" s="102"/>
      <c r="H380" s="102"/>
      <c r="I380" s="103"/>
      <c r="J380" s="103"/>
      <c r="K380" s="2" t="s">
        <v>244</v>
      </c>
      <c r="L380" s="100">
        <v>44603.0</v>
      </c>
      <c r="M380" s="101">
        <v>0.46979166666666666</v>
      </c>
      <c r="P380" s="104" t="b">
        <f>IFNA(IF(VLOOKUP($A380,'Add from APT'!$AA$2:$AC826,3,FALSE)&gt;0,TRUE,FALSE),"ER - NOT IN APT")</f>
        <v>0</v>
      </c>
      <c r="Q380" s="105" t="str">
        <f>IF(ISLOGICAL(P380),IF(P380,"ER - REPS IN APT", IFNA(VLOOKUP($A380,RAW_APT!$A$3:$M826,7,FALSE),"ER - NOT IN APT")),P380)</f>
        <v>Result</v>
      </c>
      <c r="R380" s="106" t="b">
        <f t="shared" si="2"/>
        <v>1</v>
      </c>
      <c r="S380" s="107">
        <f t="shared" si="3"/>
        <v>1</v>
      </c>
      <c r="T380" s="143"/>
      <c r="U380" s="142"/>
      <c r="V380" s="142"/>
      <c r="W380" s="142"/>
      <c r="X380" s="110" t="b">
        <f t="shared" si="4"/>
        <v>0</v>
      </c>
      <c r="Y380" s="111" t="b">
        <v>0</v>
      </c>
      <c r="Z380" s="104" t="str">
        <f t="shared" si="5"/>
        <v/>
      </c>
      <c r="AA380" s="112" t="b">
        <f t="shared" si="6"/>
        <v>0</v>
      </c>
      <c r="AB380" s="142" t="b">
        <v>0</v>
      </c>
      <c r="AC380" s="140">
        <v>428.0</v>
      </c>
      <c r="AD380" s="141" t="b">
        <v>0</v>
      </c>
      <c r="AE380" s="115">
        <f t="shared" si="7"/>
        <v>67.21666667</v>
      </c>
      <c r="AF380" s="116" t="b">
        <f t="shared" si="8"/>
        <v>0</v>
      </c>
      <c r="AG380" s="105" t="b">
        <f t="shared" si="9"/>
        <v>0</v>
      </c>
      <c r="AH380" s="140"/>
      <c r="AI380" s="140"/>
      <c r="AJ380" s="140"/>
      <c r="AK380" s="117" t="str">
        <f t="shared" si="10"/>
        <v>Negative</v>
      </c>
      <c r="AL380" s="142"/>
      <c r="AM380" s="112" t="s">
        <v>287</v>
      </c>
      <c r="AN380" s="112" t="s">
        <v>288</v>
      </c>
      <c r="AO380" s="112" t="str">
        <f>IFERROR(__xludf.DUMMYFUNCTION("IF($AG380, ""DELETED"",TRIM(JOIN("" "",D380:E380)))"),"")</f>
        <v/>
      </c>
      <c r="AP380" s="112" t="str">
        <f t="shared" ref="AP380:AQ380" si="405">IF($AG380, "DELETED", TRIM(CONCATENATE(F380,I380,U380)))</f>
        <v/>
      </c>
      <c r="AQ380" s="112" t="str">
        <f t="shared" si="405"/>
        <v/>
      </c>
      <c r="AR380" s="112" t="str">
        <f>IFERROR(__xludf.DUMMYFUNCTION("IF($AG380, ""DELETED"", TRIM(JOIN("" "",AP380,AQ380)))"),"")</f>
        <v/>
      </c>
      <c r="AS380" s="118"/>
      <c r="AT380" s="110" t="b">
        <f t="shared" si="12"/>
        <v>0</v>
      </c>
      <c r="AU380" s="110" t="str">
        <f t="shared" si="13"/>
        <v/>
      </c>
      <c r="AV380" s="110" t="str">
        <f t="shared" si="14"/>
        <v/>
      </c>
      <c r="AW380" s="110" t="str">
        <f t="shared" si="15"/>
        <v/>
      </c>
      <c r="AX380" s="119" t="str">
        <f t="shared" si="16"/>
        <v/>
      </c>
      <c r="AY380" s="120"/>
      <c r="AZ380" s="121"/>
      <c r="BA380" s="122" t="str">
        <f t="shared" si="17"/>
        <v/>
      </c>
      <c r="BB380" s="34"/>
      <c r="BC380" s="121"/>
      <c r="BD380" s="136"/>
      <c r="BE380" s="125" t="str">
        <f t="shared" si="18"/>
        <v/>
      </c>
      <c r="BF380" s="126" t="str">
        <f t="shared" si="19"/>
        <v>MA1032__44603_0.423113425925926</v>
      </c>
      <c r="BG380" s="127" t="str">
        <f t="shared" si="20"/>
        <v/>
      </c>
      <c r="BH380" s="137" t="s">
        <v>1199</v>
      </c>
      <c r="BI380" s="128" t="str">
        <f t="shared" si="21"/>
        <v>MA1166</v>
      </c>
      <c r="BJ380" s="129" t="b">
        <f t="shared" si="22"/>
        <v>0</v>
      </c>
      <c r="BK380" s="128" t="str">
        <f t="shared" si="23"/>
        <v/>
      </c>
      <c r="BL380" s="121"/>
      <c r="BM380" s="5" t="str">
        <f t="shared" si="24"/>
        <v>MISSING</v>
      </c>
      <c r="BN380" s="120" t="b">
        <f t="shared" si="25"/>
        <v>0</v>
      </c>
      <c r="BO380" s="131" t="b">
        <f t="shared" si="26"/>
        <v>1</v>
      </c>
      <c r="BP380" s="121"/>
      <c r="BQ380" s="132" t="str">
        <f>VLOOKUP(A380,RAW_APS!A$3:O826,15,FALSE)</f>
        <v/>
      </c>
      <c r="BR380" s="120" t="b">
        <f t="shared" si="27"/>
        <v>1</v>
      </c>
      <c r="BS380" s="121"/>
      <c r="BT380" s="138" t="s">
        <v>244</v>
      </c>
      <c r="BU380" s="10" t="b">
        <f t="shared" si="28"/>
        <v>1</v>
      </c>
      <c r="BV380" s="120"/>
      <c r="BW380" s="120"/>
      <c r="BX380" s="120"/>
      <c r="BY380" s="120"/>
      <c r="BZ380" s="120"/>
      <c r="CA380" s="120"/>
      <c r="CB380" s="120"/>
      <c r="CC380" s="120"/>
    </row>
    <row r="381">
      <c r="A381" s="2" t="s">
        <v>1200</v>
      </c>
      <c r="B381" s="100">
        <v>44604.0</v>
      </c>
      <c r="C381" s="101">
        <v>0.3235763888888889</v>
      </c>
      <c r="D381" s="102"/>
      <c r="E381" s="102"/>
      <c r="F381" s="102"/>
      <c r="G381" s="102"/>
      <c r="H381" s="102"/>
      <c r="I381" s="103"/>
      <c r="J381" s="103"/>
      <c r="K381" s="2" t="s">
        <v>52</v>
      </c>
      <c r="L381" s="100">
        <v>44604.0</v>
      </c>
      <c r="M381" s="101">
        <v>0.3936689814814815</v>
      </c>
      <c r="P381" s="104" t="b">
        <f>IFNA(IF(VLOOKUP($A381,'Add from APT'!$AA$2:$AC826,3,FALSE)&gt;0,TRUE,FALSE),"ER - NOT IN APT")</f>
        <v>0</v>
      </c>
      <c r="Q381" s="105" t="str">
        <f>IF(ISLOGICAL(P381),IF(P381,"ER - REPS IN APT", IFNA(VLOOKUP($A381,RAW_APT!$A$3:$M826,7,FALSE),"ER - NOT IN APT")),P381)</f>
        <v>Result</v>
      </c>
      <c r="R381" s="106" t="b">
        <f t="shared" si="2"/>
        <v>1</v>
      </c>
      <c r="S381" s="107">
        <f t="shared" si="3"/>
        <v>1</v>
      </c>
      <c r="T381" s="143"/>
      <c r="U381" s="142"/>
      <c r="V381" s="142"/>
      <c r="W381" s="142"/>
      <c r="X381" s="110" t="b">
        <f t="shared" si="4"/>
        <v>0</v>
      </c>
      <c r="Y381" s="111" t="b">
        <v>0</v>
      </c>
      <c r="Z381" s="104" t="str">
        <f t="shared" si="5"/>
        <v/>
      </c>
      <c r="AA381" s="112" t="b">
        <f t="shared" si="6"/>
        <v>0</v>
      </c>
      <c r="AB381" s="142" t="b">
        <v>0</v>
      </c>
      <c r="AC381" s="140">
        <v>427.0</v>
      </c>
      <c r="AD381" s="141" t="b">
        <v>0</v>
      </c>
      <c r="AE381" s="115">
        <f t="shared" si="7"/>
        <v>100.9333333</v>
      </c>
      <c r="AF381" s="116" t="b">
        <f t="shared" si="8"/>
        <v>0</v>
      </c>
      <c r="AG381" s="105" t="b">
        <f t="shared" si="9"/>
        <v>0</v>
      </c>
      <c r="AH381" s="140"/>
      <c r="AI381" s="140"/>
      <c r="AJ381" s="140"/>
      <c r="AK381" s="117" t="str">
        <f t="shared" si="10"/>
        <v>Positive</v>
      </c>
      <c r="AL381" s="142"/>
      <c r="AM381" s="112" t="s">
        <v>1191</v>
      </c>
      <c r="AN381" s="112" t="s">
        <v>1192</v>
      </c>
      <c r="AO381" s="112" t="str">
        <f>IFERROR(__xludf.DUMMYFUNCTION("IF($AG381, ""DELETED"",TRIM(JOIN("" "",D381:E381)))"),"")</f>
        <v/>
      </c>
      <c r="AP381" s="112" t="str">
        <f t="shared" ref="AP381:AQ381" si="406">IF($AG381, "DELETED", TRIM(CONCATENATE(F381,I381,U381)))</f>
        <v/>
      </c>
      <c r="AQ381" s="112" t="str">
        <f t="shared" si="406"/>
        <v/>
      </c>
      <c r="AR381" s="112" t="str">
        <f>IFERROR(__xludf.DUMMYFUNCTION("IF($AG381, ""DELETED"", TRIM(JOIN("" "",AP381,AQ381)))"),"")</f>
        <v/>
      </c>
      <c r="AS381" s="118"/>
      <c r="AT381" s="110" t="b">
        <f t="shared" si="12"/>
        <v>0</v>
      </c>
      <c r="AU381" s="110" t="str">
        <f t="shared" si="13"/>
        <v/>
      </c>
      <c r="AV381" s="110" t="str">
        <f t="shared" si="14"/>
        <v/>
      </c>
      <c r="AW381" s="110" t="str">
        <f t="shared" si="15"/>
        <v/>
      </c>
      <c r="AX381" s="119" t="str">
        <f t="shared" si="16"/>
        <v/>
      </c>
      <c r="AY381" s="120"/>
      <c r="AZ381" s="121"/>
      <c r="BA381" s="122" t="str">
        <f t="shared" si="17"/>
        <v/>
      </c>
      <c r="BB381" s="34"/>
      <c r="BC381" s="121"/>
      <c r="BD381" s="136"/>
      <c r="BE381" s="125" t="str">
        <f t="shared" si="18"/>
        <v/>
      </c>
      <c r="BF381" s="126" t="str">
        <f t="shared" si="19"/>
        <v>MA1079__44604_0.323576388888889</v>
      </c>
      <c r="BG381" s="127" t="str">
        <f t="shared" si="20"/>
        <v/>
      </c>
      <c r="BH381" s="137" t="s">
        <v>1201</v>
      </c>
      <c r="BI381" s="128" t="str">
        <f t="shared" si="21"/>
        <v>MA1173</v>
      </c>
      <c r="BJ381" s="129" t="b">
        <f t="shared" si="22"/>
        <v>0</v>
      </c>
      <c r="BK381" s="128" t="str">
        <f t="shared" si="23"/>
        <v/>
      </c>
      <c r="BL381" s="121"/>
      <c r="BM381" s="5" t="str">
        <f t="shared" si="24"/>
        <v>MISSING</v>
      </c>
      <c r="BN381" s="120" t="b">
        <f t="shared" si="25"/>
        <v>0</v>
      </c>
      <c r="BO381" s="131" t="b">
        <f t="shared" si="26"/>
        <v>1</v>
      </c>
      <c r="BP381" s="121"/>
      <c r="BQ381" s="132" t="str">
        <f>VLOOKUP(A381,RAW_APS!A$3:O826,15,FALSE)</f>
        <v/>
      </c>
      <c r="BR381" s="120" t="b">
        <f t="shared" si="27"/>
        <v>1</v>
      </c>
      <c r="BS381" s="121"/>
      <c r="BT381" s="138" t="s">
        <v>52</v>
      </c>
      <c r="BU381" s="10" t="b">
        <f t="shared" si="28"/>
        <v>1</v>
      </c>
      <c r="BV381" s="120"/>
      <c r="BW381" s="120"/>
      <c r="BX381" s="120"/>
      <c r="BY381" s="120"/>
      <c r="BZ381" s="120"/>
      <c r="CA381" s="120"/>
      <c r="CB381" s="120"/>
      <c r="CC381" s="120"/>
    </row>
    <row r="382">
      <c r="A382" s="2" t="s">
        <v>1202</v>
      </c>
      <c r="B382" s="100">
        <v>44604.0</v>
      </c>
      <c r="C382" s="101">
        <v>0.3247569444444444</v>
      </c>
      <c r="D382" s="102"/>
      <c r="E382" s="102"/>
      <c r="F382" s="139"/>
      <c r="G382" s="103"/>
      <c r="H382" s="103"/>
      <c r="I382" s="103"/>
      <c r="J382" s="103"/>
      <c r="K382" s="2" t="s">
        <v>52</v>
      </c>
      <c r="L382" s="100">
        <v>44604.0</v>
      </c>
      <c r="M382" s="101">
        <v>0.3936689814814815</v>
      </c>
      <c r="P382" s="104" t="b">
        <f>IFNA(IF(VLOOKUP($A382,'Add from APT'!$AA$2:$AC826,3,FALSE)&gt;0,TRUE,FALSE),"ER - NOT IN APT")</f>
        <v>0</v>
      </c>
      <c r="Q382" s="105" t="str">
        <f>IF(ISLOGICAL(P382),IF(P382,"ER - REPS IN APT", IFNA(VLOOKUP($A382,RAW_APT!$A$3:$M826,7,FALSE),"ER - NOT IN APT")),P382)</f>
        <v>Result</v>
      </c>
      <c r="R382" s="106" t="b">
        <f t="shared" si="2"/>
        <v>1</v>
      </c>
      <c r="S382" s="107">
        <f t="shared" si="3"/>
        <v>1</v>
      </c>
      <c r="T382" s="140">
        <v>0.0</v>
      </c>
      <c r="U382" s="141"/>
      <c r="W382" s="141"/>
      <c r="X382" s="110" t="b">
        <f t="shared" si="4"/>
        <v>0</v>
      </c>
      <c r="Y382" s="111" t="b">
        <v>0</v>
      </c>
      <c r="Z382" s="104" t="str">
        <f t="shared" si="5"/>
        <v/>
      </c>
      <c r="AA382" s="112" t="b">
        <f t="shared" si="6"/>
        <v>0</v>
      </c>
      <c r="AB382" s="142" t="b">
        <v>0</v>
      </c>
      <c r="AC382" s="140">
        <v>426.0</v>
      </c>
      <c r="AD382" s="141" t="b">
        <v>0</v>
      </c>
      <c r="AE382" s="115">
        <f t="shared" si="7"/>
        <v>99.23333333</v>
      </c>
      <c r="AF382" s="116" t="b">
        <f t="shared" si="8"/>
        <v>0</v>
      </c>
      <c r="AG382" s="105" t="b">
        <f t="shared" si="9"/>
        <v>0</v>
      </c>
      <c r="AH382" s="140"/>
      <c r="AI382" s="140"/>
      <c r="AJ382" s="140"/>
      <c r="AK382" s="117" t="str">
        <f t="shared" si="10"/>
        <v>Positive</v>
      </c>
      <c r="AL382" s="142"/>
      <c r="AM382" s="112" t="s">
        <v>1191</v>
      </c>
      <c r="AN382" s="112" t="s">
        <v>1203</v>
      </c>
      <c r="AO382" s="112" t="str">
        <f>IFERROR(__xludf.DUMMYFUNCTION("IF($AG382, ""DELETED"",TRIM(JOIN("" "",D382:E382)))"),"")</f>
        <v/>
      </c>
      <c r="AP382" s="112" t="str">
        <f t="shared" ref="AP382:AQ382" si="407">IF($AG382, "DELETED", TRIM(CONCATENATE(F382,I382,U382)))</f>
        <v/>
      </c>
      <c r="AQ382" s="112" t="str">
        <f t="shared" si="407"/>
        <v/>
      </c>
      <c r="AR382" s="112" t="str">
        <f>IFERROR(__xludf.DUMMYFUNCTION("IF($AG382, ""DELETED"", TRIM(JOIN("" "",AP382,AQ382)))"),"")</f>
        <v/>
      </c>
      <c r="AS382" s="118"/>
      <c r="AT382" s="110" t="b">
        <f t="shared" si="12"/>
        <v>0</v>
      </c>
      <c r="AU382" s="110" t="str">
        <f t="shared" si="13"/>
        <v/>
      </c>
      <c r="AV382" s="110" t="str">
        <f t="shared" si="14"/>
        <v/>
      </c>
      <c r="AW382" s="110" t="str">
        <f t="shared" si="15"/>
        <v/>
      </c>
      <c r="AX382" s="119" t="str">
        <f t="shared" si="16"/>
        <v/>
      </c>
      <c r="AY382" s="120"/>
      <c r="AZ382" s="121"/>
      <c r="BA382" s="122" t="str">
        <f t="shared" si="17"/>
        <v/>
      </c>
      <c r="BB382" s="34"/>
      <c r="BC382" s="121"/>
      <c r="BD382" s="136"/>
      <c r="BE382" s="125" t="str">
        <f t="shared" si="18"/>
        <v/>
      </c>
      <c r="BF382" s="126" t="str">
        <f t="shared" si="19"/>
        <v>MA1111__44604_0.324756944444444</v>
      </c>
      <c r="BG382" s="127" t="str">
        <f t="shared" si="20"/>
        <v/>
      </c>
      <c r="BH382" s="137" t="s">
        <v>1204</v>
      </c>
      <c r="BI382" s="128" t="str">
        <f t="shared" si="21"/>
        <v>MA1174</v>
      </c>
      <c r="BJ382" s="129" t="b">
        <f t="shared" si="22"/>
        <v>0</v>
      </c>
      <c r="BK382" s="128" t="str">
        <f t="shared" si="23"/>
        <v/>
      </c>
      <c r="BL382" s="121"/>
      <c r="BM382" s="5" t="str">
        <f t="shared" si="24"/>
        <v>MISSING</v>
      </c>
      <c r="BN382" s="120" t="b">
        <f t="shared" si="25"/>
        <v>0</v>
      </c>
      <c r="BO382" s="131" t="b">
        <f t="shared" si="26"/>
        <v>1</v>
      </c>
      <c r="BP382" s="121"/>
      <c r="BQ382" s="132" t="str">
        <f>VLOOKUP(A382,RAW_APS!A$3:O826,15,FALSE)</f>
        <v/>
      </c>
      <c r="BR382" s="120" t="b">
        <f t="shared" si="27"/>
        <v>1</v>
      </c>
      <c r="BS382" s="121"/>
      <c r="BT382" s="138" t="s">
        <v>52</v>
      </c>
      <c r="BU382" s="10" t="b">
        <f t="shared" si="28"/>
        <v>1</v>
      </c>
      <c r="BV382" s="120"/>
      <c r="BW382" s="120"/>
      <c r="BX382" s="120"/>
      <c r="BY382" s="120"/>
      <c r="BZ382" s="120"/>
      <c r="CA382" s="120"/>
      <c r="CB382" s="120"/>
      <c r="CC382" s="120"/>
    </row>
    <row r="383">
      <c r="A383" s="2" t="s">
        <v>1205</v>
      </c>
      <c r="B383" s="100">
        <v>44605.0</v>
      </c>
      <c r="C383" s="101">
        <v>0.3327893518518519</v>
      </c>
      <c r="D383" s="102"/>
      <c r="E383" s="102"/>
      <c r="F383" s="102"/>
      <c r="G383" s="102"/>
      <c r="H383" s="102"/>
      <c r="I383" s="103"/>
      <c r="J383" s="103"/>
      <c r="K383" s="2" t="s">
        <v>254</v>
      </c>
      <c r="L383" s="11"/>
      <c r="M383" s="11"/>
      <c r="N383" s="11"/>
      <c r="O383" s="11"/>
      <c r="P383" s="104" t="b">
        <f>IFNA(IF(VLOOKUP($A383,'Add from APT'!$AA$2:$AC826,3,FALSE)&gt;0,TRUE,FALSE),"ER - NOT IN APT")</f>
        <v>0</v>
      </c>
      <c r="Q383" s="105" t="str">
        <f>IF(ISLOGICAL(P383),IF(P383,"ER - REPS IN APT", IFNA(VLOOKUP($A383,RAW_APT!$A$3:$M826,7,FALSE),"ER - NOT IN APT")),P383)</f>
        <v>Collected</v>
      </c>
      <c r="R383" s="106" t="b">
        <f t="shared" si="2"/>
        <v>1</v>
      </c>
      <c r="S383" s="107">
        <f t="shared" si="3"/>
        <v>1</v>
      </c>
      <c r="T383" s="143"/>
      <c r="U383" s="142"/>
      <c r="V383" s="142"/>
      <c r="W383" s="142"/>
      <c r="X383" s="110" t="b">
        <f t="shared" si="4"/>
        <v>0</v>
      </c>
      <c r="Y383" s="111" t="b">
        <v>0</v>
      </c>
      <c r="Z383" s="104" t="str">
        <f t="shared" si="5"/>
        <v/>
      </c>
      <c r="AA383" s="112" t="b">
        <f t="shared" si="6"/>
        <v>0</v>
      </c>
      <c r="AB383" s="142" t="b">
        <v>0</v>
      </c>
      <c r="AC383" s="140">
        <v>425.0</v>
      </c>
      <c r="AD383" s="141" t="b">
        <v>0</v>
      </c>
      <c r="AE383" s="115" t="str">
        <f t="shared" si="7"/>
        <v/>
      </c>
      <c r="AF383" s="116" t="b">
        <f t="shared" si="8"/>
        <v>0</v>
      </c>
      <c r="AG383" s="105" t="b">
        <f t="shared" si="9"/>
        <v>1</v>
      </c>
      <c r="AH383" s="140">
        <v>9.1</v>
      </c>
      <c r="AI383" s="140"/>
      <c r="AJ383" s="140"/>
      <c r="AK383" s="117" t="str">
        <f t="shared" si="10"/>
        <v>DELETED</v>
      </c>
      <c r="AL383" s="141" t="s">
        <v>1206</v>
      </c>
      <c r="AM383" s="112" t="s">
        <v>245</v>
      </c>
      <c r="AN383" s="112" t="s">
        <v>245</v>
      </c>
      <c r="AO383" s="112" t="str">
        <f>IFERROR(__xludf.DUMMYFUNCTION("IF($AG383, ""DELETED"",TRIM(JOIN("" "",D383:E383)))"),"DELETED")</f>
        <v>DELETED</v>
      </c>
      <c r="AP383" s="112" t="str">
        <f t="shared" ref="AP383:AQ383" si="408">IF($AG383, "DELETED", TRIM(CONCATENATE(F383,I383,U383)))</f>
        <v>DELETED</v>
      </c>
      <c r="AQ383" s="112" t="str">
        <f t="shared" si="408"/>
        <v>DELETED</v>
      </c>
      <c r="AR383" s="112" t="str">
        <f>IFERROR(__xludf.DUMMYFUNCTION("IF($AG383, ""DELETED"", TRIM(JOIN("" "",AP383,AQ383)))"),"DELETED")</f>
        <v>DELETED</v>
      </c>
      <c r="AS383" s="118"/>
      <c r="AT383" s="110" t="b">
        <f t="shared" si="12"/>
        <v>1</v>
      </c>
      <c r="AU383" s="110" t="str">
        <f t="shared" si="13"/>
        <v/>
      </c>
      <c r="AV383" s="110" t="str">
        <f t="shared" si="14"/>
        <v/>
      </c>
      <c r="AW383" s="110" t="str">
        <f t="shared" si="15"/>
        <v/>
      </c>
      <c r="AX383" s="119" t="str">
        <f t="shared" si="16"/>
        <v/>
      </c>
      <c r="AY383" s="120"/>
      <c r="AZ383" s="121"/>
      <c r="BA383" s="122" t="b">
        <f t="shared" si="17"/>
        <v>1</v>
      </c>
      <c r="BB383" s="34"/>
      <c r="BC383" s="121"/>
      <c r="BD383" s="136"/>
      <c r="BE383" s="125" t="str">
        <f t="shared" si="18"/>
        <v/>
      </c>
      <c r="BF383" s="126" t="str">
        <f t="shared" si="19"/>
        <v>FM1003__44605_0.332789351851852</v>
      </c>
      <c r="BG383" s="127" t="str">
        <f t="shared" si="20"/>
        <v/>
      </c>
      <c r="BH383" s="137" t="s">
        <v>1207</v>
      </c>
      <c r="BI383" s="128" t="str">
        <f t="shared" si="21"/>
        <v>MA1175</v>
      </c>
      <c r="BJ383" s="129" t="b">
        <f t="shared" si="22"/>
        <v>0</v>
      </c>
      <c r="BK383" s="128" t="str">
        <f t="shared" si="23"/>
        <v/>
      </c>
      <c r="BL383" s="121"/>
      <c r="BM383" s="5" t="str">
        <f t="shared" si="24"/>
        <v/>
      </c>
      <c r="BN383" s="120" t="b">
        <f t="shared" si="25"/>
        <v>0</v>
      </c>
      <c r="BO383" s="131" t="b">
        <f t="shared" si="26"/>
        <v>0</v>
      </c>
      <c r="BP383" s="121"/>
      <c r="BQ383" s="132" t="str">
        <f>VLOOKUP(A383,RAW_APS!A$3:O826,15,FALSE)</f>
        <v/>
      </c>
      <c r="BR383" s="120" t="b">
        <f t="shared" si="27"/>
        <v>1</v>
      </c>
      <c r="BS383" s="121"/>
      <c r="BT383" s="138" t="s">
        <v>245</v>
      </c>
      <c r="BU383" s="10" t="b">
        <f t="shared" si="28"/>
        <v>1</v>
      </c>
      <c r="BV383" s="120"/>
      <c r="BW383" s="120"/>
      <c r="BX383" s="120"/>
      <c r="BY383" s="120"/>
      <c r="BZ383" s="120"/>
      <c r="CA383" s="120"/>
      <c r="CB383" s="120"/>
      <c r="CC383" s="120"/>
    </row>
    <row r="384">
      <c r="A384" s="2" t="s">
        <v>1208</v>
      </c>
      <c r="B384" s="100">
        <v>44606.0</v>
      </c>
      <c r="C384" s="101">
        <v>0.3206712962962963</v>
      </c>
      <c r="D384" s="102"/>
      <c r="E384" s="102"/>
      <c r="F384" s="102"/>
      <c r="G384" s="102"/>
      <c r="H384" s="102"/>
      <c r="I384" s="103"/>
      <c r="J384" s="103"/>
      <c r="K384" s="2" t="s">
        <v>254</v>
      </c>
      <c r="L384" s="11"/>
      <c r="M384" s="11"/>
      <c r="N384" s="11"/>
      <c r="O384" s="11"/>
      <c r="P384" s="104" t="b">
        <f>IFNA(IF(VLOOKUP($A384,'Add from APT'!$AA$2:$AC826,3,FALSE)&gt;0,TRUE,FALSE),"ER - NOT IN APT")</f>
        <v>0</v>
      </c>
      <c r="Q384" s="105" t="str">
        <f>IF(ISLOGICAL(P384),IF(P384,"ER - REPS IN APT", IFNA(VLOOKUP($A384,RAW_APT!$A$3:$M826,7,FALSE),"ER - NOT IN APT")),P384)</f>
        <v>Collected</v>
      </c>
      <c r="R384" s="106" t="b">
        <f t="shared" si="2"/>
        <v>1</v>
      </c>
      <c r="S384" s="107">
        <f t="shared" si="3"/>
        <v>1</v>
      </c>
      <c r="T384" s="143"/>
      <c r="U384" s="142"/>
      <c r="V384" s="142"/>
      <c r="W384" s="142"/>
      <c r="X384" s="110" t="b">
        <f t="shared" si="4"/>
        <v>0</v>
      </c>
      <c r="Y384" s="111" t="b">
        <v>0</v>
      </c>
      <c r="Z384" s="104" t="str">
        <f t="shared" si="5"/>
        <v/>
      </c>
      <c r="AA384" s="112" t="b">
        <f t="shared" si="6"/>
        <v>0</v>
      </c>
      <c r="AB384" s="142" t="b">
        <v>0</v>
      </c>
      <c r="AC384" s="140">
        <v>424.0</v>
      </c>
      <c r="AD384" s="141" t="b">
        <v>0</v>
      </c>
      <c r="AE384" s="115" t="str">
        <f t="shared" si="7"/>
        <v/>
      </c>
      <c r="AF384" s="116" t="b">
        <f t="shared" si="8"/>
        <v>0</v>
      </c>
      <c r="AG384" s="105" t="b">
        <f t="shared" si="9"/>
        <v>1</v>
      </c>
      <c r="AH384" s="140">
        <v>9.1</v>
      </c>
      <c r="AI384" s="140"/>
      <c r="AJ384" s="140"/>
      <c r="AK384" s="117" t="str">
        <f t="shared" si="10"/>
        <v>DELETED</v>
      </c>
      <c r="AL384" s="141" t="s">
        <v>1206</v>
      </c>
      <c r="AM384" s="112" t="s">
        <v>245</v>
      </c>
      <c r="AN384" s="112" t="s">
        <v>245</v>
      </c>
      <c r="AO384" s="112" t="str">
        <f>IFERROR(__xludf.DUMMYFUNCTION("IF($AG384, ""DELETED"",TRIM(JOIN("" "",D384:E384)))"),"DELETED")</f>
        <v>DELETED</v>
      </c>
      <c r="AP384" s="112" t="str">
        <f t="shared" ref="AP384:AQ384" si="409">IF($AG384, "DELETED", TRIM(CONCATENATE(F384,I384,U384)))</f>
        <v>DELETED</v>
      </c>
      <c r="AQ384" s="112" t="str">
        <f t="shared" si="409"/>
        <v>DELETED</v>
      </c>
      <c r="AR384" s="112" t="str">
        <f>IFERROR(__xludf.DUMMYFUNCTION("IF($AG384, ""DELETED"", TRIM(JOIN("" "",AP384,AQ384)))"),"DELETED")</f>
        <v>DELETED</v>
      </c>
      <c r="AS384" s="118"/>
      <c r="AT384" s="110" t="b">
        <f t="shared" si="12"/>
        <v>1</v>
      </c>
      <c r="AU384" s="110" t="str">
        <f t="shared" si="13"/>
        <v/>
      </c>
      <c r="AV384" s="110" t="str">
        <f t="shared" si="14"/>
        <v/>
      </c>
      <c r="AW384" s="110" t="str">
        <f t="shared" si="15"/>
        <v/>
      </c>
      <c r="AX384" s="119" t="str">
        <f t="shared" si="16"/>
        <v/>
      </c>
      <c r="AY384" s="120"/>
      <c r="AZ384" s="121"/>
      <c r="BA384" s="122" t="b">
        <f t="shared" si="17"/>
        <v>1</v>
      </c>
      <c r="BB384" s="34"/>
      <c r="BC384" s="121"/>
      <c r="BD384" s="136"/>
      <c r="BE384" s="125" t="str">
        <f t="shared" si="18"/>
        <v/>
      </c>
      <c r="BF384" s="126" t="str">
        <f t="shared" si="19"/>
        <v>FM786__44606_0.320671296296296</v>
      </c>
      <c r="BG384" s="127" t="str">
        <f t="shared" si="20"/>
        <v/>
      </c>
      <c r="BH384" s="137" t="s">
        <v>1209</v>
      </c>
      <c r="BI384" s="128" t="str">
        <f t="shared" si="21"/>
        <v>MA1177</v>
      </c>
      <c r="BJ384" s="129" t="b">
        <f t="shared" si="22"/>
        <v>0</v>
      </c>
      <c r="BK384" s="128" t="str">
        <f t="shared" si="23"/>
        <v/>
      </c>
      <c r="BL384" s="121"/>
      <c r="BM384" s="5" t="str">
        <f t="shared" si="24"/>
        <v/>
      </c>
      <c r="BN384" s="120" t="b">
        <f t="shared" si="25"/>
        <v>0</v>
      </c>
      <c r="BO384" s="131" t="b">
        <f t="shared" si="26"/>
        <v>0</v>
      </c>
      <c r="BP384" s="121"/>
      <c r="BQ384" s="132" t="str">
        <f>VLOOKUP(A384,RAW_APS!A$3:O826,15,FALSE)</f>
        <v/>
      </c>
      <c r="BR384" s="120" t="b">
        <f t="shared" si="27"/>
        <v>1</v>
      </c>
      <c r="BS384" s="121"/>
      <c r="BT384" s="138" t="s">
        <v>245</v>
      </c>
      <c r="BU384" s="10" t="b">
        <f t="shared" si="28"/>
        <v>1</v>
      </c>
      <c r="BV384" s="120"/>
      <c r="BW384" s="120"/>
      <c r="BX384" s="120"/>
      <c r="BY384" s="120"/>
      <c r="BZ384" s="120"/>
      <c r="CA384" s="120"/>
      <c r="CB384" s="120"/>
      <c r="CC384" s="120"/>
    </row>
    <row r="385">
      <c r="A385" s="2" t="s">
        <v>1210</v>
      </c>
      <c r="B385" s="100">
        <v>44606.0</v>
      </c>
      <c r="C385" s="101">
        <v>0.3229050925925926</v>
      </c>
      <c r="D385" s="102"/>
      <c r="E385" s="102"/>
      <c r="F385" s="102"/>
      <c r="G385" s="102"/>
      <c r="H385" s="102"/>
      <c r="I385" s="103"/>
      <c r="J385" s="103"/>
      <c r="K385" s="2" t="s">
        <v>254</v>
      </c>
      <c r="L385" s="11"/>
      <c r="M385" s="11"/>
      <c r="N385" s="11"/>
      <c r="O385" s="11"/>
      <c r="P385" s="104" t="b">
        <f>IFNA(IF(VLOOKUP($A385,'Add from APT'!$AA$2:$AC826,3,FALSE)&gt;0,TRUE,FALSE),"ER - NOT IN APT")</f>
        <v>0</v>
      </c>
      <c r="Q385" s="105" t="str">
        <f>IF(ISLOGICAL(P385),IF(P385,"ER - REPS IN APT", IFNA(VLOOKUP($A385,RAW_APT!$A$3:$M826,7,FALSE),"ER - NOT IN APT")),P385)</f>
        <v>Collected</v>
      </c>
      <c r="R385" s="106" t="b">
        <f t="shared" si="2"/>
        <v>1</v>
      </c>
      <c r="S385" s="107">
        <f t="shared" si="3"/>
        <v>1</v>
      </c>
      <c r="T385" s="143"/>
      <c r="U385" s="142"/>
      <c r="V385" s="142"/>
      <c r="W385" s="142"/>
      <c r="X385" s="110" t="b">
        <f t="shared" si="4"/>
        <v>0</v>
      </c>
      <c r="Y385" s="111" t="b">
        <v>0</v>
      </c>
      <c r="Z385" s="104" t="str">
        <f t="shared" si="5"/>
        <v/>
      </c>
      <c r="AA385" s="112" t="b">
        <f t="shared" si="6"/>
        <v>0</v>
      </c>
      <c r="AB385" s="142" t="b">
        <v>0</v>
      </c>
      <c r="AC385" s="140">
        <v>423.0</v>
      </c>
      <c r="AD385" s="141" t="b">
        <v>0</v>
      </c>
      <c r="AE385" s="115" t="str">
        <f t="shared" si="7"/>
        <v/>
      </c>
      <c r="AF385" s="116" t="b">
        <f t="shared" si="8"/>
        <v>0</v>
      </c>
      <c r="AG385" s="105" t="b">
        <f t="shared" si="9"/>
        <v>1</v>
      </c>
      <c r="AH385" s="140">
        <v>9.1</v>
      </c>
      <c r="AI385" s="140"/>
      <c r="AJ385" s="140"/>
      <c r="AK385" s="117" t="str">
        <f t="shared" si="10"/>
        <v>DELETED</v>
      </c>
      <c r="AL385" s="141" t="s">
        <v>1206</v>
      </c>
      <c r="AM385" s="112" t="s">
        <v>245</v>
      </c>
      <c r="AN385" s="112" t="s">
        <v>245</v>
      </c>
      <c r="AO385" s="112" t="str">
        <f>IFERROR(__xludf.DUMMYFUNCTION("IF($AG385, ""DELETED"",TRIM(JOIN("" "",D385:E385)))"),"DELETED")</f>
        <v>DELETED</v>
      </c>
      <c r="AP385" s="112" t="str">
        <f t="shared" ref="AP385:AQ385" si="410">IF($AG385, "DELETED", TRIM(CONCATENATE(F385,I385,U385)))</f>
        <v>DELETED</v>
      </c>
      <c r="AQ385" s="112" t="str">
        <f t="shared" si="410"/>
        <v>DELETED</v>
      </c>
      <c r="AR385" s="112" t="str">
        <f>IFERROR(__xludf.DUMMYFUNCTION("IF($AG385, ""DELETED"", TRIM(JOIN("" "",AP385,AQ385)))"),"DELETED")</f>
        <v>DELETED</v>
      </c>
      <c r="AS385" s="118"/>
      <c r="AT385" s="110" t="b">
        <f t="shared" si="12"/>
        <v>1</v>
      </c>
      <c r="AU385" s="110" t="str">
        <f t="shared" si="13"/>
        <v/>
      </c>
      <c r="AV385" s="110" t="str">
        <f t="shared" si="14"/>
        <v/>
      </c>
      <c r="AW385" s="110" t="str">
        <f t="shared" si="15"/>
        <v/>
      </c>
      <c r="AX385" s="119" t="str">
        <f t="shared" si="16"/>
        <v/>
      </c>
      <c r="AY385" s="120"/>
      <c r="AZ385" s="121"/>
      <c r="BA385" s="122" t="b">
        <f t="shared" si="17"/>
        <v>1</v>
      </c>
      <c r="BB385" s="34"/>
      <c r="BC385" s="121"/>
      <c r="BD385" s="136"/>
      <c r="BE385" s="125" t="str">
        <f t="shared" si="18"/>
        <v/>
      </c>
      <c r="BF385" s="126" t="str">
        <f t="shared" si="19"/>
        <v>FM77__44606_0.322905092592593</v>
      </c>
      <c r="BG385" s="127" t="str">
        <f t="shared" si="20"/>
        <v/>
      </c>
      <c r="BH385" s="137" t="s">
        <v>1211</v>
      </c>
      <c r="BI385" s="128" t="str">
        <f t="shared" si="21"/>
        <v>MA1178</v>
      </c>
      <c r="BJ385" s="129" t="b">
        <f t="shared" si="22"/>
        <v>0</v>
      </c>
      <c r="BK385" s="128" t="str">
        <f t="shared" si="23"/>
        <v/>
      </c>
      <c r="BL385" s="121"/>
      <c r="BM385" s="5" t="str">
        <f t="shared" si="24"/>
        <v/>
      </c>
      <c r="BN385" s="120" t="b">
        <f t="shared" si="25"/>
        <v>0</v>
      </c>
      <c r="BO385" s="131" t="b">
        <f t="shared" si="26"/>
        <v>0</v>
      </c>
      <c r="BP385" s="121"/>
      <c r="BQ385" s="132" t="str">
        <f>VLOOKUP(A385,RAW_APS!A$3:O826,15,FALSE)</f>
        <v/>
      </c>
      <c r="BR385" s="120" t="b">
        <f t="shared" si="27"/>
        <v>1</v>
      </c>
      <c r="BS385" s="121"/>
      <c r="BT385" s="138" t="s">
        <v>245</v>
      </c>
      <c r="BU385" s="10" t="b">
        <f t="shared" si="28"/>
        <v>1</v>
      </c>
      <c r="BV385" s="120"/>
      <c r="BW385" s="120"/>
      <c r="BX385" s="120"/>
      <c r="BY385" s="120"/>
      <c r="BZ385" s="120"/>
      <c r="CA385" s="120"/>
      <c r="CB385" s="120"/>
      <c r="CC385" s="120"/>
    </row>
    <row r="386">
      <c r="A386" s="2" t="s">
        <v>1212</v>
      </c>
      <c r="B386" s="100">
        <v>44606.0</v>
      </c>
      <c r="C386" s="101">
        <v>0.3375</v>
      </c>
      <c r="D386" s="102"/>
      <c r="E386" s="102"/>
      <c r="F386" s="102"/>
      <c r="G386" s="102"/>
      <c r="H386" s="102"/>
      <c r="I386" s="103"/>
      <c r="J386" s="103"/>
      <c r="K386" s="2" t="s">
        <v>254</v>
      </c>
      <c r="L386" s="11"/>
      <c r="M386" s="11"/>
      <c r="N386" s="11"/>
      <c r="O386" s="11"/>
      <c r="P386" s="104" t="b">
        <f>IFNA(IF(VLOOKUP($A386,'Add from APT'!$AA$2:$AC826,3,FALSE)&gt;0,TRUE,FALSE),"ER - NOT IN APT")</f>
        <v>0</v>
      </c>
      <c r="Q386" s="105" t="str">
        <f>IF(ISLOGICAL(P386),IF(P386,"ER - REPS IN APT", IFNA(VLOOKUP($A386,RAW_APT!$A$3:$M826,7,FALSE),"ER - NOT IN APT")),P386)</f>
        <v>Collected</v>
      </c>
      <c r="R386" s="106" t="b">
        <f t="shared" si="2"/>
        <v>1</v>
      </c>
      <c r="S386" s="107">
        <f t="shared" si="3"/>
        <v>1</v>
      </c>
      <c r="T386" s="108"/>
      <c r="U386" s="109"/>
      <c r="V386" s="109"/>
      <c r="W386" s="109"/>
      <c r="X386" s="110" t="b">
        <f t="shared" si="4"/>
        <v>0</v>
      </c>
      <c r="Y386" s="111" t="b">
        <v>0</v>
      </c>
      <c r="Z386" s="104" t="str">
        <f t="shared" si="5"/>
        <v/>
      </c>
      <c r="AA386" s="112" t="b">
        <f t="shared" si="6"/>
        <v>0</v>
      </c>
      <c r="AB386" s="109" t="b">
        <v>0</v>
      </c>
      <c r="AC386" s="113">
        <v>422.0</v>
      </c>
      <c r="AD386" s="114" t="b">
        <v>0</v>
      </c>
      <c r="AE386" s="115" t="str">
        <f t="shared" si="7"/>
        <v/>
      </c>
      <c r="AF386" s="116" t="b">
        <f t="shared" si="8"/>
        <v>0</v>
      </c>
      <c r="AG386" s="105" t="b">
        <f t="shared" si="9"/>
        <v>1</v>
      </c>
      <c r="AH386" s="164">
        <v>4.1</v>
      </c>
      <c r="AI386" s="164"/>
      <c r="AJ386" s="164"/>
      <c r="AK386" s="117" t="str">
        <f t="shared" si="10"/>
        <v>DELETED</v>
      </c>
      <c r="AL386" s="165"/>
      <c r="AM386" s="112" t="s">
        <v>245</v>
      </c>
      <c r="AN386" s="112" t="s">
        <v>245</v>
      </c>
      <c r="AO386" s="112" t="str">
        <f>IFERROR(__xludf.DUMMYFUNCTION("IF($AG386, ""DELETED"",TRIM(JOIN("" "",D386:E386)))"),"DELETED")</f>
        <v>DELETED</v>
      </c>
      <c r="AP386" s="112" t="str">
        <f t="shared" ref="AP386:AQ386" si="411">IF($AG386, "DELETED", TRIM(CONCATENATE(F386,I386,U386)))</f>
        <v>DELETED</v>
      </c>
      <c r="AQ386" s="112" t="str">
        <f t="shared" si="411"/>
        <v>DELETED</v>
      </c>
      <c r="AR386" s="112" t="str">
        <f>IFERROR(__xludf.DUMMYFUNCTION("IF($AG386, ""DELETED"", TRIM(JOIN("" "",AP386,AQ386)))"),"DELETED")</f>
        <v>DELETED</v>
      </c>
      <c r="AS386" s="118"/>
      <c r="AT386" s="110" t="b">
        <f t="shared" si="12"/>
        <v>1</v>
      </c>
      <c r="AU386" s="110" t="str">
        <f t="shared" si="13"/>
        <v/>
      </c>
      <c r="AV386" s="110" t="str">
        <f t="shared" si="14"/>
        <v/>
      </c>
      <c r="AW386" s="110" t="str">
        <f t="shared" si="15"/>
        <v/>
      </c>
      <c r="AX386" s="119" t="str">
        <f t="shared" si="16"/>
        <v/>
      </c>
      <c r="AY386" s="120"/>
      <c r="AZ386" s="121"/>
      <c r="BA386" s="122" t="b">
        <f t="shared" si="17"/>
        <v>1</v>
      </c>
      <c r="BB386" s="34"/>
      <c r="BC386" s="121"/>
      <c r="BD386" s="136"/>
      <c r="BE386" s="125" t="str">
        <f t="shared" si="18"/>
        <v/>
      </c>
      <c r="BF386" s="126" t="str">
        <f t="shared" si="19"/>
        <v>FM53__44606_0.3375</v>
      </c>
      <c r="BG386" s="127" t="str">
        <f t="shared" si="20"/>
        <v/>
      </c>
      <c r="BH386" s="137" t="s">
        <v>1213</v>
      </c>
      <c r="BI386" s="128" t="str">
        <f t="shared" si="21"/>
        <v>MA1179</v>
      </c>
      <c r="BJ386" s="129" t="b">
        <f t="shared" si="22"/>
        <v>0</v>
      </c>
      <c r="BK386" s="128" t="str">
        <f t="shared" si="23"/>
        <v/>
      </c>
      <c r="BL386" s="121"/>
      <c r="BM386" s="5" t="str">
        <f t="shared" si="24"/>
        <v/>
      </c>
      <c r="BN386" s="120" t="b">
        <f t="shared" si="25"/>
        <v>0</v>
      </c>
      <c r="BO386" s="131" t="b">
        <f t="shared" si="26"/>
        <v>0</v>
      </c>
      <c r="BP386" s="121"/>
      <c r="BQ386" s="132" t="str">
        <f>VLOOKUP(A386,RAW_APS!A$3:O826,15,FALSE)</f>
        <v/>
      </c>
      <c r="BR386" s="120" t="b">
        <f t="shared" si="27"/>
        <v>1</v>
      </c>
      <c r="BS386" s="121"/>
      <c r="BT386" s="138" t="s">
        <v>245</v>
      </c>
      <c r="BU386" s="10" t="b">
        <f t="shared" si="28"/>
        <v>1</v>
      </c>
      <c r="BV386" s="120"/>
      <c r="BW386" s="120"/>
      <c r="BX386" s="120"/>
      <c r="BY386" s="120"/>
      <c r="BZ386" s="120"/>
      <c r="CA386" s="120"/>
      <c r="CB386" s="120"/>
      <c r="CC386" s="120"/>
    </row>
    <row r="387">
      <c r="A387" s="2" t="s">
        <v>1214</v>
      </c>
      <c r="B387" s="100">
        <v>44606.0</v>
      </c>
      <c r="C387" s="101">
        <v>0.3616087962962963</v>
      </c>
      <c r="D387" s="102"/>
      <c r="E387" s="102"/>
      <c r="F387" s="102"/>
      <c r="G387" s="102"/>
      <c r="H387" s="102"/>
      <c r="I387" s="103"/>
      <c r="J387" s="103"/>
      <c r="K387" s="2" t="s">
        <v>254</v>
      </c>
      <c r="L387" s="11"/>
      <c r="M387" s="11"/>
      <c r="N387" s="11"/>
      <c r="O387" s="11"/>
      <c r="P387" s="104" t="b">
        <f>IFNA(IF(VLOOKUP($A387,'Add from APT'!$AA$2:$AC826,3,FALSE)&gt;0,TRUE,FALSE),"ER - NOT IN APT")</f>
        <v>0</v>
      </c>
      <c r="Q387" s="105" t="str">
        <f>IF(ISLOGICAL(P387),IF(P387,"ER - REPS IN APT", IFNA(VLOOKUP($A387,RAW_APT!$A$3:$M826,7,FALSE),"ER - NOT IN APT")),P387)</f>
        <v>Collected</v>
      </c>
      <c r="R387" s="106" t="b">
        <f t="shared" si="2"/>
        <v>1</v>
      </c>
      <c r="S387" s="107">
        <f t="shared" si="3"/>
        <v>1</v>
      </c>
      <c r="T387" s="143"/>
      <c r="U387" s="142"/>
      <c r="V387" s="142"/>
      <c r="W387" s="142"/>
      <c r="X387" s="110" t="b">
        <f t="shared" si="4"/>
        <v>0</v>
      </c>
      <c r="Y387" s="111" t="b">
        <v>0</v>
      </c>
      <c r="Z387" s="104" t="str">
        <f t="shared" si="5"/>
        <v/>
      </c>
      <c r="AA387" s="112" t="b">
        <f t="shared" si="6"/>
        <v>0</v>
      </c>
      <c r="AB387" s="142" t="b">
        <v>0</v>
      </c>
      <c r="AC387" s="140">
        <v>421.0</v>
      </c>
      <c r="AD387" s="141" t="b">
        <v>0</v>
      </c>
      <c r="AE387" s="115" t="str">
        <f t="shared" si="7"/>
        <v/>
      </c>
      <c r="AF387" s="116" t="b">
        <f t="shared" si="8"/>
        <v>0</v>
      </c>
      <c r="AG387" s="105" t="b">
        <f t="shared" si="9"/>
        <v>1</v>
      </c>
      <c r="AH387" s="140">
        <v>9.1</v>
      </c>
      <c r="AI387" s="140"/>
      <c r="AJ387" s="140"/>
      <c r="AK387" s="117" t="str">
        <f t="shared" si="10"/>
        <v>DELETED</v>
      </c>
      <c r="AL387" s="141" t="s">
        <v>1206</v>
      </c>
      <c r="AM387" s="112" t="s">
        <v>245</v>
      </c>
      <c r="AN387" s="112" t="s">
        <v>245</v>
      </c>
      <c r="AO387" s="112" t="str">
        <f>IFERROR(__xludf.DUMMYFUNCTION("IF($AG387, ""DELETED"",TRIM(JOIN("" "",D387:E387)))"),"DELETED")</f>
        <v>DELETED</v>
      </c>
      <c r="AP387" s="112" t="str">
        <f t="shared" ref="AP387:AQ387" si="412">IF($AG387, "DELETED", TRIM(CONCATENATE(F387,I387,U387)))</f>
        <v>DELETED</v>
      </c>
      <c r="AQ387" s="112" t="str">
        <f t="shared" si="412"/>
        <v>DELETED</v>
      </c>
      <c r="AR387" s="112" t="str">
        <f>IFERROR(__xludf.DUMMYFUNCTION("IF($AG387, ""DELETED"", TRIM(JOIN("" "",AP387,AQ387)))"),"DELETED")</f>
        <v>DELETED</v>
      </c>
      <c r="AS387" s="118"/>
      <c r="AT387" s="110" t="b">
        <f t="shared" si="12"/>
        <v>1</v>
      </c>
      <c r="AU387" s="110" t="str">
        <f t="shared" si="13"/>
        <v/>
      </c>
      <c r="AV387" s="110" t="str">
        <f t="shared" si="14"/>
        <v/>
      </c>
      <c r="AW387" s="110" t="str">
        <f t="shared" si="15"/>
        <v/>
      </c>
      <c r="AX387" s="119" t="str">
        <f t="shared" si="16"/>
        <v/>
      </c>
      <c r="AY387" s="120"/>
      <c r="AZ387" s="121"/>
      <c r="BA387" s="122" t="b">
        <f t="shared" si="17"/>
        <v>1</v>
      </c>
      <c r="BB387" s="34"/>
      <c r="BC387" s="121"/>
      <c r="BD387" s="136"/>
      <c r="BE387" s="125" t="str">
        <f t="shared" si="18"/>
        <v/>
      </c>
      <c r="BF387" s="126" t="str">
        <f t="shared" si="19"/>
        <v>FM832__44606_0.361608796296296</v>
      </c>
      <c r="BG387" s="127" t="str">
        <f t="shared" si="20"/>
        <v/>
      </c>
      <c r="BH387" s="137" t="s">
        <v>1215</v>
      </c>
      <c r="BI387" s="128" t="str">
        <f t="shared" si="21"/>
        <v>MA1180</v>
      </c>
      <c r="BJ387" s="129" t="b">
        <f t="shared" si="22"/>
        <v>0</v>
      </c>
      <c r="BK387" s="128" t="str">
        <f t="shared" si="23"/>
        <v/>
      </c>
      <c r="BL387" s="121"/>
      <c r="BM387" s="5" t="str">
        <f t="shared" si="24"/>
        <v/>
      </c>
      <c r="BN387" s="120" t="b">
        <f t="shared" si="25"/>
        <v>0</v>
      </c>
      <c r="BO387" s="131" t="b">
        <f t="shared" si="26"/>
        <v>0</v>
      </c>
      <c r="BP387" s="121"/>
      <c r="BQ387" s="132" t="str">
        <f>VLOOKUP(A387,RAW_APS!A$3:O826,15,FALSE)</f>
        <v/>
      </c>
      <c r="BR387" s="120" t="b">
        <f t="shared" si="27"/>
        <v>1</v>
      </c>
      <c r="BS387" s="121"/>
      <c r="BT387" s="138" t="s">
        <v>245</v>
      </c>
      <c r="BU387" s="10" t="b">
        <f t="shared" si="28"/>
        <v>1</v>
      </c>
      <c r="BV387" s="120"/>
      <c r="BW387" s="120"/>
      <c r="BX387" s="120"/>
      <c r="BY387" s="120"/>
      <c r="BZ387" s="120"/>
      <c r="CA387" s="120"/>
      <c r="CB387" s="120"/>
      <c r="CC387" s="120"/>
    </row>
    <row r="388">
      <c r="A388" s="2" t="s">
        <v>1216</v>
      </c>
      <c r="B388" s="100">
        <v>44607.0</v>
      </c>
      <c r="C388" s="101">
        <v>0.2629282407407407</v>
      </c>
      <c r="D388" s="102"/>
      <c r="E388" s="102"/>
      <c r="F388" s="102"/>
      <c r="G388" s="102"/>
      <c r="H388" s="102"/>
      <c r="I388" s="103"/>
      <c r="J388" s="103"/>
      <c r="K388" s="2" t="s">
        <v>244</v>
      </c>
      <c r="L388" s="100">
        <v>44607.0</v>
      </c>
      <c r="M388" s="101">
        <v>0.5867939814814814</v>
      </c>
      <c r="P388" s="104" t="b">
        <f>IFNA(IF(VLOOKUP($A388,'Add from APT'!$AA$2:$AC826,3,FALSE)&gt;0,TRUE,FALSE),"ER - NOT IN APT")</f>
        <v>0</v>
      </c>
      <c r="Q388" s="105" t="str">
        <f>IF(ISLOGICAL(P388),IF(P388,"ER - REPS IN APT", IFNA(VLOOKUP($A388,RAW_APT!$A$3:$M826,7,FALSE),"ER - NOT IN APT")),P388)</f>
        <v>Result</v>
      </c>
      <c r="R388" s="106" t="b">
        <f t="shared" si="2"/>
        <v>1</v>
      </c>
      <c r="S388" s="107">
        <f t="shared" si="3"/>
        <v>1</v>
      </c>
      <c r="T388" s="143"/>
      <c r="U388" s="142"/>
      <c r="V388" s="142"/>
      <c r="W388" s="142"/>
      <c r="X388" s="110" t="b">
        <f t="shared" si="4"/>
        <v>0</v>
      </c>
      <c r="Y388" s="111" t="b">
        <v>0</v>
      </c>
      <c r="Z388" s="104" t="str">
        <f t="shared" si="5"/>
        <v/>
      </c>
      <c r="AA388" s="112" t="b">
        <f t="shared" si="6"/>
        <v>0</v>
      </c>
      <c r="AB388" s="142" t="b">
        <v>0</v>
      </c>
      <c r="AC388" s="140">
        <v>420.0</v>
      </c>
      <c r="AD388" s="141" t="b">
        <v>0</v>
      </c>
      <c r="AE388" s="115">
        <f t="shared" si="7"/>
        <v>466.3666667</v>
      </c>
      <c r="AF388" s="116" t="b">
        <f t="shared" si="8"/>
        <v>0</v>
      </c>
      <c r="AG388" s="105" t="b">
        <f t="shared" si="9"/>
        <v>0</v>
      </c>
      <c r="AH388" s="144"/>
      <c r="AI388" s="4"/>
      <c r="AJ388" s="3"/>
      <c r="AK388" s="117" t="str">
        <f t="shared" si="10"/>
        <v>Negative</v>
      </c>
      <c r="AL388" s="5"/>
      <c r="AM388" s="112" t="s">
        <v>865</v>
      </c>
      <c r="AN388" s="112" t="s">
        <v>548</v>
      </c>
      <c r="AO388" s="112" t="str">
        <f>IFERROR(__xludf.DUMMYFUNCTION("IF($AG388, ""DELETED"",TRIM(JOIN("" "",D388:E388)))"),"")</f>
        <v/>
      </c>
      <c r="AP388" s="112" t="str">
        <f t="shared" ref="AP388:AQ388" si="413">IF($AG388, "DELETED", TRIM(CONCATENATE(F388,I388,U388)))</f>
        <v/>
      </c>
      <c r="AQ388" s="112" t="str">
        <f t="shared" si="413"/>
        <v/>
      </c>
      <c r="AR388" s="112" t="str">
        <f>IFERROR(__xludf.DUMMYFUNCTION("IF($AG388, ""DELETED"", TRIM(JOIN("" "",AP388,AQ388)))"),"")</f>
        <v/>
      </c>
      <c r="AS388" s="118"/>
      <c r="AT388" s="110" t="b">
        <f t="shared" si="12"/>
        <v>0</v>
      </c>
      <c r="AU388" s="110" t="str">
        <f t="shared" si="13"/>
        <v/>
      </c>
      <c r="AV388" s="110" t="str">
        <f t="shared" si="14"/>
        <v/>
      </c>
      <c r="AW388" s="110" t="str">
        <f t="shared" si="15"/>
        <v/>
      </c>
      <c r="AX388" s="119" t="str">
        <f t="shared" si="16"/>
        <v/>
      </c>
      <c r="AY388" s="166"/>
      <c r="AZ388" s="123"/>
      <c r="BA388" s="122" t="str">
        <f t="shared" si="17"/>
        <v/>
      </c>
      <c r="BB388" s="34"/>
      <c r="BC388" s="121"/>
      <c r="BD388" s="136"/>
      <c r="BE388" s="125" t="str">
        <f t="shared" si="18"/>
        <v/>
      </c>
      <c r="BF388" s="126" t="str">
        <f t="shared" si="19"/>
        <v>FM1__44607_0.262928240740741</v>
      </c>
      <c r="BG388" s="127" t="str">
        <f t="shared" si="20"/>
        <v/>
      </c>
      <c r="BH388" s="137" t="s">
        <v>1217</v>
      </c>
      <c r="BI388" s="128" t="str">
        <f t="shared" si="21"/>
        <v>MA1183</v>
      </c>
      <c r="BJ388" s="129" t="b">
        <f t="shared" si="22"/>
        <v>0</v>
      </c>
      <c r="BK388" s="128" t="str">
        <f t="shared" si="23"/>
        <v/>
      </c>
      <c r="BL388" s="121"/>
      <c r="BM388" s="5" t="str">
        <f t="shared" si="24"/>
        <v>MISSING</v>
      </c>
      <c r="BN388" s="120" t="b">
        <f t="shared" si="25"/>
        <v>0</v>
      </c>
      <c r="BO388" s="131" t="b">
        <f t="shared" si="26"/>
        <v>1</v>
      </c>
      <c r="BP388" s="121"/>
      <c r="BQ388" s="132" t="str">
        <f>VLOOKUP(A388,RAW_APS!A$3:O826,15,FALSE)</f>
        <v/>
      </c>
      <c r="BR388" s="120" t="b">
        <f t="shared" si="27"/>
        <v>1</v>
      </c>
      <c r="BS388" s="121"/>
      <c r="BT388" s="138" t="s">
        <v>244</v>
      </c>
      <c r="BU388" s="10" t="b">
        <f t="shared" si="28"/>
        <v>1</v>
      </c>
      <c r="BV388" s="120"/>
      <c r="BW388" s="120"/>
      <c r="BX388" s="120"/>
      <c r="BY388" s="120"/>
      <c r="BZ388" s="120"/>
      <c r="CA388" s="120"/>
      <c r="CB388" s="120"/>
      <c r="CC388" s="120"/>
    </row>
    <row r="389">
      <c r="A389" s="2" t="s">
        <v>1218</v>
      </c>
      <c r="B389" s="100">
        <v>44607.0</v>
      </c>
      <c r="C389" s="101">
        <v>0.2821412037037037</v>
      </c>
      <c r="D389" s="102"/>
      <c r="E389" s="102"/>
      <c r="F389" s="102"/>
      <c r="G389" s="102"/>
      <c r="H389" s="102"/>
      <c r="I389" s="103"/>
      <c r="J389" s="103"/>
      <c r="K389" s="2" t="s">
        <v>244</v>
      </c>
      <c r="L389" s="100">
        <v>44607.0</v>
      </c>
      <c r="M389" s="101">
        <v>0.5867939814814814</v>
      </c>
      <c r="P389" s="104" t="b">
        <f>IFNA(IF(VLOOKUP($A389,'Add from APT'!$AA$2:$AC826,3,FALSE)&gt;0,TRUE,FALSE),"ER - NOT IN APT")</f>
        <v>0</v>
      </c>
      <c r="Q389" s="105" t="str">
        <f>IF(ISLOGICAL(P389),IF(P389,"ER - REPS IN APT", IFNA(VLOOKUP($A389,RAW_APT!$A$3:$M826,7,FALSE),"ER - NOT IN APT")),P389)</f>
        <v>Result</v>
      </c>
      <c r="R389" s="106" t="b">
        <f t="shared" si="2"/>
        <v>1</v>
      </c>
      <c r="S389" s="107">
        <f t="shared" si="3"/>
        <v>1</v>
      </c>
      <c r="T389" s="143"/>
      <c r="U389" s="142"/>
      <c r="V389" s="142"/>
      <c r="W389" s="142"/>
      <c r="X389" s="110" t="b">
        <f t="shared" si="4"/>
        <v>0</v>
      </c>
      <c r="Y389" s="111" t="b">
        <v>0</v>
      </c>
      <c r="Z389" s="104" t="str">
        <f t="shared" si="5"/>
        <v/>
      </c>
      <c r="AA389" s="112" t="b">
        <f t="shared" si="6"/>
        <v>0</v>
      </c>
      <c r="AB389" s="142" t="b">
        <v>0</v>
      </c>
      <c r="AC389" s="140">
        <v>419.0</v>
      </c>
      <c r="AD389" s="141" t="b">
        <v>0</v>
      </c>
      <c r="AE389" s="115">
        <f t="shared" si="7"/>
        <v>438.7</v>
      </c>
      <c r="AF389" s="116" t="b">
        <f t="shared" si="8"/>
        <v>0</v>
      </c>
      <c r="AG389" s="105" t="b">
        <f t="shared" si="9"/>
        <v>0</v>
      </c>
      <c r="AH389" s="140"/>
      <c r="AI389" s="140"/>
      <c r="AJ389" s="140"/>
      <c r="AK389" s="117" t="str">
        <f t="shared" si="10"/>
        <v>Negative</v>
      </c>
      <c r="AL389" s="142"/>
      <c r="AM389" s="112" t="s">
        <v>612</v>
      </c>
      <c r="AN389" s="112" t="s">
        <v>613</v>
      </c>
      <c r="AO389" s="112" t="str">
        <f>IFERROR(__xludf.DUMMYFUNCTION("IF($AG389, ""DELETED"",TRIM(JOIN("" "",D389:E389)))"),"")</f>
        <v/>
      </c>
      <c r="AP389" s="112" t="str">
        <f t="shared" ref="AP389:AQ389" si="414">IF($AG389, "DELETED", TRIM(CONCATENATE(F389,I389,U389)))</f>
        <v/>
      </c>
      <c r="AQ389" s="112" t="str">
        <f t="shared" si="414"/>
        <v/>
      </c>
      <c r="AR389" s="112" t="str">
        <f>IFERROR(__xludf.DUMMYFUNCTION("IF($AG389, ""DELETED"", TRIM(JOIN("" "",AP389,AQ389)))"),"")</f>
        <v/>
      </c>
      <c r="AS389" s="118"/>
      <c r="AT389" s="110" t="b">
        <f t="shared" si="12"/>
        <v>0</v>
      </c>
      <c r="AU389" s="110" t="str">
        <f t="shared" si="13"/>
        <v/>
      </c>
      <c r="AV389" s="110" t="str">
        <f t="shared" si="14"/>
        <v/>
      </c>
      <c r="AW389" s="110" t="str">
        <f t="shared" si="15"/>
        <v/>
      </c>
      <c r="AX389" s="119" t="str">
        <f t="shared" si="16"/>
        <v/>
      </c>
      <c r="AY389" s="120"/>
      <c r="AZ389" s="121"/>
      <c r="BA389" s="122" t="str">
        <f t="shared" si="17"/>
        <v/>
      </c>
      <c r="BB389" s="34"/>
      <c r="BC389" s="121"/>
      <c r="BD389" s="136"/>
      <c r="BE389" s="125" t="str">
        <f t="shared" si="18"/>
        <v/>
      </c>
      <c r="BF389" s="126" t="str">
        <f t="shared" si="19"/>
        <v>MA362__44607_0.282141203703704</v>
      </c>
      <c r="BG389" s="127" t="str">
        <f t="shared" si="20"/>
        <v/>
      </c>
      <c r="BH389" s="137" t="s">
        <v>1219</v>
      </c>
      <c r="BI389" s="128" t="str">
        <f t="shared" si="21"/>
        <v>MA1184</v>
      </c>
      <c r="BJ389" s="129" t="b">
        <f t="shared" si="22"/>
        <v>0</v>
      </c>
      <c r="BK389" s="128" t="str">
        <f t="shared" si="23"/>
        <v/>
      </c>
      <c r="BL389" s="121"/>
      <c r="BM389" s="5" t="str">
        <f t="shared" si="24"/>
        <v>MISSING</v>
      </c>
      <c r="BN389" s="120" t="b">
        <f t="shared" si="25"/>
        <v>0</v>
      </c>
      <c r="BO389" s="131" t="b">
        <f t="shared" si="26"/>
        <v>1</v>
      </c>
      <c r="BP389" s="121"/>
      <c r="BQ389" s="132" t="str">
        <f>VLOOKUP(A389,RAW_APS!A$3:O826,15,FALSE)</f>
        <v/>
      </c>
      <c r="BR389" s="120" t="b">
        <f t="shared" si="27"/>
        <v>1</v>
      </c>
      <c r="BS389" s="121"/>
      <c r="BT389" s="138" t="s">
        <v>244</v>
      </c>
      <c r="BU389" s="10" t="b">
        <f t="shared" si="28"/>
        <v>1</v>
      </c>
      <c r="BV389" s="120"/>
      <c r="BW389" s="120"/>
      <c r="BX389" s="120"/>
      <c r="BY389" s="120"/>
      <c r="BZ389" s="120"/>
      <c r="CA389" s="120"/>
      <c r="CB389" s="120"/>
      <c r="CC389" s="120"/>
    </row>
    <row r="390">
      <c r="A390" s="2" t="s">
        <v>1220</v>
      </c>
      <c r="B390" s="100">
        <v>44607.0</v>
      </c>
      <c r="C390" s="101">
        <v>0.2941435185185185</v>
      </c>
      <c r="D390" s="102"/>
      <c r="E390" s="102"/>
      <c r="F390" s="102"/>
      <c r="G390" s="102"/>
      <c r="H390" s="102"/>
      <c r="I390" s="103"/>
      <c r="J390" s="103"/>
      <c r="K390" s="2" t="s">
        <v>254</v>
      </c>
      <c r="L390" s="11"/>
      <c r="M390" s="11"/>
      <c r="N390" s="11"/>
      <c r="O390" s="11"/>
      <c r="P390" s="104" t="b">
        <f>IFNA(IF(VLOOKUP($A390,'Add from APT'!$AA$2:$AC826,3,FALSE)&gt;0,TRUE,FALSE),"ER - NOT IN APT")</f>
        <v>0</v>
      </c>
      <c r="Q390" s="105" t="str">
        <f>IF(ISLOGICAL(P390),IF(P390,"ER - REPS IN APT", IFNA(VLOOKUP($A390,RAW_APT!$A$3:$M826,7,FALSE),"ER - NOT IN APT")),P390)</f>
        <v>Collected</v>
      </c>
      <c r="R390" s="106" t="b">
        <f t="shared" si="2"/>
        <v>1</v>
      </c>
      <c r="S390" s="107">
        <f t="shared" si="3"/>
        <v>1</v>
      </c>
      <c r="T390" s="143"/>
      <c r="U390" s="142"/>
      <c r="V390" s="142"/>
      <c r="W390" s="142"/>
      <c r="X390" s="110" t="b">
        <f t="shared" si="4"/>
        <v>0</v>
      </c>
      <c r="Y390" s="111" t="b">
        <v>0</v>
      </c>
      <c r="Z390" s="104" t="str">
        <f t="shared" si="5"/>
        <v/>
      </c>
      <c r="AA390" s="112" t="b">
        <f t="shared" si="6"/>
        <v>0</v>
      </c>
      <c r="AB390" s="142" t="b">
        <v>0</v>
      </c>
      <c r="AC390" s="140">
        <v>418.0</v>
      </c>
      <c r="AD390" s="141" t="b">
        <v>0</v>
      </c>
      <c r="AE390" s="115" t="str">
        <f t="shared" si="7"/>
        <v/>
      </c>
      <c r="AF390" s="116" t="b">
        <f t="shared" si="8"/>
        <v>0</v>
      </c>
      <c r="AG390" s="105" t="b">
        <f t="shared" si="9"/>
        <v>1</v>
      </c>
      <c r="AH390" s="140">
        <v>9.1</v>
      </c>
      <c r="AI390" s="140"/>
      <c r="AJ390" s="140"/>
      <c r="AK390" s="117" t="str">
        <f t="shared" si="10"/>
        <v>DELETED</v>
      </c>
      <c r="AL390" s="142"/>
      <c r="AM390" s="112" t="s">
        <v>245</v>
      </c>
      <c r="AN390" s="112" t="s">
        <v>245</v>
      </c>
      <c r="AO390" s="112" t="str">
        <f>IFERROR(__xludf.DUMMYFUNCTION("IF($AG390, ""DELETED"",TRIM(JOIN("" "",D390:E390)))"),"DELETED")</f>
        <v>DELETED</v>
      </c>
      <c r="AP390" s="112" t="str">
        <f t="shared" ref="AP390:AQ390" si="415">IF($AG390, "DELETED", TRIM(CONCATENATE(F390,I390,U390)))</f>
        <v>DELETED</v>
      </c>
      <c r="AQ390" s="112" t="str">
        <f t="shared" si="415"/>
        <v>DELETED</v>
      </c>
      <c r="AR390" s="112" t="str">
        <f>IFERROR(__xludf.DUMMYFUNCTION("IF($AG390, ""DELETED"", TRIM(JOIN("" "",AP390,AQ390)))"),"DELETED")</f>
        <v>DELETED</v>
      </c>
      <c r="AS390" s="118"/>
      <c r="AT390" s="110" t="b">
        <f t="shared" si="12"/>
        <v>1</v>
      </c>
      <c r="AU390" s="110" t="str">
        <f t="shared" si="13"/>
        <v/>
      </c>
      <c r="AV390" s="110" t="str">
        <f t="shared" si="14"/>
        <v/>
      </c>
      <c r="AW390" s="110" t="str">
        <f t="shared" si="15"/>
        <v/>
      </c>
      <c r="AX390" s="119" t="str">
        <f t="shared" si="16"/>
        <v/>
      </c>
      <c r="AY390" s="120"/>
      <c r="AZ390" s="121"/>
      <c r="BA390" s="122" t="b">
        <f t="shared" si="17"/>
        <v>1</v>
      </c>
      <c r="BB390" s="34"/>
      <c r="BC390" s="121"/>
      <c r="BD390" s="136"/>
      <c r="BE390" s="125" t="str">
        <f t="shared" si="18"/>
        <v/>
      </c>
      <c r="BF390" s="126" t="str">
        <f t="shared" si="19"/>
        <v>MA205__44607_0.294143518518519</v>
      </c>
      <c r="BG390" s="127" t="str">
        <f t="shared" si="20"/>
        <v/>
      </c>
      <c r="BH390" s="137" t="s">
        <v>1221</v>
      </c>
      <c r="BI390" s="128" t="str">
        <f t="shared" si="21"/>
        <v>MA1186</v>
      </c>
      <c r="BJ390" s="129" t="b">
        <f t="shared" si="22"/>
        <v>0</v>
      </c>
      <c r="BK390" s="128" t="str">
        <f t="shared" si="23"/>
        <v/>
      </c>
      <c r="BL390" s="121"/>
      <c r="BM390" s="5" t="str">
        <f t="shared" si="24"/>
        <v/>
      </c>
      <c r="BN390" s="120" t="b">
        <f t="shared" si="25"/>
        <v>0</v>
      </c>
      <c r="BO390" s="131" t="b">
        <f t="shared" si="26"/>
        <v>0</v>
      </c>
      <c r="BP390" s="121"/>
      <c r="BQ390" s="132" t="str">
        <f>VLOOKUP(A390,RAW_APS!A$3:O826,15,FALSE)</f>
        <v/>
      </c>
      <c r="BR390" s="120" t="b">
        <f t="shared" si="27"/>
        <v>1</v>
      </c>
      <c r="BS390" s="121"/>
      <c r="BT390" s="138" t="s">
        <v>245</v>
      </c>
      <c r="BU390" s="10" t="b">
        <f t="shared" si="28"/>
        <v>1</v>
      </c>
      <c r="BV390" s="120"/>
      <c r="BW390" s="120"/>
      <c r="BX390" s="120"/>
      <c r="BY390" s="120"/>
      <c r="BZ390" s="120"/>
      <c r="CA390" s="120"/>
      <c r="CB390" s="120"/>
      <c r="CC390" s="120"/>
    </row>
    <row r="391">
      <c r="A391" s="2" t="s">
        <v>1222</v>
      </c>
      <c r="B391" s="100">
        <v>44607.0</v>
      </c>
      <c r="C391" s="101">
        <v>0.29422453703703705</v>
      </c>
      <c r="D391" s="102"/>
      <c r="E391" s="102"/>
      <c r="F391" s="102"/>
      <c r="G391" s="102"/>
      <c r="H391" s="102"/>
      <c r="I391" s="103"/>
      <c r="J391" s="103"/>
      <c r="K391" s="2" t="s">
        <v>254</v>
      </c>
      <c r="L391" s="11"/>
      <c r="M391" s="11"/>
      <c r="N391" s="11"/>
      <c r="O391" s="11"/>
      <c r="P391" s="104" t="b">
        <f>IFNA(IF(VLOOKUP($A391,'Add from APT'!$AA$2:$AC826,3,FALSE)&gt;0,TRUE,FALSE),"ER - NOT IN APT")</f>
        <v>0</v>
      </c>
      <c r="Q391" s="105" t="str">
        <f>IF(ISLOGICAL(P391),IF(P391,"ER - REPS IN APT", IFNA(VLOOKUP($A391,RAW_APT!$A$3:$M826,7,FALSE),"ER - NOT IN APT")),P391)</f>
        <v>Collected</v>
      </c>
      <c r="R391" s="106" t="b">
        <f t="shared" si="2"/>
        <v>1</v>
      </c>
      <c r="S391" s="107">
        <f t="shared" si="3"/>
        <v>1</v>
      </c>
      <c r="T391" s="143"/>
      <c r="U391" s="142"/>
      <c r="V391" s="142"/>
      <c r="W391" s="142"/>
      <c r="X391" s="110" t="b">
        <f t="shared" si="4"/>
        <v>0</v>
      </c>
      <c r="Y391" s="111" t="b">
        <v>0</v>
      </c>
      <c r="Z391" s="104" t="str">
        <f t="shared" si="5"/>
        <v/>
      </c>
      <c r="AA391" s="112" t="b">
        <f t="shared" si="6"/>
        <v>0</v>
      </c>
      <c r="AB391" s="142" t="b">
        <v>0</v>
      </c>
      <c r="AC391" s="140">
        <v>417.0</v>
      </c>
      <c r="AD391" s="141" t="b">
        <v>0</v>
      </c>
      <c r="AE391" s="115" t="str">
        <f t="shared" si="7"/>
        <v/>
      </c>
      <c r="AF391" s="116" t="b">
        <f t="shared" si="8"/>
        <v>0</v>
      </c>
      <c r="AG391" s="105" t="b">
        <f t="shared" si="9"/>
        <v>1</v>
      </c>
      <c r="AH391" s="140">
        <v>9.1</v>
      </c>
      <c r="AI391" s="140"/>
      <c r="AJ391" s="140"/>
      <c r="AK391" s="117" t="str">
        <f t="shared" si="10"/>
        <v>DELETED</v>
      </c>
      <c r="AL391" s="142"/>
      <c r="AM391" s="112" t="s">
        <v>245</v>
      </c>
      <c r="AN391" s="112" t="s">
        <v>245</v>
      </c>
      <c r="AO391" s="112" t="str">
        <f>IFERROR(__xludf.DUMMYFUNCTION("IF($AG391, ""DELETED"",TRIM(JOIN("" "",D391:E391)))"),"DELETED")</f>
        <v>DELETED</v>
      </c>
      <c r="AP391" s="112" t="str">
        <f t="shared" ref="AP391:AQ391" si="416">IF($AG391, "DELETED", TRIM(CONCATENATE(F391,I391,U391)))</f>
        <v>DELETED</v>
      </c>
      <c r="AQ391" s="112" t="str">
        <f t="shared" si="416"/>
        <v>DELETED</v>
      </c>
      <c r="AR391" s="112" t="str">
        <f>IFERROR(__xludf.DUMMYFUNCTION("IF($AG391, ""DELETED"", TRIM(JOIN("" "",AP391,AQ391)))"),"DELETED")</f>
        <v>DELETED</v>
      </c>
      <c r="AS391" s="118"/>
      <c r="AT391" s="110" t="b">
        <f t="shared" si="12"/>
        <v>1</v>
      </c>
      <c r="AU391" s="110" t="str">
        <f t="shared" si="13"/>
        <v/>
      </c>
      <c r="AV391" s="110" t="str">
        <f t="shared" si="14"/>
        <v/>
      </c>
      <c r="AW391" s="110" t="str">
        <f t="shared" si="15"/>
        <v/>
      </c>
      <c r="AX391" s="119" t="str">
        <f t="shared" si="16"/>
        <v/>
      </c>
      <c r="AY391" s="120"/>
      <c r="AZ391" s="121"/>
      <c r="BA391" s="122" t="b">
        <f t="shared" si="17"/>
        <v>1</v>
      </c>
      <c r="BB391" s="34"/>
      <c r="BC391" s="121"/>
      <c r="BD391" s="136"/>
      <c r="BE391" s="125" t="str">
        <f t="shared" si="18"/>
        <v/>
      </c>
      <c r="BF391" s="126" t="str">
        <f t="shared" si="19"/>
        <v>MA217__44607_0.294224537037037</v>
      </c>
      <c r="BG391" s="127" t="str">
        <f t="shared" si="20"/>
        <v/>
      </c>
      <c r="BH391" s="137" t="s">
        <v>1223</v>
      </c>
      <c r="BI391" s="128" t="str">
        <f t="shared" si="21"/>
        <v>MA1187</v>
      </c>
      <c r="BJ391" s="129" t="b">
        <f t="shared" si="22"/>
        <v>0</v>
      </c>
      <c r="BK391" s="128" t="str">
        <f t="shared" si="23"/>
        <v/>
      </c>
      <c r="BL391" s="121"/>
      <c r="BM391" s="5" t="str">
        <f t="shared" si="24"/>
        <v/>
      </c>
      <c r="BN391" s="120" t="b">
        <f t="shared" si="25"/>
        <v>0</v>
      </c>
      <c r="BO391" s="131" t="b">
        <f t="shared" si="26"/>
        <v>0</v>
      </c>
      <c r="BP391" s="121"/>
      <c r="BQ391" s="132" t="str">
        <f>VLOOKUP(A391,RAW_APS!A$3:O826,15,FALSE)</f>
        <v/>
      </c>
      <c r="BR391" s="120" t="b">
        <f t="shared" si="27"/>
        <v>1</v>
      </c>
      <c r="BS391" s="121"/>
      <c r="BT391" s="138" t="s">
        <v>245</v>
      </c>
      <c r="BU391" s="10" t="b">
        <f t="shared" si="28"/>
        <v>1</v>
      </c>
      <c r="BV391" s="120"/>
      <c r="BW391" s="120"/>
      <c r="BX391" s="120"/>
      <c r="BY391" s="120"/>
      <c r="BZ391" s="120"/>
      <c r="CA391" s="120"/>
      <c r="CB391" s="120"/>
      <c r="CC391" s="120"/>
    </row>
    <row r="392">
      <c r="A392" s="2" t="s">
        <v>1224</v>
      </c>
      <c r="B392" s="100">
        <v>44607.0</v>
      </c>
      <c r="C392" s="101">
        <v>0.29532407407407407</v>
      </c>
      <c r="D392" s="102"/>
      <c r="E392" s="102"/>
      <c r="F392" s="102"/>
      <c r="G392" s="102"/>
      <c r="H392" s="102"/>
      <c r="I392" s="103"/>
      <c r="J392" s="103"/>
      <c r="K392" s="2" t="s">
        <v>244</v>
      </c>
      <c r="L392" s="100">
        <v>44607.0</v>
      </c>
      <c r="M392" s="101">
        <v>0.5867939814814814</v>
      </c>
      <c r="P392" s="104" t="b">
        <f>IFNA(IF(VLOOKUP($A392,'Add from APT'!$AA$2:$AC826,3,FALSE)&gt;0,TRUE,FALSE),"ER - NOT IN APT")</f>
        <v>0</v>
      </c>
      <c r="Q392" s="105" t="str">
        <f>IF(ISLOGICAL(P392),IF(P392,"ER - REPS IN APT", IFNA(VLOOKUP($A392,RAW_APT!$A$3:$M826,7,FALSE),"ER - NOT IN APT")),P392)</f>
        <v>Result</v>
      </c>
      <c r="R392" s="106" t="b">
        <f t="shared" si="2"/>
        <v>1</v>
      </c>
      <c r="S392" s="107">
        <f t="shared" si="3"/>
        <v>1</v>
      </c>
      <c r="T392" s="143"/>
      <c r="U392" s="142"/>
      <c r="V392" s="142"/>
      <c r="W392" s="142"/>
      <c r="X392" s="110" t="b">
        <f t="shared" si="4"/>
        <v>0</v>
      </c>
      <c r="Y392" s="111" t="b">
        <v>0</v>
      </c>
      <c r="Z392" s="104" t="str">
        <f t="shared" si="5"/>
        <v/>
      </c>
      <c r="AA392" s="112" t="b">
        <f t="shared" si="6"/>
        <v>0</v>
      </c>
      <c r="AB392" s="142" t="b">
        <v>0</v>
      </c>
      <c r="AC392" s="140">
        <v>416.0</v>
      </c>
      <c r="AD392" s="141" t="b">
        <v>0</v>
      </c>
      <c r="AE392" s="115">
        <f t="shared" si="7"/>
        <v>419.7166667</v>
      </c>
      <c r="AF392" s="116" t="b">
        <f t="shared" si="8"/>
        <v>0</v>
      </c>
      <c r="AG392" s="105" t="b">
        <f t="shared" si="9"/>
        <v>0</v>
      </c>
      <c r="AH392" s="140"/>
      <c r="AI392" s="140"/>
      <c r="AJ392" s="140"/>
      <c r="AK392" s="117" t="str">
        <f t="shared" si="10"/>
        <v>Negative</v>
      </c>
      <c r="AL392" s="142"/>
      <c r="AM392" s="112" t="s">
        <v>1225</v>
      </c>
      <c r="AN392" s="112" t="s">
        <v>374</v>
      </c>
      <c r="AO392" s="112" t="str">
        <f>IFERROR(__xludf.DUMMYFUNCTION("IF($AG392, ""DELETED"",TRIM(JOIN("" "",D392:E392)))"),"")</f>
        <v/>
      </c>
      <c r="AP392" s="112" t="str">
        <f t="shared" ref="AP392:AQ392" si="417">IF($AG392, "DELETED", TRIM(CONCATENATE(F392,I392,U392)))</f>
        <v/>
      </c>
      <c r="AQ392" s="112" t="str">
        <f t="shared" si="417"/>
        <v/>
      </c>
      <c r="AR392" s="112" t="str">
        <f>IFERROR(__xludf.DUMMYFUNCTION("IF($AG392, ""DELETED"", TRIM(JOIN("" "",AP392,AQ392)))"),"")</f>
        <v/>
      </c>
      <c r="AS392" s="118"/>
      <c r="AT392" s="110" t="b">
        <f t="shared" si="12"/>
        <v>0</v>
      </c>
      <c r="AU392" s="110" t="str">
        <f t="shared" si="13"/>
        <v/>
      </c>
      <c r="AV392" s="110" t="str">
        <f t="shared" si="14"/>
        <v/>
      </c>
      <c r="AW392" s="110" t="str">
        <f t="shared" si="15"/>
        <v/>
      </c>
      <c r="AX392" s="119" t="str">
        <f t="shared" si="16"/>
        <v/>
      </c>
      <c r="AY392" s="120"/>
      <c r="AZ392" s="121"/>
      <c r="BA392" s="122" t="str">
        <f t="shared" si="17"/>
        <v/>
      </c>
      <c r="BB392" s="34"/>
      <c r="BC392" s="121"/>
      <c r="BD392" s="136"/>
      <c r="BE392" s="125" t="str">
        <f t="shared" si="18"/>
        <v/>
      </c>
      <c r="BF392" s="126" t="str">
        <f t="shared" si="19"/>
        <v>MA1050__44607_0.295324074074074</v>
      </c>
      <c r="BG392" s="127" t="str">
        <f t="shared" si="20"/>
        <v/>
      </c>
      <c r="BH392" s="137" t="s">
        <v>1226</v>
      </c>
      <c r="BI392" s="128" t="str">
        <f t="shared" si="21"/>
        <v>MA1188</v>
      </c>
      <c r="BJ392" s="129" t="b">
        <f t="shared" si="22"/>
        <v>0</v>
      </c>
      <c r="BK392" s="128" t="str">
        <f t="shared" si="23"/>
        <v/>
      </c>
      <c r="BL392" s="121"/>
      <c r="BM392" s="5" t="str">
        <f t="shared" si="24"/>
        <v>MISSING</v>
      </c>
      <c r="BN392" s="120" t="b">
        <f t="shared" si="25"/>
        <v>0</v>
      </c>
      <c r="BO392" s="131" t="b">
        <f t="shared" si="26"/>
        <v>1</v>
      </c>
      <c r="BP392" s="121"/>
      <c r="BQ392" s="132" t="str">
        <f>VLOOKUP(A392,RAW_APS!A$3:O826,15,FALSE)</f>
        <v/>
      </c>
      <c r="BR392" s="120" t="b">
        <f t="shared" si="27"/>
        <v>1</v>
      </c>
      <c r="BS392" s="121"/>
      <c r="BT392" s="138" t="s">
        <v>244</v>
      </c>
      <c r="BU392" s="10" t="b">
        <f t="shared" si="28"/>
        <v>1</v>
      </c>
      <c r="BV392" s="120"/>
      <c r="BW392" s="120"/>
      <c r="BX392" s="120"/>
      <c r="BY392" s="120"/>
      <c r="BZ392" s="120"/>
      <c r="CA392" s="120"/>
      <c r="CB392" s="120"/>
      <c r="CC392" s="120"/>
    </row>
    <row r="393">
      <c r="A393" s="2" t="s">
        <v>1227</v>
      </c>
      <c r="B393" s="100">
        <v>44607.0</v>
      </c>
      <c r="C393" s="101">
        <v>0.2986226851851852</v>
      </c>
      <c r="D393" s="102"/>
      <c r="E393" s="102"/>
      <c r="F393" s="102"/>
      <c r="G393" s="102"/>
      <c r="H393" s="102"/>
      <c r="I393" s="103"/>
      <c r="J393" s="103"/>
      <c r="K393" s="2" t="s">
        <v>244</v>
      </c>
      <c r="L393" s="100">
        <v>44607.0</v>
      </c>
      <c r="M393" s="101">
        <v>0.5867939814814814</v>
      </c>
      <c r="P393" s="104" t="b">
        <f>IFNA(IF(VLOOKUP($A393,'Add from APT'!$AA$2:$AC826,3,FALSE)&gt;0,TRUE,FALSE),"ER - NOT IN APT")</f>
        <v>0</v>
      </c>
      <c r="Q393" s="105" t="str">
        <f>IF(ISLOGICAL(P393),IF(P393,"ER - REPS IN APT", IFNA(VLOOKUP($A393,RAW_APT!$A$3:$M826,7,FALSE),"ER - NOT IN APT")),P393)</f>
        <v>Result</v>
      </c>
      <c r="R393" s="106" t="b">
        <f t="shared" si="2"/>
        <v>1</v>
      </c>
      <c r="S393" s="107">
        <f t="shared" si="3"/>
        <v>1</v>
      </c>
      <c r="T393" s="143"/>
      <c r="U393" s="142"/>
      <c r="V393" s="142"/>
      <c r="W393" s="142"/>
      <c r="X393" s="110" t="b">
        <f t="shared" si="4"/>
        <v>0</v>
      </c>
      <c r="Y393" s="111" t="b">
        <v>0</v>
      </c>
      <c r="Z393" s="104" t="str">
        <f t="shared" si="5"/>
        <v/>
      </c>
      <c r="AA393" s="112" t="b">
        <f t="shared" si="6"/>
        <v>0</v>
      </c>
      <c r="AB393" s="142" t="b">
        <v>0</v>
      </c>
      <c r="AC393" s="140">
        <v>415.0</v>
      </c>
      <c r="AD393" s="141" t="b">
        <v>0</v>
      </c>
      <c r="AE393" s="115">
        <f t="shared" si="7"/>
        <v>414.9666667</v>
      </c>
      <c r="AF393" s="116" t="b">
        <f t="shared" si="8"/>
        <v>0</v>
      </c>
      <c r="AG393" s="105" t="b">
        <f t="shared" si="9"/>
        <v>0</v>
      </c>
      <c r="AH393" s="140"/>
      <c r="AI393" s="140"/>
      <c r="AJ393" s="140"/>
      <c r="AK393" s="117" t="str">
        <f t="shared" si="10"/>
        <v>Negative</v>
      </c>
      <c r="AL393" s="142"/>
      <c r="AM393" s="112" t="s">
        <v>857</v>
      </c>
      <c r="AN393" s="112" t="s">
        <v>696</v>
      </c>
      <c r="AO393" s="112" t="str">
        <f>IFERROR(__xludf.DUMMYFUNCTION("IF($AG393, ""DELETED"",TRIM(JOIN("" "",D393:E393)))"),"")</f>
        <v/>
      </c>
      <c r="AP393" s="112" t="str">
        <f t="shared" ref="AP393:AQ393" si="418">IF($AG393, "DELETED", TRIM(CONCATENATE(F393,I393,U393)))</f>
        <v/>
      </c>
      <c r="AQ393" s="112" t="str">
        <f t="shared" si="418"/>
        <v/>
      </c>
      <c r="AR393" s="112" t="str">
        <f>IFERROR(__xludf.DUMMYFUNCTION("IF($AG393, ""DELETED"", TRIM(JOIN("" "",AP393,AQ393)))"),"")</f>
        <v/>
      </c>
      <c r="AS393" s="118"/>
      <c r="AT393" s="110" t="b">
        <f t="shared" si="12"/>
        <v>0</v>
      </c>
      <c r="AU393" s="110" t="str">
        <f t="shared" si="13"/>
        <v/>
      </c>
      <c r="AV393" s="110" t="str">
        <f t="shared" si="14"/>
        <v/>
      </c>
      <c r="AW393" s="110" t="str">
        <f t="shared" si="15"/>
        <v/>
      </c>
      <c r="AX393" s="119" t="str">
        <f t="shared" si="16"/>
        <v/>
      </c>
      <c r="AY393" s="120"/>
      <c r="AZ393" s="121"/>
      <c r="BA393" s="122" t="str">
        <f t="shared" si="17"/>
        <v/>
      </c>
      <c r="BB393" s="34"/>
      <c r="BC393" s="121"/>
      <c r="BD393" s="136"/>
      <c r="BE393" s="125" t="str">
        <f t="shared" si="18"/>
        <v/>
      </c>
      <c r="BF393" s="126" t="str">
        <f t="shared" si="19"/>
        <v>MA398__44607_0.298622685185185</v>
      </c>
      <c r="BG393" s="127" t="str">
        <f t="shared" si="20"/>
        <v/>
      </c>
      <c r="BH393" s="137" t="s">
        <v>1228</v>
      </c>
      <c r="BI393" s="128" t="str">
        <f t="shared" si="21"/>
        <v>MA1190</v>
      </c>
      <c r="BJ393" s="129" t="b">
        <f t="shared" si="22"/>
        <v>0</v>
      </c>
      <c r="BK393" s="128" t="str">
        <f t="shared" si="23"/>
        <v/>
      </c>
      <c r="BL393" s="121"/>
      <c r="BM393" s="5" t="str">
        <f t="shared" si="24"/>
        <v>MISSING</v>
      </c>
      <c r="BN393" s="120" t="b">
        <f t="shared" si="25"/>
        <v>0</v>
      </c>
      <c r="BO393" s="131" t="b">
        <f t="shared" si="26"/>
        <v>1</v>
      </c>
      <c r="BP393" s="121"/>
      <c r="BQ393" s="132" t="str">
        <f>VLOOKUP(A393,RAW_APS!A$3:O826,15,FALSE)</f>
        <v/>
      </c>
      <c r="BR393" s="120" t="b">
        <f t="shared" si="27"/>
        <v>1</v>
      </c>
      <c r="BS393" s="121"/>
      <c r="BT393" s="138" t="s">
        <v>244</v>
      </c>
      <c r="BU393" s="10" t="b">
        <f t="shared" si="28"/>
        <v>1</v>
      </c>
      <c r="BV393" s="120"/>
      <c r="BW393" s="120"/>
      <c r="BX393" s="120"/>
      <c r="BY393" s="120"/>
      <c r="BZ393" s="120"/>
      <c r="CA393" s="120"/>
      <c r="CB393" s="120"/>
      <c r="CC393" s="120"/>
    </row>
    <row r="394">
      <c r="A394" s="2" t="s">
        <v>1229</v>
      </c>
      <c r="B394" s="100">
        <v>44607.0</v>
      </c>
      <c r="C394" s="101">
        <v>0.2989583333333333</v>
      </c>
      <c r="D394" s="102"/>
      <c r="E394" s="102"/>
      <c r="F394" s="102"/>
      <c r="G394" s="102"/>
      <c r="H394" s="102"/>
      <c r="I394" s="103"/>
      <c r="J394" s="103"/>
      <c r="K394" s="2" t="s">
        <v>244</v>
      </c>
      <c r="L394" s="100">
        <v>44607.0</v>
      </c>
      <c r="M394" s="101">
        <v>0.5867939814814814</v>
      </c>
      <c r="P394" s="104" t="b">
        <f>IFNA(IF(VLOOKUP($A394,'Add from APT'!$AA$2:$AC826,3,FALSE)&gt;0,TRUE,FALSE),"ER - NOT IN APT")</f>
        <v>0</v>
      </c>
      <c r="Q394" s="105" t="str">
        <f>IF(ISLOGICAL(P394),IF(P394,"ER - REPS IN APT", IFNA(VLOOKUP($A394,RAW_APT!$A$3:$M826,7,FALSE),"ER - NOT IN APT")),P394)</f>
        <v>Result</v>
      </c>
      <c r="R394" s="106" t="b">
        <f t="shared" si="2"/>
        <v>1</v>
      </c>
      <c r="S394" s="107">
        <f t="shared" si="3"/>
        <v>1</v>
      </c>
      <c r="T394" s="143"/>
      <c r="U394" s="142"/>
      <c r="V394" s="142"/>
      <c r="W394" s="142"/>
      <c r="X394" s="110" t="b">
        <f t="shared" si="4"/>
        <v>0</v>
      </c>
      <c r="Y394" s="111" t="b">
        <v>0</v>
      </c>
      <c r="Z394" s="104" t="str">
        <f t="shared" si="5"/>
        <v/>
      </c>
      <c r="AA394" s="112" t="b">
        <f t="shared" si="6"/>
        <v>0</v>
      </c>
      <c r="AB394" s="142" t="b">
        <v>0</v>
      </c>
      <c r="AC394" s="140">
        <v>414.0</v>
      </c>
      <c r="AD394" s="141" t="b">
        <v>0</v>
      </c>
      <c r="AE394" s="115">
        <f t="shared" si="7"/>
        <v>414.4833333</v>
      </c>
      <c r="AF394" s="116" t="b">
        <f t="shared" si="8"/>
        <v>0</v>
      </c>
      <c r="AG394" s="105" t="b">
        <f t="shared" si="9"/>
        <v>0</v>
      </c>
      <c r="AH394" s="140"/>
      <c r="AI394" s="140"/>
      <c r="AJ394" s="140"/>
      <c r="AK394" s="117" t="str">
        <f t="shared" si="10"/>
        <v>Negative</v>
      </c>
      <c r="AL394" s="142"/>
      <c r="AM394" s="112" t="s">
        <v>430</v>
      </c>
      <c r="AN394" s="112" t="s">
        <v>431</v>
      </c>
      <c r="AO394" s="112" t="str">
        <f>IFERROR(__xludf.DUMMYFUNCTION("IF($AG394, ""DELETED"",TRIM(JOIN("" "",D394:E394)))"),"")</f>
        <v/>
      </c>
      <c r="AP394" s="112" t="str">
        <f t="shared" ref="AP394:AQ394" si="419">IF($AG394, "DELETED", TRIM(CONCATENATE(F394,I394,U394)))</f>
        <v/>
      </c>
      <c r="AQ394" s="112" t="str">
        <f t="shared" si="419"/>
        <v/>
      </c>
      <c r="AR394" s="112" t="str">
        <f>IFERROR(__xludf.DUMMYFUNCTION("IF($AG394, ""DELETED"", TRIM(JOIN("" "",AP394,AQ394)))"),"")</f>
        <v/>
      </c>
      <c r="AS394" s="118"/>
      <c r="AT394" s="110" t="b">
        <f t="shared" si="12"/>
        <v>0</v>
      </c>
      <c r="AU394" s="110" t="str">
        <f t="shared" si="13"/>
        <v/>
      </c>
      <c r="AV394" s="110" t="str">
        <f t="shared" si="14"/>
        <v/>
      </c>
      <c r="AW394" s="110" t="str">
        <f t="shared" si="15"/>
        <v/>
      </c>
      <c r="AX394" s="119" t="str">
        <f t="shared" si="16"/>
        <v/>
      </c>
      <c r="AY394" s="120"/>
      <c r="AZ394" s="121"/>
      <c r="BA394" s="122" t="str">
        <f t="shared" si="17"/>
        <v/>
      </c>
      <c r="BB394" s="34"/>
      <c r="BC394" s="121"/>
      <c r="BD394" s="136"/>
      <c r="BE394" s="125" t="str">
        <f t="shared" si="18"/>
        <v/>
      </c>
      <c r="BF394" s="126" t="str">
        <f t="shared" si="19"/>
        <v>FM459__44607_0.298958333333333</v>
      </c>
      <c r="BG394" s="127" t="str">
        <f t="shared" si="20"/>
        <v/>
      </c>
      <c r="BH394" s="137" t="s">
        <v>1230</v>
      </c>
      <c r="BI394" s="128" t="str">
        <f t="shared" si="21"/>
        <v>MA1195</v>
      </c>
      <c r="BJ394" s="129" t="b">
        <f t="shared" si="22"/>
        <v>0</v>
      </c>
      <c r="BK394" s="128" t="str">
        <f t="shared" si="23"/>
        <v/>
      </c>
      <c r="BL394" s="121"/>
      <c r="BM394" s="5" t="str">
        <f t="shared" si="24"/>
        <v>MISSING</v>
      </c>
      <c r="BN394" s="120" t="b">
        <f t="shared" si="25"/>
        <v>0</v>
      </c>
      <c r="BO394" s="131" t="b">
        <f t="shared" si="26"/>
        <v>1</v>
      </c>
      <c r="BP394" s="121"/>
      <c r="BQ394" s="132" t="str">
        <f>VLOOKUP(A394,RAW_APS!A$3:O826,15,FALSE)</f>
        <v/>
      </c>
      <c r="BR394" s="120" t="b">
        <f t="shared" si="27"/>
        <v>1</v>
      </c>
      <c r="BS394" s="121"/>
      <c r="BT394" s="138" t="s">
        <v>244</v>
      </c>
      <c r="BU394" s="10" t="b">
        <f t="shared" si="28"/>
        <v>1</v>
      </c>
      <c r="BV394" s="120"/>
      <c r="BW394" s="120"/>
      <c r="BX394" s="120"/>
      <c r="BY394" s="120"/>
      <c r="BZ394" s="120"/>
      <c r="CA394" s="120"/>
      <c r="CB394" s="120"/>
      <c r="CC394" s="120"/>
    </row>
    <row r="395">
      <c r="A395" s="2" t="s">
        <v>1231</v>
      </c>
      <c r="B395" s="100">
        <v>44607.0</v>
      </c>
      <c r="C395" s="101">
        <v>0.30033564814814817</v>
      </c>
      <c r="D395" s="102"/>
      <c r="E395" s="102"/>
      <c r="F395" s="102"/>
      <c r="G395" s="102"/>
      <c r="H395" s="102"/>
      <c r="I395" s="103"/>
      <c r="J395" s="103"/>
      <c r="K395" s="2" t="s">
        <v>244</v>
      </c>
      <c r="L395" s="100">
        <v>44607.0</v>
      </c>
      <c r="M395" s="101">
        <v>0.5867939814814814</v>
      </c>
      <c r="P395" s="104" t="b">
        <f>IFNA(IF(VLOOKUP($A395,'Add from APT'!$AA$2:$AC826,3,FALSE)&gt;0,TRUE,FALSE),"ER - NOT IN APT")</f>
        <v>0</v>
      </c>
      <c r="Q395" s="105" t="str">
        <f>IF(ISLOGICAL(P395),IF(P395,"ER - REPS IN APT", IFNA(VLOOKUP($A395,RAW_APT!$A$3:$M826,7,FALSE),"ER - NOT IN APT")),P395)</f>
        <v>Result</v>
      </c>
      <c r="R395" s="106" t="b">
        <f t="shared" si="2"/>
        <v>1</v>
      </c>
      <c r="S395" s="107">
        <f t="shared" si="3"/>
        <v>1</v>
      </c>
      <c r="T395" s="143"/>
      <c r="U395" s="142"/>
      <c r="V395" s="142"/>
      <c r="W395" s="142"/>
      <c r="X395" s="110" t="b">
        <f t="shared" si="4"/>
        <v>0</v>
      </c>
      <c r="Y395" s="111" t="b">
        <v>0</v>
      </c>
      <c r="Z395" s="104" t="str">
        <f t="shared" si="5"/>
        <v/>
      </c>
      <c r="AA395" s="112" t="b">
        <f t="shared" si="6"/>
        <v>0</v>
      </c>
      <c r="AB395" s="142" t="b">
        <v>0</v>
      </c>
      <c r="AC395" s="140">
        <v>413.0</v>
      </c>
      <c r="AD395" s="141" t="b">
        <v>0</v>
      </c>
      <c r="AE395" s="115">
        <f t="shared" si="7"/>
        <v>412.5</v>
      </c>
      <c r="AF395" s="116" t="b">
        <f t="shared" si="8"/>
        <v>0</v>
      </c>
      <c r="AG395" s="105" t="b">
        <f t="shared" si="9"/>
        <v>0</v>
      </c>
      <c r="AH395" s="140"/>
      <c r="AI395" s="140"/>
      <c r="AJ395" s="140"/>
      <c r="AK395" s="117" t="str">
        <f t="shared" si="10"/>
        <v>Negative</v>
      </c>
      <c r="AL395" s="142"/>
      <c r="AM395" s="112" t="s">
        <v>587</v>
      </c>
      <c r="AN395" s="112" t="s">
        <v>588</v>
      </c>
      <c r="AO395" s="112" t="str">
        <f>IFERROR(__xludf.DUMMYFUNCTION("IF($AG395, ""DELETED"",TRIM(JOIN("" "",D395:E395)))"),"")</f>
        <v/>
      </c>
      <c r="AP395" s="112" t="str">
        <f t="shared" ref="AP395:AQ395" si="420">IF($AG395, "DELETED", TRIM(CONCATENATE(F395,I395,U395)))</f>
        <v/>
      </c>
      <c r="AQ395" s="112" t="str">
        <f t="shared" si="420"/>
        <v/>
      </c>
      <c r="AR395" s="112" t="str">
        <f>IFERROR(__xludf.DUMMYFUNCTION("IF($AG395, ""DELETED"", TRIM(JOIN("" "",AP395,AQ395)))"),"")</f>
        <v/>
      </c>
      <c r="AS395" s="118"/>
      <c r="AT395" s="110" t="b">
        <f t="shared" si="12"/>
        <v>0</v>
      </c>
      <c r="AU395" s="110" t="str">
        <f t="shared" si="13"/>
        <v/>
      </c>
      <c r="AV395" s="110" t="str">
        <f t="shared" si="14"/>
        <v/>
      </c>
      <c r="AW395" s="110" t="str">
        <f t="shared" si="15"/>
        <v/>
      </c>
      <c r="AX395" s="119" t="str">
        <f t="shared" si="16"/>
        <v/>
      </c>
      <c r="AY395" s="120"/>
      <c r="AZ395" s="121"/>
      <c r="BA395" s="122" t="str">
        <f t="shared" si="17"/>
        <v/>
      </c>
      <c r="BB395" s="34"/>
      <c r="BC395" s="121"/>
      <c r="BD395" s="136"/>
      <c r="BE395" s="125" t="str">
        <f t="shared" si="18"/>
        <v/>
      </c>
      <c r="BF395" s="126" t="str">
        <f t="shared" si="19"/>
        <v>FM485__44607_0.300335648148148</v>
      </c>
      <c r="BG395" s="127" t="str">
        <f t="shared" si="20"/>
        <v/>
      </c>
      <c r="BH395" s="137" t="s">
        <v>1232</v>
      </c>
      <c r="BI395" s="128" t="str">
        <f t="shared" si="21"/>
        <v>MA1199</v>
      </c>
      <c r="BJ395" s="129" t="b">
        <f t="shared" si="22"/>
        <v>0</v>
      </c>
      <c r="BK395" s="128" t="str">
        <f t="shared" si="23"/>
        <v/>
      </c>
      <c r="BL395" s="121"/>
      <c r="BM395" s="5" t="str">
        <f t="shared" si="24"/>
        <v>MISSING</v>
      </c>
      <c r="BN395" s="120" t="b">
        <f t="shared" si="25"/>
        <v>0</v>
      </c>
      <c r="BO395" s="131" t="b">
        <f t="shared" si="26"/>
        <v>1</v>
      </c>
      <c r="BP395" s="121"/>
      <c r="BQ395" s="132" t="str">
        <f>VLOOKUP(A395,RAW_APS!A$3:O826,15,FALSE)</f>
        <v/>
      </c>
      <c r="BR395" s="120" t="b">
        <f t="shared" si="27"/>
        <v>1</v>
      </c>
      <c r="BS395" s="121"/>
      <c r="BT395" s="138" t="s">
        <v>244</v>
      </c>
      <c r="BU395" s="10" t="b">
        <f t="shared" si="28"/>
        <v>1</v>
      </c>
      <c r="BV395" s="120"/>
      <c r="BW395" s="120"/>
      <c r="BX395" s="120"/>
      <c r="BY395" s="120"/>
      <c r="BZ395" s="120"/>
      <c r="CA395" s="120"/>
      <c r="CB395" s="120"/>
      <c r="CC395" s="120"/>
    </row>
    <row r="396">
      <c r="A396" s="2" t="s">
        <v>1233</v>
      </c>
      <c r="B396" s="100">
        <v>44607.0</v>
      </c>
      <c r="C396" s="101">
        <v>0.30743055555555554</v>
      </c>
      <c r="D396" s="102"/>
      <c r="E396" s="102"/>
      <c r="F396" s="102"/>
      <c r="G396" s="102"/>
      <c r="H396" s="102"/>
      <c r="I396" s="103"/>
      <c r="J396" s="103"/>
      <c r="K396" s="2" t="s">
        <v>254</v>
      </c>
      <c r="L396" s="11"/>
      <c r="M396" s="11"/>
      <c r="N396" s="11"/>
      <c r="O396" s="11"/>
      <c r="P396" s="104" t="b">
        <f>IFNA(IF(VLOOKUP($A396,'Add from APT'!$AA$2:$AC826,3,FALSE)&gt;0,TRUE,FALSE),"ER - NOT IN APT")</f>
        <v>0</v>
      </c>
      <c r="Q396" s="105" t="str">
        <f>IF(ISLOGICAL(P396),IF(P396,"ER - REPS IN APT", IFNA(VLOOKUP($A396,RAW_APT!$A$3:$M826,7,FALSE),"ER - NOT IN APT")),P396)</f>
        <v>Collected</v>
      </c>
      <c r="R396" s="106" t="b">
        <f t="shared" si="2"/>
        <v>1</v>
      </c>
      <c r="S396" s="107">
        <f t="shared" si="3"/>
        <v>1</v>
      </c>
      <c r="T396" s="143"/>
      <c r="U396" s="142"/>
      <c r="V396" s="142"/>
      <c r="W396" s="142"/>
      <c r="X396" s="110" t="b">
        <f t="shared" si="4"/>
        <v>0</v>
      </c>
      <c r="Y396" s="111" t="b">
        <v>0</v>
      </c>
      <c r="Z396" s="104" t="str">
        <f t="shared" si="5"/>
        <v/>
      </c>
      <c r="AA396" s="112" t="b">
        <f t="shared" si="6"/>
        <v>0</v>
      </c>
      <c r="AB396" s="142" t="b">
        <v>0</v>
      </c>
      <c r="AC396" s="140">
        <v>412.0</v>
      </c>
      <c r="AD396" s="141" t="b">
        <v>0</v>
      </c>
      <c r="AE396" s="115" t="str">
        <f t="shared" si="7"/>
        <v/>
      </c>
      <c r="AF396" s="116" t="b">
        <f t="shared" si="8"/>
        <v>0</v>
      </c>
      <c r="AG396" s="105" t="b">
        <f t="shared" si="9"/>
        <v>1</v>
      </c>
      <c r="AH396" s="140">
        <v>9.1</v>
      </c>
      <c r="AI396" s="140"/>
      <c r="AJ396" s="140"/>
      <c r="AK396" s="117" t="str">
        <f t="shared" si="10"/>
        <v>DELETED</v>
      </c>
      <c r="AL396" s="142"/>
      <c r="AM396" s="112" t="s">
        <v>245</v>
      </c>
      <c r="AN396" s="112" t="s">
        <v>245</v>
      </c>
      <c r="AO396" s="112" t="str">
        <f>IFERROR(__xludf.DUMMYFUNCTION("IF($AG396, ""DELETED"",TRIM(JOIN("" "",D396:E396)))"),"DELETED")</f>
        <v>DELETED</v>
      </c>
      <c r="AP396" s="112" t="str">
        <f t="shared" ref="AP396:AQ396" si="421">IF($AG396, "DELETED", TRIM(CONCATENATE(F396,I396,U396)))</f>
        <v>DELETED</v>
      </c>
      <c r="AQ396" s="112" t="str">
        <f t="shared" si="421"/>
        <v>DELETED</v>
      </c>
      <c r="AR396" s="112" t="str">
        <f>IFERROR(__xludf.DUMMYFUNCTION("IF($AG396, ""DELETED"", TRIM(JOIN("" "",AP396,AQ396)))"),"DELETED")</f>
        <v>DELETED</v>
      </c>
      <c r="AS396" s="118"/>
      <c r="AT396" s="110" t="b">
        <f t="shared" si="12"/>
        <v>1</v>
      </c>
      <c r="AU396" s="110" t="str">
        <f t="shared" si="13"/>
        <v/>
      </c>
      <c r="AV396" s="110" t="str">
        <f t="shared" si="14"/>
        <v/>
      </c>
      <c r="AW396" s="110" t="str">
        <f t="shared" si="15"/>
        <v/>
      </c>
      <c r="AX396" s="119" t="str">
        <f t="shared" si="16"/>
        <v/>
      </c>
      <c r="AY396" s="120"/>
      <c r="AZ396" s="121"/>
      <c r="BA396" s="122" t="b">
        <f t="shared" si="17"/>
        <v>1</v>
      </c>
      <c r="BB396" s="34"/>
      <c r="BC396" s="121"/>
      <c r="BD396" s="136"/>
      <c r="BE396" s="125" t="str">
        <f t="shared" si="18"/>
        <v/>
      </c>
      <c r="BF396" s="126" t="str">
        <f t="shared" si="19"/>
        <v>MA288__44607_0.307430555555556</v>
      </c>
      <c r="BG396" s="127" t="str">
        <f t="shared" si="20"/>
        <v/>
      </c>
      <c r="BH396" s="137" t="s">
        <v>1234</v>
      </c>
      <c r="BI396" s="128" t="str">
        <f t="shared" si="21"/>
        <v>MA1201</v>
      </c>
      <c r="BJ396" s="129" t="b">
        <f t="shared" si="22"/>
        <v>0</v>
      </c>
      <c r="BK396" s="128" t="str">
        <f t="shared" si="23"/>
        <v/>
      </c>
      <c r="BL396" s="121"/>
      <c r="BM396" s="5" t="str">
        <f t="shared" si="24"/>
        <v/>
      </c>
      <c r="BN396" s="120" t="b">
        <f t="shared" si="25"/>
        <v>0</v>
      </c>
      <c r="BO396" s="131" t="b">
        <f t="shared" si="26"/>
        <v>0</v>
      </c>
      <c r="BP396" s="121"/>
      <c r="BQ396" s="132" t="str">
        <f>VLOOKUP(A396,RAW_APS!A$3:O826,15,FALSE)</f>
        <v/>
      </c>
      <c r="BR396" s="120" t="b">
        <f t="shared" si="27"/>
        <v>1</v>
      </c>
      <c r="BS396" s="121"/>
      <c r="BT396" s="138" t="s">
        <v>245</v>
      </c>
      <c r="BU396" s="10" t="b">
        <f t="shared" si="28"/>
        <v>1</v>
      </c>
      <c r="BV396" s="120"/>
      <c r="BW396" s="120"/>
      <c r="BX396" s="120"/>
      <c r="BY396" s="120"/>
      <c r="BZ396" s="120"/>
      <c r="CA396" s="120"/>
      <c r="CB396" s="120"/>
      <c r="CC396" s="120"/>
    </row>
    <row r="397">
      <c r="A397" s="2" t="s">
        <v>1235</v>
      </c>
      <c r="B397" s="100">
        <v>44607.0</v>
      </c>
      <c r="C397" s="101">
        <v>0.31167824074074074</v>
      </c>
      <c r="D397" s="102"/>
      <c r="E397" s="102"/>
      <c r="F397" s="102"/>
      <c r="G397" s="102"/>
      <c r="H397" s="102"/>
      <c r="I397" s="103"/>
      <c r="J397" s="103"/>
      <c r="K397" s="2" t="s">
        <v>244</v>
      </c>
      <c r="L397" s="100">
        <v>44607.0</v>
      </c>
      <c r="M397" s="101">
        <v>0.5867939814814814</v>
      </c>
      <c r="P397" s="104" t="b">
        <f>IFNA(IF(VLOOKUP($A397,'Add from APT'!$AA$2:$AC826,3,FALSE)&gt;0,TRUE,FALSE),"ER - NOT IN APT")</f>
        <v>0</v>
      </c>
      <c r="Q397" s="105" t="str">
        <f>IF(ISLOGICAL(P397),IF(P397,"ER - REPS IN APT", IFNA(VLOOKUP($A397,RAW_APT!$A$3:$M826,7,FALSE),"ER - NOT IN APT")),P397)</f>
        <v>Result</v>
      </c>
      <c r="R397" s="106" t="b">
        <f t="shared" si="2"/>
        <v>1</v>
      </c>
      <c r="S397" s="107">
        <f t="shared" si="3"/>
        <v>1</v>
      </c>
      <c r="T397" s="143"/>
      <c r="U397" s="142"/>
      <c r="V397" s="142"/>
      <c r="W397" s="142"/>
      <c r="X397" s="110" t="b">
        <f t="shared" si="4"/>
        <v>0</v>
      </c>
      <c r="Y397" s="111" t="b">
        <v>0</v>
      </c>
      <c r="Z397" s="104" t="str">
        <f t="shared" si="5"/>
        <v/>
      </c>
      <c r="AA397" s="112" t="b">
        <f t="shared" si="6"/>
        <v>0</v>
      </c>
      <c r="AB397" s="142" t="b">
        <v>0</v>
      </c>
      <c r="AC397" s="140">
        <v>411.0</v>
      </c>
      <c r="AD397" s="141" t="b">
        <v>0</v>
      </c>
      <c r="AE397" s="115">
        <f t="shared" si="7"/>
        <v>396.1666667</v>
      </c>
      <c r="AF397" s="116" t="b">
        <f t="shared" si="8"/>
        <v>0</v>
      </c>
      <c r="AG397" s="105" t="b">
        <f t="shared" si="9"/>
        <v>0</v>
      </c>
      <c r="AH397" s="140"/>
      <c r="AI397" s="140"/>
      <c r="AJ397" s="140"/>
      <c r="AK397" s="117" t="str">
        <f t="shared" si="10"/>
        <v>Negative</v>
      </c>
      <c r="AL397" s="142"/>
      <c r="AM397" s="112" t="s">
        <v>797</v>
      </c>
      <c r="AN397" s="112" t="s">
        <v>798</v>
      </c>
      <c r="AO397" s="112" t="str">
        <f>IFERROR(__xludf.DUMMYFUNCTION("IF($AG397, ""DELETED"",TRIM(JOIN("" "",D397:E397)))"),"")</f>
        <v/>
      </c>
      <c r="AP397" s="112" t="str">
        <f t="shared" ref="AP397:AQ397" si="422">IF($AG397, "DELETED", TRIM(CONCATENATE(F397,I397,U397)))</f>
        <v/>
      </c>
      <c r="AQ397" s="112" t="str">
        <f t="shared" si="422"/>
        <v/>
      </c>
      <c r="AR397" s="112" t="str">
        <f>IFERROR(__xludf.DUMMYFUNCTION("IF($AG397, ""DELETED"", TRIM(JOIN("" "",AP397,AQ397)))"),"")</f>
        <v/>
      </c>
      <c r="AS397" s="118"/>
      <c r="AT397" s="110" t="b">
        <f t="shared" si="12"/>
        <v>0</v>
      </c>
      <c r="AU397" s="110" t="str">
        <f t="shared" si="13"/>
        <v/>
      </c>
      <c r="AV397" s="110" t="str">
        <f t="shared" si="14"/>
        <v/>
      </c>
      <c r="AW397" s="110" t="str">
        <f t="shared" si="15"/>
        <v/>
      </c>
      <c r="AX397" s="119" t="str">
        <f t="shared" si="16"/>
        <v/>
      </c>
      <c r="AY397" s="120"/>
      <c r="AZ397" s="121"/>
      <c r="BA397" s="122" t="str">
        <f t="shared" si="17"/>
        <v/>
      </c>
      <c r="BB397" s="34"/>
      <c r="BC397" s="121"/>
      <c r="BD397" s="136"/>
      <c r="BE397" s="125" t="str">
        <f t="shared" si="18"/>
        <v/>
      </c>
      <c r="BF397" s="126" t="str">
        <f t="shared" si="19"/>
        <v>MA189__44607_0.311678240740741</v>
      </c>
      <c r="BG397" s="127" t="str">
        <f t="shared" si="20"/>
        <v/>
      </c>
      <c r="BH397" s="137" t="s">
        <v>1236</v>
      </c>
      <c r="BI397" s="128" t="str">
        <f t="shared" si="21"/>
        <v>MA1202</v>
      </c>
      <c r="BJ397" s="129" t="b">
        <f t="shared" si="22"/>
        <v>0</v>
      </c>
      <c r="BK397" s="128" t="str">
        <f t="shared" si="23"/>
        <v/>
      </c>
      <c r="BL397" s="121"/>
      <c r="BM397" s="5" t="str">
        <f t="shared" si="24"/>
        <v>MISSING</v>
      </c>
      <c r="BN397" s="120" t="b">
        <f t="shared" si="25"/>
        <v>0</v>
      </c>
      <c r="BO397" s="131" t="b">
        <f t="shared" si="26"/>
        <v>1</v>
      </c>
      <c r="BP397" s="121"/>
      <c r="BQ397" s="132" t="str">
        <f>VLOOKUP(A397,RAW_APS!A$3:O826,15,FALSE)</f>
        <v/>
      </c>
      <c r="BR397" s="120" t="b">
        <f t="shared" si="27"/>
        <v>1</v>
      </c>
      <c r="BS397" s="121"/>
      <c r="BT397" s="138" t="s">
        <v>244</v>
      </c>
      <c r="BU397" s="10" t="b">
        <f t="shared" si="28"/>
        <v>1</v>
      </c>
      <c r="BV397" s="120"/>
      <c r="BW397" s="120"/>
      <c r="BX397" s="120"/>
      <c r="BY397" s="120"/>
      <c r="BZ397" s="120"/>
      <c r="CA397" s="120"/>
      <c r="CB397" s="120"/>
      <c r="CC397" s="120"/>
    </row>
    <row r="398">
      <c r="A398" s="2" t="s">
        <v>1237</v>
      </c>
      <c r="B398" s="100">
        <v>44607.0</v>
      </c>
      <c r="C398" s="101">
        <v>0.3127083333333333</v>
      </c>
      <c r="D398" s="102"/>
      <c r="E398" s="102"/>
      <c r="F398" s="102"/>
      <c r="G398" s="102"/>
      <c r="H398" s="102"/>
      <c r="I398" s="103"/>
      <c r="J398" s="103"/>
      <c r="K398" s="2" t="s">
        <v>244</v>
      </c>
      <c r="L398" s="100">
        <v>44607.0</v>
      </c>
      <c r="M398" s="101">
        <v>0.5867939814814814</v>
      </c>
      <c r="P398" s="104" t="b">
        <f>IFNA(IF(VLOOKUP($A398,'Add from APT'!$AA$2:$AC826,3,FALSE)&gt;0,TRUE,FALSE),"ER - NOT IN APT")</f>
        <v>0</v>
      </c>
      <c r="Q398" s="105" t="str">
        <f>IF(ISLOGICAL(P398),IF(P398,"ER - REPS IN APT", IFNA(VLOOKUP($A398,RAW_APT!$A$3:$M826,7,FALSE),"ER - NOT IN APT")),P398)</f>
        <v>Result</v>
      </c>
      <c r="R398" s="106" t="b">
        <f t="shared" si="2"/>
        <v>1</v>
      </c>
      <c r="S398" s="107">
        <f t="shared" si="3"/>
        <v>1</v>
      </c>
      <c r="T398" s="143"/>
      <c r="U398" s="142"/>
      <c r="V398" s="142"/>
      <c r="W398" s="142"/>
      <c r="X398" s="110" t="b">
        <f t="shared" si="4"/>
        <v>0</v>
      </c>
      <c r="Y398" s="111" t="b">
        <v>0</v>
      </c>
      <c r="Z398" s="104" t="str">
        <f t="shared" si="5"/>
        <v/>
      </c>
      <c r="AA398" s="112" t="b">
        <f t="shared" si="6"/>
        <v>0</v>
      </c>
      <c r="AB398" s="142" t="b">
        <v>0</v>
      </c>
      <c r="AC398" s="140">
        <v>410.0</v>
      </c>
      <c r="AD398" s="141" t="b">
        <v>0</v>
      </c>
      <c r="AE398" s="115">
        <f t="shared" si="7"/>
        <v>394.6833333</v>
      </c>
      <c r="AF398" s="116" t="b">
        <f t="shared" si="8"/>
        <v>0</v>
      </c>
      <c r="AG398" s="105" t="b">
        <f t="shared" si="9"/>
        <v>0</v>
      </c>
      <c r="AH398" s="140"/>
      <c r="AI398" s="140"/>
      <c r="AJ398" s="140"/>
      <c r="AK398" s="117" t="str">
        <f t="shared" si="10"/>
        <v>Negative</v>
      </c>
      <c r="AL398" s="142"/>
      <c r="AM398" s="112" t="s">
        <v>504</v>
      </c>
      <c r="AN398" s="112" t="s">
        <v>505</v>
      </c>
      <c r="AO398" s="112" t="str">
        <f>IFERROR(__xludf.DUMMYFUNCTION("IF($AG398, ""DELETED"",TRIM(JOIN("" "",D398:E398)))"),"")</f>
        <v/>
      </c>
      <c r="AP398" s="112" t="str">
        <f t="shared" ref="AP398:AQ398" si="423">IF($AG398, "DELETED", TRIM(CONCATENATE(F398,I398,U398)))</f>
        <v/>
      </c>
      <c r="AQ398" s="112" t="str">
        <f t="shared" si="423"/>
        <v/>
      </c>
      <c r="AR398" s="112" t="str">
        <f>IFERROR(__xludf.DUMMYFUNCTION("IF($AG398, ""DELETED"", TRIM(JOIN("" "",AP398,AQ398)))"),"")</f>
        <v/>
      </c>
      <c r="AS398" s="118"/>
      <c r="AT398" s="110" t="b">
        <f t="shared" si="12"/>
        <v>0</v>
      </c>
      <c r="AU398" s="110" t="str">
        <f t="shared" si="13"/>
        <v/>
      </c>
      <c r="AV398" s="110" t="str">
        <f t="shared" si="14"/>
        <v/>
      </c>
      <c r="AW398" s="110" t="str">
        <f t="shared" si="15"/>
        <v/>
      </c>
      <c r="AX398" s="119" t="str">
        <f t="shared" si="16"/>
        <v/>
      </c>
      <c r="AY398" s="120"/>
      <c r="AZ398" s="121"/>
      <c r="BA398" s="122" t="str">
        <f t="shared" si="17"/>
        <v/>
      </c>
      <c r="BB398" s="34"/>
      <c r="BC398" s="121"/>
      <c r="BD398" s="136"/>
      <c r="BE398" s="125" t="str">
        <f t="shared" si="18"/>
        <v/>
      </c>
      <c r="BF398" s="126" t="str">
        <f t="shared" si="19"/>
        <v>FM73__44607_0.312708333333333</v>
      </c>
      <c r="BG398" s="127" t="str">
        <f t="shared" si="20"/>
        <v/>
      </c>
      <c r="BH398" s="137" t="s">
        <v>1238</v>
      </c>
      <c r="BI398" s="128" t="str">
        <f t="shared" si="21"/>
        <v>MA1203</v>
      </c>
      <c r="BJ398" s="129" t="b">
        <f t="shared" si="22"/>
        <v>0</v>
      </c>
      <c r="BK398" s="128" t="str">
        <f t="shared" si="23"/>
        <v/>
      </c>
      <c r="BL398" s="121"/>
      <c r="BM398" s="5" t="str">
        <f t="shared" si="24"/>
        <v>MISSING</v>
      </c>
      <c r="BN398" s="120" t="b">
        <f t="shared" si="25"/>
        <v>0</v>
      </c>
      <c r="BO398" s="131" t="b">
        <f t="shared" si="26"/>
        <v>1</v>
      </c>
      <c r="BP398" s="121"/>
      <c r="BQ398" s="132" t="str">
        <f>VLOOKUP(A398,RAW_APS!A$3:O826,15,FALSE)</f>
        <v/>
      </c>
      <c r="BR398" s="120" t="b">
        <f t="shared" si="27"/>
        <v>1</v>
      </c>
      <c r="BS398" s="121"/>
      <c r="BT398" s="138" t="s">
        <v>244</v>
      </c>
      <c r="BU398" s="10" t="b">
        <f t="shared" si="28"/>
        <v>1</v>
      </c>
      <c r="BV398" s="120"/>
      <c r="BW398" s="120"/>
      <c r="BX398" s="120"/>
      <c r="BY398" s="120"/>
      <c r="BZ398" s="120"/>
      <c r="CA398" s="120"/>
      <c r="CB398" s="120"/>
      <c r="CC398" s="120"/>
    </row>
    <row r="399">
      <c r="A399" s="2" t="s">
        <v>1239</v>
      </c>
      <c r="B399" s="100">
        <v>44607.0</v>
      </c>
      <c r="C399" s="101">
        <v>0.31320601851851854</v>
      </c>
      <c r="D399" s="102"/>
      <c r="E399" s="102"/>
      <c r="F399" s="102"/>
      <c r="G399" s="102"/>
      <c r="H399" s="102"/>
      <c r="I399" s="103"/>
      <c r="J399" s="103"/>
      <c r="K399" s="2" t="s">
        <v>244</v>
      </c>
      <c r="L399" s="100">
        <v>44607.0</v>
      </c>
      <c r="M399" s="101">
        <v>0.5868055555555556</v>
      </c>
      <c r="P399" s="104" t="b">
        <f>IFNA(IF(VLOOKUP($A399,'Add from APT'!$AA$2:$AC826,3,FALSE)&gt;0,TRUE,FALSE),"ER - NOT IN APT")</f>
        <v>0</v>
      </c>
      <c r="Q399" s="105" t="str">
        <f>IF(ISLOGICAL(P399),IF(P399,"ER - REPS IN APT", IFNA(VLOOKUP($A399,RAW_APT!$A$3:$M826,7,FALSE),"ER - NOT IN APT")),P399)</f>
        <v>Result</v>
      </c>
      <c r="R399" s="106" t="b">
        <f t="shared" si="2"/>
        <v>1</v>
      </c>
      <c r="S399" s="107">
        <f t="shared" si="3"/>
        <v>1</v>
      </c>
      <c r="T399" s="143"/>
      <c r="U399" s="142"/>
      <c r="V399" s="142"/>
      <c r="W399" s="142"/>
      <c r="X399" s="110" t="b">
        <f t="shared" si="4"/>
        <v>0</v>
      </c>
      <c r="Y399" s="111" t="b">
        <v>0</v>
      </c>
      <c r="Z399" s="104" t="str">
        <f t="shared" si="5"/>
        <v/>
      </c>
      <c r="AA399" s="112" t="b">
        <f t="shared" si="6"/>
        <v>0</v>
      </c>
      <c r="AB399" s="142" t="b">
        <v>0</v>
      </c>
      <c r="AC399" s="140">
        <v>409.0</v>
      </c>
      <c r="AD399" s="141" t="b">
        <v>0</v>
      </c>
      <c r="AE399" s="115">
        <f t="shared" si="7"/>
        <v>393.9833333</v>
      </c>
      <c r="AF399" s="116" t="b">
        <f t="shared" si="8"/>
        <v>0</v>
      </c>
      <c r="AG399" s="105" t="b">
        <f t="shared" si="9"/>
        <v>0</v>
      </c>
      <c r="AH399" s="140"/>
      <c r="AI399" s="140"/>
      <c r="AJ399" s="140"/>
      <c r="AK399" s="117" t="str">
        <f t="shared" si="10"/>
        <v>Negative</v>
      </c>
      <c r="AL399" s="142"/>
      <c r="AM399" s="112" t="s">
        <v>257</v>
      </c>
      <c r="AN399" s="112" t="s">
        <v>406</v>
      </c>
      <c r="AO399" s="112" t="str">
        <f>IFERROR(__xludf.DUMMYFUNCTION("IF($AG399, ""DELETED"",TRIM(JOIN("" "",D399:E399)))"),"")</f>
        <v/>
      </c>
      <c r="AP399" s="112" t="str">
        <f t="shared" ref="AP399:AQ399" si="424">IF($AG399, "DELETED", TRIM(CONCATENATE(F399,I399,U399)))</f>
        <v/>
      </c>
      <c r="AQ399" s="112" t="str">
        <f t="shared" si="424"/>
        <v/>
      </c>
      <c r="AR399" s="112" t="str">
        <f>IFERROR(__xludf.DUMMYFUNCTION("IF($AG399, ""DELETED"", TRIM(JOIN("" "",AP399,AQ399)))"),"")</f>
        <v/>
      </c>
      <c r="AS399" s="118"/>
      <c r="AT399" s="110" t="b">
        <f t="shared" si="12"/>
        <v>0</v>
      </c>
      <c r="AU399" s="110" t="str">
        <f t="shared" si="13"/>
        <v/>
      </c>
      <c r="AV399" s="110" t="str">
        <f t="shared" si="14"/>
        <v/>
      </c>
      <c r="AW399" s="110" t="str">
        <f t="shared" si="15"/>
        <v/>
      </c>
      <c r="AX399" s="119" t="str">
        <f t="shared" si="16"/>
        <v/>
      </c>
      <c r="AY399" s="120"/>
      <c r="AZ399" s="121"/>
      <c r="BA399" s="122" t="str">
        <f t="shared" si="17"/>
        <v/>
      </c>
      <c r="BB399" s="34"/>
      <c r="BC399" s="121"/>
      <c r="BD399" s="136"/>
      <c r="BE399" s="125" t="str">
        <f t="shared" si="18"/>
        <v/>
      </c>
      <c r="BF399" s="126" t="str">
        <f t="shared" si="19"/>
        <v>MA294__44607_0.313206018518519</v>
      </c>
      <c r="BG399" s="127" t="str">
        <f t="shared" si="20"/>
        <v/>
      </c>
      <c r="BH399" s="137" t="s">
        <v>1240</v>
      </c>
      <c r="BI399" s="128" t="str">
        <f t="shared" si="21"/>
        <v>MA1209</v>
      </c>
      <c r="BJ399" s="129" t="b">
        <f t="shared" si="22"/>
        <v>0</v>
      </c>
      <c r="BK399" s="128" t="str">
        <f t="shared" si="23"/>
        <v/>
      </c>
      <c r="BL399" s="121"/>
      <c r="BM399" s="5" t="str">
        <f t="shared" si="24"/>
        <v>MISSING</v>
      </c>
      <c r="BN399" s="120" t="b">
        <f t="shared" si="25"/>
        <v>0</v>
      </c>
      <c r="BO399" s="131" t="b">
        <f t="shared" si="26"/>
        <v>1</v>
      </c>
      <c r="BP399" s="121"/>
      <c r="BQ399" s="132" t="str">
        <f>VLOOKUP(A399,RAW_APS!A$3:O826,15,FALSE)</f>
        <v/>
      </c>
      <c r="BR399" s="120" t="b">
        <f t="shared" si="27"/>
        <v>1</v>
      </c>
      <c r="BS399" s="121"/>
      <c r="BT399" s="138" t="s">
        <v>244</v>
      </c>
      <c r="BU399" s="10" t="b">
        <f t="shared" si="28"/>
        <v>1</v>
      </c>
      <c r="BV399" s="120"/>
      <c r="BW399" s="120"/>
      <c r="BX399" s="120"/>
      <c r="BY399" s="120"/>
      <c r="BZ399" s="120"/>
      <c r="CA399" s="120"/>
      <c r="CB399" s="120"/>
      <c r="CC399" s="120"/>
    </row>
    <row r="400">
      <c r="A400" s="2" t="s">
        <v>1241</v>
      </c>
      <c r="B400" s="100">
        <v>44607.0</v>
      </c>
      <c r="C400" s="101">
        <v>0.31328703703703703</v>
      </c>
      <c r="D400" s="102"/>
      <c r="E400" s="102"/>
      <c r="F400" s="102"/>
      <c r="G400" s="102"/>
      <c r="H400" s="102"/>
      <c r="I400" s="103"/>
      <c r="J400" s="103"/>
      <c r="K400" s="2" t="s">
        <v>244</v>
      </c>
      <c r="L400" s="100">
        <v>44607.0</v>
      </c>
      <c r="M400" s="101">
        <v>0.5868055555555556</v>
      </c>
      <c r="P400" s="104" t="b">
        <f>IFNA(IF(VLOOKUP($A400,'Add from APT'!$AA$2:$AC826,3,FALSE)&gt;0,TRUE,FALSE),"ER - NOT IN APT")</f>
        <v>0</v>
      </c>
      <c r="Q400" s="105" t="str">
        <f>IF(ISLOGICAL(P400),IF(P400,"ER - REPS IN APT", IFNA(VLOOKUP($A400,RAW_APT!$A$3:$M826,7,FALSE),"ER - NOT IN APT")),P400)</f>
        <v>Result</v>
      </c>
      <c r="R400" s="106" t="b">
        <f t="shared" si="2"/>
        <v>1</v>
      </c>
      <c r="S400" s="107">
        <f t="shared" si="3"/>
        <v>1</v>
      </c>
      <c r="T400" s="143"/>
      <c r="U400" s="142"/>
      <c r="V400" s="142"/>
      <c r="W400" s="142"/>
      <c r="X400" s="110" t="b">
        <f t="shared" si="4"/>
        <v>0</v>
      </c>
      <c r="Y400" s="111" t="b">
        <v>0</v>
      </c>
      <c r="Z400" s="104" t="str">
        <f t="shared" si="5"/>
        <v/>
      </c>
      <c r="AA400" s="112" t="b">
        <f t="shared" si="6"/>
        <v>0</v>
      </c>
      <c r="AB400" s="142" t="b">
        <v>0</v>
      </c>
      <c r="AC400" s="140">
        <v>408.0</v>
      </c>
      <c r="AD400" s="141" t="b">
        <v>0</v>
      </c>
      <c r="AE400" s="115">
        <f t="shared" si="7"/>
        <v>393.8666667</v>
      </c>
      <c r="AF400" s="116" t="b">
        <f t="shared" si="8"/>
        <v>0</v>
      </c>
      <c r="AG400" s="105" t="b">
        <f t="shared" si="9"/>
        <v>0</v>
      </c>
      <c r="AH400" s="140"/>
      <c r="AI400" s="140"/>
      <c r="AJ400" s="140"/>
      <c r="AK400" s="117" t="str">
        <f t="shared" si="10"/>
        <v>Negative</v>
      </c>
      <c r="AL400" s="142"/>
      <c r="AM400" s="112" t="s">
        <v>1242</v>
      </c>
      <c r="AN400" s="112" t="s">
        <v>1243</v>
      </c>
      <c r="AO400" s="112" t="str">
        <f>IFERROR(__xludf.DUMMYFUNCTION("IF($AG400, ""DELETED"",TRIM(JOIN("" "",D400:E400)))"),"")</f>
        <v/>
      </c>
      <c r="AP400" s="112" t="str">
        <f t="shared" ref="AP400:AQ400" si="425">IF($AG400, "DELETED", TRIM(CONCATENATE(F400,I400,U400)))</f>
        <v/>
      </c>
      <c r="AQ400" s="112" t="str">
        <f t="shared" si="425"/>
        <v/>
      </c>
      <c r="AR400" s="112" t="str">
        <f>IFERROR(__xludf.DUMMYFUNCTION("IF($AG400, ""DELETED"", TRIM(JOIN("" "",AP400,AQ400)))"),"")</f>
        <v/>
      </c>
      <c r="AS400" s="118"/>
      <c r="AT400" s="110" t="b">
        <f t="shared" si="12"/>
        <v>0</v>
      </c>
      <c r="AU400" s="110" t="str">
        <f t="shared" si="13"/>
        <v/>
      </c>
      <c r="AV400" s="110" t="str">
        <f t="shared" si="14"/>
        <v/>
      </c>
      <c r="AW400" s="110" t="str">
        <f t="shared" si="15"/>
        <v/>
      </c>
      <c r="AX400" s="119" t="str">
        <f t="shared" si="16"/>
        <v/>
      </c>
      <c r="AY400" s="120"/>
      <c r="AZ400" s="121"/>
      <c r="BA400" s="122" t="str">
        <f t="shared" si="17"/>
        <v/>
      </c>
      <c r="BB400" s="34"/>
      <c r="BC400" s="121"/>
      <c r="BD400" s="136"/>
      <c r="BE400" s="125" t="str">
        <f t="shared" si="18"/>
        <v/>
      </c>
      <c r="BF400" s="126" t="str">
        <f t="shared" si="19"/>
        <v>MA290__44607_0.313287037037037</v>
      </c>
      <c r="BG400" s="127" t="str">
        <f t="shared" si="20"/>
        <v/>
      </c>
      <c r="BH400" s="137" t="s">
        <v>1244</v>
      </c>
      <c r="BI400" s="128" t="str">
        <f t="shared" si="21"/>
        <v>MA1210</v>
      </c>
      <c r="BJ400" s="129" t="b">
        <f t="shared" si="22"/>
        <v>0</v>
      </c>
      <c r="BK400" s="128" t="str">
        <f t="shared" si="23"/>
        <v/>
      </c>
      <c r="BL400" s="121"/>
      <c r="BM400" s="5" t="str">
        <f t="shared" si="24"/>
        <v>MISSING</v>
      </c>
      <c r="BN400" s="120" t="b">
        <f t="shared" si="25"/>
        <v>0</v>
      </c>
      <c r="BO400" s="131" t="b">
        <f t="shared" si="26"/>
        <v>1</v>
      </c>
      <c r="BP400" s="121"/>
      <c r="BQ400" s="132" t="str">
        <f>VLOOKUP(A400,RAW_APS!A$3:O826,15,FALSE)</f>
        <v/>
      </c>
      <c r="BR400" s="120" t="b">
        <f t="shared" si="27"/>
        <v>1</v>
      </c>
      <c r="BS400" s="121"/>
      <c r="BT400" s="138" t="s">
        <v>244</v>
      </c>
      <c r="BU400" s="10" t="b">
        <f t="shared" si="28"/>
        <v>1</v>
      </c>
      <c r="BV400" s="120"/>
      <c r="BW400" s="120"/>
      <c r="BX400" s="120"/>
      <c r="BY400" s="120"/>
      <c r="BZ400" s="120"/>
      <c r="CA400" s="120"/>
      <c r="CB400" s="120"/>
      <c r="CC400" s="120"/>
    </row>
    <row r="401">
      <c r="A401" s="2" t="s">
        <v>1245</v>
      </c>
      <c r="B401" s="100">
        <v>44607.0</v>
      </c>
      <c r="C401" s="101">
        <v>0.31342592592592594</v>
      </c>
      <c r="D401" s="102"/>
      <c r="E401" s="102"/>
      <c r="F401" s="102"/>
      <c r="G401" s="102"/>
      <c r="H401" s="102"/>
      <c r="I401" s="103"/>
      <c r="J401" s="103"/>
      <c r="K401" s="2" t="s">
        <v>244</v>
      </c>
      <c r="L401" s="100">
        <v>44607.0</v>
      </c>
      <c r="M401" s="101">
        <v>0.5868055555555556</v>
      </c>
      <c r="P401" s="104" t="b">
        <f>IFNA(IF(VLOOKUP($A401,'Add from APT'!$AA$2:$AC826,3,FALSE)&gt;0,TRUE,FALSE),"ER - NOT IN APT")</f>
        <v>0</v>
      </c>
      <c r="Q401" s="105" t="str">
        <f>IF(ISLOGICAL(P401),IF(P401,"ER - REPS IN APT", IFNA(VLOOKUP($A401,RAW_APT!$A$3:$M826,7,FALSE),"ER - NOT IN APT")),P401)</f>
        <v>Result</v>
      </c>
      <c r="R401" s="106" t="b">
        <f t="shared" si="2"/>
        <v>1</v>
      </c>
      <c r="S401" s="107">
        <f t="shared" si="3"/>
        <v>1</v>
      </c>
      <c r="T401" s="143"/>
      <c r="U401" s="142"/>
      <c r="V401" s="142"/>
      <c r="W401" s="142"/>
      <c r="X401" s="110" t="b">
        <f t="shared" si="4"/>
        <v>0</v>
      </c>
      <c r="Y401" s="111" t="b">
        <v>0</v>
      </c>
      <c r="Z401" s="104" t="str">
        <f t="shared" si="5"/>
        <v/>
      </c>
      <c r="AA401" s="112" t="b">
        <f t="shared" si="6"/>
        <v>0</v>
      </c>
      <c r="AB401" s="142" t="b">
        <v>0</v>
      </c>
      <c r="AC401" s="140">
        <v>407.0</v>
      </c>
      <c r="AD401" s="141" t="b">
        <v>0</v>
      </c>
      <c r="AE401" s="115">
        <f t="shared" si="7"/>
        <v>393.6666667</v>
      </c>
      <c r="AF401" s="116" t="b">
        <f t="shared" si="8"/>
        <v>0</v>
      </c>
      <c r="AG401" s="105" t="b">
        <f t="shared" si="9"/>
        <v>0</v>
      </c>
      <c r="AH401" s="140"/>
      <c r="AI401" s="140"/>
      <c r="AJ401" s="140"/>
      <c r="AK401" s="117" t="str">
        <f t="shared" si="10"/>
        <v>Negative</v>
      </c>
      <c r="AL401" s="142"/>
      <c r="AM401" s="112" t="s">
        <v>491</v>
      </c>
      <c r="AN401" s="112" t="s">
        <v>495</v>
      </c>
      <c r="AO401" s="112" t="str">
        <f>IFERROR(__xludf.DUMMYFUNCTION("IF($AG401, ""DELETED"",TRIM(JOIN("" "",D401:E401)))"),"")</f>
        <v/>
      </c>
      <c r="AP401" s="112" t="str">
        <f t="shared" ref="AP401:AQ401" si="426">IF($AG401, "DELETED", TRIM(CONCATENATE(F401,I401,U401)))</f>
        <v/>
      </c>
      <c r="AQ401" s="112" t="str">
        <f t="shared" si="426"/>
        <v/>
      </c>
      <c r="AR401" s="112" t="str">
        <f>IFERROR(__xludf.DUMMYFUNCTION("IF($AG401, ""DELETED"", TRIM(JOIN("" "",AP401,AQ401)))"),"")</f>
        <v/>
      </c>
      <c r="AS401" s="118"/>
      <c r="AT401" s="110" t="b">
        <f t="shared" si="12"/>
        <v>0</v>
      </c>
      <c r="AU401" s="110" t="str">
        <f t="shared" si="13"/>
        <v/>
      </c>
      <c r="AV401" s="110" t="str">
        <f t="shared" si="14"/>
        <v/>
      </c>
      <c r="AW401" s="110" t="str">
        <f t="shared" si="15"/>
        <v/>
      </c>
      <c r="AX401" s="119" t="str">
        <f t="shared" si="16"/>
        <v/>
      </c>
      <c r="AY401" s="120"/>
      <c r="AZ401" s="121"/>
      <c r="BA401" s="122" t="str">
        <f t="shared" si="17"/>
        <v/>
      </c>
      <c r="BB401" s="34"/>
      <c r="BC401" s="121"/>
      <c r="BD401" s="136"/>
      <c r="BE401" s="125" t="str">
        <f t="shared" si="18"/>
        <v/>
      </c>
      <c r="BF401" s="126" t="str">
        <f t="shared" si="19"/>
        <v>FM19__44607_0.313425925925926</v>
      </c>
      <c r="BG401" s="127" t="str">
        <f t="shared" si="20"/>
        <v/>
      </c>
      <c r="BH401" s="137" t="s">
        <v>1246</v>
      </c>
      <c r="BI401" s="128" t="str">
        <f t="shared" si="21"/>
        <v>MA1217</v>
      </c>
      <c r="BJ401" s="129" t="b">
        <f t="shared" si="22"/>
        <v>0</v>
      </c>
      <c r="BK401" s="128" t="str">
        <f t="shared" si="23"/>
        <v/>
      </c>
      <c r="BL401" s="121"/>
      <c r="BM401" s="5" t="str">
        <f t="shared" si="24"/>
        <v>MISSING</v>
      </c>
      <c r="BN401" s="120" t="b">
        <f t="shared" si="25"/>
        <v>0</v>
      </c>
      <c r="BO401" s="131" t="b">
        <f t="shared" si="26"/>
        <v>1</v>
      </c>
      <c r="BP401" s="121"/>
      <c r="BQ401" s="132" t="str">
        <f>VLOOKUP(A401,RAW_APS!A$3:O826,15,FALSE)</f>
        <v/>
      </c>
      <c r="BR401" s="120" t="b">
        <f t="shared" si="27"/>
        <v>1</v>
      </c>
      <c r="BS401" s="121"/>
      <c r="BT401" s="138" t="s">
        <v>244</v>
      </c>
      <c r="BU401" s="10" t="b">
        <f t="shared" si="28"/>
        <v>1</v>
      </c>
      <c r="BV401" s="120"/>
      <c r="BW401" s="120"/>
      <c r="BX401" s="120"/>
      <c r="BY401" s="120"/>
      <c r="BZ401" s="120"/>
      <c r="CA401" s="120"/>
      <c r="CB401" s="120"/>
      <c r="CC401" s="120"/>
    </row>
    <row r="402">
      <c r="A402" s="2" t="s">
        <v>1247</v>
      </c>
      <c r="B402" s="100">
        <v>44607.0</v>
      </c>
      <c r="C402" s="101">
        <v>0.3134953703703704</v>
      </c>
      <c r="D402" s="102"/>
      <c r="E402" s="102"/>
      <c r="F402" s="102"/>
      <c r="G402" s="102"/>
      <c r="H402" s="102"/>
      <c r="I402" s="103"/>
      <c r="J402" s="103"/>
      <c r="K402" s="2" t="s">
        <v>244</v>
      </c>
      <c r="L402" s="100">
        <v>44607.0</v>
      </c>
      <c r="M402" s="101">
        <v>0.5868055555555556</v>
      </c>
      <c r="P402" s="104" t="b">
        <f>IFNA(IF(VLOOKUP($A402,'Add from APT'!$AA$2:$AC826,3,FALSE)&gt;0,TRUE,FALSE),"ER - NOT IN APT")</f>
        <v>0</v>
      </c>
      <c r="Q402" s="105" t="str">
        <f>IF(ISLOGICAL(P402),IF(P402,"ER - REPS IN APT", IFNA(VLOOKUP($A402,RAW_APT!$A$3:$M826,7,FALSE),"ER - NOT IN APT")),P402)</f>
        <v>Result</v>
      </c>
      <c r="R402" s="106" t="b">
        <f t="shared" si="2"/>
        <v>1</v>
      </c>
      <c r="S402" s="107">
        <f t="shared" si="3"/>
        <v>1</v>
      </c>
      <c r="T402" s="143"/>
      <c r="U402" s="142"/>
      <c r="V402" s="142"/>
      <c r="W402" s="142"/>
      <c r="X402" s="110" t="b">
        <f t="shared" si="4"/>
        <v>0</v>
      </c>
      <c r="Y402" s="111" t="b">
        <v>0</v>
      </c>
      <c r="Z402" s="104" t="str">
        <f t="shared" si="5"/>
        <v/>
      </c>
      <c r="AA402" s="112" t="b">
        <f t="shared" si="6"/>
        <v>0</v>
      </c>
      <c r="AB402" s="142" t="b">
        <v>0</v>
      </c>
      <c r="AC402" s="140">
        <v>406.0</v>
      </c>
      <c r="AD402" s="141" t="b">
        <v>0</v>
      </c>
      <c r="AE402" s="115">
        <f t="shared" si="7"/>
        <v>393.5666667</v>
      </c>
      <c r="AF402" s="116" t="b">
        <f t="shared" si="8"/>
        <v>0</v>
      </c>
      <c r="AG402" s="105" t="b">
        <f t="shared" si="9"/>
        <v>0</v>
      </c>
      <c r="AH402" s="140"/>
      <c r="AI402" s="140"/>
      <c r="AJ402" s="140"/>
      <c r="AK402" s="117" t="str">
        <f t="shared" si="10"/>
        <v>Negative</v>
      </c>
      <c r="AL402" s="142"/>
      <c r="AM402" s="112" t="s">
        <v>1248</v>
      </c>
      <c r="AN402" s="112" t="s">
        <v>1249</v>
      </c>
      <c r="AO402" s="112" t="str">
        <f>IFERROR(__xludf.DUMMYFUNCTION("IF($AG402, ""DELETED"",TRIM(JOIN("" "",D402:E402)))"),"")</f>
        <v/>
      </c>
      <c r="AP402" s="112" t="str">
        <f t="shared" ref="AP402:AQ402" si="427">IF($AG402, "DELETED", TRIM(CONCATENATE(F402,I402,U402)))</f>
        <v/>
      </c>
      <c r="AQ402" s="112" t="str">
        <f t="shared" si="427"/>
        <v/>
      </c>
      <c r="AR402" s="112" t="str">
        <f>IFERROR(__xludf.DUMMYFUNCTION("IF($AG402, ""DELETED"", TRIM(JOIN("" "",AP402,AQ402)))"),"")</f>
        <v/>
      </c>
      <c r="AS402" s="118"/>
      <c r="AT402" s="110" t="b">
        <f t="shared" si="12"/>
        <v>0</v>
      </c>
      <c r="AU402" s="110" t="str">
        <f t="shared" si="13"/>
        <v/>
      </c>
      <c r="AV402" s="110" t="str">
        <f t="shared" si="14"/>
        <v/>
      </c>
      <c r="AW402" s="110" t="str">
        <f t="shared" si="15"/>
        <v/>
      </c>
      <c r="AX402" s="119" t="str">
        <f t="shared" si="16"/>
        <v/>
      </c>
      <c r="AY402" s="120"/>
      <c r="AZ402" s="121"/>
      <c r="BA402" s="122" t="str">
        <f t="shared" si="17"/>
        <v/>
      </c>
      <c r="BB402" s="34"/>
      <c r="BC402" s="121"/>
      <c r="BD402" s="136"/>
      <c r="BE402" s="125" t="str">
        <f t="shared" si="18"/>
        <v/>
      </c>
      <c r="BF402" s="126" t="str">
        <f t="shared" si="19"/>
        <v>FM782__44607_0.31349537037037</v>
      </c>
      <c r="BG402" s="127" t="str">
        <f t="shared" si="20"/>
        <v/>
      </c>
      <c r="BH402" s="137" t="s">
        <v>1250</v>
      </c>
      <c r="BI402" s="128" t="str">
        <f t="shared" si="21"/>
        <v>MA1223</v>
      </c>
      <c r="BJ402" s="129" t="b">
        <f t="shared" si="22"/>
        <v>0</v>
      </c>
      <c r="BK402" s="128" t="str">
        <f t="shared" si="23"/>
        <v/>
      </c>
      <c r="BL402" s="121"/>
      <c r="BM402" s="5" t="str">
        <f t="shared" si="24"/>
        <v>MISSING</v>
      </c>
      <c r="BN402" s="120" t="b">
        <f t="shared" si="25"/>
        <v>0</v>
      </c>
      <c r="BO402" s="131" t="b">
        <f t="shared" si="26"/>
        <v>1</v>
      </c>
      <c r="BP402" s="121"/>
      <c r="BQ402" s="132" t="str">
        <f>VLOOKUP(A402,RAW_APS!A$3:O826,15,FALSE)</f>
        <v/>
      </c>
      <c r="BR402" s="120" t="b">
        <f t="shared" si="27"/>
        <v>1</v>
      </c>
      <c r="BS402" s="121"/>
      <c r="BT402" s="138" t="s">
        <v>244</v>
      </c>
      <c r="BU402" s="10" t="b">
        <f t="shared" si="28"/>
        <v>1</v>
      </c>
      <c r="BV402" s="120"/>
      <c r="BW402" s="120"/>
      <c r="BX402" s="120"/>
      <c r="BY402" s="120"/>
      <c r="BZ402" s="120"/>
      <c r="CA402" s="120"/>
      <c r="CB402" s="120"/>
      <c r="CC402" s="120"/>
    </row>
    <row r="403">
      <c r="A403" s="2" t="s">
        <v>1251</v>
      </c>
      <c r="B403" s="100">
        <v>44607.0</v>
      </c>
      <c r="C403" s="101">
        <v>0.314224537037037</v>
      </c>
      <c r="D403" s="102"/>
      <c r="E403" s="102"/>
      <c r="F403" s="102"/>
      <c r="G403" s="102"/>
      <c r="H403" s="102"/>
      <c r="I403" s="103"/>
      <c r="J403" s="103"/>
      <c r="K403" s="2" t="s">
        <v>244</v>
      </c>
      <c r="L403" s="100">
        <v>44607.0</v>
      </c>
      <c r="M403" s="101">
        <v>0.5868055555555556</v>
      </c>
      <c r="P403" s="104" t="b">
        <f>IFNA(IF(VLOOKUP($A403,'Add from APT'!$AA$2:$AC826,3,FALSE)&gt;0,TRUE,FALSE),"ER - NOT IN APT")</f>
        <v>0</v>
      </c>
      <c r="Q403" s="105" t="str">
        <f>IF(ISLOGICAL(P403),IF(P403,"ER - REPS IN APT", IFNA(VLOOKUP($A403,RAW_APT!$A$3:$M826,7,FALSE),"ER - NOT IN APT")),P403)</f>
        <v>Result</v>
      </c>
      <c r="R403" s="106" t="b">
        <f t="shared" si="2"/>
        <v>1</v>
      </c>
      <c r="S403" s="107">
        <f t="shared" si="3"/>
        <v>1</v>
      </c>
      <c r="T403" s="143"/>
      <c r="U403" s="142"/>
      <c r="V403" s="142"/>
      <c r="W403" s="142"/>
      <c r="X403" s="110" t="b">
        <f t="shared" si="4"/>
        <v>0</v>
      </c>
      <c r="Y403" s="111" t="b">
        <v>0</v>
      </c>
      <c r="Z403" s="104" t="str">
        <f t="shared" si="5"/>
        <v/>
      </c>
      <c r="AA403" s="112" t="b">
        <f t="shared" si="6"/>
        <v>0</v>
      </c>
      <c r="AB403" s="142" t="b">
        <v>0</v>
      </c>
      <c r="AC403" s="140">
        <v>405.0</v>
      </c>
      <c r="AD403" s="141" t="b">
        <v>0</v>
      </c>
      <c r="AE403" s="115">
        <f t="shared" si="7"/>
        <v>392.5166667</v>
      </c>
      <c r="AF403" s="116" t="b">
        <f t="shared" si="8"/>
        <v>0</v>
      </c>
      <c r="AG403" s="105" t="b">
        <f t="shared" si="9"/>
        <v>0</v>
      </c>
      <c r="AH403" s="140"/>
      <c r="AI403" s="140"/>
      <c r="AJ403" s="140"/>
      <c r="AK403" s="117" t="str">
        <f t="shared" si="10"/>
        <v>Negative</v>
      </c>
      <c r="AL403" s="142"/>
      <c r="AM403" s="112" t="s">
        <v>649</v>
      </c>
      <c r="AN403" s="112" t="s">
        <v>336</v>
      </c>
      <c r="AO403" s="112" t="str">
        <f>IFERROR(__xludf.DUMMYFUNCTION("IF($AG403, ""DELETED"",TRIM(JOIN("" "",D403:E403)))"),"")</f>
        <v/>
      </c>
      <c r="AP403" s="112" t="str">
        <f t="shared" ref="AP403:AQ403" si="428">IF($AG403, "DELETED", TRIM(CONCATENATE(F403,I403,U403)))</f>
        <v/>
      </c>
      <c r="AQ403" s="112" t="str">
        <f t="shared" si="428"/>
        <v/>
      </c>
      <c r="AR403" s="112" t="str">
        <f>IFERROR(__xludf.DUMMYFUNCTION("IF($AG403, ""DELETED"", TRIM(JOIN("" "",AP403,AQ403)))"),"")</f>
        <v/>
      </c>
      <c r="AS403" s="118"/>
      <c r="AT403" s="110" t="b">
        <f t="shared" si="12"/>
        <v>0</v>
      </c>
      <c r="AU403" s="110" t="str">
        <f t="shared" si="13"/>
        <v/>
      </c>
      <c r="AV403" s="110" t="str">
        <f t="shared" si="14"/>
        <v/>
      </c>
      <c r="AW403" s="110" t="str">
        <f t="shared" si="15"/>
        <v/>
      </c>
      <c r="AX403" s="119" t="str">
        <f t="shared" si="16"/>
        <v/>
      </c>
      <c r="AY403" s="120"/>
      <c r="AZ403" s="121"/>
      <c r="BA403" s="122" t="str">
        <f t="shared" si="17"/>
        <v/>
      </c>
      <c r="BB403" s="34"/>
      <c r="BC403" s="121"/>
      <c r="BD403" s="136"/>
      <c r="BE403" s="125" t="str">
        <f t="shared" si="18"/>
        <v/>
      </c>
      <c r="BF403" s="126" t="str">
        <f t="shared" si="19"/>
        <v>MA1064__44607_0.314224537037037</v>
      </c>
      <c r="BG403" s="127" t="str">
        <f t="shared" si="20"/>
        <v/>
      </c>
      <c r="BH403" s="137" t="s">
        <v>1252</v>
      </c>
      <c r="BI403" s="128" t="str">
        <f t="shared" si="21"/>
        <v>MA1224</v>
      </c>
      <c r="BJ403" s="129" t="b">
        <f t="shared" si="22"/>
        <v>0</v>
      </c>
      <c r="BK403" s="128" t="str">
        <f t="shared" si="23"/>
        <v/>
      </c>
      <c r="BL403" s="121"/>
      <c r="BM403" s="5" t="str">
        <f t="shared" si="24"/>
        <v>MISSING</v>
      </c>
      <c r="BN403" s="120" t="b">
        <f t="shared" si="25"/>
        <v>0</v>
      </c>
      <c r="BO403" s="131" t="b">
        <f t="shared" si="26"/>
        <v>1</v>
      </c>
      <c r="BP403" s="121"/>
      <c r="BQ403" s="132" t="str">
        <f>VLOOKUP(A403,RAW_APS!A$3:O826,15,FALSE)</f>
        <v/>
      </c>
      <c r="BR403" s="120" t="b">
        <f t="shared" si="27"/>
        <v>1</v>
      </c>
      <c r="BS403" s="121"/>
      <c r="BT403" s="138" t="s">
        <v>244</v>
      </c>
      <c r="BU403" s="10" t="b">
        <f t="shared" si="28"/>
        <v>1</v>
      </c>
      <c r="BV403" s="120"/>
      <c r="BW403" s="120"/>
      <c r="BX403" s="120"/>
      <c r="BY403" s="120"/>
      <c r="BZ403" s="120"/>
      <c r="CA403" s="120"/>
      <c r="CB403" s="120"/>
      <c r="CC403" s="120"/>
    </row>
    <row r="404">
      <c r="A404" s="2" t="s">
        <v>1253</v>
      </c>
      <c r="B404" s="100">
        <v>44607.0</v>
      </c>
      <c r="C404" s="101">
        <v>0.3147337962962963</v>
      </c>
      <c r="D404" s="102"/>
      <c r="E404" s="102"/>
      <c r="F404" s="102"/>
      <c r="G404" s="102"/>
      <c r="H404" s="102"/>
      <c r="I404" s="103"/>
      <c r="J404" s="103"/>
      <c r="K404" s="2" t="s">
        <v>244</v>
      </c>
      <c r="L404" s="100">
        <v>44607.0</v>
      </c>
      <c r="M404" s="101">
        <v>0.5868055555555556</v>
      </c>
      <c r="P404" s="104" t="b">
        <f>IFNA(IF(VLOOKUP($A404,'Add from APT'!$AA$2:$AC826,3,FALSE)&gt;0,TRUE,FALSE),"ER - NOT IN APT")</f>
        <v>0</v>
      </c>
      <c r="Q404" s="105" t="str">
        <f>IF(ISLOGICAL(P404),IF(P404,"ER - REPS IN APT", IFNA(VLOOKUP($A404,RAW_APT!$A$3:$M826,7,FALSE),"ER - NOT IN APT")),P404)</f>
        <v>Result</v>
      </c>
      <c r="R404" s="106" t="b">
        <f t="shared" si="2"/>
        <v>1</v>
      </c>
      <c r="S404" s="107">
        <f t="shared" si="3"/>
        <v>1</v>
      </c>
      <c r="T404" s="143"/>
      <c r="U404" s="142"/>
      <c r="V404" s="142"/>
      <c r="W404" s="142"/>
      <c r="X404" s="110" t="b">
        <f t="shared" si="4"/>
        <v>0</v>
      </c>
      <c r="Y404" s="111" t="b">
        <v>0</v>
      </c>
      <c r="Z404" s="104" t="str">
        <f t="shared" si="5"/>
        <v/>
      </c>
      <c r="AA404" s="112" t="b">
        <f t="shared" si="6"/>
        <v>0</v>
      </c>
      <c r="AB404" s="142" t="b">
        <v>0</v>
      </c>
      <c r="AC404" s="140">
        <v>404.0</v>
      </c>
      <c r="AD404" s="141" t="b">
        <v>0</v>
      </c>
      <c r="AE404" s="115">
        <f t="shared" si="7"/>
        <v>391.7833333</v>
      </c>
      <c r="AF404" s="116" t="b">
        <f t="shared" si="8"/>
        <v>0</v>
      </c>
      <c r="AG404" s="105" t="b">
        <f t="shared" si="9"/>
        <v>0</v>
      </c>
      <c r="AH404" s="140"/>
      <c r="AI404" s="140"/>
      <c r="AJ404" s="140"/>
      <c r="AK404" s="117" t="str">
        <f t="shared" si="10"/>
        <v>Negative</v>
      </c>
      <c r="AL404" s="142"/>
      <c r="AM404" s="112" t="s">
        <v>1254</v>
      </c>
      <c r="AN404" s="112" t="s">
        <v>1255</v>
      </c>
      <c r="AO404" s="112" t="str">
        <f>IFERROR(__xludf.DUMMYFUNCTION("IF($AG404, ""DELETED"",TRIM(JOIN("" "",D404:E404)))"),"")</f>
        <v/>
      </c>
      <c r="AP404" s="112" t="str">
        <f t="shared" ref="AP404:AQ404" si="429">IF($AG404, "DELETED", TRIM(CONCATENATE(F404,I404,U404)))</f>
        <v/>
      </c>
      <c r="AQ404" s="112" t="str">
        <f t="shared" si="429"/>
        <v/>
      </c>
      <c r="AR404" s="112" t="str">
        <f>IFERROR(__xludf.DUMMYFUNCTION("IF($AG404, ""DELETED"", TRIM(JOIN("" "",AP404,AQ404)))"),"")</f>
        <v/>
      </c>
      <c r="AS404" s="118"/>
      <c r="AT404" s="110" t="b">
        <f t="shared" si="12"/>
        <v>0</v>
      </c>
      <c r="AU404" s="110" t="str">
        <f t="shared" si="13"/>
        <v/>
      </c>
      <c r="AV404" s="110" t="str">
        <f t="shared" si="14"/>
        <v/>
      </c>
      <c r="AW404" s="110" t="str">
        <f t="shared" si="15"/>
        <v/>
      </c>
      <c r="AX404" s="119" t="str">
        <f t="shared" si="16"/>
        <v/>
      </c>
      <c r="AY404" s="120"/>
      <c r="AZ404" s="121"/>
      <c r="BA404" s="122" t="str">
        <f t="shared" si="17"/>
        <v/>
      </c>
      <c r="BB404" s="34"/>
      <c r="BC404" s="121"/>
      <c r="BD404" s="136"/>
      <c r="BE404" s="125" t="str">
        <f t="shared" si="18"/>
        <v/>
      </c>
      <c r="BF404" s="126" t="str">
        <f t="shared" si="19"/>
        <v>MA1103__44607_0.314733796296296</v>
      </c>
      <c r="BG404" s="127" t="str">
        <f t="shared" si="20"/>
        <v/>
      </c>
      <c r="BH404" s="137" t="s">
        <v>1256</v>
      </c>
      <c r="BI404" s="128" t="str">
        <f t="shared" si="21"/>
        <v>MA1225</v>
      </c>
      <c r="BJ404" s="129" t="b">
        <f t="shared" si="22"/>
        <v>0</v>
      </c>
      <c r="BK404" s="128" t="str">
        <f t="shared" si="23"/>
        <v/>
      </c>
      <c r="BL404" s="121"/>
      <c r="BM404" s="5" t="str">
        <f t="shared" si="24"/>
        <v>MISSING</v>
      </c>
      <c r="BN404" s="120" t="b">
        <f t="shared" si="25"/>
        <v>0</v>
      </c>
      <c r="BO404" s="131" t="b">
        <f t="shared" si="26"/>
        <v>1</v>
      </c>
      <c r="BP404" s="121"/>
      <c r="BQ404" s="132" t="str">
        <f>VLOOKUP(A404,RAW_APS!A$3:O826,15,FALSE)</f>
        <v/>
      </c>
      <c r="BR404" s="120" t="b">
        <f t="shared" si="27"/>
        <v>1</v>
      </c>
      <c r="BS404" s="121"/>
      <c r="BT404" s="138" t="s">
        <v>244</v>
      </c>
      <c r="BU404" s="10" t="b">
        <f t="shared" si="28"/>
        <v>1</v>
      </c>
      <c r="BV404" s="120"/>
      <c r="BW404" s="120"/>
      <c r="BX404" s="120"/>
      <c r="BY404" s="120"/>
      <c r="BZ404" s="120"/>
      <c r="CA404" s="120"/>
      <c r="CB404" s="120"/>
      <c r="CC404" s="120"/>
    </row>
    <row r="405">
      <c r="A405" s="2" t="s">
        <v>1257</v>
      </c>
      <c r="B405" s="100">
        <v>44607.0</v>
      </c>
      <c r="C405" s="101">
        <v>0.31958333333333333</v>
      </c>
      <c r="D405" s="102"/>
      <c r="E405" s="102"/>
      <c r="F405" s="102"/>
      <c r="G405" s="102"/>
      <c r="H405" s="102"/>
      <c r="I405" s="103"/>
      <c r="J405" s="103"/>
      <c r="K405" s="2" t="s">
        <v>244</v>
      </c>
      <c r="L405" s="100">
        <v>44607.0</v>
      </c>
      <c r="M405" s="101">
        <v>0.5868055555555556</v>
      </c>
      <c r="P405" s="104" t="b">
        <f>IFNA(IF(VLOOKUP($A405,'Add from APT'!$AA$2:$AC826,3,FALSE)&gt;0,TRUE,FALSE),"ER - NOT IN APT")</f>
        <v>0</v>
      </c>
      <c r="Q405" s="105" t="str">
        <f>IF(ISLOGICAL(P405),IF(P405,"ER - REPS IN APT", IFNA(VLOOKUP($A405,RAW_APT!$A$3:$M826,7,FALSE),"ER - NOT IN APT")),P405)</f>
        <v>Result</v>
      </c>
      <c r="R405" s="106" t="b">
        <f t="shared" si="2"/>
        <v>1</v>
      </c>
      <c r="S405" s="107">
        <f t="shared" si="3"/>
        <v>1</v>
      </c>
      <c r="T405" s="143"/>
      <c r="U405" s="142"/>
      <c r="V405" s="142"/>
      <c r="W405" s="142"/>
      <c r="X405" s="110" t="b">
        <f t="shared" si="4"/>
        <v>0</v>
      </c>
      <c r="Y405" s="111" t="b">
        <v>0</v>
      </c>
      <c r="Z405" s="104" t="str">
        <f t="shared" si="5"/>
        <v/>
      </c>
      <c r="AA405" s="112" t="b">
        <f t="shared" si="6"/>
        <v>0</v>
      </c>
      <c r="AB405" s="142" t="b">
        <v>0</v>
      </c>
      <c r="AC405" s="140">
        <v>403.0</v>
      </c>
      <c r="AD405" s="141" t="b">
        <v>0</v>
      </c>
      <c r="AE405" s="115">
        <f t="shared" si="7"/>
        <v>384.8</v>
      </c>
      <c r="AF405" s="116" t="b">
        <f t="shared" si="8"/>
        <v>0</v>
      </c>
      <c r="AG405" s="105" t="b">
        <f t="shared" si="9"/>
        <v>0</v>
      </c>
      <c r="AH405" s="140"/>
      <c r="AI405" s="140"/>
      <c r="AJ405" s="140"/>
      <c r="AK405" s="117" t="str">
        <f t="shared" si="10"/>
        <v>Negative</v>
      </c>
      <c r="AL405" s="142"/>
      <c r="AM405" s="112" t="s">
        <v>875</v>
      </c>
      <c r="AN405" s="112" t="s">
        <v>876</v>
      </c>
      <c r="AO405" s="112" t="str">
        <f>IFERROR(__xludf.DUMMYFUNCTION("IF($AG405, ""DELETED"",TRIM(JOIN("" "",D405:E405)))"),"")</f>
        <v/>
      </c>
      <c r="AP405" s="112" t="str">
        <f t="shared" ref="AP405:AQ405" si="430">IF($AG405, "DELETED", TRIM(CONCATENATE(F405,I405,U405)))</f>
        <v/>
      </c>
      <c r="AQ405" s="112" t="str">
        <f t="shared" si="430"/>
        <v/>
      </c>
      <c r="AR405" s="112" t="str">
        <f>IFERROR(__xludf.DUMMYFUNCTION("IF($AG405, ""DELETED"", TRIM(JOIN("" "",AP405,AQ405)))"),"")</f>
        <v/>
      </c>
      <c r="AS405" s="118"/>
      <c r="AT405" s="110" t="b">
        <f t="shared" si="12"/>
        <v>0</v>
      </c>
      <c r="AU405" s="110" t="str">
        <f t="shared" si="13"/>
        <v/>
      </c>
      <c r="AV405" s="110" t="str">
        <f t="shared" si="14"/>
        <v/>
      </c>
      <c r="AW405" s="110" t="str">
        <f t="shared" si="15"/>
        <v/>
      </c>
      <c r="AX405" s="119" t="str">
        <f t="shared" si="16"/>
        <v/>
      </c>
      <c r="AY405" s="120"/>
      <c r="AZ405" s="121"/>
      <c r="BA405" s="122" t="str">
        <f t="shared" si="17"/>
        <v/>
      </c>
      <c r="BB405" s="34"/>
      <c r="BC405" s="121"/>
      <c r="BD405" s="136"/>
      <c r="BE405" s="125" t="str">
        <f t="shared" si="18"/>
        <v/>
      </c>
      <c r="BF405" s="126" t="str">
        <f t="shared" si="19"/>
        <v>MA1259__44607_0.319583333333333</v>
      </c>
      <c r="BG405" s="127" t="str">
        <f t="shared" si="20"/>
        <v/>
      </c>
      <c r="BH405" s="137" t="s">
        <v>1258</v>
      </c>
      <c r="BI405" s="128" t="str">
        <f t="shared" si="21"/>
        <v>MA1227</v>
      </c>
      <c r="BJ405" s="129" t="b">
        <f t="shared" si="22"/>
        <v>0</v>
      </c>
      <c r="BK405" s="128" t="str">
        <f t="shared" si="23"/>
        <v/>
      </c>
      <c r="BL405" s="121"/>
      <c r="BM405" s="5" t="str">
        <f t="shared" si="24"/>
        <v>MISSING</v>
      </c>
      <c r="BN405" s="120" t="b">
        <f t="shared" si="25"/>
        <v>0</v>
      </c>
      <c r="BO405" s="131" t="b">
        <f t="shared" si="26"/>
        <v>1</v>
      </c>
      <c r="BP405" s="121"/>
      <c r="BQ405" s="132" t="str">
        <f>VLOOKUP(A405,RAW_APS!A$3:O826,15,FALSE)</f>
        <v/>
      </c>
      <c r="BR405" s="120" t="b">
        <f t="shared" si="27"/>
        <v>1</v>
      </c>
      <c r="BS405" s="121"/>
      <c r="BT405" s="138" t="s">
        <v>244</v>
      </c>
      <c r="BU405" s="10" t="b">
        <f t="shared" si="28"/>
        <v>1</v>
      </c>
      <c r="BV405" s="120"/>
      <c r="BW405" s="120"/>
      <c r="BX405" s="120"/>
      <c r="BY405" s="120"/>
      <c r="BZ405" s="120"/>
      <c r="CA405" s="120"/>
      <c r="CB405" s="120"/>
      <c r="CC405" s="120"/>
    </row>
    <row r="406">
      <c r="A406" s="2" t="s">
        <v>1259</v>
      </c>
      <c r="B406" s="100">
        <v>44607.0</v>
      </c>
      <c r="C406" s="101">
        <v>0.32024305555555554</v>
      </c>
      <c r="D406" s="102"/>
      <c r="E406" s="102"/>
      <c r="F406" s="102"/>
      <c r="G406" s="102"/>
      <c r="H406" s="102"/>
      <c r="I406" s="103"/>
      <c r="J406" s="103"/>
      <c r="K406" s="2" t="s">
        <v>244</v>
      </c>
      <c r="L406" s="100">
        <v>44607.0</v>
      </c>
      <c r="M406" s="101">
        <v>0.5868055555555556</v>
      </c>
      <c r="P406" s="104" t="b">
        <f>IFNA(IF(VLOOKUP($A406,'Add from APT'!$AA$2:$AC826,3,FALSE)&gt;0,TRUE,FALSE),"ER - NOT IN APT")</f>
        <v>0</v>
      </c>
      <c r="Q406" s="105" t="str">
        <f>IF(ISLOGICAL(P406),IF(P406,"ER - REPS IN APT", IFNA(VLOOKUP($A406,RAW_APT!$A$3:$M826,7,FALSE),"ER - NOT IN APT")),P406)</f>
        <v>Result</v>
      </c>
      <c r="R406" s="106" t="b">
        <f t="shared" si="2"/>
        <v>1</v>
      </c>
      <c r="S406" s="107">
        <f t="shared" si="3"/>
        <v>1</v>
      </c>
      <c r="T406" s="143"/>
      <c r="U406" s="142"/>
      <c r="V406" s="142"/>
      <c r="W406" s="142"/>
      <c r="X406" s="110" t="b">
        <f t="shared" si="4"/>
        <v>0</v>
      </c>
      <c r="Y406" s="111" t="b">
        <v>0</v>
      </c>
      <c r="Z406" s="104" t="str">
        <f t="shared" si="5"/>
        <v/>
      </c>
      <c r="AA406" s="112" t="b">
        <f t="shared" si="6"/>
        <v>0</v>
      </c>
      <c r="AB406" s="142" t="b">
        <v>0</v>
      </c>
      <c r="AC406" s="140">
        <v>402.0</v>
      </c>
      <c r="AD406" s="141" t="b">
        <v>0</v>
      </c>
      <c r="AE406" s="115">
        <f t="shared" si="7"/>
        <v>383.85</v>
      </c>
      <c r="AF406" s="116" t="b">
        <f t="shared" si="8"/>
        <v>0</v>
      </c>
      <c r="AG406" s="105" t="b">
        <f t="shared" si="9"/>
        <v>0</v>
      </c>
      <c r="AH406" s="140"/>
      <c r="AI406" s="140"/>
      <c r="AJ406" s="140"/>
      <c r="AK406" s="117" t="str">
        <f t="shared" si="10"/>
        <v>Negative</v>
      </c>
      <c r="AL406" s="142"/>
      <c r="AM406" s="112" t="s">
        <v>1260</v>
      </c>
      <c r="AN406" s="112" t="s">
        <v>1261</v>
      </c>
      <c r="AO406" s="112" t="str">
        <f>IFERROR(__xludf.DUMMYFUNCTION("IF($AG406, ""DELETED"",TRIM(JOIN("" "",D406:E406)))"),"")</f>
        <v/>
      </c>
      <c r="AP406" s="112" t="str">
        <f t="shared" ref="AP406:AQ406" si="431">IF($AG406, "DELETED", TRIM(CONCATENATE(F406,I406,U406)))</f>
        <v/>
      </c>
      <c r="AQ406" s="112" t="str">
        <f t="shared" si="431"/>
        <v/>
      </c>
      <c r="AR406" s="112" t="str">
        <f>IFERROR(__xludf.DUMMYFUNCTION("IF($AG406, ""DELETED"", TRIM(JOIN("" "",AP406,AQ406)))"),"")</f>
        <v/>
      </c>
      <c r="AS406" s="118"/>
      <c r="AT406" s="110" t="b">
        <f t="shared" si="12"/>
        <v>0</v>
      </c>
      <c r="AU406" s="110" t="str">
        <f t="shared" si="13"/>
        <v/>
      </c>
      <c r="AV406" s="110" t="str">
        <f t="shared" si="14"/>
        <v/>
      </c>
      <c r="AW406" s="110" t="str">
        <f t="shared" si="15"/>
        <v/>
      </c>
      <c r="AX406" s="119" t="str">
        <f t="shared" si="16"/>
        <v/>
      </c>
      <c r="AY406" s="120"/>
      <c r="AZ406" s="121"/>
      <c r="BA406" s="122" t="str">
        <f t="shared" si="17"/>
        <v/>
      </c>
      <c r="BB406" s="34"/>
      <c r="BC406" s="121"/>
      <c r="BD406" s="136"/>
      <c r="BE406" s="125" t="str">
        <f t="shared" si="18"/>
        <v/>
      </c>
      <c r="BF406" s="126" t="str">
        <f t="shared" si="19"/>
        <v>MA1261__44607_0.320243055555556</v>
      </c>
      <c r="BG406" s="127" t="str">
        <f t="shared" si="20"/>
        <v/>
      </c>
      <c r="BH406" s="137" t="s">
        <v>1262</v>
      </c>
      <c r="BI406" s="128" t="str">
        <f t="shared" si="21"/>
        <v>MA1228</v>
      </c>
      <c r="BJ406" s="129" t="b">
        <f t="shared" si="22"/>
        <v>0</v>
      </c>
      <c r="BK406" s="128" t="str">
        <f t="shared" si="23"/>
        <v/>
      </c>
      <c r="BL406" s="121"/>
      <c r="BM406" s="5" t="str">
        <f t="shared" si="24"/>
        <v>MISSING</v>
      </c>
      <c r="BN406" s="120" t="b">
        <f t="shared" si="25"/>
        <v>0</v>
      </c>
      <c r="BO406" s="131" t="b">
        <f t="shared" si="26"/>
        <v>1</v>
      </c>
      <c r="BP406" s="121"/>
      <c r="BQ406" s="132" t="str">
        <f>VLOOKUP(A406,RAW_APS!A$3:O826,15,FALSE)</f>
        <v/>
      </c>
      <c r="BR406" s="120" t="b">
        <f t="shared" si="27"/>
        <v>1</v>
      </c>
      <c r="BS406" s="121"/>
      <c r="BT406" s="138" t="s">
        <v>244</v>
      </c>
      <c r="BU406" s="10" t="b">
        <f t="shared" si="28"/>
        <v>1</v>
      </c>
      <c r="BV406" s="120"/>
      <c r="BW406" s="120"/>
      <c r="BX406" s="120"/>
      <c r="BY406" s="120"/>
      <c r="BZ406" s="120"/>
      <c r="CA406" s="120"/>
      <c r="CB406" s="120"/>
      <c r="CC406" s="120"/>
    </row>
    <row r="407">
      <c r="A407" s="2" t="s">
        <v>1263</v>
      </c>
      <c r="B407" s="100">
        <v>44607.0</v>
      </c>
      <c r="C407" s="101">
        <v>0.32314814814814813</v>
      </c>
      <c r="D407" s="102"/>
      <c r="E407" s="102"/>
      <c r="F407" s="102"/>
      <c r="G407" s="102"/>
      <c r="H407" s="102"/>
      <c r="I407" s="103"/>
      <c r="J407" s="103"/>
      <c r="K407" s="2" t="s">
        <v>244</v>
      </c>
      <c r="L407" s="100">
        <v>44607.0</v>
      </c>
      <c r="M407" s="101">
        <v>0.5868055555555556</v>
      </c>
      <c r="P407" s="104" t="b">
        <f>IFNA(IF(VLOOKUP($A407,'Add from APT'!$AA$2:$AC826,3,FALSE)&gt;0,TRUE,FALSE),"ER - NOT IN APT")</f>
        <v>0</v>
      </c>
      <c r="Q407" s="105" t="str">
        <f>IF(ISLOGICAL(P407),IF(P407,"ER - REPS IN APT", IFNA(VLOOKUP($A407,RAW_APT!$A$3:$M826,7,FALSE),"ER - NOT IN APT")),P407)</f>
        <v>Result</v>
      </c>
      <c r="R407" s="106" t="b">
        <f t="shared" si="2"/>
        <v>1</v>
      </c>
      <c r="S407" s="107">
        <f t="shared" si="3"/>
        <v>1</v>
      </c>
      <c r="T407" s="143"/>
      <c r="U407" s="142"/>
      <c r="V407" s="142"/>
      <c r="W407" s="142"/>
      <c r="X407" s="110" t="b">
        <f t="shared" si="4"/>
        <v>0</v>
      </c>
      <c r="Y407" s="111" t="b">
        <v>0</v>
      </c>
      <c r="Z407" s="104" t="str">
        <f t="shared" si="5"/>
        <v/>
      </c>
      <c r="AA407" s="112" t="b">
        <f t="shared" si="6"/>
        <v>0</v>
      </c>
      <c r="AB407" s="142" t="b">
        <v>0</v>
      </c>
      <c r="AC407" s="140">
        <v>401.0</v>
      </c>
      <c r="AD407" s="141" t="b">
        <v>0</v>
      </c>
      <c r="AE407" s="115">
        <f t="shared" si="7"/>
        <v>379.6666667</v>
      </c>
      <c r="AF407" s="116" t="b">
        <f t="shared" si="8"/>
        <v>0</v>
      </c>
      <c r="AG407" s="105" t="b">
        <f t="shared" si="9"/>
        <v>0</v>
      </c>
      <c r="AH407" s="140"/>
      <c r="AI407" s="140"/>
      <c r="AJ407" s="140"/>
      <c r="AK407" s="117" t="str">
        <f t="shared" si="10"/>
        <v>Negative</v>
      </c>
      <c r="AL407" s="142"/>
      <c r="AM407" s="112" t="s">
        <v>465</v>
      </c>
      <c r="AN407" s="112" t="s">
        <v>466</v>
      </c>
      <c r="AO407" s="112" t="str">
        <f>IFERROR(__xludf.DUMMYFUNCTION("IF($AG407, ""DELETED"",TRIM(JOIN("" "",D407:E407)))"),"")</f>
        <v/>
      </c>
      <c r="AP407" s="112" t="str">
        <f t="shared" ref="AP407:AQ407" si="432">IF($AG407, "DELETED", TRIM(CONCATENATE(F407,I407,U407)))</f>
        <v/>
      </c>
      <c r="AQ407" s="112" t="str">
        <f t="shared" si="432"/>
        <v/>
      </c>
      <c r="AR407" s="112" t="str">
        <f>IFERROR(__xludf.DUMMYFUNCTION("IF($AG407, ""DELETED"", TRIM(JOIN("" "",AP407,AQ407)))"),"")</f>
        <v/>
      </c>
      <c r="AS407" s="118"/>
      <c r="AT407" s="110" t="b">
        <f t="shared" si="12"/>
        <v>0</v>
      </c>
      <c r="AU407" s="110" t="str">
        <f t="shared" si="13"/>
        <v/>
      </c>
      <c r="AV407" s="110" t="str">
        <f t="shared" si="14"/>
        <v/>
      </c>
      <c r="AW407" s="110" t="str">
        <f t="shared" si="15"/>
        <v/>
      </c>
      <c r="AX407" s="119" t="str">
        <f t="shared" si="16"/>
        <v/>
      </c>
      <c r="AY407" s="120"/>
      <c r="AZ407" s="121"/>
      <c r="BA407" s="122" t="str">
        <f t="shared" si="17"/>
        <v/>
      </c>
      <c r="BB407" s="34"/>
      <c r="BC407" s="121"/>
      <c r="BD407" s="136"/>
      <c r="BE407" s="125" t="str">
        <f t="shared" si="18"/>
        <v/>
      </c>
      <c r="BF407" s="126" t="str">
        <f t="shared" si="19"/>
        <v>FM513__44607_0.323148148148148</v>
      </c>
      <c r="BG407" s="127" t="str">
        <f t="shared" si="20"/>
        <v/>
      </c>
      <c r="BH407" s="137" t="s">
        <v>1264</v>
      </c>
      <c r="BI407" s="128" t="str">
        <f t="shared" si="21"/>
        <v>MA1229</v>
      </c>
      <c r="BJ407" s="129" t="b">
        <f t="shared" si="22"/>
        <v>0</v>
      </c>
      <c r="BK407" s="128" t="str">
        <f t="shared" si="23"/>
        <v/>
      </c>
      <c r="BL407" s="121"/>
      <c r="BM407" s="5" t="str">
        <f t="shared" si="24"/>
        <v>MISSING</v>
      </c>
      <c r="BN407" s="120" t="b">
        <f t="shared" si="25"/>
        <v>0</v>
      </c>
      <c r="BO407" s="131" t="b">
        <f t="shared" si="26"/>
        <v>1</v>
      </c>
      <c r="BP407" s="121"/>
      <c r="BQ407" s="132" t="str">
        <f>VLOOKUP(A407,RAW_APS!A$3:O826,15,FALSE)</f>
        <v/>
      </c>
      <c r="BR407" s="120" t="b">
        <f t="shared" si="27"/>
        <v>1</v>
      </c>
      <c r="BS407" s="121"/>
      <c r="BT407" s="138" t="s">
        <v>244</v>
      </c>
      <c r="BU407" s="10" t="b">
        <f t="shared" si="28"/>
        <v>1</v>
      </c>
      <c r="BV407" s="120"/>
      <c r="BW407" s="120"/>
      <c r="BX407" s="120"/>
      <c r="BY407" s="120"/>
      <c r="BZ407" s="120"/>
      <c r="CA407" s="120"/>
      <c r="CB407" s="120"/>
      <c r="CC407" s="120"/>
    </row>
    <row r="408">
      <c r="A408" s="2" t="s">
        <v>1265</v>
      </c>
      <c r="B408" s="100">
        <v>44607.0</v>
      </c>
      <c r="C408" s="101">
        <v>0.32350694444444444</v>
      </c>
      <c r="D408" s="102"/>
      <c r="E408" s="102"/>
      <c r="F408" s="102"/>
      <c r="G408" s="102"/>
      <c r="H408" s="102"/>
      <c r="I408" s="103"/>
      <c r="J408" s="103"/>
      <c r="K408" s="2" t="s">
        <v>244</v>
      </c>
      <c r="L408" s="100">
        <v>44607.0</v>
      </c>
      <c r="M408" s="101">
        <v>0.5868055555555556</v>
      </c>
      <c r="P408" s="104" t="b">
        <f>IFNA(IF(VLOOKUP($A408,'Add from APT'!$AA$2:$AC826,3,FALSE)&gt;0,TRUE,FALSE),"ER - NOT IN APT")</f>
        <v>0</v>
      </c>
      <c r="Q408" s="105" t="str">
        <f>IF(ISLOGICAL(P408),IF(P408,"ER - REPS IN APT", IFNA(VLOOKUP($A408,RAW_APT!$A$3:$M826,7,FALSE),"ER - NOT IN APT")),P408)</f>
        <v>Result</v>
      </c>
      <c r="R408" s="106" t="b">
        <f t="shared" si="2"/>
        <v>1</v>
      </c>
      <c r="S408" s="107">
        <f t="shared" si="3"/>
        <v>1</v>
      </c>
      <c r="T408" s="143"/>
      <c r="U408" s="142"/>
      <c r="V408" s="142"/>
      <c r="W408" s="142"/>
      <c r="X408" s="110" t="b">
        <f t="shared" si="4"/>
        <v>0</v>
      </c>
      <c r="Y408" s="111" t="b">
        <v>0</v>
      </c>
      <c r="Z408" s="104" t="str">
        <f t="shared" si="5"/>
        <v/>
      </c>
      <c r="AA408" s="112" t="b">
        <f t="shared" si="6"/>
        <v>0</v>
      </c>
      <c r="AB408" s="142" t="b">
        <v>0</v>
      </c>
      <c r="AC408" s="140">
        <v>400.0</v>
      </c>
      <c r="AD408" s="141" t="b">
        <v>0</v>
      </c>
      <c r="AE408" s="115">
        <f t="shared" si="7"/>
        <v>379.15</v>
      </c>
      <c r="AF408" s="116" t="b">
        <f t="shared" si="8"/>
        <v>0</v>
      </c>
      <c r="AG408" s="105" t="b">
        <f t="shared" si="9"/>
        <v>0</v>
      </c>
      <c r="AH408" s="140"/>
      <c r="AI408" s="140"/>
      <c r="AJ408" s="140"/>
      <c r="AK408" s="117" t="str">
        <f t="shared" si="10"/>
        <v>Negative</v>
      </c>
      <c r="AL408" s="142"/>
      <c r="AM408" s="112" t="s">
        <v>793</v>
      </c>
      <c r="AN408" s="112" t="s">
        <v>836</v>
      </c>
      <c r="AO408" s="112" t="str">
        <f>IFERROR(__xludf.DUMMYFUNCTION("IF($AG408, ""DELETED"",TRIM(JOIN("" "",D408:E408)))"),"")</f>
        <v/>
      </c>
      <c r="AP408" s="112" t="str">
        <f t="shared" ref="AP408:AQ408" si="433">IF($AG408, "DELETED", TRIM(CONCATENATE(F408,I408,U408)))</f>
        <v/>
      </c>
      <c r="AQ408" s="112" t="str">
        <f t="shared" si="433"/>
        <v/>
      </c>
      <c r="AR408" s="112" t="str">
        <f>IFERROR(__xludf.DUMMYFUNCTION("IF($AG408, ""DELETED"", TRIM(JOIN("" "",AP408,AQ408)))"),"")</f>
        <v/>
      </c>
      <c r="AS408" s="118"/>
      <c r="AT408" s="110" t="b">
        <f t="shared" si="12"/>
        <v>0</v>
      </c>
      <c r="AU408" s="110" t="str">
        <f t="shared" si="13"/>
        <v/>
      </c>
      <c r="AV408" s="110" t="str">
        <f t="shared" si="14"/>
        <v/>
      </c>
      <c r="AW408" s="110" t="str">
        <f t="shared" si="15"/>
        <v/>
      </c>
      <c r="AX408" s="119" t="str">
        <f t="shared" si="16"/>
        <v/>
      </c>
      <c r="AY408" s="120"/>
      <c r="AZ408" s="121"/>
      <c r="BA408" s="122" t="str">
        <f t="shared" si="17"/>
        <v/>
      </c>
      <c r="BB408" s="34"/>
      <c r="BC408" s="121"/>
      <c r="BD408" s="136"/>
      <c r="BE408" s="125" t="str">
        <f t="shared" si="18"/>
        <v/>
      </c>
      <c r="BF408" s="126" t="str">
        <f t="shared" si="19"/>
        <v>MA296__44607_0.323506944444444</v>
      </c>
      <c r="BG408" s="127" t="str">
        <f t="shared" si="20"/>
        <v/>
      </c>
      <c r="BH408" s="137" t="s">
        <v>1266</v>
      </c>
      <c r="BI408" s="128" t="str">
        <f t="shared" si="21"/>
        <v>MA1230</v>
      </c>
      <c r="BJ408" s="129" t="b">
        <f t="shared" si="22"/>
        <v>0</v>
      </c>
      <c r="BK408" s="128" t="str">
        <f t="shared" si="23"/>
        <v/>
      </c>
      <c r="BL408" s="121"/>
      <c r="BM408" s="5" t="str">
        <f t="shared" si="24"/>
        <v>MISSING</v>
      </c>
      <c r="BN408" s="120" t="b">
        <f t="shared" si="25"/>
        <v>0</v>
      </c>
      <c r="BO408" s="131" t="b">
        <f t="shared" si="26"/>
        <v>1</v>
      </c>
      <c r="BP408" s="121"/>
      <c r="BQ408" s="132" t="str">
        <f>VLOOKUP(A408,RAW_APS!A$3:O826,15,FALSE)</f>
        <v/>
      </c>
      <c r="BR408" s="120" t="b">
        <f t="shared" si="27"/>
        <v>1</v>
      </c>
      <c r="BS408" s="121"/>
      <c r="BT408" s="138" t="s">
        <v>244</v>
      </c>
      <c r="BU408" s="10" t="b">
        <f t="shared" si="28"/>
        <v>1</v>
      </c>
      <c r="BV408" s="120"/>
      <c r="BW408" s="120"/>
      <c r="BX408" s="120"/>
      <c r="BY408" s="120"/>
      <c r="BZ408" s="120"/>
      <c r="CA408" s="120"/>
      <c r="CB408" s="120"/>
      <c r="CC408" s="120"/>
    </row>
    <row r="409">
      <c r="A409" s="2" t="s">
        <v>1267</v>
      </c>
      <c r="B409" s="100">
        <v>44607.0</v>
      </c>
      <c r="C409" s="101">
        <v>0.3248726851851852</v>
      </c>
      <c r="D409" s="102"/>
      <c r="E409" s="102"/>
      <c r="F409" s="102"/>
      <c r="G409" s="102"/>
      <c r="H409" s="102"/>
      <c r="I409" s="103"/>
      <c r="J409" s="103"/>
      <c r="K409" s="2" t="s">
        <v>244</v>
      </c>
      <c r="L409" s="100">
        <v>44607.0</v>
      </c>
      <c r="M409" s="101">
        <v>0.5868055555555556</v>
      </c>
      <c r="P409" s="104" t="b">
        <f>IFNA(IF(VLOOKUP($A409,'Add from APT'!$AA$2:$AC826,3,FALSE)&gt;0,TRUE,FALSE),"ER - NOT IN APT")</f>
        <v>0</v>
      </c>
      <c r="Q409" s="105" t="str">
        <f>IF(ISLOGICAL(P409),IF(P409,"ER - REPS IN APT", IFNA(VLOOKUP($A409,RAW_APT!$A$3:$M826,7,FALSE),"ER - NOT IN APT")),P409)</f>
        <v>Result</v>
      </c>
      <c r="R409" s="106" t="b">
        <f t="shared" si="2"/>
        <v>1</v>
      </c>
      <c r="S409" s="107">
        <f t="shared" si="3"/>
        <v>1</v>
      </c>
      <c r="T409" s="143"/>
      <c r="U409" s="142"/>
      <c r="V409" s="142"/>
      <c r="W409" s="142"/>
      <c r="X409" s="110" t="b">
        <f t="shared" si="4"/>
        <v>0</v>
      </c>
      <c r="Y409" s="111" t="b">
        <v>0</v>
      </c>
      <c r="Z409" s="104" t="str">
        <f t="shared" si="5"/>
        <v/>
      </c>
      <c r="AA409" s="112" t="b">
        <f t="shared" si="6"/>
        <v>0</v>
      </c>
      <c r="AB409" s="142" t="b">
        <v>0</v>
      </c>
      <c r="AC409" s="140">
        <v>399.0</v>
      </c>
      <c r="AD409" s="141" t="b">
        <v>0</v>
      </c>
      <c r="AE409" s="115">
        <f t="shared" si="7"/>
        <v>377.1833333</v>
      </c>
      <c r="AF409" s="116" t="b">
        <f t="shared" si="8"/>
        <v>0</v>
      </c>
      <c r="AG409" s="105" t="b">
        <f t="shared" si="9"/>
        <v>0</v>
      </c>
      <c r="AH409" s="140"/>
      <c r="AI409" s="140"/>
      <c r="AJ409" s="140"/>
      <c r="AK409" s="117" t="str">
        <f t="shared" si="10"/>
        <v>Negative</v>
      </c>
      <c r="AL409" s="142"/>
      <c r="AM409" s="112" t="s">
        <v>471</v>
      </c>
      <c r="AN409" s="112" t="s">
        <v>472</v>
      </c>
      <c r="AO409" s="112" t="str">
        <f>IFERROR(__xludf.DUMMYFUNCTION("IF($AG409, ""DELETED"",TRIM(JOIN("" "",D409:E409)))"),"")</f>
        <v/>
      </c>
      <c r="AP409" s="112" t="str">
        <f t="shared" ref="AP409:AQ409" si="434">IF($AG409, "DELETED", TRIM(CONCATENATE(F409,I409,U409)))</f>
        <v/>
      </c>
      <c r="AQ409" s="112" t="str">
        <f t="shared" si="434"/>
        <v/>
      </c>
      <c r="AR409" s="112" t="str">
        <f>IFERROR(__xludf.DUMMYFUNCTION("IF($AG409, ""DELETED"", TRIM(JOIN("" "",AP409,AQ409)))"),"")</f>
        <v/>
      </c>
      <c r="AS409" s="118"/>
      <c r="AT409" s="110" t="b">
        <f t="shared" si="12"/>
        <v>0</v>
      </c>
      <c r="AU409" s="110" t="str">
        <f t="shared" si="13"/>
        <v/>
      </c>
      <c r="AV409" s="110" t="str">
        <f t="shared" si="14"/>
        <v/>
      </c>
      <c r="AW409" s="110" t="str">
        <f t="shared" si="15"/>
        <v/>
      </c>
      <c r="AX409" s="119" t="str">
        <f t="shared" si="16"/>
        <v/>
      </c>
      <c r="AY409" s="120"/>
      <c r="AZ409" s="121"/>
      <c r="BA409" s="122" t="str">
        <f t="shared" si="17"/>
        <v/>
      </c>
      <c r="BB409" s="34"/>
      <c r="BC409" s="121"/>
      <c r="BD409" s="136"/>
      <c r="BE409" s="125" t="str">
        <f t="shared" si="18"/>
        <v/>
      </c>
      <c r="BF409" s="126" t="str">
        <f t="shared" si="19"/>
        <v>MAX135__44607_0.324872685185185</v>
      </c>
      <c r="BG409" s="127" t="str">
        <f t="shared" si="20"/>
        <v/>
      </c>
      <c r="BH409" s="137" t="s">
        <v>1268</v>
      </c>
      <c r="BI409" s="128" t="str">
        <f t="shared" si="21"/>
        <v>MA1231</v>
      </c>
      <c r="BJ409" s="129" t="b">
        <f t="shared" si="22"/>
        <v>0</v>
      </c>
      <c r="BK409" s="128" t="str">
        <f t="shared" si="23"/>
        <v/>
      </c>
      <c r="BL409" s="121"/>
      <c r="BM409" s="5" t="str">
        <f t="shared" si="24"/>
        <v>MISSING</v>
      </c>
      <c r="BN409" s="120" t="b">
        <f t="shared" si="25"/>
        <v>0</v>
      </c>
      <c r="BO409" s="131" t="b">
        <f t="shared" si="26"/>
        <v>1</v>
      </c>
      <c r="BP409" s="121"/>
      <c r="BQ409" s="132" t="str">
        <f>VLOOKUP(A409,RAW_APS!A$3:O826,15,FALSE)</f>
        <v/>
      </c>
      <c r="BR409" s="120" t="b">
        <f t="shared" si="27"/>
        <v>1</v>
      </c>
      <c r="BS409" s="121"/>
      <c r="BT409" s="138" t="s">
        <v>244</v>
      </c>
      <c r="BU409" s="10" t="b">
        <f t="shared" si="28"/>
        <v>1</v>
      </c>
      <c r="BV409" s="120"/>
      <c r="BW409" s="120"/>
      <c r="BX409" s="120"/>
      <c r="BY409" s="120"/>
      <c r="BZ409" s="120"/>
      <c r="CA409" s="120"/>
      <c r="CB409" s="120"/>
      <c r="CC409" s="120"/>
    </row>
    <row r="410">
      <c r="A410" s="2" t="s">
        <v>1269</v>
      </c>
      <c r="B410" s="100">
        <v>44607.0</v>
      </c>
      <c r="C410" s="101">
        <v>0.32538194444444446</v>
      </c>
      <c r="D410" s="102"/>
      <c r="E410" s="102"/>
      <c r="F410" s="102"/>
      <c r="G410" s="102"/>
      <c r="H410" s="102"/>
      <c r="I410" s="103"/>
      <c r="J410" s="103"/>
      <c r="K410" s="2" t="s">
        <v>244</v>
      </c>
      <c r="L410" s="100">
        <v>44607.0</v>
      </c>
      <c r="M410" s="101">
        <v>0.5868055555555556</v>
      </c>
      <c r="P410" s="104" t="b">
        <f>IFNA(IF(VLOOKUP($A410,'Add from APT'!$AA$2:$AC826,3,FALSE)&gt;0,TRUE,FALSE),"ER - NOT IN APT")</f>
        <v>0</v>
      </c>
      <c r="Q410" s="105" t="str">
        <f>IF(ISLOGICAL(P410),IF(P410,"ER - REPS IN APT", IFNA(VLOOKUP($A410,RAW_APT!$A$3:$M826,7,FALSE),"ER - NOT IN APT")),P410)</f>
        <v>Result</v>
      </c>
      <c r="R410" s="106" t="b">
        <f t="shared" si="2"/>
        <v>1</v>
      </c>
      <c r="S410" s="107">
        <f t="shared" si="3"/>
        <v>1</v>
      </c>
      <c r="T410" s="143"/>
      <c r="U410" s="142"/>
      <c r="V410" s="142"/>
      <c r="W410" s="142"/>
      <c r="X410" s="110" t="b">
        <f t="shared" si="4"/>
        <v>0</v>
      </c>
      <c r="Y410" s="111" t="b">
        <v>0</v>
      </c>
      <c r="Z410" s="104" t="str">
        <f t="shared" si="5"/>
        <v/>
      </c>
      <c r="AA410" s="112" t="b">
        <f t="shared" si="6"/>
        <v>0</v>
      </c>
      <c r="AB410" s="142" t="b">
        <v>0</v>
      </c>
      <c r="AC410" s="140">
        <v>398.0</v>
      </c>
      <c r="AD410" s="141" t="b">
        <v>0</v>
      </c>
      <c r="AE410" s="115">
        <f t="shared" si="7"/>
        <v>376.45</v>
      </c>
      <c r="AF410" s="116" t="b">
        <f t="shared" si="8"/>
        <v>0</v>
      </c>
      <c r="AG410" s="105" t="b">
        <f t="shared" si="9"/>
        <v>0</v>
      </c>
      <c r="AH410" s="140"/>
      <c r="AI410" s="140"/>
      <c r="AJ410" s="140"/>
      <c r="AK410" s="117" t="str">
        <f t="shared" si="10"/>
        <v>Negative</v>
      </c>
      <c r="AL410" s="142"/>
      <c r="AM410" s="112" t="s">
        <v>1270</v>
      </c>
      <c r="AN410" s="112" t="s">
        <v>1271</v>
      </c>
      <c r="AO410" s="112" t="str">
        <f>IFERROR(__xludf.DUMMYFUNCTION("IF($AG410, ""DELETED"",TRIM(JOIN("" "",D410:E410)))"),"")</f>
        <v/>
      </c>
      <c r="AP410" s="112" t="str">
        <f t="shared" ref="AP410:AQ410" si="435">IF($AG410, "DELETED", TRIM(CONCATENATE(F410,I410,U410)))</f>
        <v/>
      </c>
      <c r="AQ410" s="112" t="str">
        <f t="shared" si="435"/>
        <v/>
      </c>
      <c r="AR410" s="112" t="str">
        <f>IFERROR(__xludf.DUMMYFUNCTION("IF($AG410, ""DELETED"", TRIM(JOIN("" "",AP410,AQ410)))"),"")</f>
        <v/>
      </c>
      <c r="AS410" s="118"/>
      <c r="AT410" s="110" t="b">
        <f t="shared" si="12"/>
        <v>0</v>
      </c>
      <c r="AU410" s="110" t="str">
        <f t="shared" si="13"/>
        <v/>
      </c>
      <c r="AV410" s="110" t="str">
        <f t="shared" si="14"/>
        <v/>
      </c>
      <c r="AW410" s="110" t="str">
        <f t="shared" si="15"/>
        <v/>
      </c>
      <c r="AX410" s="119" t="str">
        <f t="shared" si="16"/>
        <v/>
      </c>
      <c r="AY410" s="120"/>
      <c r="AZ410" s="121"/>
      <c r="BA410" s="122" t="str">
        <f t="shared" si="17"/>
        <v/>
      </c>
      <c r="BB410" s="34"/>
      <c r="BC410" s="121"/>
      <c r="BD410" s="136"/>
      <c r="BE410" s="125" t="str">
        <f t="shared" si="18"/>
        <v/>
      </c>
      <c r="BF410" s="126" t="str">
        <f t="shared" si="19"/>
        <v>MA1069__44607_0.325381944444444</v>
      </c>
      <c r="BG410" s="127" t="str">
        <f t="shared" si="20"/>
        <v/>
      </c>
      <c r="BH410" s="137" t="s">
        <v>1272</v>
      </c>
      <c r="BI410" s="128" t="str">
        <f t="shared" si="21"/>
        <v>MA1233</v>
      </c>
      <c r="BJ410" s="129" t="b">
        <f t="shared" si="22"/>
        <v>0</v>
      </c>
      <c r="BK410" s="128" t="str">
        <f t="shared" si="23"/>
        <v/>
      </c>
      <c r="BL410" s="121"/>
      <c r="BM410" s="5" t="str">
        <f t="shared" si="24"/>
        <v>MISSING</v>
      </c>
      <c r="BN410" s="120" t="b">
        <f t="shared" si="25"/>
        <v>0</v>
      </c>
      <c r="BO410" s="131" t="b">
        <f t="shared" si="26"/>
        <v>1</v>
      </c>
      <c r="BP410" s="121"/>
      <c r="BQ410" s="132" t="str">
        <f>VLOOKUP(A410,RAW_APS!A$3:O826,15,FALSE)</f>
        <v/>
      </c>
      <c r="BR410" s="120" t="b">
        <f t="shared" si="27"/>
        <v>1</v>
      </c>
      <c r="BS410" s="121"/>
      <c r="BT410" s="138" t="s">
        <v>244</v>
      </c>
      <c r="BU410" s="10" t="b">
        <f t="shared" si="28"/>
        <v>1</v>
      </c>
      <c r="BV410" s="120"/>
      <c r="BW410" s="120"/>
      <c r="BX410" s="120"/>
      <c r="BY410" s="120"/>
      <c r="BZ410" s="120"/>
      <c r="CA410" s="120"/>
      <c r="CB410" s="120"/>
      <c r="CC410" s="120"/>
    </row>
    <row r="411">
      <c r="A411" s="2" t="s">
        <v>1273</v>
      </c>
      <c r="B411" s="100">
        <v>44607.0</v>
      </c>
      <c r="C411" s="101">
        <v>0.3254398148148148</v>
      </c>
      <c r="D411" s="102"/>
      <c r="E411" s="102"/>
      <c r="F411" s="102"/>
      <c r="G411" s="102"/>
      <c r="H411" s="102"/>
      <c r="I411" s="103"/>
      <c r="J411" s="103"/>
      <c r="K411" s="2" t="s">
        <v>244</v>
      </c>
      <c r="L411" s="100">
        <v>44607.0</v>
      </c>
      <c r="M411" s="101">
        <v>0.5868055555555556</v>
      </c>
      <c r="P411" s="104" t="b">
        <f>IFNA(IF(VLOOKUP($A411,'Add from APT'!$AA$2:$AC826,3,FALSE)&gt;0,TRUE,FALSE),"ER - NOT IN APT")</f>
        <v>0</v>
      </c>
      <c r="Q411" s="105" t="str">
        <f>IF(ISLOGICAL(P411),IF(P411,"ER - REPS IN APT", IFNA(VLOOKUP($A411,RAW_APT!$A$3:$M826,7,FALSE),"ER - NOT IN APT")),P411)</f>
        <v>Result</v>
      </c>
      <c r="R411" s="106" t="b">
        <f t="shared" si="2"/>
        <v>1</v>
      </c>
      <c r="S411" s="107">
        <f t="shared" si="3"/>
        <v>1</v>
      </c>
      <c r="T411" s="143"/>
      <c r="U411" s="142"/>
      <c r="V411" s="142"/>
      <c r="W411" s="142"/>
      <c r="X411" s="110" t="b">
        <f t="shared" si="4"/>
        <v>0</v>
      </c>
      <c r="Y411" s="111" t="b">
        <v>0</v>
      </c>
      <c r="Z411" s="104" t="str">
        <f t="shared" si="5"/>
        <v/>
      </c>
      <c r="AA411" s="112" t="b">
        <f t="shared" si="6"/>
        <v>0</v>
      </c>
      <c r="AB411" s="142" t="b">
        <v>0</v>
      </c>
      <c r="AC411" s="140">
        <v>397.0</v>
      </c>
      <c r="AD411" s="141" t="b">
        <v>0</v>
      </c>
      <c r="AE411" s="115">
        <f t="shared" si="7"/>
        <v>376.3666667</v>
      </c>
      <c r="AF411" s="116" t="b">
        <f t="shared" si="8"/>
        <v>0</v>
      </c>
      <c r="AG411" s="105" t="b">
        <f t="shared" si="9"/>
        <v>0</v>
      </c>
      <c r="AH411" s="140"/>
      <c r="AI411" s="140"/>
      <c r="AJ411" s="140"/>
      <c r="AK411" s="117" t="str">
        <f t="shared" si="10"/>
        <v>Negative</v>
      </c>
      <c r="AL411" s="142"/>
      <c r="AM411" s="112" t="s">
        <v>1274</v>
      </c>
      <c r="AN411" s="112" t="s">
        <v>1275</v>
      </c>
      <c r="AO411" s="112" t="str">
        <f>IFERROR(__xludf.DUMMYFUNCTION("IF($AG411, ""DELETED"",TRIM(JOIN("" "",D411:E411)))"),"")</f>
        <v/>
      </c>
      <c r="AP411" s="112" t="str">
        <f t="shared" ref="AP411:AQ411" si="436">IF($AG411, "DELETED", TRIM(CONCATENATE(F411,I411,U411)))</f>
        <v/>
      </c>
      <c r="AQ411" s="112" t="str">
        <f t="shared" si="436"/>
        <v/>
      </c>
      <c r="AR411" s="112" t="str">
        <f>IFERROR(__xludf.DUMMYFUNCTION("IF($AG411, ""DELETED"", TRIM(JOIN("" "",AP411,AQ411)))"),"")</f>
        <v/>
      </c>
      <c r="AS411" s="118"/>
      <c r="AT411" s="110" t="b">
        <f t="shared" si="12"/>
        <v>0</v>
      </c>
      <c r="AU411" s="110" t="str">
        <f t="shared" si="13"/>
        <v/>
      </c>
      <c r="AV411" s="110" t="str">
        <f t="shared" si="14"/>
        <v/>
      </c>
      <c r="AW411" s="110" t="str">
        <f t="shared" si="15"/>
        <v/>
      </c>
      <c r="AX411" s="119" t="str">
        <f t="shared" si="16"/>
        <v/>
      </c>
      <c r="AY411" s="120"/>
      <c r="AZ411" s="121"/>
      <c r="BA411" s="122" t="str">
        <f t="shared" si="17"/>
        <v/>
      </c>
      <c r="BB411" s="34"/>
      <c r="BC411" s="121"/>
      <c r="BD411" s="136"/>
      <c r="BE411" s="125" t="str">
        <f t="shared" si="18"/>
        <v/>
      </c>
      <c r="BF411" s="126" t="str">
        <f t="shared" si="19"/>
        <v>MA391__44607_0.325439814814815</v>
      </c>
      <c r="BG411" s="127" t="str">
        <f t="shared" si="20"/>
        <v/>
      </c>
      <c r="BH411" s="137" t="s">
        <v>1276</v>
      </c>
      <c r="BI411" s="128" t="str">
        <f t="shared" si="21"/>
        <v>MA1234</v>
      </c>
      <c r="BJ411" s="129" t="b">
        <f t="shared" si="22"/>
        <v>0</v>
      </c>
      <c r="BK411" s="128" t="str">
        <f t="shared" si="23"/>
        <v/>
      </c>
      <c r="BL411" s="121"/>
      <c r="BM411" s="5" t="str">
        <f t="shared" si="24"/>
        <v>MISSING</v>
      </c>
      <c r="BN411" s="120" t="b">
        <f t="shared" si="25"/>
        <v>0</v>
      </c>
      <c r="BO411" s="131" t="b">
        <f t="shared" si="26"/>
        <v>1</v>
      </c>
      <c r="BP411" s="121"/>
      <c r="BQ411" s="132" t="str">
        <f>VLOOKUP(A411,RAW_APS!A$3:O826,15,FALSE)</f>
        <v/>
      </c>
      <c r="BR411" s="120" t="b">
        <f t="shared" si="27"/>
        <v>1</v>
      </c>
      <c r="BS411" s="121"/>
      <c r="BT411" s="138" t="s">
        <v>244</v>
      </c>
      <c r="BU411" s="10" t="b">
        <f t="shared" si="28"/>
        <v>1</v>
      </c>
      <c r="BV411" s="120"/>
      <c r="BW411" s="120"/>
      <c r="BX411" s="120"/>
      <c r="BY411" s="120"/>
      <c r="BZ411" s="120"/>
      <c r="CA411" s="120"/>
      <c r="CB411" s="120"/>
      <c r="CC411" s="120"/>
    </row>
    <row r="412">
      <c r="A412" s="2" t="s">
        <v>1277</v>
      </c>
      <c r="B412" s="100">
        <v>44607.0</v>
      </c>
      <c r="C412" s="101">
        <v>0.32666666666666666</v>
      </c>
      <c r="D412" s="102"/>
      <c r="E412" s="102"/>
      <c r="F412" s="102"/>
      <c r="G412" s="102"/>
      <c r="H412" s="102"/>
      <c r="I412" s="103"/>
      <c r="J412" s="103"/>
      <c r="K412" s="2" t="s">
        <v>244</v>
      </c>
      <c r="L412" s="100">
        <v>44607.0</v>
      </c>
      <c r="M412" s="101">
        <v>0.5868055555555556</v>
      </c>
      <c r="P412" s="104" t="b">
        <f>IFNA(IF(VLOOKUP($A412,'Add from APT'!$AA$2:$AC826,3,FALSE)&gt;0,TRUE,FALSE),"ER - NOT IN APT")</f>
        <v>0</v>
      </c>
      <c r="Q412" s="105" t="str">
        <f>IF(ISLOGICAL(P412),IF(P412,"ER - REPS IN APT", IFNA(VLOOKUP($A412,RAW_APT!$A$3:$M826,7,FALSE),"ER - NOT IN APT")),P412)</f>
        <v>Result</v>
      </c>
      <c r="R412" s="106" t="b">
        <f t="shared" si="2"/>
        <v>1</v>
      </c>
      <c r="S412" s="107">
        <f t="shared" si="3"/>
        <v>1</v>
      </c>
      <c r="T412" s="143"/>
      <c r="U412" s="142"/>
      <c r="V412" s="142"/>
      <c r="W412" s="142"/>
      <c r="X412" s="110" t="b">
        <f t="shared" si="4"/>
        <v>0</v>
      </c>
      <c r="Y412" s="111" t="b">
        <v>0</v>
      </c>
      <c r="Z412" s="104" t="str">
        <f t="shared" si="5"/>
        <v/>
      </c>
      <c r="AA412" s="112" t="b">
        <f t="shared" si="6"/>
        <v>0</v>
      </c>
      <c r="AB412" s="142" t="b">
        <v>0</v>
      </c>
      <c r="AC412" s="140">
        <v>396.0</v>
      </c>
      <c r="AD412" s="141" t="b">
        <v>0</v>
      </c>
      <c r="AE412" s="115">
        <f t="shared" si="7"/>
        <v>374.6</v>
      </c>
      <c r="AF412" s="116" t="b">
        <f t="shared" si="8"/>
        <v>0</v>
      </c>
      <c r="AG412" s="105" t="b">
        <f t="shared" si="9"/>
        <v>0</v>
      </c>
      <c r="AH412" s="140"/>
      <c r="AI412" s="140"/>
      <c r="AJ412" s="140"/>
      <c r="AK412" s="117" t="str">
        <f t="shared" si="10"/>
        <v>Negative</v>
      </c>
      <c r="AL412" s="142"/>
      <c r="AM412" s="112" t="s">
        <v>398</v>
      </c>
      <c r="AN412" s="112" t="s">
        <v>399</v>
      </c>
      <c r="AO412" s="112" t="str">
        <f>IFERROR(__xludf.DUMMYFUNCTION("IF($AG412, ""DELETED"",TRIM(JOIN("" "",D412:E412)))"),"")</f>
        <v/>
      </c>
      <c r="AP412" s="112" t="str">
        <f t="shared" ref="AP412:AQ412" si="437">IF($AG412, "DELETED", TRIM(CONCATENATE(F412,I412,U412)))</f>
        <v/>
      </c>
      <c r="AQ412" s="112" t="str">
        <f t="shared" si="437"/>
        <v/>
      </c>
      <c r="AR412" s="112" t="str">
        <f>IFERROR(__xludf.DUMMYFUNCTION("IF($AG412, ""DELETED"", TRIM(JOIN("" "",AP412,AQ412)))"),"")</f>
        <v/>
      </c>
      <c r="AS412" s="118"/>
      <c r="AT412" s="110" t="b">
        <f t="shared" si="12"/>
        <v>0</v>
      </c>
      <c r="AU412" s="110" t="str">
        <f t="shared" si="13"/>
        <v/>
      </c>
      <c r="AV412" s="110" t="str">
        <f t="shared" si="14"/>
        <v/>
      </c>
      <c r="AW412" s="110" t="str">
        <f t="shared" si="15"/>
        <v/>
      </c>
      <c r="AX412" s="119" t="str">
        <f t="shared" si="16"/>
        <v/>
      </c>
      <c r="AY412" s="120"/>
      <c r="AZ412" s="121"/>
      <c r="BA412" s="122" t="str">
        <f t="shared" si="17"/>
        <v/>
      </c>
      <c r="BB412" s="34"/>
      <c r="BC412" s="121"/>
      <c r="BD412" s="136"/>
      <c r="BE412" s="125" t="str">
        <f t="shared" si="18"/>
        <v/>
      </c>
      <c r="BF412" s="126" t="str">
        <f t="shared" si="19"/>
        <v>FM452__44607_0.326666666666667</v>
      </c>
      <c r="BG412" s="127" t="str">
        <f t="shared" si="20"/>
        <v/>
      </c>
      <c r="BH412" s="137" t="s">
        <v>1278</v>
      </c>
      <c r="BI412" s="128" t="str">
        <f t="shared" si="21"/>
        <v>MA1235</v>
      </c>
      <c r="BJ412" s="129" t="b">
        <f t="shared" si="22"/>
        <v>0</v>
      </c>
      <c r="BK412" s="128" t="str">
        <f t="shared" si="23"/>
        <v/>
      </c>
      <c r="BL412" s="121"/>
      <c r="BM412" s="5" t="str">
        <f t="shared" si="24"/>
        <v>MISSING</v>
      </c>
      <c r="BN412" s="120" t="b">
        <f t="shared" si="25"/>
        <v>0</v>
      </c>
      <c r="BO412" s="131" t="b">
        <f t="shared" si="26"/>
        <v>1</v>
      </c>
      <c r="BP412" s="121"/>
      <c r="BQ412" s="132" t="str">
        <f>VLOOKUP(A412,RAW_APS!A$3:O826,15,FALSE)</f>
        <v/>
      </c>
      <c r="BR412" s="120" t="b">
        <f t="shared" si="27"/>
        <v>1</v>
      </c>
      <c r="BS412" s="121"/>
      <c r="BT412" s="138" t="s">
        <v>244</v>
      </c>
      <c r="BU412" s="10" t="b">
        <f t="shared" si="28"/>
        <v>1</v>
      </c>
      <c r="BV412" s="120"/>
      <c r="BW412" s="120"/>
      <c r="BX412" s="120"/>
      <c r="BY412" s="120"/>
      <c r="BZ412" s="120"/>
      <c r="CA412" s="120"/>
      <c r="CB412" s="120"/>
      <c r="CC412" s="120"/>
    </row>
    <row r="413">
      <c r="A413" s="2" t="s">
        <v>1279</v>
      </c>
      <c r="B413" s="100">
        <v>44607.0</v>
      </c>
      <c r="C413" s="101">
        <v>0.3281712962962963</v>
      </c>
      <c r="D413" s="102"/>
      <c r="E413" s="102"/>
      <c r="F413" s="102"/>
      <c r="G413" s="102"/>
      <c r="H413" s="102"/>
      <c r="I413" s="103"/>
      <c r="J413" s="103"/>
      <c r="K413" s="2" t="s">
        <v>254</v>
      </c>
      <c r="L413" s="11"/>
      <c r="M413" s="11"/>
      <c r="N413" s="11"/>
      <c r="O413" s="11"/>
      <c r="P413" s="104" t="b">
        <f>IFNA(IF(VLOOKUP($A413,'Add from APT'!$AA$2:$AC826,3,FALSE)&gt;0,TRUE,FALSE),"ER - NOT IN APT")</f>
        <v>0</v>
      </c>
      <c r="Q413" s="105" t="str">
        <f>IF(ISLOGICAL(P413),IF(P413,"ER - REPS IN APT", IFNA(VLOOKUP($A413,RAW_APT!$A$3:$M826,7,FALSE),"ER - NOT IN APT")),P413)</f>
        <v>Collected</v>
      </c>
      <c r="R413" s="106" t="b">
        <f t="shared" si="2"/>
        <v>1</v>
      </c>
      <c r="S413" s="107">
        <f t="shared" si="3"/>
        <v>1</v>
      </c>
      <c r="T413" s="143"/>
      <c r="U413" s="142"/>
      <c r="V413" s="142"/>
      <c r="W413" s="142"/>
      <c r="X413" s="110" t="b">
        <f t="shared" si="4"/>
        <v>0</v>
      </c>
      <c r="Y413" s="111" t="b">
        <v>0</v>
      </c>
      <c r="Z413" s="104" t="str">
        <f t="shared" si="5"/>
        <v/>
      </c>
      <c r="AA413" s="112" t="b">
        <f t="shared" si="6"/>
        <v>0</v>
      </c>
      <c r="AB413" s="142" t="b">
        <v>0</v>
      </c>
      <c r="AC413" s="140">
        <v>395.0</v>
      </c>
      <c r="AD413" s="141" t="b">
        <v>0</v>
      </c>
      <c r="AE413" s="115" t="str">
        <f t="shared" si="7"/>
        <v/>
      </c>
      <c r="AF413" s="116" t="b">
        <f t="shared" si="8"/>
        <v>0</v>
      </c>
      <c r="AG413" s="105" t="b">
        <f t="shared" si="9"/>
        <v>1</v>
      </c>
      <c r="AH413" s="140">
        <v>9.1</v>
      </c>
      <c r="AI413" s="140"/>
      <c r="AJ413" s="140"/>
      <c r="AK413" s="117" t="str">
        <f t="shared" si="10"/>
        <v>DELETED</v>
      </c>
      <c r="AL413" s="142"/>
      <c r="AM413" s="112" t="s">
        <v>245</v>
      </c>
      <c r="AN413" s="112" t="s">
        <v>245</v>
      </c>
      <c r="AO413" s="112" t="str">
        <f>IFERROR(__xludf.DUMMYFUNCTION("IF($AG413, ""DELETED"",TRIM(JOIN("" "",D413:E413)))"),"DELETED")</f>
        <v>DELETED</v>
      </c>
      <c r="AP413" s="112" t="str">
        <f t="shared" ref="AP413:AQ413" si="438">IF($AG413, "DELETED", TRIM(CONCATENATE(F413,I413,U413)))</f>
        <v>DELETED</v>
      </c>
      <c r="AQ413" s="112" t="str">
        <f t="shared" si="438"/>
        <v>DELETED</v>
      </c>
      <c r="AR413" s="112" t="str">
        <f>IFERROR(__xludf.DUMMYFUNCTION("IF($AG413, ""DELETED"", TRIM(JOIN("" "",AP413,AQ413)))"),"DELETED")</f>
        <v>DELETED</v>
      </c>
      <c r="AS413" s="118"/>
      <c r="AT413" s="110" t="b">
        <f t="shared" si="12"/>
        <v>1</v>
      </c>
      <c r="AU413" s="110" t="str">
        <f t="shared" si="13"/>
        <v/>
      </c>
      <c r="AV413" s="110" t="str">
        <f t="shared" si="14"/>
        <v/>
      </c>
      <c r="AW413" s="110" t="str">
        <f t="shared" si="15"/>
        <v/>
      </c>
      <c r="AX413" s="119" t="str">
        <f t="shared" si="16"/>
        <v/>
      </c>
      <c r="AY413" s="120"/>
      <c r="AZ413" s="121"/>
      <c r="BA413" s="122" t="b">
        <f t="shared" si="17"/>
        <v>1</v>
      </c>
      <c r="BB413" s="34"/>
      <c r="BC413" s="121"/>
      <c r="BD413" s="136"/>
      <c r="BE413" s="125" t="str">
        <f t="shared" si="18"/>
        <v/>
      </c>
      <c r="BF413" s="126" t="str">
        <f t="shared" si="19"/>
        <v>MA267__44607_0.328171296296296</v>
      </c>
      <c r="BG413" s="127" t="str">
        <f t="shared" si="20"/>
        <v/>
      </c>
      <c r="BH413" s="137" t="s">
        <v>1280</v>
      </c>
      <c r="BI413" s="128" t="str">
        <f t="shared" si="21"/>
        <v>MA1236</v>
      </c>
      <c r="BJ413" s="129" t="b">
        <f t="shared" si="22"/>
        <v>0</v>
      </c>
      <c r="BK413" s="128" t="str">
        <f t="shared" si="23"/>
        <v/>
      </c>
      <c r="BL413" s="121"/>
      <c r="BM413" s="5" t="str">
        <f t="shared" si="24"/>
        <v/>
      </c>
      <c r="BN413" s="120" t="b">
        <f t="shared" si="25"/>
        <v>0</v>
      </c>
      <c r="BO413" s="131" t="b">
        <f t="shared" si="26"/>
        <v>0</v>
      </c>
      <c r="BP413" s="121"/>
      <c r="BQ413" s="132" t="str">
        <f>VLOOKUP(A413,RAW_APS!A$3:O826,15,FALSE)</f>
        <v/>
      </c>
      <c r="BR413" s="120" t="b">
        <f t="shared" si="27"/>
        <v>1</v>
      </c>
      <c r="BS413" s="121"/>
      <c r="BT413" s="138" t="s">
        <v>245</v>
      </c>
      <c r="BU413" s="10" t="b">
        <f t="shared" si="28"/>
        <v>1</v>
      </c>
      <c r="BV413" s="120"/>
      <c r="BW413" s="120"/>
      <c r="BX413" s="120"/>
      <c r="BY413" s="120"/>
      <c r="BZ413" s="120"/>
      <c r="CA413" s="120"/>
      <c r="CB413" s="120"/>
      <c r="CC413" s="120"/>
    </row>
    <row r="414">
      <c r="A414" s="2" t="s">
        <v>1281</v>
      </c>
      <c r="B414" s="100">
        <v>44607.0</v>
      </c>
      <c r="C414" s="101">
        <v>0.32873842592592595</v>
      </c>
      <c r="D414" s="102"/>
      <c r="E414" s="102"/>
      <c r="F414" s="102"/>
      <c r="G414" s="102"/>
      <c r="H414" s="102"/>
      <c r="I414" s="103"/>
      <c r="J414" s="103"/>
      <c r="K414" s="2" t="s">
        <v>244</v>
      </c>
      <c r="L414" s="100">
        <v>44607.0</v>
      </c>
      <c r="M414" s="101">
        <v>0.5868055555555556</v>
      </c>
      <c r="P414" s="104" t="b">
        <f>IFNA(IF(VLOOKUP($A414,'Add from APT'!$AA$2:$AC826,3,FALSE)&gt;0,TRUE,FALSE),"ER - NOT IN APT")</f>
        <v>0</v>
      </c>
      <c r="Q414" s="105" t="str">
        <f>IF(ISLOGICAL(P414),IF(P414,"ER - REPS IN APT", IFNA(VLOOKUP($A414,RAW_APT!$A$3:$M826,7,FALSE),"ER - NOT IN APT")),P414)</f>
        <v>Result</v>
      </c>
      <c r="R414" s="106" t="b">
        <f t="shared" si="2"/>
        <v>1</v>
      </c>
      <c r="S414" s="107">
        <f t="shared" si="3"/>
        <v>1</v>
      </c>
      <c r="T414" s="143"/>
      <c r="U414" s="142"/>
      <c r="V414" s="142"/>
      <c r="W414" s="142"/>
      <c r="X414" s="110" t="b">
        <f t="shared" si="4"/>
        <v>0</v>
      </c>
      <c r="Y414" s="111" t="b">
        <v>0</v>
      </c>
      <c r="Z414" s="104" t="str">
        <f t="shared" si="5"/>
        <v/>
      </c>
      <c r="AA414" s="112" t="b">
        <f t="shared" si="6"/>
        <v>0</v>
      </c>
      <c r="AB414" s="142" t="b">
        <v>0</v>
      </c>
      <c r="AC414" s="140">
        <v>394.0</v>
      </c>
      <c r="AD414" s="141" t="b">
        <v>0</v>
      </c>
      <c r="AE414" s="115">
        <f t="shared" si="7"/>
        <v>371.6166667</v>
      </c>
      <c r="AF414" s="116" t="b">
        <f t="shared" si="8"/>
        <v>0</v>
      </c>
      <c r="AG414" s="105" t="b">
        <f t="shared" si="9"/>
        <v>0</v>
      </c>
      <c r="AH414" s="140"/>
      <c r="AI414" s="140"/>
      <c r="AJ414" s="140"/>
      <c r="AK414" s="117" t="str">
        <f t="shared" si="10"/>
        <v>Negative</v>
      </c>
      <c r="AL414" s="142"/>
      <c r="AM414" s="112" t="s">
        <v>307</v>
      </c>
      <c r="AN414" s="112" t="s">
        <v>266</v>
      </c>
      <c r="AO414" s="112" t="str">
        <f>IFERROR(__xludf.DUMMYFUNCTION("IF($AG414, ""DELETED"",TRIM(JOIN("" "",D414:E414)))"),"")</f>
        <v/>
      </c>
      <c r="AP414" s="112" t="str">
        <f t="shared" ref="AP414:AQ414" si="439">IF($AG414, "DELETED", TRIM(CONCATENATE(F414,I414,U414)))</f>
        <v/>
      </c>
      <c r="AQ414" s="112" t="str">
        <f t="shared" si="439"/>
        <v/>
      </c>
      <c r="AR414" s="112" t="str">
        <f>IFERROR(__xludf.DUMMYFUNCTION("IF($AG414, ""DELETED"", TRIM(JOIN("" "",AP414,AQ414)))"),"")</f>
        <v/>
      </c>
      <c r="AS414" s="118"/>
      <c r="AT414" s="110" t="b">
        <f t="shared" si="12"/>
        <v>0</v>
      </c>
      <c r="AU414" s="110" t="str">
        <f t="shared" si="13"/>
        <v/>
      </c>
      <c r="AV414" s="110" t="str">
        <f t="shared" si="14"/>
        <v/>
      </c>
      <c r="AW414" s="110" t="str">
        <f t="shared" si="15"/>
        <v/>
      </c>
      <c r="AX414" s="119" t="str">
        <f t="shared" si="16"/>
        <v/>
      </c>
      <c r="AY414" s="120"/>
      <c r="AZ414" s="121"/>
      <c r="BA414" s="122" t="str">
        <f t="shared" si="17"/>
        <v/>
      </c>
      <c r="BB414" s="34"/>
      <c r="BC414" s="121"/>
      <c r="BD414" s="136"/>
      <c r="BE414" s="125" t="str">
        <f t="shared" si="18"/>
        <v/>
      </c>
      <c r="BF414" s="126" t="str">
        <f t="shared" si="19"/>
        <v>FM59__44607_0.328738425925926</v>
      </c>
      <c r="BG414" s="127" t="str">
        <f t="shared" si="20"/>
        <v/>
      </c>
      <c r="BH414" s="137" t="s">
        <v>1282</v>
      </c>
      <c r="BI414" s="128" t="str">
        <f t="shared" si="21"/>
        <v>MA1237</v>
      </c>
      <c r="BJ414" s="129" t="b">
        <f t="shared" si="22"/>
        <v>0</v>
      </c>
      <c r="BK414" s="128" t="str">
        <f t="shared" si="23"/>
        <v/>
      </c>
      <c r="BL414" s="121"/>
      <c r="BM414" s="5" t="str">
        <f t="shared" si="24"/>
        <v>MISSING</v>
      </c>
      <c r="BN414" s="120" t="b">
        <f t="shared" si="25"/>
        <v>0</v>
      </c>
      <c r="BO414" s="131" t="b">
        <f t="shared" si="26"/>
        <v>1</v>
      </c>
      <c r="BP414" s="121"/>
      <c r="BQ414" s="132" t="str">
        <f>VLOOKUP(A414,RAW_APS!A$3:O826,15,FALSE)</f>
        <v/>
      </c>
      <c r="BR414" s="120" t="b">
        <f t="shared" si="27"/>
        <v>1</v>
      </c>
      <c r="BS414" s="121"/>
      <c r="BT414" s="138" t="s">
        <v>244</v>
      </c>
      <c r="BU414" s="10" t="b">
        <f t="shared" si="28"/>
        <v>1</v>
      </c>
      <c r="BV414" s="120"/>
      <c r="BW414" s="120"/>
      <c r="BX414" s="120"/>
      <c r="BY414" s="120"/>
      <c r="BZ414" s="120"/>
      <c r="CA414" s="120"/>
      <c r="CB414" s="120"/>
      <c r="CC414" s="120"/>
    </row>
    <row r="415">
      <c r="A415" s="2" t="s">
        <v>1283</v>
      </c>
      <c r="B415" s="100">
        <v>44607.0</v>
      </c>
      <c r="C415" s="101">
        <v>0.3297685185185185</v>
      </c>
      <c r="D415" s="102"/>
      <c r="E415" s="102"/>
      <c r="F415" s="102"/>
      <c r="G415" s="102"/>
      <c r="H415" s="102"/>
      <c r="I415" s="103"/>
      <c r="J415" s="103"/>
      <c r="K415" s="2" t="s">
        <v>244</v>
      </c>
      <c r="L415" s="100">
        <v>44607.0</v>
      </c>
      <c r="M415" s="101">
        <v>0.5868171296296296</v>
      </c>
      <c r="P415" s="104" t="b">
        <f>IFNA(IF(VLOOKUP($A415,'Add from APT'!$AA$2:$AC826,3,FALSE)&gt;0,TRUE,FALSE),"ER - NOT IN APT")</f>
        <v>0</v>
      </c>
      <c r="Q415" s="105" t="str">
        <f>IF(ISLOGICAL(P415),IF(P415,"ER - REPS IN APT", IFNA(VLOOKUP($A415,RAW_APT!$A$3:$M826,7,FALSE),"ER - NOT IN APT")),P415)</f>
        <v>Result</v>
      </c>
      <c r="R415" s="106" t="b">
        <f t="shared" si="2"/>
        <v>1</v>
      </c>
      <c r="S415" s="107">
        <f t="shared" si="3"/>
        <v>1</v>
      </c>
      <c r="T415" s="143"/>
      <c r="U415" s="142"/>
      <c r="V415" s="142"/>
      <c r="W415" s="142"/>
      <c r="X415" s="110" t="b">
        <f t="shared" si="4"/>
        <v>0</v>
      </c>
      <c r="Y415" s="111" t="b">
        <v>0</v>
      </c>
      <c r="Z415" s="104" t="str">
        <f t="shared" si="5"/>
        <v/>
      </c>
      <c r="AA415" s="112" t="b">
        <f t="shared" si="6"/>
        <v>0</v>
      </c>
      <c r="AB415" s="142" t="b">
        <v>0</v>
      </c>
      <c r="AC415" s="140">
        <v>393.0</v>
      </c>
      <c r="AD415" s="141" t="b">
        <v>0</v>
      </c>
      <c r="AE415" s="115">
        <f t="shared" si="7"/>
        <v>370.15</v>
      </c>
      <c r="AF415" s="116" t="b">
        <f t="shared" si="8"/>
        <v>0</v>
      </c>
      <c r="AG415" s="105" t="b">
        <f t="shared" si="9"/>
        <v>0</v>
      </c>
      <c r="AH415" s="140"/>
      <c r="AI415" s="140"/>
      <c r="AJ415" s="140"/>
      <c r="AK415" s="117" t="str">
        <f t="shared" si="10"/>
        <v>Negative</v>
      </c>
      <c r="AL415" s="142"/>
      <c r="AM415" s="112" t="s">
        <v>520</v>
      </c>
      <c r="AN415" s="112" t="s">
        <v>521</v>
      </c>
      <c r="AO415" s="112" t="str">
        <f>IFERROR(__xludf.DUMMYFUNCTION("IF($AG415, ""DELETED"",TRIM(JOIN("" "",D415:E415)))"),"")</f>
        <v/>
      </c>
      <c r="AP415" s="112" t="str">
        <f t="shared" ref="AP415:AQ415" si="440">IF($AG415, "DELETED", TRIM(CONCATENATE(F415,I415,U415)))</f>
        <v/>
      </c>
      <c r="AQ415" s="112" t="str">
        <f t="shared" si="440"/>
        <v/>
      </c>
      <c r="AR415" s="112" t="str">
        <f>IFERROR(__xludf.DUMMYFUNCTION("IF($AG415, ""DELETED"", TRIM(JOIN("" "",AP415,AQ415)))"),"")</f>
        <v/>
      </c>
      <c r="AS415" s="118"/>
      <c r="AT415" s="110" t="b">
        <f t="shared" si="12"/>
        <v>0</v>
      </c>
      <c r="AU415" s="110" t="str">
        <f t="shared" si="13"/>
        <v/>
      </c>
      <c r="AV415" s="110" t="str">
        <f t="shared" si="14"/>
        <v/>
      </c>
      <c r="AW415" s="110" t="str">
        <f t="shared" si="15"/>
        <v/>
      </c>
      <c r="AX415" s="119" t="str">
        <f t="shared" si="16"/>
        <v/>
      </c>
      <c r="AY415" s="120"/>
      <c r="AZ415" s="121"/>
      <c r="BA415" s="122" t="str">
        <f t="shared" si="17"/>
        <v/>
      </c>
      <c r="BB415" s="34"/>
      <c r="BC415" s="121"/>
      <c r="BD415" s="136"/>
      <c r="BE415" s="125" t="str">
        <f t="shared" si="18"/>
        <v/>
      </c>
      <c r="BF415" s="126" t="str">
        <f t="shared" si="19"/>
        <v>MA211__44607_0.329768518518519</v>
      </c>
      <c r="BG415" s="127" t="str">
        <f t="shared" si="20"/>
        <v/>
      </c>
      <c r="BH415" s="137" t="s">
        <v>1284</v>
      </c>
      <c r="BI415" s="128" t="str">
        <f t="shared" si="21"/>
        <v>MA1238</v>
      </c>
      <c r="BJ415" s="129" t="b">
        <f t="shared" si="22"/>
        <v>0</v>
      </c>
      <c r="BK415" s="128" t="str">
        <f t="shared" si="23"/>
        <v/>
      </c>
      <c r="BL415" s="121"/>
      <c r="BM415" s="5" t="str">
        <f t="shared" si="24"/>
        <v>MISSING</v>
      </c>
      <c r="BN415" s="120" t="b">
        <f t="shared" si="25"/>
        <v>0</v>
      </c>
      <c r="BO415" s="131" t="b">
        <f t="shared" si="26"/>
        <v>1</v>
      </c>
      <c r="BP415" s="121"/>
      <c r="BQ415" s="132" t="str">
        <f>VLOOKUP(A415,RAW_APS!A$3:O826,15,FALSE)</f>
        <v/>
      </c>
      <c r="BR415" s="120" t="b">
        <f t="shared" si="27"/>
        <v>1</v>
      </c>
      <c r="BS415" s="121"/>
      <c r="BT415" s="138" t="s">
        <v>244</v>
      </c>
      <c r="BU415" s="10" t="b">
        <f t="shared" si="28"/>
        <v>1</v>
      </c>
      <c r="BV415" s="120"/>
      <c r="BW415" s="120"/>
      <c r="BX415" s="120"/>
      <c r="BY415" s="120"/>
      <c r="BZ415" s="120"/>
      <c r="CA415" s="120"/>
      <c r="CB415" s="120"/>
      <c r="CC415" s="120"/>
    </row>
    <row r="416">
      <c r="A416" s="2" t="s">
        <v>1285</v>
      </c>
      <c r="B416" s="100">
        <v>44607.0</v>
      </c>
      <c r="C416" s="101">
        <v>0.33239583333333333</v>
      </c>
      <c r="D416" s="102"/>
      <c r="E416" s="102"/>
      <c r="F416" s="102"/>
      <c r="G416" s="102"/>
      <c r="H416" s="102"/>
      <c r="I416" s="103"/>
      <c r="J416" s="103"/>
      <c r="K416" s="2" t="s">
        <v>244</v>
      </c>
      <c r="L416" s="100">
        <v>44607.0</v>
      </c>
      <c r="M416" s="101">
        <v>0.5868171296296296</v>
      </c>
      <c r="P416" s="104" t="b">
        <f>IFNA(IF(VLOOKUP($A416,'Add from APT'!$AA$2:$AC826,3,FALSE)&gt;0,TRUE,FALSE),"ER - NOT IN APT")</f>
        <v>0</v>
      </c>
      <c r="Q416" s="105" t="str">
        <f>IF(ISLOGICAL(P416),IF(P416,"ER - REPS IN APT", IFNA(VLOOKUP($A416,RAW_APT!$A$3:$M826,7,FALSE),"ER - NOT IN APT")),P416)</f>
        <v>Result</v>
      </c>
      <c r="R416" s="106" t="b">
        <f t="shared" si="2"/>
        <v>1</v>
      </c>
      <c r="S416" s="107">
        <f t="shared" si="3"/>
        <v>1</v>
      </c>
      <c r="T416" s="143"/>
      <c r="U416" s="142"/>
      <c r="V416" s="142"/>
      <c r="W416" s="142"/>
      <c r="X416" s="110" t="b">
        <f t="shared" si="4"/>
        <v>0</v>
      </c>
      <c r="Y416" s="111" t="b">
        <v>0</v>
      </c>
      <c r="Z416" s="104" t="str">
        <f t="shared" si="5"/>
        <v/>
      </c>
      <c r="AA416" s="112" t="b">
        <f t="shared" si="6"/>
        <v>0</v>
      </c>
      <c r="AB416" s="142" t="b">
        <v>0</v>
      </c>
      <c r="AC416" s="140">
        <v>392.0</v>
      </c>
      <c r="AD416" s="141" t="b">
        <v>0</v>
      </c>
      <c r="AE416" s="115">
        <f t="shared" si="7"/>
        <v>366.3666667</v>
      </c>
      <c r="AF416" s="116" t="b">
        <f t="shared" si="8"/>
        <v>0</v>
      </c>
      <c r="AG416" s="105" t="b">
        <f t="shared" si="9"/>
        <v>0</v>
      </c>
      <c r="AH416" s="140"/>
      <c r="AI416" s="140"/>
      <c r="AJ416" s="140"/>
      <c r="AK416" s="117" t="str">
        <f t="shared" si="10"/>
        <v>Negative</v>
      </c>
      <c r="AL416" s="142"/>
      <c r="AM416" s="112" t="s">
        <v>1286</v>
      </c>
      <c r="AN416" s="112" t="s">
        <v>1287</v>
      </c>
      <c r="AO416" s="112" t="str">
        <f>IFERROR(__xludf.DUMMYFUNCTION("IF($AG416, ""DELETED"",TRIM(JOIN("" "",D416:E416)))"),"")</f>
        <v/>
      </c>
      <c r="AP416" s="112" t="str">
        <f t="shared" ref="AP416:AQ416" si="441">IF($AG416, "DELETED", TRIM(CONCATENATE(F416,I416,U416)))</f>
        <v/>
      </c>
      <c r="AQ416" s="112" t="str">
        <f t="shared" si="441"/>
        <v/>
      </c>
      <c r="AR416" s="112" t="str">
        <f>IFERROR(__xludf.DUMMYFUNCTION("IF($AG416, ""DELETED"", TRIM(JOIN("" "",AP416,AQ416)))"),"")</f>
        <v/>
      </c>
      <c r="AS416" s="118"/>
      <c r="AT416" s="110" t="b">
        <f t="shared" si="12"/>
        <v>0</v>
      </c>
      <c r="AU416" s="110" t="str">
        <f t="shared" si="13"/>
        <v/>
      </c>
      <c r="AV416" s="110" t="str">
        <f t="shared" si="14"/>
        <v/>
      </c>
      <c r="AW416" s="110" t="str">
        <f t="shared" si="15"/>
        <v/>
      </c>
      <c r="AX416" s="119" t="str">
        <f t="shared" si="16"/>
        <v/>
      </c>
      <c r="AY416" s="120"/>
      <c r="AZ416" s="121"/>
      <c r="BA416" s="122" t="str">
        <f t="shared" si="17"/>
        <v/>
      </c>
      <c r="BB416" s="34"/>
      <c r="BC416" s="121"/>
      <c r="BD416" s="136"/>
      <c r="BE416" s="125" t="str">
        <f t="shared" si="18"/>
        <v/>
      </c>
      <c r="BF416" s="126" t="str">
        <f t="shared" si="19"/>
        <v>MA1055__44607_0.332395833333333</v>
      </c>
      <c r="BG416" s="127" t="str">
        <f t="shared" si="20"/>
        <v/>
      </c>
      <c r="BH416" s="137" t="s">
        <v>1288</v>
      </c>
      <c r="BI416" s="128" t="str">
        <f t="shared" si="21"/>
        <v>MA1240</v>
      </c>
      <c r="BJ416" s="129" t="b">
        <f t="shared" si="22"/>
        <v>0</v>
      </c>
      <c r="BK416" s="128" t="str">
        <f t="shared" si="23"/>
        <v/>
      </c>
      <c r="BL416" s="121"/>
      <c r="BM416" s="5" t="str">
        <f t="shared" si="24"/>
        <v>MISSING</v>
      </c>
      <c r="BN416" s="120" t="b">
        <f t="shared" si="25"/>
        <v>0</v>
      </c>
      <c r="BO416" s="131" t="b">
        <f t="shared" si="26"/>
        <v>1</v>
      </c>
      <c r="BP416" s="121"/>
      <c r="BQ416" s="132" t="str">
        <f>VLOOKUP(A416,RAW_APS!A$3:O826,15,FALSE)</f>
        <v/>
      </c>
      <c r="BR416" s="120" t="b">
        <f t="shared" si="27"/>
        <v>1</v>
      </c>
      <c r="BS416" s="121"/>
      <c r="BT416" s="138" t="s">
        <v>244</v>
      </c>
      <c r="BU416" s="10" t="b">
        <f t="shared" si="28"/>
        <v>1</v>
      </c>
      <c r="BV416" s="120"/>
      <c r="BW416" s="120"/>
      <c r="BX416" s="120"/>
      <c r="BY416" s="120"/>
      <c r="BZ416" s="120"/>
      <c r="CA416" s="120"/>
      <c r="CB416" s="120"/>
      <c r="CC416" s="120"/>
    </row>
    <row r="417">
      <c r="A417" s="2" t="s">
        <v>1289</v>
      </c>
      <c r="B417" s="100">
        <v>44607.0</v>
      </c>
      <c r="C417" s="101">
        <v>0.33417824074074076</v>
      </c>
      <c r="D417" s="102"/>
      <c r="E417" s="102"/>
      <c r="F417" s="102"/>
      <c r="G417" s="102"/>
      <c r="H417" s="102"/>
      <c r="I417" s="103"/>
      <c r="J417" s="103"/>
      <c r="K417" s="2" t="s">
        <v>244</v>
      </c>
      <c r="L417" s="100">
        <v>44607.0</v>
      </c>
      <c r="M417" s="101">
        <v>0.5868171296296296</v>
      </c>
      <c r="P417" s="104" t="b">
        <f>IFNA(IF(VLOOKUP($A417,'Add from APT'!$AA$2:$AC826,3,FALSE)&gt;0,TRUE,FALSE),"ER - NOT IN APT")</f>
        <v>0</v>
      </c>
      <c r="Q417" s="105" t="str">
        <f>IF(ISLOGICAL(P417),IF(P417,"ER - REPS IN APT", IFNA(VLOOKUP($A417,RAW_APT!$A$3:$M826,7,FALSE),"ER - NOT IN APT")),P417)</f>
        <v>Result</v>
      </c>
      <c r="R417" s="106" t="b">
        <f t="shared" si="2"/>
        <v>1</v>
      </c>
      <c r="S417" s="107">
        <f t="shared" si="3"/>
        <v>1</v>
      </c>
      <c r="T417" s="143"/>
      <c r="U417" s="142"/>
      <c r="V417" s="142"/>
      <c r="W417" s="142"/>
      <c r="X417" s="110" t="b">
        <f t="shared" si="4"/>
        <v>0</v>
      </c>
      <c r="Y417" s="111" t="b">
        <v>0</v>
      </c>
      <c r="Z417" s="104" t="str">
        <f t="shared" si="5"/>
        <v/>
      </c>
      <c r="AA417" s="112" t="b">
        <f t="shared" si="6"/>
        <v>0</v>
      </c>
      <c r="AB417" s="142" t="b">
        <v>0</v>
      </c>
      <c r="AC417" s="140">
        <v>391.0</v>
      </c>
      <c r="AD417" s="141" t="b">
        <v>0</v>
      </c>
      <c r="AE417" s="115">
        <f t="shared" si="7"/>
        <v>363.8</v>
      </c>
      <c r="AF417" s="116" t="b">
        <f t="shared" si="8"/>
        <v>0</v>
      </c>
      <c r="AG417" s="105" t="b">
        <f t="shared" si="9"/>
        <v>0</v>
      </c>
      <c r="AH417" s="140"/>
      <c r="AI417" s="140"/>
      <c r="AJ417" s="140"/>
      <c r="AK417" s="117" t="str">
        <f t="shared" si="10"/>
        <v>Negative</v>
      </c>
      <c r="AL417" s="142"/>
      <c r="AM417" s="112" t="s">
        <v>1290</v>
      </c>
      <c r="AN417" s="112" t="s">
        <v>1291</v>
      </c>
      <c r="AO417" s="112" t="str">
        <f>IFERROR(__xludf.DUMMYFUNCTION("IF($AG417, ""DELETED"",TRIM(JOIN("" "",D417:E417)))"),"")</f>
        <v/>
      </c>
      <c r="AP417" s="112" t="str">
        <f t="shared" ref="AP417:AQ417" si="442">IF($AG417, "DELETED", TRIM(CONCATENATE(F417,I417,U417)))</f>
        <v/>
      </c>
      <c r="AQ417" s="112" t="str">
        <f t="shared" si="442"/>
        <v/>
      </c>
      <c r="AR417" s="112" t="str">
        <f>IFERROR(__xludf.DUMMYFUNCTION("IF($AG417, ""DELETED"", TRIM(JOIN("" "",AP417,AQ417)))"),"")</f>
        <v/>
      </c>
      <c r="AS417" s="118"/>
      <c r="AT417" s="110" t="b">
        <f t="shared" si="12"/>
        <v>0</v>
      </c>
      <c r="AU417" s="110" t="str">
        <f t="shared" si="13"/>
        <v/>
      </c>
      <c r="AV417" s="110" t="str">
        <f t="shared" si="14"/>
        <v/>
      </c>
      <c r="AW417" s="110" t="str">
        <f t="shared" si="15"/>
        <v/>
      </c>
      <c r="AX417" s="119" t="str">
        <f t="shared" si="16"/>
        <v/>
      </c>
      <c r="AY417" s="120"/>
      <c r="AZ417" s="121"/>
      <c r="BA417" s="122" t="str">
        <f t="shared" si="17"/>
        <v/>
      </c>
      <c r="BB417" s="34"/>
      <c r="BC417" s="121"/>
      <c r="BD417" s="136"/>
      <c r="BE417" s="125" t="str">
        <f t="shared" si="18"/>
        <v/>
      </c>
      <c r="BF417" s="126" t="str">
        <f t="shared" si="19"/>
        <v>FM442__44607_0.334178240740741</v>
      </c>
      <c r="BG417" s="127" t="str">
        <f t="shared" si="20"/>
        <v/>
      </c>
      <c r="BH417" s="137" t="s">
        <v>1292</v>
      </c>
      <c r="BI417" s="128" t="str">
        <f t="shared" si="21"/>
        <v>MA1243</v>
      </c>
      <c r="BJ417" s="129" t="b">
        <f t="shared" si="22"/>
        <v>0</v>
      </c>
      <c r="BK417" s="128" t="str">
        <f t="shared" si="23"/>
        <v/>
      </c>
      <c r="BL417" s="121"/>
      <c r="BM417" s="5" t="str">
        <f t="shared" si="24"/>
        <v>MISSING</v>
      </c>
      <c r="BN417" s="120" t="b">
        <f t="shared" si="25"/>
        <v>0</v>
      </c>
      <c r="BO417" s="131" t="b">
        <f t="shared" si="26"/>
        <v>1</v>
      </c>
      <c r="BP417" s="121"/>
      <c r="BQ417" s="132" t="str">
        <f>VLOOKUP(A417,RAW_APS!A$3:O826,15,FALSE)</f>
        <v/>
      </c>
      <c r="BR417" s="120" t="b">
        <f t="shared" si="27"/>
        <v>1</v>
      </c>
      <c r="BS417" s="121"/>
      <c r="BT417" s="138" t="s">
        <v>244</v>
      </c>
      <c r="BU417" s="10" t="b">
        <f t="shared" si="28"/>
        <v>1</v>
      </c>
      <c r="BV417" s="120"/>
      <c r="BW417" s="120"/>
      <c r="BX417" s="120"/>
      <c r="BY417" s="120"/>
      <c r="BZ417" s="120"/>
      <c r="CA417" s="120"/>
      <c r="CB417" s="120"/>
      <c r="CC417" s="120"/>
    </row>
    <row r="418">
      <c r="A418" s="2" t="s">
        <v>1293</v>
      </c>
      <c r="B418" s="100">
        <v>44607.0</v>
      </c>
      <c r="C418" s="101">
        <v>0.33814814814814814</v>
      </c>
      <c r="D418" s="102"/>
      <c r="E418" s="102"/>
      <c r="F418" s="102"/>
      <c r="G418" s="102"/>
      <c r="H418" s="102"/>
      <c r="I418" s="103"/>
      <c r="J418" s="103"/>
      <c r="K418" s="2" t="s">
        <v>244</v>
      </c>
      <c r="L418" s="100">
        <v>44607.0</v>
      </c>
      <c r="M418" s="101">
        <v>0.5868171296296296</v>
      </c>
      <c r="P418" s="104" t="b">
        <f>IFNA(IF(VLOOKUP($A418,'Add from APT'!$AA$2:$AC826,3,FALSE)&gt;0,TRUE,FALSE),"ER - NOT IN APT")</f>
        <v>0</v>
      </c>
      <c r="Q418" s="105" t="str">
        <f>IF(ISLOGICAL(P418),IF(P418,"ER - REPS IN APT", IFNA(VLOOKUP($A418,RAW_APT!$A$3:$M826,7,FALSE),"ER - NOT IN APT")),P418)</f>
        <v>Result</v>
      </c>
      <c r="R418" s="106" t="b">
        <f t="shared" si="2"/>
        <v>1</v>
      </c>
      <c r="S418" s="107">
        <f t="shared" si="3"/>
        <v>1</v>
      </c>
      <c r="T418" s="143"/>
      <c r="U418" s="142"/>
      <c r="V418" s="142"/>
      <c r="W418" s="142"/>
      <c r="X418" s="110" t="b">
        <f t="shared" si="4"/>
        <v>0</v>
      </c>
      <c r="Y418" s="111" t="b">
        <v>0</v>
      </c>
      <c r="Z418" s="104" t="str">
        <f t="shared" si="5"/>
        <v/>
      </c>
      <c r="AA418" s="112" t="b">
        <f t="shared" si="6"/>
        <v>0</v>
      </c>
      <c r="AB418" s="142" t="b">
        <v>0</v>
      </c>
      <c r="AC418" s="140">
        <v>390.0</v>
      </c>
      <c r="AD418" s="141" t="b">
        <v>0</v>
      </c>
      <c r="AE418" s="115">
        <f t="shared" si="7"/>
        <v>358.0833333</v>
      </c>
      <c r="AF418" s="116" t="b">
        <f t="shared" si="8"/>
        <v>0</v>
      </c>
      <c r="AG418" s="105" t="b">
        <f t="shared" si="9"/>
        <v>0</v>
      </c>
      <c r="AH418" s="140"/>
      <c r="AI418" s="140"/>
      <c r="AJ418" s="140"/>
      <c r="AK418" s="117" t="str">
        <f t="shared" si="10"/>
        <v>Negative</v>
      </c>
      <c r="AL418" s="142"/>
      <c r="AM418" s="112" t="s">
        <v>1294</v>
      </c>
      <c r="AN418" s="112" t="s">
        <v>1295</v>
      </c>
      <c r="AO418" s="112" t="str">
        <f>IFERROR(__xludf.DUMMYFUNCTION("IF($AG418, ""DELETED"",TRIM(JOIN("" "",D418:E418)))"),"")</f>
        <v/>
      </c>
      <c r="AP418" s="112" t="str">
        <f t="shared" ref="AP418:AQ418" si="443">IF($AG418, "DELETED", TRIM(CONCATENATE(F418,I418,U418)))</f>
        <v/>
      </c>
      <c r="AQ418" s="112" t="str">
        <f t="shared" si="443"/>
        <v/>
      </c>
      <c r="AR418" s="112" t="str">
        <f>IFERROR(__xludf.DUMMYFUNCTION("IF($AG418, ""DELETED"", TRIM(JOIN("" "",AP418,AQ418)))"),"")</f>
        <v/>
      </c>
      <c r="AS418" s="118"/>
      <c r="AT418" s="110" t="b">
        <f t="shared" si="12"/>
        <v>0</v>
      </c>
      <c r="AU418" s="110" t="str">
        <f t="shared" si="13"/>
        <v/>
      </c>
      <c r="AV418" s="110" t="str">
        <f t="shared" si="14"/>
        <v/>
      </c>
      <c r="AW418" s="110" t="str">
        <f t="shared" si="15"/>
        <v/>
      </c>
      <c r="AX418" s="119" t="str">
        <f t="shared" si="16"/>
        <v/>
      </c>
      <c r="AY418" s="120"/>
      <c r="AZ418" s="121"/>
      <c r="BA418" s="122" t="str">
        <f t="shared" si="17"/>
        <v/>
      </c>
      <c r="BB418" s="34"/>
      <c r="BC418" s="121"/>
      <c r="BD418" s="136"/>
      <c r="BE418" s="125" t="str">
        <f t="shared" si="18"/>
        <v/>
      </c>
      <c r="BF418" s="126" t="str">
        <f t="shared" si="19"/>
        <v>MA301__44607_0.338148148148148</v>
      </c>
      <c r="BG418" s="127" t="str">
        <f t="shared" si="20"/>
        <v/>
      </c>
      <c r="BH418" s="137" t="s">
        <v>1296</v>
      </c>
      <c r="BI418" s="128" t="str">
        <f t="shared" si="21"/>
        <v>MA1245</v>
      </c>
      <c r="BJ418" s="129" t="b">
        <f t="shared" si="22"/>
        <v>0</v>
      </c>
      <c r="BK418" s="128" t="str">
        <f t="shared" si="23"/>
        <v/>
      </c>
      <c r="BL418" s="121"/>
      <c r="BM418" s="5" t="str">
        <f t="shared" si="24"/>
        <v>MISSING</v>
      </c>
      <c r="BN418" s="120" t="b">
        <f t="shared" si="25"/>
        <v>0</v>
      </c>
      <c r="BO418" s="131" t="b">
        <f t="shared" si="26"/>
        <v>1</v>
      </c>
      <c r="BP418" s="121"/>
      <c r="BQ418" s="132" t="str">
        <f>VLOOKUP(A418,RAW_APS!A$3:O826,15,FALSE)</f>
        <v/>
      </c>
      <c r="BR418" s="120" t="b">
        <f t="shared" si="27"/>
        <v>1</v>
      </c>
      <c r="BS418" s="121"/>
      <c r="BT418" s="138" t="s">
        <v>244</v>
      </c>
      <c r="BU418" s="10" t="b">
        <f t="shared" si="28"/>
        <v>1</v>
      </c>
      <c r="BV418" s="120"/>
      <c r="BW418" s="120"/>
      <c r="BX418" s="120"/>
      <c r="BY418" s="120"/>
      <c r="BZ418" s="120"/>
      <c r="CA418" s="120"/>
      <c r="CB418" s="120"/>
      <c r="CC418" s="120"/>
    </row>
    <row r="419">
      <c r="A419" s="2" t="s">
        <v>1297</v>
      </c>
      <c r="B419" s="100">
        <v>44607.0</v>
      </c>
      <c r="C419" s="101">
        <v>0.34164351851851854</v>
      </c>
      <c r="D419" s="102"/>
      <c r="E419" s="102"/>
      <c r="F419" s="102"/>
      <c r="G419" s="102"/>
      <c r="H419" s="102"/>
      <c r="I419" s="103"/>
      <c r="J419" s="103"/>
      <c r="K419" s="2" t="s">
        <v>244</v>
      </c>
      <c r="L419" s="100">
        <v>44607.0</v>
      </c>
      <c r="M419" s="101">
        <v>0.5868171296296296</v>
      </c>
      <c r="P419" s="104" t="b">
        <f>IFNA(IF(VLOOKUP($A419,'Add from APT'!$AA$2:$AC826,3,FALSE)&gt;0,TRUE,FALSE),"ER - NOT IN APT")</f>
        <v>0</v>
      </c>
      <c r="Q419" s="105" t="str">
        <f>IF(ISLOGICAL(P419),IF(P419,"ER - REPS IN APT", IFNA(VLOOKUP($A419,RAW_APT!$A$3:$M826,7,FALSE),"ER - NOT IN APT")),P419)</f>
        <v>Result</v>
      </c>
      <c r="R419" s="106" t="b">
        <f t="shared" si="2"/>
        <v>1</v>
      </c>
      <c r="S419" s="107">
        <f t="shared" si="3"/>
        <v>1</v>
      </c>
      <c r="T419" s="143"/>
      <c r="U419" s="142"/>
      <c r="V419" s="142"/>
      <c r="W419" s="142"/>
      <c r="X419" s="110" t="b">
        <f t="shared" si="4"/>
        <v>0</v>
      </c>
      <c r="Y419" s="111" t="b">
        <v>0</v>
      </c>
      <c r="Z419" s="104" t="str">
        <f t="shared" si="5"/>
        <v/>
      </c>
      <c r="AA419" s="112" t="b">
        <f t="shared" si="6"/>
        <v>0</v>
      </c>
      <c r="AB419" s="142" t="b">
        <v>0</v>
      </c>
      <c r="AC419" s="140">
        <v>389.0</v>
      </c>
      <c r="AD419" s="141" t="b">
        <v>0</v>
      </c>
      <c r="AE419" s="115">
        <f t="shared" si="7"/>
        <v>353.05</v>
      </c>
      <c r="AF419" s="116" t="b">
        <f t="shared" si="8"/>
        <v>0</v>
      </c>
      <c r="AG419" s="105" t="b">
        <f t="shared" si="9"/>
        <v>0</v>
      </c>
      <c r="AH419" s="140"/>
      <c r="AI419" s="140"/>
      <c r="AJ419" s="140"/>
      <c r="AK419" s="117" t="str">
        <f t="shared" si="10"/>
        <v>Negative</v>
      </c>
      <c r="AL419" s="142"/>
      <c r="AM419" s="112" t="s">
        <v>1298</v>
      </c>
      <c r="AN419" s="112" t="s">
        <v>1299</v>
      </c>
      <c r="AO419" s="112" t="str">
        <f>IFERROR(__xludf.DUMMYFUNCTION("IF($AG419, ""DELETED"",TRIM(JOIN("" "",D419:E419)))"),"")</f>
        <v/>
      </c>
      <c r="AP419" s="112" t="str">
        <f t="shared" ref="AP419:AQ419" si="444">IF($AG419, "DELETED", TRIM(CONCATENATE(F419,I419,U419)))</f>
        <v/>
      </c>
      <c r="AQ419" s="112" t="str">
        <f t="shared" si="444"/>
        <v/>
      </c>
      <c r="AR419" s="112" t="str">
        <f>IFERROR(__xludf.DUMMYFUNCTION("IF($AG419, ""DELETED"", TRIM(JOIN("" "",AP419,AQ419)))"),"")</f>
        <v/>
      </c>
      <c r="AS419" s="118"/>
      <c r="AT419" s="110" t="b">
        <f t="shared" si="12"/>
        <v>0</v>
      </c>
      <c r="AU419" s="110" t="str">
        <f t="shared" si="13"/>
        <v/>
      </c>
      <c r="AV419" s="110" t="str">
        <f t="shared" si="14"/>
        <v/>
      </c>
      <c r="AW419" s="110" t="str">
        <f t="shared" si="15"/>
        <v/>
      </c>
      <c r="AX419" s="119" t="str">
        <f t="shared" si="16"/>
        <v/>
      </c>
      <c r="AY419" s="120"/>
      <c r="AZ419" s="121"/>
      <c r="BA419" s="122" t="str">
        <f t="shared" si="17"/>
        <v/>
      </c>
      <c r="BB419" s="34"/>
      <c r="BC419" s="121"/>
      <c r="BD419" s="136"/>
      <c r="BE419" s="125" t="str">
        <f t="shared" si="18"/>
        <v/>
      </c>
      <c r="BF419" s="126" t="str">
        <f t="shared" si="19"/>
        <v>MA412__44607_0.341643518518519</v>
      </c>
      <c r="BG419" s="127" t="str">
        <f t="shared" si="20"/>
        <v/>
      </c>
      <c r="BH419" s="137" t="s">
        <v>1300</v>
      </c>
      <c r="BI419" s="128" t="str">
        <f t="shared" si="21"/>
        <v>MA1248</v>
      </c>
      <c r="BJ419" s="129" t="b">
        <f t="shared" si="22"/>
        <v>0</v>
      </c>
      <c r="BK419" s="128" t="str">
        <f t="shared" si="23"/>
        <v/>
      </c>
      <c r="BL419" s="121"/>
      <c r="BM419" s="5" t="str">
        <f t="shared" si="24"/>
        <v>MISSING</v>
      </c>
      <c r="BN419" s="120" t="b">
        <f t="shared" si="25"/>
        <v>0</v>
      </c>
      <c r="BO419" s="131" t="b">
        <f t="shared" si="26"/>
        <v>1</v>
      </c>
      <c r="BP419" s="121"/>
      <c r="BQ419" s="132" t="str">
        <f>VLOOKUP(A419,RAW_APS!A$3:O826,15,FALSE)</f>
        <v/>
      </c>
      <c r="BR419" s="120" t="b">
        <f t="shared" si="27"/>
        <v>1</v>
      </c>
      <c r="BS419" s="121"/>
      <c r="BT419" s="138" t="s">
        <v>244</v>
      </c>
      <c r="BU419" s="10" t="b">
        <f t="shared" si="28"/>
        <v>1</v>
      </c>
      <c r="BV419" s="120"/>
      <c r="BW419" s="120"/>
      <c r="BX419" s="120"/>
      <c r="BY419" s="120"/>
      <c r="BZ419" s="120"/>
      <c r="CA419" s="120"/>
      <c r="CB419" s="120"/>
      <c r="CC419" s="120"/>
    </row>
    <row r="420">
      <c r="A420" s="2" t="s">
        <v>1301</v>
      </c>
      <c r="B420" s="100">
        <v>44607.0</v>
      </c>
      <c r="C420" s="101">
        <v>0.3449537037037037</v>
      </c>
      <c r="D420" s="102"/>
      <c r="E420" s="102"/>
      <c r="F420" s="102"/>
      <c r="G420" s="102"/>
      <c r="H420" s="102"/>
      <c r="I420" s="103"/>
      <c r="J420" s="103"/>
      <c r="K420" s="2" t="s">
        <v>244</v>
      </c>
      <c r="L420" s="100">
        <v>44607.0</v>
      </c>
      <c r="M420" s="101">
        <v>0.5868171296296296</v>
      </c>
      <c r="P420" s="104" t="b">
        <f>IFNA(IF(VLOOKUP($A420,'Add from APT'!$AA$2:$AC826,3,FALSE)&gt;0,TRUE,FALSE),"ER - NOT IN APT")</f>
        <v>0</v>
      </c>
      <c r="Q420" s="105" t="str">
        <f>IF(ISLOGICAL(P420),IF(P420,"ER - REPS IN APT", IFNA(VLOOKUP($A420,RAW_APT!$A$3:$M826,7,FALSE),"ER - NOT IN APT")),P420)</f>
        <v>Result</v>
      </c>
      <c r="R420" s="106" t="b">
        <f t="shared" si="2"/>
        <v>1</v>
      </c>
      <c r="S420" s="107">
        <f t="shared" si="3"/>
        <v>1</v>
      </c>
      <c r="T420" s="143"/>
      <c r="U420" s="142"/>
      <c r="V420" s="142"/>
      <c r="W420" s="142"/>
      <c r="X420" s="110" t="b">
        <f t="shared" si="4"/>
        <v>0</v>
      </c>
      <c r="Y420" s="111" t="b">
        <v>0</v>
      </c>
      <c r="Z420" s="104" t="str">
        <f t="shared" si="5"/>
        <v/>
      </c>
      <c r="AA420" s="112" t="b">
        <f t="shared" si="6"/>
        <v>0</v>
      </c>
      <c r="AB420" s="142" t="b">
        <v>0</v>
      </c>
      <c r="AC420" s="140">
        <v>388.0</v>
      </c>
      <c r="AD420" s="141" t="b">
        <v>0</v>
      </c>
      <c r="AE420" s="115">
        <f t="shared" si="7"/>
        <v>348.2833333</v>
      </c>
      <c r="AF420" s="116" t="b">
        <f t="shared" si="8"/>
        <v>0</v>
      </c>
      <c r="AG420" s="105" t="b">
        <f t="shared" si="9"/>
        <v>0</v>
      </c>
      <c r="AH420" s="140"/>
      <c r="AI420" s="140"/>
      <c r="AJ420" s="140"/>
      <c r="AK420" s="117" t="str">
        <f t="shared" si="10"/>
        <v>Negative</v>
      </c>
      <c r="AL420" s="142"/>
      <c r="AM420" s="112" t="s">
        <v>457</v>
      </c>
      <c r="AN420" s="112" t="s">
        <v>458</v>
      </c>
      <c r="AO420" s="112" t="str">
        <f>IFERROR(__xludf.DUMMYFUNCTION("IF($AG420, ""DELETED"",TRIM(JOIN("" "",D420:E420)))"),"")</f>
        <v/>
      </c>
      <c r="AP420" s="112" t="str">
        <f t="shared" ref="AP420:AQ420" si="445">IF($AG420, "DELETED", TRIM(CONCATENATE(F420,I420,U420)))</f>
        <v/>
      </c>
      <c r="AQ420" s="112" t="str">
        <f t="shared" si="445"/>
        <v/>
      </c>
      <c r="AR420" s="112" t="str">
        <f>IFERROR(__xludf.DUMMYFUNCTION("IF($AG420, ""DELETED"", TRIM(JOIN("" "",AP420,AQ420)))"),"")</f>
        <v/>
      </c>
      <c r="AS420" s="118"/>
      <c r="AT420" s="110" t="b">
        <f t="shared" si="12"/>
        <v>0</v>
      </c>
      <c r="AU420" s="110" t="str">
        <f t="shared" si="13"/>
        <v/>
      </c>
      <c r="AV420" s="110" t="str">
        <f t="shared" si="14"/>
        <v/>
      </c>
      <c r="AW420" s="110" t="str">
        <f t="shared" si="15"/>
        <v/>
      </c>
      <c r="AX420" s="119" t="str">
        <f t="shared" si="16"/>
        <v/>
      </c>
      <c r="AY420" s="120"/>
      <c r="AZ420" s="121"/>
      <c r="BA420" s="122" t="str">
        <f t="shared" si="17"/>
        <v/>
      </c>
      <c r="BB420" s="34"/>
      <c r="BC420" s="121"/>
      <c r="BD420" s="136"/>
      <c r="BE420" s="125" t="str">
        <f t="shared" si="18"/>
        <v/>
      </c>
      <c r="BF420" s="126" t="str">
        <f t="shared" si="19"/>
        <v>FM34__44607_0.344953703703704</v>
      </c>
      <c r="BG420" s="127" t="str">
        <f t="shared" si="20"/>
        <v/>
      </c>
      <c r="BH420" s="137" t="s">
        <v>1302</v>
      </c>
      <c r="BI420" s="128" t="str">
        <f t="shared" si="21"/>
        <v>MA1251</v>
      </c>
      <c r="BJ420" s="129" t="b">
        <f t="shared" si="22"/>
        <v>0</v>
      </c>
      <c r="BK420" s="128" t="str">
        <f t="shared" si="23"/>
        <v/>
      </c>
      <c r="BL420" s="121"/>
      <c r="BM420" s="5" t="str">
        <f t="shared" si="24"/>
        <v>MISSING</v>
      </c>
      <c r="BN420" s="120" t="b">
        <f t="shared" si="25"/>
        <v>0</v>
      </c>
      <c r="BO420" s="131" t="b">
        <f t="shared" si="26"/>
        <v>1</v>
      </c>
      <c r="BP420" s="121"/>
      <c r="BQ420" s="132" t="str">
        <f>VLOOKUP(A420,RAW_APS!A$3:O826,15,FALSE)</f>
        <v/>
      </c>
      <c r="BR420" s="120" t="b">
        <f t="shared" si="27"/>
        <v>1</v>
      </c>
      <c r="BS420" s="121"/>
      <c r="BT420" s="138" t="s">
        <v>244</v>
      </c>
      <c r="BU420" s="10" t="b">
        <f t="shared" si="28"/>
        <v>1</v>
      </c>
      <c r="BV420" s="120"/>
      <c r="BW420" s="120"/>
      <c r="BX420" s="120"/>
      <c r="BY420" s="120"/>
      <c r="BZ420" s="120"/>
      <c r="CA420" s="120"/>
      <c r="CB420" s="120"/>
      <c r="CC420" s="120"/>
    </row>
    <row r="421">
      <c r="A421" s="2" t="s">
        <v>1303</v>
      </c>
      <c r="B421" s="100">
        <v>44607.0</v>
      </c>
      <c r="C421" s="101">
        <v>0.3477546296296296</v>
      </c>
      <c r="D421" s="102"/>
      <c r="E421" s="102"/>
      <c r="F421" s="102"/>
      <c r="G421" s="102"/>
      <c r="H421" s="102"/>
      <c r="I421" s="103"/>
      <c r="J421" s="103"/>
      <c r="K421" s="2" t="s">
        <v>244</v>
      </c>
      <c r="L421" s="100">
        <v>44607.0</v>
      </c>
      <c r="M421" s="101">
        <v>0.5868171296296296</v>
      </c>
      <c r="P421" s="104" t="b">
        <f>IFNA(IF(VLOOKUP($A421,'Add from APT'!$AA$2:$AC826,3,FALSE)&gt;0,TRUE,FALSE),"ER - NOT IN APT")</f>
        <v>0</v>
      </c>
      <c r="Q421" s="105" t="str">
        <f>IF(ISLOGICAL(P421),IF(P421,"ER - REPS IN APT", IFNA(VLOOKUP($A421,RAW_APT!$A$3:$M826,7,FALSE),"ER - NOT IN APT")),P421)</f>
        <v>Result</v>
      </c>
      <c r="R421" s="106" t="b">
        <f t="shared" si="2"/>
        <v>1</v>
      </c>
      <c r="S421" s="107">
        <f t="shared" si="3"/>
        <v>1</v>
      </c>
      <c r="T421" s="143"/>
      <c r="U421" s="142"/>
      <c r="V421" s="142"/>
      <c r="W421" s="142"/>
      <c r="X421" s="110" t="b">
        <f t="shared" si="4"/>
        <v>0</v>
      </c>
      <c r="Y421" s="111" t="b">
        <v>0</v>
      </c>
      <c r="Z421" s="104" t="str">
        <f t="shared" si="5"/>
        <v/>
      </c>
      <c r="AA421" s="112" t="b">
        <f t="shared" si="6"/>
        <v>0</v>
      </c>
      <c r="AB421" s="142" t="b">
        <v>0</v>
      </c>
      <c r="AC421" s="140">
        <v>387.0</v>
      </c>
      <c r="AD421" s="141" t="b">
        <v>0</v>
      </c>
      <c r="AE421" s="115">
        <f t="shared" si="7"/>
        <v>344.25</v>
      </c>
      <c r="AF421" s="116" t="b">
        <f t="shared" si="8"/>
        <v>0</v>
      </c>
      <c r="AG421" s="105" t="b">
        <f t="shared" si="9"/>
        <v>0</v>
      </c>
      <c r="AH421" s="140"/>
      <c r="AI421" s="140"/>
      <c r="AJ421" s="140"/>
      <c r="AK421" s="117" t="str">
        <f t="shared" si="10"/>
        <v>Negative</v>
      </c>
      <c r="AL421" s="142"/>
      <c r="AM421" s="112" t="s">
        <v>436</v>
      </c>
      <c r="AN421" s="112" t="s">
        <v>437</v>
      </c>
      <c r="AO421" s="112" t="str">
        <f>IFERROR(__xludf.DUMMYFUNCTION("IF($AG421, ""DELETED"",TRIM(JOIN("" "",D421:E421)))"),"")</f>
        <v/>
      </c>
      <c r="AP421" s="112" t="str">
        <f t="shared" ref="AP421:AQ421" si="446">IF($AG421, "DELETED", TRIM(CONCATENATE(F421,I421,U421)))</f>
        <v/>
      </c>
      <c r="AQ421" s="112" t="str">
        <f t="shared" si="446"/>
        <v/>
      </c>
      <c r="AR421" s="112" t="str">
        <f>IFERROR(__xludf.DUMMYFUNCTION("IF($AG421, ""DELETED"", TRIM(JOIN("" "",AP421,AQ421)))"),"")</f>
        <v/>
      </c>
      <c r="AS421" s="118"/>
      <c r="AT421" s="110" t="b">
        <f t="shared" si="12"/>
        <v>0</v>
      </c>
      <c r="AU421" s="110" t="str">
        <f t="shared" si="13"/>
        <v/>
      </c>
      <c r="AV421" s="110" t="str">
        <f t="shared" si="14"/>
        <v/>
      </c>
      <c r="AW421" s="110" t="str">
        <f t="shared" si="15"/>
        <v/>
      </c>
      <c r="AX421" s="119" t="str">
        <f t="shared" si="16"/>
        <v/>
      </c>
      <c r="AY421" s="120"/>
      <c r="AZ421" s="121"/>
      <c r="BA421" s="122" t="str">
        <f t="shared" si="17"/>
        <v/>
      </c>
      <c r="BB421" s="34"/>
      <c r="BC421" s="121"/>
      <c r="BD421" s="136"/>
      <c r="BE421" s="125" t="str">
        <f t="shared" si="18"/>
        <v/>
      </c>
      <c r="BF421" s="126" t="str">
        <f t="shared" si="19"/>
        <v>MA1029__44607_0.34775462962963</v>
      </c>
      <c r="BG421" s="127" t="str">
        <f t="shared" si="20"/>
        <v/>
      </c>
      <c r="BH421" s="137" t="s">
        <v>1304</v>
      </c>
      <c r="BI421" s="128" t="str">
        <f t="shared" si="21"/>
        <v>MA1252</v>
      </c>
      <c r="BJ421" s="129" t="b">
        <f t="shared" si="22"/>
        <v>0</v>
      </c>
      <c r="BK421" s="128" t="str">
        <f t="shared" si="23"/>
        <v/>
      </c>
      <c r="BL421" s="121"/>
      <c r="BM421" s="5" t="str">
        <f t="shared" si="24"/>
        <v>MISSING</v>
      </c>
      <c r="BN421" s="120" t="b">
        <f t="shared" si="25"/>
        <v>0</v>
      </c>
      <c r="BO421" s="131" t="b">
        <f t="shared" si="26"/>
        <v>1</v>
      </c>
      <c r="BP421" s="121"/>
      <c r="BQ421" s="132" t="str">
        <f>VLOOKUP(A421,RAW_APS!A$3:O826,15,FALSE)</f>
        <v/>
      </c>
      <c r="BR421" s="120" t="b">
        <f t="shared" si="27"/>
        <v>1</v>
      </c>
      <c r="BS421" s="121"/>
      <c r="BT421" s="138" t="s">
        <v>244</v>
      </c>
      <c r="BU421" s="10" t="b">
        <f t="shared" si="28"/>
        <v>1</v>
      </c>
      <c r="BV421" s="120"/>
      <c r="BW421" s="120"/>
      <c r="BX421" s="120"/>
      <c r="BY421" s="120"/>
      <c r="BZ421" s="120"/>
      <c r="CA421" s="120"/>
      <c r="CB421" s="120"/>
      <c r="CC421" s="120"/>
    </row>
    <row r="422">
      <c r="A422" s="2" t="s">
        <v>1305</v>
      </c>
      <c r="B422" s="100">
        <v>44607.0</v>
      </c>
      <c r="C422" s="101">
        <v>0.3717361111111111</v>
      </c>
      <c r="D422" s="102"/>
      <c r="E422" s="102"/>
      <c r="F422" s="102"/>
      <c r="G422" s="102"/>
      <c r="H422" s="102"/>
      <c r="I422" s="103"/>
      <c r="J422" s="103"/>
      <c r="K422" s="2" t="s">
        <v>244</v>
      </c>
      <c r="L422" s="100">
        <v>44607.0</v>
      </c>
      <c r="M422" s="101">
        <v>0.5868171296296296</v>
      </c>
      <c r="P422" s="104" t="b">
        <f>IFNA(IF(VLOOKUP($A422,'Add from APT'!$AA$2:$AC826,3,FALSE)&gt;0,TRUE,FALSE),"ER - NOT IN APT")</f>
        <v>0</v>
      </c>
      <c r="Q422" s="105" t="str">
        <f>IF(ISLOGICAL(P422),IF(P422,"ER - REPS IN APT", IFNA(VLOOKUP($A422,RAW_APT!$A$3:$M826,7,FALSE),"ER - NOT IN APT")),P422)</f>
        <v>Result</v>
      </c>
      <c r="R422" s="106" t="b">
        <f t="shared" si="2"/>
        <v>1</v>
      </c>
      <c r="S422" s="107">
        <f t="shared" si="3"/>
        <v>1</v>
      </c>
      <c r="T422" s="143"/>
      <c r="U422" s="142"/>
      <c r="V422" s="142"/>
      <c r="W422" s="142"/>
      <c r="X422" s="110" t="b">
        <f t="shared" si="4"/>
        <v>0</v>
      </c>
      <c r="Y422" s="111" t="b">
        <v>0</v>
      </c>
      <c r="Z422" s="104" t="str">
        <f t="shared" si="5"/>
        <v/>
      </c>
      <c r="AA422" s="112" t="b">
        <f t="shared" si="6"/>
        <v>0</v>
      </c>
      <c r="AB422" s="142" t="b">
        <v>0</v>
      </c>
      <c r="AC422" s="140">
        <v>386.0</v>
      </c>
      <c r="AD422" s="141" t="b">
        <v>0</v>
      </c>
      <c r="AE422" s="115">
        <f t="shared" si="7"/>
        <v>309.7166667</v>
      </c>
      <c r="AF422" s="116" t="b">
        <f t="shared" si="8"/>
        <v>0</v>
      </c>
      <c r="AG422" s="105" t="b">
        <f t="shared" si="9"/>
        <v>0</v>
      </c>
      <c r="AH422" s="140"/>
      <c r="AI422" s="140"/>
      <c r="AJ422" s="140"/>
      <c r="AK422" s="117" t="str">
        <f t="shared" si="10"/>
        <v>Negative</v>
      </c>
      <c r="AL422" s="142"/>
      <c r="AM422" s="112" t="s">
        <v>1306</v>
      </c>
      <c r="AN422" s="112" t="s">
        <v>1307</v>
      </c>
      <c r="AO422" s="112" t="str">
        <f>IFERROR(__xludf.DUMMYFUNCTION("IF($AG422, ""DELETED"",TRIM(JOIN("" "",D422:E422)))"),"")</f>
        <v/>
      </c>
      <c r="AP422" s="112" t="str">
        <f t="shared" ref="AP422:AQ422" si="447">IF($AG422, "DELETED", TRIM(CONCATENATE(F422,I422,U422)))</f>
        <v/>
      </c>
      <c r="AQ422" s="112" t="str">
        <f t="shared" si="447"/>
        <v/>
      </c>
      <c r="AR422" s="112" t="str">
        <f>IFERROR(__xludf.DUMMYFUNCTION("IF($AG422, ""DELETED"", TRIM(JOIN("" "",AP422,AQ422)))"),"")</f>
        <v/>
      </c>
      <c r="AS422" s="118"/>
      <c r="AT422" s="110" t="b">
        <f t="shared" si="12"/>
        <v>0</v>
      </c>
      <c r="AU422" s="110" t="str">
        <f t="shared" si="13"/>
        <v/>
      </c>
      <c r="AV422" s="110" t="str">
        <f t="shared" si="14"/>
        <v/>
      </c>
      <c r="AW422" s="110" t="str">
        <f t="shared" si="15"/>
        <v/>
      </c>
      <c r="AX422" s="119" t="str">
        <f t="shared" si="16"/>
        <v/>
      </c>
      <c r="AY422" s="120"/>
      <c r="AZ422" s="121"/>
      <c r="BA422" s="122" t="str">
        <f t="shared" si="17"/>
        <v/>
      </c>
      <c r="BB422" s="34"/>
      <c r="BC422" s="121"/>
      <c r="BD422" s="136"/>
      <c r="BE422" s="125" t="str">
        <f t="shared" si="18"/>
        <v/>
      </c>
      <c r="BF422" s="126" t="str">
        <f t="shared" si="19"/>
        <v>FM428__44607_0.371736111111111</v>
      </c>
      <c r="BG422" s="127" t="str">
        <f t="shared" si="20"/>
        <v/>
      </c>
      <c r="BH422" s="137" t="s">
        <v>1308</v>
      </c>
      <c r="BI422" s="128" t="str">
        <f t="shared" si="21"/>
        <v>MA1253</v>
      </c>
      <c r="BJ422" s="129" t="b">
        <f t="shared" si="22"/>
        <v>0</v>
      </c>
      <c r="BK422" s="128" t="str">
        <f t="shared" si="23"/>
        <v/>
      </c>
      <c r="BL422" s="121"/>
      <c r="BM422" s="5" t="str">
        <f t="shared" si="24"/>
        <v>MISSING</v>
      </c>
      <c r="BN422" s="120" t="b">
        <f t="shared" si="25"/>
        <v>0</v>
      </c>
      <c r="BO422" s="131" t="b">
        <f t="shared" si="26"/>
        <v>1</v>
      </c>
      <c r="BP422" s="121"/>
      <c r="BQ422" s="132" t="str">
        <f>VLOOKUP(A422,RAW_APS!A$3:O826,15,FALSE)</f>
        <v/>
      </c>
      <c r="BR422" s="120" t="b">
        <f t="shared" si="27"/>
        <v>1</v>
      </c>
      <c r="BS422" s="121"/>
      <c r="BT422" s="138" t="s">
        <v>244</v>
      </c>
      <c r="BU422" s="10" t="b">
        <f t="shared" si="28"/>
        <v>1</v>
      </c>
      <c r="BV422" s="120"/>
      <c r="BW422" s="120"/>
      <c r="BX422" s="120"/>
      <c r="BY422" s="120"/>
      <c r="BZ422" s="120"/>
      <c r="CA422" s="120"/>
      <c r="CB422" s="120"/>
      <c r="CC422" s="120"/>
    </row>
    <row r="423">
      <c r="A423" s="2" t="s">
        <v>1309</v>
      </c>
      <c r="B423" s="100">
        <v>44607.0</v>
      </c>
      <c r="C423" s="101">
        <v>0.3924884259259259</v>
      </c>
      <c r="D423" s="102"/>
      <c r="E423" s="102"/>
      <c r="F423" s="102"/>
      <c r="G423" s="102"/>
      <c r="H423" s="102"/>
      <c r="I423" s="103"/>
      <c r="J423" s="103"/>
      <c r="K423" s="2" t="s">
        <v>244</v>
      </c>
      <c r="L423" s="100">
        <v>44607.0</v>
      </c>
      <c r="M423" s="101">
        <v>0.5868171296296296</v>
      </c>
      <c r="P423" s="104" t="b">
        <f>IFNA(IF(VLOOKUP($A423,'Add from APT'!$AA$2:$AC826,3,FALSE)&gt;0,TRUE,FALSE),"ER - NOT IN APT")</f>
        <v>0</v>
      </c>
      <c r="Q423" s="105" t="str">
        <f>IF(ISLOGICAL(P423),IF(P423,"ER - REPS IN APT", IFNA(VLOOKUP($A423,RAW_APT!$A$3:$M826,7,FALSE),"ER - NOT IN APT")),P423)</f>
        <v>Result</v>
      </c>
      <c r="R423" s="106" t="b">
        <f t="shared" si="2"/>
        <v>1</v>
      </c>
      <c r="S423" s="107">
        <f t="shared" si="3"/>
        <v>4</v>
      </c>
      <c r="T423" s="108"/>
      <c r="U423" s="109"/>
      <c r="V423" s="109"/>
      <c r="W423" s="109"/>
      <c r="X423" s="110" t="b">
        <f t="shared" si="4"/>
        <v>0</v>
      </c>
      <c r="Y423" s="111" t="b">
        <v>0</v>
      </c>
      <c r="Z423" s="104" t="str">
        <f t="shared" si="5"/>
        <v/>
      </c>
      <c r="AA423" s="112" t="b">
        <f t="shared" si="6"/>
        <v>0</v>
      </c>
      <c r="AB423" s="109" t="b">
        <v>0</v>
      </c>
      <c r="AC423" s="113">
        <v>382.0</v>
      </c>
      <c r="AD423" s="114" t="b">
        <v>0</v>
      </c>
      <c r="AE423" s="115">
        <f t="shared" si="7"/>
        <v>279.8333333</v>
      </c>
      <c r="AF423" s="116" t="b">
        <f t="shared" si="8"/>
        <v>0</v>
      </c>
      <c r="AG423" s="105" t="b">
        <f t="shared" si="9"/>
        <v>1</v>
      </c>
      <c r="AH423" s="113">
        <v>7.0</v>
      </c>
      <c r="AI423" s="113"/>
      <c r="AJ423" s="113"/>
      <c r="AK423" s="117" t="str">
        <f t="shared" si="10"/>
        <v>DELETED</v>
      </c>
      <c r="AL423" s="109"/>
      <c r="AM423" s="112" t="s">
        <v>245</v>
      </c>
      <c r="AN423" s="112" t="s">
        <v>245</v>
      </c>
      <c r="AO423" s="112" t="str">
        <f>IFERROR(__xludf.DUMMYFUNCTION("IF($AG423, ""DELETED"",TRIM(JOIN("" "",D423:E423)))"),"DELETED")</f>
        <v>DELETED</v>
      </c>
      <c r="AP423" s="112" t="str">
        <f t="shared" ref="AP423:AQ423" si="448">IF($AG423, "DELETED", TRIM(CONCATENATE(F423,I423,U423)))</f>
        <v>DELETED</v>
      </c>
      <c r="AQ423" s="112" t="str">
        <f t="shared" si="448"/>
        <v>DELETED</v>
      </c>
      <c r="AR423" s="112" t="str">
        <f>IFERROR(__xludf.DUMMYFUNCTION("IF($AG423, ""DELETED"", TRIM(JOIN("" "",AP423,AQ423)))"),"DELETED")</f>
        <v>DELETED</v>
      </c>
      <c r="AS423" s="118"/>
      <c r="AT423" s="110" t="b">
        <f t="shared" si="12"/>
        <v>1</v>
      </c>
      <c r="AU423" s="110" t="str">
        <f t="shared" si="13"/>
        <v/>
      </c>
      <c r="AV423" s="110" t="str">
        <f t="shared" si="14"/>
        <v/>
      </c>
      <c r="AW423" s="110" t="str">
        <f t="shared" si="15"/>
        <v/>
      </c>
      <c r="AX423" s="119" t="str">
        <f t="shared" si="16"/>
        <v/>
      </c>
      <c r="AY423" s="120"/>
      <c r="AZ423" s="121"/>
      <c r="BA423" s="122" t="str">
        <f t="shared" si="17"/>
        <v/>
      </c>
      <c r="BB423" s="34"/>
      <c r="BC423" s="121"/>
      <c r="BD423" s="136"/>
      <c r="BE423" s="125" t="str">
        <f t="shared" si="18"/>
        <v/>
      </c>
      <c r="BF423" s="126" t="str">
        <f t="shared" si="19"/>
        <v>MA312__44607_0.392488425925926</v>
      </c>
      <c r="BG423" s="127" t="str">
        <f t="shared" si="20"/>
        <v/>
      </c>
      <c r="BH423" s="137" t="s">
        <v>1310</v>
      </c>
      <c r="BI423" s="128" t="str">
        <f t="shared" si="21"/>
        <v>MA1254</v>
      </c>
      <c r="BJ423" s="129" t="b">
        <f t="shared" si="22"/>
        <v>0</v>
      </c>
      <c r="BK423" s="128" t="str">
        <f t="shared" si="23"/>
        <v/>
      </c>
      <c r="BL423" s="121"/>
      <c r="BM423" s="5" t="str">
        <f t="shared" si="24"/>
        <v/>
      </c>
      <c r="BN423" s="120" t="b">
        <f t="shared" si="25"/>
        <v>0</v>
      </c>
      <c r="BO423" s="131" t="b">
        <f t="shared" si="26"/>
        <v>0</v>
      </c>
      <c r="BP423" s="121"/>
      <c r="BQ423" s="132" t="str">
        <f>VLOOKUP(A423,RAW_APS!A$3:O826,15,FALSE)</f>
        <v/>
      </c>
      <c r="BR423" s="120" t="b">
        <f t="shared" si="27"/>
        <v>1</v>
      </c>
      <c r="BS423" s="121"/>
      <c r="BT423" s="138" t="s">
        <v>245</v>
      </c>
      <c r="BU423" s="10" t="b">
        <f t="shared" si="28"/>
        <v>1</v>
      </c>
      <c r="BV423" s="120"/>
      <c r="BW423" s="120"/>
      <c r="BX423" s="120"/>
      <c r="BY423" s="120"/>
      <c r="BZ423" s="120"/>
      <c r="CA423" s="120"/>
      <c r="CB423" s="120"/>
      <c r="CC423" s="120"/>
    </row>
    <row r="424">
      <c r="A424" s="2" t="s">
        <v>1309</v>
      </c>
      <c r="B424" s="100">
        <v>44607.0</v>
      </c>
      <c r="C424" s="101">
        <v>0.3924884259259259</v>
      </c>
      <c r="D424" s="102"/>
      <c r="E424" s="102"/>
      <c r="F424" s="102"/>
      <c r="G424" s="102"/>
      <c r="H424" s="102"/>
      <c r="I424" s="103"/>
      <c r="J424" s="103"/>
      <c r="K424" s="2" t="s">
        <v>244</v>
      </c>
      <c r="L424" s="100">
        <v>44607.0</v>
      </c>
      <c r="M424" s="101">
        <v>0.5868171296296296</v>
      </c>
      <c r="P424" s="104" t="b">
        <f>IFNA(IF(VLOOKUP($A424,'Add from APT'!$AA$2:$AC826,3,FALSE)&gt;0,TRUE,FALSE),"ER - NOT IN APT")</f>
        <v>0</v>
      </c>
      <c r="Q424" s="105" t="str">
        <f>IF(ISLOGICAL(P424),IF(P424,"ER - REPS IN APT", IFNA(VLOOKUP($A424,RAW_APT!$A$3:$M826,7,FALSE),"ER - NOT IN APT")),P424)</f>
        <v>Result</v>
      </c>
      <c r="R424" s="106" t="b">
        <f t="shared" si="2"/>
        <v>0</v>
      </c>
      <c r="S424" s="107">
        <f t="shared" si="3"/>
        <v>4</v>
      </c>
      <c r="T424" s="108"/>
      <c r="U424" s="109"/>
      <c r="V424" s="109"/>
      <c r="W424" s="109"/>
      <c r="X424" s="110" t="b">
        <f t="shared" si="4"/>
        <v>0</v>
      </c>
      <c r="Y424" s="111" t="b">
        <v>0</v>
      </c>
      <c r="Z424" s="104" t="str">
        <f t="shared" si="5"/>
        <v/>
      </c>
      <c r="AA424" s="112" t="b">
        <f t="shared" si="6"/>
        <v>0</v>
      </c>
      <c r="AB424" s="109" t="b">
        <v>0</v>
      </c>
      <c r="AC424" s="113">
        <v>383.0</v>
      </c>
      <c r="AD424" s="114" t="b">
        <v>0</v>
      </c>
      <c r="AE424" s="115">
        <f t="shared" si="7"/>
        <v>279.8333333</v>
      </c>
      <c r="AF424" s="116" t="b">
        <f t="shared" si="8"/>
        <v>0</v>
      </c>
      <c r="AG424" s="105" t="b">
        <f t="shared" si="9"/>
        <v>1</v>
      </c>
      <c r="AH424" s="113">
        <v>7.0</v>
      </c>
      <c r="AI424" s="113"/>
      <c r="AJ424" s="113"/>
      <c r="AK424" s="117" t="str">
        <f t="shared" si="10"/>
        <v>DELETED</v>
      </c>
      <c r="AL424" s="109"/>
      <c r="AM424" s="112" t="s">
        <v>245</v>
      </c>
      <c r="AN424" s="112" t="s">
        <v>245</v>
      </c>
      <c r="AO424" s="112" t="str">
        <f>IFERROR(__xludf.DUMMYFUNCTION("IF($AG424, ""DELETED"",TRIM(JOIN("" "",D424:E424)))"),"DELETED")</f>
        <v>DELETED</v>
      </c>
      <c r="AP424" s="112" t="str">
        <f t="shared" ref="AP424:AQ424" si="449">IF($AG424, "DELETED", TRIM(CONCATENATE(F424,I424,U424)))</f>
        <v>DELETED</v>
      </c>
      <c r="AQ424" s="112" t="str">
        <f t="shared" si="449"/>
        <v>DELETED</v>
      </c>
      <c r="AR424" s="112" t="str">
        <f>IFERROR(__xludf.DUMMYFUNCTION("IF($AG424, ""DELETED"", TRIM(JOIN("" "",AP424,AQ424)))"),"DELETED")</f>
        <v>DELETED</v>
      </c>
      <c r="AS424" s="118"/>
      <c r="AT424" s="110" t="b">
        <f t="shared" si="12"/>
        <v>1</v>
      </c>
      <c r="AU424" s="110" t="str">
        <f t="shared" si="13"/>
        <v/>
      </c>
      <c r="AV424" s="110" t="str">
        <f t="shared" si="14"/>
        <v/>
      </c>
      <c r="AW424" s="110" t="str">
        <f t="shared" si="15"/>
        <v/>
      </c>
      <c r="AX424" s="119" t="str">
        <f t="shared" si="16"/>
        <v/>
      </c>
      <c r="AY424" s="120"/>
      <c r="AZ424" s="121"/>
      <c r="BA424" s="122" t="str">
        <f t="shared" si="17"/>
        <v/>
      </c>
      <c r="BB424" s="34"/>
      <c r="BC424" s="121"/>
      <c r="BD424" s="136"/>
      <c r="BE424" s="125" t="str">
        <f t="shared" si="18"/>
        <v/>
      </c>
      <c r="BF424" s="126" t="str">
        <f t="shared" si="19"/>
        <v>MA312__44607_0.392488425925926</v>
      </c>
      <c r="BG424" s="127" t="str">
        <f t="shared" si="20"/>
        <v/>
      </c>
      <c r="BH424" s="137" t="s">
        <v>1311</v>
      </c>
      <c r="BI424" s="128" t="str">
        <f t="shared" si="21"/>
        <v>MA1255</v>
      </c>
      <c r="BJ424" s="129" t="b">
        <f t="shared" si="22"/>
        <v>0</v>
      </c>
      <c r="BK424" s="128" t="str">
        <f t="shared" si="23"/>
        <v/>
      </c>
      <c r="BL424" s="121"/>
      <c r="BM424" s="5" t="str">
        <f t="shared" si="24"/>
        <v/>
      </c>
      <c r="BN424" s="120" t="b">
        <f t="shared" si="25"/>
        <v>0</v>
      </c>
      <c r="BO424" s="131" t="b">
        <f t="shared" si="26"/>
        <v>0</v>
      </c>
      <c r="BP424" s="121"/>
      <c r="BQ424" s="132" t="str">
        <f>VLOOKUP(A424,RAW_APS!A$3:O826,15,FALSE)</f>
        <v/>
      </c>
      <c r="BR424" s="120" t="b">
        <f t="shared" si="27"/>
        <v>1</v>
      </c>
      <c r="BS424" s="121"/>
      <c r="BT424" s="138" t="s">
        <v>245</v>
      </c>
      <c r="BU424" s="10" t="b">
        <f t="shared" si="28"/>
        <v>1</v>
      </c>
      <c r="BV424" s="120"/>
      <c r="BW424" s="120"/>
      <c r="BX424" s="120"/>
      <c r="BY424" s="120"/>
      <c r="BZ424" s="120"/>
      <c r="CA424" s="120"/>
      <c r="CB424" s="120"/>
      <c r="CC424" s="120"/>
    </row>
    <row r="425">
      <c r="A425" s="2" t="s">
        <v>1309</v>
      </c>
      <c r="B425" s="100">
        <v>44607.0</v>
      </c>
      <c r="C425" s="101">
        <v>0.3924884259259259</v>
      </c>
      <c r="D425" s="102"/>
      <c r="E425" s="102"/>
      <c r="F425" s="102"/>
      <c r="G425" s="102"/>
      <c r="H425" s="102"/>
      <c r="I425" s="103"/>
      <c r="J425" s="103"/>
      <c r="K425" s="2" t="s">
        <v>244</v>
      </c>
      <c r="L425" s="100">
        <v>44607.0</v>
      </c>
      <c r="M425" s="101">
        <v>0.5868171296296296</v>
      </c>
      <c r="P425" s="104" t="b">
        <f>IFNA(IF(VLOOKUP($A425,'Add from APT'!$AA$2:$AC826,3,FALSE)&gt;0,TRUE,FALSE),"ER - NOT IN APT")</f>
        <v>0</v>
      </c>
      <c r="Q425" s="105" t="str">
        <f>IF(ISLOGICAL(P425),IF(P425,"ER - REPS IN APT", IFNA(VLOOKUP($A425,RAW_APT!$A$3:$M826,7,FALSE),"ER - NOT IN APT")),P425)</f>
        <v>Result</v>
      </c>
      <c r="R425" s="106" t="b">
        <f t="shared" si="2"/>
        <v>0</v>
      </c>
      <c r="S425" s="107">
        <f t="shared" si="3"/>
        <v>4</v>
      </c>
      <c r="T425" s="108"/>
      <c r="U425" s="109"/>
      <c r="V425" s="109"/>
      <c r="W425" s="109"/>
      <c r="X425" s="110" t="b">
        <f t="shared" si="4"/>
        <v>0</v>
      </c>
      <c r="Y425" s="111" t="b">
        <v>0</v>
      </c>
      <c r="Z425" s="104" t="str">
        <f t="shared" si="5"/>
        <v/>
      </c>
      <c r="AA425" s="112" t="b">
        <f t="shared" si="6"/>
        <v>0</v>
      </c>
      <c r="AB425" s="109" t="b">
        <v>0</v>
      </c>
      <c r="AC425" s="113">
        <v>385.0</v>
      </c>
      <c r="AD425" s="114" t="b">
        <v>0</v>
      </c>
      <c r="AE425" s="115">
        <f t="shared" si="7"/>
        <v>279.8333333</v>
      </c>
      <c r="AF425" s="116" t="b">
        <f t="shared" si="8"/>
        <v>0</v>
      </c>
      <c r="AG425" s="105" t="b">
        <f t="shared" si="9"/>
        <v>1</v>
      </c>
      <c r="AH425" s="113">
        <v>7.0</v>
      </c>
      <c r="AI425" s="113"/>
      <c r="AJ425" s="113"/>
      <c r="AK425" s="117" t="str">
        <f t="shared" si="10"/>
        <v>DELETED</v>
      </c>
      <c r="AL425" s="109"/>
      <c r="AM425" s="112" t="s">
        <v>245</v>
      </c>
      <c r="AN425" s="112" t="s">
        <v>245</v>
      </c>
      <c r="AO425" s="112" t="str">
        <f>IFERROR(__xludf.DUMMYFUNCTION("IF($AG425, ""DELETED"",TRIM(JOIN("" "",D425:E425)))"),"DELETED")</f>
        <v>DELETED</v>
      </c>
      <c r="AP425" s="112" t="str">
        <f t="shared" ref="AP425:AQ425" si="450">IF($AG425, "DELETED", TRIM(CONCATENATE(F425,I425,U425)))</f>
        <v>DELETED</v>
      </c>
      <c r="AQ425" s="112" t="str">
        <f t="shared" si="450"/>
        <v>DELETED</v>
      </c>
      <c r="AR425" s="112" t="str">
        <f>IFERROR(__xludf.DUMMYFUNCTION("IF($AG425, ""DELETED"", TRIM(JOIN("" "",AP425,AQ425)))"),"DELETED")</f>
        <v>DELETED</v>
      </c>
      <c r="AS425" s="118"/>
      <c r="AT425" s="110" t="b">
        <f t="shared" si="12"/>
        <v>1</v>
      </c>
      <c r="AU425" s="110" t="str">
        <f t="shared" si="13"/>
        <v/>
      </c>
      <c r="AV425" s="110" t="str">
        <f t="shared" si="14"/>
        <v/>
      </c>
      <c r="AW425" s="110" t="str">
        <f t="shared" si="15"/>
        <v/>
      </c>
      <c r="AX425" s="119" t="str">
        <f t="shared" si="16"/>
        <v/>
      </c>
      <c r="AY425" s="120"/>
      <c r="AZ425" s="121"/>
      <c r="BA425" s="122" t="str">
        <f t="shared" si="17"/>
        <v/>
      </c>
      <c r="BB425" s="34"/>
      <c r="BC425" s="121"/>
      <c r="BD425" s="136"/>
      <c r="BE425" s="125" t="str">
        <f t="shared" si="18"/>
        <v/>
      </c>
      <c r="BF425" s="126" t="str">
        <f t="shared" si="19"/>
        <v>MA312__44607_0.392488425925926</v>
      </c>
      <c r="BG425" s="127" t="str">
        <f t="shared" si="20"/>
        <v/>
      </c>
      <c r="BH425" s="137" t="s">
        <v>1312</v>
      </c>
      <c r="BI425" s="128" t="str">
        <f t="shared" si="21"/>
        <v>MA1257</v>
      </c>
      <c r="BJ425" s="129" t="b">
        <f t="shared" si="22"/>
        <v>0</v>
      </c>
      <c r="BK425" s="128" t="str">
        <f t="shared" si="23"/>
        <v/>
      </c>
      <c r="BL425" s="121"/>
      <c r="BM425" s="5" t="str">
        <f t="shared" si="24"/>
        <v/>
      </c>
      <c r="BN425" s="120" t="b">
        <f t="shared" si="25"/>
        <v>0</v>
      </c>
      <c r="BO425" s="131" t="b">
        <f t="shared" si="26"/>
        <v>0</v>
      </c>
      <c r="BP425" s="121"/>
      <c r="BQ425" s="132" t="str">
        <f>VLOOKUP(A425,RAW_APS!A$3:O826,15,FALSE)</f>
        <v/>
      </c>
      <c r="BR425" s="120" t="b">
        <f t="shared" si="27"/>
        <v>1</v>
      </c>
      <c r="BS425" s="121"/>
      <c r="BT425" s="138" t="s">
        <v>245</v>
      </c>
      <c r="BU425" s="10" t="b">
        <f t="shared" si="28"/>
        <v>1</v>
      </c>
      <c r="BV425" s="120"/>
      <c r="BW425" s="120"/>
      <c r="BX425" s="120"/>
      <c r="BY425" s="120"/>
      <c r="BZ425" s="120"/>
      <c r="CA425" s="120"/>
      <c r="CB425" s="120"/>
      <c r="CC425" s="120"/>
    </row>
    <row r="426">
      <c r="A426" s="2" t="s">
        <v>1309</v>
      </c>
      <c r="B426" s="100">
        <v>44607.0</v>
      </c>
      <c r="C426" s="101">
        <v>0.3924884259259259</v>
      </c>
      <c r="D426" s="102"/>
      <c r="E426" s="102"/>
      <c r="F426" s="102"/>
      <c r="G426" s="102"/>
      <c r="H426" s="102"/>
      <c r="I426" s="103"/>
      <c r="J426" s="103"/>
      <c r="K426" s="2" t="s">
        <v>244</v>
      </c>
      <c r="L426" s="100">
        <v>44607.0</v>
      </c>
      <c r="M426" s="101">
        <v>0.5868171296296296</v>
      </c>
      <c r="P426" s="104" t="b">
        <f>IFNA(IF(VLOOKUP($A426,'Add from APT'!$AA$2:$AC826,3,FALSE)&gt;0,TRUE,FALSE),"ER - NOT IN APT")</f>
        <v>0</v>
      </c>
      <c r="Q426" s="105" t="str">
        <f>IF(ISLOGICAL(P426),IF(P426,"ER - REPS IN APT", IFNA(VLOOKUP($A426,RAW_APT!$A$3:$M826,7,FALSE),"ER - NOT IN APT")),P426)</f>
        <v>Result</v>
      </c>
      <c r="R426" s="106" t="b">
        <f t="shared" si="2"/>
        <v>0</v>
      </c>
      <c r="S426" s="107">
        <f t="shared" si="3"/>
        <v>4</v>
      </c>
      <c r="T426" s="143"/>
      <c r="U426" s="142"/>
      <c r="V426" s="142"/>
      <c r="W426" s="142"/>
      <c r="X426" s="110" t="b">
        <f t="shared" si="4"/>
        <v>0</v>
      </c>
      <c r="Y426" s="111" t="b">
        <v>0</v>
      </c>
      <c r="Z426" s="104" t="str">
        <f t="shared" si="5"/>
        <v/>
      </c>
      <c r="AA426" s="112" t="b">
        <f t="shared" si="6"/>
        <v>0</v>
      </c>
      <c r="AB426" s="142" t="b">
        <v>0</v>
      </c>
      <c r="AC426" s="140">
        <v>384.0</v>
      </c>
      <c r="AD426" s="141" t="b">
        <v>0</v>
      </c>
      <c r="AE426" s="115">
        <f t="shared" si="7"/>
        <v>279.8333333</v>
      </c>
      <c r="AF426" s="116" t="b">
        <f t="shared" si="8"/>
        <v>0</v>
      </c>
      <c r="AG426" s="105" t="b">
        <f t="shared" si="9"/>
        <v>0</v>
      </c>
      <c r="AH426" s="140"/>
      <c r="AI426" s="140"/>
      <c r="AJ426" s="140"/>
      <c r="AK426" s="117" t="str">
        <f t="shared" si="10"/>
        <v>Negative</v>
      </c>
      <c r="AL426" s="142"/>
      <c r="AM426" s="112" t="s">
        <v>1313</v>
      </c>
      <c r="AN426" s="112" t="s">
        <v>1295</v>
      </c>
      <c r="AO426" s="112" t="str">
        <f>IFERROR(__xludf.DUMMYFUNCTION("IF($AG426, ""DELETED"",TRIM(JOIN("" "",D426:E426)))"),"")</f>
        <v/>
      </c>
      <c r="AP426" s="112" t="str">
        <f t="shared" ref="AP426:AQ426" si="451">IF($AG426, "DELETED", TRIM(CONCATENATE(F426,I426,U426)))</f>
        <v/>
      </c>
      <c r="AQ426" s="112" t="str">
        <f t="shared" si="451"/>
        <v/>
      </c>
      <c r="AR426" s="112" t="str">
        <f>IFERROR(__xludf.DUMMYFUNCTION("IF($AG426, ""DELETED"", TRIM(JOIN("" "",AP426,AQ426)))"),"")</f>
        <v/>
      </c>
      <c r="AS426" s="118"/>
      <c r="AT426" s="110" t="b">
        <f t="shared" si="12"/>
        <v>0</v>
      </c>
      <c r="AU426" s="110" t="str">
        <f t="shared" si="13"/>
        <v/>
      </c>
      <c r="AV426" s="110" t="str">
        <f t="shared" si="14"/>
        <v/>
      </c>
      <c r="AW426" s="110" t="str">
        <f t="shared" si="15"/>
        <v/>
      </c>
      <c r="AX426" s="119" t="str">
        <f t="shared" si="16"/>
        <v/>
      </c>
      <c r="AY426" s="120"/>
      <c r="AZ426" s="121"/>
      <c r="BA426" s="122" t="str">
        <f t="shared" si="17"/>
        <v/>
      </c>
      <c r="BB426" s="34"/>
      <c r="BC426" s="121"/>
      <c r="BD426" s="136"/>
      <c r="BE426" s="125" t="str">
        <f t="shared" si="18"/>
        <v/>
      </c>
      <c r="BF426" s="126" t="str">
        <f t="shared" si="19"/>
        <v>MA312__44607_0.392488425925926</v>
      </c>
      <c r="BG426" s="127" t="str">
        <f t="shared" si="20"/>
        <v/>
      </c>
      <c r="BH426" s="137" t="s">
        <v>1314</v>
      </c>
      <c r="BI426" s="128" t="str">
        <f t="shared" si="21"/>
        <v>MA1258</v>
      </c>
      <c r="BJ426" s="129" t="b">
        <f t="shared" si="22"/>
        <v>0</v>
      </c>
      <c r="BK426" s="128" t="str">
        <f t="shared" si="23"/>
        <v/>
      </c>
      <c r="BL426" s="121"/>
      <c r="BM426" s="5" t="str">
        <f t="shared" si="24"/>
        <v>MISSING</v>
      </c>
      <c r="BN426" s="120" t="b">
        <f t="shared" si="25"/>
        <v>0</v>
      </c>
      <c r="BO426" s="131" t="b">
        <f t="shared" si="26"/>
        <v>1</v>
      </c>
      <c r="BP426" s="121"/>
      <c r="BQ426" s="132" t="str">
        <f>VLOOKUP(A426,RAW_APS!A$3:O826,15,FALSE)</f>
        <v/>
      </c>
      <c r="BR426" s="120" t="b">
        <f t="shared" si="27"/>
        <v>1</v>
      </c>
      <c r="BS426" s="121"/>
      <c r="BT426" s="138" t="s">
        <v>244</v>
      </c>
      <c r="BU426" s="10" t="b">
        <f t="shared" si="28"/>
        <v>1</v>
      </c>
      <c r="BV426" s="120"/>
      <c r="BW426" s="120"/>
      <c r="BX426" s="120"/>
      <c r="BY426" s="120"/>
      <c r="BZ426" s="120"/>
      <c r="CA426" s="120"/>
      <c r="CB426" s="120"/>
      <c r="CC426" s="120"/>
    </row>
    <row r="427">
      <c r="A427" s="2" t="s">
        <v>1315</v>
      </c>
      <c r="B427" s="100">
        <v>44607.0</v>
      </c>
      <c r="C427" s="101">
        <v>0.5372106481481481</v>
      </c>
      <c r="D427" s="102"/>
      <c r="E427" s="102"/>
      <c r="F427" s="139"/>
      <c r="G427" s="139"/>
      <c r="H427" s="139"/>
      <c r="I427" s="103"/>
      <c r="J427" s="103"/>
      <c r="K427" s="2" t="s">
        <v>254</v>
      </c>
      <c r="L427" s="11"/>
      <c r="M427" s="11"/>
      <c r="N427" s="11"/>
      <c r="O427" s="11"/>
      <c r="P427" s="104" t="b">
        <f>IFNA(IF(VLOOKUP($A427,'Add from APT'!$AA$2:$AC826,3,FALSE)&gt;0,TRUE,FALSE),"ER - NOT IN APT")</f>
        <v>0</v>
      </c>
      <c r="Q427" s="105" t="str">
        <f>IF(ISLOGICAL(P427),IF(P427,"ER - REPS IN APT", IFNA(VLOOKUP($A427,RAW_APT!$A$3:$M826,7,FALSE),"ER - NOT IN APT")),P427)</f>
        <v>Collected</v>
      </c>
      <c r="R427" s="106" t="b">
        <f t="shared" si="2"/>
        <v>1</v>
      </c>
      <c r="S427" s="107">
        <f t="shared" si="3"/>
        <v>1</v>
      </c>
      <c r="T427" s="140">
        <v>0.0</v>
      </c>
      <c r="U427" s="141"/>
      <c r="V427" s="141"/>
      <c r="W427" s="141"/>
      <c r="X427" s="110" t="b">
        <f t="shared" si="4"/>
        <v>0</v>
      </c>
      <c r="Y427" s="111" t="b">
        <v>0</v>
      </c>
      <c r="Z427" s="104" t="str">
        <f t="shared" si="5"/>
        <v/>
      </c>
      <c r="AA427" s="112" t="b">
        <f t="shared" si="6"/>
        <v>0</v>
      </c>
      <c r="AB427" s="142" t="b">
        <v>0</v>
      </c>
      <c r="AC427" s="140">
        <v>381.0</v>
      </c>
      <c r="AD427" s="141" t="b">
        <v>0</v>
      </c>
      <c r="AE427" s="115" t="str">
        <f t="shared" si="7"/>
        <v/>
      </c>
      <c r="AF427" s="116" t="b">
        <f t="shared" si="8"/>
        <v>0</v>
      </c>
      <c r="AG427" s="105" t="b">
        <f t="shared" si="9"/>
        <v>0</v>
      </c>
      <c r="AH427" s="140"/>
      <c r="AI427" s="140"/>
      <c r="AJ427" s="140">
        <v>2.0</v>
      </c>
      <c r="AK427" s="117" t="str">
        <f t="shared" si="10"/>
        <v>Negative</v>
      </c>
      <c r="AL427" s="142"/>
      <c r="AM427" s="112" t="s">
        <v>261</v>
      </c>
      <c r="AN427" s="112" t="s">
        <v>1143</v>
      </c>
      <c r="AO427" s="112" t="str">
        <f>IFERROR(__xludf.DUMMYFUNCTION("IF($AG427, ""DELETED"",TRIM(JOIN("" "",D427:E427)))"),"")</f>
        <v/>
      </c>
      <c r="AP427" s="112" t="str">
        <f t="shared" ref="AP427:AQ427" si="452">IF($AG427, "DELETED", TRIM(CONCATENATE(F427,I427,U427)))</f>
        <v/>
      </c>
      <c r="AQ427" s="112" t="str">
        <f t="shared" si="452"/>
        <v/>
      </c>
      <c r="AR427" s="112" t="str">
        <f>IFERROR(__xludf.DUMMYFUNCTION("IF($AG427, ""DELETED"", TRIM(JOIN("" "",AP427,AQ427)))"),"")</f>
        <v/>
      </c>
      <c r="AS427" s="118"/>
      <c r="AT427" s="110" t="b">
        <f t="shared" si="12"/>
        <v>0</v>
      </c>
      <c r="AU427" s="110" t="str">
        <f t="shared" si="13"/>
        <v/>
      </c>
      <c r="AV427" s="110" t="str">
        <f t="shared" si="14"/>
        <v/>
      </c>
      <c r="AW427" s="110" t="str">
        <f t="shared" si="15"/>
        <v/>
      </c>
      <c r="AX427" s="119" t="str">
        <f t="shared" si="16"/>
        <v/>
      </c>
      <c r="AY427" s="120"/>
      <c r="AZ427" s="121"/>
      <c r="BA427" s="122" t="b">
        <f t="shared" si="17"/>
        <v>1</v>
      </c>
      <c r="BB427" s="34"/>
      <c r="BC427" s="121"/>
      <c r="BD427" s="136"/>
      <c r="BE427" s="125" t="str">
        <f t="shared" si="18"/>
        <v/>
      </c>
      <c r="BF427" s="126" t="str">
        <f t="shared" si="19"/>
        <v>FM50__44607_0.537210648148148</v>
      </c>
      <c r="BG427" s="127" t="str">
        <f t="shared" si="20"/>
        <v/>
      </c>
      <c r="BH427" s="137" t="s">
        <v>1316</v>
      </c>
      <c r="BI427" s="128" t="str">
        <f t="shared" si="21"/>
        <v>MA1259</v>
      </c>
      <c r="BJ427" s="129" t="b">
        <f t="shared" si="22"/>
        <v>0</v>
      </c>
      <c r="BK427" s="128" t="str">
        <f t="shared" si="23"/>
        <v/>
      </c>
      <c r="BL427" s="121"/>
      <c r="BM427" s="5" t="str">
        <f t="shared" si="24"/>
        <v>MISSING</v>
      </c>
      <c r="BN427" s="120" t="b">
        <f t="shared" si="25"/>
        <v>0</v>
      </c>
      <c r="BO427" s="131" t="b">
        <f t="shared" si="26"/>
        <v>1</v>
      </c>
      <c r="BP427" s="121"/>
      <c r="BQ427" s="132" t="str">
        <f>VLOOKUP(A427,RAW_APS!A$3:O826,15,FALSE)</f>
        <v/>
      </c>
      <c r="BR427" s="120" t="b">
        <f t="shared" si="27"/>
        <v>1</v>
      </c>
      <c r="BS427" s="121"/>
      <c r="BT427" s="138" t="s">
        <v>244</v>
      </c>
      <c r="BU427" s="10" t="b">
        <f t="shared" si="28"/>
        <v>1</v>
      </c>
      <c r="BV427" s="120"/>
      <c r="BW427" s="120"/>
      <c r="BX427" s="120"/>
      <c r="BY427" s="120"/>
      <c r="BZ427" s="120"/>
      <c r="CA427" s="120"/>
      <c r="CB427" s="120"/>
      <c r="CC427" s="120"/>
    </row>
    <row r="428">
      <c r="A428" s="2" t="s">
        <v>1317</v>
      </c>
      <c r="B428" s="100">
        <v>44609.0</v>
      </c>
      <c r="C428" s="101">
        <v>0.28282407407407406</v>
      </c>
      <c r="D428" s="102"/>
      <c r="E428" s="102"/>
      <c r="F428" s="102"/>
      <c r="G428" s="102"/>
      <c r="H428" s="102"/>
      <c r="I428" s="103"/>
      <c r="J428" s="103"/>
      <c r="K428" s="2" t="s">
        <v>244</v>
      </c>
      <c r="L428" s="100">
        <v>44611.0</v>
      </c>
      <c r="M428" s="101">
        <v>0.3895601851851852</v>
      </c>
      <c r="P428" s="104" t="b">
        <f>IFNA(IF(VLOOKUP($A428,'Add from APT'!$AA$2:$AC826,3,FALSE)&gt;0,TRUE,FALSE),"ER - NOT IN APT")</f>
        <v>0</v>
      </c>
      <c r="Q428" s="105" t="str">
        <f>IF(ISLOGICAL(P428),IF(P428,"ER - REPS IN APT", IFNA(VLOOKUP($A428,RAW_APT!$A$3:$M826,7,FALSE),"ER - NOT IN APT")),P428)</f>
        <v>Result</v>
      </c>
      <c r="R428" s="106" t="b">
        <f t="shared" si="2"/>
        <v>1</v>
      </c>
      <c r="S428" s="107">
        <f t="shared" si="3"/>
        <v>1</v>
      </c>
      <c r="T428" s="143"/>
      <c r="U428" s="142"/>
      <c r="V428" s="142"/>
      <c r="W428" s="142"/>
      <c r="X428" s="110" t="b">
        <f t="shared" si="4"/>
        <v>0</v>
      </c>
      <c r="Y428" s="111" t="b">
        <v>0</v>
      </c>
      <c r="Z428" s="104" t="str">
        <f t="shared" si="5"/>
        <v/>
      </c>
      <c r="AA428" s="112" t="b">
        <f t="shared" si="6"/>
        <v>0</v>
      </c>
      <c r="AB428" s="142" t="b">
        <v>0</v>
      </c>
      <c r="AC428" s="140">
        <v>380.0</v>
      </c>
      <c r="AD428" s="141" t="b">
        <v>0</v>
      </c>
      <c r="AE428" s="115" t="str">
        <f t="shared" si="7"/>
        <v/>
      </c>
      <c r="AF428" s="116" t="b">
        <f t="shared" si="8"/>
        <v>0</v>
      </c>
      <c r="AG428" s="105" t="b">
        <f t="shared" si="9"/>
        <v>0</v>
      </c>
      <c r="AH428" s="140"/>
      <c r="AI428" s="140"/>
      <c r="AJ428" s="140"/>
      <c r="AK428" s="117" t="str">
        <f t="shared" si="10"/>
        <v>Negative</v>
      </c>
      <c r="AL428" s="142"/>
      <c r="AM428" s="112" t="s">
        <v>390</v>
      </c>
      <c r="AN428" s="112" t="s">
        <v>391</v>
      </c>
      <c r="AO428" s="112" t="str">
        <f>IFERROR(__xludf.DUMMYFUNCTION("IF($AG428, ""DELETED"",TRIM(JOIN("" "",D428:E428)))"),"")</f>
        <v/>
      </c>
      <c r="AP428" s="112" t="str">
        <f t="shared" ref="AP428:AQ428" si="453">IF($AG428, "DELETED", TRIM(CONCATENATE(F428,I428,U428)))</f>
        <v/>
      </c>
      <c r="AQ428" s="112" t="str">
        <f t="shared" si="453"/>
        <v/>
      </c>
      <c r="AR428" s="112" t="str">
        <f>IFERROR(__xludf.DUMMYFUNCTION("IF($AG428, ""DELETED"", TRIM(JOIN("" "",AP428,AQ428)))"),"")</f>
        <v/>
      </c>
      <c r="AS428" s="118"/>
      <c r="AT428" s="110" t="b">
        <f t="shared" si="12"/>
        <v>0</v>
      </c>
      <c r="AU428" s="110" t="str">
        <f t="shared" si="13"/>
        <v/>
      </c>
      <c r="AV428" s="110" t="str">
        <f t="shared" si="14"/>
        <v/>
      </c>
      <c r="AW428" s="110" t="str">
        <f t="shared" si="15"/>
        <v/>
      </c>
      <c r="AX428" s="119" t="str">
        <f t="shared" si="16"/>
        <v/>
      </c>
      <c r="AY428" s="120"/>
      <c r="AZ428" s="121"/>
      <c r="BA428" s="122" t="str">
        <f t="shared" si="17"/>
        <v/>
      </c>
      <c r="BB428" s="34"/>
      <c r="BC428" s="121"/>
      <c r="BD428" s="136"/>
      <c r="BE428" s="125" t="str">
        <f t="shared" si="18"/>
        <v/>
      </c>
      <c r="BF428" s="126" t="str">
        <f t="shared" si="19"/>
        <v>MA408__44609_0.282824074074074</v>
      </c>
      <c r="BG428" s="127" t="str">
        <f t="shared" si="20"/>
        <v/>
      </c>
      <c r="BH428" s="137" t="s">
        <v>1318</v>
      </c>
      <c r="BI428" s="128" t="str">
        <f t="shared" si="21"/>
        <v>MA1261</v>
      </c>
      <c r="BJ428" s="129" t="b">
        <f t="shared" si="22"/>
        <v>0</v>
      </c>
      <c r="BK428" s="128" t="str">
        <f t="shared" si="23"/>
        <v/>
      </c>
      <c r="BL428" s="121"/>
      <c r="BM428" s="5" t="str">
        <f t="shared" si="24"/>
        <v>MISSING</v>
      </c>
      <c r="BN428" s="120" t="b">
        <f t="shared" si="25"/>
        <v>0</v>
      </c>
      <c r="BO428" s="131" t="b">
        <f t="shared" si="26"/>
        <v>1</v>
      </c>
      <c r="BP428" s="121"/>
      <c r="BQ428" s="132" t="str">
        <f>VLOOKUP(A428,RAW_APS!A$3:O826,15,FALSE)</f>
        <v/>
      </c>
      <c r="BR428" s="120" t="b">
        <f t="shared" si="27"/>
        <v>1</v>
      </c>
      <c r="BS428" s="121"/>
      <c r="BT428" s="138" t="s">
        <v>244</v>
      </c>
      <c r="BU428" s="10" t="b">
        <f t="shared" si="28"/>
        <v>1</v>
      </c>
      <c r="BV428" s="120"/>
      <c r="BW428" s="120"/>
      <c r="BX428" s="120"/>
      <c r="BY428" s="120"/>
      <c r="BZ428" s="120"/>
      <c r="CA428" s="120"/>
      <c r="CB428" s="120"/>
      <c r="CC428" s="120"/>
    </row>
    <row r="429">
      <c r="A429" s="2" t="s">
        <v>1319</v>
      </c>
      <c r="B429" s="100">
        <v>44609.0</v>
      </c>
      <c r="C429" s="101">
        <v>0.29255787037037034</v>
      </c>
      <c r="D429" s="102"/>
      <c r="E429" s="102"/>
      <c r="F429" s="102"/>
      <c r="G429" s="102"/>
      <c r="H429" s="102"/>
      <c r="I429" s="103"/>
      <c r="J429" s="103"/>
      <c r="K429" s="2" t="s">
        <v>244</v>
      </c>
      <c r="L429" s="100">
        <v>44611.0</v>
      </c>
      <c r="M429" s="101">
        <v>0.3895601851851852</v>
      </c>
      <c r="P429" s="104" t="b">
        <f>IFNA(IF(VLOOKUP($A429,'Add from APT'!$AA$2:$AC826,3,FALSE)&gt;0,TRUE,FALSE),"ER - NOT IN APT")</f>
        <v>0</v>
      </c>
      <c r="Q429" s="105" t="str">
        <f>IF(ISLOGICAL(P429),IF(P429,"ER - REPS IN APT", IFNA(VLOOKUP($A429,RAW_APT!$A$3:$M826,7,FALSE),"ER - NOT IN APT")),P429)</f>
        <v>Result</v>
      </c>
      <c r="R429" s="106" t="b">
        <f t="shared" si="2"/>
        <v>1</v>
      </c>
      <c r="S429" s="107">
        <f t="shared" si="3"/>
        <v>1</v>
      </c>
      <c r="T429" s="143"/>
      <c r="U429" s="142"/>
      <c r="V429" s="142"/>
      <c r="W429" s="142"/>
      <c r="X429" s="110" t="b">
        <f t="shared" si="4"/>
        <v>0</v>
      </c>
      <c r="Y429" s="111" t="b">
        <v>0</v>
      </c>
      <c r="Z429" s="104" t="str">
        <f t="shared" si="5"/>
        <v/>
      </c>
      <c r="AA429" s="112" t="b">
        <f t="shared" si="6"/>
        <v>0</v>
      </c>
      <c r="AB429" s="142" t="b">
        <v>0</v>
      </c>
      <c r="AC429" s="140">
        <v>376.0</v>
      </c>
      <c r="AD429" s="141" t="b">
        <v>0</v>
      </c>
      <c r="AE429" s="115" t="str">
        <f t="shared" si="7"/>
        <v/>
      </c>
      <c r="AF429" s="116" t="b">
        <f t="shared" si="8"/>
        <v>0</v>
      </c>
      <c r="AG429" s="105" t="b">
        <f t="shared" si="9"/>
        <v>0</v>
      </c>
      <c r="AH429" s="140"/>
      <c r="AI429" s="140"/>
      <c r="AJ429" s="140"/>
      <c r="AK429" s="117" t="str">
        <f t="shared" si="10"/>
        <v>Negative</v>
      </c>
      <c r="AL429" s="142"/>
      <c r="AM429" s="112" t="s">
        <v>806</v>
      </c>
      <c r="AN429" s="112" t="s">
        <v>807</v>
      </c>
      <c r="AO429" s="112" t="str">
        <f>IFERROR(__xludf.DUMMYFUNCTION("IF($AG429, ""DELETED"",TRIM(JOIN("" "",D429:E429)))"),"")</f>
        <v/>
      </c>
      <c r="AP429" s="112" t="str">
        <f t="shared" ref="AP429:AQ429" si="454">IF($AG429, "DELETED", TRIM(CONCATENATE(F429,I429,U429)))</f>
        <v/>
      </c>
      <c r="AQ429" s="112" t="str">
        <f t="shared" si="454"/>
        <v/>
      </c>
      <c r="AR429" s="112" t="str">
        <f>IFERROR(__xludf.DUMMYFUNCTION("IF($AG429, ""DELETED"", TRIM(JOIN("" "",AP429,AQ429)))"),"")</f>
        <v/>
      </c>
      <c r="AS429" s="118"/>
      <c r="AT429" s="110" t="b">
        <f t="shared" si="12"/>
        <v>0</v>
      </c>
      <c r="AU429" s="110" t="str">
        <f t="shared" si="13"/>
        <v/>
      </c>
      <c r="AV429" s="110" t="str">
        <f t="shared" si="14"/>
        <v/>
      </c>
      <c r="AW429" s="110" t="str">
        <f t="shared" si="15"/>
        <v/>
      </c>
      <c r="AX429" s="119" t="str">
        <f t="shared" si="16"/>
        <v/>
      </c>
      <c r="AY429" s="120"/>
      <c r="AZ429" s="121"/>
      <c r="BA429" s="122" t="str">
        <f t="shared" si="17"/>
        <v/>
      </c>
      <c r="BB429" s="34"/>
      <c r="BC429" s="121"/>
      <c r="BD429" s="136"/>
      <c r="BE429" s="125" t="str">
        <f t="shared" si="18"/>
        <v/>
      </c>
      <c r="BF429" s="126" t="str">
        <f t="shared" si="19"/>
        <v>MA226__44609_0.29255787037037</v>
      </c>
      <c r="BG429" s="127" t="str">
        <f t="shared" si="20"/>
        <v/>
      </c>
      <c r="BH429" s="137" t="s">
        <v>1320</v>
      </c>
      <c r="BI429" s="128" t="str">
        <f t="shared" si="21"/>
        <v>MA1263</v>
      </c>
      <c r="BJ429" s="129" t="b">
        <f t="shared" si="22"/>
        <v>0</v>
      </c>
      <c r="BK429" s="128" t="str">
        <f t="shared" si="23"/>
        <v/>
      </c>
      <c r="BL429" s="121"/>
      <c r="BM429" s="5" t="str">
        <f t="shared" si="24"/>
        <v>MISSING</v>
      </c>
      <c r="BN429" s="120" t="b">
        <f t="shared" si="25"/>
        <v>0</v>
      </c>
      <c r="BO429" s="131" t="b">
        <f t="shared" si="26"/>
        <v>1</v>
      </c>
      <c r="BP429" s="121"/>
      <c r="BQ429" s="132" t="str">
        <f>VLOOKUP(A429,RAW_APS!A$3:O826,15,FALSE)</f>
        <v/>
      </c>
      <c r="BR429" s="120" t="b">
        <f t="shared" si="27"/>
        <v>1</v>
      </c>
      <c r="BS429" s="121"/>
      <c r="BT429" s="138" t="s">
        <v>244</v>
      </c>
      <c r="BU429" s="10" t="b">
        <f t="shared" si="28"/>
        <v>1</v>
      </c>
      <c r="BV429" s="120"/>
      <c r="BW429" s="120"/>
      <c r="BX429" s="120"/>
      <c r="BY429" s="120"/>
      <c r="BZ429" s="120"/>
      <c r="CA429" s="120"/>
      <c r="CB429" s="120"/>
      <c r="CC429" s="120"/>
    </row>
    <row r="430">
      <c r="A430" s="2" t="s">
        <v>1321</v>
      </c>
      <c r="B430" s="100">
        <v>44609.0</v>
      </c>
      <c r="C430" s="101">
        <v>0.2935185185185185</v>
      </c>
      <c r="D430" s="102"/>
      <c r="E430" s="102"/>
      <c r="F430" s="157"/>
      <c r="G430" s="139"/>
      <c r="H430" s="139"/>
      <c r="I430" s="103"/>
      <c r="J430" s="103"/>
      <c r="K430" s="2" t="s">
        <v>244</v>
      </c>
      <c r="L430" s="100">
        <v>44611.0</v>
      </c>
      <c r="M430" s="101">
        <v>0.3895601851851852</v>
      </c>
      <c r="P430" s="104" t="b">
        <f>IFNA(IF(VLOOKUP($A430,'Add from APT'!$AA$2:$AC826,3,FALSE)&gt;0,TRUE,FALSE),"ER - NOT IN APT")</f>
        <v>0</v>
      </c>
      <c r="Q430" s="105" t="str">
        <f>IF(ISLOGICAL(P430),IF(P430,"ER - REPS IN APT", IFNA(VLOOKUP($A430,RAW_APT!$A$3:$M826,7,FALSE),"ER - NOT IN APT")),P430)</f>
        <v>Result</v>
      </c>
      <c r="R430" s="106" t="b">
        <f t="shared" si="2"/>
        <v>1</v>
      </c>
      <c r="S430" s="107">
        <f t="shared" si="3"/>
        <v>1</v>
      </c>
      <c r="T430" s="140">
        <v>0.0</v>
      </c>
      <c r="U430" s="158"/>
      <c r="V430" s="141"/>
      <c r="W430" s="141"/>
      <c r="X430" s="110" t="b">
        <f t="shared" si="4"/>
        <v>0</v>
      </c>
      <c r="Y430" s="111" t="b">
        <v>0</v>
      </c>
      <c r="Z430" s="104" t="str">
        <f t="shared" si="5"/>
        <v/>
      </c>
      <c r="AA430" s="112" t="b">
        <f t="shared" si="6"/>
        <v>0</v>
      </c>
      <c r="AB430" s="142" t="b">
        <v>0</v>
      </c>
      <c r="AC430" s="140">
        <v>379.0</v>
      </c>
      <c r="AD430" s="141" t="b">
        <v>0</v>
      </c>
      <c r="AE430" s="115" t="str">
        <f t="shared" si="7"/>
        <v/>
      </c>
      <c r="AF430" s="116" t="b">
        <f t="shared" si="8"/>
        <v>0</v>
      </c>
      <c r="AG430" s="105" t="b">
        <f t="shared" si="9"/>
        <v>0</v>
      </c>
      <c r="AH430" s="140"/>
      <c r="AI430" s="140"/>
      <c r="AJ430" s="140"/>
      <c r="AK430" s="117" t="str">
        <f t="shared" si="10"/>
        <v>Negative</v>
      </c>
      <c r="AL430" s="142"/>
      <c r="AM430" s="112" t="s">
        <v>261</v>
      </c>
      <c r="AN430" s="112" t="s">
        <v>708</v>
      </c>
      <c r="AO430" s="112" t="str">
        <f>IFERROR(__xludf.DUMMYFUNCTION("IF($AG430, ""DELETED"",TRIM(JOIN("" "",D430:E430)))"),"")</f>
        <v/>
      </c>
      <c r="AP430" s="112" t="str">
        <f t="shared" ref="AP430:AQ430" si="455">IF($AG430, "DELETED", TRIM(CONCATENATE(F430,I430,U430)))</f>
        <v/>
      </c>
      <c r="AQ430" s="112" t="str">
        <f t="shared" si="455"/>
        <v/>
      </c>
      <c r="AR430" s="112" t="str">
        <f>IFERROR(__xludf.DUMMYFUNCTION("IF($AG430, ""DELETED"", TRIM(JOIN("" "",AP430,AQ430)))"),"")</f>
        <v/>
      </c>
      <c r="AS430" s="118"/>
      <c r="AT430" s="110" t="b">
        <f t="shared" si="12"/>
        <v>0</v>
      </c>
      <c r="AU430" s="110" t="str">
        <f t="shared" si="13"/>
        <v/>
      </c>
      <c r="AV430" s="110" t="str">
        <f t="shared" si="14"/>
        <v/>
      </c>
      <c r="AW430" s="110" t="str">
        <f t="shared" si="15"/>
        <v/>
      </c>
      <c r="AX430" s="119" t="str">
        <f t="shared" si="16"/>
        <v/>
      </c>
      <c r="AY430" s="120"/>
      <c r="AZ430" s="121"/>
      <c r="BA430" s="122" t="str">
        <f t="shared" si="17"/>
        <v/>
      </c>
      <c r="BB430" s="34"/>
      <c r="BC430" s="121"/>
      <c r="BD430" s="136"/>
      <c r="BE430" s="125" t="str">
        <f t="shared" si="18"/>
        <v/>
      </c>
      <c r="BF430" s="126" t="str">
        <f t="shared" si="19"/>
        <v>MAX117__44609_0.293518518518519</v>
      </c>
      <c r="BG430" s="127" t="str">
        <f t="shared" si="20"/>
        <v/>
      </c>
      <c r="BH430" s="137" t="s">
        <v>1322</v>
      </c>
      <c r="BI430" s="128" t="str">
        <f t="shared" si="21"/>
        <v>MA1264</v>
      </c>
      <c r="BJ430" s="129" t="b">
        <f t="shared" si="22"/>
        <v>0</v>
      </c>
      <c r="BK430" s="128" t="str">
        <f t="shared" si="23"/>
        <v/>
      </c>
      <c r="BL430" s="121"/>
      <c r="BM430" s="5" t="str">
        <f t="shared" si="24"/>
        <v>MISSING</v>
      </c>
      <c r="BN430" s="120" t="b">
        <f t="shared" si="25"/>
        <v>0</v>
      </c>
      <c r="BO430" s="131" t="b">
        <f t="shared" si="26"/>
        <v>1</v>
      </c>
      <c r="BP430" s="121"/>
      <c r="BQ430" s="132" t="str">
        <f>VLOOKUP(A430,RAW_APS!A$3:O826,15,FALSE)</f>
        <v/>
      </c>
      <c r="BR430" s="120" t="b">
        <f t="shared" si="27"/>
        <v>1</v>
      </c>
      <c r="BS430" s="121"/>
      <c r="BT430" s="138" t="s">
        <v>244</v>
      </c>
      <c r="BU430" s="10" t="b">
        <f t="shared" si="28"/>
        <v>1</v>
      </c>
      <c r="BV430" s="120"/>
      <c r="BW430" s="120"/>
      <c r="BX430" s="120"/>
      <c r="BY430" s="120"/>
      <c r="BZ430" s="120"/>
      <c r="CA430" s="120"/>
      <c r="CB430" s="120"/>
      <c r="CC430" s="120"/>
    </row>
    <row r="431">
      <c r="A431" s="2" t="s">
        <v>1323</v>
      </c>
      <c r="B431" s="100">
        <v>44609.0</v>
      </c>
      <c r="C431" s="101">
        <v>0.2938541666666667</v>
      </c>
      <c r="D431" s="102"/>
      <c r="E431" s="102"/>
      <c r="F431" s="103"/>
      <c r="G431" s="148"/>
      <c r="H431" s="148"/>
      <c r="I431" s="103"/>
      <c r="J431" s="103"/>
      <c r="K431" s="2" t="s">
        <v>244</v>
      </c>
      <c r="L431" s="100">
        <v>44611.0</v>
      </c>
      <c r="M431" s="101">
        <v>0.3895601851851852</v>
      </c>
      <c r="P431" s="104" t="b">
        <f>IFNA(IF(VLOOKUP($A431,'Add from APT'!$AA$2:$AC826,3,FALSE)&gt;0,TRUE,FALSE),"ER - NOT IN APT")</f>
        <v>0</v>
      </c>
      <c r="Q431" s="105" t="str">
        <f>IF(ISLOGICAL(P431),IF(P431,"ER - REPS IN APT", IFNA(VLOOKUP($A431,RAW_APT!$A$3:$M826,7,FALSE),"ER - NOT IN APT")),P431)</f>
        <v>Result</v>
      </c>
      <c r="R431" s="106" t="b">
        <f t="shared" si="2"/>
        <v>1</v>
      </c>
      <c r="S431" s="107">
        <f t="shared" si="3"/>
        <v>1</v>
      </c>
      <c r="T431" s="140">
        <v>0.0</v>
      </c>
      <c r="V431" s="142"/>
      <c r="W431" s="142"/>
      <c r="X431" s="110" t="b">
        <f t="shared" si="4"/>
        <v>0</v>
      </c>
      <c r="Y431" s="111" t="b">
        <v>0</v>
      </c>
      <c r="Z431" s="104" t="str">
        <f t="shared" si="5"/>
        <v/>
      </c>
      <c r="AA431" s="112" t="b">
        <f t="shared" si="6"/>
        <v>0</v>
      </c>
      <c r="AB431" s="142" t="b">
        <v>0</v>
      </c>
      <c r="AC431" s="140">
        <v>378.0</v>
      </c>
      <c r="AD431" s="141" t="b">
        <v>0</v>
      </c>
      <c r="AE431" s="115" t="str">
        <f t="shared" si="7"/>
        <v/>
      </c>
      <c r="AF431" s="116" t="b">
        <f t="shared" si="8"/>
        <v>0</v>
      </c>
      <c r="AG431" s="105" t="b">
        <f t="shared" si="9"/>
        <v>0</v>
      </c>
      <c r="AH431" s="140"/>
      <c r="AI431" s="140"/>
      <c r="AJ431" s="140"/>
      <c r="AK431" s="117" t="str">
        <f t="shared" si="10"/>
        <v>Negative</v>
      </c>
      <c r="AL431" s="142"/>
      <c r="AM431" s="112" t="s">
        <v>261</v>
      </c>
      <c r="AN431" s="112" t="s">
        <v>913</v>
      </c>
      <c r="AO431" s="112" t="str">
        <f>IFERROR(__xludf.DUMMYFUNCTION("IF($AG431, ""DELETED"",TRIM(JOIN("" "",D431:E431)))"),"")</f>
        <v/>
      </c>
      <c r="AP431" s="112" t="str">
        <f t="shared" ref="AP431:AQ431" si="456">IF($AG431, "DELETED", TRIM(CONCATENATE(F431,I431,U431)))</f>
        <v/>
      </c>
      <c r="AQ431" s="112" t="str">
        <f t="shared" si="456"/>
        <v/>
      </c>
      <c r="AR431" s="112" t="str">
        <f>IFERROR(__xludf.DUMMYFUNCTION("IF($AG431, ""DELETED"", TRIM(JOIN("" "",AP431,AQ431)))"),"")</f>
        <v/>
      </c>
      <c r="AS431" s="118"/>
      <c r="AT431" s="110" t="b">
        <f t="shared" si="12"/>
        <v>0</v>
      </c>
      <c r="AU431" s="110" t="str">
        <f t="shared" si="13"/>
        <v/>
      </c>
      <c r="AV431" s="110" t="str">
        <f t="shared" si="14"/>
        <v/>
      </c>
      <c r="AW431" s="110" t="str">
        <f t="shared" si="15"/>
        <v/>
      </c>
      <c r="AX431" s="119" t="str">
        <f t="shared" si="16"/>
        <v/>
      </c>
      <c r="AY431" s="120"/>
      <c r="AZ431" s="121"/>
      <c r="BA431" s="122" t="str">
        <f t="shared" si="17"/>
        <v/>
      </c>
      <c r="BB431" s="34"/>
      <c r="BC431" s="121"/>
      <c r="BD431" s="136"/>
      <c r="BE431" s="125" t="str">
        <f t="shared" si="18"/>
        <v/>
      </c>
      <c r="BF431" s="126" t="str">
        <f t="shared" si="19"/>
        <v>MAX115__44609_0.293854166666667</v>
      </c>
      <c r="BG431" s="127" t="str">
        <f t="shared" si="20"/>
        <v/>
      </c>
      <c r="BH431" s="137" t="s">
        <v>1324</v>
      </c>
      <c r="BI431" s="128" t="str">
        <f t="shared" si="21"/>
        <v>MA1267</v>
      </c>
      <c r="BJ431" s="129" t="b">
        <f t="shared" si="22"/>
        <v>0</v>
      </c>
      <c r="BK431" s="128" t="str">
        <f t="shared" si="23"/>
        <v/>
      </c>
      <c r="BL431" s="121"/>
      <c r="BM431" s="5" t="str">
        <f t="shared" si="24"/>
        <v>MISSING</v>
      </c>
      <c r="BN431" s="120" t="b">
        <f t="shared" si="25"/>
        <v>0</v>
      </c>
      <c r="BO431" s="131" t="b">
        <f t="shared" si="26"/>
        <v>1</v>
      </c>
      <c r="BP431" s="121"/>
      <c r="BQ431" s="132" t="str">
        <f>VLOOKUP(A431,RAW_APS!A$3:O826,15,FALSE)</f>
        <v/>
      </c>
      <c r="BR431" s="120" t="b">
        <f t="shared" si="27"/>
        <v>1</v>
      </c>
      <c r="BS431" s="121"/>
      <c r="BT431" s="138" t="s">
        <v>244</v>
      </c>
      <c r="BU431" s="10" t="b">
        <f t="shared" si="28"/>
        <v>1</v>
      </c>
      <c r="BV431" s="120"/>
      <c r="BW431" s="120"/>
      <c r="BX431" s="120"/>
      <c r="BY431" s="120"/>
      <c r="BZ431" s="120"/>
      <c r="CA431" s="120"/>
      <c r="CB431" s="120"/>
      <c r="CC431" s="120"/>
    </row>
    <row r="432">
      <c r="A432" s="2" t="s">
        <v>1325</v>
      </c>
      <c r="B432" s="100">
        <v>44609.0</v>
      </c>
      <c r="C432" s="101">
        <v>0.2951736111111111</v>
      </c>
      <c r="D432" s="102"/>
      <c r="E432" s="102"/>
      <c r="F432" s="102"/>
      <c r="G432" s="102"/>
      <c r="H432" s="102"/>
      <c r="I432" s="103"/>
      <c r="J432" s="103"/>
      <c r="K432" s="2" t="s">
        <v>244</v>
      </c>
      <c r="L432" s="100">
        <v>44611.0</v>
      </c>
      <c r="M432" s="101">
        <v>0.3895601851851852</v>
      </c>
      <c r="P432" s="104" t="b">
        <f>IFNA(IF(VLOOKUP($A432,'Add from APT'!$AA$2:$AC826,3,FALSE)&gt;0,TRUE,FALSE),"ER - NOT IN APT")</f>
        <v>0</v>
      </c>
      <c r="Q432" s="105" t="str">
        <f>IF(ISLOGICAL(P432),IF(P432,"ER - REPS IN APT", IFNA(VLOOKUP($A432,RAW_APT!$A$3:$M826,7,FALSE),"ER - NOT IN APT")),P432)</f>
        <v>Result</v>
      </c>
      <c r="R432" s="106" t="b">
        <f t="shared" si="2"/>
        <v>1</v>
      </c>
      <c r="S432" s="107">
        <f t="shared" si="3"/>
        <v>1</v>
      </c>
      <c r="T432" s="143"/>
      <c r="U432" s="142"/>
      <c r="V432" s="142"/>
      <c r="W432" s="142"/>
      <c r="X432" s="110" t="b">
        <f t="shared" si="4"/>
        <v>0</v>
      </c>
      <c r="Y432" s="111" t="b">
        <v>0</v>
      </c>
      <c r="Z432" s="104" t="str">
        <f t="shared" si="5"/>
        <v/>
      </c>
      <c r="AA432" s="112" t="b">
        <f t="shared" si="6"/>
        <v>0</v>
      </c>
      <c r="AB432" s="142" t="b">
        <v>0</v>
      </c>
      <c r="AC432" s="140">
        <v>377.0</v>
      </c>
      <c r="AD432" s="141" t="b">
        <v>0</v>
      </c>
      <c r="AE432" s="115" t="str">
        <f t="shared" si="7"/>
        <v/>
      </c>
      <c r="AF432" s="116" t="b">
        <f t="shared" si="8"/>
        <v>0</v>
      </c>
      <c r="AG432" s="105" t="b">
        <f t="shared" si="9"/>
        <v>0</v>
      </c>
      <c r="AH432" s="140"/>
      <c r="AI432" s="140"/>
      <c r="AJ432" s="140"/>
      <c r="AK432" s="117" t="str">
        <f t="shared" si="10"/>
        <v>Negative</v>
      </c>
      <c r="AL432" s="142"/>
      <c r="AM432" s="112" t="s">
        <v>261</v>
      </c>
      <c r="AN432" s="112" t="s">
        <v>262</v>
      </c>
      <c r="AO432" s="112" t="str">
        <f>IFERROR(__xludf.DUMMYFUNCTION("IF($AG432, ""DELETED"",TRIM(JOIN("" "",D432:E432)))"),"")</f>
        <v/>
      </c>
      <c r="AP432" s="112" t="str">
        <f t="shared" ref="AP432:AQ432" si="457">IF($AG432, "DELETED", TRIM(CONCATENATE(F432,I432,U432)))</f>
        <v/>
      </c>
      <c r="AQ432" s="112" t="str">
        <f t="shared" si="457"/>
        <v/>
      </c>
      <c r="AR432" s="112" t="str">
        <f>IFERROR(__xludf.DUMMYFUNCTION("IF($AG432, ""DELETED"", TRIM(JOIN("" "",AP432,AQ432)))"),"")</f>
        <v/>
      </c>
      <c r="AS432" s="118"/>
      <c r="AT432" s="110" t="b">
        <f t="shared" si="12"/>
        <v>0</v>
      </c>
      <c r="AU432" s="110" t="str">
        <f t="shared" si="13"/>
        <v/>
      </c>
      <c r="AV432" s="110" t="str">
        <f t="shared" si="14"/>
        <v/>
      </c>
      <c r="AW432" s="110" t="str">
        <f t="shared" si="15"/>
        <v/>
      </c>
      <c r="AX432" s="119" t="str">
        <f t="shared" si="16"/>
        <v/>
      </c>
      <c r="AY432" s="120"/>
      <c r="AZ432" s="121"/>
      <c r="BA432" s="122" t="str">
        <f t="shared" si="17"/>
        <v/>
      </c>
      <c r="BB432" s="34"/>
      <c r="BC432" s="121"/>
      <c r="BD432" s="136"/>
      <c r="BE432" s="125" t="str">
        <f t="shared" si="18"/>
        <v/>
      </c>
      <c r="BF432" s="126" t="str">
        <f t="shared" si="19"/>
        <v>MAX8__44609_0.295173611111111</v>
      </c>
      <c r="BG432" s="127" t="str">
        <f t="shared" si="20"/>
        <v/>
      </c>
      <c r="BH432" s="137" t="s">
        <v>1326</v>
      </c>
      <c r="BI432" s="128" t="str">
        <f t="shared" si="21"/>
        <v>MA1269</v>
      </c>
      <c r="BJ432" s="129" t="b">
        <f t="shared" si="22"/>
        <v>0</v>
      </c>
      <c r="BK432" s="128" t="str">
        <f t="shared" si="23"/>
        <v/>
      </c>
      <c r="BL432" s="121"/>
      <c r="BM432" s="5" t="str">
        <f t="shared" si="24"/>
        <v>MISSING</v>
      </c>
      <c r="BN432" s="120" t="b">
        <f t="shared" si="25"/>
        <v>0</v>
      </c>
      <c r="BO432" s="131" t="b">
        <f t="shared" si="26"/>
        <v>1</v>
      </c>
      <c r="BP432" s="121"/>
      <c r="BQ432" s="132" t="str">
        <f>VLOOKUP(A432,RAW_APS!A$3:O826,15,FALSE)</f>
        <v/>
      </c>
      <c r="BR432" s="120" t="b">
        <f t="shared" si="27"/>
        <v>1</v>
      </c>
      <c r="BS432" s="121"/>
      <c r="BT432" s="138" t="s">
        <v>244</v>
      </c>
      <c r="BU432" s="10" t="b">
        <f t="shared" si="28"/>
        <v>1</v>
      </c>
      <c r="BV432" s="120"/>
      <c r="BW432" s="120"/>
      <c r="BX432" s="120"/>
      <c r="BY432" s="120"/>
      <c r="BZ432" s="120"/>
      <c r="CA432" s="120"/>
      <c r="CB432" s="120"/>
      <c r="CC432" s="120"/>
    </row>
    <row r="433">
      <c r="A433" s="2" t="s">
        <v>1327</v>
      </c>
      <c r="B433" s="100">
        <v>44609.0</v>
      </c>
      <c r="C433" s="101">
        <v>0.3042824074074074</v>
      </c>
      <c r="D433" s="102"/>
      <c r="E433" s="102"/>
      <c r="F433" s="102"/>
      <c r="G433" s="102"/>
      <c r="H433" s="102"/>
      <c r="I433" s="103"/>
      <c r="J433" s="103"/>
      <c r="K433" s="2" t="s">
        <v>244</v>
      </c>
      <c r="L433" s="100">
        <v>44611.0</v>
      </c>
      <c r="M433" s="101">
        <v>0.3895601851851852</v>
      </c>
      <c r="P433" s="104" t="b">
        <f>IFNA(IF(VLOOKUP($A433,'Add from APT'!$AA$2:$AC826,3,FALSE)&gt;0,TRUE,FALSE),"ER - NOT IN APT")</f>
        <v>0</v>
      </c>
      <c r="Q433" s="105" t="str">
        <f>IF(ISLOGICAL(P433),IF(P433,"ER - REPS IN APT", IFNA(VLOOKUP($A433,RAW_APT!$A$3:$M826,7,FALSE),"ER - NOT IN APT")),P433)</f>
        <v>Result</v>
      </c>
      <c r="R433" s="106" t="b">
        <f t="shared" si="2"/>
        <v>1</v>
      </c>
      <c r="S433" s="107">
        <f t="shared" si="3"/>
        <v>1</v>
      </c>
      <c r="T433" s="143"/>
      <c r="U433" s="142"/>
      <c r="V433" s="142"/>
      <c r="W433" s="142"/>
      <c r="X433" s="110" t="b">
        <f t="shared" si="4"/>
        <v>0</v>
      </c>
      <c r="Y433" s="111" t="b">
        <v>0</v>
      </c>
      <c r="Z433" s="104" t="str">
        <f t="shared" si="5"/>
        <v/>
      </c>
      <c r="AA433" s="112" t="b">
        <f t="shared" si="6"/>
        <v>0</v>
      </c>
      <c r="AB433" s="142" t="b">
        <v>0</v>
      </c>
      <c r="AC433" s="140">
        <v>375.0</v>
      </c>
      <c r="AD433" s="141" t="b">
        <v>0</v>
      </c>
      <c r="AE433" s="115" t="str">
        <f t="shared" si="7"/>
        <v/>
      </c>
      <c r="AF433" s="116" t="b">
        <f t="shared" si="8"/>
        <v>0</v>
      </c>
      <c r="AG433" s="105" t="b">
        <f t="shared" si="9"/>
        <v>0</v>
      </c>
      <c r="AH433" s="140"/>
      <c r="AI433" s="140"/>
      <c r="AJ433" s="140"/>
      <c r="AK433" s="117" t="str">
        <f t="shared" si="10"/>
        <v>Negative</v>
      </c>
      <c r="AL433" s="142"/>
      <c r="AM433" s="112" t="s">
        <v>299</v>
      </c>
      <c r="AN433" s="112" t="s">
        <v>300</v>
      </c>
      <c r="AO433" s="112" t="str">
        <f>IFERROR(__xludf.DUMMYFUNCTION("IF($AG433, ""DELETED"",TRIM(JOIN("" "",D433:E433)))"),"")</f>
        <v/>
      </c>
      <c r="AP433" s="112" t="str">
        <f t="shared" ref="AP433:AQ433" si="458">IF($AG433, "DELETED", TRIM(CONCATENATE(F433,I433,U433)))</f>
        <v/>
      </c>
      <c r="AQ433" s="112" t="str">
        <f t="shared" si="458"/>
        <v/>
      </c>
      <c r="AR433" s="112" t="str">
        <f>IFERROR(__xludf.DUMMYFUNCTION("IF($AG433, ""DELETED"", TRIM(JOIN("" "",AP433,AQ433)))"),"")</f>
        <v/>
      </c>
      <c r="AS433" s="118"/>
      <c r="AT433" s="110" t="b">
        <f t="shared" si="12"/>
        <v>0</v>
      </c>
      <c r="AU433" s="110" t="str">
        <f t="shared" si="13"/>
        <v/>
      </c>
      <c r="AV433" s="110" t="str">
        <f t="shared" si="14"/>
        <v/>
      </c>
      <c r="AW433" s="110" t="str">
        <f t="shared" si="15"/>
        <v/>
      </c>
      <c r="AX433" s="119" t="str">
        <f t="shared" si="16"/>
        <v/>
      </c>
      <c r="AY433" s="120"/>
      <c r="AZ433" s="121"/>
      <c r="BA433" s="122" t="str">
        <f t="shared" si="17"/>
        <v/>
      </c>
      <c r="BB433" s="34"/>
      <c r="BC433" s="121"/>
      <c r="BD433" s="136"/>
      <c r="BE433" s="125" t="str">
        <f t="shared" si="18"/>
        <v/>
      </c>
      <c r="BF433" s="126" t="str">
        <f t="shared" si="19"/>
        <v>FM3__44609_0.304282407407407</v>
      </c>
      <c r="BG433" s="127" t="str">
        <f t="shared" si="20"/>
        <v/>
      </c>
      <c r="BH433" s="137" t="s">
        <v>1328</v>
      </c>
      <c r="BI433" s="128" t="str">
        <f t="shared" si="21"/>
        <v>MA1270</v>
      </c>
      <c r="BJ433" s="129" t="b">
        <f t="shared" si="22"/>
        <v>0</v>
      </c>
      <c r="BK433" s="128" t="str">
        <f t="shared" si="23"/>
        <v/>
      </c>
      <c r="BL433" s="121"/>
      <c r="BM433" s="5" t="str">
        <f t="shared" si="24"/>
        <v>MISSING</v>
      </c>
      <c r="BN433" s="120" t="b">
        <f t="shared" si="25"/>
        <v>0</v>
      </c>
      <c r="BO433" s="131" t="b">
        <f t="shared" si="26"/>
        <v>1</v>
      </c>
      <c r="BP433" s="121"/>
      <c r="BQ433" s="132" t="str">
        <f>VLOOKUP(A433,RAW_APS!A$3:O826,15,FALSE)</f>
        <v/>
      </c>
      <c r="BR433" s="120" t="b">
        <f t="shared" si="27"/>
        <v>1</v>
      </c>
      <c r="BS433" s="121"/>
      <c r="BT433" s="138" t="s">
        <v>244</v>
      </c>
      <c r="BU433" s="10" t="b">
        <f t="shared" si="28"/>
        <v>1</v>
      </c>
      <c r="BV433" s="120"/>
      <c r="BW433" s="120"/>
      <c r="BX433" s="120"/>
      <c r="BY433" s="120"/>
      <c r="BZ433" s="120"/>
      <c r="CA433" s="120"/>
      <c r="CB433" s="120"/>
      <c r="CC433" s="120"/>
    </row>
    <row r="434">
      <c r="A434" s="2" t="s">
        <v>1329</v>
      </c>
      <c r="B434" s="100">
        <v>44609.0</v>
      </c>
      <c r="C434" s="101">
        <v>0.3059953703703704</v>
      </c>
      <c r="D434" s="102"/>
      <c r="E434" s="102"/>
      <c r="F434" s="102"/>
      <c r="G434" s="102"/>
      <c r="H434" s="102"/>
      <c r="I434" s="103"/>
      <c r="J434" s="103"/>
      <c r="K434" s="2" t="s">
        <v>244</v>
      </c>
      <c r="L434" s="100">
        <v>44611.0</v>
      </c>
      <c r="M434" s="101">
        <v>0.38957175925925924</v>
      </c>
      <c r="P434" s="104" t="b">
        <f>IFNA(IF(VLOOKUP($A434,'Add from APT'!$AA$2:$AC826,3,FALSE)&gt;0,TRUE,FALSE),"ER - NOT IN APT")</f>
        <v>0</v>
      </c>
      <c r="Q434" s="105" t="str">
        <f>IF(ISLOGICAL(P434),IF(P434,"ER - REPS IN APT", IFNA(VLOOKUP($A434,RAW_APT!$A$3:$M826,7,FALSE),"ER - NOT IN APT")),P434)</f>
        <v>Result</v>
      </c>
      <c r="R434" s="106" t="b">
        <f t="shared" si="2"/>
        <v>1</v>
      </c>
      <c r="S434" s="107">
        <f t="shared" si="3"/>
        <v>1</v>
      </c>
      <c r="T434" s="143"/>
      <c r="U434" s="142"/>
      <c r="V434" s="142"/>
      <c r="W434" s="142"/>
      <c r="X434" s="110" t="b">
        <f t="shared" si="4"/>
        <v>0</v>
      </c>
      <c r="Y434" s="111" t="b">
        <v>0</v>
      </c>
      <c r="Z434" s="104" t="str">
        <f t="shared" si="5"/>
        <v/>
      </c>
      <c r="AA434" s="112" t="b">
        <f t="shared" si="6"/>
        <v>0</v>
      </c>
      <c r="AB434" s="142" t="b">
        <v>0</v>
      </c>
      <c r="AC434" s="140">
        <v>374.0</v>
      </c>
      <c r="AD434" s="141" t="b">
        <v>0</v>
      </c>
      <c r="AE434" s="115" t="str">
        <f t="shared" si="7"/>
        <v/>
      </c>
      <c r="AF434" s="116" t="b">
        <f t="shared" si="8"/>
        <v>0</v>
      </c>
      <c r="AG434" s="105" t="b">
        <f t="shared" si="9"/>
        <v>0</v>
      </c>
      <c r="AH434" s="140"/>
      <c r="AI434" s="140"/>
      <c r="AJ434" s="140"/>
      <c r="AK434" s="117" t="str">
        <f t="shared" si="10"/>
        <v>Negative</v>
      </c>
      <c r="AL434" s="142"/>
      <c r="AM434" s="112" t="s">
        <v>491</v>
      </c>
      <c r="AN434" s="112" t="s">
        <v>495</v>
      </c>
      <c r="AO434" s="112" t="str">
        <f>IFERROR(__xludf.DUMMYFUNCTION("IF($AG434, ""DELETED"",TRIM(JOIN("" "",D434:E434)))"),"")</f>
        <v/>
      </c>
      <c r="AP434" s="112" t="str">
        <f t="shared" ref="AP434:AQ434" si="459">IF($AG434, "DELETED", TRIM(CONCATENATE(F434,I434,U434)))</f>
        <v/>
      </c>
      <c r="AQ434" s="112" t="str">
        <f t="shared" si="459"/>
        <v/>
      </c>
      <c r="AR434" s="112" t="str">
        <f>IFERROR(__xludf.DUMMYFUNCTION("IF($AG434, ""DELETED"", TRIM(JOIN("" "",AP434,AQ434)))"),"")</f>
        <v/>
      </c>
      <c r="AS434" s="118"/>
      <c r="AT434" s="110" t="b">
        <f t="shared" si="12"/>
        <v>0</v>
      </c>
      <c r="AU434" s="110" t="str">
        <f t="shared" si="13"/>
        <v/>
      </c>
      <c r="AV434" s="110" t="str">
        <f t="shared" si="14"/>
        <v/>
      </c>
      <c r="AW434" s="110" t="str">
        <f t="shared" si="15"/>
        <v/>
      </c>
      <c r="AX434" s="119" t="str">
        <f t="shared" si="16"/>
        <v/>
      </c>
      <c r="AY434" s="120"/>
      <c r="AZ434" s="121"/>
      <c r="BA434" s="122" t="str">
        <f t="shared" si="17"/>
        <v/>
      </c>
      <c r="BB434" s="34"/>
      <c r="BC434" s="121"/>
      <c r="BD434" s="136"/>
      <c r="BE434" s="125" t="str">
        <f t="shared" si="18"/>
        <v/>
      </c>
      <c r="BF434" s="126" t="str">
        <f t="shared" si="19"/>
        <v>FM57__44609_0.30599537037037</v>
      </c>
      <c r="BG434" s="127" t="str">
        <f t="shared" si="20"/>
        <v/>
      </c>
      <c r="BH434" s="137" t="s">
        <v>1330</v>
      </c>
      <c r="BI434" s="128" t="str">
        <f t="shared" si="21"/>
        <v>MA1271</v>
      </c>
      <c r="BJ434" s="129" t="b">
        <f t="shared" si="22"/>
        <v>0</v>
      </c>
      <c r="BK434" s="128" t="str">
        <f t="shared" si="23"/>
        <v/>
      </c>
      <c r="BL434" s="121"/>
      <c r="BM434" s="5" t="str">
        <f t="shared" si="24"/>
        <v>MISSING</v>
      </c>
      <c r="BN434" s="120" t="b">
        <f t="shared" si="25"/>
        <v>0</v>
      </c>
      <c r="BO434" s="131" t="b">
        <f t="shared" si="26"/>
        <v>1</v>
      </c>
      <c r="BP434" s="121"/>
      <c r="BQ434" s="132" t="str">
        <f>VLOOKUP(A434,RAW_APS!A$3:O826,15,FALSE)</f>
        <v/>
      </c>
      <c r="BR434" s="120" t="b">
        <f t="shared" si="27"/>
        <v>1</v>
      </c>
      <c r="BS434" s="121"/>
      <c r="BT434" s="138" t="s">
        <v>244</v>
      </c>
      <c r="BU434" s="10" t="b">
        <f t="shared" si="28"/>
        <v>1</v>
      </c>
      <c r="BV434" s="120"/>
      <c r="BW434" s="120"/>
      <c r="BX434" s="120"/>
      <c r="BY434" s="120"/>
      <c r="BZ434" s="120"/>
      <c r="CA434" s="120"/>
      <c r="CB434" s="120"/>
      <c r="CC434" s="120"/>
    </row>
    <row r="435">
      <c r="A435" s="2" t="s">
        <v>1331</v>
      </c>
      <c r="B435" s="100">
        <v>44609.0</v>
      </c>
      <c r="C435" s="101">
        <v>0.3083680555555556</v>
      </c>
      <c r="D435" s="102"/>
      <c r="E435" s="102"/>
      <c r="F435" s="102"/>
      <c r="G435" s="102"/>
      <c r="H435" s="102"/>
      <c r="I435" s="103"/>
      <c r="J435" s="103"/>
      <c r="K435" s="2" t="s">
        <v>244</v>
      </c>
      <c r="L435" s="100">
        <v>44611.0</v>
      </c>
      <c r="M435" s="101">
        <v>0.38957175925925924</v>
      </c>
      <c r="P435" s="104" t="b">
        <f>IFNA(IF(VLOOKUP($A435,'Add from APT'!$AA$2:$AC826,3,FALSE)&gt;0,TRUE,FALSE),"ER - NOT IN APT")</f>
        <v>0</v>
      </c>
      <c r="Q435" s="105" t="str">
        <f>IF(ISLOGICAL(P435),IF(P435,"ER - REPS IN APT", IFNA(VLOOKUP($A435,RAW_APT!$A$3:$M826,7,FALSE),"ER - NOT IN APT")),P435)</f>
        <v>Result</v>
      </c>
      <c r="R435" s="106" t="b">
        <f t="shared" si="2"/>
        <v>1</v>
      </c>
      <c r="S435" s="107">
        <f t="shared" si="3"/>
        <v>1</v>
      </c>
      <c r="T435" s="143"/>
      <c r="U435" s="142"/>
      <c r="V435" s="142"/>
      <c r="W435" s="142"/>
      <c r="X435" s="110" t="b">
        <f t="shared" si="4"/>
        <v>0</v>
      </c>
      <c r="Y435" s="111" t="b">
        <v>0</v>
      </c>
      <c r="Z435" s="104" t="str">
        <f t="shared" si="5"/>
        <v/>
      </c>
      <c r="AA435" s="112" t="b">
        <f t="shared" si="6"/>
        <v>0</v>
      </c>
      <c r="AB435" s="142" t="b">
        <v>0</v>
      </c>
      <c r="AC435" s="140">
        <v>373.0</v>
      </c>
      <c r="AD435" s="141" t="b">
        <v>0</v>
      </c>
      <c r="AE435" s="115" t="str">
        <f t="shared" si="7"/>
        <v/>
      </c>
      <c r="AF435" s="116" t="b">
        <f t="shared" si="8"/>
        <v>0</v>
      </c>
      <c r="AG435" s="105" t="b">
        <f t="shared" si="9"/>
        <v>0</v>
      </c>
      <c r="AH435" s="140"/>
      <c r="AI435" s="140"/>
      <c r="AJ435" s="140"/>
      <c r="AK435" s="117" t="str">
        <f t="shared" si="10"/>
        <v>Negative</v>
      </c>
      <c r="AL435" s="142"/>
      <c r="AM435" s="112" t="s">
        <v>291</v>
      </c>
      <c r="AN435" s="112" t="s">
        <v>292</v>
      </c>
      <c r="AO435" s="112" t="str">
        <f>IFERROR(__xludf.DUMMYFUNCTION("IF($AG435, ""DELETED"",TRIM(JOIN("" "",D435:E435)))"),"")</f>
        <v/>
      </c>
      <c r="AP435" s="112" t="str">
        <f t="shared" ref="AP435:AQ435" si="460">IF($AG435, "DELETED", TRIM(CONCATENATE(F435,I435,U435)))</f>
        <v/>
      </c>
      <c r="AQ435" s="112" t="str">
        <f t="shared" si="460"/>
        <v/>
      </c>
      <c r="AR435" s="112" t="str">
        <f>IFERROR(__xludf.DUMMYFUNCTION("IF($AG435, ""DELETED"", TRIM(JOIN("" "",AP435,AQ435)))"),"")</f>
        <v/>
      </c>
      <c r="AS435" s="118"/>
      <c r="AT435" s="110" t="b">
        <f t="shared" si="12"/>
        <v>0</v>
      </c>
      <c r="AU435" s="110" t="str">
        <f t="shared" si="13"/>
        <v/>
      </c>
      <c r="AV435" s="110" t="str">
        <f t="shared" si="14"/>
        <v/>
      </c>
      <c r="AW435" s="110" t="str">
        <f t="shared" si="15"/>
        <v/>
      </c>
      <c r="AX435" s="119" t="str">
        <f t="shared" si="16"/>
        <v/>
      </c>
      <c r="AY435" s="120"/>
      <c r="AZ435" s="121"/>
      <c r="BA435" s="122" t="str">
        <f t="shared" si="17"/>
        <v/>
      </c>
      <c r="BB435" s="34"/>
      <c r="BC435" s="121"/>
      <c r="BD435" s="136"/>
      <c r="BE435" s="125" t="str">
        <f t="shared" si="18"/>
        <v/>
      </c>
      <c r="BF435" s="126" t="str">
        <f t="shared" si="19"/>
        <v>FM432__44609_0.308368055555556</v>
      </c>
      <c r="BG435" s="127" t="str">
        <f t="shared" si="20"/>
        <v/>
      </c>
      <c r="BH435" s="137" t="s">
        <v>1332</v>
      </c>
      <c r="BI435" s="128" t="str">
        <f t="shared" si="21"/>
        <v>MA1272</v>
      </c>
      <c r="BJ435" s="129" t="b">
        <f t="shared" si="22"/>
        <v>0</v>
      </c>
      <c r="BK435" s="128" t="str">
        <f t="shared" si="23"/>
        <v/>
      </c>
      <c r="BL435" s="121"/>
      <c r="BM435" s="5" t="str">
        <f t="shared" si="24"/>
        <v>MISSING</v>
      </c>
      <c r="BN435" s="120" t="b">
        <f t="shared" si="25"/>
        <v>0</v>
      </c>
      <c r="BO435" s="131" t="b">
        <f t="shared" si="26"/>
        <v>1</v>
      </c>
      <c r="BP435" s="121"/>
      <c r="BQ435" s="132" t="str">
        <f>VLOOKUP(A435,RAW_APS!A$3:O826,15,FALSE)</f>
        <v/>
      </c>
      <c r="BR435" s="120" t="b">
        <f t="shared" si="27"/>
        <v>1</v>
      </c>
      <c r="BS435" s="121"/>
      <c r="BT435" s="138" t="s">
        <v>244</v>
      </c>
      <c r="BU435" s="10" t="b">
        <f t="shared" si="28"/>
        <v>1</v>
      </c>
      <c r="BV435" s="120"/>
      <c r="BW435" s="120"/>
      <c r="BX435" s="120"/>
      <c r="BY435" s="120"/>
      <c r="BZ435" s="120"/>
      <c r="CA435" s="120"/>
      <c r="CB435" s="120"/>
      <c r="CC435" s="120"/>
    </row>
    <row r="436">
      <c r="A436" s="2" t="s">
        <v>1333</v>
      </c>
      <c r="B436" s="100">
        <v>44609.0</v>
      </c>
      <c r="C436" s="101">
        <v>0.3095833333333333</v>
      </c>
      <c r="D436" s="102"/>
      <c r="E436" s="102"/>
      <c r="F436" s="102"/>
      <c r="G436" s="102"/>
      <c r="H436" s="102"/>
      <c r="I436" s="103"/>
      <c r="J436" s="103"/>
      <c r="K436" s="2" t="s">
        <v>244</v>
      </c>
      <c r="L436" s="100">
        <v>44611.0</v>
      </c>
      <c r="M436" s="101">
        <v>0.38957175925925924</v>
      </c>
      <c r="P436" s="104" t="b">
        <f>IFNA(IF(VLOOKUP($A436,'Add from APT'!$AA$2:$AC826,3,FALSE)&gt;0,TRUE,FALSE),"ER - NOT IN APT")</f>
        <v>0</v>
      </c>
      <c r="Q436" s="105" t="str">
        <f>IF(ISLOGICAL(P436),IF(P436,"ER - REPS IN APT", IFNA(VLOOKUP($A436,RAW_APT!$A$3:$M826,7,FALSE),"ER - NOT IN APT")),P436)</f>
        <v>Result</v>
      </c>
      <c r="R436" s="106" t="b">
        <f t="shared" si="2"/>
        <v>1</v>
      </c>
      <c r="S436" s="107">
        <f t="shared" si="3"/>
        <v>1</v>
      </c>
      <c r="T436" s="143"/>
      <c r="U436" s="142"/>
      <c r="V436" s="142"/>
      <c r="W436" s="142"/>
      <c r="X436" s="110" t="b">
        <f t="shared" si="4"/>
        <v>0</v>
      </c>
      <c r="Y436" s="111" t="b">
        <v>0</v>
      </c>
      <c r="Z436" s="104" t="str">
        <f t="shared" si="5"/>
        <v/>
      </c>
      <c r="AA436" s="112" t="b">
        <f t="shared" si="6"/>
        <v>0</v>
      </c>
      <c r="AB436" s="142" t="b">
        <v>0</v>
      </c>
      <c r="AC436" s="140">
        <v>372.0</v>
      </c>
      <c r="AD436" s="141" t="b">
        <v>0</v>
      </c>
      <c r="AE436" s="115" t="str">
        <f t="shared" si="7"/>
        <v/>
      </c>
      <c r="AF436" s="116" t="b">
        <f t="shared" si="8"/>
        <v>0</v>
      </c>
      <c r="AG436" s="105" t="b">
        <f t="shared" si="9"/>
        <v>0</v>
      </c>
      <c r="AH436" s="140"/>
      <c r="AI436" s="140"/>
      <c r="AJ436" s="140"/>
      <c r="AK436" s="117" t="str">
        <f t="shared" si="10"/>
        <v>Negative</v>
      </c>
      <c r="AL436" s="142"/>
      <c r="AM436" s="112" t="s">
        <v>1334</v>
      </c>
      <c r="AN436" s="112" t="s">
        <v>1335</v>
      </c>
      <c r="AO436" s="112" t="str">
        <f>IFERROR(__xludf.DUMMYFUNCTION("IF($AG436, ""DELETED"",TRIM(JOIN("" "",D436:E436)))"),"")</f>
        <v/>
      </c>
      <c r="AP436" s="112" t="str">
        <f t="shared" ref="AP436:AQ436" si="461">IF($AG436, "DELETED", TRIM(CONCATENATE(F436,I436,U436)))</f>
        <v/>
      </c>
      <c r="AQ436" s="112" t="str">
        <f t="shared" si="461"/>
        <v/>
      </c>
      <c r="AR436" s="112" t="str">
        <f>IFERROR(__xludf.DUMMYFUNCTION("IF($AG436, ""DELETED"", TRIM(JOIN("" "",AP436,AQ436)))"),"")</f>
        <v/>
      </c>
      <c r="AS436" s="118"/>
      <c r="AT436" s="110" t="b">
        <f t="shared" si="12"/>
        <v>0</v>
      </c>
      <c r="AU436" s="110" t="str">
        <f t="shared" si="13"/>
        <v/>
      </c>
      <c r="AV436" s="110" t="str">
        <f t="shared" si="14"/>
        <v/>
      </c>
      <c r="AW436" s="110" t="str">
        <f t="shared" si="15"/>
        <v/>
      </c>
      <c r="AX436" s="119" t="str">
        <f t="shared" si="16"/>
        <v/>
      </c>
      <c r="AY436" s="120"/>
      <c r="AZ436" s="121"/>
      <c r="BA436" s="122" t="str">
        <f t="shared" si="17"/>
        <v/>
      </c>
      <c r="BB436" s="34"/>
      <c r="BC436" s="121"/>
      <c r="BD436" s="136"/>
      <c r="BE436" s="125" t="str">
        <f t="shared" si="18"/>
        <v/>
      </c>
      <c r="BF436" s="126" t="str">
        <f t="shared" si="19"/>
        <v>FM429__44609_0.309583333333333</v>
      </c>
      <c r="BG436" s="127" t="str">
        <f t="shared" si="20"/>
        <v/>
      </c>
      <c r="BH436" s="137" t="s">
        <v>1336</v>
      </c>
      <c r="BI436" s="128" t="str">
        <f t="shared" si="21"/>
        <v>MA1274</v>
      </c>
      <c r="BJ436" s="129" t="b">
        <f t="shared" si="22"/>
        <v>0</v>
      </c>
      <c r="BK436" s="128" t="str">
        <f t="shared" si="23"/>
        <v/>
      </c>
      <c r="BL436" s="121"/>
      <c r="BM436" s="5" t="str">
        <f t="shared" si="24"/>
        <v>MISSING</v>
      </c>
      <c r="BN436" s="120" t="b">
        <f t="shared" si="25"/>
        <v>0</v>
      </c>
      <c r="BO436" s="131" t="b">
        <f t="shared" si="26"/>
        <v>1</v>
      </c>
      <c r="BP436" s="121"/>
      <c r="BQ436" s="132" t="str">
        <f>VLOOKUP(A436,RAW_APS!A$3:O826,15,FALSE)</f>
        <v/>
      </c>
      <c r="BR436" s="120" t="b">
        <f t="shared" si="27"/>
        <v>1</v>
      </c>
      <c r="BS436" s="121"/>
      <c r="BT436" s="138" t="s">
        <v>244</v>
      </c>
      <c r="BU436" s="10" t="b">
        <f t="shared" si="28"/>
        <v>1</v>
      </c>
      <c r="BV436" s="120"/>
      <c r="BW436" s="120"/>
      <c r="BX436" s="120"/>
      <c r="BY436" s="120"/>
      <c r="BZ436" s="120"/>
      <c r="CA436" s="120"/>
      <c r="CB436" s="120"/>
      <c r="CC436" s="120"/>
    </row>
    <row r="437">
      <c r="A437" s="2" t="s">
        <v>1337</v>
      </c>
      <c r="B437" s="100">
        <v>44609.0</v>
      </c>
      <c r="C437" s="101">
        <v>0.3115625</v>
      </c>
      <c r="D437" s="102"/>
      <c r="E437" s="102"/>
      <c r="F437" s="102"/>
      <c r="G437" s="102"/>
      <c r="H437" s="102"/>
      <c r="I437" s="103"/>
      <c r="J437" s="103"/>
      <c r="K437" s="2" t="s">
        <v>244</v>
      </c>
      <c r="L437" s="100">
        <v>44611.0</v>
      </c>
      <c r="M437" s="101">
        <v>0.38957175925925924</v>
      </c>
      <c r="P437" s="104" t="b">
        <f>IFNA(IF(VLOOKUP($A437,'Add from APT'!$AA$2:$AC826,3,FALSE)&gt;0,TRUE,FALSE),"ER - NOT IN APT")</f>
        <v>0</v>
      </c>
      <c r="Q437" s="105" t="str">
        <f>IF(ISLOGICAL(P437),IF(P437,"ER - REPS IN APT", IFNA(VLOOKUP($A437,RAW_APT!$A$3:$M826,7,FALSE),"ER - NOT IN APT")),P437)</f>
        <v>Result</v>
      </c>
      <c r="R437" s="106" t="b">
        <f t="shared" si="2"/>
        <v>1</v>
      </c>
      <c r="S437" s="107">
        <f t="shared" si="3"/>
        <v>1</v>
      </c>
      <c r="T437" s="143"/>
      <c r="U437" s="142"/>
      <c r="V437" s="142"/>
      <c r="W437" s="142"/>
      <c r="X437" s="110" t="b">
        <f t="shared" si="4"/>
        <v>0</v>
      </c>
      <c r="Y437" s="111" t="b">
        <v>0</v>
      </c>
      <c r="Z437" s="104" t="str">
        <f t="shared" si="5"/>
        <v/>
      </c>
      <c r="AA437" s="112" t="b">
        <f t="shared" si="6"/>
        <v>0</v>
      </c>
      <c r="AB437" s="142" t="b">
        <v>0</v>
      </c>
      <c r="AC437" s="140">
        <v>371.0</v>
      </c>
      <c r="AD437" s="141" t="b">
        <v>0</v>
      </c>
      <c r="AE437" s="115" t="str">
        <f t="shared" si="7"/>
        <v/>
      </c>
      <c r="AF437" s="116" t="b">
        <f t="shared" si="8"/>
        <v>0</v>
      </c>
      <c r="AG437" s="105" t="b">
        <f t="shared" si="9"/>
        <v>0</v>
      </c>
      <c r="AH437" s="140"/>
      <c r="AI437" s="140"/>
      <c r="AJ437" s="140"/>
      <c r="AK437" s="117" t="str">
        <f t="shared" si="10"/>
        <v>Negative</v>
      </c>
      <c r="AL437" s="142"/>
      <c r="AM437" s="112" t="s">
        <v>356</v>
      </c>
      <c r="AN437" s="112" t="s">
        <v>357</v>
      </c>
      <c r="AO437" s="112" t="str">
        <f>IFERROR(__xludf.DUMMYFUNCTION("IF($AG437, ""DELETED"",TRIM(JOIN("" "",D437:E437)))"),"")</f>
        <v/>
      </c>
      <c r="AP437" s="112" t="str">
        <f t="shared" ref="AP437:AQ437" si="462">IF($AG437, "DELETED", TRIM(CONCATENATE(F437,I437,U437)))</f>
        <v/>
      </c>
      <c r="AQ437" s="112" t="str">
        <f t="shared" si="462"/>
        <v/>
      </c>
      <c r="AR437" s="112" t="str">
        <f>IFERROR(__xludf.DUMMYFUNCTION("IF($AG437, ""DELETED"", TRIM(JOIN("" "",AP437,AQ437)))"),"")</f>
        <v/>
      </c>
      <c r="AS437" s="118"/>
      <c r="AT437" s="110" t="b">
        <f t="shared" si="12"/>
        <v>0</v>
      </c>
      <c r="AU437" s="110" t="str">
        <f t="shared" si="13"/>
        <v/>
      </c>
      <c r="AV437" s="110" t="str">
        <f t="shared" si="14"/>
        <v/>
      </c>
      <c r="AW437" s="110" t="str">
        <f t="shared" si="15"/>
        <v/>
      </c>
      <c r="AX437" s="119" t="str">
        <f t="shared" si="16"/>
        <v/>
      </c>
      <c r="AY437" s="120"/>
      <c r="AZ437" s="121"/>
      <c r="BA437" s="122" t="str">
        <f t="shared" si="17"/>
        <v/>
      </c>
      <c r="BB437" s="34"/>
      <c r="BC437" s="121"/>
      <c r="BD437" s="136"/>
      <c r="BE437" s="125" t="str">
        <f t="shared" si="18"/>
        <v/>
      </c>
      <c r="BF437" s="126" t="str">
        <f t="shared" si="19"/>
        <v>FM443__44609_0.3115625</v>
      </c>
      <c r="BG437" s="127" t="str">
        <f t="shared" si="20"/>
        <v/>
      </c>
      <c r="BH437" s="137" t="s">
        <v>1338</v>
      </c>
      <c r="BI437" s="128" t="str">
        <f t="shared" si="21"/>
        <v>MA1275</v>
      </c>
      <c r="BJ437" s="129" t="b">
        <f t="shared" si="22"/>
        <v>0</v>
      </c>
      <c r="BK437" s="128" t="str">
        <f t="shared" si="23"/>
        <v/>
      </c>
      <c r="BL437" s="121"/>
      <c r="BM437" s="5" t="str">
        <f t="shared" si="24"/>
        <v>MISSING</v>
      </c>
      <c r="BN437" s="120" t="b">
        <f t="shared" si="25"/>
        <v>0</v>
      </c>
      <c r="BO437" s="131" t="b">
        <f t="shared" si="26"/>
        <v>1</v>
      </c>
      <c r="BP437" s="121"/>
      <c r="BQ437" s="132" t="str">
        <f>VLOOKUP(A437,RAW_APS!A$3:O826,15,FALSE)</f>
        <v/>
      </c>
      <c r="BR437" s="120" t="b">
        <f t="shared" si="27"/>
        <v>1</v>
      </c>
      <c r="BS437" s="121"/>
      <c r="BT437" s="138" t="s">
        <v>244</v>
      </c>
      <c r="BU437" s="10" t="b">
        <f t="shared" si="28"/>
        <v>1</v>
      </c>
      <c r="BV437" s="120"/>
      <c r="BW437" s="120"/>
      <c r="BX437" s="120"/>
      <c r="BY437" s="120"/>
      <c r="BZ437" s="120"/>
      <c r="CA437" s="120"/>
      <c r="CB437" s="120"/>
      <c r="CC437" s="120"/>
    </row>
    <row r="438">
      <c r="A438" s="2" t="s">
        <v>1339</v>
      </c>
      <c r="B438" s="100">
        <v>44609.0</v>
      </c>
      <c r="C438" s="101">
        <v>0.31168981481481484</v>
      </c>
      <c r="D438" s="102"/>
      <c r="E438" s="102"/>
      <c r="F438" s="102"/>
      <c r="G438" s="102"/>
      <c r="H438" s="102"/>
      <c r="I438" s="103"/>
      <c r="J438" s="103"/>
      <c r="K438" s="2" t="s">
        <v>244</v>
      </c>
      <c r="L438" s="100">
        <v>44611.0</v>
      </c>
      <c r="M438" s="101">
        <v>0.38957175925925924</v>
      </c>
      <c r="P438" s="104" t="b">
        <f>IFNA(IF(VLOOKUP($A438,'Add from APT'!$AA$2:$AC826,3,FALSE)&gt;0,TRUE,FALSE),"ER - NOT IN APT")</f>
        <v>0</v>
      </c>
      <c r="Q438" s="105" t="str">
        <f>IF(ISLOGICAL(P438),IF(P438,"ER - REPS IN APT", IFNA(VLOOKUP($A438,RAW_APT!$A$3:$M826,7,FALSE),"ER - NOT IN APT")),P438)</f>
        <v>Result</v>
      </c>
      <c r="R438" s="106" t="b">
        <f t="shared" si="2"/>
        <v>1</v>
      </c>
      <c r="S438" s="107">
        <f t="shared" si="3"/>
        <v>1</v>
      </c>
      <c r="T438" s="143"/>
      <c r="U438" s="142"/>
      <c r="V438" s="142"/>
      <c r="W438" s="142"/>
      <c r="X438" s="110" t="b">
        <f t="shared" si="4"/>
        <v>0</v>
      </c>
      <c r="Y438" s="111" t="b">
        <v>0</v>
      </c>
      <c r="Z438" s="104" t="str">
        <f t="shared" si="5"/>
        <v/>
      </c>
      <c r="AA438" s="112" t="b">
        <f t="shared" si="6"/>
        <v>0</v>
      </c>
      <c r="AB438" s="142" t="b">
        <v>0</v>
      </c>
      <c r="AC438" s="140">
        <v>370.0</v>
      </c>
      <c r="AD438" s="141" t="b">
        <v>0</v>
      </c>
      <c r="AE438" s="115" t="str">
        <f t="shared" si="7"/>
        <v/>
      </c>
      <c r="AF438" s="116" t="b">
        <f t="shared" si="8"/>
        <v>0</v>
      </c>
      <c r="AG438" s="105" t="b">
        <f t="shared" si="9"/>
        <v>0</v>
      </c>
      <c r="AH438" s="140"/>
      <c r="AI438" s="140"/>
      <c r="AJ438" s="140"/>
      <c r="AK438" s="117" t="str">
        <f t="shared" si="10"/>
        <v>Negative</v>
      </c>
      <c r="AL438" s="142"/>
      <c r="AM438" s="112" t="s">
        <v>857</v>
      </c>
      <c r="AN438" s="112" t="s">
        <v>696</v>
      </c>
      <c r="AO438" s="112" t="str">
        <f>IFERROR(__xludf.DUMMYFUNCTION("IF($AG438, ""DELETED"",TRIM(JOIN("" "",D438:E438)))"),"")</f>
        <v/>
      </c>
      <c r="AP438" s="112" t="str">
        <f t="shared" ref="AP438:AQ438" si="463">IF($AG438, "DELETED", TRIM(CONCATENATE(F438,I438,U438)))</f>
        <v/>
      </c>
      <c r="AQ438" s="112" t="str">
        <f t="shared" si="463"/>
        <v/>
      </c>
      <c r="AR438" s="112" t="str">
        <f>IFERROR(__xludf.DUMMYFUNCTION("IF($AG438, ""DELETED"", TRIM(JOIN("" "",AP438,AQ438)))"),"")</f>
        <v/>
      </c>
      <c r="AS438" s="118"/>
      <c r="AT438" s="110" t="b">
        <f t="shared" si="12"/>
        <v>0</v>
      </c>
      <c r="AU438" s="110" t="str">
        <f t="shared" si="13"/>
        <v/>
      </c>
      <c r="AV438" s="110" t="str">
        <f t="shared" si="14"/>
        <v/>
      </c>
      <c r="AW438" s="110" t="str">
        <f t="shared" si="15"/>
        <v/>
      </c>
      <c r="AX438" s="119" t="str">
        <f t="shared" si="16"/>
        <v/>
      </c>
      <c r="AY438" s="120"/>
      <c r="AZ438" s="121"/>
      <c r="BA438" s="122" t="str">
        <f t="shared" si="17"/>
        <v/>
      </c>
      <c r="BB438" s="34"/>
      <c r="BC438" s="121"/>
      <c r="BD438" s="136"/>
      <c r="BE438" s="125" t="str">
        <f t="shared" si="18"/>
        <v/>
      </c>
      <c r="BF438" s="126" t="str">
        <f t="shared" si="19"/>
        <v>FM9__44609_0.311689814814815</v>
      </c>
      <c r="BG438" s="127" t="str">
        <f t="shared" si="20"/>
        <v/>
      </c>
      <c r="BH438" s="137" t="s">
        <v>1340</v>
      </c>
      <c r="BI438" s="128" t="str">
        <f t="shared" si="21"/>
        <v>MA1276</v>
      </c>
      <c r="BJ438" s="129" t="b">
        <f t="shared" si="22"/>
        <v>0</v>
      </c>
      <c r="BK438" s="128" t="str">
        <f t="shared" si="23"/>
        <v/>
      </c>
      <c r="BL438" s="121"/>
      <c r="BM438" s="5" t="str">
        <f t="shared" si="24"/>
        <v>MISSING</v>
      </c>
      <c r="BN438" s="120" t="b">
        <f t="shared" si="25"/>
        <v>0</v>
      </c>
      <c r="BO438" s="131" t="b">
        <f t="shared" si="26"/>
        <v>1</v>
      </c>
      <c r="BP438" s="121"/>
      <c r="BQ438" s="132" t="str">
        <f>VLOOKUP(A438,RAW_APS!A$3:O826,15,FALSE)</f>
        <v/>
      </c>
      <c r="BR438" s="120" t="b">
        <f t="shared" si="27"/>
        <v>1</v>
      </c>
      <c r="BS438" s="121"/>
      <c r="BT438" s="138" t="s">
        <v>244</v>
      </c>
      <c r="BU438" s="10" t="b">
        <f t="shared" si="28"/>
        <v>1</v>
      </c>
      <c r="BV438" s="120"/>
      <c r="BW438" s="120"/>
      <c r="BX438" s="120"/>
      <c r="BY438" s="120"/>
      <c r="BZ438" s="120"/>
      <c r="CA438" s="120"/>
      <c r="CB438" s="120"/>
      <c r="CC438" s="120"/>
    </row>
    <row r="439">
      <c r="A439" s="2" t="s">
        <v>1341</v>
      </c>
      <c r="B439" s="100">
        <v>44609.0</v>
      </c>
      <c r="C439" s="101">
        <v>0.31559027777777776</v>
      </c>
      <c r="D439" s="102"/>
      <c r="E439" s="102"/>
      <c r="F439" s="102"/>
      <c r="G439" s="102"/>
      <c r="H439" s="102"/>
      <c r="I439" s="103"/>
      <c r="J439" s="103"/>
      <c r="K439" s="2" t="s">
        <v>244</v>
      </c>
      <c r="L439" s="100">
        <v>44611.0</v>
      </c>
      <c r="M439" s="101">
        <v>0.38957175925925924</v>
      </c>
      <c r="P439" s="104" t="b">
        <f>IFNA(IF(VLOOKUP($A439,'Add from APT'!$AA$2:$AC826,3,FALSE)&gt;0,TRUE,FALSE),"ER - NOT IN APT")</f>
        <v>0</v>
      </c>
      <c r="Q439" s="105" t="str">
        <f>IF(ISLOGICAL(P439),IF(P439,"ER - REPS IN APT", IFNA(VLOOKUP($A439,RAW_APT!$A$3:$M826,7,FALSE),"ER - NOT IN APT")),P439)</f>
        <v>Result</v>
      </c>
      <c r="R439" s="106" t="b">
        <f t="shared" si="2"/>
        <v>1</v>
      </c>
      <c r="S439" s="107">
        <f t="shared" si="3"/>
        <v>1</v>
      </c>
      <c r="T439" s="143"/>
      <c r="U439" s="142"/>
      <c r="V439" s="142"/>
      <c r="W439" s="142"/>
      <c r="X439" s="110" t="b">
        <f t="shared" si="4"/>
        <v>0</v>
      </c>
      <c r="Y439" s="111" t="b">
        <v>0</v>
      </c>
      <c r="Z439" s="104" t="str">
        <f t="shared" si="5"/>
        <v/>
      </c>
      <c r="AA439" s="112" t="b">
        <f t="shared" si="6"/>
        <v>0</v>
      </c>
      <c r="AB439" s="142" t="b">
        <v>0</v>
      </c>
      <c r="AC439" s="140">
        <v>369.0</v>
      </c>
      <c r="AD439" s="141" t="b">
        <v>0</v>
      </c>
      <c r="AE439" s="115" t="str">
        <f t="shared" si="7"/>
        <v/>
      </c>
      <c r="AF439" s="116" t="b">
        <f t="shared" si="8"/>
        <v>0</v>
      </c>
      <c r="AG439" s="105" t="b">
        <f t="shared" si="9"/>
        <v>0</v>
      </c>
      <c r="AH439" s="140"/>
      <c r="AI439" s="140"/>
      <c r="AJ439" s="140"/>
      <c r="AK439" s="117" t="str">
        <f t="shared" si="10"/>
        <v>Negative</v>
      </c>
      <c r="AL439" s="142"/>
      <c r="AM439" s="112" t="s">
        <v>1342</v>
      </c>
      <c r="AN439" s="112" t="s">
        <v>1343</v>
      </c>
      <c r="AO439" s="112" t="str">
        <f>IFERROR(__xludf.DUMMYFUNCTION("IF($AG439, ""DELETED"",TRIM(JOIN("" "",D439:E439)))"),"")</f>
        <v/>
      </c>
      <c r="AP439" s="112" t="str">
        <f t="shared" ref="AP439:AQ439" si="464">IF($AG439, "DELETED", TRIM(CONCATENATE(F439,I439,U439)))</f>
        <v/>
      </c>
      <c r="AQ439" s="112" t="str">
        <f t="shared" si="464"/>
        <v/>
      </c>
      <c r="AR439" s="112" t="str">
        <f>IFERROR(__xludf.DUMMYFUNCTION("IF($AG439, ""DELETED"", TRIM(JOIN("" "",AP439,AQ439)))"),"")</f>
        <v/>
      </c>
      <c r="AS439" s="118"/>
      <c r="AT439" s="110" t="b">
        <f t="shared" si="12"/>
        <v>0</v>
      </c>
      <c r="AU439" s="110" t="str">
        <f t="shared" si="13"/>
        <v/>
      </c>
      <c r="AV439" s="110" t="str">
        <f t="shared" si="14"/>
        <v/>
      </c>
      <c r="AW439" s="110" t="str">
        <f t="shared" si="15"/>
        <v/>
      </c>
      <c r="AX439" s="119" t="str">
        <f t="shared" si="16"/>
        <v/>
      </c>
      <c r="AY439" s="120"/>
      <c r="AZ439" s="121"/>
      <c r="BA439" s="122" t="str">
        <f t="shared" si="17"/>
        <v/>
      </c>
      <c r="BB439" s="34"/>
      <c r="BC439" s="121"/>
      <c r="BD439" s="136"/>
      <c r="BE439" s="125" t="str">
        <f t="shared" si="18"/>
        <v/>
      </c>
      <c r="BF439" s="126" t="str">
        <f t="shared" si="19"/>
        <v>MA182__44609_0.315590277777778</v>
      </c>
      <c r="BG439" s="127" t="str">
        <f t="shared" si="20"/>
        <v/>
      </c>
      <c r="BH439" s="137" t="s">
        <v>1344</v>
      </c>
      <c r="BI439" s="128" t="str">
        <f t="shared" si="21"/>
        <v>MA1278</v>
      </c>
      <c r="BJ439" s="129" t="b">
        <f t="shared" si="22"/>
        <v>0</v>
      </c>
      <c r="BK439" s="128" t="str">
        <f t="shared" si="23"/>
        <v/>
      </c>
      <c r="BL439" s="121"/>
      <c r="BM439" s="5" t="str">
        <f t="shared" si="24"/>
        <v>MISSING</v>
      </c>
      <c r="BN439" s="120" t="b">
        <f t="shared" si="25"/>
        <v>0</v>
      </c>
      <c r="BO439" s="131" t="b">
        <f t="shared" si="26"/>
        <v>1</v>
      </c>
      <c r="BP439" s="121"/>
      <c r="BQ439" s="132" t="str">
        <f>VLOOKUP(A439,RAW_APS!A$3:O826,15,FALSE)</f>
        <v/>
      </c>
      <c r="BR439" s="120" t="b">
        <f t="shared" si="27"/>
        <v>1</v>
      </c>
      <c r="BS439" s="121"/>
      <c r="BT439" s="138" t="s">
        <v>244</v>
      </c>
      <c r="BU439" s="10" t="b">
        <f t="shared" si="28"/>
        <v>1</v>
      </c>
      <c r="BV439" s="120"/>
      <c r="BW439" s="120"/>
      <c r="BX439" s="120"/>
      <c r="BY439" s="120"/>
      <c r="BZ439" s="120"/>
      <c r="CA439" s="120"/>
      <c r="CB439" s="120"/>
      <c r="CC439" s="120"/>
    </row>
    <row r="440">
      <c r="A440" s="2" t="s">
        <v>1345</v>
      </c>
      <c r="B440" s="100">
        <v>44609.0</v>
      </c>
      <c r="C440" s="101">
        <v>0.3156365740740741</v>
      </c>
      <c r="D440" s="102"/>
      <c r="E440" s="102"/>
      <c r="F440" s="102"/>
      <c r="G440" s="102"/>
      <c r="H440" s="102"/>
      <c r="I440" s="103"/>
      <c r="J440" s="103"/>
      <c r="K440" s="2" t="s">
        <v>244</v>
      </c>
      <c r="L440" s="100">
        <v>44611.0</v>
      </c>
      <c r="M440" s="101">
        <v>0.38957175925925924</v>
      </c>
      <c r="P440" s="104" t="b">
        <f>IFNA(IF(VLOOKUP($A440,'Add from APT'!$AA$2:$AC826,3,FALSE)&gt;0,TRUE,FALSE),"ER - NOT IN APT")</f>
        <v>0</v>
      </c>
      <c r="Q440" s="105" t="str">
        <f>IF(ISLOGICAL(P440),IF(P440,"ER - REPS IN APT", IFNA(VLOOKUP($A440,RAW_APT!$A$3:$M826,7,FALSE),"ER - NOT IN APT")),P440)</f>
        <v>Result</v>
      </c>
      <c r="R440" s="106" t="b">
        <f t="shared" si="2"/>
        <v>1</v>
      </c>
      <c r="S440" s="107">
        <f t="shared" si="3"/>
        <v>1</v>
      </c>
      <c r="T440" s="143"/>
      <c r="U440" s="142"/>
      <c r="V440" s="142"/>
      <c r="W440" s="142"/>
      <c r="X440" s="110" t="b">
        <f t="shared" si="4"/>
        <v>0</v>
      </c>
      <c r="Y440" s="111" t="b">
        <v>0</v>
      </c>
      <c r="Z440" s="104" t="str">
        <f t="shared" si="5"/>
        <v/>
      </c>
      <c r="AA440" s="112" t="b">
        <f t="shared" si="6"/>
        <v>0</v>
      </c>
      <c r="AB440" s="142" t="b">
        <v>0</v>
      </c>
      <c r="AC440" s="140">
        <v>368.0</v>
      </c>
      <c r="AD440" s="141" t="b">
        <v>0</v>
      </c>
      <c r="AE440" s="115" t="str">
        <f t="shared" si="7"/>
        <v/>
      </c>
      <c r="AF440" s="116" t="b">
        <f t="shared" si="8"/>
        <v>0</v>
      </c>
      <c r="AG440" s="105" t="b">
        <f t="shared" si="9"/>
        <v>0</v>
      </c>
      <c r="AH440" s="140"/>
      <c r="AI440" s="140"/>
      <c r="AJ440" s="140"/>
      <c r="AK440" s="117" t="str">
        <f t="shared" si="10"/>
        <v>Negative</v>
      </c>
      <c r="AL440" s="142"/>
      <c r="AM440" s="112" t="s">
        <v>295</v>
      </c>
      <c r="AN440" s="112" t="s">
        <v>296</v>
      </c>
      <c r="AO440" s="112" t="str">
        <f>IFERROR(__xludf.DUMMYFUNCTION("IF($AG440, ""DELETED"",TRIM(JOIN("" "",D440:E440)))"),"")</f>
        <v/>
      </c>
      <c r="AP440" s="112" t="str">
        <f t="shared" ref="AP440:AQ440" si="465">IF($AG440, "DELETED", TRIM(CONCATENATE(F440,I440,U440)))</f>
        <v/>
      </c>
      <c r="AQ440" s="112" t="str">
        <f t="shared" si="465"/>
        <v/>
      </c>
      <c r="AR440" s="112" t="str">
        <f>IFERROR(__xludf.DUMMYFUNCTION("IF($AG440, ""DELETED"", TRIM(JOIN("" "",AP440,AQ440)))"),"")</f>
        <v/>
      </c>
      <c r="AS440" s="118"/>
      <c r="AT440" s="110" t="b">
        <f t="shared" si="12"/>
        <v>0</v>
      </c>
      <c r="AU440" s="110" t="str">
        <f t="shared" si="13"/>
        <v/>
      </c>
      <c r="AV440" s="110" t="str">
        <f t="shared" si="14"/>
        <v/>
      </c>
      <c r="AW440" s="110" t="str">
        <f t="shared" si="15"/>
        <v/>
      </c>
      <c r="AX440" s="119" t="str">
        <f t="shared" si="16"/>
        <v/>
      </c>
      <c r="AY440" s="120"/>
      <c r="AZ440" s="121"/>
      <c r="BA440" s="122" t="str">
        <f t="shared" si="17"/>
        <v/>
      </c>
      <c r="BB440" s="34"/>
      <c r="BC440" s="121"/>
      <c r="BD440" s="136"/>
      <c r="BE440" s="125" t="str">
        <f t="shared" si="18"/>
        <v/>
      </c>
      <c r="BF440" s="126" t="str">
        <f t="shared" si="19"/>
        <v>MA206__44609_0.315636574074074</v>
      </c>
      <c r="BG440" s="127" t="str">
        <f t="shared" si="20"/>
        <v/>
      </c>
      <c r="BH440" s="137" t="s">
        <v>1346</v>
      </c>
      <c r="BI440" s="128" t="str">
        <f t="shared" si="21"/>
        <v>MA1280</v>
      </c>
      <c r="BJ440" s="129" t="b">
        <f t="shared" si="22"/>
        <v>0</v>
      </c>
      <c r="BK440" s="128" t="str">
        <f t="shared" si="23"/>
        <v/>
      </c>
      <c r="BL440" s="121"/>
      <c r="BM440" s="5" t="str">
        <f t="shared" si="24"/>
        <v>MISSING</v>
      </c>
      <c r="BN440" s="120" t="b">
        <f t="shared" si="25"/>
        <v>0</v>
      </c>
      <c r="BO440" s="131" t="b">
        <f t="shared" si="26"/>
        <v>1</v>
      </c>
      <c r="BP440" s="121"/>
      <c r="BQ440" s="132" t="str">
        <f>VLOOKUP(A440,RAW_APS!A$3:O826,15,FALSE)</f>
        <v/>
      </c>
      <c r="BR440" s="120" t="b">
        <f t="shared" si="27"/>
        <v>1</v>
      </c>
      <c r="BS440" s="121"/>
      <c r="BT440" s="138" t="s">
        <v>244</v>
      </c>
      <c r="BU440" s="10" t="b">
        <f t="shared" si="28"/>
        <v>1</v>
      </c>
      <c r="BV440" s="120"/>
      <c r="BW440" s="120"/>
      <c r="BX440" s="120"/>
      <c r="BY440" s="120"/>
      <c r="BZ440" s="120"/>
      <c r="CA440" s="120"/>
      <c r="CB440" s="120"/>
      <c r="CC440" s="120"/>
    </row>
    <row r="441">
      <c r="A441" s="2" t="s">
        <v>1347</v>
      </c>
      <c r="B441" s="100">
        <v>44609.0</v>
      </c>
      <c r="C441" s="101">
        <v>0.31603009259259257</v>
      </c>
      <c r="D441" s="102"/>
      <c r="E441" s="102"/>
      <c r="F441" s="102"/>
      <c r="G441" s="102"/>
      <c r="H441" s="102"/>
      <c r="I441" s="103"/>
      <c r="J441" s="103"/>
      <c r="K441" s="2" t="s">
        <v>244</v>
      </c>
      <c r="L441" s="100">
        <v>44611.0</v>
      </c>
      <c r="M441" s="101">
        <v>0.38957175925925924</v>
      </c>
      <c r="P441" s="104" t="b">
        <f>IFNA(IF(VLOOKUP($A441,'Add from APT'!$AA$2:$AC826,3,FALSE)&gt;0,TRUE,FALSE),"ER - NOT IN APT")</f>
        <v>0</v>
      </c>
      <c r="Q441" s="105" t="str">
        <f>IF(ISLOGICAL(P441),IF(P441,"ER - REPS IN APT", IFNA(VLOOKUP($A441,RAW_APT!$A$3:$M826,7,FALSE),"ER - NOT IN APT")),P441)</f>
        <v>Result</v>
      </c>
      <c r="R441" s="106" t="b">
        <f t="shared" si="2"/>
        <v>1</v>
      </c>
      <c r="S441" s="107">
        <f t="shared" si="3"/>
        <v>1</v>
      </c>
      <c r="T441" s="143"/>
      <c r="U441" s="142"/>
      <c r="V441" s="142"/>
      <c r="W441" s="142"/>
      <c r="X441" s="110" t="b">
        <f t="shared" si="4"/>
        <v>0</v>
      </c>
      <c r="Y441" s="111" t="b">
        <v>0</v>
      </c>
      <c r="Z441" s="104" t="str">
        <f t="shared" si="5"/>
        <v/>
      </c>
      <c r="AA441" s="112" t="b">
        <f t="shared" si="6"/>
        <v>0</v>
      </c>
      <c r="AB441" s="142" t="b">
        <v>0</v>
      </c>
      <c r="AC441" s="140">
        <v>367.0</v>
      </c>
      <c r="AD441" s="141" t="b">
        <v>0</v>
      </c>
      <c r="AE441" s="115" t="str">
        <f t="shared" si="7"/>
        <v/>
      </c>
      <c r="AF441" s="116" t="b">
        <f t="shared" si="8"/>
        <v>0</v>
      </c>
      <c r="AG441" s="105" t="b">
        <f t="shared" si="9"/>
        <v>0</v>
      </c>
      <c r="AH441" s="140"/>
      <c r="AI441" s="140"/>
      <c r="AJ441" s="140"/>
      <c r="AK441" s="117" t="str">
        <f t="shared" si="10"/>
        <v>Negative</v>
      </c>
      <c r="AL441" s="142"/>
      <c r="AM441" s="112" t="s">
        <v>362</v>
      </c>
      <c r="AN441" s="112" t="s">
        <v>363</v>
      </c>
      <c r="AO441" s="112" t="str">
        <f>IFERROR(__xludf.DUMMYFUNCTION("IF($AG441, ""DELETED"",TRIM(JOIN("" "",D441:E441)))"),"")</f>
        <v/>
      </c>
      <c r="AP441" s="112" t="str">
        <f t="shared" ref="AP441:AQ441" si="466">IF($AG441, "DELETED", TRIM(CONCATENATE(F441,I441,U441)))</f>
        <v/>
      </c>
      <c r="AQ441" s="112" t="str">
        <f t="shared" si="466"/>
        <v/>
      </c>
      <c r="AR441" s="112" t="str">
        <f>IFERROR(__xludf.DUMMYFUNCTION("IF($AG441, ""DELETED"", TRIM(JOIN("" "",AP441,AQ441)))"),"")</f>
        <v/>
      </c>
      <c r="AS441" s="118"/>
      <c r="AT441" s="110" t="b">
        <f t="shared" si="12"/>
        <v>0</v>
      </c>
      <c r="AU441" s="110" t="str">
        <f t="shared" si="13"/>
        <v/>
      </c>
      <c r="AV441" s="110" t="str">
        <f t="shared" si="14"/>
        <v/>
      </c>
      <c r="AW441" s="110" t="str">
        <f t="shared" si="15"/>
        <v/>
      </c>
      <c r="AX441" s="119" t="str">
        <f t="shared" si="16"/>
        <v/>
      </c>
      <c r="AY441" s="120"/>
      <c r="AZ441" s="121"/>
      <c r="BA441" s="122" t="str">
        <f t="shared" si="17"/>
        <v/>
      </c>
      <c r="BB441" s="34"/>
      <c r="BC441" s="121"/>
      <c r="BD441" s="136"/>
      <c r="BE441" s="125" t="str">
        <f t="shared" si="18"/>
        <v/>
      </c>
      <c r="BF441" s="126" t="str">
        <f t="shared" si="19"/>
        <v>MA255__44609_0.316030092592593</v>
      </c>
      <c r="BG441" s="127" t="str">
        <f t="shared" si="20"/>
        <v/>
      </c>
      <c r="BH441" s="137" t="s">
        <v>1348</v>
      </c>
      <c r="BI441" s="128" t="str">
        <f t="shared" si="21"/>
        <v>MA1282</v>
      </c>
      <c r="BJ441" s="129" t="b">
        <f t="shared" si="22"/>
        <v>0</v>
      </c>
      <c r="BK441" s="128" t="str">
        <f t="shared" si="23"/>
        <v/>
      </c>
      <c r="BL441" s="121"/>
      <c r="BM441" s="5" t="str">
        <f t="shared" si="24"/>
        <v>MISSING</v>
      </c>
      <c r="BN441" s="120" t="b">
        <f t="shared" si="25"/>
        <v>0</v>
      </c>
      <c r="BO441" s="131" t="b">
        <f t="shared" si="26"/>
        <v>1</v>
      </c>
      <c r="BP441" s="121"/>
      <c r="BQ441" s="132" t="str">
        <f>VLOOKUP(A441,RAW_APS!A$3:O826,15,FALSE)</f>
        <v/>
      </c>
      <c r="BR441" s="120" t="b">
        <f t="shared" si="27"/>
        <v>1</v>
      </c>
      <c r="BS441" s="121"/>
      <c r="BT441" s="138" t="s">
        <v>244</v>
      </c>
      <c r="BU441" s="10" t="b">
        <f t="shared" si="28"/>
        <v>1</v>
      </c>
      <c r="BV441" s="120"/>
      <c r="BW441" s="120"/>
      <c r="BX441" s="120"/>
      <c r="BY441" s="120"/>
      <c r="BZ441" s="120"/>
      <c r="CA441" s="120"/>
      <c r="CB441" s="120"/>
      <c r="CC441" s="120"/>
    </row>
    <row r="442">
      <c r="A442" s="2" t="s">
        <v>1349</v>
      </c>
      <c r="B442" s="100">
        <v>44609.0</v>
      </c>
      <c r="C442" s="101">
        <v>0.31753472222222223</v>
      </c>
      <c r="D442" s="102"/>
      <c r="E442" s="102"/>
      <c r="F442" s="102"/>
      <c r="G442" s="102"/>
      <c r="H442" s="102"/>
      <c r="I442" s="103"/>
      <c r="J442" s="103"/>
      <c r="K442" s="2" t="s">
        <v>244</v>
      </c>
      <c r="L442" s="100">
        <v>44611.0</v>
      </c>
      <c r="M442" s="101">
        <v>0.38957175925925924</v>
      </c>
      <c r="P442" s="104" t="b">
        <f>IFNA(IF(VLOOKUP($A442,'Add from APT'!$AA$2:$AC826,3,FALSE)&gt;0,TRUE,FALSE),"ER - NOT IN APT")</f>
        <v>0</v>
      </c>
      <c r="Q442" s="105" t="str">
        <f>IF(ISLOGICAL(P442),IF(P442,"ER - REPS IN APT", IFNA(VLOOKUP($A442,RAW_APT!$A$3:$M826,7,FALSE),"ER - NOT IN APT")),P442)</f>
        <v>Result</v>
      </c>
      <c r="R442" s="106" t="b">
        <f t="shared" si="2"/>
        <v>1</v>
      </c>
      <c r="S442" s="107">
        <f t="shared" si="3"/>
        <v>1</v>
      </c>
      <c r="T442" s="143"/>
      <c r="U442" s="142"/>
      <c r="V442" s="142"/>
      <c r="W442" s="142"/>
      <c r="X442" s="110" t="b">
        <f t="shared" si="4"/>
        <v>0</v>
      </c>
      <c r="Y442" s="111" t="b">
        <v>0</v>
      </c>
      <c r="Z442" s="104" t="str">
        <f t="shared" si="5"/>
        <v/>
      </c>
      <c r="AA442" s="112" t="b">
        <f t="shared" si="6"/>
        <v>0</v>
      </c>
      <c r="AB442" s="142" t="b">
        <v>0</v>
      </c>
      <c r="AC442" s="140">
        <v>366.0</v>
      </c>
      <c r="AD442" s="141" t="b">
        <v>0</v>
      </c>
      <c r="AE442" s="115" t="str">
        <f t="shared" si="7"/>
        <v/>
      </c>
      <c r="AF442" s="116" t="b">
        <f t="shared" si="8"/>
        <v>0</v>
      </c>
      <c r="AG442" s="105" t="b">
        <f t="shared" si="9"/>
        <v>0</v>
      </c>
      <c r="AH442" s="140"/>
      <c r="AI442" s="140"/>
      <c r="AJ442" s="140"/>
      <c r="AK442" s="117" t="str">
        <f t="shared" si="10"/>
        <v>Negative</v>
      </c>
      <c r="AL442" s="142"/>
      <c r="AM442" s="112" t="s">
        <v>287</v>
      </c>
      <c r="AN442" s="112" t="s">
        <v>288</v>
      </c>
      <c r="AO442" s="112" t="str">
        <f>IFERROR(__xludf.DUMMYFUNCTION("IF($AG442, ""DELETED"",TRIM(JOIN("" "",D442:E442)))"),"")</f>
        <v/>
      </c>
      <c r="AP442" s="112" t="str">
        <f t="shared" ref="AP442:AQ442" si="467">IF($AG442, "DELETED", TRIM(CONCATENATE(F442,I442,U442)))</f>
        <v/>
      </c>
      <c r="AQ442" s="112" t="str">
        <f t="shared" si="467"/>
        <v/>
      </c>
      <c r="AR442" s="112" t="str">
        <f>IFERROR(__xludf.DUMMYFUNCTION("IF($AG442, ""DELETED"", TRIM(JOIN("" "",AP442,AQ442)))"),"")</f>
        <v/>
      </c>
      <c r="AS442" s="118"/>
      <c r="AT442" s="110" t="b">
        <f t="shared" si="12"/>
        <v>0</v>
      </c>
      <c r="AU442" s="110" t="str">
        <f t="shared" si="13"/>
        <v/>
      </c>
      <c r="AV442" s="110" t="str">
        <f t="shared" si="14"/>
        <v/>
      </c>
      <c r="AW442" s="110" t="str">
        <f t="shared" si="15"/>
        <v/>
      </c>
      <c r="AX442" s="119" t="str">
        <f t="shared" si="16"/>
        <v/>
      </c>
      <c r="AY442" s="120"/>
      <c r="AZ442" s="121"/>
      <c r="BA442" s="122" t="str">
        <f t="shared" si="17"/>
        <v/>
      </c>
      <c r="BB442" s="34"/>
      <c r="BC442" s="121"/>
      <c r="BD442" s="136"/>
      <c r="BE442" s="125" t="str">
        <f t="shared" si="18"/>
        <v/>
      </c>
      <c r="BF442" s="126" t="str">
        <f t="shared" si="19"/>
        <v>FM819__44609_0.317534722222222</v>
      </c>
      <c r="BG442" s="127" t="str">
        <f t="shared" si="20"/>
        <v/>
      </c>
      <c r="BH442" s="137" t="s">
        <v>1350</v>
      </c>
      <c r="BI442" s="128" t="str">
        <f t="shared" si="21"/>
        <v>MA1284</v>
      </c>
      <c r="BJ442" s="129" t="b">
        <f t="shared" si="22"/>
        <v>0</v>
      </c>
      <c r="BK442" s="128" t="str">
        <f t="shared" si="23"/>
        <v/>
      </c>
      <c r="BL442" s="121"/>
      <c r="BM442" s="5" t="str">
        <f t="shared" si="24"/>
        <v>MISSING</v>
      </c>
      <c r="BN442" s="120" t="b">
        <f t="shared" si="25"/>
        <v>0</v>
      </c>
      <c r="BO442" s="131" t="b">
        <f t="shared" si="26"/>
        <v>1</v>
      </c>
      <c r="BP442" s="121"/>
      <c r="BQ442" s="132" t="str">
        <f>VLOOKUP(A442,RAW_APS!A$3:O826,15,FALSE)</f>
        <v/>
      </c>
      <c r="BR442" s="120" t="b">
        <f t="shared" si="27"/>
        <v>1</v>
      </c>
      <c r="BS442" s="121"/>
      <c r="BT442" s="138" t="s">
        <v>244</v>
      </c>
      <c r="BU442" s="10" t="b">
        <f t="shared" si="28"/>
        <v>1</v>
      </c>
      <c r="BV442" s="120"/>
      <c r="BW442" s="120"/>
      <c r="BX442" s="120"/>
      <c r="BY442" s="120"/>
      <c r="BZ442" s="120"/>
      <c r="CA442" s="120"/>
      <c r="CB442" s="120"/>
      <c r="CC442" s="120"/>
    </row>
    <row r="443">
      <c r="A443" s="2" t="s">
        <v>1351</v>
      </c>
      <c r="B443" s="100">
        <v>44609.0</v>
      </c>
      <c r="C443" s="101">
        <v>0.31873842592592594</v>
      </c>
      <c r="D443" s="102"/>
      <c r="E443" s="102"/>
      <c r="F443" s="102"/>
      <c r="G443" s="102"/>
      <c r="H443" s="102"/>
      <c r="I443" s="103"/>
      <c r="J443" s="103"/>
      <c r="K443" s="2" t="s">
        <v>244</v>
      </c>
      <c r="L443" s="100">
        <v>44611.0</v>
      </c>
      <c r="M443" s="101">
        <v>0.38957175925925924</v>
      </c>
      <c r="P443" s="104" t="b">
        <f>IFNA(IF(VLOOKUP($A443,'Add from APT'!$AA$2:$AC826,3,FALSE)&gt;0,TRUE,FALSE),"ER - NOT IN APT")</f>
        <v>0</v>
      </c>
      <c r="Q443" s="105" t="str">
        <f>IF(ISLOGICAL(P443),IF(P443,"ER - REPS IN APT", IFNA(VLOOKUP($A443,RAW_APT!$A$3:$M826,7,FALSE),"ER - NOT IN APT")),P443)</f>
        <v>Result</v>
      </c>
      <c r="R443" s="106" t="b">
        <f t="shared" si="2"/>
        <v>1</v>
      </c>
      <c r="S443" s="107">
        <f t="shared" si="3"/>
        <v>1</v>
      </c>
      <c r="T443" s="143"/>
      <c r="U443" s="142"/>
      <c r="V443" s="142"/>
      <c r="W443" s="142"/>
      <c r="X443" s="110" t="b">
        <f t="shared" si="4"/>
        <v>0</v>
      </c>
      <c r="Y443" s="111" t="b">
        <v>0</v>
      </c>
      <c r="Z443" s="104" t="str">
        <f t="shared" si="5"/>
        <v/>
      </c>
      <c r="AA443" s="112" t="b">
        <f t="shared" si="6"/>
        <v>0</v>
      </c>
      <c r="AB443" s="142" t="b">
        <v>0</v>
      </c>
      <c r="AC443" s="140">
        <v>364.0</v>
      </c>
      <c r="AD443" s="141" t="b">
        <v>0</v>
      </c>
      <c r="AE443" s="115" t="str">
        <f t="shared" si="7"/>
        <v/>
      </c>
      <c r="AF443" s="116" t="b">
        <f t="shared" si="8"/>
        <v>0</v>
      </c>
      <c r="AG443" s="105" t="b">
        <f t="shared" si="9"/>
        <v>0</v>
      </c>
      <c r="AH443" s="140"/>
      <c r="AI443" s="140"/>
      <c r="AJ443" s="140"/>
      <c r="AK443" s="117" t="str">
        <f t="shared" si="10"/>
        <v>Negative</v>
      </c>
      <c r="AL443" s="142"/>
      <c r="AM443" s="112" t="s">
        <v>839</v>
      </c>
      <c r="AN443" s="112" t="s">
        <v>542</v>
      </c>
      <c r="AO443" s="112" t="str">
        <f>IFERROR(__xludf.DUMMYFUNCTION("IF($AG443, ""DELETED"",TRIM(JOIN("" "",D443:E443)))"),"")</f>
        <v/>
      </c>
      <c r="AP443" s="112" t="str">
        <f t="shared" ref="AP443:AQ443" si="468">IF($AG443, "DELETED", TRIM(CONCATENATE(F443,I443,U443)))</f>
        <v/>
      </c>
      <c r="AQ443" s="112" t="str">
        <f t="shared" si="468"/>
        <v/>
      </c>
      <c r="AR443" s="112" t="str">
        <f>IFERROR(__xludf.DUMMYFUNCTION("IF($AG443, ""DELETED"", TRIM(JOIN("" "",AP443,AQ443)))"),"")</f>
        <v/>
      </c>
      <c r="AS443" s="118"/>
      <c r="AT443" s="110" t="b">
        <f t="shared" si="12"/>
        <v>0</v>
      </c>
      <c r="AU443" s="110" t="str">
        <f t="shared" si="13"/>
        <v/>
      </c>
      <c r="AV443" s="110" t="str">
        <f t="shared" si="14"/>
        <v/>
      </c>
      <c r="AW443" s="110" t="str">
        <f t="shared" si="15"/>
        <v/>
      </c>
      <c r="AX443" s="119" t="str">
        <f t="shared" si="16"/>
        <v/>
      </c>
      <c r="AY443" s="120"/>
      <c r="AZ443" s="121"/>
      <c r="BA443" s="122" t="str">
        <f t="shared" si="17"/>
        <v/>
      </c>
      <c r="BB443" s="34"/>
      <c r="BC443" s="121"/>
      <c r="BD443" s="136"/>
      <c r="BE443" s="125" t="str">
        <f t="shared" si="18"/>
        <v/>
      </c>
      <c r="BF443" s="126" t="str">
        <f t="shared" si="19"/>
        <v>MA259__44609_0.318738425925926</v>
      </c>
      <c r="BG443" s="127" t="str">
        <f t="shared" si="20"/>
        <v/>
      </c>
      <c r="BH443" s="137" t="s">
        <v>1352</v>
      </c>
      <c r="BI443" s="128" t="str">
        <f t="shared" si="21"/>
        <v>MA1288</v>
      </c>
      <c r="BJ443" s="129" t="b">
        <f t="shared" si="22"/>
        <v>0</v>
      </c>
      <c r="BK443" s="128" t="str">
        <f t="shared" si="23"/>
        <v/>
      </c>
      <c r="BL443" s="121"/>
      <c r="BM443" s="5" t="str">
        <f t="shared" si="24"/>
        <v>MISSING</v>
      </c>
      <c r="BN443" s="120" t="b">
        <f t="shared" si="25"/>
        <v>0</v>
      </c>
      <c r="BO443" s="131" t="b">
        <f t="shared" si="26"/>
        <v>1</v>
      </c>
      <c r="BP443" s="121"/>
      <c r="BQ443" s="132" t="str">
        <f>VLOOKUP(A443,RAW_APS!A$3:O826,15,FALSE)</f>
        <v/>
      </c>
      <c r="BR443" s="120" t="b">
        <f t="shared" si="27"/>
        <v>1</v>
      </c>
      <c r="BS443" s="121"/>
      <c r="BT443" s="138" t="s">
        <v>244</v>
      </c>
      <c r="BU443" s="10" t="b">
        <f t="shared" si="28"/>
        <v>1</v>
      </c>
      <c r="BV443" s="120"/>
      <c r="BW443" s="120"/>
      <c r="BX443" s="120"/>
      <c r="BY443" s="120"/>
      <c r="BZ443" s="120"/>
      <c r="CA443" s="120"/>
      <c r="CB443" s="120"/>
      <c r="CC443" s="120"/>
    </row>
    <row r="444">
      <c r="A444" s="2" t="s">
        <v>1353</v>
      </c>
      <c r="B444" s="100">
        <v>44609.0</v>
      </c>
      <c r="C444" s="101">
        <v>0.3194328703703704</v>
      </c>
      <c r="D444" s="102"/>
      <c r="E444" s="102"/>
      <c r="F444" s="102"/>
      <c r="G444" s="102"/>
      <c r="H444" s="102"/>
      <c r="I444" s="103"/>
      <c r="J444" s="103"/>
      <c r="K444" s="2" t="s">
        <v>244</v>
      </c>
      <c r="L444" s="100">
        <v>44611.0</v>
      </c>
      <c r="M444" s="101">
        <v>0.38957175925925924</v>
      </c>
      <c r="P444" s="104" t="b">
        <f>IFNA(IF(VLOOKUP($A444,'Add from APT'!$AA$2:$AC826,3,FALSE)&gt;0,TRUE,FALSE),"ER - NOT IN APT")</f>
        <v>0</v>
      </c>
      <c r="Q444" s="105" t="str">
        <f>IF(ISLOGICAL(P444),IF(P444,"ER - REPS IN APT", IFNA(VLOOKUP($A444,RAW_APT!$A$3:$M826,7,FALSE),"ER - NOT IN APT")),P444)</f>
        <v>Result</v>
      </c>
      <c r="R444" s="106" t="b">
        <f t="shared" si="2"/>
        <v>1</v>
      </c>
      <c r="S444" s="107">
        <f t="shared" si="3"/>
        <v>1</v>
      </c>
      <c r="T444" s="143"/>
      <c r="U444" s="142"/>
      <c r="V444" s="142"/>
      <c r="W444" s="142"/>
      <c r="X444" s="110" t="b">
        <f t="shared" si="4"/>
        <v>0</v>
      </c>
      <c r="Y444" s="111" t="b">
        <v>0</v>
      </c>
      <c r="Z444" s="104" t="str">
        <f t="shared" si="5"/>
        <v/>
      </c>
      <c r="AA444" s="112" t="b">
        <f t="shared" si="6"/>
        <v>0</v>
      </c>
      <c r="AB444" s="142" t="b">
        <v>0</v>
      </c>
      <c r="AC444" s="140">
        <v>365.0</v>
      </c>
      <c r="AD444" s="141" t="b">
        <v>0</v>
      </c>
      <c r="AE444" s="115" t="str">
        <f t="shared" si="7"/>
        <v/>
      </c>
      <c r="AF444" s="116" t="b">
        <f t="shared" si="8"/>
        <v>0</v>
      </c>
      <c r="AG444" s="105" t="b">
        <f t="shared" si="9"/>
        <v>0</v>
      </c>
      <c r="AH444" s="140"/>
      <c r="AI444" s="140"/>
      <c r="AJ444" s="140"/>
      <c r="AK444" s="117" t="str">
        <f t="shared" si="10"/>
        <v>Negative</v>
      </c>
      <c r="AL444" s="142"/>
      <c r="AM444" s="112" t="s">
        <v>1354</v>
      </c>
      <c r="AN444" s="112" t="s">
        <v>1355</v>
      </c>
      <c r="AO444" s="112" t="str">
        <f>IFERROR(__xludf.DUMMYFUNCTION("IF($AG444, ""DELETED"",TRIM(JOIN("" "",D444:E444)))"),"")</f>
        <v/>
      </c>
      <c r="AP444" s="112" t="str">
        <f t="shared" ref="AP444:AQ444" si="469">IF($AG444, "DELETED", TRIM(CONCATENATE(F444,I444,U444)))</f>
        <v/>
      </c>
      <c r="AQ444" s="112" t="str">
        <f t="shared" si="469"/>
        <v/>
      </c>
      <c r="AR444" s="112" t="str">
        <f>IFERROR(__xludf.DUMMYFUNCTION("IF($AG444, ""DELETED"", TRIM(JOIN("" "",AP444,AQ444)))"),"")</f>
        <v/>
      </c>
      <c r="AS444" s="118"/>
      <c r="AT444" s="110" t="b">
        <f t="shared" si="12"/>
        <v>0</v>
      </c>
      <c r="AU444" s="110" t="str">
        <f t="shared" si="13"/>
        <v/>
      </c>
      <c r="AV444" s="110" t="str">
        <f t="shared" si="14"/>
        <v/>
      </c>
      <c r="AW444" s="110" t="str">
        <f t="shared" si="15"/>
        <v/>
      </c>
      <c r="AX444" s="119" t="str">
        <f t="shared" si="16"/>
        <v/>
      </c>
      <c r="AY444" s="120"/>
      <c r="AZ444" s="121"/>
      <c r="BA444" s="122" t="str">
        <f t="shared" si="17"/>
        <v/>
      </c>
      <c r="BB444" s="34"/>
      <c r="BC444" s="121"/>
      <c r="BD444" s="136"/>
      <c r="BE444" s="125" t="str">
        <f t="shared" si="18"/>
        <v/>
      </c>
      <c r="BF444" s="126" t="str">
        <f t="shared" si="19"/>
        <v>MA181__44609_0.31943287037037</v>
      </c>
      <c r="BG444" s="127" t="str">
        <f t="shared" si="20"/>
        <v/>
      </c>
      <c r="BH444" s="137" t="s">
        <v>1356</v>
      </c>
      <c r="BI444" s="128" t="str">
        <f t="shared" si="21"/>
        <v>MA1293</v>
      </c>
      <c r="BJ444" s="129" t="b">
        <f t="shared" si="22"/>
        <v>0</v>
      </c>
      <c r="BK444" s="128" t="str">
        <f t="shared" si="23"/>
        <v/>
      </c>
      <c r="BL444" s="121"/>
      <c r="BM444" s="5" t="str">
        <f t="shared" si="24"/>
        <v>MISSING</v>
      </c>
      <c r="BN444" s="120" t="b">
        <f t="shared" si="25"/>
        <v>0</v>
      </c>
      <c r="BO444" s="131" t="b">
        <f t="shared" si="26"/>
        <v>1</v>
      </c>
      <c r="BP444" s="121"/>
      <c r="BQ444" s="132" t="str">
        <f>VLOOKUP(A444,RAW_APS!A$3:O826,15,FALSE)</f>
        <v/>
      </c>
      <c r="BR444" s="120" t="b">
        <f t="shared" si="27"/>
        <v>1</v>
      </c>
      <c r="BS444" s="121"/>
      <c r="BT444" s="138" t="s">
        <v>244</v>
      </c>
      <c r="BU444" s="10" t="b">
        <f t="shared" si="28"/>
        <v>1</v>
      </c>
      <c r="BV444" s="120"/>
      <c r="BW444" s="120"/>
      <c r="BX444" s="120"/>
      <c r="BY444" s="120"/>
      <c r="BZ444" s="120"/>
      <c r="CA444" s="120"/>
      <c r="CB444" s="120"/>
      <c r="CC444" s="120"/>
    </row>
    <row r="445">
      <c r="A445" s="2" t="s">
        <v>1357</v>
      </c>
      <c r="B445" s="100">
        <v>44609.0</v>
      </c>
      <c r="C445" s="101">
        <v>0.3199768518518519</v>
      </c>
      <c r="D445" s="102"/>
      <c r="E445" s="102"/>
      <c r="F445" s="102"/>
      <c r="G445" s="102"/>
      <c r="H445" s="102"/>
      <c r="I445" s="103"/>
      <c r="J445" s="103"/>
      <c r="K445" s="2" t="s">
        <v>244</v>
      </c>
      <c r="L445" s="100">
        <v>44611.0</v>
      </c>
      <c r="M445" s="101">
        <v>0.38957175925925924</v>
      </c>
      <c r="P445" s="104" t="b">
        <f>IFNA(IF(VLOOKUP($A445,'Add from APT'!$AA$2:$AC826,3,FALSE)&gt;0,TRUE,FALSE),"ER - NOT IN APT")</f>
        <v>0</v>
      </c>
      <c r="Q445" s="105" t="str">
        <f>IF(ISLOGICAL(P445),IF(P445,"ER - REPS IN APT", IFNA(VLOOKUP($A445,RAW_APT!$A$3:$M826,7,FALSE),"ER - NOT IN APT")),P445)</f>
        <v>Result</v>
      </c>
      <c r="R445" s="106" t="b">
        <f t="shared" si="2"/>
        <v>1</v>
      </c>
      <c r="S445" s="107">
        <f t="shared" si="3"/>
        <v>1</v>
      </c>
      <c r="T445" s="143"/>
      <c r="U445" s="142"/>
      <c r="V445" s="142"/>
      <c r="W445" s="142"/>
      <c r="X445" s="110" t="b">
        <f t="shared" si="4"/>
        <v>0</v>
      </c>
      <c r="Y445" s="111" t="b">
        <v>0</v>
      </c>
      <c r="Z445" s="104" t="str">
        <f t="shared" si="5"/>
        <v/>
      </c>
      <c r="AA445" s="112" t="b">
        <f t="shared" si="6"/>
        <v>0</v>
      </c>
      <c r="AB445" s="142" t="b">
        <v>0</v>
      </c>
      <c r="AC445" s="140">
        <v>363.0</v>
      </c>
      <c r="AD445" s="141" t="b">
        <v>0</v>
      </c>
      <c r="AE445" s="115" t="str">
        <f t="shared" si="7"/>
        <v/>
      </c>
      <c r="AF445" s="116" t="b">
        <f t="shared" si="8"/>
        <v>0</v>
      </c>
      <c r="AG445" s="105" t="b">
        <f t="shared" si="9"/>
        <v>0</v>
      </c>
      <c r="AH445" s="140"/>
      <c r="AI445" s="140"/>
      <c r="AJ445" s="140"/>
      <c r="AK445" s="117" t="str">
        <f t="shared" si="10"/>
        <v>Negative</v>
      </c>
      <c r="AL445" s="142"/>
      <c r="AM445" s="112" t="s">
        <v>1358</v>
      </c>
      <c r="AN445" s="112" t="s">
        <v>1359</v>
      </c>
      <c r="AO445" s="112" t="str">
        <f>IFERROR(__xludf.DUMMYFUNCTION("IF($AG445, ""DELETED"",TRIM(JOIN("" "",D445:E445)))"),"")</f>
        <v/>
      </c>
      <c r="AP445" s="112" t="str">
        <f t="shared" ref="AP445:AQ445" si="470">IF($AG445, "DELETED", TRIM(CONCATENATE(F445,I445,U445)))</f>
        <v/>
      </c>
      <c r="AQ445" s="112" t="str">
        <f t="shared" si="470"/>
        <v/>
      </c>
      <c r="AR445" s="112" t="str">
        <f>IFERROR(__xludf.DUMMYFUNCTION("IF($AG445, ""DELETED"", TRIM(JOIN("" "",AP445,AQ445)))"),"")</f>
        <v/>
      </c>
      <c r="AS445" s="118"/>
      <c r="AT445" s="110" t="b">
        <f t="shared" si="12"/>
        <v>0</v>
      </c>
      <c r="AU445" s="110" t="str">
        <f t="shared" si="13"/>
        <v/>
      </c>
      <c r="AV445" s="110" t="str">
        <f t="shared" si="14"/>
        <v/>
      </c>
      <c r="AW445" s="110" t="str">
        <f t="shared" si="15"/>
        <v/>
      </c>
      <c r="AX445" s="119" t="str">
        <f t="shared" si="16"/>
        <v/>
      </c>
      <c r="AY445" s="120"/>
      <c r="AZ445" s="121"/>
      <c r="BA445" s="122" t="str">
        <f t="shared" si="17"/>
        <v/>
      </c>
      <c r="BB445" s="34"/>
      <c r="BC445" s="121"/>
      <c r="BD445" s="136"/>
      <c r="BE445" s="125" t="str">
        <f t="shared" si="18"/>
        <v/>
      </c>
      <c r="BF445" s="126" t="str">
        <f t="shared" si="19"/>
        <v>MAX101__44609_0.319976851851852</v>
      </c>
      <c r="BG445" s="127" t="str">
        <f t="shared" si="20"/>
        <v/>
      </c>
      <c r="BH445" s="137" t="s">
        <v>1360</v>
      </c>
      <c r="BI445" s="128" t="str">
        <f t="shared" si="21"/>
        <v>MA1294</v>
      </c>
      <c r="BJ445" s="129" t="b">
        <f t="shared" si="22"/>
        <v>0</v>
      </c>
      <c r="BK445" s="128" t="str">
        <f t="shared" si="23"/>
        <v/>
      </c>
      <c r="BL445" s="121"/>
      <c r="BM445" s="5" t="str">
        <f t="shared" si="24"/>
        <v>MISSING</v>
      </c>
      <c r="BN445" s="120" t="b">
        <f t="shared" si="25"/>
        <v>0</v>
      </c>
      <c r="BO445" s="131" t="b">
        <f t="shared" si="26"/>
        <v>1</v>
      </c>
      <c r="BP445" s="121"/>
      <c r="BQ445" s="132" t="str">
        <f>VLOOKUP(A445,RAW_APS!A$3:O826,15,FALSE)</f>
        <v/>
      </c>
      <c r="BR445" s="120" t="b">
        <f t="shared" si="27"/>
        <v>1</v>
      </c>
      <c r="BS445" s="121"/>
      <c r="BT445" s="138" t="s">
        <v>244</v>
      </c>
      <c r="BU445" s="10" t="b">
        <f t="shared" si="28"/>
        <v>1</v>
      </c>
      <c r="BV445" s="120"/>
      <c r="BW445" s="120"/>
      <c r="BX445" s="120"/>
      <c r="BY445" s="120"/>
      <c r="BZ445" s="120"/>
      <c r="CA445" s="120"/>
      <c r="CB445" s="120"/>
      <c r="CC445" s="120"/>
    </row>
    <row r="446">
      <c r="A446" s="2" t="s">
        <v>185</v>
      </c>
      <c r="B446" s="100">
        <v>44609.0</v>
      </c>
      <c r="C446" s="101">
        <v>0.3274884259259259</v>
      </c>
      <c r="D446" s="102"/>
      <c r="E446" s="102"/>
      <c r="F446" s="102"/>
      <c r="G446" s="102"/>
      <c r="H446" s="102"/>
      <c r="I446" s="103"/>
      <c r="J446" s="103"/>
      <c r="K446" s="2" t="s">
        <v>244</v>
      </c>
      <c r="L446" s="100">
        <v>44611.0</v>
      </c>
      <c r="M446" s="101">
        <v>0.3895601851851852</v>
      </c>
      <c r="P446" s="104" t="b">
        <f>IFNA(IF(VLOOKUP($A446,'Add from APT'!$AA$2:$AC826,3,FALSE)&gt;0,TRUE,FALSE),"ER - NOT IN APT")</f>
        <v>0</v>
      </c>
      <c r="Q446" s="105" t="str">
        <f>IF(ISLOGICAL(P446),IF(P446,"ER - REPS IN APT", IFNA(VLOOKUP($A446,RAW_APT!$A$3:$M826,7,FALSE),"ER - NOT IN APT")),P446)</f>
        <v>Result</v>
      </c>
      <c r="R446" s="106" t="b">
        <f t="shared" si="2"/>
        <v>1</v>
      </c>
      <c r="S446" s="107">
        <f t="shared" si="3"/>
        <v>1</v>
      </c>
      <c r="T446" s="143"/>
      <c r="U446" s="142"/>
      <c r="V446" s="142"/>
      <c r="W446" s="142"/>
      <c r="X446" s="110" t="b">
        <f t="shared" si="4"/>
        <v>0</v>
      </c>
      <c r="Y446" s="111" t="b">
        <v>0</v>
      </c>
      <c r="Z446" s="104" t="str">
        <f t="shared" si="5"/>
        <v/>
      </c>
      <c r="AA446" s="112" t="b">
        <f t="shared" si="6"/>
        <v>0</v>
      </c>
      <c r="AB446" s="142" t="b">
        <v>0</v>
      </c>
      <c r="AC446" s="140">
        <v>362.0</v>
      </c>
      <c r="AD446" s="141" t="b">
        <v>0</v>
      </c>
      <c r="AE446" s="115" t="str">
        <f t="shared" si="7"/>
        <v/>
      </c>
      <c r="AF446" s="116" t="b">
        <f t="shared" si="8"/>
        <v>0</v>
      </c>
      <c r="AG446" s="105" t="b">
        <f t="shared" si="9"/>
        <v>0</v>
      </c>
      <c r="AH446" s="140"/>
      <c r="AI446" s="140"/>
      <c r="AJ446" s="140">
        <v>4.1</v>
      </c>
      <c r="AK446" s="117" t="str">
        <f t="shared" si="10"/>
        <v>Inconclusive</v>
      </c>
      <c r="AL446" s="141" t="s">
        <v>1361</v>
      </c>
      <c r="AM446" s="112" t="s">
        <v>762</v>
      </c>
      <c r="AN446" s="112" t="s">
        <v>763</v>
      </c>
      <c r="AO446" s="112" t="str">
        <f>IFERROR(__xludf.DUMMYFUNCTION("IF($AG446, ""DELETED"",TRIM(JOIN("" "",D446:E446)))"),"")</f>
        <v/>
      </c>
      <c r="AP446" s="112" t="str">
        <f t="shared" ref="AP446:AQ446" si="471">IF($AG446, "DELETED", TRIM(CONCATENATE(F446,I446,U446)))</f>
        <v/>
      </c>
      <c r="AQ446" s="112" t="str">
        <f t="shared" si="471"/>
        <v/>
      </c>
      <c r="AR446" s="112" t="str">
        <f>IFERROR(__xludf.DUMMYFUNCTION("IF($AG446, ""DELETED"", TRIM(JOIN("" "",AP446,AQ446)))"),"")</f>
        <v/>
      </c>
      <c r="AS446" s="118"/>
      <c r="AT446" s="110" t="b">
        <f t="shared" si="12"/>
        <v>0</v>
      </c>
      <c r="AU446" s="110" t="str">
        <f t="shared" si="13"/>
        <v/>
      </c>
      <c r="AV446" s="110" t="str">
        <f t="shared" si="14"/>
        <v/>
      </c>
      <c r="AW446" s="110" t="str">
        <f t="shared" si="15"/>
        <v/>
      </c>
      <c r="AX446" s="119" t="str">
        <f t="shared" si="16"/>
        <v/>
      </c>
      <c r="AY446" s="120"/>
      <c r="AZ446" s="121"/>
      <c r="BA446" s="122" t="str">
        <f t="shared" si="17"/>
        <v/>
      </c>
      <c r="BB446" s="34"/>
      <c r="BC446" s="121"/>
      <c r="BD446" s="136"/>
      <c r="BE446" s="125" t="str">
        <f t="shared" si="18"/>
        <v/>
      </c>
      <c r="BF446" s="126" t="str">
        <f t="shared" si="19"/>
        <v>FM996__44609_0.327488425925926</v>
      </c>
      <c r="BG446" s="127" t="str">
        <f t="shared" si="20"/>
        <v/>
      </c>
      <c r="BH446" s="137" t="s">
        <v>1362</v>
      </c>
      <c r="BI446" s="128" t="str">
        <f t="shared" si="21"/>
        <v>MA1295</v>
      </c>
      <c r="BJ446" s="129" t="b">
        <f t="shared" si="22"/>
        <v>0</v>
      </c>
      <c r="BK446" s="128" t="str">
        <f t="shared" si="23"/>
        <v/>
      </c>
      <c r="BL446" s="121"/>
      <c r="BM446" s="5" t="str">
        <f t="shared" si="24"/>
        <v>MISSING</v>
      </c>
      <c r="BN446" s="120" t="b">
        <f t="shared" si="25"/>
        <v>0</v>
      </c>
      <c r="BO446" s="131" t="b">
        <f t="shared" si="26"/>
        <v>1</v>
      </c>
      <c r="BP446" s="121"/>
      <c r="BQ446" s="132" t="str">
        <f>VLOOKUP(A446,RAW_APS!A$3:O826,15,FALSE)</f>
        <v/>
      </c>
      <c r="BR446" s="120" t="b">
        <f t="shared" si="27"/>
        <v>1</v>
      </c>
      <c r="BS446" s="121"/>
      <c r="BT446" s="138" t="s">
        <v>63</v>
      </c>
      <c r="BU446" s="10" t="b">
        <f t="shared" si="28"/>
        <v>1</v>
      </c>
      <c r="BV446" s="120"/>
      <c r="BW446" s="120"/>
      <c r="BX446" s="120"/>
      <c r="BY446" s="120"/>
      <c r="BZ446" s="120"/>
      <c r="CA446" s="120"/>
      <c r="CB446" s="120"/>
      <c r="CC446" s="120"/>
    </row>
    <row r="447">
      <c r="A447" s="2" t="s">
        <v>1363</v>
      </c>
      <c r="B447" s="100">
        <v>44609.0</v>
      </c>
      <c r="C447" s="101">
        <v>0.3275578703703704</v>
      </c>
      <c r="D447" s="102"/>
      <c r="E447" s="102"/>
      <c r="F447" s="102"/>
      <c r="G447" s="102"/>
      <c r="H447" s="102"/>
      <c r="I447" s="103"/>
      <c r="J447" s="103"/>
      <c r="K447" s="2" t="s">
        <v>244</v>
      </c>
      <c r="L447" s="100">
        <v>44611.0</v>
      </c>
      <c r="M447" s="101">
        <v>0.38957175925925924</v>
      </c>
      <c r="P447" s="104" t="b">
        <f>IFNA(IF(VLOOKUP($A447,'Add from APT'!$AA$2:$AC826,3,FALSE)&gt;0,TRUE,FALSE),"ER - NOT IN APT")</f>
        <v>0</v>
      </c>
      <c r="Q447" s="105" t="str">
        <f>IF(ISLOGICAL(P447),IF(P447,"ER - REPS IN APT", IFNA(VLOOKUP($A447,RAW_APT!$A$3:$M826,7,FALSE),"ER - NOT IN APT")),P447)</f>
        <v>Result</v>
      </c>
      <c r="R447" s="106" t="b">
        <f t="shared" si="2"/>
        <v>1</v>
      </c>
      <c r="S447" s="107">
        <f t="shared" si="3"/>
        <v>1</v>
      </c>
      <c r="T447" s="143"/>
      <c r="U447" s="142"/>
      <c r="V447" s="142"/>
      <c r="W447" s="142"/>
      <c r="X447" s="110" t="b">
        <f t="shared" si="4"/>
        <v>0</v>
      </c>
      <c r="Y447" s="111" t="b">
        <v>0</v>
      </c>
      <c r="Z447" s="104" t="str">
        <f t="shared" si="5"/>
        <v/>
      </c>
      <c r="AA447" s="112" t="b">
        <f t="shared" si="6"/>
        <v>0</v>
      </c>
      <c r="AB447" s="142" t="b">
        <v>0</v>
      </c>
      <c r="AC447" s="140">
        <v>361.0</v>
      </c>
      <c r="AD447" s="141" t="b">
        <v>0</v>
      </c>
      <c r="AE447" s="115" t="str">
        <f t="shared" si="7"/>
        <v/>
      </c>
      <c r="AF447" s="116" t="b">
        <f t="shared" si="8"/>
        <v>0</v>
      </c>
      <c r="AG447" s="105" t="b">
        <f t="shared" si="9"/>
        <v>0</v>
      </c>
      <c r="AH447" s="140"/>
      <c r="AI447" s="140"/>
      <c r="AJ447" s="140"/>
      <c r="AK447" s="117" t="str">
        <f t="shared" si="10"/>
        <v>Negative</v>
      </c>
      <c r="AL447" s="142"/>
      <c r="AM447" s="112" t="s">
        <v>307</v>
      </c>
      <c r="AN447" s="112" t="s">
        <v>266</v>
      </c>
      <c r="AO447" s="112" t="str">
        <f>IFERROR(__xludf.DUMMYFUNCTION("IF($AG447, ""DELETED"",TRIM(JOIN("" "",D447:E447)))"),"")</f>
        <v/>
      </c>
      <c r="AP447" s="112" t="str">
        <f t="shared" ref="AP447:AQ447" si="472">IF($AG447, "DELETED", TRIM(CONCATENATE(F447,I447,U447)))</f>
        <v/>
      </c>
      <c r="AQ447" s="112" t="str">
        <f t="shared" si="472"/>
        <v/>
      </c>
      <c r="AR447" s="112" t="str">
        <f>IFERROR(__xludf.DUMMYFUNCTION("IF($AG447, ""DELETED"", TRIM(JOIN("" "",AP447,AQ447)))"),"")</f>
        <v/>
      </c>
      <c r="AS447" s="118"/>
      <c r="AT447" s="110" t="b">
        <f t="shared" si="12"/>
        <v>0</v>
      </c>
      <c r="AU447" s="110" t="str">
        <f t="shared" si="13"/>
        <v/>
      </c>
      <c r="AV447" s="110" t="str">
        <f t="shared" si="14"/>
        <v/>
      </c>
      <c r="AW447" s="110" t="str">
        <f t="shared" si="15"/>
        <v/>
      </c>
      <c r="AX447" s="119" t="str">
        <f t="shared" si="16"/>
        <v/>
      </c>
      <c r="AY447" s="120"/>
      <c r="AZ447" s="121"/>
      <c r="BA447" s="122" t="str">
        <f t="shared" si="17"/>
        <v/>
      </c>
      <c r="BB447" s="34"/>
      <c r="BC447" s="121"/>
      <c r="BD447" s="136"/>
      <c r="BE447" s="125" t="str">
        <f t="shared" si="18"/>
        <v/>
      </c>
      <c r="BF447" s="126" t="str">
        <f t="shared" si="19"/>
        <v>FM56__44609_0.32755787037037</v>
      </c>
      <c r="BG447" s="127" t="str">
        <f t="shared" si="20"/>
        <v/>
      </c>
      <c r="BH447" s="137" t="s">
        <v>1364</v>
      </c>
      <c r="BI447" s="128" t="str">
        <f t="shared" si="21"/>
        <v>MA1296</v>
      </c>
      <c r="BJ447" s="129" t="b">
        <f t="shared" si="22"/>
        <v>0</v>
      </c>
      <c r="BK447" s="128" t="str">
        <f t="shared" si="23"/>
        <v/>
      </c>
      <c r="BL447" s="121"/>
      <c r="BM447" s="5" t="str">
        <f t="shared" si="24"/>
        <v>MISSING</v>
      </c>
      <c r="BN447" s="120" t="b">
        <f t="shared" si="25"/>
        <v>0</v>
      </c>
      <c r="BO447" s="131" t="b">
        <f t="shared" si="26"/>
        <v>1</v>
      </c>
      <c r="BP447" s="121"/>
      <c r="BQ447" s="132" t="str">
        <f>VLOOKUP(A447,RAW_APS!A$3:O826,15,FALSE)</f>
        <v/>
      </c>
      <c r="BR447" s="120" t="b">
        <f t="shared" si="27"/>
        <v>1</v>
      </c>
      <c r="BS447" s="121"/>
      <c r="BT447" s="138" t="s">
        <v>244</v>
      </c>
      <c r="BU447" s="10" t="b">
        <f t="shared" si="28"/>
        <v>1</v>
      </c>
      <c r="BV447" s="120"/>
      <c r="BW447" s="120"/>
      <c r="BX447" s="120"/>
      <c r="BY447" s="120"/>
      <c r="BZ447" s="120"/>
      <c r="CA447" s="120"/>
      <c r="CB447" s="120"/>
      <c r="CC447" s="120"/>
    </row>
    <row r="448">
      <c r="A448" s="2" t="s">
        <v>1365</v>
      </c>
      <c r="B448" s="100">
        <v>44609.0</v>
      </c>
      <c r="C448" s="101">
        <v>0.32760416666666664</v>
      </c>
      <c r="D448" s="102"/>
      <c r="E448" s="102"/>
      <c r="F448" s="102"/>
      <c r="G448" s="102"/>
      <c r="H448" s="102"/>
      <c r="I448" s="103"/>
      <c r="J448" s="103"/>
      <c r="K448" s="2" t="s">
        <v>244</v>
      </c>
      <c r="L448" s="100">
        <v>44611.0</v>
      </c>
      <c r="M448" s="101">
        <v>0.38958333333333334</v>
      </c>
      <c r="P448" s="104" t="b">
        <f>IFNA(IF(VLOOKUP($A448,'Add from APT'!$AA$2:$AC826,3,FALSE)&gt;0,TRUE,FALSE),"ER - NOT IN APT")</f>
        <v>0</v>
      </c>
      <c r="Q448" s="105" t="str">
        <f>IF(ISLOGICAL(P448),IF(P448,"ER - REPS IN APT", IFNA(VLOOKUP($A448,RAW_APT!$A$3:$M826,7,FALSE),"ER - NOT IN APT")),P448)</f>
        <v>Result</v>
      </c>
      <c r="R448" s="106" t="b">
        <f t="shared" si="2"/>
        <v>1</v>
      </c>
      <c r="S448" s="107">
        <f t="shared" si="3"/>
        <v>1</v>
      </c>
      <c r="T448" s="143"/>
      <c r="U448" s="142"/>
      <c r="V448" s="142"/>
      <c r="W448" s="142"/>
      <c r="X448" s="110" t="b">
        <f t="shared" si="4"/>
        <v>0</v>
      </c>
      <c r="Y448" s="111" t="b">
        <v>0</v>
      </c>
      <c r="Z448" s="104" t="str">
        <f t="shared" si="5"/>
        <v/>
      </c>
      <c r="AA448" s="112" t="b">
        <f t="shared" si="6"/>
        <v>0</v>
      </c>
      <c r="AB448" s="142" t="b">
        <v>0</v>
      </c>
      <c r="AC448" s="140">
        <v>360.0</v>
      </c>
      <c r="AD448" s="141" t="b">
        <v>0</v>
      </c>
      <c r="AE448" s="115" t="str">
        <f t="shared" si="7"/>
        <v/>
      </c>
      <c r="AF448" s="116" t="b">
        <f t="shared" si="8"/>
        <v>0</v>
      </c>
      <c r="AG448" s="105" t="b">
        <f t="shared" si="9"/>
        <v>0</v>
      </c>
      <c r="AH448" s="140"/>
      <c r="AI448" s="140"/>
      <c r="AJ448" s="140"/>
      <c r="AK448" s="117" t="str">
        <f t="shared" si="10"/>
        <v>Negative</v>
      </c>
      <c r="AL448" s="142"/>
      <c r="AM448" s="112" t="s">
        <v>303</v>
      </c>
      <c r="AN448" s="112" t="s">
        <v>304</v>
      </c>
      <c r="AO448" s="112" t="str">
        <f>IFERROR(__xludf.DUMMYFUNCTION("IF($AG448, ""DELETED"",TRIM(JOIN("" "",D448:E448)))"),"")</f>
        <v/>
      </c>
      <c r="AP448" s="112" t="str">
        <f t="shared" ref="AP448:AQ448" si="473">IF($AG448, "DELETED", TRIM(CONCATENATE(F448,I448,U448)))</f>
        <v/>
      </c>
      <c r="AQ448" s="112" t="str">
        <f t="shared" si="473"/>
        <v/>
      </c>
      <c r="AR448" s="112" t="str">
        <f>IFERROR(__xludf.DUMMYFUNCTION("IF($AG448, ""DELETED"", TRIM(JOIN("" "",AP448,AQ448)))"),"")</f>
        <v/>
      </c>
      <c r="AS448" s="118"/>
      <c r="AT448" s="110" t="b">
        <f t="shared" si="12"/>
        <v>0</v>
      </c>
      <c r="AU448" s="110" t="str">
        <f t="shared" si="13"/>
        <v/>
      </c>
      <c r="AV448" s="110" t="str">
        <f t="shared" si="14"/>
        <v/>
      </c>
      <c r="AW448" s="110" t="str">
        <f t="shared" si="15"/>
        <v/>
      </c>
      <c r="AX448" s="119" t="str">
        <f t="shared" si="16"/>
        <v/>
      </c>
      <c r="AY448" s="120"/>
      <c r="AZ448" s="121"/>
      <c r="BA448" s="122" t="str">
        <f t="shared" si="17"/>
        <v/>
      </c>
      <c r="BB448" s="34"/>
      <c r="BC448" s="121"/>
      <c r="BD448" s="136"/>
      <c r="BE448" s="125" t="str">
        <f t="shared" si="18"/>
        <v/>
      </c>
      <c r="BF448" s="126" t="str">
        <f t="shared" si="19"/>
        <v>FM33__44609_0.327604166666667</v>
      </c>
      <c r="BG448" s="127" t="str">
        <f t="shared" si="20"/>
        <v/>
      </c>
      <c r="BH448" s="137" t="s">
        <v>1366</v>
      </c>
      <c r="BI448" s="128" t="str">
        <f t="shared" si="21"/>
        <v>MA1299</v>
      </c>
      <c r="BJ448" s="129" t="b">
        <f t="shared" si="22"/>
        <v>0</v>
      </c>
      <c r="BK448" s="128" t="str">
        <f t="shared" si="23"/>
        <v/>
      </c>
      <c r="BL448" s="121"/>
      <c r="BM448" s="5" t="str">
        <f t="shared" si="24"/>
        <v>MISSING</v>
      </c>
      <c r="BN448" s="120" t="b">
        <f t="shared" si="25"/>
        <v>0</v>
      </c>
      <c r="BO448" s="131" t="b">
        <f t="shared" si="26"/>
        <v>1</v>
      </c>
      <c r="BP448" s="121"/>
      <c r="BQ448" s="132" t="str">
        <f>VLOOKUP(A448,RAW_APS!A$3:O826,15,FALSE)</f>
        <v/>
      </c>
      <c r="BR448" s="120" t="b">
        <f t="shared" si="27"/>
        <v>1</v>
      </c>
      <c r="BS448" s="121"/>
      <c r="BT448" s="138" t="s">
        <v>244</v>
      </c>
      <c r="BU448" s="10" t="b">
        <f t="shared" si="28"/>
        <v>1</v>
      </c>
      <c r="BV448" s="120"/>
      <c r="BW448" s="120"/>
      <c r="BX448" s="120"/>
      <c r="BY448" s="120"/>
      <c r="BZ448" s="120"/>
      <c r="CA448" s="120"/>
      <c r="CB448" s="120"/>
      <c r="CC448" s="120"/>
    </row>
    <row r="449">
      <c r="A449" s="2" t="s">
        <v>1367</v>
      </c>
      <c r="B449" s="100">
        <v>44609.0</v>
      </c>
      <c r="C449" s="101">
        <v>0.32766203703703706</v>
      </c>
      <c r="D449" s="102"/>
      <c r="E449" s="102"/>
      <c r="F449" s="102"/>
      <c r="G449" s="102"/>
      <c r="H449" s="102"/>
      <c r="I449" s="103"/>
      <c r="J449" s="103"/>
      <c r="K449" s="2" t="s">
        <v>244</v>
      </c>
      <c r="L449" s="100">
        <v>44611.0</v>
      </c>
      <c r="M449" s="101">
        <v>0.38958333333333334</v>
      </c>
      <c r="P449" s="104" t="b">
        <f>IFNA(IF(VLOOKUP($A449,'Add from APT'!$AA$2:$AC826,3,FALSE)&gt;0,TRUE,FALSE),"ER - NOT IN APT")</f>
        <v>0</v>
      </c>
      <c r="Q449" s="105" t="str">
        <f>IF(ISLOGICAL(P449),IF(P449,"ER - REPS IN APT", IFNA(VLOOKUP($A449,RAW_APT!$A$3:$M826,7,FALSE),"ER - NOT IN APT")),P449)</f>
        <v>Result</v>
      </c>
      <c r="R449" s="106" t="b">
        <f t="shared" si="2"/>
        <v>1</v>
      </c>
      <c r="S449" s="107">
        <f t="shared" si="3"/>
        <v>1</v>
      </c>
      <c r="T449" s="143"/>
      <c r="U449" s="142"/>
      <c r="V449" s="142"/>
      <c r="W449" s="142"/>
      <c r="X449" s="110" t="b">
        <f t="shared" si="4"/>
        <v>0</v>
      </c>
      <c r="Y449" s="111" t="b">
        <v>0</v>
      </c>
      <c r="Z449" s="104" t="str">
        <f t="shared" si="5"/>
        <v/>
      </c>
      <c r="AA449" s="112" t="b">
        <f t="shared" si="6"/>
        <v>0</v>
      </c>
      <c r="AB449" s="142" t="b">
        <v>0</v>
      </c>
      <c r="AC449" s="140">
        <v>359.0</v>
      </c>
      <c r="AD449" s="141" t="b">
        <v>0</v>
      </c>
      <c r="AE449" s="115" t="str">
        <f t="shared" si="7"/>
        <v/>
      </c>
      <c r="AF449" s="116" t="b">
        <f t="shared" si="8"/>
        <v>0</v>
      </c>
      <c r="AG449" s="105" t="b">
        <f t="shared" si="9"/>
        <v>0</v>
      </c>
      <c r="AH449" s="140"/>
      <c r="AI449" s="140"/>
      <c r="AJ449" s="140"/>
      <c r="AK449" s="117" t="str">
        <f t="shared" si="10"/>
        <v>Negative</v>
      </c>
      <c r="AL449" s="142"/>
      <c r="AM449" s="112" t="s">
        <v>310</v>
      </c>
      <c r="AN449" s="112" t="s">
        <v>311</v>
      </c>
      <c r="AO449" s="112" t="str">
        <f>IFERROR(__xludf.DUMMYFUNCTION("IF($AG449, ""DELETED"",TRIM(JOIN("" "",D449:E449)))"),"")</f>
        <v/>
      </c>
      <c r="AP449" s="112" t="str">
        <f t="shared" ref="AP449:AQ449" si="474">IF($AG449, "DELETED", TRIM(CONCATENATE(F449,I449,U449)))</f>
        <v/>
      </c>
      <c r="AQ449" s="112" t="str">
        <f t="shared" si="474"/>
        <v/>
      </c>
      <c r="AR449" s="112" t="str">
        <f>IFERROR(__xludf.DUMMYFUNCTION("IF($AG449, ""DELETED"", TRIM(JOIN("" "",AP449,AQ449)))"),"")</f>
        <v/>
      </c>
      <c r="AS449" s="118"/>
      <c r="AT449" s="110" t="b">
        <f t="shared" si="12"/>
        <v>0</v>
      </c>
      <c r="AU449" s="110" t="str">
        <f t="shared" si="13"/>
        <v/>
      </c>
      <c r="AV449" s="110" t="str">
        <f t="shared" si="14"/>
        <v/>
      </c>
      <c r="AW449" s="110" t="str">
        <f t="shared" si="15"/>
        <v/>
      </c>
      <c r="AX449" s="119" t="str">
        <f t="shared" si="16"/>
        <v/>
      </c>
      <c r="AY449" s="120"/>
      <c r="AZ449" s="121"/>
      <c r="BA449" s="122" t="str">
        <f t="shared" si="17"/>
        <v/>
      </c>
      <c r="BB449" s="34"/>
      <c r="BC449" s="121"/>
      <c r="BD449" s="136"/>
      <c r="BE449" s="125" t="str">
        <f t="shared" si="18"/>
        <v/>
      </c>
      <c r="BF449" s="126" t="str">
        <f t="shared" si="19"/>
        <v>FM472__44609_0.327662037037037</v>
      </c>
      <c r="BG449" s="127" t="str">
        <f t="shared" si="20"/>
        <v/>
      </c>
      <c r="BH449" s="137" t="s">
        <v>1368</v>
      </c>
      <c r="BI449" s="128" t="str">
        <f t="shared" si="21"/>
        <v>MA1300</v>
      </c>
      <c r="BJ449" s="129" t="b">
        <f t="shared" si="22"/>
        <v>0</v>
      </c>
      <c r="BK449" s="128" t="str">
        <f t="shared" si="23"/>
        <v/>
      </c>
      <c r="BL449" s="121"/>
      <c r="BM449" s="5" t="str">
        <f t="shared" si="24"/>
        <v>MISSING</v>
      </c>
      <c r="BN449" s="120" t="b">
        <f t="shared" si="25"/>
        <v>0</v>
      </c>
      <c r="BO449" s="131" t="b">
        <f t="shared" si="26"/>
        <v>1</v>
      </c>
      <c r="BP449" s="121"/>
      <c r="BQ449" s="132" t="str">
        <f>VLOOKUP(A449,RAW_APS!A$3:O826,15,FALSE)</f>
        <v/>
      </c>
      <c r="BR449" s="120" t="b">
        <f t="shared" si="27"/>
        <v>1</v>
      </c>
      <c r="BS449" s="121"/>
      <c r="BT449" s="138" t="s">
        <v>244</v>
      </c>
      <c r="BU449" s="10" t="b">
        <f t="shared" si="28"/>
        <v>1</v>
      </c>
      <c r="BV449" s="120"/>
      <c r="BW449" s="120"/>
      <c r="BX449" s="120"/>
      <c r="BY449" s="120"/>
      <c r="BZ449" s="120"/>
      <c r="CA449" s="120"/>
      <c r="CB449" s="120"/>
      <c r="CC449" s="120"/>
    </row>
    <row r="450">
      <c r="A450" s="2" t="s">
        <v>1369</v>
      </c>
      <c r="B450" s="100">
        <v>44609.0</v>
      </c>
      <c r="C450" s="101">
        <v>0.3283101851851852</v>
      </c>
      <c r="D450" s="102"/>
      <c r="E450" s="102"/>
      <c r="F450" s="102"/>
      <c r="G450" s="102"/>
      <c r="H450" s="102"/>
      <c r="I450" s="103"/>
      <c r="J450" s="103"/>
      <c r="K450" s="2" t="s">
        <v>244</v>
      </c>
      <c r="L450" s="100">
        <v>44611.0</v>
      </c>
      <c r="M450" s="101">
        <v>0.38958333333333334</v>
      </c>
      <c r="P450" s="104" t="b">
        <f>IFNA(IF(VLOOKUP($A450,'Add from APT'!$AA$2:$AC826,3,FALSE)&gt;0,TRUE,FALSE),"ER - NOT IN APT")</f>
        <v>0</v>
      </c>
      <c r="Q450" s="105" t="str">
        <f>IF(ISLOGICAL(P450),IF(P450,"ER - REPS IN APT", IFNA(VLOOKUP($A450,RAW_APT!$A$3:$M826,7,FALSE),"ER - NOT IN APT")),P450)</f>
        <v>Result</v>
      </c>
      <c r="R450" s="106" t="b">
        <f t="shared" si="2"/>
        <v>1</v>
      </c>
      <c r="S450" s="107">
        <f t="shared" si="3"/>
        <v>1</v>
      </c>
      <c r="T450" s="143"/>
      <c r="U450" s="142"/>
      <c r="V450" s="142"/>
      <c r="W450" s="142"/>
      <c r="X450" s="110" t="b">
        <f t="shared" si="4"/>
        <v>0</v>
      </c>
      <c r="Y450" s="111" t="b">
        <v>0</v>
      </c>
      <c r="Z450" s="104" t="str">
        <f t="shared" si="5"/>
        <v/>
      </c>
      <c r="AA450" s="112" t="b">
        <f t="shared" si="6"/>
        <v>0</v>
      </c>
      <c r="AB450" s="142" t="b">
        <v>0</v>
      </c>
      <c r="AC450" s="140">
        <v>358.0</v>
      </c>
      <c r="AD450" s="141" t="b">
        <v>0</v>
      </c>
      <c r="AE450" s="115" t="str">
        <f t="shared" si="7"/>
        <v/>
      </c>
      <c r="AF450" s="116" t="b">
        <f t="shared" si="8"/>
        <v>0</v>
      </c>
      <c r="AG450" s="105" t="b">
        <f t="shared" si="9"/>
        <v>0</v>
      </c>
      <c r="AH450" s="140"/>
      <c r="AI450" s="140"/>
      <c r="AJ450" s="140"/>
      <c r="AK450" s="117" t="str">
        <f t="shared" si="10"/>
        <v>Negative</v>
      </c>
      <c r="AL450" s="142"/>
      <c r="AM450" s="112" t="s">
        <v>1370</v>
      </c>
      <c r="AN450" s="112" t="s">
        <v>1371</v>
      </c>
      <c r="AO450" s="112" t="str">
        <f>IFERROR(__xludf.DUMMYFUNCTION("IF($AG450, ""DELETED"",TRIM(JOIN("" "",D450:E450)))"),"")</f>
        <v/>
      </c>
      <c r="AP450" s="112" t="str">
        <f t="shared" ref="AP450:AQ450" si="475">IF($AG450, "DELETED", TRIM(CONCATENATE(F450,I450,U450)))</f>
        <v/>
      </c>
      <c r="AQ450" s="112" t="str">
        <f t="shared" si="475"/>
        <v/>
      </c>
      <c r="AR450" s="112" t="str">
        <f>IFERROR(__xludf.DUMMYFUNCTION("IF($AG450, ""DELETED"", TRIM(JOIN("" "",AP450,AQ450)))"),"")</f>
        <v/>
      </c>
      <c r="AS450" s="118"/>
      <c r="AT450" s="110" t="b">
        <f t="shared" si="12"/>
        <v>0</v>
      </c>
      <c r="AU450" s="110" t="str">
        <f t="shared" si="13"/>
        <v/>
      </c>
      <c r="AV450" s="110" t="str">
        <f t="shared" si="14"/>
        <v/>
      </c>
      <c r="AW450" s="110" t="str">
        <f t="shared" si="15"/>
        <v/>
      </c>
      <c r="AX450" s="119" t="str">
        <f t="shared" si="16"/>
        <v/>
      </c>
      <c r="AY450" s="120"/>
      <c r="AZ450" s="121"/>
      <c r="BA450" s="122" t="str">
        <f t="shared" si="17"/>
        <v/>
      </c>
      <c r="BB450" s="34"/>
      <c r="BC450" s="130"/>
      <c r="BD450" s="167"/>
      <c r="BE450" s="125" t="str">
        <f t="shared" si="18"/>
        <v/>
      </c>
      <c r="BF450" s="126" t="str">
        <f t="shared" si="19"/>
        <v>FM967__44609_0.328310185185185</v>
      </c>
      <c r="BG450" s="127" t="str">
        <f t="shared" si="20"/>
        <v/>
      </c>
      <c r="BH450" s="137" t="s">
        <v>1372</v>
      </c>
      <c r="BI450" s="128" t="str">
        <f t="shared" si="21"/>
        <v>MA1302</v>
      </c>
      <c r="BJ450" s="129" t="b">
        <f t="shared" si="22"/>
        <v>0</v>
      </c>
      <c r="BK450" s="128" t="str">
        <f t="shared" si="23"/>
        <v/>
      </c>
      <c r="BL450" s="130"/>
      <c r="BM450" s="5" t="str">
        <f t="shared" si="24"/>
        <v>MISSING</v>
      </c>
      <c r="BN450" s="120" t="b">
        <f t="shared" si="25"/>
        <v>0</v>
      </c>
      <c r="BO450" s="131" t="b">
        <f t="shared" si="26"/>
        <v>1</v>
      </c>
      <c r="BP450" s="130"/>
      <c r="BQ450" s="132" t="str">
        <f>VLOOKUP(A450,RAW_APS!A$3:O826,15,FALSE)</f>
        <v/>
      </c>
      <c r="BR450" s="120" t="b">
        <f t="shared" si="27"/>
        <v>1</v>
      </c>
      <c r="BS450" s="130"/>
      <c r="BT450" s="133" t="s">
        <v>244</v>
      </c>
      <c r="BU450" s="10" t="b">
        <f t="shared" si="28"/>
        <v>1</v>
      </c>
      <c r="BV450" s="132"/>
      <c r="BW450" s="132"/>
      <c r="BX450" s="132"/>
      <c r="BY450" s="132"/>
      <c r="BZ450" s="132"/>
      <c r="CA450" s="132"/>
      <c r="CB450" s="132"/>
      <c r="CC450" s="132"/>
    </row>
    <row r="451">
      <c r="A451" s="2" t="s">
        <v>1373</v>
      </c>
      <c r="B451" s="100">
        <v>44609.0</v>
      </c>
      <c r="C451" s="101">
        <v>0.33189814814814816</v>
      </c>
      <c r="D451" s="102"/>
      <c r="E451" s="102"/>
      <c r="F451" s="102"/>
      <c r="G451" s="102"/>
      <c r="H451" s="102"/>
      <c r="I451" s="103"/>
      <c r="J451" s="103"/>
      <c r="K451" s="2" t="s">
        <v>244</v>
      </c>
      <c r="L451" s="100">
        <v>44611.0</v>
      </c>
      <c r="M451" s="101">
        <v>0.38958333333333334</v>
      </c>
      <c r="P451" s="104" t="b">
        <f>IFNA(IF(VLOOKUP($A451,'Add from APT'!$AA$2:$AC826,3,FALSE)&gt;0,TRUE,FALSE),"ER - NOT IN APT")</f>
        <v>0</v>
      </c>
      <c r="Q451" s="105" t="str">
        <f>IF(ISLOGICAL(P451),IF(P451,"ER - REPS IN APT", IFNA(VLOOKUP($A451,RAW_APT!$A$3:$M826,7,FALSE),"ER - NOT IN APT")),P451)</f>
        <v>Result</v>
      </c>
      <c r="R451" s="106" t="b">
        <f t="shared" si="2"/>
        <v>1</v>
      </c>
      <c r="S451" s="107">
        <f t="shared" si="3"/>
        <v>1</v>
      </c>
      <c r="T451" s="143"/>
      <c r="U451" s="142"/>
      <c r="V451" s="142"/>
      <c r="W451" s="142"/>
      <c r="X451" s="110" t="b">
        <f t="shared" si="4"/>
        <v>0</v>
      </c>
      <c r="Y451" s="111" t="b">
        <v>0</v>
      </c>
      <c r="Z451" s="104" t="str">
        <f t="shared" si="5"/>
        <v/>
      </c>
      <c r="AA451" s="112" t="b">
        <f t="shared" si="6"/>
        <v>0</v>
      </c>
      <c r="AB451" s="142" t="b">
        <v>0</v>
      </c>
      <c r="AC451" s="140">
        <v>357.0</v>
      </c>
      <c r="AD451" s="141" t="b">
        <v>0</v>
      </c>
      <c r="AE451" s="115" t="str">
        <f t="shared" si="7"/>
        <v/>
      </c>
      <c r="AF451" s="116" t="b">
        <f t="shared" si="8"/>
        <v>0</v>
      </c>
      <c r="AG451" s="105" t="b">
        <f t="shared" si="9"/>
        <v>0</v>
      </c>
      <c r="AH451" s="140"/>
      <c r="AI451" s="140"/>
      <c r="AJ451" s="140"/>
      <c r="AK451" s="117" t="str">
        <f t="shared" si="10"/>
        <v>Negative</v>
      </c>
      <c r="AL451" s="142"/>
      <c r="AM451" s="112" t="s">
        <v>1374</v>
      </c>
      <c r="AN451" s="112" t="s">
        <v>1375</v>
      </c>
      <c r="AO451" s="112" t="str">
        <f>IFERROR(__xludf.DUMMYFUNCTION("IF($AG451, ""DELETED"",TRIM(JOIN("" "",D451:E451)))"),"")</f>
        <v/>
      </c>
      <c r="AP451" s="112" t="str">
        <f t="shared" ref="AP451:AQ451" si="476">IF($AG451, "DELETED", TRIM(CONCATENATE(F451,I451,U451)))</f>
        <v/>
      </c>
      <c r="AQ451" s="112" t="str">
        <f t="shared" si="476"/>
        <v/>
      </c>
      <c r="AR451" s="112" t="str">
        <f>IFERROR(__xludf.DUMMYFUNCTION("IF($AG451, ""DELETED"", TRIM(JOIN("" "",AP451,AQ451)))"),"")</f>
        <v/>
      </c>
      <c r="AS451" s="118"/>
      <c r="AT451" s="110" t="b">
        <f t="shared" si="12"/>
        <v>0</v>
      </c>
      <c r="AU451" s="110" t="str">
        <f t="shared" si="13"/>
        <v/>
      </c>
      <c r="AV451" s="110" t="str">
        <f t="shared" si="14"/>
        <v/>
      </c>
      <c r="AW451" s="110" t="str">
        <f t="shared" si="15"/>
        <v/>
      </c>
      <c r="AX451" s="119" t="str">
        <f t="shared" si="16"/>
        <v/>
      </c>
      <c r="AY451" s="120"/>
      <c r="AZ451" s="121"/>
      <c r="BA451" s="122" t="str">
        <f t="shared" si="17"/>
        <v/>
      </c>
      <c r="BB451" s="34"/>
      <c r="BC451" s="121"/>
      <c r="BD451" s="136"/>
      <c r="BE451" s="125" t="str">
        <f t="shared" si="18"/>
        <v/>
      </c>
      <c r="BF451" s="126" t="str">
        <f t="shared" si="19"/>
        <v>FM816__44609_0.331898148148148</v>
      </c>
      <c r="BG451" s="127" t="str">
        <f t="shared" si="20"/>
        <v/>
      </c>
      <c r="BH451" s="137" t="s">
        <v>1376</v>
      </c>
      <c r="BI451" s="128" t="str">
        <f t="shared" si="21"/>
        <v>MA1303</v>
      </c>
      <c r="BJ451" s="129" t="b">
        <f t="shared" si="22"/>
        <v>0</v>
      </c>
      <c r="BK451" s="128" t="str">
        <f t="shared" si="23"/>
        <v/>
      </c>
      <c r="BL451" s="121"/>
      <c r="BM451" s="5" t="str">
        <f t="shared" si="24"/>
        <v>MISSING</v>
      </c>
      <c r="BN451" s="120" t="b">
        <f t="shared" si="25"/>
        <v>0</v>
      </c>
      <c r="BO451" s="131" t="b">
        <f t="shared" si="26"/>
        <v>1</v>
      </c>
      <c r="BP451" s="121"/>
      <c r="BQ451" s="132" t="str">
        <f>VLOOKUP(A451,RAW_APS!A$3:O826,15,FALSE)</f>
        <v/>
      </c>
      <c r="BR451" s="120" t="b">
        <f t="shared" si="27"/>
        <v>1</v>
      </c>
      <c r="BS451" s="121"/>
      <c r="BT451" s="138" t="s">
        <v>244</v>
      </c>
      <c r="BU451" s="10" t="b">
        <f t="shared" si="28"/>
        <v>1</v>
      </c>
      <c r="BV451" s="120"/>
      <c r="BW451" s="120"/>
      <c r="BX451" s="120"/>
      <c r="BY451" s="120"/>
      <c r="BZ451" s="120"/>
      <c r="CA451" s="120"/>
      <c r="CB451" s="120"/>
      <c r="CC451" s="120"/>
    </row>
    <row r="452">
      <c r="A452" s="2" t="s">
        <v>1377</v>
      </c>
      <c r="B452" s="100">
        <v>44609.0</v>
      </c>
      <c r="C452" s="101">
        <v>0.3327199074074074</v>
      </c>
      <c r="D452" s="102"/>
      <c r="E452" s="102"/>
      <c r="F452" s="102"/>
      <c r="G452" s="102"/>
      <c r="H452" s="102"/>
      <c r="I452" s="103"/>
      <c r="J452" s="103"/>
      <c r="K452" s="2" t="s">
        <v>244</v>
      </c>
      <c r="L452" s="100">
        <v>44611.0</v>
      </c>
      <c r="M452" s="101">
        <v>0.38958333333333334</v>
      </c>
      <c r="P452" s="104" t="b">
        <f>IFNA(IF(VLOOKUP($A452,'Add from APT'!$AA$2:$AC826,3,FALSE)&gt;0,TRUE,FALSE),"ER - NOT IN APT")</f>
        <v>0</v>
      </c>
      <c r="Q452" s="105" t="str">
        <f>IF(ISLOGICAL(P452),IF(P452,"ER - REPS IN APT", IFNA(VLOOKUP($A452,RAW_APT!$A$3:$M826,7,FALSE),"ER - NOT IN APT")),P452)</f>
        <v>Result</v>
      </c>
      <c r="R452" s="106" t="b">
        <f t="shared" si="2"/>
        <v>1</v>
      </c>
      <c r="S452" s="107">
        <f t="shared" si="3"/>
        <v>1</v>
      </c>
      <c r="T452" s="143"/>
      <c r="U452" s="142"/>
      <c r="V452" s="142"/>
      <c r="W452" s="142"/>
      <c r="X452" s="110" t="b">
        <f t="shared" si="4"/>
        <v>0</v>
      </c>
      <c r="Y452" s="111" t="b">
        <v>0</v>
      </c>
      <c r="Z452" s="104" t="str">
        <f t="shared" si="5"/>
        <v/>
      </c>
      <c r="AA452" s="112" t="b">
        <f t="shared" si="6"/>
        <v>0</v>
      </c>
      <c r="AB452" s="142" t="b">
        <v>0</v>
      </c>
      <c r="AC452" s="140">
        <v>356.0</v>
      </c>
      <c r="AD452" s="141" t="b">
        <v>0</v>
      </c>
      <c r="AE452" s="115" t="str">
        <f t="shared" si="7"/>
        <v/>
      </c>
      <c r="AF452" s="116" t="b">
        <f t="shared" si="8"/>
        <v>0</v>
      </c>
      <c r="AG452" s="105" t="b">
        <f t="shared" si="9"/>
        <v>0</v>
      </c>
      <c r="AH452" s="140"/>
      <c r="AI452" s="140"/>
      <c r="AJ452" s="140"/>
      <c r="AK452" s="117" t="str">
        <f t="shared" si="10"/>
        <v>Negative</v>
      </c>
      <c r="AL452" s="142"/>
      <c r="AM452" s="112" t="s">
        <v>1374</v>
      </c>
      <c r="AN452" s="112" t="s">
        <v>1162</v>
      </c>
      <c r="AO452" s="112" t="str">
        <f>IFERROR(__xludf.DUMMYFUNCTION("IF($AG452, ""DELETED"",TRIM(JOIN("" "",D452:E452)))"),"")</f>
        <v/>
      </c>
      <c r="AP452" s="112" t="str">
        <f t="shared" ref="AP452:AQ452" si="477">IF($AG452, "DELETED", TRIM(CONCATENATE(F452,I452,U452)))</f>
        <v/>
      </c>
      <c r="AQ452" s="112" t="str">
        <f t="shared" si="477"/>
        <v/>
      </c>
      <c r="AR452" s="112" t="str">
        <f>IFERROR(__xludf.DUMMYFUNCTION("IF($AG452, ""DELETED"", TRIM(JOIN("" "",AP452,AQ452)))"),"")</f>
        <v/>
      </c>
      <c r="AS452" s="118"/>
      <c r="AT452" s="110" t="b">
        <f t="shared" si="12"/>
        <v>0</v>
      </c>
      <c r="AU452" s="110" t="str">
        <f t="shared" si="13"/>
        <v/>
      </c>
      <c r="AV452" s="110" t="str">
        <f t="shared" si="14"/>
        <v/>
      </c>
      <c r="AW452" s="110" t="str">
        <f t="shared" si="15"/>
        <v/>
      </c>
      <c r="AX452" s="119" t="str">
        <f t="shared" si="16"/>
        <v/>
      </c>
      <c r="AY452" s="120"/>
      <c r="AZ452" s="121"/>
      <c r="BA452" s="122" t="str">
        <f t="shared" si="17"/>
        <v/>
      </c>
      <c r="BB452" s="34"/>
      <c r="BC452" s="121"/>
      <c r="BD452" s="136"/>
      <c r="BE452" s="125" t="str">
        <f t="shared" si="18"/>
        <v/>
      </c>
      <c r="BF452" s="126" t="str">
        <f t="shared" si="19"/>
        <v>FM972__44609_0.332719907407407</v>
      </c>
      <c r="BG452" s="127" t="str">
        <f t="shared" si="20"/>
        <v/>
      </c>
      <c r="BH452" s="137" t="s">
        <v>1378</v>
      </c>
      <c r="BI452" s="128" t="str">
        <f t="shared" si="21"/>
        <v>MA1304</v>
      </c>
      <c r="BJ452" s="129" t="b">
        <f t="shared" si="22"/>
        <v>0</v>
      </c>
      <c r="BK452" s="128" t="str">
        <f t="shared" si="23"/>
        <v/>
      </c>
      <c r="BL452" s="121"/>
      <c r="BM452" s="5" t="str">
        <f t="shared" si="24"/>
        <v>MISSING</v>
      </c>
      <c r="BN452" s="120" t="b">
        <f t="shared" si="25"/>
        <v>0</v>
      </c>
      <c r="BO452" s="131" t="b">
        <f t="shared" si="26"/>
        <v>1</v>
      </c>
      <c r="BP452" s="121"/>
      <c r="BQ452" s="132" t="str">
        <f>VLOOKUP(A452,RAW_APS!A$3:O826,15,FALSE)</f>
        <v/>
      </c>
      <c r="BR452" s="120" t="b">
        <f t="shared" si="27"/>
        <v>1</v>
      </c>
      <c r="BS452" s="121"/>
      <c r="BT452" s="138" t="s">
        <v>244</v>
      </c>
      <c r="BU452" s="10" t="b">
        <f t="shared" si="28"/>
        <v>1</v>
      </c>
      <c r="BV452" s="120"/>
      <c r="BW452" s="120"/>
      <c r="BX452" s="120"/>
      <c r="BY452" s="120"/>
      <c r="BZ452" s="120"/>
      <c r="CA452" s="120"/>
      <c r="CB452" s="120"/>
      <c r="CC452" s="120"/>
    </row>
    <row r="453">
      <c r="A453" s="2" t="s">
        <v>1379</v>
      </c>
      <c r="B453" s="100">
        <v>44609.0</v>
      </c>
      <c r="C453" s="101">
        <v>0.33399305555555553</v>
      </c>
      <c r="D453" s="102"/>
      <c r="E453" s="102"/>
      <c r="F453" s="102"/>
      <c r="G453" s="102"/>
      <c r="H453" s="102"/>
      <c r="I453" s="103"/>
      <c r="J453" s="103"/>
      <c r="K453" s="2" t="s">
        <v>244</v>
      </c>
      <c r="L453" s="100">
        <v>44611.0</v>
      </c>
      <c r="M453" s="101">
        <v>0.38958333333333334</v>
      </c>
      <c r="P453" s="104" t="b">
        <f>IFNA(IF(VLOOKUP($A453,'Add from APT'!$AA$2:$AC826,3,FALSE)&gt;0,TRUE,FALSE),"ER - NOT IN APT")</f>
        <v>0</v>
      </c>
      <c r="Q453" s="105" t="str">
        <f>IF(ISLOGICAL(P453),IF(P453,"ER - REPS IN APT", IFNA(VLOOKUP($A453,RAW_APT!$A$3:$M826,7,FALSE),"ER - NOT IN APT")),P453)</f>
        <v>Result</v>
      </c>
      <c r="R453" s="106" t="b">
        <f t="shared" si="2"/>
        <v>1</v>
      </c>
      <c r="S453" s="107">
        <f t="shared" si="3"/>
        <v>1</v>
      </c>
      <c r="T453" s="143"/>
      <c r="U453" s="142"/>
      <c r="V453" s="142"/>
      <c r="W453" s="142"/>
      <c r="X453" s="110" t="b">
        <f t="shared" si="4"/>
        <v>0</v>
      </c>
      <c r="Y453" s="111" t="b">
        <v>0</v>
      </c>
      <c r="Z453" s="104" t="str">
        <f t="shared" si="5"/>
        <v/>
      </c>
      <c r="AA453" s="112" t="b">
        <f t="shared" si="6"/>
        <v>0</v>
      </c>
      <c r="AB453" s="142" t="b">
        <v>0</v>
      </c>
      <c r="AC453" s="140">
        <v>355.0</v>
      </c>
      <c r="AD453" s="141" t="b">
        <v>0</v>
      </c>
      <c r="AE453" s="115" t="str">
        <f t="shared" si="7"/>
        <v/>
      </c>
      <c r="AF453" s="116" t="b">
        <f t="shared" si="8"/>
        <v>0</v>
      </c>
      <c r="AG453" s="105" t="b">
        <f t="shared" si="9"/>
        <v>0</v>
      </c>
      <c r="AH453" s="140"/>
      <c r="AI453" s="140"/>
      <c r="AJ453" s="140"/>
      <c r="AK453" s="117" t="str">
        <f t="shared" si="10"/>
        <v>Negative</v>
      </c>
      <c r="AL453" s="142"/>
      <c r="AM453" s="112" t="s">
        <v>1380</v>
      </c>
      <c r="AN453" s="112" t="s">
        <v>1381</v>
      </c>
      <c r="AO453" s="112" t="str">
        <f>IFERROR(__xludf.DUMMYFUNCTION("IF($AG453, ""DELETED"",TRIM(JOIN("" "",D453:E453)))"),"")</f>
        <v/>
      </c>
      <c r="AP453" s="112" t="str">
        <f t="shared" ref="AP453:AQ453" si="478">IF($AG453, "DELETED", TRIM(CONCATENATE(F453,I453,U453)))</f>
        <v/>
      </c>
      <c r="AQ453" s="112" t="str">
        <f t="shared" si="478"/>
        <v/>
      </c>
      <c r="AR453" s="112" t="str">
        <f>IFERROR(__xludf.DUMMYFUNCTION("IF($AG453, ""DELETED"", TRIM(JOIN("" "",AP453,AQ453)))"),"")</f>
        <v/>
      </c>
      <c r="AS453" s="118"/>
      <c r="AT453" s="110" t="b">
        <f t="shared" si="12"/>
        <v>0</v>
      </c>
      <c r="AU453" s="110" t="str">
        <f t="shared" si="13"/>
        <v/>
      </c>
      <c r="AV453" s="110" t="str">
        <f t="shared" si="14"/>
        <v/>
      </c>
      <c r="AW453" s="110" t="str">
        <f t="shared" si="15"/>
        <v/>
      </c>
      <c r="AX453" s="119" t="str">
        <f t="shared" si="16"/>
        <v/>
      </c>
      <c r="AY453" s="120"/>
      <c r="AZ453" s="121"/>
      <c r="BA453" s="122" t="str">
        <f t="shared" si="17"/>
        <v/>
      </c>
      <c r="BB453" s="34"/>
      <c r="BC453" s="121"/>
      <c r="BD453" s="136"/>
      <c r="BE453" s="125" t="str">
        <f t="shared" si="18"/>
        <v/>
      </c>
      <c r="BF453" s="126" t="str">
        <f t="shared" si="19"/>
        <v>MA292__44609_0.333993055555556</v>
      </c>
      <c r="BG453" s="127" t="str">
        <f t="shared" si="20"/>
        <v/>
      </c>
      <c r="BH453" s="137" t="s">
        <v>1382</v>
      </c>
      <c r="BI453" s="128" t="str">
        <f t="shared" si="21"/>
        <v>MA1305</v>
      </c>
      <c r="BJ453" s="129" t="b">
        <f t="shared" si="22"/>
        <v>0</v>
      </c>
      <c r="BK453" s="128" t="str">
        <f t="shared" si="23"/>
        <v/>
      </c>
      <c r="BL453" s="121"/>
      <c r="BM453" s="5" t="str">
        <f t="shared" si="24"/>
        <v>MISSING</v>
      </c>
      <c r="BN453" s="120" t="b">
        <f t="shared" si="25"/>
        <v>0</v>
      </c>
      <c r="BO453" s="131" t="b">
        <f t="shared" si="26"/>
        <v>1</v>
      </c>
      <c r="BP453" s="121"/>
      <c r="BQ453" s="132" t="str">
        <f>VLOOKUP(A453,RAW_APS!A$3:O826,15,FALSE)</f>
        <v/>
      </c>
      <c r="BR453" s="120" t="b">
        <f t="shared" si="27"/>
        <v>1</v>
      </c>
      <c r="BS453" s="121"/>
      <c r="BT453" s="138" t="s">
        <v>244</v>
      </c>
      <c r="BU453" s="10" t="b">
        <f t="shared" si="28"/>
        <v>1</v>
      </c>
      <c r="BV453" s="120"/>
      <c r="BW453" s="120"/>
      <c r="BX453" s="120"/>
      <c r="BY453" s="120"/>
      <c r="BZ453" s="120"/>
      <c r="CA453" s="120"/>
      <c r="CB453" s="120"/>
      <c r="CC453" s="120"/>
    </row>
    <row r="454">
      <c r="A454" s="2" t="s">
        <v>1383</v>
      </c>
      <c r="B454" s="100">
        <v>44609.0</v>
      </c>
      <c r="C454" s="101">
        <v>0.33414351851851853</v>
      </c>
      <c r="D454" s="102"/>
      <c r="E454" s="102"/>
      <c r="F454" s="102"/>
      <c r="G454" s="102"/>
      <c r="H454" s="102"/>
      <c r="I454" s="103"/>
      <c r="J454" s="103"/>
      <c r="K454" s="2" t="s">
        <v>244</v>
      </c>
      <c r="L454" s="100">
        <v>44611.0</v>
      </c>
      <c r="M454" s="101">
        <v>0.38958333333333334</v>
      </c>
      <c r="P454" s="104" t="b">
        <f>IFNA(IF(VLOOKUP($A454,'Add from APT'!$AA$2:$AC826,3,FALSE)&gt;0,TRUE,FALSE),"ER - NOT IN APT")</f>
        <v>0</v>
      </c>
      <c r="Q454" s="105" t="str">
        <f>IF(ISLOGICAL(P454),IF(P454,"ER - REPS IN APT", IFNA(VLOOKUP($A454,RAW_APT!$A$3:$M826,7,FALSE),"ER - NOT IN APT")),P454)</f>
        <v>Result</v>
      </c>
      <c r="R454" s="106" t="b">
        <f t="shared" si="2"/>
        <v>1</v>
      </c>
      <c r="S454" s="107">
        <f t="shared" si="3"/>
        <v>1</v>
      </c>
      <c r="T454" s="143"/>
      <c r="U454" s="142"/>
      <c r="V454" s="142"/>
      <c r="W454" s="142"/>
      <c r="X454" s="110" t="b">
        <f t="shared" si="4"/>
        <v>0</v>
      </c>
      <c r="Y454" s="111" t="b">
        <v>0</v>
      </c>
      <c r="Z454" s="104" t="str">
        <f t="shared" si="5"/>
        <v/>
      </c>
      <c r="AA454" s="112" t="b">
        <f t="shared" si="6"/>
        <v>0</v>
      </c>
      <c r="AB454" s="142" t="b">
        <v>0</v>
      </c>
      <c r="AC454" s="140">
        <v>354.0</v>
      </c>
      <c r="AD454" s="141" t="b">
        <v>0</v>
      </c>
      <c r="AE454" s="115" t="str">
        <f t="shared" si="7"/>
        <v/>
      </c>
      <c r="AF454" s="116" t="b">
        <f t="shared" si="8"/>
        <v>0</v>
      </c>
      <c r="AG454" s="105" t="b">
        <f t="shared" si="9"/>
        <v>0</v>
      </c>
      <c r="AH454" s="140"/>
      <c r="AI454" s="140"/>
      <c r="AJ454" s="140"/>
      <c r="AK454" s="117" t="str">
        <f t="shared" si="10"/>
        <v>Negative</v>
      </c>
      <c r="AL454" s="142"/>
      <c r="AM454" s="112" t="s">
        <v>1384</v>
      </c>
      <c r="AN454" s="112" t="s">
        <v>1385</v>
      </c>
      <c r="AO454" s="112" t="str">
        <f>IFERROR(__xludf.DUMMYFUNCTION("IF($AG454, ""DELETED"",TRIM(JOIN("" "",D454:E454)))"),"")</f>
        <v/>
      </c>
      <c r="AP454" s="112" t="str">
        <f t="shared" ref="AP454:AQ454" si="479">IF($AG454, "DELETED", TRIM(CONCATENATE(F454,I454,U454)))</f>
        <v/>
      </c>
      <c r="AQ454" s="112" t="str">
        <f t="shared" si="479"/>
        <v/>
      </c>
      <c r="AR454" s="112" t="str">
        <f>IFERROR(__xludf.DUMMYFUNCTION("IF($AG454, ""DELETED"", TRIM(JOIN("" "",AP454,AQ454)))"),"")</f>
        <v/>
      </c>
      <c r="AS454" s="118"/>
      <c r="AT454" s="110" t="b">
        <f t="shared" si="12"/>
        <v>0</v>
      </c>
      <c r="AU454" s="110" t="str">
        <f t="shared" si="13"/>
        <v/>
      </c>
      <c r="AV454" s="110" t="str">
        <f t="shared" si="14"/>
        <v/>
      </c>
      <c r="AW454" s="110" t="str">
        <f t="shared" si="15"/>
        <v/>
      </c>
      <c r="AX454" s="119" t="str">
        <f t="shared" si="16"/>
        <v/>
      </c>
      <c r="AY454" s="120"/>
      <c r="AZ454" s="121"/>
      <c r="BA454" s="122" t="str">
        <f t="shared" si="17"/>
        <v/>
      </c>
      <c r="BB454" s="34"/>
      <c r="BC454" s="121"/>
      <c r="BD454" s="136"/>
      <c r="BE454" s="125" t="str">
        <f t="shared" si="18"/>
        <v/>
      </c>
      <c r="BF454" s="126" t="str">
        <f t="shared" si="19"/>
        <v>MA291__44609_0.334143518518519</v>
      </c>
      <c r="BG454" s="127" t="str">
        <f t="shared" si="20"/>
        <v/>
      </c>
      <c r="BH454" s="137" t="s">
        <v>1386</v>
      </c>
      <c r="BI454" s="128" t="str">
        <f t="shared" si="21"/>
        <v>MA1307</v>
      </c>
      <c r="BJ454" s="129" t="b">
        <f t="shared" si="22"/>
        <v>0</v>
      </c>
      <c r="BK454" s="128" t="str">
        <f t="shared" si="23"/>
        <v/>
      </c>
      <c r="BL454" s="121"/>
      <c r="BM454" s="5" t="str">
        <f t="shared" si="24"/>
        <v>MISSING</v>
      </c>
      <c r="BN454" s="120" t="b">
        <f t="shared" si="25"/>
        <v>0</v>
      </c>
      <c r="BO454" s="131" t="b">
        <f t="shared" si="26"/>
        <v>1</v>
      </c>
      <c r="BP454" s="121"/>
      <c r="BQ454" s="132" t="str">
        <f>VLOOKUP(A454,RAW_APS!A$3:O826,15,FALSE)</f>
        <v/>
      </c>
      <c r="BR454" s="120" t="b">
        <f t="shared" si="27"/>
        <v>1</v>
      </c>
      <c r="BS454" s="121"/>
      <c r="BT454" s="138" t="s">
        <v>244</v>
      </c>
      <c r="BU454" s="10" t="b">
        <f t="shared" si="28"/>
        <v>1</v>
      </c>
      <c r="BV454" s="120"/>
      <c r="BW454" s="120"/>
      <c r="BX454" s="120"/>
      <c r="BY454" s="120"/>
      <c r="BZ454" s="120"/>
      <c r="CA454" s="120"/>
      <c r="CB454" s="120"/>
      <c r="CC454" s="120"/>
    </row>
    <row r="455">
      <c r="A455" s="2" t="s">
        <v>1387</v>
      </c>
      <c r="B455" s="100">
        <v>44609.0</v>
      </c>
      <c r="C455" s="101">
        <v>0.33719907407407407</v>
      </c>
      <c r="D455" s="102"/>
      <c r="E455" s="102"/>
      <c r="F455" s="102"/>
      <c r="G455" s="102"/>
      <c r="H455" s="102"/>
      <c r="I455" s="103"/>
      <c r="J455" s="103"/>
      <c r="K455" s="2" t="s">
        <v>244</v>
      </c>
      <c r="L455" s="100">
        <v>44611.0</v>
      </c>
      <c r="M455" s="101">
        <v>0.38958333333333334</v>
      </c>
      <c r="P455" s="104" t="b">
        <f>IFNA(IF(VLOOKUP($A455,'Add from APT'!$AA$2:$AC826,3,FALSE)&gt;0,TRUE,FALSE),"ER - NOT IN APT")</f>
        <v>0</v>
      </c>
      <c r="Q455" s="105" t="str">
        <f>IF(ISLOGICAL(P455),IF(P455,"ER - REPS IN APT", IFNA(VLOOKUP($A455,RAW_APT!$A$3:$M826,7,FALSE),"ER - NOT IN APT")),P455)</f>
        <v>Result</v>
      </c>
      <c r="R455" s="106" t="b">
        <f t="shared" si="2"/>
        <v>1</v>
      </c>
      <c r="S455" s="107">
        <f t="shared" si="3"/>
        <v>1</v>
      </c>
      <c r="T455" s="143"/>
      <c r="U455" s="142"/>
      <c r="V455" s="142"/>
      <c r="W455" s="142"/>
      <c r="X455" s="110" t="b">
        <f t="shared" si="4"/>
        <v>0</v>
      </c>
      <c r="Y455" s="111" t="b">
        <v>0</v>
      </c>
      <c r="Z455" s="104" t="str">
        <f t="shared" si="5"/>
        <v/>
      </c>
      <c r="AA455" s="112" t="b">
        <f t="shared" si="6"/>
        <v>0</v>
      </c>
      <c r="AB455" s="142" t="b">
        <v>0</v>
      </c>
      <c r="AC455" s="140">
        <v>353.0</v>
      </c>
      <c r="AD455" s="141" t="b">
        <v>0</v>
      </c>
      <c r="AE455" s="115" t="str">
        <f t="shared" si="7"/>
        <v/>
      </c>
      <c r="AF455" s="116" t="b">
        <f t="shared" si="8"/>
        <v>0</v>
      </c>
      <c r="AG455" s="105" t="b">
        <f t="shared" si="9"/>
        <v>0</v>
      </c>
      <c r="AH455" s="140"/>
      <c r="AI455" s="140"/>
      <c r="AJ455" s="140"/>
      <c r="AK455" s="117" t="str">
        <f t="shared" si="10"/>
        <v>Negative</v>
      </c>
      <c r="AL455" s="142"/>
      <c r="AM455" s="112" t="s">
        <v>1260</v>
      </c>
      <c r="AN455" s="112" t="s">
        <v>1261</v>
      </c>
      <c r="AO455" s="112" t="str">
        <f>IFERROR(__xludf.DUMMYFUNCTION("IF($AG455, ""DELETED"",TRIM(JOIN("" "",D455:E455)))"),"")</f>
        <v/>
      </c>
      <c r="AP455" s="112" t="str">
        <f t="shared" ref="AP455:AQ455" si="480">IF($AG455, "DELETED", TRIM(CONCATENATE(F455,I455,U455)))</f>
        <v/>
      </c>
      <c r="AQ455" s="112" t="str">
        <f t="shared" si="480"/>
        <v/>
      </c>
      <c r="AR455" s="112" t="str">
        <f>IFERROR(__xludf.DUMMYFUNCTION("IF($AG455, ""DELETED"", TRIM(JOIN("" "",AP455,AQ455)))"),"")</f>
        <v/>
      </c>
      <c r="AS455" s="118"/>
      <c r="AT455" s="110" t="b">
        <f t="shared" si="12"/>
        <v>0</v>
      </c>
      <c r="AU455" s="110" t="str">
        <f t="shared" si="13"/>
        <v/>
      </c>
      <c r="AV455" s="110" t="str">
        <f t="shared" si="14"/>
        <v/>
      </c>
      <c r="AW455" s="110" t="str">
        <f t="shared" si="15"/>
        <v/>
      </c>
      <c r="AX455" s="119" t="str">
        <f t="shared" si="16"/>
        <v/>
      </c>
      <c r="AY455" s="120"/>
      <c r="AZ455" s="121"/>
      <c r="BA455" s="122" t="str">
        <f t="shared" si="17"/>
        <v/>
      </c>
      <c r="BB455" s="34"/>
      <c r="BC455" s="121"/>
      <c r="BD455" s="136"/>
      <c r="BE455" s="125" t="str">
        <f t="shared" si="18"/>
        <v/>
      </c>
      <c r="BF455" s="126" t="str">
        <f t="shared" si="19"/>
        <v>MA1054__44609_0.337199074074074</v>
      </c>
      <c r="BG455" s="127" t="str">
        <f t="shared" si="20"/>
        <v/>
      </c>
      <c r="BH455" s="137" t="s">
        <v>1388</v>
      </c>
      <c r="BI455" s="128" t="str">
        <f t="shared" si="21"/>
        <v>MA1308</v>
      </c>
      <c r="BJ455" s="129" t="b">
        <f t="shared" si="22"/>
        <v>0</v>
      </c>
      <c r="BK455" s="128" t="str">
        <f t="shared" si="23"/>
        <v/>
      </c>
      <c r="BL455" s="121"/>
      <c r="BM455" s="5" t="str">
        <f t="shared" si="24"/>
        <v>MISSING</v>
      </c>
      <c r="BN455" s="120" t="b">
        <f t="shared" si="25"/>
        <v>0</v>
      </c>
      <c r="BO455" s="131" t="b">
        <f t="shared" si="26"/>
        <v>1</v>
      </c>
      <c r="BP455" s="121"/>
      <c r="BQ455" s="132" t="str">
        <f>VLOOKUP(A455,RAW_APS!A$3:O826,15,FALSE)</f>
        <v/>
      </c>
      <c r="BR455" s="120" t="b">
        <f t="shared" si="27"/>
        <v>1</v>
      </c>
      <c r="BS455" s="121"/>
      <c r="BT455" s="138" t="s">
        <v>244</v>
      </c>
      <c r="BU455" s="10" t="b">
        <f t="shared" si="28"/>
        <v>1</v>
      </c>
      <c r="BV455" s="120"/>
      <c r="BW455" s="120"/>
      <c r="BX455" s="120"/>
      <c r="BY455" s="120"/>
      <c r="BZ455" s="120"/>
      <c r="CA455" s="120"/>
      <c r="CB455" s="120"/>
      <c r="CC455" s="120"/>
    </row>
    <row r="456">
      <c r="A456" s="2" t="s">
        <v>1389</v>
      </c>
      <c r="B456" s="100">
        <v>44609.0</v>
      </c>
      <c r="C456" s="101">
        <v>0.34019675925925924</v>
      </c>
      <c r="D456" s="102"/>
      <c r="E456" s="102"/>
      <c r="F456" s="102"/>
      <c r="G456" s="102"/>
      <c r="H456" s="102"/>
      <c r="I456" s="103"/>
      <c r="J456" s="103"/>
      <c r="K456" s="2" t="s">
        <v>244</v>
      </c>
      <c r="L456" s="100">
        <v>44611.0</v>
      </c>
      <c r="M456" s="101">
        <v>0.38958333333333334</v>
      </c>
      <c r="P456" s="104" t="b">
        <f>IFNA(IF(VLOOKUP($A456,'Add from APT'!$AA$2:$AC826,3,FALSE)&gt;0,TRUE,FALSE),"ER - NOT IN APT")</f>
        <v>0</v>
      </c>
      <c r="Q456" s="105" t="str">
        <f>IF(ISLOGICAL(P456),IF(P456,"ER - REPS IN APT", IFNA(VLOOKUP($A456,RAW_APT!$A$3:$M826,7,FALSE),"ER - NOT IN APT")),P456)</f>
        <v>Result</v>
      </c>
      <c r="R456" s="106" t="b">
        <f t="shared" si="2"/>
        <v>1</v>
      </c>
      <c r="S456" s="107">
        <f t="shared" si="3"/>
        <v>1</v>
      </c>
      <c r="T456" s="143"/>
      <c r="U456" s="142"/>
      <c r="V456" s="142"/>
      <c r="W456" s="142"/>
      <c r="X456" s="110" t="b">
        <f t="shared" si="4"/>
        <v>0</v>
      </c>
      <c r="Y456" s="111" t="b">
        <v>0</v>
      </c>
      <c r="Z456" s="104" t="str">
        <f t="shared" si="5"/>
        <v/>
      </c>
      <c r="AA456" s="112" t="b">
        <f t="shared" si="6"/>
        <v>0</v>
      </c>
      <c r="AB456" s="142" t="b">
        <v>0</v>
      </c>
      <c r="AC456" s="140">
        <v>352.0</v>
      </c>
      <c r="AD456" s="141" t="b">
        <v>0</v>
      </c>
      <c r="AE456" s="115" t="str">
        <f t="shared" si="7"/>
        <v/>
      </c>
      <c r="AF456" s="116" t="b">
        <f t="shared" si="8"/>
        <v>0</v>
      </c>
      <c r="AG456" s="105" t="b">
        <f t="shared" si="9"/>
        <v>0</v>
      </c>
      <c r="AH456" s="140"/>
      <c r="AI456" s="140"/>
      <c r="AJ456" s="140"/>
      <c r="AK456" s="117" t="str">
        <f t="shared" si="10"/>
        <v>Negative</v>
      </c>
      <c r="AL456" s="142"/>
      <c r="AM456" s="112" t="s">
        <v>508</v>
      </c>
      <c r="AN456" s="112" t="s">
        <v>1390</v>
      </c>
      <c r="AO456" s="112" t="str">
        <f>IFERROR(__xludf.DUMMYFUNCTION("IF($AG456, ""DELETED"",TRIM(JOIN("" "",D456:E456)))"),"")</f>
        <v/>
      </c>
      <c r="AP456" s="112" t="str">
        <f t="shared" ref="AP456:AQ456" si="481">IF($AG456, "DELETED", TRIM(CONCATENATE(F456,I456,U456)))</f>
        <v/>
      </c>
      <c r="AQ456" s="112" t="str">
        <f t="shared" si="481"/>
        <v/>
      </c>
      <c r="AR456" s="112" t="str">
        <f>IFERROR(__xludf.DUMMYFUNCTION("IF($AG456, ""DELETED"", TRIM(JOIN("" "",AP456,AQ456)))"),"")</f>
        <v/>
      </c>
      <c r="AS456" s="118"/>
      <c r="AT456" s="110" t="b">
        <f t="shared" si="12"/>
        <v>0</v>
      </c>
      <c r="AU456" s="110" t="str">
        <f t="shared" si="13"/>
        <v/>
      </c>
      <c r="AV456" s="110" t="str">
        <f t="shared" si="14"/>
        <v/>
      </c>
      <c r="AW456" s="110" t="str">
        <f t="shared" si="15"/>
        <v/>
      </c>
      <c r="AX456" s="119" t="str">
        <f t="shared" si="16"/>
        <v/>
      </c>
      <c r="AY456" s="120"/>
      <c r="AZ456" s="121"/>
      <c r="BA456" s="122" t="str">
        <f t="shared" si="17"/>
        <v/>
      </c>
      <c r="BB456" s="34"/>
      <c r="BC456" s="121"/>
      <c r="BD456" s="136"/>
      <c r="BE456" s="125" t="str">
        <f t="shared" si="18"/>
        <v/>
      </c>
      <c r="BF456" s="126" t="str">
        <f t="shared" si="19"/>
        <v>MA1087__44609_0.340196759259259</v>
      </c>
      <c r="BG456" s="127" t="str">
        <f t="shared" si="20"/>
        <v/>
      </c>
      <c r="BH456" s="137" t="s">
        <v>1391</v>
      </c>
      <c r="BI456" s="128" t="str">
        <f t="shared" si="21"/>
        <v>MA1312</v>
      </c>
      <c r="BJ456" s="129" t="b">
        <f t="shared" si="22"/>
        <v>0</v>
      </c>
      <c r="BK456" s="128" t="str">
        <f t="shared" si="23"/>
        <v/>
      </c>
      <c r="BL456" s="121"/>
      <c r="BM456" s="5" t="str">
        <f t="shared" si="24"/>
        <v>MISSING</v>
      </c>
      <c r="BN456" s="120" t="b">
        <f t="shared" si="25"/>
        <v>0</v>
      </c>
      <c r="BO456" s="131" t="b">
        <f t="shared" si="26"/>
        <v>1</v>
      </c>
      <c r="BP456" s="121"/>
      <c r="BQ456" s="132" t="str">
        <f>VLOOKUP(A456,RAW_APS!A$3:O826,15,FALSE)</f>
        <v/>
      </c>
      <c r="BR456" s="120" t="b">
        <f t="shared" si="27"/>
        <v>1</v>
      </c>
      <c r="BS456" s="121"/>
      <c r="BT456" s="138" t="s">
        <v>244</v>
      </c>
      <c r="BU456" s="10" t="b">
        <f t="shared" si="28"/>
        <v>1</v>
      </c>
      <c r="BV456" s="120"/>
      <c r="BW456" s="120"/>
      <c r="BX456" s="120"/>
      <c r="BY456" s="120"/>
      <c r="BZ456" s="120"/>
      <c r="CA456" s="120"/>
      <c r="CB456" s="120"/>
      <c r="CC456" s="120"/>
    </row>
    <row r="457">
      <c r="A457" s="2" t="s">
        <v>1392</v>
      </c>
      <c r="B457" s="100">
        <v>44609.0</v>
      </c>
      <c r="C457" s="101">
        <v>0.3439814814814815</v>
      </c>
      <c r="D457" s="102"/>
      <c r="E457" s="102"/>
      <c r="F457" s="102"/>
      <c r="G457" s="102"/>
      <c r="H457" s="102"/>
      <c r="I457" s="103"/>
      <c r="J457" s="103"/>
      <c r="K457" s="2" t="s">
        <v>244</v>
      </c>
      <c r="L457" s="100">
        <v>44611.0</v>
      </c>
      <c r="M457" s="101">
        <v>0.38958333333333334</v>
      </c>
      <c r="P457" s="104" t="b">
        <f>IFNA(IF(VLOOKUP($A457,'Add from APT'!$AA$2:$AC826,3,FALSE)&gt;0,TRUE,FALSE),"ER - NOT IN APT")</f>
        <v>0</v>
      </c>
      <c r="Q457" s="105" t="str">
        <f>IF(ISLOGICAL(P457),IF(P457,"ER - REPS IN APT", IFNA(VLOOKUP($A457,RAW_APT!$A$3:$M826,7,FALSE),"ER - NOT IN APT")),P457)</f>
        <v>Result</v>
      </c>
      <c r="R457" s="106" t="b">
        <f t="shared" si="2"/>
        <v>1</v>
      </c>
      <c r="S457" s="107">
        <f t="shared" si="3"/>
        <v>1</v>
      </c>
      <c r="T457" s="143"/>
      <c r="U457" s="142"/>
      <c r="V457" s="142"/>
      <c r="W457" s="142"/>
      <c r="X457" s="110" t="b">
        <f t="shared" si="4"/>
        <v>0</v>
      </c>
      <c r="Y457" s="111" t="b">
        <v>0</v>
      </c>
      <c r="Z457" s="104" t="str">
        <f t="shared" si="5"/>
        <v/>
      </c>
      <c r="AA457" s="112" t="b">
        <f t="shared" si="6"/>
        <v>0</v>
      </c>
      <c r="AB457" s="142" t="b">
        <v>0</v>
      </c>
      <c r="AC457" s="140">
        <v>351.0</v>
      </c>
      <c r="AD457" s="141" t="b">
        <v>0</v>
      </c>
      <c r="AE457" s="115" t="str">
        <f t="shared" si="7"/>
        <v/>
      </c>
      <c r="AF457" s="116" t="b">
        <f t="shared" si="8"/>
        <v>0</v>
      </c>
      <c r="AG457" s="105" t="b">
        <f t="shared" si="9"/>
        <v>0</v>
      </c>
      <c r="AH457" s="140"/>
      <c r="AI457" s="140"/>
      <c r="AJ457" s="140"/>
      <c r="AK457" s="117" t="str">
        <f t="shared" si="10"/>
        <v>Negative</v>
      </c>
      <c r="AL457" s="142"/>
      <c r="AM457" s="112" t="s">
        <v>731</v>
      </c>
      <c r="AN457" s="112" t="s">
        <v>732</v>
      </c>
      <c r="AO457" s="112" t="str">
        <f>IFERROR(__xludf.DUMMYFUNCTION("IF($AG457, ""DELETED"",TRIM(JOIN("" "",D457:E457)))"),"")</f>
        <v/>
      </c>
      <c r="AP457" s="112" t="str">
        <f t="shared" ref="AP457:AQ457" si="482">IF($AG457, "DELETED", TRIM(CONCATENATE(F457,I457,U457)))</f>
        <v/>
      </c>
      <c r="AQ457" s="112" t="str">
        <f t="shared" si="482"/>
        <v/>
      </c>
      <c r="AR457" s="112" t="str">
        <f>IFERROR(__xludf.DUMMYFUNCTION("IF($AG457, ""DELETED"", TRIM(JOIN("" "",AP457,AQ457)))"),"")</f>
        <v/>
      </c>
      <c r="AS457" s="118"/>
      <c r="AT457" s="110" t="b">
        <f t="shared" si="12"/>
        <v>0</v>
      </c>
      <c r="AU457" s="110" t="str">
        <f t="shared" si="13"/>
        <v/>
      </c>
      <c r="AV457" s="110" t="str">
        <f t="shared" si="14"/>
        <v/>
      </c>
      <c r="AW457" s="110" t="str">
        <f t="shared" si="15"/>
        <v/>
      </c>
      <c r="AX457" s="119" t="str">
        <f t="shared" si="16"/>
        <v/>
      </c>
      <c r="AY457" s="120"/>
      <c r="AZ457" s="121"/>
      <c r="BA457" s="122" t="str">
        <f t="shared" si="17"/>
        <v/>
      </c>
      <c r="BB457" s="34"/>
      <c r="BC457" s="121"/>
      <c r="BD457" s="136"/>
      <c r="BE457" s="125" t="str">
        <f t="shared" si="18"/>
        <v/>
      </c>
      <c r="BF457" s="126" t="str">
        <f t="shared" si="19"/>
        <v>MA237__44609_0.343981481481482</v>
      </c>
      <c r="BG457" s="127" t="str">
        <f t="shared" si="20"/>
        <v/>
      </c>
      <c r="BH457" s="137" t="s">
        <v>1393</v>
      </c>
      <c r="BI457" s="128" t="str">
        <f t="shared" si="21"/>
        <v>MA1313</v>
      </c>
      <c r="BJ457" s="129" t="b">
        <f t="shared" si="22"/>
        <v>0</v>
      </c>
      <c r="BK457" s="128" t="str">
        <f t="shared" si="23"/>
        <v/>
      </c>
      <c r="BL457" s="121"/>
      <c r="BM457" s="5" t="str">
        <f t="shared" si="24"/>
        <v>MISSING</v>
      </c>
      <c r="BN457" s="120" t="b">
        <f t="shared" si="25"/>
        <v>0</v>
      </c>
      <c r="BO457" s="131" t="b">
        <f t="shared" si="26"/>
        <v>1</v>
      </c>
      <c r="BP457" s="121"/>
      <c r="BQ457" s="132" t="str">
        <f>VLOOKUP(A457,RAW_APS!A$3:O826,15,FALSE)</f>
        <v/>
      </c>
      <c r="BR457" s="120" t="b">
        <f t="shared" si="27"/>
        <v>1</v>
      </c>
      <c r="BS457" s="121"/>
      <c r="BT457" s="138" t="s">
        <v>244</v>
      </c>
      <c r="BU457" s="10" t="b">
        <f t="shared" si="28"/>
        <v>1</v>
      </c>
      <c r="BV457" s="120"/>
      <c r="BW457" s="120"/>
      <c r="BX457" s="120"/>
      <c r="BY457" s="120"/>
      <c r="BZ457" s="120"/>
      <c r="CA457" s="120"/>
      <c r="CB457" s="120"/>
      <c r="CC457" s="120"/>
    </row>
    <row r="458">
      <c r="A458" s="2" t="s">
        <v>1394</v>
      </c>
      <c r="B458" s="100">
        <v>44609.0</v>
      </c>
      <c r="C458" s="101">
        <v>0.3441666666666667</v>
      </c>
      <c r="D458" s="102"/>
      <c r="E458" s="102"/>
      <c r="F458" s="102"/>
      <c r="G458" s="102"/>
      <c r="H458" s="102"/>
      <c r="I458" s="103"/>
      <c r="J458" s="103"/>
      <c r="K458" s="2" t="s">
        <v>244</v>
      </c>
      <c r="L458" s="100">
        <v>44611.0</v>
      </c>
      <c r="M458" s="101">
        <v>0.38958333333333334</v>
      </c>
      <c r="P458" s="104" t="b">
        <f>IFNA(IF(VLOOKUP($A458,'Add from APT'!$AA$2:$AC826,3,FALSE)&gt;0,TRUE,FALSE),"ER - NOT IN APT")</f>
        <v>0</v>
      </c>
      <c r="Q458" s="105" t="str">
        <f>IF(ISLOGICAL(P458),IF(P458,"ER - REPS IN APT", IFNA(VLOOKUP($A458,RAW_APT!$A$3:$M826,7,FALSE),"ER - NOT IN APT")),P458)</f>
        <v>Result</v>
      </c>
      <c r="R458" s="106" t="b">
        <f t="shared" si="2"/>
        <v>1</v>
      </c>
      <c r="S458" s="107">
        <f t="shared" si="3"/>
        <v>1</v>
      </c>
      <c r="T458" s="143"/>
      <c r="U458" s="142"/>
      <c r="V458" s="142"/>
      <c r="W458" s="142"/>
      <c r="X458" s="110" t="b">
        <f t="shared" si="4"/>
        <v>0</v>
      </c>
      <c r="Y458" s="111" t="b">
        <v>0</v>
      </c>
      <c r="Z458" s="104" t="str">
        <f t="shared" si="5"/>
        <v/>
      </c>
      <c r="AA458" s="112" t="b">
        <f t="shared" si="6"/>
        <v>0</v>
      </c>
      <c r="AB458" s="142" t="b">
        <v>0</v>
      </c>
      <c r="AC458" s="140">
        <v>350.0</v>
      </c>
      <c r="AD458" s="141" t="b">
        <v>0</v>
      </c>
      <c r="AE458" s="115" t="str">
        <f t="shared" si="7"/>
        <v/>
      </c>
      <c r="AF458" s="116" t="b">
        <f t="shared" si="8"/>
        <v>0</v>
      </c>
      <c r="AG458" s="105" t="b">
        <f t="shared" si="9"/>
        <v>0</v>
      </c>
      <c r="AH458" s="140"/>
      <c r="AI458" s="140"/>
      <c r="AJ458" s="140"/>
      <c r="AK458" s="117" t="str">
        <f t="shared" si="10"/>
        <v>Negative</v>
      </c>
      <c r="AL458" s="142"/>
      <c r="AM458" s="112" t="s">
        <v>504</v>
      </c>
      <c r="AN458" s="112" t="s">
        <v>1395</v>
      </c>
      <c r="AO458" s="112" t="str">
        <f>IFERROR(__xludf.DUMMYFUNCTION("IF($AG458, ""DELETED"",TRIM(JOIN("" "",D458:E458)))"),"")</f>
        <v/>
      </c>
      <c r="AP458" s="112" t="str">
        <f t="shared" ref="AP458:AQ458" si="483">IF($AG458, "DELETED", TRIM(CONCATENATE(F458,I458,U458)))</f>
        <v/>
      </c>
      <c r="AQ458" s="112" t="str">
        <f t="shared" si="483"/>
        <v/>
      </c>
      <c r="AR458" s="112" t="str">
        <f>IFERROR(__xludf.DUMMYFUNCTION("IF($AG458, ""DELETED"", TRIM(JOIN("" "",AP458,AQ458)))"),"")</f>
        <v/>
      </c>
      <c r="AS458" s="118"/>
      <c r="AT458" s="110" t="b">
        <f t="shared" si="12"/>
        <v>0</v>
      </c>
      <c r="AU458" s="110" t="str">
        <f t="shared" si="13"/>
        <v/>
      </c>
      <c r="AV458" s="110" t="str">
        <f t="shared" si="14"/>
        <v/>
      </c>
      <c r="AW458" s="110" t="str">
        <f t="shared" si="15"/>
        <v/>
      </c>
      <c r="AX458" s="119" t="str">
        <f t="shared" si="16"/>
        <v/>
      </c>
      <c r="AY458" s="120"/>
      <c r="AZ458" s="121"/>
      <c r="BA458" s="122" t="str">
        <f t="shared" si="17"/>
        <v/>
      </c>
      <c r="BB458" s="34"/>
      <c r="BC458" s="121"/>
      <c r="BD458" s="136"/>
      <c r="BE458" s="125" t="str">
        <f t="shared" si="18"/>
        <v/>
      </c>
      <c r="BF458" s="126" t="str">
        <f t="shared" si="19"/>
        <v>FM55__44609_0.344166666666667</v>
      </c>
      <c r="BG458" s="127" t="str">
        <f t="shared" si="20"/>
        <v/>
      </c>
      <c r="BH458" s="137" t="s">
        <v>1396</v>
      </c>
      <c r="BI458" s="128" t="str">
        <f t="shared" si="21"/>
        <v>MA1315</v>
      </c>
      <c r="BJ458" s="129" t="b">
        <f t="shared" si="22"/>
        <v>0</v>
      </c>
      <c r="BK458" s="128" t="str">
        <f t="shared" si="23"/>
        <v/>
      </c>
      <c r="BL458" s="121"/>
      <c r="BM458" s="5" t="str">
        <f t="shared" si="24"/>
        <v>MISSING</v>
      </c>
      <c r="BN458" s="120" t="b">
        <f t="shared" si="25"/>
        <v>0</v>
      </c>
      <c r="BO458" s="131" t="b">
        <f t="shared" si="26"/>
        <v>1</v>
      </c>
      <c r="BP458" s="121"/>
      <c r="BQ458" s="132" t="str">
        <f>VLOOKUP(A458,RAW_APS!A$3:O826,15,FALSE)</f>
        <v/>
      </c>
      <c r="BR458" s="120" t="b">
        <f t="shared" si="27"/>
        <v>1</v>
      </c>
      <c r="BS458" s="121"/>
      <c r="BT458" s="138" t="s">
        <v>244</v>
      </c>
      <c r="BU458" s="10" t="b">
        <f t="shared" si="28"/>
        <v>1</v>
      </c>
      <c r="BV458" s="120"/>
      <c r="BW458" s="120"/>
      <c r="BX458" s="120"/>
      <c r="BY458" s="120"/>
      <c r="BZ458" s="120"/>
      <c r="CA458" s="120"/>
      <c r="CB458" s="120"/>
      <c r="CC458" s="120"/>
    </row>
    <row r="459">
      <c r="A459" s="2" t="s">
        <v>1397</v>
      </c>
      <c r="B459" s="100">
        <v>44609.0</v>
      </c>
      <c r="C459" s="101">
        <v>0.35497685185185185</v>
      </c>
      <c r="D459" s="102"/>
      <c r="E459" s="102"/>
      <c r="F459" s="102"/>
      <c r="G459" s="102"/>
      <c r="H459" s="102"/>
      <c r="I459" s="103"/>
      <c r="J459" s="103"/>
      <c r="K459" s="2" t="s">
        <v>244</v>
      </c>
      <c r="L459" s="100">
        <v>44611.0</v>
      </c>
      <c r="M459" s="101">
        <v>0.38958333333333334</v>
      </c>
      <c r="P459" s="104" t="b">
        <f>IFNA(IF(VLOOKUP($A459,'Add from APT'!$AA$2:$AC826,3,FALSE)&gt;0,TRUE,FALSE),"ER - NOT IN APT")</f>
        <v>0</v>
      </c>
      <c r="Q459" s="105" t="str">
        <f>IF(ISLOGICAL(P459),IF(P459,"ER - REPS IN APT", IFNA(VLOOKUP($A459,RAW_APT!$A$3:$M826,7,FALSE),"ER - NOT IN APT")),P459)</f>
        <v>Result</v>
      </c>
      <c r="R459" s="106" t="b">
        <f t="shared" si="2"/>
        <v>1</v>
      </c>
      <c r="S459" s="107">
        <f t="shared" si="3"/>
        <v>1</v>
      </c>
      <c r="T459" s="143"/>
      <c r="U459" s="142"/>
      <c r="V459" s="142"/>
      <c r="W459" s="142"/>
      <c r="X459" s="110" t="b">
        <f t="shared" si="4"/>
        <v>0</v>
      </c>
      <c r="Y459" s="111" t="b">
        <v>0</v>
      </c>
      <c r="Z459" s="104" t="str">
        <f t="shared" si="5"/>
        <v/>
      </c>
      <c r="AA459" s="112" t="b">
        <f t="shared" si="6"/>
        <v>0</v>
      </c>
      <c r="AB459" s="142" t="b">
        <v>0</v>
      </c>
      <c r="AC459" s="140">
        <v>349.0</v>
      </c>
      <c r="AD459" s="141" t="b">
        <v>0</v>
      </c>
      <c r="AE459" s="115" t="str">
        <f t="shared" si="7"/>
        <v/>
      </c>
      <c r="AF459" s="116" t="b">
        <f t="shared" si="8"/>
        <v>0</v>
      </c>
      <c r="AG459" s="105" t="b">
        <f t="shared" si="9"/>
        <v>0</v>
      </c>
      <c r="AH459" s="140"/>
      <c r="AI459" s="140"/>
      <c r="AJ459" s="140"/>
      <c r="AK459" s="117" t="str">
        <f t="shared" si="10"/>
        <v>Negative</v>
      </c>
      <c r="AL459" s="142"/>
      <c r="AM459" s="112" t="s">
        <v>1398</v>
      </c>
      <c r="AN459" s="112" t="s">
        <v>1399</v>
      </c>
      <c r="AO459" s="112" t="str">
        <f>IFERROR(__xludf.DUMMYFUNCTION("IF($AG459, ""DELETED"",TRIM(JOIN("" "",D459:E459)))"),"")</f>
        <v/>
      </c>
      <c r="AP459" s="112" t="str">
        <f t="shared" ref="AP459:AQ459" si="484">IF($AG459, "DELETED", TRIM(CONCATENATE(F459,I459,U459)))</f>
        <v/>
      </c>
      <c r="AQ459" s="112" t="str">
        <f t="shared" si="484"/>
        <v/>
      </c>
      <c r="AR459" s="112" t="str">
        <f>IFERROR(__xludf.DUMMYFUNCTION("IF($AG459, ""DELETED"", TRIM(JOIN("" "",AP459,AQ459)))"),"")</f>
        <v/>
      </c>
      <c r="AS459" s="118"/>
      <c r="AT459" s="110" t="b">
        <f t="shared" si="12"/>
        <v>0</v>
      </c>
      <c r="AU459" s="110" t="str">
        <f t="shared" si="13"/>
        <v/>
      </c>
      <c r="AV459" s="110" t="str">
        <f t="shared" si="14"/>
        <v/>
      </c>
      <c r="AW459" s="110" t="str">
        <f t="shared" si="15"/>
        <v/>
      </c>
      <c r="AX459" s="119" t="str">
        <f t="shared" si="16"/>
        <v/>
      </c>
      <c r="AY459" s="120"/>
      <c r="AZ459" s="121"/>
      <c r="BA459" s="122" t="str">
        <f t="shared" si="17"/>
        <v/>
      </c>
      <c r="BB459" s="34"/>
      <c r="BC459" s="121"/>
      <c r="BD459" s="136"/>
      <c r="BE459" s="125" t="str">
        <f t="shared" si="18"/>
        <v/>
      </c>
      <c r="BF459" s="126" t="str">
        <f t="shared" si="19"/>
        <v>FM26__44609_0.354976851851852</v>
      </c>
      <c r="BG459" s="127" t="str">
        <f t="shared" si="20"/>
        <v/>
      </c>
      <c r="BH459" s="137" t="s">
        <v>1400</v>
      </c>
      <c r="BI459" s="128" t="str">
        <f t="shared" si="21"/>
        <v>MA1316</v>
      </c>
      <c r="BJ459" s="129" t="b">
        <f t="shared" si="22"/>
        <v>0</v>
      </c>
      <c r="BK459" s="128" t="str">
        <f t="shared" si="23"/>
        <v/>
      </c>
      <c r="BL459" s="121"/>
      <c r="BM459" s="5" t="str">
        <f t="shared" si="24"/>
        <v>MISSING</v>
      </c>
      <c r="BN459" s="120" t="b">
        <f t="shared" si="25"/>
        <v>0</v>
      </c>
      <c r="BO459" s="131" t="b">
        <f t="shared" si="26"/>
        <v>1</v>
      </c>
      <c r="BP459" s="121"/>
      <c r="BQ459" s="132" t="str">
        <f>VLOOKUP(A459,RAW_APS!A$3:O826,15,FALSE)</f>
        <v/>
      </c>
      <c r="BR459" s="120" t="b">
        <f t="shared" si="27"/>
        <v>1</v>
      </c>
      <c r="BS459" s="121"/>
      <c r="BT459" s="138" t="s">
        <v>244</v>
      </c>
      <c r="BU459" s="10" t="b">
        <f t="shared" si="28"/>
        <v>1</v>
      </c>
      <c r="BV459" s="120"/>
      <c r="BW459" s="120"/>
      <c r="BX459" s="120"/>
      <c r="BY459" s="120"/>
      <c r="BZ459" s="120"/>
      <c r="CA459" s="120"/>
      <c r="CB459" s="120"/>
      <c r="CC459" s="120"/>
    </row>
    <row r="460">
      <c r="A460" s="2" t="s">
        <v>1401</v>
      </c>
      <c r="B460" s="100">
        <v>44609.0</v>
      </c>
      <c r="C460" s="101">
        <v>0.3872685185185185</v>
      </c>
      <c r="D460" s="102"/>
      <c r="E460" s="102"/>
      <c r="F460" s="102"/>
      <c r="G460" s="102"/>
      <c r="H460" s="102"/>
      <c r="I460" s="103"/>
      <c r="J460" s="103"/>
      <c r="K460" s="2" t="s">
        <v>244</v>
      </c>
      <c r="L460" s="100">
        <v>44611.0</v>
      </c>
      <c r="M460" s="101">
        <v>0.48824074074074075</v>
      </c>
      <c r="P460" s="104" t="b">
        <f>IFNA(IF(VLOOKUP($A460,'Add from APT'!$AA$2:$AC826,3,FALSE)&gt;0,TRUE,FALSE),"ER - NOT IN APT")</f>
        <v>0</v>
      </c>
      <c r="Q460" s="105" t="str">
        <f>IF(ISLOGICAL(P460),IF(P460,"ER - REPS IN APT", IFNA(VLOOKUP($A460,RAW_APT!$A$3:$M826,7,FALSE),"ER - NOT IN APT")),P460)</f>
        <v>Result</v>
      </c>
      <c r="R460" s="106" t="b">
        <f t="shared" si="2"/>
        <v>1</v>
      </c>
      <c r="S460" s="107">
        <f t="shared" si="3"/>
        <v>1</v>
      </c>
      <c r="T460" s="143"/>
      <c r="U460" s="142"/>
      <c r="V460" s="142"/>
      <c r="W460" s="142"/>
      <c r="X460" s="110" t="b">
        <f t="shared" si="4"/>
        <v>0</v>
      </c>
      <c r="Y460" s="111" t="b">
        <v>0</v>
      </c>
      <c r="Z460" s="104" t="str">
        <f t="shared" si="5"/>
        <v/>
      </c>
      <c r="AA460" s="112" t="b">
        <f t="shared" si="6"/>
        <v>0</v>
      </c>
      <c r="AB460" s="142" t="b">
        <v>0</v>
      </c>
      <c r="AC460" s="140">
        <v>348.0</v>
      </c>
      <c r="AD460" s="141" t="b">
        <v>0</v>
      </c>
      <c r="AE460" s="115" t="str">
        <f t="shared" si="7"/>
        <v/>
      </c>
      <c r="AF460" s="116" t="b">
        <f t="shared" si="8"/>
        <v>0</v>
      </c>
      <c r="AG460" s="105" t="b">
        <f t="shared" si="9"/>
        <v>0</v>
      </c>
      <c r="AH460" s="140"/>
      <c r="AI460" s="140"/>
      <c r="AJ460" s="140"/>
      <c r="AK460" s="117" t="str">
        <f t="shared" si="10"/>
        <v>Negative</v>
      </c>
      <c r="AL460" s="142"/>
      <c r="AM460" s="112" t="s">
        <v>1402</v>
      </c>
      <c r="AN460" s="112" t="s">
        <v>1403</v>
      </c>
      <c r="AO460" s="112" t="str">
        <f>IFERROR(__xludf.DUMMYFUNCTION("IF($AG460, ""DELETED"",TRIM(JOIN("" "",D460:E460)))"),"")</f>
        <v/>
      </c>
      <c r="AP460" s="112" t="str">
        <f t="shared" ref="AP460:AQ460" si="485">IF($AG460, "DELETED", TRIM(CONCATENATE(F460,I460,U460)))</f>
        <v/>
      </c>
      <c r="AQ460" s="112" t="str">
        <f t="shared" si="485"/>
        <v/>
      </c>
      <c r="AR460" s="112" t="str">
        <f>IFERROR(__xludf.DUMMYFUNCTION("IF($AG460, ""DELETED"", TRIM(JOIN("" "",AP460,AQ460)))"),"")</f>
        <v/>
      </c>
      <c r="AS460" s="118"/>
      <c r="AT460" s="110" t="b">
        <f t="shared" si="12"/>
        <v>0</v>
      </c>
      <c r="AU460" s="110" t="str">
        <f t="shared" si="13"/>
        <v/>
      </c>
      <c r="AV460" s="110" t="str">
        <f t="shared" si="14"/>
        <v/>
      </c>
      <c r="AW460" s="110" t="str">
        <f t="shared" si="15"/>
        <v/>
      </c>
      <c r="AX460" s="119" t="str">
        <f t="shared" si="16"/>
        <v/>
      </c>
      <c r="AY460" s="120"/>
      <c r="AZ460" s="121"/>
      <c r="BA460" s="122" t="str">
        <f t="shared" si="17"/>
        <v/>
      </c>
      <c r="BB460" s="34"/>
      <c r="BC460" s="121"/>
      <c r="BD460" s="136"/>
      <c r="BE460" s="125" t="str">
        <f t="shared" si="18"/>
        <v/>
      </c>
      <c r="BF460" s="126" t="str">
        <f t="shared" si="19"/>
        <v>MA1139__44609_0.387268518518519</v>
      </c>
      <c r="BG460" s="127" t="str">
        <f t="shared" si="20"/>
        <v/>
      </c>
      <c r="BH460" s="137" t="s">
        <v>1404</v>
      </c>
      <c r="BI460" s="128" t="str">
        <f t="shared" si="21"/>
        <v>MA1318</v>
      </c>
      <c r="BJ460" s="129" t="b">
        <f t="shared" si="22"/>
        <v>0</v>
      </c>
      <c r="BK460" s="128" t="str">
        <f t="shared" si="23"/>
        <v/>
      </c>
      <c r="BL460" s="121"/>
      <c r="BM460" s="5" t="str">
        <f t="shared" si="24"/>
        <v>MISSING</v>
      </c>
      <c r="BN460" s="120" t="b">
        <f t="shared" si="25"/>
        <v>0</v>
      </c>
      <c r="BO460" s="131" t="b">
        <f t="shared" si="26"/>
        <v>1</v>
      </c>
      <c r="BP460" s="121"/>
      <c r="BQ460" s="132" t="str">
        <f>VLOOKUP(A460,RAW_APS!A$3:O826,15,FALSE)</f>
        <v/>
      </c>
      <c r="BR460" s="120" t="b">
        <f t="shared" si="27"/>
        <v>1</v>
      </c>
      <c r="BS460" s="121"/>
      <c r="BT460" s="138" t="s">
        <v>244</v>
      </c>
      <c r="BU460" s="10" t="b">
        <f t="shared" si="28"/>
        <v>1</v>
      </c>
      <c r="BV460" s="120"/>
      <c r="BW460" s="120"/>
      <c r="BX460" s="120"/>
      <c r="BY460" s="120"/>
      <c r="BZ460" s="120"/>
      <c r="CA460" s="120"/>
      <c r="CB460" s="120"/>
      <c r="CC460" s="120"/>
    </row>
    <row r="461">
      <c r="A461" s="2" t="s">
        <v>1405</v>
      </c>
      <c r="B461" s="100">
        <v>44611.0</v>
      </c>
      <c r="C461" s="101">
        <v>0.2972337962962963</v>
      </c>
      <c r="D461" s="102"/>
      <c r="E461" s="102"/>
      <c r="F461" s="102"/>
      <c r="G461" s="102"/>
      <c r="H461" s="102"/>
      <c r="I461" s="103"/>
      <c r="J461" s="103"/>
      <c r="K461" s="2" t="s">
        <v>244</v>
      </c>
      <c r="L461" s="100">
        <v>44611.0</v>
      </c>
      <c r="M461" s="101">
        <v>0.48824074074074075</v>
      </c>
      <c r="P461" s="104" t="b">
        <f>IFNA(IF(VLOOKUP($A461,'Add from APT'!$AA$2:$AC826,3,FALSE)&gt;0,TRUE,FALSE),"ER - NOT IN APT")</f>
        <v>0</v>
      </c>
      <c r="Q461" s="105" t="str">
        <f>IF(ISLOGICAL(P461),IF(P461,"ER - REPS IN APT", IFNA(VLOOKUP($A461,RAW_APT!$A$3:$M826,7,FALSE),"ER - NOT IN APT")),P461)</f>
        <v>Result</v>
      </c>
      <c r="R461" s="106" t="b">
        <f t="shared" si="2"/>
        <v>1</v>
      </c>
      <c r="S461" s="107">
        <f t="shared" si="3"/>
        <v>1</v>
      </c>
      <c r="T461" s="143"/>
      <c r="U461" s="142"/>
      <c r="V461" s="142"/>
      <c r="W461" s="142"/>
      <c r="X461" s="110" t="b">
        <f t="shared" si="4"/>
        <v>0</v>
      </c>
      <c r="Y461" s="111" t="b">
        <v>0</v>
      </c>
      <c r="Z461" s="104" t="str">
        <f t="shared" si="5"/>
        <v/>
      </c>
      <c r="AA461" s="112" t="b">
        <f t="shared" si="6"/>
        <v>0</v>
      </c>
      <c r="AB461" s="142" t="b">
        <v>0</v>
      </c>
      <c r="AC461" s="140">
        <v>347.0</v>
      </c>
      <c r="AD461" s="141" t="b">
        <v>0</v>
      </c>
      <c r="AE461" s="115">
        <f t="shared" si="7"/>
        <v>275.05</v>
      </c>
      <c r="AF461" s="116" t="b">
        <f t="shared" si="8"/>
        <v>0</v>
      </c>
      <c r="AG461" s="105" t="b">
        <f t="shared" si="9"/>
        <v>0</v>
      </c>
      <c r="AH461" s="140"/>
      <c r="AI461" s="140"/>
      <c r="AJ461" s="140"/>
      <c r="AK461" s="117" t="str">
        <f t="shared" si="10"/>
        <v>Negative</v>
      </c>
      <c r="AL461" s="142"/>
      <c r="AM461" s="112" t="s">
        <v>1254</v>
      </c>
      <c r="AN461" s="112" t="s">
        <v>1255</v>
      </c>
      <c r="AO461" s="112" t="str">
        <f>IFERROR(__xludf.DUMMYFUNCTION("IF($AG461, ""DELETED"",TRIM(JOIN("" "",D461:E461)))"),"")</f>
        <v/>
      </c>
      <c r="AP461" s="112" t="str">
        <f t="shared" ref="AP461:AQ461" si="486">IF($AG461, "DELETED", TRIM(CONCATENATE(F461,I461,U461)))</f>
        <v/>
      </c>
      <c r="AQ461" s="112" t="str">
        <f t="shared" si="486"/>
        <v/>
      </c>
      <c r="AR461" s="112" t="str">
        <f>IFERROR(__xludf.DUMMYFUNCTION("IF($AG461, ""DELETED"", TRIM(JOIN("" "",AP461,AQ461)))"),"")</f>
        <v/>
      </c>
      <c r="AS461" s="118"/>
      <c r="AT461" s="110" t="b">
        <f t="shared" si="12"/>
        <v>0</v>
      </c>
      <c r="AU461" s="110" t="str">
        <f t="shared" si="13"/>
        <v/>
      </c>
      <c r="AV461" s="110" t="str">
        <f t="shared" si="14"/>
        <v/>
      </c>
      <c r="AW461" s="110" t="str">
        <f t="shared" si="15"/>
        <v/>
      </c>
      <c r="AX461" s="119" t="str">
        <f t="shared" si="16"/>
        <v/>
      </c>
      <c r="AY461" s="120"/>
      <c r="AZ461" s="121"/>
      <c r="BA461" s="122" t="str">
        <f t="shared" si="17"/>
        <v/>
      </c>
      <c r="BB461" s="34"/>
      <c r="BC461" s="121"/>
      <c r="BD461" s="136"/>
      <c r="BE461" s="125" t="str">
        <f t="shared" si="18"/>
        <v/>
      </c>
      <c r="BF461" s="126" t="str">
        <f t="shared" si="19"/>
        <v>MA1067__44611_0.297233796296296</v>
      </c>
      <c r="BG461" s="127" t="str">
        <f t="shared" si="20"/>
        <v/>
      </c>
      <c r="BH461" s="137" t="s">
        <v>1406</v>
      </c>
      <c r="BI461" s="128" t="str">
        <f t="shared" si="21"/>
        <v>MA1319</v>
      </c>
      <c r="BJ461" s="129" t="b">
        <f t="shared" si="22"/>
        <v>0</v>
      </c>
      <c r="BK461" s="128" t="str">
        <f t="shared" si="23"/>
        <v/>
      </c>
      <c r="BL461" s="121"/>
      <c r="BM461" s="5" t="str">
        <f t="shared" si="24"/>
        <v>MISSING</v>
      </c>
      <c r="BN461" s="120" t="b">
        <f t="shared" si="25"/>
        <v>0</v>
      </c>
      <c r="BO461" s="131" t="b">
        <f t="shared" si="26"/>
        <v>1</v>
      </c>
      <c r="BP461" s="121"/>
      <c r="BQ461" s="132" t="str">
        <f>VLOOKUP(A461,RAW_APS!A$3:O826,15,FALSE)</f>
        <v/>
      </c>
      <c r="BR461" s="120" t="b">
        <f t="shared" si="27"/>
        <v>1</v>
      </c>
      <c r="BS461" s="121"/>
      <c r="BT461" s="138" t="s">
        <v>244</v>
      </c>
      <c r="BU461" s="10" t="b">
        <f t="shared" si="28"/>
        <v>1</v>
      </c>
      <c r="BV461" s="120"/>
      <c r="BW461" s="120"/>
      <c r="BX461" s="120"/>
      <c r="BY461" s="120"/>
      <c r="BZ461" s="120"/>
      <c r="CA461" s="120"/>
      <c r="CB461" s="120"/>
      <c r="CC461" s="120"/>
    </row>
    <row r="462">
      <c r="A462" s="2" t="s">
        <v>1407</v>
      </c>
      <c r="B462" s="100">
        <v>44611.0</v>
      </c>
      <c r="C462" s="101">
        <v>0.30069444444444443</v>
      </c>
      <c r="D462" s="102"/>
      <c r="E462" s="102"/>
      <c r="F462" s="102"/>
      <c r="G462" s="102"/>
      <c r="H462" s="102"/>
      <c r="I462" s="103"/>
      <c r="J462" s="103"/>
      <c r="K462" s="2" t="s">
        <v>244</v>
      </c>
      <c r="L462" s="100">
        <v>44611.0</v>
      </c>
      <c r="M462" s="101">
        <v>0.48824074074074075</v>
      </c>
      <c r="P462" s="104" t="b">
        <f>IFNA(IF(VLOOKUP($A462,'Add from APT'!$AA$2:$AC826,3,FALSE)&gt;0,TRUE,FALSE),"ER - NOT IN APT")</f>
        <v>0</v>
      </c>
      <c r="Q462" s="105" t="str">
        <f>IF(ISLOGICAL(P462),IF(P462,"ER - REPS IN APT", IFNA(VLOOKUP($A462,RAW_APT!$A$3:$M826,7,FALSE),"ER - NOT IN APT")),P462)</f>
        <v>Result</v>
      </c>
      <c r="R462" s="106" t="b">
        <f t="shared" si="2"/>
        <v>1</v>
      </c>
      <c r="S462" s="107">
        <f t="shared" si="3"/>
        <v>1</v>
      </c>
      <c r="T462" s="143"/>
      <c r="U462" s="142"/>
      <c r="V462" s="142"/>
      <c r="W462" s="142"/>
      <c r="X462" s="110" t="b">
        <f t="shared" si="4"/>
        <v>0</v>
      </c>
      <c r="Y462" s="111" t="b">
        <v>0</v>
      </c>
      <c r="Z462" s="104" t="str">
        <f t="shared" si="5"/>
        <v/>
      </c>
      <c r="AA462" s="112" t="b">
        <f t="shared" si="6"/>
        <v>0</v>
      </c>
      <c r="AB462" s="142" t="b">
        <v>0</v>
      </c>
      <c r="AC462" s="140">
        <v>346.0</v>
      </c>
      <c r="AD462" s="141" t="b">
        <v>0</v>
      </c>
      <c r="AE462" s="115">
        <f t="shared" si="7"/>
        <v>270.0666667</v>
      </c>
      <c r="AF462" s="116" t="b">
        <f t="shared" si="8"/>
        <v>0</v>
      </c>
      <c r="AG462" s="105" t="b">
        <f t="shared" si="9"/>
        <v>0</v>
      </c>
      <c r="AH462" s="140"/>
      <c r="AI462" s="140"/>
      <c r="AJ462" s="140"/>
      <c r="AK462" s="117" t="str">
        <f t="shared" si="10"/>
        <v>Negative</v>
      </c>
      <c r="AL462" s="142"/>
      <c r="AM462" s="112" t="s">
        <v>1408</v>
      </c>
      <c r="AN462" s="112" t="s">
        <v>1409</v>
      </c>
      <c r="AO462" s="112" t="str">
        <f>IFERROR(__xludf.DUMMYFUNCTION("IF($AG462, ""DELETED"",TRIM(JOIN("" "",D462:E462)))"),"")</f>
        <v/>
      </c>
      <c r="AP462" s="112" t="str">
        <f t="shared" ref="AP462:AQ462" si="487">IF($AG462, "DELETED", TRIM(CONCATENATE(F462,I462,U462)))</f>
        <v/>
      </c>
      <c r="AQ462" s="112" t="str">
        <f t="shared" si="487"/>
        <v/>
      </c>
      <c r="AR462" s="112" t="str">
        <f>IFERROR(__xludf.DUMMYFUNCTION("IF($AG462, ""DELETED"", TRIM(JOIN("" "",AP462,AQ462)))"),"")</f>
        <v/>
      </c>
      <c r="AS462" s="118"/>
      <c r="AT462" s="110" t="b">
        <f t="shared" si="12"/>
        <v>0</v>
      </c>
      <c r="AU462" s="110" t="str">
        <f t="shared" si="13"/>
        <v/>
      </c>
      <c r="AV462" s="110" t="str">
        <f t="shared" si="14"/>
        <v/>
      </c>
      <c r="AW462" s="110" t="str">
        <f t="shared" si="15"/>
        <v/>
      </c>
      <c r="AX462" s="119" t="str">
        <f t="shared" si="16"/>
        <v/>
      </c>
      <c r="AY462" s="120"/>
      <c r="AZ462" s="121"/>
      <c r="BA462" s="122" t="str">
        <f t="shared" si="17"/>
        <v/>
      </c>
      <c r="BB462" s="34"/>
      <c r="BC462" s="121"/>
      <c r="BD462" s="136"/>
      <c r="BE462" s="125" t="str">
        <f t="shared" si="18"/>
        <v/>
      </c>
      <c r="BF462" s="126" t="str">
        <f t="shared" si="19"/>
        <v>FM828__44611_0.300694444444444</v>
      </c>
      <c r="BG462" s="127" t="str">
        <f t="shared" si="20"/>
        <v/>
      </c>
      <c r="BH462" s="137" t="s">
        <v>1410</v>
      </c>
      <c r="BI462" s="128" t="str">
        <f t="shared" si="21"/>
        <v>MA1320</v>
      </c>
      <c r="BJ462" s="129" t="b">
        <f t="shared" si="22"/>
        <v>0</v>
      </c>
      <c r="BK462" s="128" t="str">
        <f t="shared" si="23"/>
        <v/>
      </c>
      <c r="BL462" s="121"/>
      <c r="BM462" s="5" t="str">
        <f t="shared" si="24"/>
        <v>MISSING</v>
      </c>
      <c r="BN462" s="120" t="b">
        <f t="shared" si="25"/>
        <v>0</v>
      </c>
      <c r="BO462" s="131" t="b">
        <f t="shared" si="26"/>
        <v>1</v>
      </c>
      <c r="BP462" s="121"/>
      <c r="BQ462" s="132" t="str">
        <f>VLOOKUP(A462,RAW_APS!A$3:O826,15,FALSE)</f>
        <v/>
      </c>
      <c r="BR462" s="120" t="b">
        <f t="shared" si="27"/>
        <v>1</v>
      </c>
      <c r="BS462" s="121"/>
      <c r="BT462" s="138" t="s">
        <v>244</v>
      </c>
      <c r="BU462" s="10" t="b">
        <f t="shared" si="28"/>
        <v>1</v>
      </c>
      <c r="BV462" s="120"/>
      <c r="BW462" s="120"/>
      <c r="BX462" s="120"/>
      <c r="BY462" s="120"/>
      <c r="BZ462" s="120"/>
      <c r="CA462" s="120"/>
      <c r="CB462" s="120"/>
      <c r="CC462" s="120"/>
    </row>
    <row r="463">
      <c r="A463" s="2" t="s">
        <v>1411</v>
      </c>
      <c r="B463" s="100">
        <v>44611.0</v>
      </c>
      <c r="C463" s="101">
        <v>0.30855324074074075</v>
      </c>
      <c r="D463" s="102"/>
      <c r="E463" s="102"/>
      <c r="F463" s="102"/>
      <c r="G463" s="102"/>
      <c r="H463" s="102"/>
      <c r="I463" s="103"/>
      <c r="J463" s="103"/>
      <c r="K463" s="2" t="s">
        <v>244</v>
      </c>
      <c r="L463" s="100">
        <v>44611.0</v>
      </c>
      <c r="M463" s="101">
        <v>0.48824074074074075</v>
      </c>
      <c r="P463" s="104" t="b">
        <f>IFNA(IF(VLOOKUP($A463,'Add from APT'!$AA$2:$AC826,3,FALSE)&gt;0,TRUE,FALSE),"ER - NOT IN APT")</f>
        <v>0</v>
      </c>
      <c r="Q463" s="105" t="str">
        <f>IF(ISLOGICAL(P463),IF(P463,"ER - REPS IN APT", IFNA(VLOOKUP($A463,RAW_APT!$A$3:$M826,7,FALSE),"ER - NOT IN APT")),P463)</f>
        <v>Result</v>
      </c>
      <c r="R463" s="106" t="b">
        <f t="shared" si="2"/>
        <v>1</v>
      </c>
      <c r="S463" s="107">
        <f t="shared" si="3"/>
        <v>1</v>
      </c>
      <c r="T463" s="143"/>
      <c r="U463" s="142"/>
      <c r="V463" s="142"/>
      <c r="W463" s="142"/>
      <c r="X463" s="110" t="b">
        <f t="shared" si="4"/>
        <v>0</v>
      </c>
      <c r="Y463" s="111" t="b">
        <v>0</v>
      </c>
      <c r="Z463" s="104" t="str">
        <f t="shared" si="5"/>
        <v/>
      </c>
      <c r="AA463" s="112" t="b">
        <f t="shared" si="6"/>
        <v>0</v>
      </c>
      <c r="AB463" s="142" t="b">
        <v>0</v>
      </c>
      <c r="AC463" s="140">
        <v>345.0</v>
      </c>
      <c r="AD463" s="141" t="b">
        <v>0</v>
      </c>
      <c r="AE463" s="115">
        <f t="shared" si="7"/>
        <v>258.75</v>
      </c>
      <c r="AF463" s="116" t="b">
        <f t="shared" si="8"/>
        <v>0</v>
      </c>
      <c r="AG463" s="105" t="b">
        <f t="shared" si="9"/>
        <v>0</v>
      </c>
      <c r="AH463" s="140"/>
      <c r="AI463" s="140"/>
      <c r="AJ463" s="140"/>
      <c r="AK463" s="117" t="str">
        <f t="shared" si="10"/>
        <v>Negative</v>
      </c>
      <c r="AL463" s="142"/>
      <c r="AM463" s="112" t="s">
        <v>273</v>
      </c>
      <c r="AN463" s="112" t="s">
        <v>274</v>
      </c>
      <c r="AO463" s="112" t="str">
        <f>IFERROR(__xludf.DUMMYFUNCTION("IF($AG463, ""DELETED"",TRIM(JOIN("" "",D463:E463)))"),"")</f>
        <v/>
      </c>
      <c r="AP463" s="112" t="str">
        <f t="shared" ref="AP463:AQ463" si="488">IF($AG463, "DELETED", TRIM(CONCATENATE(F463,I463,U463)))</f>
        <v/>
      </c>
      <c r="AQ463" s="112" t="str">
        <f t="shared" si="488"/>
        <v/>
      </c>
      <c r="AR463" s="112" t="str">
        <f>IFERROR(__xludf.DUMMYFUNCTION("IF($AG463, ""DELETED"", TRIM(JOIN("" "",AP463,AQ463)))"),"")</f>
        <v/>
      </c>
      <c r="AS463" s="118"/>
      <c r="AT463" s="110" t="b">
        <f t="shared" si="12"/>
        <v>0</v>
      </c>
      <c r="AU463" s="110" t="str">
        <f t="shared" si="13"/>
        <v/>
      </c>
      <c r="AV463" s="110" t="str">
        <f t="shared" si="14"/>
        <v/>
      </c>
      <c r="AW463" s="110" t="str">
        <f t="shared" si="15"/>
        <v/>
      </c>
      <c r="AX463" s="119" t="str">
        <f t="shared" si="16"/>
        <v/>
      </c>
      <c r="AY463" s="120"/>
      <c r="AZ463" s="121"/>
      <c r="BA463" s="122" t="str">
        <f t="shared" si="17"/>
        <v/>
      </c>
      <c r="BB463" s="34"/>
      <c r="BC463" s="121"/>
      <c r="BD463" s="136"/>
      <c r="BE463" s="125" t="str">
        <f t="shared" si="18"/>
        <v/>
      </c>
      <c r="BF463" s="126" t="str">
        <f t="shared" si="19"/>
        <v>MA239__44611_0.308553240740741</v>
      </c>
      <c r="BG463" s="127" t="str">
        <f t="shared" si="20"/>
        <v/>
      </c>
      <c r="BH463" s="137" t="s">
        <v>1412</v>
      </c>
      <c r="BI463" s="128" t="str">
        <f t="shared" si="21"/>
        <v>MA1352</v>
      </c>
      <c r="BJ463" s="129" t="b">
        <f t="shared" si="22"/>
        <v>0</v>
      </c>
      <c r="BK463" s="128" t="str">
        <f t="shared" si="23"/>
        <v/>
      </c>
      <c r="BL463" s="121"/>
      <c r="BM463" s="5" t="str">
        <f t="shared" si="24"/>
        <v>MISSING</v>
      </c>
      <c r="BN463" s="120" t="b">
        <f t="shared" si="25"/>
        <v>0</v>
      </c>
      <c r="BO463" s="131" t="b">
        <f t="shared" si="26"/>
        <v>1</v>
      </c>
      <c r="BP463" s="121"/>
      <c r="BQ463" s="132" t="str">
        <f>VLOOKUP(A463,RAW_APS!A$3:O826,15,FALSE)</f>
        <v/>
      </c>
      <c r="BR463" s="120" t="b">
        <f t="shared" si="27"/>
        <v>1</v>
      </c>
      <c r="BS463" s="121"/>
      <c r="BT463" s="138" t="s">
        <v>244</v>
      </c>
      <c r="BU463" s="10" t="b">
        <f t="shared" si="28"/>
        <v>1</v>
      </c>
      <c r="BV463" s="120"/>
      <c r="BW463" s="120"/>
      <c r="BX463" s="120"/>
      <c r="BY463" s="120"/>
      <c r="BZ463" s="120"/>
      <c r="CA463" s="120"/>
      <c r="CB463" s="120"/>
      <c r="CC463" s="120"/>
    </row>
    <row r="464">
      <c r="A464" s="2" t="s">
        <v>1413</v>
      </c>
      <c r="B464" s="100">
        <v>44611.0</v>
      </c>
      <c r="C464" s="101">
        <v>0.3107523148148148</v>
      </c>
      <c r="D464" s="102"/>
      <c r="E464" s="102"/>
      <c r="F464" s="102"/>
      <c r="G464" s="102"/>
      <c r="H464" s="102"/>
      <c r="I464" s="103"/>
      <c r="J464" s="103"/>
      <c r="K464" s="2" t="s">
        <v>244</v>
      </c>
      <c r="L464" s="100">
        <v>44611.0</v>
      </c>
      <c r="M464" s="101">
        <v>0.48824074074074075</v>
      </c>
      <c r="P464" s="104" t="b">
        <f>IFNA(IF(VLOOKUP($A464,'Add from APT'!$AA$2:$AC826,3,FALSE)&gt;0,TRUE,FALSE),"ER - NOT IN APT")</f>
        <v>0</v>
      </c>
      <c r="Q464" s="105" t="str">
        <f>IF(ISLOGICAL(P464),IF(P464,"ER - REPS IN APT", IFNA(VLOOKUP($A464,RAW_APT!$A$3:$M826,7,FALSE),"ER - NOT IN APT")),P464)</f>
        <v>Result</v>
      </c>
      <c r="R464" s="106" t="b">
        <f t="shared" si="2"/>
        <v>1</v>
      </c>
      <c r="S464" s="107">
        <f t="shared" si="3"/>
        <v>1</v>
      </c>
      <c r="T464" s="143"/>
      <c r="U464" s="142"/>
      <c r="V464" s="142"/>
      <c r="W464" s="142"/>
      <c r="X464" s="110" t="b">
        <f t="shared" si="4"/>
        <v>0</v>
      </c>
      <c r="Y464" s="111" t="b">
        <v>0</v>
      </c>
      <c r="Z464" s="104" t="str">
        <f t="shared" si="5"/>
        <v/>
      </c>
      <c r="AA464" s="112" t="b">
        <f t="shared" si="6"/>
        <v>0</v>
      </c>
      <c r="AB464" s="142" t="b">
        <v>0</v>
      </c>
      <c r="AC464" s="140">
        <v>343.0</v>
      </c>
      <c r="AD464" s="141" t="b">
        <v>0</v>
      </c>
      <c r="AE464" s="115">
        <f t="shared" si="7"/>
        <v>255.5833333</v>
      </c>
      <c r="AF464" s="116" t="b">
        <f t="shared" si="8"/>
        <v>0</v>
      </c>
      <c r="AG464" s="105" t="b">
        <f t="shared" si="9"/>
        <v>0</v>
      </c>
      <c r="AH464" s="140"/>
      <c r="AI464" s="140"/>
      <c r="AJ464" s="140"/>
      <c r="AK464" s="117" t="str">
        <f t="shared" si="10"/>
        <v>Negative</v>
      </c>
      <c r="AL464" s="142"/>
      <c r="AM464" s="112" t="s">
        <v>1334</v>
      </c>
      <c r="AN464" s="112" t="s">
        <v>1335</v>
      </c>
      <c r="AO464" s="112" t="str">
        <f>IFERROR(__xludf.DUMMYFUNCTION("IF($AG464, ""DELETED"",TRIM(JOIN("" "",D464:E464)))"),"")</f>
        <v/>
      </c>
      <c r="AP464" s="112" t="str">
        <f t="shared" ref="AP464:AQ464" si="489">IF($AG464, "DELETED", TRIM(CONCATENATE(F464,I464,U464)))</f>
        <v/>
      </c>
      <c r="AQ464" s="112" t="str">
        <f t="shared" si="489"/>
        <v/>
      </c>
      <c r="AR464" s="112" t="str">
        <f>IFERROR(__xludf.DUMMYFUNCTION("IF($AG464, ""DELETED"", TRIM(JOIN("" "",AP464,AQ464)))"),"")</f>
        <v/>
      </c>
      <c r="AS464" s="118"/>
      <c r="AT464" s="110" t="b">
        <f t="shared" si="12"/>
        <v>0</v>
      </c>
      <c r="AU464" s="110" t="str">
        <f t="shared" si="13"/>
        <v/>
      </c>
      <c r="AV464" s="110" t="str">
        <f t="shared" si="14"/>
        <v/>
      </c>
      <c r="AW464" s="110" t="str">
        <f t="shared" si="15"/>
        <v/>
      </c>
      <c r="AX464" s="119" t="str">
        <f t="shared" si="16"/>
        <v/>
      </c>
      <c r="AY464" s="120"/>
      <c r="AZ464" s="121"/>
      <c r="BA464" s="122" t="str">
        <f t="shared" si="17"/>
        <v/>
      </c>
      <c r="BB464" s="34"/>
      <c r="BC464" s="121"/>
      <c r="BD464" s="136"/>
      <c r="BE464" s="125" t="str">
        <f t="shared" si="18"/>
        <v/>
      </c>
      <c r="BF464" s="126" t="str">
        <f t="shared" si="19"/>
        <v>FM537__44611_0.310752314814815</v>
      </c>
      <c r="BG464" s="127" t="str">
        <f t="shared" si="20"/>
        <v/>
      </c>
      <c r="BH464" s="137" t="s">
        <v>1414</v>
      </c>
      <c r="BI464" s="128" t="str">
        <f t="shared" si="21"/>
        <v>MA1365</v>
      </c>
      <c r="BJ464" s="129" t="b">
        <f t="shared" si="22"/>
        <v>0</v>
      </c>
      <c r="BK464" s="128" t="str">
        <f t="shared" si="23"/>
        <v/>
      </c>
      <c r="BL464" s="121"/>
      <c r="BM464" s="5" t="str">
        <f t="shared" si="24"/>
        <v>MISSING</v>
      </c>
      <c r="BN464" s="120" t="b">
        <f t="shared" si="25"/>
        <v>0</v>
      </c>
      <c r="BO464" s="131" t="b">
        <f t="shared" si="26"/>
        <v>1</v>
      </c>
      <c r="BP464" s="121"/>
      <c r="BQ464" s="132" t="str">
        <f>VLOOKUP(A464,RAW_APS!A$3:O826,15,FALSE)</f>
        <v/>
      </c>
      <c r="BR464" s="120" t="b">
        <f t="shared" si="27"/>
        <v>1</v>
      </c>
      <c r="BS464" s="121"/>
      <c r="BT464" s="138" t="s">
        <v>244</v>
      </c>
      <c r="BU464" s="10" t="b">
        <f t="shared" si="28"/>
        <v>1</v>
      </c>
      <c r="BV464" s="120"/>
      <c r="BW464" s="120"/>
      <c r="BX464" s="120"/>
      <c r="BY464" s="120"/>
      <c r="BZ464" s="120"/>
      <c r="CA464" s="120"/>
      <c r="CB464" s="120"/>
      <c r="CC464" s="120"/>
    </row>
    <row r="465">
      <c r="A465" s="2" t="s">
        <v>1415</v>
      </c>
      <c r="B465" s="100">
        <v>44611.0</v>
      </c>
      <c r="C465" s="101">
        <v>0.3107523148148148</v>
      </c>
      <c r="D465" s="102"/>
      <c r="E465" s="102"/>
      <c r="F465" s="102"/>
      <c r="G465" s="102"/>
      <c r="H465" s="102"/>
      <c r="I465" s="103"/>
      <c r="J465" s="103"/>
      <c r="K465" s="2" t="s">
        <v>244</v>
      </c>
      <c r="L465" s="100">
        <v>44611.0</v>
      </c>
      <c r="M465" s="101">
        <v>0.48824074074074075</v>
      </c>
      <c r="P465" s="104" t="str">
        <f>IFNA(IF(VLOOKUP($A465,'Add from APT'!$AA$2:$AC826,3,FALSE)&gt;0,TRUE,FALSE),"ER - NOT IN APT")</f>
        <v>ER - NOT IN APT</v>
      </c>
      <c r="Q465" s="105" t="str">
        <f>IF(ISLOGICAL(P465),IF(P465,"ER - REPS IN APT", IFNA(VLOOKUP($A465,RAW_APT!$A$3:$M826,7,FALSE),"ER - NOT IN APT")),P465)</f>
        <v>ER - NOT IN APT</v>
      </c>
      <c r="R465" s="106" t="b">
        <f t="shared" si="2"/>
        <v>1</v>
      </c>
      <c r="S465" s="107">
        <f t="shared" si="3"/>
        <v>1</v>
      </c>
      <c r="T465" s="143"/>
      <c r="U465" s="142"/>
      <c r="V465" s="142"/>
      <c r="W465" s="142"/>
      <c r="X465" s="110" t="b">
        <f t="shared" si="4"/>
        <v>0</v>
      </c>
      <c r="Y465" s="111" t="b">
        <v>0</v>
      </c>
      <c r="Z465" s="104" t="str">
        <f t="shared" si="5"/>
        <v/>
      </c>
      <c r="AA465" s="112" t="b">
        <f t="shared" si="6"/>
        <v>0</v>
      </c>
      <c r="AB465" s="142" t="b">
        <v>0</v>
      </c>
      <c r="AC465" s="140">
        <v>344.0</v>
      </c>
      <c r="AD465" s="141" t="b">
        <v>0</v>
      </c>
      <c r="AE465" s="115">
        <f t="shared" si="7"/>
        <v>255.5833333</v>
      </c>
      <c r="AF465" s="116" t="b">
        <f t="shared" si="8"/>
        <v>0</v>
      </c>
      <c r="AG465" s="105" t="b">
        <f t="shared" si="9"/>
        <v>0</v>
      </c>
      <c r="AH465" s="140"/>
      <c r="AI465" s="140">
        <v>1.3</v>
      </c>
      <c r="AJ465" s="140"/>
      <c r="AK465" s="117" t="str">
        <f t="shared" si="10"/>
        <v>Negative</v>
      </c>
      <c r="AL465" s="142"/>
      <c r="AM465" s="112" t="s">
        <v>1334</v>
      </c>
      <c r="AN465" s="112" t="s">
        <v>893</v>
      </c>
      <c r="AO465" s="112" t="str">
        <f>IFERROR(__xludf.DUMMYFUNCTION("IF($AG465, ""DELETED"",TRIM(JOIN("" "",D465:E465)))"),"")</f>
        <v/>
      </c>
      <c r="AP465" s="112" t="str">
        <f t="shared" ref="AP465:AQ465" si="490">IF($AG465, "DELETED", TRIM(CONCATENATE(F465,I465,U465)))</f>
        <v/>
      </c>
      <c r="AQ465" s="112" t="str">
        <f t="shared" si="490"/>
        <v/>
      </c>
      <c r="AR465" s="112" t="str">
        <f>IFERROR(__xludf.DUMMYFUNCTION("IF($AG465, ""DELETED"", TRIM(JOIN("" "",AP465,AQ465)))"),"")</f>
        <v/>
      </c>
      <c r="AS465" s="118"/>
      <c r="AT465" s="110" t="b">
        <f t="shared" si="12"/>
        <v>0</v>
      </c>
      <c r="AU465" s="110" t="str">
        <f t="shared" si="13"/>
        <v/>
      </c>
      <c r="AV465" s="110" t="str">
        <f t="shared" si="14"/>
        <v/>
      </c>
      <c r="AW465" s="110" t="str">
        <f t="shared" si="15"/>
        <v/>
      </c>
      <c r="AX465" s="119" t="str">
        <f t="shared" si="16"/>
        <v/>
      </c>
      <c r="AY465" s="120"/>
      <c r="AZ465" s="121"/>
      <c r="BA465" s="122" t="str">
        <f t="shared" si="17"/>
        <v/>
      </c>
      <c r="BB465" s="34"/>
      <c r="BC465" s="121"/>
      <c r="BD465" s="136"/>
      <c r="BE465" s="125" t="str">
        <f t="shared" si="18"/>
        <v/>
      </c>
      <c r="BF465" s="126" t="str">
        <f t="shared" si="19"/>
        <v>FM537A__44611_0.310752314814815</v>
      </c>
      <c r="BG465" s="127" t="str">
        <f t="shared" si="20"/>
        <v/>
      </c>
      <c r="BH465" s="137" t="s">
        <v>1416</v>
      </c>
      <c r="BI465" s="128" t="str">
        <f t="shared" si="21"/>
        <v>MA1384</v>
      </c>
      <c r="BJ465" s="129" t="b">
        <f t="shared" si="22"/>
        <v>0</v>
      </c>
      <c r="BK465" s="128" t="str">
        <f t="shared" si="23"/>
        <v/>
      </c>
      <c r="BL465" s="121"/>
      <c r="BM465" s="5" t="str">
        <f t="shared" si="24"/>
        <v>MISSING</v>
      </c>
      <c r="BN465" s="120" t="b">
        <f t="shared" si="25"/>
        <v>0</v>
      </c>
      <c r="BO465" s="131" t="b">
        <f t="shared" si="26"/>
        <v>1</v>
      </c>
      <c r="BP465" s="121"/>
      <c r="BQ465" s="132" t="str">
        <f>VLOOKUP(A465,RAW_APS!A$3:O826,15,FALSE)</f>
        <v>#N/A</v>
      </c>
      <c r="BR465" s="120" t="str">
        <f t="shared" si="27"/>
        <v>***TUBE ID NOT FOUND</v>
      </c>
      <c r="BS465" s="121"/>
      <c r="BT465" s="138" t="s">
        <v>244</v>
      </c>
      <c r="BU465" s="10" t="b">
        <f t="shared" si="28"/>
        <v>1</v>
      </c>
      <c r="BV465" s="120"/>
      <c r="BW465" s="120"/>
      <c r="BX465" s="120"/>
      <c r="BY465" s="120"/>
      <c r="BZ465" s="120"/>
      <c r="CA465" s="120"/>
      <c r="CB465" s="120"/>
      <c r="CC465" s="120"/>
    </row>
    <row r="466">
      <c r="A466" s="2" t="s">
        <v>1417</v>
      </c>
      <c r="B466" s="100">
        <v>44611.0</v>
      </c>
      <c r="C466" s="101">
        <v>0.3114236111111111</v>
      </c>
      <c r="D466" s="102"/>
      <c r="E466" s="102"/>
      <c r="F466" s="102"/>
      <c r="G466" s="102"/>
      <c r="H466" s="102"/>
      <c r="I466" s="103"/>
      <c r="J466" s="103"/>
      <c r="K466" s="2" t="s">
        <v>244</v>
      </c>
      <c r="L466" s="100">
        <v>44611.0</v>
      </c>
      <c r="M466" s="101">
        <v>0.4882523148148148</v>
      </c>
      <c r="P466" s="104" t="b">
        <f>IFNA(IF(VLOOKUP($A466,'Add from APT'!$AA$2:$AC826,3,FALSE)&gt;0,TRUE,FALSE),"ER - NOT IN APT")</f>
        <v>0</v>
      </c>
      <c r="Q466" s="105" t="str">
        <f>IF(ISLOGICAL(P466),IF(P466,"ER - REPS IN APT", IFNA(VLOOKUP($A466,RAW_APT!$A$3:$M826,7,FALSE),"ER - NOT IN APT")),P466)</f>
        <v>Result</v>
      </c>
      <c r="R466" s="106" t="b">
        <f t="shared" si="2"/>
        <v>1</v>
      </c>
      <c r="S466" s="107">
        <f t="shared" si="3"/>
        <v>1</v>
      </c>
      <c r="T466" s="143"/>
      <c r="U466" s="142"/>
      <c r="V466" s="142"/>
      <c r="W466" s="142"/>
      <c r="X466" s="110" t="b">
        <f t="shared" si="4"/>
        <v>0</v>
      </c>
      <c r="Y466" s="111" t="b">
        <v>0</v>
      </c>
      <c r="Z466" s="104" t="str">
        <f t="shared" si="5"/>
        <v/>
      </c>
      <c r="AA466" s="112" t="b">
        <f t="shared" si="6"/>
        <v>0</v>
      </c>
      <c r="AB466" s="142" t="b">
        <v>0</v>
      </c>
      <c r="AC466" s="140">
        <v>342.0</v>
      </c>
      <c r="AD466" s="141" t="b">
        <v>0</v>
      </c>
      <c r="AE466" s="115">
        <f t="shared" si="7"/>
        <v>254.6333333</v>
      </c>
      <c r="AF466" s="116" t="b">
        <f t="shared" si="8"/>
        <v>0</v>
      </c>
      <c r="AG466" s="105" t="b">
        <f t="shared" si="9"/>
        <v>0</v>
      </c>
      <c r="AH466" s="140"/>
      <c r="AI466" s="140"/>
      <c r="AJ466" s="140"/>
      <c r="AK466" s="117" t="str">
        <f t="shared" si="10"/>
        <v>Negative</v>
      </c>
      <c r="AL466" s="142"/>
      <c r="AM466" s="112" t="s">
        <v>471</v>
      </c>
      <c r="AN466" s="112" t="s">
        <v>472</v>
      </c>
      <c r="AO466" s="112" t="str">
        <f>IFERROR(__xludf.DUMMYFUNCTION("IF($AG466, ""DELETED"",TRIM(JOIN("" "",D466:E466)))"),"")</f>
        <v/>
      </c>
      <c r="AP466" s="112" t="str">
        <f t="shared" ref="AP466:AQ466" si="491">IF($AG466, "DELETED", TRIM(CONCATENATE(F466,I466,U466)))</f>
        <v/>
      </c>
      <c r="AQ466" s="112" t="str">
        <f t="shared" si="491"/>
        <v/>
      </c>
      <c r="AR466" s="112" t="str">
        <f>IFERROR(__xludf.DUMMYFUNCTION("IF($AG466, ""DELETED"", TRIM(JOIN("" "",AP466,AQ466)))"),"")</f>
        <v/>
      </c>
      <c r="AS466" s="118"/>
      <c r="AT466" s="110" t="b">
        <f t="shared" si="12"/>
        <v>0</v>
      </c>
      <c r="AU466" s="110" t="str">
        <f t="shared" si="13"/>
        <v/>
      </c>
      <c r="AV466" s="110" t="str">
        <f t="shared" si="14"/>
        <v/>
      </c>
      <c r="AW466" s="110" t="str">
        <f t="shared" si="15"/>
        <v/>
      </c>
      <c r="AX466" s="119" t="str">
        <f t="shared" si="16"/>
        <v/>
      </c>
      <c r="AY466" s="120"/>
      <c r="AZ466" s="121"/>
      <c r="BA466" s="122" t="str">
        <f t="shared" si="17"/>
        <v/>
      </c>
      <c r="BB466" s="34"/>
      <c r="BC466" s="121"/>
      <c r="BD466" s="136"/>
      <c r="BE466" s="125" t="str">
        <f t="shared" si="18"/>
        <v/>
      </c>
      <c r="BF466" s="126" t="str">
        <f t="shared" si="19"/>
        <v>MA1071__44611_0.311423611111111</v>
      </c>
      <c r="BG466" s="127" t="str">
        <f t="shared" si="20"/>
        <v/>
      </c>
      <c r="BH466" s="137" t="s">
        <v>1418</v>
      </c>
      <c r="BI466" s="128" t="str">
        <f t="shared" si="21"/>
        <v>MA1392</v>
      </c>
      <c r="BJ466" s="129" t="b">
        <f t="shared" si="22"/>
        <v>0</v>
      </c>
      <c r="BK466" s="128" t="str">
        <f t="shared" si="23"/>
        <v/>
      </c>
      <c r="BL466" s="121"/>
      <c r="BM466" s="5" t="str">
        <f t="shared" si="24"/>
        <v>MISSING</v>
      </c>
      <c r="BN466" s="120" t="b">
        <f t="shared" si="25"/>
        <v>0</v>
      </c>
      <c r="BO466" s="131" t="b">
        <f t="shared" si="26"/>
        <v>1</v>
      </c>
      <c r="BP466" s="121"/>
      <c r="BQ466" s="132" t="str">
        <f>VLOOKUP(A466,RAW_APS!A$3:O826,15,FALSE)</f>
        <v/>
      </c>
      <c r="BR466" s="120" t="b">
        <f t="shared" si="27"/>
        <v>1</v>
      </c>
      <c r="BS466" s="121"/>
      <c r="BT466" s="138" t="s">
        <v>244</v>
      </c>
      <c r="BU466" s="10" t="b">
        <f t="shared" si="28"/>
        <v>1</v>
      </c>
      <c r="BV466" s="120"/>
      <c r="BW466" s="120"/>
      <c r="BX466" s="120"/>
      <c r="BY466" s="120"/>
      <c r="BZ466" s="120"/>
      <c r="CA466" s="120"/>
      <c r="CB466" s="120"/>
      <c r="CC466" s="120"/>
    </row>
    <row r="467">
      <c r="A467" s="2" t="s">
        <v>1419</v>
      </c>
      <c r="B467" s="100">
        <v>44611.0</v>
      </c>
      <c r="C467" s="101">
        <v>0.3116550925925926</v>
      </c>
      <c r="D467" s="102"/>
      <c r="E467" s="102"/>
      <c r="F467" s="102"/>
      <c r="G467" s="102"/>
      <c r="H467" s="102"/>
      <c r="I467" s="103"/>
      <c r="J467" s="103"/>
      <c r="K467" s="2" t="s">
        <v>244</v>
      </c>
      <c r="L467" s="100">
        <v>44611.0</v>
      </c>
      <c r="M467" s="101">
        <v>0.4882523148148148</v>
      </c>
      <c r="P467" s="104" t="b">
        <f>IFNA(IF(VLOOKUP($A467,'Add from APT'!$AA$2:$AC826,3,FALSE)&gt;0,TRUE,FALSE),"ER - NOT IN APT")</f>
        <v>0</v>
      </c>
      <c r="Q467" s="105" t="str">
        <f>IF(ISLOGICAL(P467),IF(P467,"ER - REPS IN APT", IFNA(VLOOKUP($A467,RAW_APT!$A$3:$M826,7,FALSE),"ER - NOT IN APT")),P467)</f>
        <v>Result</v>
      </c>
      <c r="R467" s="106" t="b">
        <f t="shared" si="2"/>
        <v>1</v>
      </c>
      <c r="S467" s="107">
        <f t="shared" si="3"/>
        <v>1</v>
      </c>
      <c r="T467" s="143"/>
      <c r="U467" s="142"/>
      <c r="V467" s="142"/>
      <c r="W467" s="142"/>
      <c r="X467" s="110" t="b">
        <f t="shared" si="4"/>
        <v>0</v>
      </c>
      <c r="Y467" s="111" t="b">
        <v>0</v>
      </c>
      <c r="Z467" s="104" t="str">
        <f t="shared" si="5"/>
        <v/>
      </c>
      <c r="AA467" s="112" t="b">
        <f t="shared" si="6"/>
        <v>0</v>
      </c>
      <c r="AB467" s="142" t="b">
        <v>0</v>
      </c>
      <c r="AC467" s="140">
        <v>341.0</v>
      </c>
      <c r="AD467" s="141" t="b">
        <v>0</v>
      </c>
      <c r="AE467" s="115">
        <f t="shared" si="7"/>
        <v>254.3</v>
      </c>
      <c r="AF467" s="116" t="b">
        <f t="shared" si="8"/>
        <v>0</v>
      </c>
      <c r="AG467" s="105" t="b">
        <f t="shared" si="9"/>
        <v>0</v>
      </c>
      <c r="AH467" s="140"/>
      <c r="AI467" s="140"/>
      <c r="AJ467" s="140"/>
      <c r="AK467" s="117" t="str">
        <f t="shared" si="10"/>
        <v>Negative</v>
      </c>
      <c r="AL467" s="142"/>
      <c r="AM467" s="112" t="s">
        <v>1420</v>
      </c>
      <c r="AN467" s="112" t="s">
        <v>1421</v>
      </c>
      <c r="AO467" s="112" t="str">
        <f>IFERROR(__xludf.DUMMYFUNCTION("IF($AG467, ""DELETED"",TRIM(JOIN("" "",D467:E467)))"),"")</f>
        <v/>
      </c>
      <c r="AP467" s="112" t="str">
        <f t="shared" ref="AP467:AQ467" si="492">IF($AG467, "DELETED", TRIM(CONCATENATE(F467,I467,U467)))</f>
        <v/>
      </c>
      <c r="AQ467" s="112" t="str">
        <f t="shared" si="492"/>
        <v/>
      </c>
      <c r="AR467" s="112" t="str">
        <f>IFERROR(__xludf.DUMMYFUNCTION("IF($AG467, ""DELETED"", TRIM(JOIN("" "",AP467,AQ467)))"),"")</f>
        <v/>
      </c>
      <c r="AS467" s="118"/>
      <c r="AT467" s="110" t="b">
        <f t="shared" si="12"/>
        <v>0</v>
      </c>
      <c r="AU467" s="110" t="str">
        <f t="shared" si="13"/>
        <v/>
      </c>
      <c r="AV467" s="110" t="str">
        <f t="shared" si="14"/>
        <v/>
      </c>
      <c r="AW467" s="110" t="str">
        <f t="shared" si="15"/>
        <v/>
      </c>
      <c r="AX467" s="119" t="str">
        <f t="shared" si="16"/>
        <v/>
      </c>
      <c r="AY467" s="120"/>
      <c r="AZ467" s="121"/>
      <c r="BA467" s="122" t="str">
        <f t="shared" si="17"/>
        <v/>
      </c>
      <c r="BB467" s="34"/>
      <c r="BC467" s="121"/>
      <c r="BD467" s="136"/>
      <c r="BE467" s="125" t="str">
        <f t="shared" si="18"/>
        <v/>
      </c>
      <c r="BF467" s="126" t="str">
        <f t="shared" si="19"/>
        <v>MA277__44611_0.311655092592593</v>
      </c>
      <c r="BG467" s="127" t="str">
        <f t="shared" si="20"/>
        <v/>
      </c>
      <c r="BH467" s="137" t="s">
        <v>1422</v>
      </c>
      <c r="BI467" s="128" t="str">
        <f t="shared" si="21"/>
        <v>MA1397</v>
      </c>
      <c r="BJ467" s="129" t="b">
        <f t="shared" si="22"/>
        <v>0</v>
      </c>
      <c r="BK467" s="128" t="str">
        <f t="shared" si="23"/>
        <v/>
      </c>
      <c r="BL467" s="121"/>
      <c r="BM467" s="5" t="str">
        <f t="shared" si="24"/>
        <v>MISSING</v>
      </c>
      <c r="BN467" s="120" t="b">
        <f t="shared" si="25"/>
        <v>0</v>
      </c>
      <c r="BO467" s="131" t="b">
        <f t="shared" si="26"/>
        <v>1</v>
      </c>
      <c r="BP467" s="121"/>
      <c r="BQ467" s="132" t="str">
        <f>VLOOKUP(A467,RAW_APS!A$3:O826,15,FALSE)</f>
        <v/>
      </c>
      <c r="BR467" s="120" t="b">
        <f t="shared" si="27"/>
        <v>1</v>
      </c>
      <c r="BS467" s="121"/>
      <c r="BT467" s="138" t="s">
        <v>244</v>
      </c>
      <c r="BU467" s="10" t="b">
        <f t="shared" si="28"/>
        <v>1</v>
      </c>
      <c r="BV467" s="120"/>
      <c r="BW467" s="120"/>
      <c r="BX467" s="120"/>
      <c r="BY467" s="120"/>
      <c r="BZ467" s="120"/>
      <c r="CA467" s="120"/>
      <c r="CB467" s="120"/>
      <c r="CC467" s="120"/>
    </row>
    <row r="468">
      <c r="A468" s="2" t="s">
        <v>1423</v>
      </c>
      <c r="B468" s="100">
        <v>44611.0</v>
      </c>
      <c r="C468" s="101">
        <v>0.3137962962962963</v>
      </c>
      <c r="D468" s="102"/>
      <c r="E468" s="102"/>
      <c r="F468" s="103"/>
      <c r="G468" s="103"/>
      <c r="H468" s="103"/>
      <c r="I468" s="135"/>
      <c r="J468" s="103"/>
      <c r="K468" s="2" t="s">
        <v>244</v>
      </c>
      <c r="L468" s="100">
        <v>44611.0</v>
      </c>
      <c r="M468" s="101">
        <v>0.4882523148148148</v>
      </c>
      <c r="N468" s="2" t="s">
        <v>247</v>
      </c>
      <c r="P468" s="104" t="b">
        <f>IFNA(IF(VLOOKUP($A468,'Add from APT'!$AA$2:$AC826,3,FALSE)&gt;0,TRUE,FALSE),"ER - NOT IN APT")</f>
        <v>0</v>
      </c>
      <c r="Q468" s="105" t="str">
        <f>IF(ISLOGICAL(P468),IF(P468,"ER - REPS IN APT", IFNA(VLOOKUP($A468,RAW_APT!$A$3:$M826,7,FALSE),"ER - NOT IN APT")),P468)</f>
        <v>Result</v>
      </c>
      <c r="R468" s="106" t="b">
        <f t="shared" si="2"/>
        <v>1</v>
      </c>
      <c r="S468" s="107">
        <f t="shared" si="3"/>
        <v>1</v>
      </c>
      <c r="T468" s="140">
        <v>0.0</v>
      </c>
      <c r="W468" s="142"/>
      <c r="X468" s="110" t="b">
        <f t="shared" si="4"/>
        <v>0</v>
      </c>
      <c r="Y468" s="111" t="b">
        <v>0</v>
      </c>
      <c r="Z468" s="104" t="str">
        <f t="shared" si="5"/>
        <v/>
      </c>
      <c r="AA468" s="112" t="b">
        <f t="shared" si="6"/>
        <v>0</v>
      </c>
      <c r="AB468" s="142" t="b">
        <v>0</v>
      </c>
      <c r="AC468" s="140">
        <v>806.0</v>
      </c>
      <c r="AD468" s="141" t="b">
        <v>1</v>
      </c>
      <c r="AE468" s="115">
        <f t="shared" si="7"/>
        <v>251.2166667</v>
      </c>
      <c r="AF468" s="116" t="b">
        <f t="shared" si="8"/>
        <v>0</v>
      </c>
      <c r="AG468" s="105" t="b">
        <f t="shared" si="9"/>
        <v>0</v>
      </c>
      <c r="AH468" s="140"/>
      <c r="AI468" s="140"/>
      <c r="AJ468" s="140"/>
      <c r="AK468" s="117" t="str">
        <f t="shared" si="10"/>
        <v>Negative</v>
      </c>
      <c r="AL468" s="141"/>
      <c r="AM468" s="112" t="s">
        <v>918</v>
      </c>
      <c r="AN468" s="112" t="s">
        <v>886</v>
      </c>
      <c r="AO468" s="112" t="str">
        <f>IFERROR(__xludf.DUMMYFUNCTION("IF($AG468, ""DELETED"",TRIM(JOIN("" "",D468:E468)))"),"")</f>
        <v/>
      </c>
      <c r="AP468" s="112" t="str">
        <f t="shared" ref="AP468:AQ468" si="493">IF($AG468, "DELETED", TRIM(CONCATENATE(F468,I468,U468)))</f>
        <v/>
      </c>
      <c r="AQ468" s="112" t="str">
        <f t="shared" si="493"/>
        <v/>
      </c>
      <c r="AR468" s="112" t="str">
        <f>IFERROR(__xludf.DUMMYFUNCTION("IF($AG468, ""DELETED"", TRIM(JOIN("" "",AP468,AQ468)))"),"")</f>
        <v/>
      </c>
      <c r="AS468" s="118"/>
      <c r="AT468" s="110" t="b">
        <f t="shared" si="12"/>
        <v>0</v>
      </c>
      <c r="AU468" s="110" t="str">
        <f t="shared" si="13"/>
        <v/>
      </c>
      <c r="AV468" s="110" t="str">
        <f t="shared" si="14"/>
        <v/>
      </c>
      <c r="AW468" s="110" t="str">
        <f t="shared" si="15"/>
        <v/>
      </c>
      <c r="AX468" s="119" t="str">
        <f t="shared" si="16"/>
        <v/>
      </c>
      <c r="AY468" s="120"/>
      <c r="AZ468" s="121"/>
      <c r="BA468" s="122" t="str">
        <f t="shared" si="17"/>
        <v/>
      </c>
      <c r="BB468" s="34"/>
      <c r="BC468" s="121"/>
      <c r="BD468" s="136"/>
      <c r="BE468" s="125" t="str">
        <f t="shared" si="18"/>
        <v/>
      </c>
      <c r="BF468" s="126" t="str">
        <f t="shared" si="19"/>
        <v>MA1303__44611_0.313796296296296</v>
      </c>
      <c r="BG468" s="127" t="str">
        <f t="shared" si="20"/>
        <v/>
      </c>
      <c r="BH468" s="137" t="s">
        <v>1424</v>
      </c>
      <c r="BI468" s="128" t="str">
        <f t="shared" si="21"/>
        <v>MA1398</v>
      </c>
      <c r="BJ468" s="129" t="b">
        <f t="shared" si="22"/>
        <v>0</v>
      </c>
      <c r="BK468" s="128" t="str">
        <f t="shared" si="23"/>
        <v/>
      </c>
      <c r="BL468" s="121"/>
      <c r="BM468" s="5" t="str">
        <f t="shared" si="24"/>
        <v>MISSING</v>
      </c>
      <c r="BN468" s="120" t="b">
        <f t="shared" si="25"/>
        <v>0</v>
      </c>
      <c r="BO468" s="131" t="b">
        <f t="shared" si="26"/>
        <v>1</v>
      </c>
      <c r="BP468" s="121"/>
      <c r="BQ468" s="132" t="str">
        <f>VLOOKUP(A468,RAW_APS!A$3:O826,15,FALSE)</f>
        <v>#N/A</v>
      </c>
      <c r="BR468" s="120" t="str">
        <f t="shared" si="27"/>
        <v>***TUBE ID NOT FOUND</v>
      </c>
      <c r="BS468" s="121"/>
      <c r="BT468" s="138" t="s">
        <v>244</v>
      </c>
      <c r="BU468" s="10" t="b">
        <f t="shared" si="28"/>
        <v>1</v>
      </c>
      <c r="BV468" s="120"/>
      <c r="BW468" s="120"/>
      <c r="BX468" s="120"/>
      <c r="BY468" s="120"/>
      <c r="BZ468" s="120"/>
      <c r="CA468" s="120"/>
      <c r="CB468" s="120"/>
      <c r="CC468" s="120"/>
    </row>
    <row r="469">
      <c r="A469" s="2" t="s">
        <v>1425</v>
      </c>
      <c r="B469" s="100">
        <v>44611.0</v>
      </c>
      <c r="C469" s="101">
        <v>0.3148842592592593</v>
      </c>
      <c r="D469" s="102"/>
      <c r="E469" s="102"/>
      <c r="F469" s="102"/>
      <c r="G469" s="102"/>
      <c r="H469" s="102"/>
      <c r="I469" s="103"/>
      <c r="J469" s="103"/>
      <c r="K469" s="2" t="s">
        <v>244</v>
      </c>
      <c r="L469" s="100">
        <v>44611.0</v>
      </c>
      <c r="M469" s="101">
        <v>0.4882523148148148</v>
      </c>
      <c r="P469" s="104" t="b">
        <f>IFNA(IF(VLOOKUP($A469,'Add from APT'!$AA$2:$AC826,3,FALSE)&gt;0,TRUE,FALSE),"ER - NOT IN APT")</f>
        <v>0</v>
      </c>
      <c r="Q469" s="105" t="str">
        <f>IF(ISLOGICAL(P469),IF(P469,"ER - REPS IN APT", IFNA(VLOOKUP($A469,RAW_APT!$A$3:$M826,7,FALSE),"ER - NOT IN APT")),P469)</f>
        <v>Result</v>
      </c>
      <c r="R469" s="106" t="b">
        <f t="shared" si="2"/>
        <v>1</v>
      </c>
      <c r="S469" s="107">
        <f t="shared" si="3"/>
        <v>1</v>
      </c>
      <c r="T469" s="143"/>
      <c r="U469" s="142"/>
      <c r="V469" s="142"/>
      <c r="W469" s="142"/>
      <c r="X469" s="110" t="b">
        <f t="shared" si="4"/>
        <v>0</v>
      </c>
      <c r="Y469" s="111" t="b">
        <v>0</v>
      </c>
      <c r="Z469" s="104" t="str">
        <f t="shared" si="5"/>
        <v/>
      </c>
      <c r="AA469" s="112" t="b">
        <f t="shared" si="6"/>
        <v>0</v>
      </c>
      <c r="AB469" s="142" t="b">
        <v>0</v>
      </c>
      <c r="AC469" s="140">
        <v>340.0</v>
      </c>
      <c r="AD469" s="141" t="b">
        <v>0</v>
      </c>
      <c r="AE469" s="115">
        <f t="shared" si="7"/>
        <v>249.65</v>
      </c>
      <c r="AF469" s="116" t="b">
        <f t="shared" si="8"/>
        <v>0</v>
      </c>
      <c r="AG469" s="105" t="b">
        <f t="shared" si="9"/>
        <v>0</v>
      </c>
      <c r="AH469" s="140"/>
      <c r="AI469" s="140"/>
      <c r="AJ469" s="140"/>
      <c r="AK469" s="117" t="str">
        <f t="shared" si="10"/>
        <v>Negative</v>
      </c>
      <c r="AL469" s="142"/>
      <c r="AM469" s="112" t="s">
        <v>322</v>
      </c>
      <c r="AN469" s="112" t="s">
        <v>323</v>
      </c>
      <c r="AO469" s="112" t="str">
        <f>IFERROR(__xludf.DUMMYFUNCTION("IF($AG469, ""DELETED"",TRIM(JOIN("" "",D469:E469)))"),"")</f>
        <v/>
      </c>
      <c r="AP469" s="112" t="str">
        <f t="shared" ref="AP469:AQ469" si="494">IF($AG469, "DELETED", TRIM(CONCATENATE(F469,I469,U469)))</f>
        <v/>
      </c>
      <c r="AQ469" s="112" t="str">
        <f t="shared" si="494"/>
        <v/>
      </c>
      <c r="AR469" s="112" t="str">
        <f>IFERROR(__xludf.DUMMYFUNCTION("IF($AG469, ""DELETED"", TRIM(JOIN("" "",AP469,AQ469)))"),"")</f>
        <v/>
      </c>
      <c r="AS469" s="118"/>
      <c r="AT469" s="110" t="b">
        <f t="shared" si="12"/>
        <v>0</v>
      </c>
      <c r="AU469" s="110" t="str">
        <f t="shared" si="13"/>
        <v/>
      </c>
      <c r="AV469" s="110" t="str">
        <f t="shared" si="14"/>
        <v/>
      </c>
      <c r="AW469" s="110" t="str">
        <f t="shared" si="15"/>
        <v/>
      </c>
      <c r="AX469" s="119" t="str">
        <f t="shared" si="16"/>
        <v/>
      </c>
      <c r="AY469" s="120"/>
      <c r="AZ469" s="121"/>
      <c r="BA469" s="122" t="str">
        <f t="shared" si="17"/>
        <v/>
      </c>
      <c r="BB469" s="34"/>
      <c r="BC469" s="121"/>
      <c r="BD469" s="136"/>
      <c r="BE469" s="125" t="str">
        <f t="shared" si="18"/>
        <v/>
      </c>
      <c r="BF469" s="126" t="str">
        <f t="shared" si="19"/>
        <v>FM44__44611_0.314884259259259</v>
      </c>
      <c r="BG469" s="127" t="str">
        <f t="shared" si="20"/>
        <v/>
      </c>
      <c r="BH469" s="137" t="s">
        <v>1426</v>
      </c>
      <c r="BI469" s="128" t="str">
        <f t="shared" si="21"/>
        <v>MA1405</v>
      </c>
      <c r="BJ469" s="129" t="b">
        <f t="shared" si="22"/>
        <v>0</v>
      </c>
      <c r="BK469" s="128" t="str">
        <f t="shared" si="23"/>
        <v/>
      </c>
      <c r="BL469" s="121"/>
      <c r="BM469" s="5" t="str">
        <f t="shared" si="24"/>
        <v>MISSING</v>
      </c>
      <c r="BN469" s="120" t="b">
        <f t="shared" si="25"/>
        <v>0</v>
      </c>
      <c r="BO469" s="131" t="b">
        <f t="shared" si="26"/>
        <v>1</v>
      </c>
      <c r="BP469" s="121"/>
      <c r="BQ469" s="132" t="str">
        <f>VLOOKUP(A469,RAW_APS!A$3:O826,15,FALSE)</f>
        <v/>
      </c>
      <c r="BR469" s="120" t="b">
        <f t="shared" si="27"/>
        <v>1</v>
      </c>
      <c r="BS469" s="121"/>
      <c r="BT469" s="138" t="s">
        <v>244</v>
      </c>
      <c r="BU469" s="10" t="b">
        <f t="shared" si="28"/>
        <v>1</v>
      </c>
      <c r="BV469" s="120"/>
      <c r="BW469" s="120"/>
      <c r="BX469" s="120"/>
      <c r="BY469" s="120"/>
      <c r="BZ469" s="120"/>
      <c r="CA469" s="120"/>
      <c r="CB469" s="120"/>
      <c r="CC469" s="120"/>
    </row>
    <row r="470">
      <c r="A470" s="2" t="s">
        <v>1427</v>
      </c>
      <c r="B470" s="100">
        <v>44611.0</v>
      </c>
      <c r="C470" s="101">
        <v>0.3153587962962963</v>
      </c>
      <c r="D470" s="102"/>
      <c r="E470" s="102"/>
      <c r="F470" s="102"/>
      <c r="G470" s="102"/>
      <c r="H470" s="102"/>
      <c r="I470" s="103"/>
      <c r="J470" s="103"/>
      <c r="K470" s="2" t="s">
        <v>244</v>
      </c>
      <c r="L470" s="100">
        <v>44611.0</v>
      </c>
      <c r="M470" s="101">
        <v>0.4882523148148148</v>
      </c>
      <c r="P470" s="104" t="b">
        <f>IFNA(IF(VLOOKUP($A470,'Add from APT'!$AA$2:$AC826,3,FALSE)&gt;0,TRUE,FALSE),"ER - NOT IN APT")</f>
        <v>0</v>
      </c>
      <c r="Q470" s="105" t="str">
        <f>IF(ISLOGICAL(P470),IF(P470,"ER - REPS IN APT", IFNA(VLOOKUP($A470,RAW_APT!$A$3:$M826,7,FALSE),"ER - NOT IN APT")),P470)</f>
        <v>Result</v>
      </c>
      <c r="R470" s="106" t="b">
        <f t="shared" si="2"/>
        <v>1</v>
      </c>
      <c r="S470" s="107">
        <f t="shared" si="3"/>
        <v>1</v>
      </c>
      <c r="T470" s="143"/>
      <c r="U470" s="142"/>
      <c r="V470" s="142"/>
      <c r="W470" s="142"/>
      <c r="X470" s="110" t="b">
        <f t="shared" si="4"/>
        <v>0</v>
      </c>
      <c r="Y470" s="111" t="b">
        <v>0</v>
      </c>
      <c r="Z470" s="104" t="str">
        <f t="shared" si="5"/>
        <v/>
      </c>
      <c r="AA470" s="112" t="b">
        <f t="shared" si="6"/>
        <v>0</v>
      </c>
      <c r="AB470" s="142" t="b">
        <v>0</v>
      </c>
      <c r="AC470" s="140">
        <v>339.0</v>
      </c>
      <c r="AD470" s="141" t="b">
        <v>0</v>
      </c>
      <c r="AE470" s="115">
        <f t="shared" si="7"/>
        <v>248.9666667</v>
      </c>
      <c r="AF470" s="116" t="b">
        <f t="shared" si="8"/>
        <v>0</v>
      </c>
      <c r="AG470" s="105" t="b">
        <f t="shared" si="9"/>
        <v>0</v>
      </c>
      <c r="AH470" s="140"/>
      <c r="AI470" s="140"/>
      <c r="AJ470" s="140"/>
      <c r="AK470" s="117" t="str">
        <f t="shared" si="10"/>
        <v>Negative</v>
      </c>
      <c r="AL470" s="142"/>
      <c r="AM470" s="112" t="s">
        <v>583</v>
      </c>
      <c r="AN470" s="112" t="s">
        <v>584</v>
      </c>
      <c r="AO470" s="112" t="str">
        <f>IFERROR(__xludf.DUMMYFUNCTION("IF($AG470, ""DELETED"",TRIM(JOIN("" "",D470:E470)))"),"")</f>
        <v/>
      </c>
      <c r="AP470" s="112" t="str">
        <f t="shared" ref="AP470:AQ470" si="495">IF($AG470, "DELETED", TRIM(CONCATENATE(F470,I470,U470)))</f>
        <v/>
      </c>
      <c r="AQ470" s="112" t="str">
        <f t="shared" si="495"/>
        <v/>
      </c>
      <c r="AR470" s="112" t="str">
        <f>IFERROR(__xludf.DUMMYFUNCTION("IF($AG470, ""DELETED"", TRIM(JOIN("" "",AP470,AQ470)))"),"")</f>
        <v/>
      </c>
      <c r="AS470" s="118"/>
      <c r="AT470" s="110" t="b">
        <f t="shared" si="12"/>
        <v>0</v>
      </c>
      <c r="AU470" s="110" t="str">
        <f t="shared" si="13"/>
        <v/>
      </c>
      <c r="AV470" s="110" t="str">
        <f t="shared" si="14"/>
        <v/>
      </c>
      <c r="AW470" s="110" t="str">
        <f t="shared" si="15"/>
        <v/>
      </c>
      <c r="AX470" s="119" t="str">
        <f t="shared" si="16"/>
        <v/>
      </c>
      <c r="AY470" s="120"/>
      <c r="AZ470" s="121"/>
      <c r="BA470" s="122" t="str">
        <f t="shared" si="17"/>
        <v/>
      </c>
      <c r="BB470" s="34"/>
      <c r="BC470" s="121"/>
      <c r="BD470" s="136"/>
      <c r="BE470" s="125" t="str">
        <f t="shared" si="18"/>
        <v/>
      </c>
      <c r="BF470" s="126" t="str">
        <f t="shared" si="19"/>
        <v>FM408__44611_0.315358796296296</v>
      </c>
      <c r="BG470" s="127" t="str">
        <f t="shared" si="20"/>
        <v/>
      </c>
      <c r="BH470" s="137" t="s">
        <v>1428</v>
      </c>
      <c r="BI470" s="128" t="str">
        <f t="shared" si="21"/>
        <v>MA1429</v>
      </c>
      <c r="BJ470" s="129" t="b">
        <f t="shared" si="22"/>
        <v>0</v>
      </c>
      <c r="BK470" s="128" t="str">
        <f t="shared" si="23"/>
        <v/>
      </c>
      <c r="BL470" s="121"/>
      <c r="BM470" s="5" t="str">
        <f t="shared" si="24"/>
        <v>MISSING</v>
      </c>
      <c r="BN470" s="120" t="b">
        <f t="shared" si="25"/>
        <v>0</v>
      </c>
      <c r="BO470" s="131" t="b">
        <f t="shared" si="26"/>
        <v>1</v>
      </c>
      <c r="BP470" s="121"/>
      <c r="BQ470" s="132" t="str">
        <f>VLOOKUP(A470,RAW_APS!A$3:O826,15,FALSE)</f>
        <v/>
      </c>
      <c r="BR470" s="120" t="b">
        <f t="shared" si="27"/>
        <v>1</v>
      </c>
      <c r="BS470" s="121"/>
      <c r="BT470" s="138" t="s">
        <v>244</v>
      </c>
      <c r="BU470" s="10" t="b">
        <f t="shared" si="28"/>
        <v>1</v>
      </c>
      <c r="BV470" s="120"/>
      <c r="BW470" s="120"/>
      <c r="BX470" s="120"/>
      <c r="BY470" s="120"/>
      <c r="BZ470" s="120"/>
      <c r="CA470" s="120"/>
      <c r="CB470" s="120"/>
      <c r="CC470" s="120"/>
    </row>
    <row r="471">
      <c r="A471" s="2" t="s">
        <v>1429</v>
      </c>
      <c r="B471" s="100">
        <v>44611.0</v>
      </c>
      <c r="C471" s="101">
        <v>0.3154282407407407</v>
      </c>
      <c r="D471" s="102"/>
      <c r="E471" s="102"/>
      <c r="F471" s="102"/>
      <c r="G471" s="102"/>
      <c r="H471" s="102"/>
      <c r="I471" s="103"/>
      <c r="J471" s="103"/>
      <c r="K471" s="2" t="s">
        <v>244</v>
      </c>
      <c r="L471" s="100">
        <v>44611.0</v>
      </c>
      <c r="M471" s="101">
        <v>0.4882523148148148</v>
      </c>
      <c r="P471" s="104" t="b">
        <f>IFNA(IF(VLOOKUP($A471,'Add from APT'!$AA$2:$AC826,3,FALSE)&gt;0,TRUE,FALSE),"ER - NOT IN APT")</f>
        <v>0</v>
      </c>
      <c r="Q471" s="105" t="str">
        <f>IF(ISLOGICAL(P471),IF(P471,"ER - REPS IN APT", IFNA(VLOOKUP($A471,RAW_APT!$A$3:$M826,7,FALSE),"ER - NOT IN APT")),P471)</f>
        <v>Result</v>
      </c>
      <c r="R471" s="106" t="b">
        <f t="shared" si="2"/>
        <v>1</v>
      </c>
      <c r="S471" s="107">
        <f t="shared" si="3"/>
        <v>1</v>
      </c>
      <c r="T471" s="143"/>
      <c r="U471" s="142"/>
      <c r="V471" s="142"/>
      <c r="W471" s="142"/>
      <c r="X471" s="110" t="b">
        <f t="shared" si="4"/>
        <v>0</v>
      </c>
      <c r="Y471" s="111" t="b">
        <v>0</v>
      </c>
      <c r="Z471" s="104" t="str">
        <f t="shared" si="5"/>
        <v/>
      </c>
      <c r="AA471" s="112" t="b">
        <f t="shared" si="6"/>
        <v>0</v>
      </c>
      <c r="AB471" s="142" t="b">
        <v>0</v>
      </c>
      <c r="AC471" s="140">
        <v>338.0</v>
      </c>
      <c r="AD471" s="141" t="b">
        <v>0</v>
      </c>
      <c r="AE471" s="115">
        <f t="shared" si="7"/>
        <v>248.8666667</v>
      </c>
      <c r="AF471" s="116" t="b">
        <f t="shared" si="8"/>
        <v>0</v>
      </c>
      <c r="AG471" s="105" t="b">
        <f t="shared" si="9"/>
        <v>0</v>
      </c>
      <c r="AH471" s="140"/>
      <c r="AI471" s="140"/>
      <c r="AJ471" s="140"/>
      <c r="AK471" s="117" t="str">
        <f t="shared" si="10"/>
        <v>Negative</v>
      </c>
      <c r="AL471" s="142"/>
      <c r="AM471" s="112" t="s">
        <v>633</v>
      </c>
      <c r="AN471" s="112" t="s">
        <v>634</v>
      </c>
      <c r="AO471" s="112" t="str">
        <f>IFERROR(__xludf.DUMMYFUNCTION("IF($AG471, ""DELETED"",TRIM(JOIN("" "",D471:E471)))"),"")</f>
        <v/>
      </c>
      <c r="AP471" s="112" t="str">
        <f t="shared" ref="AP471:AQ471" si="496">IF($AG471, "DELETED", TRIM(CONCATENATE(F471,I471,U471)))</f>
        <v/>
      </c>
      <c r="AQ471" s="112" t="str">
        <f t="shared" si="496"/>
        <v/>
      </c>
      <c r="AR471" s="112" t="str">
        <f>IFERROR(__xludf.DUMMYFUNCTION("IF($AG471, ""DELETED"", TRIM(JOIN("" "",AP471,AQ471)))"),"")</f>
        <v/>
      </c>
      <c r="AS471" s="118"/>
      <c r="AT471" s="110" t="b">
        <f t="shared" si="12"/>
        <v>0</v>
      </c>
      <c r="AU471" s="110" t="str">
        <f t="shared" si="13"/>
        <v/>
      </c>
      <c r="AV471" s="110" t="str">
        <f t="shared" si="14"/>
        <v/>
      </c>
      <c r="AW471" s="110" t="str">
        <f t="shared" si="15"/>
        <v/>
      </c>
      <c r="AX471" s="119" t="str">
        <f t="shared" si="16"/>
        <v/>
      </c>
      <c r="AY471" s="120"/>
      <c r="AZ471" s="121"/>
      <c r="BA471" s="122" t="str">
        <f t="shared" si="17"/>
        <v/>
      </c>
      <c r="BB471" s="34"/>
      <c r="BC471" s="121"/>
      <c r="BD471" s="136"/>
      <c r="BE471" s="125" t="str">
        <f t="shared" si="18"/>
        <v/>
      </c>
      <c r="BF471" s="126" t="str">
        <f t="shared" si="19"/>
        <v>FM66__44611_0.315428240740741</v>
      </c>
      <c r="BG471" s="127" t="str">
        <f t="shared" si="20"/>
        <v/>
      </c>
      <c r="BH471" s="137" t="s">
        <v>1430</v>
      </c>
      <c r="BI471" s="128" t="str">
        <f t="shared" si="21"/>
        <v>MA1453</v>
      </c>
      <c r="BJ471" s="129" t="b">
        <f t="shared" si="22"/>
        <v>0</v>
      </c>
      <c r="BK471" s="128" t="str">
        <f t="shared" si="23"/>
        <v/>
      </c>
      <c r="BL471" s="121"/>
      <c r="BM471" s="5" t="str">
        <f t="shared" si="24"/>
        <v>MISSING</v>
      </c>
      <c r="BN471" s="120" t="b">
        <f t="shared" si="25"/>
        <v>0</v>
      </c>
      <c r="BO471" s="131" t="b">
        <f t="shared" si="26"/>
        <v>1</v>
      </c>
      <c r="BP471" s="121"/>
      <c r="BQ471" s="132" t="str">
        <f>VLOOKUP(A471,RAW_APS!A$3:O826,15,FALSE)</f>
        <v/>
      </c>
      <c r="BR471" s="120" t="b">
        <f t="shared" si="27"/>
        <v>1</v>
      </c>
      <c r="BS471" s="121"/>
      <c r="BT471" s="138" t="s">
        <v>244</v>
      </c>
      <c r="BU471" s="10" t="b">
        <f t="shared" si="28"/>
        <v>1</v>
      </c>
      <c r="BV471" s="120"/>
      <c r="BW471" s="120"/>
      <c r="BX471" s="120"/>
      <c r="BY471" s="120"/>
      <c r="BZ471" s="120"/>
      <c r="CA471" s="120"/>
      <c r="CB471" s="120"/>
      <c r="CC471" s="120"/>
    </row>
    <row r="472">
      <c r="A472" s="2" t="s">
        <v>1431</v>
      </c>
      <c r="B472" s="100">
        <v>44611.0</v>
      </c>
      <c r="C472" s="101">
        <v>0.31581018518518517</v>
      </c>
      <c r="D472" s="102"/>
      <c r="E472" s="102"/>
      <c r="F472" s="103"/>
      <c r="G472" s="103"/>
      <c r="H472" s="103"/>
      <c r="I472" s="135"/>
      <c r="J472" s="103"/>
      <c r="K472" s="2" t="s">
        <v>244</v>
      </c>
      <c r="L472" s="100">
        <v>44611.0</v>
      </c>
      <c r="M472" s="101">
        <v>0.4882523148148148</v>
      </c>
      <c r="N472" s="2" t="s">
        <v>247</v>
      </c>
      <c r="P472" s="104" t="b">
        <f>IFNA(IF(VLOOKUP($A472,'Add from APT'!$AA$2:$AC826,3,FALSE)&gt;0,TRUE,FALSE),"ER - NOT IN APT")</f>
        <v>0</v>
      </c>
      <c r="Q472" s="105" t="str">
        <f>IF(ISLOGICAL(P472),IF(P472,"ER - REPS IN APT", IFNA(VLOOKUP($A472,RAW_APT!$A$3:$M826,7,FALSE),"ER - NOT IN APT")),P472)</f>
        <v>Result</v>
      </c>
      <c r="R472" s="106" t="b">
        <f t="shared" si="2"/>
        <v>1</v>
      </c>
      <c r="S472" s="107">
        <f t="shared" si="3"/>
        <v>1</v>
      </c>
      <c r="T472" s="140">
        <v>0.0</v>
      </c>
      <c r="W472" s="142"/>
      <c r="X472" s="110" t="b">
        <f t="shared" si="4"/>
        <v>0</v>
      </c>
      <c r="Y472" s="111" t="b">
        <v>0</v>
      </c>
      <c r="Z472" s="104" t="str">
        <f t="shared" si="5"/>
        <v/>
      </c>
      <c r="AA472" s="112" t="b">
        <f t="shared" si="6"/>
        <v>0</v>
      </c>
      <c r="AB472" s="142" t="b">
        <v>0</v>
      </c>
      <c r="AC472" s="140">
        <v>798.0</v>
      </c>
      <c r="AD472" s="141" t="b">
        <v>1</v>
      </c>
      <c r="AE472" s="115">
        <f t="shared" si="7"/>
        <v>248.3166667</v>
      </c>
      <c r="AF472" s="116" t="b">
        <f t="shared" si="8"/>
        <v>0</v>
      </c>
      <c r="AG472" s="105" t="b">
        <f t="shared" si="9"/>
        <v>0</v>
      </c>
      <c r="AH472" s="140"/>
      <c r="AI472" s="140"/>
      <c r="AJ472" s="140"/>
      <c r="AK472" s="117" t="str">
        <f t="shared" si="10"/>
        <v>Negative</v>
      </c>
      <c r="AL472" s="142"/>
      <c r="AM472" s="112" t="s">
        <v>500</v>
      </c>
      <c r="AN472" s="112" t="s">
        <v>377</v>
      </c>
      <c r="AO472" s="112" t="str">
        <f>IFERROR(__xludf.DUMMYFUNCTION("IF($AG472, ""DELETED"",TRIM(JOIN("" "",D472:E472)))"),"")</f>
        <v/>
      </c>
      <c r="AP472" s="112" t="str">
        <f t="shared" ref="AP472:AQ472" si="497">IF($AG472, "DELETED", TRIM(CONCATENATE(F472,I472,U472)))</f>
        <v/>
      </c>
      <c r="AQ472" s="112" t="str">
        <f t="shared" si="497"/>
        <v/>
      </c>
      <c r="AR472" s="112" t="str">
        <f>IFERROR(__xludf.DUMMYFUNCTION("IF($AG472, ""DELETED"", TRIM(JOIN("" "",AP472,AQ472)))"),"")</f>
        <v/>
      </c>
      <c r="AS472" s="118"/>
      <c r="AT472" s="110" t="b">
        <f t="shared" si="12"/>
        <v>0</v>
      </c>
      <c r="AU472" s="110" t="str">
        <f t="shared" si="13"/>
        <v/>
      </c>
      <c r="AV472" s="110" t="str">
        <f t="shared" si="14"/>
        <v/>
      </c>
      <c r="AW472" s="110" t="str">
        <f t="shared" si="15"/>
        <v/>
      </c>
      <c r="AX472" s="119" t="str">
        <f t="shared" si="16"/>
        <v/>
      </c>
      <c r="AY472" s="120"/>
      <c r="AZ472" s="121"/>
      <c r="BA472" s="122" t="str">
        <f t="shared" si="17"/>
        <v/>
      </c>
      <c r="BB472" s="34"/>
      <c r="BC472" s="121"/>
      <c r="BD472" s="136"/>
      <c r="BE472" s="125" t="str">
        <f t="shared" si="18"/>
        <v/>
      </c>
      <c r="BF472" s="126" t="str">
        <f t="shared" si="19"/>
        <v>MA1225__44611_0.315810185185185</v>
      </c>
      <c r="BG472" s="127" t="str">
        <f t="shared" si="20"/>
        <v/>
      </c>
      <c r="BH472" s="137" t="s">
        <v>1432</v>
      </c>
      <c r="BI472" s="128" t="str">
        <f t="shared" si="21"/>
        <v>MA1490</v>
      </c>
      <c r="BJ472" s="129" t="b">
        <f t="shared" si="22"/>
        <v>0</v>
      </c>
      <c r="BK472" s="128" t="str">
        <f t="shared" si="23"/>
        <v/>
      </c>
      <c r="BL472" s="121"/>
      <c r="BM472" s="5" t="str">
        <f t="shared" si="24"/>
        <v>MISSING</v>
      </c>
      <c r="BN472" s="120" t="b">
        <f t="shared" si="25"/>
        <v>0</v>
      </c>
      <c r="BO472" s="131" t="b">
        <f t="shared" si="26"/>
        <v>1</v>
      </c>
      <c r="BP472" s="121"/>
      <c r="BQ472" s="132" t="str">
        <f>VLOOKUP(A472,RAW_APS!A$3:O826,15,FALSE)</f>
        <v>#N/A</v>
      </c>
      <c r="BR472" s="120" t="str">
        <f t="shared" si="27"/>
        <v>***TUBE ID NOT FOUND</v>
      </c>
      <c r="BS472" s="121"/>
      <c r="BT472" s="138" t="s">
        <v>244</v>
      </c>
      <c r="BU472" s="10" t="b">
        <f t="shared" si="28"/>
        <v>1</v>
      </c>
      <c r="BV472" s="120"/>
      <c r="BW472" s="120"/>
      <c r="BX472" s="120"/>
      <c r="BY472" s="120"/>
      <c r="BZ472" s="120"/>
      <c r="CA472" s="120"/>
      <c r="CB472" s="120"/>
      <c r="CC472" s="120"/>
    </row>
    <row r="473">
      <c r="A473" s="2" t="s">
        <v>1433</v>
      </c>
      <c r="B473" s="100">
        <v>44611.0</v>
      </c>
      <c r="C473" s="101">
        <v>0.3173611111111111</v>
      </c>
      <c r="D473" s="102"/>
      <c r="E473" s="102"/>
      <c r="F473" s="102"/>
      <c r="G473" s="102"/>
      <c r="H473" s="102"/>
      <c r="I473" s="103"/>
      <c r="J473" s="103"/>
      <c r="K473" s="2" t="s">
        <v>244</v>
      </c>
      <c r="L473" s="100">
        <v>44611.0</v>
      </c>
      <c r="M473" s="101">
        <v>0.4882523148148148</v>
      </c>
      <c r="P473" s="104" t="b">
        <f>IFNA(IF(VLOOKUP($A473,'Add from APT'!$AA$2:$AC826,3,FALSE)&gt;0,TRUE,FALSE),"ER - NOT IN APT")</f>
        <v>0</v>
      </c>
      <c r="Q473" s="105" t="str">
        <f>IF(ISLOGICAL(P473),IF(P473,"ER - REPS IN APT", IFNA(VLOOKUP($A473,RAW_APT!$A$3:$M826,7,FALSE),"ER - NOT IN APT")),P473)</f>
        <v>Result</v>
      </c>
      <c r="R473" s="106" t="b">
        <f t="shared" si="2"/>
        <v>1</v>
      </c>
      <c r="S473" s="107">
        <f t="shared" si="3"/>
        <v>1</v>
      </c>
      <c r="T473" s="143"/>
      <c r="U473" s="142"/>
      <c r="V473" s="142"/>
      <c r="W473" s="142"/>
      <c r="X473" s="110" t="b">
        <f t="shared" si="4"/>
        <v>0</v>
      </c>
      <c r="Y473" s="111" t="b">
        <v>0</v>
      </c>
      <c r="Z473" s="104" t="str">
        <f t="shared" si="5"/>
        <v/>
      </c>
      <c r="AA473" s="112" t="b">
        <f t="shared" si="6"/>
        <v>0</v>
      </c>
      <c r="AB473" s="142" t="b">
        <v>0</v>
      </c>
      <c r="AC473" s="140">
        <v>337.0</v>
      </c>
      <c r="AD473" s="141" t="b">
        <v>0</v>
      </c>
      <c r="AE473" s="115">
        <f t="shared" si="7"/>
        <v>246.0833333</v>
      </c>
      <c r="AF473" s="116" t="b">
        <f t="shared" si="8"/>
        <v>0</v>
      </c>
      <c r="AG473" s="105" t="b">
        <f t="shared" si="9"/>
        <v>0</v>
      </c>
      <c r="AH473" s="140"/>
      <c r="AI473" s="140"/>
      <c r="AJ473" s="140"/>
      <c r="AK473" s="117" t="str">
        <f t="shared" si="10"/>
        <v>Negative</v>
      </c>
      <c r="AL473" s="142"/>
      <c r="AM473" s="112" t="s">
        <v>1099</v>
      </c>
      <c r="AN473" s="112" t="s">
        <v>1100</v>
      </c>
      <c r="AO473" s="112" t="str">
        <f>IFERROR(__xludf.DUMMYFUNCTION("IF($AG473, ""DELETED"",TRIM(JOIN("" "",D473:E473)))"),"")</f>
        <v/>
      </c>
      <c r="AP473" s="112" t="str">
        <f t="shared" ref="AP473:AQ473" si="498">IF($AG473, "DELETED", TRIM(CONCATENATE(F473,I473,U473)))</f>
        <v/>
      </c>
      <c r="AQ473" s="112" t="str">
        <f t="shared" si="498"/>
        <v/>
      </c>
      <c r="AR473" s="112" t="str">
        <f>IFERROR(__xludf.DUMMYFUNCTION("IF($AG473, ""DELETED"", TRIM(JOIN("" "",AP473,AQ473)))"),"")</f>
        <v/>
      </c>
      <c r="AS473" s="118"/>
      <c r="AT473" s="110" t="b">
        <f t="shared" si="12"/>
        <v>0</v>
      </c>
      <c r="AU473" s="110" t="str">
        <f t="shared" si="13"/>
        <v/>
      </c>
      <c r="AV473" s="110" t="str">
        <f t="shared" si="14"/>
        <v/>
      </c>
      <c r="AW473" s="110" t="str">
        <f t="shared" si="15"/>
        <v/>
      </c>
      <c r="AX473" s="119" t="str">
        <f t="shared" si="16"/>
        <v/>
      </c>
      <c r="AY473" s="120"/>
      <c r="AZ473" s="121"/>
      <c r="BA473" s="122" t="str">
        <f t="shared" si="17"/>
        <v/>
      </c>
      <c r="BB473" s="34"/>
      <c r="BC473" s="121"/>
      <c r="BD473" s="136"/>
      <c r="BE473" s="125" t="str">
        <f t="shared" si="18"/>
        <v/>
      </c>
      <c r="BF473" s="126" t="str">
        <f t="shared" si="19"/>
        <v>MA1296__44611_0.317361111111111</v>
      </c>
      <c r="BG473" s="127" t="str">
        <f t="shared" si="20"/>
        <v/>
      </c>
      <c r="BH473" s="137" t="s">
        <v>1434</v>
      </c>
      <c r="BI473" s="128" t="str">
        <f t="shared" si="21"/>
        <v>MA1497</v>
      </c>
      <c r="BJ473" s="129" t="b">
        <f t="shared" si="22"/>
        <v>0</v>
      </c>
      <c r="BK473" s="128" t="str">
        <f t="shared" si="23"/>
        <v/>
      </c>
      <c r="BL473" s="121"/>
      <c r="BM473" s="5" t="str">
        <f t="shared" si="24"/>
        <v>MISSING</v>
      </c>
      <c r="BN473" s="120" t="b">
        <f t="shared" si="25"/>
        <v>0</v>
      </c>
      <c r="BO473" s="131" t="b">
        <f t="shared" si="26"/>
        <v>1</v>
      </c>
      <c r="BP473" s="121"/>
      <c r="BQ473" s="132" t="str">
        <f>VLOOKUP(A473,RAW_APS!A$3:O826,15,FALSE)</f>
        <v/>
      </c>
      <c r="BR473" s="120" t="b">
        <f t="shared" si="27"/>
        <v>1</v>
      </c>
      <c r="BS473" s="121"/>
      <c r="BT473" s="138" t="s">
        <v>244</v>
      </c>
      <c r="BU473" s="10" t="b">
        <f t="shared" si="28"/>
        <v>1</v>
      </c>
      <c r="BV473" s="120"/>
      <c r="BW473" s="120"/>
      <c r="BX473" s="120"/>
      <c r="BY473" s="120"/>
      <c r="BZ473" s="120"/>
      <c r="CA473" s="120"/>
      <c r="CB473" s="120"/>
      <c r="CC473" s="120"/>
    </row>
    <row r="474">
      <c r="A474" s="2" t="s">
        <v>1435</v>
      </c>
      <c r="B474" s="100">
        <v>44611.0</v>
      </c>
      <c r="C474" s="101">
        <v>0.3180439814814815</v>
      </c>
      <c r="D474" s="102"/>
      <c r="E474" s="102"/>
      <c r="F474" s="139"/>
      <c r="G474" s="148"/>
      <c r="H474" s="148"/>
      <c r="I474" s="135"/>
      <c r="J474" s="103"/>
      <c r="K474" s="2" t="s">
        <v>244</v>
      </c>
      <c r="L474" s="100">
        <v>44611.0</v>
      </c>
      <c r="M474" s="101">
        <v>0.4882523148148148</v>
      </c>
      <c r="N474" s="2" t="s">
        <v>247</v>
      </c>
      <c r="P474" s="104" t="b">
        <f>IFNA(IF(VLOOKUP($A474,'Add from APT'!$AA$2:$AC826,3,FALSE)&gt;0,TRUE,FALSE),"ER - NOT IN APT")</f>
        <v>0</v>
      </c>
      <c r="Q474" s="105" t="str">
        <f>IF(ISLOGICAL(P474),IF(P474,"ER - REPS IN APT", IFNA(VLOOKUP($A474,RAW_APT!$A$3:$M826,7,FALSE),"ER - NOT IN APT")),P474)</f>
        <v>Result</v>
      </c>
      <c r="R474" s="106" t="b">
        <f t="shared" si="2"/>
        <v>1</v>
      </c>
      <c r="S474" s="107">
        <f t="shared" si="3"/>
        <v>1</v>
      </c>
      <c r="T474" s="140">
        <v>0.0</v>
      </c>
      <c r="U474" s="141"/>
      <c r="V474" s="142"/>
      <c r="W474" s="142"/>
      <c r="X474" s="110" t="b">
        <f t="shared" si="4"/>
        <v>0</v>
      </c>
      <c r="Y474" s="111" t="b">
        <v>0</v>
      </c>
      <c r="Z474" s="104" t="str">
        <f t="shared" si="5"/>
        <v/>
      </c>
      <c r="AA474" s="112" t="b">
        <f t="shared" si="6"/>
        <v>0</v>
      </c>
      <c r="AB474" s="142" t="b">
        <v>0</v>
      </c>
      <c r="AC474" s="140">
        <v>810.0</v>
      </c>
      <c r="AD474" s="141" t="b">
        <v>1</v>
      </c>
      <c r="AE474" s="115">
        <f t="shared" si="7"/>
        <v>245.1</v>
      </c>
      <c r="AF474" s="116" t="b">
        <f t="shared" si="8"/>
        <v>0</v>
      </c>
      <c r="AG474" s="105" t="b">
        <f t="shared" si="9"/>
        <v>0</v>
      </c>
      <c r="AH474" s="140"/>
      <c r="AI474" s="140"/>
      <c r="AJ474" s="140"/>
      <c r="AK474" s="117" t="str">
        <f t="shared" si="10"/>
        <v>Negative</v>
      </c>
      <c r="AL474" s="142"/>
      <c r="AM474" s="112" t="s">
        <v>918</v>
      </c>
      <c r="AN474" s="112" t="s">
        <v>923</v>
      </c>
      <c r="AO474" s="112" t="str">
        <f>IFERROR(__xludf.DUMMYFUNCTION("IF($AG474, ""DELETED"",TRIM(JOIN("" "",D474:E474)))"),"")</f>
        <v/>
      </c>
      <c r="AP474" s="112" t="str">
        <f t="shared" ref="AP474:AQ474" si="499">IF($AG474, "DELETED", TRIM(CONCATENATE(F474,I474,U474)))</f>
        <v/>
      </c>
      <c r="AQ474" s="112" t="str">
        <f t="shared" si="499"/>
        <v/>
      </c>
      <c r="AR474" s="112" t="str">
        <f>IFERROR(__xludf.DUMMYFUNCTION("IF($AG474, ""DELETED"", TRIM(JOIN("" "",AP474,AQ474)))"),"")</f>
        <v/>
      </c>
      <c r="AS474" s="118"/>
      <c r="AT474" s="110" t="b">
        <f t="shared" si="12"/>
        <v>0</v>
      </c>
      <c r="AU474" s="110" t="str">
        <f t="shared" si="13"/>
        <v/>
      </c>
      <c r="AV474" s="110" t="str">
        <f t="shared" si="14"/>
        <v/>
      </c>
      <c r="AW474" s="110" t="str">
        <f t="shared" si="15"/>
        <v/>
      </c>
      <c r="AX474" s="119" t="str">
        <f t="shared" si="16"/>
        <v/>
      </c>
      <c r="AY474" s="120"/>
      <c r="AZ474" s="121"/>
      <c r="BA474" s="122" t="str">
        <f t="shared" si="17"/>
        <v/>
      </c>
      <c r="BB474" s="34"/>
      <c r="BC474" s="121"/>
      <c r="BD474" s="136"/>
      <c r="BE474" s="125" t="str">
        <f t="shared" si="18"/>
        <v/>
      </c>
      <c r="BF474" s="126" t="str">
        <f t="shared" si="19"/>
        <v>MA193__44611_0.318043981481482</v>
      </c>
      <c r="BG474" s="127" t="str">
        <f t="shared" si="20"/>
        <v/>
      </c>
      <c r="BH474" s="137" t="s">
        <v>1436</v>
      </c>
      <c r="BI474" s="128" t="str">
        <f t="shared" si="21"/>
        <v>MA181</v>
      </c>
      <c r="BJ474" s="129" t="b">
        <f t="shared" si="22"/>
        <v>0</v>
      </c>
      <c r="BK474" s="128" t="str">
        <f t="shared" si="23"/>
        <v/>
      </c>
      <c r="BL474" s="121"/>
      <c r="BM474" s="5" t="str">
        <f t="shared" si="24"/>
        <v>MISSING</v>
      </c>
      <c r="BN474" s="120" t="b">
        <f t="shared" si="25"/>
        <v>0</v>
      </c>
      <c r="BO474" s="131" t="b">
        <f t="shared" si="26"/>
        <v>1</v>
      </c>
      <c r="BP474" s="121"/>
      <c r="BQ474" s="132" t="str">
        <f>VLOOKUP(A474,RAW_APS!A$3:O826,15,FALSE)</f>
        <v>#N/A</v>
      </c>
      <c r="BR474" s="120" t="str">
        <f t="shared" si="27"/>
        <v>***TUBE ID NOT FOUND</v>
      </c>
      <c r="BS474" s="121"/>
      <c r="BT474" s="138" t="s">
        <v>244</v>
      </c>
      <c r="BU474" s="10" t="b">
        <f t="shared" si="28"/>
        <v>1</v>
      </c>
      <c r="BV474" s="120"/>
      <c r="BW474" s="120"/>
      <c r="BX474" s="120"/>
      <c r="BY474" s="120"/>
      <c r="BZ474" s="120"/>
      <c r="CA474" s="120"/>
      <c r="CB474" s="120"/>
      <c r="CC474" s="120"/>
    </row>
    <row r="475">
      <c r="A475" s="2" t="s">
        <v>1437</v>
      </c>
      <c r="B475" s="100">
        <v>44611.0</v>
      </c>
      <c r="C475" s="101">
        <v>0.318912037037037</v>
      </c>
      <c r="D475" s="102"/>
      <c r="E475" s="102"/>
      <c r="F475" s="102"/>
      <c r="G475" s="102"/>
      <c r="H475" s="102"/>
      <c r="I475" s="103"/>
      <c r="J475" s="103"/>
      <c r="K475" s="2" t="s">
        <v>244</v>
      </c>
      <c r="L475" s="100">
        <v>44611.0</v>
      </c>
      <c r="M475" s="101">
        <v>0.4882523148148148</v>
      </c>
      <c r="P475" s="104" t="b">
        <f>IFNA(IF(VLOOKUP($A475,'Add from APT'!$AA$2:$AC826,3,FALSE)&gt;0,TRUE,FALSE),"ER - NOT IN APT")</f>
        <v>0</v>
      </c>
      <c r="Q475" s="105" t="str">
        <f>IF(ISLOGICAL(P475),IF(P475,"ER - REPS IN APT", IFNA(VLOOKUP($A475,RAW_APT!$A$3:$M826,7,FALSE),"ER - NOT IN APT")),P475)</f>
        <v>Result</v>
      </c>
      <c r="R475" s="106" t="b">
        <f t="shared" si="2"/>
        <v>1</v>
      </c>
      <c r="S475" s="107">
        <f t="shared" si="3"/>
        <v>1</v>
      </c>
      <c r="T475" s="143"/>
      <c r="U475" s="142"/>
      <c r="V475" s="142"/>
      <c r="W475" s="142"/>
      <c r="X475" s="110" t="b">
        <f t="shared" si="4"/>
        <v>0</v>
      </c>
      <c r="Y475" s="111" t="b">
        <v>0</v>
      </c>
      <c r="Z475" s="104" t="str">
        <f t="shared" si="5"/>
        <v/>
      </c>
      <c r="AA475" s="112" t="b">
        <f t="shared" si="6"/>
        <v>0</v>
      </c>
      <c r="AB475" s="142" t="b">
        <v>0</v>
      </c>
      <c r="AC475" s="140">
        <v>336.0</v>
      </c>
      <c r="AD475" s="141" t="b">
        <v>0</v>
      </c>
      <c r="AE475" s="115">
        <f t="shared" si="7"/>
        <v>243.85</v>
      </c>
      <c r="AF475" s="116" t="b">
        <f t="shared" si="8"/>
        <v>0</v>
      </c>
      <c r="AG475" s="105" t="b">
        <f t="shared" si="9"/>
        <v>0</v>
      </c>
      <c r="AH475" s="140"/>
      <c r="AI475" s="140"/>
      <c r="AJ475" s="140"/>
      <c r="AK475" s="117" t="str">
        <f t="shared" si="10"/>
        <v>Negative</v>
      </c>
      <c r="AL475" s="142"/>
      <c r="AM475" s="112" t="s">
        <v>1191</v>
      </c>
      <c r="AN475" s="112" t="s">
        <v>1192</v>
      </c>
      <c r="AO475" s="112" t="str">
        <f>IFERROR(__xludf.DUMMYFUNCTION("IF($AG475, ""DELETED"",TRIM(JOIN("" "",D475:E475)))"),"")</f>
        <v/>
      </c>
      <c r="AP475" s="112" t="str">
        <f t="shared" ref="AP475:AQ475" si="500">IF($AG475, "DELETED", TRIM(CONCATENATE(F475,I475,U475)))</f>
        <v/>
      </c>
      <c r="AQ475" s="112" t="str">
        <f t="shared" si="500"/>
        <v/>
      </c>
      <c r="AR475" s="112" t="str">
        <f>IFERROR(__xludf.DUMMYFUNCTION("IF($AG475, ""DELETED"", TRIM(JOIN("" "",AP475,AQ475)))"),"")</f>
        <v/>
      </c>
      <c r="AS475" s="118"/>
      <c r="AT475" s="110" t="b">
        <f t="shared" si="12"/>
        <v>0</v>
      </c>
      <c r="AU475" s="110" t="str">
        <f t="shared" si="13"/>
        <v/>
      </c>
      <c r="AV475" s="110" t="str">
        <f t="shared" si="14"/>
        <v/>
      </c>
      <c r="AW475" s="110" t="str">
        <f t="shared" si="15"/>
        <v/>
      </c>
      <c r="AX475" s="119" t="str">
        <f t="shared" si="16"/>
        <v/>
      </c>
      <c r="AY475" s="120"/>
      <c r="AZ475" s="121"/>
      <c r="BA475" s="122" t="str">
        <f t="shared" si="17"/>
        <v/>
      </c>
      <c r="BB475" s="34"/>
      <c r="BC475" s="121"/>
      <c r="BD475" s="136"/>
      <c r="BE475" s="125" t="str">
        <f t="shared" si="18"/>
        <v/>
      </c>
      <c r="BF475" s="126" t="str">
        <f t="shared" si="19"/>
        <v>FM497__44611_0.318912037037037</v>
      </c>
      <c r="BG475" s="127" t="str">
        <f t="shared" si="20"/>
        <v/>
      </c>
      <c r="BH475" s="137" t="s">
        <v>1438</v>
      </c>
      <c r="BI475" s="128" t="str">
        <f t="shared" si="21"/>
        <v>MA182</v>
      </c>
      <c r="BJ475" s="129" t="b">
        <f t="shared" si="22"/>
        <v>0</v>
      </c>
      <c r="BK475" s="128" t="str">
        <f t="shared" si="23"/>
        <v/>
      </c>
      <c r="BL475" s="121"/>
      <c r="BM475" s="5" t="str">
        <f t="shared" si="24"/>
        <v>MISSING</v>
      </c>
      <c r="BN475" s="120" t="b">
        <f t="shared" si="25"/>
        <v>0</v>
      </c>
      <c r="BO475" s="131" t="b">
        <f t="shared" si="26"/>
        <v>1</v>
      </c>
      <c r="BP475" s="121"/>
      <c r="BQ475" s="132" t="str">
        <f>VLOOKUP(A475,RAW_APS!A$3:O826,15,FALSE)</f>
        <v/>
      </c>
      <c r="BR475" s="120" t="b">
        <f t="shared" si="27"/>
        <v>1</v>
      </c>
      <c r="BS475" s="121"/>
      <c r="BT475" s="138" t="s">
        <v>244</v>
      </c>
      <c r="BU475" s="10" t="b">
        <f t="shared" si="28"/>
        <v>1</v>
      </c>
      <c r="BV475" s="120"/>
      <c r="BW475" s="120"/>
      <c r="BX475" s="120"/>
      <c r="BY475" s="120"/>
      <c r="BZ475" s="120"/>
      <c r="CA475" s="120"/>
      <c r="CB475" s="120"/>
      <c r="CC475" s="120"/>
    </row>
    <row r="476">
      <c r="A476" s="2" t="s">
        <v>1439</v>
      </c>
      <c r="B476" s="100">
        <v>44611.0</v>
      </c>
      <c r="C476" s="101">
        <v>0.3209606481481482</v>
      </c>
      <c r="D476" s="102"/>
      <c r="E476" s="102"/>
      <c r="F476" s="102"/>
      <c r="G476" s="102"/>
      <c r="H476" s="102"/>
      <c r="I476" s="103"/>
      <c r="J476" s="103"/>
      <c r="K476" s="2" t="s">
        <v>244</v>
      </c>
      <c r="L476" s="100">
        <v>44611.0</v>
      </c>
      <c r="M476" s="101">
        <v>0.4882523148148148</v>
      </c>
      <c r="P476" s="104" t="b">
        <f>IFNA(IF(VLOOKUP($A476,'Add from APT'!$AA$2:$AC826,3,FALSE)&gt;0,TRUE,FALSE),"ER - NOT IN APT")</f>
        <v>0</v>
      </c>
      <c r="Q476" s="105" t="str">
        <f>IF(ISLOGICAL(P476),IF(P476,"ER - REPS IN APT", IFNA(VLOOKUP($A476,RAW_APT!$A$3:$M826,7,FALSE),"ER - NOT IN APT")),P476)</f>
        <v>Result</v>
      </c>
      <c r="R476" s="106" t="b">
        <f t="shared" si="2"/>
        <v>1</v>
      </c>
      <c r="S476" s="107">
        <f t="shared" si="3"/>
        <v>1</v>
      </c>
      <c r="T476" s="143"/>
      <c r="U476" s="142"/>
      <c r="V476" s="142"/>
      <c r="W476" s="142"/>
      <c r="X476" s="110" t="b">
        <f t="shared" si="4"/>
        <v>0</v>
      </c>
      <c r="Y476" s="111" t="b">
        <v>0</v>
      </c>
      <c r="Z476" s="104" t="str">
        <f t="shared" si="5"/>
        <v/>
      </c>
      <c r="AA476" s="112" t="b">
        <f t="shared" si="6"/>
        <v>0</v>
      </c>
      <c r="AB476" s="142" t="b">
        <v>0</v>
      </c>
      <c r="AC476" s="140">
        <v>335.0</v>
      </c>
      <c r="AD476" s="141" t="b">
        <v>0</v>
      </c>
      <c r="AE476" s="115">
        <f t="shared" si="7"/>
        <v>240.9</v>
      </c>
      <c r="AF476" s="116" t="b">
        <f t="shared" si="8"/>
        <v>0</v>
      </c>
      <c r="AG476" s="105" t="b">
        <f t="shared" si="9"/>
        <v>0</v>
      </c>
      <c r="AH476" s="140"/>
      <c r="AI476" s="140"/>
      <c r="AJ476" s="140"/>
      <c r="AK476" s="117" t="str">
        <f t="shared" si="10"/>
        <v>Negative</v>
      </c>
      <c r="AL476" s="142"/>
      <c r="AM476" s="112" t="s">
        <v>409</v>
      </c>
      <c r="AN476" s="112" t="s">
        <v>410</v>
      </c>
      <c r="AO476" s="112" t="str">
        <f>IFERROR(__xludf.DUMMYFUNCTION("IF($AG476, ""DELETED"",TRIM(JOIN("" "",D476:E476)))"),"")</f>
        <v/>
      </c>
      <c r="AP476" s="112" t="str">
        <f t="shared" ref="AP476:AQ476" si="501">IF($AG476, "DELETED", TRIM(CONCATENATE(F476,I476,U476)))</f>
        <v/>
      </c>
      <c r="AQ476" s="112" t="str">
        <f t="shared" si="501"/>
        <v/>
      </c>
      <c r="AR476" s="112" t="str">
        <f>IFERROR(__xludf.DUMMYFUNCTION("IF($AG476, ""DELETED"", TRIM(JOIN("" "",AP476,AQ476)))"),"")</f>
        <v/>
      </c>
      <c r="AS476" s="118"/>
      <c r="AT476" s="110" t="b">
        <f t="shared" si="12"/>
        <v>0</v>
      </c>
      <c r="AU476" s="110" t="str">
        <f t="shared" si="13"/>
        <v/>
      </c>
      <c r="AV476" s="110" t="str">
        <f t="shared" si="14"/>
        <v/>
      </c>
      <c r="AW476" s="110" t="str">
        <f t="shared" si="15"/>
        <v/>
      </c>
      <c r="AX476" s="119" t="str">
        <f t="shared" si="16"/>
        <v/>
      </c>
      <c r="AY476" s="120"/>
      <c r="AZ476" s="121"/>
      <c r="BA476" s="122" t="str">
        <f t="shared" si="17"/>
        <v/>
      </c>
      <c r="BB476" s="34"/>
      <c r="BC476" s="121"/>
      <c r="BD476" s="136"/>
      <c r="BE476" s="125" t="str">
        <f t="shared" si="18"/>
        <v/>
      </c>
      <c r="BF476" s="126" t="str">
        <f t="shared" si="19"/>
        <v>MA209__44611_0.320960648148148</v>
      </c>
      <c r="BG476" s="127" t="str">
        <f t="shared" si="20"/>
        <v/>
      </c>
      <c r="BH476" s="137" t="s">
        <v>1440</v>
      </c>
      <c r="BI476" s="128" t="str">
        <f t="shared" si="21"/>
        <v>MA186</v>
      </c>
      <c r="BJ476" s="129" t="b">
        <f t="shared" si="22"/>
        <v>0</v>
      </c>
      <c r="BK476" s="128" t="str">
        <f t="shared" si="23"/>
        <v/>
      </c>
      <c r="BL476" s="121"/>
      <c r="BM476" s="5" t="str">
        <f t="shared" si="24"/>
        <v>MISSING</v>
      </c>
      <c r="BN476" s="120" t="b">
        <f t="shared" si="25"/>
        <v>0</v>
      </c>
      <c r="BO476" s="131" t="b">
        <f t="shared" si="26"/>
        <v>1</v>
      </c>
      <c r="BP476" s="121"/>
      <c r="BQ476" s="132" t="str">
        <f>VLOOKUP(A476,RAW_APS!A$3:O826,15,FALSE)</f>
        <v/>
      </c>
      <c r="BR476" s="120" t="b">
        <f t="shared" si="27"/>
        <v>1</v>
      </c>
      <c r="BS476" s="121"/>
      <c r="BT476" s="138" t="s">
        <v>244</v>
      </c>
      <c r="BU476" s="10" t="b">
        <f t="shared" si="28"/>
        <v>1</v>
      </c>
      <c r="BV476" s="120"/>
      <c r="BW476" s="120"/>
      <c r="BX476" s="120"/>
      <c r="BY476" s="120"/>
      <c r="BZ476" s="120"/>
      <c r="CA476" s="120"/>
      <c r="CB476" s="120"/>
      <c r="CC476" s="120"/>
    </row>
    <row r="477">
      <c r="A477" s="2" t="s">
        <v>1441</v>
      </c>
      <c r="B477" s="100">
        <v>44611.0</v>
      </c>
      <c r="C477" s="101">
        <v>0.3225925925925926</v>
      </c>
      <c r="D477" s="102"/>
      <c r="E477" s="102"/>
      <c r="F477" s="102"/>
      <c r="G477" s="102"/>
      <c r="H477" s="102"/>
      <c r="I477" s="103"/>
      <c r="J477" s="103"/>
      <c r="K477" s="2" t="s">
        <v>244</v>
      </c>
      <c r="L477" s="100">
        <v>44611.0</v>
      </c>
      <c r="M477" s="101">
        <v>0.4882523148148148</v>
      </c>
      <c r="P477" s="104" t="b">
        <f>IFNA(IF(VLOOKUP($A477,'Add from APT'!$AA$2:$AC826,3,FALSE)&gt;0,TRUE,FALSE),"ER - NOT IN APT")</f>
        <v>0</v>
      </c>
      <c r="Q477" s="105" t="str">
        <f>IF(ISLOGICAL(P477),IF(P477,"ER - REPS IN APT", IFNA(VLOOKUP($A477,RAW_APT!$A$3:$M826,7,FALSE),"ER - NOT IN APT")),P477)</f>
        <v>Result</v>
      </c>
      <c r="R477" s="106" t="b">
        <f t="shared" si="2"/>
        <v>1</v>
      </c>
      <c r="S477" s="107">
        <f t="shared" si="3"/>
        <v>1</v>
      </c>
      <c r="T477" s="143"/>
      <c r="U477" s="142"/>
      <c r="V477" s="142"/>
      <c r="W477" s="142"/>
      <c r="X477" s="110" t="b">
        <f t="shared" si="4"/>
        <v>0</v>
      </c>
      <c r="Y477" s="111" t="b">
        <v>0</v>
      </c>
      <c r="Z477" s="104" t="str">
        <f t="shared" si="5"/>
        <v/>
      </c>
      <c r="AA477" s="112" t="b">
        <f t="shared" si="6"/>
        <v>0</v>
      </c>
      <c r="AB477" s="142" t="b">
        <v>0</v>
      </c>
      <c r="AC477" s="140">
        <v>334.0</v>
      </c>
      <c r="AD477" s="141" t="b">
        <v>0</v>
      </c>
      <c r="AE477" s="115">
        <f t="shared" si="7"/>
        <v>238.55</v>
      </c>
      <c r="AF477" s="116" t="b">
        <f t="shared" si="8"/>
        <v>0</v>
      </c>
      <c r="AG477" s="105" t="b">
        <f t="shared" si="9"/>
        <v>0</v>
      </c>
      <c r="AH477" s="140"/>
      <c r="AI477" s="140"/>
      <c r="AJ477" s="140"/>
      <c r="AK477" s="117" t="str">
        <f t="shared" si="10"/>
        <v>Negative</v>
      </c>
      <c r="AL477" s="142"/>
      <c r="AM477" s="112" t="s">
        <v>573</v>
      </c>
      <c r="AN477" s="112" t="s">
        <v>574</v>
      </c>
      <c r="AO477" s="112" t="str">
        <f>IFERROR(__xludf.DUMMYFUNCTION("IF($AG477, ""DELETED"",TRIM(JOIN("" "",D477:E477)))"),"")</f>
        <v/>
      </c>
      <c r="AP477" s="112" t="str">
        <f t="shared" ref="AP477:AQ477" si="502">IF($AG477, "DELETED", TRIM(CONCATENATE(F477,I477,U477)))</f>
        <v/>
      </c>
      <c r="AQ477" s="112" t="str">
        <f t="shared" si="502"/>
        <v/>
      </c>
      <c r="AR477" s="112" t="str">
        <f>IFERROR(__xludf.DUMMYFUNCTION("IF($AG477, ""DELETED"", TRIM(JOIN("" "",AP477,AQ477)))"),"")</f>
        <v/>
      </c>
      <c r="AS477" s="118"/>
      <c r="AT477" s="110" t="b">
        <f t="shared" si="12"/>
        <v>0</v>
      </c>
      <c r="AU477" s="110" t="str">
        <f t="shared" si="13"/>
        <v/>
      </c>
      <c r="AV477" s="110" t="str">
        <f t="shared" si="14"/>
        <v/>
      </c>
      <c r="AW477" s="110" t="str">
        <f t="shared" si="15"/>
        <v/>
      </c>
      <c r="AX477" s="119" t="str">
        <f t="shared" si="16"/>
        <v/>
      </c>
      <c r="AY477" s="120"/>
      <c r="AZ477" s="121"/>
      <c r="BA477" s="122" t="str">
        <f t="shared" si="17"/>
        <v/>
      </c>
      <c r="BB477" s="34"/>
      <c r="BC477" s="121"/>
      <c r="BD477" s="136"/>
      <c r="BE477" s="125" t="str">
        <f t="shared" si="18"/>
        <v/>
      </c>
      <c r="BF477" s="126" t="str">
        <f t="shared" si="19"/>
        <v>MA281__44611_0.322592592592593</v>
      </c>
      <c r="BG477" s="127" t="str">
        <f t="shared" si="20"/>
        <v/>
      </c>
      <c r="BH477" s="137" t="s">
        <v>1442</v>
      </c>
      <c r="BI477" s="128" t="str">
        <f t="shared" si="21"/>
        <v>MA189</v>
      </c>
      <c r="BJ477" s="129" t="b">
        <f t="shared" si="22"/>
        <v>0</v>
      </c>
      <c r="BK477" s="128" t="str">
        <f t="shared" si="23"/>
        <v/>
      </c>
      <c r="BL477" s="121"/>
      <c r="BM477" s="5" t="str">
        <f t="shared" si="24"/>
        <v>MISSING</v>
      </c>
      <c r="BN477" s="120" t="b">
        <f t="shared" si="25"/>
        <v>0</v>
      </c>
      <c r="BO477" s="131" t="b">
        <f t="shared" si="26"/>
        <v>1</v>
      </c>
      <c r="BP477" s="121"/>
      <c r="BQ477" s="132" t="str">
        <f>VLOOKUP(A477,RAW_APS!A$3:O826,15,FALSE)</f>
        <v/>
      </c>
      <c r="BR477" s="120" t="b">
        <f t="shared" si="27"/>
        <v>1</v>
      </c>
      <c r="BS477" s="121"/>
      <c r="BT477" s="138" t="s">
        <v>244</v>
      </c>
      <c r="BU477" s="10" t="b">
        <f t="shared" si="28"/>
        <v>1</v>
      </c>
      <c r="BV477" s="120"/>
      <c r="BW477" s="120"/>
      <c r="BX477" s="120"/>
      <c r="BY477" s="120"/>
      <c r="BZ477" s="120"/>
      <c r="CA477" s="120"/>
      <c r="CB477" s="120"/>
      <c r="CC477" s="120"/>
    </row>
    <row r="478">
      <c r="A478" s="2" t="s">
        <v>1443</v>
      </c>
      <c r="B478" s="100">
        <v>44611.0</v>
      </c>
      <c r="C478" s="101">
        <v>0.3233333333333333</v>
      </c>
      <c r="D478" s="102"/>
      <c r="E478" s="102"/>
      <c r="F478" s="102"/>
      <c r="G478" s="102"/>
      <c r="H478" s="102"/>
      <c r="I478" s="103"/>
      <c r="J478" s="103"/>
      <c r="K478" s="2" t="s">
        <v>244</v>
      </c>
      <c r="L478" s="100">
        <v>44611.0</v>
      </c>
      <c r="M478" s="101">
        <v>0.4882523148148148</v>
      </c>
      <c r="P478" s="104" t="b">
        <f>IFNA(IF(VLOOKUP($A478,'Add from APT'!$AA$2:$AC826,3,FALSE)&gt;0,TRUE,FALSE),"ER - NOT IN APT")</f>
        <v>0</v>
      </c>
      <c r="Q478" s="105" t="str">
        <f>IF(ISLOGICAL(P478),IF(P478,"ER - REPS IN APT", IFNA(VLOOKUP($A478,RAW_APT!$A$3:$M826,7,FALSE),"ER - NOT IN APT")),P478)</f>
        <v>Result</v>
      </c>
      <c r="R478" s="106" t="b">
        <f t="shared" si="2"/>
        <v>1</v>
      </c>
      <c r="S478" s="107">
        <f t="shared" si="3"/>
        <v>1</v>
      </c>
      <c r="T478" s="143"/>
      <c r="U478" s="142"/>
      <c r="V478" s="142"/>
      <c r="W478" s="142"/>
      <c r="X478" s="110" t="b">
        <f t="shared" si="4"/>
        <v>0</v>
      </c>
      <c r="Y478" s="111" t="b">
        <v>0</v>
      </c>
      <c r="Z478" s="104" t="str">
        <f t="shared" si="5"/>
        <v/>
      </c>
      <c r="AA478" s="112" t="b">
        <f t="shared" si="6"/>
        <v>0</v>
      </c>
      <c r="AB478" s="142" t="b">
        <v>0</v>
      </c>
      <c r="AC478" s="140">
        <v>333.0</v>
      </c>
      <c r="AD478" s="141" t="b">
        <v>0</v>
      </c>
      <c r="AE478" s="115">
        <f t="shared" si="7"/>
        <v>237.4833333</v>
      </c>
      <c r="AF478" s="116" t="b">
        <f t="shared" si="8"/>
        <v>0</v>
      </c>
      <c r="AG478" s="105" t="b">
        <f t="shared" si="9"/>
        <v>0</v>
      </c>
      <c r="AH478" s="140"/>
      <c r="AI478" s="140"/>
      <c r="AJ478" s="140"/>
      <c r="AK478" s="117" t="str">
        <f t="shared" si="10"/>
        <v>Negative</v>
      </c>
      <c r="AL478" s="142"/>
      <c r="AM478" s="112" t="s">
        <v>577</v>
      </c>
      <c r="AN478" s="112" t="s">
        <v>578</v>
      </c>
      <c r="AO478" s="112" t="str">
        <f>IFERROR(__xludf.DUMMYFUNCTION("IF($AG478, ""DELETED"",TRIM(JOIN("" "",D478:E478)))"),"")</f>
        <v/>
      </c>
      <c r="AP478" s="112" t="str">
        <f t="shared" ref="AP478:AQ478" si="503">IF($AG478, "DELETED", TRIM(CONCATENATE(F478,I478,U478)))</f>
        <v/>
      </c>
      <c r="AQ478" s="112" t="str">
        <f t="shared" si="503"/>
        <v/>
      </c>
      <c r="AR478" s="112" t="str">
        <f>IFERROR(__xludf.DUMMYFUNCTION("IF($AG478, ""DELETED"", TRIM(JOIN("" "",AP478,AQ478)))"),"")</f>
        <v/>
      </c>
      <c r="AS478" s="118"/>
      <c r="AT478" s="110" t="b">
        <f t="shared" si="12"/>
        <v>0</v>
      </c>
      <c r="AU478" s="110" t="str">
        <f t="shared" si="13"/>
        <v/>
      </c>
      <c r="AV478" s="110" t="str">
        <f t="shared" si="14"/>
        <v/>
      </c>
      <c r="AW478" s="110" t="str">
        <f t="shared" si="15"/>
        <v/>
      </c>
      <c r="AX478" s="119" t="str">
        <f t="shared" si="16"/>
        <v/>
      </c>
      <c r="AY478" s="120"/>
      <c r="AZ478" s="121"/>
      <c r="BA478" s="122" t="str">
        <f t="shared" si="17"/>
        <v/>
      </c>
      <c r="BB478" s="34"/>
      <c r="BC478" s="121"/>
      <c r="BD478" s="136"/>
      <c r="BE478" s="125" t="str">
        <f t="shared" si="18"/>
        <v/>
      </c>
      <c r="BF478" s="126" t="str">
        <f t="shared" si="19"/>
        <v>MA268__44611_0.323333333333333</v>
      </c>
      <c r="BG478" s="127" t="str">
        <f t="shared" si="20"/>
        <v/>
      </c>
      <c r="BH478" s="137" t="s">
        <v>1444</v>
      </c>
      <c r="BI478" s="128" t="str">
        <f t="shared" si="21"/>
        <v>MA190</v>
      </c>
      <c r="BJ478" s="129" t="b">
        <f t="shared" si="22"/>
        <v>0</v>
      </c>
      <c r="BK478" s="128" t="str">
        <f t="shared" si="23"/>
        <v/>
      </c>
      <c r="BL478" s="121"/>
      <c r="BM478" s="5" t="str">
        <f t="shared" si="24"/>
        <v>MISSING</v>
      </c>
      <c r="BN478" s="120" t="b">
        <f t="shared" si="25"/>
        <v>0</v>
      </c>
      <c r="BO478" s="131" t="b">
        <f t="shared" si="26"/>
        <v>1</v>
      </c>
      <c r="BP478" s="121"/>
      <c r="BQ478" s="132" t="str">
        <f>VLOOKUP(A478,RAW_APS!A$3:O826,15,FALSE)</f>
        <v/>
      </c>
      <c r="BR478" s="120" t="b">
        <f t="shared" si="27"/>
        <v>1</v>
      </c>
      <c r="BS478" s="121"/>
      <c r="BT478" s="138" t="s">
        <v>244</v>
      </c>
      <c r="BU478" s="10" t="b">
        <f t="shared" si="28"/>
        <v>1</v>
      </c>
      <c r="BV478" s="120"/>
      <c r="BW478" s="120"/>
      <c r="BX478" s="120"/>
      <c r="BY478" s="120"/>
      <c r="BZ478" s="120"/>
      <c r="CA478" s="120"/>
      <c r="CB478" s="120"/>
      <c r="CC478" s="120"/>
    </row>
    <row r="479">
      <c r="A479" s="2" t="s">
        <v>1445</v>
      </c>
      <c r="B479" s="100">
        <v>44611.0</v>
      </c>
      <c r="C479" s="101">
        <v>0.32579861111111114</v>
      </c>
      <c r="D479" s="102"/>
      <c r="E479" s="102"/>
      <c r="F479" s="102"/>
      <c r="G479" s="102"/>
      <c r="H479" s="102"/>
      <c r="I479" s="103"/>
      <c r="J479" s="103"/>
      <c r="K479" s="2" t="s">
        <v>244</v>
      </c>
      <c r="L479" s="100">
        <v>44611.0</v>
      </c>
      <c r="M479" s="101">
        <v>0.4882523148148148</v>
      </c>
      <c r="P479" s="104" t="b">
        <f>IFNA(IF(VLOOKUP($A479,'Add from APT'!$AA$2:$AC826,3,FALSE)&gt;0,TRUE,FALSE),"ER - NOT IN APT")</f>
        <v>0</v>
      </c>
      <c r="Q479" s="105" t="str">
        <f>IF(ISLOGICAL(P479),IF(P479,"ER - REPS IN APT", IFNA(VLOOKUP($A479,RAW_APT!$A$3:$M826,7,FALSE),"ER - NOT IN APT")),P479)</f>
        <v>Result</v>
      </c>
      <c r="R479" s="106" t="b">
        <f t="shared" si="2"/>
        <v>1</v>
      </c>
      <c r="S479" s="107">
        <f t="shared" si="3"/>
        <v>1</v>
      </c>
      <c r="T479" s="143"/>
      <c r="U479" s="142"/>
      <c r="V479" s="142"/>
      <c r="W479" s="142"/>
      <c r="X479" s="110" t="b">
        <f t="shared" si="4"/>
        <v>0</v>
      </c>
      <c r="Y479" s="111" t="b">
        <v>0</v>
      </c>
      <c r="Z479" s="104" t="str">
        <f t="shared" si="5"/>
        <v/>
      </c>
      <c r="AA479" s="112" t="b">
        <f t="shared" si="6"/>
        <v>0</v>
      </c>
      <c r="AB479" s="142" t="b">
        <v>0</v>
      </c>
      <c r="AC479" s="140">
        <v>332.0</v>
      </c>
      <c r="AD479" s="141" t="b">
        <v>0</v>
      </c>
      <c r="AE479" s="115">
        <f t="shared" si="7"/>
        <v>233.9333333</v>
      </c>
      <c r="AF479" s="116" t="b">
        <f t="shared" si="8"/>
        <v>0</v>
      </c>
      <c r="AG479" s="105" t="b">
        <f t="shared" si="9"/>
        <v>0</v>
      </c>
      <c r="AH479" s="140"/>
      <c r="AI479" s="140"/>
      <c r="AJ479" s="140"/>
      <c r="AK479" s="117" t="str">
        <f t="shared" si="10"/>
        <v>Negative</v>
      </c>
      <c r="AL479" s="142"/>
      <c r="AM479" s="112" t="s">
        <v>314</v>
      </c>
      <c r="AN479" s="112" t="s">
        <v>315</v>
      </c>
      <c r="AO479" s="112" t="str">
        <f>IFERROR(__xludf.DUMMYFUNCTION("IF($AG479, ""DELETED"",TRIM(JOIN("" "",D479:E479)))"),"")</f>
        <v/>
      </c>
      <c r="AP479" s="112" t="str">
        <f t="shared" ref="AP479:AQ479" si="504">IF($AG479, "DELETED", TRIM(CONCATENATE(F479,I479,U479)))</f>
        <v/>
      </c>
      <c r="AQ479" s="112" t="str">
        <f t="shared" si="504"/>
        <v/>
      </c>
      <c r="AR479" s="112" t="str">
        <f>IFERROR(__xludf.DUMMYFUNCTION("IF($AG479, ""DELETED"", TRIM(JOIN("" "",AP479,AQ479)))"),"")</f>
        <v/>
      </c>
      <c r="AS479" s="118"/>
      <c r="AT479" s="110" t="b">
        <f t="shared" si="12"/>
        <v>0</v>
      </c>
      <c r="AU479" s="110" t="str">
        <f t="shared" si="13"/>
        <v/>
      </c>
      <c r="AV479" s="110" t="str">
        <f t="shared" si="14"/>
        <v/>
      </c>
      <c r="AW479" s="110" t="str">
        <f t="shared" si="15"/>
        <v/>
      </c>
      <c r="AX479" s="119" t="str">
        <f t="shared" si="16"/>
        <v/>
      </c>
      <c r="AY479" s="120"/>
      <c r="AZ479" s="121"/>
      <c r="BA479" s="122" t="str">
        <f t="shared" si="17"/>
        <v/>
      </c>
      <c r="BB479" s="34"/>
      <c r="BC479" s="121"/>
      <c r="BD479" s="136"/>
      <c r="BE479" s="125" t="str">
        <f t="shared" si="18"/>
        <v/>
      </c>
      <c r="BF479" s="126" t="str">
        <f t="shared" si="19"/>
        <v>MA1027__44611_0.325798611111111</v>
      </c>
      <c r="BG479" s="127" t="str">
        <f t="shared" si="20"/>
        <v/>
      </c>
      <c r="BH479" s="137" t="s">
        <v>1446</v>
      </c>
      <c r="BI479" s="128" t="str">
        <f t="shared" si="21"/>
        <v>MA190A</v>
      </c>
      <c r="BJ479" s="129" t="b">
        <f t="shared" si="22"/>
        <v>0</v>
      </c>
      <c r="BK479" s="128" t="str">
        <f t="shared" si="23"/>
        <v/>
      </c>
      <c r="BL479" s="121"/>
      <c r="BM479" s="5" t="str">
        <f t="shared" si="24"/>
        <v>MISSING</v>
      </c>
      <c r="BN479" s="120" t="b">
        <f t="shared" si="25"/>
        <v>0</v>
      </c>
      <c r="BO479" s="131" t="b">
        <f t="shared" si="26"/>
        <v>1</v>
      </c>
      <c r="BP479" s="121"/>
      <c r="BQ479" s="132" t="str">
        <f>VLOOKUP(A479,RAW_APS!A$3:O826,15,FALSE)</f>
        <v/>
      </c>
      <c r="BR479" s="120" t="b">
        <f t="shared" si="27"/>
        <v>1</v>
      </c>
      <c r="BS479" s="121"/>
      <c r="BT479" s="138" t="s">
        <v>244</v>
      </c>
      <c r="BU479" s="10" t="b">
        <f t="shared" si="28"/>
        <v>1</v>
      </c>
      <c r="BV479" s="120"/>
      <c r="BW479" s="120"/>
      <c r="BX479" s="120"/>
      <c r="BY479" s="120"/>
      <c r="BZ479" s="120"/>
      <c r="CA479" s="120"/>
      <c r="CB479" s="120"/>
      <c r="CC479" s="120"/>
    </row>
    <row r="480">
      <c r="A480" s="2" t="s">
        <v>1447</v>
      </c>
      <c r="B480" s="100">
        <v>44611.0</v>
      </c>
      <c r="C480" s="101">
        <v>0.32633101851851853</v>
      </c>
      <c r="D480" s="102"/>
      <c r="E480" s="102"/>
      <c r="F480" s="102"/>
      <c r="G480" s="102"/>
      <c r="H480" s="102"/>
      <c r="I480" s="103"/>
      <c r="J480" s="103"/>
      <c r="K480" s="2" t="s">
        <v>244</v>
      </c>
      <c r="L480" s="100">
        <v>44611.0</v>
      </c>
      <c r="M480" s="101">
        <v>0.4882523148148148</v>
      </c>
      <c r="P480" s="104" t="b">
        <f>IFNA(IF(VLOOKUP($A480,'Add from APT'!$AA$2:$AC826,3,FALSE)&gt;0,TRUE,FALSE),"ER - NOT IN APT")</f>
        <v>0</v>
      </c>
      <c r="Q480" s="105" t="str">
        <f>IF(ISLOGICAL(P480),IF(P480,"ER - REPS IN APT", IFNA(VLOOKUP($A480,RAW_APT!$A$3:$M826,7,FALSE),"ER - NOT IN APT")),P480)</f>
        <v>Result</v>
      </c>
      <c r="R480" s="106" t="b">
        <f t="shared" si="2"/>
        <v>1</v>
      </c>
      <c r="S480" s="107">
        <f t="shared" si="3"/>
        <v>1</v>
      </c>
      <c r="T480" s="143"/>
      <c r="U480" s="142"/>
      <c r="V480" s="142"/>
      <c r="W480" s="142"/>
      <c r="X480" s="110" t="b">
        <f t="shared" si="4"/>
        <v>0</v>
      </c>
      <c r="Y480" s="111" t="b">
        <v>0</v>
      </c>
      <c r="Z480" s="104" t="str">
        <f t="shared" si="5"/>
        <v/>
      </c>
      <c r="AA480" s="112" t="b">
        <f t="shared" si="6"/>
        <v>0</v>
      </c>
      <c r="AB480" s="142" t="b">
        <v>0</v>
      </c>
      <c r="AC480" s="140">
        <v>331.0</v>
      </c>
      <c r="AD480" s="141" t="b">
        <v>0</v>
      </c>
      <c r="AE480" s="115">
        <f t="shared" si="7"/>
        <v>233.1666667</v>
      </c>
      <c r="AF480" s="116" t="b">
        <f t="shared" si="8"/>
        <v>0</v>
      </c>
      <c r="AG480" s="105" t="b">
        <f t="shared" si="9"/>
        <v>0</v>
      </c>
      <c r="AH480" s="140"/>
      <c r="AI480" s="140"/>
      <c r="AJ480" s="140"/>
      <c r="AK480" s="117" t="str">
        <f t="shared" si="10"/>
        <v>Negative</v>
      </c>
      <c r="AL480" s="142"/>
      <c r="AM480" s="112" t="s">
        <v>862</v>
      </c>
      <c r="AN480" s="112" t="s">
        <v>539</v>
      </c>
      <c r="AO480" s="112" t="str">
        <f>IFERROR(__xludf.DUMMYFUNCTION("IF($AG480, ""DELETED"",TRIM(JOIN("" "",D480:E480)))"),"")</f>
        <v/>
      </c>
      <c r="AP480" s="112" t="str">
        <f t="shared" ref="AP480:AQ480" si="505">IF($AG480, "DELETED", TRIM(CONCATENATE(F480,I480,U480)))</f>
        <v/>
      </c>
      <c r="AQ480" s="112" t="str">
        <f t="shared" si="505"/>
        <v/>
      </c>
      <c r="AR480" s="112" t="str">
        <f>IFERROR(__xludf.DUMMYFUNCTION("IF($AG480, ""DELETED"", TRIM(JOIN("" "",AP480,AQ480)))"),"")</f>
        <v/>
      </c>
      <c r="AS480" s="118"/>
      <c r="AT480" s="110" t="b">
        <f t="shared" si="12"/>
        <v>0</v>
      </c>
      <c r="AU480" s="110" t="str">
        <f t="shared" si="13"/>
        <v/>
      </c>
      <c r="AV480" s="110" t="str">
        <f t="shared" si="14"/>
        <v/>
      </c>
      <c r="AW480" s="110" t="str">
        <f t="shared" si="15"/>
        <v/>
      </c>
      <c r="AX480" s="119" t="str">
        <f t="shared" si="16"/>
        <v/>
      </c>
      <c r="AY480" s="120"/>
      <c r="AZ480" s="121"/>
      <c r="BA480" s="122" t="str">
        <f t="shared" si="17"/>
        <v/>
      </c>
      <c r="BB480" s="34"/>
      <c r="BC480" s="121"/>
      <c r="BD480" s="136"/>
      <c r="BE480" s="125" t="str">
        <f t="shared" si="18"/>
        <v/>
      </c>
      <c r="BF480" s="126" t="str">
        <f t="shared" si="19"/>
        <v>FM787__44611_0.326331018518519</v>
      </c>
      <c r="BG480" s="127" t="str">
        <f t="shared" si="20"/>
        <v/>
      </c>
      <c r="BH480" s="137" t="s">
        <v>1448</v>
      </c>
      <c r="BI480" s="128" t="str">
        <f t="shared" si="21"/>
        <v>MA193</v>
      </c>
      <c r="BJ480" s="129" t="b">
        <f t="shared" si="22"/>
        <v>0</v>
      </c>
      <c r="BK480" s="128" t="str">
        <f t="shared" si="23"/>
        <v/>
      </c>
      <c r="BL480" s="121"/>
      <c r="BM480" s="5" t="str">
        <f t="shared" si="24"/>
        <v>MISSING</v>
      </c>
      <c r="BN480" s="120" t="b">
        <f t="shared" si="25"/>
        <v>0</v>
      </c>
      <c r="BO480" s="131" t="b">
        <f t="shared" si="26"/>
        <v>1</v>
      </c>
      <c r="BP480" s="121"/>
      <c r="BQ480" s="132" t="str">
        <f>VLOOKUP(A480,RAW_APS!A$3:O826,15,FALSE)</f>
        <v/>
      </c>
      <c r="BR480" s="120" t="b">
        <f t="shared" si="27"/>
        <v>1</v>
      </c>
      <c r="BS480" s="121"/>
      <c r="BT480" s="138" t="s">
        <v>244</v>
      </c>
      <c r="BU480" s="10" t="b">
        <f t="shared" si="28"/>
        <v>1</v>
      </c>
      <c r="BV480" s="120"/>
      <c r="BW480" s="120"/>
      <c r="BX480" s="120"/>
      <c r="BY480" s="120"/>
      <c r="BZ480" s="120"/>
      <c r="CA480" s="120"/>
      <c r="CB480" s="120"/>
      <c r="CC480" s="120"/>
    </row>
    <row r="481">
      <c r="A481" s="2" t="s">
        <v>1449</v>
      </c>
      <c r="B481" s="100">
        <v>44611.0</v>
      </c>
      <c r="C481" s="101">
        <v>0.32788194444444446</v>
      </c>
      <c r="D481" s="102"/>
      <c r="E481" s="102"/>
      <c r="F481" s="102"/>
      <c r="G481" s="102"/>
      <c r="H481" s="102"/>
      <c r="I481" s="103"/>
      <c r="J481" s="103"/>
      <c r="K481" s="2" t="s">
        <v>244</v>
      </c>
      <c r="L481" s="100">
        <v>44611.0</v>
      </c>
      <c r="M481" s="101">
        <v>0.4882638888888889</v>
      </c>
      <c r="P481" s="104" t="b">
        <f>IFNA(IF(VLOOKUP($A481,'Add from APT'!$AA$2:$AC826,3,FALSE)&gt;0,TRUE,FALSE),"ER - NOT IN APT")</f>
        <v>0</v>
      </c>
      <c r="Q481" s="105" t="str">
        <f>IF(ISLOGICAL(P481),IF(P481,"ER - REPS IN APT", IFNA(VLOOKUP($A481,RAW_APT!$A$3:$M826,7,FALSE),"ER - NOT IN APT")),P481)</f>
        <v>Result</v>
      </c>
      <c r="R481" s="106" t="b">
        <f t="shared" si="2"/>
        <v>1</v>
      </c>
      <c r="S481" s="107">
        <f t="shared" si="3"/>
        <v>1</v>
      </c>
      <c r="T481" s="143"/>
      <c r="U481" s="142"/>
      <c r="V481" s="142"/>
      <c r="W481" s="142"/>
      <c r="X481" s="110" t="b">
        <f t="shared" si="4"/>
        <v>0</v>
      </c>
      <c r="Y481" s="111" t="b">
        <v>0</v>
      </c>
      <c r="Z481" s="104" t="str">
        <f t="shared" si="5"/>
        <v/>
      </c>
      <c r="AA481" s="112" t="b">
        <f t="shared" si="6"/>
        <v>0</v>
      </c>
      <c r="AB481" s="142" t="b">
        <v>0</v>
      </c>
      <c r="AC481" s="140">
        <v>330.0</v>
      </c>
      <c r="AD481" s="141" t="b">
        <v>0</v>
      </c>
      <c r="AE481" s="115">
        <f t="shared" si="7"/>
        <v>230.95</v>
      </c>
      <c r="AF481" s="116" t="b">
        <f t="shared" si="8"/>
        <v>0</v>
      </c>
      <c r="AG481" s="105" t="b">
        <f t="shared" si="9"/>
        <v>0</v>
      </c>
      <c r="AH481" s="140"/>
      <c r="AI481" s="140"/>
      <c r="AJ481" s="140"/>
      <c r="AK481" s="117" t="str">
        <f t="shared" si="10"/>
        <v>Negative</v>
      </c>
      <c r="AL481" s="142"/>
      <c r="AM481" s="112" t="s">
        <v>870</v>
      </c>
      <c r="AN481" s="112" t="s">
        <v>533</v>
      </c>
      <c r="AO481" s="112" t="str">
        <f>IFERROR(__xludf.DUMMYFUNCTION("IF($AG481, ""DELETED"",TRIM(JOIN("" "",D481:E481)))"),"")</f>
        <v/>
      </c>
      <c r="AP481" s="112" t="str">
        <f t="shared" ref="AP481:AQ481" si="506">IF($AG481, "DELETED", TRIM(CONCATENATE(F481,I481,U481)))</f>
        <v/>
      </c>
      <c r="AQ481" s="112" t="str">
        <f t="shared" si="506"/>
        <v/>
      </c>
      <c r="AR481" s="112" t="str">
        <f>IFERROR(__xludf.DUMMYFUNCTION("IF($AG481, ""DELETED"", TRIM(JOIN("" "",AP481,AQ481)))"),"")</f>
        <v/>
      </c>
      <c r="AS481" s="118"/>
      <c r="AT481" s="110" t="b">
        <f t="shared" si="12"/>
        <v>0</v>
      </c>
      <c r="AU481" s="110" t="str">
        <f t="shared" si="13"/>
        <v/>
      </c>
      <c r="AV481" s="110" t="str">
        <f t="shared" si="14"/>
        <v/>
      </c>
      <c r="AW481" s="110" t="str">
        <f t="shared" si="15"/>
        <v/>
      </c>
      <c r="AX481" s="119" t="str">
        <f t="shared" si="16"/>
        <v/>
      </c>
      <c r="AY481" s="120"/>
      <c r="AZ481" s="121"/>
      <c r="BA481" s="122" t="str">
        <f t="shared" si="17"/>
        <v/>
      </c>
      <c r="BB481" s="34"/>
      <c r="BC481" s="121"/>
      <c r="BD481" s="136"/>
      <c r="BE481" s="125" t="str">
        <f t="shared" si="18"/>
        <v/>
      </c>
      <c r="BF481" s="126" t="str">
        <f t="shared" si="19"/>
        <v>FM836__44611_0.327881944444444</v>
      </c>
      <c r="BG481" s="127" t="str">
        <f t="shared" si="20"/>
        <v/>
      </c>
      <c r="BH481" s="137" t="s">
        <v>1450</v>
      </c>
      <c r="BI481" s="128" t="str">
        <f t="shared" si="21"/>
        <v>MA194</v>
      </c>
      <c r="BJ481" s="129" t="b">
        <f t="shared" si="22"/>
        <v>0</v>
      </c>
      <c r="BK481" s="128" t="str">
        <f t="shared" si="23"/>
        <v/>
      </c>
      <c r="BL481" s="121"/>
      <c r="BM481" s="5" t="str">
        <f t="shared" si="24"/>
        <v>MISSING</v>
      </c>
      <c r="BN481" s="120" t="b">
        <f t="shared" si="25"/>
        <v>0</v>
      </c>
      <c r="BO481" s="131" t="b">
        <f t="shared" si="26"/>
        <v>1</v>
      </c>
      <c r="BP481" s="121"/>
      <c r="BQ481" s="132" t="str">
        <f>VLOOKUP(A481,RAW_APS!A$3:O826,15,FALSE)</f>
        <v/>
      </c>
      <c r="BR481" s="120" t="b">
        <f t="shared" si="27"/>
        <v>1</v>
      </c>
      <c r="BS481" s="121"/>
      <c r="BT481" s="138" t="s">
        <v>244</v>
      </c>
      <c r="BU481" s="10" t="b">
        <f t="shared" si="28"/>
        <v>1</v>
      </c>
      <c r="BV481" s="120"/>
      <c r="BW481" s="120"/>
      <c r="BX481" s="120"/>
      <c r="BY481" s="120"/>
      <c r="BZ481" s="120"/>
      <c r="CA481" s="120"/>
      <c r="CB481" s="120"/>
      <c r="CC481" s="120"/>
    </row>
    <row r="482">
      <c r="A482" s="2" t="s">
        <v>1451</v>
      </c>
      <c r="B482" s="100">
        <v>44611.0</v>
      </c>
      <c r="C482" s="101">
        <v>0.32890046296296294</v>
      </c>
      <c r="D482" s="102"/>
      <c r="E482" s="102"/>
      <c r="F482" s="102"/>
      <c r="G482" s="102"/>
      <c r="H482" s="102"/>
      <c r="I482" s="103"/>
      <c r="J482" s="103"/>
      <c r="K482" s="2" t="s">
        <v>244</v>
      </c>
      <c r="L482" s="100">
        <v>44611.0</v>
      </c>
      <c r="M482" s="101">
        <v>0.4882638888888889</v>
      </c>
      <c r="P482" s="104" t="b">
        <f>IFNA(IF(VLOOKUP($A482,'Add from APT'!$AA$2:$AC826,3,FALSE)&gt;0,TRUE,FALSE),"ER - NOT IN APT")</f>
        <v>0</v>
      </c>
      <c r="Q482" s="105" t="str">
        <f>IF(ISLOGICAL(P482),IF(P482,"ER - REPS IN APT", IFNA(VLOOKUP($A482,RAW_APT!$A$3:$M826,7,FALSE),"ER - NOT IN APT")),P482)</f>
        <v>Result</v>
      </c>
      <c r="R482" s="106" t="b">
        <f t="shared" si="2"/>
        <v>1</v>
      </c>
      <c r="S482" s="107">
        <f t="shared" si="3"/>
        <v>1</v>
      </c>
      <c r="T482" s="143"/>
      <c r="U482" s="142"/>
      <c r="V482" s="142"/>
      <c r="W482" s="142"/>
      <c r="X482" s="110" t="b">
        <f t="shared" si="4"/>
        <v>0</v>
      </c>
      <c r="Y482" s="111" t="b">
        <v>0</v>
      </c>
      <c r="Z482" s="104" t="str">
        <f t="shared" si="5"/>
        <v/>
      </c>
      <c r="AA482" s="112" t="b">
        <f t="shared" si="6"/>
        <v>0</v>
      </c>
      <c r="AB482" s="142" t="b">
        <v>0</v>
      </c>
      <c r="AC482" s="140">
        <v>329.0</v>
      </c>
      <c r="AD482" s="141" t="b">
        <v>0</v>
      </c>
      <c r="AE482" s="115">
        <f t="shared" si="7"/>
        <v>229.4833333</v>
      </c>
      <c r="AF482" s="116" t="b">
        <f t="shared" si="8"/>
        <v>0</v>
      </c>
      <c r="AG482" s="105" t="b">
        <f t="shared" si="9"/>
        <v>0</v>
      </c>
      <c r="AH482" s="140"/>
      <c r="AI482" s="140"/>
      <c r="AJ482" s="140"/>
      <c r="AK482" s="117" t="str">
        <f t="shared" si="10"/>
        <v>Negative</v>
      </c>
      <c r="AL482" s="142"/>
      <c r="AM482" s="112" t="s">
        <v>727</v>
      </c>
      <c r="AN482" s="112" t="s">
        <v>728</v>
      </c>
      <c r="AO482" s="112" t="str">
        <f>IFERROR(__xludf.DUMMYFUNCTION("IF($AG482, ""DELETED"",TRIM(JOIN("" "",D482:E482)))"),"")</f>
        <v/>
      </c>
      <c r="AP482" s="112" t="str">
        <f t="shared" ref="AP482:AQ482" si="507">IF($AG482, "DELETED", TRIM(CONCATENATE(F482,I482,U482)))</f>
        <v/>
      </c>
      <c r="AQ482" s="112" t="str">
        <f t="shared" si="507"/>
        <v/>
      </c>
      <c r="AR482" s="112" t="str">
        <f>IFERROR(__xludf.DUMMYFUNCTION("IF($AG482, ""DELETED"", TRIM(JOIN("" "",AP482,AQ482)))"),"")</f>
        <v/>
      </c>
      <c r="AS482" s="118"/>
      <c r="AT482" s="110" t="b">
        <f t="shared" si="12"/>
        <v>0</v>
      </c>
      <c r="AU482" s="110" t="str">
        <f t="shared" si="13"/>
        <v/>
      </c>
      <c r="AV482" s="110" t="str">
        <f t="shared" si="14"/>
        <v/>
      </c>
      <c r="AW482" s="110" t="str">
        <f t="shared" si="15"/>
        <v/>
      </c>
      <c r="AX482" s="119" t="str">
        <f t="shared" si="16"/>
        <v/>
      </c>
      <c r="AY482" s="120"/>
      <c r="AZ482" s="121"/>
      <c r="BA482" s="122" t="str">
        <f t="shared" si="17"/>
        <v/>
      </c>
      <c r="BB482" s="34"/>
      <c r="BC482" s="121"/>
      <c r="BD482" s="136"/>
      <c r="BE482" s="125" t="str">
        <f t="shared" si="18"/>
        <v/>
      </c>
      <c r="BF482" s="126" t="str">
        <f t="shared" si="19"/>
        <v>FM89__44611_0.328900462962963</v>
      </c>
      <c r="BG482" s="127" t="str">
        <f t="shared" si="20"/>
        <v/>
      </c>
      <c r="BH482" s="137" t="s">
        <v>1452</v>
      </c>
      <c r="BI482" s="128" t="str">
        <f t="shared" si="21"/>
        <v>MA197</v>
      </c>
      <c r="BJ482" s="129" t="b">
        <f t="shared" si="22"/>
        <v>0</v>
      </c>
      <c r="BK482" s="128" t="str">
        <f t="shared" si="23"/>
        <v/>
      </c>
      <c r="BL482" s="121"/>
      <c r="BM482" s="5" t="str">
        <f t="shared" si="24"/>
        <v>MISSING</v>
      </c>
      <c r="BN482" s="120" t="b">
        <f t="shared" si="25"/>
        <v>0</v>
      </c>
      <c r="BO482" s="131" t="b">
        <f t="shared" si="26"/>
        <v>1</v>
      </c>
      <c r="BP482" s="121"/>
      <c r="BQ482" s="132" t="str">
        <f>VLOOKUP(A482,RAW_APS!A$3:O826,15,FALSE)</f>
        <v/>
      </c>
      <c r="BR482" s="120" t="b">
        <f t="shared" si="27"/>
        <v>1</v>
      </c>
      <c r="BS482" s="121"/>
      <c r="BT482" s="138" t="s">
        <v>244</v>
      </c>
      <c r="BU482" s="10" t="b">
        <f t="shared" si="28"/>
        <v>1</v>
      </c>
      <c r="BV482" s="120"/>
      <c r="BW482" s="120"/>
      <c r="BX482" s="120"/>
      <c r="BY482" s="120"/>
      <c r="BZ482" s="120"/>
      <c r="CA482" s="120"/>
      <c r="CB482" s="120"/>
      <c r="CC482" s="120"/>
    </row>
    <row r="483">
      <c r="A483" s="2" t="s">
        <v>1453</v>
      </c>
      <c r="B483" s="100">
        <v>44611.0</v>
      </c>
      <c r="C483" s="101">
        <v>0.3321875</v>
      </c>
      <c r="D483" s="102"/>
      <c r="E483" s="102"/>
      <c r="F483" s="102"/>
      <c r="G483" s="102"/>
      <c r="H483" s="102"/>
      <c r="I483" s="103"/>
      <c r="J483" s="103"/>
      <c r="K483" s="2" t="s">
        <v>244</v>
      </c>
      <c r="L483" s="100">
        <v>44611.0</v>
      </c>
      <c r="M483" s="101">
        <v>0.4882638888888889</v>
      </c>
      <c r="P483" s="104" t="b">
        <f>IFNA(IF(VLOOKUP($A483,'Add from APT'!$AA$2:$AC826,3,FALSE)&gt;0,TRUE,FALSE),"ER - NOT IN APT")</f>
        <v>0</v>
      </c>
      <c r="Q483" s="105" t="str">
        <f>IF(ISLOGICAL(P483),IF(P483,"ER - REPS IN APT", IFNA(VLOOKUP($A483,RAW_APT!$A$3:$M826,7,FALSE),"ER - NOT IN APT")),P483)</f>
        <v>Result</v>
      </c>
      <c r="R483" s="106" t="b">
        <f t="shared" si="2"/>
        <v>1</v>
      </c>
      <c r="S483" s="107">
        <f t="shared" si="3"/>
        <v>1</v>
      </c>
      <c r="T483" s="143"/>
      <c r="U483" s="142"/>
      <c r="V483" s="142"/>
      <c r="W483" s="142"/>
      <c r="X483" s="110" t="b">
        <f t="shared" si="4"/>
        <v>0</v>
      </c>
      <c r="Y483" s="111" t="b">
        <v>0</v>
      </c>
      <c r="Z483" s="104" t="str">
        <f t="shared" si="5"/>
        <v/>
      </c>
      <c r="AA483" s="112" t="b">
        <f t="shared" si="6"/>
        <v>0</v>
      </c>
      <c r="AB483" s="142" t="b">
        <v>0</v>
      </c>
      <c r="AC483" s="140">
        <v>328.0</v>
      </c>
      <c r="AD483" s="141" t="b">
        <v>0</v>
      </c>
      <c r="AE483" s="115">
        <f t="shared" si="7"/>
        <v>224.75</v>
      </c>
      <c r="AF483" s="116" t="b">
        <f t="shared" si="8"/>
        <v>0</v>
      </c>
      <c r="AG483" s="105" t="b">
        <f t="shared" si="9"/>
        <v>0</v>
      </c>
      <c r="AH483" s="140"/>
      <c r="AI483" s="140"/>
      <c r="AJ483" s="140"/>
      <c r="AK483" s="117" t="str">
        <f t="shared" si="10"/>
        <v>Negative</v>
      </c>
      <c r="AL483" s="142"/>
      <c r="AM483" s="112" t="s">
        <v>1454</v>
      </c>
      <c r="AN483" s="112" t="s">
        <v>1455</v>
      </c>
      <c r="AO483" s="112" t="str">
        <f>IFERROR(__xludf.DUMMYFUNCTION("IF($AG483, ""DELETED"",TRIM(JOIN("" "",D483:E483)))"),"")</f>
        <v/>
      </c>
      <c r="AP483" s="112" t="str">
        <f t="shared" ref="AP483:AQ483" si="508">IF($AG483, "DELETED", TRIM(CONCATENATE(F483,I483,U483)))</f>
        <v/>
      </c>
      <c r="AQ483" s="112" t="str">
        <f t="shared" si="508"/>
        <v/>
      </c>
      <c r="AR483" s="112" t="str">
        <f>IFERROR(__xludf.DUMMYFUNCTION("IF($AG483, ""DELETED"", TRIM(JOIN("" "",AP483,AQ483)))"),"")</f>
        <v/>
      </c>
      <c r="AS483" s="118"/>
      <c r="AT483" s="110" t="b">
        <f t="shared" si="12"/>
        <v>0</v>
      </c>
      <c r="AU483" s="110" t="str">
        <f t="shared" si="13"/>
        <v/>
      </c>
      <c r="AV483" s="110" t="str">
        <f t="shared" si="14"/>
        <v/>
      </c>
      <c r="AW483" s="110" t="str">
        <f t="shared" si="15"/>
        <v/>
      </c>
      <c r="AX483" s="119" t="str">
        <f t="shared" si="16"/>
        <v/>
      </c>
      <c r="AY483" s="120"/>
      <c r="AZ483" s="121"/>
      <c r="BA483" s="122" t="str">
        <f t="shared" si="17"/>
        <v/>
      </c>
      <c r="BB483" s="34"/>
      <c r="BC483" s="121"/>
      <c r="BD483" s="136"/>
      <c r="BE483" s="125" t="str">
        <f t="shared" si="18"/>
        <v/>
      </c>
      <c r="BF483" s="126" t="str">
        <f t="shared" si="19"/>
        <v>FM834__44611_0.3321875</v>
      </c>
      <c r="BG483" s="127" t="str">
        <f t="shared" si="20"/>
        <v/>
      </c>
      <c r="BH483" s="137" t="s">
        <v>1456</v>
      </c>
      <c r="BI483" s="128" t="str">
        <f t="shared" si="21"/>
        <v>MA197DEL</v>
      </c>
      <c r="BJ483" s="129" t="b">
        <f t="shared" si="22"/>
        <v>0</v>
      </c>
      <c r="BK483" s="128" t="str">
        <f t="shared" si="23"/>
        <v/>
      </c>
      <c r="BL483" s="121"/>
      <c r="BM483" s="5" t="str">
        <f t="shared" si="24"/>
        <v>MISSING</v>
      </c>
      <c r="BN483" s="120" t="b">
        <f t="shared" si="25"/>
        <v>0</v>
      </c>
      <c r="BO483" s="131" t="b">
        <f t="shared" si="26"/>
        <v>1</v>
      </c>
      <c r="BP483" s="121"/>
      <c r="BQ483" s="132" t="str">
        <f>VLOOKUP(A483,RAW_APS!A$3:O826,15,FALSE)</f>
        <v/>
      </c>
      <c r="BR483" s="120" t="b">
        <f t="shared" si="27"/>
        <v>1</v>
      </c>
      <c r="BS483" s="121"/>
      <c r="BT483" s="138" t="s">
        <v>244</v>
      </c>
      <c r="BU483" s="10" t="b">
        <f t="shared" si="28"/>
        <v>1</v>
      </c>
      <c r="BV483" s="120"/>
      <c r="BW483" s="120"/>
      <c r="BX483" s="120"/>
      <c r="BY483" s="120"/>
      <c r="BZ483" s="120"/>
      <c r="CA483" s="120"/>
      <c r="CB483" s="120"/>
      <c r="CC483" s="120"/>
    </row>
    <row r="484">
      <c r="A484" s="2" t="s">
        <v>1457</v>
      </c>
      <c r="B484" s="100">
        <v>44611.0</v>
      </c>
      <c r="C484" s="101">
        <v>0.3321875</v>
      </c>
      <c r="D484" s="102"/>
      <c r="E484" s="102"/>
      <c r="F484" s="102"/>
      <c r="G484" s="102"/>
      <c r="H484" s="102"/>
      <c r="I484" s="103"/>
      <c r="J484" s="103"/>
      <c r="K484" s="2" t="s">
        <v>244</v>
      </c>
      <c r="L484" s="100">
        <v>44611.0</v>
      </c>
      <c r="M484" s="101">
        <v>0.5041203703703704</v>
      </c>
      <c r="P484" s="104" t="b">
        <f>IFNA(IF(VLOOKUP($A484,'Add from APT'!$AA$2:$AC826,3,FALSE)&gt;0,TRUE,FALSE),"ER - NOT IN APT")</f>
        <v>0</v>
      </c>
      <c r="Q484" s="105" t="str">
        <f>IF(ISLOGICAL(P484),IF(P484,"ER - REPS IN APT", IFNA(VLOOKUP($A484,RAW_APT!$A$3:$M826,7,FALSE),"ER - NOT IN APT")),P484)</f>
        <v>Result</v>
      </c>
      <c r="R484" s="106" t="b">
        <f t="shared" si="2"/>
        <v>1</v>
      </c>
      <c r="S484" s="107">
        <f t="shared" si="3"/>
        <v>1</v>
      </c>
      <c r="T484" s="143"/>
      <c r="U484" s="142"/>
      <c r="V484" s="142"/>
      <c r="W484" s="142"/>
      <c r="X484" s="110" t="b">
        <f t="shared" si="4"/>
        <v>0</v>
      </c>
      <c r="Y484" s="111" t="b">
        <v>0</v>
      </c>
      <c r="Z484" s="104" t="str">
        <f t="shared" si="5"/>
        <v/>
      </c>
      <c r="AA484" s="112" t="b">
        <f t="shared" si="6"/>
        <v>0</v>
      </c>
      <c r="AB484" s="142" t="b">
        <v>0</v>
      </c>
      <c r="AC484" s="140">
        <v>327.0</v>
      </c>
      <c r="AD484" s="141" t="b">
        <v>0</v>
      </c>
      <c r="AE484" s="115">
        <f t="shared" si="7"/>
        <v>247.5833333</v>
      </c>
      <c r="AF484" s="116" t="b">
        <f t="shared" si="8"/>
        <v>0</v>
      </c>
      <c r="AG484" s="105" t="b">
        <f t="shared" si="9"/>
        <v>0</v>
      </c>
      <c r="AH484" s="140"/>
      <c r="AI484" s="140"/>
      <c r="AJ484" s="140"/>
      <c r="AK484" s="117" t="str">
        <f t="shared" si="10"/>
        <v>Negative</v>
      </c>
      <c r="AL484" s="142"/>
      <c r="AM484" s="112" t="s">
        <v>875</v>
      </c>
      <c r="AN484" s="112" t="s">
        <v>876</v>
      </c>
      <c r="AO484" s="112" t="str">
        <f>IFERROR(__xludf.DUMMYFUNCTION("IF($AG484, ""DELETED"",TRIM(JOIN("" "",D484:E484)))"),"")</f>
        <v/>
      </c>
      <c r="AP484" s="112" t="str">
        <f t="shared" ref="AP484:AQ484" si="509">IF($AG484, "DELETED", TRIM(CONCATENATE(F484,I484,U484)))</f>
        <v/>
      </c>
      <c r="AQ484" s="112" t="str">
        <f t="shared" si="509"/>
        <v/>
      </c>
      <c r="AR484" s="112" t="str">
        <f>IFERROR(__xludf.DUMMYFUNCTION("IF($AG484, ""DELETED"", TRIM(JOIN("" "",AP484,AQ484)))"),"")</f>
        <v/>
      </c>
      <c r="AS484" s="118"/>
      <c r="AT484" s="110" t="b">
        <f t="shared" si="12"/>
        <v>0</v>
      </c>
      <c r="AU484" s="110" t="str">
        <f t="shared" si="13"/>
        <v/>
      </c>
      <c r="AV484" s="110" t="str">
        <f t="shared" si="14"/>
        <v/>
      </c>
      <c r="AW484" s="110" t="str">
        <f t="shared" si="15"/>
        <v/>
      </c>
      <c r="AX484" s="119" t="str">
        <f t="shared" si="16"/>
        <v/>
      </c>
      <c r="AY484" s="120"/>
      <c r="AZ484" s="121"/>
      <c r="BA484" s="122" t="str">
        <f t="shared" si="17"/>
        <v/>
      </c>
      <c r="BB484" s="34"/>
      <c r="BC484" s="121"/>
      <c r="BD484" s="136"/>
      <c r="BE484" s="125" t="str">
        <f t="shared" si="18"/>
        <v/>
      </c>
      <c r="BF484" s="126" t="str">
        <f t="shared" si="19"/>
        <v>MA1116__44611_0.3321875</v>
      </c>
      <c r="BG484" s="127" t="str">
        <f t="shared" si="20"/>
        <v/>
      </c>
      <c r="BH484" s="137" t="s">
        <v>1458</v>
      </c>
      <c r="BI484" s="128" t="str">
        <f t="shared" si="21"/>
        <v>MA198</v>
      </c>
      <c r="BJ484" s="129" t="b">
        <f t="shared" si="22"/>
        <v>0</v>
      </c>
      <c r="BK484" s="128" t="str">
        <f t="shared" si="23"/>
        <v/>
      </c>
      <c r="BL484" s="121"/>
      <c r="BM484" s="5" t="str">
        <f t="shared" si="24"/>
        <v>MISSING</v>
      </c>
      <c r="BN484" s="120" t="b">
        <f t="shared" si="25"/>
        <v>0</v>
      </c>
      <c r="BO484" s="131" t="b">
        <f t="shared" si="26"/>
        <v>1</v>
      </c>
      <c r="BP484" s="121"/>
      <c r="BQ484" s="132" t="str">
        <f>VLOOKUP(A484,RAW_APS!A$3:O826,15,FALSE)</f>
        <v/>
      </c>
      <c r="BR484" s="120" t="b">
        <f t="shared" si="27"/>
        <v>1</v>
      </c>
      <c r="BS484" s="121"/>
      <c r="BT484" s="138" t="s">
        <v>244</v>
      </c>
      <c r="BU484" s="10" t="b">
        <f t="shared" si="28"/>
        <v>1</v>
      </c>
      <c r="BV484" s="120"/>
      <c r="BW484" s="120"/>
      <c r="BX484" s="120"/>
      <c r="BY484" s="120"/>
      <c r="BZ484" s="120"/>
      <c r="CA484" s="120"/>
      <c r="CB484" s="120"/>
      <c r="CC484" s="120"/>
    </row>
    <row r="485">
      <c r="A485" s="2" t="s">
        <v>1459</v>
      </c>
      <c r="B485" s="100">
        <v>44611.0</v>
      </c>
      <c r="C485" s="101">
        <v>0.3335763888888889</v>
      </c>
      <c r="D485" s="102"/>
      <c r="E485" s="102"/>
      <c r="F485" s="139"/>
      <c r="G485" s="148"/>
      <c r="H485" s="148"/>
      <c r="I485" s="103"/>
      <c r="J485" s="103"/>
      <c r="K485" s="2" t="s">
        <v>244</v>
      </c>
      <c r="L485" s="100">
        <v>44611.0</v>
      </c>
      <c r="M485" s="101">
        <v>0.4882638888888889</v>
      </c>
      <c r="P485" s="104" t="b">
        <f>IFNA(IF(VLOOKUP($A485,'Add from APT'!$AA$2:$AC826,3,FALSE)&gt;0,TRUE,FALSE),"ER - NOT IN APT")</f>
        <v>0</v>
      </c>
      <c r="Q485" s="105" t="str">
        <f>IF(ISLOGICAL(P485),IF(P485,"ER - REPS IN APT", IFNA(VLOOKUP($A485,RAW_APT!$A$3:$M826,7,FALSE),"ER - NOT IN APT")),P485)</f>
        <v>Result</v>
      </c>
      <c r="R485" s="106" t="b">
        <f t="shared" si="2"/>
        <v>1</v>
      </c>
      <c r="S485" s="107">
        <f t="shared" si="3"/>
        <v>1</v>
      </c>
      <c r="T485" s="140">
        <v>0.0</v>
      </c>
      <c r="U485" s="141"/>
      <c r="V485" s="142"/>
      <c r="W485" s="142"/>
      <c r="X485" s="110" t="b">
        <f t="shared" si="4"/>
        <v>0</v>
      </c>
      <c r="Y485" s="111" t="b">
        <v>0</v>
      </c>
      <c r="Z485" s="104" t="str">
        <f t="shared" si="5"/>
        <v/>
      </c>
      <c r="AA485" s="112" t="b">
        <f t="shared" si="6"/>
        <v>0</v>
      </c>
      <c r="AB485" s="142" t="b">
        <v>0</v>
      </c>
      <c r="AC485" s="140">
        <v>326.0</v>
      </c>
      <c r="AD485" s="141" t="b">
        <v>0</v>
      </c>
      <c r="AE485" s="115">
        <f t="shared" si="7"/>
        <v>222.75</v>
      </c>
      <c r="AF485" s="116" t="b">
        <f t="shared" si="8"/>
        <v>0</v>
      </c>
      <c r="AG485" s="105" t="b">
        <f t="shared" si="9"/>
        <v>0</v>
      </c>
      <c r="AH485" s="140"/>
      <c r="AI485" s="140"/>
      <c r="AJ485" s="140"/>
      <c r="AK485" s="117" t="str">
        <f t="shared" si="10"/>
        <v>Negative</v>
      </c>
      <c r="AL485" s="142"/>
      <c r="AM485" s="112" t="s">
        <v>875</v>
      </c>
      <c r="AN485" s="112" t="s">
        <v>1460</v>
      </c>
      <c r="AO485" s="112" t="str">
        <f>IFERROR(__xludf.DUMMYFUNCTION("IF($AG485, ""DELETED"",TRIM(JOIN("" "",D485:E485)))"),"")</f>
        <v/>
      </c>
      <c r="AP485" s="112" t="str">
        <f t="shared" ref="AP485:AQ485" si="510">IF($AG485, "DELETED", TRIM(CONCATENATE(F485,I485,U485)))</f>
        <v/>
      </c>
      <c r="AQ485" s="112" t="str">
        <f t="shared" si="510"/>
        <v/>
      </c>
      <c r="AR485" s="112" t="str">
        <f>IFERROR(__xludf.DUMMYFUNCTION("IF($AG485, ""DELETED"", TRIM(JOIN("" "",AP485,AQ485)))"),"")</f>
        <v/>
      </c>
      <c r="AS485" s="118"/>
      <c r="AT485" s="110" t="b">
        <f t="shared" si="12"/>
        <v>0</v>
      </c>
      <c r="AU485" s="110" t="str">
        <f t="shared" si="13"/>
        <v/>
      </c>
      <c r="AV485" s="110" t="str">
        <f t="shared" si="14"/>
        <v/>
      </c>
      <c r="AW485" s="110" t="str">
        <f t="shared" si="15"/>
        <v/>
      </c>
      <c r="AX485" s="119" t="str">
        <f t="shared" si="16"/>
        <v/>
      </c>
      <c r="AY485" s="120"/>
      <c r="AZ485" s="121"/>
      <c r="BA485" s="122" t="str">
        <f t="shared" si="17"/>
        <v/>
      </c>
      <c r="BB485" s="34"/>
      <c r="BC485" s="121"/>
      <c r="BD485" s="136"/>
      <c r="BE485" s="125" t="str">
        <f t="shared" si="18"/>
        <v/>
      </c>
      <c r="BF485" s="126" t="str">
        <f t="shared" si="19"/>
        <v>MA1040__44611_0.333576388888889</v>
      </c>
      <c r="BG485" s="127" t="str">
        <f t="shared" si="20"/>
        <v/>
      </c>
      <c r="BH485" s="137" t="s">
        <v>1461</v>
      </c>
      <c r="BI485" s="128" t="str">
        <f t="shared" si="21"/>
        <v>MA202</v>
      </c>
      <c r="BJ485" s="129" t="b">
        <f t="shared" si="22"/>
        <v>0</v>
      </c>
      <c r="BK485" s="128" t="str">
        <f t="shared" si="23"/>
        <v/>
      </c>
      <c r="BL485" s="121"/>
      <c r="BM485" s="5" t="str">
        <f t="shared" si="24"/>
        <v>MISSING</v>
      </c>
      <c r="BN485" s="120" t="b">
        <f t="shared" si="25"/>
        <v>0</v>
      </c>
      <c r="BO485" s="131" t="b">
        <f t="shared" si="26"/>
        <v>1</v>
      </c>
      <c r="BP485" s="121"/>
      <c r="BQ485" s="132" t="str">
        <f>VLOOKUP(A485,RAW_APS!A$3:O826,15,FALSE)</f>
        <v/>
      </c>
      <c r="BR485" s="120" t="b">
        <f t="shared" si="27"/>
        <v>1</v>
      </c>
      <c r="BS485" s="121"/>
      <c r="BT485" s="138" t="s">
        <v>244</v>
      </c>
      <c r="BU485" s="10" t="b">
        <f t="shared" si="28"/>
        <v>1</v>
      </c>
      <c r="BV485" s="120"/>
      <c r="BW485" s="120"/>
      <c r="BX485" s="120"/>
      <c r="BY485" s="120"/>
      <c r="BZ485" s="120"/>
      <c r="CA485" s="120"/>
      <c r="CB485" s="120"/>
      <c r="CC485" s="120"/>
    </row>
    <row r="486">
      <c r="A486" s="2" t="s">
        <v>1462</v>
      </c>
      <c r="B486" s="100">
        <v>44611.0</v>
      </c>
      <c r="C486" s="101">
        <v>0.3342824074074074</v>
      </c>
      <c r="D486" s="102"/>
      <c r="E486" s="102"/>
      <c r="F486" s="102"/>
      <c r="G486" s="102"/>
      <c r="H486" s="102"/>
      <c r="I486" s="103"/>
      <c r="J486" s="103"/>
      <c r="K486" s="2" t="s">
        <v>244</v>
      </c>
      <c r="L486" s="100">
        <v>44611.0</v>
      </c>
      <c r="M486" s="101">
        <v>0.4882638888888889</v>
      </c>
      <c r="P486" s="104" t="b">
        <f>IFNA(IF(VLOOKUP($A486,'Add from APT'!$AA$2:$AC826,3,FALSE)&gt;0,TRUE,FALSE),"ER - NOT IN APT")</f>
        <v>0</v>
      </c>
      <c r="Q486" s="105" t="str">
        <f>IF(ISLOGICAL(P486),IF(P486,"ER - REPS IN APT", IFNA(VLOOKUP($A486,RAW_APT!$A$3:$M826,7,FALSE),"ER - NOT IN APT")),P486)</f>
        <v>Result</v>
      </c>
      <c r="R486" s="106" t="b">
        <f t="shared" si="2"/>
        <v>1</v>
      </c>
      <c r="S486" s="107">
        <f t="shared" si="3"/>
        <v>1</v>
      </c>
      <c r="T486" s="143"/>
      <c r="U486" s="142"/>
      <c r="V486" s="142"/>
      <c r="W486" s="142"/>
      <c r="X486" s="110" t="b">
        <f t="shared" si="4"/>
        <v>0</v>
      </c>
      <c r="Y486" s="111" t="b">
        <v>0</v>
      </c>
      <c r="Z486" s="104" t="str">
        <f t="shared" si="5"/>
        <v/>
      </c>
      <c r="AA486" s="112" t="b">
        <f t="shared" si="6"/>
        <v>0</v>
      </c>
      <c r="AB486" s="142" t="b">
        <v>0</v>
      </c>
      <c r="AC486" s="140">
        <v>325.0</v>
      </c>
      <c r="AD486" s="141" t="b">
        <v>0</v>
      </c>
      <c r="AE486" s="115">
        <f t="shared" si="7"/>
        <v>221.7333333</v>
      </c>
      <c r="AF486" s="116" t="b">
        <f t="shared" si="8"/>
        <v>0</v>
      </c>
      <c r="AG486" s="105" t="b">
        <f t="shared" si="9"/>
        <v>0</v>
      </c>
      <c r="AH486" s="140"/>
      <c r="AI486" s="140"/>
      <c r="AJ486" s="140"/>
      <c r="AK486" s="117" t="str">
        <f t="shared" si="10"/>
        <v>Negative</v>
      </c>
      <c r="AL486" s="142"/>
      <c r="AM486" s="112" t="s">
        <v>1454</v>
      </c>
      <c r="AN486" s="112" t="s">
        <v>319</v>
      </c>
      <c r="AO486" s="112" t="str">
        <f>IFERROR(__xludf.DUMMYFUNCTION("IF($AG486, ""DELETED"",TRIM(JOIN("" "",D486:E486)))"),"")</f>
        <v/>
      </c>
      <c r="AP486" s="112" t="str">
        <f t="shared" ref="AP486:AQ486" si="511">IF($AG486, "DELETED", TRIM(CONCATENATE(F486,I486,U486)))</f>
        <v/>
      </c>
      <c r="AQ486" s="112" t="str">
        <f t="shared" si="511"/>
        <v/>
      </c>
      <c r="AR486" s="112" t="str">
        <f>IFERROR(__xludf.DUMMYFUNCTION("IF($AG486, ""DELETED"", TRIM(JOIN("" "",AP486,AQ486)))"),"")</f>
        <v/>
      </c>
      <c r="AS486" s="118"/>
      <c r="AT486" s="110" t="b">
        <f t="shared" si="12"/>
        <v>0</v>
      </c>
      <c r="AU486" s="110" t="str">
        <f t="shared" si="13"/>
        <v/>
      </c>
      <c r="AV486" s="110" t="str">
        <f t="shared" si="14"/>
        <v/>
      </c>
      <c r="AW486" s="110" t="str">
        <f t="shared" si="15"/>
        <v/>
      </c>
      <c r="AX486" s="119" t="str">
        <f t="shared" si="16"/>
        <v/>
      </c>
      <c r="AY486" s="120"/>
      <c r="AZ486" s="121"/>
      <c r="BA486" s="122" t="str">
        <f t="shared" si="17"/>
        <v/>
      </c>
      <c r="BB486" s="34"/>
      <c r="BC486" s="121"/>
      <c r="BD486" s="136"/>
      <c r="BE486" s="125" t="str">
        <f t="shared" si="18"/>
        <v/>
      </c>
      <c r="BF486" s="126" t="str">
        <f t="shared" si="19"/>
        <v>FM839__44611_0.334282407407407</v>
      </c>
      <c r="BG486" s="127" t="str">
        <f t="shared" si="20"/>
        <v/>
      </c>
      <c r="BH486" s="137" t="s">
        <v>1463</v>
      </c>
      <c r="BI486" s="128" t="str">
        <f t="shared" si="21"/>
        <v>MA203</v>
      </c>
      <c r="BJ486" s="129" t="b">
        <f t="shared" si="22"/>
        <v>0</v>
      </c>
      <c r="BK486" s="128" t="str">
        <f t="shared" si="23"/>
        <v/>
      </c>
      <c r="BL486" s="121"/>
      <c r="BM486" s="5" t="str">
        <f t="shared" si="24"/>
        <v>MISSING</v>
      </c>
      <c r="BN486" s="120" t="b">
        <f t="shared" si="25"/>
        <v>0</v>
      </c>
      <c r="BO486" s="131" t="b">
        <f t="shared" si="26"/>
        <v>1</v>
      </c>
      <c r="BP486" s="121"/>
      <c r="BQ486" s="132" t="str">
        <f>VLOOKUP(A486,RAW_APS!A$3:O826,15,FALSE)</f>
        <v/>
      </c>
      <c r="BR486" s="120" t="b">
        <f t="shared" si="27"/>
        <v>1</v>
      </c>
      <c r="BS486" s="121"/>
      <c r="BT486" s="138" t="s">
        <v>244</v>
      </c>
      <c r="BU486" s="10" t="b">
        <f t="shared" si="28"/>
        <v>1</v>
      </c>
      <c r="BV486" s="120"/>
      <c r="BW486" s="120"/>
      <c r="BX486" s="120"/>
      <c r="BY486" s="120"/>
      <c r="BZ486" s="120"/>
      <c r="CA486" s="120"/>
      <c r="CB486" s="120"/>
      <c r="CC486" s="120"/>
    </row>
    <row r="487">
      <c r="A487" s="2" t="s">
        <v>1464</v>
      </c>
      <c r="B487" s="100">
        <v>44611.0</v>
      </c>
      <c r="C487" s="101">
        <v>0.33471064814814816</v>
      </c>
      <c r="D487" s="102"/>
      <c r="E487" s="102"/>
      <c r="F487" s="102"/>
      <c r="G487" s="102"/>
      <c r="H487" s="102"/>
      <c r="I487" s="103"/>
      <c r="J487" s="103"/>
      <c r="K487" s="2" t="s">
        <v>244</v>
      </c>
      <c r="L487" s="100">
        <v>44611.0</v>
      </c>
      <c r="M487" s="101">
        <v>0.4882638888888889</v>
      </c>
      <c r="P487" s="104" t="b">
        <f>IFNA(IF(VLOOKUP($A487,'Add from APT'!$AA$2:$AC826,3,FALSE)&gt;0,TRUE,FALSE),"ER - NOT IN APT")</f>
        <v>0</v>
      </c>
      <c r="Q487" s="105" t="str">
        <f>IF(ISLOGICAL(P487),IF(P487,"ER - REPS IN APT", IFNA(VLOOKUP($A487,RAW_APT!$A$3:$M826,7,FALSE),"ER - NOT IN APT")),P487)</f>
        <v>Result</v>
      </c>
      <c r="R487" s="106" t="b">
        <f t="shared" si="2"/>
        <v>1</v>
      </c>
      <c r="S487" s="107">
        <f t="shared" si="3"/>
        <v>1</v>
      </c>
      <c r="T487" s="143"/>
      <c r="U487" s="142"/>
      <c r="V487" s="142"/>
      <c r="W487" s="142"/>
      <c r="X487" s="110" t="b">
        <f t="shared" si="4"/>
        <v>0</v>
      </c>
      <c r="Y487" s="111" t="b">
        <v>0</v>
      </c>
      <c r="Z487" s="104" t="str">
        <f t="shared" si="5"/>
        <v/>
      </c>
      <c r="AA487" s="112" t="b">
        <f t="shared" si="6"/>
        <v>0</v>
      </c>
      <c r="AB487" s="142" t="b">
        <v>0</v>
      </c>
      <c r="AC487" s="140">
        <v>324.0</v>
      </c>
      <c r="AD487" s="141" t="b">
        <v>0</v>
      </c>
      <c r="AE487" s="115">
        <f t="shared" si="7"/>
        <v>221.1166667</v>
      </c>
      <c r="AF487" s="116" t="b">
        <f t="shared" si="8"/>
        <v>0</v>
      </c>
      <c r="AG487" s="105" t="b">
        <f t="shared" si="9"/>
        <v>0</v>
      </c>
      <c r="AH487" s="140"/>
      <c r="AI487" s="140"/>
      <c r="AJ487" s="140"/>
      <c r="AK487" s="117" t="str">
        <f t="shared" si="10"/>
        <v>Negative</v>
      </c>
      <c r="AL487" s="142"/>
      <c r="AM487" s="112" t="s">
        <v>1454</v>
      </c>
      <c r="AN487" s="112" t="s">
        <v>1465</v>
      </c>
      <c r="AO487" s="112" t="str">
        <f>IFERROR(__xludf.DUMMYFUNCTION("IF($AG487, ""DELETED"",TRIM(JOIN("" "",D487:E487)))"),"")</f>
        <v/>
      </c>
      <c r="AP487" s="112" t="str">
        <f t="shared" ref="AP487:AQ487" si="512">IF($AG487, "DELETED", TRIM(CONCATENATE(F487,I487,U487)))</f>
        <v/>
      </c>
      <c r="AQ487" s="112" t="str">
        <f t="shared" si="512"/>
        <v/>
      </c>
      <c r="AR487" s="112" t="str">
        <f>IFERROR(__xludf.DUMMYFUNCTION("IF($AG487, ""DELETED"", TRIM(JOIN("" "",AP487,AQ487)))"),"")</f>
        <v/>
      </c>
      <c r="AS487" s="118"/>
      <c r="AT487" s="110" t="b">
        <f t="shared" si="12"/>
        <v>0</v>
      </c>
      <c r="AU487" s="110" t="str">
        <f t="shared" si="13"/>
        <v/>
      </c>
      <c r="AV487" s="110" t="str">
        <f t="shared" si="14"/>
        <v/>
      </c>
      <c r="AW487" s="110" t="str">
        <f t="shared" si="15"/>
        <v/>
      </c>
      <c r="AX487" s="119" t="str">
        <f t="shared" si="16"/>
        <v/>
      </c>
      <c r="AY487" s="120"/>
      <c r="AZ487" s="121"/>
      <c r="BA487" s="122" t="str">
        <f t="shared" si="17"/>
        <v/>
      </c>
      <c r="BB487" s="34"/>
      <c r="BC487" s="121"/>
      <c r="BD487" s="136"/>
      <c r="BE487" s="125" t="str">
        <f t="shared" si="18"/>
        <v/>
      </c>
      <c r="BF487" s="126" t="str">
        <f t="shared" si="19"/>
        <v>FM803__44611_0.334710648148148</v>
      </c>
      <c r="BG487" s="127" t="str">
        <f t="shared" si="20"/>
        <v/>
      </c>
      <c r="BH487" s="137" t="s">
        <v>1466</v>
      </c>
      <c r="BI487" s="128" t="str">
        <f t="shared" si="21"/>
        <v>MA205</v>
      </c>
      <c r="BJ487" s="129" t="b">
        <f t="shared" si="22"/>
        <v>0</v>
      </c>
      <c r="BK487" s="128" t="str">
        <f t="shared" si="23"/>
        <v/>
      </c>
      <c r="BL487" s="121"/>
      <c r="BM487" s="5" t="str">
        <f t="shared" si="24"/>
        <v>MISSING</v>
      </c>
      <c r="BN487" s="120" t="b">
        <f t="shared" si="25"/>
        <v>0</v>
      </c>
      <c r="BO487" s="131" t="b">
        <f t="shared" si="26"/>
        <v>1</v>
      </c>
      <c r="BP487" s="121"/>
      <c r="BQ487" s="132" t="str">
        <f>VLOOKUP(A487,RAW_APS!A$3:O826,15,FALSE)</f>
        <v/>
      </c>
      <c r="BR487" s="120" t="b">
        <f t="shared" si="27"/>
        <v>1</v>
      </c>
      <c r="BS487" s="121"/>
      <c r="BT487" s="138" t="s">
        <v>244</v>
      </c>
      <c r="BU487" s="10" t="b">
        <f t="shared" si="28"/>
        <v>1</v>
      </c>
      <c r="BV487" s="120"/>
      <c r="BW487" s="120"/>
      <c r="BX487" s="120"/>
      <c r="BY487" s="120"/>
      <c r="BZ487" s="120"/>
      <c r="CA487" s="120"/>
      <c r="CB487" s="120"/>
      <c r="CC487" s="120"/>
    </row>
    <row r="488">
      <c r="A488" s="2" t="s">
        <v>1467</v>
      </c>
      <c r="B488" s="100">
        <v>44611.0</v>
      </c>
      <c r="C488" s="101">
        <v>0.3349537037037037</v>
      </c>
      <c r="D488" s="102"/>
      <c r="E488" s="102"/>
      <c r="F488" s="139"/>
      <c r="G488" s="148"/>
      <c r="H488" s="148"/>
      <c r="I488" s="103"/>
      <c r="J488" s="103"/>
      <c r="K488" s="2" t="s">
        <v>244</v>
      </c>
      <c r="L488" s="100">
        <v>44611.0</v>
      </c>
      <c r="M488" s="101">
        <v>0.5041203703703704</v>
      </c>
      <c r="P488" s="104" t="b">
        <f>IFNA(IF(VLOOKUP($A488,'Add from APT'!$AA$2:$AC826,3,FALSE)&gt;0,TRUE,FALSE),"ER - NOT IN APT")</f>
        <v>0</v>
      </c>
      <c r="Q488" s="105" t="str">
        <f>IF(ISLOGICAL(P488),IF(P488,"ER - REPS IN APT", IFNA(VLOOKUP($A488,RAW_APT!$A$3:$M826,7,FALSE),"ER - NOT IN APT")),P488)</f>
        <v>Result</v>
      </c>
      <c r="R488" s="106" t="b">
        <f t="shared" si="2"/>
        <v>1</v>
      </c>
      <c r="S488" s="107">
        <f t="shared" si="3"/>
        <v>1</v>
      </c>
      <c r="T488" s="140">
        <v>0.0</v>
      </c>
      <c r="U488" s="141"/>
      <c r="V488" s="142"/>
      <c r="W488" s="142"/>
      <c r="X488" s="110" t="b">
        <f t="shared" si="4"/>
        <v>0</v>
      </c>
      <c r="Y488" s="111" t="b">
        <v>0</v>
      </c>
      <c r="Z488" s="104" t="str">
        <f t="shared" si="5"/>
        <v/>
      </c>
      <c r="AA488" s="112" t="b">
        <f t="shared" si="6"/>
        <v>0</v>
      </c>
      <c r="AB488" s="142" t="b">
        <v>0</v>
      </c>
      <c r="AC488" s="140">
        <v>323.0</v>
      </c>
      <c r="AD488" s="141" t="b">
        <v>0</v>
      </c>
      <c r="AE488" s="115">
        <f t="shared" si="7"/>
        <v>243.6</v>
      </c>
      <c r="AF488" s="116" t="b">
        <f t="shared" si="8"/>
        <v>0</v>
      </c>
      <c r="AG488" s="105" t="b">
        <f t="shared" si="9"/>
        <v>0</v>
      </c>
      <c r="AH488" s="140"/>
      <c r="AI488" s="140"/>
      <c r="AJ488" s="140"/>
      <c r="AK488" s="117" t="str">
        <f t="shared" si="10"/>
        <v>Negative</v>
      </c>
      <c r="AL488" s="142"/>
      <c r="AM488" s="112" t="s">
        <v>875</v>
      </c>
      <c r="AN488" s="112" t="s">
        <v>1468</v>
      </c>
      <c r="AO488" s="112" t="str">
        <f>IFERROR(__xludf.DUMMYFUNCTION("IF($AG488, ""DELETED"",TRIM(JOIN("" "",D488:E488)))"),"")</f>
        <v/>
      </c>
      <c r="AP488" s="112" t="str">
        <f t="shared" ref="AP488:AQ488" si="513">IF($AG488, "DELETED", TRIM(CONCATENATE(F488,I488,U488)))</f>
        <v/>
      </c>
      <c r="AQ488" s="112" t="str">
        <f t="shared" si="513"/>
        <v/>
      </c>
      <c r="AR488" s="112" t="str">
        <f>IFERROR(__xludf.DUMMYFUNCTION("IF($AG488, ""DELETED"", TRIM(JOIN("" "",AP488,AQ488)))"),"")</f>
        <v/>
      </c>
      <c r="AS488" s="118"/>
      <c r="AT488" s="110" t="b">
        <f t="shared" si="12"/>
        <v>0</v>
      </c>
      <c r="AU488" s="110" t="str">
        <f t="shared" si="13"/>
        <v/>
      </c>
      <c r="AV488" s="110" t="str">
        <f t="shared" si="14"/>
        <v/>
      </c>
      <c r="AW488" s="110" t="str">
        <f t="shared" si="15"/>
        <v/>
      </c>
      <c r="AX488" s="119" t="str">
        <f t="shared" si="16"/>
        <v/>
      </c>
      <c r="AY488" s="120"/>
      <c r="AZ488" s="121"/>
      <c r="BA488" s="122" t="str">
        <f t="shared" si="17"/>
        <v/>
      </c>
      <c r="BB488" s="34"/>
      <c r="BC488" s="121"/>
      <c r="BD488" s="136"/>
      <c r="BE488" s="125" t="str">
        <f t="shared" si="18"/>
        <v/>
      </c>
      <c r="BF488" s="126" t="str">
        <f t="shared" si="19"/>
        <v>MA608__44611_0.334953703703704</v>
      </c>
      <c r="BG488" s="127" t="str">
        <f t="shared" si="20"/>
        <v/>
      </c>
      <c r="BH488" s="137" t="s">
        <v>1469</v>
      </c>
      <c r="BI488" s="128" t="str">
        <f t="shared" si="21"/>
        <v>MA206</v>
      </c>
      <c r="BJ488" s="129" t="b">
        <f t="shared" si="22"/>
        <v>0</v>
      </c>
      <c r="BK488" s="128" t="str">
        <f t="shared" si="23"/>
        <v/>
      </c>
      <c r="BL488" s="121"/>
      <c r="BM488" s="5" t="str">
        <f t="shared" si="24"/>
        <v>MISSING</v>
      </c>
      <c r="BN488" s="120" t="b">
        <f t="shared" si="25"/>
        <v>0</v>
      </c>
      <c r="BO488" s="131" t="b">
        <f t="shared" si="26"/>
        <v>1</v>
      </c>
      <c r="BP488" s="121"/>
      <c r="BQ488" s="132" t="str">
        <f>VLOOKUP(A488,RAW_APS!A$3:O826,15,FALSE)</f>
        <v/>
      </c>
      <c r="BR488" s="120" t="b">
        <f t="shared" si="27"/>
        <v>1</v>
      </c>
      <c r="BS488" s="121"/>
      <c r="BT488" s="138" t="s">
        <v>244</v>
      </c>
      <c r="BU488" s="10" t="b">
        <f t="shared" si="28"/>
        <v>1</v>
      </c>
      <c r="BV488" s="120"/>
      <c r="BW488" s="120"/>
      <c r="BX488" s="120"/>
      <c r="BY488" s="120"/>
      <c r="BZ488" s="120"/>
      <c r="CA488" s="120"/>
      <c r="CB488" s="120"/>
      <c r="CC488" s="120"/>
    </row>
    <row r="489">
      <c r="A489" s="2" t="s">
        <v>1470</v>
      </c>
      <c r="B489" s="100">
        <v>44611.0</v>
      </c>
      <c r="C489" s="101">
        <v>0.34528935185185183</v>
      </c>
      <c r="D489" s="102"/>
      <c r="E489" s="102"/>
      <c r="F489" s="103"/>
      <c r="G489" s="103"/>
      <c r="H489" s="103"/>
      <c r="I489" s="135"/>
      <c r="J489" s="103"/>
      <c r="K489" s="2" t="s">
        <v>244</v>
      </c>
      <c r="L489" s="100">
        <v>44611.0</v>
      </c>
      <c r="M489" s="101">
        <v>0.4882638888888889</v>
      </c>
      <c r="N489" s="2" t="s">
        <v>247</v>
      </c>
      <c r="P489" s="104" t="b">
        <f>IFNA(IF(VLOOKUP($A489,'Add from APT'!$AA$2:$AC826,3,FALSE)&gt;0,TRUE,FALSE),"ER - NOT IN APT")</f>
        <v>0</v>
      </c>
      <c r="Q489" s="105" t="str">
        <f>IF(ISLOGICAL(P489),IF(P489,"ER - REPS IN APT", IFNA(VLOOKUP($A489,RAW_APT!$A$3:$M826,7,FALSE),"ER - NOT IN APT")),P489)</f>
        <v>Result</v>
      </c>
      <c r="R489" s="106" t="b">
        <f t="shared" si="2"/>
        <v>1</v>
      </c>
      <c r="S489" s="107">
        <f t="shared" si="3"/>
        <v>1</v>
      </c>
      <c r="T489" s="140">
        <v>0.0</v>
      </c>
      <c r="W489" s="142"/>
      <c r="X489" s="110" t="b">
        <f t="shared" si="4"/>
        <v>0</v>
      </c>
      <c r="Y489" s="111" t="b">
        <v>0</v>
      </c>
      <c r="Z489" s="104" t="str">
        <f t="shared" si="5"/>
        <v/>
      </c>
      <c r="AA489" s="112" t="b">
        <f t="shared" si="6"/>
        <v>0</v>
      </c>
      <c r="AB489" s="142" t="b">
        <v>0</v>
      </c>
      <c r="AC489" s="140">
        <v>790.0</v>
      </c>
      <c r="AD489" s="141" t="b">
        <v>1</v>
      </c>
      <c r="AE489" s="115">
        <f t="shared" si="7"/>
        <v>205.8833333</v>
      </c>
      <c r="AF489" s="116" t="b">
        <f t="shared" si="8"/>
        <v>0</v>
      </c>
      <c r="AG489" s="105" t="b">
        <f t="shared" si="9"/>
        <v>0</v>
      </c>
      <c r="AH489" s="140"/>
      <c r="AI489" s="140"/>
      <c r="AJ489" s="140"/>
      <c r="AK489" s="117" t="str">
        <f t="shared" si="10"/>
        <v>Negative</v>
      </c>
      <c r="AL489" s="142"/>
      <c r="AM489" s="112" t="s">
        <v>504</v>
      </c>
      <c r="AN489" s="112" t="s">
        <v>505</v>
      </c>
      <c r="AO489" s="112" t="str">
        <f>IFERROR(__xludf.DUMMYFUNCTION("IF($AG489, ""DELETED"",TRIM(JOIN("" "",D489:E489)))"),"")</f>
        <v/>
      </c>
      <c r="AP489" s="112" t="str">
        <f t="shared" ref="AP489:AQ489" si="514">IF($AG489, "DELETED", TRIM(CONCATENATE(F489,I489,U489)))</f>
        <v/>
      </c>
      <c r="AQ489" s="112" t="str">
        <f t="shared" si="514"/>
        <v/>
      </c>
      <c r="AR489" s="112" t="str">
        <f>IFERROR(__xludf.DUMMYFUNCTION("IF($AG489, ""DELETED"", TRIM(JOIN("" "",AP489,AQ489)))"),"")</f>
        <v/>
      </c>
      <c r="AS489" s="118"/>
      <c r="AT489" s="110" t="b">
        <f t="shared" si="12"/>
        <v>0</v>
      </c>
      <c r="AU489" s="110" t="str">
        <f t="shared" si="13"/>
        <v/>
      </c>
      <c r="AV489" s="110" t="str">
        <f t="shared" si="14"/>
        <v/>
      </c>
      <c r="AW489" s="110" t="str">
        <f t="shared" si="15"/>
        <v/>
      </c>
      <c r="AX489" s="119" t="str">
        <f t="shared" si="16"/>
        <v/>
      </c>
      <c r="AY489" s="120"/>
      <c r="AZ489" s="121"/>
      <c r="BA489" s="122" t="str">
        <f t="shared" si="17"/>
        <v/>
      </c>
      <c r="BB489" s="34"/>
      <c r="BC489" s="121"/>
      <c r="BD489" s="136"/>
      <c r="BE489" s="125" t="str">
        <f t="shared" si="18"/>
        <v/>
      </c>
      <c r="BF489" s="126" t="str">
        <f t="shared" si="19"/>
        <v>FM35__44611_0.345289351851852</v>
      </c>
      <c r="BG489" s="127" t="str">
        <f t="shared" si="20"/>
        <v/>
      </c>
      <c r="BH489" s="137" t="s">
        <v>1471</v>
      </c>
      <c r="BI489" s="128" t="str">
        <f t="shared" si="21"/>
        <v>MA207</v>
      </c>
      <c r="BJ489" s="129" t="b">
        <f t="shared" si="22"/>
        <v>0</v>
      </c>
      <c r="BK489" s="128" t="str">
        <f t="shared" si="23"/>
        <v/>
      </c>
      <c r="BL489" s="121"/>
      <c r="BM489" s="5" t="str">
        <f t="shared" si="24"/>
        <v>MISSING</v>
      </c>
      <c r="BN489" s="120" t="b">
        <f t="shared" si="25"/>
        <v>0</v>
      </c>
      <c r="BO489" s="131" t="b">
        <f t="shared" si="26"/>
        <v>1</v>
      </c>
      <c r="BP489" s="121"/>
      <c r="BQ489" s="132" t="str">
        <f>VLOOKUP(A489,RAW_APS!A$3:O826,15,FALSE)</f>
        <v>#N/A</v>
      </c>
      <c r="BR489" s="120" t="str">
        <f t="shared" si="27"/>
        <v>***TUBE ID NOT FOUND</v>
      </c>
      <c r="BS489" s="121"/>
      <c r="BT489" s="138" t="s">
        <v>244</v>
      </c>
      <c r="BU489" s="10" t="b">
        <f t="shared" si="28"/>
        <v>1</v>
      </c>
      <c r="BV489" s="120"/>
      <c r="BW489" s="120"/>
      <c r="BX489" s="120"/>
      <c r="BY489" s="120"/>
      <c r="BZ489" s="120"/>
      <c r="CA489" s="120"/>
      <c r="CB489" s="120"/>
      <c r="CC489" s="120"/>
    </row>
    <row r="490">
      <c r="A490" s="2" t="s">
        <v>1472</v>
      </c>
      <c r="B490" s="100">
        <v>44611.0</v>
      </c>
      <c r="C490" s="101">
        <v>0.3456018518518518</v>
      </c>
      <c r="D490" s="102"/>
      <c r="E490" s="102"/>
      <c r="F490" s="102"/>
      <c r="G490" s="102"/>
      <c r="H490" s="102"/>
      <c r="I490" s="103"/>
      <c r="J490" s="103"/>
      <c r="K490" s="2" t="s">
        <v>244</v>
      </c>
      <c r="L490" s="100">
        <v>44611.0</v>
      </c>
      <c r="M490" s="101">
        <v>0.4882638888888889</v>
      </c>
      <c r="P490" s="104" t="b">
        <f>IFNA(IF(VLOOKUP($A490,'Add from APT'!$AA$2:$AC826,3,FALSE)&gt;0,TRUE,FALSE),"ER - NOT IN APT")</f>
        <v>0</v>
      </c>
      <c r="Q490" s="105" t="str">
        <f>IF(ISLOGICAL(P490),IF(P490,"ER - REPS IN APT", IFNA(VLOOKUP($A490,RAW_APT!$A$3:$M826,7,FALSE),"ER - NOT IN APT")),P490)</f>
        <v>Result</v>
      </c>
      <c r="R490" s="106" t="b">
        <f t="shared" si="2"/>
        <v>1</v>
      </c>
      <c r="S490" s="107">
        <f t="shared" si="3"/>
        <v>1</v>
      </c>
      <c r="T490" s="143"/>
      <c r="U490" s="142"/>
      <c r="V490" s="142"/>
      <c r="W490" s="142"/>
      <c r="X490" s="110" t="b">
        <f t="shared" si="4"/>
        <v>0</v>
      </c>
      <c r="Y490" s="111" t="b">
        <v>0</v>
      </c>
      <c r="Z490" s="104" t="str">
        <f t="shared" si="5"/>
        <v/>
      </c>
      <c r="AA490" s="112" t="b">
        <f t="shared" si="6"/>
        <v>0</v>
      </c>
      <c r="AB490" s="142" t="b">
        <v>0</v>
      </c>
      <c r="AC490" s="140">
        <v>322.0</v>
      </c>
      <c r="AD490" s="141" t="b">
        <v>0</v>
      </c>
      <c r="AE490" s="115">
        <f t="shared" si="7"/>
        <v>205.4333333</v>
      </c>
      <c r="AF490" s="116" t="b">
        <f t="shared" si="8"/>
        <v>0</v>
      </c>
      <c r="AG490" s="105" t="b">
        <f t="shared" si="9"/>
        <v>0</v>
      </c>
      <c r="AH490" s="140"/>
      <c r="AI490" s="140"/>
      <c r="AJ490" s="140"/>
      <c r="AK490" s="117" t="str">
        <f t="shared" si="10"/>
        <v>Negative</v>
      </c>
      <c r="AL490" s="142"/>
      <c r="AM490" s="112" t="s">
        <v>1473</v>
      </c>
      <c r="AN490" s="112" t="s">
        <v>1474</v>
      </c>
      <c r="AO490" s="112" t="str">
        <f>IFERROR(__xludf.DUMMYFUNCTION("IF($AG490, ""DELETED"",TRIM(JOIN("" "",D490:E490)))"),"")</f>
        <v/>
      </c>
      <c r="AP490" s="112" t="str">
        <f t="shared" ref="AP490:AQ490" si="515">IF($AG490, "DELETED", TRIM(CONCATENATE(F490,I490,U490)))</f>
        <v/>
      </c>
      <c r="AQ490" s="112" t="str">
        <f t="shared" si="515"/>
        <v/>
      </c>
      <c r="AR490" s="112" t="str">
        <f>IFERROR(__xludf.DUMMYFUNCTION("IF($AG490, ""DELETED"", TRIM(JOIN("" "",AP490,AQ490)))"),"")</f>
        <v/>
      </c>
      <c r="AS490" s="118"/>
      <c r="AT490" s="110" t="b">
        <f t="shared" si="12"/>
        <v>0</v>
      </c>
      <c r="AU490" s="110" t="str">
        <f t="shared" si="13"/>
        <v/>
      </c>
      <c r="AV490" s="110" t="str">
        <f t="shared" si="14"/>
        <v/>
      </c>
      <c r="AW490" s="110" t="str">
        <f t="shared" si="15"/>
        <v/>
      </c>
      <c r="AX490" s="119" t="str">
        <f t="shared" si="16"/>
        <v/>
      </c>
      <c r="AY490" s="120"/>
      <c r="AZ490" s="121"/>
      <c r="BA490" s="122" t="str">
        <f t="shared" si="17"/>
        <v/>
      </c>
      <c r="BB490" s="34"/>
      <c r="BC490" s="121"/>
      <c r="BD490" s="136"/>
      <c r="BE490" s="125" t="str">
        <f t="shared" si="18"/>
        <v/>
      </c>
      <c r="BF490" s="126" t="str">
        <f t="shared" si="19"/>
        <v>FM38__44611_0.345601851851852</v>
      </c>
      <c r="BG490" s="127" t="str">
        <f t="shared" si="20"/>
        <v/>
      </c>
      <c r="BH490" s="137" t="s">
        <v>1475</v>
      </c>
      <c r="BI490" s="128" t="str">
        <f t="shared" si="21"/>
        <v>MA209</v>
      </c>
      <c r="BJ490" s="129" t="b">
        <f t="shared" si="22"/>
        <v>0</v>
      </c>
      <c r="BK490" s="128" t="str">
        <f t="shared" si="23"/>
        <v/>
      </c>
      <c r="BL490" s="121"/>
      <c r="BM490" s="5" t="str">
        <f t="shared" si="24"/>
        <v>MISSING</v>
      </c>
      <c r="BN490" s="120" t="b">
        <f t="shared" si="25"/>
        <v>0</v>
      </c>
      <c r="BO490" s="131" t="b">
        <f t="shared" si="26"/>
        <v>1</v>
      </c>
      <c r="BP490" s="121"/>
      <c r="BQ490" s="132" t="str">
        <f>VLOOKUP(A490,RAW_APS!A$3:O826,15,FALSE)</f>
        <v/>
      </c>
      <c r="BR490" s="120" t="b">
        <f t="shared" si="27"/>
        <v>1</v>
      </c>
      <c r="BS490" s="121"/>
      <c r="BT490" s="138" t="s">
        <v>244</v>
      </c>
      <c r="BU490" s="10" t="b">
        <f t="shared" si="28"/>
        <v>1</v>
      </c>
      <c r="BV490" s="120"/>
      <c r="BW490" s="120"/>
      <c r="BX490" s="120"/>
      <c r="BY490" s="120"/>
      <c r="BZ490" s="120"/>
      <c r="CA490" s="120"/>
      <c r="CB490" s="120"/>
      <c r="CC490" s="120"/>
    </row>
    <row r="491">
      <c r="A491" s="2" t="s">
        <v>1476</v>
      </c>
      <c r="B491" s="100">
        <v>44611.0</v>
      </c>
      <c r="C491" s="101">
        <v>0.4735300925925926</v>
      </c>
      <c r="D491" s="102"/>
      <c r="E491" s="102"/>
      <c r="F491" s="102"/>
      <c r="G491" s="102"/>
      <c r="H491" s="102"/>
      <c r="I491" s="103"/>
      <c r="J491" s="103"/>
      <c r="K491" s="2" t="s">
        <v>244</v>
      </c>
      <c r="L491" s="100">
        <v>44611.0</v>
      </c>
      <c r="M491" s="101">
        <v>0.4882638888888889</v>
      </c>
      <c r="P491" s="104" t="b">
        <f>IFNA(IF(VLOOKUP($A491,'Add from APT'!$AA$2:$AC826,3,FALSE)&gt;0,TRUE,FALSE),"ER - NOT IN APT")</f>
        <v>0</v>
      </c>
      <c r="Q491" s="105" t="str">
        <f>IF(ISLOGICAL(P491),IF(P491,"ER - REPS IN APT", IFNA(VLOOKUP($A491,RAW_APT!$A$3:$M826,7,FALSE),"ER - NOT IN APT")),P491)</f>
        <v>Result</v>
      </c>
      <c r="R491" s="106" t="b">
        <f t="shared" si="2"/>
        <v>1</v>
      </c>
      <c r="S491" s="107">
        <f t="shared" si="3"/>
        <v>1</v>
      </c>
      <c r="T491" s="143"/>
      <c r="U491" s="142"/>
      <c r="V491" s="142"/>
      <c r="W491" s="142"/>
      <c r="X491" s="110" t="b">
        <f t="shared" si="4"/>
        <v>0</v>
      </c>
      <c r="Y491" s="111" t="b">
        <v>0</v>
      </c>
      <c r="Z491" s="104" t="str">
        <f t="shared" si="5"/>
        <v/>
      </c>
      <c r="AA491" s="112" t="b">
        <f t="shared" si="6"/>
        <v>0</v>
      </c>
      <c r="AB491" s="142" t="b">
        <v>0</v>
      </c>
      <c r="AC491" s="140">
        <v>321.0</v>
      </c>
      <c r="AD491" s="141" t="b">
        <v>0</v>
      </c>
      <c r="AE491" s="115">
        <f t="shared" si="7"/>
        <v>21.21666667</v>
      </c>
      <c r="AF491" s="116" t="b">
        <f t="shared" si="8"/>
        <v>0</v>
      </c>
      <c r="AG491" s="105" t="b">
        <f t="shared" si="9"/>
        <v>0</v>
      </c>
      <c r="AH491" s="140"/>
      <c r="AI491" s="140"/>
      <c r="AJ491" s="140"/>
      <c r="AK491" s="117" t="str">
        <f t="shared" si="10"/>
        <v>Negative</v>
      </c>
      <c r="AL491" s="142"/>
      <c r="AM491" s="112" t="s">
        <v>261</v>
      </c>
      <c r="AN491" s="112" t="s">
        <v>944</v>
      </c>
      <c r="AO491" s="112" t="str">
        <f>IFERROR(__xludf.DUMMYFUNCTION("IF($AG491, ""DELETED"",TRIM(JOIN("" "",D491:E491)))"),"")</f>
        <v/>
      </c>
      <c r="AP491" s="112" t="str">
        <f t="shared" ref="AP491:AQ491" si="516">IF($AG491, "DELETED", TRIM(CONCATENATE(F491,I491,U491)))</f>
        <v/>
      </c>
      <c r="AQ491" s="112" t="str">
        <f t="shared" si="516"/>
        <v/>
      </c>
      <c r="AR491" s="112" t="str">
        <f>IFERROR(__xludf.DUMMYFUNCTION("IF($AG491, ""DELETED"", TRIM(JOIN("" "",AP491,AQ491)))"),"")</f>
        <v/>
      </c>
      <c r="AS491" s="118"/>
      <c r="AT491" s="110" t="b">
        <f t="shared" si="12"/>
        <v>0</v>
      </c>
      <c r="AU491" s="110" t="str">
        <f t="shared" si="13"/>
        <v/>
      </c>
      <c r="AV491" s="110" t="str">
        <f t="shared" si="14"/>
        <v/>
      </c>
      <c r="AW491" s="110" t="str">
        <f t="shared" si="15"/>
        <v/>
      </c>
      <c r="AX491" s="119" t="str">
        <f t="shared" si="16"/>
        <v/>
      </c>
      <c r="AY491" s="120"/>
      <c r="AZ491" s="121"/>
      <c r="BA491" s="122" t="str">
        <f t="shared" si="17"/>
        <v/>
      </c>
      <c r="BB491" s="34"/>
      <c r="BC491" s="121"/>
      <c r="BD491" s="136"/>
      <c r="BE491" s="125" t="str">
        <f t="shared" si="18"/>
        <v/>
      </c>
      <c r="BF491" s="126" t="str">
        <f t="shared" si="19"/>
        <v>MA229__44611_0.473530092592593</v>
      </c>
      <c r="BG491" s="127" t="str">
        <f t="shared" si="20"/>
        <v/>
      </c>
      <c r="BH491" s="137" t="s">
        <v>1477</v>
      </c>
      <c r="BI491" s="128" t="str">
        <f t="shared" si="21"/>
        <v>MA2090</v>
      </c>
      <c r="BJ491" s="129" t="b">
        <f t="shared" si="22"/>
        <v>0</v>
      </c>
      <c r="BK491" s="128" t="str">
        <f t="shared" si="23"/>
        <v/>
      </c>
      <c r="BL491" s="121"/>
      <c r="BM491" s="5" t="str">
        <f t="shared" si="24"/>
        <v>MISSING</v>
      </c>
      <c r="BN491" s="120" t="b">
        <f t="shared" si="25"/>
        <v>0</v>
      </c>
      <c r="BO491" s="131" t="b">
        <f t="shared" si="26"/>
        <v>1</v>
      </c>
      <c r="BP491" s="121"/>
      <c r="BQ491" s="132" t="str">
        <f>VLOOKUP(A491,RAW_APS!A$3:O826,15,FALSE)</f>
        <v/>
      </c>
      <c r="BR491" s="120" t="b">
        <f t="shared" si="27"/>
        <v>1</v>
      </c>
      <c r="BS491" s="121"/>
      <c r="BT491" s="138" t="s">
        <v>244</v>
      </c>
      <c r="BU491" s="10" t="b">
        <f t="shared" si="28"/>
        <v>1</v>
      </c>
      <c r="BV491" s="120"/>
      <c r="BW491" s="120"/>
      <c r="BX491" s="120"/>
      <c r="BY491" s="120"/>
      <c r="BZ491" s="120"/>
      <c r="CA491" s="120"/>
      <c r="CB491" s="120"/>
      <c r="CC491" s="120"/>
    </row>
    <row r="492">
      <c r="A492" s="2" t="s">
        <v>1478</v>
      </c>
      <c r="B492" s="100">
        <v>44613.0</v>
      </c>
      <c r="C492" s="101">
        <v>0.26121527777777775</v>
      </c>
      <c r="D492" s="102"/>
      <c r="E492" s="102"/>
      <c r="F492" s="102"/>
      <c r="G492" s="102"/>
      <c r="H492" s="102"/>
      <c r="I492" s="103"/>
      <c r="J492" s="103"/>
      <c r="K492" s="2" t="s">
        <v>244</v>
      </c>
      <c r="L492" s="100">
        <v>44613.0</v>
      </c>
      <c r="M492" s="101">
        <v>0.4693865740740741</v>
      </c>
      <c r="P492" s="104" t="b">
        <f>IFNA(IF(VLOOKUP($A492,'Add from APT'!$AA$2:$AC826,3,FALSE)&gt;0,TRUE,FALSE),"ER - NOT IN APT")</f>
        <v>0</v>
      </c>
      <c r="Q492" s="105" t="str">
        <f>IF(ISLOGICAL(P492),IF(P492,"ER - REPS IN APT", IFNA(VLOOKUP($A492,RAW_APT!$A$3:$M826,7,FALSE),"ER - NOT IN APT")),P492)</f>
        <v>Result</v>
      </c>
      <c r="R492" s="106" t="b">
        <f t="shared" si="2"/>
        <v>1</v>
      </c>
      <c r="S492" s="107">
        <f t="shared" si="3"/>
        <v>1</v>
      </c>
      <c r="T492" s="143"/>
      <c r="U492" s="142"/>
      <c r="V492" s="142"/>
      <c r="W492" s="142"/>
      <c r="X492" s="110" t="b">
        <f t="shared" si="4"/>
        <v>0</v>
      </c>
      <c r="Y492" s="111" t="b">
        <v>0</v>
      </c>
      <c r="Z492" s="104" t="str">
        <f t="shared" si="5"/>
        <v/>
      </c>
      <c r="AA492" s="112" t="b">
        <f t="shared" si="6"/>
        <v>0</v>
      </c>
      <c r="AB492" s="142" t="b">
        <v>0</v>
      </c>
      <c r="AC492" s="140">
        <v>320.0</v>
      </c>
      <c r="AD492" s="141" t="b">
        <v>0</v>
      </c>
      <c r="AE492" s="115">
        <f t="shared" si="7"/>
        <v>299.7666667</v>
      </c>
      <c r="AF492" s="116" t="b">
        <f t="shared" si="8"/>
        <v>0</v>
      </c>
      <c r="AG492" s="105" t="b">
        <f t="shared" si="9"/>
        <v>0</v>
      </c>
      <c r="AH492" s="140"/>
      <c r="AI492" s="140"/>
      <c r="AJ492" s="140"/>
      <c r="AK492" s="117" t="str">
        <f t="shared" si="10"/>
        <v>Negative</v>
      </c>
      <c r="AL492" s="142"/>
      <c r="AM492" s="112" t="s">
        <v>865</v>
      </c>
      <c r="AN492" s="112" t="s">
        <v>548</v>
      </c>
      <c r="AO492" s="112" t="str">
        <f>IFERROR(__xludf.DUMMYFUNCTION("IF($AG492, ""DELETED"",TRIM(JOIN("" "",D492:E492)))"),"")</f>
        <v/>
      </c>
      <c r="AP492" s="112" t="str">
        <f t="shared" ref="AP492:AQ492" si="517">IF($AG492, "DELETED", TRIM(CONCATENATE(F492,I492,U492)))</f>
        <v/>
      </c>
      <c r="AQ492" s="112" t="str">
        <f t="shared" si="517"/>
        <v/>
      </c>
      <c r="AR492" s="112" t="str">
        <f>IFERROR(__xludf.DUMMYFUNCTION("IF($AG492, ""DELETED"", TRIM(JOIN("" "",AP492,AQ492)))"),"")</f>
        <v/>
      </c>
      <c r="AS492" s="118"/>
      <c r="AT492" s="110" t="b">
        <f t="shared" si="12"/>
        <v>0</v>
      </c>
      <c r="AU492" s="110" t="str">
        <f t="shared" si="13"/>
        <v/>
      </c>
      <c r="AV492" s="110" t="str">
        <f t="shared" si="14"/>
        <v/>
      </c>
      <c r="AW492" s="110" t="str">
        <f t="shared" si="15"/>
        <v/>
      </c>
      <c r="AX492" s="119" t="str">
        <f t="shared" si="16"/>
        <v/>
      </c>
      <c r="AY492" s="120"/>
      <c r="AZ492" s="121"/>
      <c r="BA492" s="122" t="str">
        <f t="shared" si="17"/>
        <v/>
      </c>
      <c r="BB492" s="34"/>
      <c r="BC492" s="121"/>
      <c r="BD492" s="136"/>
      <c r="BE492" s="125" t="str">
        <f t="shared" si="18"/>
        <v/>
      </c>
      <c r="BF492" s="126" t="str">
        <f t="shared" si="19"/>
        <v>FM117__44613_0.261215277777778</v>
      </c>
      <c r="BG492" s="127" t="str">
        <f t="shared" si="20"/>
        <v/>
      </c>
      <c r="BH492" s="137" t="s">
        <v>1479</v>
      </c>
      <c r="BI492" s="128" t="str">
        <f t="shared" si="21"/>
        <v>MA210</v>
      </c>
      <c r="BJ492" s="129" t="b">
        <f t="shared" si="22"/>
        <v>0</v>
      </c>
      <c r="BK492" s="128" t="str">
        <f t="shared" si="23"/>
        <v/>
      </c>
      <c r="BL492" s="121"/>
      <c r="BM492" s="5" t="str">
        <f t="shared" si="24"/>
        <v>MISSING</v>
      </c>
      <c r="BN492" s="120" t="b">
        <f t="shared" si="25"/>
        <v>0</v>
      </c>
      <c r="BO492" s="131" t="b">
        <f t="shared" si="26"/>
        <v>1</v>
      </c>
      <c r="BP492" s="121"/>
      <c r="BQ492" s="132" t="str">
        <f>VLOOKUP(A492,RAW_APS!A$3:O826,15,FALSE)</f>
        <v/>
      </c>
      <c r="BR492" s="120" t="b">
        <f t="shared" si="27"/>
        <v>1</v>
      </c>
      <c r="BS492" s="121"/>
      <c r="BT492" s="138" t="s">
        <v>244</v>
      </c>
      <c r="BU492" s="10" t="b">
        <f t="shared" si="28"/>
        <v>1</v>
      </c>
      <c r="BV492" s="120"/>
      <c r="BW492" s="120"/>
      <c r="BX492" s="120"/>
      <c r="BY492" s="120"/>
      <c r="BZ492" s="120"/>
      <c r="CA492" s="120"/>
      <c r="CB492" s="120"/>
      <c r="CC492" s="120"/>
    </row>
    <row r="493">
      <c r="A493" s="2" t="s">
        <v>1480</v>
      </c>
      <c r="B493" s="100">
        <v>44613.0</v>
      </c>
      <c r="C493" s="101">
        <v>0.26516203703703706</v>
      </c>
      <c r="D493" s="102"/>
      <c r="E493" s="102"/>
      <c r="F493" s="102"/>
      <c r="G493" s="102"/>
      <c r="H493" s="102"/>
      <c r="I493" s="103"/>
      <c r="J493" s="103"/>
      <c r="K493" s="2" t="s">
        <v>244</v>
      </c>
      <c r="L493" s="100">
        <v>44613.0</v>
      </c>
      <c r="M493" s="101">
        <v>0.4693865740740741</v>
      </c>
      <c r="P493" s="104" t="b">
        <f>IFNA(IF(VLOOKUP($A493,'Add from APT'!$AA$2:$AC826,3,FALSE)&gt;0,TRUE,FALSE),"ER - NOT IN APT")</f>
        <v>0</v>
      </c>
      <c r="Q493" s="105" t="str">
        <f>IF(ISLOGICAL(P493),IF(P493,"ER - REPS IN APT", IFNA(VLOOKUP($A493,RAW_APT!$A$3:$M826,7,FALSE),"ER - NOT IN APT")),P493)</f>
        <v>Result</v>
      </c>
      <c r="R493" s="106" t="b">
        <f t="shared" si="2"/>
        <v>1</v>
      </c>
      <c r="S493" s="107">
        <f t="shared" si="3"/>
        <v>1</v>
      </c>
      <c r="T493" s="143"/>
      <c r="U493" s="142"/>
      <c r="V493" s="142"/>
      <c r="W493" s="142"/>
      <c r="X493" s="110" t="b">
        <f t="shared" si="4"/>
        <v>0</v>
      </c>
      <c r="Y493" s="111" t="b">
        <v>0</v>
      </c>
      <c r="Z493" s="104" t="str">
        <f t="shared" si="5"/>
        <v/>
      </c>
      <c r="AA493" s="112" t="b">
        <f t="shared" si="6"/>
        <v>0</v>
      </c>
      <c r="AB493" s="142" t="b">
        <v>0</v>
      </c>
      <c r="AC493" s="140">
        <v>319.0</v>
      </c>
      <c r="AD493" s="141" t="b">
        <v>0</v>
      </c>
      <c r="AE493" s="115">
        <f t="shared" si="7"/>
        <v>294.0833333</v>
      </c>
      <c r="AF493" s="116" t="b">
        <f t="shared" si="8"/>
        <v>0</v>
      </c>
      <c r="AG493" s="105" t="b">
        <f t="shared" si="9"/>
        <v>0</v>
      </c>
      <c r="AH493" s="140"/>
      <c r="AI493" s="140"/>
      <c r="AJ493" s="140"/>
      <c r="AK493" s="117" t="str">
        <f t="shared" si="10"/>
        <v>Negative</v>
      </c>
      <c r="AL493" s="142"/>
      <c r="AM493" s="112" t="s">
        <v>465</v>
      </c>
      <c r="AN493" s="112" t="s">
        <v>466</v>
      </c>
      <c r="AO493" s="112" t="str">
        <f>IFERROR(__xludf.DUMMYFUNCTION("IF($AG493, ""DELETED"",TRIM(JOIN("" "",D493:E493)))"),"")</f>
        <v/>
      </c>
      <c r="AP493" s="112" t="str">
        <f t="shared" ref="AP493:AQ493" si="518">IF($AG493, "DELETED", TRIM(CONCATENATE(F493,I493,U493)))</f>
        <v/>
      </c>
      <c r="AQ493" s="112" t="str">
        <f t="shared" si="518"/>
        <v/>
      </c>
      <c r="AR493" s="112" t="str">
        <f>IFERROR(__xludf.DUMMYFUNCTION("IF($AG493, ""DELETED"", TRIM(JOIN("" "",AP493,AQ493)))"),"")</f>
        <v/>
      </c>
      <c r="AS493" s="118"/>
      <c r="AT493" s="110" t="b">
        <f t="shared" si="12"/>
        <v>0</v>
      </c>
      <c r="AU493" s="110" t="str">
        <f t="shared" si="13"/>
        <v/>
      </c>
      <c r="AV493" s="110" t="str">
        <f t="shared" si="14"/>
        <v/>
      </c>
      <c r="AW493" s="110" t="str">
        <f t="shared" si="15"/>
        <v/>
      </c>
      <c r="AX493" s="119" t="str">
        <f t="shared" si="16"/>
        <v/>
      </c>
      <c r="AY493" s="120"/>
      <c r="AZ493" s="121"/>
      <c r="BA493" s="122" t="str">
        <f t="shared" si="17"/>
        <v/>
      </c>
      <c r="BB493" s="34"/>
      <c r="BC493" s="121"/>
      <c r="BD493" s="136"/>
      <c r="BE493" s="125" t="str">
        <f t="shared" si="18"/>
        <v/>
      </c>
      <c r="BF493" s="126" t="str">
        <f t="shared" si="19"/>
        <v>FM437__44613_0.265162037037037</v>
      </c>
      <c r="BG493" s="127" t="str">
        <f t="shared" si="20"/>
        <v/>
      </c>
      <c r="BH493" s="137" t="s">
        <v>1481</v>
      </c>
      <c r="BI493" s="128" t="str">
        <f t="shared" si="21"/>
        <v>MA211</v>
      </c>
      <c r="BJ493" s="129" t="b">
        <f t="shared" si="22"/>
        <v>0</v>
      </c>
      <c r="BK493" s="128" t="str">
        <f t="shared" si="23"/>
        <v/>
      </c>
      <c r="BL493" s="121"/>
      <c r="BM493" s="5" t="str">
        <f t="shared" si="24"/>
        <v>MISSING</v>
      </c>
      <c r="BN493" s="120" t="b">
        <f t="shared" si="25"/>
        <v>0</v>
      </c>
      <c r="BO493" s="131" t="b">
        <f t="shared" si="26"/>
        <v>1</v>
      </c>
      <c r="BP493" s="121"/>
      <c r="BQ493" s="132" t="str">
        <f>VLOOKUP(A493,RAW_APS!A$3:O826,15,FALSE)</f>
        <v/>
      </c>
      <c r="BR493" s="120" t="b">
        <f t="shared" si="27"/>
        <v>1</v>
      </c>
      <c r="BS493" s="121"/>
      <c r="BT493" s="138" t="s">
        <v>244</v>
      </c>
      <c r="BU493" s="10" t="b">
        <f t="shared" si="28"/>
        <v>1</v>
      </c>
      <c r="BV493" s="120"/>
      <c r="BW493" s="120"/>
      <c r="BX493" s="120"/>
      <c r="BY493" s="120"/>
      <c r="BZ493" s="120"/>
      <c r="CA493" s="120"/>
      <c r="CB493" s="120"/>
      <c r="CC493" s="120"/>
    </row>
    <row r="494">
      <c r="A494" s="2" t="s">
        <v>1482</v>
      </c>
      <c r="B494" s="100">
        <v>44613.0</v>
      </c>
      <c r="C494" s="101">
        <v>0.266724537037037</v>
      </c>
      <c r="D494" s="102"/>
      <c r="E494" s="102"/>
      <c r="F494" s="102"/>
      <c r="G494" s="102"/>
      <c r="H494" s="102"/>
      <c r="I494" s="103"/>
      <c r="J494" s="103"/>
      <c r="K494" s="2" t="s">
        <v>244</v>
      </c>
      <c r="L494" s="100">
        <v>44613.0</v>
      </c>
      <c r="M494" s="101">
        <v>0.4693981481481482</v>
      </c>
      <c r="P494" s="104" t="b">
        <f>IFNA(IF(VLOOKUP($A494,'Add from APT'!$AA$2:$AC826,3,FALSE)&gt;0,TRUE,FALSE),"ER - NOT IN APT")</f>
        <v>0</v>
      </c>
      <c r="Q494" s="105" t="str">
        <f>IF(ISLOGICAL(P494),IF(P494,"ER - REPS IN APT", IFNA(VLOOKUP($A494,RAW_APT!$A$3:$M826,7,FALSE),"ER - NOT IN APT")),P494)</f>
        <v>Result</v>
      </c>
      <c r="R494" s="106" t="b">
        <f t="shared" si="2"/>
        <v>1</v>
      </c>
      <c r="S494" s="107">
        <f t="shared" si="3"/>
        <v>1</v>
      </c>
      <c r="T494" s="143"/>
      <c r="U494" s="142"/>
      <c r="V494" s="142"/>
      <c r="W494" s="142"/>
      <c r="X494" s="110" t="b">
        <f t="shared" si="4"/>
        <v>0</v>
      </c>
      <c r="Y494" s="111" t="b">
        <v>0</v>
      </c>
      <c r="Z494" s="104" t="str">
        <f t="shared" si="5"/>
        <v/>
      </c>
      <c r="AA494" s="112" t="b">
        <f t="shared" si="6"/>
        <v>0</v>
      </c>
      <c r="AB494" s="142" t="b">
        <v>0</v>
      </c>
      <c r="AC494" s="140">
        <v>318.0</v>
      </c>
      <c r="AD494" s="141" t="b">
        <v>0</v>
      </c>
      <c r="AE494" s="115">
        <f t="shared" si="7"/>
        <v>291.85</v>
      </c>
      <c r="AF494" s="116" t="b">
        <f t="shared" si="8"/>
        <v>0</v>
      </c>
      <c r="AG494" s="105" t="b">
        <f t="shared" si="9"/>
        <v>0</v>
      </c>
      <c r="AH494" s="140"/>
      <c r="AI494" s="140"/>
      <c r="AJ494" s="140"/>
      <c r="AK494" s="117" t="str">
        <f t="shared" si="10"/>
        <v>Negative</v>
      </c>
      <c r="AL494" s="142"/>
      <c r="AM494" s="112" t="s">
        <v>612</v>
      </c>
      <c r="AN494" s="112" t="s">
        <v>613</v>
      </c>
      <c r="AO494" s="112" t="str">
        <f>IFERROR(__xludf.DUMMYFUNCTION("IF($AG494, ""DELETED"",TRIM(JOIN("" "",D494:E494)))"),"")</f>
        <v/>
      </c>
      <c r="AP494" s="112" t="str">
        <f t="shared" ref="AP494:AQ494" si="519">IF($AG494, "DELETED", TRIM(CONCATENATE(F494,I494,U494)))</f>
        <v/>
      </c>
      <c r="AQ494" s="112" t="str">
        <f t="shared" si="519"/>
        <v/>
      </c>
      <c r="AR494" s="112" t="str">
        <f>IFERROR(__xludf.DUMMYFUNCTION("IF($AG494, ""DELETED"", TRIM(JOIN("" "",AP494,AQ494)))"),"")</f>
        <v/>
      </c>
      <c r="AS494" s="118"/>
      <c r="AT494" s="110" t="b">
        <f t="shared" si="12"/>
        <v>0</v>
      </c>
      <c r="AU494" s="110" t="str">
        <f t="shared" si="13"/>
        <v/>
      </c>
      <c r="AV494" s="110" t="str">
        <f t="shared" si="14"/>
        <v/>
      </c>
      <c r="AW494" s="110" t="str">
        <f t="shared" si="15"/>
        <v/>
      </c>
      <c r="AX494" s="119" t="str">
        <f t="shared" si="16"/>
        <v/>
      </c>
      <c r="AY494" s="120"/>
      <c r="AZ494" s="121"/>
      <c r="BA494" s="122" t="str">
        <f t="shared" si="17"/>
        <v/>
      </c>
      <c r="BB494" s="34"/>
      <c r="BC494" s="121"/>
      <c r="BD494" s="136"/>
      <c r="BE494" s="125" t="str">
        <f t="shared" si="18"/>
        <v/>
      </c>
      <c r="BF494" s="126" t="str">
        <f t="shared" si="19"/>
        <v>FM980__44613_0.266724537037037</v>
      </c>
      <c r="BG494" s="127" t="str">
        <f t="shared" si="20"/>
        <v/>
      </c>
      <c r="BH494" s="137" t="s">
        <v>1483</v>
      </c>
      <c r="BI494" s="128" t="str">
        <f t="shared" si="21"/>
        <v>MA213</v>
      </c>
      <c r="BJ494" s="129" t="b">
        <f t="shared" si="22"/>
        <v>0</v>
      </c>
      <c r="BK494" s="128" t="str">
        <f t="shared" si="23"/>
        <v/>
      </c>
      <c r="BL494" s="121"/>
      <c r="BM494" s="5" t="str">
        <f t="shared" si="24"/>
        <v>MISSING</v>
      </c>
      <c r="BN494" s="120" t="b">
        <f t="shared" si="25"/>
        <v>0</v>
      </c>
      <c r="BO494" s="131" t="b">
        <f t="shared" si="26"/>
        <v>1</v>
      </c>
      <c r="BP494" s="121"/>
      <c r="BQ494" s="132" t="str">
        <f>VLOOKUP(A494,RAW_APS!A$3:O826,15,FALSE)</f>
        <v/>
      </c>
      <c r="BR494" s="120" t="b">
        <f t="shared" si="27"/>
        <v>1</v>
      </c>
      <c r="BS494" s="121"/>
      <c r="BT494" s="138" t="s">
        <v>244</v>
      </c>
      <c r="BU494" s="10" t="b">
        <f t="shared" si="28"/>
        <v>1</v>
      </c>
      <c r="BV494" s="120"/>
      <c r="BW494" s="120"/>
      <c r="BX494" s="120"/>
      <c r="BY494" s="120"/>
      <c r="BZ494" s="120"/>
      <c r="CA494" s="120"/>
      <c r="CB494" s="120"/>
      <c r="CC494" s="120"/>
    </row>
    <row r="495">
      <c r="A495" s="2" t="s">
        <v>1484</v>
      </c>
      <c r="B495" s="100">
        <v>44613.0</v>
      </c>
      <c r="C495" s="101">
        <v>0.27609953703703705</v>
      </c>
      <c r="D495" s="102"/>
      <c r="E495" s="102"/>
      <c r="F495" s="102"/>
      <c r="G495" s="102"/>
      <c r="H495" s="102"/>
      <c r="I495" s="103"/>
      <c r="J495" s="103"/>
      <c r="K495" s="2" t="s">
        <v>244</v>
      </c>
      <c r="L495" s="100">
        <v>44613.0</v>
      </c>
      <c r="M495" s="101">
        <v>0.4693981481481482</v>
      </c>
      <c r="P495" s="104" t="b">
        <f>IFNA(IF(VLOOKUP($A495,'Add from APT'!$AA$2:$AC826,3,FALSE)&gt;0,TRUE,FALSE),"ER - NOT IN APT")</f>
        <v>0</v>
      </c>
      <c r="Q495" s="105" t="str">
        <f>IF(ISLOGICAL(P495),IF(P495,"ER - REPS IN APT", IFNA(VLOOKUP($A495,RAW_APT!$A$3:$M826,7,FALSE),"ER - NOT IN APT")),P495)</f>
        <v>Result</v>
      </c>
      <c r="R495" s="106" t="b">
        <f t="shared" si="2"/>
        <v>1</v>
      </c>
      <c r="S495" s="107">
        <f t="shared" si="3"/>
        <v>1</v>
      </c>
      <c r="T495" s="143"/>
      <c r="U495" s="142"/>
      <c r="V495" s="142"/>
      <c r="W495" s="142"/>
      <c r="X495" s="110" t="b">
        <f t="shared" si="4"/>
        <v>0</v>
      </c>
      <c r="Y495" s="111" t="b">
        <v>0</v>
      </c>
      <c r="Z495" s="104" t="str">
        <f t="shared" si="5"/>
        <v/>
      </c>
      <c r="AA495" s="112" t="b">
        <f t="shared" si="6"/>
        <v>0</v>
      </c>
      <c r="AB495" s="142" t="b">
        <v>0</v>
      </c>
      <c r="AC495" s="140">
        <v>317.0</v>
      </c>
      <c r="AD495" s="141" t="b">
        <v>0</v>
      </c>
      <c r="AE495" s="115">
        <f t="shared" si="7"/>
        <v>278.35</v>
      </c>
      <c r="AF495" s="116" t="b">
        <f t="shared" si="8"/>
        <v>0</v>
      </c>
      <c r="AG495" s="105" t="b">
        <f t="shared" si="9"/>
        <v>0</v>
      </c>
      <c r="AH495" s="140"/>
      <c r="AI495" s="140"/>
      <c r="AJ495" s="140"/>
      <c r="AK495" s="117" t="str">
        <f t="shared" si="10"/>
        <v>Negative</v>
      </c>
      <c r="AL495" s="142"/>
      <c r="AM495" s="112" t="s">
        <v>1313</v>
      </c>
      <c r="AN495" s="112" t="s">
        <v>1485</v>
      </c>
      <c r="AO495" s="112" t="str">
        <f>IFERROR(__xludf.DUMMYFUNCTION("IF($AG495, ""DELETED"",TRIM(JOIN("" "",D495:E495)))"),"")</f>
        <v/>
      </c>
      <c r="AP495" s="112" t="str">
        <f t="shared" ref="AP495:AQ495" si="520">IF($AG495, "DELETED", TRIM(CONCATENATE(F495,I495,U495)))</f>
        <v/>
      </c>
      <c r="AQ495" s="112" t="str">
        <f t="shared" si="520"/>
        <v/>
      </c>
      <c r="AR495" s="112" t="str">
        <f>IFERROR(__xludf.DUMMYFUNCTION("IF($AG495, ""DELETED"", TRIM(JOIN("" "",AP495,AQ495)))"),"")</f>
        <v/>
      </c>
      <c r="AS495" s="118"/>
      <c r="AT495" s="110" t="b">
        <f t="shared" si="12"/>
        <v>0</v>
      </c>
      <c r="AU495" s="110" t="str">
        <f t="shared" si="13"/>
        <v/>
      </c>
      <c r="AV495" s="110" t="str">
        <f t="shared" si="14"/>
        <v/>
      </c>
      <c r="AW495" s="110" t="str">
        <f t="shared" si="15"/>
        <v/>
      </c>
      <c r="AX495" s="119" t="str">
        <f t="shared" si="16"/>
        <v/>
      </c>
      <c r="AY495" s="120"/>
      <c r="AZ495" s="121"/>
      <c r="BA495" s="122" t="str">
        <f t="shared" si="17"/>
        <v/>
      </c>
      <c r="BB495" s="34"/>
      <c r="BC495" s="121"/>
      <c r="BD495" s="136"/>
      <c r="BE495" s="125" t="str">
        <f t="shared" si="18"/>
        <v/>
      </c>
      <c r="BF495" s="126" t="str">
        <f t="shared" si="19"/>
        <v>FM824__44613_0.276099537037037</v>
      </c>
      <c r="BG495" s="127" t="str">
        <f t="shared" si="20"/>
        <v/>
      </c>
      <c r="BH495" s="137" t="s">
        <v>1486</v>
      </c>
      <c r="BI495" s="128" t="str">
        <f t="shared" si="21"/>
        <v>MA214</v>
      </c>
      <c r="BJ495" s="129" t="b">
        <f t="shared" si="22"/>
        <v>0</v>
      </c>
      <c r="BK495" s="128" t="str">
        <f t="shared" si="23"/>
        <v/>
      </c>
      <c r="BL495" s="121"/>
      <c r="BM495" s="5" t="str">
        <f t="shared" si="24"/>
        <v>MISSING</v>
      </c>
      <c r="BN495" s="120" t="b">
        <f t="shared" si="25"/>
        <v>0</v>
      </c>
      <c r="BO495" s="131" t="b">
        <f t="shared" si="26"/>
        <v>1</v>
      </c>
      <c r="BP495" s="121"/>
      <c r="BQ495" s="132" t="str">
        <f>VLOOKUP(A495,RAW_APS!A$3:O826,15,FALSE)</f>
        <v/>
      </c>
      <c r="BR495" s="120" t="b">
        <f t="shared" si="27"/>
        <v>1</v>
      </c>
      <c r="BS495" s="121"/>
      <c r="BT495" s="138" t="s">
        <v>244</v>
      </c>
      <c r="BU495" s="10" t="b">
        <f t="shared" si="28"/>
        <v>1</v>
      </c>
      <c r="BV495" s="120"/>
      <c r="BW495" s="120"/>
      <c r="BX495" s="120"/>
      <c r="BY495" s="120"/>
      <c r="BZ495" s="120"/>
      <c r="CA495" s="120"/>
      <c r="CB495" s="120"/>
      <c r="CC495" s="120"/>
    </row>
    <row r="496">
      <c r="A496" s="2" t="s">
        <v>1487</v>
      </c>
      <c r="B496" s="100">
        <v>44613.0</v>
      </c>
      <c r="C496" s="101">
        <v>0.2888425925925926</v>
      </c>
      <c r="D496" s="102"/>
      <c r="E496" s="102"/>
      <c r="F496" s="102"/>
      <c r="G496" s="102"/>
      <c r="H496" s="102"/>
      <c r="I496" s="103"/>
      <c r="J496" s="103"/>
      <c r="K496" s="2" t="s">
        <v>244</v>
      </c>
      <c r="L496" s="100">
        <v>44613.0</v>
      </c>
      <c r="M496" s="101">
        <v>0.4693981481481482</v>
      </c>
      <c r="P496" s="104" t="b">
        <f>IFNA(IF(VLOOKUP($A496,'Add from APT'!$AA$2:$AC826,3,FALSE)&gt;0,TRUE,FALSE),"ER - NOT IN APT")</f>
        <v>0</v>
      </c>
      <c r="Q496" s="105" t="str">
        <f>IF(ISLOGICAL(P496),IF(P496,"ER - REPS IN APT", IFNA(VLOOKUP($A496,RAW_APT!$A$3:$M826,7,FALSE),"ER - NOT IN APT")),P496)</f>
        <v>Result</v>
      </c>
      <c r="R496" s="106" t="b">
        <f t="shared" si="2"/>
        <v>1</v>
      </c>
      <c r="S496" s="107">
        <f t="shared" si="3"/>
        <v>1</v>
      </c>
      <c r="T496" s="143"/>
      <c r="U496" s="142"/>
      <c r="V496" s="142"/>
      <c r="W496" s="142"/>
      <c r="X496" s="110" t="b">
        <f t="shared" si="4"/>
        <v>0</v>
      </c>
      <c r="Y496" s="111" t="b">
        <v>0</v>
      </c>
      <c r="Z496" s="104" t="str">
        <f t="shared" si="5"/>
        <v/>
      </c>
      <c r="AA496" s="112" t="b">
        <f t="shared" si="6"/>
        <v>0</v>
      </c>
      <c r="AB496" s="142" t="b">
        <v>0</v>
      </c>
      <c r="AC496" s="140">
        <v>316.0</v>
      </c>
      <c r="AD496" s="141" t="b">
        <v>0</v>
      </c>
      <c r="AE496" s="115">
        <f t="shared" si="7"/>
        <v>260</v>
      </c>
      <c r="AF496" s="116" t="b">
        <f t="shared" si="8"/>
        <v>0</v>
      </c>
      <c r="AG496" s="105" t="b">
        <f t="shared" si="9"/>
        <v>0</v>
      </c>
      <c r="AH496" s="140"/>
      <c r="AI496" s="140"/>
      <c r="AJ496" s="140"/>
      <c r="AK496" s="117" t="str">
        <f t="shared" si="10"/>
        <v>Negative</v>
      </c>
      <c r="AL496" s="142"/>
      <c r="AM496" s="112" t="s">
        <v>1306</v>
      </c>
      <c r="AN496" s="112" t="s">
        <v>1307</v>
      </c>
      <c r="AO496" s="112" t="str">
        <f>IFERROR(__xludf.DUMMYFUNCTION("IF($AG496, ""DELETED"",TRIM(JOIN("" "",D496:E496)))"),"")</f>
        <v/>
      </c>
      <c r="AP496" s="112" t="str">
        <f t="shared" ref="AP496:AQ496" si="521">IF($AG496, "DELETED", TRIM(CONCATENATE(F496,I496,U496)))</f>
        <v/>
      </c>
      <c r="AQ496" s="112" t="str">
        <f t="shared" si="521"/>
        <v/>
      </c>
      <c r="AR496" s="112" t="str">
        <f>IFERROR(__xludf.DUMMYFUNCTION("IF($AG496, ""DELETED"", TRIM(JOIN("" "",AP496,AQ496)))"),"")</f>
        <v/>
      </c>
      <c r="AS496" s="118"/>
      <c r="AT496" s="110" t="b">
        <f t="shared" si="12"/>
        <v>0</v>
      </c>
      <c r="AU496" s="110" t="str">
        <f t="shared" si="13"/>
        <v/>
      </c>
      <c r="AV496" s="110" t="str">
        <f t="shared" si="14"/>
        <v/>
      </c>
      <c r="AW496" s="110" t="str">
        <f t="shared" si="15"/>
        <v/>
      </c>
      <c r="AX496" s="119" t="str">
        <f t="shared" si="16"/>
        <v/>
      </c>
      <c r="AY496" s="120"/>
      <c r="AZ496" s="121"/>
      <c r="BA496" s="122" t="str">
        <f t="shared" si="17"/>
        <v/>
      </c>
      <c r="BB496" s="34"/>
      <c r="BC496" s="121"/>
      <c r="BD496" s="136"/>
      <c r="BE496" s="125" t="str">
        <f t="shared" si="18"/>
        <v/>
      </c>
      <c r="BF496" s="126" t="str">
        <f t="shared" si="19"/>
        <v>FM478__44613_0.288842592592593</v>
      </c>
      <c r="BG496" s="127" t="str">
        <f t="shared" si="20"/>
        <v/>
      </c>
      <c r="BH496" s="137" t="s">
        <v>1488</v>
      </c>
      <c r="BI496" s="128" t="str">
        <f t="shared" si="21"/>
        <v>MA217</v>
      </c>
      <c r="BJ496" s="129" t="b">
        <f t="shared" si="22"/>
        <v>0</v>
      </c>
      <c r="BK496" s="128" t="str">
        <f t="shared" si="23"/>
        <v/>
      </c>
      <c r="BL496" s="121"/>
      <c r="BM496" s="5" t="str">
        <f t="shared" si="24"/>
        <v>MISSING</v>
      </c>
      <c r="BN496" s="120" t="b">
        <f t="shared" si="25"/>
        <v>0</v>
      </c>
      <c r="BO496" s="131" t="b">
        <f t="shared" si="26"/>
        <v>1</v>
      </c>
      <c r="BP496" s="121"/>
      <c r="BQ496" s="132" t="str">
        <f>VLOOKUP(A496,RAW_APS!A$3:O826,15,FALSE)</f>
        <v/>
      </c>
      <c r="BR496" s="120" t="b">
        <f t="shared" si="27"/>
        <v>1</v>
      </c>
      <c r="BS496" s="121"/>
      <c r="BT496" s="138" t="s">
        <v>244</v>
      </c>
      <c r="BU496" s="10" t="b">
        <f t="shared" si="28"/>
        <v>1</v>
      </c>
      <c r="BV496" s="120"/>
      <c r="BW496" s="120"/>
      <c r="BX496" s="120"/>
      <c r="BY496" s="120"/>
      <c r="BZ496" s="120"/>
      <c r="CA496" s="120"/>
      <c r="CB496" s="120"/>
      <c r="CC496" s="120"/>
    </row>
    <row r="497">
      <c r="A497" s="2" t="s">
        <v>1489</v>
      </c>
      <c r="B497" s="100">
        <v>44613.0</v>
      </c>
      <c r="C497" s="101">
        <v>0.2935763888888889</v>
      </c>
      <c r="D497" s="102"/>
      <c r="E497" s="102"/>
      <c r="F497" s="102"/>
      <c r="G497" s="102"/>
      <c r="H497" s="102"/>
      <c r="I497" s="103"/>
      <c r="J497" s="103"/>
      <c r="K497" s="2" t="s">
        <v>244</v>
      </c>
      <c r="L497" s="100">
        <v>44613.0</v>
      </c>
      <c r="M497" s="101">
        <v>0.4693981481481482</v>
      </c>
      <c r="P497" s="104" t="b">
        <f>IFNA(IF(VLOOKUP($A497,'Add from APT'!$AA$2:$AC826,3,FALSE)&gt;0,TRUE,FALSE),"ER - NOT IN APT")</f>
        <v>0</v>
      </c>
      <c r="Q497" s="105" t="str">
        <f>IF(ISLOGICAL(P497),IF(P497,"ER - REPS IN APT", IFNA(VLOOKUP($A497,RAW_APT!$A$3:$M826,7,FALSE),"ER - NOT IN APT")),P497)</f>
        <v>Result</v>
      </c>
      <c r="R497" s="106" t="b">
        <f t="shared" si="2"/>
        <v>1</v>
      </c>
      <c r="S497" s="107">
        <f t="shared" si="3"/>
        <v>1</v>
      </c>
      <c r="T497" s="143"/>
      <c r="U497" s="142"/>
      <c r="V497" s="142"/>
      <c r="W497" s="142"/>
      <c r="X497" s="110" t="b">
        <f t="shared" si="4"/>
        <v>0</v>
      </c>
      <c r="Y497" s="111" t="b">
        <v>0</v>
      </c>
      <c r="Z497" s="104" t="str">
        <f t="shared" si="5"/>
        <v/>
      </c>
      <c r="AA497" s="112" t="b">
        <f t="shared" si="6"/>
        <v>0</v>
      </c>
      <c r="AB497" s="142" t="b">
        <v>0</v>
      </c>
      <c r="AC497" s="140">
        <v>315.0</v>
      </c>
      <c r="AD497" s="141" t="b">
        <v>0</v>
      </c>
      <c r="AE497" s="115">
        <f t="shared" si="7"/>
        <v>253.1833333</v>
      </c>
      <c r="AF497" s="116" t="b">
        <f t="shared" si="8"/>
        <v>0</v>
      </c>
      <c r="AG497" s="105" t="b">
        <f t="shared" si="9"/>
        <v>0</v>
      </c>
      <c r="AH497" s="140"/>
      <c r="AI497" s="140"/>
      <c r="AJ497" s="140"/>
      <c r="AK497" s="117" t="str">
        <f t="shared" si="10"/>
        <v>Negative</v>
      </c>
      <c r="AL497" s="142"/>
      <c r="AM497" s="112" t="s">
        <v>1490</v>
      </c>
      <c r="AN497" s="112" t="s">
        <v>1491</v>
      </c>
      <c r="AO497" s="112" t="str">
        <f>IFERROR(__xludf.DUMMYFUNCTION("IF($AG497, ""DELETED"",TRIM(JOIN("" "",D497:E497)))"),"")</f>
        <v/>
      </c>
      <c r="AP497" s="112" t="str">
        <f t="shared" ref="AP497:AQ497" si="522">IF($AG497, "DELETED", TRIM(CONCATENATE(F497,I497,U497)))</f>
        <v/>
      </c>
      <c r="AQ497" s="112" t="str">
        <f t="shared" si="522"/>
        <v/>
      </c>
      <c r="AR497" s="112" t="str">
        <f>IFERROR(__xludf.DUMMYFUNCTION("IF($AG497, ""DELETED"", TRIM(JOIN("" "",AP497,AQ497)))"),"")</f>
        <v/>
      </c>
      <c r="AS497" s="118"/>
      <c r="AT497" s="110" t="b">
        <f t="shared" si="12"/>
        <v>0</v>
      </c>
      <c r="AU497" s="110" t="str">
        <f t="shared" si="13"/>
        <v/>
      </c>
      <c r="AV497" s="110" t="str">
        <f t="shared" si="14"/>
        <v/>
      </c>
      <c r="AW497" s="110" t="str">
        <f t="shared" si="15"/>
        <v/>
      </c>
      <c r="AX497" s="119" t="str">
        <f t="shared" si="16"/>
        <v/>
      </c>
      <c r="AY497" s="120"/>
      <c r="AZ497" s="121"/>
      <c r="BA497" s="122" t="str">
        <f t="shared" si="17"/>
        <v/>
      </c>
      <c r="BB497" s="34"/>
      <c r="BC497" s="121"/>
      <c r="BD497" s="136"/>
      <c r="BE497" s="125" t="str">
        <f t="shared" si="18"/>
        <v/>
      </c>
      <c r="BF497" s="126" t="str">
        <f t="shared" si="19"/>
        <v>MA279__44613_0.293576388888889</v>
      </c>
      <c r="BG497" s="127" t="str">
        <f t="shared" si="20"/>
        <v/>
      </c>
      <c r="BH497" s="137" t="s">
        <v>1492</v>
      </c>
      <c r="BI497" s="128" t="str">
        <f t="shared" si="21"/>
        <v>MA218</v>
      </c>
      <c r="BJ497" s="129" t="b">
        <f t="shared" si="22"/>
        <v>0</v>
      </c>
      <c r="BK497" s="128" t="str">
        <f t="shared" si="23"/>
        <v/>
      </c>
      <c r="BL497" s="121"/>
      <c r="BM497" s="5" t="str">
        <f t="shared" si="24"/>
        <v>MISSING</v>
      </c>
      <c r="BN497" s="120" t="b">
        <f t="shared" si="25"/>
        <v>0</v>
      </c>
      <c r="BO497" s="131" t="b">
        <f t="shared" si="26"/>
        <v>1</v>
      </c>
      <c r="BP497" s="121"/>
      <c r="BQ497" s="132" t="str">
        <f>VLOOKUP(A497,RAW_APS!A$3:O826,15,FALSE)</f>
        <v/>
      </c>
      <c r="BR497" s="120" t="b">
        <f t="shared" si="27"/>
        <v>1</v>
      </c>
      <c r="BS497" s="121"/>
      <c r="BT497" s="138" t="s">
        <v>244</v>
      </c>
      <c r="BU497" s="10" t="b">
        <f t="shared" si="28"/>
        <v>1</v>
      </c>
      <c r="BV497" s="120"/>
      <c r="BW497" s="120"/>
      <c r="BX497" s="120"/>
      <c r="BY497" s="120"/>
      <c r="BZ497" s="120"/>
      <c r="CA497" s="120"/>
      <c r="CB497" s="120"/>
      <c r="CC497" s="120"/>
    </row>
    <row r="498">
      <c r="A498" s="2" t="s">
        <v>1493</v>
      </c>
      <c r="B498" s="100">
        <v>44613.0</v>
      </c>
      <c r="C498" s="101">
        <v>0.3007175925925926</v>
      </c>
      <c r="D498" s="102"/>
      <c r="E498" s="102"/>
      <c r="F498" s="102"/>
      <c r="G498" s="102"/>
      <c r="H498" s="102"/>
      <c r="I498" s="103"/>
      <c r="J498" s="103"/>
      <c r="K498" s="2" t="s">
        <v>244</v>
      </c>
      <c r="L498" s="100">
        <v>44613.0</v>
      </c>
      <c r="M498" s="101">
        <v>0.4693981481481482</v>
      </c>
      <c r="P498" s="104" t="b">
        <f>IFNA(IF(VLOOKUP($A498,'Add from APT'!$AA$2:$AC826,3,FALSE)&gt;0,TRUE,FALSE),"ER - NOT IN APT")</f>
        <v>0</v>
      </c>
      <c r="Q498" s="105" t="str">
        <f>IF(ISLOGICAL(P498),IF(P498,"ER - REPS IN APT", IFNA(VLOOKUP($A498,RAW_APT!$A$3:$M826,7,FALSE),"ER - NOT IN APT")),P498)</f>
        <v>Result</v>
      </c>
      <c r="R498" s="106" t="b">
        <f t="shared" si="2"/>
        <v>1</v>
      </c>
      <c r="S498" s="107">
        <f t="shared" si="3"/>
        <v>1</v>
      </c>
      <c r="T498" s="143"/>
      <c r="U498" s="142"/>
      <c r="V498" s="142"/>
      <c r="W498" s="142"/>
      <c r="X498" s="110" t="b">
        <f t="shared" si="4"/>
        <v>0</v>
      </c>
      <c r="Y498" s="111" t="b">
        <v>0</v>
      </c>
      <c r="Z498" s="104" t="str">
        <f t="shared" si="5"/>
        <v/>
      </c>
      <c r="AA498" s="112" t="b">
        <f t="shared" si="6"/>
        <v>0</v>
      </c>
      <c r="AB498" s="142" t="b">
        <v>0</v>
      </c>
      <c r="AC498" s="140">
        <v>314.0</v>
      </c>
      <c r="AD498" s="141" t="b">
        <v>0</v>
      </c>
      <c r="AE498" s="115">
        <f t="shared" si="7"/>
        <v>242.9</v>
      </c>
      <c r="AF498" s="116" t="b">
        <f t="shared" si="8"/>
        <v>0</v>
      </c>
      <c r="AG498" s="105" t="b">
        <f t="shared" si="9"/>
        <v>0</v>
      </c>
      <c r="AH498" s="140"/>
      <c r="AI498" s="140"/>
      <c r="AJ498" s="140"/>
      <c r="AK498" s="117" t="str">
        <f t="shared" si="10"/>
        <v>Negative</v>
      </c>
      <c r="AL498" s="142"/>
      <c r="AM498" s="112" t="s">
        <v>430</v>
      </c>
      <c r="AN498" s="112" t="s">
        <v>431</v>
      </c>
      <c r="AO498" s="112" t="str">
        <f>IFERROR(__xludf.DUMMYFUNCTION("IF($AG498, ""DELETED"",TRIM(JOIN("" "",D498:E498)))"),"")</f>
        <v/>
      </c>
      <c r="AP498" s="112" t="str">
        <f t="shared" ref="AP498:AQ498" si="523">IF($AG498, "DELETED", TRIM(CONCATENATE(F498,I498,U498)))</f>
        <v/>
      </c>
      <c r="AQ498" s="112" t="str">
        <f t="shared" si="523"/>
        <v/>
      </c>
      <c r="AR498" s="112" t="str">
        <f>IFERROR(__xludf.DUMMYFUNCTION("IF($AG498, ""DELETED"", TRIM(JOIN("" "",AP498,AQ498)))"),"")</f>
        <v/>
      </c>
      <c r="AS498" s="118"/>
      <c r="AT498" s="110" t="b">
        <f t="shared" si="12"/>
        <v>0</v>
      </c>
      <c r="AU498" s="110" t="str">
        <f t="shared" si="13"/>
        <v/>
      </c>
      <c r="AV498" s="110" t="str">
        <f t="shared" si="14"/>
        <v/>
      </c>
      <c r="AW498" s="110" t="str">
        <f t="shared" si="15"/>
        <v/>
      </c>
      <c r="AX498" s="119" t="str">
        <f t="shared" si="16"/>
        <v/>
      </c>
      <c r="AY498" s="120"/>
      <c r="AZ498" s="121"/>
      <c r="BA498" s="122" t="str">
        <f t="shared" si="17"/>
        <v/>
      </c>
      <c r="BB498" s="34"/>
      <c r="BC498" s="121"/>
      <c r="BD498" s="136"/>
      <c r="BE498" s="125" t="str">
        <f t="shared" si="18"/>
        <v/>
      </c>
      <c r="BF498" s="126" t="str">
        <f t="shared" si="19"/>
        <v>FM486__44613_0.300717592592593</v>
      </c>
      <c r="BG498" s="127" t="str">
        <f t="shared" si="20"/>
        <v/>
      </c>
      <c r="BH498" s="137" t="s">
        <v>1494</v>
      </c>
      <c r="BI498" s="128" t="str">
        <f t="shared" si="21"/>
        <v>MA219</v>
      </c>
      <c r="BJ498" s="129" t="b">
        <f t="shared" si="22"/>
        <v>0</v>
      </c>
      <c r="BK498" s="128" t="str">
        <f t="shared" si="23"/>
        <v/>
      </c>
      <c r="BL498" s="121"/>
      <c r="BM498" s="5" t="str">
        <f t="shared" si="24"/>
        <v>MISSING</v>
      </c>
      <c r="BN498" s="120" t="b">
        <f t="shared" si="25"/>
        <v>0</v>
      </c>
      <c r="BO498" s="131" t="b">
        <f t="shared" si="26"/>
        <v>1</v>
      </c>
      <c r="BP498" s="121"/>
      <c r="BQ498" s="132" t="str">
        <f>VLOOKUP(A498,RAW_APS!A$3:O826,15,FALSE)</f>
        <v/>
      </c>
      <c r="BR498" s="120" t="b">
        <f t="shared" si="27"/>
        <v>1</v>
      </c>
      <c r="BS498" s="121"/>
      <c r="BT498" s="138" t="s">
        <v>244</v>
      </c>
      <c r="BU498" s="10" t="b">
        <f t="shared" si="28"/>
        <v>1</v>
      </c>
      <c r="BV498" s="120"/>
      <c r="BW498" s="120"/>
      <c r="BX498" s="120"/>
      <c r="BY498" s="120"/>
      <c r="BZ498" s="120"/>
      <c r="CA498" s="120"/>
      <c r="CB498" s="120"/>
      <c r="CC498" s="120"/>
    </row>
    <row r="499">
      <c r="A499" s="2" t="s">
        <v>1495</v>
      </c>
      <c r="B499" s="100">
        <v>44613.0</v>
      </c>
      <c r="C499" s="101">
        <v>0.3065509259259259</v>
      </c>
      <c r="D499" s="102"/>
      <c r="E499" s="102"/>
      <c r="F499" s="102"/>
      <c r="G499" s="102"/>
      <c r="H499" s="102"/>
      <c r="I499" s="103"/>
      <c r="J499" s="103"/>
      <c r="K499" s="2" t="s">
        <v>244</v>
      </c>
      <c r="L499" s="100">
        <v>44613.0</v>
      </c>
      <c r="M499" s="101">
        <v>0.4693981481481482</v>
      </c>
      <c r="P499" s="104" t="b">
        <f>IFNA(IF(VLOOKUP($A499,'Add from APT'!$AA$2:$AC826,3,FALSE)&gt;0,TRUE,FALSE),"ER - NOT IN APT")</f>
        <v>0</v>
      </c>
      <c r="Q499" s="105" t="str">
        <f>IF(ISLOGICAL(P499),IF(P499,"ER - REPS IN APT", IFNA(VLOOKUP($A499,RAW_APT!$A$3:$M826,7,FALSE),"ER - NOT IN APT")),P499)</f>
        <v>Result</v>
      </c>
      <c r="R499" s="106" t="b">
        <f t="shared" si="2"/>
        <v>1</v>
      </c>
      <c r="S499" s="107">
        <f t="shared" si="3"/>
        <v>1</v>
      </c>
      <c r="T499" s="143"/>
      <c r="U499" s="142"/>
      <c r="V499" s="142"/>
      <c r="W499" s="142"/>
      <c r="X499" s="110" t="b">
        <f t="shared" si="4"/>
        <v>0</v>
      </c>
      <c r="Y499" s="111" t="b">
        <v>0</v>
      </c>
      <c r="Z499" s="104" t="str">
        <f t="shared" si="5"/>
        <v/>
      </c>
      <c r="AA499" s="112" t="b">
        <f t="shared" si="6"/>
        <v>0</v>
      </c>
      <c r="AB499" s="142" t="b">
        <v>0</v>
      </c>
      <c r="AC499" s="140">
        <v>313.0</v>
      </c>
      <c r="AD499" s="141" t="b">
        <v>0</v>
      </c>
      <c r="AE499" s="115">
        <f t="shared" si="7"/>
        <v>234.5</v>
      </c>
      <c r="AF499" s="116" t="b">
        <f t="shared" si="8"/>
        <v>0</v>
      </c>
      <c r="AG499" s="105" t="b">
        <f t="shared" si="9"/>
        <v>0</v>
      </c>
      <c r="AH499" s="140"/>
      <c r="AI499" s="140"/>
      <c r="AJ499" s="140"/>
      <c r="AK499" s="117" t="str">
        <f t="shared" si="10"/>
        <v>Negative</v>
      </c>
      <c r="AL499" s="142"/>
      <c r="AM499" s="112" t="s">
        <v>857</v>
      </c>
      <c r="AN499" s="112" t="s">
        <v>696</v>
      </c>
      <c r="AO499" s="112" t="str">
        <f>IFERROR(__xludf.DUMMYFUNCTION("IF($AG499, ""DELETED"",TRIM(JOIN("" "",D499:E499)))"),"")</f>
        <v/>
      </c>
      <c r="AP499" s="112" t="str">
        <f t="shared" ref="AP499:AQ499" si="524">IF($AG499, "DELETED", TRIM(CONCATENATE(F499,I499,U499)))</f>
        <v/>
      </c>
      <c r="AQ499" s="112" t="str">
        <f t="shared" si="524"/>
        <v/>
      </c>
      <c r="AR499" s="112" t="str">
        <f>IFERROR(__xludf.DUMMYFUNCTION("IF($AG499, ""DELETED"", TRIM(JOIN("" "",AP499,AQ499)))"),"")</f>
        <v/>
      </c>
      <c r="AS499" s="118"/>
      <c r="AT499" s="110" t="b">
        <f t="shared" si="12"/>
        <v>0</v>
      </c>
      <c r="AU499" s="110" t="str">
        <f t="shared" si="13"/>
        <v/>
      </c>
      <c r="AV499" s="110" t="str">
        <f t="shared" si="14"/>
        <v/>
      </c>
      <c r="AW499" s="110" t="str">
        <f t="shared" si="15"/>
        <v/>
      </c>
      <c r="AX499" s="119" t="str">
        <f t="shared" si="16"/>
        <v/>
      </c>
      <c r="AY499" s="120"/>
      <c r="AZ499" s="121"/>
      <c r="BA499" s="122" t="str">
        <f t="shared" si="17"/>
        <v/>
      </c>
      <c r="BB499" s="34"/>
      <c r="BC499" s="121"/>
      <c r="BD499" s="136"/>
      <c r="BE499" s="125" t="str">
        <f t="shared" si="18"/>
        <v/>
      </c>
      <c r="BF499" s="126" t="str">
        <f t="shared" si="19"/>
        <v>FM28__44613_0.306550925925926</v>
      </c>
      <c r="BG499" s="127" t="str">
        <f t="shared" si="20"/>
        <v/>
      </c>
      <c r="BH499" s="137" t="s">
        <v>1496</v>
      </c>
      <c r="BI499" s="128" t="str">
        <f t="shared" si="21"/>
        <v>MA221</v>
      </c>
      <c r="BJ499" s="129" t="b">
        <f t="shared" si="22"/>
        <v>0</v>
      </c>
      <c r="BK499" s="128" t="str">
        <f t="shared" si="23"/>
        <v/>
      </c>
      <c r="BL499" s="121"/>
      <c r="BM499" s="5" t="str">
        <f t="shared" si="24"/>
        <v>MISSING</v>
      </c>
      <c r="BN499" s="120" t="b">
        <f t="shared" si="25"/>
        <v>0</v>
      </c>
      <c r="BO499" s="131" t="b">
        <f t="shared" si="26"/>
        <v>1</v>
      </c>
      <c r="BP499" s="121"/>
      <c r="BQ499" s="132" t="str">
        <f>VLOOKUP(A499,RAW_APS!A$3:O826,15,FALSE)</f>
        <v/>
      </c>
      <c r="BR499" s="120" t="b">
        <f t="shared" si="27"/>
        <v>1</v>
      </c>
      <c r="BS499" s="121"/>
      <c r="BT499" s="138" t="s">
        <v>244</v>
      </c>
      <c r="BU499" s="10" t="b">
        <f t="shared" si="28"/>
        <v>1</v>
      </c>
      <c r="BV499" s="120"/>
      <c r="BW499" s="120"/>
      <c r="BX499" s="120"/>
      <c r="BY499" s="120"/>
      <c r="BZ499" s="120"/>
      <c r="CA499" s="120"/>
      <c r="CB499" s="120"/>
      <c r="CC499" s="120"/>
    </row>
    <row r="500">
      <c r="A500" s="2" t="s">
        <v>1497</v>
      </c>
      <c r="B500" s="100">
        <v>44613.0</v>
      </c>
      <c r="C500" s="101">
        <v>0.30733796296296295</v>
      </c>
      <c r="D500" s="102"/>
      <c r="E500" s="102"/>
      <c r="F500" s="102"/>
      <c r="G500" s="102"/>
      <c r="H500" s="102"/>
      <c r="I500" s="103"/>
      <c r="J500" s="103"/>
      <c r="K500" s="2" t="s">
        <v>244</v>
      </c>
      <c r="L500" s="100">
        <v>44613.0</v>
      </c>
      <c r="M500" s="101">
        <v>0.4693981481481482</v>
      </c>
      <c r="P500" s="104" t="b">
        <f>IFNA(IF(VLOOKUP($A500,'Add from APT'!$AA$2:$AC826,3,FALSE)&gt;0,TRUE,FALSE),"ER - NOT IN APT")</f>
        <v>0</v>
      </c>
      <c r="Q500" s="105" t="str">
        <f>IF(ISLOGICAL(P500),IF(P500,"ER - REPS IN APT", IFNA(VLOOKUP($A500,RAW_APT!$A$3:$M826,7,FALSE),"ER - NOT IN APT")),P500)</f>
        <v>Result</v>
      </c>
      <c r="R500" s="106" t="b">
        <f t="shared" si="2"/>
        <v>1</v>
      </c>
      <c r="S500" s="107">
        <f t="shared" si="3"/>
        <v>1</v>
      </c>
      <c r="T500" s="143"/>
      <c r="U500" s="142"/>
      <c r="V500" s="142"/>
      <c r="W500" s="142"/>
      <c r="X500" s="110" t="b">
        <f t="shared" si="4"/>
        <v>0</v>
      </c>
      <c r="Y500" s="111" t="b">
        <v>0</v>
      </c>
      <c r="Z500" s="104" t="str">
        <f t="shared" si="5"/>
        <v/>
      </c>
      <c r="AA500" s="112" t="b">
        <f t="shared" si="6"/>
        <v>0</v>
      </c>
      <c r="AB500" s="142" t="b">
        <v>0</v>
      </c>
      <c r="AC500" s="140">
        <v>312.0</v>
      </c>
      <c r="AD500" s="141" t="b">
        <v>0</v>
      </c>
      <c r="AE500" s="115">
        <f t="shared" si="7"/>
        <v>233.3666667</v>
      </c>
      <c r="AF500" s="116" t="b">
        <f t="shared" si="8"/>
        <v>0</v>
      </c>
      <c r="AG500" s="105" t="b">
        <f t="shared" si="9"/>
        <v>0</v>
      </c>
      <c r="AH500" s="140"/>
      <c r="AI500" s="140"/>
      <c r="AJ500" s="140"/>
      <c r="AK500" s="117" t="str">
        <f t="shared" si="10"/>
        <v>Negative</v>
      </c>
      <c r="AL500" s="142"/>
      <c r="AM500" s="112" t="s">
        <v>491</v>
      </c>
      <c r="AN500" s="112" t="s">
        <v>495</v>
      </c>
      <c r="AO500" s="112" t="str">
        <f>IFERROR(__xludf.DUMMYFUNCTION("IF($AG500, ""DELETED"",TRIM(JOIN("" "",D500:E500)))"),"")</f>
        <v/>
      </c>
      <c r="AP500" s="112" t="str">
        <f t="shared" ref="AP500:AQ500" si="525">IF($AG500, "DELETED", TRIM(CONCATENATE(F500,I500,U500)))</f>
        <v/>
      </c>
      <c r="AQ500" s="112" t="str">
        <f t="shared" si="525"/>
        <v/>
      </c>
      <c r="AR500" s="112" t="str">
        <f>IFERROR(__xludf.DUMMYFUNCTION("IF($AG500, ""DELETED"", TRIM(JOIN("" "",AP500,AQ500)))"),"")</f>
        <v/>
      </c>
      <c r="AS500" s="118"/>
      <c r="AT500" s="110" t="b">
        <f t="shared" si="12"/>
        <v>0</v>
      </c>
      <c r="AU500" s="110" t="str">
        <f t="shared" si="13"/>
        <v/>
      </c>
      <c r="AV500" s="110" t="str">
        <f t="shared" si="14"/>
        <v/>
      </c>
      <c r="AW500" s="110" t="str">
        <f t="shared" si="15"/>
        <v/>
      </c>
      <c r="AX500" s="119" t="str">
        <f t="shared" si="16"/>
        <v/>
      </c>
      <c r="AY500" s="120"/>
      <c r="AZ500" s="121"/>
      <c r="BA500" s="122" t="str">
        <f t="shared" si="17"/>
        <v/>
      </c>
      <c r="BB500" s="34"/>
      <c r="BC500" s="121"/>
      <c r="BD500" s="136"/>
      <c r="BE500" s="125" t="str">
        <f t="shared" si="18"/>
        <v/>
      </c>
      <c r="BF500" s="126" t="str">
        <f t="shared" si="19"/>
        <v>FM32__44613_0.307337962962963</v>
      </c>
      <c r="BG500" s="127" t="str">
        <f t="shared" si="20"/>
        <v/>
      </c>
      <c r="BH500" s="137" t="s">
        <v>1498</v>
      </c>
      <c r="BI500" s="128" t="str">
        <f t="shared" si="21"/>
        <v>MA222</v>
      </c>
      <c r="BJ500" s="129" t="b">
        <f t="shared" si="22"/>
        <v>0</v>
      </c>
      <c r="BK500" s="128" t="str">
        <f t="shared" si="23"/>
        <v/>
      </c>
      <c r="BL500" s="121"/>
      <c r="BM500" s="5" t="str">
        <f t="shared" si="24"/>
        <v>MISSING</v>
      </c>
      <c r="BN500" s="120" t="b">
        <f t="shared" si="25"/>
        <v>0</v>
      </c>
      <c r="BO500" s="131" t="b">
        <f t="shared" si="26"/>
        <v>1</v>
      </c>
      <c r="BP500" s="121"/>
      <c r="BQ500" s="132" t="str">
        <f>VLOOKUP(A500,RAW_APS!A$3:O826,15,FALSE)</f>
        <v/>
      </c>
      <c r="BR500" s="120" t="b">
        <f t="shared" si="27"/>
        <v>1</v>
      </c>
      <c r="BS500" s="121"/>
      <c r="BT500" s="138" t="s">
        <v>244</v>
      </c>
      <c r="BU500" s="10" t="b">
        <f t="shared" si="28"/>
        <v>1</v>
      </c>
      <c r="BV500" s="120"/>
      <c r="BW500" s="120"/>
      <c r="BX500" s="120"/>
      <c r="BY500" s="120"/>
      <c r="BZ500" s="120"/>
      <c r="CA500" s="120"/>
      <c r="CB500" s="120"/>
      <c r="CC500" s="120"/>
    </row>
    <row r="501">
      <c r="A501" s="2" t="s">
        <v>1499</v>
      </c>
      <c r="B501" s="100">
        <v>44613.0</v>
      </c>
      <c r="C501" s="101">
        <v>0.3089351851851852</v>
      </c>
      <c r="D501" s="102"/>
      <c r="E501" s="102"/>
      <c r="F501" s="102"/>
      <c r="G501" s="102"/>
      <c r="H501" s="102"/>
      <c r="I501" s="103"/>
      <c r="J501" s="103"/>
      <c r="K501" s="2" t="s">
        <v>244</v>
      </c>
      <c r="L501" s="100">
        <v>44613.0</v>
      </c>
      <c r="M501" s="101">
        <v>0.4693981481481482</v>
      </c>
      <c r="P501" s="104" t="b">
        <f>IFNA(IF(VLOOKUP($A501,'Add from APT'!$AA$2:$AC826,3,FALSE)&gt;0,TRUE,FALSE),"ER - NOT IN APT")</f>
        <v>0</v>
      </c>
      <c r="Q501" s="105" t="str">
        <f>IF(ISLOGICAL(P501),IF(P501,"ER - REPS IN APT", IFNA(VLOOKUP($A501,RAW_APT!$A$3:$M826,7,FALSE),"ER - NOT IN APT")),P501)</f>
        <v>Result</v>
      </c>
      <c r="R501" s="106" t="b">
        <f t="shared" si="2"/>
        <v>1</v>
      </c>
      <c r="S501" s="107">
        <f t="shared" si="3"/>
        <v>1</v>
      </c>
      <c r="T501" s="143"/>
      <c r="U501" s="142"/>
      <c r="V501" s="142"/>
      <c r="W501" s="142"/>
      <c r="X501" s="110" t="b">
        <f t="shared" si="4"/>
        <v>0</v>
      </c>
      <c r="Y501" s="111" t="b">
        <v>0</v>
      </c>
      <c r="Z501" s="104" t="str">
        <f t="shared" si="5"/>
        <v/>
      </c>
      <c r="AA501" s="112" t="b">
        <f t="shared" si="6"/>
        <v>0</v>
      </c>
      <c r="AB501" s="142" t="b">
        <v>0</v>
      </c>
      <c r="AC501" s="140">
        <v>311.0</v>
      </c>
      <c r="AD501" s="141" t="b">
        <v>0</v>
      </c>
      <c r="AE501" s="115">
        <f t="shared" si="7"/>
        <v>231.0666667</v>
      </c>
      <c r="AF501" s="116" t="b">
        <f t="shared" si="8"/>
        <v>0</v>
      </c>
      <c r="AG501" s="105" t="b">
        <f t="shared" si="9"/>
        <v>0</v>
      </c>
      <c r="AH501" s="140"/>
      <c r="AI501" s="140"/>
      <c r="AJ501" s="140"/>
      <c r="AK501" s="117" t="str">
        <f t="shared" si="10"/>
        <v>Negative</v>
      </c>
      <c r="AL501" s="142"/>
      <c r="AM501" s="112" t="s">
        <v>328</v>
      </c>
      <c r="AN501" s="112" t="s">
        <v>329</v>
      </c>
      <c r="AO501" s="112" t="str">
        <f>IFERROR(__xludf.DUMMYFUNCTION("IF($AG501, ""DELETED"",TRIM(JOIN("" "",D501:E501)))"),"")</f>
        <v/>
      </c>
      <c r="AP501" s="112" t="str">
        <f t="shared" ref="AP501:AQ501" si="526">IF($AG501, "DELETED", TRIM(CONCATENATE(F501,I501,U501)))</f>
        <v/>
      </c>
      <c r="AQ501" s="112" t="str">
        <f t="shared" si="526"/>
        <v/>
      </c>
      <c r="AR501" s="112" t="str">
        <f>IFERROR(__xludf.DUMMYFUNCTION("IF($AG501, ""DELETED"", TRIM(JOIN("" "",AP501,AQ501)))"),"")</f>
        <v/>
      </c>
      <c r="AS501" s="118"/>
      <c r="AT501" s="110" t="b">
        <f t="shared" si="12"/>
        <v>0</v>
      </c>
      <c r="AU501" s="110" t="str">
        <f t="shared" si="13"/>
        <v/>
      </c>
      <c r="AV501" s="110" t="str">
        <f t="shared" si="14"/>
        <v/>
      </c>
      <c r="AW501" s="110" t="str">
        <f t="shared" si="15"/>
        <v/>
      </c>
      <c r="AX501" s="119" t="str">
        <f t="shared" si="16"/>
        <v/>
      </c>
      <c r="AY501" s="120"/>
      <c r="AZ501" s="121"/>
      <c r="BA501" s="122" t="str">
        <f t="shared" si="17"/>
        <v/>
      </c>
      <c r="BB501" s="34"/>
      <c r="BC501" s="121"/>
      <c r="BD501" s="136"/>
      <c r="BE501" s="125" t="str">
        <f t="shared" si="18"/>
        <v/>
      </c>
      <c r="BF501" s="126" t="str">
        <f t="shared" si="19"/>
        <v>MA1127__44613_0.308935185185185</v>
      </c>
      <c r="BG501" s="127" t="str">
        <f t="shared" si="20"/>
        <v/>
      </c>
      <c r="BH501" s="137" t="s">
        <v>1500</v>
      </c>
      <c r="BI501" s="128" t="str">
        <f t="shared" si="21"/>
        <v>MA225</v>
      </c>
      <c r="BJ501" s="129" t="b">
        <f t="shared" si="22"/>
        <v>0</v>
      </c>
      <c r="BK501" s="128" t="str">
        <f t="shared" si="23"/>
        <v/>
      </c>
      <c r="BL501" s="121"/>
      <c r="BM501" s="5" t="str">
        <f t="shared" si="24"/>
        <v>MISSING</v>
      </c>
      <c r="BN501" s="120" t="b">
        <f t="shared" si="25"/>
        <v>0</v>
      </c>
      <c r="BO501" s="131" t="b">
        <f t="shared" si="26"/>
        <v>1</v>
      </c>
      <c r="BP501" s="121"/>
      <c r="BQ501" s="132" t="str">
        <f>VLOOKUP(A501,RAW_APS!A$3:O826,15,FALSE)</f>
        <v/>
      </c>
      <c r="BR501" s="120" t="b">
        <f t="shared" si="27"/>
        <v>1</v>
      </c>
      <c r="BS501" s="121"/>
      <c r="BT501" s="138" t="s">
        <v>244</v>
      </c>
      <c r="BU501" s="10" t="b">
        <f t="shared" si="28"/>
        <v>1</v>
      </c>
      <c r="BV501" s="120"/>
      <c r="BW501" s="120"/>
      <c r="BX501" s="120"/>
      <c r="BY501" s="120"/>
      <c r="BZ501" s="120"/>
      <c r="CA501" s="120"/>
      <c r="CB501" s="120"/>
      <c r="CC501" s="120"/>
    </row>
    <row r="502">
      <c r="A502" s="2" t="s">
        <v>1501</v>
      </c>
      <c r="B502" s="100">
        <v>44613.0</v>
      </c>
      <c r="C502" s="101">
        <v>0.31090277777777775</v>
      </c>
      <c r="D502" s="102"/>
      <c r="E502" s="102"/>
      <c r="F502" s="103"/>
      <c r="G502" s="103"/>
      <c r="H502" s="103"/>
      <c r="I502" s="135"/>
      <c r="J502" s="103"/>
      <c r="K502" s="2" t="s">
        <v>244</v>
      </c>
      <c r="L502" s="100">
        <v>44613.0</v>
      </c>
      <c r="M502" s="101">
        <v>0.4693981481481482</v>
      </c>
      <c r="N502" s="2" t="s">
        <v>247</v>
      </c>
      <c r="P502" s="104" t="b">
        <f>IFNA(IF(VLOOKUP($A502,'Add from APT'!$AA$2:$AC826,3,FALSE)&gt;0,TRUE,FALSE),"ER - NOT IN APT")</f>
        <v>0</v>
      </c>
      <c r="Q502" s="105" t="str">
        <f>IF(ISLOGICAL(P502),IF(P502,"ER - REPS IN APT", IFNA(VLOOKUP($A502,RAW_APT!$A$3:$M826,7,FALSE),"ER - NOT IN APT")),P502)</f>
        <v>Result</v>
      </c>
      <c r="R502" s="106" t="b">
        <f t="shared" si="2"/>
        <v>1</v>
      </c>
      <c r="S502" s="107">
        <f t="shared" si="3"/>
        <v>1</v>
      </c>
      <c r="T502" s="140">
        <v>0.0</v>
      </c>
      <c r="W502" s="142"/>
      <c r="X502" s="110" t="b">
        <f t="shared" si="4"/>
        <v>0</v>
      </c>
      <c r="Y502" s="111" t="b">
        <v>0</v>
      </c>
      <c r="Z502" s="104" t="str">
        <f t="shared" si="5"/>
        <v/>
      </c>
      <c r="AA502" s="112" t="b">
        <f t="shared" si="6"/>
        <v>0</v>
      </c>
      <c r="AB502" s="142" t="b">
        <v>0</v>
      </c>
      <c r="AC502" s="140">
        <v>786.0</v>
      </c>
      <c r="AD502" s="141" t="b">
        <v>1</v>
      </c>
      <c r="AE502" s="115">
        <f t="shared" si="7"/>
        <v>228.2333333</v>
      </c>
      <c r="AF502" s="116" t="b">
        <f t="shared" si="8"/>
        <v>0</v>
      </c>
      <c r="AG502" s="105" t="b">
        <f t="shared" si="9"/>
        <v>0</v>
      </c>
      <c r="AH502" s="140"/>
      <c r="AI502" s="140"/>
      <c r="AJ502" s="140"/>
      <c r="AK502" s="117" t="str">
        <f t="shared" si="10"/>
        <v>Negative</v>
      </c>
      <c r="AL502" s="142"/>
      <c r="AM502" s="112" t="s">
        <v>504</v>
      </c>
      <c r="AN502" s="112" t="s">
        <v>505</v>
      </c>
      <c r="AO502" s="112" t="str">
        <f>IFERROR(__xludf.DUMMYFUNCTION("IF($AG502, ""DELETED"",TRIM(JOIN("" "",D502:E502)))"),"")</f>
        <v/>
      </c>
      <c r="AP502" s="112" t="str">
        <f t="shared" ref="AP502:AQ502" si="527">IF($AG502, "DELETED", TRIM(CONCATENATE(F502,I502,U502)))</f>
        <v/>
      </c>
      <c r="AQ502" s="112" t="str">
        <f t="shared" si="527"/>
        <v/>
      </c>
      <c r="AR502" s="112" t="str">
        <f>IFERROR(__xludf.DUMMYFUNCTION("IF($AG502, ""DELETED"", TRIM(JOIN("" "",AP502,AQ502)))"),"")</f>
        <v/>
      </c>
      <c r="AS502" s="118"/>
      <c r="AT502" s="110" t="b">
        <f t="shared" si="12"/>
        <v>0</v>
      </c>
      <c r="AU502" s="110" t="str">
        <f t="shared" si="13"/>
        <v/>
      </c>
      <c r="AV502" s="110" t="str">
        <f t="shared" si="14"/>
        <v/>
      </c>
      <c r="AW502" s="110" t="str">
        <f t="shared" si="15"/>
        <v/>
      </c>
      <c r="AX502" s="119" t="str">
        <f t="shared" si="16"/>
        <v/>
      </c>
      <c r="AY502" s="120"/>
      <c r="AZ502" s="121"/>
      <c r="BA502" s="122" t="str">
        <f t="shared" si="17"/>
        <v/>
      </c>
      <c r="BB502" s="34"/>
      <c r="BC502" s="121"/>
      <c r="BD502" s="136"/>
      <c r="BE502" s="125" t="str">
        <f t="shared" si="18"/>
        <v/>
      </c>
      <c r="BF502" s="126" t="str">
        <f t="shared" si="19"/>
        <v>FM11__44613_0.310902777777778</v>
      </c>
      <c r="BG502" s="127" t="str">
        <f t="shared" si="20"/>
        <v/>
      </c>
      <c r="BH502" s="137" t="s">
        <v>1502</v>
      </c>
      <c r="BI502" s="128" t="str">
        <f t="shared" si="21"/>
        <v>MA226</v>
      </c>
      <c r="BJ502" s="129" t="b">
        <f t="shared" si="22"/>
        <v>0</v>
      </c>
      <c r="BK502" s="128" t="str">
        <f t="shared" si="23"/>
        <v/>
      </c>
      <c r="BL502" s="121"/>
      <c r="BM502" s="5" t="str">
        <f t="shared" si="24"/>
        <v>MISSING</v>
      </c>
      <c r="BN502" s="120" t="b">
        <f t="shared" si="25"/>
        <v>0</v>
      </c>
      <c r="BO502" s="131" t="b">
        <f t="shared" si="26"/>
        <v>1</v>
      </c>
      <c r="BP502" s="121"/>
      <c r="BQ502" s="132" t="str">
        <f>VLOOKUP(A502,RAW_APS!A$3:O826,15,FALSE)</f>
        <v>#N/A</v>
      </c>
      <c r="BR502" s="120" t="str">
        <f t="shared" si="27"/>
        <v>***TUBE ID NOT FOUND</v>
      </c>
      <c r="BS502" s="121"/>
      <c r="BT502" s="138" t="s">
        <v>244</v>
      </c>
      <c r="BU502" s="10" t="b">
        <f t="shared" si="28"/>
        <v>1</v>
      </c>
      <c r="BV502" s="120"/>
      <c r="BW502" s="120"/>
      <c r="BX502" s="120"/>
      <c r="BY502" s="120"/>
      <c r="BZ502" s="120"/>
      <c r="CA502" s="120"/>
      <c r="CB502" s="120"/>
      <c r="CC502" s="120"/>
    </row>
    <row r="503">
      <c r="A503" s="2" t="s">
        <v>1503</v>
      </c>
      <c r="B503" s="100">
        <v>44613.0</v>
      </c>
      <c r="C503" s="101">
        <v>0.3148726851851852</v>
      </c>
      <c r="D503" s="102"/>
      <c r="E503" s="102"/>
      <c r="F503" s="102"/>
      <c r="G503" s="102"/>
      <c r="H503" s="102"/>
      <c r="I503" s="103"/>
      <c r="J503" s="103"/>
      <c r="K503" s="2" t="s">
        <v>244</v>
      </c>
      <c r="L503" s="100">
        <v>44613.0</v>
      </c>
      <c r="M503" s="101">
        <v>0.4693981481481482</v>
      </c>
      <c r="P503" s="104" t="b">
        <f>IFNA(IF(VLOOKUP($A503,'Add from APT'!$AA$2:$AC826,3,FALSE)&gt;0,TRUE,FALSE),"ER - NOT IN APT")</f>
        <v>0</v>
      </c>
      <c r="Q503" s="105" t="str">
        <f>IF(ISLOGICAL(P503),IF(P503,"ER - REPS IN APT", IFNA(VLOOKUP($A503,RAW_APT!$A$3:$M826,7,FALSE),"ER - NOT IN APT")),P503)</f>
        <v>Result</v>
      </c>
      <c r="R503" s="106" t="b">
        <f t="shared" si="2"/>
        <v>1</v>
      </c>
      <c r="S503" s="107">
        <f t="shared" si="3"/>
        <v>1</v>
      </c>
      <c r="T503" s="143"/>
      <c r="U503" s="142"/>
      <c r="V503" s="142"/>
      <c r="W503" s="142"/>
      <c r="X503" s="110" t="b">
        <f t="shared" si="4"/>
        <v>0</v>
      </c>
      <c r="Y503" s="111" t="b">
        <v>0</v>
      </c>
      <c r="Z503" s="104" t="str">
        <f t="shared" si="5"/>
        <v/>
      </c>
      <c r="AA503" s="112" t="b">
        <f t="shared" si="6"/>
        <v>0</v>
      </c>
      <c r="AB503" s="142" t="b">
        <v>0</v>
      </c>
      <c r="AC503" s="140">
        <v>310.0</v>
      </c>
      <c r="AD503" s="141" t="b">
        <v>0</v>
      </c>
      <c r="AE503" s="115">
        <f t="shared" si="7"/>
        <v>222.5166667</v>
      </c>
      <c r="AF503" s="116" t="b">
        <f t="shared" si="8"/>
        <v>0</v>
      </c>
      <c r="AG503" s="105" t="b">
        <f t="shared" si="9"/>
        <v>0</v>
      </c>
      <c r="AH503" s="140"/>
      <c r="AI503" s="140"/>
      <c r="AJ503" s="140"/>
      <c r="AK503" s="117" t="str">
        <f t="shared" si="10"/>
        <v>Negative</v>
      </c>
      <c r="AL503" s="142"/>
      <c r="AM503" s="112" t="s">
        <v>257</v>
      </c>
      <c r="AN503" s="112" t="s">
        <v>406</v>
      </c>
      <c r="AO503" s="112" t="str">
        <f>IFERROR(__xludf.DUMMYFUNCTION("IF($AG503, ""DELETED"",TRIM(JOIN("" "",D503:E503)))"),"")</f>
        <v/>
      </c>
      <c r="AP503" s="112" t="str">
        <f t="shared" ref="AP503:AQ503" si="528">IF($AG503, "DELETED", TRIM(CONCATENATE(F503,I503,U503)))</f>
        <v/>
      </c>
      <c r="AQ503" s="112" t="str">
        <f t="shared" si="528"/>
        <v/>
      </c>
      <c r="AR503" s="112" t="str">
        <f>IFERROR(__xludf.DUMMYFUNCTION("IF($AG503, ""DELETED"", TRIM(JOIN("" "",AP503,AQ503)))"),"")</f>
        <v/>
      </c>
      <c r="AS503" s="118"/>
      <c r="AT503" s="110" t="b">
        <f t="shared" si="12"/>
        <v>0</v>
      </c>
      <c r="AU503" s="110" t="str">
        <f t="shared" si="13"/>
        <v/>
      </c>
      <c r="AV503" s="110" t="str">
        <f t="shared" si="14"/>
        <v/>
      </c>
      <c r="AW503" s="110" t="str">
        <f t="shared" si="15"/>
        <v/>
      </c>
      <c r="AX503" s="119" t="str">
        <f t="shared" si="16"/>
        <v/>
      </c>
      <c r="AY503" s="120"/>
      <c r="AZ503" s="121"/>
      <c r="BA503" s="122" t="str">
        <f t="shared" si="17"/>
        <v/>
      </c>
      <c r="BB503" s="34"/>
      <c r="BC503" s="121"/>
      <c r="BD503" s="136"/>
      <c r="BE503" s="125" t="str">
        <f t="shared" si="18"/>
        <v/>
      </c>
      <c r="BF503" s="126" t="str">
        <f t="shared" si="19"/>
        <v>MA219__44613_0.314872685185185</v>
      </c>
      <c r="BG503" s="127" t="str">
        <f t="shared" si="20"/>
        <v/>
      </c>
      <c r="BH503" s="137" t="s">
        <v>1504</v>
      </c>
      <c r="BI503" s="128" t="str">
        <f t="shared" si="21"/>
        <v>MA227</v>
      </c>
      <c r="BJ503" s="129" t="b">
        <f t="shared" si="22"/>
        <v>0</v>
      </c>
      <c r="BK503" s="128" t="str">
        <f t="shared" si="23"/>
        <v/>
      </c>
      <c r="BL503" s="121"/>
      <c r="BM503" s="5" t="str">
        <f t="shared" si="24"/>
        <v>MISSING</v>
      </c>
      <c r="BN503" s="120" t="b">
        <f t="shared" si="25"/>
        <v>0</v>
      </c>
      <c r="BO503" s="131" t="b">
        <f t="shared" si="26"/>
        <v>1</v>
      </c>
      <c r="BP503" s="121"/>
      <c r="BQ503" s="132" t="str">
        <f>VLOOKUP(A503,RAW_APS!A$3:O826,15,FALSE)</f>
        <v/>
      </c>
      <c r="BR503" s="120" t="b">
        <f t="shared" si="27"/>
        <v>1</v>
      </c>
      <c r="BS503" s="121"/>
      <c r="BT503" s="138" t="s">
        <v>244</v>
      </c>
      <c r="BU503" s="10" t="b">
        <f t="shared" si="28"/>
        <v>1</v>
      </c>
      <c r="BV503" s="120"/>
      <c r="BW503" s="120"/>
      <c r="BX503" s="120"/>
      <c r="BY503" s="120"/>
      <c r="BZ503" s="120"/>
      <c r="CA503" s="120"/>
      <c r="CB503" s="120"/>
      <c r="CC503" s="120"/>
    </row>
    <row r="504">
      <c r="A504" s="2" t="s">
        <v>1505</v>
      </c>
      <c r="B504" s="100">
        <v>44613.0</v>
      </c>
      <c r="C504" s="101">
        <v>0.3150115740740741</v>
      </c>
      <c r="D504" s="102"/>
      <c r="E504" s="102"/>
      <c r="F504" s="102"/>
      <c r="G504" s="102"/>
      <c r="H504" s="102"/>
      <c r="I504" s="103"/>
      <c r="J504" s="103"/>
      <c r="K504" s="2" t="s">
        <v>244</v>
      </c>
      <c r="L504" s="100">
        <v>44613.0</v>
      </c>
      <c r="M504" s="101">
        <v>0.4693981481481482</v>
      </c>
      <c r="P504" s="104" t="b">
        <f>IFNA(IF(VLOOKUP($A504,'Add from APT'!$AA$2:$AC826,3,FALSE)&gt;0,TRUE,FALSE),"ER - NOT IN APT")</f>
        <v>0</v>
      </c>
      <c r="Q504" s="105" t="str">
        <f>IF(ISLOGICAL(P504),IF(P504,"ER - REPS IN APT", IFNA(VLOOKUP($A504,RAW_APT!$A$3:$M826,7,FALSE),"ER - NOT IN APT")),P504)</f>
        <v>Result</v>
      </c>
      <c r="R504" s="106" t="b">
        <f t="shared" si="2"/>
        <v>1</v>
      </c>
      <c r="S504" s="107">
        <f t="shared" si="3"/>
        <v>1</v>
      </c>
      <c r="T504" s="143"/>
      <c r="U504" s="142"/>
      <c r="V504" s="142"/>
      <c r="W504" s="142"/>
      <c r="X504" s="110" t="b">
        <f t="shared" si="4"/>
        <v>0</v>
      </c>
      <c r="Y504" s="111" t="b">
        <v>0</v>
      </c>
      <c r="Z504" s="104" t="str">
        <f t="shared" si="5"/>
        <v/>
      </c>
      <c r="AA504" s="112" t="b">
        <f t="shared" si="6"/>
        <v>0</v>
      </c>
      <c r="AB504" s="142" t="b">
        <v>0</v>
      </c>
      <c r="AC504" s="140">
        <v>309.0</v>
      </c>
      <c r="AD504" s="141" t="b">
        <v>0</v>
      </c>
      <c r="AE504" s="115">
        <f t="shared" si="7"/>
        <v>222.3166667</v>
      </c>
      <c r="AF504" s="116" t="b">
        <f t="shared" si="8"/>
        <v>0</v>
      </c>
      <c r="AG504" s="105" t="b">
        <f t="shared" si="9"/>
        <v>0</v>
      </c>
      <c r="AH504" s="140"/>
      <c r="AI504" s="140"/>
      <c r="AJ504" s="140"/>
      <c r="AK504" s="117" t="str">
        <f t="shared" si="10"/>
        <v>Negative</v>
      </c>
      <c r="AL504" s="142"/>
      <c r="AM504" s="112" t="s">
        <v>875</v>
      </c>
      <c r="AN504" s="112" t="s">
        <v>876</v>
      </c>
      <c r="AO504" s="112" t="str">
        <f>IFERROR(__xludf.DUMMYFUNCTION("IF($AG504, ""DELETED"",TRIM(JOIN("" "",D504:E504)))"),"")</f>
        <v/>
      </c>
      <c r="AP504" s="112" t="str">
        <f t="shared" ref="AP504:AQ504" si="529">IF($AG504, "DELETED", TRIM(CONCATENATE(F504,I504,U504)))</f>
        <v/>
      </c>
      <c r="AQ504" s="112" t="str">
        <f t="shared" si="529"/>
        <v/>
      </c>
      <c r="AR504" s="112" t="str">
        <f>IFERROR(__xludf.DUMMYFUNCTION("IF($AG504, ""DELETED"", TRIM(JOIN("" "",AP504,AQ504)))"),"")</f>
        <v/>
      </c>
      <c r="AS504" s="118"/>
      <c r="AT504" s="110" t="b">
        <f t="shared" si="12"/>
        <v>0</v>
      </c>
      <c r="AU504" s="110" t="str">
        <f t="shared" si="13"/>
        <v/>
      </c>
      <c r="AV504" s="110" t="str">
        <f t="shared" si="14"/>
        <v/>
      </c>
      <c r="AW504" s="110" t="str">
        <f t="shared" si="15"/>
        <v/>
      </c>
      <c r="AX504" s="119" t="str">
        <f t="shared" si="16"/>
        <v/>
      </c>
      <c r="AY504" s="120"/>
      <c r="AZ504" s="121"/>
      <c r="BA504" s="122" t="str">
        <f t="shared" si="17"/>
        <v/>
      </c>
      <c r="BB504" s="34"/>
      <c r="BC504" s="121"/>
      <c r="BD504" s="136"/>
      <c r="BE504" s="125" t="str">
        <f t="shared" si="18"/>
        <v/>
      </c>
      <c r="BF504" s="126" t="str">
        <f t="shared" si="19"/>
        <v>MA1072__44613_0.315011574074074</v>
      </c>
      <c r="BG504" s="127" t="str">
        <f t="shared" si="20"/>
        <v/>
      </c>
      <c r="BH504" s="137" t="s">
        <v>1506</v>
      </c>
      <c r="BI504" s="128" t="str">
        <f t="shared" si="21"/>
        <v>MA229</v>
      </c>
      <c r="BJ504" s="129" t="b">
        <f t="shared" si="22"/>
        <v>0</v>
      </c>
      <c r="BK504" s="128" t="str">
        <f t="shared" si="23"/>
        <v/>
      </c>
      <c r="BL504" s="121"/>
      <c r="BM504" s="5" t="str">
        <f t="shared" si="24"/>
        <v>MISSING</v>
      </c>
      <c r="BN504" s="120" t="b">
        <f t="shared" si="25"/>
        <v>0</v>
      </c>
      <c r="BO504" s="131" t="b">
        <f t="shared" si="26"/>
        <v>1</v>
      </c>
      <c r="BP504" s="121"/>
      <c r="BQ504" s="132" t="str">
        <f>VLOOKUP(A504,RAW_APS!A$3:O826,15,FALSE)</f>
        <v/>
      </c>
      <c r="BR504" s="120" t="b">
        <f t="shared" si="27"/>
        <v>1</v>
      </c>
      <c r="BS504" s="121"/>
      <c r="BT504" s="138" t="s">
        <v>244</v>
      </c>
      <c r="BU504" s="10" t="b">
        <f t="shared" si="28"/>
        <v>1</v>
      </c>
      <c r="BV504" s="120"/>
      <c r="BW504" s="120"/>
      <c r="BX504" s="120"/>
      <c r="BY504" s="120"/>
      <c r="BZ504" s="120"/>
      <c r="CA504" s="120"/>
      <c r="CB504" s="120"/>
      <c r="CC504" s="120"/>
    </row>
    <row r="505">
      <c r="A505" s="2" t="s">
        <v>1507</v>
      </c>
      <c r="B505" s="100">
        <v>44613.0</v>
      </c>
      <c r="C505" s="101">
        <v>0.3159722222222222</v>
      </c>
      <c r="D505" s="102"/>
      <c r="E505" s="102"/>
      <c r="F505" s="102"/>
      <c r="G505" s="102"/>
      <c r="H505" s="102"/>
      <c r="I505" s="103"/>
      <c r="J505" s="103"/>
      <c r="K505" s="2" t="s">
        <v>244</v>
      </c>
      <c r="L505" s="100">
        <v>44613.0</v>
      </c>
      <c r="M505" s="101">
        <v>0.4693981481481482</v>
      </c>
      <c r="P505" s="104" t="b">
        <f>IFNA(IF(VLOOKUP($A505,'Add from APT'!$AA$2:$AC826,3,FALSE)&gt;0,TRUE,FALSE),"ER - NOT IN APT")</f>
        <v>0</v>
      </c>
      <c r="Q505" s="105" t="str">
        <f>IF(ISLOGICAL(P505),IF(P505,"ER - REPS IN APT", IFNA(VLOOKUP($A505,RAW_APT!$A$3:$M826,7,FALSE),"ER - NOT IN APT")),P505)</f>
        <v>Result</v>
      </c>
      <c r="R505" s="106" t="b">
        <f t="shared" si="2"/>
        <v>1</v>
      </c>
      <c r="S505" s="107">
        <f t="shared" si="3"/>
        <v>1</v>
      </c>
      <c r="T505" s="143"/>
      <c r="U505" s="142"/>
      <c r="V505" s="142"/>
      <c r="W505" s="142"/>
      <c r="X505" s="110" t="b">
        <f t="shared" si="4"/>
        <v>0</v>
      </c>
      <c r="Y505" s="111" t="b">
        <v>0</v>
      </c>
      <c r="Z505" s="104" t="str">
        <f t="shared" si="5"/>
        <v/>
      </c>
      <c r="AA505" s="112" t="b">
        <f t="shared" si="6"/>
        <v>0</v>
      </c>
      <c r="AB505" s="142" t="b">
        <v>0</v>
      </c>
      <c r="AC505" s="140">
        <v>308.0</v>
      </c>
      <c r="AD505" s="141" t="b">
        <v>0</v>
      </c>
      <c r="AE505" s="115">
        <f t="shared" si="7"/>
        <v>220.9333333</v>
      </c>
      <c r="AF505" s="116" t="b">
        <f t="shared" si="8"/>
        <v>0</v>
      </c>
      <c r="AG505" s="105" t="b">
        <f t="shared" si="9"/>
        <v>0</v>
      </c>
      <c r="AH505" s="140"/>
      <c r="AI505" s="140"/>
      <c r="AJ505" s="140"/>
      <c r="AK505" s="117" t="str">
        <f t="shared" si="10"/>
        <v>Negative</v>
      </c>
      <c r="AL505" s="142"/>
      <c r="AM505" s="112" t="s">
        <v>649</v>
      </c>
      <c r="AN505" s="112" t="s">
        <v>336</v>
      </c>
      <c r="AO505" s="112" t="str">
        <f>IFERROR(__xludf.DUMMYFUNCTION("IF($AG505, ""DELETED"",TRIM(JOIN("" "",D505:E505)))"),"")</f>
        <v/>
      </c>
      <c r="AP505" s="112" t="str">
        <f t="shared" ref="AP505:AQ505" si="530">IF($AG505, "DELETED", TRIM(CONCATENATE(F505,I505,U505)))</f>
        <v/>
      </c>
      <c r="AQ505" s="112" t="str">
        <f t="shared" si="530"/>
        <v/>
      </c>
      <c r="AR505" s="112" t="str">
        <f>IFERROR(__xludf.DUMMYFUNCTION("IF($AG505, ""DELETED"", TRIM(JOIN("" "",AP505,AQ505)))"),"")</f>
        <v/>
      </c>
      <c r="AS505" s="118"/>
      <c r="AT505" s="110" t="b">
        <f t="shared" si="12"/>
        <v>0</v>
      </c>
      <c r="AU505" s="110" t="str">
        <f t="shared" si="13"/>
        <v/>
      </c>
      <c r="AV505" s="110" t="str">
        <f t="shared" si="14"/>
        <v/>
      </c>
      <c r="AW505" s="110" t="str">
        <f t="shared" si="15"/>
        <v/>
      </c>
      <c r="AX505" s="119" t="str">
        <f t="shared" si="16"/>
        <v/>
      </c>
      <c r="AY505" s="120"/>
      <c r="AZ505" s="121"/>
      <c r="BA505" s="122" t="str">
        <f t="shared" si="17"/>
        <v/>
      </c>
      <c r="BB505" s="34"/>
      <c r="BC505" s="121"/>
      <c r="BD505" s="136"/>
      <c r="BE505" s="125" t="str">
        <f t="shared" si="18"/>
        <v/>
      </c>
      <c r="BF505" s="126" t="str">
        <f t="shared" si="19"/>
        <v>MA1096__44613_0.315972222222222</v>
      </c>
      <c r="BG505" s="127" t="str">
        <f t="shared" si="20"/>
        <v/>
      </c>
      <c r="BH505" s="137" t="s">
        <v>1508</v>
      </c>
      <c r="BI505" s="128" t="str">
        <f t="shared" si="21"/>
        <v>MA230</v>
      </c>
      <c r="BJ505" s="129" t="b">
        <f t="shared" si="22"/>
        <v>0</v>
      </c>
      <c r="BK505" s="128" t="str">
        <f t="shared" si="23"/>
        <v/>
      </c>
      <c r="BL505" s="121"/>
      <c r="BM505" s="5" t="str">
        <f t="shared" si="24"/>
        <v>MISSING</v>
      </c>
      <c r="BN505" s="120" t="b">
        <f t="shared" si="25"/>
        <v>0</v>
      </c>
      <c r="BO505" s="131" t="b">
        <f t="shared" si="26"/>
        <v>1</v>
      </c>
      <c r="BP505" s="121"/>
      <c r="BQ505" s="132" t="str">
        <f>VLOOKUP(A505,RAW_APS!A$3:O826,15,FALSE)</f>
        <v/>
      </c>
      <c r="BR505" s="120" t="b">
        <f t="shared" si="27"/>
        <v>1</v>
      </c>
      <c r="BS505" s="121"/>
      <c r="BT505" s="138" t="s">
        <v>244</v>
      </c>
      <c r="BU505" s="10" t="b">
        <f t="shared" si="28"/>
        <v>1</v>
      </c>
      <c r="BV505" s="120"/>
      <c r="BW505" s="120"/>
      <c r="BX505" s="120"/>
      <c r="BY505" s="120"/>
      <c r="BZ505" s="120"/>
      <c r="CA505" s="120"/>
      <c r="CB505" s="120"/>
      <c r="CC505" s="120"/>
    </row>
    <row r="506">
      <c r="A506" s="2" t="s">
        <v>1509</v>
      </c>
      <c r="B506" s="100">
        <v>44613.0</v>
      </c>
      <c r="C506" s="101">
        <v>0.316724537037037</v>
      </c>
      <c r="D506" s="102"/>
      <c r="E506" s="102"/>
      <c r="F506" s="102"/>
      <c r="G506" s="102"/>
      <c r="H506" s="102"/>
      <c r="I506" s="103"/>
      <c r="J506" s="103"/>
      <c r="K506" s="2" t="s">
        <v>244</v>
      </c>
      <c r="L506" s="100">
        <v>44613.0</v>
      </c>
      <c r="M506" s="101">
        <v>0.4693981481481482</v>
      </c>
      <c r="P506" s="104" t="b">
        <f>IFNA(IF(VLOOKUP($A506,'Add from APT'!$AA$2:$AC826,3,FALSE)&gt;0,TRUE,FALSE),"ER - NOT IN APT")</f>
        <v>0</v>
      </c>
      <c r="Q506" s="105" t="str">
        <f>IF(ISLOGICAL(P506),IF(P506,"ER - REPS IN APT", IFNA(VLOOKUP($A506,RAW_APT!$A$3:$M826,7,FALSE),"ER - NOT IN APT")),P506)</f>
        <v>Result</v>
      </c>
      <c r="R506" s="106" t="b">
        <f t="shared" si="2"/>
        <v>1</v>
      </c>
      <c r="S506" s="107">
        <f t="shared" si="3"/>
        <v>1</v>
      </c>
      <c r="T506" s="143"/>
      <c r="U506" s="142"/>
      <c r="V506" s="142"/>
      <c r="W506" s="142"/>
      <c r="X506" s="110" t="b">
        <f t="shared" si="4"/>
        <v>0</v>
      </c>
      <c r="Y506" s="111" t="b">
        <v>0</v>
      </c>
      <c r="Z506" s="104" t="str">
        <f t="shared" si="5"/>
        <v/>
      </c>
      <c r="AA506" s="112" t="b">
        <f t="shared" si="6"/>
        <v>0</v>
      </c>
      <c r="AB506" s="142" t="b">
        <v>0</v>
      </c>
      <c r="AC506" s="140">
        <v>307.0</v>
      </c>
      <c r="AD506" s="141" t="b">
        <v>0</v>
      </c>
      <c r="AE506" s="115">
        <f t="shared" si="7"/>
        <v>219.85</v>
      </c>
      <c r="AF506" s="116" t="b">
        <f t="shared" si="8"/>
        <v>0</v>
      </c>
      <c r="AG506" s="105" t="b">
        <f t="shared" si="9"/>
        <v>0</v>
      </c>
      <c r="AH506" s="140"/>
      <c r="AI506" s="140"/>
      <c r="AJ506" s="140"/>
      <c r="AK506" s="117" t="str">
        <f t="shared" si="10"/>
        <v>Negative</v>
      </c>
      <c r="AL506" s="142"/>
      <c r="AM506" s="112" t="s">
        <v>850</v>
      </c>
      <c r="AN506" s="112" t="s">
        <v>851</v>
      </c>
      <c r="AO506" s="112" t="str">
        <f>IFERROR(__xludf.DUMMYFUNCTION("IF($AG506, ""DELETED"",TRIM(JOIN("" "",D506:E506)))"),"")</f>
        <v/>
      </c>
      <c r="AP506" s="112" t="str">
        <f t="shared" ref="AP506:AQ506" si="531">IF($AG506, "DELETED", TRIM(CONCATENATE(F506,I506,U506)))</f>
        <v/>
      </c>
      <c r="AQ506" s="112" t="str">
        <f t="shared" si="531"/>
        <v/>
      </c>
      <c r="AR506" s="112" t="str">
        <f>IFERROR(__xludf.DUMMYFUNCTION("IF($AG506, ""DELETED"", TRIM(JOIN("" "",AP506,AQ506)))"),"")</f>
        <v/>
      </c>
      <c r="AS506" s="118"/>
      <c r="AT506" s="110" t="b">
        <f t="shared" si="12"/>
        <v>0</v>
      </c>
      <c r="AU506" s="110" t="str">
        <f t="shared" si="13"/>
        <v/>
      </c>
      <c r="AV506" s="110" t="str">
        <f t="shared" si="14"/>
        <v/>
      </c>
      <c r="AW506" s="110" t="str">
        <f t="shared" si="15"/>
        <v/>
      </c>
      <c r="AX506" s="119" t="str">
        <f t="shared" si="16"/>
        <v/>
      </c>
      <c r="AY506" s="120"/>
      <c r="AZ506" s="121"/>
      <c r="BA506" s="122" t="str">
        <f t="shared" si="17"/>
        <v/>
      </c>
      <c r="BB506" s="34"/>
      <c r="BC506" s="121"/>
      <c r="BD506" s="136"/>
      <c r="BE506" s="125" t="str">
        <f t="shared" si="18"/>
        <v/>
      </c>
      <c r="BF506" s="126" t="str">
        <f t="shared" si="19"/>
        <v>MA1312__44613_0.316724537037037</v>
      </c>
      <c r="BG506" s="127" t="str">
        <f t="shared" si="20"/>
        <v/>
      </c>
      <c r="BH506" s="137" t="s">
        <v>1510</v>
      </c>
      <c r="BI506" s="128" t="str">
        <f t="shared" si="21"/>
        <v>MA231</v>
      </c>
      <c r="BJ506" s="129" t="b">
        <f t="shared" si="22"/>
        <v>0</v>
      </c>
      <c r="BK506" s="128" t="str">
        <f t="shared" si="23"/>
        <v/>
      </c>
      <c r="BL506" s="121"/>
      <c r="BM506" s="5" t="str">
        <f t="shared" si="24"/>
        <v>MISSING</v>
      </c>
      <c r="BN506" s="120" t="b">
        <f t="shared" si="25"/>
        <v>0</v>
      </c>
      <c r="BO506" s="131" t="b">
        <f t="shared" si="26"/>
        <v>1</v>
      </c>
      <c r="BP506" s="121"/>
      <c r="BQ506" s="132" t="str">
        <f>VLOOKUP(A506,RAW_APS!A$3:O826,15,FALSE)</f>
        <v/>
      </c>
      <c r="BR506" s="120" t="b">
        <f t="shared" si="27"/>
        <v>1</v>
      </c>
      <c r="BS506" s="121"/>
      <c r="BT506" s="138" t="s">
        <v>244</v>
      </c>
      <c r="BU506" s="10" t="b">
        <f t="shared" si="28"/>
        <v>1</v>
      </c>
      <c r="BV506" s="120"/>
      <c r="BW506" s="120"/>
      <c r="BX506" s="120"/>
      <c r="BY506" s="120"/>
      <c r="BZ506" s="120"/>
      <c r="CA506" s="120"/>
      <c r="CB506" s="120"/>
      <c r="CC506" s="120"/>
    </row>
    <row r="507">
      <c r="A507" s="2" t="s">
        <v>1511</v>
      </c>
      <c r="B507" s="100">
        <v>44613.0</v>
      </c>
      <c r="C507" s="101">
        <v>0.3174652777777778</v>
      </c>
      <c r="D507" s="102"/>
      <c r="E507" s="102"/>
      <c r="F507" s="102"/>
      <c r="G507" s="102"/>
      <c r="H507" s="102"/>
      <c r="I507" s="103"/>
      <c r="J507" s="103"/>
      <c r="K507" s="2" t="s">
        <v>244</v>
      </c>
      <c r="L507" s="100">
        <v>44613.0</v>
      </c>
      <c r="M507" s="101">
        <v>0.4693981481481482</v>
      </c>
      <c r="P507" s="104" t="b">
        <f>IFNA(IF(VLOOKUP($A507,'Add from APT'!$AA$2:$AC826,3,FALSE)&gt;0,TRUE,FALSE),"ER - NOT IN APT")</f>
        <v>0</v>
      </c>
      <c r="Q507" s="105" t="str">
        <f>IF(ISLOGICAL(P507),IF(P507,"ER - REPS IN APT", IFNA(VLOOKUP($A507,RAW_APT!$A$3:$M826,7,FALSE),"ER - NOT IN APT")),P507)</f>
        <v>Result</v>
      </c>
      <c r="R507" s="106" t="b">
        <f t="shared" si="2"/>
        <v>1</v>
      </c>
      <c r="S507" s="107">
        <f t="shared" si="3"/>
        <v>1</v>
      </c>
      <c r="T507" s="143"/>
      <c r="U507" s="142"/>
      <c r="V507" s="142"/>
      <c r="W507" s="142"/>
      <c r="X507" s="110" t="b">
        <f t="shared" si="4"/>
        <v>0</v>
      </c>
      <c r="Y507" s="111" t="b">
        <v>0</v>
      </c>
      <c r="Z507" s="104" t="str">
        <f t="shared" si="5"/>
        <v/>
      </c>
      <c r="AA507" s="112" t="b">
        <f t="shared" si="6"/>
        <v>0</v>
      </c>
      <c r="AB507" s="142" t="b">
        <v>0</v>
      </c>
      <c r="AC507" s="140">
        <v>306.0</v>
      </c>
      <c r="AD507" s="141" t="b">
        <v>0</v>
      </c>
      <c r="AE507" s="115">
        <f t="shared" si="7"/>
        <v>218.7833333</v>
      </c>
      <c r="AF507" s="116" t="b">
        <f t="shared" si="8"/>
        <v>0</v>
      </c>
      <c r="AG507" s="105" t="b">
        <f t="shared" si="9"/>
        <v>0</v>
      </c>
      <c r="AH507" s="140"/>
      <c r="AI507" s="140"/>
      <c r="AJ507" s="140"/>
      <c r="AK507" s="117" t="str">
        <f t="shared" si="10"/>
        <v>Negative</v>
      </c>
      <c r="AL507" s="142"/>
      <c r="AM507" s="112" t="s">
        <v>1512</v>
      </c>
      <c r="AN507" s="112" t="s">
        <v>1513</v>
      </c>
      <c r="AO507" s="112" t="str">
        <f>IFERROR(__xludf.DUMMYFUNCTION("IF($AG507, ""DELETED"",TRIM(JOIN("" "",D507:E507)))"),"")</f>
        <v/>
      </c>
      <c r="AP507" s="112" t="str">
        <f t="shared" ref="AP507:AQ507" si="532">IF($AG507, "DELETED", TRIM(CONCATENATE(F507,I507,U507)))</f>
        <v/>
      </c>
      <c r="AQ507" s="112" t="str">
        <f t="shared" si="532"/>
        <v/>
      </c>
      <c r="AR507" s="112" t="str">
        <f>IFERROR(__xludf.DUMMYFUNCTION("IF($AG507, ""DELETED"", TRIM(JOIN("" "",AP507,AQ507)))"),"")</f>
        <v/>
      </c>
      <c r="AS507" s="118"/>
      <c r="AT507" s="110" t="b">
        <f t="shared" si="12"/>
        <v>0</v>
      </c>
      <c r="AU507" s="110" t="str">
        <f t="shared" si="13"/>
        <v/>
      </c>
      <c r="AV507" s="110" t="str">
        <f t="shared" si="14"/>
        <v/>
      </c>
      <c r="AW507" s="110" t="str">
        <f t="shared" si="15"/>
        <v/>
      </c>
      <c r="AX507" s="119" t="str">
        <f t="shared" si="16"/>
        <v/>
      </c>
      <c r="AY507" s="120"/>
      <c r="AZ507" s="121"/>
      <c r="BA507" s="122" t="str">
        <f t="shared" si="17"/>
        <v/>
      </c>
      <c r="BB507" s="34"/>
      <c r="BC507" s="121"/>
      <c r="BD507" s="136"/>
      <c r="BE507" s="125" t="str">
        <f t="shared" si="18"/>
        <v/>
      </c>
      <c r="BF507" s="126" t="str">
        <f t="shared" si="19"/>
        <v>MA1295__44613_0.317465277777778</v>
      </c>
      <c r="BG507" s="127" t="str">
        <f t="shared" si="20"/>
        <v/>
      </c>
      <c r="BH507" s="137" t="s">
        <v>1514</v>
      </c>
      <c r="BI507" s="128" t="str">
        <f t="shared" si="21"/>
        <v>MA233</v>
      </c>
      <c r="BJ507" s="129" t="b">
        <f t="shared" si="22"/>
        <v>0</v>
      </c>
      <c r="BK507" s="128" t="str">
        <f t="shared" si="23"/>
        <v/>
      </c>
      <c r="BL507" s="121"/>
      <c r="BM507" s="5" t="str">
        <f t="shared" si="24"/>
        <v>MISSING</v>
      </c>
      <c r="BN507" s="120" t="b">
        <f t="shared" si="25"/>
        <v>0</v>
      </c>
      <c r="BO507" s="131" t="b">
        <f t="shared" si="26"/>
        <v>1</v>
      </c>
      <c r="BP507" s="121"/>
      <c r="BQ507" s="132" t="str">
        <f>VLOOKUP(A507,RAW_APS!A$3:O826,15,FALSE)</f>
        <v/>
      </c>
      <c r="BR507" s="120" t="b">
        <f t="shared" si="27"/>
        <v>1</v>
      </c>
      <c r="BS507" s="121"/>
      <c r="BT507" s="138" t="s">
        <v>244</v>
      </c>
      <c r="BU507" s="10" t="b">
        <f t="shared" si="28"/>
        <v>1</v>
      </c>
      <c r="BV507" s="120"/>
      <c r="BW507" s="120"/>
      <c r="BX507" s="120"/>
      <c r="BY507" s="120"/>
      <c r="BZ507" s="120"/>
      <c r="CA507" s="120"/>
      <c r="CB507" s="120"/>
      <c r="CC507" s="120"/>
    </row>
    <row r="508">
      <c r="A508" s="2" t="s">
        <v>1515</v>
      </c>
      <c r="B508" s="100">
        <v>44613.0</v>
      </c>
      <c r="C508" s="101">
        <v>0.3193634259259259</v>
      </c>
      <c r="D508" s="102"/>
      <c r="E508" s="102"/>
      <c r="F508" s="102"/>
      <c r="G508" s="102"/>
      <c r="H508" s="102"/>
      <c r="I508" s="103"/>
      <c r="J508" s="103"/>
      <c r="K508" s="2" t="s">
        <v>244</v>
      </c>
      <c r="L508" s="100">
        <v>44613.0</v>
      </c>
      <c r="M508" s="101">
        <v>0.4694097222222222</v>
      </c>
      <c r="P508" s="104" t="b">
        <f>IFNA(IF(VLOOKUP($A508,'Add from APT'!$AA$2:$AC826,3,FALSE)&gt;0,TRUE,FALSE),"ER - NOT IN APT")</f>
        <v>0</v>
      </c>
      <c r="Q508" s="105" t="str">
        <f>IF(ISLOGICAL(P508),IF(P508,"ER - REPS IN APT", IFNA(VLOOKUP($A508,RAW_APT!$A$3:$M826,7,FALSE),"ER - NOT IN APT")),P508)</f>
        <v>Result</v>
      </c>
      <c r="R508" s="106" t="b">
        <f t="shared" si="2"/>
        <v>1</v>
      </c>
      <c r="S508" s="107">
        <f t="shared" si="3"/>
        <v>1</v>
      </c>
      <c r="T508" s="143"/>
      <c r="U508" s="142"/>
      <c r="V508" s="142"/>
      <c r="W508" s="142"/>
      <c r="X508" s="110" t="b">
        <f t="shared" si="4"/>
        <v>0</v>
      </c>
      <c r="Y508" s="111" t="b">
        <v>0</v>
      </c>
      <c r="Z508" s="104" t="str">
        <f t="shared" si="5"/>
        <v/>
      </c>
      <c r="AA508" s="112" t="b">
        <f t="shared" si="6"/>
        <v>0</v>
      </c>
      <c r="AB508" s="142" t="b">
        <v>0</v>
      </c>
      <c r="AC508" s="140">
        <v>305.0</v>
      </c>
      <c r="AD508" s="141" t="b">
        <v>0</v>
      </c>
      <c r="AE508" s="115">
        <f t="shared" si="7"/>
        <v>216.0666667</v>
      </c>
      <c r="AF508" s="116" t="b">
        <f t="shared" si="8"/>
        <v>0</v>
      </c>
      <c r="AG508" s="105" t="b">
        <f t="shared" si="9"/>
        <v>0</v>
      </c>
      <c r="AH508" s="140"/>
      <c r="AI508" s="140"/>
      <c r="AJ508" s="140"/>
      <c r="AK508" s="117" t="str">
        <f t="shared" si="10"/>
        <v>Negative</v>
      </c>
      <c r="AL508" s="142"/>
      <c r="AM508" s="112" t="s">
        <v>1516</v>
      </c>
      <c r="AN508" s="112" t="s">
        <v>1517</v>
      </c>
      <c r="AO508" s="112" t="str">
        <f>IFERROR(__xludf.DUMMYFUNCTION("IF($AG508, ""DELETED"",TRIM(JOIN("" "",D508:E508)))"),"")</f>
        <v/>
      </c>
      <c r="AP508" s="112" t="str">
        <f t="shared" ref="AP508:AQ508" si="533">IF($AG508, "DELETED", TRIM(CONCATENATE(F508,I508,U508)))</f>
        <v/>
      </c>
      <c r="AQ508" s="112" t="str">
        <f t="shared" si="533"/>
        <v/>
      </c>
      <c r="AR508" s="112" t="str">
        <f>IFERROR(__xludf.DUMMYFUNCTION("IF($AG508, ""DELETED"", TRIM(JOIN("" "",AP508,AQ508)))"),"")</f>
        <v/>
      </c>
      <c r="AS508" s="118"/>
      <c r="AT508" s="110" t="b">
        <f t="shared" si="12"/>
        <v>0</v>
      </c>
      <c r="AU508" s="110" t="str">
        <f t="shared" si="13"/>
        <v/>
      </c>
      <c r="AV508" s="110" t="str">
        <f t="shared" si="14"/>
        <v/>
      </c>
      <c r="AW508" s="110" t="str">
        <f t="shared" si="15"/>
        <v/>
      </c>
      <c r="AX508" s="119" t="str">
        <f t="shared" si="16"/>
        <v/>
      </c>
      <c r="AY508" s="120"/>
      <c r="AZ508" s="121"/>
      <c r="BA508" s="122" t="str">
        <f t="shared" si="17"/>
        <v/>
      </c>
      <c r="BB508" s="34"/>
      <c r="BC508" s="121"/>
      <c r="BD508" s="136"/>
      <c r="BE508" s="125" t="str">
        <f t="shared" si="18"/>
        <v/>
      </c>
      <c r="BF508" s="126" t="str">
        <f t="shared" si="19"/>
        <v>MA210__44613_0.319363425925926</v>
      </c>
      <c r="BG508" s="127" t="str">
        <f t="shared" si="20"/>
        <v/>
      </c>
      <c r="BH508" s="137" t="s">
        <v>1518</v>
      </c>
      <c r="BI508" s="128" t="str">
        <f t="shared" si="21"/>
        <v>MA234</v>
      </c>
      <c r="BJ508" s="129" t="b">
        <f t="shared" si="22"/>
        <v>0</v>
      </c>
      <c r="BK508" s="128" t="str">
        <f t="shared" si="23"/>
        <v/>
      </c>
      <c r="BL508" s="121"/>
      <c r="BM508" s="5" t="str">
        <f t="shared" si="24"/>
        <v>MISSING</v>
      </c>
      <c r="BN508" s="120" t="b">
        <f t="shared" si="25"/>
        <v>0</v>
      </c>
      <c r="BO508" s="131" t="b">
        <f t="shared" si="26"/>
        <v>1</v>
      </c>
      <c r="BP508" s="121"/>
      <c r="BQ508" s="132" t="str">
        <f>VLOOKUP(A508,RAW_APS!A$3:O826,15,FALSE)</f>
        <v/>
      </c>
      <c r="BR508" s="120" t="b">
        <f t="shared" si="27"/>
        <v>1</v>
      </c>
      <c r="BS508" s="121"/>
      <c r="BT508" s="138" t="s">
        <v>244</v>
      </c>
      <c r="BU508" s="10" t="b">
        <f t="shared" si="28"/>
        <v>1</v>
      </c>
      <c r="BV508" s="120"/>
      <c r="BW508" s="120"/>
      <c r="BX508" s="120"/>
      <c r="BY508" s="120"/>
      <c r="BZ508" s="120"/>
      <c r="CA508" s="120"/>
      <c r="CB508" s="120"/>
      <c r="CC508" s="120"/>
    </row>
    <row r="509">
      <c r="A509" s="2" t="s">
        <v>1519</v>
      </c>
      <c r="B509" s="100">
        <v>44613.0</v>
      </c>
      <c r="C509" s="101">
        <v>0.3198611111111111</v>
      </c>
      <c r="D509" s="102"/>
      <c r="E509" s="102"/>
      <c r="F509" s="102"/>
      <c r="G509" s="102"/>
      <c r="H509" s="102"/>
      <c r="I509" s="103"/>
      <c r="J509" s="103"/>
      <c r="K509" s="2" t="s">
        <v>244</v>
      </c>
      <c r="L509" s="100">
        <v>44613.0</v>
      </c>
      <c r="M509" s="101">
        <v>0.4694097222222222</v>
      </c>
      <c r="P509" s="104" t="b">
        <f>IFNA(IF(VLOOKUP($A509,'Add from APT'!$AA$2:$AC826,3,FALSE)&gt;0,TRUE,FALSE),"ER - NOT IN APT")</f>
        <v>0</v>
      </c>
      <c r="Q509" s="105" t="str">
        <f>IF(ISLOGICAL(P509),IF(P509,"ER - REPS IN APT", IFNA(VLOOKUP($A509,RAW_APT!$A$3:$M826,7,FALSE),"ER - NOT IN APT")),P509)</f>
        <v>Result</v>
      </c>
      <c r="R509" s="106" t="b">
        <f t="shared" si="2"/>
        <v>1</v>
      </c>
      <c r="S509" s="107">
        <f t="shared" si="3"/>
        <v>1</v>
      </c>
      <c r="T509" s="143"/>
      <c r="U509" s="142"/>
      <c r="V509" s="142"/>
      <c r="W509" s="142"/>
      <c r="X509" s="110" t="b">
        <f t="shared" si="4"/>
        <v>0</v>
      </c>
      <c r="Y509" s="111" t="b">
        <v>0</v>
      </c>
      <c r="Z509" s="104" t="str">
        <f t="shared" si="5"/>
        <v/>
      </c>
      <c r="AA509" s="112" t="b">
        <f t="shared" si="6"/>
        <v>0</v>
      </c>
      <c r="AB509" s="142" t="b">
        <v>0</v>
      </c>
      <c r="AC509" s="140">
        <v>304.0</v>
      </c>
      <c r="AD509" s="141" t="b">
        <v>0</v>
      </c>
      <c r="AE509" s="115">
        <f t="shared" si="7"/>
        <v>215.35</v>
      </c>
      <c r="AF509" s="116" t="b">
        <f t="shared" si="8"/>
        <v>0</v>
      </c>
      <c r="AG509" s="105" t="b">
        <f t="shared" si="9"/>
        <v>0</v>
      </c>
      <c r="AH509" s="140"/>
      <c r="AI509" s="140"/>
      <c r="AJ509" s="140"/>
      <c r="AK509" s="117" t="str">
        <f t="shared" si="10"/>
        <v>Negative</v>
      </c>
      <c r="AL509" s="142"/>
      <c r="AM509" s="112" t="s">
        <v>1260</v>
      </c>
      <c r="AN509" s="112" t="s">
        <v>1261</v>
      </c>
      <c r="AO509" s="112" t="str">
        <f>IFERROR(__xludf.DUMMYFUNCTION("IF($AG509, ""DELETED"",TRIM(JOIN("" "",D509:E509)))"),"")</f>
        <v/>
      </c>
      <c r="AP509" s="112" t="str">
        <f t="shared" ref="AP509:AQ509" si="534">IF($AG509, "DELETED", TRIM(CONCATENATE(F509,I509,U509)))</f>
        <v/>
      </c>
      <c r="AQ509" s="112" t="str">
        <f t="shared" si="534"/>
        <v/>
      </c>
      <c r="AR509" s="112" t="str">
        <f>IFERROR(__xludf.DUMMYFUNCTION("IF($AG509, ""DELETED"", TRIM(JOIN("" "",AP509,AQ509)))"),"")</f>
        <v/>
      </c>
      <c r="AS509" s="118"/>
      <c r="AT509" s="110" t="b">
        <f t="shared" si="12"/>
        <v>0</v>
      </c>
      <c r="AU509" s="110" t="str">
        <f t="shared" si="13"/>
        <v/>
      </c>
      <c r="AV509" s="110" t="str">
        <f t="shared" si="14"/>
        <v/>
      </c>
      <c r="AW509" s="110" t="str">
        <f t="shared" si="15"/>
        <v/>
      </c>
      <c r="AX509" s="119" t="str">
        <f t="shared" si="16"/>
        <v/>
      </c>
      <c r="AY509" s="120"/>
      <c r="AZ509" s="121"/>
      <c r="BA509" s="122" t="str">
        <f t="shared" si="17"/>
        <v/>
      </c>
      <c r="BB509" s="34"/>
      <c r="BC509" s="121"/>
      <c r="BD509" s="136"/>
      <c r="BE509" s="125" t="str">
        <f t="shared" si="18"/>
        <v/>
      </c>
      <c r="BF509" s="126" t="str">
        <f t="shared" si="19"/>
        <v>MA1271__44613_0.319861111111111</v>
      </c>
      <c r="BG509" s="127" t="str">
        <f t="shared" si="20"/>
        <v/>
      </c>
      <c r="BH509" s="137" t="s">
        <v>1520</v>
      </c>
      <c r="BI509" s="128" t="str">
        <f t="shared" si="21"/>
        <v>MA237</v>
      </c>
      <c r="BJ509" s="129" t="b">
        <f t="shared" si="22"/>
        <v>0</v>
      </c>
      <c r="BK509" s="128" t="str">
        <f t="shared" si="23"/>
        <v/>
      </c>
      <c r="BL509" s="121"/>
      <c r="BM509" s="5" t="str">
        <f t="shared" si="24"/>
        <v>MISSING</v>
      </c>
      <c r="BN509" s="120" t="b">
        <f t="shared" si="25"/>
        <v>0</v>
      </c>
      <c r="BO509" s="131" t="b">
        <f t="shared" si="26"/>
        <v>1</v>
      </c>
      <c r="BP509" s="121"/>
      <c r="BQ509" s="132" t="str">
        <f>VLOOKUP(A509,RAW_APS!A$3:O826,15,FALSE)</f>
        <v/>
      </c>
      <c r="BR509" s="120" t="b">
        <f t="shared" si="27"/>
        <v>1</v>
      </c>
      <c r="BS509" s="121"/>
      <c r="BT509" s="138" t="s">
        <v>244</v>
      </c>
      <c r="BU509" s="10" t="b">
        <f t="shared" si="28"/>
        <v>1</v>
      </c>
      <c r="BV509" s="120"/>
      <c r="BW509" s="120"/>
      <c r="BX509" s="120"/>
      <c r="BY509" s="120"/>
      <c r="BZ509" s="120"/>
      <c r="CA509" s="120"/>
      <c r="CB509" s="120"/>
      <c r="CC509" s="120"/>
    </row>
    <row r="510">
      <c r="A510" s="2" t="s">
        <v>1521</v>
      </c>
      <c r="B510" s="100">
        <v>44613.0</v>
      </c>
      <c r="C510" s="101">
        <v>0.32069444444444445</v>
      </c>
      <c r="D510" s="102"/>
      <c r="E510" s="102"/>
      <c r="F510" s="102"/>
      <c r="G510" s="102"/>
      <c r="H510" s="102"/>
      <c r="I510" s="103"/>
      <c r="J510" s="103"/>
      <c r="K510" s="2" t="s">
        <v>244</v>
      </c>
      <c r="L510" s="100">
        <v>44613.0</v>
      </c>
      <c r="M510" s="101">
        <v>0.4694097222222222</v>
      </c>
      <c r="P510" s="104" t="b">
        <f>IFNA(IF(VLOOKUP($A510,'Add from APT'!$AA$2:$AC826,3,FALSE)&gt;0,TRUE,FALSE),"ER - NOT IN APT")</f>
        <v>0</v>
      </c>
      <c r="Q510" s="105" t="str">
        <f>IF(ISLOGICAL(P510),IF(P510,"ER - REPS IN APT", IFNA(VLOOKUP($A510,RAW_APT!$A$3:$M826,7,FALSE),"ER - NOT IN APT")),P510)</f>
        <v>Result</v>
      </c>
      <c r="R510" s="106" t="b">
        <f t="shared" si="2"/>
        <v>1</v>
      </c>
      <c r="S510" s="107">
        <f t="shared" si="3"/>
        <v>1</v>
      </c>
      <c r="T510" s="143"/>
      <c r="U510" s="142"/>
      <c r="V510" s="142"/>
      <c r="W510" s="142"/>
      <c r="X510" s="110" t="b">
        <f t="shared" si="4"/>
        <v>0</v>
      </c>
      <c r="Y510" s="111" t="b">
        <v>0</v>
      </c>
      <c r="Z510" s="104" t="str">
        <f t="shared" si="5"/>
        <v/>
      </c>
      <c r="AA510" s="112" t="b">
        <f t="shared" si="6"/>
        <v>0</v>
      </c>
      <c r="AB510" s="142" t="b">
        <v>0</v>
      </c>
      <c r="AC510" s="140">
        <v>303.0</v>
      </c>
      <c r="AD510" s="141" t="b">
        <v>0</v>
      </c>
      <c r="AE510" s="115">
        <f t="shared" si="7"/>
        <v>214.15</v>
      </c>
      <c r="AF510" s="116" t="b">
        <f t="shared" si="8"/>
        <v>0</v>
      </c>
      <c r="AG510" s="105" t="b">
        <f t="shared" si="9"/>
        <v>0</v>
      </c>
      <c r="AH510" s="140"/>
      <c r="AI510" s="140"/>
      <c r="AJ510" s="140"/>
      <c r="AK510" s="117" t="str">
        <f t="shared" si="10"/>
        <v>Negative</v>
      </c>
      <c r="AL510" s="142"/>
      <c r="AM510" s="112" t="s">
        <v>436</v>
      </c>
      <c r="AN510" s="112" t="s">
        <v>437</v>
      </c>
      <c r="AO510" s="112" t="str">
        <f>IFERROR(__xludf.DUMMYFUNCTION("IF($AG510, ""DELETED"",TRIM(JOIN("" "",D510:E510)))"),"")</f>
        <v/>
      </c>
      <c r="AP510" s="112" t="str">
        <f t="shared" ref="AP510:AQ510" si="535">IF($AG510, "DELETED", TRIM(CONCATENATE(F510,I510,U510)))</f>
        <v/>
      </c>
      <c r="AQ510" s="112" t="str">
        <f t="shared" si="535"/>
        <v/>
      </c>
      <c r="AR510" s="112" t="str">
        <f>IFERROR(__xludf.DUMMYFUNCTION("IF($AG510, ""DELETED"", TRIM(JOIN("" "",AP510,AQ510)))"),"")</f>
        <v/>
      </c>
      <c r="AS510" s="118"/>
      <c r="AT510" s="110" t="b">
        <f t="shared" si="12"/>
        <v>0</v>
      </c>
      <c r="AU510" s="110" t="str">
        <f t="shared" si="13"/>
        <v/>
      </c>
      <c r="AV510" s="110" t="str">
        <f t="shared" si="14"/>
        <v/>
      </c>
      <c r="AW510" s="110" t="str">
        <f t="shared" si="15"/>
        <v/>
      </c>
      <c r="AX510" s="119" t="str">
        <f t="shared" si="16"/>
        <v/>
      </c>
      <c r="AY510" s="120"/>
      <c r="AZ510" s="121"/>
      <c r="BA510" s="122" t="str">
        <f t="shared" si="17"/>
        <v/>
      </c>
      <c r="BB510" s="34"/>
      <c r="BC510" s="121"/>
      <c r="BD510" s="136"/>
      <c r="BE510" s="125" t="str">
        <f t="shared" si="18"/>
        <v/>
      </c>
      <c r="BF510" s="126" t="str">
        <f t="shared" si="19"/>
        <v>MA202__44613_0.320694444444444</v>
      </c>
      <c r="BG510" s="127" t="str">
        <f t="shared" si="20"/>
        <v/>
      </c>
      <c r="BH510" s="137" t="s">
        <v>1522</v>
      </c>
      <c r="BI510" s="128" t="str">
        <f t="shared" si="21"/>
        <v>MA238</v>
      </c>
      <c r="BJ510" s="129" t="b">
        <f t="shared" si="22"/>
        <v>0</v>
      </c>
      <c r="BK510" s="128" t="str">
        <f t="shared" si="23"/>
        <v/>
      </c>
      <c r="BL510" s="121"/>
      <c r="BM510" s="5" t="str">
        <f t="shared" si="24"/>
        <v>MISSING</v>
      </c>
      <c r="BN510" s="120" t="b">
        <f t="shared" si="25"/>
        <v>0</v>
      </c>
      <c r="BO510" s="131" t="b">
        <f t="shared" si="26"/>
        <v>1</v>
      </c>
      <c r="BP510" s="121"/>
      <c r="BQ510" s="132" t="str">
        <f>VLOOKUP(A510,RAW_APS!A$3:O826,15,FALSE)</f>
        <v/>
      </c>
      <c r="BR510" s="120" t="b">
        <f t="shared" si="27"/>
        <v>1</v>
      </c>
      <c r="BS510" s="121"/>
      <c r="BT510" s="138" t="s">
        <v>244</v>
      </c>
      <c r="BU510" s="10" t="b">
        <f t="shared" si="28"/>
        <v>1</v>
      </c>
      <c r="BV510" s="120"/>
      <c r="BW510" s="120"/>
      <c r="BX510" s="120"/>
      <c r="BY510" s="120"/>
      <c r="BZ510" s="120"/>
      <c r="CA510" s="120"/>
      <c r="CB510" s="120"/>
      <c r="CC510" s="120"/>
    </row>
    <row r="511">
      <c r="A511" s="2" t="s">
        <v>1523</v>
      </c>
      <c r="B511" s="100">
        <v>44613.0</v>
      </c>
      <c r="C511" s="101">
        <v>0.32101851851851854</v>
      </c>
      <c r="D511" s="102"/>
      <c r="E511" s="102"/>
      <c r="F511" s="102"/>
      <c r="G511" s="102"/>
      <c r="H511" s="102"/>
      <c r="I511" s="103"/>
      <c r="J511" s="103"/>
      <c r="K511" s="2" t="s">
        <v>244</v>
      </c>
      <c r="L511" s="100">
        <v>44613.0</v>
      </c>
      <c r="M511" s="101">
        <v>0.4694097222222222</v>
      </c>
      <c r="P511" s="104" t="b">
        <f>IFNA(IF(VLOOKUP($A511,'Add from APT'!$AA$2:$AC826,3,FALSE)&gt;0,TRUE,FALSE),"ER - NOT IN APT")</f>
        <v>0</v>
      </c>
      <c r="Q511" s="105" t="str">
        <f>IF(ISLOGICAL(P511),IF(P511,"ER - REPS IN APT", IFNA(VLOOKUP($A511,RAW_APT!$A$3:$M826,7,FALSE),"ER - NOT IN APT")),P511)</f>
        <v>Result</v>
      </c>
      <c r="R511" s="106" t="b">
        <f t="shared" si="2"/>
        <v>1</v>
      </c>
      <c r="S511" s="107">
        <f t="shared" si="3"/>
        <v>1</v>
      </c>
      <c r="T511" s="143"/>
      <c r="U511" s="142"/>
      <c r="V511" s="142"/>
      <c r="W511" s="142"/>
      <c r="X511" s="110" t="b">
        <f t="shared" si="4"/>
        <v>0</v>
      </c>
      <c r="Y511" s="111" t="b">
        <v>0</v>
      </c>
      <c r="Z511" s="104" t="str">
        <f t="shared" si="5"/>
        <v/>
      </c>
      <c r="AA511" s="112" t="b">
        <f t="shared" si="6"/>
        <v>0</v>
      </c>
      <c r="AB511" s="142" t="b">
        <v>0</v>
      </c>
      <c r="AC511" s="140">
        <v>302.0</v>
      </c>
      <c r="AD511" s="141" t="b">
        <v>0</v>
      </c>
      <c r="AE511" s="115">
        <f t="shared" si="7"/>
        <v>213.6833333</v>
      </c>
      <c r="AF511" s="116" t="b">
        <f t="shared" si="8"/>
        <v>0</v>
      </c>
      <c r="AG511" s="105" t="b">
        <f t="shared" si="9"/>
        <v>0</v>
      </c>
      <c r="AH511" s="140"/>
      <c r="AI511" s="140"/>
      <c r="AJ511" s="140"/>
      <c r="AK511" s="117" t="str">
        <f t="shared" si="10"/>
        <v>Negative</v>
      </c>
      <c r="AL511" s="142"/>
      <c r="AM511" s="112" t="s">
        <v>587</v>
      </c>
      <c r="AN511" s="112" t="s">
        <v>588</v>
      </c>
      <c r="AO511" s="112" t="str">
        <f>IFERROR(__xludf.DUMMYFUNCTION("IF($AG511, ""DELETED"",TRIM(JOIN("" "",D511:E511)))"),"")</f>
        <v/>
      </c>
      <c r="AP511" s="112" t="str">
        <f t="shared" ref="AP511:AQ511" si="536">IF($AG511, "DELETED", TRIM(CONCATENATE(F511,I511,U511)))</f>
        <v/>
      </c>
      <c r="AQ511" s="112" t="str">
        <f t="shared" si="536"/>
        <v/>
      </c>
      <c r="AR511" s="112" t="str">
        <f>IFERROR(__xludf.DUMMYFUNCTION("IF($AG511, ""DELETED"", TRIM(JOIN("" "",AP511,AQ511)))"),"")</f>
        <v/>
      </c>
      <c r="AS511" s="118"/>
      <c r="AT511" s="110" t="b">
        <f t="shared" si="12"/>
        <v>0</v>
      </c>
      <c r="AU511" s="110" t="str">
        <f t="shared" si="13"/>
        <v/>
      </c>
      <c r="AV511" s="110" t="str">
        <f t="shared" si="14"/>
        <v/>
      </c>
      <c r="AW511" s="110" t="str">
        <f t="shared" si="15"/>
        <v/>
      </c>
      <c r="AX511" s="119" t="str">
        <f t="shared" si="16"/>
        <v/>
      </c>
      <c r="AY511" s="120"/>
      <c r="AZ511" s="121"/>
      <c r="BA511" s="122" t="str">
        <f t="shared" si="17"/>
        <v/>
      </c>
      <c r="BB511" s="34"/>
      <c r="BC511" s="121"/>
      <c r="BD511" s="136"/>
      <c r="BE511" s="125" t="str">
        <f t="shared" si="18"/>
        <v/>
      </c>
      <c r="BF511" s="126" t="str">
        <f t="shared" si="19"/>
        <v>FM1020__44613_0.321018518518519</v>
      </c>
      <c r="BG511" s="127" t="str">
        <f t="shared" si="20"/>
        <v/>
      </c>
      <c r="BH511" s="137" t="s">
        <v>1524</v>
      </c>
      <c r="BI511" s="128" t="str">
        <f t="shared" si="21"/>
        <v>MA239</v>
      </c>
      <c r="BJ511" s="129" t="b">
        <f t="shared" si="22"/>
        <v>0</v>
      </c>
      <c r="BK511" s="128" t="str">
        <f t="shared" si="23"/>
        <v/>
      </c>
      <c r="BL511" s="121"/>
      <c r="BM511" s="5" t="str">
        <f t="shared" si="24"/>
        <v>MISSING</v>
      </c>
      <c r="BN511" s="120" t="b">
        <f t="shared" si="25"/>
        <v>0</v>
      </c>
      <c r="BO511" s="131" t="b">
        <f t="shared" si="26"/>
        <v>1</v>
      </c>
      <c r="BP511" s="121"/>
      <c r="BQ511" s="132" t="str">
        <f>VLOOKUP(A511,RAW_APS!A$3:O826,15,FALSE)</f>
        <v/>
      </c>
      <c r="BR511" s="120" t="b">
        <f t="shared" si="27"/>
        <v>1</v>
      </c>
      <c r="BS511" s="121"/>
      <c r="BT511" s="138" t="s">
        <v>244</v>
      </c>
      <c r="BU511" s="10" t="b">
        <f t="shared" si="28"/>
        <v>1</v>
      </c>
      <c r="BV511" s="120"/>
      <c r="BW511" s="120"/>
      <c r="BX511" s="120"/>
      <c r="BY511" s="120"/>
      <c r="BZ511" s="120"/>
      <c r="CA511" s="120"/>
      <c r="CB511" s="120"/>
      <c r="CC511" s="120"/>
    </row>
    <row r="512">
      <c r="A512" s="2" t="s">
        <v>1525</v>
      </c>
      <c r="B512" s="100">
        <v>44613.0</v>
      </c>
      <c r="C512" s="101">
        <v>0.3212037037037037</v>
      </c>
      <c r="D512" s="102"/>
      <c r="E512" s="102"/>
      <c r="F512" s="102"/>
      <c r="G512" s="102"/>
      <c r="H512" s="102"/>
      <c r="I512" s="103"/>
      <c r="J512" s="103"/>
      <c r="K512" s="2" t="s">
        <v>244</v>
      </c>
      <c r="L512" s="100">
        <v>44613.0</v>
      </c>
      <c r="M512" s="101">
        <v>0.4694097222222222</v>
      </c>
      <c r="P512" s="104" t="b">
        <f>IFNA(IF(VLOOKUP($A512,'Add from APT'!$AA$2:$AC826,3,FALSE)&gt;0,TRUE,FALSE),"ER - NOT IN APT")</f>
        <v>0</v>
      </c>
      <c r="Q512" s="105" t="str">
        <f>IF(ISLOGICAL(P512),IF(P512,"ER - REPS IN APT", IFNA(VLOOKUP($A512,RAW_APT!$A$3:$M826,7,FALSE),"ER - NOT IN APT")),P512)</f>
        <v>Result</v>
      </c>
      <c r="R512" s="106" t="b">
        <f t="shared" si="2"/>
        <v>1</v>
      </c>
      <c r="S512" s="107">
        <f t="shared" si="3"/>
        <v>1</v>
      </c>
      <c r="T512" s="143"/>
      <c r="U512" s="142"/>
      <c r="V512" s="142"/>
      <c r="W512" s="142"/>
      <c r="X512" s="110" t="b">
        <f t="shared" si="4"/>
        <v>0</v>
      </c>
      <c r="Y512" s="111" t="b">
        <v>0</v>
      </c>
      <c r="Z512" s="104" t="str">
        <f t="shared" si="5"/>
        <v/>
      </c>
      <c r="AA512" s="112" t="b">
        <f t="shared" si="6"/>
        <v>0</v>
      </c>
      <c r="AB512" s="142" t="b">
        <v>0</v>
      </c>
      <c r="AC512" s="140">
        <v>301.0</v>
      </c>
      <c r="AD512" s="141" t="b">
        <v>0</v>
      </c>
      <c r="AE512" s="115">
        <f t="shared" si="7"/>
        <v>213.4166667</v>
      </c>
      <c r="AF512" s="116" t="b">
        <f t="shared" si="8"/>
        <v>0</v>
      </c>
      <c r="AG512" s="105" t="b">
        <f t="shared" si="9"/>
        <v>0</v>
      </c>
      <c r="AH512" s="140"/>
      <c r="AI512" s="140"/>
      <c r="AJ512" s="140"/>
      <c r="AK512" s="117" t="str">
        <f t="shared" si="10"/>
        <v>Negative</v>
      </c>
      <c r="AL512" s="142"/>
      <c r="AM512" s="112" t="s">
        <v>1248</v>
      </c>
      <c r="AN512" s="112" t="s">
        <v>1249</v>
      </c>
      <c r="AO512" s="112" t="str">
        <f>IFERROR(__xludf.DUMMYFUNCTION("IF($AG512, ""DELETED"",TRIM(JOIN("" "",D512:E512)))"),"")</f>
        <v/>
      </c>
      <c r="AP512" s="112" t="str">
        <f t="shared" ref="AP512:AQ512" si="537">IF($AG512, "DELETED", TRIM(CONCATENATE(F512,I512,U512)))</f>
        <v/>
      </c>
      <c r="AQ512" s="112" t="str">
        <f t="shared" si="537"/>
        <v/>
      </c>
      <c r="AR512" s="112" t="str">
        <f>IFERROR(__xludf.DUMMYFUNCTION("IF($AG512, ""DELETED"", TRIM(JOIN("" "",AP512,AQ512)))"),"")</f>
        <v/>
      </c>
      <c r="AS512" s="118"/>
      <c r="AT512" s="110" t="b">
        <f t="shared" si="12"/>
        <v>0</v>
      </c>
      <c r="AU512" s="110" t="str">
        <f t="shared" si="13"/>
        <v/>
      </c>
      <c r="AV512" s="110" t="str">
        <f t="shared" si="14"/>
        <v/>
      </c>
      <c r="AW512" s="110" t="str">
        <f t="shared" si="15"/>
        <v/>
      </c>
      <c r="AX512" s="119" t="str">
        <f t="shared" si="16"/>
        <v/>
      </c>
      <c r="AY512" s="120"/>
      <c r="AZ512" s="121"/>
      <c r="BA512" s="122" t="str">
        <f t="shared" si="17"/>
        <v/>
      </c>
      <c r="BB512" s="34"/>
      <c r="BC512" s="121"/>
      <c r="BD512" s="136"/>
      <c r="BE512" s="125" t="str">
        <f t="shared" si="18"/>
        <v/>
      </c>
      <c r="BF512" s="126" t="str">
        <f t="shared" si="19"/>
        <v>FM823__44613_0.321203703703704</v>
      </c>
      <c r="BG512" s="127" t="str">
        <f t="shared" si="20"/>
        <v/>
      </c>
      <c r="BH512" s="137" t="s">
        <v>1526</v>
      </c>
      <c r="BI512" s="128" t="str">
        <f t="shared" si="21"/>
        <v>MA241</v>
      </c>
      <c r="BJ512" s="129" t="b">
        <f t="shared" si="22"/>
        <v>0</v>
      </c>
      <c r="BK512" s="128" t="str">
        <f t="shared" si="23"/>
        <v/>
      </c>
      <c r="BL512" s="121"/>
      <c r="BM512" s="5" t="str">
        <f t="shared" si="24"/>
        <v>MISSING</v>
      </c>
      <c r="BN512" s="120" t="b">
        <f t="shared" si="25"/>
        <v>0</v>
      </c>
      <c r="BO512" s="131" t="b">
        <f t="shared" si="26"/>
        <v>1</v>
      </c>
      <c r="BP512" s="121"/>
      <c r="BQ512" s="132" t="str">
        <f>VLOOKUP(A512,RAW_APS!A$3:O826,15,FALSE)</f>
        <v/>
      </c>
      <c r="BR512" s="120" t="b">
        <f t="shared" si="27"/>
        <v>1</v>
      </c>
      <c r="BS512" s="121"/>
      <c r="BT512" s="138" t="s">
        <v>244</v>
      </c>
      <c r="BU512" s="10" t="b">
        <f t="shared" si="28"/>
        <v>1</v>
      </c>
      <c r="BV512" s="120"/>
      <c r="BW512" s="120"/>
      <c r="BX512" s="120"/>
      <c r="BY512" s="120"/>
      <c r="BZ512" s="120"/>
      <c r="CA512" s="120"/>
      <c r="CB512" s="120"/>
      <c r="CC512" s="120"/>
    </row>
    <row r="513">
      <c r="A513" s="2" t="s">
        <v>1527</v>
      </c>
      <c r="B513" s="100">
        <v>44613.0</v>
      </c>
      <c r="C513" s="101">
        <v>0.3221643518518518</v>
      </c>
      <c r="D513" s="102"/>
      <c r="E513" s="102"/>
      <c r="F513" s="102"/>
      <c r="G513" s="102"/>
      <c r="H513" s="102"/>
      <c r="I513" s="103"/>
      <c r="J513" s="103"/>
      <c r="K513" s="2" t="s">
        <v>244</v>
      </c>
      <c r="L513" s="100">
        <v>44613.0</v>
      </c>
      <c r="M513" s="101">
        <v>0.4694097222222222</v>
      </c>
      <c r="P513" s="104" t="b">
        <f>IFNA(IF(VLOOKUP($A513,'Add from APT'!$AA$2:$AC826,3,FALSE)&gt;0,TRUE,FALSE),"ER - NOT IN APT")</f>
        <v>0</v>
      </c>
      <c r="Q513" s="105" t="str">
        <f>IF(ISLOGICAL(P513),IF(P513,"ER - REPS IN APT", IFNA(VLOOKUP($A513,RAW_APT!$A$3:$M826,7,FALSE),"ER - NOT IN APT")),P513)</f>
        <v>Result</v>
      </c>
      <c r="R513" s="106" t="b">
        <f t="shared" si="2"/>
        <v>1</v>
      </c>
      <c r="S513" s="107">
        <f t="shared" si="3"/>
        <v>1</v>
      </c>
      <c r="T513" s="143"/>
      <c r="U513" s="142"/>
      <c r="V513" s="142"/>
      <c r="W513" s="142"/>
      <c r="X513" s="110" t="b">
        <f t="shared" si="4"/>
        <v>0</v>
      </c>
      <c r="Y513" s="111" t="b">
        <v>0</v>
      </c>
      <c r="Z513" s="104" t="str">
        <f t="shared" si="5"/>
        <v/>
      </c>
      <c r="AA513" s="112" t="b">
        <f t="shared" si="6"/>
        <v>0</v>
      </c>
      <c r="AB513" s="142" t="b">
        <v>0</v>
      </c>
      <c r="AC513" s="140">
        <v>300.0</v>
      </c>
      <c r="AD513" s="141" t="b">
        <v>0</v>
      </c>
      <c r="AE513" s="115">
        <f t="shared" si="7"/>
        <v>212.0333333</v>
      </c>
      <c r="AF513" s="116" t="b">
        <f t="shared" si="8"/>
        <v>0</v>
      </c>
      <c r="AG513" s="105" t="b">
        <f t="shared" si="9"/>
        <v>0</v>
      </c>
      <c r="AH513" s="140"/>
      <c r="AI513" s="140"/>
      <c r="AJ513" s="140"/>
      <c r="AK513" s="117" t="str">
        <f t="shared" si="10"/>
        <v>Negative</v>
      </c>
      <c r="AL513" s="142"/>
      <c r="AM513" s="112" t="s">
        <v>1274</v>
      </c>
      <c r="AN513" s="112" t="s">
        <v>1275</v>
      </c>
      <c r="AO513" s="112" t="str">
        <f>IFERROR(__xludf.DUMMYFUNCTION("IF($AG513, ""DELETED"",TRIM(JOIN("" "",D513:E513)))"),"")</f>
        <v/>
      </c>
      <c r="AP513" s="112" t="str">
        <f t="shared" ref="AP513:AQ513" si="538">IF($AG513, "DELETED", TRIM(CONCATENATE(F513,I513,U513)))</f>
        <v/>
      </c>
      <c r="AQ513" s="112" t="str">
        <f t="shared" si="538"/>
        <v/>
      </c>
      <c r="AR513" s="112" t="str">
        <f>IFERROR(__xludf.DUMMYFUNCTION("IF($AG513, ""DELETED"", TRIM(JOIN("" "",AP513,AQ513)))"),"")</f>
        <v/>
      </c>
      <c r="AS513" s="118"/>
      <c r="AT513" s="110" t="b">
        <f t="shared" si="12"/>
        <v>0</v>
      </c>
      <c r="AU513" s="110" t="str">
        <f t="shared" si="13"/>
        <v/>
      </c>
      <c r="AV513" s="110" t="str">
        <f t="shared" si="14"/>
        <v/>
      </c>
      <c r="AW513" s="110" t="str">
        <f t="shared" si="15"/>
        <v/>
      </c>
      <c r="AX513" s="119" t="str">
        <f t="shared" si="16"/>
        <v/>
      </c>
      <c r="AY513" s="120"/>
      <c r="AZ513" s="121"/>
      <c r="BA513" s="122" t="str">
        <f t="shared" si="17"/>
        <v/>
      </c>
      <c r="BB513" s="34"/>
      <c r="BC513" s="121"/>
      <c r="BD513" s="136"/>
      <c r="BE513" s="125" t="str">
        <f t="shared" si="18"/>
        <v/>
      </c>
      <c r="BF513" s="126" t="str">
        <f t="shared" si="19"/>
        <v>MA227__44613_0.322164351851852</v>
      </c>
      <c r="BG513" s="127" t="str">
        <f t="shared" si="20"/>
        <v/>
      </c>
      <c r="BH513" s="137" t="s">
        <v>1528</v>
      </c>
      <c r="BI513" s="128" t="str">
        <f t="shared" si="21"/>
        <v>MA243</v>
      </c>
      <c r="BJ513" s="129" t="b">
        <f t="shared" si="22"/>
        <v>0</v>
      </c>
      <c r="BK513" s="128" t="str">
        <f t="shared" si="23"/>
        <v/>
      </c>
      <c r="BL513" s="121"/>
      <c r="BM513" s="5" t="str">
        <f t="shared" si="24"/>
        <v>MISSING</v>
      </c>
      <c r="BN513" s="120" t="b">
        <f t="shared" si="25"/>
        <v>0</v>
      </c>
      <c r="BO513" s="131" t="b">
        <f t="shared" si="26"/>
        <v>1</v>
      </c>
      <c r="BP513" s="121"/>
      <c r="BQ513" s="132" t="str">
        <f>VLOOKUP(A513,RAW_APS!A$3:O826,15,FALSE)</f>
        <v/>
      </c>
      <c r="BR513" s="120" t="b">
        <f t="shared" si="27"/>
        <v>1</v>
      </c>
      <c r="BS513" s="121"/>
      <c r="BT513" s="138" t="s">
        <v>244</v>
      </c>
      <c r="BU513" s="10" t="b">
        <f t="shared" si="28"/>
        <v>1</v>
      </c>
      <c r="BV513" s="120"/>
      <c r="BW513" s="120"/>
      <c r="BX513" s="120"/>
      <c r="BY513" s="120"/>
      <c r="BZ513" s="120"/>
      <c r="CA513" s="120"/>
      <c r="CB513" s="120"/>
      <c r="CC513" s="120"/>
    </row>
    <row r="514">
      <c r="A514" s="2" t="s">
        <v>1529</v>
      </c>
      <c r="B514" s="100">
        <v>44613.0</v>
      </c>
      <c r="C514" s="101">
        <v>0.3222685185185185</v>
      </c>
      <c r="D514" s="102"/>
      <c r="E514" s="102"/>
      <c r="F514" s="102"/>
      <c r="G514" s="102"/>
      <c r="H514" s="102"/>
      <c r="I514" s="103"/>
      <c r="J514" s="103"/>
      <c r="K514" s="2" t="s">
        <v>244</v>
      </c>
      <c r="L514" s="100">
        <v>44613.0</v>
      </c>
      <c r="M514" s="101">
        <v>0.4694097222222222</v>
      </c>
      <c r="P514" s="104" t="b">
        <f>IFNA(IF(VLOOKUP($A514,'Add from APT'!$AA$2:$AC826,3,FALSE)&gt;0,TRUE,FALSE),"ER - NOT IN APT")</f>
        <v>0</v>
      </c>
      <c r="Q514" s="105" t="str">
        <f>IF(ISLOGICAL(P514),IF(P514,"ER - REPS IN APT", IFNA(VLOOKUP($A514,RAW_APT!$A$3:$M826,7,FALSE),"ER - NOT IN APT")),P514)</f>
        <v>Result</v>
      </c>
      <c r="R514" s="106" t="b">
        <f t="shared" si="2"/>
        <v>1</v>
      </c>
      <c r="S514" s="107">
        <f t="shared" si="3"/>
        <v>1</v>
      </c>
      <c r="T514" s="143"/>
      <c r="U514" s="142"/>
      <c r="V514" s="142"/>
      <c r="W514" s="142"/>
      <c r="X514" s="110" t="b">
        <f t="shared" si="4"/>
        <v>0</v>
      </c>
      <c r="Y514" s="111" t="b">
        <v>0</v>
      </c>
      <c r="Z514" s="104" t="str">
        <f t="shared" si="5"/>
        <v/>
      </c>
      <c r="AA514" s="112" t="b">
        <f t="shared" si="6"/>
        <v>0</v>
      </c>
      <c r="AB514" s="142" t="b">
        <v>0</v>
      </c>
      <c r="AC514" s="140">
        <v>299.0</v>
      </c>
      <c r="AD514" s="141" t="b">
        <v>0</v>
      </c>
      <c r="AE514" s="115">
        <f t="shared" si="7"/>
        <v>211.8833333</v>
      </c>
      <c r="AF514" s="116" t="b">
        <f t="shared" si="8"/>
        <v>0</v>
      </c>
      <c r="AG514" s="105" t="b">
        <f t="shared" si="9"/>
        <v>0</v>
      </c>
      <c r="AH514" s="140"/>
      <c r="AI514" s="140"/>
      <c r="AJ514" s="140"/>
      <c r="AK514" s="117" t="str">
        <f t="shared" si="10"/>
        <v>Negative</v>
      </c>
      <c r="AL514" s="142"/>
      <c r="AM514" s="112" t="s">
        <v>1270</v>
      </c>
      <c r="AN514" s="112" t="s">
        <v>1271</v>
      </c>
      <c r="AO514" s="112" t="str">
        <f>IFERROR(__xludf.DUMMYFUNCTION("IF($AG514, ""DELETED"",TRIM(JOIN("" "",D514:E514)))"),"")</f>
        <v/>
      </c>
      <c r="AP514" s="112" t="str">
        <f t="shared" ref="AP514:AQ514" si="539">IF($AG514, "DELETED", TRIM(CONCATENATE(F514,I514,U514)))</f>
        <v/>
      </c>
      <c r="AQ514" s="112" t="str">
        <f t="shared" si="539"/>
        <v/>
      </c>
      <c r="AR514" s="112" t="str">
        <f>IFERROR(__xludf.DUMMYFUNCTION("IF($AG514, ""DELETED"", TRIM(JOIN("" "",AP514,AQ514)))"),"")</f>
        <v/>
      </c>
      <c r="AS514" s="118"/>
      <c r="AT514" s="110" t="b">
        <f t="shared" si="12"/>
        <v>0</v>
      </c>
      <c r="AU514" s="110" t="str">
        <f t="shared" si="13"/>
        <v/>
      </c>
      <c r="AV514" s="110" t="str">
        <f t="shared" si="14"/>
        <v/>
      </c>
      <c r="AW514" s="110" t="str">
        <f t="shared" si="15"/>
        <v/>
      </c>
      <c r="AX514" s="119" t="str">
        <f t="shared" si="16"/>
        <v/>
      </c>
      <c r="AY514" s="120"/>
      <c r="AZ514" s="121"/>
      <c r="BA514" s="122" t="str">
        <f t="shared" si="17"/>
        <v/>
      </c>
      <c r="BB514" s="34"/>
      <c r="BC514" s="121"/>
      <c r="BD514" s="136"/>
      <c r="BE514" s="125" t="str">
        <f t="shared" si="18"/>
        <v/>
      </c>
      <c r="BF514" s="126" t="str">
        <f t="shared" si="19"/>
        <v>MAX100__44613_0.322268518518519</v>
      </c>
      <c r="BG514" s="127" t="str">
        <f t="shared" si="20"/>
        <v/>
      </c>
      <c r="BH514" s="137" t="s">
        <v>1530</v>
      </c>
      <c r="BI514" s="128" t="str">
        <f t="shared" si="21"/>
        <v>MA247</v>
      </c>
      <c r="BJ514" s="129" t="b">
        <f t="shared" si="22"/>
        <v>0</v>
      </c>
      <c r="BK514" s="128" t="str">
        <f t="shared" si="23"/>
        <v/>
      </c>
      <c r="BL514" s="121"/>
      <c r="BM514" s="5" t="str">
        <f t="shared" si="24"/>
        <v>MISSING</v>
      </c>
      <c r="BN514" s="120" t="b">
        <f t="shared" si="25"/>
        <v>0</v>
      </c>
      <c r="BO514" s="131" t="b">
        <f t="shared" si="26"/>
        <v>1</v>
      </c>
      <c r="BP514" s="121"/>
      <c r="BQ514" s="132" t="str">
        <f>VLOOKUP(A514,RAW_APS!A$3:O826,15,FALSE)</f>
        <v/>
      </c>
      <c r="BR514" s="120" t="b">
        <f t="shared" si="27"/>
        <v>1</v>
      </c>
      <c r="BS514" s="121"/>
      <c r="BT514" s="138" t="s">
        <v>244</v>
      </c>
      <c r="BU514" s="10" t="b">
        <f t="shared" si="28"/>
        <v>1</v>
      </c>
      <c r="BV514" s="120"/>
      <c r="BW514" s="120"/>
      <c r="BX514" s="120"/>
      <c r="BY514" s="120"/>
      <c r="BZ514" s="120"/>
      <c r="CA514" s="120"/>
      <c r="CB514" s="120"/>
      <c r="CC514" s="120"/>
    </row>
    <row r="515">
      <c r="A515" s="2" t="s">
        <v>1531</v>
      </c>
      <c r="B515" s="100">
        <v>44613.0</v>
      </c>
      <c r="C515" s="101">
        <v>0.3244097222222222</v>
      </c>
      <c r="D515" s="102"/>
      <c r="E515" s="102"/>
      <c r="F515" s="102"/>
      <c r="G515" s="102"/>
      <c r="H515" s="102"/>
      <c r="I515" s="103"/>
      <c r="J515" s="103"/>
      <c r="K515" s="2" t="s">
        <v>244</v>
      </c>
      <c r="L515" s="100">
        <v>44613.0</v>
      </c>
      <c r="M515" s="101">
        <v>0.4694097222222222</v>
      </c>
      <c r="P515" s="104" t="b">
        <f>IFNA(IF(VLOOKUP($A515,'Add from APT'!$AA$2:$AC826,3,FALSE)&gt;0,TRUE,FALSE),"ER - NOT IN APT")</f>
        <v>0</v>
      </c>
      <c r="Q515" s="105" t="str">
        <f>IF(ISLOGICAL(P515),IF(P515,"ER - REPS IN APT", IFNA(VLOOKUP($A515,RAW_APT!$A$3:$M826,7,FALSE),"ER - NOT IN APT")),P515)</f>
        <v>Result</v>
      </c>
      <c r="R515" s="106" t="b">
        <f t="shared" si="2"/>
        <v>1</v>
      </c>
      <c r="S515" s="107">
        <f t="shared" si="3"/>
        <v>1</v>
      </c>
      <c r="T515" s="143"/>
      <c r="U515" s="142"/>
      <c r="V515" s="142"/>
      <c r="W515" s="142"/>
      <c r="X515" s="110" t="b">
        <f t="shared" si="4"/>
        <v>0</v>
      </c>
      <c r="Y515" s="111" t="b">
        <v>0</v>
      </c>
      <c r="Z515" s="104" t="str">
        <f t="shared" si="5"/>
        <v/>
      </c>
      <c r="AA515" s="112" t="b">
        <f t="shared" si="6"/>
        <v>0</v>
      </c>
      <c r="AB515" s="142" t="b">
        <v>0</v>
      </c>
      <c r="AC515" s="140">
        <v>298.0</v>
      </c>
      <c r="AD515" s="141" t="b">
        <v>0</v>
      </c>
      <c r="AE515" s="115">
        <f t="shared" si="7"/>
        <v>208.8</v>
      </c>
      <c r="AF515" s="116" t="b">
        <f t="shared" si="8"/>
        <v>0</v>
      </c>
      <c r="AG515" s="105" t="b">
        <f t="shared" si="9"/>
        <v>0</v>
      </c>
      <c r="AH515" s="140"/>
      <c r="AI515" s="140"/>
      <c r="AJ515" s="140"/>
      <c r="AK515" s="117" t="str">
        <f t="shared" si="10"/>
        <v>Negative</v>
      </c>
      <c r="AL515" s="142"/>
      <c r="AM515" s="112" t="s">
        <v>1242</v>
      </c>
      <c r="AN515" s="112" t="s">
        <v>1243</v>
      </c>
      <c r="AO515" s="112" t="str">
        <f>IFERROR(__xludf.DUMMYFUNCTION("IF($AG515, ""DELETED"",TRIM(JOIN("" "",D515:E515)))"),"")</f>
        <v/>
      </c>
      <c r="AP515" s="112" t="str">
        <f t="shared" ref="AP515:AQ515" si="540">IF($AG515, "DELETED", TRIM(CONCATENATE(F515,I515,U515)))</f>
        <v/>
      </c>
      <c r="AQ515" s="112" t="str">
        <f t="shared" si="540"/>
        <v/>
      </c>
      <c r="AR515" s="112" t="str">
        <f>IFERROR(__xludf.DUMMYFUNCTION("IF($AG515, ""DELETED"", TRIM(JOIN("" "",AP515,AQ515)))"),"")</f>
        <v/>
      </c>
      <c r="AS515" s="118"/>
      <c r="AT515" s="110" t="b">
        <f t="shared" si="12"/>
        <v>0</v>
      </c>
      <c r="AU515" s="110" t="str">
        <f t="shared" si="13"/>
        <v/>
      </c>
      <c r="AV515" s="110" t="str">
        <f t="shared" si="14"/>
        <v/>
      </c>
      <c r="AW515" s="110" t="str">
        <f t="shared" si="15"/>
        <v/>
      </c>
      <c r="AX515" s="119" t="str">
        <f t="shared" si="16"/>
        <v/>
      </c>
      <c r="AY515" s="120"/>
      <c r="AZ515" s="121"/>
      <c r="BA515" s="122" t="str">
        <f t="shared" si="17"/>
        <v/>
      </c>
      <c r="BB515" s="34"/>
      <c r="BC515" s="121"/>
      <c r="BD515" s="136"/>
      <c r="BE515" s="125" t="str">
        <f t="shared" si="18"/>
        <v/>
      </c>
      <c r="BF515" s="126" t="str">
        <f t="shared" si="19"/>
        <v>FM1010__44613_0.324409722222222</v>
      </c>
      <c r="BG515" s="127" t="str">
        <f t="shared" si="20"/>
        <v/>
      </c>
      <c r="BH515" s="137" t="s">
        <v>1532</v>
      </c>
      <c r="BI515" s="128" t="str">
        <f t="shared" si="21"/>
        <v>MA248</v>
      </c>
      <c r="BJ515" s="129" t="b">
        <f t="shared" si="22"/>
        <v>0</v>
      </c>
      <c r="BK515" s="128" t="str">
        <f t="shared" si="23"/>
        <v/>
      </c>
      <c r="BL515" s="121"/>
      <c r="BM515" s="5" t="str">
        <f t="shared" si="24"/>
        <v>MISSING</v>
      </c>
      <c r="BN515" s="120" t="b">
        <f t="shared" si="25"/>
        <v>0</v>
      </c>
      <c r="BO515" s="131" t="b">
        <f t="shared" si="26"/>
        <v>1</v>
      </c>
      <c r="BP515" s="121"/>
      <c r="BQ515" s="132" t="str">
        <f>VLOOKUP(A515,RAW_APS!A$3:O826,15,FALSE)</f>
        <v/>
      </c>
      <c r="BR515" s="120" t="b">
        <f t="shared" si="27"/>
        <v>1</v>
      </c>
      <c r="BS515" s="121"/>
      <c r="BT515" s="138" t="s">
        <v>244</v>
      </c>
      <c r="BU515" s="10" t="b">
        <f t="shared" si="28"/>
        <v>1</v>
      </c>
      <c r="BV515" s="120"/>
      <c r="BW515" s="120"/>
      <c r="BX515" s="120"/>
      <c r="BY515" s="120"/>
      <c r="BZ515" s="120"/>
      <c r="CA515" s="120"/>
      <c r="CB515" s="120"/>
      <c r="CC515" s="120"/>
    </row>
    <row r="516">
      <c r="A516" s="2" t="s">
        <v>1533</v>
      </c>
      <c r="B516" s="100">
        <v>44613.0</v>
      </c>
      <c r="C516" s="101">
        <v>0.3271875</v>
      </c>
      <c r="D516" s="102"/>
      <c r="E516" s="102"/>
      <c r="F516" s="102"/>
      <c r="G516" s="102"/>
      <c r="H516" s="102"/>
      <c r="I516" s="103"/>
      <c r="J516" s="103"/>
      <c r="K516" s="2" t="s">
        <v>244</v>
      </c>
      <c r="L516" s="100">
        <v>44613.0</v>
      </c>
      <c r="M516" s="101">
        <v>0.4694097222222222</v>
      </c>
      <c r="P516" s="104" t="b">
        <f>IFNA(IF(VLOOKUP($A516,'Add from APT'!$AA$2:$AC826,3,FALSE)&gt;0,TRUE,FALSE),"ER - NOT IN APT")</f>
        <v>0</v>
      </c>
      <c r="Q516" s="105" t="str">
        <f>IF(ISLOGICAL(P516),IF(P516,"ER - REPS IN APT", IFNA(VLOOKUP($A516,RAW_APT!$A$3:$M826,7,FALSE),"ER - NOT IN APT")),P516)</f>
        <v>Result</v>
      </c>
      <c r="R516" s="106" t="b">
        <f t="shared" si="2"/>
        <v>1</v>
      </c>
      <c r="S516" s="107">
        <f t="shared" si="3"/>
        <v>1</v>
      </c>
      <c r="T516" s="143"/>
      <c r="U516" s="142"/>
      <c r="V516" s="142"/>
      <c r="W516" s="142"/>
      <c r="X516" s="110" t="b">
        <f t="shared" si="4"/>
        <v>0</v>
      </c>
      <c r="Y516" s="111" t="b">
        <v>0</v>
      </c>
      <c r="Z516" s="104" t="str">
        <f t="shared" si="5"/>
        <v/>
      </c>
      <c r="AA516" s="112" t="b">
        <f t="shared" si="6"/>
        <v>0</v>
      </c>
      <c r="AB516" s="142" t="b">
        <v>0</v>
      </c>
      <c r="AC516" s="140">
        <v>297.0</v>
      </c>
      <c r="AD516" s="141" t="b">
        <v>0</v>
      </c>
      <c r="AE516" s="115">
        <f t="shared" si="7"/>
        <v>204.8</v>
      </c>
      <c r="AF516" s="116" t="b">
        <f t="shared" si="8"/>
        <v>0</v>
      </c>
      <c r="AG516" s="105" t="b">
        <f t="shared" si="9"/>
        <v>0</v>
      </c>
      <c r="AH516" s="140"/>
      <c r="AI516" s="140"/>
      <c r="AJ516" s="140"/>
      <c r="AK516" s="117" t="str">
        <f t="shared" si="10"/>
        <v>Negative</v>
      </c>
      <c r="AL516" s="142"/>
      <c r="AM516" s="112" t="s">
        <v>398</v>
      </c>
      <c r="AN516" s="112" t="s">
        <v>399</v>
      </c>
      <c r="AO516" s="112" t="str">
        <f>IFERROR(__xludf.DUMMYFUNCTION("IF($AG516, ""DELETED"",TRIM(JOIN("" "",D516:E516)))"),"")</f>
        <v/>
      </c>
      <c r="AP516" s="112" t="str">
        <f t="shared" ref="AP516:AQ516" si="541">IF($AG516, "DELETED", TRIM(CONCATENATE(F516,I516,U516)))</f>
        <v/>
      </c>
      <c r="AQ516" s="112" t="str">
        <f t="shared" si="541"/>
        <v/>
      </c>
      <c r="AR516" s="112" t="str">
        <f>IFERROR(__xludf.DUMMYFUNCTION("IF($AG516, ""DELETED"", TRIM(JOIN("" "",AP516,AQ516)))"),"")</f>
        <v/>
      </c>
      <c r="AS516" s="118"/>
      <c r="AT516" s="110" t="b">
        <f t="shared" si="12"/>
        <v>0</v>
      </c>
      <c r="AU516" s="110" t="str">
        <f t="shared" si="13"/>
        <v/>
      </c>
      <c r="AV516" s="110" t="str">
        <f t="shared" si="14"/>
        <v/>
      </c>
      <c r="AW516" s="110" t="str">
        <f t="shared" si="15"/>
        <v/>
      </c>
      <c r="AX516" s="119" t="str">
        <f t="shared" si="16"/>
        <v/>
      </c>
      <c r="AY516" s="120"/>
      <c r="AZ516" s="121"/>
      <c r="BA516" s="122" t="str">
        <f t="shared" si="17"/>
        <v/>
      </c>
      <c r="BB516" s="34"/>
      <c r="BC516" s="121"/>
      <c r="BD516" s="136"/>
      <c r="BE516" s="125" t="str">
        <f t="shared" si="18"/>
        <v/>
      </c>
      <c r="BF516" s="126" t="str">
        <f t="shared" si="19"/>
        <v>FM509__44613_0.3271875</v>
      </c>
      <c r="BG516" s="127" t="str">
        <f t="shared" si="20"/>
        <v/>
      </c>
      <c r="BH516" s="137" t="s">
        <v>1534</v>
      </c>
      <c r="BI516" s="128" t="str">
        <f t="shared" si="21"/>
        <v>MA251</v>
      </c>
      <c r="BJ516" s="129" t="b">
        <f t="shared" si="22"/>
        <v>0</v>
      </c>
      <c r="BK516" s="128" t="str">
        <f t="shared" si="23"/>
        <v/>
      </c>
      <c r="BL516" s="121"/>
      <c r="BM516" s="5" t="str">
        <f t="shared" si="24"/>
        <v>MISSING</v>
      </c>
      <c r="BN516" s="120" t="b">
        <f t="shared" si="25"/>
        <v>0</v>
      </c>
      <c r="BO516" s="131" t="b">
        <f t="shared" si="26"/>
        <v>1</v>
      </c>
      <c r="BP516" s="121"/>
      <c r="BQ516" s="132" t="str">
        <f>VLOOKUP(A516,RAW_APS!A$3:O826,15,FALSE)</f>
        <v/>
      </c>
      <c r="BR516" s="120" t="b">
        <f t="shared" si="27"/>
        <v>1</v>
      </c>
      <c r="BS516" s="121"/>
      <c r="BT516" s="138" t="s">
        <v>244</v>
      </c>
      <c r="BU516" s="10" t="b">
        <f t="shared" si="28"/>
        <v>1</v>
      </c>
      <c r="BV516" s="120"/>
      <c r="BW516" s="120"/>
      <c r="BX516" s="120"/>
      <c r="BY516" s="120"/>
      <c r="BZ516" s="120"/>
      <c r="CA516" s="120"/>
      <c r="CB516" s="120"/>
      <c r="CC516" s="120"/>
    </row>
    <row r="517">
      <c r="A517" s="2" t="s">
        <v>1535</v>
      </c>
      <c r="B517" s="100">
        <v>44613.0</v>
      </c>
      <c r="C517" s="101">
        <v>0.32894675925925926</v>
      </c>
      <c r="D517" s="102"/>
      <c r="E517" s="102"/>
      <c r="F517" s="102"/>
      <c r="G517" s="102"/>
      <c r="H517" s="102"/>
      <c r="I517" s="103"/>
      <c r="J517" s="103"/>
      <c r="K517" s="2" t="s">
        <v>244</v>
      </c>
      <c r="L517" s="100">
        <v>44613.0</v>
      </c>
      <c r="M517" s="101">
        <v>0.4694097222222222</v>
      </c>
      <c r="P517" s="104" t="b">
        <f>IFNA(IF(VLOOKUP($A517,'Add from APT'!$AA$2:$AC826,3,FALSE)&gt;0,TRUE,FALSE),"ER - NOT IN APT")</f>
        <v>0</v>
      </c>
      <c r="Q517" s="105" t="str">
        <f>IF(ISLOGICAL(P517),IF(P517,"ER - REPS IN APT", IFNA(VLOOKUP($A517,RAW_APT!$A$3:$M826,7,FALSE),"ER - NOT IN APT")),P517)</f>
        <v>Result</v>
      </c>
      <c r="R517" s="106" t="b">
        <f t="shared" si="2"/>
        <v>1</v>
      </c>
      <c r="S517" s="107">
        <f t="shared" si="3"/>
        <v>1</v>
      </c>
      <c r="T517" s="143"/>
      <c r="U517" s="142"/>
      <c r="V517" s="142"/>
      <c r="W517" s="142"/>
      <c r="X517" s="110" t="b">
        <f t="shared" si="4"/>
        <v>0</v>
      </c>
      <c r="Y517" s="111" t="b">
        <v>0</v>
      </c>
      <c r="Z517" s="104" t="str">
        <f t="shared" si="5"/>
        <v/>
      </c>
      <c r="AA517" s="112" t="b">
        <f t="shared" si="6"/>
        <v>0</v>
      </c>
      <c r="AB517" s="142" t="b">
        <v>0</v>
      </c>
      <c r="AC517" s="140">
        <v>296.0</v>
      </c>
      <c r="AD517" s="141" t="b">
        <v>0</v>
      </c>
      <c r="AE517" s="115">
        <f t="shared" si="7"/>
        <v>202.2666667</v>
      </c>
      <c r="AF517" s="116" t="b">
        <f t="shared" si="8"/>
        <v>0</v>
      </c>
      <c r="AG517" s="105" t="b">
        <f t="shared" si="9"/>
        <v>0</v>
      </c>
      <c r="AH517" s="140"/>
      <c r="AI517" s="140"/>
      <c r="AJ517" s="140"/>
      <c r="AK517" s="117" t="str">
        <f t="shared" si="10"/>
        <v>Negative</v>
      </c>
      <c r="AL517" s="142"/>
      <c r="AM517" s="112" t="s">
        <v>639</v>
      </c>
      <c r="AN517" s="112" t="s">
        <v>640</v>
      </c>
      <c r="AO517" s="112" t="str">
        <f>IFERROR(__xludf.DUMMYFUNCTION("IF($AG517, ""DELETED"",TRIM(JOIN("" "",D517:E517)))"),"")</f>
        <v/>
      </c>
      <c r="AP517" s="112" t="str">
        <f t="shared" ref="AP517:AQ517" si="542">IF($AG517, "DELETED", TRIM(CONCATENATE(F517,I517,U517)))</f>
        <v/>
      </c>
      <c r="AQ517" s="112" t="str">
        <f t="shared" si="542"/>
        <v/>
      </c>
      <c r="AR517" s="112" t="str">
        <f>IFERROR(__xludf.DUMMYFUNCTION("IF($AG517, ""DELETED"", TRIM(JOIN("" "",AP517,AQ517)))"),"")</f>
        <v/>
      </c>
      <c r="AS517" s="118"/>
      <c r="AT517" s="110" t="b">
        <f t="shared" si="12"/>
        <v>0</v>
      </c>
      <c r="AU517" s="110" t="str">
        <f t="shared" si="13"/>
        <v/>
      </c>
      <c r="AV517" s="110" t="str">
        <f t="shared" si="14"/>
        <v/>
      </c>
      <c r="AW517" s="110" t="str">
        <f t="shared" si="15"/>
        <v/>
      </c>
      <c r="AX517" s="119" t="str">
        <f t="shared" si="16"/>
        <v/>
      </c>
      <c r="AY517" s="120"/>
      <c r="AZ517" s="121"/>
      <c r="BA517" s="122" t="str">
        <f t="shared" si="17"/>
        <v/>
      </c>
      <c r="BB517" s="34"/>
      <c r="BC517" s="121"/>
      <c r="BD517" s="136"/>
      <c r="BE517" s="125" t="str">
        <f t="shared" si="18"/>
        <v/>
      </c>
      <c r="BF517" s="126" t="str">
        <f t="shared" si="19"/>
        <v>MA1044__44613_0.328946759259259</v>
      </c>
      <c r="BG517" s="127" t="str">
        <f t="shared" si="20"/>
        <v/>
      </c>
      <c r="BH517" s="137" t="s">
        <v>1536</v>
      </c>
      <c r="BI517" s="128" t="str">
        <f t="shared" si="21"/>
        <v>MA252</v>
      </c>
      <c r="BJ517" s="129" t="b">
        <f t="shared" si="22"/>
        <v>0</v>
      </c>
      <c r="BK517" s="128" t="str">
        <f t="shared" si="23"/>
        <v/>
      </c>
      <c r="BL517" s="121"/>
      <c r="BM517" s="5" t="str">
        <f t="shared" si="24"/>
        <v>MISSING</v>
      </c>
      <c r="BN517" s="120" t="b">
        <f t="shared" si="25"/>
        <v>0</v>
      </c>
      <c r="BO517" s="131" t="b">
        <f t="shared" si="26"/>
        <v>1</v>
      </c>
      <c r="BP517" s="121"/>
      <c r="BQ517" s="132" t="str">
        <f>VLOOKUP(A517,RAW_APS!A$3:O826,15,FALSE)</f>
        <v/>
      </c>
      <c r="BR517" s="120" t="b">
        <f t="shared" si="27"/>
        <v>1</v>
      </c>
      <c r="BS517" s="121"/>
      <c r="BT517" s="138" t="s">
        <v>244</v>
      </c>
      <c r="BU517" s="10" t="b">
        <f t="shared" si="28"/>
        <v>1</v>
      </c>
      <c r="BV517" s="120"/>
      <c r="BW517" s="120"/>
      <c r="BX517" s="120"/>
      <c r="BY517" s="120"/>
      <c r="BZ517" s="120"/>
      <c r="CA517" s="120"/>
      <c r="CB517" s="120"/>
      <c r="CC517" s="120"/>
    </row>
    <row r="518">
      <c r="A518" s="2" t="s">
        <v>1537</v>
      </c>
      <c r="B518" s="100">
        <v>44613.0</v>
      </c>
      <c r="C518" s="101">
        <v>0.3421064814814815</v>
      </c>
      <c r="D518" s="102"/>
      <c r="E518" s="102"/>
      <c r="F518" s="102"/>
      <c r="G518" s="102"/>
      <c r="H518" s="102"/>
      <c r="I518" s="103"/>
      <c r="J518" s="103"/>
      <c r="K518" s="2" t="s">
        <v>244</v>
      </c>
      <c r="L518" s="100">
        <v>44613.0</v>
      </c>
      <c r="M518" s="101">
        <v>0.4694212962962963</v>
      </c>
      <c r="P518" s="104" t="b">
        <f>IFNA(IF(VLOOKUP($A518,'Add from APT'!$AA$2:$AC826,3,FALSE)&gt;0,TRUE,FALSE),"ER - NOT IN APT")</f>
        <v>0</v>
      </c>
      <c r="Q518" s="105" t="str">
        <f>IF(ISLOGICAL(P518),IF(P518,"ER - REPS IN APT", IFNA(VLOOKUP($A518,RAW_APT!$A$3:$M826,7,FALSE),"ER - NOT IN APT")),P518)</f>
        <v>Result</v>
      </c>
      <c r="R518" s="106" t="b">
        <f t="shared" si="2"/>
        <v>1</v>
      </c>
      <c r="S518" s="107">
        <f t="shared" si="3"/>
        <v>1</v>
      </c>
      <c r="T518" s="143"/>
      <c r="U518" s="142"/>
      <c r="V518" s="142"/>
      <c r="W518" s="142"/>
      <c r="X518" s="110" t="b">
        <f t="shared" si="4"/>
        <v>0</v>
      </c>
      <c r="Y518" s="111" t="b">
        <v>0</v>
      </c>
      <c r="Z518" s="104" t="str">
        <f t="shared" si="5"/>
        <v/>
      </c>
      <c r="AA518" s="112" t="b">
        <f t="shared" si="6"/>
        <v>0</v>
      </c>
      <c r="AB518" s="142" t="b">
        <v>0</v>
      </c>
      <c r="AC518" s="140">
        <v>295.0</v>
      </c>
      <c r="AD518" s="141" t="b">
        <v>0</v>
      </c>
      <c r="AE518" s="115">
        <f t="shared" si="7"/>
        <v>183.3333333</v>
      </c>
      <c r="AF518" s="116" t="b">
        <f t="shared" si="8"/>
        <v>0</v>
      </c>
      <c r="AG518" s="105" t="b">
        <f t="shared" si="9"/>
        <v>0</v>
      </c>
      <c r="AH518" s="140"/>
      <c r="AI518" s="140"/>
      <c r="AJ518" s="140"/>
      <c r="AK518" s="117" t="str">
        <f t="shared" si="10"/>
        <v>Negative</v>
      </c>
      <c r="AL518" s="142"/>
      <c r="AM518" s="112" t="s">
        <v>1290</v>
      </c>
      <c r="AN518" s="112" t="s">
        <v>1291</v>
      </c>
      <c r="AO518" s="112" t="str">
        <f>IFERROR(__xludf.DUMMYFUNCTION("IF($AG518, ""DELETED"",TRIM(JOIN("" "",D518:E518)))"),"")</f>
        <v/>
      </c>
      <c r="AP518" s="112" t="str">
        <f t="shared" ref="AP518:AQ518" si="543">IF($AG518, "DELETED", TRIM(CONCATENATE(F518,I518,U518)))</f>
        <v/>
      </c>
      <c r="AQ518" s="112" t="str">
        <f t="shared" si="543"/>
        <v/>
      </c>
      <c r="AR518" s="112" t="str">
        <f>IFERROR(__xludf.DUMMYFUNCTION("IF($AG518, ""DELETED"", TRIM(JOIN("" "",AP518,AQ518)))"),"")</f>
        <v/>
      </c>
      <c r="AS518" s="118"/>
      <c r="AT518" s="110" t="b">
        <f t="shared" si="12"/>
        <v>0</v>
      </c>
      <c r="AU518" s="110" t="str">
        <f t="shared" si="13"/>
        <v/>
      </c>
      <c r="AV518" s="110" t="str">
        <f t="shared" si="14"/>
        <v/>
      </c>
      <c r="AW518" s="110" t="str">
        <f t="shared" si="15"/>
        <v/>
      </c>
      <c r="AX518" s="119" t="str">
        <f t="shared" si="16"/>
        <v/>
      </c>
      <c r="AY518" s="120"/>
      <c r="AZ518" s="121"/>
      <c r="BA518" s="122" t="str">
        <f t="shared" si="17"/>
        <v/>
      </c>
      <c r="BB518" s="34"/>
      <c r="BC518" s="121"/>
      <c r="BD518" s="136"/>
      <c r="BE518" s="125" t="str">
        <f t="shared" si="18"/>
        <v/>
      </c>
      <c r="BF518" s="126" t="str">
        <f t="shared" si="19"/>
        <v>FM461__44613_0.342106481481482</v>
      </c>
      <c r="BG518" s="127" t="str">
        <f t="shared" si="20"/>
        <v/>
      </c>
      <c r="BH518" s="137" t="s">
        <v>1538</v>
      </c>
      <c r="BI518" s="128" t="str">
        <f t="shared" si="21"/>
        <v>MA253</v>
      </c>
      <c r="BJ518" s="129" t="b">
        <f t="shared" si="22"/>
        <v>0</v>
      </c>
      <c r="BK518" s="128" t="str">
        <f t="shared" si="23"/>
        <v/>
      </c>
      <c r="BL518" s="121"/>
      <c r="BM518" s="5" t="str">
        <f t="shared" si="24"/>
        <v>MISSING</v>
      </c>
      <c r="BN518" s="120" t="b">
        <f t="shared" si="25"/>
        <v>0</v>
      </c>
      <c r="BO518" s="131" t="b">
        <f t="shared" si="26"/>
        <v>1</v>
      </c>
      <c r="BP518" s="121"/>
      <c r="BQ518" s="132" t="str">
        <f>VLOOKUP(A518,RAW_APS!A$3:O826,15,FALSE)</f>
        <v/>
      </c>
      <c r="BR518" s="120" t="b">
        <f t="shared" si="27"/>
        <v>1</v>
      </c>
      <c r="BS518" s="121"/>
      <c r="BT518" s="138" t="s">
        <v>244</v>
      </c>
      <c r="BU518" s="10" t="b">
        <f t="shared" si="28"/>
        <v>1</v>
      </c>
      <c r="BV518" s="120"/>
      <c r="BW518" s="120"/>
      <c r="BX518" s="120"/>
      <c r="BY518" s="120"/>
      <c r="BZ518" s="120"/>
      <c r="CA518" s="120"/>
      <c r="CB518" s="120"/>
      <c r="CC518" s="120"/>
    </row>
    <row r="519">
      <c r="A519" s="2" t="s">
        <v>1539</v>
      </c>
      <c r="B519" s="100">
        <v>44613.0</v>
      </c>
      <c r="C519" s="101">
        <v>0.3566898148148148</v>
      </c>
      <c r="D519" s="102"/>
      <c r="E519" s="102"/>
      <c r="F519" s="102"/>
      <c r="G519" s="102"/>
      <c r="H519" s="102"/>
      <c r="I519" s="103"/>
      <c r="J519" s="103"/>
      <c r="K519" s="2" t="s">
        <v>244</v>
      </c>
      <c r="L519" s="100">
        <v>44613.0</v>
      </c>
      <c r="M519" s="101">
        <v>0.4694212962962963</v>
      </c>
      <c r="P519" s="104" t="b">
        <f>IFNA(IF(VLOOKUP($A519,'Add from APT'!$AA$2:$AC826,3,FALSE)&gt;0,TRUE,FALSE),"ER - NOT IN APT")</f>
        <v>0</v>
      </c>
      <c r="Q519" s="105" t="str">
        <f>IF(ISLOGICAL(P519),IF(P519,"ER - REPS IN APT", IFNA(VLOOKUP($A519,RAW_APT!$A$3:$M826,7,FALSE),"ER - NOT IN APT")),P519)</f>
        <v>Result</v>
      </c>
      <c r="R519" s="106" t="b">
        <f t="shared" si="2"/>
        <v>1</v>
      </c>
      <c r="S519" s="107">
        <f t="shared" si="3"/>
        <v>1</v>
      </c>
      <c r="T519" s="143"/>
      <c r="U519" s="142"/>
      <c r="V519" s="142"/>
      <c r="W519" s="142"/>
      <c r="X519" s="110" t="b">
        <f t="shared" si="4"/>
        <v>0</v>
      </c>
      <c r="Y519" s="111" t="b">
        <v>0</v>
      </c>
      <c r="Z519" s="104" t="str">
        <f t="shared" si="5"/>
        <v/>
      </c>
      <c r="AA519" s="112" t="b">
        <f t="shared" si="6"/>
        <v>0</v>
      </c>
      <c r="AB519" s="142" t="b">
        <v>0</v>
      </c>
      <c r="AC519" s="140">
        <v>294.0</v>
      </c>
      <c r="AD519" s="141" t="b">
        <v>0</v>
      </c>
      <c r="AE519" s="115">
        <f t="shared" si="7"/>
        <v>162.3333333</v>
      </c>
      <c r="AF519" s="116" t="b">
        <f t="shared" si="8"/>
        <v>0</v>
      </c>
      <c r="AG519" s="105" t="b">
        <f t="shared" si="9"/>
        <v>0</v>
      </c>
      <c r="AH519" s="140"/>
      <c r="AI519" s="140"/>
      <c r="AJ519" s="140"/>
      <c r="AK519" s="117" t="str">
        <f t="shared" si="10"/>
        <v>Negative</v>
      </c>
      <c r="AL519" s="142"/>
      <c r="AM519" s="112" t="s">
        <v>457</v>
      </c>
      <c r="AN519" s="112" t="s">
        <v>458</v>
      </c>
      <c r="AO519" s="112" t="str">
        <f>IFERROR(__xludf.DUMMYFUNCTION("IF($AG519, ""DELETED"",TRIM(JOIN("" "",D519:E519)))"),"")</f>
        <v/>
      </c>
      <c r="AP519" s="112" t="str">
        <f t="shared" ref="AP519:AQ519" si="544">IF($AG519, "DELETED", TRIM(CONCATENATE(F519,I519,U519)))</f>
        <v/>
      </c>
      <c r="AQ519" s="112" t="str">
        <f t="shared" si="544"/>
        <v/>
      </c>
      <c r="AR519" s="112" t="str">
        <f>IFERROR(__xludf.DUMMYFUNCTION("IF($AG519, ""DELETED"", TRIM(JOIN("" "",AP519,AQ519)))"),"")</f>
        <v/>
      </c>
      <c r="AS519" s="118"/>
      <c r="AT519" s="110" t="b">
        <f t="shared" si="12"/>
        <v>0</v>
      </c>
      <c r="AU519" s="110" t="str">
        <f t="shared" si="13"/>
        <v/>
      </c>
      <c r="AV519" s="110" t="str">
        <f t="shared" si="14"/>
        <v/>
      </c>
      <c r="AW519" s="110" t="str">
        <f t="shared" si="15"/>
        <v/>
      </c>
      <c r="AX519" s="119" t="str">
        <f t="shared" si="16"/>
        <v/>
      </c>
      <c r="AY519" s="120"/>
      <c r="AZ519" s="121"/>
      <c r="BA519" s="122" t="str">
        <f t="shared" si="17"/>
        <v/>
      </c>
      <c r="BB519" s="34"/>
      <c r="BC519" s="121"/>
      <c r="BD519" s="136"/>
      <c r="BE519" s="125" t="str">
        <f t="shared" si="18"/>
        <v/>
      </c>
      <c r="BF519" s="126" t="str">
        <f t="shared" si="19"/>
        <v>FM70__44613_0.356689814814815</v>
      </c>
      <c r="BG519" s="127" t="str">
        <f t="shared" si="20"/>
        <v/>
      </c>
      <c r="BH519" s="137" t="s">
        <v>1540</v>
      </c>
      <c r="BI519" s="128" t="str">
        <f t="shared" si="21"/>
        <v>MA254</v>
      </c>
      <c r="BJ519" s="129" t="b">
        <f t="shared" si="22"/>
        <v>0</v>
      </c>
      <c r="BK519" s="128" t="str">
        <f t="shared" si="23"/>
        <v/>
      </c>
      <c r="BL519" s="121"/>
      <c r="BM519" s="5" t="str">
        <f t="shared" si="24"/>
        <v>MISSING</v>
      </c>
      <c r="BN519" s="120" t="b">
        <f t="shared" si="25"/>
        <v>0</v>
      </c>
      <c r="BO519" s="131" t="b">
        <f t="shared" si="26"/>
        <v>1</v>
      </c>
      <c r="BP519" s="121"/>
      <c r="BQ519" s="132" t="str">
        <f>VLOOKUP(A519,RAW_APS!A$3:O826,15,FALSE)</f>
        <v/>
      </c>
      <c r="BR519" s="120" t="b">
        <f t="shared" si="27"/>
        <v>1</v>
      </c>
      <c r="BS519" s="121"/>
      <c r="BT519" s="138" t="s">
        <v>244</v>
      </c>
      <c r="BU519" s="10" t="b">
        <f t="shared" si="28"/>
        <v>1</v>
      </c>
      <c r="BV519" s="120"/>
      <c r="BW519" s="120"/>
      <c r="BX519" s="120"/>
      <c r="BY519" s="120"/>
      <c r="BZ519" s="120"/>
      <c r="CA519" s="120"/>
      <c r="CB519" s="120"/>
      <c r="CC519" s="120"/>
    </row>
    <row r="520">
      <c r="A520" s="2" t="s">
        <v>1541</v>
      </c>
      <c r="B520" s="100">
        <v>44614.0</v>
      </c>
      <c r="C520" s="101">
        <v>0.3566898148148148</v>
      </c>
      <c r="D520" s="102"/>
      <c r="E520" s="102"/>
      <c r="F520" s="102"/>
      <c r="G520" s="102"/>
      <c r="H520" s="102"/>
      <c r="I520" s="103"/>
      <c r="J520" s="103"/>
      <c r="K520" s="2" t="s">
        <v>52</v>
      </c>
      <c r="L520" s="100">
        <v>44614.0</v>
      </c>
      <c r="M520" s="101">
        <v>0.6649768518518518</v>
      </c>
      <c r="P520" s="104" t="b">
        <f>IFNA(IF(VLOOKUP($A520,'Add from APT'!$AA$2:$AC826,3,FALSE)&gt;0,TRUE,FALSE),"ER - NOT IN APT")</f>
        <v>0</v>
      </c>
      <c r="Q520" s="105" t="str">
        <f>IF(ISLOGICAL(P520),IF(P520,"ER - REPS IN APT", IFNA(VLOOKUP($A520,RAW_APT!$A$3:$M826,7,FALSE),"ER - NOT IN APT")),P520)</f>
        <v>Result</v>
      </c>
      <c r="R520" s="106" t="b">
        <f t="shared" si="2"/>
        <v>1</v>
      </c>
      <c r="S520" s="107">
        <f t="shared" si="3"/>
        <v>1</v>
      </c>
      <c r="T520" s="143"/>
      <c r="U520" s="142"/>
      <c r="V520" s="142"/>
      <c r="W520" s="142"/>
      <c r="X520" s="110" t="b">
        <f t="shared" si="4"/>
        <v>0</v>
      </c>
      <c r="Y520" s="111" t="b">
        <v>0</v>
      </c>
      <c r="Z520" s="104" t="str">
        <f t="shared" si="5"/>
        <v/>
      </c>
      <c r="AA520" s="112" t="b">
        <f t="shared" si="6"/>
        <v>0</v>
      </c>
      <c r="AB520" s="142" t="b">
        <v>0</v>
      </c>
      <c r="AC520" s="140">
        <v>293.0</v>
      </c>
      <c r="AD520" s="141" t="b">
        <v>0</v>
      </c>
      <c r="AE520" s="115">
        <f t="shared" si="7"/>
        <v>443.9333333</v>
      </c>
      <c r="AF520" s="116" t="b">
        <f t="shared" si="8"/>
        <v>0</v>
      </c>
      <c r="AG520" s="105" t="b">
        <f t="shared" si="9"/>
        <v>0</v>
      </c>
      <c r="AH520" s="140"/>
      <c r="AI520" s="140"/>
      <c r="AJ520" s="140"/>
      <c r="AK520" s="117" t="str">
        <f t="shared" si="10"/>
        <v>Positive</v>
      </c>
      <c r="AL520" s="142"/>
      <c r="AM520" s="112" t="s">
        <v>875</v>
      </c>
      <c r="AN520" s="112" t="s">
        <v>876</v>
      </c>
      <c r="AO520" s="112" t="str">
        <f>IFERROR(__xludf.DUMMYFUNCTION("IF($AG520, ""DELETED"",TRIM(JOIN("" "",D520:E520)))"),"")</f>
        <v/>
      </c>
      <c r="AP520" s="112" t="str">
        <f t="shared" ref="AP520:AQ520" si="545">IF($AG520, "DELETED", TRIM(CONCATENATE(F520,I520,U520)))</f>
        <v/>
      </c>
      <c r="AQ520" s="112" t="str">
        <f t="shared" si="545"/>
        <v/>
      </c>
      <c r="AR520" s="112" t="str">
        <f>IFERROR(__xludf.DUMMYFUNCTION("IF($AG520, ""DELETED"", TRIM(JOIN("" "",AP520,AQ520)))"),"")</f>
        <v/>
      </c>
      <c r="AS520" s="118"/>
      <c r="AT520" s="110" t="b">
        <f t="shared" si="12"/>
        <v>0</v>
      </c>
      <c r="AU520" s="110" t="str">
        <f t="shared" si="13"/>
        <v/>
      </c>
      <c r="AV520" s="110" t="str">
        <f t="shared" si="14"/>
        <v/>
      </c>
      <c r="AW520" s="110" t="str">
        <f t="shared" si="15"/>
        <v/>
      </c>
      <c r="AX520" s="119" t="str">
        <f t="shared" si="16"/>
        <v/>
      </c>
      <c r="AY520" s="120"/>
      <c r="AZ520" s="121"/>
      <c r="BA520" s="122" t="str">
        <f t="shared" si="17"/>
        <v/>
      </c>
      <c r="BB520" s="34"/>
      <c r="BC520" s="121"/>
      <c r="BD520" s="136"/>
      <c r="BE520" s="125" t="str">
        <f t="shared" si="18"/>
        <v/>
      </c>
      <c r="BF520" s="126" t="str">
        <f t="shared" si="19"/>
        <v>MA1045__44614_0.356689814814815</v>
      </c>
      <c r="BG520" s="127" t="str">
        <f t="shared" si="20"/>
        <v/>
      </c>
      <c r="BH520" s="137" t="s">
        <v>1542</v>
      </c>
      <c r="BI520" s="128" t="str">
        <f t="shared" si="21"/>
        <v>MA255</v>
      </c>
      <c r="BJ520" s="129" t="b">
        <f t="shared" si="22"/>
        <v>0</v>
      </c>
      <c r="BK520" s="128" t="str">
        <f t="shared" si="23"/>
        <v/>
      </c>
      <c r="BL520" s="121"/>
      <c r="BM520" s="5" t="str">
        <f t="shared" si="24"/>
        <v>MISSING</v>
      </c>
      <c r="BN520" s="120" t="b">
        <f t="shared" si="25"/>
        <v>0</v>
      </c>
      <c r="BO520" s="131" t="b">
        <f t="shared" si="26"/>
        <v>1</v>
      </c>
      <c r="BP520" s="121"/>
      <c r="BQ520" s="132" t="str">
        <f>VLOOKUP(A520,RAW_APS!A$3:O826,15,FALSE)</f>
        <v/>
      </c>
      <c r="BR520" s="120" t="b">
        <f t="shared" si="27"/>
        <v>1</v>
      </c>
      <c r="BS520" s="121"/>
      <c r="BT520" s="138" t="s">
        <v>52</v>
      </c>
      <c r="BU520" s="10" t="b">
        <f t="shared" si="28"/>
        <v>1</v>
      </c>
      <c r="BV520" s="120"/>
      <c r="BW520" s="120"/>
      <c r="BX520" s="120"/>
      <c r="BY520" s="120"/>
      <c r="BZ520" s="120"/>
      <c r="CA520" s="120"/>
      <c r="CB520" s="120"/>
      <c r="CC520" s="120"/>
    </row>
    <row r="521">
      <c r="A521" s="2" t="s">
        <v>1543</v>
      </c>
      <c r="B521" s="100">
        <v>44615.0</v>
      </c>
      <c r="C521" s="101">
        <v>0.2632523148148148</v>
      </c>
      <c r="D521" s="102"/>
      <c r="E521" s="102"/>
      <c r="F521" s="157"/>
      <c r="G521" s="139"/>
      <c r="H521" s="139"/>
      <c r="I521" s="103"/>
      <c r="J521" s="103"/>
      <c r="K521" s="2" t="s">
        <v>52</v>
      </c>
      <c r="L521" s="100">
        <v>44615.0</v>
      </c>
      <c r="M521" s="101">
        <v>0.49122685185185183</v>
      </c>
      <c r="P521" s="104" t="b">
        <f>IFNA(IF(VLOOKUP($A521,'Add from APT'!$AA$2:$AC826,3,FALSE)&gt;0,TRUE,FALSE),"ER - NOT IN APT")</f>
        <v>0</v>
      </c>
      <c r="Q521" s="105" t="str">
        <f>IF(ISLOGICAL(P521),IF(P521,"ER - REPS IN APT", IFNA(VLOOKUP($A521,RAW_APT!$A$3:$M826,7,FALSE),"ER - NOT IN APT")),P521)</f>
        <v>Result</v>
      </c>
      <c r="R521" s="106" t="b">
        <f t="shared" si="2"/>
        <v>1</v>
      </c>
      <c r="S521" s="107">
        <f t="shared" si="3"/>
        <v>1</v>
      </c>
      <c r="T521" s="140">
        <v>0.0</v>
      </c>
      <c r="U521" s="158"/>
      <c r="V521" s="141"/>
      <c r="W521" s="141"/>
      <c r="X521" s="110" t="b">
        <f t="shared" si="4"/>
        <v>0</v>
      </c>
      <c r="Y521" s="111" t="b">
        <v>0</v>
      </c>
      <c r="Z521" s="104" t="str">
        <f t="shared" si="5"/>
        <v/>
      </c>
      <c r="AA521" s="112" t="b">
        <f t="shared" si="6"/>
        <v>0</v>
      </c>
      <c r="AB521" s="142" t="b">
        <v>0</v>
      </c>
      <c r="AC521" s="140">
        <v>292.0</v>
      </c>
      <c r="AD521" s="141" t="b">
        <v>0</v>
      </c>
      <c r="AE521" s="115">
        <f t="shared" si="7"/>
        <v>328.2833333</v>
      </c>
      <c r="AF521" s="116" t="b">
        <f t="shared" si="8"/>
        <v>0</v>
      </c>
      <c r="AG521" s="105" t="b">
        <f t="shared" si="9"/>
        <v>0</v>
      </c>
      <c r="AH521" s="140"/>
      <c r="AI521" s="140"/>
      <c r="AJ521" s="168">
        <v>2.7</v>
      </c>
      <c r="AK521" s="117" t="str">
        <f t="shared" si="10"/>
        <v>Negative</v>
      </c>
      <c r="AL521" s="141" t="s">
        <v>1544</v>
      </c>
      <c r="AM521" s="112" t="s">
        <v>261</v>
      </c>
      <c r="AN521" s="112" t="s">
        <v>708</v>
      </c>
      <c r="AO521" s="112" t="str">
        <f>IFERROR(__xludf.DUMMYFUNCTION("IF($AG521, ""DELETED"",TRIM(JOIN("" "",D521:E521)))"),"")</f>
        <v/>
      </c>
      <c r="AP521" s="112" t="str">
        <f t="shared" ref="AP521:AQ521" si="546">IF($AG521, "DELETED", TRIM(CONCATENATE(F521,I521,U521)))</f>
        <v/>
      </c>
      <c r="AQ521" s="112" t="str">
        <f t="shared" si="546"/>
        <v/>
      </c>
      <c r="AR521" s="112" t="str">
        <f>IFERROR(__xludf.DUMMYFUNCTION("IF($AG521, ""DELETED"", TRIM(JOIN("" "",AP521,AQ521)))"),"")</f>
        <v/>
      </c>
      <c r="AS521" s="118"/>
      <c r="AT521" s="110" t="b">
        <f t="shared" si="12"/>
        <v>0</v>
      </c>
      <c r="AU521" s="110" t="str">
        <f t="shared" si="13"/>
        <v/>
      </c>
      <c r="AV521" s="110" t="str">
        <f t="shared" si="14"/>
        <v/>
      </c>
      <c r="AW521" s="110" t="str">
        <f t="shared" si="15"/>
        <v/>
      </c>
      <c r="AX521" s="119" t="str">
        <f t="shared" si="16"/>
        <v/>
      </c>
      <c r="AY521" s="120"/>
      <c r="AZ521" s="121"/>
      <c r="BA521" s="122" t="str">
        <f t="shared" si="17"/>
        <v/>
      </c>
      <c r="BB521" s="34"/>
      <c r="BC521" s="121"/>
      <c r="BD521" s="136"/>
      <c r="BE521" s="125" t="str">
        <f t="shared" si="18"/>
        <v/>
      </c>
      <c r="BF521" s="126" t="str">
        <f t="shared" si="19"/>
        <v>MAX24__44615_0.263252314814815</v>
      </c>
      <c r="BG521" s="127" t="str">
        <f t="shared" si="20"/>
        <v/>
      </c>
      <c r="BH521" s="137" t="s">
        <v>1545</v>
      </c>
      <c r="BI521" s="128" t="str">
        <f t="shared" si="21"/>
        <v>MA256</v>
      </c>
      <c r="BJ521" s="129" t="b">
        <f t="shared" si="22"/>
        <v>0</v>
      </c>
      <c r="BK521" s="128" t="str">
        <f t="shared" si="23"/>
        <v/>
      </c>
      <c r="BL521" s="121"/>
      <c r="BM521" s="5" t="str">
        <f t="shared" si="24"/>
        <v>MISSING</v>
      </c>
      <c r="BN521" s="120" t="b">
        <f t="shared" si="25"/>
        <v>0</v>
      </c>
      <c r="BO521" s="131" t="b">
        <f t="shared" si="26"/>
        <v>1</v>
      </c>
      <c r="BP521" s="121"/>
      <c r="BQ521" s="132" t="str">
        <f>VLOOKUP(A521,RAW_APS!A$3:O826,15,FALSE)</f>
        <v/>
      </c>
      <c r="BR521" s="120" t="b">
        <f t="shared" si="27"/>
        <v>1</v>
      </c>
      <c r="BS521" s="121"/>
      <c r="BT521" s="138" t="s">
        <v>244</v>
      </c>
      <c r="BU521" s="10" t="b">
        <f t="shared" si="28"/>
        <v>1</v>
      </c>
      <c r="BV521" s="120"/>
      <c r="BW521" s="120"/>
      <c r="BX521" s="120"/>
      <c r="BY521" s="120"/>
      <c r="BZ521" s="120"/>
      <c r="CA521" s="120"/>
      <c r="CB521" s="120"/>
      <c r="CC521" s="120"/>
    </row>
    <row r="522">
      <c r="A522" s="2" t="s">
        <v>1546</v>
      </c>
      <c r="B522" s="100">
        <v>44615.0</v>
      </c>
      <c r="C522" s="101">
        <v>0.29224537037037035</v>
      </c>
      <c r="D522" s="102"/>
      <c r="E522" s="102"/>
      <c r="F522" s="102"/>
      <c r="G522" s="102"/>
      <c r="H522" s="102"/>
      <c r="I522" s="103"/>
      <c r="J522" s="103"/>
      <c r="K522" s="2" t="s">
        <v>52</v>
      </c>
      <c r="L522" s="100">
        <v>44615.0</v>
      </c>
      <c r="M522" s="101">
        <v>0.4912384259259259</v>
      </c>
      <c r="P522" s="104" t="b">
        <f>IFNA(IF(VLOOKUP($A522,'Add from APT'!$AA$2:$AC826,3,FALSE)&gt;0,TRUE,FALSE),"ER - NOT IN APT")</f>
        <v>0</v>
      </c>
      <c r="Q522" s="105" t="str">
        <f>IF(ISLOGICAL(P522),IF(P522,"ER - REPS IN APT", IFNA(VLOOKUP($A522,RAW_APT!$A$3:$M826,7,FALSE),"ER - NOT IN APT")),P522)</f>
        <v>Result</v>
      </c>
      <c r="R522" s="106" t="b">
        <f t="shared" si="2"/>
        <v>1</v>
      </c>
      <c r="S522" s="107">
        <f t="shared" si="3"/>
        <v>1</v>
      </c>
      <c r="T522" s="143"/>
      <c r="U522" s="142"/>
      <c r="V522" s="142"/>
      <c r="W522" s="142"/>
      <c r="X522" s="110" t="b">
        <f t="shared" si="4"/>
        <v>0</v>
      </c>
      <c r="Y522" s="111" t="b">
        <v>0</v>
      </c>
      <c r="Z522" s="104" t="str">
        <f t="shared" si="5"/>
        <v/>
      </c>
      <c r="AA522" s="112" t="b">
        <f t="shared" si="6"/>
        <v>0</v>
      </c>
      <c r="AB522" s="142" t="b">
        <v>0</v>
      </c>
      <c r="AC522" s="140">
        <v>291.0</v>
      </c>
      <c r="AD522" s="141" t="b">
        <v>0</v>
      </c>
      <c r="AE522" s="115">
        <f t="shared" si="7"/>
        <v>286.55</v>
      </c>
      <c r="AF522" s="116" t="b">
        <f t="shared" si="8"/>
        <v>0</v>
      </c>
      <c r="AG522" s="105" t="b">
        <f t="shared" si="9"/>
        <v>0</v>
      </c>
      <c r="AH522" s="140"/>
      <c r="AI522" s="140"/>
      <c r="AJ522" s="168">
        <v>2.7</v>
      </c>
      <c r="AK522" s="117" t="str">
        <f t="shared" si="10"/>
        <v>Negative</v>
      </c>
      <c r="AL522" s="141" t="s">
        <v>1544</v>
      </c>
      <c r="AM522" s="112" t="s">
        <v>299</v>
      </c>
      <c r="AN522" s="112" t="s">
        <v>300</v>
      </c>
      <c r="AO522" s="112" t="str">
        <f>IFERROR(__xludf.DUMMYFUNCTION("IF($AG522, ""DELETED"",TRIM(JOIN("" "",D522:E522)))"),"")</f>
        <v/>
      </c>
      <c r="AP522" s="112" t="str">
        <f t="shared" ref="AP522:AQ522" si="547">IF($AG522, "DELETED", TRIM(CONCATENATE(F522,I522,U522)))</f>
        <v/>
      </c>
      <c r="AQ522" s="112" t="str">
        <f t="shared" si="547"/>
        <v/>
      </c>
      <c r="AR522" s="112" t="str">
        <f>IFERROR(__xludf.DUMMYFUNCTION("IF($AG522, ""DELETED"", TRIM(JOIN("" "",AP522,AQ522)))"),"")</f>
        <v/>
      </c>
      <c r="AS522" s="118"/>
      <c r="AT522" s="110" t="b">
        <f t="shared" si="12"/>
        <v>0</v>
      </c>
      <c r="AU522" s="110" t="str">
        <f t="shared" si="13"/>
        <v/>
      </c>
      <c r="AV522" s="110" t="str">
        <f t="shared" si="14"/>
        <v/>
      </c>
      <c r="AW522" s="110" t="str">
        <f t="shared" si="15"/>
        <v/>
      </c>
      <c r="AX522" s="119" t="str">
        <f t="shared" si="16"/>
        <v/>
      </c>
      <c r="AY522" s="120"/>
      <c r="AZ522" s="121"/>
      <c r="BA522" s="122" t="str">
        <f t="shared" si="17"/>
        <v/>
      </c>
      <c r="BB522" s="34"/>
      <c r="BC522" s="121"/>
      <c r="BD522" s="136"/>
      <c r="BE522" s="125" t="str">
        <f t="shared" si="18"/>
        <v/>
      </c>
      <c r="BF522" s="126" t="str">
        <f t="shared" si="19"/>
        <v>FM81__44615_0.29224537037037</v>
      </c>
      <c r="BG522" s="127" t="str">
        <f t="shared" si="20"/>
        <v/>
      </c>
      <c r="BH522" s="137" t="s">
        <v>1547</v>
      </c>
      <c r="BI522" s="128" t="str">
        <f t="shared" si="21"/>
        <v>MA257</v>
      </c>
      <c r="BJ522" s="129" t="b">
        <f t="shared" si="22"/>
        <v>0</v>
      </c>
      <c r="BK522" s="128" t="str">
        <f t="shared" si="23"/>
        <v/>
      </c>
      <c r="BL522" s="121"/>
      <c r="BM522" s="5" t="str">
        <f t="shared" si="24"/>
        <v>MISSING</v>
      </c>
      <c r="BN522" s="120" t="b">
        <f t="shared" si="25"/>
        <v>0</v>
      </c>
      <c r="BO522" s="131" t="b">
        <f t="shared" si="26"/>
        <v>1</v>
      </c>
      <c r="BP522" s="121"/>
      <c r="BQ522" s="132" t="str">
        <f>VLOOKUP(A522,RAW_APS!A$3:O826,15,FALSE)</f>
        <v/>
      </c>
      <c r="BR522" s="120" t="b">
        <f t="shared" si="27"/>
        <v>1</v>
      </c>
      <c r="BS522" s="121"/>
      <c r="BT522" s="138" t="s">
        <v>244</v>
      </c>
      <c r="BU522" s="10" t="b">
        <f t="shared" si="28"/>
        <v>1</v>
      </c>
      <c r="BV522" s="120"/>
      <c r="BW522" s="120"/>
      <c r="BX522" s="120"/>
      <c r="BY522" s="120"/>
      <c r="BZ522" s="120"/>
      <c r="CA522" s="120"/>
      <c r="CB522" s="120"/>
      <c r="CC522" s="120"/>
    </row>
    <row r="523">
      <c r="A523" s="2" t="s">
        <v>1548</v>
      </c>
      <c r="B523" s="100">
        <v>44615.0</v>
      </c>
      <c r="C523" s="101">
        <v>0.2953587962962963</v>
      </c>
      <c r="D523" s="102"/>
      <c r="E523" s="102"/>
      <c r="F523" s="102"/>
      <c r="G523" s="102"/>
      <c r="H523" s="102"/>
      <c r="I523" s="103"/>
      <c r="J523" s="103"/>
      <c r="K523" s="2" t="s">
        <v>52</v>
      </c>
      <c r="L523" s="100">
        <v>44615.0</v>
      </c>
      <c r="M523" s="101">
        <v>0.4912384259259259</v>
      </c>
      <c r="P523" s="104" t="b">
        <f>IFNA(IF(VLOOKUP($A523,'Add from APT'!$AA$2:$AC826,3,FALSE)&gt;0,TRUE,FALSE),"ER - NOT IN APT")</f>
        <v>0</v>
      </c>
      <c r="Q523" s="105" t="str">
        <f>IF(ISLOGICAL(P523),IF(P523,"ER - REPS IN APT", IFNA(VLOOKUP($A523,RAW_APT!$A$3:$M826,7,FALSE),"ER - NOT IN APT")),P523)</f>
        <v>Result</v>
      </c>
      <c r="R523" s="106" t="b">
        <f t="shared" si="2"/>
        <v>1</v>
      </c>
      <c r="S523" s="107">
        <f t="shared" si="3"/>
        <v>1</v>
      </c>
      <c r="T523" s="143"/>
      <c r="U523" s="142"/>
      <c r="V523" s="142"/>
      <c r="W523" s="142"/>
      <c r="X523" s="110" t="b">
        <f t="shared" si="4"/>
        <v>0</v>
      </c>
      <c r="Y523" s="111" t="b">
        <v>0</v>
      </c>
      <c r="Z523" s="104" t="str">
        <f t="shared" si="5"/>
        <v/>
      </c>
      <c r="AA523" s="112" t="b">
        <f t="shared" si="6"/>
        <v>0</v>
      </c>
      <c r="AB523" s="142" t="b">
        <v>0</v>
      </c>
      <c r="AC523" s="140">
        <v>290.0</v>
      </c>
      <c r="AD523" s="141" t="b">
        <v>0</v>
      </c>
      <c r="AE523" s="115">
        <f t="shared" si="7"/>
        <v>282.0666667</v>
      </c>
      <c r="AF523" s="116" t="b">
        <f t="shared" si="8"/>
        <v>0</v>
      </c>
      <c r="AG523" s="105" t="b">
        <f t="shared" si="9"/>
        <v>0</v>
      </c>
      <c r="AH523" s="140"/>
      <c r="AI523" s="140"/>
      <c r="AJ523" s="168">
        <v>2.7</v>
      </c>
      <c r="AK523" s="117" t="str">
        <f t="shared" si="10"/>
        <v>Negative</v>
      </c>
      <c r="AL523" s="141" t="s">
        <v>1544</v>
      </c>
      <c r="AM523" s="112" t="s">
        <v>806</v>
      </c>
      <c r="AN523" s="112" t="s">
        <v>807</v>
      </c>
      <c r="AO523" s="112" t="str">
        <f>IFERROR(__xludf.DUMMYFUNCTION("IF($AG523, ""DELETED"",TRIM(JOIN("" "",D523:E523)))"),"")</f>
        <v/>
      </c>
      <c r="AP523" s="112" t="str">
        <f t="shared" ref="AP523:AQ523" si="548">IF($AG523, "DELETED", TRIM(CONCATENATE(F523,I523,U523)))</f>
        <v/>
      </c>
      <c r="AQ523" s="112" t="str">
        <f t="shared" si="548"/>
        <v/>
      </c>
      <c r="AR523" s="112" t="str">
        <f>IFERROR(__xludf.DUMMYFUNCTION("IF($AG523, ""DELETED"", TRIM(JOIN("" "",AP523,AQ523)))"),"")</f>
        <v/>
      </c>
      <c r="AS523" s="118"/>
      <c r="AT523" s="110" t="b">
        <f t="shared" si="12"/>
        <v>0</v>
      </c>
      <c r="AU523" s="110" t="str">
        <f t="shared" si="13"/>
        <v/>
      </c>
      <c r="AV523" s="110" t="str">
        <f t="shared" si="14"/>
        <v/>
      </c>
      <c r="AW523" s="110" t="str">
        <f t="shared" si="15"/>
        <v/>
      </c>
      <c r="AX523" s="119" t="str">
        <f t="shared" si="16"/>
        <v/>
      </c>
      <c r="AY523" s="120"/>
      <c r="AZ523" s="121"/>
      <c r="BA523" s="122" t="str">
        <f t="shared" si="17"/>
        <v/>
      </c>
      <c r="BB523" s="34"/>
      <c r="BC523" s="121"/>
      <c r="BD523" s="136"/>
      <c r="BE523" s="125" t="str">
        <f t="shared" si="18"/>
        <v/>
      </c>
      <c r="BF523" s="126" t="str">
        <f t="shared" si="19"/>
        <v>MA300__44615_0.295358796296296</v>
      </c>
      <c r="BG523" s="127" t="str">
        <f t="shared" si="20"/>
        <v/>
      </c>
      <c r="BH523" s="137" t="s">
        <v>1549</v>
      </c>
      <c r="BI523" s="128" t="str">
        <f t="shared" si="21"/>
        <v>MA259</v>
      </c>
      <c r="BJ523" s="129" t="b">
        <f t="shared" si="22"/>
        <v>0</v>
      </c>
      <c r="BK523" s="128" t="str">
        <f t="shared" si="23"/>
        <v/>
      </c>
      <c r="BL523" s="121"/>
      <c r="BM523" s="5" t="str">
        <f t="shared" si="24"/>
        <v>MISSING</v>
      </c>
      <c r="BN523" s="120" t="b">
        <f t="shared" si="25"/>
        <v>0</v>
      </c>
      <c r="BO523" s="131" t="b">
        <f t="shared" si="26"/>
        <v>1</v>
      </c>
      <c r="BP523" s="121"/>
      <c r="BQ523" s="132" t="str">
        <f>VLOOKUP(A523,RAW_APS!A$3:O826,15,FALSE)</f>
        <v/>
      </c>
      <c r="BR523" s="120" t="b">
        <f t="shared" si="27"/>
        <v>1</v>
      </c>
      <c r="BS523" s="121"/>
      <c r="BT523" s="138" t="s">
        <v>244</v>
      </c>
      <c r="BU523" s="10" t="b">
        <f t="shared" si="28"/>
        <v>1</v>
      </c>
      <c r="BV523" s="120"/>
      <c r="BW523" s="120"/>
      <c r="BX523" s="120"/>
      <c r="BY523" s="120"/>
      <c r="BZ523" s="120"/>
      <c r="CA523" s="120"/>
      <c r="CB523" s="120"/>
      <c r="CC523" s="120"/>
    </row>
    <row r="524">
      <c r="A524" s="2" t="s">
        <v>1550</v>
      </c>
      <c r="B524" s="100">
        <v>44615.0</v>
      </c>
      <c r="C524" s="101">
        <v>0.3012384259259259</v>
      </c>
      <c r="D524" s="102"/>
      <c r="E524" s="102"/>
      <c r="F524" s="102"/>
      <c r="G524" s="102"/>
      <c r="H524" s="102"/>
      <c r="I524" s="103"/>
      <c r="J524" s="103"/>
      <c r="K524" s="2" t="s">
        <v>52</v>
      </c>
      <c r="L524" s="100">
        <v>44615.0</v>
      </c>
      <c r="M524" s="101">
        <v>0.4912384259259259</v>
      </c>
      <c r="P524" s="104" t="b">
        <f>IFNA(IF(VLOOKUP($A524,'Add from APT'!$AA$2:$AC826,3,FALSE)&gt;0,TRUE,FALSE),"ER - NOT IN APT")</f>
        <v>0</v>
      </c>
      <c r="Q524" s="105" t="str">
        <f>IF(ISLOGICAL(P524),IF(P524,"ER - REPS IN APT", IFNA(VLOOKUP($A524,RAW_APT!$A$3:$M826,7,FALSE),"ER - NOT IN APT")),P524)</f>
        <v>Result</v>
      </c>
      <c r="R524" s="106" t="b">
        <f t="shared" si="2"/>
        <v>1</v>
      </c>
      <c r="S524" s="107">
        <f t="shared" si="3"/>
        <v>1</v>
      </c>
      <c r="T524" s="143"/>
      <c r="U524" s="142"/>
      <c r="V524" s="142"/>
      <c r="W524" s="142"/>
      <c r="X524" s="110" t="b">
        <f t="shared" si="4"/>
        <v>0</v>
      </c>
      <c r="Y524" s="111" t="b">
        <v>0</v>
      </c>
      <c r="Z524" s="104" t="str">
        <f t="shared" si="5"/>
        <v/>
      </c>
      <c r="AA524" s="112" t="b">
        <f t="shared" si="6"/>
        <v>0</v>
      </c>
      <c r="AB524" s="142" t="b">
        <v>0</v>
      </c>
      <c r="AC524" s="140">
        <v>289.0</v>
      </c>
      <c r="AD524" s="141" t="b">
        <v>0</v>
      </c>
      <c r="AE524" s="115">
        <f t="shared" si="7"/>
        <v>273.6</v>
      </c>
      <c r="AF524" s="116" t="b">
        <f t="shared" si="8"/>
        <v>0</v>
      </c>
      <c r="AG524" s="105" t="b">
        <f t="shared" si="9"/>
        <v>0</v>
      </c>
      <c r="AH524" s="140"/>
      <c r="AI524" s="140"/>
      <c r="AJ524" s="168">
        <v>2.7</v>
      </c>
      <c r="AK524" s="117" t="str">
        <f t="shared" si="10"/>
        <v>Negative</v>
      </c>
      <c r="AL524" s="141" t="s">
        <v>1544</v>
      </c>
      <c r="AM524" s="112" t="s">
        <v>390</v>
      </c>
      <c r="AN524" s="112" t="s">
        <v>391</v>
      </c>
      <c r="AO524" s="112" t="str">
        <f>IFERROR(__xludf.DUMMYFUNCTION("IF($AG524, ""DELETED"",TRIM(JOIN("" "",D524:E524)))"),"")</f>
        <v/>
      </c>
      <c r="AP524" s="112" t="str">
        <f t="shared" ref="AP524:AQ524" si="549">IF($AG524, "DELETED", TRIM(CONCATENATE(F524,I524,U524)))</f>
        <v/>
      </c>
      <c r="AQ524" s="112" t="str">
        <f t="shared" si="549"/>
        <v/>
      </c>
      <c r="AR524" s="112" t="str">
        <f>IFERROR(__xludf.DUMMYFUNCTION("IF($AG524, ""DELETED"", TRIM(JOIN("" "",AP524,AQ524)))"),"")</f>
        <v/>
      </c>
      <c r="AS524" s="118"/>
      <c r="AT524" s="110" t="b">
        <f t="shared" si="12"/>
        <v>0</v>
      </c>
      <c r="AU524" s="110" t="str">
        <f t="shared" si="13"/>
        <v/>
      </c>
      <c r="AV524" s="110" t="str">
        <f t="shared" si="14"/>
        <v/>
      </c>
      <c r="AW524" s="110" t="str">
        <f t="shared" si="15"/>
        <v/>
      </c>
      <c r="AX524" s="119" t="str">
        <f t="shared" si="16"/>
        <v/>
      </c>
      <c r="AY524" s="120"/>
      <c r="AZ524" s="121"/>
      <c r="BA524" s="122" t="str">
        <f t="shared" si="17"/>
        <v/>
      </c>
      <c r="BB524" s="34"/>
      <c r="BC524" s="121"/>
      <c r="BD524" s="136"/>
      <c r="BE524" s="125" t="str">
        <f t="shared" si="18"/>
        <v/>
      </c>
      <c r="BF524" s="126" t="str">
        <f t="shared" si="19"/>
        <v>FM505__44615_0.301238425925926</v>
      </c>
      <c r="BG524" s="127" t="str">
        <f t="shared" si="20"/>
        <v/>
      </c>
      <c r="BH524" s="137" t="s">
        <v>1551</v>
      </c>
      <c r="BI524" s="128" t="str">
        <f t="shared" si="21"/>
        <v>MA260</v>
      </c>
      <c r="BJ524" s="129" t="b">
        <f t="shared" si="22"/>
        <v>0</v>
      </c>
      <c r="BK524" s="128" t="str">
        <f t="shared" si="23"/>
        <v/>
      </c>
      <c r="BL524" s="121"/>
      <c r="BM524" s="5" t="str">
        <f t="shared" si="24"/>
        <v>MISSING</v>
      </c>
      <c r="BN524" s="120" t="b">
        <f t="shared" si="25"/>
        <v>0</v>
      </c>
      <c r="BO524" s="131" t="b">
        <f t="shared" si="26"/>
        <v>1</v>
      </c>
      <c r="BP524" s="121"/>
      <c r="BQ524" s="132" t="str">
        <f>VLOOKUP(A524,RAW_APS!A$3:O826,15,FALSE)</f>
        <v/>
      </c>
      <c r="BR524" s="120" t="b">
        <f t="shared" si="27"/>
        <v>1</v>
      </c>
      <c r="BS524" s="121"/>
      <c r="BT524" s="138" t="s">
        <v>244</v>
      </c>
      <c r="BU524" s="10" t="b">
        <f t="shared" si="28"/>
        <v>1</v>
      </c>
      <c r="BV524" s="120"/>
      <c r="BW524" s="120"/>
      <c r="BX524" s="120"/>
      <c r="BY524" s="120"/>
      <c r="BZ524" s="120"/>
      <c r="CA524" s="120"/>
      <c r="CB524" s="120"/>
      <c r="CC524" s="120"/>
    </row>
    <row r="525">
      <c r="A525" s="2" t="s">
        <v>1552</v>
      </c>
      <c r="B525" s="100">
        <v>44615.0</v>
      </c>
      <c r="C525" s="101">
        <v>0.30679398148148146</v>
      </c>
      <c r="D525" s="102"/>
      <c r="E525" s="102"/>
      <c r="F525" s="102"/>
      <c r="G525" s="102"/>
      <c r="H525" s="102"/>
      <c r="I525" s="103"/>
      <c r="J525" s="103"/>
      <c r="K525" s="2" t="s">
        <v>52</v>
      </c>
      <c r="L525" s="100">
        <v>44615.0</v>
      </c>
      <c r="M525" s="101">
        <v>0.4912384259259259</v>
      </c>
      <c r="P525" s="104" t="b">
        <f>IFNA(IF(VLOOKUP($A525,'Add from APT'!$AA$2:$AC826,3,FALSE)&gt;0,TRUE,FALSE),"ER - NOT IN APT")</f>
        <v>0</v>
      </c>
      <c r="Q525" s="105" t="str">
        <f>IF(ISLOGICAL(P525),IF(P525,"ER - REPS IN APT", IFNA(VLOOKUP($A525,RAW_APT!$A$3:$M826,7,FALSE),"ER - NOT IN APT")),P525)</f>
        <v>Result</v>
      </c>
      <c r="R525" s="106" t="b">
        <f t="shared" si="2"/>
        <v>1</v>
      </c>
      <c r="S525" s="107">
        <f t="shared" si="3"/>
        <v>1</v>
      </c>
      <c r="T525" s="143"/>
      <c r="U525" s="142"/>
      <c r="V525" s="142"/>
      <c r="W525" s="142"/>
      <c r="X525" s="110" t="b">
        <f t="shared" si="4"/>
        <v>0</v>
      </c>
      <c r="Y525" s="111" t="b">
        <v>0</v>
      </c>
      <c r="Z525" s="104" t="str">
        <f t="shared" si="5"/>
        <v/>
      </c>
      <c r="AA525" s="112" t="b">
        <f t="shared" si="6"/>
        <v>0</v>
      </c>
      <c r="AB525" s="142" t="b">
        <v>0</v>
      </c>
      <c r="AC525" s="140">
        <v>288.0</v>
      </c>
      <c r="AD525" s="141" t="b">
        <v>0</v>
      </c>
      <c r="AE525" s="115">
        <f t="shared" si="7"/>
        <v>265.6</v>
      </c>
      <c r="AF525" s="116" t="b">
        <f t="shared" si="8"/>
        <v>0</v>
      </c>
      <c r="AG525" s="105" t="b">
        <f t="shared" si="9"/>
        <v>0</v>
      </c>
      <c r="AH525" s="140"/>
      <c r="AI525" s="140"/>
      <c r="AJ525" s="168">
        <v>2.7</v>
      </c>
      <c r="AK525" s="117" t="str">
        <f t="shared" si="10"/>
        <v>Negative</v>
      </c>
      <c r="AL525" s="141" t="s">
        <v>1544</v>
      </c>
      <c r="AM525" s="112" t="s">
        <v>419</v>
      </c>
      <c r="AN525" s="112" t="s">
        <v>420</v>
      </c>
      <c r="AO525" s="112" t="str">
        <f>IFERROR(__xludf.DUMMYFUNCTION("IF($AG525, ""DELETED"",TRIM(JOIN("" "",D525:E525)))"),"")</f>
        <v/>
      </c>
      <c r="AP525" s="112" t="str">
        <f t="shared" ref="AP525:AQ525" si="550">IF($AG525, "DELETED", TRIM(CONCATENATE(F525,I525,U525)))</f>
        <v/>
      </c>
      <c r="AQ525" s="112" t="str">
        <f t="shared" si="550"/>
        <v/>
      </c>
      <c r="AR525" s="112" t="str">
        <f>IFERROR(__xludf.DUMMYFUNCTION("IF($AG525, ""DELETED"", TRIM(JOIN("" "",AP525,AQ525)))"),"")</f>
        <v/>
      </c>
      <c r="AS525" s="118"/>
      <c r="AT525" s="110" t="b">
        <f t="shared" si="12"/>
        <v>0</v>
      </c>
      <c r="AU525" s="110" t="str">
        <f t="shared" si="13"/>
        <v/>
      </c>
      <c r="AV525" s="110" t="str">
        <f t="shared" si="14"/>
        <v/>
      </c>
      <c r="AW525" s="110" t="str">
        <f t="shared" si="15"/>
        <v/>
      </c>
      <c r="AX525" s="119" t="str">
        <f t="shared" si="16"/>
        <v/>
      </c>
      <c r="AY525" s="120"/>
      <c r="AZ525" s="121"/>
      <c r="BA525" s="122" t="str">
        <f t="shared" si="17"/>
        <v/>
      </c>
      <c r="BB525" s="34"/>
      <c r="BC525" s="121"/>
      <c r="BD525" s="136"/>
      <c r="BE525" s="125" t="str">
        <f t="shared" si="18"/>
        <v/>
      </c>
      <c r="BF525" s="126" t="str">
        <f t="shared" si="19"/>
        <v>FM5__44615_0.306793981481481</v>
      </c>
      <c r="BG525" s="127" t="str">
        <f t="shared" si="20"/>
        <v/>
      </c>
      <c r="BH525" s="137" t="s">
        <v>1553</v>
      </c>
      <c r="BI525" s="128" t="str">
        <f t="shared" si="21"/>
        <v>MA262</v>
      </c>
      <c r="BJ525" s="129" t="b">
        <f t="shared" si="22"/>
        <v>0</v>
      </c>
      <c r="BK525" s="128" t="str">
        <f t="shared" si="23"/>
        <v/>
      </c>
      <c r="BL525" s="121"/>
      <c r="BM525" s="5" t="str">
        <f t="shared" si="24"/>
        <v>MISSING</v>
      </c>
      <c r="BN525" s="120" t="b">
        <f t="shared" si="25"/>
        <v>0</v>
      </c>
      <c r="BO525" s="131" t="b">
        <f t="shared" si="26"/>
        <v>1</v>
      </c>
      <c r="BP525" s="121"/>
      <c r="BQ525" s="132" t="str">
        <f>VLOOKUP(A525,RAW_APS!A$3:O826,15,FALSE)</f>
        <v/>
      </c>
      <c r="BR525" s="120" t="b">
        <f t="shared" si="27"/>
        <v>1</v>
      </c>
      <c r="BS525" s="121"/>
      <c r="BT525" s="138" t="s">
        <v>244</v>
      </c>
      <c r="BU525" s="10" t="b">
        <f t="shared" si="28"/>
        <v>1</v>
      </c>
      <c r="BV525" s="120"/>
      <c r="BW525" s="120"/>
      <c r="BX525" s="120"/>
      <c r="BY525" s="120"/>
      <c r="BZ525" s="120"/>
      <c r="CA525" s="120"/>
      <c r="CB525" s="120"/>
      <c r="CC525" s="120"/>
    </row>
    <row r="526">
      <c r="A526" s="2" t="s">
        <v>1554</v>
      </c>
      <c r="B526" s="100">
        <v>44615.0</v>
      </c>
      <c r="C526" s="101">
        <v>0.3086689814814815</v>
      </c>
      <c r="D526" s="102"/>
      <c r="E526" s="102"/>
      <c r="F526" s="102"/>
      <c r="G526" s="102"/>
      <c r="H526" s="102"/>
      <c r="I526" s="103"/>
      <c r="J526" s="103"/>
      <c r="K526" s="2" t="s">
        <v>52</v>
      </c>
      <c r="L526" s="100">
        <v>44615.0</v>
      </c>
      <c r="M526" s="101">
        <v>0.4912384259259259</v>
      </c>
      <c r="P526" s="104" t="b">
        <f>IFNA(IF(VLOOKUP($A526,'Add from APT'!$AA$2:$AC826,3,FALSE)&gt;0,TRUE,FALSE),"ER - NOT IN APT")</f>
        <v>0</v>
      </c>
      <c r="Q526" s="105" t="str">
        <f>IF(ISLOGICAL(P526),IF(P526,"ER - REPS IN APT", IFNA(VLOOKUP($A526,RAW_APT!$A$3:$M826,7,FALSE),"ER - NOT IN APT")),P526)</f>
        <v>Result</v>
      </c>
      <c r="R526" s="106" t="b">
        <f t="shared" si="2"/>
        <v>1</v>
      </c>
      <c r="S526" s="107">
        <f t="shared" si="3"/>
        <v>1</v>
      </c>
      <c r="T526" s="143"/>
      <c r="U526" s="142"/>
      <c r="V526" s="142"/>
      <c r="W526" s="142"/>
      <c r="X526" s="110" t="b">
        <f t="shared" si="4"/>
        <v>0</v>
      </c>
      <c r="Y526" s="111" t="b">
        <v>0</v>
      </c>
      <c r="Z526" s="104" t="str">
        <f t="shared" si="5"/>
        <v/>
      </c>
      <c r="AA526" s="112" t="b">
        <f t="shared" si="6"/>
        <v>0</v>
      </c>
      <c r="AB526" s="142" t="b">
        <v>0</v>
      </c>
      <c r="AC526" s="140">
        <v>287.0</v>
      </c>
      <c r="AD526" s="141" t="b">
        <v>0</v>
      </c>
      <c r="AE526" s="115">
        <f t="shared" si="7"/>
        <v>262.9</v>
      </c>
      <c r="AF526" s="116" t="b">
        <f t="shared" si="8"/>
        <v>0</v>
      </c>
      <c r="AG526" s="105" t="b">
        <f t="shared" si="9"/>
        <v>0</v>
      </c>
      <c r="AH526" s="140"/>
      <c r="AI526" s="140"/>
      <c r="AJ526" s="168">
        <v>2.7</v>
      </c>
      <c r="AK526" s="117" t="str">
        <f t="shared" si="10"/>
        <v>Negative</v>
      </c>
      <c r="AL526" s="141" t="s">
        <v>1544</v>
      </c>
      <c r="AM526" s="112" t="s">
        <v>356</v>
      </c>
      <c r="AN526" s="112" t="s">
        <v>357</v>
      </c>
      <c r="AO526" s="112" t="str">
        <f>IFERROR(__xludf.DUMMYFUNCTION("IF($AG526, ""DELETED"",TRIM(JOIN("" "",D526:E526)))"),"")</f>
        <v/>
      </c>
      <c r="AP526" s="112" t="str">
        <f t="shared" ref="AP526:AQ526" si="551">IF($AG526, "DELETED", TRIM(CONCATENATE(F526,I526,U526)))</f>
        <v/>
      </c>
      <c r="AQ526" s="112" t="str">
        <f t="shared" si="551"/>
        <v/>
      </c>
      <c r="AR526" s="112" t="str">
        <f>IFERROR(__xludf.DUMMYFUNCTION("IF($AG526, ""DELETED"", TRIM(JOIN("" "",AP526,AQ526)))"),"")</f>
        <v/>
      </c>
      <c r="AS526" s="118"/>
      <c r="AT526" s="110" t="b">
        <f t="shared" si="12"/>
        <v>0</v>
      </c>
      <c r="AU526" s="110" t="str">
        <f t="shared" si="13"/>
        <v/>
      </c>
      <c r="AV526" s="110" t="str">
        <f t="shared" si="14"/>
        <v/>
      </c>
      <c r="AW526" s="110" t="str">
        <f t="shared" si="15"/>
        <v/>
      </c>
      <c r="AX526" s="119" t="str">
        <f t="shared" si="16"/>
        <v/>
      </c>
      <c r="AY526" s="120"/>
      <c r="AZ526" s="121"/>
      <c r="BA526" s="122" t="str">
        <f t="shared" si="17"/>
        <v/>
      </c>
      <c r="BB526" s="34"/>
      <c r="BC526" s="121"/>
      <c r="BD526" s="136"/>
      <c r="BE526" s="125" t="str">
        <f t="shared" si="18"/>
        <v/>
      </c>
      <c r="BF526" s="126" t="str">
        <f t="shared" si="19"/>
        <v>MA222__44615_0.308668981481482</v>
      </c>
      <c r="BG526" s="127" t="str">
        <f t="shared" si="20"/>
        <v/>
      </c>
      <c r="BH526" s="137" t="s">
        <v>1555</v>
      </c>
      <c r="BI526" s="128" t="str">
        <f t="shared" si="21"/>
        <v>MA263</v>
      </c>
      <c r="BJ526" s="129" t="b">
        <f t="shared" si="22"/>
        <v>0</v>
      </c>
      <c r="BK526" s="128" t="str">
        <f t="shared" si="23"/>
        <v/>
      </c>
      <c r="BL526" s="121"/>
      <c r="BM526" s="5" t="str">
        <f t="shared" si="24"/>
        <v>MISSING</v>
      </c>
      <c r="BN526" s="120" t="b">
        <f t="shared" si="25"/>
        <v>0</v>
      </c>
      <c r="BO526" s="131" t="b">
        <f t="shared" si="26"/>
        <v>1</v>
      </c>
      <c r="BP526" s="121"/>
      <c r="BQ526" s="132" t="str">
        <f>VLOOKUP(A526,RAW_APS!A$3:O826,15,FALSE)</f>
        <v/>
      </c>
      <c r="BR526" s="120" t="b">
        <f t="shared" si="27"/>
        <v>1</v>
      </c>
      <c r="BS526" s="121"/>
      <c r="BT526" s="138" t="s">
        <v>244</v>
      </c>
      <c r="BU526" s="10" t="b">
        <f t="shared" si="28"/>
        <v>1</v>
      </c>
      <c r="BV526" s="120"/>
      <c r="BW526" s="120"/>
      <c r="BX526" s="120"/>
      <c r="BY526" s="120"/>
      <c r="BZ526" s="120"/>
      <c r="CA526" s="120"/>
      <c r="CB526" s="120"/>
      <c r="CC526" s="120"/>
    </row>
    <row r="527">
      <c r="A527" s="2" t="s">
        <v>1556</v>
      </c>
      <c r="B527" s="100">
        <v>44615.0</v>
      </c>
      <c r="C527" s="101">
        <v>0.3092361111111111</v>
      </c>
      <c r="D527" s="102"/>
      <c r="E527" s="102"/>
      <c r="F527" s="102"/>
      <c r="G527" s="102"/>
      <c r="H527" s="102"/>
      <c r="I527" s="103"/>
      <c r="J527" s="103"/>
      <c r="K527" s="2" t="s">
        <v>52</v>
      </c>
      <c r="L527" s="100">
        <v>44615.0</v>
      </c>
      <c r="M527" s="101">
        <v>0.4912384259259259</v>
      </c>
      <c r="P527" s="104" t="b">
        <f>IFNA(IF(VLOOKUP($A527,'Add from APT'!$AA$2:$AC826,3,FALSE)&gt;0,TRUE,FALSE),"ER - NOT IN APT")</f>
        <v>0</v>
      </c>
      <c r="Q527" s="105" t="str">
        <f>IF(ISLOGICAL(P527),IF(P527,"ER - REPS IN APT", IFNA(VLOOKUP($A527,RAW_APT!$A$3:$M826,7,FALSE),"ER - NOT IN APT")),P527)</f>
        <v>Result</v>
      </c>
      <c r="R527" s="106" t="b">
        <f t="shared" si="2"/>
        <v>1</v>
      </c>
      <c r="S527" s="107">
        <f t="shared" si="3"/>
        <v>1</v>
      </c>
      <c r="T527" s="143"/>
      <c r="U527" s="142"/>
      <c r="V527" s="142"/>
      <c r="W527" s="142"/>
      <c r="X527" s="110" t="b">
        <f t="shared" si="4"/>
        <v>0</v>
      </c>
      <c r="Y527" s="111" t="b">
        <v>0</v>
      </c>
      <c r="Z527" s="104" t="str">
        <f t="shared" si="5"/>
        <v/>
      </c>
      <c r="AA527" s="112" t="b">
        <f t="shared" si="6"/>
        <v>0</v>
      </c>
      <c r="AB527" s="142" t="b">
        <v>0</v>
      </c>
      <c r="AC527" s="140">
        <v>286.0</v>
      </c>
      <c r="AD527" s="141" t="b">
        <v>0</v>
      </c>
      <c r="AE527" s="115">
        <f t="shared" si="7"/>
        <v>262.0833333</v>
      </c>
      <c r="AF527" s="116" t="b">
        <f t="shared" si="8"/>
        <v>0</v>
      </c>
      <c r="AG527" s="105" t="b">
        <f t="shared" si="9"/>
        <v>0</v>
      </c>
      <c r="AH527" s="140"/>
      <c r="AI527" s="140"/>
      <c r="AJ527" s="168">
        <v>2.7</v>
      </c>
      <c r="AK527" s="117" t="str">
        <f t="shared" si="10"/>
        <v>Negative</v>
      </c>
      <c r="AL527" s="141" t="s">
        <v>1544</v>
      </c>
      <c r="AM527" s="112" t="s">
        <v>618</v>
      </c>
      <c r="AN527" s="112" t="s">
        <v>619</v>
      </c>
      <c r="AO527" s="112" t="str">
        <f>IFERROR(__xludf.DUMMYFUNCTION("IF($AG527, ""DELETED"",TRIM(JOIN("" "",D527:E527)))"),"")</f>
        <v/>
      </c>
      <c r="AP527" s="112" t="str">
        <f t="shared" ref="AP527:AQ527" si="552">IF($AG527, "DELETED", TRIM(CONCATENATE(F527,I527,U527)))</f>
        <v/>
      </c>
      <c r="AQ527" s="112" t="str">
        <f t="shared" si="552"/>
        <v/>
      </c>
      <c r="AR527" s="112" t="str">
        <f>IFERROR(__xludf.DUMMYFUNCTION("IF($AG527, ""DELETED"", TRIM(JOIN("" "",AP527,AQ527)))"),"")</f>
        <v/>
      </c>
      <c r="AS527" s="118"/>
      <c r="AT527" s="110" t="b">
        <f t="shared" si="12"/>
        <v>0</v>
      </c>
      <c r="AU527" s="110" t="str">
        <f t="shared" si="13"/>
        <v/>
      </c>
      <c r="AV527" s="110" t="str">
        <f t="shared" si="14"/>
        <v/>
      </c>
      <c r="AW527" s="110" t="str">
        <f t="shared" si="15"/>
        <v/>
      </c>
      <c r="AX527" s="119" t="str">
        <f t="shared" si="16"/>
        <v/>
      </c>
      <c r="AY527" s="120"/>
      <c r="AZ527" s="121"/>
      <c r="BA527" s="122" t="str">
        <f t="shared" si="17"/>
        <v/>
      </c>
      <c r="BB527" s="34"/>
      <c r="BC527" s="121"/>
      <c r="BD527" s="136"/>
      <c r="BE527" s="125" t="str">
        <f t="shared" si="18"/>
        <v/>
      </c>
      <c r="BF527" s="126" t="str">
        <f t="shared" si="19"/>
        <v>MA231__44615_0.309236111111111</v>
      </c>
      <c r="BG527" s="127" t="str">
        <f t="shared" si="20"/>
        <v/>
      </c>
      <c r="BH527" s="137" t="s">
        <v>1557</v>
      </c>
      <c r="BI527" s="128" t="str">
        <f t="shared" si="21"/>
        <v>MA266</v>
      </c>
      <c r="BJ527" s="129" t="b">
        <f t="shared" si="22"/>
        <v>0</v>
      </c>
      <c r="BK527" s="128" t="str">
        <f t="shared" si="23"/>
        <v/>
      </c>
      <c r="BL527" s="121"/>
      <c r="BM527" s="5" t="str">
        <f t="shared" si="24"/>
        <v>MISSING</v>
      </c>
      <c r="BN527" s="120" t="b">
        <f t="shared" si="25"/>
        <v>0</v>
      </c>
      <c r="BO527" s="131" t="b">
        <f t="shared" si="26"/>
        <v>1</v>
      </c>
      <c r="BP527" s="121"/>
      <c r="BQ527" s="132" t="str">
        <f>VLOOKUP(A527,RAW_APS!A$3:O826,15,FALSE)</f>
        <v/>
      </c>
      <c r="BR527" s="120" t="b">
        <f t="shared" si="27"/>
        <v>1</v>
      </c>
      <c r="BS527" s="121"/>
      <c r="BT527" s="138" t="s">
        <v>244</v>
      </c>
      <c r="BU527" s="10" t="b">
        <f t="shared" si="28"/>
        <v>1</v>
      </c>
      <c r="BV527" s="120"/>
      <c r="BW527" s="120"/>
      <c r="BX527" s="120"/>
      <c r="BY527" s="120"/>
      <c r="BZ527" s="120"/>
      <c r="CA527" s="120"/>
      <c r="CB527" s="120"/>
      <c r="CC527" s="120"/>
    </row>
    <row r="528">
      <c r="A528" s="2" t="s">
        <v>1558</v>
      </c>
      <c r="B528" s="100">
        <v>44615.0</v>
      </c>
      <c r="C528" s="101">
        <v>0.30931712962962965</v>
      </c>
      <c r="D528" s="102"/>
      <c r="E528" s="102"/>
      <c r="F528" s="102"/>
      <c r="G528" s="102"/>
      <c r="H528" s="102"/>
      <c r="I528" s="103"/>
      <c r="J528" s="103"/>
      <c r="K528" s="2" t="s">
        <v>52</v>
      </c>
      <c r="L528" s="100">
        <v>44615.0</v>
      </c>
      <c r="M528" s="101">
        <v>0.4912384259259259</v>
      </c>
      <c r="P528" s="104" t="b">
        <f>IFNA(IF(VLOOKUP($A528,'Add from APT'!$AA$2:$AC826,3,FALSE)&gt;0,TRUE,FALSE),"ER - NOT IN APT")</f>
        <v>0</v>
      </c>
      <c r="Q528" s="105" t="str">
        <f>IF(ISLOGICAL(P528),IF(P528,"ER - REPS IN APT", IFNA(VLOOKUP($A528,RAW_APT!$A$3:$M826,7,FALSE),"ER - NOT IN APT")),P528)</f>
        <v>Result</v>
      </c>
      <c r="R528" s="106" t="b">
        <f t="shared" si="2"/>
        <v>1</v>
      </c>
      <c r="S528" s="107">
        <f t="shared" si="3"/>
        <v>1</v>
      </c>
      <c r="T528" s="143"/>
      <c r="U528" s="142"/>
      <c r="V528" s="142"/>
      <c r="W528" s="142"/>
      <c r="X528" s="110" t="b">
        <f t="shared" si="4"/>
        <v>0</v>
      </c>
      <c r="Y528" s="111" t="b">
        <v>0</v>
      </c>
      <c r="Z528" s="104" t="str">
        <f t="shared" si="5"/>
        <v/>
      </c>
      <c r="AA528" s="112" t="b">
        <f t="shared" si="6"/>
        <v>0</v>
      </c>
      <c r="AB528" s="142" t="b">
        <v>0</v>
      </c>
      <c r="AC528" s="140">
        <v>285.0</v>
      </c>
      <c r="AD528" s="141" t="b">
        <v>0</v>
      </c>
      <c r="AE528" s="115">
        <f t="shared" si="7"/>
        <v>261.9666667</v>
      </c>
      <c r="AF528" s="116" t="b">
        <f t="shared" si="8"/>
        <v>0</v>
      </c>
      <c r="AG528" s="105" t="b">
        <f t="shared" si="9"/>
        <v>0</v>
      </c>
      <c r="AH528" s="140"/>
      <c r="AI528" s="140"/>
      <c r="AJ528" s="168">
        <v>2.7</v>
      </c>
      <c r="AK528" s="117" t="str">
        <f t="shared" si="10"/>
        <v>Negative</v>
      </c>
      <c r="AL528" s="141" t="s">
        <v>1544</v>
      </c>
      <c r="AM528" s="112" t="s">
        <v>512</v>
      </c>
      <c r="AN528" s="112" t="s">
        <v>513</v>
      </c>
      <c r="AO528" s="112" t="str">
        <f>IFERROR(__xludf.DUMMYFUNCTION("IF($AG528, ""DELETED"",TRIM(JOIN("" "",D528:E528)))"),"")</f>
        <v/>
      </c>
      <c r="AP528" s="112" t="str">
        <f t="shared" ref="AP528:AQ528" si="553">IF($AG528, "DELETED", TRIM(CONCATENATE(F528,I528,U528)))</f>
        <v/>
      </c>
      <c r="AQ528" s="112" t="str">
        <f t="shared" si="553"/>
        <v/>
      </c>
      <c r="AR528" s="112" t="str">
        <f>IFERROR(__xludf.DUMMYFUNCTION("IF($AG528, ""DELETED"", TRIM(JOIN("" "",AP528,AQ528)))"),"")</f>
        <v/>
      </c>
      <c r="AS528" s="118"/>
      <c r="AT528" s="110" t="b">
        <f t="shared" si="12"/>
        <v>0</v>
      </c>
      <c r="AU528" s="110" t="str">
        <f t="shared" si="13"/>
        <v/>
      </c>
      <c r="AV528" s="110" t="str">
        <f t="shared" si="14"/>
        <v/>
      </c>
      <c r="AW528" s="110" t="str">
        <f t="shared" si="15"/>
        <v/>
      </c>
      <c r="AX528" s="119" t="str">
        <f t="shared" si="16"/>
        <v/>
      </c>
      <c r="AY528" s="120"/>
      <c r="AZ528" s="121"/>
      <c r="BA528" s="122" t="str">
        <f t="shared" si="17"/>
        <v/>
      </c>
      <c r="BB528" s="34"/>
      <c r="BC528" s="121"/>
      <c r="BD528" s="136"/>
      <c r="BE528" s="125" t="str">
        <f t="shared" si="18"/>
        <v/>
      </c>
      <c r="BF528" s="126" t="str">
        <f t="shared" si="19"/>
        <v>MA214__44615_0.30931712962963</v>
      </c>
      <c r="BG528" s="127" t="str">
        <f t="shared" si="20"/>
        <v/>
      </c>
      <c r="BH528" s="137" t="s">
        <v>1559</v>
      </c>
      <c r="BI528" s="128" t="str">
        <f t="shared" si="21"/>
        <v>MA267</v>
      </c>
      <c r="BJ528" s="129" t="b">
        <f t="shared" si="22"/>
        <v>0</v>
      </c>
      <c r="BK528" s="128" t="str">
        <f t="shared" si="23"/>
        <v/>
      </c>
      <c r="BL528" s="121"/>
      <c r="BM528" s="5" t="str">
        <f t="shared" si="24"/>
        <v>MISSING</v>
      </c>
      <c r="BN528" s="120" t="b">
        <f t="shared" si="25"/>
        <v>0</v>
      </c>
      <c r="BO528" s="131" t="b">
        <f t="shared" si="26"/>
        <v>1</v>
      </c>
      <c r="BP528" s="121"/>
      <c r="BQ528" s="132" t="str">
        <f>VLOOKUP(A528,RAW_APS!A$3:O826,15,FALSE)</f>
        <v/>
      </c>
      <c r="BR528" s="120" t="b">
        <f t="shared" si="27"/>
        <v>1</v>
      </c>
      <c r="BS528" s="121"/>
      <c r="BT528" s="138" t="s">
        <v>244</v>
      </c>
      <c r="BU528" s="10" t="b">
        <f t="shared" si="28"/>
        <v>1</v>
      </c>
      <c r="BV528" s="120"/>
      <c r="BW528" s="120"/>
      <c r="BX528" s="120"/>
      <c r="BY528" s="120"/>
      <c r="BZ528" s="120"/>
      <c r="CA528" s="120"/>
      <c r="CB528" s="120"/>
      <c r="CC528" s="120"/>
    </row>
    <row r="529">
      <c r="A529" s="2" t="s">
        <v>1560</v>
      </c>
      <c r="B529" s="100">
        <v>44615.0</v>
      </c>
      <c r="C529" s="101">
        <v>0.3097800925925926</v>
      </c>
      <c r="D529" s="102"/>
      <c r="E529" s="102"/>
      <c r="F529" s="102"/>
      <c r="G529" s="102"/>
      <c r="H529" s="102"/>
      <c r="I529" s="103"/>
      <c r="J529" s="103"/>
      <c r="K529" s="2" t="s">
        <v>52</v>
      </c>
      <c r="L529" s="100">
        <v>44615.0</v>
      </c>
      <c r="M529" s="101">
        <v>0.4912384259259259</v>
      </c>
      <c r="P529" s="104" t="b">
        <f>IFNA(IF(VLOOKUP($A529,'Add from APT'!$AA$2:$AC826,3,FALSE)&gt;0,TRUE,FALSE),"ER - NOT IN APT")</f>
        <v>0</v>
      </c>
      <c r="Q529" s="105" t="str">
        <f>IF(ISLOGICAL(P529),IF(P529,"ER - REPS IN APT", IFNA(VLOOKUP($A529,RAW_APT!$A$3:$M826,7,FALSE),"ER - NOT IN APT")),P529)</f>
        <v>Result</v>
      </c>
      <c r="R529" s="106" t="b">
        <f t="shared" si="2"/>
        <v>1</v>
      </c>
      <c r="S529" s="107">
        <f t="shared" si="3"/>
        <v>1</v>
      </c>
      <c r="T529" s="143"/>
      <c r="U529" s="142"/>
      <c r="V529" s="142"/>
      <c r="W529" s="142"/>
      <c r="X529" s="110" t="b">
        <f t="shared" si="4"/>
        <v>0</v>
      </c>
      <c r="Y529" s="111" t="b">
        <v>0</v>
      </c>
      <c r="Z529" s="104" t="str">
        <f t="shared" si="5"/>
        <v/>
      </c>
      <c r="AA529" s="112" t="b">
        <f t="shared" si="6"/>
        <v>0</v>
      </c>
      <c r="AB529" s="142" t="b">
        <v>0</v>
      </c>
      <c r="AC529" s="140">
        <v>284.0</v>
      </c>
      <c r="AD529" s="141" t="b">
        <v>0</v>
      </c>
      <c r="AE529" s="115">
        <f t="shared" si="7"/>
        <v>261.3</v>
      </c>
      <c r="AF529" s="116" t="b">
        <f t="shared" si="8"/>
        <v>0</v>
      </c>
      <c r="AG529" s="105" t="b">
        <f t="shared" si="9"/>
        <v>0</v>
      </c>
      <c r="AH529" s="140"/>
      <c r="AI529" s="140"/>
      <c r="AJ529" s="168">
        <v>2.7</v>
      </c>
      <c r="AK529" s="117" t="str">
        <f t="shared" si="10"/>
        <v>Negative</v>
      </c>
      <c r="AL529" s="141" t="s">
        <v>1544</v>
      </c>
      <c r="AM529" s="112" t="s">
        <v>1561</v>
      </c>
      <c r="AN529" s="112" t="s">
        <v>1562</v>
      </c>
      <c r="AO529" s="112" t="str">
        <f>IFERROR(__xludf.DUMMYFUNCTION("IF($AG529, ""DELETED"",TRIM(JOIN("" "",D529:E529)))"),"")</f>
        <v/>
      </c>
      <c r="AP529" s="112" t="str">
        <f t="shared" ref="AP529:AQ529" si="554">IF($AG529, "DELETED", TRIM(CONCATENATE(F529,I529,U529)))</f>
        <v/>
      </c>
      <c r="AQ529" s="112" t="str">
        <f t="shared" si="554"/>
        <v/>
      </c>
      <c r="AR529" s="112" t="str">
        <f>IFERROR(__xludf.DUMMYFUNCTION("IF($AG529, ""DELETED"", TRIM(JOIN("" "",AP529,AQ529)))"),"")</f>
        <v/>
      </c>
      <c r="AS529" s="118"/>
      <c r="AT529" s="110" t="b">
        <f t="shared" si="12"/>
        <v>0</v>
      </c>
      <c r="AU529" s="110" t="str">
        <f t="shared" si="13"/>
        <v/>
      </c>
      <c r="AV529" s="110" t="str">
        <f t="shared" si="14"/>
        <v/>
      </c>
      <c r="AW529" s="110" t="str">
        <f t="shared" si="15"/>
        <v/>
      </c>
      <c r="AX529" s="119" t="str">
        <f t="shared" si="16"/>
        <v/>
      </c>
      <c r="AY529" s="120"/>
      <c r="AZ529" s="121"/>
      <c r="BA529" s="122" t="str">
        <f t="shared" si="17"/>
        <v/>
      </c>
      <c r="BB529" s="34"/>
      <c r="BC529" s="121"/>
      <c r="BD529" s="136"/>
      <c r="BE529" s="125" t="str">
        <f t="shared" si="18"/>
        <v/>
      </c>
      <c r="BF529" s="126" t="str">
        <f t="shared" si="19"/>
        <v>FM827__44615_0.309780092592593</v>
      </c>
      <c r="BG529" s="127" t="str">
        <f t="shared" si="20"/>
        <v/>
      </c>
      <c r="BH529" s="137" t="s">
        <v>1563</v>
      </c>
      <c r="BI529" s="128" t="str">
        <f t="shared" si="21"/>
        <v>MA268</v>
      </c>
      <c r="BJ529" s="129" t="b">
        <f t="shared" si="22"/>
        <v>0</v>
      </c>
      <c r="BK529" s="128" t="str">
        <f t="shared" si="23"/>
        <v/>
      </c>
      <c r="BL529" s="121"/>
      <c r="BM529" s="5" t="str">
        <f t="shared" si="24"/>
        <v>MISSING</v>
      </c>
      <c r="BN529" s="120" t="b">
        <f t="shared" si="25"/>
        <v>0</v>
      </c>
      <c r="BO529" s="131" t="b">
        <f t="shared" si="26"/>
        <v>1</v>
      </c>
      <c r="BP529" s="121"/>
      <c r="BQ529" s="132" t="str">
        <f>VLOOKUP(A529,RAW_APS!A$3:O826,15,FALSE)</f>
        <v/>
      </c>
      <c r="BR529" s="120" t="b">
        <f t="shared" si="27"/>
        <v>1</v>
      </c>
      <c r="BS529" s="121"/>
      <c r="BT529" s="138" t="s">
        <v>244</v>
      </c>
      <c r="BU529" s="10" t="b">
        <f t="shared" si="28"/>
        <v>1</v>
      </c>
      <c r="BV529" s="120"/>
      <c r="BW529" s="120"/>
      <c r="BX529" s="120"/>
      <c r="BY529" s="120"/>
      <c r="BZ529" s="120"/>
      <c r="CA529" s="120"/>
      <c r="CB529" s="120"/>
      <c r="CC529" s="120"/>
    </row>
    <row r="530">
      <c r="A530" s="2" t="s">
        <v>1564</v>
      </c>
      <c r="B530" s="100">
        <v>44615.0</v>
      </c>
      <c r="C530" s="101">
        <v>0.3108912037037037</v>
      </c>
      <c r="D530" s="102"/>
      <c r="E530" s="102"/>
      <c r="F530" s="102"/>
      <c r="G530" s="102"/>
      <c r="H530" s="102"/>
      <c r="I530" s="103"/>
      <c r="J530" s="103"/>
      <c r="K530" s="2" t="s">
        <v>52</v>
      </c>
      <c r="L530" s="100">
        <v>44615.0</v>
      </c>
      <c r="M530" s="101">
        <v>0.4912384259259259</v>
      </c>
      <c r="P530" s="104" t="b">
        <f>IFNA(IF(VLOOKUP($A530,'Add from APT'!$AA$2:$AC826,3,FALSE)&gt;0,TRUE,FALSE),"ER - NOT IN APT")</f>
        <v>0</v>
      </c>
      <c r="Q530" s="105" t="str">
        <f>IF(ISLOGICAL(P530),IF(P530,"ER - REPS IN APT", IFNA(VLOOKUP($A530,RAW_APT!$A$3:$M826,7,FALSE),"ER - NOT IN APT")),P530)</f>
        <v>Result</v>
      </c>
      <c r="R530" s="106" t="b">
        <f t="shared" si="2"/>
        <v>1</v>
      </c>
      <c r="S530" s="107">
        <f t="shared" si="3"/>
        <v>1</v>
      </c>
      <c r="T530" s="143"/>
      <c r="U530" s="142"/>
      <c r="V530" s="142"/>
      <c r="W530" s="142"/>
      <c r="X530" s="110" t="b">
        <f t="shared" si="4"/>
        <v>0</v>
      </c>
      <c r="Y530" s="111" t="b">
        <v>0</v>
      </c>
      <c r="Z530" s="104" t="str">
        <f t="shared" si="5"/>
        <v/>
      </c>
      <c r="AA530" s="112" t="b">
        <f t="shared" si="6"/>
        <v>0</v>
      </c>
      <c r="AB530" s="142" t="b">
        <v>0</v>
      </c>
      <c r="AC530" s="140">
        <v>283.0</v>
      </c>
      <c r="AD530" s="141" t="b">
        <v>0</v>
      </c>
      <c r="AE530" s="115">
        <f t="shared" si="7"/>
        <v>259.7</v>
      </c>
      <c r="AF530" s="116" t="b">
        <f t="shared" si="8"/>
        <v>0</v>
      </c>
      <c r="AG530" s="105" t="b">
        <f t="shared" si="9"/>
        <v>0</v>
      </c>
      <c r="AH530" s="140"/>
      <c r="AI530" s="140"/>
      <c r="AJ530" s="168">
        <v>2.7</v>
      </c>
      <c r="AK530" s="117" t="str">
        <f t="shared" si="10"/>
        <v>Negative</v>
      </c>
      <c r="AL530" s="141" t="s">
        <v>1544</v>
      </c>
      <c r="AM530" s="112" t="s">
        <v>1380</v>
      </c>
      <c r="AN530" s="112" t="s">
        <v>1381</v>
      </c>
      <c r="AO530" s="112" t="str">
        <f>IFERROR(__xludf.DUMMYFUNCTION("IF($AG530, ""DELETED"",TRIM(JOIN("" "",D530:E530)))"),"")</f>
        <v/>
      </c>
      <c r="AP530" s="112" t="str">
        <f t="shared" ref="AP530:AQ530" si="555">IF($AG530, "DELETED", TRIM(CONCATENATE(F530,I530,U530)))</f>
        <v/>
      </c>
      <c r="AQ530" s="112" t="str">
        <f t="shared" si="555"/>
        <v/>
      </c>
      <c r="AR530" s="112" t="str">
        <f>IFERROR(__xludf.DUMMYFUNCTION("IF($AG530, ""DELETED"", TRIM(JOIN("" "",AP530,AQ530)))"),"")</f>
        <v/>
      </c>
      <c r="AS530" s="118"/>
      <c r="AT530" s="110" t="b">
        <f t="shared" si="12"/>
        <v>0</v>
      </c>
      <c r="AU530" s="110" t="str">
        <f t="shared" si="13"/>
        <v/>
      </c>
      <c r="AV530" s="110" t="str">
        <f t="shared" si="14"/>
        <v/>
      </c>
      <c r="AW530" s="110" t="str">
        <f t="shared" si="15"/>
        <v/>
      </c>
      <c r="AX530" s="119" t="str">
        <f t="shared" si="16"/>
        <v/>
      </c>
      <c r="AY530" s="120"/>
      <c r="AZ530" s="121"/>
      <c r="BA530" s="122" t="str">
        <f t="shared" si="17"/>
        <v/>
      </c>
      <c r="BB530" s="34"/>
      <c r="BC530" s="121"/>
      <c r="BD530" s="136"/>
      <c r="BE530" s="125" t="str">
        <f t="shared" si="18"/>
        <v/>
      </c>
      <c r="BF530" s="126" t="str">
        <f t="shared" si="19"/>
        <v>MA299__44615_0.310891203703704</v>
      </c>
      <c r="BG530" s="127" t="str">
        <f t="shared" si="20"/>
        <v/>
      </c>
      <c r="BH530" s="137" t="s">
        <v>1565</v>
      </c>
      <c r="BI530" s="128" t="str">
        <f t="shared" si="21"/>
        <v>MA269</v>
      </c>
      <c r="BJ530" s="129" t="b">
        <f t="shared" si="22"/>
        <v>0</v>
      </c>
      <c r="BK530" s="128" t="str">
        <f t="shared" si="23"/>
        <v/>
      </c>
      <c r="BL530" s="121"/>
      <c r="BM530" s="5" t="str">
        <f t="shared" si="24"/>
        <v>MISSING</v>
      </c>
      <c r="BN530" s="120" t="b">
        <f t="shared" si="25"/>
        <v>0</v>
      </c>
      <c r="BO530" s="131" t="b">
        <f t="shared" si="26"/>
        <v>1</v>
      </c>
      <c r="BP530" s="121"/>
      <c r="BQ530" s="132" t="str">
        <f>VLOOKUP(A530,RAW_APS!A$3:O826,15,FALSE)</f>
        <v/>
      </c>
      <c r="BR530" s="120" t="b">
        <f t="shared" si="27"/>
        <v>1</v>
      </c>
      <c r="BS530" s="121"/>
      <c r="BT530" s="138" t="s">
        <v>244</v>
      </c>
      <c r="BU530" s="10" t="b">
        <f t="shared" si="28"/>
        <v>1</v>
      </c>
      <c r="BV530" s="120"/>
      <c r="BW530" s="120"/>
      <c r="BX530" s="120"/>
      <c r="BY530" s="120"/>
      <c r="BZ530" s="120"/>
      <c r="CA530" s="120"/>
      <c r="CB530" s="120"/>
      <c r="CC530" s="120"/>
    </row>
    <row r="531">
      <c r="A531" s="2" t="s">
        <v>1566</v>
      </c>
      <c r="B531" s="100">
        <v>44615.0</v>
      </c>
      <c r="C531" s="101">
        <v>0.31449074074074074</v>
      </c>
      <c r="D531" s="102"/>
      <c r="E531" s="102"/>
      <c r="F531" s="102"/>
      <c r="G531" s="102"/>
      <c r="H531" s="102"/>
      <c r="I531" s="103"/>
      <c r="J531" s="103"/>
      <c r="K531" s="2" t="s">
        <v>52</v>
      </c>
      <c r="L531" s="100">
        <v>44615.0</v>
      </c>
      <c r="M531" s="101">
        <v>0.4912384259259259</v>
      </c>
      <c r="P531" s="104" t="b">
        <f>IFNA(IF(VLOOKUP($A531,'Add from APT'!$AA$2:$AC826,3,FALSE)&gt;0,TRUE,FALSE),"ER - NOT IN APT")</f>
        <v>0</v>
      </c>
      <c r="Q531" s="105" t="str">
        <f>IF(ISLOGICAL(P531),IF(P531,"ER - REPS IN APT", IFNA(VLOOKUP($A531,RAW_APT!$A$3:$M826,7,FALSE),"ER - NOT IN APT")),P531)</f>
        <v>Result</v>
      </c>
      <c r="R531" s="106" t="b">
        <f t="shared" si="2"/>
        <v>1</v>
      </c>
      <c r="S531" s="107">
        <f t="shared" si="3"/>
        <v>1</v>
      </c>
      <c r="T531" s="143"/>
      <c r="U531" s="142"/>
      <c r="V531" s="142"/>
      <c r="W531" s="142"/>
      <c r="X531" s="110" t="b">
        <f t="shared" si="4"/>
        <v>0</v>
      </c>
      <c r="Y531" s="111" t="b">
        <v>0</v>
      </c>
      <c r="Z531" s="104" t="str">
        <f t="shared" si="5"/>
        <v/>
      </c>
      <c r="AA531" s="112" t="b">
        <f t="shared" si="6"/>
        <v>0</v>
      </c>
      <c r="AB531" s="142" t="b">
        <v>0</v>
      </c>
      <c r="AC531" s="140">
        <v>282.0</v>
      </c>
      <c r="AD531" s="141" t="b">
        <v>0</v>
      </c>
      <c r="AE531" s="115">
        <f t="shared" si="7"/>
        <v>254.5166667</v>
      </c>
      <c r="AF531" s="116" t="b">
        <f t="shared" si="8"/>
        <v>0</v>
      </c>
      <c r="AG531" s="105" t="b">
        <f t="shared" si="9"/>
        <v>0</v>
      </c>
      <c r="AH531" s="140"/>
      <c r="AI531" s="140"/>
      <c r="AJ531" s="168">
        <v>2.7</v>
      </c>
      <c r="AK531" s="117" t="str">
        <f t="shared" si="10"/>
        <v>Negative</v>
      </c>
      <c r="AL531" s="141" t="s">
        <v>1544</v>
      </c>
      <c r="AM531" s="112" t="s">
        <v>649</v>
      </c>
      <c r="AN531" s="112" t="s">
        <v>336</v>
      </c>
      <c r="AO531" s="112" t="str">
        <f>IFERROR(__xludf.DUMMYFUNCTION("IF($AG531, ""DELETED"",TRIM(JOIN("" "",D531:E531)))"),"")</f>
        <v/>
      </c>
      <c r="AP531" s="112" t="str">
        <f t="shared" ref="AP531:AQ531" si="556">IF($AG531, "DELETED", TRIM(CONCATENATE(F531,I531,U531)))</f>
        <v/>
      </c>
      <c r="AQ531" s="112" t="str">
        <f t="shared" si="556"/>
        <v/>
      </c>
      <c r="AR531" s="112" t="str">
        <f>IFERROR(__xludf.DUMMYFUNCTION("IF($AG531, ""DELETED"", TRIM(JOIN("" "",AP531,AQ531)))"),"")</f>
        <v/>
      </c>
      <c r="AS531" s="118"/>
      <c r="AT531" s="110" t="b">
        <f t="shared" si="12"/>
        <v>0</v>
      </c>
      <c r="AU531" s="110" t="str">
        <f t="shared" si="13"/>
        <v/>
      </c>
      <c r="AV531" s="110" t="str">
        <f t="shared" si="14"/>
        <v/>
      </c>
      <c r="AW531" s="110" t="str">
        <f t="shared" si="15"/>
        <v/>
      </c>
      <c r="AX531" s="119" t="str">
        <f t="shared" si="16"/>
        <v/>
      </c>
      <c r="AY531" s="120"/>
      <c r="AZ531" s="121"/>
      <c r="BA531" s="122" t="str">
        <f t="shared" si="17"/>
        <v/>
      </c>
      <c r="BB531" s="34"/>
      <c r="BC531" s="121"/>
      <c r="BD531" s="136"/>
      <c r="BE531" s="125" t="str">
        <f t="shared" si="18"/>
        <v/>
      </c>
      <c r="BF531" s="126" t="str">
        <f t="shared" si="19"/>
        <v>MA1104__44615_0.314490740740741</v>
      </c>
      <c r="BG531" s="127" t="str">
        <f t="shared" si="20"/>
        <v/>
      </c>
      <c r="BH531" s="137" t="s">
        <v>1567</v>
      </c>
      <c r="BI531" s="128" t="str">
        <f t="shared" si="21"/>
        <v>MA269DEL</v>
      </c>
      <c r="BJ531" s="129" t="b">
        <f t="shared" si="22"/>
        <v>0</v>
      </c>
      <c r="BK531" s="128" t="str">
        <f t="shared" si="23"/>
        <v/>
      </c>
      <c r="BL531" s="121"/>
      <c r="BM531" s="5" t="str">
        <f t="shared" si="24"/>
        <v>MISSING</v>
      </c>
      <c r="BN531" s="120" t="b">
        <f t="shared" si="25"/>
        <v>0</v>
      </c>
      <c r="BO531" s="131" t="b">
        <f t="shared" si="26"/>
        <v>1</v>
      </c>
      <c r="BP531" s="121"/>
      <c r="BQ531" s="132" t="str">
        <f>VLOOKUP(A531,RAW_APS!A$3:O826,15,FALSE)</f>
        <v/>
      </c>
      <c r="BR531" s="120" t="b">
        <f t="shared" si="27"/>
        <v>1</v>
      </c>
      <c r="BS531" s="121"/>
      <c r="BT531" s="138" t="s">
        <v>244</v>
      </c>
      <c r="BU531" s="10" t="b">
        <f t="shared" si="28"/>
        <v>1</v>
      </c>
      <c r="BV531" s="120"/>
      <c r="BW531" s="120"/>
      <c r="BX531" s="120"/>
      <c r="BY531" s="120"/>
      <c r="BZ531" s="120"/>
      <c r="CA531" s="120"/>
      <c r="CB531" s="120"/>
      <c r="CC531" s="120"/>
    </row>
    <row r="532">
      <c r="A532" s="2" t="s">
        <v>1568</v>
      </c>
      <c r="B532" s="100">
        <v>44615.0</v>
      </c>
      <c r="C532" s="101">
        <v>0.3146412037037037</v>
      </c>
      <c r="D532" s="102"/>
      <c r="E532" s="102"/>
      <c r="F532" s="102"/>
      <c r="G532" s="102"/>
      <c r="H532" s="102"/>
      <c r="I532" s="103"/>
      <c r="J532" s="103"/>
      <c r="K532" s="2" t="s">
        <v>52</v>
      </c>
      <c r="L532" s="100">
        <v>44615.0</v>
      </c>
      <c r="M532" s="101">
        <v>0.4912384259259259</v>
      </c>
      <c r="P532" s="104" t="b">
        <f>IFNA(IF(VLOOKUP($A532,'Add from APT'!$AA$2:$AC826,3,FALSE)&gt;0,TRUE,FALSE),"ER - NOT IN APT")</f>
        <v>0</v>
      </c>
      <c r="Q532" s="105" t="str">
        <f>IF(ISLOGICAL(P532),IF(P532,"ER - REPS IN APT", IFNA(VLOOKUP($A532,RAW_APT!$A$3:$M826,7,FALSE),"ER - NOT IN APT")),P532)</f>
        <v>Result</v>
      </c>
      <c r="R532" s="106" t="b">
        <f t="shared" si="2"/>
        <v>1</v>
      </c>
      <c r="S532" s="107">
        <f t="shared" si="3"/>
        <v>1</v>
      </c>
      <c r="T532" s="143"/>
      <c r="U532" s="142"/>
      <c r="V532" s="142"/>
      <c r="W532" s="142"/>
      <c r="X532" s="110" t="b">
        <f t="shared" si="4"/>
        <v>0</v>
      </c>
      <c r="Y532" s="111" t="b">
        <v>0</v>
      </c>
      <c r="Z532" s="104" t="str">
        <f t="shared" si="5"/>
        <v/>
      </c>
      <c r="AA532" s="112" t="b">
        <f t="shared" si="6"/>
        <v>0</v>
      </c>
      <c r="AB532" s="142" t="b">
        <v>0</v>
      </c>
      <c r="AC532" s="140">
        <v>281.0</v>
      </c>
      <c r="AD532" s="141" t="b">
        <v>0</v>
      </c>
      <c r="AE532" s="115">
        <f t="shared" si="7"/>
        <v>254.3</v>
      </c>
      <c r="AF532" s="116" t="b">
        <f t="shared" si="8"/>
        <v>0</v>
      </c>
      <c r="AG532" s="105" t="b">
        <f t="shared" si="9"/>
        <v>0</v>
      </c>
      <c r="AH532" s="140"/>
      <c r="AI532" s="140"/>
      <c r="AJ532" s="168">
        <v>2.7</v>
      </c>
      <c r="AK532" s="117" t="str">
        <f t="shared" si="10"/>
        <v>Negative</v>
      </c>
      <c r="AL532" s="141" t="s">
        <v>1544</v>
      </c>
      <c r="AM532" s="112" t="s">
        <v>639</v>
      </c>
      <c r="AN532" s="112" t="s">
        <v>640</v>
      </c>
      <c r="AO532" s="112" t="str">
        <f>IFERROR(__xludf.DUMMYFUNCTION("IF($AG532, ""DELETED"",TRIM(JOIN("" "",D532:E532)))"),"")</f>
        <v/>
      </c>
      <c r="AP532" s="112" t="str">
        <f t="shared" ref="AP532:AQ532" si="557">IF($AG532, "DELETED", TRIM(CONCATENATE(F532,I532,U532)))</f>
        <v/>
      </c>
      <c r="AQ532" s="112" t="str">
        <f t="shared" si="557"/>
        <v/>
      </c>
      <c r="AR532" s="112" t="str">
        <f>IFERROR(__xludf.DUMMYFUNCTION("IF($AG532, ""DELETED"", TRIM(JOIN("" "",AP532,AQ532)))"),"")</f>
        <v/>
      </c>
      <c r="AS532" s="118"/>
      <c r="AT532" s="110" t="b">
        <f t="shared" si="12"/>
        <v>0</v>
      </c>
      <c r="AU532" s="110" t="str">
        <f t="shared" si="13"/>
        <v/>
      </c>
      <c r="AV532" s="110" t="str">
        <f t="shared" si="14"/>
        <v/>
      </c>
      <c r="AW532" s="110" t="str">
        <f t="shared" si="15"/>
        <v/>
      </c>
      <c r="AX532" s="119" t="str">
        <f t="shared" si="16"/>
        <v/>
      </c>
      <c r="AY532" s="120"/>
      <c r="AZ532" s="121"/>
      <c r="BA532" s="122" t="str">
        <f t="shared" si="17"/>
        <v/>
      </c>
      <c r="BB532" s="34"/>
      <c r="BC532" s="121"/>
      <c r="BD532" s="136"/>
      <c r="BE532" s="125" t="str">
        <f t="shared" si="18"/>
        <v/>
      </c>
      <c r="BF532" s="126" t="str">
        <f t="shared" si="19"/>
        <v>MA1026__44615_0.314641203703704</v>
      </c>
      <c r="BG532" s="127" t="str">
        <f t="shared" si="20"/>
        <v/>
      </c>
      <c r="BH532" s="137" t="s">
        <v>1569</v>
      </c>
      <c r="BI532" s="128" t="str">
        <f t="shared" si="21"/>
        <v>MA271</v>
      </c>
      <c r="BJ532" s="129" t="b">
        <f t="shared" si="22"/>
        <v>0</v>
      </c>
      <c r="BK532" s="128" t="str">
        <f t="shared" si="23"/>
        <v/>
      </c>
      <c r="BL532" s="121"/>
      <c r="BM532" s="5" t="str">
        <f t="shared" si="24"/>
        <v>MISSING</v>
      </c>
      <c r="BN532" s="120" t="b">
        <f t="shared" si="25"/>
        <v>0</v>
      </c>
      <c r="BO532" s="131" t="b">
        <f t="shared" si="26"/>
        <v>1</v>
      </c>
      <c r="BP532" s="121"/>
      <c r="BQ532" s="132" t="str">
        <f>VLOOKUP(A532,RAW_APS!A$3:O826,15,FALSE)</f>
        <v/>
      </c>
      <c r="BR532" s="120" t="b">
        <f t="shared" si="27"/>
        <v>1</v>
      </c>
      <c r="BS532" s="121"/>
      <c r="BT532" s="138" t="s">
        <v>244</v>
      </c>
      <c r="BU532" s="10" t="b">
        <f t="shared" si="28"/>
        <v>1</v>
      </c>
      <c r="BV532" s="120"/>
      <c r="BW532" s="120"/>
      <c r="BX532" s="120"/>
      <c r="BY532" s="120"/>
      <c r="BZ532" s="120"/>
      <c r="CA532" s="120"/>
      <c r="CB532" s="120"/>
      <c r="CC532" s="120"/>
    </row>
    <row r="533">
      <c r="A533" s="2" t="s">
        <v>1570</v>
      </c>
      <c r="B533" s="100">
        <v>44615.0</v>
      </c>
      <c r="C533" s="101">
        <v>0.31958333333333333</v>
      </c>
      <c r="D533" s="102"/>
      <c r="E533" s="102"/>
      <c r="F533" s="102"/>
      <c r="G533" s="102"/>
      <c r="H533" s="102"/>
      <c r="I533" s="103"/>
      <c r="J533" s="103"/>
      <c r="K533" s="2" t="s">
        <v>52</v>
      </c>
      <c r="L533" s="100">
        <v>44615.0</v>
      </c>
      <c r="M533" s="101">
        <v>0.4912384259259259</v>
      </c>
      <c r="P533" s="104" t="b">
        <f>IFNA(IF(VLOOKUP($A533,'Add from APT'!$AA$2:$AC826,3,FALSE)&gt;0,TRUE,FALSE),"ER - NOT IN APT")</f>
        <v>0</v>
      </c>
      <c r="Q533" s="105" t="str">
        <f>IF(ISLOGICAL(P533),IF(P533,"ER - REPS IN APT", IFNA(VLOOKUP($A533,RAW_APT!$A$3:$M826,7,FALSE),"ER - NOT IN APT")),P533)</f>
        <v>Result</v>
      </c>
      <c r="R533" s="106" t="b">
        <f t="shared" si="2"/>
        <v>1</v>
      </c>
      <c r="S533" s="107">
        <f t="shared" si="3"/>
        <v>1</v>
      </c>
      <c r="T533" s="143"/>
      <c r="U533" s="142"/>
      <c r="V533" s="142"/>
      <c r="W533" s="142"/>
      <c r="X533" s="110" t="b">
        <f t="shared" si="4"/>
        <v>0</v>
      </c>
      <c r="Y533" s="111" t="b">
        <v>0</v>
      </c>
      <c r="Z533" s="104" t="str">
        <f t="shared" si="5"/>
        <v/>
      </c>
      <c r="AA533" s="112" t="b">
        <f t="shared" si="6"/>
        <v>0</v>
      </c>
      <c r="AB533" s="142" t="b">
        <v>0</v>
      </c>
      <c r="AC533" s="140">
        <v>280.0</v>
      </c>
      <c r="AD533" s="141" t="b">
        <v>0</v>
      </c>
      <c r="AE533" s="115">
        <f t="shared" si="7"/>
        <v>247.1833333</v>
      </c>
      <c r="AF533" s="116" t="b">
        <f t="shared" si="8"/>
        <v>0</v>
      </c>
      <c r="AG533" s="105" t="b">
        <f t="shared" si="9"/>
        <v>0</v>
      </c>
      <c r="AH533" s="140"/>
      <c r="AI533" s="140"/>
      <c r="AJ533" s="168">
        <v>2.7</v>
      </c>
      <c r="AK533" s="117" t="str">
        <f t="shared" si="10"/>
        <v>Negative</v>
      </c>
      <c r="AL533" s="141" t="s">
        <v>1544</v>
      </c>
      <c r="AM533" s="112" t="s">
        <v>291</v>
      </c>
      <c r="AN533" s="112" t="s">
        <v>292</v>
      </c>
      <c r="AO533" s="112" t="str">
        <f>IFERROR(__xludf.DUMMYFUNCTION("IF($AG533, ""DELETED"",TRIM(JOIN("" "",D533:E533)))"),"")</f>
        <v/>
      </c>
      <c r="AP533" s="112" t="str">
        <f t="shared" ref="AP533:AQ533" si="558">IF($AG533, "DELETED", TRIM(CONCATENATE(F533,I533,U533)))</f>
        <v/>
      </c>
      <c r="AQ533" s="112" t="str">
        <f t="shared" si="558"/>
        <v/>
      </c>
      <c r="AR533" s="112" t="str">
        <f>IFERROR(__xludf.DUMMYFUNCTION("IF($AG533, ""DELETED"", TRIM(JOIN("" "",AP533,AQ533)))"),"")</f>
        <v/>
      </c>
      <c r="AS533" s="118"/>
      <c r="AT533" s="110" t="b">
        <f t="shared" si="12"/>
        <v>0</v>
      </c>
      <c r="AU533" s="110" t="str">
        <f t="shared" si="13"/>
        <v/>
      </c>
      <c r="AV533" s="110" t="str">
        <f t="shared" si="14"/>
        <v/>
      </c>
      <c r="AW533" s="110" t="str">
        <f t="shared" si="15"/>
        <v/>
      </c>
      <c r="AX533" s="119" t="str">
        <f t="shared" si="16"/>
        <v/>
      </c>
      <c r="AY533" s="120"/>
      <c r="AZ533" s="121"/>
      <c r="BA533" s="122" t="str">
        <f t="shared" si="17"/>
        <v/>
      </c>
      <c r="BB533" s="34"/>
      <c r="BC533" s="121"/>
      <c r="BD533" s="136"/>
      <c r="BE533" s="125" t="str">
        <f t="shared" si="18"/>
        <v/>
      </c>
      <c r="BF533" s="126" t="str">
        <f t="shared" si="19"/>
        <v>FM533__44615_0.319583333333333</v>
      </c>
      <c r="BG533" s="127" t="str">
        <f t="shared" si="20"/>
        <v/>
      </c>
      <c r="BH533" s="137" t="s">
        <v>1571</v>
      </c>
      <c r="BI533" s="128" t="str">
        <f t="shared" si="21"/>
        <v>MA273</v>
      </c>
      <c r="BJ533" s="129" t="b">
        <f t="shared" si="22"/>
        <v>0</v>
      </c>
      <c r="BK533" s="128" t="str">
        <f t="shared" si="23"/>
        <v/>
      </c>
      <c r="BL533" s="121"/>
      <c r="BM533" s="5" t="str">
        <f t="shared" si="24"/>
        <v>MISSING</v>
      </c>
      <c r="BN533" s="120" t="b">
        <f t="shared" si="25"/>
        <v>0</v>
      </c>
      <c r="BO533" s="131" t="b">
        <f t="shared" si="26"/>
        <v>1</v>
      </c>
      <c r="BP533" s="121"/>
      <c r="BQ533" s="132" t="str">
        <f>VLOOKUP(A533,RAW_APS!A$3:O826,15,FALSE)</f>
        <v/>
      </c>
      <c r="BR533" s="120" t="b">
        <f t="shared" si="27"/>
        <v>1</v>
      </c>
      <c r="BS533" s="121"/>
      <c r="BT533" s="138" t="s">
        <v>244</v>
      </c>
      <c r="BU533" s="10" t="b">
        <f t="shared" si="28"/>
        <v>1</v>
      </c>
      <c r="BV533" s="120"/>
      <c r="BW533" s="120"/>
      <c r="BX533" s="120"/>
      <c r="BY533" s="120"/>
      <c r="BZ533" s="120"/>
      <c r="CA533" s="120"/>
      <c r="CB533" s="120"/>
      <c r="CC533" s="120"/>
    </row>
    <row r="534">
      <c r="A534" s="2" t="s">
        <v>1572</v>
      </c>
      <c r="B534" s="100">
        <v>44615.0</v>
      </c>
      <c r="C534" s="101">
        <v>0.32104166666666667</v>
      </c>
      <c r="D534" s="102"/>
      <c r="E534" s="102"/>
      <c r="F534" s="102"/>
      <c r="G534" s="102"/>
      <c r="H534" s="102"/>
      <c r="I534" s="103"/>
      <c r="J534" s="103"/>
      <c r="K534" s="2" t="s">
        <v>52</v>
      </c>
      <c r="L534" s="100">
        <v>44615.0</v>
      </c>
      <c r="M534" s="101">
        <v>0.49125</v>
      </c>
      <c r="P534" s="104" t="b">
        <f>IFNA(IF(VLOOKUP($A534,'Add from APT'!$AA$2:$AC826,3,FALSE)&gt;0,TRUE,FALSE),"ER - NOT IN APT")</f>
        <v>0</v>
      </c>
      <c r="Q534" s="105" t="str">
        <f>IF(ISLOGICAL(P534),IF(P534,"ER - REPS IN APT", IFNA(VLOOKUP($A534,RAW_APT!$A$3:$M826,7,FALSE),"ER - NOT IN APT")),P534)</f>
        <v>Result</v>
      </c>
      <c r="R534" s="106" t="b">
        <f t="shared" si="2"/>
        <v>1</v>
      </c>
      <c r="S534" s="107">
        <f t="shared" si="3"/>
        <v>1</v>
      </c>
      <c r="T534" s="143"/>
      <c r="U534" s="142"/>
      <c r="V534" s="142"/>
      <c r="W534" s="142"/>
      <c r="X534" s="110" t="b">
        <f t="shared" si="4"/>
        <v>0</v>
      </c>
      <c r="Y534" s="111" t="b">
        <v>0</v>
      </c>
      <c r="Z534" s="104" t="str">
        <f t="shared" si="5"/>
        <v/>
      </c>
      <c r="AA534" s="112" t="b">
        <f t="shared" si="6"/>
        <v>0</v>
      </c>
      <c r="AB534" s="142" t="b">
        <v>0</v>
      </c>
      <c r="AC534" s="140">
        <v>279.0</v>
      </c>
      <c r="AD534" s="141" t="b">
        <v>0</v>
      </c>
      <c r="AE534" s="115">
        <f t="shared" si="7"/>
        <v>245.1</v>
      </c>
      <c r="AF534" s="116" t="b">
        <f t="shared" si="8"/>
        <v>0</v>
      </c>
      <c r="AG534" s="105" t="b">
        <f t="shared" si="9"/>
        <v>0</v>
      </c>
      <c r="AH534" s="140"/>
      <c r="AI534" s="140"/>
      <c r="AJ534" s="168">
        <v>2.7</v>
      </c>
      <c r="AK534" s="117" t="str">
        <f t="shared" si="10"/>
        <v>Negative</v>
      </c>
      <c r="AL534" s="141" t="s">
        <v>1544</v>
      </c>
      <c r="AM534" s="112" t="s">
        <v>1358</v>
      </c>
      <c r="AN534" s="112" t="s">
        <v>1359</v>
      </c>
      <c r="AO534" s="112" t="str">
        <f>IFERROR(__xludf.DUMMYFUNCTION("IF($AG534, ""DELETED"",TRIM(JOIN("" "",D534:E534)))"),"")</f>
        <v/>
      </c>
      <c r="AP534" s="112" t="str">
        <f t="shared" ref="AP534:AQ534" si="559">IF($AG534, "DELETED", TRIM(CONCATENATE(F534,I534,U534)))</f>
        <v/>
      </c>
      <c r="AQ534" s="112" t="str">
        <f t="shared" si="559"/>
        <v/>
      </c>
      <c r="AR534" s="112" t="str">
        <f>IFERROR(__xludf.DUMMYFUNCTION("IF($AG534, ""DELETED"", TRIM(JOIN("" "",AP534,AQ534)))"),"")</f>
        <v/>
      </c>
      <c r="AS534" s="118"/>
      <c r="AT534" s="110" t="b">
        <f t="shared" si="12"/>
        <v>0</v>
      </c>
      <c r="AU534" s="110" t="str">
        <f t="shared" si="13"/>
        <v/>
      </c>
      <c r="AV534" s="110" t="str">
        <f t="shared" si="14"/>
        <v/>
      </c>
      <c r="AW534" s="110" t="str">
        <f t="shared" si="15"/>
        <v/>
      </c>
      <c r="AX534" s="119" t="str">
        <f t="shared" si="16"/>
        <v/>
      </c>
      <c r="AY534" s="120"/>
      <c r="AZ534" s="121"/>
      <c r="BA534" s="122" t="str">
        <f t="shared" si="17"/>
        <v/>
      </c>
      <c r="BB534" s="34"/>
      <c r="BC534" s="121"/>
      <c r="BD534" s="136"/>
      <c r="BE534" s="125" t="str">
        <f t="shared" si="18"/>
        <v/>
      </c>
      <c r="BF534" s="126" t="str">
        <f t="shared" si="19"/>
        <v>MA1038__44615_0.321041666666667</v>
      </c>
      <c r="BG534" s="127" t="str">
        <f t="shared" si="20"/>
        <v/>
      </c>
      <c r="BH534" s="137" t="s">
        <v>1573</v>
      </c>
      <c r="BI534" s="128" t="str">
        <f t="shared" si="21"/>
        <v>MA274</v>
      </c>
      <c r="BJ534" s="129" t="b">
        <f t="shared" si="22"/>
        <v>0</v>
      </c>
      <c r="BK534" s="128" t="str">
        <f t="shared" si="23"/>
        <v/>
      </c>
      <c r="BL534" s="121"/>
      <c r="BM534" s="5" t="str">
        <f t="shared" si="24"/>
        <v>MISSING</v>
      </c>
      <c r="BN534" s="120" t="b">
        <f t="shared" si="25"/>
        <v>0</v>
      </c>
      <c r="BO534" s="131" t="b">
        <f t="shared" si="26"/>
        <v>1</v>
      </c>
      <c r="BP534" s="121"/>
      <c r="BQ534" s="132" t="str">
        <f>VLOOKUP(A534,RAW_APS!A$3:O826,15,FALSE)</f>
        <v/>
      </c>
      <c r="BR534" s="120" t="b">
        <f t="shared" si="27"/>
        <v>1</v>
      </c>
      <c r="BS534" s="121"/>
      <c r="BT534" s="138" t="s">
        <v>244</v>
      </c>
      <c r="BU534" s="10" t="b">
        <f t="shared" si="28"/>
        <v>1</v>
      </c>
      <c r="BV534" s="120"/>
      <c r="BW534" s="120"/>
      <c r="BX534" s="120"/>
      <c r="BY534" s="120"/>
      <c r="BZ534" s="120"/>
      <c r="CA534" s="120"/>
      <c r="CB534" s="120"/>
      <c r="CC534" s="120"/>
    </row>
    <row r="535">
      <c r="A535" s="2" t="s">
        <v>1574</v>
      </c>
      <c r="B535" s="100">
        <v>44615.0</v>
      </c>
      <c r="C535" s="101">
        <v>0.321712962962963</v>
      </c>
      <c r="D535" s="102"/>
      <c r="E535" s="102"/>
      <c r="F535" s="102"/>
      <c r="G535" s="102"/>
      <c r="H535" s="102"/>
      <c r="I535" s="103"/>
      <c r="J535" s="103"/>
      <c r="K535" s="2" t="s">
        <v>52</v>
      </c>
      <c r="L535" s="100">
        <v>44615.0</v>
      </c>
      <c r="M535" s="101">
        <v>0.49125</v>
      </c>
      <c r="P535" s="104" t="b">
        <f>IFNA(IF(VLOOKUP($A535,'Add from APT'!$AA$2:$AC826,3,FALSE)&gt;0,TRUE,FALSE),"ER - NOT IN APT")</f>
        <v>0</v>
      </c>
      <c r="Q535" s="105" t="str">
        <f>IF(ISLOGICAL(P535),IF(P535,"ER - REPS IN APT", IFNA(VLOOKUP($A535,RAW_APT!$A$3:$M826,7,FALSE),"ER - NOT IN APT")),P535)</f>
        <v>Result</v>
      </c>
      <c r="R535" s="106" t="b">
        <f t="shared" si="2"/>
        <v>1</v>
      </c>
      <c r="S535" s="107">
        <f t="shared" si="3"/>
        <v>1</v>
      </c>
      <c r="T535" s="143"/>
      <c r="U535" s="142"/>
      <c r="V535" s="142"/>
      <c r="W535" s="142"/>
      <c r="X535" s="110" t="b">
        <f t="shared" si="4"/>
        <v>0</v>
      </c>
      <c r="Y535" s="111" t="b">
        <v>0</v>
      </c>
      <c r="Z535" s="104" t="str">
        <f t="shared" si="5"/>
        <v/>
      </c>
      <c r="AA535" s="112" t="b">
        <f t="shared" si="6"/>
        <v>0</v>
      </c>
      <c r="AB535" s="142" t="b">
        <v>0</v>
      </c>
      <c r="AC535" s="140">
        <v>278.0</v>
      </c>
      <c r="AD535" s="141" t="b">
        <v>0</v>
      </c>
      <c r="AE535" s="115">
        <f t="shared" si="7"/>
        <v>244.1333333</v>
      </c>
      <c r="AF535" s="116" t="b">
        <f t="shared" si="8"/>
        <v>0</v>
      </c>
      <c r="AG535" s="105" t="b">
        <f t="shared" si="9"/>
        <v>0</v>
      </c>
      <c r="AH535" s="140"/>
      <c r="AI535" s="140"/>
      <c r="AJ535" s="168">
        <v>2.7</v>
      </c>
      <c r="AK535" s="117" t="str">
        <f t="shared" si="10"/>
        <v>Negative</v>
      </c>
      <c r="AL535" s="141" t="s">
        <v>1544</v>
      </c>
      <c r="AM535" s="112" t="s">
        <v>1575</v>
      </c>
      <c r="AN535" s="112" t="s">
        <v>893</v>
      </c>
      <c r="AO535" s="112" t="str">
        <f>IFERROR(__xludf.DUMMYFUNCTION("IF($AG535, ""DELETED"",TRIM(JOIN("" "",D535:E535)))"),"")</f>
        <v/>
      </c>
      <c r="AP535" s="112" t="str">
        <f t="shared" ref="AP535:AQ535" si="560">IF($AG535, "DELETED", TRIM(CONCATENATE(F535,I535,U535)))</f>
        <v/>
      </c>
      <c r="AQ535" s="112" t="str">
        <f t="shared" si="560"/>
        <v/>
      </c>
      <c r="AR535" s="112" t="str">
        <f>IFERROR(__xludf.DUMMYFUNCTION("IF($AG535, ""DELETED"", TRIM(JOIN("" "",AP535,AQ535)))"),"")</f>
        <v/>
      </c>
      <c r="AS535" s="118"/>
      <c r="AT535" s="110" t="b">
        <f t="shared" si="12"/>
        <v>0</v>
      </c>
      <c r="AU535" s="110" t="str">
        <f t="shared" si="13"/>
        <v/>
      </c>
      <c r="AV535" s="110" t="str">
        <f t="shared" si="14"/>
        <v/>
      </c>
      <c r="AW535" s="110" t="str">
        <f t="shared" si="15"/>
        <v/>
      </c>
      <c r="AX535" s="119" t="str">
        <f t="shared" si="16"/>
        <v/>
      </c>
      <c r="AY535" s="120"/>
      <c r="AZ535" s="121"/>
      <c r="BA535" s="122" t="str">
        <f t="shared" si="17"/>
        <v/>
      </c>
      <c r="BB535" s="34"/>
      <c r="BC535" s="121"/>
      <c r="BD535" s="136"/>
      <c r="BE535" s="125" t="str">
        <f t="shared" si="18"/>
        <v/>
      </c>
      <c r="BF535" s="126" t="str">
        <f t="shared" si="19"/>
        <v>FM1008__44615_0.321712962962963</v>
      </c>
      <c r="BG535" s="127" t="str">
        <f t="shared" si="20"/>
        <v/>
      </c>
      <c r="BH535" s="137" t="s">
        <v>1576</v>
      </c>
      <c r="BI535" s="128" t="str">
        <f t="shared" si="21"/>
        <v>MA276</v>
      </c>
      <c r="BJ535" s="129" t="b">
        <f t="shared" si="22"/>
        <v>0</v>
      </c>
      <c r="BK535" s="128" t="str">
        <f t="shared" si="23"/>
        <v/>
      </c>
      <c r="BL535" s="121"/>
      <c r="BM535" s="5" t="str">
        <f t="shared" si="24"/>
        <v>MISSING</v>
      </c>
      <c r="BN535" s="120" t="b">
        <f t="shared" si="25"/>
        <v>0</v>
      </c>
      <c r="BO535" s="131" t="b">
        <f t="shared" si="26"/>
        <v>1</v>
      </c>
      <c r="BP535" s="121"/>
      <c r="BQ535" s="132" t="str">
        <f>VLOOKUP(A535,RAW_APS!A$3:O826,15,FALSE)</f>
        <v/>
      </c>
      <c r="BR535" s="120" t="b">
        <f t="shared" si="27"/>
        <v>1</v>
      </c>
      <c r="BS535" s="121"/>
      <c r="BT535" s="138" t="s">
        <v>244</v>
      </c>
      <c r="BU535" s="10" t="b">
        <f t="shared" si="28"/>
        <v>1</v>
      </c>
      <c r="BV535" s="120"/>
      <c r="BW535" s="120"/>
      <c r="BX535" s="120"/>
      <c r="BY535" s="120"/>
      <c r="BZ535" s="120"/>
      <c r="CA535" s="120"/>
      <c r="CB535" s="120"/>
      <c r="CC535" s="120"/>
    </row>
    <row r="536">
      <c r="A536" s="2" t="s">
        <v>1577</v>
      </c>
      <c r="B536" s="100">
        <v>44615.0</v>
      </c>
      <c r="C536" s="101">
        <v>0.3237962962962963</v>
      </c>
      <c r="D536" s="102"/>
      <c r="E536" s="102"/>
      <c r="F536" s="102"/>
      <c r="G536" s="102"/>
      <c r="H536" s="102"/>
      <c r="I536" s="103"/>
      <c r="J536" s="103"/>
      <c r="K536" s="2" t="s">
        <v>52</v>
      </c>
      <c r="L536" s="100">
        <v>44615.0</v>
      </c>
      <c r="M536" s="101">
        <v>0.49125</v>
      </c>
      <c r="P536" s="104" t="b">
        <f>IFNA(IF(VLOOKUP($A536,'Add from APT'!$AA$2:$AC826,3,FALSE)&gt;0,TRUE,FALSE),"ER - NOT IN APT")</f>
        <v>0</v>
      </c>
      <c r="Q536" s="105" t="str">
        <f>IF(ISLOGICAL(P536),IF(P536,"ER - REPS IN APT", IFNA(VLOOKUP($A536,RAW_APT!$A$3:$M826,7,FALSE),"ER - NOT IN APT")),P536)</f>
        <v>Result</v>
      </c>
      <c r="R536" s="106" t="b">
        <f t="shared" si="2"/>
        <v>1</v>
      </c>
      <c r="S536" s="107">
        <f t="shared" si="3"/>
        <v>1</v>
      </c>
      <c r="T536" s="143"/>
      <c r="U536" s="142"/>
      <c r="V536" s="142"/>
      <c r="W536" s="142"/>
      <c r="X536" s="110" t="b">
        <f t="shared" si="4"/>
        <v>0</v>
      </c>
      <c r="Y536" s="111" t="b">
        <v>0</v>
      </c>
      <c r="Z536" s="104" t="str">
        <f t="shared" si="5"/>
        <v/>
      </c>
      <c r="AA536" s="112" t="b">
        <f t="shared" si="6"/>
        <v>0</v>
      </c>
      <c r="AB536" s="142" t="b">
        <v>0</v>
      </c>
      <c r="AC536" s="140">
        <v>277.0</v>
      </c>
      <c r="AD536" s="141" t="b">
        <v>0</v>
      </c>
      <c r="AE536" s="115">
        <f t="shared" si="7"/>
        <v>241.1333333</v>
      </c>
      <c r="AF536" s="116" t="b">
        <f t="shared" si="8"/>
        <v>0</v>
      </c>
      <c r="AG536" s="105" t="b">
        <f t="shared" si="9"/>
        <v>0</v>
      </c>
      <c r="AH536" s="140"/>
      <c r="AI536" s="140"/>
      <c r="AJ536" s="168">
        <v>2.7</v>
      </c>
      <c r="AK536" s="117" t="str">
        <f t="shared" si="10"/>
        <v>Negative</v>
      </c>
      <c r="AL536" s="141" t="s">
        <v>1544</v>
      </c>
      <c r="AM536" s="112" t="s">
        <v>583</v>
      </c>
      <c r="AN536" s="112" t="s">
        <v>584</v>
      </c>
      <c r="AO536" s="112" t="str">
        <f>IFERROR(__xludf.DUMMYFUNCTION("IF($AG536, ""DELETED"",TRIM(JOIN("" "",D536:E536)))"),"")</f>
        <v/>
      </c>
      <c r="AP536" s="112" t="str">
        <f t="shared" ref="AP536:AQ536" si="561">IF($AG536, "DELETED", TRIM(CONCATENATE(F536,I536,U536)))</f>
        <v/>
      </c>
      <c r="AQ536" s="112" t="str">
        <f t="shared" si="561"/>
        <v/>
      </c>
      <c r="AR536" s="112" t="str">
        <f>IFERROR(__xludf.DUMMYFUNCTION("IF($AG536, ""DELETED"", TRIM(JOIN("" "",AP536,AQ536)))"),"")</f>
        <v/>
      </c>
      <c r="AS536" s="118"/>
      <c r="AT536" s="110" t="b">
        <f t="shared" si="12"/>
        <v>0</v>
      </c>
      <c r="AU536" s="110" t="str">
        <f t="shared" si="13"/>
        <v/>
      </c>
      <c r="AV536" s="110" t="str">
        <f t="shared" si="14"/>
        <v/>
      </c>
      <c r="AW536" s="110" t="str">
        <f t="shared" si="15"/>
        <v/>
      </c>
      <c r="AX536" s="119" t="str">
        <f t="shared" si="16"/>
        <v/>
      </c>
      <c r="AY536" s="120"/>
      <c r="AZ536" s="121"/>
      <c r="BA536" s="122" t="str">
        <f t="shared" si="17"/>
        <v/>
      </c>
      <c r="BB536" s="34"/>
      <c r="BC536" s="121"/>
      <c r="BD536" s="136"/>
      <c r="BE536" s="125" t="str">
        <f t="shared" si="18"/>
        <v/>
      </c>
      <c r="BF536" s="126" t="str">
        <f t="shared" si="19"/>
        <v>MA251__44615_0.323796296296296</v>
      </c>
      <c r="BG536" s="127" t="str">
        <f t="shared" si="20"/>
        <v/>
      </c>
      <c r="BH536" s="137" t="s">
        <v>1578</v>
      </c>
      <c r="BI536" s="128" t="str">
        <f t="shared" si="21"/>
        <v>MA277</v>
      </c>
      <c r="BJ536" s="129" t="b">
        <f t="shared" si="22"/>
        <v>0</v>
      </c>
      <c r="BK536" s="128" t="str">
        <f t="shared" si="23"/>
        <v/>
      </c>
      <c r="BL536" s="121"/>
      <c r="BM536" s="5" t="str">
        <f t="shared" si="24"/>
        <v>MISSING</v>
      </c>
      <c r="BN536" s="120" t="b">
        <f t="shared" si="25"/>
        <v>0</v>
      </c>
      <c r="BO536" s="131" t="b">
        <f t="shared" si="26"/>
        <v>1</v>
      </c>
      <c r="BP536" s="121"/>
      <c r="BQ536" s="132" t="str">
        <f>VLOOKUP(A536,RAW_APS!A$3:O826,15,FALSE)</f>
        <v/>
      </c>
      <c r="BR536" s="120" t="b">
        <f t="shared" si="27"/>
        <v>1</v>
      </c>
      <c r="BS536" s="121"/>
      <c r="BT536" s="138" t="s">
        <v>244</v>
      </c>
      <c r="BU536" s="10" t="b">
        <f t="shared" si="28"/>
        <v>1</v>
      </c>
      <c r="BV536" s="120"/>
      <c r="BW536" s="120"/>
      <c r="BX536" s="120"/>
      <c r="BY536" s="120"/>
      <c r="BZ536" s="120"/>
      <c r="CA536" s="120"/>
      <c r="CB536" s="120"/>
      <c r="CC536" s="120"/>
    </row>
    <row r="537">
      <c r="A537" s="2" t="s">
        <v>1579</v>
      </c>
      <c r="B537" s="100">
        <v>44615.0</v>
      </c>
      <c r="C537" s="101">
        <v>0.3284375</v>
      </c>
      <c r="D537" s="102"/>
      <c r="E537" s="102"/>
      <c r="F537" s="102"/>
      <c r="G537" s="102"/>
      <c r="H537" s="102"/>
      <c r="I537" s="103"/>
      <c r="J537" s="103"/>
      <c r="K537" s="2" t="s">
        <v>52</v>
      </c>
      <c r="L537" s="100">
        <v>44615.0</v>
      </c>
      <c r="M537" s="101">
        <v>0.49125</v>
      </c>
      <c r="P537" s="104" t="b">
        <f>IFNA(IF(VLOOKUP($A537,'Add from APT'!$AA$2:$AC826,3,FALSE)&gt;0,TRUE,FALSE),"ER - NOT IN APT")</f>
        <v>0</v>
      </c>
      <c r="Q537" s="105" t="str">
        <f>IF(ISLOGICAL(P537),IF(P537,"ER - REPS IN APT", IFNA(VLOOKUP($A537,RAW_APT!$A$3:$M826,7,FALSE),"ER - NOT IN APT")),P537)</f>
        <v>Result</v>
      </c>
      <c r="R537" s="106" t="b">
        <f t="shared" si="2"/>
        <v>1</v>
      </c>
      <c r="S537" s="107">
        <f t="shared" si="3"/>
        <v>1</v>
      </c>
      <c r="T537" s="143"/>
      <c r="U537" s="142"/>
      <c r="V537" s="142"/>
      <c r="W537" s="142"/>
      <c r="X537" s="110" t="b">
        <f t="shared" si="4"/>
        <v>0</v>
      </c>
      <c r="Y537" s="111" t="b">
        <v>0</v>
      </c>
      <c r="Z537" s="104" t="str">
        <f t="shared" si="5"/>
        <v/>
      </c>
      <c r="AA537" s="112" t="b">
        <f t="shared" si="6"/>
        <v>0</v>
      </c>
      <c r="AB537" s="142" t="b">
        <v>0</v>
      </c>
      <c r="AC537" s="140">
        <v>276.0</v>
      </c>
      <c r="AD537" s="141" t="b">
        <v>0</v>
      </c>
      <c r="AE537" s="115">
        <f t="shared" si="7"/>
        <v>234.45</v>
      </c>
      <c r="AF537" s="116" t="b">
        <f t="shared" si="8"/>
        <v>0</v>
      </c>
      <c r="AG537" s="105" t="b">
        <f t="shared" si="9"/>
        <v>0</v>
      </c>
      <c r="AH537" s="140"/>
      <c r="AI537" s="140"/>
      <c r="AJ537" s="168">
        <v>2.7</v>
      </c>
      <c r="AK537" s="117" t="str">
        <f t="shared" si="10"/>
        <v>Negative</v>
      </c>
      <c r="AL537" s="141" t="s">
        <v>1544</v>
      </c>
      <c r="AM537" s="112" t="s">
        <v>310</v>
      </c>
      <c r="AN537" s="112" t="s">
        <v>311</v>
      </c>
      <c r="AO537" s="112" t="str">
        <f>IFERROR(__xludf.DUMMYFUNCTION("IF($AG537, ""DELETED"",TRIM(JOIN("" "",D537:E537)))"),"")</f>
        <v/>
      </c>
      <c r="AP537" s="112" t="str">
        <f t="shared" ref="AP537:AQ537" si="562">IF($AG537, "DELETED", TRIM(CONCATENATE(F537,I537,U537)))</f>
        <v/>
      </c>
      <c r="AQ537" s="112" t="str">
        <f t="shared" si="562"/>
        <v/>
      </c>
      <c r="AR537" s="112" t="str">
        <f>IFERROR(__xludf.DUMMYFUNCTION("IF($AG537, ""DELETED"", TRIM(JOIN("" "",AP537,AQ537)))"),"")</f>
        <v/>
      </c>
      <c r="AS537" s="118"/>
      <c r="AT537" s="110" t="b">
        <f t="shared" si="12"/>
        <v>0</v>
      </c>
      <c r="AU537" s="110" t="str">
        <f t="shared" si="13"/>
        <v/>
      </c>
      <c r="AV537" s="110" t="str">
        <f t="shared" si="14"/>
        <v/>
      </c>
      <c r="AW537" s="110" t="str">
        <f t="shared" si="15"/>
        <v/>
      </c>
      <c r="AX537" s="119" t="str">
        <f t="shared" si="16"/>
        <v/>
      </c>
      <c r="AY537" s="120"/>
      <c r="AZ537" s="121"/>
      <c r="BA537" s="122" t="str">
        <f t="shared" si="17"/>
        <v/>
      </c>
      <c r="BB537" s="34"/>
      <c r="BC537" s="121"/>
      <c r="BD537" s="136"/>
      <c r="BE537" s="125" t="str">
        <f t="shared" si="18"/>
        <v/>
      </c>
      <c r="BF537" s="126" t="str">
        <f t="shared" si="19"/>
        <v>FM450__44615_0.3284375</v>
      </c>
      <c r="BG537" s="127" t="str">
        <f t="shared" si="20"/>
        <v/>
      </c>
      <c r="BH537" s="137" t="s">
        <v>1580</v>
      </c>
      <c r="BI537" s="128" t="str">
        <f t="shared" si="21"/>
        <v>MA278</v>
      </c>
      <c r="BJ537" s="129" t="b">
        <f t="shared" si="22"/>
        <v>0</v>
      </c>
      <c r="BK537" s="128" t="str">
        <f t="shared" si="23"/>
        <v/>
      </c>
      <c r="BL537" s="121"/>
      <c r="BM537" s="5" t="str">
        <f t="shared" si="24"/>
        <v>MISSING</v>
      </c>
      <c r="BN537" s="120" t="b">
        <f t="shared" si="25"/>
        <v>0</v>
      </c>
      <c r="BO537" s="131" t="b">
        <f t="shared" si="26"/>
        <v>1</v>
      </c>
      <c r="BP537" s="121"/>
      <c r="BQ537" s="132" t="str">
        <f>VLOOKUP(A537,RAW_APS!A$3:O826,15,FALSE)</f>
        <v/>
      </c>
      <c r="BR537" s="120" t="b">
        <f t="shared" si="27"/>
        <v>1</v>
      </c>
      <c r="BS537" s="121"/>
      <c r="BT537" s="138" t="s">
        <v>244</v>
      </c>
      <c r="BU537" s="10" t="b">
        <f t="shared" si="28"/>
        <v>1</v>
      </c>
      <c r="BV537" s="120"/>
      <c r="BW537" s="120"/>
      <c r="BX537" s="120"/>
      <c r="BY537" s="120"/>
      <c r="BZ537" s="120"/>
      <c r="CA537" s="120"/>
      <c r="CB537" s="120"/>
      <c r="CC537" s="120"/>
    </row>
    <row r="538">
      <c r="A538" s="2" t="s">
        <v>1581</v>
      </c>
      <c r="B538" s="100">
        <v>44615.0</v>
      </c>
      <c r="C538" s="101">
        <v>0.33125</v>
      </c>
      <c r="D538" s="102"/>
      <c r="E538" s="102"/>
      <c r="F538" s="102"/>
      <c r="G538" s="102"/>
      <c r="H538" s="102"/>
      <c r="I538" s="103"/>
      <c r="J538" s="103"/>
      <c r="K538" s="2" t="s">
        <v>52</v>
      </c>
      <c r="L538" s="100">
        <v>44615.0</v>
      </c>
      <c r="M538" s="101">
        <v>0.49125</v>
      </c>
      <c r="P538" s="104" t="b">
        <f>IFNA(IF(VLOOKUP($A538,'Add from APT'!$AA$2:$AC826,3,FALSE)&gt;0,TRUE,FALSE),"ER - NOT IN APT")</f>
        <v>0</v>
      </c>
      <c r="Q538" s="105" t="str">
        <f>IF(ISLOGICAL(P538),IF(P538,"ER - REPS IN APT", IFNA(VLOOKUP($A538,RAW_APT!$A$3:$M826,7,FALSE),"ER - NOT IN APT")),P538)</f>
        <v>Result</v>
      </c>
      <c r="R538" s="106" t="b">
        <f t="shared" si="2"/>
        <v>1</v>
      </c>
      <c r="S538" s="107">
        <f t="shared" si="3"/>
        <v>1</v>
      </c>
      <c r="T538" s="143"/>
      <c r="U538" s="142"/>
      <c r="V538" s="142"/>
      <c r="W538" s="142"/>
      <c r="X538" s="110" t="b">
        <f t="shared" si="4"/>
        <v>0</v>
      </c>
      <c r="Y538" s="111" t="b">
        <v>0</v>
      </c>
      <c r="Z538" s="104" t="str">
        <f t="shared" si="5"/>
        <v/>
      </c>
      <c r="AA538" s="112" t="b">
        <f t="shared" si="6"/>
        <v>0</v>
      </c>
      <c r="AB538" s="142" t="b">
        <v>0</v>
      </c>
      <c r="AC538" s="140">
        <v>275.0</v>
      </c>
      <c r="AD538" s="141" t="b">
        <v>0</v>
      </c>
      <c r="AE538" s="115">
        <f t="shared" si="7"/>
        <v>230.4</v>
      </c>
      <c r="AF538" s="116" t="b">
        <f t="shared" si="8"/>
        <v>0</v>
      </c>
      <c r="AG538" s="105" t="b">
        <f t="shared" si="9"/>
        <v>0</v>
      </c>
      <c r="AH538" s="140"/>
      <c r="AI538" s="140"/>
      <c r="AJ538" s="168">
        <v>2.7</v>
      </c>
      <c r="AK538" s="117" t="str">
        <f t="shared" si="10"/>
        <v>Negative</v>
      </c>
      <c r="AL538" s="141" t="s">
        <v>1544</v>
      </c>
      <c r="AM538" s="112" t="s">
        <v>287</v>
      </c>
      <c r="AN538" s="112" t="s">
        <v>288</v>
      </c>
      <c r="AO538" s="112" t="str">
        <f>IFERROR(__xludf.DUMMYFUNCTION("IF($AG538, ""DELETED"",TRIM(JOIN("" "",D538:E538)))"),"")</f>
        <v/>
      </c>
      <c r="AP538" s="112" t="str">
        <f t="shared" ref="AP538:AQ538" si="563">IF($AG538, "DELETED", TRIM(CONCATENATE(F538,I538,U538)))</f>
        <v/>
      </c>
      <c r="AQ538" s="112" t="str">
        <f t="shared" si="563"/>
        <v/>
      </c>
      <c r="AR538" s="112" t="str">
        <f>IFERROR(__xludf.DUMMYFUNCTION("IF($AG538, ""DELETED"", TRIM(JOIN("" "",AP538,AQ538)))"),"")</f>
        <v/>
      </c>
      <c r="AS538" s="118"/>
      <c r="AT538" s="110" t="b">
        <f t="shared" si="12"/>
        <v>0</v>
      </c>
      <c r="AU538" s="110" t="str">
        <f t="shared" si="13"/>
        <v/>
      </c>
      <c r="AV538" s="110" t="str">
        <f t="shared" si="14"/>
        <v/>
      </c>
      <c r="AW538" s="110" t="str">
        <f t="shared" si="15"/>
        <v/>
      </c>
      <c r="AX538" s="119" t="str">
        <f t="shared" si="16"/>
        <v/>
      </c>
      <c r="AY538" s="120"/>
      <c r="AZ538" s="121"/>
      <c r="BA538" s="122" t="str">
        <f t="shared" si="17"/>
        <v/>
      </c>
      <c r="BB538" s="34"/>
      <c r="BC538" s="121"/>
      <c r="BD538" s="136"/>
      <c r="BE538" s="125" t="str">
        <f t="shared" si="18"/>
        <v/>
      </c>
      <c r="BF538" s="126" t="str">
        <f t="shared" si="19"/>
        <v>FM976__44615_0.33125</v>
      </c>
      <c r="BG538" s="127" t="str">
        <f t="shared" si="20"/>
        <v/>
      </c>
      <c r="BH538" s="137" t="s">
        <v>1582</v>
      </c>
      <c r="BI538" s="128" t="str">
        <f t="shared" si="21"/>
        <v>MA279</v>
      </c>
      <c r="BJ538" s="129" t="b">
        <f t="shared" si="22"/>
        <v>0</v>
      </c>
      <c r="BK538" s="128" t="str">
        <f t="shared" si="23"/>
        <v/>
      </c>
      <c r="BL538" s="121"/>
      <c r="BM538" s="5" t="str">
        <f t="shared" si="24"/>
        <v>MISSING</v>
      </c>
      <c r="BN538" s="120" t="b">
        <f t="shared" si="25"/>
        <v>0</v>
      </c>
      <c r="BO538" s="131" t="b">
        <f t="shared" si="26"/>
        <v>1</v>
      </c>
      <c r="BP538" s="121"/>
      <c r="BQ538" s="132" t="str">
        <f>VLOOKUP(A538,RAW_APS!A$3:O826,15,FALSE)</f>
        <v/>
      </c>
      <c r="BR538" s="120" t="b">
        <f t="shared" si="27"/>
        <v>1</v>
      </c>
      <c r="BS538" s="121"/>
      <c r="BT538" s="138" t="s">
        <v>244</v>
      </c>
      <c r="BU538" s="10" t="b">
        <f t="shared" si="28"/>
        <v>1</v>
      </c>
      <c r="BV538" s="120"/>
      <c r="BW538" s="120"/>
      <c r="BX538" s="120"/>
      <c r="BY538" s="120"/>
      <c r="BZ538" s="120"/>
      <c r="CA538" s="120"/>
      <c r="CB538" s="120"/>
      <c r="CC538" s="120"/>
    </row>
    <row r="539">
      <c r="A539" s="2" t="s">
        <v>1583</v>
      </c>
      <c r="B539" s="100">
        <v>44615.0</v>
      </c>
      <c r="C539" s="101">
        <v>0.3322569444444444</v>
      </c>
      <c r="D539" s="102"/>
      <c r="E539" s="102"/>
      <c r="F539" s="102"/>
      <c r="G539" s="102"/>
      <c r="H539" s="102"/>
      <c r="I539" s="103"/>
      <c r="J539" s="103"/>
      <c r="K539" s="2" t="s">
        <v>52</v>
      </c>
      <c r="L539" s="100">
        <v>44615.0</v>
      </c>
      <c r="M539" s="101">
        <v>0.49125</v>
      </c>
      <c r="P539" s="104" t="b">
        <f>IFNA(IF(VLOOKUP($A539,'Add from APT'!$AA$2:$AC826,3,FALSE)&gt;0,TRUE,FALSE),"ER - NOT IN APT")</f>
        <v>0</v>
      </c>
      <c r="Q539" s="105" t="str">
        <f>IF(ISLOGICAL(P539),IF(P539,"ER - REPS IN APT", IFNA(VLOOKUP($A539,RAW_APT!$A$3:$M826,7,FALSE),"ER - NOT IN APT")),P539)</f>
        <v>Result</v>
      </c>
      <c r="R539" s="106" t="b">
        <f t="shared" si="2"/>
        <v>1</v>
      </c>
      <c r="S539" s="107">
        <f t="shared" si="3"/>
        <v>1</v>
      </c>
      <c r="T539" s="143"/>
      <c r="U539" s="142"/>
      <c r="V539" s="142"/>
      <c r="W539" s="142"/>
      <c r="X539" s="110" t="b">
        <f t="shared" si="4"/>
        <v>0</v>
      </c>
      <c r="Y539" s="111" t="b">
        <v>0</v>
      </c>
      <c r="Z539" s="104" t="str">
        <f t="shared" si="5"/>
        <v/>
      </c>
      <c r="AA539" s="112" t="b">
        <f t="shared" si="6"/>
        <v>0</v>
      </c>
      <c r="AB539" s="142" t="b">
        <v>0</v>
      </c>
      <c r="AC539" s="140">
        <v>274.0</v>
      </c>
      <c r="AD539" s="141" t="b">
        <v>0</v>
      </c>
      <c r="AE539" s="115">
        <f t="shared" si="7"/>
        <v>228.95</v>
      </c>
      <c r="AF539" s="116" t="b">
        <f t="shared" si="8"/>
        <v>0</v>
      </c>
      <c r="AG539" s="105" t="b">
        <f t="shared" si="9"/>
        <v>0</v>
      </c>
      <c r="AH539" s="140"/>
      <c r="AI539" s="140"/>
      <c r="AJ539" s="168">
        <v>2.7</v>
      </c>
      <c r="AK539" s="117" t="str">
        <f t="shared" si="10"/>
        <v>Negative</v>
      </c>
      <c r="AL539" s="141" t="s">
        <v>1544</v>
      </c>
      <c r="AM539" s="112" t="s">
        <v>1402</v>
      </c>
      <c r="AN539" s="112" t="s">
        <v>1403</v>
      </c>
      <c r="AO539" s="112" t="str">
        <f>IFERROR(__xludf.DUMMYFUNCTION("IF($AG539, ""DELETED"",TRIM(JOIN("" "",D539:E539)))"),"")</f>
        <v/>
      </c>
      <c r="AP539" s="112" t="str">
        <f t="shared" ref="AP539:AQ539" si="564">IF($AG539, "DELETED", TRIM(CONCATENATE(F539,I539,U539)))</f>
        <v/>
      </c>
      <c r="AQ539" s="112" t="str">
        <f t="shared" si="564"/>
        <v/>
      </c>
      <c r="AR539" s="112" t="str">
        <f>IFERROR(__xludf.DUMMYFUNCTION("IF($AG539, ""DELETED"", TRIM(JOIN("" "",AP539,AQ539)))"),"")</f>
        <v/>
      </c>
      <c r="AS539" s="118"/>
      <c r="AT539" s="110" t="b">
        <f t="shared" si="12"/>
        <v>0</v>
      </c>
      <c r="AU539" s="110" t="str">
        <f t="shared" si="13"/>
        <v/>
      </c>
      <c r="AV539" s="110" t="str">
        <f t="shared" si="14"/>
        <v/>
      </c>
      <c r="AW539" s="110" t="str">
        <f t="shared" si="15"/>
        <v/>
      </c>
      <c r="AX539" s="119" t="str">
        <f t="shared" si="16"/>
        <v/>
      </c>
      <c r="AY539" s="120"/>
      <c r="AZ539" s="121"/>
      <c r="BA539" s="122" t="str">
        <f t="shared" si="17"/>
        <v/>
      </c>
      <c r="BB539" s="34"/>
      <c r="BC539" s="121"/>
      <c r="BD539" s="136"/>
      <c r="BE539" s="125" t="str">
        <f t="shared" si="18"/>
        <v/>
      </c>
      <c r="BF539" s="126" t="str">
        <f t="shared" si="19"/>
        <v>MA616__44615_0.332256944444444</v>
      </c>
      <c r="BG539" s="127" t="str">
        <f t="shared" si="20"/>
        <v/>
      </c>
      <c r="BH539" s="137" t="s">
        <v>1584</v>
      </c>
      <c r="BI539" s="128" t="str">
        <f t="shared" si="21"/>
        <v>MA281</v>
      </c>
      <c r="BJ539" s="129" t="b">
        <f t="shared" si="22"/>
        <v>0</v>
      </c>
      <c r="BK539" s="128" t="str">
        <f t="shared" si="23"/>
        <v/>
      </c>
      <c r="BL539" s="121"/>
      <c r="BM539" s="5" t="str">
        <f t="shared" si="24"/>
        <v>MISSING</v>
      </c>
      <c r="BN539" s="120" t="b">
        <f t="shared" si="25"/>
        <v>0</v>
      </c>
      <c r="BO539" s="131" t="b">
        <f t="shared" si="26"/>
        <v>1</v>
      </c>
      <c r="BP539" s="121"/>
      <c r="BQ539" s="132" t="str">
        <f>VLOOKUP(A539,RAW_APS!A$3:O826,15,FALSE)</f>
        <v/>
      </c>
      <c r="BR539" s="120" t="b">
        <f t="shared" si="27"/>
        <v>1</v>
      </c>
      <c r="BS539" s="121"/>
      <c r="BT539" s="138" t="s">
        <v>244</v>
      </c>
      <c r="BU539" s="10" t="b">
        <f t="shared" si="28"/>
        <v>1</v>
      </c>
      <c r="BV539" s="120"/>
      <c r="BW539" s="120"/>
      <c r="BX539" s="120"/>
      <c r="BY539" s="120"/>
      <c r="BZ539" s="120"/>
      <c r="CA539" s="120"/>
      <c r="CB539" s="120"/>
      <c r="CC539" s="120"/>
    </row>
    <row r="540">
      <c r="A540" s="2" t="s">
        <v>1585</v>
      </c>
      <c r="B540" s="100">
        <v>44615.0</v>
      </c>
      <c r="C540" s="101">
        <v>0.33231481481481484</v>
      </c>
      <c r="D540" s="102"/>
      <c r="E540" s="102"/>
      <c r="F540" s="102"/>
      <c r="G540" s="102"/>
      <c r="H540" s="102"/>
      <c r="I540" s="103"/>
      <c r="J540" s="103"/>
      <c r="K540" s="2" t="s">
        <v>52</v>
      </c>
      <c r="L540" s="100">
        <v>44615.0</v>
      </c>
      <c r="M540" s="101">
        <v>0.49125</v>
      </c>
      <c r="P540" s="104" t="b">
        <f>IFNA(IF(VLOOKUP($A540,'Add from APT'!$AA$2:$AC826,3,FALSE)&gt;0,TRUE,FALSE),"ER - NOT IN APT")</f>
        <v>0</v>
      </c>
      <c r="Q540" s="105" t="str">
        <f>IF(ISLOGICAL(P540),IF(P540,"ER - REPS IN APT", IFNA(VLOOKUP($A540,RAW_APT!$A$3:$M826,7,FALSE),"ER - NOT IN APT")),P540)</f>
        <v>Result</v>
      </c>
      <c r="R540" s="106" t="b">
        <f t="shared" si="2"/>
        <v>1</v>
      </c>
      <c r="S540" s="107">
        <f t="shared" si="3"/>
        <v>1</v>
      </c>
      <c r="T540" s="143"/>
      <c r="U540" s="142"/>
      <c r="V540" s="142"/>
      <c r="W540" s="142"/>
      <c r="X540" s="110" t="b">
        <f t="shared" si="4"/>
        <v>0</v>
      </c>
      <c r="Y540" s="111" t="b">
        <v>0</v>
      </c>
      <c r="Z540" s="104" t="str">
        <f t="shared" si="5"/>
        <v/>
      </c>
      <c r="AA540" s="112" t="b">
        <f t="shared" si="6"/>
        <v>0</v>
      </c>
      <c r="AB540" s="142" t="b">
        <v>0</v>
      </c>
      <c r="AC540" s="140">
        <v>273.0</v>
      </c>
      <c r="AD540" s="141" t="b">
        <v>0</v>
      </c>
      <c r="AE540" s="115">
        <f t="shared" si="7"/>
        <v>228.8666667</v>
      </c>
      <c r="AF540" s="116" t="b">
        <f t="shared" si="8"/>
        <v>0</v>
      </c>
      <c r="AG540" s="105" t="b">
        <f t="shared" si="9"/>
        <v>0</v>
      </c>
      <c r="AH540" s="140"/>
      <c r="AI540" s="140"/>
      <c r="AJ540" s="168">
        <v>2.7</v>
      </c>
      <c r="AK540" s="117" t="str">
        <f t="shared" si="10"/>
        <v>Negative</v>
      </c>
      <c r="AL540" s="141" t="s">
        <v>1544</v>
      </c>
      <c r="AM540" s="112" t="s">
        <v>508</v>
      </c>
      <c r="AN540" s="112" t="s">
        <v>1390</v>
      </c>
      <c r="AO540" s="112" t="str">
        <f>IFERROR(__xludf.DUMMYFUNCTION("IF($AG540, ""DELETED"",TRIM(JOIN("" "",D540:E540)))"),"")</f>
        <v/>
      </c>
      <c r="AP540" s="112" t="str">
        <f t="shared" ref="AP540:AQ540" si="565">IF($AG540, "DELETED", TRIM(CONCATENATE(F540,I540,U540)))</f>
        <v/>
      </c>
      <c r="AQ540" s="112" t="str">
        <f t="shared" si="565"/>
        <v/>
      </c>
      <c r="AR540" s="112" t="str">
        <f>IFERROR(__xludf.DUMMYFUNCTION("IF($AG540, ""DELETED"", TRIM(JOIN("" "",AP540,AQ540)))"),"")</f>
        <v/>
      </c>
      <c r="AS540" s="118"/>
      <c r="AT540" s="110" t="b">
        <f t="shared" si="12"/>
        <v>0</v>
      </c>
      <c r="AU540" s="110" t="str">
        <f t="shared" si="13"/>
        <v/>
      </c>
      <c r="AV540" s="110" t="str">
        <f t="shared" si="14"/>
        <v/>
      </c>
      <c r="AW540" s="110" t="str">
        <f t="shared" si="15"/>
        <v/>
      </c>
      <c r="AX540" s="119" t="str">
        <f t="shared" si="16"/>
        <v/>
      </c>
      <c r="AY540" s="120"/>
      <c r="AZ540" s="121"/>
      <c r="BA540" s="122" t="str">
        <f t="shared" si="17"/>
        <v/>
      </c>
      <c r="BB540" s="34"/>
      <c r="BC540" s="121"/>
      <c r="BD540" s="136"/>
      <c r="BE540" s="125" t="str">
        <f t="shared" si="18"/>
        <v/>
      </c>
      <c r="BF540" s="126" t="str">
        <f t="shared" si="19"/>
        <v>MA1041__44615_0.332314814814815</v>
      </c>
      <c r="BG540" s="127" t="str">
        <f t="shared" si="20"/>
        <v/>
      </c>
      <c r="BH540" s="137" t="s">
        <v>1586</v>
      </c>
      <c r="BI540" s="128" t="str">
        <f t="shared" si="21"/>
        <v>MA282</v>
      </c>
      <c r="BJ540" s="129" t="b">
        <f t="shared" si="22"/>
        <v>0</v>
      </c>
      <c r="BK540" s="128" t="str">
        <f t="shared" si="23"/>
        <v/>
      </c>
      <c r="BL540" s="121"/>
      <c r="BM540" s="5" t="str">
        <f t="shared" si="24"/>
        <v>MISSING</v>
      </c>
      <c r="BN540" s="120" t="b">
        <f t="shared" si="25"/>
        <v>0</v>
      </c>
      <c r="BO540" s="131" t="b">
        <f t="shared" si="26"/>
        <v>1</v>
      </c>
      <c r="BP540" s="121"/>
      <c r="BQ540" s="132" t="str">
        <f>VLOOKUP(A540,RAW_APS!A$3:O826,15,FALSE)</f>
        <v/>
      </c>
      <c r="BR540" s="120" t="b">
        <f t="shared" si="27"/>
        <v>1</v>
      </c>
      <c r="BS540" s="121"/>
      <c r="BT540" s="138" t="s">
        <v>244</v>
      </c>
      <c r="BU540" s="10" t="b">
        <f t="shared" si="28"/>
        <v>1</v>
      </c>
      <c r="BV540" s="120"/>
      <c r="BW540" s="120"/>
      <c r="BX540" s="120"/>
      <c r="BY540" s="120"/>
      <c r="BZ540" s="120"/>
      <c r="CA540" s="120"/>
      <c r="CB540" s="120"/>
      <c r="CC540" s="120"/>
    </row>
    <row r="541">
      <c r="A541" s="2" t="s">
        <v>1587</v>
      </c>
      <c r="B541" s="100">
        <v>44615.0</v>
      </c>
      <c r="C541" s="101">
        <v>0.33490740740740743</v>
      </c>
      <c r="D541" s="102"/>
      <c r="E541" s="102"/>
      <c r="F541" s="102"/>
      <c r="G541" s="102"/>
      <c r="H541" s="102"/>
      <c r="I541" s="103"/>
      <c r="J541" s="103"/>
      <c r="K541" s="2" t="s">
        <v>52</v>
      </c>
      <c r="L541" s="100">
        <v>44615.0</v>
      </c>
      <c r="M541" s="101">
        <v>0.49125</v>
      </c>
      <c r="P541" s="104" t="b">
        <f>IFNA(IF(VLOOKUP($A541,'Add from APT'!$AA$2:$AC826,3,FALSE)&gt;0,TRUE,FALSE),"ER - NOT IN APT")</f>
        <v>0</v>
      </c>
      <c r="Q541" s="105" t="str">
        <f>IF(ISLOGICAL(P541),IF(P541,"ER - REPS IN APT", IFNA(VLOOKUP($A541,RAW_APT!$A$3:$M826,7,FALSE),"ER - NOT IN APT")),P541)</f>
        <v>Result</v>
      </c>
      <c r="R541" s="106" t="b">
        <f t="shared" si="2"/>
        <v>1</v>
      </c>
      <c r="S541" s="107">
        <f t="shared" si="3"/>
        <v>1</v>
      </c>
      <c r="T541" s="143"/>
      <c r="U541" s="142"/>
      <c r="V541" s="142"/>
      <c r="W541" s="142"/>
      <c r="X541" s="110" t="b">
        <f t="shared" si="4"/>
        <v>0</v>
      </c>
      <c r="Y541" s="111" t="b">
        <v>0</v>
      </c>
      <c r="Z541" s="104" t="str">
        <f t="shared" si="5"/>
        <v/>
      </c>
      <c r="AA541" s="112" t="b">
        <f t="shared" si="6"/>
        <v>0</v>
      </c>
      <c r="AB541" s="142" t="b">
        <v>0</v>
      </c>
      <c r="AC541" s="140">
        <v>272.0</v>
      </c>
      <c r="AD541" s="141" t="b">
        <v>0</v>
      </c>
      <c r="AE541" s="115">
        <f t="shared" si="7"/>
        <v>225.1333333</v>
      </c>
      <c r="AF541" s="116" t="b">
        <f t="shared" si="8"/>
        <v>0</v>
      </c>
      <c r="AG541" s="105" t="b">
        <f t="shared" si="9"/>
        <v>0</v>
      </c>
      <c r="AH541" s="140"/>
      <c r="AI541" s="140"/>
      <c r="AJ541" s="168">
        <v>2.7</v>
      </c>
      <c r="AK541" s="117" t="str">
        <f t="shared" si="10"/>
        <v>Negative</v>
      </c>
      <c r="AL541" s="141" t="s">
        <v>1544</v>
      </c>
      <c r="AM541" s="112" t="s">
        <v>1290</v>
      </c>
      <c r="AN541" s="112" t="s">
        <v>1291</v>
      </c>
      <c r="AO541" s="112" t="str">
        <f>IFERROR(__xludf.DUMMYFUNCTION("IF($AG541, ""DELETED"",TRIM(JOIN("" "",D541:E541)))"),"")</f>
        <v/>
      </c>
      <c r="AP541" s="112" t="str">
        <f t="shared" ref="AP541:AQ541" si="566">IF($AG541, "DELETED", TRIM(CONCATENATE(F541,I541,U541)))</f>
        <v/>
      </c>
      <c r="AQ541" s="112" t="str">
        <f t="shared" si="566"/>
        <v/>
      </c>
      <c r="AR541" s="112" t="str">
        <f>IFERROR(__xludf.DUMMYFUNCTION("IF($AG541, ""DELETED"", TRIM(JOIN("" "",AP541,AQ541)))"),"")</f>
        <v/>
      </c>
      <c r="AS541" s="118"/>
      <c r="AT541" s="110" t="b">
        <f t="shared" si="12"/>
        <v>0</v>
      </c>
      <c r="AU541" s="110" t="str">
        <f t="shared" si="13"/>
        <v/>
      </c>
      <c r="AV541" s="110" t="str">
        <f t="shared" si="14"/>
        <v/>
      </c>
      <c r="AW541" s="110" t="str">
        <f t="shared" si="15"/>
        <v/>
      </c>
      <c r="AX541" s="119" t="str">
        <f t="shared" si="16"/>
        <v/>
      </c>
      <c r="AY541" s="120"/>
      <c r="AZ541" s="121"/>
      <c r="BA541" s="122" t="str">
        <f t="shared" si="17"/>
        <v/>
      </c>
      <c r="BB541" s="34"/>
      <c r="BC541" s="121"/>
      <c r="BD541" s="136"/>
      <c r="BE541" s="125" t="str">
        <f t="shared" si="18"/>
        <v/>
      </c>
      <c r="BF541" s="126" t="str">
        <f t="shared" si="19"/>
        <v>MA1108__44615_0.334907407407407</v>
      </c>
      <c r="BG541" s="127" t="str">
        <f t="shared" si="20"/>
        <v/>
      </c>
      <c r="BH541" s="137" t="s">
        <v>1588</v>
      </c>
      <c r="BI541" s="128" t="str">
        <f t="shared" si="21"/>
        <v>MA283</v>
      </c>
      <c r="BJ541" s="129" t="b">
        <f t="shared" si="22"/>
        <v>0</v>
      </c>
      <c r="BK541" s="128" t="str">
        <f t="shared" si="23"/>
        <v/>
      </c>
      <c r="BL541" s="121"/>
      <c r="BM541" s="5" t="str">
        <f t="shared" si="24"/>
        <v>MISSING</v>
      </c>
      <c r="BN541" s="120" t="b">
        <f t="shared" si="25"/>
        <v>0</v>
      </c>
      <c r="BO541" s="131" t="b">
        <f t="shared" si="26"/>
        <v>1</v>
      </c>
      <c r="BP541" s="121"/>
      <c r="BQ541" s="132" t="str">
        <f>VLOOKUP(A541,RAW_APS!A$3:O826,15,FALSE)</f>
        <v/>
      </c>
      <c r="BR541" s="120" t="b">
        <f t="shared" si="27"/>
        <v>1</v>
      </c>
      <c r="BS541" s="121"/>
      <c r="BT541" s="138" t="s">
        <v>244</v>
      </c>
      <c r="BU541" s="10" t="b">
        <f t="shared" si="28"/>
        <v>1</v>
      </c>
      <c r="BV541" s="120"/>
      <c r="BW541" s="120"/>
      <c r="BX541" s="120"/>
      <c r="BY541" s="120"/>
      <c r="BZ541" s="120"/>
      <c r="CA541" s="120"/>
      <c r="CB541" s="120"/>
      <c r="CC541" s="120"/>
    </row>
    <row r="542">
      <c r="A542" s="2" t="s">
        <v>1589</v>
      </c>
      <c r="B542" s="100">
        <v>44615.0</v>
      </c>
      <c r="C542" s="101">
        <v>0.3352893518518518</v>
      </c>
      <c r="D542" s="102"/>
      <c r="E542" s="102"/>
      <c r="F542" s="102"/>
      <c r="G542" s="102"/>
      <c r="H542" s="102"/>
      <c r="I542" s="103"/>
      <c r="J542" s="103"/>
      <c r="K542" s="2" t="s">
        <v>52</v>
      </c>
      <c r="L542" s="100">
        <v>44615.0</v>
      </c>
      <c r="M542" s="101">
        <v>0.49125</v>
      </c>
      <c r="P542" s="104" t="b">
        <f>IFNA(IF(VLOOKUP($A542,'Add from APT'!$AA$2:$AC826,3,FALSE)&gt;0,TRUE,FALSE),"ER - NOT IN APT")</f>
        <v>0</v>
      </c>
      <c r="Q542" s="105" t="str">
        <f>IF(ISLOGICAL(P542),IF(P542,"ER - REPS IN APT", IFNA(VLOOKUP($A542,RAW_APT!$A$3:$M826,7,FALSE),"ER - NOT IN APT")),P542)</f>
        <v>Result</v>
      </c>
      <c r="R542" s="106" t="b">
        <f t="shared" si="2"/>
        <v>1</v>
      </c>
      <c r="S542" s="107">
        <f t="shared" si="3"/>
        <v>1</v>
      </c>
      <c r="T542" s="143"/>
      <c r="U542" s="142"/>
      <c r="V542" s="142"/>
      <c r="W542" s="142"/>
      <c r="X542" s="110" t="b">
        <f t="shared" si="4"/>
        <v>0</v>
      </c>
      <c r="Y542" s="111" t="b">
        <v>0</v>
      </c>
      <c r="Z542" s="104" t="str">
        <f t="shared" si="5"/>
        <v/>
      </c>
      <c r="AA542" s="112" t="b">
        <f t="shared" si="6"/>
        <v>0</v>
      </c>
      <c r="AB542" s="142" t="b">
        <v>0</v>
      </c>
      <c r="AC542" s="140">
        <v>271.0</v>
      </c>
      <c r="AD542" s="141" t="b">
        <v>0</v>
      </c>
      <c r="AE542" s="115">
        <f t="shared" si="7"/>
        <v>224.5833333</v>
      </c>
      <c r="AF542" s="116" t="b">
        <f t="shared" si="8"/>
        <v>0</v>
      </c>
      <c r="AG542" s="105" t="b">
        <f t="shared" si="9"/>
        <v>0</v>
      </c>
      <c r="AH542" s="140"/>
      <c r="AI542" s="140"/>
      <c r="AJ542" s="168">
        <v>2.7</v>
      </c>
      <c r="AK542" s="117" t="str">
        <f t="shared" si="10"/>
        <v>Negative</v>
      </c>
      <c r="AL542" s="141" t="s">
        <v>1544</v>
      </c>
      <c r="AM542" s="112" t="s">
        <v>839</v>
      </c>
      <c r="AN542" s="112" t="s">
        <v>542</v>
      </c>
      <c r="AO542" s="112" t="str">
        <f>IFERROR(__xludf.DUMMYFUNCTION("IF($AG542, ""DELETED"",TRIM(JOIN("" "",D542:E542)))"),"")</f>
        <v/>
      </c>
      <c r="AP542" s="112" t="str">
        <f t="shared" ref="AP542:AQ542" si="567">IF($AG542, "DELETED", TRIM(CONCATENATE(F542,I542,U542)))</f>
        <v/>
      </c>
      <c r="AQ542" s="112" t="str">
        <f t="shared" si="567"/>
        <v/>
      </c>
      <c r="AR542" s="112" t="str">
        <f>IFERROR(__xludf.DUMMYFUNCTION("IF($AG542, ""DELETED"", TRIM(JOIN("" "",AP542,AQ542)))"),"")</f>
        <v/>
      </c>
      <c r="AS542" s="118"/>
      <c r="AT542" s="110" t="b">
        <f t="shared" si="12"/>
        <v>0</v>
      </c>
      <c r="AU542" s="110" t="str">
        <f t="shared" si="13"/>
        <v/>
      </c>
      <c r="AV542" s="110" t="str">
        <f t="shared" si="14"/>
        <v/>
      </c>
      <c r="AW542" s="110" t="str">
        <f t="shared" si="15"/>
        <v/>
      </c>
      <c r="AX542" s="119" t="str">
        <f t="shared" si="16"/>
        <v/>
      </c>
      <c r="AY542" s="120"/>
      <c r="AZ542" s="121"/>
      <c r="BA542" s="122" t="str">
        <f t="shared" si="17"/>
        <v/>
      </c>
      <c r="BB542" s="34"/>
      <c r="BC542" s="121"/>
      <c r="BD542" s="136"/>
      <c r="BE542" s="125" t="str">
        <f t="shared" si="18"/>
        <v/>
      </c>
      <c r="BF542" s="126" t="str">
        <f t="shared" si="19"/>
        <v>MA260__44615_0.335289351851852</v>
      </c>
      <c r="BG542" s="127" t="str">
        <f t="shared" si="20"/>
        <v/>
      </c>
      <c r="BH542" s="137" t="s">
        <v>1590</v>
      </c>
      <c r="BI542" s="128" t="str">
        <f t="shared" si="21"/>
        <v>MA284</v>
      </c>
      <c r="BJ542" s="129" t="b">
        <f t="shared" si="22"/>
        <v>0</v>
      </c>
      <c r="BK542" s="128" t="str">
        <f t="shared" si="23"/>
        <v/>
      </c>
      <c r="BL542" s="121"/>
      <c r="BM542" s="5" t="str">
        <f t="shared" si="24"/>
        <v>MISSING</v>
      </c>
      <c r="BN542" s="120" t="b">
        <f t="shared" si="25"/>
        <v>0</v>
      </c>
      <c r="BO542" s="131" t="b">
        <f t="shared" si="26"/>
        <v>1</v>
      </c>
      <c r="BP542" s="121"/>
      <c r="BQ542" s="132" t="str">
        <f>VLOOKUP(A542,RAW_APS!A$3:O826,15,FALSE)</f>
        <v/>
      </c>
      <c r="BR542" s="120" t="b">
        <f t="shared" si="27"/>
        <v>1</v>
      </c>
      <c r="BS542" s="121"/>
      <c r="BT542" s="138" t="s">
        <v>244</v>
      </c>
      <c r="BU542" s="10" t="b">
        <f t="shared" si="28"/>
        <v>1</v>
      </c>
      <c r="BV542" s="120"/>
      <c r="BW542" s="120"/>
      <c r="BX542" s="120"/>
      <c r="BY542" s="120"/>
      <c r="BZ542" s="120"/>
      <c r="CA542" s="120"/>
      <c r="CB542" s="120"/>
      <c r="CC542" s="120"/>
    </row>
    <row r="543">
      <c r="A543" s="2" t="s">
        <v>1591</v>
      </c>
      <c r="B543" s="100">
        <v>44615.0</v>
      </c>
      <c r="C543" s="101">
        <v>0.33663194444444444</v>
      </c>
      <c r="D543" s="102"/>
      <c r="E543" s="102"/>
      <c r="F543" s="102"/>
      <c r="G543" s="102"/>
      <c r="H543" s="102"/>
      <c r="I543" s="103"/>
      <c r="J543" s="103"/>
      <c r="K543" s="2" t="s">
        <v>52</v>
      </c>
      <c r="L543" s="100">
        <v>44615.0</v>
      </c>
      <c r="M543" s="101">
        <v>0.49125</v>
      </c>
      <c r="P543" s="104" t="b">
        <f>IFNA(IF(VLOOKUP($A543,'Add from APT'!$AA$2:$AC826,3,FALSE)&gt;0,TRUE,FALSE),"ER - NOT IN APT")</f>
        <v>0</v>
      </c>
      <c r="Q543" s="105" t="str">
        <f>IF(ISLOGICAL(P543),IF(P543,"ER - REPS IN APT", IFNA(VLOOKUP($A543,RAW_APT!$A$3:$M826,7,FALSE),"ER - NOT IN APT")),P543)</f>
        <v>Result</v>
      </c>
      <c r="R543" s="106" t="b">
        <f t="shared" si="2"/>
        <v>1</v>
      </c>
      <c r="S543" s="107">
        <f t="shared" si="3"/>
        <v>1</v>
      </c>
      <c r="T543" s="143"/>
      <c r="U543" s="142"/>
      <c r="V543" s="142"/>
      <c r="W543" s="142"/>
      <c r="X543" s="110" t="b">
        <f t="shared" si="4"/>
        <v>0</v>
      </c>
      <c r="Y543" s="111" t="b">
        <v>0</v>
      </c>
      <c r="Z543" s="104" t="str">
        <f t="shared" si="5"/>
        <v/>
      </c>
      <c r="AA543" s="112" t="b">
        <f t="shared" si="6"/>
        <v>0</v>
      </c>
      <c r="AB543" s="142" t="b">
        <v>0</v>
      </c>
      <c r="AC543" s="140">
        <v>270.0</v>
      </c>
      <c r="AD543" s="141" t="b">
        <v>0</v>
      </c>
      <c r="AE543" s="115">
        <f t="shared" si="7"/>
        <v>222.65</v>
      </c>
      <c r="AF543" s="116" t="b">
        <f t="shared" si="8"/>
        <v>0</v>
      </c>
      <c r="AG543" s="105" t="b">
        <f t="shared" si="9"/>
        <v>0</v>
      </c>
      <c r="AH543" s="140"/>
      <c r="AI543" s="140"/>
      <c r="AJ543" s="168">
        <v>2.7</v>
      </c>
      <c r="AK543" s="117" t="str">
        <f t="shared" si="10"/>
        <v>Negative</v>
      </c>
      <c r="AL543" s="141" t="s">
        <v>1544</v>
      </c>
      <c r="AM543" s="112" t="s">
        <v>1370</v>
      </c>
      <c r="AN543" s="112" t="s">
        <v>1371</v>
      </c>
      <c r="AO543" s="112" t="str">
        <f>IFERROR(__xludf.DUMMYFUNCTION("IF($AG543, ""DELETED"",TRIM(JOIN("" "",D543:E543)))"),"")</f>
        <v/>
      </c>
      <c r="AP543" s="112" t="str">
        <f t="shared" ref="AP543:AQ543" si="568">IF($AG543, "DELETED", TRIM(CONCATENATE(F543,I543,U543)))</f>
        <v/>
      </c>
      <c r="AQ543" s="112" t="str">
        <f t="shared" si="568"/>
        <v/>
      </c>
      <c r="AR543" s="112" t="str">
        <f>IFERROR(__xludf.DUMMYFUNCTION("IF($AG543, ""DELETED"", TRIM(JOIN("" "",AP543,AQ543)))"),"")</f>
        <v/>
      </c>
      <c r="AS543" s="118"/>
      <c r="AT543" s="110" t="b">
        <f t="shared" si="12"/>
        <v>0</v>
      </c>
      <c r="AU543" s="110" t="str">
        <f t="shared" si="13"/>
        <v/>
      </c>
      <c r="AV543" s="110" t="str">
        <f t="shared" si="14"/>
        <v/>
      </c>
      <c r="AW543" s="110" t="str">
        <f t="shared" si="15"/>
        <v/>
      </c>
      <c r="AX543" s="119" t="str">
        <f t="shared" si="16"/>
        <v/>
      </c>
      <c r="AY543" s="120"/>
      <c r="AZ543" s="121"/>
      <c r="BA543" s="122" t="str">
        <f t="shared" si="17"/>
        <v/>
      </c>
      <c r="BB543" s="34"/>
      <c r="BC543" s="121"/>
      <c r="BD543" s="136"/>
      <c r="BE543" s="125" t="str">
        <f t="shared" si="18"/>
        <v/>
      </c>
      <c r="BF543" s="126" t="str">
        <f t="shared" si="19"/>
        <v>FM829__44615_0.336631944444444</v>
      </c>
      <c r="BG543" s="127" t="str">
        <f t="shared" si="20"/>
        <v/>
      </c>
      <c r="BH543" s="137" t="s">
        <v>1592</v>
      </c>
      <c r="BI543" s="128" t="str">
        <f t="shared" si="21"/>
        <v>MA286</v>
      </c>
      <c r="BJ543" s="129" t="b">
        <f t="shared" si="22"/>
        <v>0</v>
      </c>
      <c r="BK543" s="128" t="str">
        <f t="shared" si="23"/>
        <v/>
      </c>
      <c r="BL543" s="121"/>
      <c r="BM543" s="5" t="str">
        <f t="shared" si="24"/>
        <v>MISSING</v>
      </c>
      <c r="BN543" s="120" t="b">
        <f t="shared" si="25"/>
        <v>0</v>
      </c>
      <c r="BO543" s="131" t="b">
        <f t="shared" si="26"/>
        <v>1</v>
      </c>
      <c r="BP543" s="121"/>
      <c r="BQ543" s="132" t="str">
        <f>VLOOKUP(A543,RAW_APS!A$3:O826,15,FALSE)</f>
        <v/>
      </c>
      <c r="BR543" s="120" t="b">
        <f t="shared" si="27"/>
        <v>1</v>
      </c>
      <c r="BS543" s="121"/>
      <c r="BT543" s="138" t="s">
        <v>244</v>
      </c>
      <c r="BU543" s="10" t="b">
        <f t="shared" si="28"/>
        <v>1</v>
      </c>
      <c r="BV543" s="120"/>
      <c r="BW543" s="120"/>
      <c r="BX543" s="120"/>
      <c r="BY543" s="120"/>
      <c r="BZ543" s="120"/>
      <c r="CA543" s="120"/>
      <c r="CB543" s="120"/>
      <c r="CC543" s="120"/>
    </row>
    <row r="544">
      <c r="A544" s="2" t="s">
        <v>1593</v>
      </c>
      <c r="B544" s="100">
        <v>44615.0</v>
      </c>
      <c r="C544" s="101">
        <v>0.33788194444444447</v>
      </c>
      <c r="D544" s="102"/>
      <c r="E544" s="102"/>
      <c r="F544" s="102"/>
      <c r="G544" s="102"/>
      <c r="H544" s="102"/>
      <c r="I544" s="103"/>
      <c r="J544" s="103"/>
      <c r="K544" s="2" t="s">
        <v>52</v>
      </c>
      <c r="L544" s="100">
        <v>44615.0</v>
      </c>
      <c r="M544" s="101">
        <v>0.49125</v>
      </c>
      <c r="P544" s="104" t="b">
        <f>IFNA(IF(VLOOKUP($A544,'Add from APT'!$AA$2:$AC826,3,FALSE)&gt;0,TRUE,FALSE),"ER - NOT IN APT")</f>
        <v>0</v>
      </c>
      <c r="Q544" s="105" t="str">
        <f>IF(ISLOGICAL(P544),IF(P544,"ER - REPS IN APT", IFNA(VLOOKUP($A544,RAW_APT!$A$3:$M826,7,FALSE),"ER - NOT IN APT")),P544)</f>
        <v>Result</v>
      </c>
      <c r="R544" s="106" t="b">
        <f t="shared" si="2"/>
        <v>1</v>
      </c>
      <c r="S544" s="107">
        <f t="shared" si="3"/>
        <v>1</v>
      </c>
      <c r="T544" s="143"/>
      <c r="U544" s="142"/>
      <c r="V544" s="142"/>
      <c r="W544" s="142"/>
      <c r="X544" s="110" t="b">
        <f t="shared" si="4"/>
        <v>0</v>
      </c>
      <c r="Y544" s="111" t="b">
        <v>0</v>
      </c>
      <c r="Z544" s="104" t="str">
        <f t="shared" si="5"/>
        <v/>
      </c>
      <c r="AA544" s="112" t="b">
        <f t="shared" si="6"/>
        <v>0</v>
      </c>
      <c r="AB544" s="142" t="b">
        <v>0</v>
      </c>
      <c r="AC544" s="140">
        <v>269.0</v>
      </c>
      <c r="AD544" s="141" t="b">
        <v>0</v>
      </c>
      <c r="AE544" s="115">
        <f t="shared" si="7"/>
        <v>220.85</v>
      </c>
      <c r="AF544" s="116" t="b">
        <f t="shared" si="8"/>
        <v>0</v>
      </c>
      <c r="AG544" s="105" t="b">
        <f t="shared" si="9"/>
        <v>0</v>
      </c>
      <c r="AH544" s="140"/>
      <c r="AI544" s="140"/>
      <c r="AJ544" s="168">
        <v>2.7</v>
      </c>
      <c r="AK544" s="117" t="str">
        <f t="shared" si="10"/>
        <v>Negative</v>
      </c>
      <c r="AL544" s="141" t="s">
        <v>1544</v>
      </c>
      <c r="AM544" s="112" t="s">
        <v>1270</v>
      </c>
      <c r="AN544" s="112" t="s">
        <v>1271</v>
      </c>
      <c r="AO544" s="112" t="str">
        <f>IFERROR(__xludf.DUMMYFUNCTION("IF($AG544, ""DELETED"",TRIM(JOIN("" "",D544:E544)))"),"")</f>
        <v/>
      </c>
      <c r="AP544" s="112" t="str">
        <f t="shared" ref="AP544:AQ544" si="569">IF($AG544, "DELETED", TRIM(CONCATENATE(F544,I544,U544)))</f>
        <v/>
      </c>
      <c r="AQ544" s="112" t="str">
        <f t="shared" si="569"/>
        <v/>
      </c>
      <c r="AR544" s="112" t="str">
        <f>IFERROR(__xludf.DUMMYFUNCTION("IF($AG544, ""DELETED"", TRIM(JOIN("" "",AP544,AQ544)))"),"")</f>
        <v/>
      </c>
      <c r="AS544" s="118"/>
      <c r="AT544" s="110" t="b">
        <f t="shared" si="12"/>
        <v>0</v>
      </c>
      <c r="AU544" s="110" t="str">
        <f t="shared" si="13"/>
        <v/>
      </c>
      <c r="AV544" s="110" t="str">
        <f t="shared" si="14"/>
        <v/>
      </c>
      <c r="AW544" s="110" t="str">
        <f t="shared" si="15"/>
        <v/>
      </c>
      <c r="AX544" s="119" t="str">
        <f t="shared" si="16"/>
        <v/>
      </c>
      <c r="AY544" s="120"/>
      <c r="AZ544" s="121"/>
      <c r="BA544" s="122" t="str">
        <f t="shared" si="17"/>
        <v/>
      </c>
      <c r="BB544" s="34"/>
      <c r="BC544" s="121"/>
      <c r="BD544" s="136"/>
      <c r="BE544" s="125" t="str">
        <f t="shared" si="18"/>
        <v/>
      </c>
      <c r="BF544" s="126" t="str">
        <f t="shared" si="19"/>
        <v>MA1028__44615_0.337881944444445</v>
      </c>
      <c r="BG544" s="127" t="str">
        <f t="shared" si="20"/>
        <v/>
      </c>
      <c r="BH544" s="137" t="s">
        <v>1594</v>
      </c>
      <c r="BI544" s="128" t="str">
        <f t="shared" si="21"/>
        <v>MA287</v>
      </c>
      <c r="BJ544" s="129" t="b">
        <f t="shared" si="22"/>
        <v>0</v>
      </c>
      <c r="BK544" s="128" t="str">
        <f t="shared" si="23"/>
        <v/>
      </c>
      <c r="BL544" s="121"/>
      <c r="BM544" s="5" t="str">
        <f t="shared" si="24"/>
        <v>MISSING</v>
      </c>
      <c r="BN544" s="120" t="b">
        <f t="shared" si="25"/>
        <v>0</v>
      </c>
      <c r="BO544" s="131" t="b">
        <f t="shared" si="26"/>
        <v>1</v>
      </c>
      <c r="BP544" s="121"/>
      <c r="BQ544" s="132" t="str">
        <f>VLOOKUP(A544,RAW_APS!A$3:O826,15,FALSE)</f>
        <v/>
      </c>
      <c r="BR544" s="120" t="b">
        <f t="shared" si="27"/>
        <v>1</v>
      </c>
      <c r="BS544" s="121"/>
      <c r="BT544" s="138" t="s">
        <v>244</v>
      </c>
      <c r="BU544" s="10" t="b">
        <f t="shared" si="28"/>
        <v>1</v>
      </c>
      <c r="BV544" s="120"/>
      <c r="BW544" s="120"/>
      <c r="BX544" s="120"/>
      <c r="BY544" s="120"/>
      <c r="BZ544" s="120"/>
      <c r="CA544" s="120"/>
      <c r="CB544" s="120"/>
      <c r="CC544" s="120"/>
    </row>
    <row r="545">
      <c r="A545" s="2" t="s">
        <v>1595</v>
      </c>
      <c r="B545" s="100">
        <v>44615.0</v>
      </c>
      <c r="C545" s="101">
        <v>0.3422685185185185</v>
      </c>
      <c r="D545" s="102"/>
      <c r="E545" s="102"/>
      <c r="F545" s="102"/>
      <c r="G545" s="102"/>
      <c r="H545" s="102"/>
      <c r="I545" s="103"/>
      <c r="J545" s="103"/>
      <c r="K545" s="2" t="s">
        <v>52</v>
      </c>
      <c r="L545" s="100">
        <v>44615.0</v>
      </c>
      <c r="M545" s="101">
        <v>0.49125</v>
      </c>
      <c r="P545" s="104" t="b">
        <f>IFNA(IF(VLOOKUP($A545,'Add from APT'!$AA$2:$AC826,3,FALSE)&gt;0,TRUE,FALSE),"ER - NOT IN APT")</f>
        <v>0</v>
      </c>
      <c r="Q545" s="105" t="str">
        <f>IF(ISLOGICAL(P545),IF(P545,"ER - REPS IN APT", IFNA(VLOOKUP($A545,RAW_APT!$A$3:$M826,7,FALSE),"ER - NOT IN APT")),P545)</f>
        <v>Result</v>
      </c>
      <c r="R545" s="106" t="b">
        <f t="shared" si="2"/>
        <v>1</v>
      </c>
      <c r="S545" s="107">
        <f t="shared" si="3"/>
        <v>1</v>
      </c>
      <c r="T545" s="143"/>
      <c r="U545" s="142"/>
      <c r="V545" s="142"/>
      <c r="W545" s="142"/>
      <c r="X545" s="110" t="b">
        <f t="shared" si="4"/>
        <v>0</v>
      </c>
      <c r="Y545" s="111" t="b">
        <v>0</v>
      </c>
      <c r="Z545" s="104" t="str">
        <f t="shared" si="5"/>
        <v/>
      </c>
      <c r="AA545" s="112" t="b">
        <f t="shared" si="6"/>
        <v>0</v>
      </c>
      <c r="AB545" s="142" t="b">
        <v>0</v>
      </c>
      <c r="AC545" s="140">
        <v>268.0</v>
      </c>
      <c r="AD545" s="141" t="b">
        <v>0</v>
      </c>
      <c r="AE545" s="115">
        <f t="shared" si="7"/>
        <v>214.5333333</v>
      </c>
      <c r="AF545" s="116" t="b">
        <f t="shared" si="8"/>
        <v>0</v>
      </c>
      <c r="AG545" s="105" t="b">
        <f t="shared" si="9"/>
        <v>0</v>
      </c>
      <c r="AH545" s="140"/>
      <c r="AI545" s="140"/>
      <c r="AJ545" s="168">
        <v>2.7</v>
      </c>
      <c r="AK545" s="117" t="str">
        <f t="shared" si="10"/>
        <v>Negative</v>
      </c>
      <c r="AL545" s="141" t="s">
        <v>1544</v>
      </c>
      <c r="AM545" s="112" t="s">
        <v>303</v>
      </c>
      <c r="AN545" s="112" t="s">
        <v>304</v>
      </c>
      <c r="AO545" s="112" t="str">
        <f>IFERROR(__xludf.DUMMYFUNCTION("IF($AG545, ""DELETED"",TRIM(JOIN("" "",D545:E545)))"),"")</f>
        <v/>
      </c>
      <c r="AP545" s="112" t="str">
        <f t="shared" ref="AP545:AQ545" si="570">IF($AG545, "DELETED", TRIM(CONCATENATE(F545,I545,U545)))</f>
        <v/>
      </c>
      <c r="AQ545" s="112" t="str">
        <f t="shared" si="570"/>
        <v/>
      </c>
      <c r="AR545" s="112" t="str">
        <f>IFERROR(__xludf.DUMMYFUNCTION("IF($AG545, ""DELETED"", TRIM(JOIN("" "",AP545,AQ545)))"),"")</f>
        <v/>
      </c>
      <c r="AS545" s="118"/>
      <c r="AT545" s="110" t="b">
        <f t="shared" si="12"/>
        <v>0</v>
      </c>
      <c r="AU545" s="110" t="str">
        <f t="shared" si="13"/>
        <v/>
      </c>
      <c r="AV545" s="110" t="str">
        <f t="shared" si="14"/>
        <v/>
      </c>
      <c r="AW545" s="110" t="str">
        <f t="shared" si="15"/>
        <v/>
      </c>
      <c r="AX545" s="119" t="str">
        <f t="shared" si="16"/>
        <v/>
      </c>
      <c r="AY545" s="120"/>
      <c r="AZ545" s="121"/>
      <c r="BA545" s="122" t="str">
        <f t="shared" si="17"/>
        <v/>
      </c>
      <c r="BB545" s="34"/>
      <c r="BC545" s="121"/>
      <c r="BD545" s="136"/>
      <c r="BE545" s="125" t="str">
        <f t="shared" si="18"/>
        <v/>
      </c>
      <c r="BF545" s="126" t="str">
        <f t="shared" si="19"/>
        <v>FM61__44615_0.342268518518519</v>
      </c>
      <c r="BG545" s="127" t="str">
        <f t="shared" si="20"/>
        <v/>
      </c>
      <c r="BH545" s="137" t="s">
        <v>1596</v>
      </c>
      <c r="BI545" s="128" t="str">
        <f t="shared" si="21"/>
        <v>MA288</v>
      </c>
      <c r="BJ545" s="129" t="b">
        <f t="shared" si="22"/>
        <v>0</v>
      </c>
      <c r="BK545" s="128" t="str">
        <f t="shared" si="23"/>
        <v/>
      </c>
      <c r="BL545" s="121"/>
      <c r="BM545" s="5" t="str">
        <f t="shared" si="24"/>
        <v>MISSING</v>
      </c>
      <c r="BN545" s="120" t="b">
        <f t="shared" si="25"/>
        <v>0</v>
      </c>
      <c r="BO545" s="131" t="b">
        <f t="shared" si="26"/>
        <v>1</v>
      </c>
      <c r="BP545" s="121"/>
      <c r="BQ545" s="132" t="str">
        <f>VLOOKUP(A545,RAW_APS!A$3:O826,15,FALSE)</f>
        <v/>
      </c>
      <c r="BR545" s="120" t="b">
        <f t="shared" si="27"/>
        <v>1</v>
      </c>
      <c r="BS545" s="121"/>
      <c r="BT545" s="138" t="s">
        <v>244</v>
      </c>
      <c r="BU545" s="10" t="b">
        <f t="shared" si="28"/>
        <v>1</v>
      </c>
      <c r="BV545" s="120"/>
      <c r="BW545" s="120"/>
      <c r="BX545" s="120"/>
      <c r="BY545" s="120"/>
      <c r="BZ545" s="120"/>
      <c r="CA545" s="120"/>
      <c r="CB545" s="120"/>
      <c r="CC545" s="120"/>
    </row>
    <row r="546">
      <c r="A546" s="2" t="s">
        <v>1597</v>
      </c>
      <c r="B546" s="100">
        <v>44615.0</v>
      </c>
      <c r="C546" s="101">
        <v>0.342349537037037</v>
      </c>
      <c r="D546" s="102"/>
      <c r="E546" s="102"/>
      <c r="F546" s="102"/>
      <c r="G546" s="102"/>
      <c r="H546" s="102"/>
      <c r="I546" s="103"/>
      <c r="J546" s="103"/>
      <c r="K546" s="2" t="s">
        <v>52</v>
      </c>
      <c r="L546" s="100">
        <v>44615.0</v>
      </c>
      <c r="M546" s="101">
        <v>0.49125</v>
      </c>
      <c r="P546" s="104" t="b">
        <f>IFNA(IF(VLOOKUP($A546,'Add from APT'!$AA$2:$AC826,3,FALSE)&gt;0,TRUE,FALSE),"ER - NOT IN APT")</f>
        <v>0</v>
      </c>
      <c r="Q546" s="105" t="str">
        <f>IF(ISLOGICAL(P546),IF(P546,"ER - REPS IN APT", IFNA(VLOOKUP($A546,RAW_APT!$A$3:$M826,7,FALSE),"ER - NOT IN APT")),P546)</f>
        <v>Result</v>
      </c>
      <c r="R546" s="106" t="b">
        <f t="shared" si="2"/>
        <v>1</v>
      </c>
      <c r="S546" s="107">
        <f t="shared" si="3"/>
        <v>1</v>
      </c>
      <c r="T546" s="143"/>
      <c r="U546" s="142"/>
      <c r="V546" s="142"/>
      <c r="W546" s="142"/>
      <c r="X546" s="110" t="b">
        <f t="shared" si="4"/>
        <v>0</v>
      </c>
      <c r="Y546" s="111" t="b">
        <v>0</v>
      </c>
      <c r="Z546" s="104" t="str">
        <f t="shared" si="5"/>
        <v/>
      </c>
      <c r="AA546" s="112" t="b">
        <f t="shared" si="6"/>
        <v>0</v>
      </c>
      <c r="AB546" s="142" t="b">
        <v>0</v>
      </c>
      <c r="AC546" s="140">
        <v>267.0</v>
      </c>
      <c r="AD546" s="141" t="b">
        <v>0</v>
      </c>
      <c r="AE546" s="115">
        <f t="shared" si="7"/>
        <v>214.4166667</v>
      </c>
      <c r="AF546" s="116" t="b">
        <f t="shared" si="8"/>
        <v>0</v>
      </c>
      <c r="AG546" s="105" t="b">
        <f t="shared" si="9"/>
        <v>0</v>
      </c>
      <c r="AH546" s="140"/>
      <c r="AI546" s="140"/>
      <c r="AJ546" s="168">
        <v>2.7</v>
      </c>
      <c r="AK546" s="117" t="str">
        <f t="shared" si="10"/>
        <v>Negative</v>
      </c>
      <c r="AL546" s="141" t="s">
        <v>1544</v>
      </c>
      <c r="AM546" s="112" t="s">
        <v>491</v>
      </c>
      <c r="AN546" s="112" t="s">
        <v>495</v>
      </c>
      <c r="AO546" s="112" t="str">
        <f>IFERROR(__xludf.DUMMYFUNCTION("IF($AG546, ""DELETED"",TRIM(JOIN("" "",D546:E546)))"),"")</f>
        <v/>
      </c>
      <c r="AP546" s="112" t="str">
        <f t="shared" ref="AP546:AQ546" si="571">IF($AG546, "DELETED", TRIM(CONCATENATE(F546,I546,U546)))</f>
        <v/>
      </c>
      <c r="AQ546" s="112" t="str">
        <f t="shared" si="571"/>
        <v/>
      </c>
      <c r="AR546" s="112" t="str">
        <f>IFERROR(__xludf.DUMMYFUNCTION("IF($AG546, ""DELETED"", TRIM(JOIN("" "",AP546,AQ546)))"),"")</f>
        <v/>
      </c>
      <c r="AS546" s="118"/>
      <c r="AT546" s="110" t="b">
        <f t="shared" si="12"/>
        <v>0</v>
      </c>
      <c r="AU546" s="110" t="str">
        <f t="shared" si="13"/>
        <v/>
      </c>
      <c r="AV546" s="110" t="str">
        <f t="shared" si="14"/>
        <v/>
      </c>
      <c r="AW546" s="110" t="str">
        <f t="shared" si="15"/>
        <v/>
      </c>
      <c r="AX546" s="119" t="str">
        <f t="shared" si="16"/>
        <v/>
      </c>
      <c r="AY546" s="120"/>
      <c r="AZ546" s="121"/>
      <c r="BA546" s="122" t="str">
        <f t="shared" si="17"/>
        <v/>
      </c>
      <c r="BB546" s="34"/>
      <c r="BC546" s="121"/>
      <c r="BD546" s="136"/>
      <c r="BE546" s="125" t="str">
        <f t="shared" si="18"/>
        <v/>
      </c>
      <c r="BF546" s="126" t="str">
        <f t="shared" si="19"/>
        <v>FM62__44615_0.342349537037037</v>
      </c>
      <c r="BG546" s="127" t="str">
        <f t="shared" si="20"/>
        <v/>
      </c>
      <c r="BH546" s="137" t="s">
        <v>1598</v>
      </c>
      <c r="BI546" s="128" t="str">
        <f t="shared" si="21"/>
        <v>MA290</v>
      </c>
      <c r="BJ546" s="129" t="b">
        <f t="shared" si="22"/>
        <v>0</v>
      </c>
      <c r="BK546" s="128" t="str">
        <f t="shared" si="23"/>
        <v/>
      </c>
      <c r="BL546" s="121"/>
      <c r="BM546" s="5" t="str">
        <f t="shared" si="24"/>
        <v>MISSING</v>
      </c>
      <c r="BN546" s="120" t="b">
        <f t="shared" si="25"/>
        <v>0</v>
      </c>
      <c r="BO546" s="131" t="b">
        <f t="shared" si="26"/>
        <v>1</v>
      </c>
      <c r="BP546" s="121"/>
      <c r="BQ546" s="132" t="str">
        <f>VLOOKUP(A546,RAW_APS!A$3:O826,15,FALSE)</f>
        <v/>
      </c>
      <c r="BR546" s="120" t="b">
        <f t="shared" si="27"/>
        <v>1</v>
      </c>
      <c r="BS546" s="121"/>
      <c r="BT546" s="138" t="s">
        <v>244</v>
      </c>
      <c r="BU546" s="10" t="b">
        <f t="shared" si="28"/>
        <v>1</v>
      </c>
      <c r="BV546" s="120"/>
      <c r="BW546" s="120"/>
      <c r="BX546" s="120"/>
      <c r="BY546" s="120"/>
      <c r="BZ546" s="120"/>
      <c r="CA546" s="120"/>
      <c r="CB546" s="120"/>
      <c r="CC546" s="120"/>
    </row>
    <row r="547">
      <c r="A547" s="2" t="s">
        <v>1599</v>
      </c>
      <c r="B547" s="100">
        <v>44615.0</v>
      </c>
      <c r="C547" s="101">
        <v>0.34300925925925924</v>
      </c>
      <c r="D547" s="102"/>
      <c r="E547" s="102"/>
      <c r="F547" s="102"/>
      <c r="G547" s="102"/>
      <c r="H547" s="102"/>
      <c r="I547" s="103"/>
      <c r="J547" s="103"/>
      <c r="K547" s="2" t="s">
        <v>52</v>
      </c>
      <c r="L547" s="100">
        <v>44615.0</v>
      </c>
      <c r="M547" s="101">
        <v>0.49125</v>
      </c>
      <c r="P547" s="104" t="b">
        <f>IFNA(IF(VLOOKUP($A547,'Add from APT'!$AA$2:$AC826,3,FALSE)&gt;0,TRUE,FALSE),"ER - NOT IN APT")</f>
        <v>0</v>
      </c>
      <c r="Q547" s="105" t="str">
        <f>IF(ISLOGICAL(P547),IF(P547,"ER - REPS IN APT", IFNA(VLOOKUP($A547,RAW_APT!$A$3:$M826,7,FALSE),"ER - NOT IN APT")),P547)</f>
        <v>Result</v>
      </c>
      <c r="R547" s="106" t="b">
        <f t="shared" si="2"/>
        <v>1</v>
      </c>
      <c r="S547" s="107">
        <f t="shared" si="3"/>
        <v>1</v>
      </c>
      <c r="T547" s="143"/>
      <c r="U547" s="142"/>
      <c r="V547" s="142"/>
      <c r="W547" s="142"/>
      <c r="X547" s="110" t="b">
        <f t="shared" si="4"/>
        <v>0</v>
      </c>
      <c r="Y547" s="111" t="b">
        <v>0</v>
      </c>
      <c r="Z547" s="104" t="str">
        <f t="shared" si="5"/>
        <v/>
      </c>
      <c r="AA547" s="112" t="b">
        <f t="shared" si="6"/>
        <v>0</v>
      </c>
      <c r="AB547" s="142" t="b">
        <v>0</v>
      </c>
      <c r="AC547" s="140">
        <v>266.0</v>
      </c>
      <c r="AD547" s="141" t="b">
        <v>0</v>
      </c>
      <c r="AE547" s="115">
        <f t="shared" si="7"/>
        <v>213.4666667</v>
      </c>
      <c r="AF547" s="116" t="b">
        <f t="shared" si="8"/>
        <v>0</v>
      </c>
      <c r="AG547" s="105" t="b">
        <f t="shared" si="9"/>
        <v>0</v>
      </c>
      <c r="AH547" s="140"/>
      <c r="AI547" s="140"/>
      <c r="AJ547" s="168">
        <v>2.7</v>
      </c>
      <c r="AK547" s="117" t="str">
        <f t="shared" si="10"/>
        <v>Negative</v>
      </c>
      <c r="AL547" s="141" t="s">
        <v>1544</v>
      </c>
      <c r="AM547" s="112" t="s">
        <v>295</v>
      </c>
      <c r="AN547" s="112" t="s">
        <v>296</v>
      </c>
      <c r="AO547" s="112" t="str">
        <f>IFERROR(__xludf.DUMMYFUNCTION("IF($AG547, ""DELETED"",TRIM(JOIN("" "",D547:E547)))"),"")</f>
        <v/>
      </c>
      <c r="AP547" s="112" t="str">
        <f t="shared" ref="AP547:AQ547" si="572">IF($AG547, "DELETED", TRIM(CONCATENATE(F547,I547,U547)))</f>
        <v/>
      </c>
      <c r="AQ547" s="112" t="str">
        <f t="shared" si="572"/>
        <v/>
      </c>
      <c r="AR547" s="112" t="str">
        <f>IFERROR(__xludf.DUMMYFUNCTION("IF($AG547, ""DELETED"", TRIM(JOIN("" "",AP547,AQ547)))"),"")</f>
        <v/>
      </c>
      <c r="AS547" s="118"/>
      <c r="AT547" s="110" t="b">
        <f t="shared" si="12"/>
        <v>0</v>
      </c>
      <c r="AU547" s="110" t="str">
        <f t="shared" si="13"/>
        <v/>
      </c>
      <c r="AV547" s="110" t="str">
        <f t="shared" si="14"/>
        <v/>
      </c>
      <c r="AW547" s="110" t="str">
        <f t="shared" si="15"/>
        <v/>
      </c>
      <c r="AX547" s="119" t="str">
        <f t="shared" si="16"/>
        <v/>
      </c>
      <c r="AY547" s="120"/>
      <c r="AZ547" s="121"/>
      <c r="BA547" s="122" t="str">
        <f t="shared" si="17"/>
        <v/>
      </c>
      <c r="BB547" s="34"/>
      <c r="BC547" s="121"/>
      <c r="BD547" s="136"/>
      <c r="BE547" s="125" t="str">
        <f t="shared" si="18"/>
        <v/>
      </c>
      <c r="BF547" s="126" t="str">
        <f t="shared" si="19"/>
        <v>MA1223__44615_0.343009259259259</v>
      </c>
      <c r="BG547" s="127" t="str">
        <f t="shared" si="20"/>
        <v/>
      </c>
      <c r="BH547" s="137" t="s">
        <v>1600</v>
      </c>
      <c r="BI547" s="128" t="str">
        <f t="shared" si="21"/>
        <v>MA291</v>
      </c>
      <c r="BJ547" s="129" t="b">
        <f t="shared" si="22"/>
        <v>0</v>
      </c>
      <c r="BK547" s="128" t="str">
        <f t="shared" si="23"/>
        <v/>
      </c>
      <c r="BL547" s="121"/>
      <c r="BM547" s="5" t="str">
        <f t="shared" si="24"/>
        <v>MISSING</v>
      </c>
      <c r="BN547" s="120" t="b">
        <f t="shared" si="25"/>
        <v>0</v>
      </c>
      <c r="BO547" s="131" t="b">
        <f t="shared" si="26"/>
        <v>1</v>
      </c>
      <c r="BP547" s="121"/>
      <c r="BQ547" s="132" t="str">
        <f>VLOOKUP(A547,RAW_APS!A$3:O826,15,FALSE)</f>
        <v/>
      </c>
      <c r="BR547" s="120" t="b">
        <f t="shared" si="27"/>
        <v>1</v>
      </c>
      <c r="BS547" s="121"/>
      <c r="BT547" s="138" t="s">
        <v>244</v>
      </c>
      <c r="BU547" s="10" t="b">
        <f t="shared" si="28"/>
        <v>1</v>
      </c>
      <c r="BV547" s="120"/>
      <c r="BW547" s="120"/>
      <c r="BX547" s="120"/>
      <c r="BY547" s="120"/>
      <c r="BZ547" s="120"/>
      <c r="CA547" s="120"/>
      <c r="CB547" s="120"/>
      <c r="CC547" s="120"/>
    </row>
    <row r="548">
      <c r="A548" s="2" t="s">
        <v>1601</v>
      </c>
      <c r="B548" s="100">
        <v>44615.0</v>
      </c>
      <c r="C548" s="101">
        <v>0.3431828703703704</v>
      </c>
      <c r="D548" s="102"/>
      <c r="E548" s="102"/>
      <c r="F548" s="102"/>
      <c r="G548" s="102"/>
      <c r="H548" s="102"/>
      <c r="I548" s="103"/>
      <c r="J548" s="103"/>
      <c r="K548" s="2" t="s">
        <v>52</v>
      </c>
      <c r="L548" s="100">
        <v>44615.0</v>
      </c>
      <c r="M548" s="101">
        <v>0.49125</v>
      </c>
      <c r="P548" s="104" t="b">
        <f>IFNA(IF(VLOOKUP($A548,'Add from APT'!$AA$2:$AC826,3,FALSE)&gt;0,TRUE,FALSE),"ER - NOT IN APT")</f>
        <v>0</v>
      </c>
      <c r="Q548" s="105" t="str">
        <f>IF(ISLOGICAL(P548),IF(P548,"ER - REPS IN APT", IFNA(VLOOKUP($A548,RAW_APT!$A$3:$M826,7,FALSE),"ER - NOT IN APT")),P548)</f>
        <v>Result</v>
      </c>
      <c r="R548" s="106" t="b">
        <f t="shared" si="2"/>
        <v>1</v>
      </c>
      <c r="S548" s="107">
        <f t="shared" si="3"/>
        <v>1</v>
      </c>
      <c r="T548" s="143"/>
      <c r="U548" s="142"/>
      <c r="V548" s="142"/>
      <c r="W548" s="142"/>
      <c r="X548" s="110" t="b">
        <f t="shared" si="4"/>
        <v>0</v>
      </c>
      <c r="Y548" s="111" t="b">
        <v>0</v>
      </c>
      <c r="Z548" s="104" t="str">
        <f t="shared" si="5"/>
        <v/>
      </c>
      <c r="AA548" s="112" t="b">
        <f t="shared" si="6"/>
        <v>0</v>
      </c>
      <c r="AB548" s="142" t="b">
        <v>0</v>
      </c>
      <c r="AC548" s="140">
        <v>265.0</v>
      </c>
      <c r="AD548" s="141" t="b">
        <v>0</v>
      </c>
      <c r="AE548" s="115">
        <f t="shared" si="7"/>
        <v>213.2166667</v>
      </c>
      <c r="AF548" s="116" t="b">
        <f t="shared" si="8"/>
        <v>0</v>
      </c>
      <c r="AG548" s="105" t="b">
        <f t="shared" si="9"/>
        <v>0</v>
      </c>
      <c r="AH548" s="140"/>
      <c r="AI548" s="140"/>
      <c r="AJ548" s="168">
        <v>2.7</v>
      </c>
      <c r="AK548" s="117" t="str">
        <f t="shared" si="10"/>
        <v>Negative</v>
      </c>
      <c r="AL548" s="141" t="s">
        <v>1544</v>
      </c>
      <c r="AM548" s="112" t="s">
        <v>762</v>
      </c>
      <c r="AN548" s="112" t="s">
        <v>763</v>
      </c>
      <c r="AO548" s="112" t="str">
        <f>IFERROR(__xludf.DUMMYFUNCTION("IF($AG548, ""DELETED"",TRIM(JOIN("" "",D548:E548)))"),"")</f>
        <v/>
      </c>
      <c r="AP548" s="112" t="str">
        <f t="shared" ref="AP548:AQ548" si="573">IF($AG548, "DELETED", TRIM(CONCATENATE(F548,I548,U548)))</f>
        <v/>
      </c>
      <c r="AQ548" s="112" t="str">
        <f t="shared" si="573"/>
        <v/>
      </c>
      <c r="AR548" s="112" t="str">
        <f>IFERROR(__xludf.DUMMYFUNCTION("IF($AG548, ""DELETED"", TRIM(JOIN("" "",AP548,AQ548)))"),"")</f>
        <v/>
      </c>
      <c r="AS548" s="118"/>
      <c r="AT548" s="110" t="b">
        <f t="shared" si="12"/>
        <v>0</v>
      </c>
      <c r="AU548" s="110" t="str">
        <f t="shared" si="13"/>
        <v/>
      </c>
      <c r="AV548" s="110" t="str">
        <f t="shared" si="14"/>
        <v/>
      </c>
      <c r="AW548" s="110" t="str">
        <f t="shared" si="15"/>
        <v/>
      </c>
      <c r="AX548" s="119" t="str">
        <f t="shared" si="16"/>
        <v/>
      </c>
      <c r="AY548" s="120"/>
      <c r="AZ548" s="121"/>
      <c r="BA548" s="122" t="str">
        <f t="shared" si="17"/>
        <v/>
      </c>
      <c r="BB548" s="34"/>
      <c r="BC548" s="121"/>
      <c r="BD548" s="136"/>
      <c r="BE548" s="125" t="str">
        <f t="shared" si="18"/>
        <v/>
      </c>
      <c r="BF548" s="126" t="str">
        <f t="shared" si="19"/>
        <v>MA1267__44615_0.34318287037037</v>
      </c>
      <c r="BG548" s="127" t="str">
        <f t="shared" si="20"/>
        <v/>
      </c>
      <c r="BH548" s="137" t="s">
        <v>1602</v>
      </c>
      <c r="BI548" s="128" t="str">
        <f t="shared" si="21"/>
        <v>MA292</v>
      </c>
      <c r="BJ548" s="129" t="b">
        <f t="shared" si="22"/>
        <v>0</v>
      </c>
      <c r="BK548" s="128" t="str">
        <f t="shared" si="23"/>
        <v/>
      </c>
      <c r="BL548" s="121"/>
      <c r="BM548" s="5" t="str">
        <f t="shared" si="24"/>
        <v>MISSING</v>
      </c>
      <c r="BN548" s="120" t="b">
        <f t="shared" si="25"/>
        <v>0</v>
      </c>
      <c r="BO548" s="131" t="b">
        <f t="shared" si="26"/>
        <v>1</v>
      </c>
      <c r="BP548" s="121"/>
      <c r="BQ548" s="132" t="str">
        <f>VLOOKUP(A548,RAW_APS!A$3:O826,15,FALSE)</f>
        <v/>
      </c>
      <c r="BR548" s="120" t="b">
        <f t="shared" si="27"/>
        <v>1</v>
      </c>
      <c r="BS548" s="121"/>
      <c r="BT548" s="138" t="s">
        <v>244</v>
      </c>
      <c r="BU548" s="10" t="b">
        <f t="shared" si="28"/>
        <v>1</v>
      </c>
      <c r="BV548" s="120"/>
      <c r="BW548" s="120"/>
      <c r="BX548" s="120"/>
      <c r="BY548" s="120"/>
      <c r="BZ548" s="120"/>
      <c r="CA548" s="120"/>
      <c r="CB548" s="120"/>
      <c r="CC548" s="120"/>
    </row>
    <row r="549">
      <c r="A549" s="2" t="s">
        <v>1603</v>
      </c>
      <c r="B549" s="100">
        <v>44615.0</v>
      </c>
      <c r="C549" s="101">
        <v>0.3433217592592593</v>
      </c>
      <c r="D549" s="102"/>
      <c r="E549" s="102"/>
      <c r="F549" s="102"/>
      <c r="G549" s="102"/>
      <c r="H549" s="102"/>
      <c r="I549" s="103"/>
      <c r="J549" s="103"/>
      <c r="K549" s="2" t="s">
        <v>52</v>
      </c>
      <c r="L549" s="100">
        <v>44615.0</v>
      </c>
      <c r="M549" s="101">
        <v>0.49126157407407406</v>
      </c>
      <c r="P549" s="104" t="b">
        <f>IFNA(IF(VLOOKUP($A549,'Add from APT'!$AA$2:$AC826,3,FALSE)&gt;0,TRUE,FALSE),"ER - NOT IN APT")</f>
        <v>0</v>
      </c>
      <c r="Q549" s="105" t="str">
        <f>IF(ISLOGICAL(P549),IF(P549,"ER - REPS IN APT", IFNA(VLOOKUP($A549,RAW_APT!$A$3:$M826,7,FALSE),"ER - NOT IN APT")),P549)</f>
        <v>Result</v>
      </c>
      <c r="R549" s="106" t="b">
        <f t="shared" si="2"/>
        <v>1</v>
      </c>
      <c r="S549" s="107">
        <f t="shared" si="3"/>
        <v>1</v>
      </c>
      <c r="T549" s="143"/>
      <c r="U549" s="142"/>
      <c r="V549" s="142"/>
      <c r="W549" s="142"/>
      <c r="X549" s="110" t="b">
        <f t="shared" si="4"/>
        <v>0</v>
      </c>
      <c r="Y549" s="111" t="b">
        <v>0</v>
      </c>
      <c r="Z549" s="104" t="str">
        <f t="shared" si="5"/>
        <v/>
      </c>
      <c r="AA549" s="112" t="b">
        <f t="shared" si="6"/>
        <v>0</v>
      </c>
      <c r="AB549" s="142" t="b">
        <v>0</v>
      </c>
      <c r="AC549" s="140">
        <v>264.0</v>
      </c>
      <c r="AD549" s="141" t="b">
        <v>0</v>
      </c>
      <c r="AE549" s="115">
        <f t="shared" si="7"/>
        <v>213.0333333</v>
      </c>
      <c r="AF549" s="116" t="b">
        <f t="shared" si="8"/>
        <v>0</v>
      </c>
      <c r="AG549" s="105" t="b">
        <f t="shared" si="9"/>
        <v>0</v>
      </c>
      <c r="AH549" s="140"/>
      <c r="AI549" s="140"/>
      <c r="AJ549" s="168">
        <v>2.7</v>
      </c>
      <c r="AK549" s="117" t="str">
        <f t="shared" si="10"/>
        <v>Negative</v>
      </c>
      <c r="AL549" s="141" t="s">
        <v>1544</v>
      </c>
      <c r="AM549" s="112" t="s">
        <v>731</v>
      </c>
      <c r="AN549" s="112" t="s">
        <v>732</v>
      </c>
      <c r="AO549" s="112" t="str">
        <f>IFERROR(__xludf.DUMMYFUNCTION("IF($AG549, ""DELETED"",TRIM(JOIN("" "",D549:E549)))"),"")</f>
        <v/>
      </c>
      <c r="AP549" s="112" t="str">
        <f t="shared" ref="AP549:AQ549" si="574">IF($AG549, "DELETED", TRIM(CONCATENATE(F549,I549,U549)))</f>
        <v/>
      </c>
      <c r="AQ549" s="112" t="str">
        <f t="shared" si="574"/>
        <v/>
      </c>
      <c r="AR549" s="112" t="str">
        <f>IFERROR(__xludf.DUMMYFUNCTION("IF($AG549, ""DELETED"", TRIM(JOIN("" "",AP549,AQ549)))"),"")</f>
        <v/>
      </c>
      <c r="AS549" s="118"/>
      <c r="AT549" s="110" t="b">
        <f t="shared" si="12"/>
        <v>0</v>
      </c>
      <c r="AU549" s="110" t="str">
        <f t="shared" si="13"/>
        <v/>
      </c>
      <c r="AV549" s="110" t="str">
        <f t="shared" si="14"/>
        <v/>
      </c>
      <c r="AW549" s="110" t="str">
        <f t="shared" si="15"/>
        <v/>
      </c>
      <c r="AX549" s="119" t="str">
        <f t="shared" si="16"/>
        <v/>
      </c>
      <c r="AY549" s="120"/>
      <c r="AZ549" s="121"/>
      <c r="BA549" s="122" t="str">
        <f t="shared" si="17"/>
        <v/>
      </c>
      <c r="BB549" s="34"/>
      <c r="BC549" s="121"/>
      <c r="BD549" s="136"/>
      <c r="BE549" s="125" t="str">
        <f t="shared" si="18"/>
        <v/>
      </c>
      <c r="BF549" s="126" t="str">
        <f t="shared" si="19"/>
        <v>MA1201__44615_0.343321759259259</v>
      </c>
      <c r="BG549" s="127" t="str">
        <f t="shared" si="20"/>
        <v/>
      </c>
      <c r="BH549" s="137" t="s">
        <v>1604</v>
      </c>
      <c r="BI549" s="128" t="str">
        <f t="shared" si="21"/>
        <v>MA294</v>
      </c>
      <c r="BJ549" s="129" t="b">
        <f t="shared" si="22"/>
        <v>0</v>
      </c>
      <c r="BK549" s="128" t="str">
        <f t="shared" si="23"/>
        <v/>
      </c>
      <c r="BL549" s="121"/>
      <c r="BM549" s="5" t="str">
        <f t="shared" si="24"/>
        <v>MISSING</v>
      </c>
      <c r="BN549" s="120" t="b">
        <f t="shared" si="25"/>
        <v>0</v>
      </c>
      <c r="BO549" s="131" t="b">
        <f t="shared" si="26"/>
        <v>1</v>
      </c>
      <c r="BP549" s="121"/>
      <c r="BQ549" s="132" t="str">
        <f>VLOOKUP(A549,RAW_APS!A$3:O826,15,FALSE)</f>
        <v/>
      </c>
      <c r="BR549" s="120" t="b">
        <f t="shared" si="27"/>
        <v>1</v>
      </c>
      <c r="BS549" s="121"/>
      <c r="BT549" s="138" t="s">
        <v>244</v>
      </c>
      <c r="BU549" s="10" t="b">
        <f t="shared" si="28"/>
        <v>1</v>
      </c>
      <c r="BV549" s="120"/>
      <c r="BW549" s="120"/>
      <c r="BX549" s="120"/>
      <c r="BY549" s="120"/>
      <c r="BZ549" s="120"/>
      <c r="CA549" s="120"/>
      <c r="CB549" s="120"/>
      <c r="CC549" s="120"/>
    </row>
    <row r="550">
      <c r="A550" s="2" t="s">
        <v>1605</v>
      </c>
      <c r="B550" s="100">
        <v>44615.0</v>
      </c>
      <c r="C550" s="101">
        <v>0.3441782407407407</v>
      </c>
      <c r="D550" s="102"/>
      <c r="E550" s="102"/>
      <c r="F550" s="102"/>
      <c r="G550" s="102"/>
      <c r="H550" s="102"/>
      <c r="I550" s="103"/>
      <c r="J550" s="103"/>
      <c r="K550" s="2" t="s">
        <v>52</v>
      </c>
      <c r="L550" s="100">
        <v>44615.0</v>
      </c>
      <c r="M550" s="101">
        <v>0.49126157407407406</v>
      </c>
      <c r="P550" s="104" t="b">
        <f>IFNA(IF(VLOOKUP($A550,'Add from APT'!$AA$2:$AC826,3,FALSE)&gt;0,TRUE,FALSE),"ER - NOT IN APT")</f>
        <v>0</v>
      </c>
      <c r="Q550" s="105" t="str">
        <f>IF(ISLOGICAL(P550),IF(P550,"ER - REPS IN APT", IFNA(VLOOKUP($A550,RAW_APT!$A$3:$M826,7,FALSE),"ER - NOT IN APT")),P550)</f>
        <v>Result</v>
      </c>
      <c r="R550" s="106" t="b">
        <f t="shared" si="2"/>
        <v>1</v>
      </c>
      <c r="S550" s="107">
        <f t="shared" si="3"/>
        <v>1</v>
      </c>
      <c r="T550" s="143"/>
      <c r="U550" s="142"/>
      <c r="V550" s="142"/>
      <c r="W550" s="142"/>
      <c r="X550" s="110" t="b">
        <f t="shared" si="4"/>
        <v>0</v>
      </c>
      <c r="Y550" s="111" t="b">
        <v>0</v>
      </c>
      <c r="Z550" s="104" t="str">
        <f t="shared" si="5"/>
        <v/>
      </c>
      <c r="AA550" s="112" t="b">
        <f t="shared" si="6"/>
        <v>0</v>
      </c>
      <c r="AB550" s="142" t="b">
        <v>0</v>
      </c>
      <c r="AC550" s="140">
        <v>263.0</v>
      </c>
      <c r="AD550" s="141" t="b">
        <v>0</v>
      </c>
      <c r="AE550" s="115">
        <f t="shared" si="7"/>
        <v>211.8</v>
      </c>
      <c r="AF550" s="116" t="b">
        <f t="shared" si="8"/>
        <v>0</v>
      </c>
      <c r="AG550" s="105" t="b">
        <f t="shared" si="9"/>
        <v>0</v>
      </c>
      <c r="AH550" s="140"/>
      <c r="AI550" s="140"/>
      <c r="AJ550" s="168">
        <v>2.7</v>
      </c>
      <c r="AK550" s="117" t="str">
        <f t="shared" si="10"/>
        <v>Negative</v>
      </c>
      <c r="AL550" s="141" t="s">
        <v>1544</v>
      </c>
      <c r="AM550" s="112" t="s">
        <v>1384</v>
      </c>
      <c r="AN550" s="112" t="s">
        <v>1385</v>
      </c>
      <c r="AO550" s="112" t="str">
        <f>IFERROR(__xludf.DUMMYFUNCTION("IF($AG550, ""DELETED"",TRIM(JOIN("" "",D550:E550)))"),"")</f>
        <v/>
      </c>
      <c r="AP550" s="112" t="str">
        <f t="shared" ref="AP550:AQ550" si="575">IF($AG550, "DELETED", TRIM(CONCATENATE(F550,I550,U550)))</f>
        <v/>
      </c>
      <c r="AQ550" s="112" t="str">
        <f t="shared" si="575"/>
        <v/>
      </c>
      <c r="AR550" s="112" t="str">
        <f>IFERROR(__xludf.DUMMYFUNCTION("IF($AG550, ""DELETED"", TRIM(JOIN("" "",AP550,AQ550)))"),"")</f>
        <v/>
      </c>
      <c r="AS550" s="118"/>
      <c r="AT550" s="110" t="b">
        <f t="shared" si="12"/>
        <v>0</v>
      </c>
      <c r="AU550" s="110" t="str">
        <f t="shared" si="13"/>
        <v/>
      </c>
      <c r="AV550" s="110" t="str">
        <f t="shared" si="14"/>
        <v/>
      </c>
      <c r="AW550" s="110" t="str">
        <f t="shared" si="15"/>
        <v/>
      </c>
      <c r="AX550" s="119" t="str">
        <f t="shared" si="16"/>
        <v/>
      </c>
      <c r="AY550" s="120"/>
      <c r="AZ550" s="121"/>
      <c r="BA550" s="122" t="str">
        <f t="shared" si="17"/>
        <v/>
      </c>
      <c r="BB550" s="34"/>
      <c r="BC550" s="121"/>
      <c r="BD550" s="136"/>
      <c r="BE550" s="125" t="str">
        <f t="shared" si="18"/>
        <v/>
      </c>
      <c r="BF550" s="126" t="str">
        <f t="shared" si="19"/>
        <v>FM493__44615_0.344178240740741</v>
      </c>
      <c r="BG550" s="127" t="str">
        <f t="shared" si="20"/>
        <v/>
      </c>
      <c r="BH550" s="137" t="s">
        <v>1606</v>
      </c>
      <c r="BI550" s="128" t="str">
        <f t="shared" si="21"/>
        <v>MA295</v>
      </c>
      <c r="BJ550" s="129" t="b">
        <f t="shared" si="22"/>
        <v>0</v>
      </c>
      <c r="BK550" s="128" t="str">
        <f t="shared" si="23"/>
        <v/>
      </c>
      <c r="BL550" s="121"/>
      <c r="BM550" s="5" t="str">
        <f t="shared" si="24"/>
        <v>MISSING</v>
      </c>
      <c r="BN550" s="120" t="b">
        <f t="shared" si="25"/>
        <v>0</v>
      </c>
      <c r="BO550" s="131" t="b">
        <f t="shared" si="26"/>
        <v>1</v>
      </c>
      <c r="BP550" s="121"/>
      <c r="BQ550" s="132" t="str">
        <f>VLOOKUP(A550,RAW_APS!A$3:O826,15,FALSE)</f>
        <v/>
      </c>
      <c r="BR550" s="120" t="b">
        <f t="shared" si="27"/>
        <v>1</v>
      </c>
      <c r="BS550" s="121"/>
      <c r="BT550" s="138" t="s">
        <v>244</v>
      </c>
      <c r="BU550" s="10" t="b">
        <f t="shared" si="28"/>
        <v>1</v>
      </c>
      <c r="BV550" s="120"/>
      <c r="BW550" s="120"/>
      <c r="BX550" s="120"/>
      <c r="BY550" s="120"/>
      <c r="BZ550" s="120"/>
      <c r="CA550" s="120"/>
      <c r="CB550" s="120"/>
      <c r="CC550" s="120"/>
    </row>
    <row r="551">
      <c r="A551" s="2" t="s">
        <v>1607</v>
      </c>
      <c r="B551" s="100">
        <v>44615.0</v>
      </c>
      <c r="C551" s="101">
        <v>0.38722222222222225</v>
      </c>
      <c r="D551" s="102"/>
      <c r="E551" s="102"/>
      <c r="F551" s="102"/>
      <c r="G551" s="102"/>
      <c r="H551" s="102"/>
      <c r="I551" s="103"/>
      <c r="J551" s="103"/>
      <c r="K551" s="2" t="s">
        <v>52</v>
      </c>
      <c r="L551" s="100">
        <v>44615.0</v>
      </c>
      <c r="M551" s="101">
        <v>0.49126157407407406</v>
      </c>
      <c r="P551" s="104" t="b">
        <f>IFNA(IF(VLOOKUP($A551,'Add from APT'!$AA$2:$AC826,3,FALSE)&gt;0,TRUE,FALSE),"ER - NOT IN APT")</f>
        <v>0</v>
      </c>
      <c r="Q551" s="105" t="str">
        <f>IF(ISLOGICAL(P551),IF(P551,"ER - REPS IN APT", IFNA(VLOOKUP($A551,RAW_APT!$A$3:$M826,7,FALSE),"ER - NOT IN APT")),P551)</f>
        <v>Result</v>
      </c>
      <c r="R551" s="106" t="b">
        <f t="shared" si="2"/>
        <v>1</v>
      </c>
      <c r="S551" s="107">
        <f t="shared" si="3"/>
        <v>1</v>
      </c>
      <c r="T551" s="143"/>
      <c r="U551" s="142"/>
      <c r="V551" s="142"/>
      <c r="W551" s="142"/>
      <c r="X551" s="110" t="b">
        <f t="shared" si="4"/>
        <v>0</v>
      </c>
      <c r="Y551" s="111" t="b">
        <v>0</v>
      </c>
      <c r="Z551" s="104" t="str">
        <f t="shared" si="5"/>
        <v/>
      </c>
      <c r="AA551" s="112" t="b">
        <f t="shared" si="6"/>
        <v>0</v>
      </c>
      <c r="AB551" s="142" t="b">
        <v>0</v>
      </c>
      <c r="AC551" s="140">
        <v>262.0</v>
      </c>
      <c r="AD551" s="141" t="b">
        <v>0</v>
      </c>
      <c r="AE551" s="115">
        <f t="shared" si="7"/>
        <v>149.8166667</v>
      </c>
      <c r="AF551" s="116" t="b">
        <f t="shared" si="8"/>
        <v>0</v>
      </c>
      <c r="AG551" s="105" t="b">
        <f t="shared" si="9"/>
        <v>0</v>
      </c>
      <c r="AH551" s="140"/>
      <c r="AI551" s="140"/>
      <c r="AJ551" s="168">
        <v>2.7</v>
      </c>
      <c r="AK551" s="117" t="str">
        <f t="shared" si="10"/>
        <v>Negative</v>
      </c>
      <c r="AL551" s="141" t="s">
        <v>1544</v>
      </c>
      <c r="AM551" s="112" t="s">
        <v>1374</v>
      </c>
      <c r="AN551" s="112" t="s">
        <v>1375</v>
      </c>
      <c r="AO551" s="112" t="str">
        <f>IFERROR(__xludf.DUMMYFUNCTION("IF($AG551, ""DELETED"",TRIM(JOIN("" "",D551:E551)))"),"")</f>
        <v/>
      </c>
      <c r="AP551" s="112" t="str">
        <f t="shared" ref="AP551:AQ551" si="576">IF($AG551, "DELETED", TRIM(CONCATENATE(F551,I551,U551)))</f>
        <v/>
      </c>
      <c r="AQ551" s="112" t="str">
        <f t="shared" si="576"/>
        <v/>
      </c>
      <c r="AR551" s="112" t="str">
        <f>IFERROR(__xludf.DUMMYFUNCTION("IF($AG551, ""DELETED"", TRIM(JOIN("" "",AP551,AQ551)))"),"")</f>
        <v/>
      </c>
      <c r="AS551" s="118"/>
      <c r="AT551" s="110" t="b">
        <f t="shared" si="12"/>
        <v>0</v>
      </c>
      <c r="AU551" s="110" t="str">
        <f t="shared" si="13"/>
        <v/>
      </c>
      <c r="AV551" s="110" t="str">
        <f t="shared" si="14"/>
        <v/>
      </c>
      <c r="AW551" s="110" t="str">
        <f t="shared" si="15"/>
        <v/>
      </c>
      <c r="AX551" s="119" t="str">
        <f t="shared" si="16"/>
        <v/>
      </c>
      <c r="AY551" s="120"/>
      <c r="AZ551" s="121"/>
      <c r="BA551" s="122" t="str">
        <f t="shared" si="17"/>
        <v/>
      </c>
      <c r="BB551" s="34"/>
      <c r="BC551" s="121"/>
      <c r="BD551" s="136"/>
      <c r="BE551" s="125" t="str">
        <f t="shared" si="18"/>
        <v/>
      </c>
      <c r="BF551" s="126" t="str">
        <f t="shared" si="19"/>
        <v>FM783__44615_0.387222222222222</v>
      </c>
      <c r="BG551" s="127" t="str">
        <f t="shared" si="20"/>
        <v/>
      </c>
      <c r="BH551" s="137" t="s">
        <v>1608</v>
      </c>
      <c r="BI551" s="128" t="str">
        <f t="shared" si="21"/>
        <v>MA296</v>
      </c>
      <c r="BJ551" s="129" t="b">
        <f t="shared" si="22"/>
        <v>0</v>
      </c>
      <c r="BK551" s="128" t="str">
        <f t="shared" si="23"/>
        <v/>
      </c>
      <c r="BL551" s="121"/>
      <c r="BM551" s="5" t="str">
        <f t="shared" si="24"/>
        <v>MISSING</v>
      </c>
      <c r="BN551" s="120" t="b">
        <f t="shared" si="25"/>
        <v>0</v>
      </c>
      <c r="BO551" s="131" t="b">
        <f t="shared" si="26"/>
        <v>1</v>
      </c>
      <c r="BP551" s="121"/>
      <c r="BQ551" s="132" t="str">
        <f>VLOOKUP(A551,RAW_APS!A$3:O826,15,FALSE)</f>
        <v/>
      </c>
      <c r="BR551" s="120" t="b">
        <f t="shared" si="27"/>
        <v>1</v>
      </c>
      <c r="BS551" s="121"/>
      <c r="BT551" s="138" t="s">
        <v>244</v>
      </c>
      <c r="BU551" s="10" t="b">
        <f t="shared" si="28"/>
        <v>1</v>
      </c>
      <c r="BV551" s="120"/>
      <c r="BW551" s="120"/>
      <c r="BX551" s="120"/>
      <c r="BY551" s="120"/>
      <c r="BZ551" s="120"/>
      <c r="CA551" s="120"/>
      <c r="CB551" s="120"/>
      <c r="CC551" s="120"/>
    </row>
    <row r="552">
      <c r="A552" s="2" t="s">
        <v>1609</v>
      </c>
      <c r="B552" s="100">
        <v>44615.0</v>
      </c>
      <c r="C552" s="101">
        <v>0.39533564814814814</v>
      </c>
      <c r="D552" s="102"/>
      <c r="E552" s="102"/>
      <c r="F552" s="102"/>
      <c r="G552" s="102"/>
      <c r="H552" s="102"/>
      <c r="I552" s="103"/>
      <c r="J552" s="103"/>
      <c r="K552" s="2" t="s">
        <v>52</v>
      </c>
      <c r="L552" s="100">
        <v>44615.0</v>
      </c>
      <c r="M552" s="101">
        <v>0.49126157407407406</v>
      </c>
      <c r="P552" s="104" t="b">
        <f>IFNA(IF(VLOOKUP($A552,'Add from APT'!$AA$2:$AC826,3,FALSE)&gt;0,TRUE,FALSE),"ER - NOT IN APT")</f>
        <v>0</v>
      </c>
      <c r="Q552" s="105" t="str">
        <f>IF(ISLOGICAL(P552),IF(P552,"ER - REPS IN APT", IFNA(VLOOKUP($A552,RAW_APT!$A$3:$M826,7,FALSE),"ER - NOT IN APT")),P552)</f>
        <v>Result</v>
      </c>
      <c r="R552" s="106" t="b">
        <f t="shared" si="2"/>
        <v>1</v>
      </c>
      <c r="S552" s="107">
        <f t="shared" si="3"/>
        <v>1</v>
      </c>
      <c r="T552" s="143"/>
      <c r="U552" s="142"/>
      <c r="V552" s="142"/>
      <c r="W552" s="142"/>
      <c r="X552" s="110" t="b">
        <f t="shared" si="4"/>
        <v>0</v>
      </c>
      <c r="Y552" s="111" t="b">
        <v>0</v>
      </c>
      <c r="Z552" s="104" t="str">
        <f t="shared" si="5"/>
        <v/>
      </c>
      <c r="AA552" s="112" t="b">
        <f t="shared" si="6"/>
        <v>0</v>
      </c>
      <c r="AB552" s="142" t="b">
        <v>0</v>
      </c>
      <c r="AC552" s="140">
        <v>261.0</v>
      </c>
      <c r="AD552" s="141" t="b">
        <v>0</v>
      </c>
      <c r="AE552" s="115">
        <f t="shared" si="7"/>
        <v>138.1333333</v>
      </c>
      <c r="AF552" s="116" t="b">
        <f t="shared" si="8"/>
        <v>0</v>
      </c>
      <c r="AG552" s="105" t="b">
        <f t="shared" si="9"/>
        <v>0</v>
      </c>
      <c r="AH552" s="140"/>
      <c r="AI552" s="140"/>
      <c r="AJ552" s="168">
        <v>2.7</v>
      </c>
      <c r="AK552" s="117" t="str">
        <f t="shared" si="10"/>
        <v>Negative</v>
      </c>
      <c r="AL552" s="141" t="s">
        <v>1544</v>
      </c>
      <c r="AM552" s="112" t="s">
        <v>307</v>
      </c>
      <c r="AN552" s="112" t="s">
        <v>266</v>
      </c>
      <c r="AO552" s="112" t="str">
        <f>IFERROR(__xludf.DUMMYFUNCTION("IF($AG552, ""DELETED"",TRIM(JOIN("" "",D552:E552)))"),"")</f>
        <v/>
      </c>
      <c r="AP552" s="112" t="str">
        <f t="shared" ref="AP552:AQ552" si="577">IF($AG552, "DELETED", TRIM(CONCATENATE(F552,I552,U552)))</f>
        <v/>
      </c>
      <c r="AQ552" s="112" t="str">
        <f t="shared" si="577"/>
        <v/>
      </c>
      <c r="AR552" s="112" t="str">
        <f>IFERROR(__xludf.DUMMYFUNCTION("IF($AG552, ""DELETED"", TRIM(JOIN("" "",AP552,AQ552)))"),"")</f>
        <v/>
      </c>
      <c r="AS552" s="118"/>
      <c r="AT552" s="110" t="b">
        <f t="shared" si="12"/>
        <v>0</v>
      </c>
      <c r="AU552" s="110" t="str">
        <f t="shared" si="13"/>
        <v/>
      </c>
      <c r="AV552" s="110" t="str">
        <f t="shared" si="14"/>
        <v/>
      </c>
      <c r="AW552" s="110" t="str">
        <f t="shared" si="15"/>
        <v/>
      </c>
      <c r="AX552" s="119" t="str">
        <f t="shared" si="16"/>
        <v/>
      </c>
      <c r="AY552" s="120"/>
      <c r="AZ552" s="121"/>
      <c r="BA552" s="122" t="str">
        <f t="shared" si="17"/>
        <v/>
      </c>
      <c r="BB552" s="34"/>
      <c r="BC552" s="121"/>
      <c r="BD552" s="136"/>
      <c r="BE552" s="125" t="str">
        <f t="shared" si="18"/>
        <v/>
      </c>
      <c r="BF552" s="126" t="str">
        <f t="shared" si="19"/>
        <v>FM109__44615_0.395335648148148</v>
      </c>
      <c r="BG552" s="127" t="str">
        <f t="shared" si="20"/>
        <v/>
      </c>
      <c r="BH552" s="137" t="s">
        <v>1610</v>
      </c>
      <c r="BI552" s="128" t="str">
        <f t="shared" si="21"/>
        <v>MA298</v>
      </c>
      <c r="BJ552" s="129" t="b">
        <f t="shared" si="22"/>
        <v>0</v>
      </c>
      <c r="BK552" s="128" t="str">
        <f t="shared" si="23"/>
        <v/>
      </c>
      <c r="BL552" s="121"/>
      <c r="BM552" s="5" t="str">
        <f t="shared" si="24"/>
        <v>MISSING</v>
      </c>
      <c r="BN552" s="120" t="b">
        <f t="shared" si="25"/>
        <v>0</v>
      </c>
      <c r="BO552" s="131" t="b">
        <f t="shared" si="26"/>
        <v>1</v>
      </c>
      <c r="BP552" s="121"/>
      <c r="BQ552" s="132" t="str">
        <f>VLOOKUP(A552,RAW_APS!A$3:O826,15,FALSE)</f>
        <v/>
      </c>
      <c r="BR552" s="120" t="b">
        <f t="shared" si="27"/>
        <v>1</v>
      </c>
      <c r="BS552" s="121"/>
      <c r="BT552" s="138" t="s">
        <v>244</v>
      </c>
      <c r="BU552" s="10" t="b">
        <f t="shared" si="28"/>
        <v>1</v>
      </c>
      <c r="BV552" s="120"/>
      <c r="BW552" s="120"/>
      <c r="BX552" s="120"/>
      <c r="BY552" s="120"/>
      <c r="BZ552" s="120"/>
      <c r="CA552" s="120"/>
      <c r="CB552" s="120"/>
      <c r="CC552" s="120"/>
    </row>
    <row r="553">
      <c r="A553" s="2" t="s">
        <v>1611</v>
      </c>
      <c r="B553" s="100">
        <v>44615.0</v>
      </c>
      <c r="C553" s="101">
        <v>0.4183912037037037</v>
      </c>
      <c r="D553" s="102"/>
      <c r="E553" s="102"/>
      <c r="F553" s="102"/>
      <c r="G553" s="102"/>
      <c r="H553" s="102"/>
      <c r="I553" s="103"/>
      <c r="J553" s="103"/>
      <c r="K553" s="2" t="s">
        <v>52</v>
      </c>
      <c r="L553" s="100">
        <v>44615.0</v>
      </c>
      <c r="M553" s="101">
        <v>0.49126157407407406</v>
      </c>
      <c r="P553" s="104" t="b">
        <f>IFNA(IF(VLOOKUP($A553,'Add from APT'!$AA$2:$AC826,3,FALSE)&gt;0,TRUE,FALSE),"ER - NOT IN APT")</f>
        <v>0</v>
      </c>
      <c r="Q553" s="105" t="str">
        <f>IF(ISLOGICAL(P553),IF(P553,"ER - REPS IN APT", IFNA(VLOOKUP($A553,RAW_APT!$A$3:$M826,7,FALSE),"ER - NOT IN APT")),P553)</f>
        <v>Result</v>
      </c>
      <c r="R553" s="106" t="b">
        <f t="shared" si="2"/>
        <v>1</v>
      </c>
      <c r="S553" s="107">
        <f t="shared" si="3"/>
        <v>1</v>
      </c>
      <c r="T553" s="143"/>
      <c r="U553" s="142"/>
      <c r="V553" s="142"/>
      <c r="W553" s="142"/>
      <c r="X553" s="110" t="b">
        <f t="shared" si="4"/>
        <v>0</v>
      </c>
      <c r="Y553" s="111" t="b">
        <v>0</v>
      </c>
      <c r="Z553" s="104" t="str">
        <f t="shared" si="5"/>
        <v/>
      </c>
      <c r="AA553" s="112" t="b">
        <f t="shared" si="6"/>
        <v>0</v>
      </c>
      <c r="AB553" s="142" t="b">
        <v>0</v>
      </c>
      <c r="AC553" s="140">
        <v>260.0</v>
      </c>
      <c r="AD553" s="141" t="b">
        <v>0</v>
      </c>
      <c r="AE553" s="115">
        <f t="shared" si="7"/>
        <v>104.9333333</v>
      </c>
      <c r="AF553" s="116" t="b">
        <f t="shared" si="8"/>
        <v>0</v>
      </c>
      <c r="AG553" s="105" t="b">
        <f t="shared" si="9"/>
        <v>0</v>
      </c>
      <c r="AH553" s="140"/>
      <c r="AI553" s="140"/>
      <c r="AJ553" s="168">
        <v>2.7</v>
      </c>
      <c r="AK553" s="117" t="str">
        <f t="shared" si="10"/>
        <v>Negative</v>
      </c>
      <c r="AL553" s="141" t="s">
        <v>1544</v>
      </c>
      <c r="AM553" s="112" t="s">
        <v>261</v>
      </c>
      <c r="AN553" s="112" t="s">
        <v>262</v>
      </c>
      <c r="AO553" s="112" t="str">
        <f>IFERROR(__xludf.DUMMYFUNCTION("IF($AG553, ""DELETED"",TRIM(JOIN("" "",D553:E553)))"),"")</f>
        <v/>
      </c>
      <c r="AP553" s="112" t="str">
        <f t="shared" ref="AP553:AQ553" si="578">IF($AG553, "DELETED", TRIM(CONCATENATE(F553,I553,U553)))</f>
        <v/>
      </c>
      <c r="AQ553" s="112" t="str">
        <f t="shared" si="578"/>
        <v/>
      </c>
      <c r="AR553" s="112" t="str">
        <f>IFERROR(__xludf.DUMMYFUNCTION("IF($AG553, ""DELETED"", TRIM(JOIN("" "",AP553,AQ553)))"),"")</f>
        <v/>
      </c>
      <c r="AS553" s="118"/>
      <c r="AT553" s="110" t="b">
        <f t="shared" si="12"/>
        <v>0</v>
      </c>
      <c r="AU553" s="110" t="str">
        <f t="shared" si="13"/>
        <v/>
      </c>
      <c r="AV553" s="110" t="str">
        <f t="shared" si="14"/>
        <v/>
      </c>
      <c r="AW553" s="110" t="str">
        <f t="shared" si="15"/>
        <v/>
      </c>
      <c r="AX553" s="119" t="str">
        <f t="shared" si="16"/>
        <v/>
      </c>
      <c r="AY553" s="120"/>
      <c r="AZ553" s="121"/>
      <c r="BA553" s="122" t="str">
        <f t="shared" si="17"/>
        <v/>
      </c>
      <c r="BB553" s="34"/>
      <c r="BC553" s="121"/>
      <c r="BD553" s="136"/>
      <c r="BE553" s="125" t="str">
        <f t="shared" si="18"/>
        <v/>
      </c>
      <c r="BF553" s="126" t="str">
        <f t="shared" si="19"/>
        <v>MAX118__44615_0.418391203703704</v>
      </c>
      <c r="BG553" s="127" t="str">
        <f t="shared" si="20"/>
        <v/>
      </c>
      <c r="BH553" s="137" t="s">
        <v>1612</v>
      </c>
      <c r="BI553" s="128" t="str">
        <f t="shared" si="21"/>
        <v>MA299</v>
      </c>
      <c r="BJ553" s="129" t="b">
        <f t="shared" si="22"/>
        <v>0</v>
      </c>
      <c r="BK553" s="128" t="str">
        <f t="shared" si="23"/>
        <v/>
      </c>
      <c r="BL553" s="121"/>
      <c r="BM553" s="5" t="str">
        <f t="shared" si="24"/>
        <v>MISSING</v>
      </c>
      <c r="BN553" s="120" t="b">
        <f t="shared" si="25"/>
        <v>0</v>
      </c>
      <c r="BO553" s="131" t="b">
        <f t="shared" si="26"/>
        <v>1</v>
      </c>
      <c r="BP553" s="121"/>
      <c r="BQ553" s="132" t="str">
        <f>VLOOKUP(A553,RAW_APS!A$3:O826,15,FALSE)</f>
        <v/>
      </c>
      <c r="BR553" s="120" t="b">
        <f t="shared" si="27"/>
        <v>1</v>
      </c>
      <c r="BS553" s="121"/>
      <c r="BT553" s="138" t="s">
        <v>244</v>
      </c>
      <c r="BU553" s="10" t="b">
        <f t="shared" si="28"/>
        <v>1</v>
      </c>
      <c r="BV553" s="120"/>
      <c r="BW553" s="120"/>
      <c r="BX553" s="120"/>
      <c r="BY553" s="120"/>
      <c r="BZ553" s="120"/>
      <c r="CA553" s="120"/>
      <c r="CB553" s="120"/>
      <c r="CC553" s="120"/>
    </row>
    <row r="554">
      <c r="A554" s="2" t="s">
        <v>1613</v>
      </c>
      <c r="B554" s="100">
        <v>44615.0</v>
      </c>
      <c r="C554" s="101">
        <v>0.41844907407407406</v>
      </c>
      <c r="D554" s="102"/>
      <c r="E554" s="102"/>
      <c r="F554" s="102"/>
      <c r="G554" s="102"/>
      <c r="H554" s="102"/>
      <c r="I554" s="103"/>
      <c r="J554" s="103"/>
      <c r="K554" s="2" t="s">
        <v>52</v>
      </c>
      <c r="L554" s="100">
        <v>44615.0</v>
      </c>
      <c r="M554" s="101">
        <v>0.49126157407407406</v>
      </c>
      <c r="P554" s="104" t="b">
        <f>IFNA(IF(VLOOKUP($A554,'Add from APT'!$AA$2:$AC826,3,FALSE)&gt;0,TRUE,FALSE),"ER - NOT IN APT")</f>
        <v>0</v>
      </c>
      <c r="Q554" s="105" t="str">
        <f>IF(ISLOGICAL(P554),IF(P554,"ER - REPS IN APT", IFNA(VLOOKUP($A554,RAW_APT!$A$3:$M826,7,FALSE),"ER - NOT IN APT")),P554)</f>
        <v>Result</v>
      </c>
      <c r="R554" s="106" t="b">
        <f t="shared" si="2"/>
        <v>1</v>
      </c>
      <c r="S554" s="107">
        <f t="shared" si="3"/>
        <v>1</v>
      </c>
      <c r="T554" s="143"/>
      <c r="U554" s="142"/>
      <c r="V554" s="142"/>
      <c r="W554" s="142"/>
      <c r="X554" s="110" t="b">
        <f t="shared" si="4"/>
        <v>0</v>
      </c>
      <c r="Y554" s="111" t="b">
        <v>0</v>
      </c>
      <c r="Z554" s="104" t="str">
        <f t="shared" si="5"/>
        <v/>
      </c>
      <c r="AA554" s="112" t="b">
        <f t="shared" si="6"/>
        <v>0</v>
      </c>
      <c r="AB554" s="142" t="b">
        <v>0</v>
      </c>
      <c r="AC554" s="140">
        <v>259.0</v>
      </c>
      <c r="AD554" s="141" t="b">
        <v>0</v>
      </c>
      <c r="AE554" s="115">
        <f t="shared" si="7"/>
        <v>104.85</v>
      </c>
      <c r="AF554" s="116" t="b">
        <f t="shared" si="8"/>
        <v>0</v>
      </c>
      <c r="AG554" s="105" t="b">
        <f t="shared" si="9"/>
        <v>0</v>
      </c>
      <c r="AH554" s="140"/>
      <c r="AI554" s="140"/>
      <c r="AJ554" s="168">
        <v>2.7</v>
      </c>
      <c r="AK554" s="117" t="str">
        <f t="shared" si="10"/>
        <v>Negative</v>
      </c>
      <c r="AL554" s="141" t="s">
        <v>1544</v>
      </c>
      <c r="AM554" s="112" t="s">
        <v>273</v>
      </c>
      <c r="AN554" s="112" t="s">
        <v>274</v>
      </c>
      <c r="AO554" s="112" t="str">
        <f>IFERROR(__xludf.DUMMYFUNCTION("IF($AG554, ""DELETED"",TRIM(JOIN("" "",D554:E554)))"),"")</f>
        <v/>
      </c>
      <c r="AP554" s="112" t="str">
        <f t="shared" ref="AP554:AQ554" si="579">IF($AG554, "DELETED", TRIM(CONCATENATE(F554,I554,U554)))</f>
        <v/>
      </c>
      <c r="AQ554" s="112" t="str">
        <f t="shared" si="579"/>
        <v/>
      </c>
      <c r="AR554" s="112" t="str">
        <f>IFERROR(__xludf.DUMMYFUNCTION("IF($AG554, ""DELETED"", TRIM(JOIN("" "",AP554,AQ554)))"),"")</f>
        <v/>
      </c>
      <c r="AS554" s="118"/>
      <c r="AT554" s="110" t="b">
        <f t="shared" si="12"/>
        <v>0</v>
      </c>
      <c r="AU554" s="110" t="str">
        <f t="shared" si="13"/>
        <v/>
      </c>
      <c r="AV554" s="110" t="str">
        <f t="shared" si="14"/>
        <v/>
      </c>
      <c r="AW554" s="110" t="str">
        <f t="shared" si="15"/>
        <v/>
      </c>
      <c r="AX554" s="119" t="str">
        <f t="shared" si="16"/>
        <v/>
      </c>
      <c r="AY554" s="120"/>
      <c r="AZ554" s="121"/>
      <c r="BA554" s="122" t="str">
        <f t="shared" si="17"/>
        <v/>
      </c>
      <c r="BB554" s="34"/>
      <c r="BC554" s="121"/>
      <c r="BD554" s="136"/>
      <c r="BE554" s="125" t="str">
        <f t="shared" si="18"/>
        <v/>
      </c>
      <c r="BF554" s="126" t="str">
        <f t="shared" si="19"/>
        <v>MAX82__44615_0.418449074074074</v>
      </c>
      <c r="BG554" s="127" t="str">
        <f t="shared" si="20"/>
        <v/>
      </c>
      <c r="BH554" s="137" t="s">
        <v>1614</v>
      </c>
      <c r="BI554" s="128" t="str">
        <f t="shared" si="21"/>
        <v>MA300</v>
      </c>
      <c r="BJ554" s="129" t="b">
        <f t="shared" si="22"/>
        <v>0</v>
      </c>
      <c r="BK554" s="128" t="str">
        <f t="shared" si="23"/>
        <v/>
      </c>
      <c r="BL554" s="121"/>
      <c r="BM554" s="5" t="str">
        <f t="shared" si="24"/>
        <v>MISSING</v>
      </c>
      <c r="BN554" s="120" t="b">
        <f t="shared" si="25"/>
        <v>0</v>
      </c>
      <c r="BO554" s="131" t="b">
        <f t="shared" si="26"/>
        <v>1</v>
      </c>
      <c r="BP554" s="121"/>
      <c r="BQ554" s="132" t="str">
        <f>VLOOKUP(A554,RAW_APS!A$3:O826,15,FALSE)</f>
        <v/>
      </c>
      <c r="BR554" s="120" t="b">
        <f t="shared" si="27"/>
        <v>1</v>
      </c>
      <c r="BS554" s="121"/>
      <c r="BT554" s="138" t="s">
        <v>244</v>
      </c>
      <c r="BU554" s="10" t="b">
        <f t="shared" si="28"/>
        <v>1</v>
      </c>
      <c r="BV554" s="120"/>
      <c r="BW554" s="120"/>
      <c r="BX554" s="120"/>
      <c r="BY554" s="120"/>
      <c r="BZ554" s="120"/>
      <c r="CA554" s="120"/>
      <c r="CB554" s="120"/>
      <c r="CC554" s="120"/>
    </row>
    <row r="555">
      <c r="A555" s="2" t="s">
        <v>1615</v>
      </c>
      <c r="B555" s="100">
        <v>44617.0</v>
      </c>
      <c r="C555" s="101">
        <v>0.29310185185185184</v>
      </c>
      <c r="D555" s="102"/>
      <c r="E555" s="102"/>
      <c r="F555" s="102"/>
      <c r="G555" s="102"/>
      <c r="H555" s="102"/>
      <c r="I555" s="103"/>
      <c r="J555" s="103"/>
      <c r="K555" s="2" t="s">
        <v>244</v>
      </c>
      <c r="L555" s="100">
        <v>44617.0</v>
      </c>
      <c r="M555" s="101">
        <v>0.5033680555555555</v>
      </c>
      <c r="P555" s="104" t="b">
        <f>IFNA(IF(VLOOKUP($A555,'Add from APT'!$AA$2:$AC826,3,FALSE)&gt;0,TRUE,FALSE),"ER - NOT IN APT")</f>
        <v>0</v>
      </c>
      <c r="Q555" s="105" t="str">
        <f>IF(ISLOGICAL(P555),IF(P555,"ER - REPS IN APT", IFNA(VLOOKUP($A555,RAW_APT!$A$3:$M826,7,FALSE),"ER - NOT IN APT")),P555)</f>
        <v>Result</v>
      </c>
      <c r="R555" s="106" t="b">
        <f t="shared" si="2"/>
        <v>1</v>
      </c>
      <c r="S555" s="107">
        <f t="shared" si="3"/>
        <v>1</v>
      </c>
      <c r="T555" s="143"/>
      <c r="U555" s="142"/>
      <c r="V555" s="142"/>
      <c r="W555" s="142"/>
      <c r="X555" s="110" t="b">
        <f t="shared" si="4"/>
        <v>0</v>
      </c>
      <c r="Y555" s="111" t="b">
        <v>0</v>
      </c>
      <c r="Z555" s="104" t="str">
        <f t="shared" si="5"/>
        <v/>
      </c>
      <c r="AA555" s="112" t="b">
        <f t="shared" si="6"/>
        <v>0</v>
      </c>
      <c r="AB555" s="142" t="b">
        <v>0</v>
      </c>
      <c r="AC555" s="140">
        <v>258.0</v>
      </c>
      <c r="AD555" s="141" t="b">
        <v>0</v>
      </c>
      <c r="AE555" s="115">
        <f t="shared" si="7"/>
        <v>302.7833333</v>
      </c>
      <c r="AF555" s="116" t="b">
        <f t="shared" si="8"/>
        <v>0</v>
      </c>
      <c r="AG555" s="105" t="b">
        <f t="shared" si="9"/>
        <v>0</v>
      </c>
      <c r="AH555" s="140"/>
      <c r="AI555" s="140"/>
      <c r="AJ555" s="140"/>
      <c r="AK555" s="117" t="str">
        <f t="shared" si="10"/>
        <v>Negative</v>
      </c>
      <c r="AL555" s="142"/>
      <c r="AM555" s="112" t="s">
        <v>573</v>
      </c>
      <c r="AN555" s="112" t="s">
        <v>574</v>
      </c>
      <c r="AO555" s="112" t="str">
        <f>IFERROR(__xludf.DUMMYFUNCTION("IF($AG555, ""DELETED"",TRIM(JOIN("" "",D555:E555)))"),"")</f>
        <v/>
      </c>
      <c r="AP555" s="112" t="str">
        <f t="shared" ref="AP555:AQ555" si="580">IF($AG555, "DELETED", TRIM(CONCATENATE(F555,I555,U555)))</f>
        <v/>
      </c>
      <c r="AQ555" s="112" t="str">
        <f t="shared" si="580"/>
        <v/>
      </c>
      <c r="AR555" s="112" t="str">
        <f>IFERROR(__xludf.DUMMYFUNCTION("IF($AG555, ""DELETED"", TRIM(JOIN("" "",AP555,AQ555)))"),"")</f>
        <v/>
      </c>
      <c r="AS555" s="118"/>
      <c r="AT555" s="110" t="b">
        <f t="shared" si="12"/>
        <v>0</v>
      </c>
      <c r="AU555" s="110" t="str">
        <f t="shared" si="13"/>
        <v/>
      </c>
      <c r="AV555" s="110" t="str">
        <f t="shared" si="14"/>
        <v/>
      </c>
      <c r="AW555" s="110" t="str">
        <f t="shared" si="15"/>
        <v/>
      </c>
      <c r="AX555" s="119" t="str">
        <f t="shared" si="16"/>
        <v/>
      </c>
      <c r="AY555" s="120"/>
      <c r="AZ555" s="121"/>
      <c r="BA555" s="122" t="str">
        <f t="shared" si="17"/>
        <v/>
      </c>
      <c r="BB555" s="34"/>
      <c r="BC555" s="121"/>
      <c r="BD555" s="136"/>
      <c r="BE555" s="125" t="str">
        <f t="shared" si="18"/>
        <v/>
      </c>
      <c r="BF555" s="126" t="str">
        <f t="shared" si="19"/>
        <v>MA284__44617_0.293101851851852</v>
      </c>
      <c r="BG555" s="127" t="str">
        <f t="shared" si="20"/>
        <v/>
      </c>
      <c r="BH555" s="137" t="s">
        <v>1616</v>
      </c>
      <c r="BI555" s="128" t="str">
        <f t="shared" si="21"/>
        <v>MA301</v>
      </c>
      <c r="BJ555" s="129" t="b">
        <f t="shared" si="22"/>
        <v>0</v>
      </c>
      <c r="BK555" s="128" t="str">
        <f t="shared" si="23"/>
        <v/>
      </c>
      <c r="BL555" s="121"/>
      <c r="BM555" s="5" t="str">
        <f t="shared" si="24"/>
        <v>MISSING</v>
      </c>
      <c r="BN555" s="120" t="b">
        <f t="shared" si="25"/>
        <v>0</v>
      </c>
      <c r="BO555" s="131" t="b">
        <f t="shared" si="26"/>
        <v>1</v>
      </c>
      <c r="BP555" s="121"/>
      <c r="BQ555" s="132" t="str">
        <f>VLOOKUP(A555,RAW_APS!A$3:O826,15,FALSE)</f>
        <v/>
      </c>
      <c r="BR555" s="120" t="b">
        <f t="shared" si="27"/>
        <v>1</v>
      </c>
      <c r="BS555" s="121"/>
      <c r="BT555" s="138" t="s">
        <v>244</v>
      </c>
      <c r="BU555" s="10" t="b">
        <f t="shared" si="28"/>
        <v>1</v>
      </c>
      <c r="BV555" s="120"/>
      <c r="BW555" s="120"/>
      <c r="BX555" s="120"/>
      <c r="BY555" s="120"/>
      <c r="BZ555" s="120"/>
      <c r="CA555" s="120"/>
      <c r="CB555" s="120"/>
      <c r="CC555" s="120"/>
    </row>
    <row r="556">
      <c r="A556" s="2" t="s">
        <v>1617</v>
      </c>
      <c r="B556" s="100">
        <v>44617.0</v>
      </c>
      <c r="C556" s="101">
        <v>0.3017476851851852</v>
      </c>
      <c r="D556" s="102"/>
      <c r="E556" s="102"/>
      <c r="F556" s="102"/>
      <c r="G556" s="102"/>
      <c r="H556" s="102"/>
      <c r="I556" s="103"/>
      <c r="J556" s="103"/>
      <c r="K556" s="2" t="s">
        <v>244</v>
      </c>
      <c r="L556" s="100">
        <v>44617.0</v>
      </c>
      <c r="M556" s="101">
        <v>0.5033680555555555</v>
      </c>
      <c r="P556" s="104" t="b">
        <f>IFNA(IF(VLOOKUP($A556,'Add from APT'!$AA$2:$AC826,3,FALSE)&gt;0,TRUE,FALSE),"ER - NOT IN APT")</f>
        <v>0</v>
      </c>
      <c r="Q556" s="105" t="str">
        <f>IF(ISLOGICAL(P556),IF(P556,"ER - REPS IN APT", IFNA(VLOOKUP($A556,RAW_APT!$A$3:$M826,7,FALSE),"ER - NOT IN APT")),P556)</f>
        <v>Result</v>
      </c>
      <c r="R556" s="106" t="b">
        <f t="shared" si="2"/>
        <v>1</v>
      </c>
      <c r="S556" s="107">
        <f t="shared" si="3"/>
        <v>1</v>
      </c>
      <c r="T556" s="143"/>
      <c r="U556" s="142"/>
      <c r="V556" s="142"/>
      <c r="W556" s="142"/>
      <c r="X556" s="110" t="b">
        <f t="shared" si="4"/>
        <v>0</v>
      </c>
      <c r="Y556" s="111" t="b">
        <v>0</v>
      </c>
      <c r="Z556" s="104" t="str">
        <f t="shared" si="5"/>
        <v/>
      </c>
      <c r="AA556" s="112" t="b">
        <f t="shared" si="6"/>
        <v>0</v>
      </c>
      <c r="AB556" s="142" t="b">
        <v>0</v>
      </c>
      <c r="AC556" s="140">
        <v>257.0</v>
      </c>
      <c r="AD556" s="141" t="b">
        <v>0</v>
      </c>
      <c r="AE556" s="115">
        <f t="shared" si="7"/>
        <v>290.3333333</v>
      </c>
      <c r="AF556" s="116" t="b">
        <f t="shared" si="8"/>
        <v>0</v>
      </c>
      <c r="AG556" s="105" t="b">
        <f t="shared" si="9"/>
        <v>0</v>
      </c>
      <c r="AH556" s="140"/>
      <c r="AI556" s="140"/>
      <c r="AJ556" s="140"/>
      <c r="AK556" s="117" t="str">
        <f t="shared" si="10"/>
        <v>Negative</v>
      </c>
      <c r="AL556" s="142"/>
      <c r="AM556" s="112" t="s">
        <v>633</v>
      </c>
      <c r="AN556" s="112" t="s">
        <v>634</v>
      </c>
      <c r="AO556" s="112" t="str">
        <f>IFERROR(__xludf.DUMMYFUNCTION("IF($AG556, ""DELETED"",TRIM(JOIN("" "",D556:E556)))"),"")</f>
        <v/>
      </c>
      <c r="AP556" s="112" t="str">
        <f t="shared" ref="AP556:AQ556" si="581">IF($AG556, "DELETED", TRIM(CONCATENATE(F556,I556,U556)))</f>
        <v/>
      </c>
      <c r="AQ556" s="112" t="str">
        <f t="shared" si="581"/>
        <v/>
      </c>
      <c r="AR556" s="112" t="str">
        <f>IFERROR(__xludf.DUMMYFUNCTION("IF($AG556, ""DELETED"", TRIM(JOIN("" "",AP556,AQ556)))"),"")</f>
        <v/>
      </c>
      <c r="AS556" s="118"/>
      <c r="AT556" s="110" t="b">
        <f t="shared" si="12"/>
        <v>0</v>
      </c>
      <c r="AU556" s="110" t="str">
        <f t="shared" si="13"/>
        <v/>
      </c>
      <c r="AV556" s="110" t="str">
        <f t="shared" si="14"/>
        <v/>
      </c>
      <c r="AW556" s="110" t="str">
        <f t="shared" si="15"/>
        <v/>
      </c>
      <c r="AX556" s="119" t="str">
        <f t="shared" si="16"/>
        <v/>
      </c>
      <c r="AY556" s="120"/>
      <c r="AZ556" s="121"/>
      <c r="BA556" s="122" t="str">
        <f t="shared" si="17"/>
        <v/>
      </c>
      <c r="BB556" s="34"/>
      <c r="BC556" s="121"/>
      <c r="BD556" s="136"/>
      <c r="BE556" s="125" t="str">
        <f t="shared" si="18"/>
        <v/>
      </c>
      <c r="BF556" s="126" t="str">
        <f t="shared" si="19"/>
        <v>FM27__44617_0.301747685185185</v>
      </c>
      <c r="BG556" s="127" t="str">
        <f t="shared" si="20"/>
        <v/>
      </c>
      <c r="BH556" s="137" t="s">
        <v>1618</v>
      </c>
      <c r="BI556" s="128" t="str">
        <f t="shared" si="21"/>
        <v>MA302</v>
      </c>
      <c r="BJ556" s="129" t="b">
        <f t="shared" si="22"/>
        <v>0</v>
      </c>
      <c r="BK556" s="128" t="str">
        <f t="shared" si="23"/>
        <v/>
      </c>
      <c r="BL556" s="121"/>
      <c r="BM556" s="5" t="str">
        <f t="shared" si="24"/>
        <v>MISSING</v>
      </c>
      <c r="BN556" s="120" t="b">
        <f t="shared" si="25"/>
        <v>0</v>
      </c>
      <c r="BO556" s="131" t="b">
        <f t="shared" si="26"/>
        <v>1</v>
      </c>
      <c r="BP556" s="121"/>
      <c r="BQ556" s="132" t="str">
        <f>VLOOKUP(A556,RAW_APS!A$3:O826,15,FALSE)</f>
        <v/>
      </c>
      <c r="BR556" s="120" t="b">
        <f t="shared" si="27"/>
        <v>1</v>
      </c>
      <c r="BS556" s="121"/>
      <c r="BT556" s="138" t="s">
        <v>244</v>
      </c>
      <c r="BU556" s="10" t="b">
        <f t="shared" si="28"/>
        <v>1</v>
      </c>
      <c r="BV556" s="120"/>
      <c r="BW556" s="120"/>
      <c r="BX556" s="120"/>
      <c r="BY556" s="120"/>
      <c r="BZ556" s="120"/>
      <c r="CA556" s="120"/>
      <c r="CB556" s="120"/>
      <c r="CC556" s="120"/>
    </row>
    <row r="557">
      <c r="A557" s="2" t="s">
        <v>1619</v>
      </c>
      <c r="B557" s="100">
        <v>44617.0</v>
      </c>
      <c r="C557" s="101">
        <v>0.3025115740740741</v>
      </c>
      <c r="D557" s="102"/>
      <c r="E557" s="102"/>
      <c r="F557" s="102"/>
      <c r="G557" s="102"/>
      <c r="H557" s="102"/>
      <c r="I557" s="103"/>
      <c r="J557" s="103"/>
      <c r="K557" s="2" t="s">
        <v>244</v>
      </c>
      <c r="L557" s="100">
        <v>44617.0</v>
      </c>
      <c r="M557" s="101">
        <v>0.5033680555555555</v>
      </c>
      <c r="P557" s="104" t="b">
        <f>IFNA(IF(VLOOKUP($A557,'Add from APT'!$AA$2:$AC826,3,FALSE)&gt;0,TRUE,FALSE),"ER - NOT IN APT")</f>
        <v>0</v>
      </c>
      <c r="Q557" s="105" t="str">
        <f>IF(ISLOGICAL(P557),IF(P557,"ER - REPS IN APT", IFNA(VLOOKUP($A557,RAW_APT!$A$3:$M826,7,FALSE),"ER - NOT IN APT")),P557)</f>
        <v>Result</v>
      </c>
      <c r="R557" s="106" t="b">
        <f t="shared" si="2"/>
        <v>1</v>
      </c>
      <c r="S557" s="107">
        <f t="shared" si="3"/>
        <v>1</v>
      </c>
      <c r="T557" s="143"/>
      <c r="U557" s="142"/>
      <c r="V557" s="142"/>
      <c r="W557" s="142"/>
      <c r="X557" s="110" t="b">
        <f t="shared" si="4"/>
        <v>0</v>
      </c>
      <c r="Y557" s="111" t="b">
        <v>0</v>
      </c>
      <c r="Z557" s="104" t="str">
        <f t="shared" si="5"/>
        <v/>
      </c>
      <c r="AA557" s="112" t="b">
        <f t="shared" si="6"/>
        <v>0</v>
      </c>
      <c r="AB557" s="142" t="b">
        <v>0</v>
      </c>
      <c r="AC557" s="140">
        <v>256.0</v>
      </c>
      <c r="AD557" s="141" t="b">
        <v>0</v>
      </c>
      <c r="AE557" s="115">
        <f t="shared" si="7"/>
        <v>289.2333333</v>
      </c>
      <c r="AF557" s="116" t="b">
        <f t="shared" si="8"/>
        <v>0</v>
      </c>
      <c r="AG557" s="105" t="b">
        <f t="shared" si="9"/>
        <v>0</v>
      </c>
      <c r="AH557" s="140"/>
      <c r="AI557" s="140"/>
      <c r="AJ557" s="140"/>
      <c r="AK557" s="117" t="str">
        <f t="shared" si="10"/>
        <v>Negative</v>
      </c>
      <c r="AL557" s="142"/>
      <c r="AM557" s="112" t="s">
        <v>419</v>
      </c>
      <c r="AN557" s="112" t="s">
        <v>420</v>
      </c>
      <c r="AO557" s="112" t="str">
        <f>IFERROR(__xludf.DUMMYFUNCTION("IF($AG557, ""DELETED"",TRIM(JOIN("" "",D557:E557)))"),"")</f>
        <v/>
      </c>
      <c r="AP557" s="112" t="str">
        <f t="shared" ref="AP557:AQ557" si="582">IF($AG557, "DELETED", TRIM(CONCATENATE(F557,I557,U557)))</f>
        <v/>
      </c>
      <c r="AQ557" s="112" t="str">
        <f t="shared" si="582"/>
        <v/>
      </c>
      <c r="AR557" s="112" t="str">
        <f>IFERROR(__xludf.DUMMYFUNCTION("IF($AG557, ""DELETED"", TRIM(JOIN("" "",AP557,AQ557)))"),"")</f>
        <v/>
      </c>
      <c r="AS557" s="118"/>
      <c r="AT557" s="110" t="b">
        <f t="shared" si="12"/>
        <v>0</v>
      </c>
      <c r="AU557" s="110" t="str">
        <f t="shared" si="13"/>
        <v/>
      </c>
      <c r="AV557" s="110" t="str">
        <f t="shared" si="14"/>
        <v/>
      </c>
      <c r="AW557" s="110" t="str">
        <f t="shared" si="15"/>
        <v/>
      </c>
      <c r="AX557" s="119" t="str">
        <f t="shared" si="16"/>
        <v/>
      </c>
      <c r="AY557" s="120"/>
      <c r="AZ557" s="121"/>
      <c r="BA557" s="122" t="str">
        <f t="shared" si="17"/>
        <v/>
      </c>
      <c r="BB557" s="34"/>
      <c r="BC557" s="121"/>
      <c r="BD557" s="136"/>
      <c r="BE557" s="125" t="str">
        <f t="shared" si="18"/>
        <v/>
      </c>
      <c r="BF557" s="126" t="str">
        <f t="shared" si="19"/>
        <v>FM37__44617_0.302511574074074</v>
      </c>
      <c r="BG557" s="127" t="str">
        <f t="shared" si="20"/>
        <v/>
      </c>
      <c r="BH557" s="137" t="s">
        <v>1620</v>
      </c>
      <c r="BI557" s="128" t="str">
        <f t="shared" si="21"/>
        <v>MA303</v>
      </c>
      <c r="BJ557" s="129" t="b">
        <f t="shared" si="22"/>
        <v>0</v>
      </c>
      <c r="BK557" s="128" t="str">
        <f t="shared" si="23"/>
        <v/>
      </c>
      <c r="BL557" s="121"/>
      <c r="BM557" s="5" t="str">
        <f t="shared" si="24"/>
        <v>MISSING</v>
      </c>
      <c r="BN557" s="120" t="b">
        <f t="shared" si="25"/>
        <v>0</v>
      </c>
      <c r="BO557" s="131" t="b">
        <f t="shared" si="26"/>
        <v>1</v>
      </c>
      <c r="BP557" s="121"/>
      <c r="BQ557" s="132" t="str">
        <f>VLOOKUP(A557,RAW_APS!A$3:O826,15,FALSE)</f>
        <v/>
      </c>
      <c r="BR557" s="120" t="b">
        <f t="shared" si="27"/>
        <v>1</v>
      </c>
      <c r="BS557" s="121"/>
      <c r="BT557" s="138" t="s">
        <v>244</v>
      </c>
      <c r="BU557" s="10" t="b">
        <f t="shared" si="28"/>
        <v>1</v>
      </c>
      <c r="BV557" s="120"/>
      <c r="BW557" s="120"/>
      <c r="BX557" s="120"/>
      <c r="BY557" s="120"/>
      <c r="BZ557" s="120"/>
      <c r="CA557" s="120"/>
      <c r="CB557" s="120"/>
      <c r="CC557" s="120"/>
    </row>
    <row r="558">
      <c r="A558" s="2" t="s">
        <v>1621</v>
      </c>
      <c r="B558" s="100">
        <v>44617.0</v>
      </c>
      <c r="C558" s="101">
        <v>0.30302083333333335</v>
      </c>
      <c r="D558" s="102"/>
      <c r="E558" s="102"/>
      <c r="F558" s="102"/>
      <c r="G558" s="102"/>
      <c r="H558" s="102"/>
      <c r="I558" s="103"/>
      <c r="J558" s="103"/>
      <c r="K558" s="2" t="s">
        <v>244</v>
      </c>
      <c r="L558" s="100">
        <v>44617.0</v>
      </c>
      <c r="M558" s="101">
        <v>0.5033680555555555</v>
      </c>
      <c r="P558" s="104" t="b">
        <f>IFNA(IF(VLOOKUP($A558,'Add from APT'!$AA$2:$AC826,3,FALSE)&gt;0,TRUE,FALSE),"ER - NOT IN APT")</f>
        <v>0</v>
      </c>
      <c r="Q558" s="105" t="str">
        <f>IF(ISLOGICAL(P558),IF(P558,"ER - REPS IN APT", IFNA(VLOOKUP($A558,RAW_APT!$A$3:$M826,7,FALSE),"ER - NOT IN APT")),P558)</f>
        <v>Result</v>
      </c>
      <c r="R558" s="106" t="b">
        <f t="shared" si="2"/>
        <v>1</v>
      </c>
      <c r="S558" s="107">
        <f t="shared" si="3"/>
        <v>1</v>
      </c>
      <c r="T558" s="143"/>
      <c r="U558" s="142"/>
      <c r="V558" s="142"/>
      <c r="W558" s="142"/>
      <c r="X558" s="110" t="b">
        <f t="shared" si="4"/>
        <v>0</v>
      </c>
      <c r="Y558" s="111" t="b">
        <v>0</v>
      </c>
      <c r="Z558" s="104" t="str">
        <f t="shared" si="5"/>
        <v/>
      </c>
      <c r="AA558" s="112" t="b">
        <f t="shared" si="6"/>
        <v>0</v>
      </c>
      <c r="AB558" s="142" t="b">
        <v>0</v>
      </c>
      <c r="AC558" s="140">
        <v>255.0</v>
      </c>
      <c r="AD558" s="141" t="b">
        <v>0</v>
      </c>
      <c r="AE558" s="115">
        <f t="shared" si="7"/>
        <v>288.5</v>
      </c>
      <c r="AF558" s="116" t="b">
        <f t="shared" si="8"/>
        <v>0</v>
      </c>
      <c r="AG558" s="105" t="b">
        <f t="shared" si="9"/>
        <v>0</v>
      </c>
      <c r="AH558" s="140"/>
      <c r="AI558" s="140"/>
      <c r="AJ558" s="140"/>
      <c r="AK558" s="117" t="str">
        <f t="shared" si="10"/>
        <v>Negative</v>
      </c>
      <c r="AL558" s="142"/>
      <c r="AM558" s="112" t="s">
        <v>649</v>
      </c>
      <c r="AN558" s="112" t="s">
        <v>336</v>
      </c>
      <c r="AO558" s="112" t="str">
        <f>IFERROR(__xludf.DUMMYFUNCTION("IF($AG558, ""DELETED"",TRIM(JOIN("" "",D558:E558)))"),"")</f>
        <v/>
      </c>
      <c r="AP558" s="112" t="str">
        <f t="shared" ref="AP558:AQ558" si="583">IF($AG558, "DELETED", TRIM(CONCATENATE(F558,I558,U558)))</f>
        <v/>
      </c>
      <c r="AQ558" s="112" t="str">
        <f t="shared" si="583"/>
        <v/>
      </c>
      <c r="AR558" s="112" t="str">
        <f>IFERROR(__xludf.DUMMYFUNCTION("IF($AG558, ""DELETED"", TRIM(JOIN("" "",AP558,AQ558)))"),"")</f>
        <v/>
      </c>
      <c r="AS558" s="118"/>
      <c r="AT558" s="110" t="b">
        <f t="shared" si="12"/>
        <v>0</v>
      </c>
      <c r="AU558" s="110" t="str">
        <f t="shared" si="13"/>
        <v/>
      </c>
      <c r="AV558" s="110" t="str">
        <f t="shared" si="14"/>
        <v/>
      </c>
      <c r="AW558" s="110" t="str">
        <f t="shared" si="15"/>
        <v/>
      </c>
      <c r="AX558" s="119" t="str">
        <f t="shared" si="16"/>
        <v/>
      </c>
      <c r="AY558" s="120"/>
      <c r="AZ558" s="121"/>
      <c r="BA558" s="122" t="str">
        <f t="shared" si="17"/>
        <v/>
      </c>
      <c r="BB558" s="34"/>
      <c r="BC558" s="121"/>
      <c r="BD558" s="136"/>
      <c r="BE558" s="125" t="str">
        <f t="shared" si="18"/>
        <v/>
      </c>
      <c r="BF558" s="126" t="str">
        <f t="shared" si="19"/>
        <v>FM466__44617_0.303020833333333</v>
      </c>
      <c r="BG558" s="127" t="str">
        <f t="shared" si="20"/>
        <v/>
      </c>
      <c r="BH558" s="137" t="s">
        <v>1622</v>
      </c>
      <c r="BI558" s="128" t="str">
        <f t="shared" si="21"/>
        <v>MA305</v>
      </c>
      <c r="BJ558" s="129" t="b">
        <f t="shared" si="22"/>
        <v>0</v>
      </c>
      <c r="BK558" s="128" t="str">
        <f t="shared" si="23"/>
        <v/>
      </c>
      <c r="BL558" s="121"/>
      <c r="BM558" s="5" t="str">
        <f t="shared" si="24"/>
        <v>MISSING</v>
      </c>
      <c r="BN558" s="120" t="b">
        <f t="shared" si="25"/>
        <v>0</v>
      </c>
      <c r="BO558" s="131" t="b">
        <f t="shared" si="26"/>
        <v>1</v>
      </c>
      <c r="BP558" s="121"/>
      <c r="BQ558" s="132" t="str">
        <f>VLOOKUP(A558,RAW_APS!A$3:O826,15,FALSE)</f>
        <v/>
      </c>
      <c r="BR558" s="120" t="b">
        <f t="shared" si="27"/>
        <v>1</v>
      </c>
      <c r="BS558" s="121"/>
      <c r="BT558" s="138" t="s">
        <v>244</v>
      </c>
      <c r="BU558" s="10" t="b">
        <f t="shared" si="28"/>
        <v>1</v>
      </c>
      <c r="BV558" s="120"/>
      <c r="BW558" s="120"/>
      <c r="BX558" s="120"/>
      <c r="BY558" s="120"/>
      <c r="BZ558" s="120"/>
      <c r="CA558" s="120"/>
      <c r="CB558" s="120"/>
      <c r="CC558" s="120"/>
    </row>
    <row r="559">
      <c r="A559" s="2" t="s">
        <v>1623</v>
      </c>
      <c r="B559" s="100">
        <v>44617.0</v>
      </c>
      <c r="C559" s="101">
        <v>0.3043518518518519</v>
      </c>
      <c r="D559" s="102"/>
      <c r="E559" s="102"/>
      <c r="F559" s="102"/>
      <c r="G559" s="102"/>
      <c r="H559" s="102"/>
      <c r="I559" s="103"/>
      <c r="J559" s="103"/>
      <c r="K559" s="2" t="s">
        <v>244</v>
      </c>
      <c r="L559" s="100">
        <v>44617.0</v>
      </c>
      <c r="M559" s="101">
        <v>0.5033680555555555</v>
      </c>
      <c r="P559" s="104" t="b">
        <f>IFNA(IF(VLOOKUP($A559,'Add from APT'!$AA$2:$AC826,3,FALSE)&gt;0,TRUE,FALSE),"ER - NOT IN APT")</f>
        <v>0</v>
      </c>
      <c r="Q559" s="105" t="str">
        <f>IF(ISLOGICAL(P559),IF(P559,"ER - REPS IN APT", IFNA(VLOOKUP($A559,RAW_APT!$A$3:$M826,7,FALSE),"ER - NOT IN APT")),P559)</f>
        <v>Result</v>
      </c>
      <c r="R559" s="106" t="b">
        <f t="shared" si="2"/>
        <v>1</v>
      </c>
      <c r="S559" s="107">
        <f t="shared" si="3"/>
        <v>1</v>
      </c>
      <c r="T559" s="143"/>
      <c r="U559" s="142"/>
      <c r="V559" s="142"/>
      <c r="W559" s="142"/>
      <c r="X559" s="110" t="b">
        <f t="shared" si="4"/>
        <v>0</v>
      </c>
      <c r="Y559" s="111" t="b">
        <v>0</v>
      </c>
      <c r="Z559" s="104" t="str">
        <f t="shared" si="5"/>
        <v/>
      </c>
      <c r="AA559" s="112" t="b">
        <f t="shared" si="6"/>
        <v>0</v>
      </c>
      <c r="AB559" s="142" t="b">
        <v>0</v>
      </c>
      <c r="AC559" s="140">
        <v>254.0</v>
      </c>
      <c r="AD559" s="141" t="b">
        <v>0</v>
      </c>
      <c r="AE559" s="115">
        <f t="shared" si="7"/>
        <v>286.5833333</v>
      </c>
      <c r="AF559" s="116" t="b">
        <f t="shared" si="8"/>
        <v>0</v>
      </c>
      <c r="AG559" s="105" t="b">
        <f t="shared" si="9"/>
        <v>0</v>
      </c>
      <c r="AH559" s="140"/>
      <c r="AI559" s="140"/>
      <c r="AJ559" s="140"/>
      <c r="AK559" s="117" t="str">
        <f t="shared" si="10"/>
        <v>Negative</v>
      </c>
      <c r="AL559" s="142"/>
      <c r="AM559" s="112" t="s">
        <v>1420</v>
      </c>
      <c r="AN559" s="112" t="s">
        <v>1421</v>
      </c>
      <c r="AO559" s="112" t="str">
        <f>IFERROR(__xludf.DUMMYFUNCTION("IF($AG559, ""DELETED"",TRIM(JOIN("" "",D559:E559)))"),"")</f>
        <v/>
      </c>
      <c r="AP559" s="112" t="str">
        <f t="shared" ref="AP559:AQ559" si="584">IF($AG559, "DELETED", TRIM(CONCATENATE(F559,I559,U559)))</f>
        <v/>
      </c>
      <c r="AQ559" s="112" t="str">
        <f t="shared" si="584"/>
        <v/>
      </c>
      <c r="AR559" s="112" t="str">
        <f>IFERROR(__xludf.DUMMYFUNCTION("IF($AG559, ""DELETED"", TRIM(JOIN("" "",AP559,AQ559)))"),"")</f>
        <v/>
      </c>
      <c r="AS559" s="118"/>
      <c r="AT559" s="110" t="b">
        <f t="shared" si="12"/>
        <v>0</v>
      </c>
      <c r="AU559" s="110" t="str">
        <f t="shared" si="13"/>
        <v/>
      </c>
      <c r="AV559" s="110" t="str">
        <f t="shared" si="14"/>
        <v/>
      </c>
      <c r="AW559" s="110" t="str">
        <f t="shared" si="15"/>
        <v/>
      </c>
      <c r="AX559" s="119" t="str">
        <f t="shared" si="16"/>
        <v/>
      </c>
      <c r="AY559" s="120"/>
      <c r="AZ559" s="121"/>
      <c r="BA559" s="122" t="str">
        <f t="shared" si="17"/>
        <v/>
      </c>
      <c r="BB559" s="34"/>
      <c r="BC559" s="121"/>
      <c r="BD559" s="136"/>
      <c r="BE559" s="125" t="str">
        <f t="shared" si="18"/>
        <v/>
      </c>
      <c r="BF559" s="126" t="str">
        <f t="shared" si="19"/>
        <v>MA273__44617_0.304351851851852</v>
      </c>
      <c r="BG559" s="127" t="str">
        <f t="shared" si="20"/>
        <v/>
      </c>
      <c r="BH559" s="137" t="s">
        <v>1624</v>
      </c>
      <c r="BI559" s="128" t="str">
        <f t="shared" si="21"/>
        <v>MA306</v>
      </c>
      <c r="BJ559" s="129" t="b">
        <f t="shared" si="22"/>
        <v>0</v>
      </c>
      <c r="BK559" s="128" t="str">
        <f t="shared" si="23"/>
        <v/>
      </c>
      <c r="BL559" s="121"/>
      <c r="BM559" s="5" t="str">
        <f t="shared" si="24"/>
        <v>MISSING</v>
      </c>
      <c r="BN559" s="120" t="b">
        <f t="shared" si="25"/>
        <v>0</v>
      </c>
      <c r="BO559" s="131" t="b">
        <f t="shared" si="26"/>
        <v>1</v>
      </c>
      <c r="BP559" s="121"/>
      <c r="BQ559" s="132" t="str">
        <f>VLOOKUP(A559,RAW_APS!A$3:O826,15,FALSE)</f>
        <v/>
      </c>
      <c r="BR559" s="120" t="b">
        <f t="shared" si="27"/>
        <v>1</v>
      </c>
      <c r="BS559" s="121"/>
      <c r="BT559" s="138" t="s">
        <v>244</v>
      </c>
      <c r="BU559" s="10" t="b">
        <f t="shared" si="28"/>
        <v>1</v>
      </c>
      <c r="BV559" s="120"/>
      <c r="BW559" s="120"/>
      <c r="BX559" s="120"/>
      <c r="BY559" s="120"/>
      <c r="BZ559" s="120"/>
      <c r="CA559" s="120"/>
      <c r="CB559" s="120"/>
      <c r="CC559" s="120"/>
    </row>
    <row r="560">
      <c r="A560" s="2" t="s">
        <v>1625</v>
      </c>
      <c r="B560" s="100">
        <v>44617.0</v>
      </c>
      <c r="C560" s="101">
        <v>0.30461805555555554</v>
      </c>
      <c r="D560" s="102"/>
      <c r="E560" s="102"/>
      <c r="F560" s="102"/>
      <c r="G560" s="102"/>
      <c r="H560" s="102"/>
      <c r="I560" s="103"/>
      <c r="J560" s="103"/>
      <c r="K560" s="2" t="s">
        <v>244</v>
      </c>
      <c r="L560" s="100">
        <v>44617.0</v>
      </c>
      <c r="M560" s="101">
        <v>0.5033680555555555</v>
      </c>
      <c r="P560" s="104" t="b">
        <f>IFNA(IF(VLOOKUP($A560,'Add from APT'!$AA$2:$AC826,3,FALSE)&gt;0,TRUE,FALSE),"ER - NOT IN APT")</f>
        <v>0</v>
      </c>
      <c r="Q560" s="105" t="str">
        <f>IF(ISLOGICAL(P560),IF(P560,"ER - REPS IN APT", IFNA(VLOOKUP($A560,RAW_APT!$A$3:$M826,7,FALSE),"ER - NOT IN APT")),P560)</f>
        <v>Result</v>
      </c>
      <c r="R560" s="106" t="b">
        <f t="shared" si="2"/>
        <v>1</v>
      </c>
      <c r="S560" s="107">
        <f t="shared" si="3"/>
        <v>1</v>
      </c>
      <c r="T560" s="143"/>
      <c r="U560" s="142"/>
      <c r="V560" s="142"/>
      <c r="W560" s="142"/>
      <c r="X560" s="110" t="b">
        <f t="shared" si="4"/>
        <v>0</v>
      </c>
      <c r="Y560" s="111" t="b">
        <v>0</v>
      </c>
      <c r="Z560" s="104" t="str">
        <f t="shared" si="5"/>
        <v/>
      </c>
      <c r="AA560" s="112" t="b">
        <f t="shared" si="6"/>
        <v>0</v>
      </c>
      <c r="AB560" s="142" t="b">
        <v>0</v>
      </c>
      <c r="AC560" s="140">
        <v>253.0</v>
      </c>
      <c r="AD560" s="141" t="b">
        <v>0</v>
      </c>
      <c r="AE560" s="115">
        <f t="shared" si="7"/>
        <v>286.2</v>
      </c>
      <c r="AF560" s="116" t="b">
        <f t="shared" si="8"/>
        <v>0</v>
      </c>
      <c r="AG560" s="105" t="b">
        <f t="shared" si="9"/>
        <v>0</v>
      </c>
      <c r="AH560" s="140"/>
      <c r="AI560" s="140"/>
      <c r="AJ560" s="140"/>
      <c r="AK560" s="117" t="str">
        <f t="shared" si="10"/>
        <v>Negative</v>
      </c>
      <c r="AL560" s="142"/>
      <c r="AM560" s="112" t="s">
        <v>624</v>
      </c>
      <c r="AN560" s="112" t="s">
        <v>625</v>
      </c>
      <c r="AO560" s="112" t="str">
        <f>IFERROR(__xludf.DUMMYFUNCTION("IF($AG560, ""DELETED"",TRIM(JOIN("" "",D560:E560)))"),"")</f>
        <v/>
      </c>
      <c r="AP560" s="112" t="str">
        <f t="shared" ref="AP560:AQ560" si="585">IF($AG560, "DELETED", TRIM(CONCATENATE(F560,I560,U560)))</f>
        <v/>
      </c>
      <c r="AQ560" s="112" t="str">
        <f t="shared" si="585"/>
        <v/>
      </c>
      <c r="AR560" s="112" t="str">
        <f>IFERROR(__xludf.DUMMYFUNCTION("IF($AG560, ""DELETED"", TRIM(JOIN("" "",AP560,AQ560)))"),"")</f>
        <v/>
      </c>
      <c r="AS560" s="118"/>
      <c r="AT560" s="110" t="b">
        <f t="shared" si="12"/>
        <v>0</v>
      </c>
      <c r="AU560" s="110" t="str">
        <f t="shared" si="13"/>
        <v/>
      </c>
      <c r="AV560" s="110" t="str">
        <f t="shared" si="14"/>
        <v/>
      </c>
      <c r="AW560" s="110" t="str">
        <f t="shared" si="15"/>
        <v/>
      </c>
      <c r="AX560" s="119" t="str">
        <f t="shared" si="16"/>
        <v/>
      </c>
      <c r="AY560" s="120"/>
      <c r="AZ560" s="121"/>
      <c r="BA560" s="122" t="str">
        <f t="shared" si="17"/>
        <v/>
      </c>
      <c r="BB560" s="34"/>
      <c r="BC560" s="121"/>
      <c r="BD560" s="136"/>
      <c r="BE560" s="125" t="str">
        <f t="shared" si="18"/>
        <v/>
      </c>
      <c r="BF560" s="126" t="str">
        <f t="shared" si="19"/>
        <v>MA225__44617_0.304618055555556</v>
      </c>
      <c r="BG560" s="127" t="str">
        <f t="shared" si="20"/>
        <v/>
      </c>
      <c r="BH560" s="137" t="s">
        <v>1626</v>
      </c>
      <c r="BI560" s="128" t="str">
        <f t="shared" si="21"/>
        <v>MA307</v>
      </c>
      <c r="BJ560" s="129" t="b">
        <f t="shared" si="22"/>
        <v>0</v>
      </c>
      <c r="BK560" s="128" t="str">
        <f t="shared" si="23"/>
        <v/>
      </c>
      <c r="BL560" s="121"/>
      <c r="BM560" s="5" t="str">
        <f t="shared" si="24"/>
        <v>MISSING</v>
      </c>
      <c r="BN560" s="120" t="b">
        <f t="shared" si="25"/>
        <v>0</v>
      </c>
      <c r="BO560" s="131" t="b">
        <f t="shared" si="26"/>
        <v>1</v>
      </c>
      <c r="BP560" s="121"/>
      <c r="BQ560" s="132" t="str">
        <f>VLOOKUP(A560,RAW_APS!A$3:O826,15,FALSE)</f>
        <v/>
      </c>
      <c r="BR560" s="120" t="b">
        <f t="shared" si="27"/>
        <v>1</v>
      </c>
      <c r="BS560" s="121"/>
      <c r="BT560" s="138" t="s">
        <v>244</v>
      </c>
      <c r="BU560" s="10" t="b">
        <f t="shared" si="28"/>
        <v>1</v>
      </c>
      <c r="BV560" s="120"/>
      <c r="BW560" s="120"/>
      <c r="BX560" s="120"/>
      <c r="BY560" s="120"/>
      <c r="BZ560" s="120"/>
      <c r="CA560" s="120"/>
      <c r="CB560" s="120"/>
      <c r="CC560" s="120"/>
    </row>
    <row r="561">
      <c r="A561" s="2" t="s">
        <v>1627</v>
      </c>
      <c r="B561" s="100">
        <v>44617.0</v>
      </c>
      <c r="C561" s="101">
        <v>0.30627314814814816</v>
      </c>
      <c r="D561" s="102"/>
      <c r="E561" s="102"/>
      <c r="F561" s="102"/>
      <c r="G561" s="102"/>
      <c r="H561" s="102"/>
      <c r="I561" s="103"/>
      <c r="J561" s="103"/>
      <c r="K561" s="2" t="s">
        <v>244</v>
      </c>
      <c r="L561" s="100">
        <v>44617.0</v>
      </c>
      <c r="M561" s="101">
        <v>0.5033680555555555</v>
      </c>
      <c r="P561" s="104" t="b">
        <f>IFNA(IF(VLOOKUP($A561,'Add from APT'!$AA$2:$AC826,3,FALSE)&gt;0,TRUE,FALSE),"ER - NOT IN APT")</f>
        <v>0</v>
      </c>
      <c r="Q561" s="105" t="str">
        <f>IF(ISLOGICAL(P561),IF(P561,"ER - REPS IN APT", IFNA(VLOOKUP($A561,RAW_APT!$A$3:$M826,7,FALSE),"ER - NOT IN APT")),P561)</f>
        <v>Result</v>
      </c>
      <c r="R561" s="106" t="b">
        <f t="shared" si="2"/>
        <v>1</v>
      </c>
      <c r="S561" s="107">
        <f t="shared" si="3"/>
        <v>1</v>
      </c>
      <c r="T561" s="143"/>
      <c r="U561" s="142"/>
      <c r="V561" s="142"/>
      <c r="W561" s="142"/>
      <c r="X561" s="110" t="b">
        <f t="shared" si="4"/>
        <v>0</v>
      </c>
      <c r="Y561" s="111" t="b">
        <v>0</v>
      </c>
      <c r="Z561" s="104" t="str">
        <f t="shared" si="5"/>
        <v/>
      </c>
      <c r="AA561" s="112" t="b">
        <f t="shared" si="6"/>
        <v>0</v>
      </c>
      <c r="AB561" s="142" t="b">
        <v>0</v>
      </c>
      <c r="AC561" s="140">
        <v>252.0</v>
      </c>
      <c r="AD561" s="141" t="b">
        <v>0</v>
      </c>
      <c r="AE561" s="115">
        <f t="shared" si="7"/>
        <v>283.8166667</v>
      </c>
      <c r="AF561" s="116" t="b">
        <f t="shared" si="8"/>
        <v>0</v>
      </c>
      <c r="AG561" s="105" t="b">
        <f t="shared" si="9"/>
        <v>0</v>
      </c>
      <c r="AH561" s="140"/>
      <c r="AI561" s="140"/>
      <c r="AJ561" s="140"/>
      <c r="AK561" s="117" t="str">
        <f t="shared" si="10"/>
        <v>Negative</v>
      </c>
      <c r="AL561" s="142"/>
      <c r="AM561" s="112" t="s">
        <v>1354</v>
      </c>
      <c r="AN561" s="112" t="s">
        <v>1355</v>
      </c>
      <c r="AO561" s="112" t="str">
        <f>IFERROR(__xludf.DUMMYFUNCTION("IF($AG561, ""DELETED"",TRIM(JOIN("" "",D561:E561)))"),"")</f>
        <v/>
      </c>
      <c r="AP561" s="112" t="str">
        <f t="shared" ref="AP561:AQ561" si="586">IF($AG561, "DELETED", TRIM(CONCATENATE(F561,I561,U561)))</f>
        <v/>
      </c>
      <c r="AQ561" s="112" t="str">
        <f t="shared" si="586"/>
        <v/>
      </c>
      <c r="AR561" s="112" t="str">
        <f>IFERROR(__xludf.DUMMYFUNCTION("IF($AG561, ""DELETED"", TRIM(JOIN("" "",AP561,AQ561)))"),"")</f>
        <v/>
      </c>
      <c r="AS561" s="118"/>
      <c r="AT561" s="110" t="b">
        <f t="shared" si="12"/>
        <v>0</v>
      </c>
      <c r="AU561" s="110" t="str">
        <f t="shared" si="13"/>
        <v/>
      </c>
      <c r="AV561" s="110" t="str">
        <f t="shared" si="14"/>
        <v/>
      </c>
      <c r="AW561" s="110" t="str">
        <f t="shared" si="15"/>
        <v/>
      </c>
      <c r="AX561" s="119" t="str">
        <f t="shared" si="16"/>
        <v/>
      </c>
      <c r="AY561" s="120"/>
      <c r="AZ561" s="121"/>
      <c r="BA561" s="122" t="str">
        <f t="shared" si="17"/>
        <v/>
      </c>
      <c r="BB561" s="34"/>
      <c r="BC561" s="121"/>
      <c r="BD561" s="136"/>
      <c r="BE561" s="125" t="str">
        <f t="shared" si="18"/>
        <v/>
      </c>
      <c r="BF561" s="126" t="str">
        <f t="shared" si="19"/>
        <v>MA234__44617_0.306273148148148</v>
      </c>
      <c r="BG561" s="127" t="str">
        <f t="shared" si="20"/>
        <v/>
      </c>
      <c r="BH561" s="137" t="s">
        <v>1628</v>
      </c>
      <c r="BI561" s="128" t="str">
        <f t="shared" si="21"/>
        <v>MA310</v>
      </c>
      <c r="BJ561" s="129" t="b">
        <f t="shared" si="22"/>
        <v>0</v>
      </c>
      <c r="BK561" s="128" t="str">
        <f t="shared" si="23"/>
        <v/>
      </c>
      <c r="BL561" s="121"/>
      <c r="BM561" s="5" t="str">
        <f t="shared" si="24"/>
        <v>MISSING</v>
      </c>
      <c r="BN561" s="120" t="b">
        <f t="shared" si="25"/>
        <v>0</v>
      </c>
      <c r="BO561" s="131" t="b">
        <f t="shared" si="26"/>
        <v>1</v>
      </c>
      <c r="BP561" s="121"/>
      <c r="BQ561" s="132" t="str">
        <f>VLOOKUP(A561,RAW_APS!A$3:O826,15,FALSE)</f>
        <v/>
      </c>
      <c r="BR561" s="120" t="b">
        <f t="shared" si="27"/>
        <v>1</v>
      </c>
      <c r="BS561" s="121"/>
      <c r="BT561" s="138" t="s">
        <v>244</v>
      </c>
      <c r="BU561" s="10" t="b">
        <f t="shared" si="28"/>
        <v>1</v>
      </c>
      <c r="BV561" s="120"/>
      <c r="BW561" s="120"/>
      <c r="BX561" s="120"/>
      <c r="BY561" s="120"/>
      <c r="BZ561" s="120"/>
      <c r="CA561" s="120"/>
      <c r="CB561" s="120"/>
      <c r="CC561" s="120"/>
    </row>
    <row r="562">
      <c r="A562" s="2" t="s">
        <v>1629</v>
      </c>
      <c r="B562" s="100">
        <v>44617.0</v>
      </c>
      <c r="C562" s="101">
        <v>0.3128009259259259</v>
      </c>
      <c r="D562" s="102"/>
      <c r="E562" s="102"/>
      <c r="F562" s="102"/>
      <c r="G562" s="102"/>
      <c r="H562" s="102"/>
      <c r="I562" s="103"/>
      <c r="J562" s="103"/>
      <c r="K562" s="2" t="s">
        <v>244</v>
      </c>
      <c r="L562" s="100">
        <v>44617.0</v>
      </c>
      <c r="M562" s="101">
        <v>0.5033680555555555</v>
      </c>
      <c r="P562" s="104" t="b">
        <f>IFNA(IF(VLOOKUP($A562,'Add from APT'!$AA$2:$AC826,3,FALSE)&gt;0,TRUE,FALSE),"ER - NOT IN APT")</f>
        <v>0</v>
      </c>
      <c r="Q562" s="105" t="str">
        <f>IF(ISLOGICAL(P562),IF(P562,"ER - REPS IN APT", IFNA(VLOOKUP($A562,RAW_APT!$A$3:$M826,7,FALSE),"ER - NOT IN APT")),P562)</f>
        <v>Result</v>
      </c>
      <c r="R562" s="106" t="b">
        <f t="shared" si="2"/>
        <v>1</v>
      </c>
      <c r="S562" s="107">
        <f t="shared" si="3"/>
        <v>1</v>
      </c>
      <c r="T562" s="143"/>
      <c r="U562" s="142"/>
      <c r="V562" s="142"/>
      <c r="W562" s="142"/>
      <c r="X562" s="110" t="b">
        <f t="shared" si="4"/>
        <v>0</v>
      </c>
      <c r="Y562" s="111" t="b">
        <v>0</v>
      </c>
      <c r="Z562" s="104" t="str">
        <f t="shared" si="5"/>
        <v/>
      </c>
      <c r="AA562" s="112" t="b">
        <f t="shared" si="6"/>
        <v>0</v>
      </c>
      <c r="AB562" s="142" t="b">
        <v>0</v>
      </c>
      <c r="AC562" s="140">
        <v>251.0</v>
      </c>
      <c r="AD562" s="141" t="b">
        <v>0</v>
      </c>
      <c r="AE562" s="115">
        <f t="shared" si="7"/>
        <v>274.4166667</v>
      </c>
      <c r="AF562" s="116" t="b">
        <f t="shared" si="8"/>
        <v>0</v>
      </c>
      <c r="AG562" s="105" t="b">
        <f t="shared" si="9"/>
        <v>0</v>
      </c>
      <c r="AH562" s="140"/>
      <c r="AI562" s="140"/>
      <c r="AJ562" s="140"/>
      <c r="AK562" s="117" t="str">
        <f t="shared" si="10"/>
        <v>Negative</v>
      </c>
      <c r="AL562" s="142"/>
      <c r="AM562" s="112" t="s">
        <v>583</v>
      </c>
      <c r="AN562" s="112" t="s">
        <v>584</v>
      </c>
      <c r="AO562" s="112" t="str">
        <f>IFERROR(__xludf.DUMMYFUNCTION("IF($AG562, ""DELETED"",TRIM(JOIN("" "",D562:E562)))"),"")</f>
        <v/>
      </c>
      <c r="AP562" s="112" t="str">
        <f t="shared" ref="AP562:AQ562" si="587">IF($AG562, "DELETED", TRIM(CONCATENATE(F562,I562,U562)))</f>
        <v/>
      </c>
      <c r="AQ562" s="112" t="str">
        <f t="shared" si="587"/>
        <v/>
      </c>
      <c r="AR562" s="112" t="str">
        <f>IFERROR(__xludf.DUMMYFUNCTION("IF($AG562, ""DELETED"", TRIM(JOIN("" "",AP562,AQ562)))"),"")</f>
        <v/>
      </c>
      <c r="AS562" s="118"/>
      <c r="AT562" s="110" t="b">
        <f t="shared" si="12"/>
        <v>0</v>
      </c>
      <c r="AU562" s="110" t="str">
        <f t="shared" si="13"/>
        <v/>
      </c>
      <c r="AV562" s="110" t="str">
        <f t="shared" si="14"/>
        <v/>
      </c>
      <c r="AW562" s="110" t="str">
        <f t="shared" si="15"/>
        <v/>
      </c>
      <c r="AX562" s="119" t="str">
        <f t="shared" si="16"/>
        <v/>
      </c>
      <c r="AY562" s="120"/>
      <c r="AZ562" s="121"/>
      <c r="BA562" s="122" t="str">
        <f t="shared" si="17"/>
        <v/>
      </c>
      <c r="BB562" s="34"/>
      <c r="BC562" s="121"/>
      <c r="BD562" s="136"/>
      <c r="BE562" s="125" t="str">
        <f t="shared" si="18"/>
        <v/>
      </c>
      <c r="BF562" s="126" t="str">
        <f t="shared" si="19"/>
        <v>FM807__44617_0.312800925925926</v>
      </c>
      <c r="BG562" s="127" t="str">
        <f t="shared" si="20"/>
        <v/>
      </c>
      <c r="BH562" s="137" t="s">
        <v>1630</v>
      </c>
      <c r="BI562" s="128" t="str">
        <f t="shared" si="21"/>
        <v>MA312</v>
      </c>
      <c r="BJ562" s="129" t="b">
        <f t="shared" si="22"/>
        <v>0</v>
      </c>
      <c r="BK562" s="128" t="str">
        <f t="shared" si="23"/>
        <v/>
      </c>
      <c r="BL562" s="121"/>
      <c r="BM562" s="5" t="str">
        <f t="shared" si="24"/>
        <v>MISSING</v>
      </c>
      <c r="BN562" s="120" t="b">
        <f t="shared" si="25"/>
        <v>0</v>
      </c>
      <c r="BO562" s="131" t="b">
        <f t="shared" si="26"/>
        <v>1</v>
      </c>
      <c r="BP562" s="121"/>
      <c r="BQ562" s="132" t="str">
        <f>VLOOKUP(A562,RAW_APS!A$3:O826,15,FALSE)</f>
        <v/>
      </c>
      <c r="BR562" s="120" t="b">
        <f t="shared" si="27"/>
        <v>1</v>
      </c>
      <c r="BS562" s="121"/>
      <c r="BT562" s="138" t="s">
        <v>244</v>
      </c>
      <c r="BU562" s="10" t="b">
        <f t="shared" si="28"/>
        <v>1</v>
      </c>
      <c r="BV562" s="120"/>
      <c r="BW562" s="120"/>
      <c r="BX562" s="120"/>
      <c r="BY562" s="120"/>
      <c r="BZ562" s="120"/>
      <c r="CA562" s="120"/>
      <c r="CB562" s="120"/>
      <c r="CC562" s="120"/>
    </row>
    <row r="563">
      <c r="A563" s="2" t="s">
        <v>1631</v>
      </c>
      <c r="B563" s="100">
        <v>44617.0</v>
      </c>
      <c r="C563" s="101">
        <v>0.3161921296296296</v>
      </c>
      <c r="D563" s="102"/>
      <c r="E563" s="102"/>
      <c r="F563" s="103"/>
      <c r="G563" s="103"/>
      <c r="H563" s="148"/>
      <c r="I563" s="135"/>
      <c r="J563" s="103"/>
      <c r="K563" s="2" t="s">
        <v>244</v>
      </c>
      <c r="L563" s="100">
        <v>44617.0</v>
      </c>
      <c r="M563" s="101">
        <v>0.5033680555555555</v>
      </c>
      <c r="N563" s="2" t="s">
        <v>247</v>
      </c>
      <c r="P563" s="104" t="b">
        <f>IFNA(IF(VLOOKUP($A563,'Add from APT'!$AA$2:$AC826,3,FALSE)&gt;0,TRUE,FALSE),"ER - NOT IN APT")</f>
        <v>0</v>
      </c>
      <c r="Q563" s="105" t="str">
        <f>IF(ISLOGICAL(P563),IF(P563,"ER - REPS IN APT", IFNA(VLOOKUP($A563,RAW_APT!$A$3:$M826,7,FALSE),"ER - NOT IN APT")),P563)</f>
        <v>Result</v>
      </c>
      <c r="R563" s="106" t="b">
        <f t="shared" si="2"/>
        <v>1</v>
      </c>
      <c r="S563" s="107">
        <f t="shared" si="3"/>
        <v>1</v>
      </c>
      <c r="T563" s="140">
        <v>0.0</v>
      </c>
      <c r="W563" s="141"/>
      <c r="X563" s="110" t="b">
        <f t="shared" si="4"/>
        <v>0</v>
      </c>
      <c r="Y563" s="111" t="b">
        <v>0</v>
      </c>
      <c r="Z563" s="104" t="str">
        <f t="shared" si="5"/>
        <v/>
      </c>
      <c r="AA563" s="112" t="b">
        <f t="shared" si="6"/>
        <v>0</v>
      </c>
      <c r="AB563" s="142" t="b">
        <v>0</v>
      </c>
      <c r="AC563" s="140">
        <v>800.0</v>
      </c>
      <c r="AD563" s="141" t="b">
        <v>1</v>
      </c>
      <c r="AE563" s="115">
        <f t="shared" si="7"/>
        <v>269.5333333</v>
      </c>
      <c r="AF563" s="116" t="b">
        <f t="shared" si="8"/>
        <v>0</v>
      </c>
      <c r="AG563" s="105" t="b">
        <f t="shared" si="9"/>
        <v>0</v>
      </c>
      <c r="AH563" s="140"/>
      <c r="AI563" s="140"/>
      <c r="AJ563" s="140"/>
      <c r="AK563" s="117" t="str">
        <f t="shared" si="10"/>
        <v>Negative</v>
      </c>
      <c r="AL563" s="142"/>
      <c r="AM563" s="112" t="s">
        <v>918</v>
      </c>
      <c r="AN563" s="112" t="s">
        <v>886</v>
      </c>
      <c r="AO563" s="112" t="str">
        <f>IFERROR(__xludf.DUMMYFUNCTION("IF($AG563, ""DELETED"",TRIM(JOIN("" "",D563:E563)))"),"")</f>
        <v/>
      </c>
      <c r="AP563" s="112" t="str">
        <f t="shared" ref="AP563:AQ563" si="588">IF($AG563, "DELETED", TRIM(CONCATENATE(F563,I563,U563)))</f>
        <v/>
      </c>
      <c r="AQ563" s="112" t="str">
        <f t="shared" si="588"/>
        <v/>
      </c>
      <c r="AR563" s="112" t="str">
        <f>IFERROR(__xludf.DUMMYFUNCTION("IF($AG563, ""DELETED"", TRIM(JOIN("" "",AP563,AQ563)))"),"")</f>
        <v/>
      </c>
      <c r="AS563" s="118"/>
      <c r="AT563" s="110" t="b">
        <f t="shared" si="12"/>
        <v>0</v>
      </c>
      <c r="AU563" s="110" t="str">
        <f t="shared" si="13"/>
        <v/>
      </c>
      <c r="AV563" s="110" t="str">
        <f t="shared" si="14"/>
        <v/>
      </c>
      <c r="AW563" s="110" t="str">
        <f t="shared" si="15"/>
        <v/>
      </c>
      <c r="AX563" s="119" t="str">
        <f t="shared" si="16"/>
        <v/>
      </c>
      <c r="AY563" s="120"/>
      <c r="AZ563" s="121"/>
      <c r="BA563" s="122" t="str">
        <f t="shared" si="17"/>
        <v/>
      </c>
      <c r="BB563" s="34"/>
      <c r="BC563" s="121"/>
      <c r="BD563" s="136"/>
      <c r="BE563" s="125" t="str">
        <f t="shared" si="18"/>
        <v/>
      </c>
      <c r="BF563" s="126" t="str">
        <f t="shared" si="19"/>
        <v>MA1231__44617_0.31619212962963</v>
      </c>
      <c r="BG563" s="127" t="str">
        <f t="shared" si="20"/>
        <v/>
      </c>
      <c r="BH563" s="137" t="s">
        <v>1632</v>
      </c>
      <c r="BI563" s="128" t="str">
        <f t="shared" si="21"/>
        <v>MA314</v>
      </c>
      <c r="BJ563" s="129" t="b">
        <f t="shared" si="22"/>
        <v>0</v>
      </c>
      <c r="BK563" s="128" t="str">
        <f t="shared" si="23"/>
        <v/>
      </c>
      <c r="BL563" s="121"/>
      <c r="BM563" s="5" t="str">
        <f t="shared" si="24"/>
        <v>MISSING</v>
      </c>
      <c r="BN563" s="120" t="b">
        <f t="shared" si="25"/>
        <v>0</v>
      </c>
      <c r="BO563" s="131" t="b">
        <f t="shared" si="26"/>
        <v>1</v>
      </c>
      <c r="BP563" s="121"/>
      <c r="BQ563" s="132" t="str">
        <f>VLOOKUP(A563,RAW_APS!A$3:O826,15,FALSE)</f>
        <v>#N/A</v>
      </c>
      <c r="BR563" s="120" t="str">
        <f t="shared" si="27"/>
        <v>***TUBE ID NOT FOUND</v>
      </c>
      <c r="BS563" s="121"/>
      <c r="BT563" s="138" t="s">
        <v>244</v>
      </c>
      <c r="BU563" s="10" t="b">
        <f t="shared" si="28"/>
        <v>1</v>
      </c>
      <c r="BV563" s="120"/>
      <c r="BW563" s="120"/>
      <c r="BX563" s="120"/>
      <c r="BY563" s="120"/>
      <c r="BZ563" s="120"/>
      <c r="CA563" s="120"/>
      <c r="CB563" s="120"/>
      <c r="CC563" s="120"/>
    </row>
    <row r="564">
      <c r="A564" s="2" t="s">
        <v>1633</v>
      </c>
      <c r="B564" s="100">
        <v>44617.0</v>
      </c>
      <c r="C564" s="101">
        <v>0.31754629629629627</v>
      </c>
      <c r="D564" s="102"/>
      <c r="E564" s="102"/>
      <c r="F564" s="102"/>
      <c r="G564" s="102"/>
      <c r="H564" s="102"/>
      <c r="I564" s="103"/>
      <c r="J564" s="103"/>
      <c r="K564" s="2" t="s">
        <v>244</v>
      </c>
      <c r="L564" s="100">
        <v>44617.0</v>
      </c>
      <c r="M564" s="101">
        <v>0.5033680555555555</v>
      </c>
      <c r="P564" s="104" t="b">
        <f>IFNA(IF(VLOOKUP($A564,'Add from APT'!$AA$2:$AC826,3,FALSE)&gt;0,TRUE,FALSE),"ER - NOT IN APT")</f>
        <v>0</v>
      </c>
      <c r="Q564" s="105" t="str">
        <f>IF(ISLOGICAL(P564),IF(P564,"ER - REPS IN APT", IFNA(VLOOKUP($A564,RAW_APT!$A$3:$M826,7,FALSE),"ER - NOT IN APT")),P564)</f>
        <v>Result</v>
      </c>
      <c r="R564" s="106" t="b">
        <f t="shared" si="2"/>
        <v>1</v>
      </c>
      <c r="S564" s="107">
        <f t="shared" si="3"/>
        <v>1</v>
      </c>
      <c r="T564" s="143"/>
      <c r="U564" s="142"/>
      <c r="V564" s="142"/>
      <c r="W564" s="142"/>
      <c r="X564" s="110" t="b">
        <f t="shared" si="4"/>
        <v>0</v>
      </c>
      <c r="Y564" s="111" t="b">
        <v>0</v>
      </c>
      <c r="Z564" s="104" t="str">
        <f t="shared" si="5"/>
        <v/>
      </c>
      <c r="AA564" s="112" t="b">
        <f t="shared" si="6"/>
        <v>0</v>
      </c>
      <c r="AB564" s="142" t="b">
        <v>0</v>
      </c>
      <c r="AC564" s="140">
        <v>250.0</v>
      </c>
      <c r="AD564" s="141" t="b">
        <v>0</v>
      </c>
      <c r="AE564" s="115">
        <f t="shared" si="7"/>
        <v>267.5833333</v>
      </c>
      <c r="AF564" s="116" t="b">
        <f t="shared" si="8"/>
        <v>0</v>
      </c>
      <c r="AG564" s="105" t="b">
        <f t="shared" si="9"/>
        <v>0</v>
      </c>
      <c r="AH564" s="140"/>
      <c r="AI564" s="140"/>
      <c r="AJ564" s="140"/>
      <c r="AK564" s="117" t="str">
        <f t="shared" si="10"/>
        <v>Negative</v>
      </c>
      <c r="AL564" s="142"/>
      <c r="AM564" s="112" t="s">
        <v>1516</v>
      </c>
      <c r="AN564" s="112" t="s">
        <v>1517</v>
      </c>
      <c r="AO564" s="112" t="str">
        <f>IFERROR(__xludf.DUMMYFUNCTION("IF($AG564, ""DELETED"",TRIM(JOIN("" "",D564:E564)))"),"")</f>
        <v/>
      </c>
      <c r="AP564" s="112" t="str">
        <f t="shared" ref="AP564:AQ564" si="589">IF($AG564, "DELETED", TRIM(CONCATENATE(F564,I564,U564)))</f>
        <v/>
      </c>
      <c r="AQ564" s="112" t="str">
        <f t="shared" si="589"/>
        <v/>
      </c>
      <c r="AR564" s="112" t="str">
        <f>IFERROR(__xludf.DUMMYFUNCTION("IF($AG564, ""DELETED"", TRIM(JOIN("" "",AP564,AQ564)))"),"")</f>
        <v/>
      </c>
      <c r="AS564" s="118"/>
      <c r="AT564" s="110" t="b">
        <f t="shared" si="12"/>
        <v>0</v>
      </c>
      <c r="AU564" s="110" t="str">
        <f t="shared" si="13"/>
        <v/>
      </c>
      <c r="AV564" s="110" t="str">
        <f t="shared" si="14"/>
        <v/>
      </c>
      <c r="AW564" s="110" t="str">
        <f t="shared" si="15"/>
        <v/>
      </c>
      <c r="AX564" s="119" t="str">
        <f t="shared" si="16"/>
        <v/>
      </c>
      <c r="AY564" s="120"/>
      <c r="AZ564" s="121"/>
      <c r="BA564" s="122" t="str">
        <f t="shared" si="17"/>
        <v/>
      </c>
      <c r="BB564" s="34"/>
      <c r="BC564" s="121"/>
      <c r="BD564" s="136"/>
      <c r="BE564" s="125" t="str">
        <f t="shared" si="18"/>
        <v/>
      </c>
      <c r="BF564" s="126" t="str">
        <f t="shared" si="19"/>
        <v>MA243__44617_0.317546296296296</v>
      </c>
      <c r="BG564" s="127" t="str">
        <f t="shared" si="20"/>
        <v/>
      </c>
      <c r="BH564" s="137" t="s">
        <v>1634</v>
      </c>
      <c r="BI564" s="128" t="str">
        <f t="shared" si="21"/>
        <v>MA315</v>
      </c>
      <c r="BJ564" s="129" t="b">
        <f t="shared" si="22"/>
        <v>0</v>
      </c>
      <c r="BK564" s="128" t="str">
        <f t="shared" si="23"/>
        <v/>
      </c>
      <c r="BL564" s="121"/>
      <c r="BM564" s="5" t="str">
        <f t="shared" si="24"/>
        <v>MISSING</v>
      </c>
      <c r="BN564" s="120" t="b">
        <f t="shared" si="25"/>
        <v>0</v>
      </c>
      <c r="BO564" s="131" t="b">
        <f t="shared" si="26"/>
        <v>1</v>
      </c>
      <c r="BP564" s="121"/>
      <c r="BQ564" s="132" t="str">
        <f>VLOOKUP(A564,RAW_APS!A$3:O826,15,FALSE)</f>
        <v/>
      </c>
      <c r="BR564" s="120" t="b">
        <f t="shared" si="27"/>
        <v>1</v>
      </c>
      <c r="BS564" s="121"/>
      <c r="BT564" s="138" t="s">
        <v>244</v>
      </c>
      <c r="BU564" s="10" t="b">
        <f t="shared" si="28"/>
        <v>1</v>
      </c>
      <c r="BV564" s="120"/>
      <c r="BW564" s="120"/>
      <c r="BX564" s="120"/>
      <c r="BY564" s="120"/>
      <c r="BZ564" s="120"/>
      <c r="CA564" s="120"/>
      <c r="CB564" s="120"/>
      <c r="CC564" s="120"/>
    </row>
    <row r="565">
      <c r="A565" s="2" t="s">
        <v>1635</v>
      </c>
      <c r="B565" s="100">
        <v>44617.0</v>
      </c>
      <c r="C565" s="101">
        <v>0.31829861111111113</v>
      </c>
      <c r="D565" s="102"/>
      <c r="E565" s="102"/>
      <c r="F565" s="102"/>
      <c r="G565" s="102"/>
      <c r="H565" s="102"/>
      <c r="I565" s="103"/>
      <c r="J565" s="103"/>
      <c r="K565" s="2" t="s">
        <v>244</v>
      </c>
      <c r="L565" s="100">
        <v>44617.0</v>
      </c>
      <c r="M565" s="101">
        <v>0.5033680555555555</v>
      </c>
      <c r="P565" s="104" t="b">
        <f>IFNA(IF(VLOOKUP($A565,'Add from APT'!$AA$2:$AC826,3,FALSE)&gt;0,TRUE,FALSE),"ER - NOT IN APT")</f>
        <v>0</v>
      </c>
      <c r="Q565" s="105" t="str">
        <f>IF(ISLOGICAL(P565),IF(P565,"ER - REPS IN APT", IFNA(VLOOKUP($A565,RAW_APT!$A$3:$M826,7,FALSE),"ER - NOT IN APT")),P565)</f>
        <v>Result</v>
      </c>
      <c r="R565" s="106" t="b">
        <f t="shared" si="2"/>
        <v>1</v>
      </c>
      <c r="S565" s="107">
        <f t="shared" si="3"/>
        <v>1</v>
      </c>
      <c r="T565" s="143"/>
      <c r="U565" s="142"/>
      <c r="V565" s="142"/>
      <c r="W565" s="142"/>
      <c r="X565" s="110" t="b">
        <f t="shared" si="4"/>
        <v>0</v>
      </c>
      <c r="Y565" s="111" t="b">
        <v>0</v>
      </c>
      <c r="Z565" s="104" t="str">
        <f t="shared" si="5"/>
        <v/>
      </c>
      <c r="AA565" s="112" t="b">
        <f t="shared" si="6"/>
        <v>0</v>
      </c>
      <c r="AB565" s="142" t="b">
        <v>0</v>
      </c>
      <c r="AC565" s="140">
        <v>249.0</v>
      </c>
      <c r="AD565" s="141" t="b">
        <v>0</v>
      </c>
      <c r="AE565" s="115">
        <f t="shared" si="7"/>
        <v>266.5</v>
      </c>
      <c r="AF565" s="116" t="b">
        <f t="shared" si="8"/>
        <v>0</v>
      </c>
      <c r="AG565" s="105" t="b">
        <f t="shared" si="9"/>
        <v>0</v>
      </c>
      <c r="AH565" s="140"/>
      <c r="AI565" s="140"/>
      <c r="AJ565" s="140"/>
      <c r="AK565" s="117" t="str">
        <f t="shared" si="10"/>
        <v>Negative</v>
      </c>
      <c r="AL565" s="142"/>
      <c r="AM565" s="112" t="s">
        <v>328</v>
      </c>
      <c r="AN565" s="112" t="s">
        <v>329</v>
      </c>
      <c r="AO565" s="112" t="str">
        <f>IFERROR(__xludf.DUMMYFUNCTION("IF($AG565, ""DELETED"",TRIM(JOIN("" "",D565:E565)))"),"")</f>
        <v/>
      </c>
      <c r="AP565" s="112" t="str">
        <f t="shared" ref="AP565:AQ565" si="590">IF($AG565, "DELETED", TRIM(CONCATENATE(F565,I565,U565)))</f>
        <v/>
      </c>
      <c r="AQ565" s="112" t="str">
        <f t="shared" si="590"/>
        <v/>
      </c>
      <c r="AR565" s="112" t="str">
        <f>IFERROR(__xludf.DUMMYFUNCTION("IF($AG565, ""DELETED"", TRIM(JOIN("" "",AP565,AQ565)))"),"")</f>
        <v/>
      </c>
      <c r="AS565" s="118"/>
      <c r="AT565" s="110" t="b">
        <f t="shared" si="12"/>
        <v>0</v>
      </c>
      <c r="AU565" s="110" t="str">
        <f t="shared" si="13"/>
        <v/>
      </c>
      <c r="AV565" s="110" t="str">
        <f t="shared" si="14"/>
        <v/>
      </c>
      <c r="AW565" s="110" t="str">
        <f t="shared" si="15"/>
        <v/>
      </c>
      <c r="AX565" s="119" t="str">
        <f t="shared" si="16"/>
        <v/>
      </c>
      <c r="AY565" s="120"/>
      <c r="AZ565" s="121"/>
      <c r="BA565" s="122" t="str">
        <f t="shared" si="17"/>
        <v/>
      </c>
      <c r="BB565" s="34"/>
      <c r="BC565" s="121"/>
      <c r="BD565" s="136"/>
      <c r="BE565" s="125" t="str">
        <f t="shared" si="18"/>
        <v/>
      </c>
      <c r="BF565" s="126" t="str">
        <f t="shared" si="19"/>
        <v>MA1140__44617_0.318298611111111</v>
      </c>
      <c r="BG565" s="127" t="str">
        <f t="shared" si="20"/>
        <v/>
      </c>
      <c r="BH565" s="137" t="s">
        <v>1636</v>
      </c>
      <c r="BI565" s="128" t="str">
        <f t="shared" si="21"/>
        <v>MA316</v>
      </c>
      <c r="BJ565" s="129" t="b">
        <f t="shared" si="22"/>
        <v>0</v>
      </c>
      <c r="BK565" s="128" t="str">
        <f t="shared" si="23"/>
        <v/>
      </c>
      <c r="BL565" s="121"/>
      <c r="BM565" s="5" t="str">
        <f t="shared" si="24"/>
        <v>MISSING</v>
      </c>
      <c r="BN565" s="120" t="b">
        <f t="shared" si="25"/>
        <v>0</v>
      </c>
      <c r="BO565" s="131" t="b">
        <f t="shared" si="26"/>
        <v>1</v>
      </c>
      <c r="BP565" s="121"/>
      <c r="BQ565" s="132" t="str">
        <f>VLOOKUP(A565,RAW_APS!A$3:O826,15,FALSE)</f>
        <v/>
      </c>
      <c r="BR565" s="120" t="b">
        <f t="shared" si="27"/>
        <v>1</v>
      </c>
      <c r="BS565" s="121"/>
      <c r="BT565" s="138" t="s">
        <v>244</v>
      </c>
      <c r="BU565" s="10" t="b">
        <f t="shared" si="28"/>
        <v>1</v>
      </c>
      <c r="BV565" s="120"/>
      <c r="BW565" s="120"/>
      <c r="BX565" s="120"/>
      <c r="BY565" s="120"/>
      <c r="BZ565" s="120"/>
      <c r="CA565" s="120"/>
      <c r="CB565" s="120"/>
      <c r="CC565" s="120"/>
    </row>
    <row r="566">
      <c r="A566" s="2" t="s">
        <v>1637</v>
      </c>
      <c r="B566" s="100">
        <v>44617.0</v>
      </c>
      <c r="C566" s="101">
        <v>0.31871527777777775</v>
      </c>
      <c r="D566" s="102"/>
      <c r="E566" s="102"/>
      <c r="F566" s="102"/>
      <c r="G566" s="102"/>
      <c r="H566" s="102"/>
      <c r="I566" s="103"/>
      <c r="J566" s="103"/>
      <c r="K566" s="2" t="s">
        <v>244</v>
      </c>
      <c r="L566" s="100">
        <v>44617.0</v>
      </c>
      <c r="M566" s="101">
        <v>0.5033680555555555</v>
      </c>
      <c r="P566" s="104" t="b">
        <f>IFNA(IF(VLOOKUP($A566,'Add from APT'!$AA$2:$AC826,3,FALSE)&gt;0,TRUE,FALSE),"ER - NOT IN APT")</f>
        <v>0</v>
      </c>
      <c r="Q566" s="105" t="str">
        <f>IF(ISLOGICAL(P566),IF(P566,"ER - REPS IN APT", IFNA(VLOOKUP($A566,RAW_APT!$A$3:$M826,7,FALSE),"ER - NOT IN APT")),P566)</f>
        <v>Result</v>
      </c>
      <c r="R566" s="106" t="b">
        <f t="shared" si="2"/>
        <v>1</v>
      </c>
      <c r="S566" s="107">
        <f t="shared" si="3"/>
        <v>1</v>
      </c>
      <c r="T566" s="143"/>
      <c r="U566" s="142"/>
      <c r="V566" s="142"/>
      <c r="W566" s="142"/>
      <c r="X566" s="110" t="b">
        <f t="shared" si="4"/>
        <v>0</v>
      </c>
      <c r="Y566" s="111" t="b">
        <v>0</v>
      </c>
      <c r="Z566" s="104" t="str">
        <f t="shared" si="5"/>
        <v/>
      </c>
      <c r="AA566" s="112" t="b">
        <f t="shared" si="6"/>
        <v>0</v>
      </c>
      <c r="AB566" s="142" t="b">
        <v>0</v>
      </c>
      <c r="AC566" s="140">
        <v>248.0</v>
      </c>
      <c r="AD566" s="141" t="b">
        <v>0</v>
      </c>
      <c r="AE566" s="115">
        <f t="shared" si="7"/>
        <v>265.9</v>
      </c>
      <c r="AF566" s="116" t="b">
        <f t="shared" si="8"/>
        <v>0</v>
      </c>
      <c r="AG566" s="105" t="b">
        <f t="shared" si="9"/>
        <v>0</v>
      </c>
      <c r="AH566" s="140"/>
      <c r="AI566" s="140"/>
      <c r="AJ566" s="140"/>
      <c r="AK566" s="117" t="str">
        <f t="shared" si="10"/>
        <v>Negative</v>
      </c>
      <c r="AL566" s="142"/>
      <c r="AM566" s="112" t="s">
        <v>1638</v>
      </c>
      <c r="AN566" s="112" t="s">
        <v>1639</v>
      </c>
      <c r="AO566" s="112" t="str">
        <f>IFERROR(__xludf.DUMMYFUNCTION("IF($AG566, ""DELETED"",TRIM(JOIN("" "",D566:E566)))"),"")</f>
        <v/>
      </c>
      <c r="AP566" s="112" t="str">
        <f t="shared" ref="AP566:AQ566" si="591">IF($AG566, "DELETED", TRIM(CONCATENATE(F566,I566,U566)))</f>
        <v/>
      </c>
      <c r="AQ566" s="112" t="str">
        <f t="shared" si="591"/>
        <v/>
      </c>
      <c r="AR566" s="112" t="str">
        <f>IFERROR(__xludf.DUMMYFUNCTION("IF($AG566, ""DELETED"", TRIM(JOIN("" "",AP566,AQ566)))"),"")</f>
        <v/>
      </c>
      <c r="AS566" s="118"/>
      <c r="AT566" s="110" t="b">
        <f t="shared" si="12"/>
        <v>0</v>
      </c>
      <c r="AU566" s="110" t="str">
        <f t="shared" si="13"/>
        <v/>
      </c>
      <c r="AV566" s="110" t="str">
        <f t="shared" si="14"/>
        <v/>
      </c>
      <c r="AW566" s="110" t="str">
        <f t="shared" si="15"/>
        <v/>
      </c>
      <c r="AX566" s="119" t="str">
        <f t="shared" si="16"/>
        <v/>
      </c>
      <c r="AY566" s="120"/>
      <c r="AZ566" s="121"/>
      <c r="BA566" s="122" t="str">
        <f t="shared" si="17"/>
        <v/>
      </c>
      <c r="BB566" s="34"/>
      <c r="BC566" s="121"/>
      <c r="BD566" s="136"/>
      <c r="BE566" s="125" t="str">
        <f t="shared" si="18"/>
        <v/>
      </c>
      <c r="BF566" s="126" t="str">
        <f t="shared" si="19"/>
        <v>MA1075__44617_0.318715277777778</v>
      </c>
      <c r="BG566" s="127" t="str">
        <f t="shared" si="20"/>
        <v/>
      </c>
      <c r="BH566" s="137" t="s">
        <v>1640</v>
      </c>
      <c r="BI566" s="128" t="str">
        <f t="shared" si="21"/>
        <v>MA319</v>
      </c>
      <c r="BJ566" s="129" t="b">
        <f t="shared" si="22"/>
        <v>0</v>
      </c>
      <c r="BK566" s="128" t="str">
        <f t="shared" si="23"/>
        <v/>
      </c>
      <c r="BL566" s="121"/>
      <c r="BM566" s="5" t="str">
        <f t="shared" si="24"/>
        <v>MISSING</v>
      </c>
      <c r="BN566" s="120" t="b">
        <f t="shared" si="25"/>
        <v>0</v>
      </c>
      <c r="BO566" s="131" t="b">
        <f t="shared" si="26"/>
        <v>1</v>
      </c>
      <c r="BP566" s="121"/>
      <c r="BQ566" s="132" t="str">
        <f>VLOOKUP(A566,RAW_APS!A$3:O826,15,FALSE)</f>
        <v/>
      </c>
      <c r="BR566" s="120" t="b">
        <f t="shared" si="27"/>
        <v>1</v>
      </c>
      <c r="BS566" s="121"/>
      <c r="BT566" s="138" t="s">
        <v>244</v>
      </c>
      <c r="BU566" s="10" t="b">
        <f t="shared" si="28"/>
        <v>1</v>
      </c>
      <c r="BV566" s="120"/>
      <c r="BW566" s="120"/>
      <c r="BX566" s="120"/>
      <c r="BY566" s="120"/>
      <c r="BZ566" s="120"/>
      <c r="CA566" s="120"/>
      <c r="CB566" s="120"/>
      <c r="CC566" s="120"/>
    </row>
    <row r="567">
      <c r="A567" s="2" t="s">
        <v>1641</v>
      </c>
      <c r="B567" s="100">
        <v>44617.0</v>
      </c>
      <c r="C567" s="101">
        <v>0.3202199074074074</v>
      </c>
      <c r="D567" s="102"/>
      <c r="E567" s="102"/>
      <c r="F567" s="102"/>
      <c r="G567" s="102"/>
      <c r="H567" s="102"/>
      <c r="I567" s="103"/>
      <c r="J567" s="103"/>
      <c r="K567" s="2" t="s">
        <v>244</v>
      </c>
      <c r="L567" s="100">
        <v>44617.0</v>
      </c>
      <c r="M567" s="101">
        <v>0.5033680555555555</v>
      </c>
      <c r="P567" s="104" t="b">
        <f>IFNA(IF(VLOOKUP($A567,'Add from APT'!$AA$2:$AC826,3,FALSE)&gt;0,TRUE,FALSE),"ER - NOT IN APT")</f>
        <v>0</v>
      </c>
      <c r="Q567" s="105" t="str">
        <f>IF(ISLOGICAL(P567),IF(P567,"ER - REPS IN APT", IFNA(VLOOKUP($A567,RAW_APT!$A$3:$M826,7,FALSE),"ER - NOT IN APT")),P567)</f>
        <v>Result</v>
      </c>
      <c r="R567" s="106" t="b">
        <f t="shared" si="2"/>
        <v>1</v>
      </c>
      <c r="S567" s="107">
        <f t="shared" si="3"/>
        <v>1</v>
      </c>
      <c r="T567" s="143"/>
      <c r="U567" s="142"/>
      <c r="V567" s="142"/>
      <c r="W567" s="142"/>
      <c r="X567" s="110" t="b">
        <f t="shared" si="4"/>
        <v>0</v>
      </c>
      <c r="Y567" s="111" t="b">
        <v>0</v>
      </c>
      <c r="Z567" s="104" t="str">
        <f t="shared" si="5"/>
        <v/>
      </c>
      <c r="AA567" s="112" t="b">
        <f t="shared" si="6"/>
        <v>0</v>
      </c>
      <c r="AB567" s="142" t="b">
        <v>0</v>
      </c>
      <c r="AC567" s="140">
        <v>247.0</v>
      </c>
      <c r="AD567" s="141" t="b">
        <v>0</v>
      </c>
      <c r="AE567" s="115">
        <f t="shared" si="7"/>
        <v>263.7333333</v>
      </c>
      <c r="AF567" s="116" t="b">
        <f t="shared" si="8"/>
        <v>0</v>
      </c>
      <c r="AG567" s="105" t="b">
        <f t="shared" si="9"/>
        <v>0</v>
      </c>
      <c r="AH567" s="140"/>
      <c r="AI567" s="140"/>
      <c r="AJ567" s="140"/>
      <c r="AK567" s="117" t="str">
        <f t="shared" si="10"/>
        <v>Negative</v>
      </c>
      <c r="AL567" s="142"/>
      <c r="AM567" s="112" t="s">
        <v>727</v>
      </c>
      <c r="AN567" s="112" t="s">
        <v>728</v>
      </c>
      <c r="AO567" s="112" t="str">
        <f>IFERROR(__xludf.DUMMYFUNCTION("IF($AG567, ""DELETED"",TRIM(JOIN("" "",D567:E567)))"),"")</f>
        <v/>
      </c>
      <c r="AP567" s="112" t="str">
        <f t="shared" ref="AP567:AQ567" si="592">IF($AG567, "DELETED", TRIM(CONCATENATE(F567,I567,U567)))</f>
        <v/>
      </c>
      <c r="AQ567" s="112" t="str">
        <f t="shared" si="592"/>
        <v/>
      </c>
      <c r="AR567" s="112" t="str">
        <f>IFERROR(__xludf.DUMMYFUNCTION("IF($AG567, ""DELETED"", TRIM(JOIN("" "",AP567,AQ567)))"),"")</f>
        <v/>
      </c>
      <c r="AS567" s="118"/>
      <c r="AT567" s="110" t="b">
        <f t="shared" si="12"/>
        <v>0</v>
      </c>
      <c r="AU567" s="110" t="str">
        <f t="shared" si="13"/>
        <v/>
      </c>
      <c r="AV567" s="110" t="str">
        <f t="shared" si="14"/>
        <v/>
      </c>
      <c r="AW567" s="110" t="str">
        <f t="shared" si="15"/>
        <v/>
      </c>
      <c r="AX567" s="119" t="str">
        <f t="shared" si="16"/>
        <v/>
      </c>
      <c r="AY567" s="120"/>
      <c r="AZ567" s="121"/>
      <c r="BA567" s="122" t="str">
        <f t="shared" si="17"/>
        <v/>
      </c>
      <c r="BB567" s="34"/>
      <c r="BC567" s="121"/>
      <c r="BD567" s="136"/>
      <c r="BE567" s="125" t="str">
        <f t="shared" si="18"/>
        <v/>
      </c>
      <c r="BF567" s="126" t="str">
        <f t="shared" si="19"/>
        <v>FM12__44617_0.320219907407407</v>
      </c>
      <c r="BG567" s="127" t="str">
        <f t="shared" si="20"/>
        <v/>
      </c>
      <c r="BH567" s="137" t="s">
        <v>1642</v>
      </c>
      <c r="BI567" s="128" t="str">
        <f t="shared" si="21"/>
        <v>MA322</v>
      </c>
      <c r="BJ567" s="129" t="b">
        <f t="shared" si="22"/>
        <v>0</v>
      </c>
      <c r="BK567" s="128" t="str">
        <f t="shared" si="23"/>
        <v/>
      </c>
      <c r="BL567" s="121"/>
      <c r="BM567" s="5" t="str">
        <f t="shared" si="24"/>
        <v>MISSING</v>
      </c>
      <c r="BN567" s="120" t="b">
        <f t="shared" si="25"/>
        <v>0</v>
      </c>
      <c r="BO567" s="131" t="b">
        <f t="shared" si="26"/>
        <v>1</v>
      </c>
      <c r="BP567" s="121"/>
      <c r="BQ567" s="132" t="str">
        <f>VLOOKUP(A567,RAW_APS!A$3:O826,15,FALSE)</f>
        <v/>
      </c>
      <c r="BR567" s="120" t="b">
        <f t="shared" si="27"/>
        <v>1</v>
      </c>
      <c r="BS567" s="121"/>
      <c r="BT567" s="138" t="s">
        <v>244</v>
      </c>
      <c r="BU567" s="10" t="b">
        <f t="shared" si="28"/>
        <v>1</v>
      </c>
      <c r="BV567" s="120"/>
      <c r="BW567" s="120"/>
      <c r="BX567" s="120"/>
      <c r="BY567" s="120"/>
      <c r="BZ567" s="120"/>
      <c r="CA567" s="120"/>
      <c r="CB567" s="120"/>
      <c r="CC567" s="120"/>
    </row>
    <row r="568">
      <c r="A568" s="2" t="s">
        <v>1643</v>
      </c>
      <c r="B568" s="100">
        <v>44617.0</v>
      </c>
      <c r="C568" s="101">
        <v>0.32024305555555554</v>
      </c>
      <c r="D568" s="102"/>
      <c r="E568" s="102"/>
      <c r="F568" s="102"/>
      <c r="G568" s="102"/>
      <c r="H568" s="102"/>
      <c r="I568" s="103"/>
      <c r="J568" s="103"/>
      <c r="K568" s="2" t="s">
        <v>244</v>
      </c>
      <c r="L568" s="100">
        <v>44617.0</v>
      </c>
      <c r="M568" s="101">
        <v>0.5033680555555555</v>
      </c>
      <c r="P568" s="104" t="b">
        <f>IFNA(IF(VLOOKUP($A568,'Add from APT'!$AA$2:$AC826,3,FALSE)&gt;0,TRUE,FALSE),"ER - NOT IN APT")</f>
        <v>0</v>
      </c>
      <c r="Q568" s="105" t="str">
        <f>IF(ISLOGICAL(P568),IF(P568,"ER - REPS IN APT", IFNA(VLOOKUP($A568,RAW_APT!$A$3:$M826,7,FALSE),"ER - NOT IN APT")),P568)</f>
        <v>Result</v>
      </c>
      <c r="R568" s="106" t="b">
        <f t="shared" si="2"/>
        <v>1</v>
      </c>
      <c r="S568" s="107">
        <f t="shared" si="3"/>
        <v>1</v>
      </c>
      <c r="T568" s="143"/>
      <c r="U568" s="142"/>
      <c r="V568" s="142"/>
      <c r="W568" s="142"/>
      <c r="X568" s="110" t="b">
        <f t="shared" si="4"/>
        <v>0</v>
      </c>
      <c r="Y568" s="111" t="b">
        <v>0</v>
      </c>
      <c r="Z568" s="104" t="str">
        <f t="shared" si="5"/>
        <v/>
      </c>
      <c r="AA568" s="112" t="b">
        <f t="shared" si="6"/>
        <v>0</v>
      </c>
      <c r="AB568" s="142" t="b">
        <v>0</v>
      </c>
      <c r="AC568" s="140">
        <v>246.0</v>
      </c>
      <c r="AD568" s="141" t="b">
        <v>0</v>
      </c>
      <c r="AE568" s="115">
        <f t="shared" si="7"/>
        <v>263.7</v>
      </c>
      <c r="AF568" s="116" t="b">
        <f t="shared" si="8"/>
        <v>0</v>
      </c>
      <c r="AG568" s="105" t="b">
        <f t="shared" si="9"/>
        <v>0</v>
      </c>
      <c r="AH568" s="140"/>
      <c r="AI568" s="140"/>
      <c r="AJ568" s="140"/>
      <c r="AK568" s="117" t="str">
        <f t="shared" si="10"/>
        <v>Negative</v>
      </c>
      <c r="AL568" s="142"/>
      <c r="AM568" s="112" t="s">
        <v>982</v>
      </c>
      <c r="AN568" s="112" t="s">
        <v>983</v>
      </c>
      <c r="AO568" s="112" t="str">
        <f>IFERROR(__xludf.DUMMYFUNCTION("IF($AG568, ""DELETED"",TRIM(JOIN("" "",D568:E568)))"),"")</f>
        <v/>
      </c>
      <c r="AP568" s="112" t="str">
        <f t="shared" ref="AP568:AQ568" si="593">IF($AG568, "DELETED", TRIM(CONCATENATE(F568,I568,U568)))</f>
        <v/>
      </c>
      <c r="AQ568" s="112" t="str">
        <f t="shared" si="593"/>
        <v/>
      </c>
      <c r="AR568" s="112" t="str">
        <f>IFERROR(__xludf.DUMMYFUNCTION("IF($AG568, ""DELETED"", TRIM(JOIN("" "",AP568,AQ568)))"),"")</f>
        <v/>
      </c>
      <c r="AS568" s="118"/>
      <c r="AT568" s="110" t="b">
        <f t="shared" si="12"/>
        <v>0</v>
      </c>
      <c r="AU568" s="110" t="str">
        <f t="shared" si="13"/>
        <v/>
      </c>
      <c r="AV568" s="110" t="str">
        <f t="shared" si="14"/>
        <v/>
      </c>
      <c r="AW568" s="110" t="str">
        <f t="shared" si="15"/>
        <v/>
      </c>
      <c r="AX568" s="119" t="str">
        <f t="shared" si="16"/>
        <v/>
      </c>
      <c r="AY568" s="120"/>
      <c r="AZ568" s="121"/>
      <c r="BA568" s="122" t="str">
        <f t="shared" si="17"/>
        <v/>
      </c>
      <c r="BB568" s="34"/>
      <c r="BC568" s="121"/>
      <c r="BD568" s="136"/>
      <c r="BE568" s="125" t="str">
        <f t="shared" si="18"/>
        <v/>
      </c>
      <c r="BF568" s="126" t="str">
        <f t="shared" si="19"/>
        <v>MA1039__44617_0.320243055555556</v>
      </c>
      <c r="BG568" s="127" t="str">
        <f t="shared" si="20"/>
        <v/>
      </c>
      <c r="BH568" s="137" t="s">
        <v>1644</v>
      </c>
      <c r="BI568" s="128" t="str">
        <f t="shared" si="21"/>
        <v>MA323</v>
      </c>
      <c r="BJ568" s="129" t="b">
        <f t="shared" si="22"/>
        <v>0</v>
      </c>
      <c r="BK568" s="128" t="str">
        <f t="shared" si="23"/>
        <v/>
      </c>
      <c r="BL568" s="121"/>
      <c r="BM568" s="5" t="str">
        <f t="shared" si="24"/>
        <v>MISSING</v>
      </c>
      <c r="BN568" s="120" t="b">
        <f t="shared" si="25"/>
        <v>0</v>
      </c>
      <c r="BO568" s="131" t="b">
        <f t="shared" si="26"/>
        <v>1</v>
      </c>
      <c r="BP568" s="121"/>
      <c r="BQ568" s="132" t="str">
        <f>VLOOKUP(A568,RAW_APS!A$3:O826,15,FALSE)</f>
        <v/>
      </c>
      <c r="BR568" s="120" t="b">
        <f t="shared" si="27"/>
        <v>1</v>
      </c>
      <c r="BS568" s="121"/>
      <c r="BT568" s="138" t="s">
        <v>244</v>
      </c>
      <c r="BU568" s="10" t="b">
        <f t="shared" si="28"/>
        <v>1</v>
      </c>
      <c r="BV568" s="120"/>
      <c r="BW568" s="120"/>
      <c r="BX568" s="120"/>
      <c r="BY568" s="120"/>
      <c r="BZ568" s="120"/>
      <c r="CA568" s="120"/>
      <c r="CB568" s="120"/>
      <c r="CC568" s="120"/>
    </row>
    <row r="569">
      <c r="A569" s="2" t="s">
        <v>1645</v>
      </c>
      <c r="B569" s="100">
        <v>44617.0</v>
      </c>
      <c r="C569" s="101">
        <v>0.32025462962962964</v>
      </c>
      <c r="D569" s="102"/>
      <c r="E569" s="102"/>
      <c r="F569" s="102"/>
      <c r="G569" s="102"/>
      <c r="H569" s="102"/>
      <c r="I569" s="103"/>
      <c r="J569" s="103"/>
      <c r="K569" s="2" t="s">
        <v>244</v>
      </c>
      <c r="L569" s="100">
        <v>44617.0</v>
      </c>
      <c r="M569" s="101">
        <v>0.5033796296296297</v>
      </c>
      <c r="P569" s="104" t="b">
        <f>IFNA(IF(VLOOKUP($A569,'Add from APT'!$AA$2:$AC826,3,FALSE)&gt;0,TRUE,FALSE),"ER - NOT IN APT")</f>
        <v>0</v>
      </c>
      <c r="Q569" s="105" t="str">
        <f>IF(ISLOGICAL(P569),IF(P569,"ER - REPS IN APT", IFNA(VLOOKUP($A569,RAW_APT!$A$3:$M826,7,FALSE),"ER - NOT IN APT")),P569)</f>
        <v>Result</v>
      </c>
      <c r="R569" s="106" t="b">
        <f t="shared" si="2"/>
        <v>1</v>
      </c>
      <c r="S569" s="107">
        <f t="shared" si="3"/>
        <v>1</v>
      </c>
      <c r="T569" s="143"/>
      <c r="U569" s="142"/>
      <c r="V569" s="142"/>
      <c r="W569" s="142"/>
      <c r="X569" s="110" t="b">
        <f t="shared" si="4"/>
        <v>0</v>
      </c>
      <c r="Y569" s="111" t="b">
        <v>0</v>
      </c>
      <c r="Z569" s="104" t="str">
        <f t="shared" si="5"/>
        <v/>
      </c>
      <c r="AA569" s="112" t="b">
        <f t="shared" si="6"/>
        <v>0</v>
      </c>
      <c r="AB569" s="142" t="b">
        <v>0</v>
      </c>
      <c r="AC569" s="140">
        <v>245.0</v>
      </c>
      <c r="AD569" s="141" t="b">
        <v>0</v>
      </c>
      <c r="AE569" s="115">
        <f t="shared" si="7"/>
        <v>263.7</v>
      </c>
      <c r="AF569" s="116" t="b">
        <f t="shared" si="8"/>
        <v>0</v>
      </c>
      <c r="AG569" s="105" t="b">
        <f t="shared" si="9"/>
        <v>0</v>
      </c>
      <c r="AH569" s="140"/>
      <c r="AI569" s="140"/>
      <c r="AJ569" s="140"/>
      <c r="AK569" s="117" t="str">
        <f t="shared" si="10"/>
        <v>Negative</v>
      </c>
      <c r="AL569" s="142"/>
      <c r="AM569" s="112" t="s">
        <v>362</v>
      </c>
      <c r="AN569" s="112" t="s">
        <v>363</v>
      </c>
      <c r="AO569" s="112" t="str">
        <f>IFERROR(__xludf.DUMMYFUNCTION("IF($AG569, ""DELETED"",TRIM(JOIN("" "",D569:E569)))"),"")</f>
        <v/>
      </c>
      <c r="AP569" s="112" t="str">
        <f t="shared" ref="AP569:AQ569" si="594">IF($AG569, "DELETED", TRIM(CONCATENATE(F569,I569,U569)))</f>
        <v/>
      </c>
      <c r="AQ569" s="112" t="str">
        <f t="shared" si="594"/>
        <v/>
      </c>
      <c r="AR569" s="112" t="str">
        <f>IFERROR(__xludf.DUMMYFUNCTION("IF($AG569, ""DELETED"", TRIM(JOIN("" "",AP569,AQ569)))"),"")</f>
        <v/>
      </c>
      <c r="AS569" s="118"/>
      <c r="AT569" s="110" t="b">
        <f t="shared" si="12"/>
        <v>0</v>
      </c>
      <c r="AU569" s="110" t="str">
        <f t="shared" si="13"/>
        <v/>
      </c>
      <c r="AV569" s="110" t="str">
        <f t="shared" si="14"/>
        <v/>
      </c>
      <c r="AW569" s="110" t="str">
        <f t="shared" si="15"/>
        <v/>
      </c>
      <c r="AX569" s="119" t="str">
        <f t="shared" si="16"/>
        <v/>
      </c>
      <c r="AY569" s="120"/>
      <c r="AZ569" s="121"/>
      <c r="BA569" s="122" t="str">
        <f t="shared" si="17"/>
        <v/>
      </c>
      <c r="BB569" s="34"/>
      <c r="BC569" s="121"/>
      <c r="BD569" s="136"/>
      <c r="BE569" s="125" t="str">
        <f t="shared" si="18"/>
        <v/>
      </c>
      <c r="BF569" s="126" t="str">
        <f t="shared" si="19"/>
        <v>FM793__44617_0.32025462962963</v>
      </c>
      <c r="BG569" s="127" t="str">
        <f t="shared" si="20"/>
        <v/>
      </c>
      <c r="BH569" s="137" t="s">
        <v>1646</v>
      </c>
      <c r="BI569" s="128" t="str">
        <f t="shared" si="21"/>
        <v>MA325</v>
      </c>
      <c r="BJ569" s="129" t="b">
        <f t="shared" si="22"/>
        <v>0</v>
      </c>
      <c r="BK569" s="128" t="str">
        <f t="shared" si="23"/>
        <v/>
      </c>
      <c r="BL569" s="121"/>
      <c r="BM569" s="5" t="str">
        <f t="shared" si="24"/>
        <v>MISSING</v>
      </c>
      <c r="BN569" s="120" t="b">
        <f t="shared" si="25"/>
        <v>0</v>
      </c>
      <c r="BO569" s="131" t="b">
        <f t="shared" si="26"/>
        <v>1</v>
      </c>
      <c r="BP569" s="121"/>
      <c r="BQ569" s="132" t="str">
        <f>VLOOKUP(A569,RAW_APS!A$3:O826,15,FALSE)</f>
        <v/>
      </c>
      <c r="BR569" s="120" t="b">
        <f t="shared" si="27"/>
        <v>1</v>
      </c>
      <c r="BS569" s="121"/>
      <c r="BT569" s="138" t="s">
        <v>244</v>
      </c>
      <c r="BU569" s="10" t="b">
        <f t="shared" si="28"/>
        <v>1</v>
      </c>
      <c r="BV569" s="120"/>
      <c r="BW569" s="120"/>
      <c r="BX569" s="120"/>
      <c r="BY569" s="120"/>
      <c r="BZ569" s="120"/>
      <c r="CA569" s="120"/>
      <c r="CB569" s="120"/>
      <c r="CC569" s="120"/>
    </row>
    <row r="570">
      <c r="A570" s="2" t="s">
        <v>1647</v>
      </c>
      <c r="B570" s="100">
        <v>44617.0</v>
      </c>
      <c r="C570" s="101">
        <v>0.3203472222222222</v>
      </c>
      <c r="D570" s="102"/>
      <c r="E570" s="102"/>
      <c r="F570" s="102"/>
      <c r="G570" s="102"/>
      <c r="H570" s="102"/>
      <c r="I570" s="103"/>
      <c r="J570" s="103"/>
      <c r="K570" s="2" t="s">
        <v>244</v>
      </c>
      <c r="L570" s="100">
        <v>44617.0</v>
      </c>
      <c r="M570" s="101">
        <v>0.5033680555555555</v>
      </c>
      <c r="P570" s="104" t="b">
        <f>IFNA(IF(VLOOKUP($A570,'Add from APT'!$AA$2:$AC826,3,FALSE)&gt;0,TRUE,FALSE),"ER - NOT IN APT")</f>
        <v>0</v>
      </c>
      <c r="Q570" s="105" t="str">
        <f>IF(ISLOGICAL(P570),IF(P570,"ER - REPS IN APT", IFNA(VLOOKUP($A570,RAW_APT!$A$3:$M826,7,FALSE),"ER - NOT IN APT")),P570)</f>
        <v>Result</v>
      </c>
      <c r="R570" s="106" t="b">
        <f t="shared" si="2"/>
        <v>1</v>
      </c>
      <c r="S570" s="107">
        <f t="shared" si="3"/>
        <v>1</v>
      </c>
      <c r="T570" s="143"/>
      <c r="U570" s="142"/>
      <c r="V570" s="142"/>
      <c r="W570" s="142"/>
      <c r="X570" s="110" t="b">
        <f t="shared" si="4"/>
        <v>0</v>
      </c>
      <c r="Y570" s="111" t="b">
        <v>0</v>
      </c>
      <c r="Z570" s="104" t="str">
        <f t="shared" si="5"/>
        <v/>
      </c>
      <c r="AA570" s="112" t="b">
        <f t="shared" si="6"/>
        <v>0</v>
      </c>
      <c r="AB570" s="142" t="b">
        <v>0</v>
      </c>
      <c r="AC570" s="140">
        <v>244.0</v>
      </c>
      <c r="AD570" s="141" t="b">
        <v>0</v>
      </c>
      <c r="AE570" s="115">
        <f t="shared" si="7"/>
        <v>263.55</v>
      </c>
      <c r="AF570" s="116" t="b">
        <f t="shared" si="8"/>
        <v>0</v>
      </c>
      <c r="AG570" s="105" t="b">
        <f t="shared" si="9"/>
        <v>0</v>
      </c>
      <c r="AH570" s="140"/>
      <c r="AI570" s="140"/>
      <c r="AJ570" s="140"/>
      <c r="AK570" s="117" t="str">
        <f t="shared" si="10"/>
        <v>Negative</v>
      </c>
      <c r="AL570" s="142"/>
      <c r="AM570" s="112" t="s">
        <v>1575</v>
      </c>
      <c r="AN570" s="112" t="s">
        <v>893</v>
      </c>
      <c r="AO570" s="112" t="str">
        <f>IFERROR(__xludf.DUMMYFUNCTION("IF($AG570, ""DELETED"",TRIM(JOIN("" "",D570:E570)))"),"")</f>
        <v/>
      </c>
      <c r="AP570" s="112" t="str">
        <f t="shared" ref="AP570:AQ570" si="595">IF($AG570, "DELETED", TRIM(CONCATENATE(F570,I570,U570)))</f>
        <v/>
      </c>
      <c r="AQ570" s="112" t="str">
        <f t="shared" si="595"/>
        <v/>
      </c>
      <c r="AR570" s="112" t="str">
        <f>IFERROR(__xludf.DUMMYFUNCTION("IF($AG570, ""DELETED"", TRIM(JOIN("" "",AP570,AQ570)))"),"")</f>
        <v/>
      </c>
      <c r="AS570" s="118"/>
      <c r="AT570" s="110" t="b">
        <f t="shared" si="12"/>
        <v>0</v>
      </c>
      <c r="AU570" s="110" t="str">
        <f t="shared" si="13"/>
        <v/>
      </c>
      <c r="AV570" s="110" t="str">
        <f t="shared" si="14"/>
        <v/>
      </c>
      <c r="AW570" s="110" t="str">
        <f t="shared" si="15"/>
        <v/>
      </c>
      <c r="AX570" s="119" t="str">
        <f t="shared" si="16"/>
        <v/>
      </c>
      <c r="AY570" s="120"/>
      <c r="AZ570" s="121"/>
      <c r="BA570" s="122" t="str">
        <f t="shared" si="17"/>
        <v/>
      </c>
      <c r="BB570" s="34"/>
      <c r="BC570" s="121"/>
      <c r="BD570" s="136"/>
      <c r="BE570" s="125" t="str">
        <f t="shared" si="18"/>
        <v/>
      </c>
      <c r="BF570" s="126" t="str">
        <f t="shared" si="19"/>
        <v>FM463__44617_0.320347222222222</v>
      </c>
      <c r="BG570" s="127" t="str">
        <f t="shared" si="20"/>
        <v/>
      </c>
      <c r="BH570" s="137" t="s">
        <v>1648</v>
      </c>
      <c r="BI570" s="128" t="str">
        <f t="shared" si="21"/>
        <v>MA326</v>
      </c>
      <c r="BJ570" s="129" t="b">
        <f t="shared" si="22"/>
        <v>0</v>
      </c>
      <c r="BK570" s="128" t="str">
        <f t="shared" si="23"/>
        <v/>
      </c>
      <c r="BL570" s="121"/>
      <c r="BM570" s="5" t="str">
        <f t="shared" si="24"/>
        <v>MISSING</v>
      </c>
      <c r="BN570" s="120" t="b">
        <f t="shared" si="25"/>
        <v>0</v>
      </c>
      <c r="BO570" s="131" t="b">
        <f t="shared" si="26"/>
        <v>1</v>
      </c>
      <c r="BP570" s="121"/>
      <c r="BQ570" s="132" t="str">
        <f>VLOOKUP(A570,RAW_APS!A$3:O826,15,FALSE)</f>
        <v/>
      </c>
      <c r="BR570" s="120" t="b">
        <f t="shared" si="27"/>
        <v>1</v>
      </c>
      <c r="BS570" s="121"/>
      <c r="BT570" s="138" t="s">
        <v>244</v>
      </c>
      <c r="BU570" s="10" t="b">
        <f t="shared" si="28"/>
        <v>1</v>
      </c>
      <c r="BV570" s="120"/>
      <c r="BW570" s="120"/>
      <c r="BX570" s="120"/>
      <c r="BY570" s="120"/>
      <c r="BZ570" s="120"/>
      <c r="CA570" s="120"/>
      <c r="CB570" s="120"/>
      <c r="CC570" s="120"/>
    </row>
    <row r="571">
      <c r="A571" s="2" t="s">
        <v>1649</v>
      </c>
      <c r="B571" s="100">
        <v>44617.0</v>
      </c>
      <c r="C571" s="101">
        <v>0.32081018518518517</v>
      </c>
      <c r="D571" s="102"/>
      <c r="E571" s="102"/>
      <c r="F571" s="102"/>
      <c r="G571" s="102"/>
      <c r="H571" s="102"/>
      <c r="I571" s="103"/>
      <c r="J571" s="103"/>
      <c r="K571" s="2" t="s">
        <v>244</v>
      </c>
      <c r="L571" s="100">
        <v>44617.0</v>
      </c>
      <c r="M571" s="101">
        <v>0.5033796296296297</v>
      </c>
      <c r="P571" s="104" t="b">
        <f>IFNA(IF(VLOOKUP($A571,'Add from APT'!$AA$2:$AC826,3,FALSE)&gt;0,TRUE,FALSE),"ER - NOT IN APT")</f>
        <v>0</v>
      </c>
      <c r="Q571" s="105" t="str">
        <f>IF(ISLOGICAL(P571),IF(P571,"ER - REPS IN APT", IFNA(VLOOKUP($A571,RAW_APT!$A$3:$M826,7,FALSE),"ER - NOT IN APT")),P571)</f>
        <v>Result</v>
      </c>
      <c r="R571" s="106" t="b">
        <f t="shared" si="2"/>
        <v>1</v>
      </c>
      <c r="S571" s="107">
        <f t="shared" si="3"/>
        <v>1</v>
      </c>
      <c r="T571" s="143"/>
      <c r="U571" s="142"/>
      <c r="V571" s="142"/>
      <c r="W571" s="142"/>
      <c r="X571" s="110" t="b">
        <f t="shared" si="4"/>
        <v>0</v>
      </c>
      <c r="Y571" s="111" t="b">
        <v>0</v>
      </c>
      <c r="Z571" s="104" t="str">
        <f t="shared" si="5"/>
        <v/>
      </c>
      <c r="AA571" s="112" t="b">
        <f t="shared" si="6"/>
        <v>0</v>
      </c>
      <c r="AB571" s="142" t="b">
        <v>0</v>
      </c>
      <c r="AC571" s="140">
        <v>243.0</v>
      </c>
      <c r="AD571" s="141" t="b">
        <v>0</v>
      </c>
      <c r="AE571" s="115">
        <f t="shared" si="7"/>
        <v>262.9</v>
      </c>
      <c r="AF571" s="116" t="b">
        <f t="shared" si="8"/>
        <v>0</v>
      </c>
      <c r="AG571" s="105" t="b">
        <f t="shared" si="9"/>
        <v>0</v>
      </c>
      <c r="AH571" s="140"/>
      <c r="AI571" s="140"/>
      <c r="AJ571" s="140"/>
      <c r="AK571" s="117" t="str">
        <f t="shared" si="10"/>
        <v>Negative</v>
      </c>
      <c r="AL571" s="142"/>
      <c r="AM571" s="112" t="s">
        <v>1575</v>
      </c>
      <c r="AN571" s="112" t="s">
        <v>1100</v>
      </c>
      <c r="AO571" s="112" t="str">
        <f>IFERROR(__xludf.DUMMYFUNCTION("IF($AG571, ""DELETED"",TRIM(JOIN("" "",D571:E571)))"),"")</f>
        <v/>
      </c>
      <c r="AP571" s="112" t="str">
        <f t="shared" ref="AP571:AQ571" si="596">IF($AG571, "DELETED", TRIM(CONCATENATE(F571,I571,U571)))</f>
        <v/>
      </c>
      <c r="AQ571" s="112" t="str">
        <f t="shared" si="596"/>
        <v/>
      </c>
      <c r="AR571" s="112" t="str">
        <f>IFERROR(__xludf.DUMMYFUNCTION("IF($AG571, ""DELETED"", TRIM(JOIN("" "",AP571,AQ571)))"),"")</f>
        <v/>
      </c>
      <c r="AS571" s="118"/>
      <c r="AT571" s="110" t="b">
        <f t="shared" si="12"/>
        <v>0</v>
      </c>
      <c r="AU571" s="110" t="str">
        <f t="shared" si="13"/>
        <v/>
      </c>
      <c r="AV571" s="110" t="str">
        <f t="shared" si="14"/>
        <v/>
      </c>
      <c r="AW571" s="110" t="str">
        <f t="shared" si="15"/>
        <v/>
      </c>
      <c r="AX571" s="119" t="str">
        <f t="shared" si="16"/>
        <v/>
      </c>
      <c r="AY571" s="120"/>
      <c r="AZ571" s="121"/>
      <c r="BA571" s="122" t="str">
        <f t="shared" si="17"/>
        <v/>
      </c>
      <c r="BB571" s="34"/>
      <c r="BC571" s="121"/>
      <c r="BD571" s="136"/>
      <c r="BE571" s="125" t="str">
        <f t="shared" si="18"/>
        <v/>
      </c>
      <c r="BF571" s="126" t="str">
        <f t="shared" si="19"/>
        <v>FM425__44617_0.320810185185185</v>
      </c>
      <c r="BG571" s="127" t="str">
        <f t="shared" si="20"/>
        <v/>
      </c>
      <c r="BH571" s="137" t="s">
        <v>1650</v>
      </c>
      <c r="BI571" s="128" t="str">
        <f t="shared" si="21"/>
        <v>MA327</v>
      </c>
      <c r="BJ571" s="129" t="b">
        <f t="shared" si="22"/>
        <v>0</v>
      </c>
      <c r="BK571" s="128" t="str">
        <f t="shared" si="23"/>
        <v/>
      </c>
      <c r="BL571" s="121"/>
      <c r="BM571" s="5" t="str">
        <f t="shared" si="24"/>
        <v>MISSING</v>
      </c>
      <c r="BN571" s="120" t="b">
        <f t="shared" si="25"/>
        <v>0</v>
      </c>
      <c r="BO571" s="131" t="b">
        <f t="shared" si="26"/>
        <v>1</v>
      </c>
      <c r="BP571" s="121"/>
      <c r="BQ571" s="132" t="str">
        <f>VLOOKUP(A571,RAW_APS!A$3:O826,15,FALSE)</f>
        <v/>
      </c>
      <c r="BR571" s="120" t="b">
        <f t="shared" si="27"/>
        <v>1</v>
      </c>
      <c r="BS571" s="121"/>
      <c r="BT571" s="138" t="s">
        <v>244</v>
      </c>
      <c r="BU571" s="10" t="b">
        <f t="shared" si="28"/>
        <v>1</v>
      </c>
      <c r="BV571" s="120"/>
      <c r="BW571" s="120"/>
      <c r="BX571" s="120"/>
      <c r="BY571" s="120"/>
      <c r="BZ571" s="120"/>
      <c r="CA571" s="120"/>
      <c r="CB571" s="120"/>
      <c r="CC571" s="120"/>
    </row>
    <row r="572">
      <c r="A572" s="2" t="s">
        <v>1651</v>
      </c>
      <c r="B572" s="100">
        <v>44617.0</v>
      </c>
      <c r="C572" s="101">
        <v>0.3227083333333333</v>
      </c>
      <c r="D572" s="102"/>
      <c r="E572" s="102"/>
      <c r="F572" s="102"/>
      <c r="G572" s="102"/>
      <c r="H572" s="102"/>
      <c r="I572" s="103"/>
      <c r="J572" s="103"/>
      <c r="K572" s="2" t="s">
        <v>244</v>
      </c>
      <c r="L572" s="100">
        <v>44617.0</v>
      </c>
      <c r="M572" s="101">
        <v>0.5033796296296297</v>
      </c>
      <c r="P572" s="104" t="b">
        <f>IFNA(IF(VLOOKUP($A572,'Add from APT'!$AA$2:$AC826,3,FALSE)&gt;0,TRUE,FALSE),"ER - NOT IN APT")</f>
        <v>0</v>
      </c>
      <c r="Q572" s="105" t="str">
        <f>IF(ISLOGICAL(P572),IF(P572,"ER - REPS IN APT", IFNA(VLOOKUP($A572,RAW_APT!$A$3:$M826,7,FALSE),"ER - NOT IN APT")),P572)</f>
        <v>Result</v>
      </c>
      <c r="R572" s="106" t="b">
        <f t="shared" si="2"/>
        <v>1</v>
      </c>
      <c r="S572" s="107">
        <f t="shared" si="3"/>
        <v>1</v>
      </c>
      <c r="T572" s="143"/>
      <c r="U572" s="142"/>
      <c r="V572" s="142"/>
      <c r="W572" s="142"/>
      <c r="X572" s="110" t="b">
        <f t="shared" si="4"/>
        <v>0</v>
      </c>
      <c r="Y572" s="111" t="b">
        <v>0</v>
      </c>
      <c r="Z572" s="104" t="str">
        <f t="shared" si="5"/>
        <v/>
      </c>
      <c r="AA572" s="112" t="b">
        <f t="shared" si="6"/>
        <v>0</v>
      </c>
      <c r="AB572" s="142" t="b">
        <v>0</v>
      </c>
      <c r="AC572" s="140">
        <v>242.0</v>
      </c>
      <c r="AD572" s="141" t="b">
        <v>0</v>
      </c>
      <c r="AE572" s="115">
        <f t="shared" si="7"/>
        <v>260.1666667</v>
      </c>
      <c r="AF572" s="116" t="b">
        <f t="shared" si="8"/>
        <v>0</v>
      </c>
      <c r="AG572" s="105" t="b">
        <f t="shared" si="9"/>
        <v>0</v>
      </c>
      <c r="AH572" s="140"/>
      <c r="AI572" s="140"/>
      <c r="AJ572" s="140"/>
      <c r="AK572" s="117" t="str">
        <f t="shared" si="10"/>
        <v>Negative</v>
      </c>
      <c r="AL572" s="142"/>
      <c r="AM572" s="112" t="s">
        <v>587</v>
      </c>
      <c r="AN572" s="112" t="s">
        <v>588</v>
      </c>
      <c r="AO572" s="112" t="str">
        <f>IFERROR(__xludf.DUMMYFUNCTION("IF($AG572, ""DELETED"",TRIM(JOIN("" "",D572:E572)))"),"")</f>
        <v/>
      </c>
      <c r="AP572" s="112" t="str">
        <f t="shared" ref="AP572:AQ572" si="597">IF($AG572, "DELETED", TRIM(CONCATENATE(F572,I572,U572)))</f>
        <v/>
      </c>
      <c r="AQ572" s="112" t="str">
        <f t="shared" si="597"/>
        <v/>
      </c>
      <c r="AR572" s="112" t="str">
        <f>IFERROR(__xludf.DUMMYFUNCTION("IF($AG572, ""DELETED"", TRIM(JOIN("" "",AP572,AQ572)))"),"")</f>
        <v/>
      </c>
      <c r="AS572" s="118"/>
      <c r="AT572" s="110" t="b">
        <f t="shared" si="12"/>
        <v>0</v>
      </c>
      <c r="AU572" s="110" t="str">
        <f t="shared" si="13"/>
        <v/>
      </c>
      <c r="AV572" s="110" t="str">
        <f t="shared" si="14"/>
        <v/>
      </c>
      <c r="AW572" s="110" t="str">
        <f t="shared" si="15"/>
        <v/>
      </c>
      <c r="AX572" s="119" t="str">
        <f t="shared" si="16"/>
        <v/>
      </c>
      <c r="AY572" s="120"/>
      <c r="AZ572" s="121"/>
      <c r="BA572" s="122" t="str">
        <f t="shared" si="17"/>
        <v/>
      </c>
      <c r="BB572" s="34"/>
      <c r="BC572" s="121"/>
      <c r="BD572" s="136"/>
      <c r="BE572" s="125" t="str">
        <f t="shared" si="18"/>
        <v/>
      </c>
      <c r="BF572" s="126" t="str">
        <f t="shared" si="19"/>
        <v>FM456__44617_0.322708333333333</v>
      </c>
      <c r="BG572" s="127" t="str">
        <f t="shared" si="20"/>
        <v/>
      </c>
      <c r="BH572" s="137" t="s">
        <v>1652</v>
      </c>
      <c r="BI572" s="128" t="str">
        <f t="shared" si="21"/>
        <v>MA328</v>
      </c>
      <c r="BJ572" s="129" t="b">
        <f t="shared" si="22"/>
        <v>0</v>
      </c>
      <c r="BK572" s="128" t="str">
        <f t="shared" si="23"/>
        <v/>
      </c>
      <c r="BL572" s="121"/>
      <c r="BM572" s="5" t="str">
        <f t="shared" si="24"/>
        <v>MISSING</v>
      </c>
      <c r="BN572" s="120" t="b">
        <f t="shared" si="25"/>
        <v>0</v>
      </c>
      <c r="BO572" s="131" t="b">
        <f t="shared" si="26"/>
        <v>1</v>
      </c>
      <c r="BP572" s="121"/>
      <c r="BQ572" s="132" t="str">
        <f>VLOOKUP(A572,RAW_APS!A$3:O826,15,FALSE)</f>
        <v/>
      </c>
      <c r="BR572" s="120" t="b">
        <f t="shared" si="27"/>
        <v>1</v>
      </c>
      <c r="BS572" s="121"/>
      <c r="BT572" s="138" t="s">
        <v>244</v>
      </c>
      <c r="BU572" s="10" t="b">
        <f t="shared" si="28"/>
        <v>1</v>
      </c>
      <c r="BV572" s="120"/>
      <c r="BW572" s="120"/>
      <c r="BX572" s="120"/>
      <c r="BY572" s="120"/>
      <c r="BZ572" s="120"/>
      <c r="CA572" s="120"/>
      <c r="CB572" s="120"/>
      <c r="CC572" s="120"/>
    </row>
    <row r="573">
      <c r="A573" s="2" t="s">
        <v>1653</v>
      </c>
      <c r="B573" s="100">
        <v>44617.0</v>
      </c>
      <c r="C573" s="101">
        <v>0.32384259259259257</v>
      </c>
      <c r="D573" s="102"/>
      <c r="E573" s="102"/>
      <c r="F573" s="102"/>
      <c r="G573" s="102"/>
      <c r="H573" s="102"/>
      <c r="I573" s="103"/>
      <c r="J573" s="103"/>
      <c r="K573" s="2" t="s">
        <v>244</v>
      </c>
      <c r="L573" s="100">
        <v>44617.0</v>
      </c>
      <c r="M573" s="101">
        <v>0.5033796296296297</v>
      </c>
      <c r="P573" s="104" t="b">
        <f>IFNA(IF(VLOOKUP($A573,'Add from APT'!$AA$2:$AC826,3,FALSE)&gt;0,TRUE,FALSE),"ER - NOT IN APT")</f>
        <v>0</v>
      </c>
      <c r="Q573" s="105" t="str">
        <f>IF(ISLOGICAL(P573),IF(P573,"ER - REPS IN APT", IFNA(VLOOKUP($A573,RAW_APT!$A$3:$M826,7,FALSE),"ER - NOT IN APT")),P573)</f>
        <v>Result</v>
      </c>
      <c r="R573" s="106" t="b">
        <f t="shared" si="2"/>
        <v>1</v>
      </c>
      <c r="S573" s="107">
        <f t="shared" si="3"/>
        <v>1</v>
      </c>
      <c r="T573" s="143"/>
      <c r="U573" s="142"/>
      <c r="V573" s="142"/>
      <c r="W573" s="142"/>
      <c r="X573" s="110" t="b">
        <f t="shared" si="4"/>
        <v>0</v>
      </c>
      <c r="Y573" s="111" t="b">
        <v>0</v>
      </c>
      <c r="Z573" s="104" t="str">
        <f t="shared" si="5"/>
        <v/>
      </c>
      <c r="AA573" s="112" t="b">
        <f t="shared" si="6"/>
        <v>0</v>
      </c>
      <c r="AB573" s="142" t="b">
        <v>0</v>
      </c>
      <c r="AC573" s="140">
        <v>241.0</v>
      </c>
      <c r="AD573" s="141" t="b">
        <v>0</v>
      </c>
      <c r="AE573" s="115">
        <f t="shared" si="7"/>
        <v>258.5333333</v>
      </c>
      <c r="AF573" s="116" t="b">
        <f t="shared" si="8"/>
        <v>0</v>
      </c>
      <c r="AG573" s="105" t="b">
        <f t="shared" si="9"/>
        <v>0</v>
      </c>
      <c r="AH573" s="140"/>
      <c r="AI573" s="140"/>
      <c r="AJ573" s="140"/>
      <c r="AK573" s="117" t="str">
        <f t="shared" si="10"/>
        <v>Negative</v>
      </c>
      <c r="AL573" s="142"/>
      <c r="AM573" s="112" t="s">
        <v>409</v>
      </c>
      <c r="AN573" s="112" t="s">
        <v>410</v>
      </c>
      <c r="AO573" s="112" t="str">
        <f>IFERROR(__xludf.DUMMYFUNCTION("IF($AG573, ""DELETED"",TRIM(JOIN("" "",D573:E573)))"),"")</f>
        <v/>
      </c>
      <c r="AP573" s="112" t="str">
        <f t="shared" ref="AP573:AQ573" si="598">IF($AG573, "DELETED", TRIM(CONCATENATE(F573,I573,U573)))</f>
        <v/>
      </c>
      <c r="AQ573" s="112" t="str">
        <f t="shared" si="598"/>
        <v/>
      </c>
      <c r="AR573" s="112" t="str">
        <f>IFERROR(__xludf.DUMMYFUNCTION("IF($AG573, ""DELETED"", TRIM(JOIN("" "",AP573,AQ573)))"),"")</f>
        <v/>
      </c>
      <c r="AS573" s="118"/>
      <c r="AT573" s="110" t="b">
        <f t="shared" si="12"/>
        <v>0</v>
      </c>
      <c r="AU573" s="110" t="str">
        <f t="shared" si="13"/>
        <v/>
      </c>
      <c r="AV573" s="110" t="str">
        <f t="shared" si="14"/>
        <v/>
      </c>
      <c r="AW573" s="110" t="str">
        <f t="shared" si="15"/>
        <v/>
      </c>
      <c r="AX573" s="119" t="str">
        <f t="shared" si="16"/>
        <v/>
      </c>
      <c r="AY573" s="120"/>
      <c r="AZ573" s="121"/>
      <c r="BA573" s="122" t="str">
        <f t="shared" si="17"/>
        <v/>
      </c>
      <c r="BB573" s="34"/>
      <c r="BC573" s="121"/>
      <c r="BD573" s="136"/>
      <c r="BE573" s="125" t="str">
        <f t="shared" si="18"/>
        <v/>
      </c>
      <c r="BF573" s="126" t="str">
        <f t="shared" si="19"/>
        <v>MA1187__44617_0.323842592592593</v>
      </c>
      <c r="BG573" s="127" t="str">
        <f t="shared" si="20"/>
        <v/>
      </c>
      <c r="BH573" s="137" t="s">
        <v>1654</v>
      </c>
      <c r="BI573" s="128" t="str">
        <f t="shared" si="21"/>
        <v>MA330</v>
      </c>
      <c r="BJ573" s="129" t="b">
        <f t="shared" si="22"/>
        <v>0</v>
      </c>
      <c r="BK573" s="128" t="str">
        <f t="shared" si="23"/>
        <v/>
      </c>
      <c r="BL573" s="121"/>
      <c r="BM573" s="5" t="str">
        <f t="shared" si="24"/>
        <v>MISSING</v>
      </c>
      <c r="BN573" s="120" t="b">
        <f t="shared" si="25"/>
        <v>0</v>
      </c>
      <c r="BO573" s="131" t="b">
        <f t="shared" si="26"/>
        <v>1</v>
      </c>
      <c r="BP573" s="121"/>
      <c r="BQ573" s="132" t="str">
        <f>VLOOKUP(A573,RAW_APS!A$3:O826,15,FALSE)</f>
        <v/>
      </c>
      <c r="BR573" s="120" t="b">
        <f t="shared" si="27"/>
        <v>1</v>
      </c>
      <c r="BS573" s="121"/>
      <c r="BT573" s="138" t="s">
        <v>244</v>
      </c>
      <c r="BU573" s="10" t="b">
        <f t="shared" si="28"/>
        <v>1</v>
      </c>
      <c r="BV573" s="120"/>
      <c r="BW573" s="120"/>
      <c r="BX573" s="120"/>
      <c r="BY573" s="120"/>
      <c r="BZ573" s="120"/>
      <c r="CA573" s="120"/>
      <c r="CB573" s="120"/>
      <c r="CC573" s="120"/>
    </row>
    <row r="574">
      <c r="A574" s="2" t="s">
        <v>1655</v>
      </c>
      <c r="B574" s="100">
        <v>44617.0</v>
      </c>
      <c r="C574" s="101">
        <v>0.3297453703703704</v>
      </c>
      <c r="D574" s="102"/>
      <c r="E574" s="102"/>
      <c r="F574" s="102"/>
      <c r="G574" s="102"/>
      <c r="H574" s="102"/>
      <c r="I574" s="103"/>
      <c r="J574" s="103"/>
      <c r="K574" s="2" t="s">
        <v>244</v>
      </c>
      <c r="L574" s="100">
        <v>44617.0</v>
      </c>
      <c r="M574" s="101">
        <v>0.5033796296296297</v>
      </c>
      <c r="P574" s="104" t="b">
        <f>IFNA(IF(VLOOKUP($A574,'Add from APT'!$AA$2:$AC826,3,FALSE)&gt;0,TRUE,FALSE),"ER - NOT IN APT")</f>
        <v>0</v>
      </c>
      <c r="Q574" s="105" t="str">
        <f>IF(ISLOGICAL(P574),IF(P574,"ER - REPS IN APT", IFNA(VLOOKUP($A574,RAW_APT!$A$3:$M826,7,FALSE),"ER - NOT IN APT")),P574)</f>
        <v>Result</v>
      </c>
      <c r="R574" s="106" t="b">
        <f t="shared" si="2"/>
        <v>1</v>
      </c>
      <c r="S574" s="107">
        <f t="shared" si="3"/>
        <v>1</v>
      </c>
      <c r="T574" s="143"/>
      <c r="U574" s="142"/>
      <c r="V574" s="142"/>
      <c r="W574" s="142"/>
      <c r="X574" s="110" t="b">
        <f t="shared" si="4"/>
        <v>0</v>
      </c>
      <c r="Y574" s="111" t="b">
        <v>0</v>
      </c>
      <c r="Z574" s="104" t="str">
        <f t="shared" si="5"/>
        <v/>
      </c>
      <c r="AA574" s="112" t="b">
        <f t="shared" si="6"/>
        <v>0</v>
      </c>
      <c r="AB574" s="142" t="b">
        <v>0</v>
      </c>
      <c r="AC574" s="140">
        <v>240.0</v>
      </c>
      <c r="AD574" s="141" t="b">
        <v>0</v>
      </c>
      <c r="AE574" s="115">
        <f t="shared" si="7"/>
        <v>250.0333333</v>
      </c>
      <c r="AF574" s="116" t="b">
        <f t="shared" si="8"/>
        <v>0</v>
      </c>
      <c r="AG574" s="105" t="b">
        <f t="shared" si="9"/>
        <v>0</v>
      </c>
      <c r="AH574" s="140"/>
      <c r="AI574" s="140"/>
      <c r="AJ574" s="140"/>
      <c r="AK574" s="117" t="str">
        <f t="shared" si="10"/>
        <v>Negative</v>
      </c>
      <c r="AL574" s="142"/>
      <c r="AM574" s="112" t="s">
        <v>1656</v>
      </c>
      <c r="AN574" s="112" t="s">
        <v>1657</v>
      </c>
      <c r="AO574" s="112" t="str">
        <f>IFERROR(__xludf.DUMMYFUNCTION("IF($AG574, ""DELETED"",TRIM(JOIN("" "",D574:E574)))"),"")</f>
        <v/>
      </c>
      <c r="AP574" s="112" t="str">
        <f t="shared" ref="AP574:AQ574" si="599">IF($AG574, "DELETED", TRIM(CONCATENATE(F574,I574,U574)))</f>
        <v/>
      </c>
      <c r="AQ574" s="112" t="str">
        <f t="shared" si="599"/>
        <v/>
      </c>
      <c r="AR574" s="112" t="str">
        <f>IFERROR(__xludf.DUMMYFUNCTION("IF($AG574, ""DELETED"", TRIM(JOIN("" "",AP574,AQ574)))"),"")</f>
        <v/>
      </c>
      <c r="AS574" s="118"/>
      <c r="AT574" s="110" t="b">
        <f t="shared" si="12"/>
        <v>0</v>
      </c>
      <c r="AU574" s="110" t="str">
        <f t="shared" si="13"/>
        <v/>
      </c>
      <c r="AV574" s="110" t="str">
        <f t="shared" si="14"/>
        <v/>
      </c>
      <c r="AW574" s="110" t="str">
        <f t="shared" si="15"/>
        <v/>
      </c>
      <c r="AX574" s="119" t="str">
        <f t="shared" si="16"/>
        <v/>
      </c>
      <c r="AY574" s="120"/>
      <c r="AZ574" s="121"/>
      <c r="BA574" s="122" t="str">
        <f t="shared" si="17"/>
        <v/>
      </c>
      <c r="BB574" s="34"/>
      <c r="BC574" s="121"/>
      <c r="BD574" s="136"/>
      <c r="BE574" s="125" t="str">
        <f t="shared" si="18"/>
        <v/>
      </c>
      <c r="BF574" s="126" t="str">
        <f t="shared" si="19"/>
        <v>FM479__44617_0.32974537037037</v>
      </c>
      <c r="BG574" s="127" t="str">
        <f t="shared" si="20"/>
        <v/>
      </c>
      <c r="BH574" s="137" t="s">
        <v>1658</v>
      </c>
      <c r="BI574" s="128" t="str">
        <f t="shared" si="21"/>
        <v>MA331</v>
      </c>
      <c r="BJ574" s="129" t="b">
        <f t="shared" si="22"/>
        <v>0</v>
      </c>
      <c r="BK574" s="128" t="str">
        <f t="shared" si="23"/>
        <v/>
      </c>
      <c r="BL574" s="121"/>
      <c r="BM574" s="5" t="str">
        <f t="shared" si="24"/>
        <v>MISSING</v>
      </c>
      <c r="BN574" s="120" t="b">
        <f t="shared" si="25"/>
        <v>0</v>
      </c>
      <c r="BO574" s="131" t="b">
        <f t="shared" si="26"/>
        <v>1</v>
      </c>
      <c r="BP574" s="121"/>
      <c r="BQ574" s="132" t="str">
        <f>VLOOKUP(A574,RAW_APS!A$3:O826,15,FALSE)</f>
        <v/>
      </c>
      <c r="BR574" s="120" t="b">
        <f t="shared" si="27"/>
        <v>1</v>
      </c>
      <c r="BS574" s="121"/>
      <c r="BT574" s="138" t="s">
        <v>244</v>
      </c>
      <c r="BU574" s="10" t="b">
        <f t="shared" si="28"/>
        <v>1</v>
      </c>
      <c r="BV574" s="120"/>
      <c r="BW574" s="120"/>
      <c r="BX574" s="120"/>
      <c r="BY574" s="120"/>
      <c r="BZ574" s="120"/>
      <c r="CA574" s="120"/>
      <c r="CB574" s="120"/>
      <c r="CC574" s="120"/>
    </row>
    <row r="575">
      <c r="A575" s="2" t="s">
        <v>1659</v>
      </c>
      <c r="B575" s="100">
        <v>44617.0</v>
      </c>
      <c r="C575" s="101">
        <v>0.3303935185185185</v>
      </c>
      <c r="D575" s="102"/>
      <c r="E575" s="102"/>
      <c r="F575" s="102"/>
      <c r="G575" s="102"/>
      <c r="H575" s="102"/>
      <c r="I575" s="103"/>
      <c r="J575" s="103"/>
      <c r="K575" s="2" t="s">
        <v>244</v>
      </c>
      <c r="L575" s="100">
        <v>44617.0</v>
      </c>
      <c r="M575" s="101">
        <v>0.5033796296296297</v>
      </c>
      <c r="P575" s="104" t="b">
        <f>IFNA(IF(VLOOKUP($A575,'Add from APT'!$AA$2:$AC826,3,FALSE)&gt;0,TRUE,FALSE),"ER - NOT IN APT")</f>
        <v>0</v>
      </c>
      <c r="Q575" s="105" t="str">
        <f>IF(ISLOGICAL(P575),IF(P575,"ER - REPS IN APT", IFNA(VLOOKUP($A575,RAW_APT!$A$3:$M826,7,FALSE),"ER - NOT IN APT")),P575)</f>
        <v>Result</v>
      </c>
      <c r="R575" s="106" t="b">
        <f t="shared" si="2"/>
        <v>1</v>
      </c>
      <c r="S575" s="107">
        <f t="shared" si="3"/>
        <v>1</v>
      </c>
      <c r="T575" s="143"/>
      <c r="U575" s="142"/>
      <c r="V575" s="142"/>
      <c r="W575" s="142"/>
      <c r="X575" s="110" t="b">
        <f t="shared" si="4"/>
        <v>0</v>
      </c>
      <c r="Y575" s="111" t="b">
        <v>0</v>
      </c>
      <c r="Z575" s="104" t="str">
        <f t="shared" si="5"/>
        <v/>
      </c>
      <c r="AA575" s="112" t="b">
        <f t="shared" si="6"/>
        <v>0</v>
      </c>
      <c r="AB575" s="142" t="b">
        <v>0</v>
      </c>
      <c r="AC575" s="140">
        <v>239.0</v>
      </c>
      <c r="AD575" s="141" t="b">
        <v>0</v>
      </c>
      <c r="AE575" s="115">
        <f t="shared" si="7"/>
        <v>249.1</v>
      </c>
      <c r="AF575" s="116" t="b">
        <f t="shared" si="8"/>
        <v>0</v>
      </c>
      <c r="AG575" s="105" t="b">
        <f t="shared" si="9"/>
        <v>0</v>
      </c>
      <c r="AH575" s="140"/>
      <c r="AI575" s="140"/>
      <c r="AJ575" s="140"/>
      <c r="AK575" s="117" t="str">
        <f t="shared" si="10"/>
        <v>Negative</v>
      </c>
      <c r="AL575" s="142"/>
      <c r="AM575" s="112" t="s">
        <v>512</v>
      </c>
      <c r="AN575" s="112" t="s">
        <v>513</v>
      </c>
      <c r="AO575" s="112" t="str">
        <f>IFERROR(__xludf.DUMMYFUNCTION("IF($AG575, ""DELETED"",TRIM(JOIN("" "",D575:E575)))"),"")</f>
        <v/>
      </c>
      <c r="AP575" s="112" t="str">
        <f t="shared" ref="AP575:AQ575" si="600">IF($AG575, "DELETED", TRIM(CONCATENATE(F575,I575,U575)))</f>
        <v/>
      </c>
      <c r="AQ575" s="112" t="str">
        <f t="shared" si="600"/>
        <v/>
      </c>
      <c r="AR575" s="112" t="str">
        <f>IFERROR(__xludf.DUMMYFUNCTION("IF($AG575, ""DELETED"", TRIM(JOIN("" "",AP575,AQ575)))"),"")</f>
        <v/>
      </c>
      <c r="AS575" s="118"/>
      <c r="AT575" s="110" t="b">
        <f t="shared" si="12"/>
        <v>0</v>
      </c>
      <c r="AU575" s="110" t="str">
        <f t="shared" si="13"/>
        <v/>
      </c>
      <c r="AV575" s="110" t="str">
        <f t="shared" si="14"/>
        <v/>
      </c>
      <c r="AW575" s="110" t="str">
        <f t="shared" si="15"/>
        <v/>
      </c>
      <c r="AX575" s="119" t="str">
        <f t="shared" si="16"/>
        <v/>
      </c>
      <c r="AY575" s="120"/>
      <c r="AZ575" s="121"/>
      <c r="BA575" s="122" t="str">
        <f t="shared" si="17"/>
        <v/>
      </c>
      <c r="BB575" s="34"/>
      <c r="BC575" s="121"/>
      <c r="BD575" s="136"/>
      <c r="BE575" s="125" t="str">
        <f t="shared" si="18"/>
        <v/>
      </c>
      <c r="BF575" s="126" t="str">
        <f t="shared" si="19"/>
        <v>MA266__44617_0.330393518518519</v>
      </c>
      <c r="BG575" s="127" t="str">
        <f t="shared" si="20"/>
        <v/>
      </c>
      <c r="BH575" s="137" t="s">
        <v>1660</v>
      </c>
      <c r="BI575" s="128" t="str">
        <f t="shared" si="21"/>
        <v>MA332</v>
      </c>
      <c r="BJ575" s="129" t="b">
        <f t="shared" si="22"/>
        <v>0</v>
      </c>
      <c r="BK575" s="128" t="str">
        <f t="shared" si="23"/>
        <v/>
      </c>
      <c r="BL575" s="121"/>
      <c r="BM575" s="5" t="str">
        <f t="shared" si="24"/>
        <v>MISSING</v>
      </c>
      <c r="BN575" s="120" t="b">
        <f t="shared" si="25"/>
        <v>0</v>
      </c>
      <c r="BO575" s="131" t="b">
        <f t="shared" si="26"/>
        <v>1</v>
      </c>
      <c r="BP575" s="121"/>
      <c r="BQ575" s="132" t="str">
        <f>VLOOKUP(A575,RAW_APS!A$3:O826,15,FALSE)</f>
        <v/>
      </c>
      <c r="BR575" s="120" t="b">
        <f t="shared" si="27"/>
        <v>1</v>
      </c>
      <c r="BS575" s="121"/>
      <c r="BT575" s="138" t="s">
        <v>244</v>
      </c>
      <c r="BU575" s="10" t="b">
        <f t="shared" si="28"/>
        <v>1</v>
      </c>
      <c r="BV575" s="120"/>
      <c r="BW575" s="120"/>
      <c r="BX575" s="120"/>
      <c r="BY575" s="120"/>
      <c r="BZ575" s="120"/>
      <c r="CA575" s="120"/>
      <c r="CB575" s="120"/>
      <c r="CC575" s="120"/>
    </row>
    <row r="576">
      <c r="A576" s="2" t="s">
        <v>1661</v>
      </c>
      <c r="B576" s="100">
        <v>44617.0</v>
      </c>
      <c r="C576" s="101">
        <v>0.3313425925925926</v>
      </c>
      <c r="D576" s="102"/>
      <c r="E576" s="102"/>
      <c r="F576" s="102"/>
      <c r="G576" s="102"/>
      <c r="H576" s="102"/>
      <c r="I576" s="103"/>
      <c r="J576" s="103"/>
      <c r="K576" s="2" t="s">
        <v>244</v>
      </c>
      <c r="L576" s="100">
        <v>44617.0</v>
      </c>
      <c r="M576" s="101">
        <v>0.5033796296296297</v>
      </c>
      <c r="P576" s="104" t="b">
        <f>IFNA(IF(VLOOKUP($A576,'Add from APT'!$AA$2:$AC826,3,FALSE)&gt;0,TRUE,FALSE),"ER - NOT IN APT")</f>
        <v>0</v>
      </c>
      <c r="Q576" s="105" t="str">
        <f>IF(ISLOGICAL(P576),IF(P576,"ER - REPS IN APT", IFNA(VLOOKUP($A576,RAW_APT!$A$3:$M826,7,FALSE),"ER - NOT IN APT")),P576)</f>
        <v>Result</v>
      </c>
      <c r="R576" s="106" t="b">
        <f t="shared" si="2"/>
        <v>1</v>
      </c>
      <c r="S576" s="107">
        <f t="shared" si="3"/>
        <v>1</v>
      </c>
      <c r="T576" s="143"/>
      <c r="U576" s="142"/>
      <c r="V576" s="142"/>
      <c r="W576" s="142"/>
      <c r="X576" s="110" t="b">
        <f t="shared" si="4"/>
        <v>0</v>
      </c>
      <c r="Y576" s="111" t="b">
        <v>0</v>
      </c>
      <c r="Z576" s="104" t="str">
        <f t="shared" si="5"/>
        <v/>
      </c>
      <c r="AA576" s="112" t="b">
        <f t="shared" si="6"/>
        <v>0</v>
      </c>
      <c r="AB576" s="142" t="b">
        <v>0</v>
      </c>
      <c r="AC576" s="140">
        <v>238.0</v>
      </c>
      <c r="AD576" s="141" t="b">
        <v>0</v>
      </c>
      <c r="AE576" s="115">
        <f t="shared" si="7"/>
        <v>247.7333333</v>
      </c>
      <c r="AF576" s="116" t="b">
        <f t="shared" si="8"/>
        <v>0</v>
      </c>
      <c r="AG576" s="105" t="b">
        <f t="shared" si="9"/>
        <v>0</v>
      </c>
      <c r="AH576" s="140"/>
      <c r="AI576" s="140"/>
      <c r="AJ576" s="140"/>
      <c r="AK576" s="117" t="str">
        <f t="shared" si="10"/>
        <v>Negative</v>
      </c>
      <c r="AL576" s="142"/>
      <c r="AM576" s="112" t="s">
        <v>1662</v>
      </c>
      <c r="AN576" s="112" t="s">
        <v>1663</v>
      </c>
      <c r="AO576" s="112" t="str">
        <f>IFERROR(__xludf.DUMMYFUNCTION("IF($AG576, ""DELETED"",TRIM(JOIN("" "",D576:E576)))"),"")</f>
        <v/>
      </c>
      <c r="AP576" s="112" t="str">
        <f t="shared" ref="AP576:AQ576" si="601">IF($AG576, "DELETED", TRIM(CONCATENATE(F576,I576,U576)))</f>
        <v/>
      </c>
      <c r="AQ576" s="112" t="str">
        <f t="shared" si="601"/>
        <v/>
      </c>
      <c r="AR576" s="112" t="str">
        <f>IFERROR(__xludf.DUMMYFUNCTION("IF($AG576, ""DELETED"", TRIM(JOIN("" "",AP576,AQ576)))"),"")</f>
        <v/>
      </c>
      <c r="AS576" s="118"/>
      <c r="AT576" s="110" t="b">
        <f t="shared" si="12"/>
        <v>0</v>
      </c>
      <c r="AU576" s="110" t="str">
        <f t="shared" si="13"/>
        <v/>
      </c>
      <c r="AV576" s="110" t="str">
        <f t="shared" si="14"/>
        <v/>
      </c>
      <c r="AW576" s="110" t="str">
        <f t="shared" si="15"/>
        <v/>
      </c>
      <c r="AX576" s="119" t="str">
        <f t="shared" si="16"/>
        <v/>
      </c>
      <c r="AY576" s="120"/>
      <c r="AZ576" s="121"/>
      <c r="BA576" s="122" t="str">
        <f t="shared" si="17"/>
        <v/>
      </c>
      <c r="BB576" s="34"/>
      <c r="BC576" s="121"/>
      <c r="BD576" s="136"/>
      <c r="BE576" s="125" t="str">
        <f t="shared" si="18"/>
        <v/>
      </c>
      <c r="BF576" s="126" t="str">
        <f t="shared" si="19"/>
        <v>FM994__44617_0.331342592592593</v>
      </c>
      <c r="BG576" s="127" t="str">
        <f t="shared" si="20"/>
        <v/>
      </c>
      <c r="BH576" s="137" t="s">
        <v>1664</v>
      </c>
      <c r="BI576" s="128" t="str">
        <f t="shared" si="21"/>
        <v>MA333</v>
      </c>
      <c r="BJ576" s="129" t="b">
        <f t="shared" si="22"/>
        <v>0</v>
      </c>
      <c r="BK576" s="128" t="str">
        <f t="shared" si="23"/>
        <v/>
      </c>
      <c r="BL576" s="121"/>
      <c r="BM576" s="5" t="str">
        <f t="shared" si="24"/>
        <v>MISSING</v>
      </c>
      <c r="BN576" s="120" t="b">
        <f t="shared" si="25"/>
        <v>0</v>
      </c>
      <c r="BO576" s="131" t="b">
        <f t="shared" si="26"/>
        <v>1</v>
      </c>
      <c r="BP576" s="121"/>
      <c r="BQ576" s="132" t="str">
        <f>VLOOKUP(A576,RAW_APS!A$3:O826,15,FALSE)</f>
        <v/>
      </c>
      <c r="BR576" s="120" t="b">
        <f t="shared" si="27"/>
        <v>1</v>
      </c>
      <c r="BS576" s="121"/>
      <c r="BT576" s="138" t="s">
        <v>244</v>
      </c>
      <c r="BU576" s="10" t="b">
        <f t="shared" si="28"/>
        <v>1</v>
      </c>
      <c r="BV576" s="120"/>
      <c r="BW576" s="120"/>
      <c r="BX576" s="120"/>
      <c r="BY576" s="120"/>
      <c r="BZ576" s="120"/>
      <c r="CA576" s="120"/>
      <c r="CB576" s="120"/>
      <c r="CC576" s="120"/>
    </row>
    <row r="577">
      <c r="A577" s="2" t="s">
        <v>1665</v>
      </c>
      <c r="B577" s="100">
        <v>44617.0</v>
      </c>
      <c r="C577" s="101">
        <v>0.3313773148148148</v>
      </c>
      <c r="D577" s="102"/>
      <c r="E577" s="102"/>
      <c r="F577" s="102"/>
      <c r="G577" s="102"/>
      <c r="H577" s="102"/>
      <c r="I577" s="103"/>
      <c r="J577" s="103"/>
      <c r="K577" s="2" t="s">
        <v>244</v>
      </c>
      <c r="L577" s="100">
        <v>44617.0</v>
      </c>
      <c r="M577" s="101">
        <v>0.5033796296296297</v>
      </c>
      <c r="P577" s="104" t="b">
        <f>IFNA(IF(VLOOKUP($A577,'Add from APT'!$AA$2:$AC826,3,FALSE)&gt;0,TRUE,FALSE),"ER - NOT IN APT")</f>
        <v>0</v>
      </c>
      <c r="Q577" s="105" t="str">
        <f>IF(ISLOGICAL(P577),IF(P577,"ER - REPS IN APT", IFNA(VLOOKUP($A577,RAW_APT!$A$3:$M826,7,FALSE),"ER - NOT IN APT")),P577)</f>
        <v>Result</v>
      </c>
      <c r="R577" s="106" t="b">
        <f t="shared" si="2"/>
        <v>1</v>
      </c>
      <c r="S577" s="107">
        <f t="shared" si="3"/>
        <v>1</v>
      </c>
      <c r="T577" s="143"/>
      <c r="U577" s="142"/>
      <c r="V577" s="142"/>
      <c r="W577" s="142"/>
      <c r="X577" s="110" t="b">
        <f t="shared" si="4"/>
        <v>0</v>
      </c>
      <c r="Y577" s="111" t="b">
        <v>0</v>
      </c>
      <c r="Z577" s="104" t="str">
        <f t="shared" si="5"/>
        <v/>
      </c>
      <c r="AA577" s="112" t="b">
        <f t="shared" si="6"/>
        <v>0</v>
      </c>
      <c r="AB577" s="142" t="b">
        <v>0</v>
      </c>
      <c r="AC577" s="140">
        <v>237.0</v>
      </c>
      <c r="AD577" s="141" t="b">
        <v>0</v>
      </c>
      <c r="AE577" s="115">
        <f t="shared" si="7"/>
        <v>247.6833333</v>
      </c>
      <c r="AF577" s="116" t="b">
        <f t="shared" si="8"/>
        <v>0</v>
      </c>
      <c r="AG577" s="105" t="b">
        <f t="shared" si="9"/>
        <v>0</v>
      </c>
      <c r="AH577" s="140"/>
      <c r="AI577" s="140"/>
      <c r="AJ577" s="140"/>
      <c r="AK577" s="117" t="str">
        <f t="shared" si="10"/>
        <v>Negative</v>
      </c>
      <c r="AL577" s="142"/>
      <c r="AM577" s="112" t="s">
        <v>318</v>
      </c>
      <c r="AN577" s="112" t="s">
        <v>319</v>
      </c>
      <c r="AO577" s="112" t="str">
        <f>IFERROR(__xludf.DUMMYFUNCTION("IF($AG577, ""DELETED"",TRIM(JOIN("" "",D577:E577)))"),"")</f>
        <v/>
      </c>
      <c r="AP577" s="112" t="str">
        <f t="shared" ref="AP577:AQ577" si="602">IF($AG577, "DELETED", TRIM(CONCATENATE(F577,I577,U577)))</f>
        <v/>
      </c>
      <c r="AQ577" s="112" t="str">
        <f t="shared" si="602"/>
        <v/>
      </c>
      <c r="AR577" s="112" t="str">
        <f>IFERROR(__xludf.DUMMYFUNCTION("IF($AG577, ""DELETED"", TRIM(JOIN("" "",AP577,AQ577)))"),"")</f>
        <v/>
      </c>
      <c r="AS577" s="118"/>
      <c r="AT577" s="110" t="b">
        <f t="shared" si="12"/>
        <v>0</v>
      </c>
      <c r="AU577" s="110" t="str">
        <f t="shared" si="13"/>
        <v/>
      </c>
      <c r="AV577" s="110" t="str">
        <f t="shared" si="14"/>
        <v/>
      </c>
      <c r="AW577" s="110" t="str">
        <f t="shared" si="15"/>
        <v/>
      </c>
      <c r="AX577" s="119" t="str">
        <f t="shared" si="16"/>
        <v/>
      </c>
      <c r="AY577" s="120"/>
      <c r="AZ577" s="121"/>
      <c r="BA577" s="122" t="str">
        <f t="shared" si="17"/>
        <v/>
      </c>
      <c r="BB577" s="34"/>
      <c r="BC577" s="121"/>
      <c r="BD577" s="136"/>
      <c r="BE577" s="125" t="str">
        <f t="shared" si="18"/>
        <v/>
      </c>
      <c r="BF577" s="126" t="str">
        <f t="shared" si="19"/>
        <v>FM833__44617_0.331377314814815</v>
      </c>
      <c r="BG577" s="127" t="str">
        <f t="shared" si="20"/>
        <v/>
      </c>
      <c r="BH577" s="137" t="s">
        <v>1666</v>
      </c>
      <c r="BI577" s="128" t="str">
        <f t="shared" si="21"/>
        <v>MA335</v>
      </c>
      <c r="BJ577" s="129" t="b">
        <f t="shared" si="22"/>
        <v>0</v>
      </c>
      <c r="BK577" s="128" t="str">
        <f t="shared" si="23"/>
        <v/>
      </c>
      <c r="BL577" s="121"/>
      <c r="BM577" s="5" t="str">
        <f t="shared" si="24"/>
        <v>MISSING</v>
      </c>
      <c r="BN577" s="120" t="b">
        <f t="shared" si="25"/>
        <v>0</v>
      </c>
      <c r="BO577" s="131" t="b">
        <f t="shared" si="26"/>
        <v>1</v>
      </c>
      <c r="BP577" s="121"/>
      <c r="BQ577" s="132" t="str">
        <f>VLOOKUP(A577,RAW_APS!A$3:O826,15,FALSE)</f>
        <v/>
      </c>
      <c r="BR577" s="120" t="b">
        <f t="shared" si="27"/>
        <v>1</v>
      </c>
      <c r="BS577" s="121"/>
      <c r="BT577" s="138" t="s">
        <v>244</v>
      </c>
      <c r="BU577" s="10" t="b">
        <f t="shared" si="28"/>
        <v>1</v>
      </c>
      <c r="BV577" s="120"/>
      <c r="BW577" s="120"/>
      <c r="BX577" s="120"/>
      <c r="BY577" s="120"/>
      <c r="BZ577" s="120"/>
      <c r="CA577" s="120"/>
      <c r="CB577" s="120"/>
      <c r="CC577" s="120"/>
    </row>
    <row r="578">
      <c r="A578" s="2" t="s">
        <v>1667</v>
      </c>
      <c r="B578" s="100">
        <v>44617.0</v>
      </c>
      <c r="C578" s="101">
        <v>0.33167824074074076</v>
      </c>
      <c r="D578" s="102"/>
      <c r="E578" s="102"/>
      <c r="F578" s="102"/>
      <c r="G578" s="102"/>
      <c r="H578" s="102"/>
      <c r="I578" s="103"/>
      <c r="J578" s="103"/>
      <c r="K578" s="2" t="s">
        <v>244</v>
      </c>
      <c r="L578" s="100">
        <v>44617.0</v>
      </c>
      <c r="M578" s="101">
        <v>0.5033796296296297</v>
      </c>
      <c r="P578" s="104" t="b">
        <f>IFNA(IF(VLOOKUP($A578,'Add from APT'!$AA$2:$AC826,3,FALSE)&gt;0,TRUE,FALSE),"ER - NOT IN APT")</f>
        <v>0</v>
      </c>
      <c r="Q578" s="105" t="str">
        <f>IF(ISLOGICAL(P578),IF(P578,"ER - REPS IN APT", IFNA(VLOOKUP($A578,RAW_APT!$A$3:$M826,7,FALSE),"ER - NOT IN APT")),P578)</f>
        <v>Result</v>
      </c>
      <c r="R578" s="106" t="b">
        <f t="shared" si="2"/>
        <v>1</v>
      </c>
      <c r="S578" s="107">
        <f t="shared" si="3"/>
        <v>1</v>
      </c>
      <c r="T578" s="143"/>
      <c r="U578" s="142"/>
      <c r="V578" s="142"/>
      <c r="W578" s="142"/>
      <c r="X578" s="110" t="b">
        <f t="shared" si="4"/>
        <v>0</v>
      </c>
      <c r="Y578" s="111" t="b">
        <v>0</v>
      </c>
      <c r="Z578" s="104" t="str">
        <f t="shared" si="5"/>
        <v/>
      </c>
      <c r="AA578" s="112" t="b">
        <f t="shared" si="6"/>
        <v>0</v>
      </c>
      <c r="AB578" s="142" t="b">
        <v>0</v>
      </c>
      <c r="AC578" s="140">
        <v>236.0</v>
      </c>
      <c r="AD578" s="141" t="b">
        <v>0</v>
      </c>
      <c r="AE578" s="115">
        <f t="shared" si="7"/>
        <v>247.25</v>
      </c>
      <c r="AF578" s="116" t="b">
        <f t="shared" si="8"/>
        <v>0</v>
      </c>
      <c r="AG578" s="105" t="b">
        <f t="shared" si="9"/>
        <v>0</v>
      </c>
      <c r="AH578" s="140"/>
      <c r="AI578" s="140"/>
      <c r="AJ578" s="140"/>
      <c r="AK578" s="117" t="str">
        <f t="shared" si="10"/>
        <v>Negative</v>
      </c>
      <c r="AL578" s="142"/>
      <c r="AM578" s="112" t="s">
        <v>318</v>
      </c>
      <c r="AN578" s="112" t="s">
        <v>1465</v>
      </c>
      <c r="AO578" s="112" t="str">
        <f>IFERROR(__xludf.DUMMYFUNCTION("IF($AG578, ""DELETED"",TRIM(JOIN("" "",D578:E578)))"),"")</f>
        <v/>
      </c>
      <c r="AP578" s="112" t="str">
        <f t="shared" ref="AP578:AQ578" si="603">IF($AG578, "DELETED", TRIM(CONCATENATE(F578,I578,U578)))</f>
        <v/>
      </c>
      <c r="AQ578" s="112" t="str">
        <f t="shared" si="603"/>
        <v/>
      </c>
      <c r="AR578" s="112" t="str">
        <f>IFERROR(__xludf.DUMMYFUNCTION("IF($AG578, ""DELETED"", TRIM(JOIN("" "",AP578,AQ578)))"),"")</f>
        <v/>
      </c>
      <c r="AS578" s="118"/>
      <c r="AT578" s="110" t="b">
        <f t="shared" si="12"/>
        <v>0</v>
      </c>
      <c r="AU578" s="110" t="str">
        <f t="shared" si="13"/>
        <v/>
      </c>
      <c r="AV578" s="110" t="str">
        <f t="shared" si="14"/>
        <v/>
      </c>
      <c r="AW578" s="110" t="str">
        <f t="shared" si="15"/>
        <v/>
      </c>
      <c r="AX578" s="119" t="str">
        <f t="shared" si="16"/>
        <v/>
      </c>
      <c r="AY578" s="120"/>
      <c r="AZ578" s="121"/>
      <c r="BA578" s="122" t="str">
        <f t="shared" si="17"/>
        <v/>
      </c>
      <c r="BB578" s="34"/>
      <c r="BC578" s="121"/>
      <c r="BD578" s="136"/>
      <c r="BE578" s="125" t="str">
        <f t="shared" si="18"/>
        <v/>
      </c>
      <c r="BF578" s="126" t="str">
        <f t="shared" si="19"/>
        <v>FM831__44617_0.331678240740741</v>
      </c>
      <c r="BG578" s="127" t="str">
        <f t="shared" si="20"/>
        <v/>
      </c>
      <c r="BH578" s="137" t="s">
        <v>1668</v>
      </c>
      <c r="BI578" s="128" t="str">
        <f t="shared" si="21"/>
        <v>MA337</v>
      </c>
      <c r="BJ578" s="129" t="b">
        <f t="shared" si="22"/>
        <v>0</v>
      </c>
      <c r="BK578" s="128" t="str">
        <f t="shared" si="23"/>
        <v/>
      </c>
      <c r="BL578" s="121"/>
      <c r="BM578" s="5" t="str">
        <f t="shared" si="24"/>
        <v>MISSING</v>
      </c>
      <c r="BN578" s="120" t="b">
        <f t="shared" si="25"/>
        <v>0</v>
      </c>
      <c r="BO578" s="131" t="b">
        <f t="shared" si="26"/>
        <v>1</v>
      </c>
      <c r="BP578" s="121"/>
      <c r="BQ578" s="132" t="str">
        <f>VLOOKUP(A578,RAW_APS!A$3:O826,15,FALSE)</f>
        <v/>
      </c>
      <c r="BR578" s="120" t="b">
        <f t="shared" si="27"/>
        <v>1</v>
      </c>
      <c r="BS578" s="121"/>
      <c r="BT578" s="138" t="s">
        <v>244</v>
      </c>
      <c r="BU578" s="10" t="b">
        <f t="shared" si="28"/>
        <v>1</v>
      </c>
      <c r="BV578" s="120"/>
      <c r="BW578" s="120"/>
      <c r="BX578" s="120"/>
      <c r="BY578" s="120"/>
      <c r="BZ578" s="120"/>
      <c r="CA578" s="120"/>
      <c r="CB578" s="120"/>
      <c r="CC578" s="120"/>
    </row>
    <row r="579">
      <c r="A579" s="2" t="s">
        <v>1669</v>
      </c>
      <c r="B579" s="100">
        <v>44617.0</v>
      </c>
      <c r="C579" s="101">
        <v>0.3319328703703704</v>
      </c>
      <c r="D579" s="102"/>
      <c r="E579" s="102"/>
      <c r="F579" s="102"/>
      <c r="G579" s="102"/>
      <c r="H579" s="102"/>
      <c r="I579" s="103"/>
      <c r="J579" s="103"/>
      <c r="K579" s="2" t="s">
        <v>244</v>
      </c>
      <c r="L579" s="100">
        <v>44617.0</v>
      </c>
      <c r="M579" s="101">
        <v>0.5033796296296297</v>
      </c>
      <c r="P579" s="104" t="b">
        <f>IFNA(IF(VLOOKUP($A579,'Add from APT'!$AA$2:$AC826,3,FALSE)&gt;0,TRUE,FALSE),"ER - NOT IN APT")</f>
        <v>0</v>
      </c>
      <c r="Q579" s="105" t="str">
        <f>IF(ISLOGICAL(P579),IF(P579,"ER - REPS IN APT", IFNA(VLOOKUP($A579,RAW_APT!$A$3:$M826,7,FALSE),"ER - NOT IN APT")),P579)</f>
        <v>Result</v>
      </c>
      <c r="R579" s="106" t="b">
        <f t="shared" si="2"/>
        <v>1</v>
      </c>
      <c r="S579" s="107">
        <f t="shared" si="3"/>
        <v>1</v>
      </c>
      <c r="T579" s="143"/>
      <c r="U579" s="142"/>
      <c r="V579" s="142"/>
      <c r="W579" s="142"/>
      <c r="X579" s="110" t="b">
        <f t="shared" si="4"/>
        <v>0</v>
      </c>
      <c r="Y579" s="111" t="b">
        <v>0</v>
      </c>
      <c r="Z579" s="104" t="str">
        <f t="shared" si="5"/>
        <v/>
      </c>
      <c r="AA579" s="112" t="b">
        <f t="shared" si="6"/>
        <v>0</v>
      </c>
      <c r="AB579" s="142" t="b">
        <v>0</v>
      </c>
      <c r="AC579" s="140">
        <v>235.0</v>
      </c>
      <c r="AD579" s="141" t="b">
        <v>0</v>
      </c>
      <c r="AE579" s="115">
        <f t="shared" si="7"/>
        <v>246.8833333</v>
      </c>
      <c r="AF579" s="116" t="b">
        <f t="shared" si="8"/>
        <v>0</v>
      </c>
      <c r="AG579" s="105" t="b">
        <f t="shared" si="9"/>
        <v>0</v>
      </c>
      <c r="AH579" s="140"/>
      <c r="AI579" s="140"/>
      <c r="AJ579" s="140"/>
      <c r="AK579" s="117" t="str">
        <f t="shared" si="10"/>
        <v>Negative</v>
      </c>
      <c r="AL579" s="142"/>
      <c r="AM579" s="112" t="s">
        <v>307</v>
      </c>
      <c r="AN579" s="112" t="s">
        <v>266</v>
      </c>
      <c r="AO579" s="112" t="str">
        <f>IFERROR(__xludf.DUMMYFUNCTION("IF($AG579, ""DELETED"",TRIM(JOIN("" "",D579:E579)))"),"")</f>
        <v/>
      </c>
      <c r="AP579" s="112" t="str">
        <f t="shared" ref="AP579:AQ579" si="604">IF($AG579, "DELETED", TRIM(CONCATENATE(F579,I579,U579)))</f>
        <v/>
      </c>
      <c r="AQ579" s="112" t="str">
        <f t="shared" si="604"/>
        <v/>
      </c>
      <c r="AR579" s="112" t="str">
        <f>IFERROR(__xludf.DUMMYFUNCTION("IF($AG579, ""DELETED"", TRIM(JOIN("" "",AP579,AQ579)))"),"")</f>
        <v/>
      </c>
      <c r="AS579" s="118"/>
      <c r="AT579" s="110" t="b">
        <f t="shared" si="12"/>
        <v>0</v>
      </c>
      <c r="AU579" s="110" t="str">
        <f t="shared" si="13"/>
        <v/>
      </c>
      <c r="AV579" s="110" t="str">
        <f t="shared" si="14"/>
        <v/>
      </c>
      <c r="AW579" s="110" t="str">
        <f t="shared" si="15"/>
        <v/>
      </c>
      <c r="AX579" s="119" t="str">
        <f t="shared" si="16"/>
        <v/>
      </c>
      <c r="AY579" s="120"/>
      <c r="AZ579" s="121"/>
      <c r="BA579" s="122" t="str">
        <f t="shared" si="17"/>
        <v/>
      </c>
      <c r="BB579" s="34"/>
      <c r="BC579" s="121"/>
      <c r="BD579" s="136"/>
      <c r="BE579" s="125" t="str">
        <f t="shared" si="18"/>
        <v/>
      </c>
      <c r="BF579" s="126" t="str">
        <f t="shared" si="19"/>
        <v>FM25__44617_0.33193287037037</v>
      </c>
      <c r="BG579" s="127" t="str">
        <f t="shared" si="20"/>
        <v/>
      </c>
      <c r="BH579" s="137" t="s">
        <v>1670</v>
      </c>
      <c r="BI579" s="128" t="str">
        <f t="shared" si="21"/>
        <v>MA337A</v>
      </c>
      <c r="BJ579" s="129" t="b">
        <f t="shared" si="22"/>
        <v>0</v>
      </c>
      <c r="BK579" s="128" t="str">
        <f t="shared" si="23"/>
        <v/>
      </c>
      <c r="BL579" s="121"/>
      <c r="BM579" s="5" t="str">
        <f t="shared" si="24"/>
        <v>MISSING</v>
      </c>
      <c r="BN579" s="120" t="b">
        <f t="shared" si="25"/>
        <v>0</v>
      </c>
      <c r="BO579" s="131" t="b">
        <f t="shared" si="26"/>
        <v>1</v>
      </c>
      <c r="BP579" s="121"/>
      <c r="BQ579" s="132" t="str">
        <f>VLOOKUP(A579,RAW_APS!A$3:O826,15,FALSE)</f>
        <v/>
      </c>
      <c r="BR579" s="120" t="b">
        <f t="shared" si="27"/>
        <v>1</v>
      </c>
      <c r="BS579" s="121"/>
      <c r="BT579" s="138" t="s">
        <v>244</v>
      </c>
      <c r="BU579" s="10" t="b">
        <f t="shared" si="28"/>
        <v>1</v>
      </c>
      <c r="BV579" s="120"/>
      <c r="BW579" s="120"/>
      <c r="BX579" s="120"/>
      <c r="BY579" s="120"/>
      <c r="BZ579" s="120"/>
      <c r="CA579" s="120"/>
      <c r="CB579" s="120"/>
      <c r="CC579" s="120"/>
    </row>
    <row r="580">
      <c r="A580" s="2" t="s">
        <v>1671</v>
      </c>
      <c r="B580" s="100">
        <v>44617.0</v>
      </c>
      <c r="C580" s="101">
        <v>0.3321875</v>
      </c>
      <c r="D580" s="102"/>
      <c r="E580" s="102"/>
      <c r="F580" s="102"/>
      <c r="G580" s="102"/>
      <c r="H580" s="102"/>
      <c r="I580" s="103"/>
      <c r="J580" s="103"/>
      <c r="K580" s="2" t="s">
        <v>244</v>
      </c>
      <c r="L580" s="100">
        <v>44617.0</v>
      </c>
      <c r="M580" s="101">
        <v>0.5033796296296297</v>
      </c>
      <c r="P580" s="104" t="b">
        <f>IFNA(IF(VLOOKUP($A580,'Add from APT'!$AA$2:$AC826,3,FALSE)&gt;0,TRUE,FALSE),"ER - NOT IN APT")</f>
        <v>0</v>
      </c>
      <c r="Q580" s="105" t="str">
        <f>IF(ISLOGICAL(P580),IF(P580,"ER - REPS IN APT", IFNA(VLOOKUP($A580,RAW_APT!$A$3:$M826,7,FALSE),"ER - NOT IN APT")),P580)</f>
        <v>Result</v>
      </c>
      <c r="R580" s="106" t="b">
        <f t="shared" si="2"/>
        <v>1</v>
      </c>
      <c r="S580" s="107">
        <f t="shared" si="3"/>
        <v>1</v>
      </c>
      <c r="T580" s="143"/>
      <c r="U580" s="142"/>
      <c r="V580" s="142"/>
      <c r="W580" s="142"/>
      <c r="X580" s="110" t="b">
        <f t="shared" si="4"/>
        <v>0</v>
      </c>
      <c r="Y580" s="111" t="b">
        <v>0</v>
      </c>
      <c r="Z580" s="104" t="str">
        <f t="shared" si="5"/>
        <v/>
      </c>
      <c r="AA580" s="112" t="b">
        <f t="shared" si="6"/>
        <v>0</v>
      </c>
      <c r="AB580" s="142" t="b">
        <v>0</v>
      </c>
      <c r="AC580" s="140">
        <v>234.0</v>
      </c>
      <c r="AD580" s="141" t="b">
        <v>0</v>
      </c>
      <c r="AE580" s="115">
        <f t="shared" si="7"/>
        <v>246.5166667</v>
      </c>
      <c r="AF580" s="116" t="b">
        <f t="shared" si="8"/>
        <v>0</v>
      </c>
      <c r="AG580" s="105" t="b">
        <f t="shared" si="9"/>
        <v>0</v>
      </c>
      <c r="AH580" s="140"/>
      <c r="AI580" s="140"/>
      <c r="AJ580" s="140"/>
      <c r="AK580" s="117" t="str">
        <f t="shared" si="10"/>
        <v>Negative</v>
      </c>
      <c r="AL580" s="142"/>
      <c r="AM580" s="112" t="s">
        <v>870</v>
      </c>
      <c r="AN580" s="112" t="s">
        <v>533</v>
      </c>
      <c r="AO580" s="112" t="str">
        <f>IFERROR(__xludf.DUMMYFUNCTION("IF($AG580, ""DELETED"",TRIM(JOIN("" "",D580:E580)))"),"")</f>
        <v/>
      </c>
      <c r="AP580" s="112" t="str">
        <f t="shared" ref="AP580:AQ580" si="605">IF($AG580, "DELETED", TRIM(CONCATENATE(F580,I580,U580)))</f>
        <v/>
      </c>
      <c r="AQ580" s="112" t="str">
        <f t="shared" si="605"/>
        <v/>
      </c>
      <c r="AR580" s="112" t="str">
        <f>IFERROR(__xludf.DUMMYFUNCTION("IF($AG580, ""DELETED"", TRIM(JOIN("" "",AP580,AQ580)))"),"")</f>
        <v/>
      </c>
      <c r="AS580" s="118"/>
      <c r="AT580" s="110" t="b">
        <f t="shared" si="12"/>
        <v>0</v>
      </c>
      <c r="AU580" s="110" t="str">
        <f t="shared" si="13"/>
        <v/>
      </c>
      <c r="AV580" s="110" t="str">
        <f t="shared" si="14"/>
        <v/>
      </c>
      <c r="AW580" s="110" t="str">
        <f t="shared" si="15"/>
        <v/>
      </c>
      <c r="AX580" s="119" t="str">
        <f t="shared" si="16"/>
        <v/>
      </c>
      <c r="AY580" s="120"/>
      <c r="AZ580" s="121"/>
      <c r="BA580" s="122" t="str">
        <f t="shared" si="17"/>
        <v/>
      </c>
      <c r="BB580" s="34"/>
      <c r="BC580" s="121"/>
      <c r="BD580" s="136"/>
      <c r="BE580" s="125" t="str">
        <f t="shared" si="18"/>
        <v/>
      </c>
      <c r="BF580" s="126" t="str">
        <f t="shared" si="19"/>
        <v>FM794__44617_0.3321875</v>
      </c>
      <c r="BG580" s="127" t="str">
        <f t="shared" si="20"/>
        <v/>
      </c>
      <c r="BH580" s="137" t="s">
        <v>1672</v>
      </c>
      <c r="BI580" s="128" t="str">
        <f t="shared" si="21"/>
        <v>MA340</v>
      </c>
      <c r="BJ580" s="129" t="b">
        <f t="shared" si="22"/>
        <v>0</v>
      </c>
      <c r="BK580" s="128" t="str">
        <f t="shared" si="23"/>
        <v/>
      </c>
      <c r="BL580" s="121"/>
      <c r="BM580" s="5" t="str">
        <f t="shared" si="24"/>
        <v>MISSING</v>
      </c>
      <c r="BN580" s="120" t="b">
        <f t="shared" si="25"/>
        <v>0</v>
      </c>
      <c r="BO580" s="131" t="b">
        <f t="shared" si="26"/>
        <v>1</v>
      </c>
      <c r="BP580" s="121"/>
      <c r="BQ580" s="132" t="str">
        <f>VLOOKUP(A580,RAW_APS!A$3:O826,15,FALSE)</f>
        <v/>
      </c>
      <c r="BR580" s="120" t="b">
        <f t="shared" si="27"/>
        <v>1</v>
      </c>
      <c r="BS580" s="121"/>
      <c r="BT580" s="138" t="s">
        <v>244</v>
      </c>
      <c r="BU580" s="10" t="b">
        <f t="shared" si="28"/>
        <v>1</v>
      </c>
      <c r="BV580" s="120"/>
      <c r="BW580" s="120"/>
      <c r="BX580" s="120"/>
      <c r="BY580" s="120"/>
      <c r="BZ580" s="120"/>
      <c r="CA580" s="120"/>
      <c r="CB580" s="120"/>
      <c r="CC580" s="120"/>
    </row>
    <row r="581">
      <c r="A581" s="2" t="s">
        <v>1673</v>
      </c>
      <c r="B581" s="100">
        <v>44617.0</v>
      </c>
      <c r="C581" s="101">
        <v>0.3329050925925926</v>
      </c>
      <c r="D581" s="102"/>
      <c r="E581" s="102"/>
      <c r="F581" s="102"/>
      <c r="G581" s="102"/>
      <c r="H581" s="102"/>
      <c r="I581" s="103"/>
      <c r="J581" s="103"/>
      <c r="K581" s="2" t="s">
        <v>244</v>
      </c>
      <c r="L581" s="100">
        <v>44617.0</v>
      </c>
      <c r="M581" s="101">
        <v>0.5033796296296297</v>
      </c>
      <c r="P581" s="104" t="b">
        <f>IFNA(IF(VLOOKUP($A581,'Add from APT'!$AA$2:$AC826,3,FALSE)&gt;0,TRUE,FALSE),"ER - NOT IN APT")</f>
        <v>0</v>
      </c>
      <c r="Q581" s="105" t="str">
        <f>IF(ISLOGICAL(P581),IF(P581,"ER - REPS IN APT", IFNA(VLOOKUP($A581,RAW_APT!$A$3:$M826,7,FALSE),"ER - NOT IN APT")),P581)</f>
        <v>Result</v>
      </c>
      <c r="R581" s="106" t="b">
        <f t="shared" si="2"/>
        <v>1</v>
      </c>
      <c r="S581" s="107">
        <f t="shared" si="3"/>
        <v>1</v>
      </c>
      <c r="T581" s="143"/>
      <c r="U581" s="142"/>
      <c r="V581" s="142"/>
      <c r="W581" s="142"/>
      <c r="X581" s="110" t="b">
        <f t="shared" si="4"/>
        <v>0</v>
      </c>
      <c r="Y581" s="111" t="b">
        <v>0</v>
      </c>
      <c r="Z581" s="104" t="str">
        <f t="shared" si="5"/>
        <v/>
      </c>
      <c r="AA581" s="112" t="b">
        <f t="shared" si="6"/>
        <v>0</v>
      </c>
      <c r="AB581" s="142" t="b">
        <v>0</v>
      </c>
      <c r="AC581" s="140">
        <v>233.0</v>
      </c>
      <c r="AD581" s="141" t="b">
        <v>0</v>
      </c>
      <c r="AE581" s="115">
        <f t="shared" si="7"/>
        <v>245.4833333</v>
      </c>
      <c r="AF581" s="116" t="b">
        <f t="shared" si="8"/>
        <v>0</v>
      </c>
      <c r="AG581" s="105" t="b">
        <f t="shared" si="9"/>
        <v>0</v>
      </c>
      <c r="AH581" s="140"/>
      <c r="AI581" s="140"/>
      <c r="AJ581" s="140"/>
      <c r="AK581" s="117" t="str">
        <f t="shared" si="10"/>
        <v>Negative</v>
      </c>
      <c r="AL581" s="142"/>
      <c r="AM581" s="112" t="s">
        <v>1454</v>
      </c>
      <c r="AN581" s="112" t="s">
        <v>1455</v>
      </c>
      <c r="AO581" s="112" t="str">
        <f>IFERROR(__xludf.DUMMYFUNCTION("IF($AG581, ""DELETED"",TRIM(JOIN("" "",D581:E581)))"),"")</f>
        <v/>
      </c>
      <c r="AP581" s="112" t="str">
        <f t="shared" ref="AP581:AQ581" si="606">IF($AG581, "DELETED", TRIM(CONCATENATE(F581,I581,U581)))</f>
        <v/>
      </c>
      <c r="AQ581" s="112" t="str">
        <f t="shared" si="606"/>
        <v/>
      </c>
      <c r="AR581" s="112" t="str">
        <f>IFERROR(__xludf.DUMMYFUNCTION("IF($AG581, ""DELETED"", TRIM(JOIN("" "",AP581,AQ581)))"),"")</f>
        <v/>
      </c>
      <c r="AS581" s="118"/>
      <c r="AT581" s="110" t="b">
        <f t="shared" si="12"/>
        <v>0</v>
      </c>
      <c r="AU581" s="110" t="str">
        <f t="shared" si="13"/>
        <v/>
      </c>
      <c r="AV581" s="110" t="str">
        <f t="shared" si="14"/>
        <v/>
      </c>
      <c r="AW581" s="110" t="str">
        <f t="shared" si="15"/>
        <v/>
      </c>
      <c r="AX581" s="119" t="str">
        <f t="shared" si="16"/>
        <v/>
      </c>
      <c r="AY581" s="120"/>
      <c r="AZ581" s="121"/>
      <c r="BA581" s="122" t="str">
        <f t="shared" si="17"/>
        <v/>
      </c>
      <c r="BB581" s="34"/>
      <c r="BC581" s="121"/>
      <c r="BD581" s="136"/>
      <c r="BE581" s="125" t="str">
        <f t="shared" si="18"/>
        <v/>
      </c>
      <c r="BF581" s="126" t="str">
        <f t="shared" si="19"/>
        <v>FM796__44617_0.332905092592593</v>
      </c>
      <c r="BG581" s="127" t="str">
        <f t="shared" si="20"/>
        <v/>
      </c>
      <c r="BH581" s="137" t="s">
        <v>1674</v>
      </c>
      <c r="BI581" s="128" t="str">
        <f t="shared" si="21"/>
        <v>MA341</v>
      </c>
      <c r="BJ581" s="129" t="b">
        <f t="shared" si="22"/>
        <v>0</v>
      </c>
      <c r="BK581" s="128" t="str">
        <f t="shared" si="23"/>
        <v/>
      </c>
      <c r="BL581" s="121"/>
      <c r="BM581" s="5" t="str">
        <f t="shared" si="24"/>
        <v>MISSING</v>
      </c>
      <c r="BN581" s="120" t="b">
        <f t="shared" si="25"/>
        <v>0</v>
      </c>
      <c r="BO581" s="131" t="b">
        <f t="shared" si="26"/>
        <v>1</v>
      </c>
      <c r="BP581" s="121"/>
      <c r="BQ581" s="132" t="str">
        <f>VLOOKUP(A581,RAW_APS!A$3:O826,15,FALSE)</f>
        <v/>
      </c>
      <c r="BR581" s="120" t="b">
        <f t="shared" si="27"/>
        <v>1</v>
      </c>
      <c r="BS581" s="121"/>
      <c r="BT581" s="138" t="s">
        <v>244</v>
      </c>
      <c r="BU581" s="10" t="b">
        <f t="shared" si="28"/>
        <v>1</v>
      </c>
      <c r="BV581" s="120"/>
      <c r="BW581" s="120"/>
      <c r="BX581" s="120"/>
      <c r="BY581" s="120"/>
      <c r="BZ581" s="120"/>
      <c r="CA581" s="120"/>
      <c r="CB581" s="120"/>
      <c r="CC581" s="120"/>
    </row>
    <row r="582">
      <c r="A582" s="2" t="s">
        <v>1675</v>
      </c>
      <c r="B582" s="100">
        <v>44617.0</v>
      </c>
      <c r="C582" s="101">
        <v>0.3387847222222222</v>
      </c>
      <c r="D582" s="102"/>
      <c r="E582" s="102"/>
      <c r="F582" s="102"/>
      <c r="G582" s="102"/>
      <c r="H582" s="102"/>
      <c r="I582" s="103"/>
      <c r="J582" s="103"/>
      <c r="K582" s="2" t="s">
        <v>244</v>
      </c>
      <c r="L582" s="100">
        <v>44617.0</v>
      </c>
      <c r="M582" s="101">
        <v>0.5033796296296297</v>
      </c>
      <c r="P582" s="104" t="b">
        <f>IFNA(IF(VLOOKUP($A582,'Add from APT'!$AA$2:$AC826,3,FALSE)&gt;0,TRUE,FALSE),"ER - NOT IN APT")</f>
        <v>0</v>
      </c>
      <c r="Q582" s="105" t="str">
        <f>IF(ISLOGICAL(P582),IF(P582,"ER - REPS IN APT", IFNA(VLOOKUP($A582,RAW_APT!$A$3:$M826,7,FALSE),"ER - NOT IN APT")),P582)</f>
        <v>Result</v>
      </c>
      <c r="R582" s="106" t="b">
        <f t="shared" si="2"/>
        <v>1</v>
      </c>
      <c r="S582" s="107">
        <f t="shared" si="3"/>
        <v>1</v>
      </c>
      <c r="T582" s="143"/>
      <c r="U582" s="142"/>
      <c r="V582" s="142"/>
      <c r="W582" s="142"/>
      <c r="X582" s="110" t="b">
        <f t="shared" si="4"/>
        <v>0</v>
      </c>
      <c r="Y582" s="111" t="b">
        <v>0</v>
      </c>
      <c r="Z582" s="104" t="str">
        <f t="shared" si="5"/>
        <v/>
      </c>
      <c r="AA582" s="112" t="b">
        <f t="shared" si="6"/>
        <v>0</v>
      </c>
      <c r="AB582" s="142" t="b">
        <v>0</v>
      </c>
      <c r="AC582" s="140">
        <v>232.0</v>
      </c>
      <c r="AD582" s="141" t="b">
        <v>0</v>
      </c>
      <c r="AE582" s="115">
        <f t="shared" si="7"/>
        <v>237.0166667</v>
      </c>
      <c r="AF582" s="116" t="b">
        <f t="shared" si="8"/>
        <v>0</v>
      </c>
      <c r="AG582" s="105" t="b">
        <f t="shared" si="9"/>
        <v>0</v>
      </c>
      <c r="AH582" s="140"/>
      <c r="AI582" s="140"/>
      <c r="AJ582" s="140"/>
      <c r="AK582" s="117" t="str">
        <f t="shared" si="10"/>
        <v>Negative</v>
      </c>
      <c r="AL582" s="142"/>
      <c r="AM582" s="112" t="s">
        <v>717</v>
      </c>
      <c r="AN582" s="112" t="s">
        <v>718</v>
      </c>
      <c r="AO582" s="112" t="str">
        <f>IFERROR(__xludf.DUMMYFUNCTION("IF($AG582, ""DELETED"",TRIM(JOIN("" "",D582:E582)))"),"")</f>
        <v/>
      </c>
      <c r="AP582" s="112" t="str">
        <f t="shared" ref="AP582:AQ582" si="607">IF($AG582, "DELETED", TRIM(CONCATENATE(F582,I582,U582)))</f>
        <v/>
      </c>
      <c r="AQ582" s="112" t="str">
        <f t="shared" si="607"/>
        <v/>
      </c>
      <c r="AR582" s="112" t="str">
        <f>IFERROR(__xludf.DUMMYFUNCTION("IF($AG582, ""DELETED"", TRIM(JOIN("" "",AP582,AQ582)))"),"")</f>
        <v/>
      </c>
      <c r="AS582" s="118"/>
      <c r="AT582" s="110" t="b">
        <f t="shared" si="12"/>
        <v>0</v>
      </c>
      <c r="AU582" s="110" t="str">
        <f t="shared" si="13"/>
        <v/>
      </c>
      <c r="AV582" s="110" t="str">
        <f t="shared" si="14"/>
        <v/>
      </c>
      <c r="AW582" s="110" t="str">
        <f t="shared" si="15"/>
        <v/>
      </c>
      <c r="AX582" s="119" t="str">
        <f t="shared" si="16"/>
        <v/>
      </c>
      <c r="AY582" s="120"/>
      <c r="AZ582" s="121"/>
      <c r="BA582" s="122" t="str">
        <f t="shared" si="17"/>
        <v/>
      </c>
      <c r="BB582" s="34"/>
      <c r="BC582" s="121"/>
      <c r="BD582" s="136"/>
      <c r="BE582" s="125" t="str">
        <f t="shared" si="18"/>
        <v/>
      </c>
      <c r="BF582" s="126" t="str">
        <f t="shared" si="19"/>
        <v>MA1230__44617_0.338784722222222</v>
      </c>
      <c r="BG582" s="127" t="str">
        <f t="shared" si="20"/>
        <v/>
      </c>
      <c r="BH582" s="137" t="s">
        <v>1676</v>
      </c>
      <c r="BI582" s="128" t="str">
        <f t="shared" si="21"/>
        <v>MA343</v>
      </c>
      <c r="BJ582" s="129" t="b">
        <f t="shared" si="22"/>
        <v>0</v>
      </c>
      <c r="BK582" s="128" t="str">
        <f t="shared" si="23"/>
        <v/>
      </c>
      <c r="BL582" s="121"/>
      <c r="BM582" s="5" t="str">
        <f t="shared" si="24"/>
        <v>MISSING</v>
      </c>
      <c r="BN582" s="120" t="b">
        <f t="shared" si="25"/>
        <v>0</v>
      </c>
      <c r="BO582" s="131" t="b">
        <f t="shared" si="26"/>
        <v>1</v>
      </c>
      <c r="BP582" s="121"/>
      <c r="BQ582" s="132" t="str">
        <f>VLOOKUP(A582,RAW_APS!A$3:O826,15,FALSE)</f>
        <v/>
      </c>
      <c r="BR582" s="120" t="b">
        <f t="shared" si="27"/>
        <v>1</v>
      </c>
      <c r="BS582" s="121"/>
      <c r="BT582" s="138" t="s">
        <v>244</v>
      </c>
      <c r="BU582" s="10" t="b">
        <f t="shared" si="28"/>
        <v>1</v>
      </c>
      <c r="BV582" s="120"/>
      <c r="BW582" s="120"/>
      <c r="BX582" s="120"/>
      <c r="BY582" s="120"/>
      <c r="BZ582" s="120"/>
      <c r="CA582" s="120"/>
      <c r="CB582" s="120"/>
      <c r="CC582" s="120"/>
    </row>
    <row r="583">
      <c r="A583" s="2" t="s">
        <v>1677</v>
      </c>
      <c r="B583" s="100">
        <v>44617.0</v>
      </c>
      <c r="C583" s="101">
        <v>0.34032407407407406</v>
      </c>
      <c r="D583" s="102"/>
      <c r="E583" s="102"/>
      <c r="F583" s="102"/>
      <c r="G583" s="102"/>
      <c r="H583" s="102"/>
      <c r="I583" s="103"/>
      <c r="J583" s="103"/>
      <c r="K583" s="2" t="s">
        <v>244</v>
      </c>
      <c r="L583" s="100">
        <v>44617.0</v>
      </c>
      <c r="M583" s="101">
        <v>0.5033796296296297</v>
      </c>
      <c r="P583" s="104" t="b">
        <f>IFNA(IF(VLOOKUP($A583,'Add from APT'!$AA$2:$AC826,3,FALSE)&gt;0,TRUE,FALSE),"ER - NOT IN APT")</f>
        <v>0</v>
      </c>
      <c r="Q583" s="105" t="str">
        <f>IF(ISLOGICAL(P583),IF(P583,"ER - REPS IN APT", IFNA(VLOOKUP($A583,RAW_APT!$A$3:$M826,7,FALSE),"ER - NOT IN APT")),P583)</f>
        <v>Result</v>
      </c>
      <c r="R583" s="106" t="b">
        <f t="shared" si="2"/>
        <v>1</v>
      </c>
      <c r="S583" s="107">
        <f t="shared" si="3"/>
        <v>1</v>
      </c>
      <c r="T583" s="143"/>
      <c r="U583" s="142"/>
      <c r="V583" s="142"/>
      <c r="W583" s="142"/>
      <c r="X583" s="110" t="b">
        <f t="shared" si="4"/>
        <v>0</v>
      </c>
      <c r="Y583" s="111" t="b">
        <v>0</v>
      </c>
      <c r="Z583" s="104" t="str">
        <f t="shared" si="5"/>
        <v/>
      </c>
      <c r="AA583" s="112" t="b">
        <f t="shared" si="6"/>
        <v>0</v>
      </c>
      <c r="AB583" s="142" t="b">
        <v>0</v>
      </c>
      <c r="AC583" s="140">
        <v>231.0</v>
      </c>
      <c r="AD583" s="141" t="b">
        <v>0</v>
      </c>
      <c r="AE583" s="115">
        <f t="shared" si="7"/>
        <v>234.8</v>
      </c>
      <c r="AF583" s="116" t="b">
        <f t="shared" si="8"/>
        <v>0</v>
      </c>
      <c r="AG583" s="105" t="b">
        <f t="shared" si="9"/>
        <v>0</v>
      </c>
      <c r="AH583" s="140"/>
      <c r="AI583" s="140"/>
      <c r="AJ583" s="140"/>
      <c r="AK583" s="117" t="str">
        <f t="shared" si="10"/>
        <v>Negative</v>
      </c>
      <c r="AL583" s="142"/>
      <c r="AM583" s="112" t="s">
        <v>322</v>
      </c>
      <c r="AN583" s="112" t="s">
        <v>323</v>
      </c>
      <c r="AO583" s="112" t="str">
        <f>IFERROR(__xludf.DUMMYFUNCTION("IF($AG583, ""DELETED"",TRIM(JOIN("" "",D583:E583)))"),"")</f>
        <v/>
      </c>
      <c r="AP583" s="112" t="str">
        <f t="shared" ref="AP583:AQ583" si="608">IF($AG583, "DELETED", TRIM(CONCATENATE(F583,I583,U583)))</f>
        <v/>
      </c>
      <c r="AQ583" s="112" t="str">
        <f t="shared" si="608"/>
        <v/>
      </c>
      <c r="AR583" s="112" t="str">
        <f>IFERROR(__xludf.DUMMYFUNCTION("IF($AG583, ""DELETED"", TRIM(JOIN("" "",AP583,AQ583)))"),"")</f>
        <v/>
      </c>
      <c r="AS583" s="118"/>
      <c r="AT583" s="110" t="b">
        <f t="shared" si="12"/>
        <v>0</v>
      </c>
      <c r="AU583" s="110" t="str">
        <f t="shared" si="13"/>
        <v/>
      </c>
      <c r="AV583" s="110" t="str">
        <f t="shared" si="14"/>
        <v/>
      </c>
      <c r="AW583" s="110" t="str">
        <f t="shared" si="15"/>
        <v/>
      </c>
      <c r="AX583" s="119" t="str">
        <f t="shared" si="16"/>
        <v/>
      </c>
      <c r="AY583" s="120"/>
      <c r="AZ583" s="121"/>
      <c r="BA583" s="122" t="str">
        <f t="shared" si="17"/>
        <v/>
      </c>
      <c r="BB583" s="34"/>
      <c r="BC583" s="121"/>
      <c r="BD583" s="136"/>
      <c r="BE583" s="125" t="str">
        <f t="shared" si="18"/>
        <v/>
      </c>
      <c r="BF583" s="126" t="str">
        <f t="shared" si="19"/>
        <v>FM45__44617_0.340324074074074</v>
      </c>
      <c r="BG583" s="127" t="str">
        <f t="shared" si="20"/>
        <v/>
      </c>
      <c r="BH583" s="137" t="s">
        <v>1678</v>
      </c>
      <c r="BI583" s="128" t="str">
        <f t="shared" si="21"/>
        <v>MA344</v>
      </c>
      <c r="BJ583" s="129" t="b">
        <f t="shared" si="22"/>
        <v>0</v>
      </c>
      <c r="BK583" s="128" t="str">
        <f t="shared" si="23"/>
        <v/>
      </c>
      <c r="BL583" s="121"/>
      <c r="BM583" s="5" t="str">
        <f t="shared" si="24"/>
        <v>MISSING</v>
      </c>
      <c r="BN583" s="120" t="b">
        <f t="shared" si="25"/>
        <v>0</v>
      </c>
      <c r="BO583" s="131" t="b">
        <f t="shared" si="26"/>
        <v>1</v>
      </c>
      <c r="BP583" s="121"/>
      <c r="BQ583" s="132" t="str">
        <f>VLOOKUP(A583,RAW_APS!A$3:O826,15,FALSE)</f>
        <v/>
      </c>
      <c r="BR583" s="120" t="b">
        <f t="shared" si="27"/>
        <v>1</v>
      </c>
      <c r="BS583" s="121"/>
      <c r="BT583" s="138" t="s">
        <v>244</v>
      </c>
      <c r="BU583" s="10" t="b">
        <f t="shared" si="28"/>
        <v>1</v>
      </c>
      <c r="BV583" s="120"/>
      <c r="BW583" s="120"/>
      <c r="BX583" s="120"/>
      <c r="BY583" s="120"/>
      <c r="BZ583" s="120"/>
      <c r="CA583" s="120"/>
      <c r="CB583" s="120"/>
      <c r="CC583" s="120"/>
    </row>
    <row r="584">
      <c r="A584" s="2" t="s">
        <v>1679</v>
      </c>
      <c r="B584" s="100">
        <v>44617.0</v>
      </c>
      <c r="C584" s="101">
        <v>0.34774305555555557</v>
      </c>
      <c r="D584" s="102"/>
      <c r="E584" s="102"/>
      <c r="F584" s="139"/>
      <c r="G584" s="103"/>
      <c r="H584" s="103"/>
      <c r="I584" s="103"/>
      <c r="J584" s="103"/>
      <c r="K584" s="2" t="s">
        <v>244</v>
      </c>
      <c r="L584" s="100">
        <v>44617.0</v>
      </c>
      <c r="M584" s="101">
        <v>0.5033796296296297</v>
      </c>
      <c r="P584" s="104" t="b">
        <f>IFNA(IF(VLOOKUP($A584,'Add from APT'!$AA$2:$AC826,3,FALSE)&gt;0,TRUE,FALSE),"ER - NOT IN APT")</f>
        <v>0</v>
      </c>
      <c r="Q584" s="105" t="str">
        <f>IF(ISLOGICAL(P584),IF(P584,"ER - REPS IN APT", IFNA(VLOOKUP($A584,RAW_APT!$A$3:$M826,7,FALSE),"ER - NOT IN APT")),P584)</f>
        <v>Result</v>
      </c>
      <c r="R584" s="106" t="b">
        <f t="shared" si="2"/>
        <v>1</v>
      </c>
      <c r="S584" s="107">
        <f t="shared" si="3"/>
        <v>1</v>
      </c>
      <c r="T584" s="140">
        <v>0.0</v>
      </c>
      <c r="U584" s="141"/>
      <c r="W584" s="141"/>
      <c r="X584" s="110" t="b">
        <f t="shared" si="4"/>
        <v>0</v>
      </c>
      <c r="Y584" s="111" t="b">
        <v>0</v>
      </c>
      <c r="Z584" s="104" t="str">
        <f t="shared" si="5"/>
        <v/>
      </c>
      <c r="AA584" s="112" t="b">
        <f t="shared" si="6"/>
        <v>0</v>
      </c>
      <c r="AB584" s="142" t="b">
        <v>0</v>
      </c>
      <c r="AC584" s="140">
        <v>230.0</v>
      </c>
      <c r="AD584" s="141" t="b">
        <v>0</v>
      </c>
      <c r="AE584" s="115">
        <f t="shared" si="7"/>
        <v>224.1166667</v>
      </c>
      <c r="AF584" s="116" t="b">
        <f t="shared" si="8"/>
        <v>0</v>
      </c>
      <c r="AG584" s="105" t="b">
        <f t="shared" si="9"/>
        <v>0</v>
      </c>
      <c r="AH584" s="140"/>
      <c r="AI584" s="140"/>
      <c r="AJ584" s="140"/>
      <c r="AK584" s="117" t="str">
        <f t="shared" si="10"/>
        <v>Negative</v>
      </c>
      <c r="AL584" s="142"/>
      <c r="AM584" s="112" t="s">
        <v>1270</v>
      </c>
      <c r="AN584" s="112" t="s">
        <v>1680</v>
      </c>
      <c r="AO584" s="112" t="str">
        <f>IFERROR(__xludf.DUMMYFUNCTION("IF($AG584, ""DELETED"",TRIM(JOIN("" "",D584:E584)))"),"")</f>
        <v/>
      </c>
      <c r="AP584" s="112" t="str">
        <f t="shared" ref="AP584:AQ584" si="609">IF($AG584, "DELETED", TRIM(CONCATENATE(F584,I584,U584)))</f>
        <v/>
      </c>
      <c r="AQ584" s="112" t="str">
        <f t="shared" si="609"/>
        <v/>
      </c>
      <c r="AR584" s="112" t="str">
        <f>IFERROR(__xludf.DUMMYFUNCTION("IF($AG584, ""DELETED"", TRIM(JOIN("" "",AP584,AQ584)))"),"")</f>
        <v/>
      </c>
      <c r="AS584" s="118"/>
      <c r="AT584" s="110" t="b">
        <f t="shared" si="12"/>
        <v>0</v>
      </c>
      <c r="AU584" s="110" t="str">
        <f t="shared" si="13"/>
        <v/>
      </c>
      <c r="AV584" s="110" t="str">
        <f t="shared" si="14"/>
        <v/>
      </c>
      <c r="AW584" s="110" t="str">
        <f t="shared" si="15"/>
        <v/>
      </c>
      <c r="AX584" s="119" t="str">
        <f t="shared" si="16"/>
        <v/>
      </c>
      <c r="AY584" s="120"/>
      <c r="AZ584" s="121"/>
      <c r="BA584" s="122" t="str">
        <f t="shared" si="17"/>
        <v/>
      </c>
      <c r="BB584" s="34"/>
      <c r="BC584" s="121"/>
      <c r="BD584" s="136"/>
      <c r="BE584" s="125" t="str">
        <f t="shared" si="18"/>
        <v/>
      </c>
      <c r="BF584" s="126" t="str">
        <f t="shared" si="19"/>
        <v>MA1240__44617_0.347743055555556</v>
      </c>
      <c r="BG584" s="127" t="str">
        <f t="shared" si="20"/>
        <v/>
      </c>
      <c r="BH584" s="137" t="s">
        <v>1681</v>
      </c>
      <c r="BI584" s="128" t="str">
        <f t="shared" si="21"/>
        <v>MA345</v>
      </c>
      <c r="BJ584" s="129" t="b">
        <f t="shared" si="22"/>
        <v>0</v>
      </c>
      <c r="BK584" s="128" t="str">
        <f t="shared" si="23"/>
        <v/>
      </c>
      <c r="BL584" s="121"/>
      <c r="BM584" s="5" t="str">
        <f t="shared" si="24"/>
        <v>MISSING</v>
      </c>
      <c r="BN584" s="120" t="b">
        <f t="shared" si="25"/>
        <v>0</v>
      </c>
      <c r="BO584" s="131" t="b">
        <f t="shared" si="26"/>
        <v>1</v>
      </c>
      <c r="BP584" s="121"/>
      <c r="BQ584" s="132" t="str">
        <f>VLOOKUP(A584,RAW_APS!A$3:O826,15,FALSE)</f>
        <v/>
      </c>
      <c r="BR584" s="120" t="b">
        <f t="shared" si="27"/>
        <v>1</v>
      </c>
      <c r="BS584" s="121"/>
      <c r="BT584" s="138" t="s">
        <v>244</v>
      </c>
      <c r="BU584" s="10" t="b">
        <f t="shared" si="28"/>
        <v>1</v>
      </c>
      <c r="BV584" s="120"/>
      <c r="BW584" s="120"/>
      <c r="BX584" s="120"/>
      <c r="BY584" s="120"/>
      <c r="BZ584" s="120"/>
      <c r="CA584" s="120"/>
      <c r="CB584" s="120"/>
      <c r="CC584" s="120"/>
    </row>
    <row r="585">
      <c r="A585" s="2" t="s">
        <v>1682</v>
      </c>
      <c r="B585" s="100">
        <v>44617.0</v>
      </c>
      <c r="C585" s="101">
        <v>0.3486342592592593</v>
      </c>
      <c r="D585" s="102"/>
      <c r="E585" s="102"/>
      <c r="F585" s="102"/>
      <c r="G585" s="102"/>
      <c r="H585" s="102"/>
      <c r="I585" s="103"/>
      <c r="J585" s="103"/>
      <c r="K585" s="2" t="s">
        <v>244</v>
      </c>
      <c r="L585" s="100">
        <v>44617.0</v>
      </c>
      <c r="M585" s="101">
        <v>0.5033796296296297</v>
      </c>
      <c r="P585" s="104" t="b">
        <f>IFNA(IF(VLOOKUP($A585,'Add from APT'!$AA$2:$AC826,3,FALSE)&gt;0,TRUE,FALSE),"ER - NOT IN APT")</f>
        <v>0</v>
      </c>
      <c r="Q585" s="105" t="str">
        <f>IF(ISLOGICAL(P585),IF(P585,"ER - REPS IN APT", IFNA(VLOOKUP($A585,RAW_APT!$A$3:$M826,7,FALSE),"ER - NOT IN APT")),P585)</f>
        <v>Result</v>
      </c>
      <c r="R585" s="106" t="b">
        <f t="shared" si="2"/>
        <v>1</v>
      </c>
      <c r="S585" s="107">
        <f t="shared" si="3"/>
        <v>1</v>
      </c>
      <c r="T585" s="143"/>
      <c r="U585" s="142"/>
      <c r="V585" s="142"/>
      <c r="W585" s="142"/>
      <c r="X585" s="110" t="b">
        <f t="shared" si="4"/>
        <v>0</v>
      </c>
      <c r="Y585" s="111" t="b">
        <v>0</v>
      </c>
      <c r="Z585" s="104" t="str">
        <f t="shared" si="5"/>
        <v/>
      </c>
      <c r="AA585" s="112" t="b">
        <f t="shared" si="6"/>
        <v>0</v>
      </c>
      <c r="AB585" s="142" t="b">
        <v>0</v>
      </c>
      <c r="AC585" s="140">
        <v>229.0</v>
      </c>
      <c r="AD585" s="141" t="b">
        <v>0</v>
      </c>
      <c r="AE585" s="115">
        <f t="shared" si="7"/>
        <v>222.8333333</v>
      </c>
      <c r="AF585" s="116" t="b">
        <f t="shared" si="8"/>
        <v>0</v>
      </c>
      <c r="AG585" s="105" t="b">
        <f t="shared" si="9"/>
        <v>0</v>
      </c>
      <c r="AH585" s="140"/>
      <c r="AI585" s="140"/>
      <c r="AJ585" s="140"/>
      <c r="AK585" s="117" t="str">
        <f t="shared" si="10"/>
        <v>Negative</v>
      </c>
      <c r="AL585" s="142"/>
      <c r="AM585" s="112" t="s">
        <v>1270</v>
      </c>
      <c r="AN585" s="112" t="s">
        <v>1271</v>
      </c>
      <c r="AO585" s="112" t="str">
        <f>IFERROR(__xludf.DUMMYFUNCTION("IF($AG585, ""DELETED"",TRIM(JOIN("" "",D585:E585)))"),"")</f>
        <v/>
      </c>
      <c r="AP585" s="112" t="str">
        <f t="shared" ref="AP585:AQ585" si="610">IF($AG585, "DELETED", TRIM(CONCATENATE(F585,I585,U585)))</f>
        <v/>
      </c>
      <c r="AQ585" s="112" t="str">
        <f t="shared" si="610"/>
        <v/>
      </c>
      <c r="AR585" s="112" t="str">
        <f>IFERROR(__xludf.DUMMYFUNCTION("IF($AG585, ""DELETED"", TRIM(JOIN("" "",AP585,AQ585)))"),"")</f>
        <v/>
      </c>
      <c r="AS585" s="118"/>
      <c r="AT585" s="110" t="b">
        <f t="shared" si="12"/>
        <v>0</v>
      </c>
      <c r="AU585" s="110" t="str">
        <f t="shared" si="13"/>
        <v/>
      </c>
      <c r="AV585" s="110" t="str">
        <f t="shared" si="14"/>
        <v/>
      </c>
      <c r="AW585" s="110" t="str">
        <f t="shared" si="15"/>
        <v/>
      </c>
      <c r="AX585" s="119" t="str">
        <f t="shared" si="16"/>
        <v/>
      </c>
      <c r="AY585" s="120"/>
      <c r="AZ585" s="121"/>
      <c r="BA585" s="122" t="str">
        <f t="shared" si="17"/>
        <v/>
      </c>
      <c r="BB585" s="34"/>
      <c r="BC585" s="121"/>
      <c r="BD585" s="136"/>
      <c r="BE585" s="125" t="str">
        <f t="shared" si="18"/>
        <v/>
      </c>
      <c r="BF585" s="126" t="str">
        <f t="shared" si="19"/>
        <v>MA298__44617_0.348634259259259</v>
      </c>
      <c r="BG585" s="127" t="str">
        <f t="shared" si="20"/>
        <v/>
      </c>
      <c r="BH585" s="137" t="s">
        <v>1683</v>
      </c>
      <c r="BI585" s="128" t="str">
        <f t="shared" si="21"/>
        <v>MA347</v>
      </c>
      <c r="BJ585" s="129" t="b">
        <f t="shared" si="22"/>
        <v>0</v>
      </c>
      <c r="BK585" s="128" t="str">
        <f t="shared" si="23"/>
        <v/>
      </c>
      <c r="BL585" s="121"/>
      <c r="BM585" s="5" t="str">
        <f t="shared" si="24"/>
        <v>MISSING</v>
      </c>
      <c r="BN585" s="120" t="b">
        <f t="shared" si="25"/>
        <v>0</v>
      </c>
      <c r="BO585" s="131" t="b">
        <f t="shared" si="26"/>
        <v>1</v>
      </c>
      <c r="BP585" s="121"/>
      <c r="BQ585" s="132" t="str">
        <f>VLOOKUP(A585,RAW_APS!A$3:O826,15,FALSE)</f>
        <v/>
      </c>
      <c r="BR585" s="120" t="b">
        <f t="shared" si="27"/>
        <v>1</v>
      </c>
      <c r="BS585" s="121"/>
      <c r="BT585" s="138" t="s">
        <v>244</v>
      </c>
      <c r="BU585" s="10" t="b">
        <f t="shared" si="28"/>
        <v>1</v>
      </c>
      <c r="BV585" s="120"/>
      <c r="BW585" s="120"/>
      <c r="BX585" s="120"/>
      <c r="BY585" s="120"/>
      <c r="BZ585" s="120"/>
      <c r="CA585" s="120"/>
      <c r="CB585" s="120"/>
      <c r="CC585" s="120"/>
    </row>
    <row r="586">
      <c r="A586" s="2" t="s">
        <v>1684</v>
      </c>
      <c r="B586" s="100">
        <v>44617.0</v>
      </c>
      <c r="C586" s="101">
        <v>0.3496412037037037</v>
      </c>
      <c r="D586" s="102"/>
      <c r="E586" s="102"/>
      <c r="F586" s="139"/>
      <c r="G586" s="139"/>
      <c r="H586" s="139"/>
      <c r="I586" s="103"/>
      <c r="J586" s="103"/>
      <c r="K586" s="2" t="s">
        <v>244</v>
      </c>
      <c r="L586" s="100">
        <v>44617.0</v>
      </c>
      <c r="M586" s="101">
        <v>0.5033796296296297</v>
      </c>
      <c r="P586" s="104" t="b">
        <f>IFNA(IF(VLOOKUP($A586,'Add from APT'!$AA$2:$AC826,3,FALSE)&gt;0,TRUE,FALSE),"ER - NOT IN APT")</f>
        <v>0</v>
      </c>
      <c r="Q586" s="105" t="str">
        <f>IF(ISLOGICAL(P586),IF(P586,"ER - REPS IN APT", IFNA(VLOOKUP($A586,RAW_APT!$A$3:$M826,7,FALSE),"ER - NOT IN APT")),P586)</f>
        <v>Result</v>
      </c>
      <c r="R586" s="106" t="b">
        <f t="shared" si="2"/>
        <v>1</v>
      </c>
      <c r="S586" s="107">
        <f t="shared" si="3"/>
        <v>1</v>
      </c>
      <c r="T586" s="140">
        <v>0.0</v>
      </c>
      <c r="U586" s="141"/>
      <c r="V586" s="141"/>
      <c r="W586" s="141"/>
      <c r="X586" s="110" t="b">
        <f t="shared" si="4"/>
        <v>0</v>
      </c>
      <c r="Y586" s="111" t="b">
        <v>0</v>
      </c>
      <c r="Z586" s="104" t="str">
        <f t="shared" si="5"/>
        <v/>
      </c>
      <c r="AA586" s="112" t="b">
        <f t="shared" si="6"/>
        <v>0</v>
      </c>
      <c r="AB586" s="142" t="b">
        <v>0</v>
      </c>
      <c r="AC586" s="140">
        <v>228.0</v>
      </c>
      <c r="AD586" s="141" t="b">
        <v>0</v>
      </c>
      <c r="AE586" s="115">
        <f t="shared" si="7"/>
        <v>221.3833333</v>
      </c>
      <c r="AF586" s="116" t="b">
        <f t="shared" si="8"/>
        <v>0</v>
      </c>
      <c r="AG586" s="105" t="b">
        <f t="shared" si="9"/>
        <v>0</v>
      </c>
      <c r="AH586" s="140"/>
      <c r="AI586" s="140"/>
      <c r="AJ586" s="140"/>
      <c r="AK586" s="117" t="str">
        <f t="shared" si="10"/>
        <v>Negative</v>
      </c>
      <c r="AL586" s="142"/>
      <c r="AM586" s="112" t="s">
        <v>1270</v>
      </c>
      <c r="AN586" s="112" t="s">
        <v>1685</v>
      </c>
      <c r="AO586" s="112" t="str">
        <f>IFERROR(__xludf.DUMMYFUNCTION("IF($AG586, ""DELETED"",TRIM(JOIN("" "",D586:E586)))"),"")</f>
        <v/>
      </c>
      <c r="AP586" s="112" t="str">
        <f t="shared" ref="AP586:AQ586" si="611">IF($AG586, "DELETED", TRIM(CONCATENATE(F586,I586,U586)))</f>
        <v/>
      </c>
      <c r="AQ586" s="112" t="str">
        <f t="shared" si="611"/>
        <v/>
      </c>
      <c r="AR586" s="112" t="str">
        <f>IFERROR(__xludf.DUMMYFUNCTION("IF($AG586, ""DELETED"", TRIM(JOIN("" "",AP586,AQ586)))"),"")</f>
        <v/>
      </c>
      <c r="AS586" s="118"/>
      <c r="AT586" s="110" t="b">
        <f t="shared" si="12"/>
        <v>0</v>
      </c>
      <c r="AU586" s="110" t="str">
        <f t="shared" si="13"/>
        <v/>
      </c>
      <c r="AV586" s="110" t="str">
        <f t="shared" si="14"/>
        <v/>
      </c>
      <c r="AW586" s="110" t="str">
        <f t="shared" si="15"/>
        <v/>
      </c>
      <c r="AX586" s="119" t="str">
        <f t="shared" si="16"/>
        <v/>
      </c>
      <c r="AY586" s="120"/>
      <c r="AZ586" s="121"/>
      <c r="BA586" s="122" t="str">
        <f t="shared" si="17"/>
        <v/>
      </c>
      <c r="BB586" s="34"/>
      <c r="BC586" s="121"/>
      <c r="BD586" s="136"/>
      <c r="BE586" s="125" t="str">
        <f t="shared" si="18"/>
        <v/>
      </c>
      <c r="BF586" s="126" t="str">
        <f t="shared" si="19"/>
        <v>MA186__44617_0.349641203703704</v>
      </c>
      <c r="BG586" s="127" t="str">
        <f t="shared" si="20"/>
        <v/>
      </c>
      <c r="BH586" s="137" t="s">
        <v>1686</v>
      </c>
      <c r="BI586" s="128" t="str">
        <f t="shared" si="21"/>
        <v>MA348</v>
      </c>
      <c r="BJ586" s="129" t="b">
        <f t="shared" si="22"/>
        <v>0</v>
      </c>
      <c r="BK586" s="128" t="str">
        <f t="shared" si="23"/>
        <v/>
      </c>
      <c r="BL586" s="121"/>
      <c r="BM586" s="5" t="str">
        <f t="shared" si="24"/>
        <v>MISSING</v>
      </c>
      <c r="BN586" s="120" t="b">
        <f t="shared" si="25"/>
        <v>0</v>
      </c>
      <c r="BO586" s="131" t="b">
        <f t="shared" si="26"/>
        <v>1</v>
      </c>
      <c r="BP586" s="121"/>
      <c r="BQ586" s="132" t="str">
        <f>VLOOKUP(A586,RAW_APS!A$3:O826,15,FALSE)</f>
        <v/>
      </c>
      <c r="BR586" s="120" t="b">
        <f t="shared" si="27"/>
        <v>1</v>
      </c>
      <c r="BS586" s="121"/>
      <c r="BT586" s="138" t="s">
        <v>244</v>
      </c>
      <c r="BU586" s="10" t="b">
        <f t="shared" si="28"/>
        <v>1</v>
      </c>
      <c r="BV586" s="120"/>
      <c r="BW586" s="120"/>
      <c r="BX586" s="120"/>
      <c r="BY586" s="120"/>
      <c r="BZ586" s="120"/>
      <c r="CA586" s="120"/>
      <c r="CB586" s="120"/>
      <c r="CC586" s="120"/>
    </row>
    <row r="587">
      <c r="A587" s="2" t="s">
        <v>1687</v>
      </c>
      <c r="B587" s="100">
        <v>44617.0</v>
      </c>
      <c r="C587" s="101">
        <v>0.41888888888888887</v>
      </c>
      <c r="D587" s="102"/>
      <c r="E587" s="102"/>
      <c r="F587" s="102"/>
      <c r="G587" s="102"/>
      <c r="H587" s="102"/>
      <c r="I587" s="103"/>
      <c r="J587" s="103"/>
      <c r="K587" s="2" t="s">
        <v>244</v>
      </c>
      <c r="L587" s="100">
        <v>44617.0</v>
      </c>
      <c r="M587" s="101">
        <v>0.5033912037037037</v>
      </c>
      <c r="P587" s="104" t="b">
        <f>IFNA(IF(VLOOKUP($A587,'Add from APT'!$AA$2:$AC826,3,FALSE)&gt;0,TRUE,FALSE),"ER - NOT IN APT")</f>
        <v>0</v>
      </c>
      <c r="Q587" s="105" t="str">
        <f>IF(ISLOGICAL(P587),IF(P587,"ER - REPS IN APT", IFNA(VLOOKUP($A587,RAW_APT!$A$3:$M826,7,FALSE),"ER - NOT IN APT")),P587)</f>
        <v>Result</v>
      </c>
      <c r="R587" s="106" t="b">
        <f t="shared" si="2"/>
        <v>1</v>
      </c>
      <c r="S587" s="107">
        <f t="shared" si="3"/>
        <v>1</v>
      </c>
      <c r="T587" s="143"/>
      <c r="U587" s="142"/>
      <c r="V587" s="142"/>
      <c r="W587" s="142"/>
      <c r="X587" s="110" t="b">
        <f t="shared" si="4"/>
        <v>0</v>
      </c>
      <c r="Y587" s="111" t="b">
        <v>0</v>
      </c>
      <c r="Z587" s="104" t="str">
        <f t="shared" si="5"/>
        <v/>
      </c>
      <c r="AA587" s="112" t="b">
        <f t="shared" si="6"/>
        <v>0</v>
      </c>
      <c r="AB587" s="142" t="b">
        <v>0</v>
      </c>
      <c r="AC587" s="140">
        <v>227.0</v>
      </c>
      <c r="AD587" s="141" t="b">
        <v>0</v>
      </c>
      <c r="AE587" s="115">
        <f t="shared" si="7"/>
        <v>121.6833333</v>
      </c>
      <c r="AF587" s="116" t="b">
        <f t="shared" si="8"/>
        <v>0</v>
      </c>
      <c r="AG587" s="105" t="b">
        <f t="shared" si="9"/>
        <v>0</v>
      </c>
      <c r="AH587" s="140"/>
      <c r="AI587" s="140"/>
      <c r="AJ587" s="140"/>
      <c r="AK587" s="117" t="str">
        <f t="shared" si="10"/>
        <v>Negative</v>
      </c>
      <c r="AL587" s="142"/>
      <c r="AM587" s="112" t="s">
        <v>261</v>
      </c>
      <c r="AN587" s="112" t="s">
        <v>893</v>
      </c>
      <c r="AO587" s="112" t="str">
        <f>IFERROR(__xludf.DUMMYFUNCTION("IF($AG587, ""DELETED"",TRIM(JOIN("" "",D587:E587)))"),"")</f>
        <v/>
      </c>
      <c r="AP587" s="112" t="str">
        <f t="shared" ref="AP587:AQ587" si="612">IF($AG587, "DELETED", TRIM(CONCATENATE(F587,I587,U587)))</f>
        <v/>
      </c>
      <c r="AQ587" s="112" t="str">
        <f t="shared" si="612"/>
        <v/>
      </c>
      <c r="AR587" s="112" t="str">
        <f>IFERROR(__xludf.DUMMYFUNCTION("IF($AG587, ""DELETED"", TRIM(JOIN("" "",AP587,AQ587)))"),"")</f>
        <v/>
      </c>
      <c r="AS587" s="118"/>
      <c r="AT587" s="110" t="b">
        <f t="shared" si="12"/>
        <v>0</v>
      </c>
      <c r="AU587" s="110" t="str">
        <f t="shared" si="13"/>
        <v/>
      </c>
      <c r="AV587" s="110" t="str">
        <f t="shared" si="14"/>
        <v/>
      </c>
      <c r="AW587" s="110" t="str">
        <f t="shared" si="15"/>
        <v/>
      </c>
      <c r="AX587" s="119" t="str">
        <f t="shared" si="16"/>
        <v/>
      </c>
      <c r="AY587" s="120"/>
      <c r="AZ587" s="121"/>
      <c r="BA587" s="122" t="str">
        <f t="shared" si="17"/>
        <v/>
      </c>
      <c r="BB587" s="34"/>
      <c r="BC587" s="121"/>
      <c r="BD587" s="136"/>
      <c r="BE587" s="125" t="str">
        <f t="shared" si="18"/>
        <v/>
      </c>
      <c r="BF587" s="126" t="str">
        <f t="shared" si="19"/>
        <v>MA1276__44617_0.418888888888889</v>
      </c>
      <c r="BG587" s="127" t="str">
        <f t="shared" si="20"/>
        <v/>
      </c>
      <c r="BH587" s="137" t="s">
        <v>1688</v>
      </c>
      <c r="BI587" s="128" t="str">
        <f t="shared" si="21"/>
        <v>MA349</v>
      </c>
      <c r="BJ587" s="129" t="b">
        <f t="shared" si="22"/>
        <v>0</v>
      </c>
      <c r="BK587" s="128" t="str">
        <f t="shared" si="23"/>
        <v/>
      </c>
      <c r="BL587" s="121"/>
      <c r="BM587" s="5" t="str">
        <f t="shared" si="24"/>
        <v>MISSING</v>
      </c>
      <c r="BN587" s="120" t="b">
        <f t="shared" si="25"/>
        <v>0</v>
      </c>
      <c r="BO587" s="131" t="b">
        <f t="shared" si="26"/>
        <v>1</v>
      </c>
      <c r="BP587" s="121"/>
      <c r="BQ587" s="132" t="str">
        <f>VLOOKUP(A587,RAW_APS!A$3:O826,15,FALSE)</f>
        <v/>
      </c>
      <c r="BR587" s="120" t="b">
        <f t="shared" si="27"/>
        <v>1</v>
      </c>
      <c r="BS587" s="121"/>
      <c r="BT587" s="138" t="s">
        <v>244</v>
      </c>
      <c r="BU587" s="10" t="b">
        <f t="shared" si="28"/>
        <v>1</v>
      </c>
      <c r="BV587" s="120"/>
      <c r="BW587" s="120"/>
      <c r="BX587" s="120"/>
      <c r="BY587" s="120"/>
      <c r="BZ587" s="120"/>
      <c r="CA587" s="120"/>
      <c r="CB587" s="120"/>
      <c r="CC587" s="120"/>
    </row>
    <row r="588">
      <c r="A588" s="2" t="s">
        <v>1689</v>
      </c>
      <c r="B588" s="100">
        <v>44619.0</v>
      </c>
      <c r="C588" s="101">
        <v>0.26229166666666665</v>
      </c>
      <c r="D588" s="102"/>
      <c r="E588" s="102"/>
      <c r="F588" s="102"/>
      <c r="G588" s="102"/>
      <c r="H588" s="102"/>
      <c r="I588" s="103"/>
      <c r="J588" s="103"/>
      <c r="K588" s="2" t="s">
        <v>244</v>
      </c>
      <c r="L588" s="100">
        <v>44621.0</v>
      </c>
      <c r="M588" s="101">
        <v>0.47833333333333333</v>
      </c>
      <c r="P588" s="104" t="b">
        <f>IFNA(IF(VLOOKUP($A588,'Add from APT'!$AA$2:$AC826,3,FALSE)&gt;0,TRUE,FALSE),"ER - NOT IN APT")</f>
        <v>0</v>
      </c>
      <c r="Q588" s="105" t="str">
        <f>IF(ISLOGICAL(P588),IF(P588,"ER - REPS IN APT", IFNA(VLOOKUP($A588,RAW_APT!$A$3:$M826,7,FALSE),"ER - NOT IN APT")),P588)</f>
        <v>Result</v>
      </c>
      <c r="R588" s="106" t="b">
        <f t="shared" si="2"/>
        <v>1</v>
      </c>
      <c r="S588" s="107">
        <f t="shared" si="3"/>
        <v>1</v>
      </c>
      <c r="T588" s="143"/>
      <c r="U588" s="142"/>
      <c r="V588" s="142"/>
      <c r="W588" s="142"/>
      <c r="X588" s="110" t="b">
        <f t="shared" si="4"/>
        <v>0</v>
      </c>
      <c r="Y588" s="111" t="b">
        <v>0</v>
      </c>
      <c r="Z588" s="104" t="str">
        <f t="shared" si="5"/>
        <v/>
      </c>
      <c r="AA588" s="112" t="b">
        <f t="shared" si="6"/>
        <v>0</v>
      </c>
      <c r="AB588" s="142" t="b">
        <v>0</v>
      </c>
      <c r="AC588" s="140">
        <v>226.0</v>
      </c>
      <c r="AD588" s="141" t="b">
        <v>0</v>
      </c>
      <c r="AE588" s="115" t="str">
        <f t="shared" si="7"/>
        <v/>
      </c>
      <c r="AF588" s="116" t="b">
        <f t="shared" si="8"/>
        <v>0</v>
      </c>
      <c r="AG588" s="105" t="b">
        <f t="shared" si="9"/>
        <v>0</v>
      </c>
      <c r="AH588" s="140"/>
      <c r="AI588" s="140"/>
      <c r="AJ588" s="140"/>
      <c r="AK588" s="117" t="str">
        <f t="shared" si="10"/>
        <v>Negative</v>
      </c>
      <c r="AL588" s="142"/>
      <c r="AM588" s="112" t="s">
        <v>465</v>
      </c>
      <c r="AN588" s="112" t="s">
        <v>466</v>
      </c>
      <c r="AO588" s="112" t="str">
        <f>IFERROR(__xludf.DUMMYFUNCTION("IF($AG588, ""DELETED"",TRIM(JOIN("" "",D588:E588)))"),"")</f>
        <v/>
      </c>
      <c r="AP588" s="112" t="str">
        <f t="shared" ref="AP588:AQ588" si="613">IF($AG588, "DELETED", TRIM(CONCATENATE(F588,I588,U588)))</f>
        <v/>
      </c>
      <c r="AQ588" s="112" t="str">
        <f t="shared" si="613"/>
        <v/>
      </c>
      <c r="AR588" s="112" t="str">
        <f>IFERROR(__xludf.DUMMYFUNCTION("IF($AG588, ""DELETED"", TRIM(JOIN("" "",AP588,AQ588)))"),"")</f>
        <v/>
      </c>
      <c r="AS588" s="118"/>
      <c r="AT588" s="110" t="b">
        <f t="shared" si="12"/>
        <v>0</v>
      </c>
      <c r="AU588" s="110" t="str">
        <f t="shared" si="13"/>
        <v/>
      </c>
      <c r="AV588" s="110" t="str">
        <f t="shared" si="14"/>
        <v/>
      </c>
      <c r="AW588" s="110" t="str">
        <f t="shared" si="15"/>
        <v/>
      </c>
      <c r="AX588" s="119" t="str">
        <f t="shared" si="16"/>
        <v/>
      </c>
      <c r="AY588" s="120"/>
      <c r="AZ588" s="121"/>
      <c r="BA588" s="122" t="str">
        <f t="shared" si="17"/>
        <v/>
      </c>
      <c r="BB588" s="34"/>
      <c r="BC588" s="121"/>
      <c r="BD588" s="136"/>
      <c r="BE588" s="125" t="str">
        <f t="shared" si="18"/>
        <v/>
      </c>
      <c r="BF588" s="126" t="str">
        <f t="shared" si="19"/>
        <v>FM454__44619_0.262291666666667</v>
      </c>
      <c r="BG588" s="127" t="str">
        <f t="shared" si="20"/>
        <v/>
      </c>
      <c r="BH588" s="137" t="s">
        <v>1690</v>
      </c>
      <c r="BI588" s="128" t="str">
        <f t="shared" si="21"/>
        <v>MA350</v>
      </c>
      <c r="BJ588" s="129" t="b">
        <f t="shared" si="22"/>
        <v>0</v>
      </c>
      <c r="BK588" s="128" t="str">
        <f t="shared" si="23"/>
        <v/>
      </c>
      <c r="BL588" s="121"/>
      <c r="BM588" s="5" t="str">
        <f t="shared" si="24"/>
        <v>MISSING</v>
      </c>
      <c r="BN588" s="120" t="b">
        <f t="shared" si="25"/>
        <v>0</v>
      </c>
      <c r="BO588" s="131" t="b">
        <f t="shared" si="26"/>
        <v>1</v>
      </c>
      <c r="BP588" s="121"/>
      <c r="BQ588" s="132" t="str">
        <f>VLOOKUP(A588,RAW_APS!A$3:O826,15,FALSE)</f>
        <v/>
      </c>
      <c r="BR588" s="120" t="b">
        <f t="shared" si="27"/>
        <v>1</v>
      </c>
      <c r="BS588" s="121"/>
      <c r="BT588" s="138" t="s">
        <v>244</v>
      </c>
      <c r="BU588" s="10" t="b">
        <f t="shared" si="28"/>
        <v>1</v>
      </c>
      <c r="BV588" s="120"/>
      <c r="BW588" s="120"/>
      <c r="BX588" s="120"/>
      <c r="BY588" s="120"/>
      <c r="BZ588" s="120"/>
      <c r="CA588" s="120"/>
      <c r="CB588" s="120"/>
      <c r="CC588" s="120"/>
    </row>
    <row r="589">
      <c r="A589" s="2" t="s">
        <v>1691</v>
      </c>
      <c r="B589" s="100">
        <v>44619.0</v>
      </c>
      <c r="C589" s="101">
        <v>0.27760416666666665</v>
      </c>
      <c r="D589" s="102"/>
      <c r="E589" s="102"/>
      <c r="F589" s="102"/>
      <c r="G589" s="102"/>
      <c r="H589" s="102"/>
      <c r="I589" s="103"/>
      <c r="J589" s="103"/>
      <c r="K589" s="2" t="s">
        <v>244</v>
      </c>
      <c r="L589" s="100">
        <v>44621.0</v>
      </c>
      <c r="M589" s="101">
        <v>0.4783449074074074</v>
      </c>
      <c r="P589" s="104" t="b">
        <f>IFNA(IF(VLOOKUP($A589,'Add from APT'!$AA$2:$AC826,3,FALSE)&gt;0,TRUE,FALSE),"ER - NOT IN APT")</f>
        <v>0</v>
      </c>
      <c r="Q589" s="105" t="str">
        <f>IF(ISLOGICAL(P589),IF(P589,"ER - REPS IN APT", IFNA(VLOOKUP($A589,RAW_APT!$A$3:$M826,7,FALSE),"ER - NOT IN APT")),P589)</f>
        <v>Result</v>
      </c>
      <c r="R589" s="106" t="b">
        <f t="shared" si="2"/>
        <v>1</v>
      </c>
      <c r="S589" s="107">
        <f t="shared" si="3"/>
        <v>1</v>
      </c>
      <c r="T589" s="143"/>
      <c r="U589" s="142"/>
      <c r="V589" s="142"/>
      <c r="W589" s="142"/>
      <c r="X589" s="110" t="b">
        <f t="shared" si="4"/>
        <v>0</v>
      </c>
      <c r="Y589" s="111" t="b">
        <v>0</v>
      </c>
      <c r="Z589" s="104" t="str">
        <f t="shared" si="5"/>
        <v/>
      </c>
      <c r="AA589" s="112" t="b">
        <f t="shared" si="6"/>
        <v>0</v>
      </c>
      <c r="AB589" s="142" t="b">
        <v>0</v>
      </c>
      <c r="AC589" s="140">
        <v>225.0</v>
      </c>
      <c r="AD589" s="141" t="b">
        <v>0</v>
      </c>
      <c r="AE589" s="115" t="str">
        <f t="shared" si="7"/>
        <v/>
      </c>
      <c r="AF589" s="116" t="b">
        <f t="shared" si="8"/>
        <v>0</v>
      </c>
      <c r="AG589" s="105" t="b">
        <f t="shared" si="9"/>
        <v>0</v>
      </c>
      <c r="AH589" s="140"/>
      <c r="AI589" s="140"/>
      <c r="AJ589" s="140"/>
      <c r="AK589" s="117" t="str">
        <f t="shared" si="10"/>
        <v>Negative</v>
      </c>
      <c r="AL589" s="142"/>
      <c r="AM589" s="112" t="s">
        <v>612</v>
      </c>
      <c r="AN589" s="112" t="s">
        <v>613</v>
      </c>
      <c r="AO589" s="112" t="str">
        <f>IFERROR(__xludf.DUMMYFUNCTION("IF($AG589, ""DELETED"",TRIM(JOIN("" "",D589:E589)))"),"")</f>
        <v/>
      </c>
      <c r="AP589" s="112" t="str">
        <f t="shared" ref="AP589:AQ589" si="614">IF($AG589, "DELETED", TRIM(CONCATENATE(F589,I589,U589)))</f>
        <v/>
      </c>
      <c r="AQ589" s="112" t="str">
        <f t="shared" si="614"/>
        <v/>
      </c>
      <c r="AR589" s="112" t="str">
        <f>IFERROR(__xludf.DUMMYFUNCTION("IF($AG589, ""DELETED"", TRIM(JOIN("" "",AP589,AQ589)))"),"")</f>
        <v/>
      </c>
      <c r="AS589" s="118"/>
      <c r="AT589" s="110" t="b">
        <f t="shared" si="12"/>
        <v>0</v>
      </c>
      <c r="AU589" s="110" t="str">
        <f t="shared" si="13"/>
        <v/>
      </c>
      <c r="AV589" s="110" t="str">
        <f t="shared" si="14"/>
        <v/>
      </c>
      <c r="AW589" s="110" t="str">
        <f t="shared" si="15"/>
        <v/>
      </c>
      <c r="AX589" s="119" t="str">
        <f t="shared" si="16"/>
        <v/>
      </c>
      <c r="AY589" s="120"/>
      <c r="AZ589" s="121"/>
      <c r="BA589" s="122" t="str">
        <f t="shared" si="17"/>
        <v/>
      </c>
      <c r="BB589" s="34"/>
      <c r="BC589" s="121"/>
      <c r="BD589" s="136"/>
      <c r="BE589" s="125" t="str">
        <f t="shared" si="18"/>
        <v/>
      </c>
      <c r="BF589" s="126" t="str">
        <f t="shared" si="19"/>
        <v>FM1011__44619_0.277604166666667</v>
      </c>
      <c r="BG589" s="127" t="str">
        <f t="shared" si="20"/>
        <v/>
      </c>
      <c r="BH589" s="137" t="s">
        <v>1692</v>
      </c>
      <c r="BI589" s="128" t="str">
        <f t="shared" si="21"/>
        <v>MA353</v>
      </c>
      <c r="BJ589" s="129" t="b">
        <f t="shared" si="22"/>
        <v>0</v>
      </c>
      <c r="BK589" s="128" t="str">
        <f t="shared" si="23"/>
        <v/>
      </c>
      <c r="BL589" s="121"/>
      <c r="BM589" s="5" t="str">
        <f t="shared" si="24"/>
        <v>MISSING</v>
      </c>
      <c r="BN589" s="120" t="b">
        <f t="shared" si="25"/>
        <v>0</v>
      </c>
      <c r="BO589" s="131" t="b">
        <f t="shared" si="26"/>
        <v>1</v>
      </c>
      <c r="BP589" s="121"/>
      <c r="BQ589" s="132" t="str">
        <f>VLOOKUP(A589,RAW_APS!A$3:O826,15,FALSE)</f>
        <v/>
      </c>
      <c r="BR589" s="120" t="b">
        <f t="shared" si="27"/>
        <v>1</v>
      </c>
      <c r="BS589" s="121"/>
      <c r="BT589" s="138" t="s">
        <v>244</v>
      </c>
      <c r="BU589" s="10" t="b">
        <f t="shared" si="28"/>
        <v>1</v>
      </c>
      <c r="BV589" s="120"/>
      <c r="BW589" s="120"/>
      <c r="BX589" s="120"/>
      <c r="BY589" s="120"/>
      <c r="BZ589" s="120"/>
      <c r="CA589" s="120"/>
      <c r="CB589" s="120"/>
      <c r="CC589" s="120"/>
    </row>
    <row r="590">
      <c r="A590" s="2" t="s">
        <v>1693</v>
      </c>
      <c r="B590" s="100">
        <v>44619.0</v>
      </c>
      <c r="C590" s="101">
        <v>0.28652777777777777</v>
      </c>
      <c r="D590" s="102"/>
      <c r="E590" s="102"/>
      <c r="F590" s="102"/>
      <c r="G590" s="102"/>
      <c r="H590" s="102"/>
      <c r="I590" s="103"/>
      <c r="J590" s="103"/>
      <c r="K590" s="2" t="s">
        <v>244</v>
      </c>
      <c r="L590" s="100">
        <v>44621.0</v>
      </c>
      <c r="M590" s="101">
        <v>0.4783449074074074</v>
      </c>
      <c r="P590" s="104" t="b">
        <f>IFNA(IF(VLOOKUP($A590,'Add from APT'!$AA$2:$AC826,3,FALSE)&gt;0,TRUE,FALSE),"ER - NOT IN APT")</f>
        <v>0</v>
      </c>
      <c r="Q590" s="105" t="str">
        <f>IF(ISLOGICAL(P590),IF(P590,"ER - REPS IN APT", IFNA(VLOOKUP($A590,RAW_APT!$A$3:$M826,7,FALSE),"ER - NOT IN APT")),P590)</f>
        <v>Result</v>
      </c>
      <c r="R590" s="106" t="b">
        <f t="shared" si="2"/>
        <v>1</v>
      </c>
      <c r="S590" s="107">
        <f t="shared" si="3"/>
        <v>1</v>
      </c>
      <c r="T590" s="143"/>
      <c r="U590" s="142"/>
      <c r="V590" s="142"/>
      <c r="W590" s="142"/>
      <c r="X590" s="110" t="b">
        <f t="shared" si="4"/>
        <v>0</v>
      </c>
      <c r="Y590" s="111" t="b">
        <v>0</v>
      </c>
      <c r="Z590" s="104" t="str">
        <f t="shared" si="5"/>
        <v/>
      </c>
      <c r="AA590" s="112" t="b">
        <f t="shared" si="6"/>
        <v>0</v>
      </c>
      <c r="AB590" s="142" t="b">
        <v>0</v>
      </c>
      <c r="AC590" s="140">
        <v>224.0</v>
      </c>
      <c r="AD590" s="141" t="b">
        <v>0</v>
      </c>
      <c r="AE590" s="115" t="str">
        <f t="shared" si="7"/>
        <v/>
      </c>
      <c r="AF590" s="116" t="b">
        <f t="shared" si="8"/>
        <v>0</v>
      </c>
      <c r="AG590" s="105" t="b">
        <f t="shared" si="9"/>
        <v>0</v>
      </c>
      <c r="AH590" s="140"/>
      <c r="AI590" s="140"/>
      <c r="AJ590" s="140"/>
      <c r="AK590" s="117" t="str">
        <f t="shared" si="10"/>
        <v>Negative</v>
      </c>
      <c r="AL590" s="142"/>
      <c r="AM590" s="112" t="s">
        <v>1313</v>
      </c>
      <c r="AN590" s="112" t="s">
        <v>1485</v>
      </c>
      <c r="AO590" s="112" t="str">
        <f>IFERROR(__xludf.DUMMYFUNCTION("IF($AG590, ""DELETED"",TRIM(JOIN("" "",D590:E590)))"),"")</f>
        <v/>
      </c>
      <c r="AP590" s="112" t="str">
        <f t="shared" ref="AP590:AQ590" si="615">IF($AG590, "DELETED", TRIM(CONCATENATE(F590,I590,U590)))</f>
        <v/>
      </c>
      <c r="AQ590" s="112" t="str">
        <f t="shared" si="615"/>
        <v/>
      </c>
      <c r="AR590" s="112" t="str">
        <f>IFERROR(__xludf.DUMMYFUNCTION("IF($AG590, ""DELETED"", TRIM(JOIN("" "",AP590,AQ590)))"),"")</f>
        <v/>
      </c>
      <c r="AS590" s="118"/>
      <c r="AT590" s="110" t="b">
        <f t="shared" si="12"/>
        <v>0</v>
      </c>
      <c r="AU590" s="110" t="str">
        <f t="shared" si="13"/>
        <v/>
      </c>
      <c r="AV590" s="110" t="str">
        <f t="shared" si="14"/>
        <v/>
      </c>
      <c r="AW590" s="110" t="str">
        <f t="shared" si="15"/>
        <v/>
      </c>
      <c r="AX590" s="119" t="str">
        <f t="shared" si="16"/>
        <v/>
      </c>
      <c r="AY590" s="120"/>
      <c r="AZ590" s="121"/>
      <c r="BA590" s="122" t="str">
        <f t="shared" si="17"/>
        <v/>
      </c>
      <c r="BB590" s="34"/>
      <c r="BC590" s="121"/>
      <c r="BD590" s="136"/>
      <c r="BE590" s="125" t="str">
        <f t="shared" si="18"/>
        <v/>
      </c>
      <c r="BF590" s="126" t="str">
        <f t="shared" si="19"/>
        <v>MA349__44619_0.286527777777778</v>
      </c>
      <c r="BG590" s="127" t="str">
        <f t="shared" si="20"/>
        <v/>
      </c>
      <c r="BH590" s="137" t="s">
        <v>1694</v>
      </c>
      <c r="BI590" s="128" t="str">
        <f t="shared" si="21"/>
        <v>MA355</v>
      </c>
      <c r="BJ590" s="129" t="b">
        <f t="shared" si="22"/>
        <v>0</v>
      </c>
      <c r="BK590" s="128" t="str">
        <f t="shared" si="23"/>
        <v/>
      </c>
      <c r="BL590" s="121"/>
      <c r="BM590" s="5" t="str">
        <f t="shared" si="24"/>
        <v>MISSING</v>
      </c>
      <c r="BN590" s="120" t="b">
        <f t="shared" si="25"/>
        <v>0</v>
      </c>
      <c r="BO590" s="131" t="b">
        <f t="shared" si="26"/>
        <v>1</v>
      </c>
      <c r="BP590" s="121"/>
      <c r="BQ590" s="132" t="str">
        <f>VLOOKUP(A590,RAW_APS!A$3:O826,15,FALSE)</f>
        <v/>
      </c>
      <c r="BR590" s="120" t="b">
        <f t="shared" si="27"/>
        <v>1</v>
      </c>
      <c r="BS590" s="121"/>
      <c r="BT590" s="138" t="s">
        <v>244</v>
      </c>
      <c r="BU590" s="10" t="b">
        <f t="shared" si="28"/>
        <v>1</v>
      </c>
      <c r="BV590" s="120"/>
      <c r="BW590" s="120"/>
      <c r="BX590" s="120"/>
      <c r="BY590" s="120"/>
      <c r="BZ590" s="120"/>
      <c r="CA590" s="120"/>
      <c r="CB590" s="120"/>
      <c r="CC590" s="120"/>
    </row>
    <row r="591">
      <c r="A591" s="2" t="s">
        <v>1695</v>
      </c>
      <c r="B591" s="100">
        <v>44619.0</v>
      </c>
      <c r="C591" s="101">
        <v>0.28791666666666665</v>
      </c>
      <c r="D591" s="102"/>
      <c r="E591" s="102"/>
      <c r="F591" s="102"/>
      <c r="G591" s="102"/>
      <c r="H591" s="102"/>
      <c r="I591" s="103"/>
      <c r="J591" s="103"/>
      <c r="K591" s="2" t="s">
        <v>244</v>
      </c>
      <c r="L591" s="100">
        <v>44621.0</v>
      </c>
      <c r="M591" s="101">
        <v>0.4783449074074074</v>
      </c>
      <c r="P591" s="104" t="b">
        <f>IFNA(IF(VLOOKUP($A591,'Add from APT'!$AA$2:$AC826,3,FALSE)&gt;0,TRUE,FALSE),"ER - NOT IN APT")</f>
        <v>0</v>
      </c>
      <c r="Q591" s="105" t="str">
        <f>IF(ISLOGICAL(P591),IF(P591,"ER - REPS IN APT", IFNA(VLOOKUP($A591,RAW_APT!$A$3:$M826,7,FALSE),"ER - NOT IN APT")),P591)</f>
        <v>Result</v>
      </c>
      <c r="R591" s="106" t="b">
        <f t="shared" si="2"/>
        <v>1</v>
      </c>
      <c r="S591" s="107">
        <f t="shared" si="3"/>
        <v>1</v>
      </c>
      <c r="T591" s="143"/>
      <c r="U591" s="142"/>
      <c r="V591" s="142"/>
      <c r="W591" s="142"/>
      <c r="X591" s="110" t="b">
        <f t="shared" si="4"/>
        <v>0</v>
      </c>
      <c r="Y591" s="111" t="b">
        <v>0</v>
      </c>
      <c r="Z591" s="104" t="str">
        <f t="shared" si="5"/>
        <v/>
      </c>
      <c r="AA591" s="112" t="b">
        <f t="shared" si="6"/>
        <v>0</v>
      </c>
      <c r="AB591" s="142" t="b">
        <v>0</v>
      </c>
      <c r="AC591" s="140">
        <v>223.0</v>
      </c>
      <c r="AD591" s="141" t="b">
        <v>0</v>
      </c>
      <c r="AE591" s="115" t="str">
        <f t="shared" si="7"/>
        <v/>
      </c>
      <c r="AF591" s="116" t="b">
        <f t="shared" si="8"/>
        <v>0</v>
      </c>
      <c r="AG591" s="105" t="b">
        <f t="shared" si="9"/>
        <v>0</v>
      </c>
      <c r="AH591" s="140"/>
      <c r="AI591" s="140"/>
      <c r="AJ591" s="140"/>
      <c r="AK591" s="117" t="str">
        <f t="shared" si="10"/>
        <v>Negative</v>
      </c>
      <c r="AL591" s="142"/>
      <c r="AM591" s="112" t="s">
        <v>1306</v>
      </c>
      <c r="AN591" s="112" t="s">
        <v>1307</v>
      </c>
      <c r="AO591" s="112" t="str">
        <f>IFERROR(__xludf.DUMMYFUNCTION("IF($AG591, ""DELETED"",TRIM(JOIN("" "",D591:E591)))"),"")</f>
        <v/>
      </c>
      <c r="AP591" s="112" t="str">
        <f t="shared" ref="AP591:AQ591" si="616">IF($AG591, "DELETED", TRIM(CONCATENATE(F591,I591,U591)))</f>
        <v/>
      </c>
      <c r="AQ591" s="112" t="str">
        <f t="shared" si="616"/>
        <v/>
      </c>
      <c r="AR591" s="112" t="str">
        <f>IFERROR(__xludf.DUMMYFUNCTION("IF($AG591, ""DELETED"", TRIM(JOIN("" "",AP591,AQ591)))"),"")</f>
        <v/>
      </c>
      <c r="AS591" s="118"/>
      <c r="AT591" s="110" t="b">
        <f t="shared" si="12"/>
        <v>0</v>
      </c>
      <c r="AU591" s="110" t="str">
        <f t="shared" si="13"/>
        <v/>
      </c>
      <c r="AV591" s="110" t="str">
        <f t="shared" si="14"/>
        <v/>
      </c>
      <c r="AW591" s="110" t="str">
        <f t="shared" si="15"/>
        <v/>
      </c>
      <c r="AX591" s="119" t="str">
        <f t="shared" si="16"/>
        <v/>
      </c>
      <c r="AY591" s="120"/>
      <c r="AZ591" s="121"/>
      <c r="BA591" s="122" t="str">
        <f t="shared" si="17"/>
        <v/>
      </c>
      <c r="BB591" s="34"/>
      <c r="BC591" s="121"/>
      <c r="BD591" s="136"/>
      <c r="BE591" s="125" t="str">
        <f t="shared" si="18"/>
        <v/>
      </c>
      <c r="BF591" s="126" t="str">
        <f t="shared" si="19"/>
        <v>FM455__44619_0.287916666666667</v>
      </c>
      <c r="BG591" s="127" t="str">
        <f t="shared" si="20"/>
        <v/>
      </c>
      <c r="BH591" s="137" t="s">
        <v>1696</v>
      </c>
      <c r="BI591" s="128" t="str">
        <f t="shared" si="21"/>
        <v>MA356</v>
      </c>
      <c r="BJ591" s="129" t="b">
        <f t="shared" si="22"/>
        <v>0</v>
      </c>
      <c r="BK591" s="128" t="str">
        <f t="shared" si="23"/>
        <v/>
      </c>
      <c r="BL591" s="121"/>
      <c r="BM591" s="5" t="str">
        <f t="shared" si="24"/>
        <v>MISSING</v>
      </c>
      <c r="BN591" s="120" t="b">
        <f t="shared" si="25"/>
        <v>0</v>
      </c>
      <c r="BO591" s="131" t="b">
        <f t="shared" si="26"/>
        <v>1</v>
      </c>
      <c r="BP591" s="121"/>
      <c r="BQ591" s="132" t="str">
        <f>VLOOKUP(A591,RAW_APS!A$3:O826,15,FALSE)</f>
        <v/>
      </c>
      <c r="BR591" s="120" t="b">
        <f t="shared" si="27"/>
        <v>1</v>
      </c>
      <c r="BS591" s="121"/>
      <c r="BT591" s="138" t="s">
        <v>244</v>
      </c>
      <c r="BU591" s="10" t="b">
        <f t="shared" si="28"/>
        <v>1</v>
      </c>
      <c r="BV591" s="120"/>
      <c r="BW591" s="120"/>
      <c r="BX591" s="120"/>
      <c r="BY591" s="120"/>
      <c r="BZ591" s="120"/>
      <c r="CA591" s="120"/>
      <c r="CB591" s="120"/>
      <c r="CC591" s="120"/>
    </row>
    <row r="592">
      <c r="A592" s="2" t="s">
        <v>1697</v>
      </c>
      <c r="B592" s="100">
        <v>44619.0</v>
      </c>
      <c r="C592" s="101">
        <v>0.29094907407407405</v>
      </c>
      <c r="D592" s="102"/>
      <c r="E592" s="102"/>
      <c r="F592" s="102"/>
      <c r="G592" s="102"/>
      <c r="H592" s="102"/>
      <c r="I592" s="103"/>
      <c r="J592" s="103"/>
      <c r="K592" s="2" t="s">
        <v>244</v>
      </c>
      <c r="L592" s="100">
        <v>44621.0</v>
      </c>
      <c r="M592" s="101">
        <v>0.4783449074074074</v>
      </c>
      <c r="P592" s="104" t="b">
        <f>IFNA(IF(VLOOKUP($A592,'Add from APT'!$AA$2:$AC826,3,FALSE)&gt;0,TRUE,FALSE),"ER - NOT IN APT")</f>
        <v>0</v>
      </c>
      <c r="Q592" s="105" t="str">
        <f>IF(ISLOGICAL(P592),IF(P592,"ER - REPS IN APT", IFNA(VLOOKUP($A592,RAW_APT!$A$3:$M826,7,FALSE),"ER - NOT IN APT")),P592)</f>
        <v>Result</v>
      </c>
      <c r="R592" s="106" t="b">
        <f t="shared" si="2"/>
        <v>1</v>
      </c>
      <c r="S592" s="107">
        <f t="shared" si="3"/>
        <v>1</v>
      </c>
      <c r="T592" s="143"/>
      <c r="U592" s="142"/>
      <c r="V592" s="142"/>
      <c r="W592" s="142"/>
      <c r="X592" s="110" t="b">
        <f t="shared" si="4"/>
        <v>0</v>
      </c>
      <c r="Y592" s="111" t="b">
        <v>0</v>
      </c>
      <c r="Z592" s="104" t="str">
        <f t="shared" si="5"/>
        <v/>
      </c>
      <c r="AA592" s="112" t="b">
        <f t="shared" si="6"/>
        <v>0</v>
      </c>
      <c r="AB592" s="142" t="b">
        <v>0</v>
      </c>
      <c r="AC592" s="140">
        <v>222.0</v>
      </c>
      <c r="AD592" s="141" t="b">
        <v>0</v>
      </c>
      <c r="AE592" s="115" t="str">
        <f t="shared" si="7"/>
        <v/>
      </c>
      <c r="AF592" s="116" t="b">
        <f t="shared" si="8"/>
        <v>0</v>
      </c>
      <c r="AG592" s="105" t="b">
        <f t="shared" si="9"/>
        <v>0</v>
      </c>
      <c r="AH592" s="140"/>
      <c r="AI592" s="140"/>
      <c r="AJ592" s="140"/>
      <c r="AK592" s="117" t="str">
        <f t="shared" si="10"/>
        <v>Negative</v>
      </c>
      <c r="AL592" s="142"/>
      <c r="AM592" s="112" t="s">
        <v>1490</v>
      </c>
      <c r="AN592" s="112" t="s">
        <v>1491</v>
      </c>
      <c r="AO592" s="112" t="str">
        <f>IFERROR(__xludf.DUMMYFUNCTION("IF($AG592, ""DELETED"",TRIM(JOIN("" "",D592:E592)))"),"")</f>
        <v/>
      </c>
      <c r="AP592" s="112" t="str">
        <f t="shared" ref="AP592:AQ592" si="617">IF($AG592, "DELETED", TRIM(CONCATENATE(F592,I592,U592)))</f>
        <v/>
      </c>
      <c r="AQ592" s="112" t="str">
        <f t="shared" si="617"/>
        <v/>
      </c>
      <c r="AR592" s="112" t="str">
        <f>IFERROR(__xludf.DUMMYFUNCTION("IF($AG592, ""DELETED"", TRIM(JOIN("" "",AP592,AQ592)))"),"")</f>
        <v/>
      </c>
      <c r="AS592" s="118"/>
      <c r="AT592" s="110" t="b">
        <f t="shared" si="12"/>
        <v>0</v>
      </c>
      <c r="AU592" s="110" t="str">
        <f t="shared" si="13"/>
        <v/>
      </c>
      <c r="AV592" s="110" t="str">
        <f t="shared" si="14"/>
        <v/>
      </c>
      <c r="AW592" s="110" t="str">
        <f t="shared" si="15"/>
        <v/>
      </c>
      <c r="AX592" s="119" t="str">
        <f t="shared" si="16"/>
        <v/>
      </c>
      <c r="AY592" s="120"/>
      <c r="AZ592" s="121"/>
      <c r="BA592" s="122" t="str">
        <f t="shared" si="17"/>
        <v/>
      </c>
      <c r="BB592" s="34"/>
      <c r="BC592" s="121"/>
      <c r="BD592" s="136"/>
      <c r="BE592" s="125" t="str">
        <f t="shared" si="18"/>
        <v/>
      </c>
      <c r="BF592" s="126" t="str">
        <f t="shared" si="19"/>
        <v>FM2093__44619_0.290949074074074</v>
      </c>
      <c r="BG592" s="127" t="str">
        <f t="shared" si="20"/>
        <v/>
      </c>
      <c r="BH592" s="137" t="s">
        <v>1698</v>
      </c>
      <c r="BI592" s="128" t="str">
        <f t="shared" si="21"/>
        <v>MA357</v>
      </c>
      <c r="BJ592" s="129" t="b">
        <f t="shared" si="22"/>
        <v>0</v>
      </c>
      <c r="BK592" s="128" t="str">
        <f t="shared" si="23"/>
        <v/>
      </c>
      <c r="BL592" s="121"/>
      <c r="BM592" s="5" t="str">
        <f t="shared" si="24"/>
        <v>MISSING</v>
      </c>
      <c r="BN592" s="120" t="b">
        <f t="shared" si="25"/>
        <v>0</v>
      </c>
      <c r="BO592" s="131" t="b">
        <f t="shared" si="26"/>
        <v>1</v>
      </c>
      <c r="BP592" s="121"/>
      <c r="BQ592" s="132" t="str">
        <f>VLOOKUP(A592,RAW_APS!A$3:O826,15,FALSE)</f>
        <v/>
      </c>
      <c r="BR592" s="120" t="b">
        <f t="shared" si="27"/>
        <v>1</v>
      </c>
      <c r="BS592" s="121"/>
      <c r="BT592" s="138" t="s">
        <v>244</v>
      </c>
      <c r="BU592" s="10" t="b">
        <f t="shared" si="28"/>
        <v>1</v>
      </c>
      <c r="BV592" s="120"/>
      <c r="BW592" s="120"/>
      <c r="BX592" s="120"/>
      <c r="BY592" s="120"/>
      <c r="BZ592" s="120"/>
      <c r="CA592" s="120"/>
      <c r="CB592" s="120"/>
      <c r="CC592" s="120"/>
    </row>
    <row r="593">
      <c r="A593" s="2" t="s">
        <v>1699</v>
      </c>
      <c r="B593" s="100">
        <v>44619.0</v>
      </c>
      <c r="C593" s="101">
        <v>0.2973032407407407</v>
      </c>
      <c r="D593" s="102"/>
      <c r="E593" s="102"/>
      <c r="F593" s="102"/>
      <c r="G593" s="102"/>
      <c r="H593" s="102"/>
      <c r="I593" s="103"/>
      <c r="J593" s="103"/>
      <c r="K593" s="2" t="s">
        <v>244</v>
      </c>
      <c r="L593" s="100">
        <v>44621.0</v>
      </c>
      <c r="M593" s="101">
        <v>0.4783449074074074</v>
      </c>
      <c r="P593" s="104" t="b">
        <f>IFNA(IF(VLOOKUP($A593,'Add from APT'!$AA$2:$AC826,3,FALSE)&gt;0,TRUE,FALSE),"ER - NOT IN APT")</f>
        <v>0</v>
      </c>
      <c r="Q593" s="105" t="str">
        <f>IF(ISLOGICAL(P593),IF(P593,"ER - REPS IN APT", IFNA(VLOOKUP($A593,RAW_APT!$A$3:$M826,7,FALSE),"ER - NOT IN APT")),P593)</f>
        <v>Result</v>
      </c>
      <c r="R593" s="106" t="b">
        <f t="shared" si="2"/>
        <v>1</v>
      </c>
      <c r="S593" s="107">
        <f t="shared" si="3"/>
        <v>1</v>
      </c>
      <c r="T593" s="143"/>
      <c r="U593" s="142"/>
      <c r="V593" s="142"/>
      <c r="W593" s="142"/>
      <c r="X593" s="110" t="b">
        <f t="shared" si="4"/>
        <v>0</v>
      </c>
      <c r="Y593" s="111" t="b">
        <v>0</v>
      </c>
      <c r="Z593" s="104" t="str">
        <f t="shared" si="5"/>
        <v/>
      </c>
      <c r="AA593" s="112" t="b">
        <f t="shared" si="6"/>
        <v>0</v>
      </c>
      <c r="AB593" s="142" t="b">
        <v>0</v>
      </c>
      <c r="AC593" s="140">
        <v>221.0</v>
      </c>
      <c r="AD593" s="141" t="b">
        <v>0</v>
      </c>
      <c r="AE593" s="115" t="str">
        <f t="shared" si="7"/>
        <v/>
      </c>
      <c r="AF593" s="116" t="b">
        <f t="shared" si="8"/>
        <v>0</v>
      </c>
      <c r="AG593" s="105" t="b">
        <f t="shared" si="9"/>
        <v>0</v>
      </c>
      <c r="AH593" s="140"/>
      <c r="AI593" s="140"/>
      <c r="AJ593" s="140"/>
      <c r="AK593" s="117" t="str">
        <f t="shared" si="10"/>
        <v>Negative</v>
      </c>
      <c r="AL593" s="142"/>
      <c r="AM593" s="112" t="s">
        <v>430</v>
      </c>
      <c r="AN593" s="112" t="s">
        <v>431</v>
      </c>
      <c r="AO593" s="112" t="str">
        <f>IFERROR(__xludf.DUMMYFUNCTION("IF($AG593, ""DELETED"",TRIM(JOIN("" "",D593:E593)))"),"")</f>
        <v/>
      </c>
      <c r="AP593" s="112" t="str">
        <f t="shared" ref="AP593:AQ593" si="618">IF($AG593, "DELETED", TRIM(CONCATENATE(F593,I593,U593)))</f>
        <v/>
      </c>
      <c r="AQ593" s="112" t="str">
        <f t="shared" si="618"/>
        <v/>
      </c>
      <c r="AR593" s="112" t="str">
        <f>IFERROR(__xludf.DUMMYFUNCTION("IF($AG593, ""DELETED"", TRIM(JOIN("" "",AP593,AQ593)))"),"")</f>
        <v/>
      </c>
      <c r="AS593" s="118"/>
      <c r="AT593" s="110" t="b">
        <f t="shared" si="12"/>
        <v>0</v>
      </c>
      <c r="AU593" s="110" t="str">
        <f t="shared" si="13"/>
        <v/>
      </c>
      <c r="AV593" s="110" t="str">
        <f t="shared" si="14"/>
        <v/>
      </c>
      <c r="AW593" s="110" t="str">
        <f t="shared" si="15"/>
        <v/>
      </c>
      <c r="AX593" s="119" t="str">
        <f t="shared" si="16"/>
        <v/>
      </c>
      <c r="AY593" s="120"/>
      <c r="AZ593" s="121"/>
      <c r="BA593" s="122" t="str">
        <f t="shared" si="17"/>
        <v/>
      </c>
      <c r="BB593" s="34"/>
      <c r="BC593" s="121"/>
      <c r="BD593" s="136"/>
      <c r="BE593" s="125" t="str">
        <f t="shared" si="18"/>
        <v/>
      </c>
      <c r="BF593" s="126" t="str">
        <f t="shared" si="19"/>
        <v>FM445__44619_0.297303240740741</v>
      </c>
      <c r="BG593" s="127" t="str">
        <f t="shared" si="20"/>
        <v/>
      </c>
      <c r="BH593" s="137" t="s">
        <v>1700</v>
      </c>
      <c r="BI593" s="128" t="str">
        <f t="shared" si="21"/>
        <v>MA362</v>
      </c>
      <c r="BJ593" s="129" t="b">
        <f t="shared" si="22"/>
        <v>0</v>
      </c>
      <c r="BK593" s="128" t="str">
        <f t="shared" si="23"/>
        <v/>
      </c>
      <c r="BL593" s="121"/>
      <c r="BM593" s="5" t="str">
        <f t="shared" si="24"/>
        <v>MISSING</v>
      </c>
      <c r="BN593" s="120" t="b">
        <f t="shared" si="25"/>
        <v>0</v>
      </c>
      <c r="BO593" s="131" t="b">
        <f t="shared" si="26"/>
        <v>1</v>
      </c>
      <c r="BP593" s="121"/>
      <c r="BQ593" s="132" t="str">
        <f>VLOOKUP(A593,RAW_APS!A$3:O826,15,FALSE)</f>
        <v/>
      </c>
      <c r="BR593" s="120" t="b">
        <f t="shared" si="27"/>
        <v>1</v>
      </c>
      <c r="BS593" s="121"/>
      <c r="BT593" s="138" t="s">
        <v>244</v>
      </c>
      <c r="BU593" s="10" t="b">
        <f t="shared" si="28"/>
        <v>1</v>
      </c>
      <c r="BV593" s="120"/>
      <c r="BW593" s="120"/>
      <c r="BX593" s="120"/>
      <c r="BY593" s="120"/>
      <c r="BZ593" s="120"/>
      <c r="CA593" s="120"/>
      <c r="CB593" s="120"/>
      <c r="CC593" s="120"/>
    </row>
    <row r="594">
      <c r="A594" s="2" t="s">
        <v>1701</v>
      </c>
      <c r="B594" s="100">
        <v>44619.0</v>
      </c>
      <c r="C594" s="101">
        <v>0.3128587962962963</v>
      </c>
      <c r="D594" s="102"/>
      <c r="E594" s="102"/>
      <c r="F594" s="102"/>
      <c r="G594" s="102"/>
      <c r="H594" s="102"/>
      <c r="I594" s="103"/>
      <c r="J594" s="103"/>
      <c r="K594" s="2" t="s">
        <v>244</v>
      </c>
      <c r="L594" s="100">
        <v>44621.0</v>
      </c>
      <c r="M594" s="101">
        <v>0.4783449074074074</v>
      </c>
      <c r="P594" s="104" t="b">
        <f>IFNA(IF(VLOOKUP($A594,'Add from APT'!$AA$2:$AC826,3,FALSE)&gt;0,TRUE,FALSE),"ER - NOT IN APT")</f>
        <v>0</v>
      </c>
      <c r="Q594" s="105" t="str">
        <f>IF(ISLOGICAL(P594),IF(P594,"ER - REPS IN APT", IFNA(VLOOKUP($A594,RAW_APT!$A$3:$M826,7,FALSE),"ER - NOT IN APT")),P594)</f>
        <v>Result</v>
      </c>
      <c r="R594" s="106" t="b">
        <f t="shared" si="2"/>
        <v>1</v>
      </c>
      <c r="S594" s="107">
        <f t="shared" si="3"/>
        <v>1</v>
      </c>
      <c r="T594" s="143"/>
      <c r="U594" s="142"/>
      <c r="V594" s="142"/>
      <c r="W594" s="142"/>
      <c r="X594" s="110" t="b">
        <f t="shared" si="4"/>
        <v>0</v>
      </c>
      <c r="Y594" s="111" t="b">
        <v>0</v>
      </c>
      <c r="Z594" s="104" t="str">
        <f t="shared" si="5"/>
        <v/>
      </c>
      <c r="AA594" s="112" t="b">
        <f t="shared" si="6"/>
        <v>0</v>
      </c>
      <c r="AB594" s="142" t="b">
        <v>0</v>
      </c>
      <c r="AC594" s="140">
        <v>220.0</v>
      </c>
      <c r="AD594" s="141" t="b">
        <v>0</v>
      </c>
      <c r="AE594" s="115" t="str">
        <f t="shared" si="7"/>
        <v/>
      </c>
      <c r="AF594" s="116" t="b">
        <f t="shared" si="8"/>
        <v>0</v>
      </c>
      <c r="AG594" s="105" t="b">
        <f t="shared" si="9"/>
        <v>0</v>
      </c>
      <c r="AH594" s="140"/>
      <c r="AI594" s="140"/>
      <c r="AJ594" s="140"/>
      <c r="AK594" s="117" t="str">
        <f t="shared" si="10"/>
        <v>Negative</v>
      </c>
      <c r="AL594" s="142"/>
      <c r="AM594" s="112" t="s">
        <v>1294</v>
      </c>
      <c r="AN594" s="112" t="s">
        <v>1295</v>
      </c>
      <c r="AO594" s="112" t="str">
        <f>IFERROR(__xludf.DUMMYFUNCTION("IF($AG594, ""DELETED"",TRIM(JOIN("" "",D594:E594)))"),"")</f>
        <v/>
      </c>
      <c r="AP594" s="112" t="str">
        <f t="shared" ref="AP594:AQ594" si="619">IF($AG594, "DELETED", TRIM(CONCATENATE(F594,I594,U594)))</f>
        <v/>
      </c>
      <c r="AQ594" s="112" t="str">
        <f t="shared" si="619"/>
        <v/>
      </c>
      <c r="AR594" s="112" t="str">
        <f>IFERROR(__xludf.DUMMYFUNCTION("IF($AG594, ""DELETED"", TRIM(JOIN("" "",AP594,AQ594)))"),"")</f>
        <v/>
      </c>
      <c r="AS594" s="118"/>
      <c r="AT594" s="110" t="b">
        <f t="shared" si="12"/>
        <v>0</v>
      </c>
      <c r="AU594" s="110" t="str">
        <f t="shared" si="13"/>
        <v/>
      </c>
      <c r="AV594" s="110" t="str">
        <f t="shared" si="14"/>
        <v/>
      </c>
      <c r="AW594" s="110" t="str">
        <f t="shared" si="15"/>
        <v/>
      </c>
      <c r="AX594" s="119" t="str">
        <f t="shared" si="16"/>
        <v/>
      </c>
      <c r="AY594" s="120"/>
      <c r="AZ594" s="121"/>
      <c r="BA594" s="122" t="str">
        <f t="shared" si="17"/>
        <v/>
      </c>
      <c r="BB594" s="34"/>
      <c r="BC594" s="121"/>
      <c r="BD594" s="136"/>
      <c r="BE594" s="125" t="str">
        <f t="shared" si="18"/>
        <v/>
      </c>
      <c r="BF594" s="126" t="str">
        <f t="shared" si="19"/>
        <v>MA394__44619_0.312858796296296</v>
      </c>
      <c r="BG594" s="127" t="str">
        <f t="shared" si="20"/>
        <v/>
      </c>
      <c r="BH594" s="137" t="s">
        <v>1702</v>
      </c>
      <c r="BI594" s="128" t="str">
        <f t="shared" si="21"/>
        <v>MA363</v>
      </c>
      <c r="BJ594" s="129" t="b">
        <f t="shared" si="22"/>
        <v>0</v>
      </c>
      <c r="BK594" s="128" t="str">
        <f t="shared" si="23"/>
        <v/>
      </c>
      <c r="BL594" s="121"/>
      <c r="BM594" s="5" t="str">
        <f t="shared" si="24"/>
        <v>MISSING</v>
      </c>
      <c r="BN594" s="120" t="b">
        <f t="shared" si="25"/>
        <v>0</v>
      </c>
      <c r="BO594" s="131" t="b">
        <f t="shared" si="26"/>
        <v>1</v>
      </c>
      <c r="BP594" s="121"/>
      <c r="BQ594" s="132" t="str">
        <f>VLOOKUP(A594,RAW_APS!A$3:O826,15,FALSE)</f>
        <v/>
      </c>
      <c r="BR594" s="120" t="b">
        <f t="shared" si="27"/>
        <v>1</v>
      </c>
      <c r="BS594" s="121"/>
      <c r="BT594" s="138" t="s">
        <v>244</v>
      </c>
      <c r="BU594" s="10" t="b">
        <f t="shared" si="28"/>
        <v>1</v>
      </c>
      <c r="BV594" s="120"/>
      <c r="BW594" s="120"/>
      <c r="BX594" s="120"/>
      <c r="BY594" s="120"/>
      <c r="BZ594" s="120"/>
      <c r="CA594" s="120"/>
      <c r="CB594" s="120"/>
      <c r="CC594" s="120"/>
    </row>
    <row r="595">
      <c r="A595" s="2" t="s">
        <v>1703</v>
      </c>
      <c r="B595" s="100">
        <v>44619.0</v>
      </c>
      <c r="C595" s="101">
        <v>0.31364583333333335</v>
      </c>
      <c r="D595" s="102"/>
      <c r="E595" s="102"/>
      <c r="F595" s="103"/>
      <c r="G595" s="103"/>
      <c r="H595" s="103"/>
      <c r="I595" s="135"/>
      <c r="J595" s="103"/>
      <c r="K595" s="2" t="s">
        <v>244</v>
      </c>
      <c r="L595" s="100">
        <v>44621.0</v>
      </c>
      <c r="M595" s="101">
        <v>0.4783449074074074</v>
      </c>
      <c r="N595" s="2" t="s">
        <v>247</v>
      </c>
      <c r="P595" s="104" t="b">
        <f>IFNA(IF(VLOOKUP($A595,'Add from APT'!$AA$2:$AC826,3,FALSE)&gt;0,TRUE,FALSE),"ER - NOT IN APT")</f>
        <v>0</v>
      </c>
      <c r="Q595" s="105" t="str">
        <f>IF(ISLOGICAL(P595),IF(P595,"ER - REPS IN APT", IFNA(VLOOKUP($A595,RAW_APT!$A$3:$M826,7,FALSE),"ER - NOT IN APT")),P595)</f>
        <v>Result</v>
      </c>
      <c r="R595" s="106" t="b">
        <f t="shared" si="2"/>
        <v>1</v>
      </c>
      <c r="S595" s="107">
        <f t="shared" si="3"/>
        <v>1</v>
      </c>
      <c r="T595" s="140">
        <v>0.0</v>
      </c>
      <c r="W595" s="142"/>
      <c r="X595" s="110" t="b">
        <f t="shared" si="4"/>
        <v>0</v>
      </c>
      <c r="Y595" s="111" t="b">
        <v>0</v>
      </c>
      <c r="Z595" s="104" t="str">
        <f t="shared" si="5"/>
        <v/>
      </c>
      <c r="AA595" s="112" t="b">
        <f t="shared" si="6"/>
        <v>0</v>
      </c>
      <c r="AB595" s="142" t="b">
        <v>0</v>
      </c>
      <c r="AC595" s="140">
        <v>788.0</v>
      </c>
      <c r="AD595" s="141" t="b">
        <v>1</v>
      </c>
      <c r="AE595" s="115" t="str">
        <f t="shared" si="7"/>
        <v/>
      </c>
      <c r="AF595" s="116" t="b">
        <f t="shared" si="8"/>
        <v>0</v>
      </c>
      <c r="AG595" s="105" t="b">
        <f t="shared" si="9"/>
        <v>0</v>
      </c>
      <c r="AH595" s="140"/>
      <c r="AI595" s="140"/>
      <c r="AJ595" s="140"/>
      <c r="AK595" s="117" t="str">
        <f t="shared" si="10"/>
        <v>Negative</v>
      </c>
      <c r="AL595" s="141"/>
      <c r="AM595" s="112" t="s">
        <v>504</v>
      </c>
      <c r="AN595" s="112" t="s">
        <v>505</v>
      </c>
      <c r="AO595" s="112" t="str">
        <f>IFERROR(__xludf.DUMMYFUNCTION("IF($AG595, ""DELETED"",TRIM(JOIN("" "",D595:E595)))"),"")</f>
        <v/>
      </c>
      <c r="AP595" s="112" t="str">
        <f t="shared" ref="AP595:AQ595" si="620">IF($AG595, "DELETED", TRIM(CONCATENATE(F595,I595,U595)))</f>
        <v/>
      </c>
      <c r="AQ595" s="112" t="str">
        <f t="shared" si="620"/>
        <v/>
      </c>
      <c r="AR595" s="112" t="str">
        <f>IFERROR(__xludf.DUMMYFUNCTION("IF($AG595, ""DELETED"", TRIM(JOIN("" "",AP595,AQ595)))"),"")</f>
        <v/>
      </c>
      <c r="AS595" s="118"/>
      <c r="AT595" s="110" t="b">
        <f t="shared" si="12"/>
        <v>0</v>
      </c>
      <c r="AU595" s="110" t="str">
        <f t="shared" si="13"/>
        <v/>
      </c>
      <c r="AV595" s="110" t="str">
        <f t="shared" si="14"/>
        <v/>
      </c>
      <c r="AW595" s="110" t="str">
        <f t="shared" si="15"/>
        <v/>
      </c>
      <c r="AX595" s="119" t="str">
        <f t="shared" si="16"/>
        <v/>
      </c>
      <c r="AY595" s="120"/>
      <c r="AZ595" s="121"/>
      <c r="BA595" s="122" t="str">
        <f t="shared" si="17"/>
        <v/>
      </c>
      <c r="BB595" s="34"/>
      <c r="BC595" s="121"/>
      <c r="BD595" s="136"/>
      <c r="BE595" s="125" t="str">
        <f t="shared" si="18"/>
        <v/>
      </c>
      <c r="BF595" s="126" t="str">
        <f t="shared" si="19"/>
        <v>FM2__44619_0.313645833333333</v>
      </c>
      <c r="BG595" s="127" t="str">
        <f t="shared" si="20"/>
        <v/>
      </c>
      <c r="BH595" s="137" t="s">
        <v>1704</v>
      </c>
      <c r="BI595" s="128" t="str">
        <f t="shared" si="21"/>
        <v>MA364</v>
      </c>
      <c r="BJ595" s="129" t="b">
        <f t="shared" si="22"/>
        <v>0</v>
      </c>
      <c r="BK595" s="128" t="str">
        <f t="shared" si="23"/>
        <v/>
      </c>
      <c r="BL595" s="121"/>
      <c r="BM595" s="5" t="str">
        <f t="shared" si="24"/>
        <v>MISSING</v>
      </c>
      <c r="BN595" s="120" t="b">
        <f t="shared" si="25"/>
        <v>0</v>
      </c>
      <c r="BO595" s="131" t="b">
        <f t="shared" si="26"/>
        <v>1</v>
      </c>
      <c r="BP595" s="121"/>
      <c r="BQ595" s="132" t="str">
        <f>VLOOKUP(A595,RAW_APS!A$3:O826,15,FALSE)</f>
        <v>#N/A</v>
      </c>
      <c r="BR595" s="120" t="str">
        <f t="shared" si="27"/>
        <v>***TUBE ID NOT FOUND</v>
      </c>
      <c r="BS595" s="121"/>
      <c r="BT595" s="138" t="s">
        <v>244</v>
      </c>
      <c r="BU595" s="10" t="b">
        <f t="shared" si="28"/>
        <v>1</v>
      </c>
      <c r="BV595" s="120"/>
      <c r="BW595" s="120"/>
      <c r="BX595" s="120"/>
      <c r="BY595" s="120"/>
      <c r="BZ595" s="120"/>
      <c r="CA595" s="120"/>
      <c r="CB595" s="120"/>
      <c r="CC595" s="120"/>
    </row>
    <row r="596">
      <c r="A596" s="2" t="s">
        <v>1705</v>
      </c>
      <c r="B596" s="100">
        <v>44619.0</v>
      </c>
      <c r="C596" s="101">
        <v>0.3194212962962963</v>
      </c>
      <c r="D596" s="102"/>
      <c r="E596" s="102"/>
      <c r="F596" s="102"/>
      <c r="G596" s="102"/>
      <c r="H596" s="102"/>
      <c r="I596" s="103"/>
      <c r="J596" s="103"/>
      <c r="K596" s="2" t="s">
        <v>244</v>
      </c>
      <c r="L596" s="100">
        <v>44621.0</v>
      </c>
      <c r="M596" s="101">
        <v>0.4783449074074074</v>
      </c>
      <c r="P596" s="104" t="b">
        <f>IFNA(IF(VLOOKUP($A596,'Add from APT'!$AA$2:$AC826,3,FALSE)&gt;0,TRUE,FALSE),"ER - NOT IN APT")</f>
        <v>0</v>
      </c>
      <c r="Q596" s="105" t="str">
        <f>IF(ISLOGICAL(P596),IF(P596,"ER - REPS IN APT", IFNA(VLOOKUP($A596,RAW_APT!$A$3:$M826,7,FALSE),"ER - NOT IN APT")),P596)</f>
        <v>Result</v>
      </c>
      <c r="R596" s="106" t="b">
        <f t="shared" si="2"/>
        <v>1</v>
      </c>
      <c r="S596" s="107">
        <f t="shared" si="3"/>
        <v>1</v>
      </c>
      <c r="T596" s="143"/>
      <c r="U596" s="142"/>
      <c r="V596" s="142"/>
      <c r="W596" s="142"/>
      <c r="X596" s="110" t="b">
        <f t="shared" si="4"/>
        <v>0</v>
      </c>
      <c r="Y596" s="111" t="b">
        <v>0</v>
      </c>
      <c r="Z596" s="104" t="str">
        <f t="shared" si="5"/>
        <v/>
      </c>
      <c r="AA596" s="112" t="b">
        <f t="shared" si="6"/>
        <v>0</v>
      </c>
      <c r="AB596" s="142" t="b">
        <v>0</v>
      </c>
      <c r="AC596" s="140">
        <v>219.0</v>
      </c>
      <c r="AD596" s="141" t="b">
        <v>0</v>
      </c>
      <c r="AE596" s="115" t="str">
        <f t="shared" si="7"/>
        <v/>
      </c>
      <c r="AF596" s="116" t="b">
        <f t="shared" si="8"/>
        <v>0</v>
      </c>
      <c r="AG596" s="105" t="b">
        <f t="shared" si="9"/>
        <v>0</v>
      </c>
      <c r="AH596" s="140"/>
      <c r="AI596" s="140"/>
      <c r="AJ596" s="140"/>
      <c r="AK596" s="117" t="str">
        <f t="shared" si="10"/>
        <v>Negative</v>
      </c>
      <c r="AL596" s="142"/>
      <c r="AM596" s="112" t="s">
        <v>850</v>
      </c>
      <c r="AN596" s="112" t="s">
        <v>851</v>
      </c>
      <c r="AO596" s="112" t="str">
        <f>IFERROR(__xludf.DUMMYFUNCTION("IF($AG596, ""DELETED"",TRIM(JOIN("" "",D596:E596)))"),"")</f>
        <v/>
      </c>
      <c r="AP596" s="112" t="str">
        <f t="shared" ref="AP596:AQ596" si="621">IF($AG596, "DELETED", TRIM(CONCATENATE(F596,I596,U596)))</f>
        <v/>
      </c>
      <c r="AQ596" s="112" t="str">
        <f t="shared" si="621"/>
        <v/>
      </c>
      <c r="AR596" s="112" t="str">
        <f>IFERROR(__xludf.DUMMYFUNCTION("IF($AG596, ""DELETED"", TRIM(JOIN("" "",AP596,AQ596)))"),"")</f>
        <v/>
      </c>
      <c r="AS596" s="118"/>
      <c r="AT596" s="110" t="b">
        <f t="shared" si="12"/>
        <v>0</v>
      </c>
      <c r="AU596" s="110" t="str">
        <f t="shared" si="13"/>
        <v/>
      </c>
      <c r="AV596" s="110" t="str">
        <f t="shared" si="14"/>
        <v/>
      </c>
      <c r="AW596" s="110" t="str">
        <f t="shared" si="15"/>
        <v/>
      </c>
      <c r="AX596" s="119" t="str">
        <f t="shared" si="16"/>
        <v/>
      </c>
      <c r="AY596" s="120"/>
      <c r="AZ596" s="121"/>
      <c r="BA596" s="122" t="str">
        <f t="shared" si="17"/>
        <v/>
      </c>
      <c r="BB596" s="34"/>
      <c r="BC596" s="121"/>
      <c r="BD596" s="136"/>
      <c r="BE596" s="125" t="str">
        <f t="shared" si="18"/>
        <v/>
      </c>
      <c r="BF596" s="126" t="str">
        <f t="shared" si="19"/>
        <v>MA1123__44619_0.319421296296296</v>
      </c>
      <c r="BG596" s="127" t="str">
        <f t="shared" si="20"/>
        <v/>
      </c>
      <c r="BH596" s="137" t="s">
        <v>1706</v>
      </c>
      <c r="BI596" s="128" t="str">
        <f t="shared" si="21"/>
        <v>MA366</v>
      </c>
      <c r="BJ596" s="129" t="b">
        <f t="shared" si="22"/>
        <v>0</v>
      </c>
      <c r="BK596" s="128" t="str">
        <f t="shared" si="23"/>
        <v/>
      </c>
      <c r="BL596" s="121"/>
      <c r="BM596" s="5" t="str">
        <f t="shared" si="24"/>
        <v>MISSING</v>
      </c>
      <c r="BN596" s="120" t="b">
        <f t="shared" si="25"/>
        <v>0</v>
      </c>
      <c r="BO596" s="131" t="b">
        <f t="shared" si="26"/>
        <v>1</v>
      </c>
      <c r="BP596" s="121"/>
      <c r="BQ596" s="132" t="str">
        <f>VLOOKUP(A596,RAW_APS!A$3:O826,15,FALSE)</f>
        <v/>
      </c>
      <c r="BR596" s="120" t="b">
        <f t="shared" si="27"/>
        <v>1</v>
      </c>
      <c r="BS596" s="121"/>
      <c r="BT596" s="138" t="s">
        <v>244</v>
      </c>
      <c r="BU596" s="10" t="b">
        <f t="shared" si="28"/>
        <v>1</v>
      </c>
      <c r="BV596" s="120"/>
      <c r="BW596" s="120"/>
      <c r="BX596" s="120"/>
      <c r="BY596" s="120"/>
      <c r="BZ596" s="120"/>
      <c r="CA596" s="120"/>
      <c r="CB596" s="120"/>
      <c r="CC596" s="120"/>
    </row>
    <row r="597">
      <c r="A597" s="2" t="s">
        <v>1707</v>
      </c>
      <c r="B597" s="100">
        <v>44619.0</v>
      </c>
      <c r="C597" s="101">
        <v>0.3200462962962963</v>
      </c>
      <c r="D597" s="102"/>
      <c r="E597" s="102"/>
      <c r="F597" s="102"/>
      <c r="G597" s="102"/>
      <c r="H597" s="102"/>
      <c r="I597" s="103"/>
      <c r="J597" s="103"/>
      <c r="K597" s="2" t="s">
        <v>244</v>
      </c>
      <c r="L597" s="100">
        <v>44621.0</v>
      </c>
      <c r="M597" s="101">
        <v>0.4783449074074074</v>
      </c>
      <c r="P597" s="104" t="b">
        <f>IFNA(IF(VLOOKUP($A597,'Add from APT'!$AA$2:$AC826,3,FALSE)&gt;0,TRUE,FALSE),"ER - NOT IN APT")</f>
        <v>0</v>
      </c>
      <c r="Q597" s="105" t="str">
        <f>IF(ISLOGICAL(P597),IF(P597,"ER - REPS IN APT", IFNA(VLOOKUP($A597,RAW_APT!$A$3:$M826,7,FALSE),"ER - NOT IN APT")),P597)</f>
        <v>Result</v>
      </c>
      <c r="R597" s="106" t="b">
        <f t="shared" si="2"/>
        <v>1</v>
      </c>
      <c r="S597" s="107">
        <f t="shared" si="3"/>
        <v>1</v>
      </c>
      <c r="T597" s="143"/>
      <c r="U597" s="142"/>
      <c r="V597" s="142"/>
      <c r="W597" s="142"/>
      <c r="X597" s="110" t="b">
        <f t="shared" si="4"/>
        <v>0</v>
      </c>
      <c r="Y597" s="111" t="b">
        <v>0</v>
      </c>
      <c r="Z597" s="104" t="str">
        <f t="shared" si="5"/>
        <v/>
      </c>
      <c r="AA597" s="112" t="b">
        <f t="shared" si="6"/>
        <v>0</v>
      </c>
      <c r="AB597" s="142" t="b">
        <v>0</v>
      </c>
      <c r="AC597" s="140">
        <v>218.0</v>
      </c>
      <c r="AD597" s="141" t="b">
        <v>0</v>
      </c>
      <c r="AE597" s="115" t="str">
        <f t="shared" si="7"/>
        <v/>
      </c>
      <c r="AF597" s="116" t="b">
        <f t="shared" si="8"/>
        <v>0</v>
      </c>
      <c r="AG597" s="105" t="b">
        <f t="shared" si="9"/>
        <v>0</v>
      </c>
      <c r="AH597" s="140"/>
      <c r="AI597" s="140"/>
      <c r="AJ597" s="140"/>
      <c r="AK597" s="117" t="str">
        <f t="shared" si="10"/>
        <v>Negative</v>
      </c>
      <c r="AL597" s="142"/>
      <c r="AM597" s="112" t="s">
        <v>1260</v>
      </c>
      <c r="AN597" s="112" t="s">
        <v>1261</v>
      </c>
      <c r="AO597" s="112" t="str">
        <f>IFERROR(__xludf.DUMMYFUNCTION("IF($AG597, ""DELETED"",TRIM(JOIN("" "",D597:E597)))"),"")</f>
        <v/>
      </c>
      <c r="AP597" s="112" t="str">
        <f t="shared" ref="AP597:AQ597" si="622">IF($AG597, "DELETED", TRIM(CONCATENATE(F597,I597,U597)))</f>
        <v/>
      </c>
      <c r="AQ597" s="112" t="str">
        <f t="shared" si="622"/>
        <v/>
      </c>
      <c r="AR597" s="112" t="str">
        <f>IFERROR(__xludf.DUMMYFUNCTION("IF($AG597, ""DELETED"", TRIM(JOIN("" "",AP597,AQ597)))"),"")</f>
        <v/>
      </c>
      <c r="AS597" s="118"/>
      <c r="AT597" s="110" t="b">
        <f t="shared" si="12"/>
        <v>0</v>
      </c>
      <c r="AU597" s="110" t="str">
        <f t="shared" si="13"/>
        <v/>
      </c>
      <c r="AV597" s="110" t="str">
        <f t="shared" si="14"/>
        <v/>
      </c>
      <c r="AW597" s="110" t="str">
        <f t="shared" si="15"/>
        <v/>
      </c>
      <c r="AX597" s="119" t="str">
        <f t="shared" si="16"/>
        <v/>
      </c>
      <c r="AY597" s="120"/>
      <c r="AZ597" s="121"/>
      <c r="BA597" s="122" t="str">
        <f t="shared" si="17"/>
        <v/>
      </c>
      <c r="BB597" s="34"/>
      <c r="BC597" s="121"/>
      <c r="BD597" s="136"/>
      <c r="BE597" s="125" t="str">
        <f t="shared" si="18"/>
        <v/>
      </c>
      <c r="BF597" s="126" t="str">
        <f t="shared" si="19"/>
        <v>MA1263__44619_0.320046296296296</v>
      </c>
      <c r="BG597" s="127" t="str">
        <f t="shared" si="20"/>
        <v/>
      </c>
      <c r="BH597" s="137" t="s">
        <v>1708</v>
      </c>
      <c r="BI597" s="128" t="str">
        <f t="shared" si="21"/>
        <v>MA368</v>
      </c>
      <c r="BJ597" s="129" t="b">
        <f t="shared" si="22"/>
        <v>0</v>
      </c>
      <c r="BK597" s="128" t="str">
        <f t="shared" si="23"/>
        <v/>
      </c>
      <c r="BL597" s="121"/>
      <c r="BM597" s="5" t="str">
        <f t="shared" si="24"/>
        <v>MISSING</v>
      </c>
      <c r="BN597" s="120" t="b">
        <f t="shared" si="25"/>
        <v>0</v>
      </c>
      <c r="BO597" s="131" t="b">
        <f t="shared" si="26"/>
        <v>1</v>
      </c>
      <c r="BP597" s="121"/>
      <c r="BQ597" s="132" t="str">
        <f>VLOOKUP(A597,RAW_APS!A$3:O826,15,FALSE)</f>
        <v/>
      </c>
      <c r="BR597" s="120" t="b">
        <f t="shared" si="27"/>
        <v>1</v>
      </c>
      <c r="BS597" s="121"/>
      <c r="BT597" s="138" t="s">
        <v>244</v>
      </c>
      <c r="BU597" s="10" t="b">
        <f t="shared" si="28"/>
        <v>1</v>
      </c>
      <c r="BV597" s="120"/>
      <c r="BW597" s="120"/>
      <c r="BX597" s="120"/>
      <c r="BY597" s="120"/>
      <c r="BZ597" s="120"/>
      <c r="CA597" s="120"/>
      <c r="CB597" s="120"/>
      <c r="CC597" s="120"/>
    </row>
    <row r="598">
      <c r="A598" s="2" t="s">
        <v>1709</v>
      </c>
      <c r="B598" s="100">
        <v>44619.0</v>
      </c>
      <c r="C598" s="101">
        <v>0.32108796296296294</v>
      </c>
      <c r="D598" s="102"/>
      <c r="E598" s="102"/>
      <c r="F598" s="102"/>
      <c r="G598" s="102"/>
      <c r="H598" s="102"/>
      <c r="I598" s="135"/>
      <c r="J598" s="103"/>
      <c r="K598" s="2" t="s">
        <v>244</v>
      </c>
      <c r="L598" s="100">
        <v>44621.0</v>
      </c>
      <c r="M598" s="101">
        <v>0.4783449074074074</v>
      </c>
      <c r="N598" s="2" t="s">
        <v>247</v>
      </c>
      <c r="P598" s="104" t="b">
        <f>IFNA(IF(VLOOKUP($A598,'Add from APT'!$AA$2:$AC826,3,FALSE)&gt;0,TRUE,FALSE),"ER - NOT IN APT")</f>
        <v>0</v>
      </c>
      <c r="Q598" s="105" t="str">
        <f>IF(ISLOGICAL(P598),IF(P598,"ER - REPS IN APT", IFNA(VLOOKUP($A598,RAW_APT!$A$3:$M826,7,FALSE),"ER - NOT IN APT")),P598)</f>
        <v>Result</v>
      </c>
      <c r="R598" s="106" t="b">
        <f t="shared" si="2"/>
        <v>1</v>
      </c>
      <c r="S598" s="107">
        <f t="shared" si="3"/>
        <v>1</v>
      </c>
      <c r="T598" s="143"/>
      <c r="U598" s="142"/>
      <c r="V598" s="142"/>
      <c r="W598" s="142"/>
      <c r="X598" s="110" t="b">
        <f t="shared" si="4"/>
        <v>0</v>
      </c>
      <c r="Y598" s="111" t="b">
        <v>0</v>
      </c>
      <c r="Z598" s="104" t="str">
        <f t="shared" si="5"/>
        <v/>
      </c>
      <c r="AA598" s="112" t="b">
        <f t="shared" si="6"/>
        <v>0</v>
      </c>
      <c r="AB598" s="142" t="b">
        <v>0</v>
      </c>
      <c r="AC598" s="140">
        <v>792.0</v>
      </c>
      <c r="AD598" s="141" t="b">
        <v>1</v>
      </c>
      <c r="AE598" s="115" t="str">
        <f t="shared" si="7"/>
        <v/>
      </c>
      <c r="AF598" s="116" t="b">
        <f t="shared" si="8"/>
        <v>0</v>
      </c>
      <c r="AG598" s="105" t="b">
        <f t="shared" si="9"/>
        <v>0</v>
      </c>
      <c r="AH598" s="140"/>
      <c r="AI598" s="140">
        <v>7.0</v>
      </c>
      <c r="AJ598" s="140"/>
      <c r="AK598" s="117" t="str">
        <f t="shared" si="10"/>
        <v>Negative</v>
      </c>
      <c r="AL598" s="142"/>
      <c r="AM598" s="112" t="s">
        <v>500</v>
      </c>
      <c r="AN598" s="112" t="s">
        <v>377</v>
      </c>
      <c r="AO598" s="112" t="str">
        <f>IFERROR(__xludf.DUMMYFUNCTION("IF($AG598, ""DELETED"",TRIM(JOIN("" "",D598:E598)))"),"")</f>
        <v/>
      </c>
      <c r="AP598" s="112" t="str">
        <f t="shared" ref="AP598:AQ598" si="623">IF($AG598, "DELETED", TRIM(CONCATENATE(F598,I598,U598)))</f>
        <v/>
      </c>
      <c r="AQ598" s="112" t="str">
        <f t="shared" si="623"/>
        <v/>
      </c>
      <c r="AR598" s="112" t="str">
        <f>IFERROR(__xludf.DUMMYFUNCTION("IF($AG598, ""DELETED"", TRIM(JOIN("" "",AP598,AQ598)))"),"")</f>
        <v/>
      </c>
      <c r="AS598" s="118"/>
      <c r="AT598" s="110" t="b">
        <f t="shared" si="12"/>
        <v>0</v>
      </c>
      <c r="AU598" s="110" t="str">
        <f t="shared" si="13"/>
        <v/>
      </c>
      <c r="AV598" s="110" t="str">
        <f t="shared" si="14"/>
        <v/>
      </c>
      <c r="AW598" s="110" t="str">
        <f t="shared" si="15"/>
        <v/>
      </c>
      <c r="AX598" s="119" t="str">
        <f t="shared" si="16"/>
        <v/>
      </c>
      <c r="AY598" s="120"/>
      <c r="AZ598" s="121"/>
      <c r="BA598" s="122" t="str">
        <f t="shared" si="17"/>
        <v/>
      </c>
      <c r="BB598" s="34"/>
      <c r="BC598" s="121"/>
      <c r="BD598" s="136"/>
      <c r="BE598" s="125" t="str">
        <f t="shared" si="18"/>
        <v/>
      </c>
      <c r="BF598" s="126" t="str">
        <f t="shared" si="19"/>
        <v>MA1090__44619_0.321087962962963</v>
      </c>
      <c r="BG598" s="127" t="str">
        <f t="shared" si="20"/>
        <v/>
      </c>
      <c r="BH598" s="137" t="s">
        <v>1710</v>
      </c>
      <c r="BI598" s="128" t="str">
        <f t="shared" si="21"/>
        <v>MA370</v>
      </c>
      <c r="BJ598" s="129" t="b">
        <f t="shared" si="22"/>
        <v>0</v>
      </c>
      <c r="BK598" s="128" t="str">
        <f t="shared" si="23"/>
        <v/>
      </c>
      <c r="BL598" s="121"/>
      <c r="BM598" s="5" t="str">
        <f t="shared" si="24"/>
        <v>MISSING</v>
      </c>
      <c r="BN598" s="120" t="b">
        <f t="shared" si="25"/>
        <v>0</v>
      </c>
      <c r="BO598" s="131" t="b">
        <f t="shared" si="26"/>
        <v>1</v>
      </c>
      <c r="BP598" s="121"/>
      <c r="BQ598" s="132" t="str">
        <f>VLOOKUP(A598,RAW_APS!A$3:O826,15,FALSE)</f>
        <v>#N/A</v>
      </c>
      <c r="BR598" s="120" t="str">
        <f t="shared" si="27"/>
        <v>***TUBE ID NOT FOUND</v>
      </c>
      <c r="BS598" s="121"/>
      <c r="BT598" s="138" t="s">
        <v>244</v>
      </c>
      <c r="BU598" s="10" t="b">
        <f t="shared" si="28"/>
        <v>1</v>
      </c>
      <c r="BV598" s="120"/>
      <c r="BW598" s="120"/>
      <c r="BX598" s="120"/>
      <c r="BY598" s="120"/>
      <c r="BZ598" s="120"/>
      <c r="CA598" s="120"/>
      <c r="CB598" s="120"/>
      <c r="CC598" s="120"/>
    </row>
    <row r="599">
      <c r="A599" s="2" t="s">
        <v>1711</v>
      </c>
      <c r="B599" s="100">
        <v>44619.0</v>
      </c>
      <c r="C599" s="101">
        <v>0.32261574074074073</v>
      </c>
      <c r="D599" s="102"/>
      <c r="E599" s="102"/>
      <c r="F599" s="102"/>
      <c r="G599" s="102"/>
      <c r="H599" s="102"/>
      <c r="I599" s="103"/>
      <c r="J599" s="103"/>
      <c r="K599" s="2" t="s">
        <v>244</v>
      </c>
      <c r="L599" s="100">
        <v>44621.0</v>
      </c>
      <c r="M599" s="101">
        <v>0.4783449074074074</v>
      </c>
      <c r="P599" s="104" t="b">
        <f>IFNA(IF(VLOOKUP($A599,'Add from APT'!$AA$2:$AC826,3,FALSE)&gt;0,TRUE,FALSE),"ER - NOT IN APT")</f>
        <v>0</v>
      </c>
      <c r="Q599" s="105" t="str">
        <f>IF(ISLOGICAL(P599),IF(P599,"ER - REPS IN APT", IFNA(VLOOKUP($A599,RAW_APT!$A$3:$M826,7,FALSE),"ER - NOT IN APT")),P599)</f>
        <v>Result</v>
      </c>
      <c r="R599" s="106" t="b">
        <f t="shared" si="2"/>
        <v>1</v>
      </c>
      <c r="S599" s="107">
        <f t="shared" si="3"/>
        <v>2</v>
      </c>
      <c r="T599" s="108"/>
      <c r="U599" s="109"/>
      <c r="V599" s="109"/>
      <c r="W599" s="109"/>
      <c r="X599" s="110" t="b">
        <f t="shared" si="4"/>
        <v>0</v>
      </c>
      <c r="Y599" s="111" t="b">
        <v>0</v>
      </c>
      <c r="Z599" s="104" t="str">
        <f t="shared" si="5"/>
        <v/>
      </c>
      <c r="AA599" s="112" t="b">
        <f t="shared" si="6"/>
        <v>0</v>
      </c>
      <c r="AB599" s="109" t="b">
        <v>0</v>
      </c>
      <c r="AC599" s="113">
        <v>217.0</v>
      </c>
      <c r="AD599" s="114" t="b">
        <v>0</v>
      </c>
      <c r="AE599" s="115" t="str">
        <f t="shared" si="7"/>
        <v/>
      </c>
      <c r="AF599" s="116" t="b">
        <f t="shared" si="8"/>
        <v>0</v>
      </c>
      <c r="AG599" s="105" t="b">
        <f t="shared" si="9"/>
        <v>1</v>
      </c>
      <c r="AH599" s="113">
        <v>7.0</v>
      </c>
      <c r="AI599" s="113"/>
      <c r="AJ599" s="113"/>
      <c r="AK599" s="117" t="str">
        <f t="shared" si="10"/>
        <v>DELETED</v>
      </c>
      <c r="AL599" s="109"/>
      <c r="AM599" s="112" t="s">
        <v>245</v>
      </c>
      <c r="AN599" s="112" t="s">
        <v>245</v>
      </c>
      <c r="AO599" s="112" t="str">
        <f>IFERROR(__xludf.DUMMYFUNCTION("IF($AG599, ""DELETED"",TRIM(JOIN("" "",D599:E599)))"),"DELETED")</f>
        <v>DELETED</v>
      </c>
      <c r="AP599" s="112" t="str">
        <f t="shared" ref="AP599:AQ599" si="624">IF($AG599, "DELETED", TRIM(CONCATENATE(F599,I599,U599)))</f>
        <v>DELETED</v>
      </c>
      <c r="AQ599" s="112" t="str">
        <f t="shared" si="624"/>
        <v>DELETED</v>
      </c>
      <c r="AR599" s="112" t="str">
        <f>IFERROR(__xludf.DUMMYFUNCTION("IF($AG599, ""DELETED"", TRIM(JOIN("" "",AP599,AQ599)))"),"DELETED")</f>
        <v>DELETED</v>
      </c>
      <c r="AS599" s="118"/>
      <c r="AT599" s="110" t="b">
        <f t="shared" si="12"/>
        <v>1</v>
      </c>
      <c r="AU599" s="110" t="str">
        <f t="shared" si="13"/>
        <v/>
      </c>
      <c r="AV599" s="110" t="str">
        <f t="shared" si="14"/>
        <v/>
      </c>
      <c r="AW599" s="110" t="str">
        <f t="shared" si="15"/>
        <v/>
      </c>
      <c r="AX599" s="119" t="str">
        <f t="shared" si="16"/>
        <v/>
      </c>
      <c r="AY599" s="120"/>
      <c r="AZ599" s="121"/>
      <c r="BA599" s="122" t="str">
        <f t="shared" si="17"/>
        <v/>
      </c>
      <c r="BB599" s="34"/>
      <c r="BC599" s="121"/>
      <c r="BD599" s="136"/>
      <c r="BE599" s="125" t="str">
        <f t="shared" si="18"/>
        <v/>
      </c>
      <c r="BF599" s="126" t="str">
        <f t="shared" si="19"/>
        <v>FM23__44619_0.322615740740741</v>
      </c>
      <c r="BG599" s="127" t="str">
        <f t="shared" si="20"/>
        <v/>
      </c>
      <c r="BH599" s="137" t="s">
        <v>1712</v>
      </c>
      <c r="BI599" s="128" t="str">
        <f t="shared" si="21"/>
        <v>MA371</v>
      </c>
      <c r="BJ599" s="129" t="b">
        <f t="shared" si="22"/>
        <v>0</v>
      </c>
      <c r="BK599" s="128" t="str">
        <f t="shared" si="23"/>
        <v/>
      </c>
      <c r="BL599" s="121"/>
      <c r="BM599" s="5" t="str">
        <f t="shared" si="24"/>
        <v/>
      </c>
      <c r="BN599" s="120" t="b">
        <f t="shared" si="25"/>
        <v>0</v>
      </c>
      <c r="BO599" s="131" t="b">
        <f t="shared" si="26"/>
        <v>0</v>
      </c>
      <c r="BP599" s="121"/>
      <c r="BQ599" s="132" t="str">
        <f>VLOOKUP(A599,RAW_APS!A$3:O826,15,FALSE)</f>
        <v/>
      </c>
      <c r="BR599" s="120" t="b">
        <f t="shared" si="27"/>
        <v>1</v>
      </c>
      <c r="BS599" s="121"/>
      <c r="BT599" s="138" t="s">
        <v>245</v>
      </c>
      <c r="BU599" s="10" t="b">
        <f t="shared" si="28"/>
        <v>1</v>
      </c>
      <c r="BV599" s="120"/>
      <c r="BW599" s="120"/>
      <c r="BX599" s="120"/>
      <c r="BY599" s="120"/>
      <c r="BZ599" s="120"/>
      <c r="CA599" s="120"/>
      <c r="CB599" s="120"/>
      <c r="CC599" s="120"/>
    </row>
    <row r="600">
      <c r="A600" s="2" t="s">
        <v>1711</v>
      </c>
      <c r="B600" s="100">
        <v>44619.0</v>
      </c>
      <c r="C600" s="101">
        <v>0.32261574074074073</v>
      </c>
      <c r="D600" s="102"/>
      <c r="E600" s="102"/>
      <c r="F600" s="102"/>
      <c r="G600" s="102"/>
      <c r="H600" s="102"/>
      <c r="I600" s="103"/>
      <c r="J600" s="103"/>
      <c r="K600" s="2" t="s">
        <v>244</v>
      </c>
      <c r="L600" s="100">
        <v>44621.0</v>
      </c>
      <c r="M600" s="101">
        <v>0.4783449074074074</v>
      </c>
      <c r="P600" s="104" t="b">
        <f>IFNA(IF(VLOOKUP($A600,'Add from APT'!$AA$2:$AC826,3,FALSE)&gt;0,TRUE,FALSE),"ER - NOT IN APT")</f>
        <v>0</v>
      </c>
      <c r="Q600" s="105" t="str">
        <f>IF(ISLOGICAL(P600),IF(P600,"ER - REPS IN APT", IFNA(VLOOKUP($A600,RAW_APT!$A$3:$M826,7,FALSE),"ER - NOT IN APT")),P600)</f>
        <v>Result</v>
      </c>
      <c r="R600" s="106" t="b">
        <f t="shared" si="2"/>
        <v>0</v>
      </c>
      <c r="S600" s="107">
        <f t="shared" si="3"/>
        <v>2</v>
      </c>
      <c r="T600" s="143"/>
      <c r="U600" s="142"/>
      <c r="V600" s="142"/>
      <c r="W600" s="142"/>
      <c r="X600" s="110" t="b">
        <f t="shared" si="4"/>
        <v>0</v>
      </c>
      <c r="Y600" s="111" t="b">
        <v>0</v>
      </c>
      <c r="Z600" s="104" t="str">
        <f t="shared" si="5"/>
        <v/>
      </c>
      <c r="AA600" s="112" t="b">
        <f t="shared" si="6"/>
        <v>0</v>
      </c>
      <c r="AB600" s="142" t="b">
        <v>0</v>
      </c>
      <c r="AC600" s="140">
        <v>216.0</v>
      </c>
      <c r="AD600" s="141" t="b">
        <v>0</v>
      </c>
      <c r="AE600" s="115" t="str">
        <f t="shared" si="7"/>
        <v/>
      </c>
      <c r="AF600" s="116" t="b">
        <f t="shared" si="8"/>
        <v>0</v>
      </c>
      <c r="AG600" s="105" t="b">
        <f t="shared" si="9"/>
        <v>0</v>
      </c>
      <c r="AH600" s="140"/>
      <c r="AI600" s="140"/>
      <c r="AJ600" s="140"/>
      <c r="AK600" s="117" t="str">
        <f t="shared" si="10"/>
        <v>Negative</v>
      </c>
      <c r="AL600" s="142"/>
      <c r="AM600" s="112" t="s">
        <v>1473</v>
      </c>
      <c r="AN600" s="112" t="s">
        <v>1713</v>
      </c>
      <c r="AO600" s="112" t="str">
        <f>IFERROR(__xludf.DUMMYFUNCTION("IF($AG600, ""DELETED"",TRIM(JOIN("" "",D600:E600)))"),"")</f>
        <v/>
      </c>
      <c r="AP600" s="112" t="str">
        <f t="shared" ref="AP600:AQ600" si="625">IF($AG600, "DELETED", TRIM(CONCATENATE(F600,I600,U600)))</f>
        <v/>
      </c>
      <c r="AQ600" s="112" t="str">
        <f t="shared" si="625"/>
        <v/>
      </c>
      <c r="AR600" s="112" t="str">
        <f>IFERROR(__xludf.DUMMYFUNCTION("IF($AG600, ""DELETED"", TRIM(JOIN("" "",AP600,AQ600)))"),"")</f>
        <v/>
      </c>
      <c r="AS600" s="118"/>
      <c r="AT600" s="110" t="b">
        <f t="shared" si="12"/>
        <v>0</v>
      </c>
      <c r="AU600" s="110" t="str">
        <f t="shared" si="13"/>
        <v/>
      </c>
      <c r="AV600" s="110" t="str">
        <f t="shared" si="14"/>
        <v/>
      </c>
      <c r="AW600" s="110" t="str">
        <f t="shared" si="15"/>
        <v/>
      </c>
      <c r="AX600" s="119" t="str">
        <f t="shared" si="16"/>
        <v/>
      </c>
      <c r="AY600" s="120"/>
      <c r="AZ600" s="121"/>
      <c r="BA600" s="122" t="str">
        <f t="shared" si="17"/>
        <v/>
      </c>
      <c r="BB600" s="34"/>
      <c r="BC600" s="121"/>
      <c r="BD600" s="136"/>
      <c r="BE600" s="125" t="str">
        <f t="shared" si="18"/>
        <v/>
      </c>
      <c r="BF600" s="126" t="str">
        <f t="shared" si="19"/>
        <v>FM23__44619_0.322615740740741</v>
      </c>
      <c r="BG600" s="127" t="str">
        <f t="shared" si="20"/>
        <v/>
      </c>
      <c r="BH600" s="137" t="s">
        <v>1714</v>
      </c>
      <c r="BI600" s="128" t="str">
        <f t="shared" si="21"/>
        <v>MA372</v>
      </c>
      <c r="BJ600" s="129" t="b">
        <f t="shared" si="22"/>
        <v>0</v>
      </c>
      <c r="BK600" s="128" t="str">
        <f t="shared" si="23"/>
        <v/>
      </c>
      <c r="BL600" s="121"/>
      <c r="BM600" s="5" t="str">
        <f t="shared" si="24"/>
        <v>MISSING</v>
      </c>
      <c r="BN600" s="120" t="b">
        <f t="shared" si="25"/>
        <v>0</v>
      </c>
      <c r="BO600" s="131" t="b">
        <f t="shared" si="26"/>
        <v>1</v>
      </c>
      <c r="BP600" s="121"/>
      <c r="BQ600" s="132" t="str">
        <f>VLOOKUP(A600,RAW_APS!A$3:O826,15,FALSE)</f>
        <v/>
      </c>
      <c r="BR600" s="120" t="b">
        <f t="shared" si="27"/>
        <v>1</v>
      </c>
      <c r="BS600" s="121"/>
      <c r="BT600" s="138" t="s">
        <v>244</v>
      </c>
      <c r="BU600" s="10" t="b">
        <f t="shared" si="28"/>
        <v>1</v>
      </c>
      <c r="BV600" s="120"/>
      <c r="BW600" s="120"/>
      <c r="BX600" s="120"/>
      <c r="BY600" s="120"/>
      <c r="BZ600" s="120"/>
      <c r="CA600" s="120"/>
      <c r="CB600" s="120"/>
      <c r="CC600" s="120"/>
    </row>
    <row r="601">
      <c r="A601" s="2" t="s">
        <v>1715</v>
      </c>
      <c r="B601" s="100">
        <v>44619.0</v>
      </c>
      <c r="C601" s="101">
        <v>0.32320601851851855</v>
      </c>
      <c r="D601" s="102"/>
      <c r="E601" s="102"/>
      <c r="F601" s="102"/>
      <c r="G601" s="102"/>
      <c r="H601" s="102"/>
      <c r="I601" s="103"/>
      <c r="J601" s="103"/>
      <c r="K601" s="2" t="s">
        <v>244</v>
      </c>
      <c r="L601" s="100">
        <v>44621.0</v>
      </c>
      <c r="M601" s="101">
        <v>0.4783449074074074</v>
      </c>
      <c r="P601" s="104" t="b">
        <f>IFNA(IF(VLOOKUP($A601,'Add from APT'!$AA$2:$AC826,3,FALSE)&gt;0,TRUE,FALSE),"ER - NOT IN APT")</f>
        <v>0</v>
      </c>
      <c r="Q601" s="105" t="str">
        <f>IF(ISLOGICAL(P601),IF(P601,"ER - REPS IN APT", IFNA(VLOOKUP($A601,RAW_APT!$A$3:$M826,7,FALSE),"ER - NOT IN APT")),P601)</f>
        <v>Result</v>
      </c>
      <c r="R601" s="106" t="b">
        <f t="shared" si="2"/>
        <v>1</v>
      </c>
      <c r="S601" s="107">
        <f t="shared" si="3"/>
        <v>2</v>
      </c>
      <c r="T601" s="108"/>
      <c r="U601" s="109"/>
      <c r="V601" s="109"/>
      <c r="W601" s="109"/>
      <c r="X601" s="110" t="b">
        <f t="shared" si="4"/>
        <v>0</v>
      </c>
      <c r="Y601" s="111" t="b">
        <v>0</v>
      </c>
      <c r="Z601" s="104" t="str">
        <f t="shared" si="5"/>
        <v/>
      </c>
      <c r="AA601" s="112" t="b">
        <f t="shared" si="6"/>
        <v>0</v>
      </c>
      <c r="AB601" s="109" t="b">
        <v>0</v>
      </c>
      <c r="AC601" s="113">
        <v>215.0</v>
      </c>
      <c r="AD601" s="114" t="b">
        <v>0</v>
      </c>
      <c r="AE601" s="115" t="str">
        <f t="shared" si="7"/>
        <v/>
      </c>
      <c r="AF601" s="116" t="b">
        <f t="shared" si="8"/>
        <v>0</v>
      </c>
      <c r="AG601" s="105" t="b">
        <f t="shared" si="9"/>
        <v>1</v>
      </c>
      <c r="AH601" s="113">
        <v>7.0</v>
      </c>
      <c r="AI601" s="113"/>
      <c r="AJ601" s="113"/>
      <c r="AK601" s="117" t="str">
        <f t="shared" si="10"/>
        <v>DELETED</v>
      </c>
      <c r="AL601" s="109"/>
      <c r="AM601" s="112" t="s">
        <v>245</v>
      </c>
      <c r="AN601" s="112" t="s">
        <v>245</v>
      </c>
      <c r="AO601" s="112" t="str">
        <f>IFERROR(__xludf.DUMMYFUNCTION("IF($AG601, ""DELETED"",TRIM(JOIN("" "",D601:E601)))"),"DELETED")</f>
        <v>DELETED</v>
      </c>
      <c r="AP601" s="112" t="str">
        <f t="shared" ref="AP601:AQ601" si="626">IF($AG601, "DELETED", TRIM(CONCATENATE(F601,I601,U601)))</f>
        <v>DELETED</v>
      </c>
      <c r="AQ601" s="112" t="str">
        <f t="shared" si="626"/>
        <v>DELETED</v>
      </c>
      <c r="AR601" s="112" t="str">
        <f>IFERROR(__xludf.DUMMYFUNCTION("IF($AG601, ""DELETED"", TRIM(JOIN("" "",AP601,AQ601)))"),"DELETED")</f>
        <v>DELETED</v>
      </c>
      <c r="AS601" s="118"/>
      <c r="AT601" s="110" t="b">
        <f t="shared" si="12"/>
        <v>1</v>
      </c>
      <c r="AU601" s="110" t="str">
        <f t="shared" si="13"/>
        <v/>
      </c>
      <c r="AV601" s="110" t="str">
        <f t="shared" si="14"/>
        <v/>
      </c>
      <c r="AW601" s="110" t="str">
        <f t="shared" si="15"/>
        <v/>
      </c>
      <c r="AX601" s="119" t="str">
        <f t="shared" si="16"/>
        <v/>
      </c>
      <c r="AY601" s="120"/>
      <c r="AZ601" s="121"/>
      <c r="BA601" s="122" t="str">
        <f t="shared" si="17"/>
        <v/>
      </c>
      <c r="BB601" s="34"/>
      <c r="BC601" s="121"/>
      <c r="BD601" s="136"/>
      <c r="BE601" s="125" t="str">
        <f t="shared" si="18"/>
        <v/>
      </c>
      <c r="BF601" s="126" t="str">
        <f t="shared" si="19"/>
        <v>FM4__44619_0.323206018518519</v>
      </c>
      <c r="BG601" s="127" t="str">
        <f t="shared" si="20"/>
        <v/>
      </c>
      <c r="BH601" s="137" t="s">
        <v>1716</v>
      </c>
      <c r="BI601" s="128" t="str">
        <f t="shared" si="21"/>
        <v>MA375</v>
      </c>
      <c r="BJ601" s="129" t="b">
        <f t="shared" si="22"/>
        <v>0</v>
      </c>
      <c r="BK601" s="128" t="str">
        <f t="shared" si="23"/>
        <v/>
      </c>
      <c r="BL601" s="121"/>
      <c r="BM601" s="5" t="str">
        <f t="shared" si="24"/>
        <v/>
      </c>
      <c r="BN601" s="120" t="b">
        <f t="shared" si="25"/>
        <v>0</v>
      </c>
      <c r="BO601" s="131" t="b">
        <f t="shared" si="26"/>
        <v>0</v>
      </c>
      <c r="BP601" s="121"/>
      <c r="BQ601" s="132" t="str">
        <f>VLOOKUP(A601,RAW_APS!A$3:O826,15,FALSE)</f>
        <v/>
      </c>
      <c r="BR601" s="120" t="b">
        <f t="shared" si="27"/>
        <v>1</v>
      </c>
      <c r="BS601" s="121"/>
      <c r="BT601" s="138" t="s">
        <v>245</v>
      </c>
      <c r="BU601" s="10" t="b">
        <f t="shared" si="28"/>
        <v>1</v>
      </c>
      <c r="BV601" s="120"/>
      <c r="BW601" s="120"/>
      <c r="BX601" s="120"/>
      <c r="BY601" s="120"/>
      <c r="BZ601" s="120"/>
      <c r="CA601" s="120"/>
      <c r="CB601" s="120"/>
      <c r="CC601" s="120"/>
    </row>
    <row r="602">
      <c r="A602" s="2" t="s">
        <v>1715</v>
      </c>
      <c r="B602" s="100">
        <v>44619.0</v>
      </c>
      <c r="C602" s="101">
        <v>0.32320601851851855</v>
      </c>
      <c r="D602" s="102"/>
      <c r="E602" s="102"/>
      <c r="F602" s="102"/>
      <c r="G602" s="102"/>
      <c r="H602" s="102"/>
      <c r="I602" s="103"/>
      <c r="J602" s="103"/>
      <c r="K602" s="2" t="s">
        <v>244</v>
      </c>
      <c r="L602" s="100">
        <v>44621.0</v>
      </c>
      <c r="M602" s="101">
        <v>0.4783449074074074</v>
      </c>
      <c r="P602" s="104" t="b">
        <f>IFNA(IF(VLOOKUP($A602,'Add from APT'!$AA$2:$AC826,3,FALSE)&gt;0,TRUE,FALSE),"ER - NOT IN APT")</f>
        <v>0</v>
      </c>
      <c r="Q602" s="105" t="str">
        <f>IF(ISLOGICAL(P602),IF(P602,"ER - REPS IN APT", IFNA(VLOOKUP($A602,RAW_APT!$A$3:$M826,7,FALSE),"ER - NOT IN APT")),P602)</f>
        <v>Result</v>
      </c>
      <c r="R602" s="106" t="b">
        <f t="shared" si="2"/>
        <v>0</v>
      </c>
      <c r="S602" s="107">
        <f t="shared" si="3"/>
        <v>2</v>
      </c>
      <c r="T602" s="143"/>
      <c r="U602" s="142"/>
      <c r="V602" s="142"/>
      <c r="W602" s="142"/>
      <c r="X602" s="110" t="b">
        <f t="shared" si="4"/>
        <v>0</v>
      </c>
      <c r="Y602" s="111" t="b">
        <v>0</v>
      </c>
      <c r="Z602" s="104" t="str">
        <f t="shared" si="5"/>
        <v/>
      </c>
      <c r="AA602" s="112" t="b">
        <f t="shared" si="6"/>
        <v>0</v>
      </c>
      <c r="AB602" s="142" t="b">
        <v>0</v>
      </c>
      <c r="AC602" s="140">
        <v>214.0</v>
      </c>
      <c r="AD602" s="141" t="b">
        <v>0</v>
      </c>
      <c r="AE602" s="115" t="str">
        <f t="shared" si="7"/>
        <v/>
      </c>
      <c r="AF602" s="116" t="b">
        <f t="shared" si="8"/>
        <v>0</v>
      </c>
      <c r="AG602" s="105" t="b">
        <f t="shared" si="9"/>
        <v>0</v>
      </c>
      <c r="AH602" s="140"/>
      <c r="AI602" s="140"/>
      <c r="AJ602" s="140"/>
      <c r="AK602" s="117" t="str">
        <f t="shared" si="10"/>
        <v>Negative</v>
      </c>
      <c r="AL602" s="142"/>
      <c r="AM602" s="112" t="s">
        <v>1473</v>
      </c>
      <c r="AN602" s="112" t="s">
        <v>1474</v>
      </c>
      <c r="AO602" s="112" t="str">
        <f>IFERROR(__xludf.DUMMYFUNCTION("IF($AG602, ""DELETED"",TRIM(JOIN("" "",D602:E602)))"),"")</f>
        <v/>
      </c>
      <c r="AP602" s="112" t="str">
        <f t="shared" ref="AP602:AQ602" si="627">IF($AG602, "DELETED", TRIM(CONCATENATE(F602,I602,U602)))</f>
        <v/>
      </c>
      <c r="AQ602" s="112" t="str">
        <f t="shared" si="627"/>
        <v/>
      </c>
      <c r="AR602" s="112" t="str">
        <f>IFERROR(__xludf.DUMMYFUNCTION("IF($AG602, ""DELETED"", TRIM(JOIN("" "",AP602,AQ602)))"),"")</f>
        <v/>
      </c>
      <c r="AS602" s="118"/>
      <c r="AT602" s="110" t="b">
        <f t="shared" si="12"/>
        <v>0</v>
      </c>
      <c r="AU602" s="110" t="str">
        <f t="shared" si="13"/>
        <v/>
      </c>
      <c r="AV602" s="110" t="str">
        <f t="shared" si="14"/>
        <v/>
      </c>
      <c r="AW602" s="110" t="str">
        <f t="shared" si="15"/>
        <v/>
      </c>
      <c r="AX602" s="119" t="str">
        <f t="shared" si="16"/>
        <v/>
      </c>
      <c r="AY602" s="120"/>
      <c r="AZ602" s="121"/>
      <c r="BA602" s="122" t="str">
        <f t="shared" si="17"/>
        <v/>
      </c>
      <c r="BB602" s="34"/>
      <c r="BC602" s="121"/>
      <c r="BD602" s="136"/>
      <c r="BE602" s="125" t="str">
        <f t="shared" si="18"/>
        <v/>
      </c>
      <c r="BF602" s="126" t="str">
        <f t="shared" si="19"/>
        <v>FM4__44619_0.323206018518519</v>
      </c>
      <c r="BG602" s="127" t="str">
        <f t="shared" si="20"/>
        <v/>
      </c>
      <c r="BH602" s="137" t="s">
        <v>1717</v>
      </c>
      <c r="BI602" s="128" t="str">
        <f t="shared" si="21"/>
        <v>MA376</v>
      </c>
      <c r="BJ602" s="129" t="b">
        <f t="shared" si="22"/>
        <v>0</v>
      </c>
      <c r="BK602" s="128" t="str">
        <f t="shared" si="23"/>
        <v/>
      </c>
      <c r="BL602" s="121"/>
      <c r="BM602" s="5" t="str">
        <f t="shared" si="24"/>
        <v>MISSING</v>
      </c>
      <c r="BN602" s="120" t="b">
        <f t="shared" si="25"/>
        <v>0</v>
      </c>
      <c r="BO602" s="131" t="b">
        <f t="shared" si="26"/>
        <v>1</v>
      </c>
      <c r="BP602" s="121"/>
      <c r="BQ602" s="132" t="str">
        <f>VLOOKUP(A602,RAW_APS!A$3:O826,15,FALSE)</f>
        <v/>
      </c>
      <c r="BR602" s="120" t="b">
        <f t="shared" si="27"/>
        <v>1</v>
      </c>
      <c r="BS602" s="121"/>
      <c r="BT602" s="138" t="s">
        <v>244</v>
      </c>
      <c r="BU602" s="10" t="b">
        <f t="shared" si="28"/>
        <v>1</v>
      </c>
      <c r="BV602" s="120"/>
      <c r="BW602" s="120"/>
      <c r="BX602" s="120"/>
      <c r="BY602" s="120"/>
      <c r="BZ602" s="120"/>
      <c r="CA602" s="120"/>
      <c r="CB602" s="120"/>
      <c r="CC602" s="120"/>
    </row>
    <row r="603">
      <c r="A603" s="2" t="s">
        <v>1718</v>
      </c>
      <c r="B603" s="100">
        <v>44619.0</v>
      </c>
      <c r="C603" s="101">
        <v>0.3246759259259259</v>
      </c>
      <c r="D603" s="102"/>
      <c r="E603" s="102"/>
      <c r="F603" s="102"/>
      <c r="G603" s="102"/>
      <c r="H603" s="102"/>
      <c r="I603" s="103"/>
      <c r="J603" s="103"/>
      <c r="K603" s="2" t="s">
        <v>244</v>
      </c>
      <c r="L603" s="100">
        <v>44621.0</v>
      </c>
      <c r="M603" s="101">
        <v>0.47835648148148147</v>
      </c>
      <c r="P603" s="104" t="b">
        <f>IFNA(IF(VLOOKUP($A603,'Add from APT'!$AA$2:$AC826,3,FALSE)&gt;0,TRUE,FALSE),"ER - NOT IN APT")</f>
        <v>0</v>
      </c>
      <c r="Q603" s="105" t="str">
        <f>IF(ISLOGICAL(P603),IF(P603,"ER - REPS IN APT", IFNA(VLOOKUP($A603,RAW_APT!$A$3:$M826,7,FALSE),"ER - NOT IN APT")),P603)</f>
        <v>Result</v>
      </c>
      <c r="R603" s="106" t="b">
        <f t="shared" si="2"/>
        <v>1</v>
      </c>
      <c r="S603" s="107">
        <f t="shared" si="3"/>
        <v>1</v>
      </c>
      <c r="T603" s="143"/>
      <c r="U603" s="142"/>
      <c r="V603" s="142"/>
      <c r="W603" s="142"/>
      <c r="X603" s="110" t="b">
        <f t="shared" si="4"/>
        <v>0</v>
      </c>
      <c r="Y603" s="111" t="b">
        <v>0</v>
      </c>
      <c r="Z603" s="104" t="str">
        <f t="shared" si="5"/>
        <v/>
      </c>
      <c r="AA603" s="112" t="b">
        <f t="shared" si="6"/>
        <v>0</v>
      </c>
      <c r="AB603" s="142" t="b">
        <v>0</v>
      </c>
      <c r="AC603" s="140">
        <v>213.0</v>
      </c>
      <c r="AD603" s="141" t="b">
        <v>0</v>
      </c>
      <c r="AE603" s="115" t="str">
        <f t="shared" si="7"/>
        <v/>
      </c>
      <c r="AF603" s="116" t="b">
        <f t="shared" si="8"/>
        <v>0</v>
      </c>
      <c r="AG603" s="105" t="b">
        <f t="shared" si="9"/>
        <v>0</v>
      </c>
      <c r="AH603" s="140"/>
      <c r="AI603" s="140"/>
      <c r="AJ603" s="140"/>
      <c r="AK603" s="117" t="str">
        <f t="shared" si="10"/>
        <v>Negative</v>
      </c>
      <c r="AL603" s="142"/>
      <c r="AM603" s="112" t="s">
        <v>520</v>
      </c>
      <c r="AN603" s="112" t="s">
        <v>521</v>
      </c>
      <c r="AO603" s="112" t="str">
        <f>IFERROR(__xludf.DUMMYFUNCTION("IF($AG603, ""DELETED"",TRIM(JOIN("" "",D603:E603)))"),"")</f>
        <v/>
      </c>
      <c r="AP603" s="112" t="str">
        <f t="shared" ref="AP603:AQ603" si="628">IF($AG603, "DELETED", TRIM(CONCATENATE(F603,I603,U603)))</f>
        <v/>
      </c>
      <c r="AQ603" s="112" t="str">
        <f t="shared" si="628"/>
        <v/>
      </c>
      <c r="AR603" s="112" t="str">
        <f>IFERROR(__xludf.DUMMYFUNCTION("IF($AG603, ""DELETED"", TRIM(JOIN("" "",AP603,AQ603)))"),"")</f>
        <v/>
      </c>
      <c r="AS603" s="118"/>
      <c r="AT603" s="110" t="b">
        <f t="shared" si="12"/>
        <v>0</v>
      </c>
      <c r="AU603" s="110" t="str">
        <f t="shared" si="13"/>
        <v/>
      </c>
      <c r="AV603" s="110" t="str">
        <f t="shared" si="14"/>
        <v/>
      </c>
      <c r="AW603" s="110" t="str">
        <f t="shared" si="15"/>
        <v/>
      </c>
      <c r="AX603" s="119" t="str">
        <f t="shared" si="16"/>
        <v/>
      </c>
      <c r="AY603" s="120"/>
      <c r="AZ603" s="121"/>
      <c r="BA603" s="122" t="str">
        <f t="shared" si="17"/>
        <v/>
      </c>
      <c r="BB603" s="34"/>
      <c r="BC603" s="121"/>
      <c r="BD603" s="136"/>
      <c r="BE603" s="125" t="str">
        <f t="shared" si="18"/>
        <v/>
      </c>
      <c r="BF603" s="126" t="str">
        <f t="shared" si="19"/>
        <v>FM2066__44619_0.324675925925926</v>
      </c>
      <c r="BG603" s="127" t="str">
        <f t="shared" si="20"/>
        <v/>
      </c>
      <c r="BH603" s="137" t="s">
        <v>1719</v>
      </c>
      <c r="BI603" s="128" t="str">
        <f t="shared" si="21"/>
        <v>MA377</v>
      </c>
      <c r="BJ603" s="129" t="b">
        <f t="shared" si="22"/>
        <v>0</v>
      </c>
      <c r="BK603" s="128" t="str">
        <f t="shared" si="23"/>
        <v/>
      </c>
      <c r="BL603" s="121"/>
      <c r="BM603" s="5" t="str">
        <f t="shared" si="24"/>
        <v>MISSING</v>
      </c>
      <c r="BN603" s="120" t="b">
        <f t="shared" si="25"/>
        <v>0</v>
      </c>
      <c r="BO603" s="131" t="b">
        <f t="shared" si="26"/>
        <v>1</v>
      </c>
      <c r="BP603" s="121"/>
      <c r="BQ603" s="132" t="str">
        <f>VLOOKUP(A603,RAW_APS!A$3:O826,15,FALSE)</f>
        <v/>
      </c>
      <c r="BR603" s="120" t="b">
        <f t="shared" si="27"/>
        <v>1</v>
      </c>
      <c r="BS603" s="121"/>
      <c r="BT603" s="138" t="s">
        <v>244</v>
      </c>
      <c r="BU603" s="10" t="b">
        <f t="shared" si="28"/>
        <v>1</v>
      </c>
      <c r="BV603" s="120"/>
      <c r="BW603" s="120"/>
      <c r="BX603" s="120"/>
      <c r="BY603" s="120"/>
      <c r="BZ603" s="120"/>
      <c r="CA603" s="120"/>
      <c r="CB603" s="120"/>
      <c r="CC603" s="120"/>
    </row>
    <row r="604">
      <c r="A604" s="2" t="s">
        <v>1720</v>
      </c>
      <c r="B604" s="100">
        <v>44619.0</v>
      </c>
      <c r="C604" s="101">
        <v>0.3249768518518519</v>
      </c>
      <c r="D604" s="102"/>
      <c r="E604" s="102"/>
      <c r="F604" s="102"/>
      <c r="G604" s="102"/>
      <c r="H604" s="102"/>
      <c r="I604" s="103"/>
      <c r="J604" s="103"/>
      <c r="K604" s="2" t="s">
        <v>244</v>
      </c>
      <c r="L604" s="100">
        <v>44621.0</v>
      </c>
      <c r="M604" s="101">
        <v>0.47835648148148147</v>
      </c>
      <c r="P604" s="104" t="b">
        <f>IFNA(IF(VLOOKUP($A604,'Add from APT'!$AA$2:$AC826,3,FALSE)&gt;0,TRUE,FALSE),"ER - NOT IN APT")</f>
        <v>0</v>
      </c>
      <c r="Q604" s="105" t="str">
        <f>IF(ISLOGICAL(P604),IF(P604,"ER - REPS IN APT", IFNA(VLOOKUP($A604,RAW_APT!$A$3:$M826,7,FALSE),"ER - NOT IN APT")),P604)</f>
        <v>Result</v>
      </c>
      <c r="R604" s="106" t="b">
        <f t="shared" si="2"/>
        <v>1</v>
      </c>
      <c r="S604" s="107">
        <f t="shared" si="3"/>
        <v>1</v>
      </c>
      <c r="T604" s="143"/>
      <c r="U604" s="142"/>
      <c r="V604" s="142"/>
      <c r="W604" s="142"/>
      <c r="X604" s="110" t="b">
        <f t="shared" si="4"/>
        <v>0</v>
      </c>
      <c r="Y604" s="111" t="b">
        <v>0</v>
      </c>
      <c r="Z604" s="104" t="str">
        <f t="shared" si="5"/>
        <v/>
      </c>
      <c r="AA604" s="112" t="b">
        <f t="shared" si="6"/>
        <v>0</v>
      </c>
      <c r="AB604" s="142" t="b">
        <v>0</v>
      </c>
      <c r="AC604" s="140">
        <v>212.0</v>
      </c>
      <c r="AD604" s="141" t="b">
        <v>0</v>
      </c>
      <c r="AE604" s="115" t="str">
        <f t="shared" si="7"/>
        <v/>
      </c>
      <c r="AF604" s="116" t="b">
        <f t="shared" si="8"/>
        <v>0</v>
      </c>
      <c r="AG604" s="105" t="b">
        <f t="shared" si="9"/>
        <v>0</v>
      </c>
      <c r="AH604" s="140"/>
      <c r="AI604" s="140"/>
      <c r="AJ604" s="140"/>
      <c r="AK604" s="117" t="str">
        <f t="shared" si="10"/>
        <v>Negative</v>
      </c>
      <c r="AL604" s="142"/>
      <c r="AM604" s="112" t="s">
        <v>436</v>
      </c>
      <c r="AN604" s="112" t="s">
        <v>437</v>
      </c>
      <c r="AO604" s="112" t="str">
        <f>IFERROR(__xludf.DUMMYFUNCTION("IF($AG604, ""DELETED"",TRIM(JOIN("" "",D604:E604)))"),"")</f>
        <v/>
      </c>
      <c r="AP604" s="112" t="str">
        <f t="shared" ref="AP604:AQ604" si="629">IF($AG604, "DELETED", TRIM(CONCATENATE(F604,I604,U604)))</f>
        <v/>
      </c>
      <c r="AQ604" s="112" t="str">
        <f t="shared" si="629"/>
        <v/>
      </c>
      <c r="AR604" s="112" t="str">
        <f>IFERROR(__xludf.DUMMYFUNCTION("IF($AG604, ""DELETED"", TRIM(JOIN("" "",AP604,AQ604)))"),"")</f>
        <v/>
      </c>
      <c r="AS604" s="118"/>
      <c r="AT604" s="110" t="b">
        <f t="shared" si="12"/>
        <v>0</v>
      </c>
      <c r="AU604" s="110" t="str">
        <f t="shared" si="13"/>
        <v/>
      </c>
      <c r="AV604" s="110" t="str">
        <f t="shared" si="14"/>
        <v/>
      </c>
      <c r="AW604" s="110" t="str">
        <f t="shared" si="15"/>
        <v/>
      </c>
      <c r="AX604" s="119" t="str">
        <f t="shared" si="16"/>
        <v/>
      </c>
      <c r="AY604" s="120"/>
      <c r="AZ604" s="121"/>
      <c r="BA604" s="122" t="str">
        <f t="shared" si="17"/>
        <v/>
      </c>
      <c r="BB604" s="34"/>
      <c r="BC604" s="121"/>
      <c r="BD604" s="136"/>
      <c r="BE604" s="125" t="str">
        <f t="shared" si="18"/>
        <v/>
      </c>
      <c r="BF604" s="126" t="str">
        <f t="shared" si="19"/>
        <v>FM2059__44619_0.324976851851852</v>
      </c>
      <c r="BG604" s="127" t="str">
        <f t="shared" si="20"/>
        <v/>
      </c>
      <c r="BH604" s="137" t="s">
        <v>1721</v>
      </c>
      <c r="BI604" s="128" t="str">
        <f t="shared" si="21"/>
        <v>MA378</v>
      </c>
      <c r="BJ604" s="129" t="b">
        <f t="shared" si="22"/>
        <v>0</v>
      </c>
      <c r="BK604" s="128" t="str">
        <f t="shared" si="23"/>
        <v/>
      </c>
      <c r="BL604" s="121"/>
      <c r="BM604" s="5" t="str">
        <f t="shared" si="24"/>
        <v>MISSING</v>
      </c>
      <c r="BN604" s="120" t="b">
        <f t="shared" si="25"/>
        <v>0</v>
      </c>
      <c r="BO604" s="131" t="b">
        <f t="shared" si="26"/>
        <v>1</v>
      </c>
      <c r="BP604" s="121"/>
      <c r="BQ604" s="132" t="str">
        <f>VLOOKUP(A604,RAW_APS!A$3:O826,15,FALSE)</f>
        <v/>
      </c>
      <c r="BR604" s="120" t="b">
        <f t="shared" si="27"/>
        <v>1</v>
      </c>
      <c r="BS604" s="121"/>
      <c r="BT604" s="138" t="s">
        <v>244</v>
      </c>
      <c r="BU604" s="10" t="b">
        <f t="shared" si="28"/>
        <v>1</v>
      </c>
      <c r="BV604" s="120"/>
      <c r="BW604" s="120"/>
      <c r="BX604" s="120"/>
      <c r="BY604" s="120"/>
      <c r="BZ604" s="120"/>
      <c r="CA604" s="120"/>
      <c r="CB604" s="120"/>
      <c r="CC604" s="120"/>
    </row>
    <row r="605">
      <c r="A605" s="2" t="s">
        <v>1722</v>
      </c>
      <c r="B605" s="100">
        <v>44619.0</v>
      </c>
      <c r="C605" s="101">
        <v>0.32743055555555556</v>
      </c>
      <c r="D605" s="102"/>
      <c r="E605" s="102"/>
      <c r="F605" s="102"/>
      <c r="G605" s="102"/>
      <c r="H605" s="102"/>
      <c r="I605" s="103"/>
      <c r="J605" s="103"/>
      <c r="K605" s="2" t="s">
        <v>244</v>
      </c>
      <c r="L605" s="100">
        <v>44621.0</v>
      </c>
      <c r="M605" s="101">
        <v>0.47835648148148147</v>
      </c>
      <c r="P605" s="104" t="b">
        <f>IFNA(IF(VLOOKUP($A605,'Add from APT'!$AA$2:$AC826,3,FALSE)&gt;0,TRUE,FALSE),"ER - NOT IN APT")</f>
        <v>0</v>
      </c>
      <c r="Q605" s="105" t="str">
        <f>IF(ISLOGICAL(P605),IF(P605,"ER - REPS IN APT", IFNA(VLOOKUP($A605,RAW_APT!$A$3:$M826,7,FALSE),"ER - NOT IN APT")),P605)</f>
        <v>Result</v>
      </c>
      <c r="R605" s="106" t="b">
        <f t="shared" si="2"/>
        <v>1</v>
      </c>
      <c r="S605" s="107">
        <f t="shared" si="3"/>
        <v>1</v>
      </c>
      <c r="T605" s="143"/>
      <c r="U605" s="142"/>
      <c r="V605" s="142"/>
      <c r="W605" s="142"/>
      <c r="X605" s="110" t="b">
        <f t="shared" si="4"/>
        <v>0</v>
      </c>
      <c r="Y605" s="111" t="b">
        <v>0</v>
      </c>
      <c r="Z605" s="104" t="str">
        <f t="shared" si="5"/>
        <v/>
      </c>
      <c r="AA605" s="112" t="b">
        <f t="shared" si="6"/>
        <v>0</v>
      </c>
      <c r="AB605" s="142" t="b">
        <v>0</v>
      </c>
      <c r="AC605" s="140">
        <v>211.0</v>
      </c>
      <c r="AD605" s="141" t="b">
        <v>0</v>
      </c>
      <c r="AE605" s="115" t="str">
        <f t="shared" si="7"/>
        <v/>
      </c>
      <c r="AF605" s="116" t="b">
        <f t="shared" si="8"/>
        <v>0</v>
      </c>
      <c r="AG605" s="105" t="b">
        <f t="shared" si="9"/>
        <v>0</v>
      </c>
      <c r="AH605" s="140"/>
      <c r="AI605" s="140"/>
      <c r="AJ605" s="140"/>
      <c r="AK605" s="117" t="str">
        <f t="shared" si="10"/>
        <v>Negative</v>
      </c>
      <c r="AL605" s="142"/>
      <c r="AM605" s="112" t="s">
        <v>398</v>
      </c>
      <c r="AN605" s="112" t="s">
        <v>399</v>
      </c>
      <c r="AO605" s="112" t="str">
        <f>IFERROR(__xludf.DUMMYFUNCTION("IF($AG605, ""DELETED"",TRIM(JOIN("" "",D605:E605)))"),"")</f>
        <v/>
      </c>
      <c r="AP605" s="112" t="str">
        <f t="shared" ref="AP605:AQ605" si="630">IF($AG605, "DELETED", TRIM(CONCATENATE(F605,I605,U605)))</f>
        <v/>
      </c>
      <c r="AQ605" s="112" t="str">
        <f t="shared" si="630"/>
        <v/>
      </c>
      <c r="AR605" s="112" t="str">
        <f>IFERROR(__xludf.DUMMYFUNCTION("IF($AG605, ""DELETED"", TRIM(JOIN("" "",AP605,AQ605)))"),"")</f>
        <v/>
      </c>
      <c r="AS605" s="118"/>
      <c r="AT605" s="110" t="b">
        <f t="shared" si="12"/>
        <v>0</v>
      </c>
      <c r="AU605" s="110" t="str">
        <f t="shared" si="13"/>
        <v/>
      </c>
      <c r="AV605" s="110" t="str">
        <f t="shared" si="14"/>
        <v/>
      </c>
      <c r="AW605" s="110" t="str">
        <f t="shared" si="15"/>
        <v/>
      </c>
      <c r="AX605" s="119" t="str">
        <f t="shared" si="16"/>
        <v/>
      </c>
      <c r="AY605" s="120"/>
      <c r="AZ605" s="121"/>
      <c r="BA605" s="122" t="str">
        <f t="shared" si="17"/>
        <v/>
      </c>
      <c r="BB605" s="34"/>
      <c r="BC605" s="121"/>
      <c r="BD605" s="136"/>
      <c r="BE605" s="125" t="str">
        <f t="shared" si="18"/>
        <v/>
      </c>
      <c r="BF605" s="126" t="str">
        <f t="shared" si="19"/>
        <v>FM471__44619_0.327430555555556</v>
      </c>
      <c r="BG605" s="127" t="str">
        <f t="shared" si="20"/>
        <v/>
      </c>
      <c r="BH605" s="137" t="s">
        <v>1723</v>
      </c>
      <c r="BI605" s="128" t="str">
        <f t="shared" si="21"/>
        <v>MA379</v>
      </c>
      <c r="BJ605" s="129" t="b">
        <f t="shared" si="22"/>
        <v>0</v>
      </c>
      <c r="BK605" s="128" t="str">
        <f t="shared" si="23"/>
        <v/>
      </c>
      <c r="BL605" s="121"/>
      <c r="BM605" s="5" t="str">
        <f t="shared" si="24"/>
        <v>MISSING</v>
      </c>
      <c r="BN605" s="120" t="b">
        <f t="shared" si="25"/>
        <v>0</v>
      </c>
      <c r="BO605" s="131" t="b">
        <f t="shared" si="26"/>
        <v>1</v>
      </c>
      <c r="BP605" s="121"/>
      <c r="BQ605" s="132" t="str">
        <f>VLOOKUP(A605,RAW_APS!A$3:O826,15,FALSE)</f>
        <v/>
      </c>
      <c r="BR605" s="120" t="b">
        <f t="shared" si="27"/>
        <v>1</v>
      </c>
      <c r="BS605" s="121"/>
      <c r="BT605" s="138" t="s">
        <v>244</v>
      </c>
      <c r="BU605" s="10" t="b">
        <f t="shared" si="28"/>
        <v>1</v>
      </c>
      <c r="BV605" s="120"/>
      <c r="BW605" s="120"/>
      <c r="BX605" s="120"/>
      <c r="BY605" s="120"/>
      <c r="BZ605" s="120"/>
      <c r="CA605" s="120"/>
      <c r="CB605" s="120"/>
      <c r="CC605" s="120"/>
    </row>
    <row r="606">
      <c r="A606" s="2" t="s">
        <v>1724</v>
      </c>
      <c r="B606" s="100">
        <v>44619.0</v>
      </c>
      <c r="C606" s="101">
        <v>0.33024305555555555</v>
      </c>
      <c r="D606" s="102"/>
      <c r="E606" s="102"/>
      <c r="F606" s="102"/>
      <c r="G606" s="102"/>
      <c r="H606" s="102"/>
      <c r="I606" s="103"/>
      <c r="J606" s="103"/>
      <c r="K606" s="2" t="s">
        <v>244</v>
      </c>
      <c r="L606" s="100">
        <v>44621.0</v>
      </c>
      <c r="M606" s="101">
        <v>0.47835648148148147</v>
      </c>
      <c r="P606" s="104" t="b">
        <f>IFNA(IF(VLOOKUP($A606,'Add from APT'!$AA$2:$AC826,3,FALSE)&gt;0,TRUE,FALSE),"ER - NOT IN APT")</f>
        <v>0</v>
      </c>
      <c r="Q606" s="105" t="str">
        <f>IF(ISLOGICAL(P606),IF(P606,"ER - REPS IN APT", IFNA(VLOOKUP($A606,RAW_APT!$A$3:$M826,7,FALSE),"ER - NOT IN APT")),P606)</f>
        <v>Result</v>
      </c>
      <c r="R606" s="106" t="b">
        <f t="shared" si="2"/>
        <v>1</v>
      </c>
      <c r="S606" s="107">
        <f t="shared" si="3"/>
        <v>1</v>
      </c>
      <c r="T606" s="143"/>
      <c r="U606" s="142"/>
      <c r="V606" s="142"/>
      <c r="W606" s="142"/>
      <c r="X606" s="110" t="b">
        <f t="shared" si="4"/>
        <v>0</v>
      </c>
      <c r="Y606" s="111" t="b">
        <v>0</v>
      </c>
      <c r="Z606" s="104" t="str">
        <f t="shared" si="5"/>
        <v/>
      </c>
      <c r="AA606" s="112" t="b">
        <f t="shared" si="6"/>
        <v>0</v>
      </c>
      <c r="AB606" s="142" t="b">
        <v>0</v>
      </c>
      <c r="AC606" s="140">
        <v>210.0</v>
      </c>
      <c r="AD606" s="141" t="b">
        <v>0</v>
      </c>
      <c r="AE606" s="115" t="str">
        <f t="shared" si="7"/>
        <v/>
      </c>
      <c r="AF606" s="116" t="b">
        <f t="shared" si="8"/>
        <v>0</v>
      </c>
      <c r="AG606" s="105" t="b">
        <f t="shared" si="9"/>
        <v>0</v>
      </c>
      <c r="AH606" s="140"/>
      <c r="AI606" s="140"/>
      <c r="AJ606" s="140"/>
      <c r="AK606" s="117" t="str">
        <f t="shared" si="10"/>
        <v>Negative</v>
      </c>
      <c r="AL606" s="142"/>
      <c r="AM606" s="112" t="s">
        <v>1298</v>
      </c>
      <c r="AN606" s="112" t="s">
        <v>1299</v>
      </c>
      <c r="AO606" s="112" t="str">
        <f>IFERROR(__xludf.DUMMYFUNCTION("IF($AG606, ""DELETED"",TRIM(JOIN("" "",D606:E606)))"),"")</f>
        <v/>
      </c>
      <c r="AP606" s="112" t="str">
        <f t="shared" ref="AP606:AQ606" si="631">IF($AG606, "DELETED", TRIM(CONCATENATE(F606,I606,U606)))</f>
        <v/>
      </c>
      <c r="AQ606" s="112" t="str">
        <f t="shared" si="631"/>
        <v/>
      </c>
      <c r="AR606" s="112" t="str">
        <f>IFERROR(__xludf.DUMMYFUNCTION("IF($AG606, ""DELETED"", TRIM(JOIN("" "",AP606,AQ606)))"),"")</f>
        <v/>
      </c>
      <c r="AS606" s="118"/>
      <c r="AT606" s="110" t="b">
        <f t="shared" si="12"/>
        <v>0</v>
      </c>
      <c r="AU606" s="110" t="str">
        <f t="shared" si="13"/>
        <v/>
      </c>
      <c r="AV606" s="110" t="str">
        <f t="shared" si="14"/>
        <v/>
      </c>
      <c r="AW606" s="110" t="str">
        <f t="shared" si="15"/>
        <v/>
      </c>
      <c r="AX606" s="119" t="str">
        <f t="shared" si="16"/>
        <v/>
      </c>
      <c r="AY606" s="120"/>
      <c r="AZ606" s="121"/>
      <c r="BA606" s="122" t="str">
        <f t="shared" si="17"/>
        <v/>
      </c>
      <c r="BB606" s="34"/>
      <c r="BC606" s="121"/>
      <c r="BD606" s="136"/>
      <c r="BE606" s="125" t="str">
        <f t="shared" si="18"/>
        <v/>
      </c>
      <c r="BF606" s="126" t="str">
        <f t="shared" si="19"/>
        <v>FM812__44619_0.330243055555556</v>
      </c>
      <c r="BG606" s="127" t="str">
        <f t="shared" si="20"/>
        <v/>
      </c>
      <c r="BH606" s="137" t="s">
        <v>1725</v>
      </c>
      <c r="BI606" s="128" t="str">
        <f t="shared" si="21"/>
        <v>MA380</v>
      </c>
      <c r="BJ606" s="129" t="b">
        <f t="shared" si="22"/>
        <v>0</v>
      </c>
      <c r="BK606" s="128" t="str">
        <f t="shared" si="23"/>
        <v/>
      </c>
      <c r="BL606" s="121"/>
      <c r="BM606" s="5" t="str">
        <f t="shared" si="24"/>
        <v>MISSING</v>
      </c>
      <c r="BN606" s="120" t="b">
        <f t="shared" si="25"/>
        <v>0</v>
      </c>
      <c r="BO606" s="131" t="b">
        <f t="shared" si="26"/>
        <v>1</v>
      </c>
      <c r="BP606" s="121"/>
      <c r="BQ606" s="132" t="str">
        <f>VLOOKUP(A606,RAW_APS!A$3:O826,15,FALSE)</f>
        <v/>
      </c>
      <c r="BR606" s="120" t="b">
        <f t="shared" si="27"/>
        <v>1</v>
      </c>
      <c r="BS606" s="121"/>
      <c r="BT606" s="138" t="s">
        <v>244</v>
      </c>
      <c r="BU606" s="10" t="b">
        <f t="shared" si="28"/>
        <v>1</v>
      </c>
      <c r="BV606" s="120"/>
      <c r="BW606" s="120"/>
      <c r="BX606" s="120"/>
      <c r="BY606" s="120"/>
      <c r="BZ606" s="120"/>
      <c r="CA606" s="120"/>
      <c r="CB606" s="120"/>
      <c r="CC606" s="120"/>
    </row>
    <row r="607">
      <c r="A607" s="2" t="s">
        <v>1726</v>
      </c>
      <c r="B607" s="100">
        <v>44619.0</v>
      </c>
      <c r="C607" s="101">
        <v>0.3308449074074074</v>
      </c>
      <c r="D607" s="102"/>
      <c r="E607" s="102"/>
      <c r="F607" s="102"/>
      <c r="G607" s="102"/>
      <c r="H607" s="102"/>
      <c r="I607" s="103"/>
      <c r="J607" s="103"/>
      <c r="K607" s="2" t="s">
        <v>244</v>
      </c>
      <c r="L607" s="100">
        <v>44621.0</v>
      </c>
      <c r="M607" s="101">
        <v>0.47835648148148147</v>
      </c>
      <c r="P607" s="104" t="b">
        <f>IFNA(IF(VLOOKUP($A607,'Add from APT'!$AA$2:$AC826,3,FALSE)&gt;0,TRUE,FALSE),"ER - NOT IN APT")</f>
        <v>0</v>
      </c>
      <c r="Q607" s="105" t="str">
        <f>IF(ISLOGICAL(P607),IF(P607,"ER - REPS IN APT", IFNA(VLOOKUP($A607,RAW_APT!$A$3:$M826,7,FALSE),"ER - NOT IN APT")),P607)</f>
        <v>Result</v>
      </c>
      <c r="R607" s="106" t="b">
        <f t="shared" si="2"/>
        <v>1</v>
      </c>
      <c r="S607" s="107">
        <f t="shared" si="3"/>
        <v>1</v>
      </c>
      <c r="T607" s="143"/>
      <c r="U607" s="142"/>
      <c r="V607" s="142"/>
      <c r="W607" s="142"/>
      <c r="X607" s="110" t="b">
        <f t="shared" si="4"/>
        <v>0</v>
      </c>
      <c r="Y607" s="111" t="b">
        <v>0</v>
      </c>
      <c r="Z607" s="104" t="str">
        <f t="shared" si="5"/>
        <v/>
      </c>
      <c r="AA607" s="112" t="b">
        <f t="shared" si="6"/>
        <v>0</v>
      </c>
      <c r="AB607" s="142" t="b">
        <v>0</v>
      </c>
      <c r="AC607" s="140">
        <v>209.0</v>
      </c>
      <c r="AD607" s="141" t="b">
        <v>0</v>
      </c>
      <c r="AE607" s="115" t="str">
        <f t="shared" si="7"/>
        <v/>
      </c>
      <c r="AF607" s="116" t="b">
        <f t="shared" si="8"/>
        <v>0</v>
      </c>
      <c r="AG607" s="105" t="b">
        <f t="shared" si="9"/>
        <v>0</v>
      </c>
      <c r="AH607" s="140"/>
      <c r="AI607" s="140"/>
      <c r="AJ607" s="140"/>
      <c r="AK607" s="117" t="str">
        <f t="shared" si="10"/>
        <v>Negative</v>
      </c>
      <c r="AL607" s="142"/>
      <c r="AM607" s="112" t="s">
        <v>1242</v>
      </c>
      <c r="AN607" s="112" t="s">
        <v>1243</v>
      </c>
      <c r="AO607" s="112" t="str">
        <f>IFERROR(__xludf.DUMMYFUNCTION("IF($AG607, ""DELETED"",TRIM(JOIN("" "",D607:E607)))"),"")</f>
        <v/>
      </c>
      <c r="AP607" s="112" t="str">
        <f t="shared" ref="AP607:AQ607" si="632">IF($AG607, "DELETED", TRIM(CONCATENATE(F607,I607,U607)))</f>
        <v/>
      </c>
      <c r="AQ607" s="112" t="str">
        <f t="shared" si="632"/>
        <v/>
      </c>
      <c r="AR607" s="112" t="str">
        <f>IFERROR(__xludf.DUMMYFUNCTION("IF($AG607, ""DELETED"", TRIM(JOIN("" "",AP607,AQ607)))"),"")</f>
        <v/>
      </c>
      <c r="AS607" s="118"/>
      <c r="AT607" s="110" t="b">
        <f t="shared" si="12"/>
        <v>0</v>
      </c>
      <c r="AU607" s="110" t="str">
        <f t="shared" si="13"/>
        <v/>
      </c>
      <c r="AV607" s="110" t="str">
        <f t="shared" si="14"/>
        <v/>
      </c>
      <c r="AW607" s="110" t="str">
        <f t="shared" si="15"/>
        <v/>
      </c>
      <c r="AX607" s="119" t="str">
        <f t="shared" si="16"/>
        <v/>
      </c>
      <c r="AY607" s="120"/>
      <c r="AZ607" s="121"/>
      <c r="BA607" s="122" t="str">
        <f t="shared" si="17"/>
        <v/>
      </c>
      <c r="BB607" s="34"/>
      <c r="BC607" s="121"/>
      <c r="BD607" s="136"/>
      <c r="BE607" s="125" t="str">
        <f t="shared" si="18"/>
        <v/>
      </c>
      <c r="BF607" s="126" t="str">
        <f t="shared" si="19"/>
        <v>FM444__44619_0.330844907407407</v>
      </c>
      <c r="BG607" s="127" t="str">
        <f t="shared" si="20"/>
        <v/>
      </c>
      <c r="BH607" s="137" t="s">
        <v>1727</v>
      </c>
      <c r="BI607" s="128" t="str">
        <f t="shared" si="21"/>
        <v>MA383</v>
      </c>
      <c r="BJ607" s="129" t="b">
        <f t="shared" si="22"/>
        <v>0</v>
      </c>
      <c r="BK607" s="128" t="str">
        <f t="shared" si="23"/>
        <v/>
      </c>
      <c r="BL607" s="121"/>
      <c r="BM607" s="5" t="str">
        <f t="shared" si="24"/>
        <v>MISSING</v>
      </c>
      <c r="BN607" s="120" t="b">
        <f t="shared" si="25"/>
        <v>0</v>
      </c>
      <c r="BO607" s="131" t="b">
        <f t="shared" si="26"/>
        <v>1</v>
      </c>
      <c r="BP607" s="121"/>
      <c r="BQ607" s="132" t="str">
        <f>VLOOKUP(A607,RAW_APS!A$3:O826,15,FALSE)</f>
        <v/>
      </c>
      <c r="BR607" s="120" t="b">
        <f t="shared" si="27"/>
        <v>1</v>
      </c>
      <c r="BS607" s="121"/>
      <c r="BT607" s="138" t="s">
        <v>244</v>
      </c>
      <c r="BU607" s="10" t="b">
        <f t="shared" si="28"/>
        <v>1</v>
      </c>
      <c r="BV607" s="120"/>
      <c r="BW607" s="120"/>
      <c r="BX607" s="120"/>
      <c r="BY607" s="120"/>
      <c r="BZ607" s="120"/>
      <c r="CA607" s="120"/>
      <c r="CB607" s="120"/>
      <c r="CC607" s="120"/>
    </row>
    <row r="608">
      <c r="A608" s="2" t="s">
        <v>1728</v>
      </c>
      <c r="B608" s="100">
        <v>44619.0</v>
      </c>
      <c r="C608" s="101">
        <v>0.3308564814814815</v>
      </c>
      <c r="D608" s="102"/>
      <c r="E608" s="102"/>
      <c r="F608" s="102"/>
      <c r="G608" s="102"/>
      <c r="H608" s="102"/>
      <c r="I608" s="103"/>
      <c r="J608" s="103"/>
      <c r="K608" s="2" t="s">
        <v>244</v>
      </c>
      <c r="L608" s="100">
        <v>44621.0</v>
      </c>
      <c r="M608" s="101">
        <v>0.47835648148148147</v>
      </c>
      <c r="P608" s="104" t="b">
        <f>IFNA(IF(VLOOKUP($A608,'Add from APT'!$AA$2:$AC826,3,FALSE)&gt;0,TRUE,FALSE),"ER - NOT IN APT")</f>
        <v>0</v>
      </c>
      <c r="Q608" s="105" t="str">
        <f>IF(ISLOGICAL(P608),IF(P608,"ER - REPS IN APT", IFNA(VLOOKUP($A608,RAW_APT!$A$3:$M826,7,FALSE),"ER - NOT IN APT")),P608)</f>
        <v>Result</v>
      </c>
      <c r="R608" s="106" t="b">
        <f t="shared" si="2"/>
        <v>1</v>
      </c>
      <c r="S608" s="107">
        <f t="shared" si="3"/>
        <v>1</v>
      </c>
      <c r="T608" s="143"/>
      <c r="U608" s="142"/>
      <c r="V608" s="142"/>
      <c r="W608" s="142"/>
      <c r="X608" s="110" t="b">
        <f t="shared" si="4"/>
        <v>0</v>
      </c>
      <c r="Y608" s="111" t="b">
        <v>0</v>
      </c>
      <c r="Z608" s="104" t="str">
        <f t="shared" si="5"/>
        <v/>
      </c>
      <c r="AA608" s="112" t="b">
        <f t="shared" si="6"/>
        <v>0</v>
      </c>
      <c r="AB608" s="142" t="b">
        <v>0</v>
      </c>
      <c r="AC608" s="140">
        <v>208.0</v>
      </c>
      <c r="AD608" s="141" t="b">
        <v>0</v>
      </c>
      <c r="AE608" s="115" t="str">
        <f t="shared" si="7"/>
        <v/>
      </c>
      <c r="AF608" s="116" t="b">
        <f t="shared" si="8"/>
        <v>0</v>
      </c>
      <c r="AG608" s="105" t="b">
        <f t="shared" si="9"/>
        <v>0</v>
      </c>
      <c r="AH608" s="140"/>
      <c r="AI608" s="140"/>
      <c r="AJ608" s="140"/>
      <c r="AK608" s="117" t="str">
        <f t="shared" si="10"/>
        <v>Negative</v>
      </c>
      <c r="AL608" s="142"/>
      <c r="AM608" s="112" t="s">
        <v>1270</v>
      </c>
      <c r="AN608" s="112" t="s">
        <v>1271</v>
      </c>
      <c r="AO608" s="112" t="str">
        <f>IFERROR(__xludf.DUMMYFUNCTION("IF($AG608, ""DELETED"",TRIM(JOIN("" "",D608:E608)))"),"")</f>
        <v/>
      </c>
      <c r="AP608" s="112" t="str">
        <f t="shared" ref="AP608:AQ608" si="633">IF($AG608, "DELETED", TRIM(CONCATENATE(F608,I608,U608)))</f>
        <v/>
      </c>
      <c r="AQ608" s="112" t="str">
        <f t="shared" si="633"/>
        <v/>
      </c>
      <c r="AR608" s="112" t="str">
        <f>IFERROR(__xludf.DUMMYFUNCTION("IF($AG608, ""DELETED"", TRIM(JOIN("" "",AP608,AQ608)))"),"")</f>
        <v/>
      </c>
      <c r="AS608" s="118"/>
      <c r="AT608" s="110" t="b">
        <f t="shared" si="12"/>
        <v>0</v>
      </c>
      <c r="AU608" s="110" t="str">
        <f t="shared" si="13"/>
        <v/>
      </c>
      <c r="AV608" s="110" t="str">
        <f t="shared" si="14"/>
        <v/>
      </c>
      <c r="AW608" s="110" t="str">
        <f t="shared" si="15"/>
        <v/>
      </c>
      <c r="AX608" s="119" t="str">
        <f t="shared" si="16"/>
        <v/>
      </c>
      <c r="AY608" s="120"/>
      <c r="AZ608" s="121"/>
      <c r="BA608" s="122" t="str">
        <f t="shared" si="17"/>
        <v/>
      </c>
      <c r="BB608" s="34"/>
      <c r="BC608" s="121"/>
      <c r="BD608" s="136"/>
      <c r="BE608" s="125" t="str">
        <f t="shared" si="18"/>
        <v/>
      </c>
      <c r="BF608" s="126" t="str">
        <f t="shared" si="19"/>
        <v>MA194__44619_0.330856481481482</v>
      </c>
      <c r="BG608" s="127" t="str">
        <f t="shared" si="20"/>
        <v/>
      </c>
      <c r="BH608" s="137" t="s">
        <v>1729</v>
      </c>
      <c r="BI608" s="128" t="str">
        <f t="shared" si="21"/>
        <v>MA384</v>
      </c>
      <c r="BJ608" s="129" t="b">
        <f t="shared" si="22"/>
        <v>0</v>
      </c>
      <c r="BK608" s="128" t="str">
        <f t="shared" si="23"/>
        <v/>
      </c>
      <c r="BL608" s="121"/>
      <c r="BM608" s="5" t="str">
        <f t="shared" si="24"/>
        <v>MISSING</v>
      </c>
      <c r="BN608" s="120" t="b">
        <f t="shared" si="25"/>
        <v>0</v>
      </c>
      <c r="BO608" s="131" t="b">
        <f t="shared" si="26"/>
        <v>1</v>
      </c>
      <c r="BP608" s="121"/>
      <c r="BQ608" s="132" t="str">
        <f>VLOOKUP(A608,RAW_APS!A$3:O826,15,FALSE)</f>
        <v/>
      </c>
      <c r="BR608" s="120" t="b">
        <f t="shared" si="27"/>
        <v>1</v>
      </c>
      <c r="BS608" s="121"/>
      <c r="BT608" s="138" t="s">
        <v>244</v>
      </c>
      <c r="BU608" s="10" t="b">
        <f t="shared" si="28"/>
        <v>1</v>
      </c>
      <c r="BV608" s="120"/>
      <c r="BW608" s="120"/>
      <c r="BX608" s="120"/>
      <c r="BY608" s="120"/>
      <c r="BZ608" s="120"/>
      <c r="CA608" s="120"/>
      <c r="CB608" s="120"/>
      <c r="CC608" s="120"/>
    </row>
    <row r="609">
      <c r="A609" s="2" t="s">
        <v>1730</v>
      </c>
      <c r="B609" s="100">
        <v>44619.0</v>
      </c>
      <c r="C609" s="101">
        <v>0.3393055555555556</v>
      </c>
      <c r="D609" s="102"/>
      <c r="E609" s="102"/>
      <c r="F609" s="102"/>
      <c r="G609" s="102"/>
      <c r="H609" s="102"/>
      <c r="I609" s="103"/>
      <c r="J609" s="103"/>
      <c r="K609" s="2" t="s">
        <v>244</v>
      </c>
      <c r="L609" s="100">
        <v>44621.0</v>
      </c>
      <c r="M609" s="101">
        <v>0.47835648148148147</v>
      </c>
      <c r="P609" s="104" t="b">
        <f>IFNA(IF(VLOOKUP($A609,'Add from APT'!$AA$2:$AC826,3,FALSE)&gt;0,TRUE,FALSE),"ER - NOT IN APT")</f>
        <v>0</v>
      </c>
      <c r="Q609" s="105" t="str">
        <f>IF(ISLOGICAL(P609),IF(P609,"ER - REPS IN APT", IFNA(VLOOKUP($A609,RAW_APT!$A$3:$M826,7,FALSE),"ER - NOT IN APT")),P609)</f>
        <v>Result</v>
      </c>
      <c r="R609" s="106" t="b">
        <f t="shared" si="2"/>
        <v>1</v>
      </c>
      <c r="S609" s="107">
        <f t="shared" si="3"/>
        <v>1</v>
      </c>
      <c r="T609" s="143"/>
      <c r="U609" s="142"/>
      <c r="V609" s="142"/>
      <c r="W609" s="142"/>
      <c r="X609" s="110" t="b">
        <f t="shared" si="4"/>
        <v>0</v>
      </c>
      <c r="Y609" s="111" t="b">
        <v>0</v>
      </c>
      <c r="Z609" s="104" t="str">
        <f t="shared" si="5"/>
        <v/>
      </c>
      <c r="AA609" s="112" t="b">
        <f t="shared" si="6"/>
        <v>0</v>
      </c>
      <c r="AB609" s="142" t="b">
        <v>0</v>
      </c>
      <c r="AC609" s="140">
        <v>207.0</v>
      </c>
      <c r="AD609" s="141" t="b">
        <v>0</v>
      </c>
      <c r="AE609" s="115" t="str">
        <f t="shared" si="7"/>
        <v/>
      </c>
      <c r="AF609" s="116" t="b">
        <f t="shared" si="8"/>
        <v>0</v>
      </c>
      <c r="AG609" s="105" t="b">
        <f t="shared" si="9"/>
        <v>0</v>
      </c>
      <c r="AH609" s="140"/>
      <c r="AI609" s="140"/>
      <c r="AJ609" s="140"/>
      <c r="AK609" s="117" t="str">
        <f t="shared" si="10"/>
        <v>Negative</v>
      </c>
      <c r="AL609" s="142"/>
      <c r="AM609" s="112" t="s">
        <v>793</v>
      </c>
      <c r="AN609" s="112" t="s">
        <v>836</v>
      </c>
      <c r="AO609" s="112" t="str">
        <f>IFERROR(__xludf.DUMMYFUNCTION("IF($AG609, ""DELETED"",TRIM(JOIN("" "",D609:E609)))"),"")</f>
        <v/>
      </c>
      <c r="AP609" s="112" t="str">
        <f t="shared" ref="AP609:AQ609" si="634">IF($AG609, "DELETED", TRIM(CONCATENATE(F609,I609,U609)))</f>
        <v/>
      </c>
      <c r="AQ609" s="112" t="str">
        <f t="shared" si="634"/>
        <v/>
      </c>
      <c r="AR609" s="112" t="str">
        <f>IFERROR(__xludf.DUMMYFUNCTION("IF($AG609, ""DELETED"", TRIM(JOIN("" "",AP609,AQ609)))"),"")</f>
        <v/>
      </c>
      <c r="AS609" s="118"/>
      <c r="AT609" s="110" t="b">
        <f t="shared" si="12"/>
        <v>0</v>
      </c>
      <c r="AU609" s="110" t="str">
        <f t="shared" si="13"/>
        <v/>
      </c>
      <c r="AV609" s="110" t="str">
        <f t="shared" si="14"/>
        <v/>
      </c>
      <c r="AW609" s="110" t="str">
        <f t="shared" si="15"/>
        <v/>
      </c>
      <c r="AX609" s="119" t="str">
        <f t="shared" si="16"/>
        <v/>
      </c>
      <c r="AY609" s="120"/>
      <c r="AZ609" s="121"/>
      <c r="BA609" s="122" t="str">
        <f t="shared" si="17"/>
        <v/>
      </c>
      <c r="BB609" s="34"/>
      <c r="BC609" s="121"/>
      <c r="BD609" s="136"/>
      <c r="BE609" s="125" t="str">
        <f t="shared" si="18"/>
        <v/>
      </c>
      <c r="BF609" s="126" t="str">
        <f t="shared" si="19"/>
        <v>FM414__44619_0.339305555555556</v>
      </c>
      <c r="BG609" s="127" t="str">
        <f t="shared" si="20"/>
        <v/>
      </c>
      <c r="BH609" s="137" t="s">
        <v>1731</v>
      </c>
      <c r="BI609" s="128" t="str">
        <f t="shared" si="21"/>
        <v>MA386</v>
      </c>
      <c r="BJ609" s="129" t="b">
        <f t="shared" si="22"/>
        <v>0</v>
      </c>
      <c r="BK609" s="128" t="str">
        <f t="shared" si="23"/>
        <v/>
      </c>
      <c r="BL609" s="121"/>
      <c r="BM609" s="5" t="str">
        <f t="shared" si="24"/>
        <v>MISSING</v>
      </c>
      <c r="BN609" s="120" t="b">
        <f t="shared" si="25"/>
        <v>0</v>
      </c>
      <c r="BO609" s="131" t="b">
        <f t="shared" si="26"/>
        <v>1</v>
      </c>
      <c r="BP609" s="121"/>
      <c r="BQ609" s="132" t="str">
        <f>VLOOKUP(A609,RAW_APS!A$3:O826,15,FALSE)</f>
        <v/>
      </c>
      <c r="BR609" s="120" t="b">
        <f t="shared" si="27"/>
        <v>1</v>
      </c>
      <c r="BS609" s="121"/>
      <c r="BT609" s="138" t="s">
        <v>244</v>
      </c>
      <c r="BU609" s="10" t="b">
        <f t="shared" si="28"/>
        <v>1</v>
      </c>
      <c r="BV609" s="120"/>
      <c r="BW609" s="120"/>
      <c r="BX609" s="120"/>
      <c r="BY609" s="120"/>
      <c r="BZ609" s="120"/>
      <c r="CA609" s="120"/>
      <c r="CB609" s="120"/>
      <c r="CC609" s="120"/>
    </row>
    <row r="610">
      <c r="A610" s="2" t="s">
        <v>1732</v>
      </c>
      <c r="B610" s="100">
        <v>44619.0</v>
      </c>
      <c r="C610" s="101">
        <v>0.35444444444444445</v>
      </c>
      <c r="D610" s="102"/>
      <c r="E610" s="102"/>
      <c r="F610" s="102"/>
      <c r="G610" s="102"/>
      <c r="H610" s="102"/>
      <c r="I610" s="103"/>
      <c r="J610" s="103"/>
      <c r="K610" s="2" t="s">
        <v>52</v>
      </c>
      <c r="L610" s="100">
        <v>44627.0</v>
      </c>
      <c r="M610" s="101">
        <v>0.4778935185185185</v>
      </c>
      <c r="P610" s="104" t="b">
        <f>IFNA(IF(VLOOKUP($A610,'Add from APT'!$AA$2:$AC826,3,FALSE)&gt;0,TRUE,FALSE),"ER - NOT IN APT")</f>
        <v>0</v>
      </c>
      <c r="Q610" s="105" t="str">
        <f>IF(ISLOGICAL(P610),IF(P610,"ER - REPS IN APT", IFNA(VLOOKUP($A610,RAW_APT!$A$3:$M826,7,FALSE),"ER - NOT IN APT")),P610)</f>
        <v>Result</v>
      </c>
      <c r="R610" s="106" t="b">
        <f t="shared" si="2"/>
        <v>1</v>
      </c>
      <c r="S610" s="107">
        <f t="shared" si="3"/>
        <v>1</v>
      </c>
      <c r="T610" s="143"/>
      <c r="U610" s="142"/>
      <c r="V610" s="142"/>
      <c r="W610" s="142"/>
      <c r="X610" s="110" t="b">
        <f t="shared" si="4"/>
        <v>0</v>
      </c>
      <c r="Y610" s="111" t="b">
        <v>0</v>
      </c>
      <c r="Z610" s="104" t="str">
        <f t="shared" si="5"/>
        <v/>
      </c>
      <c r="AA610" s="112" t="b">
        <f t="shared" si="6"/>
        <v>0</v>
      </c>
      <c r="AB610" s="142" t="b">
        <v>0</v>
      </c>
      <c r="AC610" s="140">
        <v>206.0</v>
      </c>
      <c r="AD610" s="141" t="b">
        <v>0</v>
      </c>
      <c r="AE610" s="115" t="str">
        <f t="shared" si="7"/>
        <v/>
      </c>
      <c r="AF610" s="116" t="b">
        <f t="shared" si="8"/>
        <v>0</v>
      </c>
      <c r="AG610" s="105" t="b">
        <f t="shared" si="9"/>
        <v>0</v>
      </c>
      <c r="AH610" s="140"/>
      <c r="AI610" s="140"/>
      <c r="AJ610" s="140"/>
      <c r="AK610" s="117" t="str">
        <f t="shared" si="10"/>
        <v>Positive</v>
      </c>
      <c r="AL610" s="142"/>
      <c r="AM610" s="112" t="s">
        <v>875</v>
      </c>
      <c r="AN610" s="112" t="s">
        <v>876</v>
      </c>
      <c r="AO610" s="112" t="str">
        <f>IFERROR(__xludf.DUMMYFUNCTION("IF($AG610, ""DELETED"",TRIM(JOIN("" "",D610:E610)))"),"")</f>
        <v/>
      </c>
      <c r="AP610" s="112" t="str">
        <f t="shared" ref="AP610:AQ610" si="635">IF($AG610, "DELETED", TRIM(CONCATENATE(F610,I610,U610)))</f>
        <v/>
      </c>
      <c r="AQ610" s="112" t="str">
        <f t="shared" si="635"/>
        <v/>
      </c>
      <c r="AR610" s="112" t="str">
        <f>IFERROR(__xludf.DUMMYFUNCTION("IF($AG610, ""DELETED"", TRIM(JOIN("" "",AP610,AQ610)))"),"")</f>
        <v/>
      </c>
      <c r="AS610" s="118"/>
      <c r="AT610" s="110" t="b">
        <f t="shared" si="12"/>
        <v>0</v>
      </c>
      <c r="AU610" s="110" t="str">
        <f t="shared" si="13"/>
        <v/>
      </c>
      <c r="AV610" s="110" t="str">
        <f t="shared" si="14"/>
        <v/>
      </c>
      <c r="AW610" s="110" t="str">
        <f t="shared" si="15"/>
        <v/>
      </c>
      <c r="AX610" s="119" t="str">
        <f t="shared" si="16"/>
        <v/>
      </c>
      <c r="AY610" s="120"/>
      <c r="AZ610" s="121"/>
      <c r="BA610" s="122" t="str">
        <f t="shared" si="17"/>
        <v/>
      </c>
      <c r="BB610" s="34"/>
      <c r="BC610" s="121"/>
      <c r="BD610" s="136"/>
      <c r="BE610" s="125" t="str">
        <f t="shared" si="18"/>
        <v/>
      </c>
      <c r="BF610" s="126" t="str">
        <f t="shared" si="19"/>
        <v>MA1095__44619_0.354444444444444</v>
      </c>
      <c r="BG610" s="127" t="str">
        <f t="shared" si="20"/>
        <v/>
      </c>
      <c r="BH610" s="137" t="s">
        <v>1733</v>
      </c>
      <c r="BI610" s="128" t="str">
        <f t="shared" si="21"/>
        <v>MA390</v>
      </c>
      <c r="BJ610" s="129" t="b">
        <f t="shared" si="22"/>
        <v>0</v>
      </c>
      <c r="BK610" s="128" t="str">
        <f t="shared" si="23"/>
        <v/>
      </c>
      <c r="BL610" s="121"/>
      <c r="BM610" s="5" t="str">
        <f t="shared" si="24"/>
        <v>MISSING</v>
      </c>
      <c r="BN610" s="120" t="b">
        <f t="shared" si="25"/>
        <v>0</v>
      </c>
      <c r="BO610" s="131" t="b">
        <f t="shared" si="26"/>
        <v>1</v>
      </c>
      <c r="BP610" s="121"/>
      <c r="BQ610" s="132" t="str">
        <f>VLOOKUP(A610,RAW_APS!A$3:O826,15,FALSE)</f>
        <v/>
      </c>
      <c r="BR610" s="120" t="b">
        <f t="shared" si="27"/>
        <v>1</v>
      </c>
      <c r="BS610" s="121"/>
      <c r="BT610" s="138" t="s">
        <v>52</v>
      </c>
      <c r="BU610" s="10" t="b">
        <f t="shared" si="28"/>
        <v>1</v>
      </c>
      <c r="BV610" s="120"/>
      <c r="BW610" s="120"/>
      <c r="BX610" s="120"/>
      <c r="BY610" s="120"/>
      <c r="BZ610" s="120"/>
      <c r="CA610" s="120"/>
      <c r="CB610" s="120"/>
      <c r="CC610" s="120"/>
    </row>
    <row r="611">
      <c r="A611" s="2" t="s">
        <v>1734</v>
      </c>
      <c r="B611" s="100">
        <v>44619.0</v>
      </c>
      <c r="C611" s="101">
        <v>0.35575231481481484</v>
      </c>
      <c r="D611" s="102"/>
      <c r="E611" s="102"/>
      <c r="F611" s="102"/>
      <c r="G611" s="102"/>
      <c r="H611" s="102"/>
      <c r="I611" s="103"/>
      <c r="J611" s="103"/>
      <c r="K611" s="2" t="s">
        <v>244</v>
      </c>
      <c r="L611" s="100">
        <v>44621.0</v>
      </c>
      <c r="M611" s="101">
        <v>0.47835648148148147</v>
      </c>
      <c r="P611" s="104" t="b">
        <f>IFNA(IF(VLOOKUP($A611,'Add from APT'!$AA$2:$AC826,3,FALSE)&gt;0,TRUE,FALSE),"ER - NOT IN APT")</f>
        <v>0</v>
      </c>
      <c r="Q611" s="105" t="str">
        <f>IF(ISLOGICAL(P611),IF(P611,"ER - REPS IN APT", IFNA(VLOOKUP($A611,RAW_APT!$A$3:$M826,7,FALSE),"ER - NOT IN APT")),P611)</f>
        <v>Result</v>
      </c>
      <c r="R611" s="106" t="b">
        <f t="shared" si="2"/>
        <v>1</v>
      </c>
      <c r="S611" s="107">
        <f t="shared" si="3"/>
        <v>1</v>
      </c>
      <c r="T611" s="143"/>
      <c r="U611" s="142"/>
      <c r="V611" s="142"/>
      <c r="W611" s="142"/>
      <c r="X611" s="110" t="b">
        <f t="shared" si="4"/>
        <v>0</v>
      </c>
      <c r="Y611" s="111" t="b">
        <v>0</v>
      </c>
      <c r="Z611" s="104" t="str">
        <f t="shared" si="5"/>
        <v/>
      </c>
      <c r="AA611" s="112" t="b">
        <f t="shared" si="6"/>
        <v>0</v>
      </c>
      <c r="AB611" s="142" t="b">
        <v>0</v>
      </c>
      <c r="AC611" s="140">
        <v>205.0</v>
      </c>
      <c r="AD611" s="141" t="b">
        <v>0</v>
      </c>
      <c r="AE611" s="115" t="str">
        <f t="shared" si="7"/>
        <v/>
      </c>
      <c r="AF611" s="116" t="b">
        <f t="shared" si="8"/>
        <v>0</v>
      </c>
      <c r="AG611" s="105" t="b">
        <f t="shared" si="9"/>
        <v>0</v>
      </c>
      <c r="AH611" s="140"/>
      <c r="AI611" s="140"/>
      <c r="AJ611" s="140"/>
      <c r="AK611" s="117" t="str">
        <f t="shared" si="10"/>
        <v>Negative</v>
      </c>
      <c r="AL611" s="142"/>
      <c r="AM611" s="112" t="s">
        <v>1512</v>
      </c>
      <c r="AN611" s="112" t="s">
        <v>1513</v>
      </c>
      <c r="AO611" s="112" t="str">
        <f>IFERROR(__xludf.DUMMYFUNCTION("IF($AG611, ""DELETED"",TRIM(JOIN("" "",D611:E611)))"),"")</f>
        <v/>
      </c>
      <c r="AP611" s="112" t="str">
        <f t="shared" ref="AP611:AQ611" si="636">IF($AG611, "DELETED", TRIM(CONCATENATE(F611,I611,U611)))</f>
        <v/>
      </c>
      <c r="AQ611" s="112" t="str">
        <f t="shared" si="636"/>
        <v/>
      </c>
      <c r="AR611" s="112" t="str">
        <f>IFERROR(__xludf.DUMMYFUNCTION("IF($AG611, ""DELETED"", TRIM(JOIN("" "",AP611,AQ611)))"),"")</f>
        <v/>
      </c>
      <c r="AS611" s="118"/>
      <c r="AT611" s="110" t="b">
        <f t="shared" si="12"/>
        <v>0</v>
      </c>
      <c r="AU611" s="110" t="str">
        <f t="shared" si="13"/>
        <v/>
      </c>
      <c r="AV611" s="110" t="str">
        <f t="shared" si="14"/>
        <v/>
      </c>
      <c r="AW611" s="110" t="str">
        <f t="shared" si="15"/>
        <v/>
      </c>
      <c r="AX611" s="119" t="str">
        <f t="shared" si="16"/>
        <v/>
      </c>
      <c r="AY611" s="120"/>
      <c r="AZ611" s="121"/>
      <c r="BA611" s="122" t="str">
        <f t="shared" si="17"/>
        <v/>
      </c>
      <c r="BB611" s="34"/>
      <c r="BC611" s="121"/>
      <c r="BD611" s="136"/>
      <c r="BE611" s="125" t="str">
        <f t="shared" si="18"/>
        <v/>
      </c>
      <c r="BF611" s="126" t="str">
        <f t="shared" si="19"/>
        <v>MA1288__44619_0.355752314814815</v>
      </c>
      <c r="BG611" s="127" t="str">
        <f t="shared" si="20"/>
        <v/>
      </c>
      <c r="BH611" s="137" t="s">
        <v>1735</v>
      </c>
      <c r="BI611" s="128" t="str">
        <f t="shared" si="21"/>
        <v>MA391</v>
      </c>
      <c r="BJ611" s="129" t="b">
        <f t="shared" si="22"/>
        <v>0</v>
      </c>
      <c r="BK611" s="128" t="str">
        <f t="shared" si="23"/>
        <v/>
      </c>
      <c r="BL611" s="121"/>
      <c r="BM611" s="5" t="str">
        <f t="shared" si="24"/>
        <v>MISSING</v>
      </c>
      <c r="BN611" s="120" t="b">
        <f t="shared" si="25"/>
        <v>0</v>
      </c>
      <c r="BO611" s="131" t="b">
        <f t="shared" si="26"/>
        <v>1</v>
      </c>
      <c r="BP611" s="121"/>
      <c r="BQ611" s="132" t="str">
        <f>VLOOKUP(A611,RAW_APS!A$3:O826,15,FALSE)</f>
        <v/>
      </c>
      <c r="BR611" s="120" t="b">
        <f t="shared" si="27"/>
        <v>1</v>
      </c>
      <c r="BS611" s="121"/>
      <c r="BT611" s="138" t="s">
        <v>244</v>
      </c>
      <c r="BU611" s="10" t="b">
        <f t="shared" si="28"/>
        <v>1</v>
      </c>
      <c r="BV611" s="120"/>
      <c r="BW611" s="120"/>
      <c r="BX611" s="120"/>
      <c r="BY611" s="120"/>
      <c r="BZ611" s="120"/>
      <c r="CA611" s="120"/>
      <c r="CB611" s="120"/>
      <c r="CC611" s="120"/>
    </row>
    <row r="612">
      <c r="A612" s="2" t="s">
        <v>1736</v>
      </c>
      <c r="B612" s="100">
        <v>44619.0</v>
      </c>
      <c r="C612" s="101">
        <v>0.3563773148148148</v>
      </c>
      <c r="D612" s="102"/>
      <c r="E612" s="102"/>
      <c r="F612" s="102"/>
      <c r="G612" s="102"/>
      <c r="H612" s="102"/>
      <c r="I612" s="103"/>
      <c r="J612" s="103"/>
      <c r="K612" s="2" t="s">
        <v>244</v>
      </c>
      <c r="L612" s="100">
        <v>44621.0</v>
      </c>
      <c r="M612" s="101">
        <v>0.47835648148148147</v>
      </c>
      <c r="P612" s="104" t="b">
        <f>IFNA(IF(VLOOKUP($A612,'Add from APT'!$AA$2:$AC826,3,FALSE)&gt;0,TRUE,FALSE),"ER - NOT IN APT")</f>
        <v>0</v>
      </c>
      <c r="Q612" s="105" t="str">
        <f>IF(ISLOGICAL(P612),IF(P612,"ER - REPS IN APT", IFNA(VLOOKUP($A612,RAW_APT!$A$3:$M826,7,FALSE),"ER - NOT IN APT")),P612)</f>
        <v>Result</v>
      </c>
      <c r="R612" s="106" t="b">
        <f t="shared" si="2"/>
        <v>1</v>
      </c>
      <c r="S612" s="107">
        <f t="shared" si="3"/>
        <v>1</v>
      </c>
      <c r="T612" s="143"/>
      <c r="U612" s="142"/>
      <c r="V612" s="142"/>
      <c r="W612" s="142"/>
      <c r="X612" s="110" t="b">
        <f t="shared" si="4"/>
        <v>0</v>
      </c>
      <c r="Y612" s="111" t="b">
        <v>0</v>
      </c>
      <c r="Z612" s="104" t="str">
        <f t="shared" si="5"/>
        <v/>
      </c>
      <c r="AA612" s="112" t="b">
        <f t="shared" si="6"/>
        <v>0</v>
      </c>
      <c r="AB612" s="142" t="b">
        <v>0</v>
      </c>
      <c r="AC612" s="140">
        <v>204.0</v>
      </c>
      <c r="AD612" s="141" t="b">
        <v>0</v>
      </c>
      <c r="AE612" s="115" t="str">
        <f t="shared" si="7"/>
        <v/>
      </c>
      <c r="AF612" s="116" t="b">
        <f t="shared" si="8"/>
        <v>0</v>
      </c>
      <c r="AG612" s="105" t="b">
        <f t="shared" si="9"/>
        <v>0</v>
      </c>
      <c r="AH612" s="140"/>
      <c r="AI612" s="140"/>
      <c r="AJ612" s="140"/>
      <c r="AK612" s="117" t="str">
        <f t="shared" si="10"/>
        <v>Negative</v>
      </c>
      <c r="AL612" s="142"/>
      <c r="AM612" s="112" t="s">
        <v>1274</v>
      </c>
      <c r="AN612" s="112" t="s">
        <v>1275</v>
      </c>
      <c r="AO612" s="112" t="str">
        <f>IFERROR(__xludf.DUMMYFUNCTION("IF($AG612, ""DELETED"",TRIM(JOIN("" "",D612:E612)))"),"")</f>
        <v/>
      </c>
      <c r="AP612" s="112" t="str">
        <f t="shared" ref="AP612:AQ612" si="637">IF($AG612, "DELETED", TRIM(CONCATENATE(F612,I612,U612)))</f>
        <v/>
      </c>
      <c r="AQ612" s="112" t="str">
        <f t="shared" si="637"/>
        <v/>
      </c>
      <c r="AR612" s="112" t="str">
        <f>IFERROR(__xludf.DUMMYFUNCTION("IF($AG612, ""DELETED"", TRIM(JOIN("" "",AP612,AQ612)))"),"")</f>
        <v/>
      </c>
      <c r="AS612" s="118"/>
      <c r="AT612" s="110" t="b">
        <f t="shared" si="12"/>
        <v>0</v>
      </c>
      <c r="AU612" s="110" t="str">
        <f t="shared" si="13"/>
        <v/>
      </c>
      <c r="AV612" s="110" t="str">
        <f t="shared" si="14"/>
        <v/>
      </c>
      <c r="AW612" s="110" t="str">
        <f t="shared" si="15"/>
        <v/>
      </c>
      <c r="AX612" s="119" t="str">
        <f t="shared" si="16"/>
        <v/>
      </c>
      <c r="AY612" s="120"/>
      <c r="AZ612" s="121"/>
      <c r="BA612" s="122" t="str">
        <f t="shared" si="17"/>
        <v/>
      </c>
      <c r="BB612" s="34"/>
      <c r="BC612" s="121"/>
      <c r="BD612" s="136"/>
      <c r="BE612" s="125" t="str">
        <f t="shared" si="18"/>
        <v/>
      </c>
      <c r="BF612" s="126" t="str">
        <f t="shared" si="19"/>
        <v>MA1320__44619_0.356377314814815</v>
      </c>
      <c r="BG612" s="127" t="str">
        <f t="shared" si="20"/>
        <v/>
      </c>
      <c r="BH612" s="137" t="s">
        <v>1737</v>
      </c>
      <c r="BI612" s="128" t="str">
        <f t="shared" si="21"/>
        <v>MA394</v>
      </c>
      <c r="BJ612" s="129" t="b">
        <f t="shared" si="22"/>
        <v>0</v>
      </c>
      <c r="BK612" s="128" t="str">
        <f t="shared" si="23"/>
        <v/>
      </c>
      <c r="BL612" s="121"/>
      <c r="BM612" s="5" t="str">
        <f t="shared" si="24"/>
        <v>MISSING</v>
      </c>
      <c r="BN612" s="120" t="b">
        <f t="shared" si="25"/>
        <v>0</v>
      </c>
      <c r="BO612" s="131" t="b">
        <f t="shared" si="26"/>
        <v>1</v>
      </c>
      <c r="BP612" s="121"/>
      <c r="BQ612" s="132" t="str">
        <f>VLOOKUP(A612,RAW_APS!A$3:O826,15,FALSE)</f>
        <v/>
      </c>
      <c r="BR612" s="120" t="b">
        <f t="shared" si="27"/>
        <v>1</v>
      </c>
      <c r="BS612" s="121"/>
      <c r="BT612" s="138" t="s">
        <v>244</v>
      </c>
      <c r="BU612" s="10" t="b">
        <f t="shared" si="28"/>
        <v>1</v>
      </c>
      <c r="BV612" s="120"/>
      <c r="BW612" s="120"/>
      <c r="BX612" s="120"/>
      <c r="BY612" s="120"/>
      <c r="BZ612" s="120"/>
      <c r="CA612" s="120"/>
      <c r="CB612" s="120"/>
      <c r="CC612" s="120"/>
    </row>
    <row r="613">
      <c r="A613" s="2" t="s">
        <v>1738</v>
      </c>
      <c r="B613" s="100">
        <v>44619.0</v>
      </c>
      <c r="C613" s="101">
        <v>0.3628587962962963</v>
      </c>
      <c r="D613" s="102"/>
      <c r="E613" s="102"/>
      <c r="F613" s="102"/>
      <c r="G613" s="102"/>
      <c r="H613" s="102"/>
      <c r="I613" s="103"/>
      <c r="J613" s="103"/>
      <c r="K613" s="2" t="s">
        <v>244</v>
      </c>
      <c r="L613" s="100">
        <v>44621.0</v>
      </c>
      <c r="M613" s="101">
        <v>0.47835648148148147</v>
      </c>
      <c r="P613" s="104" t="b">
        <f>IFNA(IF(VLOOKUP($A613,'Add from APT'!$AA$2:$AC826,3,FALSE)&gt;0,TRUE,FALSE),"ER - NOT IN APT")</f>
        <v>0</v>
      </c>
      <c r="Q613" s="105" t="str">
        <f>IF(ISLOGICAL(P613),IF(P613,"ER - REPS IN APT", IFNA(VLOOKUP($A613,RAW_APT!$A$3:$M826,7,FALSE),"ER - NOT IN APT")),P613)</f>
        <v>Result</v>
      </c>
      <c r="R613" s="106" t="b">
        <f t="shared" si="2"/>
        <v>1</v>
      </c>
      <c r="S613" s="107">
        <f t="shared" si="3"/>
        <v>1</v>
      </c>
      <c r="T613" s="143"/>
      <c r="U613" s="142"/>
      <c r="V613" s="142"/>
      <c r="W613" s="142"/>
      <c r="X613" s="110" t="b">
        <f t="shared" si="4"/>
        <v>0</v>
      </c>
      <c r="Y613" s="111" t="b">
        <v>0</v>
      </c>
      <c r="Z613" s="104" t="str">
        <f t="shared" si="5"/>
        <v/>
      </c>
      <c r="AA613" s="112" t="b">
        <f t="shared" si="6"/>
        <v>0</v>
      </c>
      <c r="AB613" s="142" t="b">
        <v>0</v>
      </c>
      <c r="AC613" s="140">
        <v>203.0</v>
      </c>
      <c r="AD613" s="141" t="b">
        <v>0</v>
      </c>
      <c r="AE613" s="115" t="str">
        <f t="shared" si="7"/>
        <v/>
      </c>
      <c r="AF613" s="116" t="b">
        <f t="shared" si="8"/>
        <v>0</v>
      </c>
      <c r="AG613" s="105" t="b">
        <f t="shared" si="9"/>
        <v>0</v>
      </c>
      <c r="AH613" s="140"/>
      <c r="AI613" s="140"/>
      <c r="AJ613" s="140"/>
      <c r="AK613" s="117" t="str">
        <f t="shared" si="10"/>
        <v>Negative</v>
      </c>
      <c r="AL613" s="142"/>
      <c r="AM613" s="112" t="s">
        <v>261</v>
      </c>
      <c r="AN613" s="112" t="s">
        <v>262</v>
      </c>
      <c r="AO613" s="112" t="str">
        <f>IFERROR(__xludf.DUMMYFUNCTION("IF($AG613, ""DELETED"",TRIM(JOIN("" "",D613:E613)))"),"")</f>
        <v/>
      </c>
      <c r="AP613" s="112" t="str">
        <f t="shared" ref="AP613:AQ613" si="638">IF($AG613, "DELETED", TRIM(CONCATENATE(F613,I613,U613)))</f>
        <v/>
      </c>
      <c r="AQ613" s="112" t="str">
        <f t="shared" si="638"/>
        <v/>
      </c>
      <c r="AR613" s="112" t="str">
        <f>IFERROR(__xludf.DUMMYFUNCTION("IF($AG613, ""DELETED"", TRIM(JOIN("" "",AP613,AQ613)))"),"")</f>
        <v/>
      </c>
      <c r="AS613" s="118"/>
      <c r="AT613" s="110" t="b">
        <f t="shared" si="12"/>
        <v>0</v>
      </c>
      <c r="AU613" s="110" t="str">
        <f t="shared" si="13"/>
        <v/>
      </c>
      <c r="AV613" s="110" t="str">
        <f t="shared" si="14"/>
        <v/>
      </c>
      <c r="AW613" s="110" t="str">
        <f t="shared" si="15"/>
        <v/>
      </c>
      <c r="AX613" s="119" t="str">
        <f t="shared" si="16"/>
        <v/>
      </c>
      <c r="AY613" s="120"/>
      <c r="AZ613" s="121"/>
      <c r="BA613" s="122" t="str">
        <f t="shared" si="17"/>
        <v/>
      </c>
      <c r="BB613" s="34"/>
      <c r="BC613" s="121"/>
      <c r="BD613" s="136"/>
      <c r="BE613" s="125" t="str">
        <f t="shared" si="18"/>
        <v/>
      </c>
      <c r="BF613" s="126" t="str">
        <f t="shared" si="19"/>
        <v>FM617__44619_0.362858796296296</v>
      </c>
      <c r="BG613" s="127" t="str">
        <f t="shared" si="20"/>
        <v/>
      </c>
      <c r="BH613" s="137" t="s">
        <v>1739</v>
      </c>
      <c r="BI613" s="128" t="str">
        <f t="shared" si="21"/>
        <v>MA395</v>
      </c>
      <c r="BJ613" s="129" t="b">
        <f t="shared" si="22"/>
        <v>0</v>
      </c>
      <c r="BK613" s="128" t="str">
        <f t="shared" si="23"/>
        <v/>
      </c>
      <c r="BL613" s="121"/>
      <c r="BM613" s="5" t="str">
        <f t="shared" si="24"/>
        <v>MISSING</v>
      </c>
      <c r="BN613" s="120" t="b">
        <f t="shared" si="25"/>
        <v>0</v>
      </c>
      <c r="BO613" s="131" t="b">
        <f t="shared" si="26"/>
        <v>1</v>
      </c>
      <c r="BP613" s="121"/>
      <c r="BQ613" s="132" t="str">
        <f>VLOOKUP(A613,RAW_APS!A$3:O826,15,FALSE)</f>
        <v/>
      </c>
      <c r="BR613" s="120" t="b">
        <f t="shared" si="27"/>
        <v>1</v>
      </c>
      <c r="BS613" s="121"/>
      <c r="BT613" s="138" t="s">
        <v>244</v>
      </c>
      <c r="BU613" s="10" t="b">
        <f t="shared" si="28"/>
        <v>1</v>
      </c>
      <c r="BV613" s="120"/>
      <c r="BW613" s="120"/>
      <c r="BX613" s="120"/>
      <c r="BY613" s="120"/>
      <c r="BZ613" s="120"/>
      <c r="CA613" s="120"/>
      <c r="CB613" s="120"/>
      <c r="CC613" s="120"/>
    </row>
    <row r="614">
      <c r="A614" s="2" t="s">
        <v>1740</v>
      </c>
      <c r="B614" s="100">
        <v>44619.0</v>
      </c>
      <c r="C614" s="101">
        <v>0.3654513888888889</v>
      </c>
      <c r="D614" s="102"/>
      <c r="E614" s="102"/>
      <c r="F614" s="102"/>
      <c r="G614" s="102"/>
      <c r="H614" s="102"/>
      <c r="I614" s="103"/>
      <c r="J614" s="103"/>
      <c r="K614" s="2" t="s">
        <v>244</v>
      </c>
      <c r="L614" s="100">
        <v>44621.0</v>
      </c>
      <c r="M614" s="101">
        <v>0.47835648148148147</v>
      </c>
      <c r="P614" s="104" t="b">
        <f>IFNA(IF(VLOOKUP($A614,'Add from APT'!$AA$2:$AC826,3,FALSE)&gt;0,TRUE,FALSE),"ER - NOT IN APT")</f>
        <v>0</v>
      </c>
      <c r="Q614" s="105" t="str">
        <f>IF(ISLOGICAL(P614),IF(P614,"ER - REPS IN APT", IFNA(VLOOKUP($A614,RAW_APT!$A$3:$M826,7,FALSE),"ER - NOT IN APT")),P614)</f>
        <v>Result</v>
      </c>
      <c r="R614" s="106" t="b">
        <f t="shared" si="2"/>
        <v>1</v>
      </c>
      <c r="S614" s="107">
        <f t="shared" si="3"/>
        <v>1</v>
      </c>
      <c r="T614" s="143"/>
      <c r="U614" s="142"/>
      <c r="V614" s="142"/>
      <c r="W614" s="142"/>
      <c r="X614" s="110" t="b">
        <f t="shared" si="4"/>
        <v>0</v>
      </c>
      <c r="Y614" s="111" t="b">
        <v>0</v>
      </c>
      <c r="Z614" s="104" t="str">
        <f t="shared" si="5"/>
        <v/>
      </c>
      <c r="AA614" s="112" t="b">
        <f t="shared" si="6"/>
        <v>0</v>
      </c>
      <c r="AB614" s="142" t="b">
        <v>0</v>
      </c>
      <c r="AC614" s="140">
        <v>202.0</v>
      </c>
      <c r="AD614" s="141" t="b">
        <v>0</v>
      </c>
      <c r="AE614" s="115" t="str">
        <f t="shared" si="7"/>
        <v/>
      </c>
      <c r="AF614" s="116" t="b">
        <f t="shared" si="8"/>
        <v>0</v>
      </c>
      <c r="AG614" s="105" t="b">
        <f t="shared" si="9"/>
        <v>0</v>
      </c>
      <c r="AH614" s="140"/>
      <c r="AI614" s="140"/>
      <c r="AJ614" s="140"/>
      <c r="AK614" s="117" t="str">
        <f t="shared" si="10"/>
        <v>Negative</v>
      </c>
      <c r="AL614" s="142"/>
      <c r="AM614" s="112" t="s">
        <v>457</v>
      </c>
      <c r="AN614" s="112" t="s">
        <v>458</v>
      </c>
      <c r="AO614" s="112" t="str">
        <f>IFERROR(__xludf.DUMMYFUNCTION("IF($AG614, ""DELETED"",TRIM(JOIN("" "",D614:E614)))"),"")</f>
        <v/>
      </c>
      <c r="AP614" s="112" t="str">
        <f t="shared" ref="AP614:AQ614" si="639">IF($AG614, "DELETED", TRIM(CONCATENATE(F614,I614,U614)))</f>
        <v/>
      </c>
      <c r="AQ614" s="112" t="str">
        <f t="shared" si="639"/>
        <v/>
      </c>
      <c r="AR614" s="112" t="str">
        <f>IFERROR(__xludf.DUMMYFUNCTION("IF($AG614, ""DELETED"", TRIM(JOIN("" "",AP614,AQ614)))"),"")</f>
        <v/>
      </c>
      <c r="AS614" s="118"/>
      <c r="AT614" s="110" t="b">
        <f t="shared" si="12"/>
        <v>0</v>
      </c>
      <c r="AU614" s="110" t="str">
        <f t="shared" si="13"/>
        <v/>
      </c>
      <c r="AV614" s="110" t="str">
        <f t="shared" si="14"/>
        <v/>
      </c>
      <c r="AW614" s="110" t="str">
        <f t="shared" si="15"/>
        <v/>
      </c>
      <c r="AX614" s="119" t="str">
        <f t="shared" si="16"/>
        <v/>
      </c>
      <c r="AY614" s="120"/>
      <c r="AZ614" s="121"/>
      <c r="BA614" s="122" t="str">
        <f t="shared" si="17"/>
        <v/>
      </c>
      <c r="BB614" s="34"/>
      <c r="BC614" s="121"/>
      <c r="BD614" s="136"/>
      <c r="BE614" s="125" t="str">
        <f t="shared" si="18"/>
        <v/>
      </c>
      <c r="BF614" s="126" t="str">
        <f t="shared" si="19"/>
        <v>FM6__44619_0.365451388888889</v>
      </c>
      <c r="BG614" s="127" t="str">
        <f t="shared" si="20"/>
        <v/>
      </c>
      <c r="BH614" s="137" t="s">
        <v>1741</v>
      </c>
      <c r="BI614" s="128" t="str">
        <f t="shared" si="21"/>
        <v>MA396</v>
      </c>
      <c r="BJ614" s="129" t="b">
        <f t="shared" si="22"/>
        <v>0</v>
      </c>
      <c r="BK614" s="128" t="str">
        <f t="shared" si="23"/>
        <v/>
      </c>
      <c r="BL614" s="121"/>
      <c r="BM614" s="5" t="str">
        <f t="shared" si="24"/>
        <v>MISSING</v>
      </c>
      <c r="BN614" s="120" t="b">
        <f t="shared" si="25"/>
        <v>0</v>
      </c>
      <c r="BO614" s="131" t="b">
        <f t="shared" si="26"/>
        <v>1</v>
      </c>
      <c r="BP614" s="121"/>
      <c r="BQ614" s="132" t="str">
        <f>VLOOKUP(A614,RAW_APS!A$3:O826,15,FALSE)</f>
        <v/>
      </c>
      <c r="BR614" s="120" t="b">
        <f t="shared" si="27"/>
        <v>1</v>
      </c>
      <c r="BS614" s="121"/>
      <c r="BT614" s="138" t="s">
        <v>244</v>
      </c>
      <c r="BU614" s="10" t="b">
        <f t="shared" si="28"/>
        <v>1</v>
      </c>
      <c r="BV614" s="120"/>
      <c r="BW614" s="120"/>
      <c r="BX614" s="120"/>
      <c r="BY614" s="120"/>
      <c r="BZ614" s="120"/>
      <c r="CA614" s="120"/>
      <c r="CB614" s="120"/>
      <c r="CC614" s="120"/>
    </row>
    <row r="615">
      <c r="A615" s="2" t="s">
        <v>1742</v>
      </c>
      <c r="B615" s="100">
        <v>44619.0</v>
      </c>
      <c r="C615" s="101">
        <v>0.47077546296296297</v>
      </c>
      <c r="D615" s="102"/>
      <c r="E615" s="102"/>
      <c r="F615" s="139"/>
      <c r="G615" s="148"/>
      <c r="H615" s="148"/>
      <c r="I615" s="103"/>
      <c r="J615" s="103"/>
      <c r="K615" s="2" t="s">
        <v>52</v>
      </c>
      <c r="L615" s="100">
        <v>44627.0</v>
      </c>
      <c r="M615" s="101">
        <v>0.4778935185185185</v>
      </c>
      <c r="P615" s="104" t="b">
        <f>IFNA(IF(VLOOKUP($A615,'Add from APT'!$AA$2:$AC826,3,FALSE)&gt;0,TRUE,FALSE),"ER - NOT IN APT")</f>
        <v>0</v>
      </c>
      <c r="Q615" s="105" t="str">
        <f>IF(ISLOGICAL(P615),IF(P615,"ER - REPS IN APT", IFNA(VLOOKUP($A615,RAW_APT!$A$3:$M826,7,FALSE),"ER - NOT IN APT")),P615)</f>
        <v>Result</v>
      </c>
      <c r="R615" s="106" t="b">
        <f t="shared" si="2"/>
        <v>1</v>
      </c>
      <c r="S615" s="107">
        <f t="shared" si="3"/>
        <v>1</v>
      </c>
      <c r="T615" s="140">
        <v>0.0</v>
      </c>
      <c r="U615" s="141"/>
      <c r="V615" s="142"/>
      <c r="W615" s="141"/>
      <c r="X615" s="110" t="b">
        <f t="shared" si="4"/>
        <v>0</v>
      </c>
      <c r="Y615" s="111" t="b">
        <v>0</v>
      </c>
      <c r="Z615" s="104" t="str">
        <f t="shared" si="5"/>
        <v/>
      </c>
      <c r="AA615" s="112" t="b">
        <f t="shared" si="6"/>
        <v>0</v>
      </c>
      <c r="AB615" s="142" t="b">
        <v>0</v>
      </c>
      <c r="AC615" s="140">
        <v>201.0</v>
      </c>
      <c r="AD615" s="141" t="b">
        <v>0</v>
      </c>
      <c r="AE615" s="115" t="str">
        <f t="shared" si="7"/>
        <v/>
      </c>
      <c r="AF615" s="116" t="b">
        <f t="shared" si="8"/>
        <v>0</v>
      </c>
      <c r="AG615" s="105" t="b">
        <f t="shared" si="9"/>
        <v>0</v>
      </c>
      <c r="AH615" s="140"/>
      <c r="AI615" s="140"/>
      <c r="AJ615" s="140"/>
      <c r="AK615" s="117" t="str">
        <f t="shared" si="10"/>
        <v>Positive</v>
      </c>
      <c r="AL615" s="142"/>
      <c r="AM615" s="112" t="s">
        <v>1516</v>
      </c>
      <c r="AN615" s="112" t="s">
        <v>1743</v>
      </c>
      <c r="AO615" s="112" t="str">
        <f>IFERROR(__xludf.DUMMYFUNCTION("IF($AG615, ""DELETED"",TRIM(JOIN("" "",D615:E615)))"),"")</f>
        <v/>
      </c>
      <c r="AP615" s="112" t="str">
        <f t="shared" ref="AP615:AQ615" si="640">IF($AG615, "DELETED", TRIM(CONCATENATE(F615,I615,U615)))</f>
        <v/>
      </c>
      <c r="AQ615" s="112" t="str">
        <f t="shared" si="640"/>
        <v/>
      </c>
      <c r="AR615" s="112" t="str">
        <f>IFERROR(__xludf.DUMMYFUNCTION("IF($AG615, ""DELETED"", TRIM(JOIN("" "",AP615,AQ615)))"),"")</f>
        <v/>
      </c>
      <c r="AS615" s="118"/>
      <c r="AT615" s="110" t="b">
        <f t="shared" si="12"/>
        <v>0</v>
      </c>
      <c r="AU615" s="110" t="str">
        <f t="shared" si="13"/>
        <v/>
      </c>
      <c r="AV615" s="110" t="str">
        <f t="shared" si="14"/>
        <v/>
      </c>
      <c r="AW615" s="110" t="str">
        <f t="shared" si="15"/>
        <v/>
      </c>
      <c r="AX615" s="119" t="str">
        <f t="shared" si="16"/>
        <v/>
      </c>
      <c r="AY615" s="120"/>
      <c r="AZ615" s="121"/>
      <c r="BA615" s="122" t="str">
        <f t="shared" si="17"/>
        <v/>
      </c>
      <c r="BB615" s="34"/>
      <c r="BC615" s="121"/>
      <c r="BD615" s="136"/>
      <c r="BE615" s="125" t="str">
        <f t="shared" si="18"/>
        <v/>
      </c>
      <c r="BF615" s="126" t="str">
        <f t="shared" si="19"/>
        <v>MAX40__44619_0.470775462962963</v>
      </c>
      <c r="BG615" s="127" t="str">
        <f t="shared" si="20"/>
        <v/>
      </c>
      <c r="BH615" s="137" t="s">
        <v>1744</v>
      </c>
      <c r="BI615" s="128" t="str">
        <f t="shared" si="21"/>
        <v>MA397</v>
      </c>
      <c r="BJ615" s="129" t="b">
        <f t="shared" si="22"/>
        <v>0</v>
      </c>
      <c r="BK615" s="128" t="str">
        <f t="shared" si="23"/>
        <v/>
      </c>
      <c r="BL615" s="121"/>
      <c r="BM615" s="5" t="str">
        <f t="shared" si="24"/>
        <v>MISSING</v>
      </c>
      <c r="BN615" s="120" t="b">
        <f t="shared" si="25"/>
        <v>0</v>
      </c>
      <c r="BO615" s="131" t="b">
        <f t="shared" si="26"/>
        <v>1</v>
      </c>
      <c r="BP615" s="121"/>
      <c r="BQ615" s="132" t="str">
        <f>VLOOKUP(A615,RAW_APS!A$3:O826,15,FALSE)</f>
        <v/>
      </c>
      <c r="BR615" s="120" t="b">
        <f t="shared" si="27"/>
        <v>1</v>
      </c>
      <c r="BS615" s="121"/>
      <c r="BT615" s="138" t="s">
        <v>52</v>
      </c>
      <c r="BU615" s="10" t="b">
        <f t="shared" si="28"/>
        <v>1</v>
      </c>
      <c r="BV615" s="120"/>
      <c r="BW615" s="120"/>
      <c r="BX615" s="120"/>
      <c r="BY615" s="120"/>
      <c r="BZ615" s="120"/>
      <c r="CA615" s="120"/>
      <c r="CB615" s="120"/>
      <c r="CC615" s="120"/>
    </row>
    <row r="616">
      <c r="A616" s="2" t="s">
        <v>1745</v>
      </c>
      <c r="B616" s="100">
        <v>44619.0</v>
      </c>
      <c r="C616" s="101">
        <v>0.47128472222222223</v>
      </c>
      <c r="D616" s="102"/>
      <c r="E616" s="102"/>
      <c r="F616" s="139"/>
      <c r="G616" s="103"/>
      <c r="H616" s="103"/>
      <c r="I616" s="103"/>
      <c r="J616" s="103"/>
      <c r="K616" s="2" t="s">
        <v>244</v>
      </c>
      <c r="L616" s="100">
        <v>44621.0</v>
      </c>
      <c r="M616" s="101">
        <v>0.47835648148148147</v>
      </c>
      <c r="P616" s="104" t="b">
        <f>IFNA(IF(VLOOKUP($A616,'Add from APT'!$AA$2:$AC826,3,FALSE)&gt;0,TRUE,FALSE),"ER - NOT IN APT")</f>
        <v>0</v>
      </c>
      <c r="Q616" s="105" t="str">
        <f>IF(ISLOGICAL(P616),IF(P616,"ER - REPS IN APT", IFNA(VLOOKUP($A616,RAW_APT!$A$3:$M826,7,FALSE),"ER - NOT IN APT")),P616)</f>
        <v>Result</v>
      </c>
      <c r="R616" s="106" t="b">
        <f t="shared" si="2"/>
        <v>1</v>
      </c>
      <c r="S616" s="107">
        <f t="shared" si="3"/>
        <v>1</v>
      </c>
      <c r="T616" s="140">
        <v>0.0</v>
      </c>
      <c r="U616" s="141"/>
      <c r="W616" s="141"/>
      <c r="X616" s="110" t="b">
        <f t="shared" si="4"/>
        <v>0</v>
      </c>
      <c r="Y616" s="111" t="b">
        <v>0</v>
      </c>
      <c r="Z616" s="104" t="str">
        <f t="shared" si="5"/>
        <v/>
      </c>
      <c r="AA616" s="112" t="b">
        <f t="shared" si="6"/>
        <v>0</v>
      </c>
      <c r="AB616" s="142" t="b">
        <v>0</v>
      </c>
      <c r="AC616" s="140">
        <v>200.0</v>
      </c>
      <c r="AD616" s="141" t="b">
        <v>0</v>
      </c>
      <c r="AE616" s="115" t="str">
        <f t="shared" si="7"/>
        <v/>
      </c>
      <c r="AF616" s="116" t="b">
        <f t="shared" si="8"/>
        <v>0</v>
      </c>
      <c r="AG616" s="105" t="b">
        <f t="shared" si="9"/>
        <v>0</v>
      </c>
      <c r="AH616" s="140"/>
      <c r="AI616" s="140"/>
      <c r="AJ616" s="140"/>
      <c r="AK616" s="117" t="str">
        <f t="shared" si="10"/>
        <v>Negative</v>
      </c>
      <c r="AL616" s="142"/>
      <c r="AM616" s="112" t="s">
        <v>1516</v>
      </c>
      <c r="AN616" s="112" t="s">
        <v>1746</v>
      </c>
      <c r="AO616" s="112" t="str">
        <f>IFERROR(__xludf.DUMMYFUNCTION("IF($AG616, ""DELETED"",TRIM(JOIN("" "",D616:E616)))"),"")</f>
        <v/>
      </c>
      <c r="AP616" s="112" t="str">
        <f t="shared" ref="AP616:AQ616" si="641">IF($AG616, "DELETED", TRIM(CONCATENATE(F616,I616,U616)))</f>
        <v/>
      </c>
      <c r="AQ616" s="112" t="str">
        <f t="shared" si="641"/>
        <v/>
      </c>
      <c r="AR616" s="112" t="str">
        <f>IFERROR(__xludf.DUMMYFUNCTION("IF($AG616, ""DELETED"", TRIM(JOIN("" "",AP616,AQ616)))"),"")</f>
        <v/>
      </c>
      <c r="AS616" s="118"/>
      <c r="AT616" s="110" t="b">
        <f t="shared" si="12"/>
        <v>0</v>
      </c>
      <c r="AU616" s="110" t="str">
        <f t="shared" si="13"/>
        <v/>
      </c>
      <c r="AV616" s="110" t="str">
        <f t="shared" si="14"/>
        <v/>
      </c>
      <c r="AW616" s="110" t="str">
        <f t="shared" si="15"/>
        <v/>
      </c>
      <c r="AX616" s="119" t="str">
        <f t="shared" si="16"/>
        <v/>
      </c>
      <c r="AY616" s="120"/>
      <c r="AZ616" s="121"/>
      <c r="BA616" s="122" t="str">
        <f t="shared" si="17"/>
        <v/>
      </c>
      <c r="BB616" s="34"/>
      <c r="BC616" s="121"/>
      <c r="BD616" s="136"/>
      <c r="BE616" s="125" t="str">
        <f t="shared" si="18"/>
        <v/>
      </c>
      <c r="BF616" s="126" t="str">
        <f t="shared" si="19"/>
        <v>MAX106__44619_0.471284722222222</v>
      </c>
      <c r="BG616" s="127" t="str">
        <f t="shared" si="20"/>
        <v/>
      </c>
      <c r="BH616" s="137" t="s">
        <v>1747</v>
      </c>
      <c r="BI616" s="128" t="str">
        <f t="shared" si="21"/>
        <v>MA398</v>
      </c>
      <c r="BJ616" s="129" t="b">
        <f t="shared" si="22"/>
        <v>0</v>
      </c>
      <c r="BK616" s="128" t="str">
        <f t="shared" si="23"/>
        <v/>
      </c>
      <c r="BL616" s="121"/>
      <c r="BM616" s="5" t="str">
        <f t="shared" si="24"/>
        <v>MISSING</v>
      </c>
      <c r="BN616" s="120" t="b">
        <f t="shared" si="25"/>
        <v>0</v>
      </c>
      <c r="BO616" s="131" t="b">
        <f t="shared" si="26"/>
        <v>1</v>
      </c>
      <c r="BP616" s="121"/>
      <c r="BQ616" s="132" t="str">
        <f>VLOOKUP(A616,RAW_APS!A$3:O826,15,FALSE)</f>
        <v/>
      </c>
      <c r="BR616" s="120" t="b">
        <f t="shared" si="27"/>
        <v>1</v>
      </c>
      <c r="BS616" s="121"/>
      <c r="BT616" s="138" t="s">
        <v>244</v>
      </c>
      <c r="BU616" s="10" t="b">
        <f t="shared" si="28"/>
        <v>1</v>
      </c>
      <c r="BV616" s="120"/>
      <c r="BW616" s="120"/>
      <c r="BX616" s="120"/>
      <c r="BY616" s="120"/>
      <c r="BZ616" s="120"/>
      <c r="CA616" s="120"/>
      <c r="CB616" s="120"/>
      <c r="CC616" s="120"/>
    </row>
    <row r="617">
      <c r="A617" s="2" t="s">
        <v>1748</v>
      </c>
      <c r="B617" s="100">
        <v>44619.0</v>
      </c>
      <c r="C617" s="101">
        <v>0.4717476851851852</v>
      </c>
      <c r="D617" s="102"/>
      <c r="E617" s="102"/>
      <c r="F617" s="139"/>
      <c r="G617" s="103"/>
      <c r="H617" s="103"/>
      <c r="I617" s="103"/>
      <c r="J617" s="103"/>
      <c r="K617" s="2" t="s">
        <v>244</v>
      </c>
      <c r="L617" s="100">
        <v>44621.0</v>
      </c>
      <c r="M617" s="101">
        <v>0.47836805555555556</v>
      </c>
      <c r="P617" s="104" t="b">
        <f>IFNA(IF(VLOOKUP($A617,'Add from APT'!$AA$2:$AC826,3,FALSE)&gt;0,TRUE,FALSE),"ER - NOT IN APT")</f>
        <v>0</v>
      </c>
      <c r="Q617" s="105" t="str">
        <f>IF(ISLOGICAL(P617),IF(P617,"ER - REPS IN APT", IFNA(VLOOKUP($A617,RAW_APT!$A$3:$M826,7,FALSE),"ER - NOT IN APT")),P617)</f>
        <v>Result</v>
      </c>
      <c r="R617" s="106" t="b">
        <f t="shared" si="2"/>
        <v>1</v>
      </c>
      <c r="S617" s="107">
        <f t="shared" si="3"/>
        <v>1</v>
      </c>
      <c r="T617" s="140">
        <v>0.0</v>
      </c>
      <c r="U617" s="141"/>
      <c r="W617" s="141"/>
      <c r="X617" s="110" t="b">
        <f t="shared" si="4"/>
        <v>0</v>
      </c>
      <c r="Y617" s="111" t="b">
        <v>0</v>
      </c>
      <c r="Z617" s="104" t="str">
        <f t="shared" si="5"/>
        <v/>
      </c>
      <c r="AA617" s="112" t="b">
        <f t="shared" si="6"/>
        <v>0</v>
      </c>
      <c r="AB617" s="142" t="b">
        <v>0</v>
      </c>
      <c r="AC617" s="140">
        <v>199.0</v>
      </c>
      <c r="AD617" s="141" t="b">
        <v>0</v>
      </c>
      <c r="AE617" s="115" t="str">
        <f t="shared" si="7"/>
        <v/>
      </c>
      <c r="AF617" s="116" t="b">
        <f t="shared" si="8"/>
        <v>0</v>
      </c>
      <c r="AG617" s="105" t="b">
        <f t="shared" si="9"/>
        <v>0</v>
      </c>
      <c r="AH617" s="140"/>
      <c r="AI617" s="140"/>
      <c r="AJ617" s="140"/>
      <c r="AK617" s="117" t="str">
        <f t="shared" si="10"/>
        <v>Negative</v>
      </c>
      <c r="AL617" s="142"/>
      <c r="AM617" s="112" t="s">
        <v>1516</v>
      </c>
      <c r="AN617" s="112" t="s">
        <v>1749</v>
      </c>
      <c r="AO617" s="112" t="str">
        <f>IFERROR(__xludf.DUMMYFUNCTION("IF($AG617, ""DELETED"",TRIM(JOIN("" "",D617:E617)))"),"")</f>
        <v/>
      </c>
      <c r="AP617" s="112" t="str">
        <f t="shared" ref="AP617:AQ617" si="642">IF($AG617, "DELETED", TRIM(CONCATENATE(F617,I617,U617)))</f>
        <v/>
      </c>
      <c r="AQ617" s="112" t="str">
        <f t="shared" si="642"/>
        <v/>
      </c>
      <c r="AR617" s="112" t="str">
        <f>IFERROR(__xludf.DUMMYFUNCTION("IF($AG617, ""DELETED"", TRIM(JOIN("" "",AP617,AQ617)))"),"")</f>
        <v/>
      </c>
      <c r="AS617" s="118"/>
      <c r="AT617" s="110" t="b">
        <f t="shared" si="12"/>
        <v>0</v>
      </c>
      <c r="AU617" s="110" t="str">
        <f t="shared" si="13"/>
        <v/>
      </c>
      <c r="AV617" s="110" t="str">
        <f t="shared" si="14"/>
        <v/>
      </c>
      <c r="AW617" s="110" t="str">
        <f t="shared" si="15"/>
        <v/>
      </c>
      <c r="AX617" s="119" t="str">
        <f t="shared" si="16"/>
        <v/>
      </c>
      <c r="AY617" s="120"/>
      <c r="AZ617" s="121"/>
      <c r="BA617" s="122" t="str">
        <f t="shared" si="17"/>
        <v/>
      </c>
      <c r="BB617" s="34"/>
      <c r="BC617" s="121"/>
      <c r="BD617" s="136"/>
      <c r="BE617" s="125" t="str">
        <f t="shared" si="18"/>
        <v/>
      </c>
      <c r="BF617" s="126" t="str">
        <f t="shared" si="19"/>
        <v>MAX93__44619_0.471747685185185</v>
      </c>
      <c r="BG617" s="127" t="str">
        <f t="shared" si="20"/>
        <v/>
      </c>
      <c r="BH617" s="137" t="s">
        <v>1750</v>
      </c>
      <c r="BI617" s="128" t="str">
        <f t="shared" si="21"/>
        <v>MA399</v>
      </c>
      <c r="BJ617" s="129" t="b">
        <f t="shared" si="22"/>
        <v>0</v>
      </c>
      <c r="BK617" s="128" t="str">
        <f t="shared" si="23"/>
        <v/>
      </c>
      <c r="BL617" s="121"/>
      <c r="BM617" s="5" t="str">
        <f t="shared" si="24"/>
        <v>MISSING</v>
      </c>
      <c r="BN617" s="120" t="b">
        <f t="shared" si="25"/>
        <v>0</v>
      </c>
      <c r="BO617" s="131" t="b">
        <f t="shared" si="26"/>
        <v>1</v>
      </c>
      <c r="BP617" s="121"/>
      <c r="BQ617" s="132" t="str">
        <f>VLOOKUP(A617,RAW_APS!A$3:O826,15,FALSE)</f>
        <v/>
      </c>
      <c r="BR617" s="120" t="b">
        <f t="shared" si="27"/>
        <v>1</v>
      </c>
      <c r="BS617" s="121"/>
      <c r="BT617" s="138" t="s">
        <v>244</v>
      </c>
      <c r="BU617" s="10" t="b">
        <f t="shared" si="28"/>
        <v>1</v>
      </c>
      <c r="BV617" s="120"/>
      <c r="BW617" s="120"/>
      <c r="BX617" s="120"/>
      <c r="BY617" s="120"/>
      <c r="BZ617" s="120"/>
      <c r="CA617" s="120"/>
      <c r="CB617" s="120"/>
      <c r="CC617" s="120"/>
    </row>
    <row r="618">
      <c r="A618" s="2" t="s">
        <v>1751</v>
      </c>
      <c r="B618" s="100">
        <v>44619.0</v>
      </c>
      <c r="C618" s="101">
        <v>0.47225694444444444</v>
      </c>
      <c r="D618" s="102"/>
      <c r="E618" s="102"/>
      <c r="F618" s="139"/>
      <c r="G618" s="103"/>
      <c r="H618" s="103"/>
      <c r="I618" s="103"/>
      <c r="J618" s="103"/>
      <c r="K618" s="2" t="s">
        <v>244</v>
      </c>
      <c r="L618" s="100">
        <v>44621.0</v>
      </c>
      <c r="M618" s="101">
        <v>0.47836805555555556</v>
      </c>
      <c r="P618" s="104" t="b">
        <f>IFNA(IF(VLOOKUP($A618,'Add from APT'!$AA$2:$AC826,3,FALSE)&gt;0,TRUE,FALSE),"ER - NOT IN APT")</f>
        <v>0</v>
      </c>
      <c r="Q618" s="105" t="str">
        <f>IF(ISLOGICAL(P618),IF(P618,"ER - REPS IN APT", IFNA(VLOOKUP($A618,RAW_APT!$A$3:$M826,7,FALSE),"ER - NOT IN APT")),P618)</f>
        <v>Result</v>
      </c>
      <c r="R618" s="106" t="b">
        <f t="shared" si="2"/>
        <v>1</v>
      </c>
      <c r="S618" s="107">
        <f t="shared" si="3"/>
        <v>1</v>
      </c>
      <c r="T618" s="140">
        <v>0.0</v>
      </c>
      <c r="U618" s="141"/>
      <c r="W618" s="141"/>
      <c r="X618" s="110" t="b">
        <f t="shared" si="4"/>
        <v>0</v>
      </c>
      <c r="Y618" s="111" t="b">
        <v>0</v>
      </c>
      <c r="Z618" s="104" t="str">
        <f t="shared" si="5"/>
        <v/>
      </c>
      <c r="AA618" s="112" t="b">
        <f t="shared" si="6"/>
        <v>0</v>
      </c>
      <c r="AB618" s="142" t="b">
        <v>0</v>
      </c>
      <c r="AC618" s="140">
        <v>198.0</v>
      </c>
      <c r="AD618" s="141" t="b">
        <v>0</v>
      </c>
      <c r="AE618" s="115" t="str">
        <f t="shared" si="7"/>
        <v/>
      </c>
      <c r="AF618" s="116" t="b">
        <f t="shared" si="8"/>
        <v>0</v>
      </c>
      <c r="AG618" s="105" t="b">
        <f t="shared" si="9"/>
        <v>0</v>
      </c>
      <c r="AH618" s="140"/>
      <c r="AI618" s="140"/>
      <c r="AJ618" s="140"/>
      <c r="AK618" s="117" t="str">
        <f t="shared" si="10"/>
        <v>Negative</v>
      </c>
      <c r="AL618" s="142"/>
      <c r="AM618" s="112" t="s">
        <v>1516</v>
      </c>
      <c r="AN618" s="112" t="s">
        <v>1752</v>
      </c>
      <c r="AO618" s="112" t="str">
        <f>IFERROR(__xludf.DUMMYFUNCTION("IF($AG618, ""DELETED"",TRIM(JOIN("" "",D618:E618)))"),"")</f>
        <v/>
      </c>
      <c r="AP618" s="112" t="str">
        <f t="shared" ref="AP618:AQ618" si="643">IF($AG618, "DELETED", TRIM(CONCATENATE(F618,I618,U618)))</f>
        <v/>
      </c>
      <c r="AQ618" s="112" t="str">
        <f t="shared" si="643"/>
        <v/>
      </c>
      <c r="AR618" s="112" t="str">
        <f>IFERROR(__xludf.DUMMYFUNCTION("IF($AG618, ""DELETED"", TRIM(JOIN("" "",AP618,AQ618)))"),"")</f>
        <v/>
      </c>
      <c r="AS618" s="118"/>
      <c r="AT618" s="110" t="b">
        <f t="shared" si="12"/>
        <v>0</v>
      </c>
      <c r="AU618" s="110" t="str">
        <f t="shared" si="13"/>
        <v/>
      </c>
      <c r="AV618" s="110" t="str">
        <f t="shared" si="14"/>
        <v/>
      </c>
      <c r="AW618" s="110" t="str">
        <f t="shared" si="15"/>
        <v/>
      </c>
      <c r="AX618" s="119" t="str">
        <f t="shared" si="16"/>
        <v/>
      </c>
      <c r="AY618" s="120"/>
      <c r="AZ618" s="121"/>
      <c r="BA618" s="122" t="str">
        <f t="shared" si="17"/>
        <v/>
      </c>
      <c r="BB618" s="34"/>
      <c r="BC618" s="121"/>
      <c r="BD618" s="136"/>
      <c r="BE618" s="125" t="str">
        <f t="shared" si="18"/>
        <v/>
      </c>
      <c r="BF618" s="126" t="str">
        <f t="shared" si="19"/>
        <v>MAX48__44619_0.472256944444444</v>
      </c>
      <c r="BG618" s="127" t="str">
        <f t="shared" si="20"/>
        <v/>
      </c>
      <c r="BH618" s="137" t="s">
        <v>1753</v>
      </c>
      <c r="BI618" s="128" t="str">
        <f t="shared" si="21"/>
        <v>MA403</v>
      </c>
      <c r="BJ618" s="129" t="b">
        <f t="shared" si="22"/>
        <v>0</v>
      </c>
      <c r="BK618" s="128" t="str">
        <f t="shared" si="23"/>
        <v/>
      </c>
      <c r="BL618" s="121"/>
      <c r="BM618" s="5" t="str">
        <f t="shared" si="24"/>
        <v>MISSING</v>
      </c>
      <c r="BN618" s="120" t="b">
        <f t="shared" si="25"/>
        <v>0</v>
      </c>
      <c r="BO618" s="131" t="b">
        <f t="shared" si="26"/>
        <v>1</v>
      </c>
      <c r="BP618" s="121"/>
      <c r="BQ618" s="132" t="str">
        <f>VLOOKUP(A618,RAW_APS!A$3:O826,15,FALSE)</f>
        <v/>
      </c>
      <c r="BR618" s="120" t="b">
        <f t="shared" si="27"/>
        <v>1</v>
      </c>
      <c r="BS618" s="121"/>
      <c r="BT618" s="138" t="s">
        <v>244</v>
      </c>
      <c r="BU618" s="10" t="b">
        <f t="shared" si="28"/>
        <v>1</v>
      </c>
      <c r="BV618" s="120"/>
      <c r="BW618" s="120"/>
      <c r="BX618" s="120"/>
      <c r="BY618" s="120"/>
      <c r="BZ618" s="120"/>
      <c r="CA618" s="120"/>
      <c r="CB618" s="120"/>
      <c r="CC618" s="120"/>
    </row>
    <row r="619">
      <c r="A619" s="2" t="s">
        <v>1754</v>
      </c>
      <c r="B619" s="100">
        <v>44619.0</v>
      </c>
      <c r="C619" s="101">
        <v>0.47260416666666666</v>
      </c>
      <c r="D619" s="102"/>
      <c r="E619" s="102"/>
      <c r="F619" s="102"/>
      <c r="G619" s="102"/>
      <c r="H619" s="102"/>
      <c r="I619" s="103"/>
      <c r="J619" s="103"/>
      <c r="K619" s="2" t="s">
        <v>244</v>
      </c>
      <c r="L619" s="100">
        <v>44621.0</v>
      </c>
      <c r="M619" s="101">
        <v>0.47836805555555556</v>
      </c>
      <c r="P619" s="104" t="b">
        <f>IFNA(IF(VLOOKUP($A619,'Add from APT'!$AA$2:$AC826,3,FALSE)&gt;0,TRUE,FALSE),"ER - NOT IN APT")</f>
        <v>0</v>
      </c>
      <c r="Q619" s="105" t="str">
        <f>IF(ISLOGICAL(P619),IF(P619,"ER - REPS IN APT", IFNA(VLOOKUP($A619,RAW_APT!$A$3:$M826,7,FALSE),"ER - NOT IN APT")),P619)</f>
        <v>Result</v>
      </c>
      <c r="R619" s="106" t="b">
        <f t="shared" si="2"/>
        <v>1</v>
      </c>
      <c r="S619" s="107">
        <f t="shared" si="3"/>
        <v>1</v>
      </c>
      <c r="T619" s="143"/>
      <c r="U619" s="142"/>
      <c r="V619" s="142"/>
      <c r="W619" s="142"/>
      <c r="X619" s="110" t="b">
        <f t="shared" si="4"/>
        <v>0</v>
      </c>
      <c r="Y619" s="111" t="b">
        <v>0</v>
      </c>
      <c r="Z619" s="104" t="str">
        <f t="shared" si="5"/>
        <v/>
      </c>
      <c r="AA619" s="112" t="b">
        <f t="shared" si="6"/>
        <v>0</v>
      </c>
      <c r="AB619" s="142" t="b">
        <v>0</v>
      </c>
      <c r="AC619" s="140">
        <v>197.0</v>
      </c>
      <c r="AD619" s="141" t="b">
        <v>0</v>
      </c>
      <c r="AE619" s="115" t="str">
        <f t="shared" si="7"/>
        <v/>
      </c>
      <c r="AF619" s="116" t="b">
        <f t="shared" si="8"/>
        <v>0</v>
      </c>
      <c r="AG619" s="105" t="b">
        <f t="shared" si="9"/>
        <v>0</v>
      </c>
      <c r="AH619" s="140"/>
      <c r="AI619" s="140"/>
      <c r="AJ619" s="140"/>
      <c r="AK619" s="117" t="str">
        <f t="shared" si="10"/>
        <v>Negative</v>
      </c>
      <c r="AL619" s="142"/>
      <c r="AM619" s="112" t="s">
        <v>1516</v>
      </c>
      <c r="AN619" s="112" t="s">
        <v>1517</v>
      </c>
      <c r="AO619" s="112" t="str">
        <f>IFERROR(__xludf.DUMMYFUNCTION("IF($AG619, ""DELETED"",TRIM(JOIN("" "",D619:E619)))"),"")</f>
        <v/>
      </c>
      <c r="AP619" s="112" t="str">
        <f t="shared" ref="AP619:AQ619" si="644">IF($AG619, "DELETED", TRIM(CONCATENATE(F619,I619,U619)))</f>
        <v/>
      </c>
      <c r="AQ619" s="112" t="str">
        <f t="shared" si="644"/>
        <v/>
      </c>
      <c r="AR619" s="112" t="str">
        <f>IFERROR(__xludf.DUMMYFUNCTION("IF($AG619, ""DELETED"", TRIM(JOIN("" "",AP619,AQ619)))"),"")</f>
        <v/>
      </c>
      <c r="AS619" s="118"/>
      <c r="AT619" s="110" t="b">
        <f t="shared" si="12"/>
        <v>0</v>
      </c>
      <c r="AU619" s="110" t="str">
        <f t="shared" si="13"/>
        <v/>
      </c>
      <c r="AV619" s="110" t="str">
        <f t="shared" si="14"/>
        <v/>
      </c>
      <c r="AW619" s="110" t="str">
        <f t="shared" si="15"/>
        <v/>
      </c>
      <c r="AX619" s="119" t="str">
        <f t="shared" si="16"/>
        <v/>
      </c>
      <c r="AY619" s="120"/>
      <c r="AZ619" s="121"/>
      <c r="BA619" s="122" t="str">
        <f t="shared" si="17"/>
        <v/>
      </c>
      <c r="BB619" s="34"/>
      <c r="BC619" s="121"/>
      <c r="BD619" s="136"/>
      <c r="BE619" s="125" t="str">
        <f t="shared" si="18"/>
        <v/>
      </c>
      <c r="BF619" s="126" t="str">
        <f t="shared" si="19"/>
        <v>FM2070__44619_0.472604166666667</v>
      </c>
      <c r="BG619" s="127" t="str">
        <f t="shared" si="20"/>
        <v/>
      </c>
      <c r="BH619" s="137" t="s">
        <v>1755</v>
      </c>
      <c r="BI619" s="128" t="str">
        <f t="shared" si="21"/>
        <v>MA404</v>
      </c>
      <c r="BJ619" s="129" t="b">
        <f t="shared" si="22"/>
        <v>0</v>
      </c>
      <c r="BK619" s="128" t="str">
        <f t="shared" si="23"/>
        <v/>
      </c>
      <c r="BL619" s="121"/>
      <c r="BM619" s="5" t="str">
        <f t="shared" si="24"/>
        <v>MISSING</v>
      </c>
      <c r="BN619" s="120" t="b">
        <f t="shared" si="25"/>
        <v>0</v>
      </c>
      <c r="BO619" s="131" t="b">
        <f t="shared" si="26"/>
        <v>1</v>
      </c>
      <c r="BP619" s="121"/>
      <c r="BQ619" s="132" t="str">
        <f>VLOOKUP(A619,RAW_APS!A$3:O826,15,FALSE)</f>
        <v/>
      </c>
      <c r="BR619" s="120" t="b">
        <f t="shared" si="27"/>
        <v>1</v>
      </c>
      <c r="BS619" s="121"/>
      <c r="BT619" s="138" t="s">
        <v>244</v>
      </c>
      <c r="BU619" s="10" t="b">
        <f t="shared" si="28"/>
        <v>1</v>
      </c>
      <c r="BV619" s="120"/>
      <c r="BW619" s="120"/>
      <c r="BX619" s="120"/>
      <c r="BY619" s="120"/>
      <c r="BZ619" s="120"/>
      <c r="CA619" s="120"/>
      <c r="CB619" s="120"/>
      <c r="CC619" s="120"/>
    </row>
    <row r="620">
      <c r="A620" s="2" t="s">
        <v>1756</v>
      </c>
      <c r="B620" s="100">
        <v>44619.0</v>
      </c>
      <c r="C620" s="101">
        <v>0.5150231481481482</v>
      </c>
      <c r="D620" s="102"/>
      <c r="E620" s="102"/>
      <c r="F620" s="139"/>
      <c r="G620" s="148"/>
      <c r="H620" s="148"/>
      <c r="I620" s="103"/>
      <c r="J620" s="103"/>
      <c r="K620" s="2" t="s">
        <v>244</v>
      </c>
      <c r="L620" s="100">
        <v>44621.0</v>
      </c>
      <c r="M620" s="101">
        <v>0.47836805555555556</v>
      </c>
      <c r="P620" s="104" t="b">
        <f>IFNA(IF(VLOOKUP($A620,'Add from APT'!$AA$2:$AC826,3,FALSE)&gt;0,TRUE,FALSE),"ER - NOT IN APT")</f>
        <v>0</v>
      </c>
      <c r="Q620" s="105" t="str">
        <f>IF(ISLOGICAL(P620),IF(P620,"ER - REPS IN APT", IFNA(VLOOKUP($A620,RAW_APT!$A$3:$M826,7,FALSE),"ER - NOT IN APT")),P620)</f>
        <v>Result</v>
      </c>
      <c r="R620" s="106" t="b">
        <f t="shared" si="2"/>
        <v>1</v>
      </c>
      <c r="S620" s="107">
        <f t="shared" si="3"/>
        <v>1</v>
      </c>
      <c r="T620" s="140">
        <v>0.0</v>
      </c>
      <c r="U620" s="141"/>
      <c r="V620" s="142"/>
      <c r="W620" s="142"/>
      <c r="X620" s="110" t="b">
        <f t="shared" si="4"/>
        <v>0</v>
      </c>
      <c r="Y620" s="111" t="b">
        <v>0</v>
      </c>
      <c r="Z620" s="104" t="str">
        <f t="shared" si="5"/>
        <v/>
      </c>
      <c r="AA620" s="112" t="b">
        <f t="shared" si="6"/>
        <v>0</v>
      </c>
      <c r="AB620" s="142" t="b">
        <v>0</v>
      </c>
      <c r="AC620" s="140">
        <v>196.0</v>
      </c>
      <c r="AD620" s="141" t="b">
        <v>0</v>
      </c>
      <c r="AE620" s="115" t="str">
        <f t="shared" si="7"/>
        <v/>
      </c>
      <c r="AF620" s="116" t="b">
        <f t="shared" si="8"/>
        <v>0</v>
      </c>
      <c r="AG620" s="105" t="b">
        <f t="shared" si="9"/>
        <v>0</v>
      </c>
      <c r="AH620" s="140"/>
      <c r="AI620" s="140"/>
      <c r="AJ620" s="140"/>
      <c r="AK620" s="117" t="str">
        <f t="shared" si="10"/>
        <v>Negative</v>
      </c>
      <c r="AL620" s="142"/>
      <c r="AM620" s="112" t="s">
        <v>1757</v>
      </c>
      <c r="AN620" s="112" t="s">
        <v>1758</v>
      </c>
      <c r="AO620" s="112" t="str">
        <f>IFERROR(__xludf.DUMMYFUNCTION("IF($AG620, ""DELETED"",TRIM(JOIN("" "",D620:E620)))"),"")</f>
        <v/>
      </c>
      <c r="AP620" s="112" t="str">
        <f t="shared" ref="AP620:AQ620" si="645">IF($AG620, "DELETED", TRIM(CONCATENATE(F620,I620,U620)))</f>
        <v/>
      </c>
      <c r="AQ620" s="112" t="str">
        <f t="shared" si="645"/>
        <v/>
      </c>
      <c r="AR620" s="112" t="str">
        <f>IFERROR(__xludf.DUMMYFUNCTION("IF($AG620, ""DELETED"", TRIM(JOIN("" "",AP620,AQ620)))"),"")</f>
        <v/>
      </c>
      <c r="AS620" s="118"/>
      <c r="AT620" s="110" t="b">
        <f t="shared" si="12"/>
        <v>0</v>
      </c>
      <c r="AU620" s="110" t="str">
        <f t="shared" si="13"/>
        <v/>
      </c>
      <c r="AV620" s="110" t="str">
        <f t="shared" si="14"/>
        <v/>
      </c>
      <c r="AW620" s="110" t="str">
        <f t="shared" si="15"/>
        <v/>
      </c>
      <c r="AX620" s="119" t="str">
        <f t="shared" si="16"/>
        <v/>
      </c>
      <c r="AY620" s="120"/>
      <c r="AZ620" s="121"/>
      <c r="BA620" s="122" t="str">
        <f t="shared" si="17"/>
        <v/>
      </c>
      <c r="BB620" s="34"/>
      <c r="BC620" s="121"/>
      <c r="BD620" s="136"/>
      <c r="BE620" s="125" t="str">
        <f t="shared" si="18"/>
        <v/>
      </c>
      <c r="BF620" s="126" t="str">
        <f t="shared" si="19"/>
        <v>MA315__44619_0.515023148148148</v>
      </c>
      <c r="BG620" s="127" t="str">
        <f t="shared" si="20"/>
        <v/>
      </c>
      <c r="BH620" s="137" t="s">
        <v>1759</v>
      </c>
      <c r="BI620" s="128" t="str">
        <f t="shared" si="21"/>
        <v>MA407</v>
      </c>
      <c r="BJ620" s="129" t="b">
        <f t="shared" si="22"/>
        <v>0</v>
      </c>
      <c r="BK620" s="128" t="str">
        <f t="shared" si="23"/>
        <v/>
      </c>
      <c r="BL620" s="121"/>
      <c r="BM620" s="5" t="str">
        <f t="shared" si="24"/>
        <v>MISSING</v>
      </c>
      <c r="BN620" s="120" t="b">
        <f t="shared" si="25"/>
        <v>0</v>
      </c>
      <c r="BO620" s="131" t="b">
        <f t="shared" si="26"/>
        <v>1</v>
      </c>
      <c r="BP620" s="121"/>
      <c r="BQ620" s="132" t="str">
        <f>VLOOKUP(A620,RAW_APS!A$3:O826,15,FALSE)</f>
        <v/>
      </c>
      <c r="BR620" s="120" t="b">
        <f t="shared" si="27"/>
        <v>1</v>
      </c>
      <c r="BS620" s="121"/>
      <c r="BT620" s="138" t="s">
        <v>244</v>
      </c>
      <c r="BU620" s="10" t="b">
        <f t="shared" si="28"/>
        <v>1</v>
      </c>
      <c r="BV620" s="120"/>
      <c r="BW620" s="120"/>
      <c r="BX620" s="120"/>
      <c r="BY620" s="120"/>
      <c r="BZ620" s="120"/>
      <c r="CA620" s="120"/>
      <c r="CB620" s="120"/>
      <c r="CC620" s="120"/>
    </row>
    <row r="621">
      <c r="A621" s="2" t="s">
        <v>1760</v>
      </c>
      <c r="B621" s="100">
        <v>44619.0</v>
      </c>
      <c r="C621" s="101">
        <v>0.5154282407407408</v>
      </c>
      <c r="D621" s="102"/>
      <c r="E621" s="102"/>
      <c r="F621" s="139"/>
      <c r="G621" s="148"/>
      <c r="H621" s="148"/>
      <c r="I621" s="103"/>
      <c r="J621" s="103"/>
      <c r="K621" s="2" t="s">
        <v>244</v>
      </c>
      <c r="L621" s="100">
        <v>44621.0</v>
      </c>
      <c r="M621" s="101">
        <v>0.47836805555555556</v>
      </c>
      <c r="P621" s="104" t="b">
        <f>IFNA(IF(VLOOKUP($A621,'Add from APT'!$AA$2:$AC826,3,FALSE)&gt;0,TRUE,FALSE),"ER - NOT IN APT")</f>
        <v>0</v>
      </c>
      <c r="Q621" s="105" t="str">
        <f>IF(ISLOGICAL(P621),IF(P621,"ER - REPS IN APT", IFNA(VLOOKUP($A621,RAW_APT!$A$3:$M826,7,FALSE),"ER - NOT IN APT")),P621)</f>
        <v>Result</v>
      </c>
      <c r="R621" s="106" t="b">
        <f t="shared" si="2"/>
        <v>1</v>
      </c>
      <c r="S621" s="107">
        <f t="shared" si="3"/>
        <v>1</v>
      </c>
      <c r="T621" s="140">
        <v>0.0</v>
      </c>
      <c r="U621" s="141"/>
      <c r="V621" s="142"/>
      <c r="W621" s="142"/>
      <c r="X621" s="110" t="b">
        <f t="shared" si="4"/>
        <v>0</v>
      </c>
      <c r="Y621" s="111" t="b">
        <v>0</v>
      </c>
      <c r="Z621" s="104" t="str">
        <f t="shared" si="5"/>
        <v/>
      </c>
      <c r="AA621" s="112" t="b">
        <f t="shared" si="6"/>
        <v>0</v>
      </c>
      <c r="AB621" s="142" t="b">
        <v>0</v>
      </c>
      <c r="AC621" s="140">
        <v>195.0</v>
      </c>
      <c r="AD621" s="141" t="b">
        <v>0</v>
      </c>
      <c r="AE621" s="115" t="str">
        <f t="shared" si="7"/>
        <v/>
      </c>
      <c r="AF621" s="116" t="b">
        <f t="shared" si="8"/>
        <v>0</v>
      </c>
      <c r="AG621" s="105" t="b">
        <f t="shared" si="9"/>
        <v>0</v>
      </c>
      <c r="AH621" s="140"/>
      <c r="AI621" s="140"/>
      <c r="AJ621" s="140"/>
      <c r="AK621" s="117" t="str">
        <f t="shared" si="10"/>
        <v>Negative</v>
      </c>
      <c r="AL621" s="142"/>
      <c r="AM621" s="112" t="s">
        <v>1757</v>
      </c>
      <c r="AN621" s="112" t="s">
        <v>1761</v>
      </c>
      <c r="AO621" s="112" t="str">
        <f>IFERROR(__xludf.DUMMYFUNCTION("IF($AG621, ""DELETED"",TRIM(JOIN("" "",D621:E621)))"),"")</f>
        <v/>
      </c>
      <c r="AP621" s="112" t="str">
        <f t="shared" ref="AP621:AQ621" si="646">IF($AG621, "DELETED", TRIM(CONCATENATE(F621,I621,U621)))</f>
        <v/>
      </c>
      <c r="AQ621" s="112" t="str">
        <f t="shared" si="646"/>
        <v/>
      </c>
      <c r="AR621" s="112" t="str">
        <f>IFERROR(__xludf.DUMMYFUNCTION("IF($AG621, ""DELETED"", TRIM(JOIN("" "",AP621,AQ621)))"),"")</f>
        <v/>
      </c>
      <c r="AS621" s="118"/>
      <c r="AT621" s="110" t="b">
        <f t="shared" si="12"/>
        <v>0</v>
      </c>
      <c r="AU621" s="110" t="str">
        <f t="shared" si="13"/>
        <v/>
      </c>
      <c r="AV621" s="110" t="str">
        <f t="shared" si="14"/>
        <v/>
      </c>
      <c r="AW621" s="110" t="str">
        <f t="shared" si="15"/>
        <v/>
      </c>
      <c r="AX621" s="119" t="str">
        <f t="shared" si="16"/>
        <v/>
      </c>
      <c r="AY621" s="120"/>
      <c r="AZ621" s="121"/>
      <c r="BA621" s="122" t="str">
        <f t="shared" si="17"/>
        <v/>
      </c>
      <c r="BB621" s="34"/>
      <c r="BC621" s="121"/>
      <c r="BD621" s="136"/>
      <c r="BE621" s="125" t="str">
        <f t="shared" si="18"/>
        <v/>
      </c>
      <c r="BF621" s="126" t="str">
        <f t="shared" si="19"/>
        <v>FM51__44619_0.515428240740741</v>
      </c>
      <c r="BG621" s="127" t="str">
        <f t="shared" si="20"/>
        <v/>
      </c>
      <c r="BH621" s="137" t="s">
        <v>1762</v>
      </c>
      <c r="BI621" s="128" t="str">
        <f t="shared" si="21"/>
        <v>MA408</v>
      </c>
      <c r="BJ621" s="129" t="b">
        <f t="shared" si="22"/>
        <v>0</v>
      </c>
      <c r="BK621" s="128" t="str">
        <f t="shared" si="23"/>
        <v/>
      </c>
      <c r="BL621" s="121"/>
      <c r="BM621" s="5" t="str">
        <f t="shared" si="24"/>
        <v>MISSING</v>
      </c>
      <c r="BN621" s="120" t="b">
        <f t="shared" si="25"/>
        <v>0</v>
      </c>
      <c r="BO621" s="131" t="b">
        <f t="shared" si="26"/>
        <v>1</v>
      </c>
      <c r="BP621" s="121"/>
      <c r="BQ621" s="132" t="str">
        <f>VLOOKUP(A621,RAW_APS!A$3:O826,15,FALSE)</f>
        <v/>
      </c>
      <c r="BR621" s="120" t="b">
        <f t="shared" si="27"/>
        <v>1</v>
      </c>
      <c r="BS621" s="121"/>
      <c r="BT621" s="138" t="s">
        <v>244</v>
      </c>
      <c r="BU621" s="10" t="b">
        <f t="shared" si="28"/>
        <v>1</v>
      </c>
      <c r="BV621" s="120"/>
      <c r="BW621" s="120"/>
      <c r="BX621" s="120"/>
      <c r="BY621" s="120"/>
      <c r="BZ621" s="120"/>
      <c r="CA621" s="120"/>
      <c r="CB621" s="120"/>
      <c r="CC621" s="120"/>
    </row>
    <row r="622">
      <c r="A622" s="2" t="s">
        <v>1763</v>
      </c>
      <c r="B622" s="100">
        <v>44621.0</v>
      </c>
      <c r="C622" s="101">
        <v>0.2698611111111111</v>
      </c>
      <c r="D622" s="102"/>
      <c r="E622" s="102"/>
      <c r="F622" s="102"/>
      <c r="G622" s="102"/>
      <c r="H622" s="102"/>
      <c r="I622" s="103"/>
      <c r="J622" s="103"/>
      <c r="K622" s="2" t="s">
        <v>244</v>
      </c>
      <c r="L622" s="100">
        <v>44627.0</v>
      </c>
      <c r="M622" s="101">
        <v>0.4779050925925926</v>
      </c>
      <c r="P622" s="104" t="b">
        <f>IFNA(IF(VLOOKUP($A622,'Add from APT'!$AA$2:$AC826,3,FALSE)&gt;0,TRUE,FALSE),"ER - NOT IN APT")</f>
        <v>0</v>
      </c>
      <c r="Q622" s="105" t="str">
        <f>IF(ISLOGICAL(P622),IF(P622,"ER - REPS IN APT", IFNA(VLOOKUP($A622,RAW_APT!$A$3:$M826,7,FALSE),"ER - NOT IN APT")),P622)</f>
        <v>Result</v>
      </c>
      <c r="R622" s="106" t="b">
        <f t="shared" si="2"/>
        <v>1</v>
      </c>
      <c r="S622" s="107">
        <f t="shared" si="3"/>
        <v>1</v>
      </c>
      <c r="T622" s="143"/>
      <c r="U622" s="142"/>
      <c r="V622" s="142"/>
      <c r="W622" s="142"/>
      <c r="X622" s="110" t="b">
        <f t="shared" si="4"/>
        <v>0</v>
      </c>
      <c r="Y622" s="111" t="b">
        <v>0</v>
      </c>
      <c r="Z622" s="104" t="str">
        <f t="shared" si="5"/>
        <v/>
      </c>
      <c r="AA622" s="112" t="b">
        <f t="shared" si="6"/>
        <v>0</v>
      </c>
      <c r="AB622" s="142" t="b">
        <v>0</v>
      </c>
      <c r="AC622" s="140">
        <v>194.0</v>
      </c>
      <c r="AD622" s="141" t="b">
        <v>0</v>
      </c>
      <c r="AE622" s="115" t="str">
        <f t="shared" si="7"/>
        <v/>
      </c>
      <c r="AF622" s="116" t="b">
        <f t="shared" si="8"/>
        <v>0</v>
      </c>
      <c r="AG622" s="105" t="b">
        <f t="shared" si="9"/>
        <v>0</v>
      </c>
      <c r="AH622" s="140"/>
      <c r="AI622" s="140"/>
      <c r="AJ622" s="140"/>
      <c r="AK622" s="117" t="str">
        <f t="shared" si="10"/>
        <v>Negative</v>
      </c>
      <c r="AL622" s="142"/>
      <c r="AM622" s="112" t="s">
        <v>1384</v>
      </c>
      <c r="AN622" s="112" t="s">
        <v>1385</v>
      </c>
      <c r="AO622" s="112" t="str">
        <f>IFERROR(__xludf.DUMMYFUNCTION("IF($AG622, ""DELETED"",TRIM(JOIN("" "",D622:E622)))"),"")</f>
        <v/>
      </c>
      <c r="AP622" s="112" t="str">
        <f t="shared" ref="AP622:AQ622" si="647">IF($AG622, "DELETED", TRIM(CONCATENATE(F622,I622,U622)))</f>
        <v/>
      </c>
      <c r="AQ622" s="112" t="str">
        <f t="shared" si="647"/>
        <v/>
      </c>
      <c r="AR622" s="112" t="str">
        <f>IFERROR(__xludf.DUMMYFUNCTION("IF($AG622, ""DELETED"", TRIM(JOIN("" "",AP622,AQ622)))"),"")</f>
        <v/>
      </c>
      <c r="AS622" s="118"/>
      <c r="AT622" s="110" t="b">
        <f t="shared" si="12"/>
        <v>0</v>
      </c>
      <c r="AU622" s="110" t="str">
        <f t="shared" si="13"/>
        <v/>
      </c>
      <c r="AV622" s="110" t="str">
        <f t="shared" si="14"/>
        <v/>
      </c>
      <c r="AW622" s="110" t="str">
        <f t="shared" si="15"/>
        <v/>
      </c>
      <c r="AX622" s="119" t="str">
        <f t="shared" si="16"/>
        <v/>
      </c>
      <c r="AY622" s="120"/>
      <c r="AZ622" s="121"/>
      <c r="BA622" s="122" t="str">
        <f t="shared" si="17"/>
        <v/>
      </c>
      <c r="BB622" s="34"/>
      <c r="BC622" s="121"/>
      <c r="BD622" s="136"/>
      <c r="BE622" s="125" t="str">
        <f t="shared" si="18"/>
        <v/>
      </c>
      <c r="BF622" s="126" t="str">
        <f t="shared" si="19"/>
        <v>FM1909__44621_0.269861111111111</v>
      </c>
      <c r="BG622" s="127" t="str">
        <f t="shared" si="20"/>
        <v/>
      </c>
      <c r="BH622" s="137" t="s">
        <v>1764</v>
      </c>
      <c r="BI622" s="128" t="str">
        <f t="shared" si="21"/>
        <v>MA411</v>
      </c>
      <c r="BJ622" s="129" t="b">
        <f t="shared" si="22"/>
        <v>0</v>
      </c>
      <c r="BK622" s="128" t="str">
        <f t="shared" si="23"/>
        <v/>
      </c>
      <c r="BL622" s="121"/>
      <c r="BM622" s="5" t="str">
        <f t="shared" si="24"/>
        <v>MISSING</v>
      </c>
      <c r="BN622" s="120" t="b">
        <f t="shared" si="25"/>
        <v>0</v>
      </c>
      <c r="BO622" s="131" t="b">
        <f t="shared" si="26"/>
        <v>1</v>
      </c>
      <c r="BP622" s="121"/>
      <c r="BQ622" s="132" t="str">
        <f>VLOOKUP(A622,RAW_APS!A$3:O826,15,FALSE)</f>
        <v/>
      </c>
      <c r="BR622" s="120" t="b">
        <f t="shared" si="27"/>
        <v>1</v>
      </c>
      <c r="BS622" s="121"/>
      <c r="BT622" s="138" t="s">
        <v>244</v>
      </c>
      <c r="BU622" s="10" t="b">
        <f t="shared" si="28"/>
        <v>1</v>
      </c>
      <c r="BV622" s="120"/>
      <c r="BW622" s="120"/>
      <c r="BX622" s="120"/>
      <c r="BY622" s="120"/>
      <c r="BZ622" s="120"/>
      <c r="CA622" s="120"/>
      <c r="CB622" s="120"/>
      <c r="CC622" s="120"/>
    </row>
    <row r="623">
      <c r="A623" s="2" t="s">
        <v>1765</v>
      </c>
      <c r="B623" s="100">
        <v>44621.0</v>
      </c>
      <c r="C623" s="101">
        <v>0.2941435185185185</v>
      </c>
      <c r="D623" s="102"/>
      <c r="E623" s="102"/>
      <c r="F623" s="102"/>
      <c r="G623" s="102"/>
      <c r="H623" s="102"/>
      <c r="I623" s="103"/>
      <c r="J623" s="103"/>
      <c r="K623" s="2" t="s">
        <v>244</v>
      </c>
      <c r="L623" s="100">
        <v>44627.0</v>
      </c>
      <c r="M623" s="101">
        <v>0.4779050925925926</v>
      </c>
      <c r="P623" s="104" t="b">
        <f>IFNA(IF(VLOOKUP($A623,'Add from APT'!$AA$2:$AC826,3,FALSE)&gt;0,TRUE,FALSE),"ER - NOT IN APT")</f>
        <v>0</v>
      </c>
      <c r="Q623" s="105" t="str">
        <f>IF(ISLOGICAL(P623),IF(P623,"ER - REPS IN APT", IFNA(VLOOKUP($A623,RAW_APT!$A$3:$M826,7,FALSE),"ER - NOT IN APT")),P623)</f>
        <v>Result</v>
      </c>
      <c r="R623" s="106" t="b">
        <f t="shared" si="2"/>
        <v>1</v>
      </c>
      <c r="S623" s="107">
        <f t="shared" si="3"/>
        <v>1</v>
      </c>
      <c r="T623" s="143"/>
      <c r="U623" s="142"/>
      <c r="V623" s="142"/>
      <c r="W623" s="142"/>
      <c r="X623" s="110" t="b">
        <f t="shared" si="4"/>
        <v>0</v>
      </c>
      <c r="Y623" s="111" t="b">
        <v>0</v>
      </c>
      <c r="Z623" s="104" t="str">
        <f t="shared" si="5"/>
        <v/>
      </c>
      <c r="AA623" s="112" t="b">
        <f t="shared" si="6"/>
        <v>0</v>
      </c>
      <c r="AB623" s="142" t="b">
        <v>0</v>
      </c>
      <c r="AC623" s="140">
        <v>193.0</v>
      </c>
      <c r="AD623" s="141" t="b">
        <v>0</v>
      </c>
      <c r="AE623" s="115" t="str">
        <f t="shared" si="7"/>
        <v/>
      </c>
      <c r="AF623" s="116" t="b">
        <f t="shared" si="8"/>
        <v>0</v>
      </c>
      <c r="AG623" s="105" t="b">
        <f t="shared" si="9"/>
        <v>0</v>
      </c>
      <c r="AH623" s="140"/>
      <c r="AI623" s="140"/>
      <c r="AJ623" s="140"/>
      <c r="AK623" s="117" t="str">
        <f t="shared" si="10"/>
        <v>Negative</v>
      </c>
      <c r="AL623" s="142"/>
      <c r="AM623" s="112" t="s">
        <v>806</v>
      </c>
      <c r="AN623" s="112" t="s">
        <v>807</v>
      </c>
      <c r="AO623" s="112" t="str">
        <f>IFERROR(__xludf.DUMMYFUNCTION("IF($AG623, ""DELETED"",TRIM(JOIN("" "",D623:E623)))"),"")</f>
        <v/>
      </c>
      <c r="AP623" s="112" t="str">
        <f t="shared" ref="AP623:AQ623" si="648">IF($AG623, "DELETED", TRIM(CONCATENATE(F623,I623,U623)))</f>
        <v/>
      </c>
      <c r="AQ623" s="112" t="str">
        <f t="shared" si="648"/>
        <v/>
      </c>
      <c r="AR623" s="112" t="str">
        <f>IFERROR(__xludf.DUMMYFUNCTION("IF($AG623, ""DELETED"", TRIM(JOIN("" "",AP623,AQ623)))"),"")</f>
        <v/>
      </c>
      <c r="AS623" s="118"/>
      <c r="AT623" s="110" t="b">
        <f t="shared" si="12"/>
        <v>0</v>
      </c>
      <c r="AU623" s="110" t="str">
        <f t="shared" si="13"/>
        <v/>
      </c>
      <c r="AV623" s="110" t="str">
        <f t="shared" si="14"/>
        <v/>
      </c>
      <c r="AW623" s="110" t="str">
        <f t="shared" si="15"/>
        <v/>
      </c>
      <c r="AX623" s="119" t="str">
        <f t="shared" si="16"/>
        <v/>
      </c>
      <c r="AY623" s="120"/>
      <c r="AZ623" s="121"/>
      <c r="BA623" s="122" t="str">
        <f t="shared" si="17"/>
        <v/>
      </c>
      <c r="BB623" s="34"/>
      <c r="BC623" s="121"/>
      <c r="BD623" s="136"/>
      <c r="BE623" s="125" t="str">
        <f t="shared" si="18"/>
        <v/>
      </c>
      <c r="BF623" s="126" t="str">
        <f t="shared" si="19"/>
        <v>FM2069__44621_0.294143518518519</v>
      </c>
      <c r="BG623" s="127" t="str">
        <f t="shared" si="20"/>
        <v/>
      </c>
      <c r="BH623" s="137" t="s">
        <v>1766</v>
      </c>
      <c r="BI623" s="128" t="str">
        <f t="shared" si="21"/>
        <v>MA412</v>
      </c>
      <c r="BJ623" s="129" t="b">
        <f t="shared" si="22"/>
        <v>0</v>
      </c>
      <c r="BK623" s="128" t="str">
        <f t="shared" si="23"/>
        <v/>
      </c>
      <c r="BL623" s="121"/>
      <c r="BM623" s="5" t="str">
        <f t="shared" si="24"/>
        <v>MISSING</v>
      </c>
      <c r="BN623" s="120" t="b">
        <f t="shared" si="25"/>
        <v>0</v>
      </c>
      <c r="BO623" s="131" t="b">
        <f t="shared" si="26"/>
        <v>1</v>
      </c>
      <c r="BP623" s="121"/>
      <c r="BQ623" s="132" t="str">
        <f>VLOOKUP(A623,RAW_APS!A$3:O826,15,FALSE)</f>
        <v/>
      </c>
      <c r="BR623" s="120" t="b">
        <f t="shared" si="27"/>
        <v>1</v>
      </c>
      <c r="BS623" s="121"/>
      <c r="BT623" s="138" t="s">
        <v>244</v>
      </c>
      <c r="BU623" s="10" t="b">
        <f t="shared" si="28"/>
        <v>1</v>
      </c>
      <c r="BV623" s="120"/>
      <c r="BW623" s="120"/>
      <c r="BX623" s="120"/>
      <c r="BY623" s="120"/>
      <c r="BZ623" s="120"/>
      <c r="CA623" s="120"/>
      <c r="CB623" s="120"/>
      <c r="CC623" s="120"/>
    </row>
    <row r="624">
      <c r="A624" s="2" t="s">
        <v>1767</v>
      </c>
      <c r="B624" s="100">
        <v>44621.0</v>
      </c>
      <c r="C624" s="101">
        <v>0.3004513888888889</v>
      </c>
      <c r="D624" s="102"/>
      <c r="E624" s="102"/>
      <c r="F624" s="102"/>
      <c r="G624" s="102"/>
      <c r="H624" s="102"/>
      <c r="I624" s="103"/>
      <c r="J624" s="103"/>
      <c r="K624" s="2" t="s">
        <v>244</v>
      </c>
      <c r="L624" s="100">
        <v>44627.0</v>
      </c>
      <c r="M624" s="101">
        <v>0.4779050925925926</v>
      </c>
      <c r="P624" s="104" t="b">
        <f>IFNA(IF(VLOOKUP($A624,'Add from APT'!$AA$2:$AC826,3,FALSE)&gt;0,TRUE,FALSE),"ER - NOT IN APT")</f>
        <v>0</v>
      </c>
      <c r="Q624" s="105" t="str">
        <f>IF(ISLOGICAL(P624),IF(P624,"ER - REPS IN APT", IFNA(VLOOKUP($A624,RAW_APT!$A$3:$M826,7,FALSE),"ER - NOT IN APT")),P624)</f>
        <v>Result</v>
      </c>
      <c r="R624" s="106" t="b">
        <f t="shared" si="2"/>
        <v>1</v>
      </c>
      <c r="S624" s="107">
        <f t="shared" si="3"/>
        <v>1</v>
      </c>
      <c r="T624" s="143"/>
      <c r="U624" s="142"/>
      <c r="V624" s="142"/>
      <c r="W624" s="142"/>
      <c r="X624" s="110" t="b">
        <f t="shared" si="4"/>
        <v>0</v>
      </c>
      <c r="Y624" s="111" t="b">
        <v>0</v>
      </c>
      <c r="Z624" s="104" t="str">
        <f t="shared" si="5"/>
        <v/>
      </c>
      <c r="AA624" s="112" t="b">
        <f t="shared" si="6"/>
        <v>0</v>
      </c>
      <c r="AB624" s="142" t="b">
        <v>0</v>
      </c>
      <c r="AC624" s="140">
        <v>192.0</v>
      </c>
      <c r="AD624" s="141" t="b">
        <v>0</v>
      </c>
      <c r="AE624" s="115" t="str">
        <f t="shared" si="7"/>
        <v/>
      </c>
      <c r="AF624" s="116" t="b">
        <f t="shared" si="8"/>
        <v>0</v>
      </c>
      <c r="AG624" s="105" t="b">
        <f t="shared" si="9"/>
        <v>0</v>
      </c>
      <c r="AH624" s="140"/>
      <c r="AI624" s="140"/>
      <c r="AJ624" s="140"/>
      <c r="AK624" s="117" t="str">
        <f t="shared" si="10"/>
        <v>Negative</v>
      </c>
      <c r="AL624" s="142"/>
      <c r="AM624" s="112" t="s">
        <v>839</v>
      </c>
      <c r="AN624" s="112" t="s">
        <v>542</v>
      </c>
      <c r="AO624" s="112" t="str">
        <f>IFERROR(__xludf.DUMMYFUNCTION("IF($AG624, ""DELETED"",TRIM(JOIN("" "",D624:E624)))"),"")</f>
        <v/>
      </c>
      <c r="AP624" s="112" t="str">
        <f t="shared" ref="AP624:AQ624" si="649">IF($AG624, "DELETED", TRIM(CONCATENATE(F624,I624,U624)))</f>
        <v/>
      </c>
      <c r="AQ624" s="112" t="str">
        <f t="shared" si="649"/>
        <v/>
      </c>
      <c r="AR624" s="112" t="str">
        <f>IFERROR(__xludf.DUMMYFUNCTION("IF($AG624, ""DELETED"", TRIM(JOIN("" "",AP624,AQ624)))"),"")</f>
        <v/>
      </c>
      <c r="AS624" s="118"/>
      <c r="AT624" s="110" t="b">
        <f t="shared" si="12"/>
        <v>0</v>
      </c>
      <c r="AU624" s="110" t="str">
        <f t="shared" si="13"/>
        <v/>
      </c>
      <c r="AV624" s="110" t="str">
        <f t="shared" si="14"/>
        <v/>
      </c>
      <c r="AW624" s="110" t="str">
        <f t="shared" si="15"/>
        <v/>
      </c>
      <c r="AX624" s="119" t="str">
        <f t="shared" si="16"/>
        <v/>
      </c>
      <c r="AY624" s="120"/>
      <c r="AZ624" s="121"/>
      <c r="BA624" s="122" t="str">
        <f t="shared" si="17"/>
        <v/>
      </c>
      <c r="BB624" s="34"/>
      <c r="BC624" s="121"/>
      <c r="BD624" s="136"/>
      <c r="BE624" s="125" t="str">
        <f t="shared" si="18"/>
        <v/>
      </c>
      <c r="BF624" s="126" t="str">
        <f t="shared" si="19"/>
        <v>FM2100__44621_0.300451388888889</v>
      </c>
      <c r="BG624" s="127" t="str">
        <f t="shared" si="20"/>
        <v/>
      </c>
      <c r="BH624" s="137" t="s">
        <v>1768</v>
      </c>
      <c r="BI624" s="128" t="str">
        <f t="shared" si="21"/>
        <v>MA420</v>
      </c>
      <c r="BJ624" s="129" t="b">
        <f t="shared" si="22"/>
        <v>0</v>
      </c>
      <c r="BK624" s="128" t="str">
        <f t="shared" si="23"/>
        <v/>
      </c>
      <c r="BL624" s="121"/>
      <c r="BM624" s="5" t="str">
        <f t="shared" si="24"/>
        <v>MISSING</v>
      </c>
      <c r="BN624" s="120" t="b">
        <f t="shared" si="25"/>
        <v>0</v>
      </c>
      <c r="BO624" s="131" t="b">
        <f t="shared" si="26"/>
        <v>1</v>
      </c>
      <c r="BP624" s="121"/>
      <c r="BQ624" s="132" t="str">
        <f>VLOOKUP(A624,RAW_APS!A$3:O826,15,FALSE)</f>
        <v/>
      </c>
      <c r="BR624" s="120" t="b">
        <f t="shared" si="27"/>
        <v>1</v>
      </c>
      <c r="BS624" s="121"/>
      <c r="BT624" s="138" t="s">
        <v>244</v>
      </c>
      <c r="BU624" s="10" t="b">
        <f t="shared" si="28"/>
        <v>1</v>
      </c>
      <c r="BV624" s="120"/>
      <c r="BW624" s="120"/>
      <c r="BX624" s="120"/>
      <c r="BY624" s="120"/>
      <c r="BZ624" s="120"/>
      <c r="CA624" s="120"/>
      <c r="CB624" s="120"/>
      <c r="CC624" s="120"/>
    </row>
    <row r="625">
      <c r="A625" s="2" t="s">
        <v>1769</v>
      </c>
      <c r="B625" s="100">
        <v>44621.0</v>
      </c>
      <c r="C625" s="101">
        <v>0.3062152777777778</v>
      </c>
      <c r="D625" s="102"/>
      <c r="E625" s="102"/>
      <c r="F625" s="102"/>
      <c r="G625" s="102"/>
      <c r="H625" s="102"/>
      <c r="I625" s="103"/>
      <c r="J625" s="103"/>
      <c r="K625" s="2" t="s">
        <v>244</v>
      </c>
      <c r="L625" s="100">
        <v>44627.0</v>
      </c>
      <c r="M625" s="101">
        <v>0.47791666666666666</v>
      </c>
      <c r="P625" s="104" t="b">
        <f>IFNA(IF(VLOOKUP($A625,'Add from APT'!$AA$2:$AC826,3,FALSE)&gt;0,TRUE,FALSE),"ER - NOT IN APT")</f>
        <v>0</v>
      </c>
      <c r="Q625" s="105" t="str">
        <f>IF(ISLOGICAL(P625),IF(P625,"ER - REPS IN APT", IFNA(VLOOKUP($A625,RAW_APT!$A$3:$M826,7,FALSE),"ER - NOT IN APT")),P625)</f>
        <v>Result</v>
      </c>
      <c r="R625" s="106" t="b">
        <f t="shared" si="2"/>
        <v>1</v>
      </c>
      <c r="S625" s="107">
        <f t="shared" si="3"/>
        <v>1</v>
      </c>
      <c r="T625" s="143"/>
      <c r="U625" s="142"/>
      <c r="V625" s="142"/>
      <c r="W625" s="142"/>
      <c r="X625" s="110" t="b">
        <f t="shared" si="4"/>
        <v>0</v>
      </c>
      <c r="Y625" s="111" t="b">
        <v>0</v>
      </c>
      <c r="Z625" s="104" t="str">
        <f t="shared" si="5"/>
        <v/>
      </c>
      <c r="AA625" s="112" t="b">
        <f t="shared" si="6"/>
        <v>0</v>
      </c>
      <c r="AB625" s="142" t="b">
        <v>0</v>
      </c>
      <c r="AC625" s="140">
        <v>191.0</v>
      </c>
      <c r="AD625" s="141" t="b">
        <v>0</v>
      </c>
      <c r="AE625" s="115" t="str">
        <f t="shared" si="7"/>
        <v/>
      </c>
      <c r="AF625" s="116" t="b">
        <f t="shared" si="8"/>
        <v>0</v>
      </c>
      <c r="AG625" s="105" t="b">
        <f t="shared" si="9"/>
        <v>0</v>
      </c>
      <c r="AH625" s="140"/>
      <c r="AI625" s="140"/>
      <c r="AJ625" s="140"/>
      <c r="AK625" s="117" t="str">
        <f t="shared" si="10"/>
        <v>Negative</v>
      </c>
      <c r="AL625" s="142"/>
      <c r="AM625" s="112" t="s">
        <v>303</v>
      </c>
      <c r="AN625" s="112" t="s">
        <v>304</v>
      </c>
      <c r="AO625" s="112" t="str">
        <f>IFERROR(__xludf.DUMMYFUNCTION("IF($AG625, ""DELETED"",TRIM(JOIN("" "",D625:E625)))"),"")</f>
        <v/>
      </c>
      <c r="AP625" s="112" t="str">
        <f t="shared" ref="AP625:AQ625" si="650">IF($AG625, "DELETED", TRIM(CONCATENATE(F625,I625,U625)))</f>
        <v/>
      </c>
      <c r="AQ625" s="112" t="str">
        <f t="shared" si="650"/>
        <v/>
      </c>
      <c r="AR625" s="112" t="str">
        <f>IFERROR(__xludf.DUMMYFUNCTION("IF($AG625, ""DELETED"", TRIM(JOIN("" "",AP625,AQ625)))"),"")</f>
        <v/>
      </c>
      <c r="AS625" s="118"/>
      <c r="AT625" s="110" t="b">
        <f t="shared" si="12"/>
        <v>0</v>
      </c>
      <c r="AU625" s="110" t="str">
        <f t="shared" si="13"/>
        <v/>
      </c>
      <c r="AV625" s="110" t="str">
        <f t="shared" si="14"/>
        <v/>
      </c>
      <c r="AW625" s="110" t="str">
        <f t="shared" si="15"/>
        <v/>
      </c>
      <c r="AX625" s="119" t="str">
        <f t="shared" si="16"/>
        <v/>
      </c>
      <c r="AY625" s="120"/>
      <c r="AZ625" s="121"/>
      <c r="BA625" s="122" t="str">
        <f t="shared" si="17"/>
        <v/>
      </c>
      <c r="BB625" s="34"/>
      <c r="BC625" s="121"/>
      <c r="BD625" s="136"/>
      <c r="BE625" s="125" t="str">
        <f t="shared" si="18"/>
        <v/>
      </c>
      <c r="BF625" s="126" t="str">
        <f t="shared" si="19"/>
        <v>FM18__44621_0.306215277777778</v>
      </c>
      <c r="BG625" s="127" t="str">
        <f t="shared" si="20"/>
        <v/>
      </c>
      <c r="BH625" s="137" t="s">
        <v>1770</v>
      </c>
      <c r="BI625" s="128" t="str">
        <f t="shared" si="21"/>
        <v>MA422</v>
      </c>
      <c r="BJ625" s="129" t="b">
        <f t="shared" si="22"/>
        <v>0</v>
      </c>
      <c r="BK625" s="128" t="str">
        <f t="shared" si="23"/>
        <v/>
      </c>
      <c r="BL625" s="121"/>
      <c r="BM625" s="5" t="str">
        <f t="shared" si="24"/>
        <v>MISSING</v>
      </c>
      <c r="BN625" s="120" t="b">
        <f t="shared" si="25"/>
        <v>0</v>
      </c>
      <c r="BO625" s="131" t="b">
        <f t="shared" si="26"/>
        <v>1</v>
      </c>
      <c r="BP625" s="121"/>
      <c r="BQ625" s="132" t="str">
        <f>VLOOKUP(A625,RAW_APS!A$3:O826,15,FALSE)</f>
        <v/>
      </c>
      <c r="BR625" s="120" t="b">
        <f t="shared" si="27"/>
        <v>1</v>
      </c>
      <c r="BS625" s="121"/>
      <c r="BT625" s="138" t="s">
        <v>244</v>
      </c>
      <c r="BU625" s="10" t="b">
        <f t="shared" si="28"/>
        <v>1</v>
      </c>
      <c r="BV625" s="120"/>
      <c r="BW625" s="120"/>
      <c r="BX625" s="120"/>
      <c r="BY625" s="120"/>
      <c r="BZ625" s="120"/>
      <c r="CA625" s="120"/>
      <c r="CB625" s="120"/>
      <c r="CC625" s="120"/>
    </row>
    <row r="626">
      <c r="A626" s="2" t="s">
        <v>1771</v>
      </c>
      <c r="B626" s="100">
        <v>44621.0</v>
      </c>
      <c r="C626" s="101">
        <v>0.3067708333333333</v>
      </c>
      <c r="D626" s="102"/>
      <c r="E626" s="102"/>
      <c r="F626" s="102"/>
      <c r="G626" s="102"/>
      <c r="H626" s="102"/>
      <c r="I626" s="103"/>
      <c r="J626" s="103"/>
      <c r="K626" s="2" t="s">
        <v>244</v>
      </c>
      <c r="L626" s="100">
        <v>44627.0</v>
      </c>
      <c r="M626" s="101">
        <v>0.47791666666666666</v>
      </c>
      <c r="P626" s="104" t="b">
        <f>IFNA(IF(VLOOKUP($A626,'Add from APT'!$AA$2:$AC826,3,FALSE)&gt;0,TRUE,FALSE),"ER - NOT IN APT")</f>
        <v>0</v>
      </c>
      <c r="Q626" s="105" t="str">
        <f>IF(ISLOGICAL(P626),IF(P626,"ER - REPS IN APT", IFNA(VLOOKUP($A626,RAW_APT!$A$3:$M826,7,FALSE),"ER - NOT IN APT")),P626)</f>
        <v>Result</v>
      </c>
      <c r="R626" s="106" t="b">
        <f t="shared" si="2"/>
        <v>1</v>
      </c>
      <c r="S626" s="107">
        <f t="shared" si="3"/>
        <v>1</v>
      </c>
      <c r="T626" s="143"/>
      <c r="U626" s="142"/>
      <c r="V626" s="142"/>
      <c r="W626" s="142"/>
      <c r="X626" s="110" t="b">
        <f t="shared" si="4"/>
        <v>0</v>
      </c>
      <c r="Y626" s="111" t="b">
        <v>0</v>
      </c>
      <c r="Z626" s="104" t="str">
        <f t="shared" si="5"/>
        <v/>
      </c>
      <c r="AA626" s="112" t="b">
        <f t="shared" si="6"/>
        <v>0</v>
      </c>
      <c r="AB626" s="142" t="b">
        <v>0</v>
      </c>
      <c r="AC626" s="140">
        <v>190.0</v>
      </c>
      <c r="AD626" s="141" t="b">
        <v>0</v>
      </c>
      <c r="AE626" s="115" t="str">
        <f t="shared" si="7"/>
        <v/>
      </c>
      <c r="AF626" s="116" t="b">
        <f t="shared" si="8"/>
        <v>0</v>
      </c>
      <c r="AG626" s="105" t="b">
        <f t="shared" si="9"/>
        <v>0</v>
      </c>
      <c r="AH626" s="140"/>
      <c r="AI626" s="140"/>
      <c r="AJ626" s="140"/>
      <c r="AK626" s="117" t="str">
        <f t="shared" si="10"/>
        <v>Negative</v>
      </c>
      <c r="AL626" s="142"/>
      <c r="AM626" s="112" t="s">
        <v>508</v>
      </c>
      <c r="AN626" s="112" t="s">
        <v>1390</v>
      </c>
      <c r="AO626" s="112" t="str">
        <f>IFERROR(__xludf.DUMMYFUNCTION("IF($AG626, ""DELETED"",TRIM(JOIN("" "",D626:E626)))"),"")</f>
        <v/>
      </c>
      <c r="AP626" s="112" t="str">
        <f t="shared" ref="AP626:AQ626" si="651">IF($AG626, "DELETED", TRIM(CONCATENATE(F626,I626,U626)))</f>
        <v/>
      </c>
      <c r="AQ626" s="112" t="str">
        <f t="shared" si="651"/>
        <v/>
      </c>
      <c r="AR626" s="112" t="str">
        <f>IFERROR(__xludf.DUMMYFUNCTION("IF($AG626, ""DELETED"", TRIM(JOIN("" "",AP626,AQ626)))"),"")</f>
        <v/>
      </c>
      <c r="AS626" s="118"/>
      <c r="AT626" s="110" t="b">
        <f t="shared" si="12"/>
        <v>0</v>
      </c>
      <c r="AU626" s="110" t="str">
        <f t="shared" si="13"/>
        <v/>
      </c>
      <c r="AV626" s="110" t="str">
        <f t="shared" si="14"/>
        <v/>
      </c>
      <c r="AW626" s="110" t="str">
        <f t="shared" si="15"/>
        <v/>
      </c>
      <c r="AX626" s="119" t="str">
        <f t="shared" si="16"/>
        <v/>
      </c>
      <c r="AY626" s="120"/>
      <c r="AZ626" s="121"/>
      <c r="BA626" s="122" t="str">
        <f t="shared" si="17"/>
        <v/>
      </c>
      <c r="BB626" s="34"/>
      <c r="BC626" s="121"/>
      <c r="BD626" s="136"/>
      <c r="BE626" s="125" t="str">
        <f t="shared" si="18"/>
        <v/>
      </c>
      <c r="BF626" s="126" t="str">
        <f t="shared" si="19"/>
        <v>FM354__44621_0.306770833333333</v>
      </c>
      <c r="BG626" s="127" t="str">
        <f t="shared" si="20"/>
        <v/>
      </c>
      <c r="BH626" s="137" t="s">
        <v>1772</v>
      </c>
      <c r="BI626" s="128" t="str">
        <f t="shared" si="21"/>
        <v>MA423</v>
      </c>
      <c r="BJ626" s="129" t="b">
        <f t="shared" si="22"/>
        <v>0</v>
      </c>
      <c r="BK626" s="128" t="str">
        <f t="shared" si="23"/>
        <v/>
      </c>
      <c r="BL626" s="121"/>
      <c r="BM626" s="5" t="str">
        <f t="shared" si="24"/>
        <v>MISSING</v>
      </c>
      <c r="BN626" s="120" t="b">
        <f t="shared" si="25"/>
        <v>0</v>
      </c>
      <c r="BO626" s="131" t="b">
        <f t="shared" si="26"/>
        <v>1</v>
      </c>
      <c r="BP626" s="121"/>
      <c r="BQ626" s="132" t="str">
        <f>VLOOKUP(A626,RAW_APS!A$3:O826,15,FALSE)</f>
        <v/>
      </c>
      <c r="BR626" s="120" t="b">
        <f t="shared" si="27"/>
        <v>1</v>
      </c>
      <c r="BS626" s="121"/>
      <c r="BT626" s="138" t="s">
        <v>244</v>
      </c>
      <c r="BU626" s="10" t="b">
        <f t="shared" si="28"/>
        <v>1</v>
      </c>
      <c r="BV626" s="120"/>
      <c r="BW626" s="120"/>
      <c r="BX626" s="120"/>
      <c r="BY626" s="120"/>
      <c r="BZ626" s="120"/>
      <c r="CA626" s="120"/>
      <c r="CB626" s="120"/>
      <c r="CC626" s="120"/>
    </row>
    <row r="627">
      <c r="A627" s="2" t="s">
        <v>1773</v>
      </c>
      <c r="B627" s="100">
        <v>44621.0</v>
      </c>
      <c r="C627" s="101">
        <v>0.3078587962962963</v>
      </c>
      <c r="D627" s="102"/>
      <c r="E627" s="102"/>
      <c r="F627" s="102"/>
      <c r="G627" s="102"/>
      <c r="H627" s="102"/>
      <c r="I627" s="103"/>
      <c r="J627" s="103"/>
      <c r="K627" s="2" t="s">
        <v>244</v>
      </c>
      <c r="L627" s="100">
        <v>44627.0</v>
      </c>
      <c r="M627" s="101">
        <v>0.47791666666666666</v>
      </c>
      <c r="P627" s="104" t="b">
        <f>IFNA(IF(VLOOKUP($A627,'Add from APT'!$AA$2:$AC826,3,FALSE)&gt;0,TRUE,FALSE),"ER - NOT IN APT")</f>
        <v>0</v>
      </c>
      <c r="Q627" s="105" t="str">
        <f>IF(ISLOGICAL(P627),IF(P627,"ER - REPS IN APT", IFNA(VLOOKUP($A627,RAW_APT!$A$3:$M826,7,FALSE),"ER - NOT IN APT")),P627)</f>
        <v>Result</v>
      </c>
      <c r="R627" s="106" t="b">
        <f t="shared" si="2"/>
        <v>1</v>
      </c>
      <c r="S627" s="107">
        <f t="shared" si="3"/>
        <v>1</v>
      </c>
      <c r="T627" s="143"/>
      <c r="U627" s="142"/>
      <c r="V627" s="142"/>
      <c r="W627" s="142"/>
      <c r="X627" s="110" t="b">
        <f t="shared" si="4"/>
        <v>0</v>
      </c>
      <c r="Y627" s="111" t="b">
        <v>0</v>
      </c>
      <c r="Z627" s="104" t="str">
        <f t="shared" si="5"/>
        <v/>
      </c>
      <c r="AA627" s="112" t="b">
        <f t="shared" si="6"/>
        <v>0</v>
      </c>
      <c r="AB627" s="142" t="b">
        <v>0</v>
      </c>
      <c r="AC627" s="140">
        <v>189.0</v>
      </c>
      <c r="AD627" s="141" t="b">
        <v>0</v>
      </c>
      <c r="AE627" s="115" t="str">
        <f t="shared" si="7"/>
        <v/>
      </c>
      <c r="AF627" s="116" t="b">
        <f t="shared" si="8"/>
        <v>0</v>
      </c>
      <c r="AG627" s="105" t="b">
        <f t="shared" si="9"/>
        <v>0</v>
      </c>
      <c r="AH627" s="140"/>
      <c r="AI627" s="140"/>
      <c r="AJ627" s="140"/>
      <c r="AK627" s="117" t="str">
        <f t="shared" si="10"/>
        <v>Negative</v>
      </c>
      <c r="AL627" s="142"/>
      <c r="AM627" s="112" t="s">
        <v>390</v>
      </c>
      <c r="AN627" s="112" t="s">
        <v>391</v>
      </c>
      <c r="AO627" s="112" t="str">
        <f>IFERROR(__xludf.DUMMYFUNCTION("IF($AG627, ""DELETED"",TRIM(JOIN("" "",D627:E627)))"),"")</f>
        <v/>
      </c>
      <c r="AP627" s="112" t="str">
        <f t="shared" ref="AP627:AQ627" si="652">IF($AG627, "DELETED", TRIM(CONCATENATE(F627,I627,U627)))</f>
        <v/>
      </c>
      <c r="AQ627" s="112" t="str">
        <f t="shared" si="652"/>
        <v/>
      </c>
      <c r="AR627" s="112" t="str">
        <f>IFERROR(__xludf.DUMMYFUNCTION("IF($AG627, ""DELETED"", TRIM(JOIN("" "",AP627,AQ627)))"),"")</f>
        <v/>
      </c>
      <c r="AS627" s="118"/>
      <c r="AT627" s="110" t="b">
        <f t="shared" si="12"/>
        <v>0</v>
      </c>
      <c r="AU627" s="110" t="str">
        <f t="shared" si="13"/>
        <v/>
      </c>
      <c r="AV627" s="110" t="str">
        <f t="shared" si="14"/>
        <v/>
      </c>
      <c r="AW627" s="110" t="str">
        <f t="shared" si="15"/>
        <v/>
      </c>
      <c r="AX627" s="119" t="str">
        <f t="shared" si="16"/>
        <v/>
      </c>
      <c r="AY627" s="120"/>
      <c r="AZ627" s="121"/>
      <c r="BA627" s="122" t="str">
        <f t="shared" si="17"/>
        <v/>
      </c>
      <c r="BB627" s="34"/>
      <c r="BC627" s="121"/>
      <c r="BD627" s="136"/>
      <c r="BE627" s="125" t="str">
        <f t="shared" si="18"/>
        <v/>
      </c>
      <c r="BF627" s="126" t="str">
        <f t="shared" si="19"/>
        <v>FM489__44621_0.307858796296296</v>
      </c>
      <c r="BG627" s="127" t="str">
        <f t="shared" si="20"/>
        <v/>
      </c>
      <c r="BH627" s="137" t="s">
        <v>1774</v>
      </c>
      <c r="BI627" s="128" t="str">
        <f t="shared" si="21"/>
        <v>MA424</v>
      </c>
      <c r="BJ627" s="129" t="b">
        <f t="shared" si="22"/>
        <v>0</v>
      </c>
      <c r="BK627" s="128" t="str">
        <f t="shared" si="23"/>
        <v/>
      </c>
      <c r="BL627" s="121"/>
      <c r="BM627" s="5" t="str">
        <f t="shared" si="24"/>
        <v>MISSING</v>
      </c>
      <c r="BN627" s="120" t="b">
        <f t="shared" si="25"/>
        <v>0</v>
      </c>
      <c r="BO627" s="131" t="b">
        <f t="shared" si="26"/>
        <v>1</v>
      </c>
      <c r="BP627" s="121"/>
      <c r="BQ627" s="132" t="str">
        <f>VLOOKUP(A627,RAW_APS!A$3:O826,15,FALSE)</f>
        <v/>
      </c>
      <c r="BR627" s="120" t="b">
        <f t="shared" si="27"/>
        <v>1</v>
      </c>
      <c r="BS627" s="121"/>
      <c r="BT627" s="138" t="s">
        <v>244</v>
      </c>
      <c r="BU627" s="10" t="b">
        <f t="shared" si="28"/>
        <v>1</v>
      </c>
      <c r="BV627" s="120"/>
      <c r="BW627" s="120"/>
      <c r="BX627" s="120"/>
      <c r="BY627" s="120"/>
      <c r="BZ627" s="120"/>
      <c r="CA627" s="120"/>
      <c r="CB627" s="120"/>
      <c r="CC627" s="120"/>
    </row>
    <row r="628">
      <c r="A628" s="2" t="s">
        <v>1775</v>
      </c>
      <c r="B628" s="100">
        <v>44621.0</v>
      </c>
      <c r="C628" s="101">
        <v>0.3086921296296296</v>
      </c>
      <c r="D628" s="102"/>
      <c r="E628" s="102"/>
      <c r="F628" s="102"/>
      <c r="G628" s="102"/>
      <c r="H628" s="102"/>
      <c r="I628" s="103"/>
      <c r="J628" s="103"/>
      <c r="K628" s="2" t="s">
        <v>244</v>
      </c>
      <c r="L628" s="100">
        <v>44627.0</v>
      </c>
      <c r="M628" s="101">
        <v>0.47791666666666666</v>
      </c>
      <c r="P628" s="104" t="b">
        <f>IFNA(IF(VLOOKUP($A628,'Add from APT'!$AA$2:$AC826,3,FALSE)&gt;0,TRUE,FALSE),"ER - NOT IN APT")</f>
        <v>0</v>
      </c>
      <c r="Q628" s="105" t="str">
        <f>IF(ISLOGICAL(P628),IF(P628,"ER - REPS IN APT", IFNA(VLOOKUP($A628,RAW_APT!$A$3:$M826,7,FALSE),"ER - NOT IN APT")),P628)</f>
        <v>Result</v>
      </c>
      <c r="R628" s="106" t="b">
        <f t="shared" si="2"/>
        <v>1</v>
      </c>
      <c r="S628" s="107">
        <f t="shared" si="3"/>
        <v>1</v>
      </c>
      <c r="T628" s="143"/>
      <c r="U628" s="142"/>
      <c r="V628" s="142"/>
      <c r="W628" s="142"/>
      <c r="X628" s="110" t="b">
        <f t="shared" si="4"/>
        <v>0</v>
      </c>
      <c r="Y628" s="111" t="b">
        <v>0</v>
      </c>
      <c r="Z628" s="104" t="str">
        <f t="shared" si="5"/>
        <v/>
      </c>
      <c r="AA628" s="112" t="b">
        <f t="shared" si="6"/>
        <v>0</v>
      </c>
      <c r="AB628" s="142" t="b">
        <v>0</v>
      </c>
      <c r="AC628" s="140">
        <v>188.0</v>
      </c>
      <c r="AD628" s="141" t="b">
        <v>0</v>
      </c>
      <c r="AE628" s="115" t="str">
        <f t="shared" si="7"/>
        <v/>
      </c>
      <c r="AF628" s="116" t="b">
        <f t="shared" si="8"/>
        <v>0</v>
      </c>
      <c r="AG628" s="105" t="b">
        <f t="shared" si="9"/>
        <v>0</v>
      </c>
      <c r="AH628" s="140"/>
      <c r="AI628" s="140"/>
      <c r="AJ628" s="140"/>
      <c r="AK628" s="117" t="str">
        <f t="shared" si="10"/>
        <v>Negative</v>
      </c>
      <c r="AL628" s="142"/>
      <c r="AM628" s="112" t="s">
        <v>854</v>
      </c>
      <c r="AN628" s="112" t="s">
        <v>687</v>
      </c>
      <c r="AO628" s="112" t="str">
        <f>IFERROR(__xludf.DUMMYFUNCTION("IF($AG628, ""DELETED"",TRIM(JOIN("" "",D628:E628)))"),"")</f>
        <v/>
      </c>
      <c r="AP628" s="112" t="str">
        <f t="shared" ref="AP628:AQ628" si="653">IF($AG628, "DELETED", TRIM(CONCATENATE(F628,I628,U628)))</f>
        <v/>
      </c>
      <c r="AQ628" s="112" t="str">
        <f t="shared" si="653"/>
        <v/>
      </c>
      <c r="AR628" s="112" t="str">
        <f>IFERROR(__xludf.DUMMYFUNCTION("IF($AG628, ""DELETED"", TRIM(JOIN("" "",AP628,AQ628)))"),"")</f>
        <v/>
      </c>
      <c r="AS628" s="118"/>
      <c r="AT628" s="110" t="b">
        <f t="shared" si="12"/>
        <v>0</v>
      </c>
      <c r="AU628" s="110" t="str">
        <f t="shared" si="13"/>
        <v/>
      </c>
      <c r="AV628" s="110" t="str">
        <f t="shared" si="14"/>
        <v/>
      </c>
      <c r="AW628" s="110" t="str">
        <f t="shared" si="15"/>
        <v/>
      </c>
      <c r="AX628" s="119" t="str">
        <f t="shared" si="16"/>
        <v/>
      </c>
      <c r="AY628" s="120"/>
      <c r="AZ628" s="121"/>
      <c r="BA628" s="122" t="str">
        <f t="shared" si="17"/>
        <v/>
      </c>
      <c r="BB628" s="34"/>
      <c r="BC628" s="121"/>
      <c r="BD628" s="136"/>
      <c r="BE628" s="125" t="str">
        <f t="shared" si="18"/>
        <v/>
      </c>
      <c r="BF628" s="126" t="str">
        <f t="shared" si="19"/>
        <v>FM481__44621_0.30869212962963</v>
      </c>
      <c r="BG628" s="127" t="str">
        <f t="shared" si="20"/>
        <v/>
      </c>
      <c r="BH628" s="137" t="s">
        <v>1776</v>
      </c>
      <c r="BI628" s="128" t="str">
        <f t="shared" si="21"/>
        <v>MA426</v>
      </c>
      <c r="BJ628" s="129" t="b">
        <f t="shared" si="22"/>
        <v>0</v>
      </c>
      <c r="BK628" s="128" t="str">
        <f t="shared" si="23"/>
        <v/>
      </c>
      <c r="BL628" s="121"/>
      <c r="BM628" s="5" t="str">
        <f t="shared" si="24"/>
        <v>MISSING</v>
      </c>
      <c r="BN628" s="120" t="b">
        <f t="shared" si="25"/>
        <v>0</v>
      </c>
      <c r="BO628" s="131" t="b">
        <f t="shared" si="26"/>
        <v>1</v>
      </c>
      <c r="BP628" s="121"/>
      <c r="BQ628" s="132" t="str">
        <f>VLOOKUP(A628,RAW_APS!A$3:O826,15,FALSE)</f>
        <v/>
      </c>
      <c r="BR628" s="120" t="b">
        <f t="shared" si="27"/>
        <v>1</v>
      </c>
      <c r="BS628" s="121"/>
      <c r="BT628" s="138" t="s">
        <v>244</v>
      </c>
      <c r="BU628" s="10" t="b">
        <f t="shared" si="28"/>
        <v>1</v>
      </c>
      <c r="BV628" s="120"/>
      <c r="BW628" s="120"/>
      <c r="BX628" s="120"/>
      <c r="BY628" s="120"/>
      <c r="BZ628" s="120"/>
      <c r="CA628" s="120"/>
      <c r="CB628" s="120"/>
      <c r="CC628" s="120"/>
    </row>
    <row r="629">
      <c r="A629" s="2" t="s">
        <v>1777</v>
      </c>
      <c r="B629" s="100">
        <v>44621.0</v>
      </c>
      <c r="C629" s="101">
        <v>0.3096875</v>
      </c>
      <c r="D629" s="102"/>
      <c r="E629" s="102"/>
      <c r="F629" s="102"/>
      <c r="G629" s="102"/>
      <c r="H629" s="102"/>
      <c r="I629" s="103"/>
      <c r="J629" s="103"/>
      <c r="K629" s="2" t="s">
        <v>244</v>
      </c>
      <c r="L629" s="100">
        <v>44627.0</v>
      </c>
      <c r="M629" s="101">
        <v>0.47791666666666666</v>
      </c>
      <c r="P629" s="104" t="b">
        <f>IFNA(IF(VLOOKUP($A629,'Add from APT'!$AA$2:$AC826,3,FALSE)&gt;0,TRUE,FALSE),"ER - NOT IN APT")</f>
        <v>0</v>
      </c>
      <c r="Q629" s="105" t="str">
        <f>IF(ISLOGICAL(P629),IF(P629,"ER - REPS IN APT", IFNA(VLOOKUP($A629,RAW_APT!$A$3:$M826,7,FALSE),"ER - NOT IN APT")),P629)</f>
        <v>Result</v>
      </c>
      <c r="R629" s="106" t="b">
        <f t="shared" si="2"/>
        <v>1</v>
      </c>
      <c r="S629" s="107">
        <f t="shared" si="3"/>
        <v>1</v>
      </c>
      <c r="T629" s="143"/>
      <c r="U629" s="142"/>
      <c r="V629" s="142"/>
      <c r="W629" s="141"/>
      <c r="X629" s="110" t="b">
        <f t="shared" si="4"/>
        <v>0</v>
      </c>
      <c r="Y629" s="111" t="b">
        <v>0</v>
      </c>
      <c r="Z629" s="104" t="str">
        <f t="shared" si="5"/>
        <v/>
      </c>
      <c r="AA629" s="112" t="b">
        <f t="shared" si="6"/>
        <v>0</v>
      </c>
      <c r="AB629" s="142" t="b">
        <v>0</v>
      </c>
      <c r="AC629" s="140">
        <v>187.0</v>
      </c>
      <c r="AD629" s="141" t="b">
        <v>0</v>
      </c>
      <c r="AE629" s="115" t="str">
        <f t="shared" si="7"/>
        <v/>
      </c>
      <c r="AF629" s="116" t="b">
        <f t="shared" si="8"/>
        <v>0</v>
      </c>
      <c r="AG629" s="105" t="b">
        <f t="shared" si="9"/>
        <v>0</v>
      </c>
      <c r="AH629" s="140"/>
      <c r="AI629" s="140"/>
      <c r="AJ629" s="140"/>
      <c r="AK629" s="117" t="str">
        <f t="shared" si="10"/>
        <v>Negative</v>
      </c>
      <c r="AL629" s="142"/>
      <c r="AM629" s="112" t="s">
        <v>269</v>
      </c>
      <c r="AN629" s="112" t="s">
        <v>270</v>
      </c>
      <c r="AO629" s="112" t="str">
        <f>IFERROR(__xludf.DUMMYFUNCTION("IF($AG629, ""DELETED"",TRIM(JOIN("" "",D629:E629)))"),"")</f>
        <v/>
      </c>
      <c r="AP629" s="112" t="str">
        <f t="shared" ref="AP629:AQ629" si="654">IF($AG629, "DELETED", TRIM(CONCATENATE(F629,I629,U629)))</f>
        <v/>
      </c>
      <c r="AQ629" s="112" t="str">
        <f t="shared" si="654"/>
        <v/>
      </c>
      <c r="AR629" s="112" t="str">
        <f>IFERROR(__xludf.DUMMYFUNCTION("IF($AG629, ""DELETED"", TRIM(JOIN("" "",AP629,AQ629)))"),"")</f>
        <v/>
      </c>
      <c r="AS629" s="118"/>
      <c r="AT629" s="110" t="b">
        <f t="shared" si="12"/>
        <v>0</v>
      </c>
      <c r="AU629" s="110" t="str">
        <f t="shared" si="13"/>
        <v/>
      </c>
      <c r="AV629" s="110" t="str">
        <f t="shared" si="14"/>
        <v/>
      </c>
      <c r="AW629" s="110" t="str">
        <f t="shared" si="15"/>
        <v/>
      </c>
      <c r="AX629" s="119" t="str">
        <f t="shared" si="16"/>
        <v/>
      </c>
      <c r="AY629" s="120"/>
      <c r="AZ629" s="121"/>
      <c r="BA629" s="122" t="str">
        <f t="shared" si="17"/>
        <v/>
      </c>
      <c r="BB629" s="34"/>
      <c r="BC629" s="121"/>
      <c r="BD629" s="136"/>
      <c r="BE629" s="125" t="str">
        <f t="shared" si="18"/>
        <v/>
      </c>
      <c r="BF629" s="126" t="str">
        <f t="shared" si="19"/>
        <v>MA1282__44621_0.3096875</v>
      </c>
      <c r="BG629" s="127" t="str">
        <f t="shared" si="20"/>
        <v/>
      </c>
      <c r="BH629" s="137" t="s">
        <v>1778</v>
      </c>
      <c r="BI629" s="128" t="str">
        <f t="shared" si="21"/>
        <v>MA427</v>
      </c>
      <c r="BJ629" s="129" t="b">
        <f t="shared" si="22"/>
        <v>0</v>
      </c>
      <c r="BK629" s="128" t="str">
        <f t="shared" si="23"/>
        <v/>
      </c>
      <c r="BL629" s="121"/>
      <c r="BM629" s="5" t="str">
        <f t="shared" si="24"/>
        <v>MISSING</v>
      </c>
      <c r="BN629" s="120" t="b">
        <f t="shared" si="25"/>
        <v>0</v>
      </c>
      <c r="BO629" s="131" t="b">
        <f t="shared" si="26"/>
        <v>1</v>
      </c>
      <c r="BP629" s="121"/>
      <c r="BQ629" s="132" t="str">
        <f>VLOOKUP(A629,RAW_APS!A$3:O826,15,FALSE)</f>
        <v/>
      </c>
      <c r="BR629" s="120" t="b">
        <f t="shared" si="27"/>
        <v>1</v>
      </c>
      <c r="BS629" s="121"/>
      <c r="BT629" s="138" t="s">
        <v>244</v>
      </c>
      <c r="BU629" s="10" t="b">
        <f t="shared" si="28"/>
        <v>1</v>
      </c>
      <c r="BV629" s="120"/>
      <c r="BW629" s="120"/>
      <c r="BX629" s="120"/>
      <c r="BY629" s="120"/>
      <c r="BZ629" s="120"/>
      <c r="CA629" s="120"/>
      <c r="CB629" s="120"/>
      <c r="CC629" s="120"/>
    </row>
    <row r="630">
      <c r="A630" s="2" t="s">
        <v>1779</v>
      </c>
      <c r="B630" s="100">
        <v>44621.0</v>
      </c>
      <c r="C630" s="101">
        <v>0.30995370370370373</v>
      </c>
      <c r="D630" s="102"/>
      <c r="E630" s="102"/>
      <c r="F630" s="102"/>
      <c r="G630" s="102"/>
      <c r="H630" s="102"/>
      <c r="I630" s="103"/>
      <c r="J630" s="103"/>
      <c r="K630" s="2" t="s">
        <v>254</v>
      </c>
      <c r="L630" s="11"/>
      <c r="M630" s="11"/>
      <c r="N630" s="11"/>
      <c r="O630" s="11"/>
      <c r="P630" s="104" t="b">
        <f>IFNA(IF(VLOOKUP($A630,'Add from APT'!$AA$2:$AC826,3,FALSE)&gt;0,TRUE,FALSE),"ER - NOT IN APT")</f>
        <v>0</v>
      </c>
      <c r="Q630" s="105" t="str">
        <f>IF(ISLOGICAL(P630),IF(P630,"ER - REPS IN APT", IFNA(VLOOKUP($A630,RAW_APT!$A$3:$M826,7,FALSE),"ER - NOT IN APT")),P630)</f>
        <v>Collected</v>
      </c>
      <c r="R630" s="106" t="b">
        <f t="shared" si="2"/>
        <v>1</v>
      </c>
      <c r="S630" s="107">
        <f t="shared" si="3"/>
        <v>1</v>
      </c>
      <c r="T630" s="143"/>
      <c r="U630" s="142"/>
      <c r="V630" s="142"/>
      <c r="W630" s="142"/>
      <c r="X630" s="110" t="b">
        <f t="shared" si="4"/>
        <v>0</v>
      </c>
      <c r="Y630" s="111" t="b">
        <v>0</v>
      </c>
      <c r="Z630" s="104" t="str">
        <f t="shared" si="5"/>
        <v/>
      </c>
      <c r="AA630" s="112" t="b">
        <f t="shared" si="6"/>
        <v>0</v>
      </c>
      <c r="AB630" s="142" t="b">
        <v>0</v>
      </c>
      <c r="AC630" s="140">
        <v>186.0</v>
      </c>
      <c r="AD630" s="141" t="b">
        <v>0</v>
      </c>
      <c r="AE630" s="115" t="str">
        <f t="shared" si="7"/>
        <v/>
      </c>
      <c r="AF630" s="116" t="b">
        <f t="shared" si="8"/>
        <v>0</v>
      </c>
      <c r="AG630" s="105" t="b">
        <f t="shared" si="9"/>
        <v>1</v>
      </c>
      <c r="AH630" s="140">
        <v>9.1</v>
      </c>
      <c r="AI630" s="140"/>
      <c r="AJ630" s="140"/>
      <c r="AK630" s="117" t="str">
        <f t="shared" si="10"/>
        <v>DELETED</v>
      </c>
      <c r="AL630" s="142"/>
      <c r="AM630" s="112" t="s">
        <v>245</v>
      </c>
      <c r="AN630" s="112" t="s">
        <v>245</v>
      </c>
      <c r="AO630" s="112" t="str">
        <f>IFERROR(__xludf.DUMMYFUNCTION("IF($AG630, ""DELETED"",TRIM(JOIN("" "",D630:E630)))"),"DELETED")</f>
        <v>DELETED</v>
      </c>
      <c r="AP630" s="112" t="str">
        <f t="shared" ref="AP630:AQ630" si="655">IF($AG630, "DELETED", TRIM(CONCATENATE(F630,I630,U630)))</f>
        <v>DELETED</v>
      </c>
      <c r="AQ630" s="112" t="str">
        <f t="shared" si="655"/>
        <v>DELETED</v>
      </c>
      <c r="AR630" s="112" t="str">
        <f>IFERROR(__xludf.DUMMYFUNCTION("IF($AG630, ""DELETED"", TRIM(JOIN("" "",AP630,AQ630)))"),"DELETED")</f>
        <v>DELETED</v>
      </c>
      <c r="AS630" s="118"/>
      <c r="AT630" s="110" t="b">
        <f t="shared" si="12"/>
        <v>1</v>
      </c>
      <c r="AU630" s="110" t="str">
        <f t="shared" si="13"/>
        <v/>
      </c>
      <c r="AV630" s="110" t="str">
        <f t="shared" si="14"/>
        <v/>
      </c>
      <c r="AW630" s="110" t="str">
        <f t="shared" si="15"/>
        <v/>
      </c>
      <c r="AX630" s="119" t="str">
        <f t="shared" si="16"/>
        <v/>
      </c>
      <c r="AY630" s="120"/>
      <c r="AZ630" s="121"/>
      <c r="BA630" s="122" t="b">
        <f t="shared" si="17"/>
        <v>1</v>
      </c>
      <c r="BB630" s="34"/>
      <c r="BC630" s="121"/>
      <c r="BD630" s="136"/>
      <c r="BE630" s="125" t="str">
        <f t="shared" si="18"/>
        <v/>
      </c>
      <c r="BF630" s="126" t="str">
        <f t="shared" si="19"/>
        <v>MA2090__44621_0.309953703703704</v>
      </c>
      <c r="BG630" s="127" t="str">
        <f t="shared" si="20"/>
        <v/>
      </c>
      <c r="BH630" s="137" t="s">
        <v>1780</v>
      </c>
      <c r="BI630" s="128" t="str">
        <f t="shared" si="21"/>
        <v>MA431</v>
      </c>
      <c r="BJ630" s="129" t="b">
        <f t="shared" si="22"/>
        <v>0</v>
      </c>
      <c r="BK630" s="128" t="str">
        <f t="shared" si="23"/>
        <v/>
      </c>
      <c r="BL630" s="121"/>
      <c r="BM630" s="5" t="str">
        <f t="shared" si="24"/>
        <v/>
      </c>
      <c r="BN630" s="120" t="b">
        <f t="shared" si="25"/>
        <v>0</v>
      </c>
      <c r="BO630" s="131" t="b">
        <f t="shared" si="26"/>
        <v>0</v>
      </c>
      <c r="BP630" s="121"/>
      <c r="BQ630" s="132" t="str">
        <f>VLOOKUP(A630,RAW_APS!A$3:O826,15,FALSE)</f>
        <v/>
      </c>
      <c r="BR630" s="120" t="b">
        <f t="shared" si="27"/>
        <v>1</v>
      </c>
      <c r="BS630" s="121"/>
      <c r="BT630" s="138" t="s">
        <v>245</v>
      </c>
      <c r="BU630" s="10" t="b">
        <f t="shared" si="28"/>
        <v>1</v>
      </c>
      <c r="BV630" s="120"/>
      <c r="BW630" s="120"/>
      <c r="BX630" s="120"/>
      <c r="BY630" s="120"/>
      <c r="BZ630" s="120"/>
      <c r="CA630" s="120"/>
      <c r="CB630" s="120"/>
      <c r="CC630" s="120"/>
    </row>
    <row r="631">
      <c r="A631" s="2" t="s">
        <v>1781</v>
      </c>
      <c r="B631" s="100">
        <v>44621.0</v>
      </c>
      <c r="C631" s="101">
        <v>0.3111921296296296</v>
      </c>
      <c r="D631" s="102"/>
      <c r="E631" s="102"/>
      <c r="F631" s="102"/>
      <c r="G631" s="102"/>
      <c r="H631" s="102"/>
      <c r="I631" s="103"/>
      <c r="J631" s="103"/>
      <c r="K631" s="2" t="s">
        <v>244</v>
      </c>
      <c r="L631" s="100">
        <v>44627.0</v>
      </c>
      <c r="M631" s="101">
        <v>0.47791666666666666</v>
      </c>
      <c r="P631" s="104" t="b">
        <f>IFNA(IF(VLOOKUP($A631,'Add from APT'!$AA$2:$AC826,3,FALSE)&gt;0,TRUE,FALSE),"ER - NOT IN APT")</f>
        <v>0</v>
      </c>
      <c r="Q631" s="105" t="str">
        <f>IF(ISLOGICAL(P631),IF(P631,"ER - REPS IN APT", IFNA(VLOOKUP($A631,RAW_APT!$A$3:$M826,7,FALSE),"ER - NOT IN APT")),P631)</f>
        <v>Result</v>
      </c>
      <c r="R631" s="106" t="b">
        <f t="shared" si="2"/>
        <v>1</v>
      </c>
      <c r="S631" s="107">
        <f t="shared" si="3"/>
        <v>1</v>
      </c>
      <c r="T631" s="143"/>
      <c r="U631" s="142"/>
      <c r="V631" s="142"/>
      <c r="W631" s="142"/>
      <c r="X631" s="110" t="b">
        <f t="shared" si="4"/>
        <v>0</v>
      </c>
      <c r="Y631" s="111" t="b">
        <v>0</v>
      </c>
      <c r="Z631" s="104" t="str">
        <f t="shared" si="5"/>
        <v/>
      </c>
      <c r="AA631" s="112" t="b">
        <f t="shared" si="6"/>
        <v>0</v>
      </c>
      <c r="AB631" s="142" t="b">
        <v>0</v>
      </c>
      <c r="AC631" s="140">
        <v>185.0</v>
      </c>
      <c r="AD631" s="141" t="b">
        <v>0</v>
      </c>
      <c r="AE631" s="115" t="str">
        <f t="shared" si="7"/>
        <v/>
      </c>
      <c r="AF631" s="116" t="b">
        <f t="shared" si="8"/>
        <v>0</v>
      </c>
      <c r="AG631" s="105" t="b">
        <f t="shared" si="9"/>
        <v>0</v>
      </c>
      <c r="AH631" s="140"/>
      <c r="AI631" s="140"/>
      <c r="AJ631" s="140"/>
      <c r="AK631" s="117" t="str">
        <f t="shared" si="10"/>
        <v>Negative</v>
      </c>
      <c r="AL631" s="142"/>
      <c r="AM631" s="112" t="s">
        <v>1270</v>
      </c>
      <c r="AN631" s="112" t="s">
        <v>1271</v>
      </c>
      <c r="AO631" s="112" t="str">
        <f>IFERROR(__xludf.DUMMYFUNCTION("IF($AG631, ""DELETED"",TRIM(JOIN("" "",D631:E631)))"),"")</f>
        <v/>
      </c>
      <c r="AP631" s="112" t="str">
        <f t="shared" ref="AP631:AQ631" si="656">IF($AG631, "DELETED", TRIM(CONCATENATE(F631,I631,U631)))</f>
        <v/>
      </c>
      <c r="AQ631" s="112" t="str">
        <f t="shared" si="656"/>
        <v/>
      </c>
      <c r="AR631" s="112" t="str">
        <f>IFERROR(__xludf.DUMMYFUNCTION("IF($AG631, ""DELETED"", TRIM(JOIN("" "",AP631,AQ631)))"),"")</f>
        <v/>
      </c>
      <c r="AS631" s="118"/>
      <c r="AT631" s="110" t="b">
        <f t="shared" si="12"/>
        <v>0</v>
      </c>
      <c r="AU631" s="110" t="str">
        <f t="shared" si="13"/>
        <v/>
      </c>
      <c r="AV631" s="110" t="str">
        <f t="shared" si="14"/>
        <v/>
      </c>
      <c r="AW631" s="110" t="str">
        <f t="shared" si="15"/>
        <v/>
      </c>
      <c r="AX631" s="119" t="str">
        <f t="shared" si="16"/>
        <v/>
      </c>
      <c r="AY631" s="120"/>
      <c r="AZ631" s="121"/>
      <c r="BA631" s="122" t="str">
        <f t="shared" si="17"/>
        <v/>
      </c>
      <c r="BB631" s="34"/>
      <c r="BC631" s="121"/>
      <c r="BD631" s="136"/>
      <c r="BE631" s="125" t="str">
        <f t="shared" si="18"/>
        <v/>
      </c>
      <c r="BF631" s="126" t="str">
        <f t="shared" si="19"/>
        <v>FM78__44621_0.31119212962963</v>
      </c>
      <c r="BG631" s="127" t="str">
        <f t="shared" si="20"/>
        <v/>
      </c>
      <c r="BH631" s="137" t="s">
        <v>1782</v>
      </c>
      <c r="BI631" s="128" t="str">
        <f t="shared" si="21"/>
        <v>MA433</v>
      </c>
      <c r="BJ631" s="129" t="b">
        <f t="shared" si="22"/>
        <v>0</v>
      </c>
      <c r="BK631" s="128" t="str">
        <f t="shared" si="23"/>
        <v/>
      </c>
      <c r="BL631" s="121"/>
      <c r="BM631" s="5" t="str">
        <f t="shared" si="24"/>
        <v>MISSING</v>
      </c>
      <c r="BN631" s="120" t="b">
        <f t="shared" si="25"/>
        <v>0</v>
      </c>
      <c r="BO631" s="131" t="b">
        <f t="shared" si="26"/>
        <v>1</v>
      </c>
      <c r="BP631" s="121"/>
      <c r="BQ631" s="132" t="str">
        <f>VLOOKUP(A631,RAW_APS!A$3:O826,15,FALSE)</f>
        <v/>
      </c>
      <c r="BR631" s="120" t="b">
        <f t="shared" si="27"/>
        <v>1</v>
      </c>
      <c r="BS631" s="121"/>
      <c r="BT631" s="138" t="s">
        <v>244</v>
      </c>
      <c r="BU631" s="10" t="b">
        <f t="shared" si="28"/>
        <v>1</v>
      </c>
      <c r="BV631" s="120"/>
      <c r="BW631" s="120"/>
      <c r="BX631" s="120"/>
      <c r="BY631" s="120"/>
      <c r="BZ631" s="120"/>
      <c r="CA631" s="120"/>
      <c r="CB631" s="120"/>
      <c r="CC631" s="120"/>
    </row>
    <row r="632">
      <c r="A632" s="2" t="s">
        <v>1783</v>
      </c>
      <c r="B632" s="100">
        <v>44621.0</v>
      </c>
      <c r="C632" s="101">
        <v>0.3119675925925926</v>
      </c>
      <c r="D632" s="102"/>
      <c r="E632" s="102"/>
      <c r="F632" s="102"/>
      <c r="G632" s="102"/>
      <c r="H632" s="102"/>
      <c r="I632" s="103"/>
      <c r="J632" s="103"/>
      <c r="K632" s="2" t="s">
        <v>244</v>
      </c>
      <c r="L632" s="100">
        <v>44627.0</v>
      </c>
      <c r="M632" s="101">
        <v>0.47791666666666666</v>
      </c>
      <c r="P632" s="104" t="b">
        <f>IFNA(IF(VLOOKUP($A632,'Add from APT'!$AA$2:$AC826,3,FALSE)&gt;0,TRUE,FALSE),"ER - NOT IN APT")</f>
        <v>0</v>
      </c>
      <c r="Q632" s="105" t="str">
        <f>IF(ISLOGICAL(P632),IF(P632,"ER - REPS IN APT", IFNA(VLOOKUP($A632,RAW_APT!$A$3:$M826,7,FALSE),"ER - NOT IN APT")),P632)</f>
        <v>Result</v>
      </c>
      <c r="R632" s="106" t="b">
        <f t="shared" si="2"/>
        <v>1</v>
      </c>
      <c r="S632" s="107">
        <f t="shared" si="3"/>
        <v>1</v>
      </c>
      <c r="T632" s="143"/>
      <c r="U632" s="142"/>
      <c r="V632" s="142"/>
      <c r="W632" s="142"/>
      <c r="X632" s="110" t="b">
        <f t="shared" si="4"/>
        <v>0</v>
      </c>
      <c r="Y632" s="111" t="b">
        <v>0</v>
      </c>
      <c r="Z632" s="104" t="str">
        <f t="shared" si="5"/>
        <v/>
      </c>
      <c r="AA632" s="112" t="b">
        <f t="shared" si="6"/>
        <v>0</v>
      </c>
      <c r="AB632" s="142" t="b">
        <v>0</v>
      </c>
      <c r="AC632" s="140">
        <v>184.0</v>
      </c>
      <c r="AD632" s="141" t="b">
        <v>0</v>
      </c>
      <c r="AE632" s="115" t="str">
        <f t="shared" si="7"/>
        <v/>
      </c>
      <c r="AF632" s="116" t="b">
        <f t="shared" si="8"/>
        <v>0</v>
      </c>
      <c r="AG632" s="105" t="b">
        <f t="shared" si="9"/>
        <v>0</v>
      </c>
      <c r="AH632" s="140"/>
      <c r="AI632" s="140"/>
      <c r="AJ632" s="140"/>
      <c r="AK632" s="117" t="str">
        <f t="shared" si="10"/>
        <v>Negative</v>
      </c>
      <c r="AL632" s="142"/>
      <c r="AM632" s="112" t="s">
        <v>1342</v>
      </c>
      <c r="AN632" s="112" t="s">
        <v>1343</v>
      </c>
      <c r="AO632" s="112" t="str">
        <f>IFERROR(__xludf.DUMMYFUNCTION("IF($AG632, ""DELETED"",TRIM(JOIN("" "",D632:E632)))"),"")</f>
        <v/>
      </c>
      <c r="AP632" s="112" t="str">
        <f t="shared" ref="AP632:AQ632" si="657">IF($AG632, "DELETED", TRIM(CONCATENATE(F632,I632,U632)))</f>
        <v/>
      </c>
      <c r="AQ632" s="112" t="str">
        <f t="shared" si="657"/>
        <v/>
      </c>
      <c r="AR632" s="112" t="str">
        <f>IFERROR(__xludf.DUMMYFUNCTION("IF($AG632, ""DELETED"", TRIM(JOIN("" "",AP632,AQ632)))"),"")</f>
        <v/>
      </c>
      <c r="AS632" s="118"/>
      <c r="AT632" s="110" t="b">
        <f t="shared" si="12"/>
        <v>0</v>
      </c>
      <c r="AU632" s="110" t="str">
        <f t="shared" si="13"/>
        <v/>
      </c>
      <c r="AV632" s="110" t="str">
        <f t="shared" si="14"/>
        <v/>
      </c>
      <c r="AW632" s="110" t="str">
        <f t="shared" si="15"/>
        <v/>
      </c>
      <c r="AX632" s="119" t="str">
        <f t="shared" si="16"/>
        <v/>
      </c>
      <c r="AY632" s="120"/>
      <c r="AZ632" s="121"/>
      <c r="BA632" s="122" t="str">
        <f t="shared" si="17"/>
        <v/>
      </c>
      <c r="BB632" s="34"/>
      <c r="BC632" s="121"/>
      <c r="BD632" s="136"/>
      <c r="BE632" s="125" t="str">
        <f t="shared" si="18"/>
        <v/>
      </c>
      <c r="BF632" s="126" t="str">
        <f t="shared" si="19"/>
        <v>FM2054__44621_0.311967592592593</v>
      </c>
      <c r="BG632" s="127" t="str">
        <f t="shared" si="20"/>
        <v/>
      </c>
      <c r="BH632" s="137" t="s">
        <v>1784</v>
      </c>
      <c r="BI632" s="128" t="str">
        <f t="shared" si="21"/>
        <v>MA434</v>
      </c>
      <c r="BJ632" s="129" t="b">
        <f t="shared" si="22"/>
        <v>0</v>
      </c>
      <c r="BK632" s="128" t="str">
        <f t="shared" si="23"/>
        <v/>
      </c>
      <c r="BL632" s="121"/>
      <c r="BM632" s="5" t="str">
        <f t="shared" si="24"/>
        <v>MISSING</v>
      </c>
      <c r="BN632" s="120" t="b">
        <f t="shared" si="25"/>
        <v>0</v>
      </c>
      <c r="BO632" s="131" t="b">
        <f t="shared" si="26"/>
        <v>1</v>
      </c>
      <c r="BP632" s="121"/>
      <c r="BQ632" s="132" t="str">
        <f>VLOOKUP(A632,RAW_APS!A$3:O826,15,FALSE)</f>
        <v/>
      </c>
      <c r="BR632" s="120" t="b">
        <f t="shared" si="27"/>
        <v>1</v>
      </c>
      <c r="BS632" s="121"/>
      <c r="BT632" s="138" t="s">
        <v>244</v>
      </c>
      <c r="BU632" s="10" t="b">
        <f t="shared" si="28"/>
        <v>1</v>
      </c>
      <c r="BV632" s="120"/>
      <c r="BW632" s="120"/>
      <c r="BX632" s="120"/>
      <c r="BY632" s="120"/>
      <c r="BZ632" s="120"/>
      <c r="CA632" s="120"/>
      <c r="CB632" s="120"/>
      <c r="CC632" s="120"/>
    </row>
    <row r="633">
      <c r="A633" s="2" t="s">
        <v>1785</v>
      </c>
      <c r="B633" s="100">
        <v>44621.0</v>
      </c>
      <c r="C633" s="101">
        <v>0.3153587962962963</v>
      </c>
      <c r="D633" s="102"/>
      <c r="E633" s="102"/>
      <c r="F633" s="102"/>
      <c r="G633" s="102"/>
      <c r="H633" s="102"/>
      <c r="I633" s="103"/>
      <c r="J633" s="103"/>
      <c r="K633" s="2" t="s">
        <v>244</v>
      </c>
      <c r="L633" s="100">
        <v>44623.0</v>
      </c>
      <c r="M633" s="101">
        <v>0.4605787037037037</v>
      </c>
      <c r="P633" s="104" t="b">
        <f>IFNA(IF(VLOOKUP($A633,'Add from APT'!$AA$2:$AC826,3,FALSE)&gt;0,TRUE,FALSE),"ER - NOT IN APT")</f>
        <v>0</v>
      </c>
      <c r="Q633" s="105" t="str">
        <f>IF(ISLOGICAL(P633),IF(P633,"ER - REPS IN APT", IFNA(VLOOKUP($A633,RAW_APT!$A$3:$M826,7,FALSE),"ER - NOT IN APT")),P633)</f>
        <v>Result</v>
      </c>
      <c r="R633" s="106" t="b">
        <f t="shared" si="2"/>
        <v>1</v>
      </c>
      <c r="S633" s="107">
        <f t="shared" si="3"/>
        <v>1</v>
      </c>
      <c r="T633" s="143"/>
      <c r="U633" s="142"/>
      <c r="V633" s="142"/>
      <c r="W633" s="142"/>
      <c r="X633" s="110" t="b">
        <f t="shared" si="4"/>
        <v>0</v>
      </c>
      <c r="Y633" s="111" t="b">
        <v>0</v>
      </c>
      <c r="Z633" s="104" t="str">
        <f t="shared" si="5"/>
        <v/>
      </c>
      <c r="AA633" s="112" t="b">
        <f t="shared" si="6"/>
        <v>0</v>
      </c>
      <c r="AB633" s="142" t="b">
        <v>0</v>
      </c>
      <c r="AC633" s="140">
        <v>183.0</v>
      </c>
      <c r="AD633" s="141" t="b">
        <v>0</v>
      </c>
      <c r="AE633" s="115" t="str">
        <f t="shared" si="7"/>
        <v/>
      </c>
      <c r="AF633" s="116" t="b">
        <f t="shared" si="8"/>
        <v>0</v>
      </c>
      <c r="AG633" s="105" t="b">
        <f t="shared" si="9"/>
        <v>0</v>
      </c>
      <c r="AH633" s="140"/>
      <c r="AI633" s="140"/>
      <c r="AJ633" s="140"/>
      <c r="AK633" s="117" t="str">
        <f t="shared" si="10"/>
        <v>Negative</v>
      </c>
      <c r="AL633" s="142"/>
      <c r="AM633" s="112" t="s">
        <v>287</v>
      </c>
      <c r="AN633" s="112" t="s">
        <v>288</v>
      </c>
      <c r="AO633" s="112" t="str">
        <f>IFERROR(__xludf.DUMMYFUNCTION("IF($AG633, ""DELETED"",TRIM(JOIN("" "",D633:E633)))"),"")</f>
        <v/>
      </c>
      <c r="AP633" s="112" t="str">
        <f t="shared" ref="AP633:AQ633" si="658">IF($AG633, "DELETED", TRIM(CONCATENATE(F633,I633,U633)))</f>
        <v/>
      </c>
      <c r="AQ633" s="112" t="str">
        <f t="shared" si="658"/>
        <v/>
      </c>
      <c r="AR633" s="112" t="str">
        <f>IFERROR(__xludf.DUMMYFUNCTION("IF($AG633, ""DELETED"", TRIM(JOIN("" "",AP633,AQ633)))"),"")</f>
        <v/>
      </c>
      <c r="AS633" s="118"/>
      <c r="AT633" s="110" t="b">
        <f t="shared" si="12"/>
        <v>0</v>
      </c>
      <c r="AU633" s="110" t="str">
        <f t="shared" si="13"/>
        <v/>
      </c>
      <c r="AV633" s="110" t="str">
        <f t="shared" si="14"/>
        <v/>
      </c>
      <c r="AW633" s="110" t="str">
        <f t="shared" si="15"/>
        <v/>
      </c>
      <c r="AX633" s="119" t="str">
        <f t="shared" si="16"/>
        <v/>
      </c>
      <c r="AY633" s="120"/>
      <c r="AZ633" s="121"/>
      <c r="BA633" s="122" t="str">
        <f t="shared" si="17"/>
        <v/>
      </c>
      <c r="BB633" s="34"/>
      <c r="BC633" s="121"/>
      <c r="BD633" s="136"/>
      <c r="BE633" s="125" t="str">
        <f t="shared" si="18"/>
        <v/>
      </c>
      <c r="BF633" s="126" t="str">
        <f t="shared" si="19"/>
        <v>MA322__44621_0.315358796296296</v>
      </c>
      <c r="BG633" s="127" t="str">
        <f t="shared" si="20"/>
        <v/>
      </c>
      <c r="BH633" s="137" t="s">
        <v>1786</v>
      </c>
      <c r="BI633" s="128" t="str">
        <f t="shared" si="21"/>
        <v>MA435</v>
      </c>
      <c r="BJ633" s="129" t="b">
        <f t="shared" si="22"/>
        <v>0</v>
      </c>
      <c r="BK633" s="128" t="str">
        <f t="shared" si="23"/>
        <v/>
      </c>
      <c r="BL633" s="121"/>
      <c r="BM633" s="5" t="str">
        <f t="shared" si="24"/>
        <v>MISSING</v>
      </c>
      <c r="BN633" s="120" t="b">
        <f t="shared" si="25"/>
        <v>0</v>
      </c>
      <c r="BO633" s="131" t="b">
        <f t="shared" si="26"/>
        <v>1</v>
      </c>
      <c r="BP633" s="121"/>
      <c r="BQ633" s="132" t="str">
        <f>VLOOKUP(A633,RAW_APS!A$3:O826,15,FALSE)</f>
        <v/>
      </c>
      <c r="BR633" s="120" t="b">
        <f t="shared" si="27"/>
        <v>1</v>
      </c>
      <c r="BS633" s="121"/>
      <c r="BT633" s="138" t="s">
        <v>244</v>
      </c>
      <c r="BU633" s="10" t="b">
        <f t="shared" si="28"/>
        <v>1</v>
      </c>
      <c r="BV633" s="120"/>
      <c r="BW633" s="120"/>
      <c r="BX633" s="120"/>
      <c r="BY633" s="120"/>
      <c r="BZ633" s="120"/>
      <c r="CA633" s="120"/>
      <c r="CB633" s="120"/>
      <c r="CC633" s="120"/>
    </row>
    <row r="634">
      <c r="A634" s="2" t="s">
        <v>1787</v>
      </c>
      <c r="B634" s="100">
        <v>44621.0</v>
      </c>
      <c r="C634" s="101">
        <v>0.31734953703703705</v>
      </c>
      <c r="D634" s="102"/>
      <c r="E634" s="102"/>
      <c r="F634" s="102"/>
      <c r="G634" s="102"/>
      <c r="H634" s="102"/>
      <c r="I634" s="103"/>
      <c r="J634" s="103"/>
      <c r="K634" s="2" t="s">
        <v>244</v>
      </c>
      <c r="L634" s="100">
        <v>44627.0</v>
      </c>
      <c r="M634" s="101">
        <v>0.47791666666666666</v>
      </c>
      <c r="P634" s="104" t="b">
        <f>IFNA(IF(VLOOKUP($A634,'Add from APT'!$AA$2:$AC826,3,FALSE)&gt;0,TRUE,FALSE),"ER - NOT IN APT")</f>
        <v>0</v>
      </c>
      <c r="Q634" s="105" t="str">
        <f>IF(ISLOGICAL(P634),IF(P634,"ER - REPS IN APT", IFNA(VLOOKUP($A634,RAW_APT!$A$3:$M826,7,FALSE),"ER - NOT IN APT")),P634)</f>
        <v>Result</v>
      </c>
      <c r="R634" s="106" t="b">
        <f t="shared" si="2"/>
        <v>1</v>
      </c>
      <c r="S634" s="107">
        <f t="shared" si="3"/>
        <v>1</v>
      </c>
      <c r="T634" s="143"/>
      <c r="U634" s="142"/>
      <c r="V634" s="142"/>
      <c r="W634" s="142"/>
      <c r="X634" s="110" t="b">
        <f t="shared" si="4"/>
        <v>0</v>
      </c>
      <c r="Y634" s="111" t="b">
        <v>0</v>
      </c>
      <c r="Z634" s="104" t="str">
        <f t="shared" si="5"/>
        <v/>
      </c>
      <c r="AA634" s="112" t="b">
        <f t="shared" si="6"/>
        <v>0</v>
      </c>
      <c r="AB634" s="142" t="b">
        <v>0</v>
      </c>
      <c r="AC634" s="140">
        <v>182.0</v>
      </c>
      <c r="AD634" s="141" t="b">
        <v>0</v>
      </c>
      <c r="AE634" s="115" t="str">
        <f t="shared" si="7"/>
        <v/>
      </c>
      <c r="AF634" s="116" t="b">
        <f t="shared" si="8"/>
        <v>0</v>
      </c>
      <c r="AG634" s="105" t="b">
        <f t="shared" si="9"/>
        <v>0</v>
      </c>
      <c r="AH634" s="140"/>
      <c r="AI634" s="140"/>
      <c r="AJ634" s="140"/>
      <c r="AK634" s="117" t="str">
        <f t="shared" si="10"/>
        <v>Negative</v>
      </c>
      <c r="AL634" s="142"/>
      <c r="AM634" s="112" t="s">
        <v>295</v>
      </c>
      <c r="AN634" s="112" t="s">
        <v>296</v>
      </c>
      <c r="AO634" s="112" t="str">
        <f>IFERROR(__xludf.DUMMYFUNCTION("IF($AG634, ""DELETED"",TRIM(JOIN("" "",D634:E634)))"),"")</f>
        <v/>
      </c>
      <c r="AP634" s="112" t="str">
        <f t="shared" ref="AP634:AQ634" si="659">IF($AG634, "DELETED", TRIM(CONCATENATE(F634,I634,U634)))</f>
        <v/>
      </c>
      <c r="AQ634" s="112" t="str">
        <f t="shared" si="659"/>
        <v/>
      </c>
      <c r="AR634" s="112" t="str">
        <f>IFERROR(__xludf.DUMMYFUNCTION("IF($AG634, ""DELETED"", TRIM(JOIN("" "",AP634,AQ634)))"),"")</f>
        <v/>
      </c>
      <c r="AS634" s="118"/>
      <c r="AT634" s="110" t="b">
        <f t="shared" si="12"/>
        <v>0</v>
      </c>
      <c r="AU634" s="110" t="str">
        <f t="shared" si="13"/>
        <v/>
      </c>
      <c r="AV634" s="110" t="str">
        <f t="shared" si="14"/>
        <v/>
      </c>
      <c r="AW634" s="110" t="str">
        <f t="shared" si="15"/>
        <v/>
      </c>
      <c r="AX634" s="119" t="str">
        <f t="shared" si="16"/>
        <v/>
      </c>
      <c r="AY634" s="120"/>
      <c r="AZ634" s="121"/>
      <c r="BA634" s="122" t="str">
        <f t="shared" si="17"/>
        <v/>
      </c>
      <c r="BB634" s="34"/>
      <c r="BC634" s="121"/>
      <c r="BD634" s="136"/>
      <c r="BE634" s="125" t="str">
        <f t="shared" si="18"/>
        <v/>
      </c>
      <c r="BF634" s="126" t="str">
        <f t="shared" si="19"/>
        <v>MA1264__44621_0.317349537037037</v>
      </c>
      <c r="BG634" s="127" t="str">
        <f t="shared" si="20"/>
        <v/>
      </c>
      <c r="BH634" s="137" t="s">
        <v>1788</v>
      </c>
      <c r="BI634" s="128" t="str">
        <f t="shared" si="21"/>
        <v>MA436</v>
      </c>
      <c r="BJ634" s="129" t="b">
        <f t="shared" si="22"/>
        <v>0</v>
      </c>
      <c r="BK634" s="128" t="str">
        <f t="shared" si="23"/>
        <v/>
      </c>
      <c r="BL634" s="121"/>
      <c r="BM634" s="5" t="str">
        <f t="shared" si="24"/>
        <v>MISSING</v>
      </c>
      <c r="BN634" s="120" t="b">
        <f t="shared" si="25"/>
        <v>0</v>
      </c>
      <c r="BO634" s="131" t="b">
        <f t="shared" si="26"/>
        <v>1</v>
      </c>
      <c r="BP634" s="121"/>
      <c r="BQ634" s="132" t="str">
        <f>VLOOKUP(A634,RAW_APS!A$3:O826,15,FALSE)</f>
        <v/>
      </c>
      <c r="BR634" s="120" t="b">
        <f t="shared" si="27"/>
        <v>1</v>
      </c>
      <c r="BS634" s="121"/>
      <c r="BT634" s="138" t="s">
        <v>244</v>
      </c>
      <c r="BU634" s="10" t="b">
        <f t="shared" si="28"/>
        <v>1</v>
      </c>
      <c r="BV634" s="120"/>
      <c r="BW634" s="120"/>
      <c r="BX634" s="120"/>
      <c r="BY634" s="120"/>
      <c r="BZ634" s="120"/>
      <c r="CA634" s="120"/>
      <c r="CB634" s="120"/>
      <c r="CC634" s="120"/>
    </row>
    <row r="635">
      <c r="A635" s="2" t="s">
        <v>1789</v>
      </c>
      <c r="B635" s="100">
        <v>44621.0</v>
      </c>
      <c r="C635" s="101">
        <v>0.32395833333333335</v>
      </c>
      <c r="D635" s="102"/>
      <c r="E635" s="102"/>
      <c r="F635" s="102"/>
      <c r="G635" s="102"/>
      <c r="H635" s="102"/>
      <c r="I635" s="103"/>
      <c r="J635" s="103"/>
      <c r="K635" s="2" t="s">
        <v>244</v>
      </c>
      <c r="L635" s="100">
        <v>44627.0</v>
      </c>
      <c r="M635" s="101">
        <v>0.47791666666666666</v>
      </c>
      <c r="P635" s="104" t="b">
        <f>IFNA(IF(VLOOKUP($A635,'Add from APT'!$AA$2:$AC826,3,FALSE)&gt;0,TRUE,FALSE),"ER - NOT IN APT")</f>
        <v>0</v>
      </c>
      <c r="Q635" s="105" t="str">
        <f>IF(ISLOGICAL(P635),IF(P635,"ER - REPS IN APT", IFNA(VLOOKUP($A635,RAW_APT!$A$3:$M826,7,FALSE),"ER - NOT IN APT")),P635)</f>
        <v>Result</v>
      </c>
      <c r="R635" s="106" t="b">
        <f t="shared" si="2"/>
        <v>1</v>
      </c>
      <c r="S635" s="107">
        <f t="shared" si="3"/>
        <v>1</v>
      </c>
      <c r="T635" s="143"/>
      <c r="U635" s="142"/>
      <c r="V635" s="142"/>
      <c r="W635" s="142"/>
      <c r="X635" s="110" t="b">
        <f t="shared" si="4"/>
        <v>0</v>
      </c>
      <c r="Y635" s="111" t="b">
        <v>0</v>
      </c>
      <c r="Z635" s="104" t="str">
        <f t="shared" si="5"/>
        <v/>
      </c>
      <c r="AA635" s="112" t="b">
        <f t="shared" si="6"/>
        <v>0</v>
      </c>
      <c r="AB635" s="142" t="b">
        <v>0</v>
      </c>
      <c r="AC635" s="140">
        <v>181.0</v>
      </c>
      <c r="AD635" s="141" t="b">
        <v>0</v>
      </c>
      <c r="AE635" s="115" t="str">
        <f t="shared" si="7"/>
        <v/>
      </c>
      <c r="AF635" s="116" t="b">
        <f t="shared" si="8"/>
        <v>0</v>
      </c>
      <c r="AG635" s="105" t="b">
        <f t="shared" si="9"/>
        <v>0</v>
      </c>
      <c r="AH635" s="140"/>
      <c r="AI635" s="140"/>
      <c r="AJ635" s="140"/>
      <c r="AK635" s="117" t="str">
        <f t="shared" si="10"/>
        <v>Negative</v>
      </c>
      <c r="AL635" s="142"/>
      <c r="AM635" s="112" t="s">
        <v>471</v>
      </c>
      <c r="AN635" s="112" t="s">
        <v>472</v>
      </c>
      <c r="AO635" s="112" t="str">
        <f>IFERROR(__xludf.DUMMYFUNCTION("IF($AG635, ""DELETED"",TRIM(JOIN("" "",D635:E635)))"),"")</f>
        <v/>
      </c>
      <c r="AP635" s="112" t="str">
        <f t="shared" ref="AP635:AQ635" si="660">IF($AG635, "DELETED", TRIM(CONCATENATE(F635,I635,U635)))</f>
        <v/>
      </c>
      <c r="AQ635" s="112" t="str">
        <f t="shared" si="660"/>
        <v/>
      </c>
      <c r="AR635" s="112" t="str">
        <f>IFERROR(__xludf.DUMMYFUNCTION("IF($AG635, ""DELETED"", TRIM(JOIN("" "",AP635,AQ635)))"),"")</f>
        <v/>
      </c>
      <c r="AS635" s="118"/>
      <c r="AT635" s="110" t="b">
        <f t="shared" si="12"/>
        <v>0</v>
      </c>
      <c r="AU635" s="110" t="str">
        <f t="shared" si="13"/>
        <v/>
      </c>
      <c r="AV635" s="110" t="str">
        <f t="shared" si="14"/>
        <v/>
      </c>
      <c r="AW635" s="110" t="str">
        <f t="shared" si="15"/>
        <v/>
      </c>
      <c r="AX635" s="119" t="str">
        <f t="shared" si="16"/>
        <v/>
      </c>
      <c r="AY635" s="120"/>
      <c r="AZ635" s="121"/>
      <c r="BA635" s="122" t="str">
        <f t="shared" si="17"/>
        <v/>
      </c>
      <c r="BB635" s="34"/>
      <c r="BC635" s="121"/>
      <c r="BD635" s="136"/>
      <c r="BE635" s="125" t="str">
        <f t="shared" si="18"/>
        <v/>
      </c>
      <c r="BF635" s="126" t="str">
        <f t="shared" si="19"/>
        <v>MA380__44621_0.323958333333333</v>
      </c>
      <c r="BG635" s="127" t="str">
        <f t="shared" si="20"/>
        <v/>
      </c>
      <c r="BH635" s="137" t="s">
        <v>1790</v>
      </c>
      <c r="BI635" s="128" t="str">
        <f t="shared" si="21"/>
        <v>MA438</v>
      </c>
      <c r="BJ635" s="129" t="b">
        <f t="shared" si="22"/>
        <v>0</v>
      </c>
      <c r="BK635" s="128" t="str">
        <f t="shared" si="23"/>
        <v/>
      </c>
      <c r="BL635" s="121"/>
      <c r="BM635" s="5" t="str">
        <f t="shared" si="24"/>
        <v>MISSING</v>
      </c>
      <c r="BN635" s="120" t="b">
        <f t="shared" si="25"/>
        <v>0</v>
      </c>
      <c r="BO635" s="131" t="b">
        <f t="shared" si="26"/>
        <v>1</v>
      </c>
      <c r="BP635" s="121"/>
      <c r="BQ635" s="132" t="str">
        <f>VLOOKUP(A635,RAW_APS!A$3:O826,15,FALSE)</f>
        <v/>
      </c>
      <c r="BR635" s="120" t="b">
        <f t="shared" si="27"/>
        <v>1</v>
      </c>
      <c r="BS635" s="121"/>
      <c r="BT635" s="138" t="s">
        <v>244</v>
      </c>
      <c r="BU635" s="10" t="b">
        <f t="shared" si="28"/>
        <v>1</v>
      </c>
      <c r="BV635" s="120"/>
      <c r="BW635" s="120"/>
      <c r="BX635" s="120"/>
      <c r="BY635" s="120"/>
      <c r="BZ635" s="120"/>
      <c r="CA635" s="120"/>
      <c r="CB635" s="120"/>
      <c r="CC635" s="120"/>
    </row>
    <row r="636">
      <c r="A636" s="2" t="s">
        <v>1791</v>
      </c>
      <c r="B636" s="100">
        <v>44621.0</v>
      </c>
      <c r="C636" s="101">
        <v>0.3244675925925926</v>
      </c>
      <c r="D636" s="102"/>
      <c r="E636" s="102"/>
      <c r="F636" s="102"/>
      <c r="G636" s="102"/>
      <c r="H636" s="102"/>
      <c r="I636" s="103"/>
      <c r="J636" s="103"/>
      <c r="K636" s="2" t="s">
        <v>244</v>
      </c>
      <c r="L636" s="100">
        <v>44627.0</v>
      </c>
      <c r="M636" s="101">
        <v>0.47791666666666666</v>
      </c>
      <c r="P636" s="104" t="b">
        <f>IFNA(IF(VLOOKUP($A636,'Add from APT'!$AA$2:$AC826,3,FALSE)&gt;0,TRUE,FALSE),"ER - NOT IN APT")</f>
        <v>0</v>
      </c>
      <c r="Q636" s="105" t="str">
        <f>IF(ISLOGICAL(P636),IF(P636,"ER - REPS IN APT", IFNA(VLOOKUP($A636,RAW_APT!$A$3:$M826,7,FALSE),"ER - NOT IN APT")),P636)</f>
        <v>Result</v>
      </c>
      <c r="R636" s="106" t="b">
        <f t="shared" si="2"/>
        <v>1</v>
      </c>
      <c r="S636" s="107">
        <f t="shared" si="3"/>
        <v>1</v>
      </c>
      <c r="T636" s="143"/>
      <c r="U636" s="142"/>
      <c r="V636" s="142"/>
      <c r="W636" s="142"/>
      <c r="X636" s="110" t="b">
        <f t="shared" si="4"/>
        <v>0</v>
      </c>
      <c r="Y636" s="111" t="b">
        <v>0</v>
      </c>
      <c r="Z636" s="104" t="str">
        <f t="shared" si="5"/>
        <v/>
      </c>
      <c r="AA636" s="112" t="b">
        <f t="shared" si="6"/>
        <v>0</v>
      </c>
      <c r="AB636" s="142" t="b">
        <v>0</v>
      </c>
      <c r="AC636" s="140">
        <v>180.0</v>
      </c>
      <c r="AD636" s="141" t="b">
        <v>0</v>
      </c>
      <c r="AE636" s="115" t="str">
        <f t="shared" si="7"/>
        <v/>
      </c>
      <c r="AF636" s="116" t="b">
        <f t="shared" si="8"/>
        <v>0</v>
      </c>
      <c r="AG636" s="105" t="b">
        <f t="shared" si="9"/>
        <v>0</v>
      </c>
      <c r="AH636" s="140"/>
      <c r="AI636" s="140"/>
      <c r="AJ636" s="140"/>
      <c r="AK636" s="117" t="str">
        <f t="shared" si="10"/>
        <v>Negative</v>
      </c>
      <c r="AL636" s="142"/>
      <c r="AM636" s="112" t="s">
        <v>762</v>
      </c>
      <c r="AN636" s="112" t="s">
        <v>763</v>
      </c>
      <c r="AO636" s="112" t="str">
        <f>IFERROR(__xludf.DUMMYFUNCTION("IF($AG636, ""DELETED"",TRIM(JOIN("" "",D636:E636)))"),"")</f>
        <v/>
      </c>
      <c r="AP636" s="112" t="str">
        <f t="shared" ref="AP636:AQ636" si="661">IF($AG636, "DELETED", TRIM(CONCATENATE(F636,I636,U636)))</f>
        <v/>
      </c>
      <c r="AQ636" s="112" t="str">
        <f t="shared" si="661"/>
        <v/>
      </c>
      <c r="AR636" s="112" t="str">
        <f>IFERROR(__xludf.DUMMYFUNCTION("IF($AG636, ""DELETED"", TRIM(JOIN("" "",AP636,AQ636)))"),"")</f>
        <v/>
      </c>
      <c r="AS636" s="118"/>
      <c r="AT636" s="110" t="b">
        <f t="shared" si="12"/>
        <v>0</v>
      </c>
      <c r="AU636" s="110" t="str">
        <f t="shared" si="13"/>
        <v/>
      </c>
      <c r="AV636" s="110" t="str">
        <f t="shared" si="14"/>
        <v/>
      </c>
      <c r="AW636" s="110" t="str">
        <f t="shared" si="15"/>
        <v/>
      </c>
      <c r="AX636" s="119" t="str">
        <f t="shared" si="16"/>
        <v/>
      </c>
      <c r="AY636" s="120"/>
      <c r="AZ636" s="121"/>
      <c r="BA636" s="122" t="str">
        <f t="shared" si="17"/>
        <v/>
      </c>
      <c r="BB636" s="34"/>
      <c r="BC636" s="121"/>
      <c r="BD636" s="136"/>
      <c r="BE636" s="125" t="str">
        <f t="shared" si="18"/>
        <v/>
      </c>
      <c r="BF636" s="126" t="str">
        <f t="shared" si="19"/>
        <v>MA364__44621_0.324467592592593</v>
      </c>
      <c r="BG636" s="127" t="str">
        <f t="shared" si="20"/>
        <v/>
      </c>
      <c r="BH636" s="137" t="s">
        <v>1792</v>
      </c>
      <c r="BI636" s="128" t="str">
        <f t="shared" si="21"/>
        <v>MA440</v>
      </c>
      <c r="BJ636" s="129" t="b">
        <f t="shared" si="22"/>
        <v>0</v>
      </c>
      <c r="BK636" s="128" t="str">
        <f t="shared" si="23"/>
        <v/>
      </c>
      <c r="BL636" s="121"/>
      <c r="BM636" s="5" t="str">
        <f t="shared" si="24"/>
        <v>MISSING</v>
      </c>
      <c r="BN636" s="120" t="b">
        <f t="shared" si="25"/>
        <v>0</v>
      </c>
      <c r="BO636" s="131" t="b">
        <f t="shared" si="26"/>
        <v>1</v>
      </c>
      <c r="BP636" s="121"/>
      <c r="BQ636" s="132" t="str">
        <f>VLOOKUP(A636,RAW_APS!A$3:O826,15,FALSE)</f>
        <v/>
      </c>
      <c r="BR636" s="120" t="b">
        <f t="shared" si="27"/>
        <v>1</v>
      </c>
      <c r="BS636" s="121"/>
      <c r="BT636" s="138" t="s">
        <v>244</v>
      </c>
      <c r="BU636" s="10" t="b">
        <f t="shared" si="28"/>
        <v>1</v>
      </c>
      <c r="BV636" s="120"/>
      <c r="BW636" s="120"/>
      <c r="BX636" s="120"/>
      <c r="BY636" s="120"/>
      <c r="BZ636" s="120"/>
      <c r="CA636" s="120"/>
      <c r="CB636" s="120"/>
      <c r="CC636" s="120"/>
    </row>
    <row r="637">
      <c r="A637" s="2" t="s">
        <v>1793</v>
      </c>
      <c r="B637" s="100">
        <v>44621.0</v>
      </c>
      <c r="C637" s="101">
        <v>0.3262962962962963</v>
      </c>
      <c r="D637" s="102"/>
      <c r="E637" s="102"/>
      <c r="F637" s="102"/>
      <c r="G637" s="102"/>
      <c r="H637" s="102"/>
      <c r="I637" s="103"/>
      <c r="J637" s="103"/>
      <c r="K637" s="2" t="s">
        <v>244</v>
      </c>
      <c r="L637" s="100">
        <v>44627.0</v>
      </c>
      <c r="M637" s="101">
        <v>0.47791666666666666</v>
      </c>
      <c r="P637" s="104" t="b">
        <f>IFNA(IF(VLOOKUP($A637,'Add from APT'!$AA$2:$AC826,3,FALSE)&gt;0,TRUE,FALSE),"ER - NOT IN APT")</f>
        <v>0</v>
      </c>
      <c r="Q637" s="105" t="str">
        <f>IF(ISLOGICAL(P637),IF(P637,"ER - REPS IN APT", IFNA(VLOOKUP($A637,RAW_APT!$A$3:$M826,7,FALSE),"ER - NOT IN APT")),P637)</f>
        <v>Result</v>
      </c>
      <c r="R637" s="106" t="b">
        <f t="shared" si="2"/>
        <v>1</v>
      </c>
      <c r="S637" s="107">
        <f t="shared" si="3"/>
        <v>1</v>
      </c>
      <c r="T637" s="143"/>
      <c r="U637" s="142"/>
      <c r="V637" s="142"/>
      <c r="W637" s="142"/>
      <c r="X637" s="110" t="b">
        <f t="shared" si="4"/>
        <v>0</v>
      </c>
      <c r="Y637" s="111" t="b">
        <v>0</v>
      </c>
      <c r="Z637" s="104" t="str">
        <f t="shared" si="5"/>
        <v/>
      </c>
      <c r="AA637" s="112" t="b">
        <f t="shared" si="6"/>
        <v>0</v>
      </c>
      <c r="AB637" s="142" t="b">
        <v>0</v>
      </c>
      <c r="AC637" s="140">
        <v>179.0</v>
      </c>
      <c r="AD637" s="141" t="b">
        <v>0</v>
      </c>
      <c r="AE637" s="115" t="str">
        <f t="shared" si="7"/>
        <v/>
      </c>
      <c r="AF637" s="116" t="b">
        <f t="shared" si="8"/>
        <v>0</v>
      </c>
      <c r="AG637" s="105" t="b">
        <f t="shared" si="9"/>
        <v>0</v>
      </c>
      <c r="AH637" s="140"/>
      <c r="AI637" s="140"/>
      <c r="AJ637" s="140"/>
      <c r="AK637" s="117" t="str">
        <f t="shared" si="10"/>
        <v>Negative</v>
      </c>
      <c r="AL637" s="142"/>
      <c r="AM637" s="112" t="s">
        <v>1402</v>
      </c>
      <c r="AN637" s="112" t="s">
        <v>1403</v>
      </c>
      <c r="AO637" s="112" t="str">
        <f>IFERROR(__xludf.DUMMYFUNCTION("IF($AG637, ""DELETED"",TRIM(JOIN("" "",D637:E637)))"),"")</f>
        <v/>
      </c>
      <c r="AP637" s="112" t="str">
        <f t="shared" ref="AP637:AQ637" si="662">IF($AG637, "DELETED", TRIM(CONCATENATE(F637,I637,U637)))</f>
        <v/>
      </c>
      <c r="AQ637" s="112" t="str">
        <f t="shared" si="662"/>
        <v/>
      </c>
      <c r="AR637" s="112" t="str">
        <f>IFERROR(__xludf.DUMMYFUNCTION("IF($AG637, ""DELETED"", TRIM(JOIN("" "",AP637,AQ637)))"),"")</f>
        <v/>
      </c>
      <c r="AS637" s="118"/>
      <c r="AT637" s="110" t="b">
        <f t="shared" si="12"/>
        <v>0</v>
      </c>
      <c r="AU637" s="110" t="str">
        <f t="shared" si="13"/>
        <v/>
      </c>
      <c r="AV637" s="110" t="str">
        <f t="shared" si="14"/>
        <v/>
      </c>
      <c r="AW637" s="110" t="str">
        <f t="shared" si="15"/>
        <v/>
      </c>
      <c r="AX637" s="119" t="str">
        <f t="shared" si="16"/>
        <v/>
      </c>
      <c r="AY637" s="120"/>
      <c r="AZ637" s="121"/>
      <c r="BA637" s="122" t="str">
        <f t="shared" si="17"/>
        <v/>
      </c>
      <c r="BB637" s="34"/>
      <c r="BC637" s="121"/>
      <c r="BD637" s="136"/>
      <c r="BE637" s="125" t="str">
        <f t="shared" si="18"/>
        <v/>
      </c>
      <c r="BF637" s="126" t="str">
        <f t="shared" si="19"/>
        <v>FM343__44621_0.326296296296296</v>
      </c>
      <c r="BG637" s="127" t="str">
        <f t="shared" si="20"/>
        <v/>
      </c>
      <c r="BH637" s="137" t="s">
        <v>1794</v>
      </c>
      <c r="BI637" s="128" t="str">
        <f t="shared" si="21"/>
        <v>MA444</v>
      </c>
      <c r="BJ637" s="129" t="b">
        <f t="shared" si="22"/>
        <v>0</v>
      </c>
      <c r="BK637" s="128" t="str">
        <f t="shared" si="23"/>
        <v/>
      </c>
      <c r="BL637" s="121"/>
      <c r="BM637" s="5" t="str">
        <f t="shared" si="24"/>
        <v>MISSING</v>
      </c>
      <c r="BN637" s="120" t="b">
        <f t="shared" si="25"/>
        <v>0</v>
      </c>
      <c r="BO637" s="131" t="b">
        <f t="shared" si="26"/>
        <v>1</v>
      </c>
      <c r="BP637" s="121"/>
      <c r="BQ637" s="132" t="str">
        <f>VLOOKUP(A637,RAW_APS!A$3:O826,15,FALSE)</f>
        <v/>
      </c>
      <c r="BR637" s="120" t="b">
        <f t="shared" si="27"/>
        <v>1</v>
      </c>
      <c r="BS637" s="121"/>
      <c r="BT637" s="138" t="s">
        <v>244</v>
      </c>
      <c r="BU637" s="10" t="b">
        <f t="shared" si="28"/>
        <v>1</v>
      </c>
      <c r="BV637" s="120"/>
      <c r="BW637" s="120"/>
      <c r="BX637" s="120"/>
      <c r="BY637" s="120"/>
      <c r="BZ637" s="120"/>
      <c r="CA637" s="120"/>
      <c r="CB637" s="120"/>
      <c r="CC637" s="120"/>
    </row>
    <row r="638">
      <c r="A638" s="2" t="s">
        <v>1795</v>
      </c>
      <c r="B638" s="100">
        <v>44621.0</v>
      </c>
      <c r="C638" s="101">
        <v>0.3267013888888889</v>
      </c>
      <c r="D638" s="102"/>
      <c r="E638" s="102"/>
      <c r="F638" s="102"/>
      <c r="G638" s="102"/>
      <c r="H638" s="102"/>
      <c r="I638" s="103"/>
      <c r="J638" s="103"/>
      <c r="K638" s="2" t="s">
        <v>244</v>
      </c>
      <c r="L638" s="100">
        <v>44627.0</v>
      </c>
      <c r="M638" s="101">
        <v>0.47791666666666666</v>
      </c>
      <c r="P638" s="104" t="b">
        <f>IFNA(IF(VLOOKUP($A638,'Add from APT'!$AA$2:$AC826,3,FALSE)&gt;0,TRUE,FALSE),"ER - NOT IN APT")</f>
        <v>0</v>
      </c>
      <c r="Q638" s="105" t="str">
        <f>IF(ISLOGICAL(P638),IF(P638,"ER - REPS IN APT", IFNA(VLOOKUP($A638,RAW_APT!$A$3:$M826,7,FALSE),"ER - NOT IN APT")),P638)</f>
        <v>Result</v>
      </c>
      <c r="R638" s="106" t="b">
        <f t="shared" si="2"/>
        <v>1</v>
      </c>
      <c r="S638" s="107">
        <f t="shared" si="3"/>
        <v>1</v>
      </c>
      <c r="T638" s="143"/>
      <c r="U638" s="142"/>
      <c r="V638" s="142"/>
      <c r="W638" s="142"/>
      <c r="X638" s="110" t="b">
        <f t="shared" si="4"/>
        <v>0</v>
      </c>
      <c r="Y638" s="111" t="b">
        <v>0</v>
      </c>
      <c r="Z638" s="104" t="str">
        <f t="shared" si="5"/>
        <v/>
      </c>
      <c r="AA638" s="112" t="b">
        <f t="shared" si="6"/>
        <v>0</v>
      </c>
      <c r="AB638" s="142" t="b">
        <v>0</v>
      </c>
      <c r="AC638" s="140">
        <v>178.0</v>
      </c>
      <c r="AD638" s="141" t="b">
        <v>0</v>
      </c>
      <c r="AE638" s="115" t="str">
        <f t="shared" si="7"/>
        <v/>
      </c>
      <c r="AF638" s="116" t="b">
        <f t="shared" si="8"/>
        <v>0</v>
      </c>
      <c r="AG638" s="105" t="b">
        <f t="shared" si="9"/>
        <v>0</v>
      </c>
      <c r="AH638" s="140"/>
      <c r="AI638" s="140"/>
      <c r="AJ638" s="140"/>
      <c r="AK638" s="117" t="str">
        <f t="shared" si="10"/>
        <v>Negative</v>
      </c>
      <c r="AL638" s="142"/>
      <c r="AM638" s="112" t="s">
        <v>1354</v>
      </c>
      <c r="AN638" s="112" t="s">
        <v>1355</v>
      </c>
      <c r="AO638" s="112" t="str">
        <f>IFERROR(__xludf.DUMMYFUNCTION("IF($AG638, ""DELETED"",TRIM(JOIN("" "",D638:E638)))"),"")</f>
        <v/>
      </c>
      <c r="AP638" s="112" t="str">
        <f t="shared" ref="AP638:AQ638" si="663">IF($AG638, "DELETED", TRIM(CONCATENATE(F638,I638,U638)))</f>
        <v/>
      </c>
      <c r="AQ638" s="112" t="str">
        <f t="shared" si="663"/>
        <v/>
      </c>
      <c r="AR638" s="112" t="str">
        <f>IFERROR(__xludf.DUMMYFUNCTION("IF($AG638, ""DELETED"", TRIM(JOIN("" "",AP638,AQ638)))"),"")</f>
        <v/>
      </c>
      <c r="AS638" s="118"/>
      <c r="AT638" s="110" t="b">
        <f t="shared" si="12"/>
        <v>0</v>
      </c>
      <c r="AU638" s="110" t="str">
        <f t="shared" si="13"/>
        <v/>
      </c>
      <c r="AV638" s="110" t="str">
        <f t="shared" si="14"/>
        <v/>
      </c>
      <c r="AW638" s="110" t="str">
        <f t="shared" si="15"/>
        <v/>
      </c>
      <c r="AX638" s="119" t="str">
        <f t="shared" si="16"/>
        <v/>
      </c>
      <c r="AY638" s="120"/>
      <c r="AZ638" s="121"/>
      <c r="BA638" s="122" t="str">
        <f t="shared" si="17"/>
        <v/>
      </c>
      <c r="BB638" s="34"/>
      <c r="BC638" s="121"/>
      <c r="BD638" s="136"/>
      <c r="BE638" s="125" t="str">
        <f t="shared" si="18"/>
        <v/>
      </c>
      <c r="BF638" s="126" t="str">
        <f t="shared" si="19"/>
        <v>FM2057__44621_0.326701388888889</v>
      </c>
      <c r="BG638" s="127" t="str">
        <f t="shared" si="20"/>
        <v/>
      </c>
      <c r="BH638" s="137" t="s">
        <v>1796</v>
      </c>
      <c r="BI638" s="128" t="str">
        <f t="shared" si="21"/>
        <v>MA446</v>
      </c>
      <c r="BJ638" s="129" t="b">
        <f t="shared" si="22"/>
        <v>0</v>
      </c>
      <c r="BK638" s="128" t="str">
        <f t="shared" si="23"/>
        <v/>
      </c>
      <c r="BL638" s="121"/>
      <c r="BM638" s="5" t="str">
        <f t="shared" si="24"/>
        <v>MISSING</v>
      </c>
      <c r="BN638" s="120" t="b">
        <f t="shared" si="25"/>
        <v>0</v>
      </c>
      <c r="BO638" s="131" t="b">
        <f t="shared" si="26"/>
        <v>1</v>
      </c>
      <c r="BP638" s="121"/>
      <c r="BQ638" s="132" t="str">
        <f>VLOOKUP(A638,RAW_APS!A$3:O826,15,FALSE)</f>
        <v/>
      </c>
      <c r="BR638" s="120" t="b">
        <f t="shared" si="27"/>
        <v>1</v>
      </c>
      <c r="BS638" s="121"/>
      <c r="BT638" s="138" t="s">
        <v>244</v>
      </c>
      <c r="BU638" s="10" t="b">
        <f t="shared" si="28"/>
        <v>1</v>
      </c>
      <c r="BV638" s="120"/>
      <c r="BW638" s="120"/>
      <c r="BX638" s="120"/>
      <c r="BY638" s="120"/>
      <c r="BZ638" s="120"/>
      <c r="CA638" s="120"/>
      <c r="CB638" s="120"/>
      <c r="CC638" s="120"/>
    </row>
    <row r="639">
      <c r="A639" s="2" t="s">
        <v>1797</v>
      </c>
      <c r="B639" s="100">
        <v>44621.0</v>
      </c>
      <c r="C639" s="101">
        <v>0.3271527777777778</v>
      </c>
      <c r="D639" s="102"/>
      <c r="E639" s="102"/>
      <c r="F639" s="102"/>
      <c r="G639" s="102"/>
      <c r="H639" s="102"/>
      <c r="I639" s="103"/>
      <c r="J639" s="103"/>
      <c r="K639" s="2" t="s">
        <v>244</v>
      </c>
      <c r="L639" s="100">
        <v>44627.0</v>
      </c>
      <c r="M639" s="101">
        <v>0.47791666666666666</v>
      </c>
      <c r="P639" s="104" t="b">
        <f>IFNA(IF(VLOOKUP($A639,'Add from APT'!$AA$2:$AC826,3,FALSE)&gt;0,TRUE,FALSE),"ER - NOT IN APT")</f>
        <v>0</v>
      </c>
      <c r="Q639" s="105" t="str">
        <f>IF(ISLOGICAL(P639),IF(P639,"ER - REPS IN APT", IFNA(VLOOKUP($A639,RAW_APT!$A$3:$M826,7,FALSE),"ER - NOT IN APT")),P639)</f>
        <v>Result</v>
      </c>
      <c r="R639" s="106" t="b">
        <f t="shared" si="2"/>
        <v>1</v>
      </c>
      <c r="S639" s="107">
        <f t="shared" si="3"/>
        <v>1</v>
      </c>
      <c r="T639" s="143"/>
      <c r="U639" s="142"/>
      <c r="V639" s="142"/>
      <c r="W639" s="142"/>
      <c r="X639" s="110" t="b">
        <f t="shared" si="4"/>
        <v>0</v>
      </c>
      <c r="Y639" s="111" t="b">
        <v>0</v>
      </c>
      <c r="Z639" s="104" t="str">
        <f t="shared" si="5"/>
        <v/>
      </c>
      <c r="AA639" s="112" t="b">
        <f t="shared" si="6"/>
        <v>0</v>
      </c>
      <c r="AB639" s="142" t="b">
        <v>0</v>
      </c>
      <c r="AC639" s="140">
        <v>177.0</v>
      </c>
      <c r="AD639" s="141" t="b">
        <v>0</v>
      </c>
      <c r="AE639" s="115" t="str">
        <f t="shared" si="7"/>
        <v/>
      </c>
      <c r="AF639" s="116" t="b">
        <f t="shared" si="8"/>
        <v>0</v>
      </c>
      <c r="AG639" s="105" t="b">
        <f t="shared" si="9"/>
        <v>0</v>
      </c>
      <c r="AH639" s="140"/>
      <c r="AI639" s="140"/>
      <c r="AJ639" s="140"/>
      <c r="AK639" s="117" t="str">
        <f t="shared" si="10"/>
        <v>Negative</v>
      </c>
      <c r="AL639" s="142"/>
      <c r="AM639" s="112" t="s">
        <v>390</v>
      </c>
      <c r="AN639" s="112" t="s">
        <v>1162</v>
      </c>
      <c r="AO639" s="112" t="str">
        <f>IFERROR(__xludf.DUMMYFUNCTION("IF($AG639, ""DELETED"",TRIM(JOIN("" "",D639:E639)))"),"")</f>
        <v/>
      </c>
      <c r="AP639" s="112" t="str">
        <f t="shared" ref="AP639:AQ639" si="664">IF($AG639, "DELETED", TRIM(CONCATENATE(F639,I639,U639)))</f>
        <v/>
      </c>
      <c r="AQ639" s="112" t="str">
        <f t="shared" si="664"/>
        <v/>
      </c>
      <c r="AR639" s="112" t="str">
        <f>IFERROR(__xludf.DUMMYFUNCTION("IF($AG639, ""DELETED"", TRIM(JOIN("" "",AP639,AQ639)))"),"")</f>
        <v/>
      </c>
      <c r="AS639" s="118"/>
      <c r="AT639" s="110" t="b">
        <f t="shared" si="12"/>
        <v>0</v>
      </c>
      <c r="AU639" s="110" t="str">
        <f t="shared" si="13"/>
        <v/>
      </c>
      <c r="AV639" s="110" t="str">
        <f t="shared" si="14"/>
        <v/>
      </c>
      <c r="AW639" s="110" t="str">
        <f t="shared" si="15"/>
        <v/>
      </c>
      <c r="AX639" s="119" t="str">
        <f t="shared" si="16"/>
        <v/>
      </c>
      <c r="AY639" s="120"/>
      <c r="AZ639" s="121"/>
      <c r="BA639" s="122" t="str">
        <f t="shared" si="17"/>
        <v/>
      </c>
      <c r="BB639" s="34"/>
      <c r="BC639" s="121"/>
      <c r="BD639" s="136"/>
      <c r="BE639" s="125" t="str">
        <f t="shared" si="18"/>
        <v/>
      </c>
      <c r="BF639" s="126" t="str">
        <f t="shared" si="19"/>
        <v>FM433__44621_0.327152777777778</v>
      </c>
      <c r="BG639" s="127" t="str">
        <f t="shared" si="20"/>
        <v/>
      </c>
      <c r="BH639" s="137" t="s">
        <v>1798</v>
      </c>
      <c r="BI639" s="128" t="str">
        <f t="shared" si="21"/>
        <v>MA447</v>
      </c>
      <c r="BJ639" s="129" t="b">
        <f t="shared" si="22"/>
        <v>0</v>
      </c>
      <c r="BK639" s="128" t="str">
        <f t="shared" si="23"/>
        <v/>
      </c>
      <c r="BL639" s="121"/>
      <c r="BM639" s="5" t="str">
        <f t="shared" si="24"/>
        <v>MISSING</v>
      </c>
      <c r="BN639" s="120" t="b">
        <f t="shared" si="25"/>
        <v>0</v>
      </c>
      <c r="BO639" s="131" t="b">
        <f t="shared" si="26"/>
        <v>1</v>
      </c>
      <c r="BP639" s="121"/>
      <c r="BQ639" s="132" t="str">
        <f>VLOOKUP(A639,RAW_APS!A$3:O826,15,FALSE)</f>
        <v/>
      </c>
      <c r="BR639" s="120" t="b">
        <f t="shared" si="27"/>
        <v>1</v>
      </c>
      <c r="BS639" s="121"/>
      <c r="BT639" s="138" t="s">
        <v>244</v>
      </c>
      <c r="BU639" s="10" t="b">
        <f t="shared" si="28"/>
        <v>1</v>
      </c>
      <c r="BV639" s="120"/>
      <c r="BW639" s="120"/>
      <c r="BX639" s="120"/>
      <c r="BY639" s="120"/>
      <c r="BZ639" s="120"/>
      <c r="CA639" s="120"/>
      <c r="CB639" s="120"/>
      <c r="CC639" s="120"/>
    </row>
    <row r="640">
      <c r="A640" s="2" t="s">
        <v>1799</v>
      </c>
      <c r="B640" s="100">
        <v>44621.0</v>
      </c>
      <c r="C640" s="101">
        <v>0.32849537037037035</v>
      </c>
      <c r="D640" s="102"/>
      <c r="E640" s="102"/>
      <c r="F640" s="102"/>
      <c r="G640" s="102"/>
      <c r="H640" s="102"/>
      <c r="I640" s="103"/>
      <c r="J640" s="103"/>
      <c r="K640" s="2" t="s">
        <v>244</v>
      </c>
      <c r="L640" s="100">
        <v>44627.0</v>
      </c>
      <c r="M640" s="101">
        <v>0.47791666666666666</v>
      </c>
      <c r="P640" s="104" t="b">
        <f>IFNA(IF(VLOOKUP($A640,'Add from APT'!$AA$2:$AC826,3,FALSE)&gt;0,TRUE,FALSE),"ER - NOT IN APT")</f>
        <v>0</v>
      </c>
      <c r="Q640" s="105" t="str">
        <f>IF(ISLOGICAL(P640),IF(P640,"ER - REPS IN APT", IFNA(VLOOKUP($A640,RAW_APT!$A$3:$M826,7,FALSE),"ER - NOT IN APT")),P640)</f>
        <v>Result</v>
      </c>
      <c r="R640" s="106" t="b">
        <f t="shared" si="2"/>
        <v>1</v>
      </c>
      <c r="S640" s="107">
        <f t="shared" si="3"/>
        <v>1</v>
      </c>
      <c r="T640" s="143"/>
      <c r="U640" s="142"/>
      <c r="V640" s="142"/>
      <c r="W640" s="142"/>
      <c r="X640" s="110" t="b">
        <f t="shared" si="4"/>
        <v>0</v>
      </c>
      <c r="Y640" s="111" t="b">
        <v>0</v>
      </c>
      <c r="Z640" s="104" t="str">
        <f t="shared" si="5"/>
        <v/>
      </c>
      <c r="AA640" s="112" t="b">
        <f t="shared" si="6"/>
        <v>0</v>
      </c>
      <c r="AB640" s="142" t="b">
        <v>0</v>
      </c>
      <c r="AC640" s="140">
        <v>176.0</v>
      </c>
      <c r="AD640" s="141" t="b">
        <v>0</v>
      </c>
      <c r="AE640" s="115" t="str">
        <f t="shared" si="7"/>
        <v/>
      </c>
      <c r="AF640" s="116" t="b">
        <f t="shared" si="8"/>
        <v>0</v>
      </c>
      <c r="AG640" s="105" t="b">
        <f t="shared" si="9"/>
        <v>0</v>
      </c>
      <c r="AH640" s="140"/>
      <c r="AI640" s="140"/>
      <c r="AJ640" s="140"/>
      <c r="AK640" s="117" t="str">
        <f t="shared" si="10"/>
        <v>Negative</v>
      </c>
      <c r="AL640" s="142"/>
      <c r="AM640" s="112" t="s">
        <v>1358</v>
      </c>
      <c r="AN640" s="112" t="s">
        <v>1359</v>
      </c>
      <c r="AO640" s="112" t="str">
        <f>IFERROR(__xludf.DUMMYFUNCTION("IF($AG640, ""DELETED"",TRIM(JOIN("" "",D640:E640)))"),"")</f>
        <v/>
      </c>
      <c r="AP640" s="112" t="str">
        <f t="shared" ref="AP640:AQ640" si="665">IF($AG640, "DELETED", TRIM(CONCATENATE(F640,I640,U640)))</f>
        <v/>
      </c>
      <c r="AQ640" s="112" t="str">
        <f t="shared" si="665"/>
        <v/>
      </c>
      <c r="AR640" s="112" t="str">
        <f>IFERROR(__xludf.DUMMYFUNCTION("IF($AG640, ""DELETED"", TRIM(JOIN("" "",AP640,AQ640)))"),"")</f>
        <v/>
      </c>
      <c r="AS640" s="118"/>
      <c r="AT640" s="110" t="b">
        <f t="shared" si="12"/>
        <v>0</v>
      </c>
      <c r="AU640" s="110" t="str">
        <f t="shared" si="13"/>
        <v/>
      </c>
      <c r="AV640" s="110" t="str">
        <f t="shared" si="14"/>
        <v/>
      </c>
      <c r="AW640" s="110" t="str">
        <f t="shared" si="15"/>
        <v/>
      </c>
      <c r="AX640" s="119" t="str">
        <f t="shared" si="16"/>
        <v/>
      </c>
      <c r="AY640" s="120"/>
      <c r="AZ640" s="121"/>
      <c r="BA640" s="122" t="str">
        <f t="shared" si="17"/>
        <v/>
      </c>
      <c r="BB640" s="34"/>
      <c r="BC640" s="121"/>
      <c r="BD640" s="136"/>
      <c r="BE640" s="125" t="str">
        <f t="shared" si="18"/>
        <v/>
      </c>
      <c r="BF640" s="126" t="str">
        <f t="shared" si="19"/>
        <v>FM390__44621_0.32849537037037</v>
      </c>
      <c r="BG640" s="127" t="str">
        <f t="shared" si="20"/>
        <v/>
      </c>
      <c r="BH640" s="137" t="s">
        <v>1800</v>
      </c>
      <c r="BI640" s="128" t="str">
        <f t="shared" si="21"/>
        <v>MA448</v>
      </c>
      <c r="BJ640" s="129" t="b">
        <f t="shared" si="22"/>
        <v>0</v>
      </c>
      <c r="BK640" s="128" t="str">
        <f t="shared" si="23"/>
        <v/>
      </c>
      <c r="BL640" s="121"/>
      <c r="BM640" s="5" t="str">
        <f t="shared" si="24"/>
        <v>MISSING</v>
      </c>
      <c r="BN640" s="120" t="b">
        <f t="shared" si="25"/>
        <v>0</v>
      </c>
      <c r="BO640" s="131" t="b">
        <f t="shared" si="26"/>
        <v>1</v>
      </c>
      <c r="BP640" s="121"/>
      <c r="BQ640" s="132" t="str">
        <f>VLOOKUP(A640,RAW_APS!A$3:O826,15,FALSE)</f>
        <v/>
      </c>
      <c r="BR640" s="120" t="b">
        <f t="shared" si="27"/>
        <v>1</v>
      </c>
      <c r="BS640" s="121"/>
      <c r="BT640" s="138" t="s">
        <v>244</v>
      </c>
      <c r="BU640" s="10" t="b">
        <f t="shared" si="28"/>
        <v>1</v>
      </c>
      <c r="BV640" s="120"/>
      <c r="BW640" s="120"/>
      <c r="BX640" s="120"/>
      <c r="BY640" s="120"/>
      <c r="BZ640" s="120"/>
      <c r="CA640" s="120"/>
      <c r="CB640" s="120"/>
      <c r="CC640" s="120"/>
    </row>
    <row r="641">
      <c r="A641" s="2" t="s">
        <v>1801</v>
      </c>
      <c r="B641" s="100">
        <v>44621.0</v>
      </c>
      <c r="C641" s="101">
        <v>0.3285648148148148</v>
      </c>
      <c r="D641" s="102"/>
      <c r="E641" s="102"/>
      <c r="F641" s="102"/>
      <c r="G641" s="102"/>
      <c r="H641" s="102"/>
      <c r="I641" s="103"/>
      <c r="J641" s="103"/>
      <c r="K641" s="2" t="s">
        <v>244</v>
      </c>
      <c r="L641" s="100">
        <v>44627.0</v>
      </c>
      <c r="M641" s="101">
        <v>0.47792824074074075</v>
      </c>
      <c r="P641" s="104" t="b">
        <f>IFNA(IF(VLOOKUP($A641,'Add from APT'!$AA$2:$AC826,3,FALSE)&gt;0,TRUE,FALSE),"ER - NOT IN APT")</f>
        <v>0</v>
      </c>
      <c r="Q641" s="105" t="str">
        <f>IF(ISLOGICAL(P641),IF(P641,"ER - REPS IN APT", IFNA(VLOOKUP($A641,RAW_APT!$A$3:$M826,7,FALSE),"ER - NOT IN APT")),P641)</f>
        <v>Result</v>
      </c>
      <c r="R641" s="106" t="b">
        <f t="shared" si="2"/>
        <v>1</v>
      </c>
      <c r="S641" s="107">
        <f t="shared" si="3"/>
        <v>1</v>
      </c>
      <c r="T641" s="143"/>
      <c r="U641" s="142"/>
      <c r="V641" s="142"/>
      <c r="W641" s="142"/>
      <c r="X641" s="110" t="b">
        <f t="shared" si="4"/>
        <v>0</v>
      </c>
      <c r="Y641" s="111" t="b">
        <v>0</v>
      </c>
      <c r="Z641" s="104" t="str">
        <f t="shared" si="5"/>
        <v/>
      </c>
      <c r="AA641" s="112" t="b">
        <f t="shared" si="6"/>
        <v>0</v>
      </c>
      <c r="AB641" s="142" t="b">
        <v>0</v>
      </c>
      <c r="AC641" s="140">
        <v>175.0</v>
      </c>
      <c r="AD641" s="141" t="b">
        <v>0</v>
      </c>
      <c r="AE641" s="115" t="str">
        <f t="shared" si="7"/>
        <v/>
      </c>
      <c r="AF641" s="116" t="b">
        <f t="shared" si="8"/>
        <v>0</v>
      </c>
      <c r="AG641" s="105" t="b">
        <f t="shared" si="9"/>
        <v>0</v>
      </c>
      <c r="AH641" s="140"/>
      <c r="AI641" s="140"/>
      <c r="AJ641" s="140"/>
      <c r="AK641" s="117" t="str">
        <f t="shared" si="10"/>
        <v>Negative</v>
      </c>
      <c r="AL641" s="142"/>
      <c r="AM641" s="112" t="s">
        <v>299</v>
      </c>
      <c r="AN641" s="112" t="s">
        <v>300</v>
      </c>
      <c r="AO641" s="112" t="str">
        <f>IFERROR(__xludf.DUMMYFUNCTION("IF($AG641, ""DELETED"",TRIM(JOIN("" "",D641:E641)))"),"")</f>
        <v/>
      </c>
      <c r="AP641" s="112" t="str">
        <f t="shared" ref="AP641:AQ641" si="666">IF($AG641, "DELETED", TRIM(CONCATENATE(F641,I641,U641)))</f>
        <v/>
      </c>
      <c r="AQ641" s="112" t="str">
        <f t="shared" si="666"/>
        <v/>
      </c>
      <c r="AR641" s="112" t="str">
        <f>IFERROR(__xludf.DUMMYFUNCTION("IF($AG641, ""DELETED"", TRIM(JOIN("" "",AP641,AQ641)))"),"")</f>
        <v/>
      </c>
      <c r="AS641" s="118"/>
      <c r="AT641" s="110" t="b">
        <f t="shared" si="12"/>
        <v>0</v>
      </c>
      <c r="AU641" s="110" t="str">
        <f t="shared" si="13"/>
        <v/>
      </c>
      <c r="AV641" s="110" t="str">
        <f t="shared" si="14"/>
        <v/>
      </c>
      <c r="AW641" s="110" t="str">
        <f t="shared" si="15"/>
        <v/>
      </c>
      <c r="AX641" s="119" t="str">
        <f t="shared" si="16"/>
        <v/>
      </c>
      <c r="AY641" s="120"/>
      <c r="AZ641" s="121"/>
      <c r="BA641" s="122" t="str">
        <f t="shared" si="17"/>
        <v/>
      </c>
      <c r="BB641" s="34"/>
      <c r="BC641" s="121"/>
      <c r="BD641" s="136"/>
      <c r="BE641" s="125" t="str">
        <f t="shared" si="18"/>
        <v/>
      </c>
      <c r="BF641" s="126" t="str">
        <f t="shared" si="19"/>
        <v>FM106__44621_0.328564814814815</v>
      </c>
      <c r="BG641" s="127" t="str">
        <f t="shared" si="20"/>
        <v/>
      </c>
      <c r="BH641" s="137" t="s">
        <v>1802</v>
      </c>
      <c r="BI641" s="128" t="str">
        <f t="shared" si="21"/>
        <v>MA449</v>
      </c>
      <c r="BJ641" s="129" t="b">
        <f t="shared" si="22"/>
        <v>0</v>
      </c>
      <c r="BK641" s="128" t="str">
        <f t="shared" si="23"/>
        <v/>
      </c>
      <c r="BL641" s="121"/>
      <c r="BM641" s="5" t="str">
        <f t="shared" si="24"/>
        <v>MISSING</v>
      </c>
      <c r="BN641" s="120" t="b">
        <f t="shared" si="25"/>
        <v>0</v>
      </c>
      <c r="BO641" s="131" t="b">
        <f t="shared" si="26"/>
        <v>1</v>
      </c>
      <c r="BP641" s="121"/>
      <c r="BQ641" s="132" t="str">
        <f>VLOOKUP(A641,RAW_APS!A$3:O826,15,FALSE)</f>
        <v/>
      </c>
      <c r="BR641" s="120" t="b">
        <f t="shared" si="27"/>
        <v>1</v>
      </c>
      <c r="BS641" s="121"/>
      <c r="BT641" s="138" t="s">
        <v>244</v>
      </c>
      <c r="BU641" s="10" t="b">
        <f t="shared" si="28"/>
        <v>1</v>
      </c>
      <c r="BV641" s="120"/>
      <c r="BW641" s="120"/>
      <c r="BX641" s="120"/>
      <c r="BY641" s="120"/>
      <c r="BZ641" s="120"/>
      <c r="CA641" s="120"/>
      <c r="CB641" s="120"/>
      <c r="CC641" s="120"/>
    </row>
    <row r="642">
      <c r="A642" s="2" t="s">
        <v>1803</v>
      </c>
      <c r="B642" s="100">
        <v>44621.0</v>
      </c>
      <c r="C642" s="101">
        <v>0.329224537037037</v>
      </c>
      <c r="D642" s="102"/>
      <c r="E642" s="102"/>
      <c r="F642" s="102"/>
      <c r="G642" s="102"/>
      <c r="H642" s="102"/>
      <c r="I642" s="103"/>
      <c r="J642" s="103"/>
      <c r="K642" s="2" t="s">
        <v>244</v>
      </c>
      <c r="L642" s="100">
        <v>44627.0</v>
      </c>
      <c r="M642" s="101">
        <v>0.47792824074074075</v>
      </c>
      <c r="P642" s="104" t="b">
        <f>IFNA(IF(VLOOKUP($A642,'Add from APT'!$AA$2:$AC826,3,FALSE)&gt;0,TRUE,FALSE),"ER - NOT IN APT")</f>
        <v>0</v>
      </c>
      <c r="Q642" s="105" t="str">
        <f>IF(ISLOGICAL(P642),IF(P642,"ER - REPS IN APT", IFNA(VLOOKUP($A642,RAW_APT!$A$3:$M826,7,FALSE),"ER - NOT IN APT")),P642)</f>
        <v>Result</v>
      </c>
      <c r="R642" s="106" t="b">
        <f t="shared" si="2"/>
        <v>1</v>
      </c>
      <c r="S642" s="107">
        <f t="shared" si="3"/>
        <v>1</v>
      </c>
      <c r="T642" s="143"/>
      <c r="U642" s="142"/>
      <c r="V642" s="142"/>
      <c r="W642" s="142"/>
      <c r="X642" s="110" t="b">
        <f t="shared" si="4"/>
        <v>0</v>
      </c>
      <c r="Y642" s="111" t="b">
        <v>0</v>
      </c>
      <c r="Z642" s="104" t="str">
        <f t="shared" si="5"/>
        <v/>
      </c>
      <c r="AA642" s="112" t="b">
        <f t="shared" si="6"/>
        <v>0</v>
      </c>
      <c r="AB642" s="142" t="b">
        <v>0</v>
      </c>
      <c r="AC642" s="140">
        <v>174.0</v>
      </c>
      <c r="AD642" s="141" t="b">
        <v>0</v>
      </c>
      <c r="AE642" s="115" t="str">
        <f t="shared" si="7"/>
        <v/>
      </c>
      <c r="AF642" s="116" t="b">
        <f t="shared" si="8"/>
        <v>0</v>
      </c>
      <c r="AG642" s="105" t="b">
        <f t="shared" si="9"/>
        <v>0</v>
      </c>
      <c r="AH642" s="140"/>
      <c r="AI642" s="140"/>
      <c r="AJ642" s="140"/>
      <c r="AK642" s="117" t="str">
        <f t="shared" si="10"/>
        <v>Negative</v>
      </c>
      <c r="AL642" s="142"/>
      <c r="AM642" s="112" t="s">
        <v>593</v>
      </c>
      <c r="AN642" s="112" t="s">
        <v>594</v>
      </c>
      <c r="AO642" s="112" t="str">
        <f>IFERROR(__xludf.DUMMYFUNCTION("IF($AG642, ""DELETED"",TRIM(JOIN("" "",D642:E642)))"),"")</f>
        <v/>
      </c>
      <c r="AP642" s="112" t="str">
        <f t="shared" ref="AP642:AQ642" si="667">IF($AG642, "DELETED", TRIM(CONCATENATE(F642,I642,U642)))</f>
        <v/>
      </c>
      <c r="AQ642" s="112" t="str">
        <f t="shared" si="667"/>
        <v/>
      </c>
      <c r="AR642" s="112" t="str">
        <f>IFERROR(__xludf.DUMMYFUNCTION("IF($AG642, ""DELETED"", TRIM(JOIN("" "",AP642,AQ642)))"),"")</f>
        <v/>
      </c>
      <c r="AS642" s="118"/>
      <c r="AT642" s="110" t="b">
        <f t="shared" si="12"/>
        <v>0</v>
      </c>
      <c r="AU642" s="110" t="str">
        <f t="shared" si="13"/>
        <v/>
      </c>
      <c r="AV642" s="110" t="str">
        <f t="shared" si="14"/>
        <v/>
      </c>
      <c r="AW642" s="110" t="str">
        <f t="shared" si="15"/>
        <v/>
      </c>
      <c r="AX642" s="119" t="str">
        <f t="shared" si="16"/>
        <v/>
      </c>
      <c r="AY642" s="120"/>
      <c r="AZ642" s="121"/>
      <c r="BA642" s="122" t="str">
        <f t="shared" si="17"/>
        <v/>
      </c>
      <c r="BB642" s="34"/>
      <c r="BC642" s="121"/>
      <c r="BD642" s="136"/>
      <c r="BE642" s="125" t="str">
        <f t="shared" si="18"/>
        <v/>
      </c>
      <c r="BF642" s="126" t="str">
        <f t="shared" si="19"/>
        <v>FM374__44621_0.329224537037037</v>
      </c>
      <c r="BG642" s="127" t="str">
        <f t="shared" si="20"/>
        <v/>
      </c>
      <c r="BH642" s="137" t="s">
        <v>1804</v>
      </c>
      <c r="BI642" s="128" t="str">
        <f t="shared" si="21"/>
        <v>MA451</v>
      </c>
      <c r="BJ642" s="129" t="b">
        <f t="shared" si="22"/>
        <v>0</v>
      </c>
      <c r="BK642" s="128" t="str">
        <f t="shared" si="23"/>
        <v/>
      </c>
      <c r="BL642" s="121"/>
      <c r="BM642" s="5" t="str">
        <f t="shared" si="24"/>
        <v>MISSING</v>
      </c>
      <c r="BN642" s="120" t="b">
        <f t="shared" si="25"/>
        <v>0</v>
      </c>
      <c r="BO642" s="131" t="b">
        <f t="shared" si="26"/>
        <v>1</v>
      </c>
      <c r="BP642" s="121"/>
      <c r="BQ642" s="132" t="str">
        <f>VLOOKUP(A642,RAW_APS!A$3:O826,15,FALSE)</f>
        <v/>
      </c>
      <c r="BR642" s="120" t="b">
        <f t="shared" si="27"/>
        <v>1</v>
      </c>
      <c r="BS642" s="121"/>
      <c r="BT642" s="138" t="s">
        <v>244</v>
      </c>
      <c r="BU642" s="10" t="b">
        <f t="shared" si="28"/>
        <v>1</v>
      </c>
      <c r="BV642" s="120"/>
      <c r="BW642" s="120"/>
      <c r="BX642" s="120"/>
      <c r="BY642" s="120"/>
      <c r="BZ642" s="120"/>
      <c r="CA642" s="120"/>
      <c r="CB642" s="120"/>
      <c r="CC642" s="120"/>
    </row>
    <row r="643">
      <c r="A643" s="2" t="s">
        <v>1805</v>
      </c>
      <c r="B643" s="100">
        <v>44621.0</v>
      </c>
      <c r="C643" s="101">
        <v>0.329525462962963</v>
      </c>
      <c r="D643" s="102"/>
      <c r="E643" s="102"/>
      <c r="F643" s="102"/>
      <c r="G643" s="102"/>
      <c r="H643" s="102"/>
      <c r="I643" s="103"/>
      <c r="J643" s="103"/>
      <c r="K643" s="2" t="s">
        <v>244</v>
      </c>
      <c r="L643" s="100">
        <v>44627.0</v>
      </c>
      <c r="M643" s="101">
        <v>0.47792824074074075</v>
      </c>
      <c r="P643" s="104" t="b">
        <f>IFNA(IF(VLOOKUP($A643,'Add from APT'!$AA$2:$AC826,3,FALSE)&gt;0,TRUE,FALSE),"ER - NOT IN APT")</f>
        <v>0</v>
      </c>
      <c r="Q643" s="105" t="str">
        <f>IF(ISLOGICAL(P643),IF(P643,"ER - REPS IN APT", IFNA(VLOOKUP($A643,RAW_APT!$A$3:$M826,7,FALSE),"ER - NOT IN APT")),P643)</f>
        <v>Result</v>
      </c>
      <c r="R643" s="106" t="b">
        <f t="shared" si="2"/>
        <v>1</v>
      </c>
      <c r="S643" s="107">
        <f t="shared" si="3"/>
        <v>1</v>
      </c>
      <c r="T643" s="143"/>
      <c r="U643" s="142"/>
      <c r="V643" s="142"/>
      <c r="W643" s="142"/>
      <c r="X643" s="110" t="b">
        <f t="shared" si="4"/>
        <v>0</v>
      </c>
      <c r="Y643" s="111" t="b">
        <v>0</v>
      </c>
      <c r="Z643" s="104" t="str">
        <f t="shared" si="5"/>
        <v/>
      </c>
      <c r="AA643" s="112" t="b">
        <f t="shared" si="6"/>
        <v>0</v>
      </c>
      <c r="AB643" s="142" t="b">
        <v>0</v>
      </c>
      <c r="AC643" s="140">
        <v>173.0</v>
      </c>
      <c r="AD643" s="141" t="b">
        <v>0</v>
      </c>
      <c r="AE643" s="115" t="str">
        <f t="shared" si="7"/>
        <v/>
      </c>
      <c r="AF643" s="116" t="b">
        <f t="shared" si="8"/>
        <v>0</v>
      </c>
      <c r="AG643" s="105" t="b">
        <f t="shared" si="9"/>
        <v>0</v>
      </c>
      <c r="AH643" s="140"/>
      <c r="AI643" s="140"/>
      <c r="AJ643" s="140"/>
      <c r="AK643" s="117" t="str">
        <f t="shared" si="10"/>
        <v>Negative</v>
      </c>
      <c r="AL643" s="142"/>
      <c r="AM643" s="112" t="s">
        <v>1374</v>
      </c>
      <c r="AN643" s="112" t="s">
        <v>1375</v>
      </c>
      <c r="AO643" s="112" t="str">
        <f>IFERROR(__xludf.DUMMYFUNCTION("IF($AG643, ""DELETED"",TRIM(JOIN("" "",D643:E643)))"),"")</f>
        <v/>
      </c>
      <c r="AP643" s="112" t="str">
        <f t="shared" ref="AP643:AQ643" si="668">IF($AG643, "DELETED", TRIM(CONCATENATE(F643,I643,U643)))</f>
        <v/>
      </c>
      <c r="AQ643" s="112" t="str">
        <f t="shared" si="668"/>
        <v/>
      </c>
      <c r="AR643" s="112" t="str">
        <f>IFERROR(__xludf.DUMMYFUNCTION("IF($AG643, ""DELETED"", TRIM(JOIN("" "",AP643,AQ643)))"),"")</f>
        <v/>
      </c>
      <c r="AS643" s="118"/>
      <c r="AT643" s="110" t="b">
        <f t="shared" si="12"/>
        <v>0</v>
      </c>
      <c r="AU643" s="110" t="str">
        <f t="shared" si="13"/>
        <v/>
      </c>
      <c r="AV643" s="110" t="str">
        <f t="shared" si="14"/>
        <v/>
      </c>
      <c r="AW643" s="110" t="str">
        <f t="shared" si="15"/>
        <v/>
      </c>
      <c r="AX643" s="119" t="str">
        <f t="shared" si="16"/>
        <v/>
      </c>
      <c r="AY643" s="120"/>
      <c r="AZ643" s="121"/>
      <c r="BA643" s="122" t="str">
        <f t="shared" si="17"/>
        <v/>
      </c>
      <c r="BB643" s="34"/>
      <c r="BC643" s="121"/>
      <c r="BD643" s="136"/>
      <c r="BE643" s="125" t="str">
        <f t="shared" si="18"/>
        <v/>
      </c>
      <c r="BF643" s="126" t="str">
        <f t="shared" si="19"/>
        <v>FM821__44621_0.329525462962963</v>
      </c>
      <c r="BG643" s="127" t="str">
        <f t="shared" si="20"/>
        <v/>
      </c>
      <c r="BH643" s="137" t="s">
        <v>1806</v>
      </c>
      <c r="BI643" s="128" t="str">
        <f t="shared" si="21"/>
        <v>MA452</v>
      </c>
      <c r="BJ643" s="129" t="b">
        <f t="shared" si="22"/>
        <v>0</v>
      </c>
      <c r="BK643" s="128" t="str">
        <f t="shared" si="23"/>
        <v/>
      </c>
      <c r="BL643" s="121"/>
      <c r="BM643" s="5" t="str">
        <f t="shared" si="24"/>
        <v>MISSING</v>
      </c>
      <c r="BN643" s="120" t="b">
        <f t="shared" si="25"/>
        <v>0</v>
      </c>
      <c r="BO643" s="131" t="b">
        <f t="shared" si="26"/>
        <v>1</v>
      </c>
      <c r="BP643" s="121"/>
      <c r="BQ643" s="132" t="str">
        <f>VLOOKUP(A643,RAW_APS!A$3:O826,15,FALSE)</f>
        <v/>
      </c>
      <c r="BR643" s="120" t="b">
        <f t="shared" si="27"/>
        <v>1</v>
      </c>
      <c r="BS643" s="121"/>
      <c r="BT643" s="138" t="s">
        <v>244</v>
      </c>
      <c r="BU643" s="10" t="b">
        <f t="shared" si="28"/>
        <v>1</v>
      </c>
      <c r="BV643" s="120"/>
      <c r="BW643" s="120"/>
      <c r="BX643" s="120"/>
      <c r="BY643" s="120"/>
      <c r="BZ643" s="120"/>
      <c r="CA643" s="120"/>
      <c r="CB643" s="120"/>
      <c r="CC643" s="120"/>
    </row>
    <row r="644">
      <c r="A644" s="2" t="s">
        <v>1807</v>
      </c>
      <c r="B644" s="100">
        <v>44621.0</v>
      </c>
      <c r="C644" s="101">
        <v>0.33123842592592595</v>
      </c>
      <c r="D644" s="102"/>
      <c r="E644" s="102"/>
      <c r="F644" s="102"/>
      <c r="G644" s="102"/>
      <c r="H644" s="102"/>
      <c r="I644" s="103"/>
      <c r="J644" s="103"/>
      <c r="K644" s="2" t="s">
        <v>244</v>
      </c>
      <c r="L644" s="100">
        <v>44627.0</v>
      </c>
      <c r="M644" s="101">
        <v>0.47792824074074075</v>
      </c>
      <c r="P644" s="104" t="b">
        <f>IFNA(IF(VLOOKUP($A644,'Add from APT'!$AA$2:$AC826,3,FALSE)&gt;0,TRUE,FALSE),"ER - NOT IN APT")</f>
        <v>0</v>
      </c>
      <c r="Q644" s="105" t="str">
        <f>IF(ISLOGICAL(P644),IF(P644,"ER - REPS IN APT", IFNA(VLOOKUP($A644,RAW_APT!$A$3:$M826,7,FALSE),"ER - NOT IN APT")),P644)</f>
        <v>Result</v>
      </c>
      <c r="R644" s="106" t="b">
        <f t="shared" si="2"/>
        <v>1</v>
      </c>
      <c r="S644" s="107">
        <f t="shared" si="3"/>
        <v>1</v>
      </c>
      <c r="T644" s="143"/>
      <c r="U644" s="142"/>
      <c r="V644" s="142"/>
      <c r="W644" s="142"/>
      <c r="X644" s="110" t="b">
        <f t="shared" si="4"/>
        <v>0</v>
      </c>
      <c r="Y644" s="111" t="b">
        <v>0</v>
      </c>
      <c r="Z644" s="104" t="str">
        <f t="shared" si="5"/>
        <v/>
      </c>
      <c r="AA644" s="112" t="b">
        <f t="shared" si="6"/>
        <v>0</v>
      </c>
      <c r="AB644" s="142" t="b">
        <v>0</v>
      </c>
      <c r="AC644" s="140">
        <v>172.0</v>
      </c>
      <c r="AD644" s="141" t="b">
        <v>0</v>
      </c>
      <c r="AE644" s="115" t="str">
        <f t="shared" si="7"/>
        <v/>
      </c>
      <c r="AF644" s="116" t="b">
        <f t="shared" si="8"/>
        <v>0</v>
      </c>
      <c r="AG644" s="105" t="b">
        <f t="shared" si="9"/>
        <v>0</v>
      </c>
      <c r="AH644" s="140"/>
      <c r="AI644" s="140"/>
      <c r="AJ644" s="140"/>
      <c r="AK644" s="117" t="str">
        <f t="shared" si="10"/>
        <v>Negative</v>
      </c>
      <c r="AL644" s="142"/>
      <c r="AM644" s="112" t="s">
        <v>419</v>
      </c>
      <c r="AN644" s="112" t="s">
        <v>420</v>
      </c>
      <c r="AO644" s="112" t="str">
        <f>IFERROR(__xludf.DUMMYFUNCTION("IF($AG644, ""DELETED"",TRIM(JOIN("" "",D644:E644)))"),"")</f>
        <v/>
      </c>
      <c r="AP644" s="112" t="str">
        <f t="shared" ref="AP644:AQ644" si="669">IF($AG644, "DELETED", TRIM(CONCATENATE(F644,I644,U644)))</f>
        <v/>
      </c>
      <c r="AQ644" s="112" t="str">
        <f t="shared" si="669"/>
        <v/>
      </c>
      <c r="AR644" s="112" t="str">
        <f>IFERROR(__xludf.DUMMYFUNCTION("IF($AG644, ""DELETED"", TRIM(JOIN("" "",AP644,AQ644)))"),"")</f>
        <v/>
      </c>
      <c r="AS644" s="118"/>
      <c r="AT644" s="110" t="b">
        <f t="shared" si="12"/>
        <v>0</v>
      </c>
      <c r="AU644" s="110" t="str">
        <f t="shared" si="13"/>
        <v/>
      </c>
      <c r="AV644" s="110" t="str">
        <f t="shared" si="14"/>
        <v/>
      </c>
      <c r="AW644" s="110" t="str">
        <f t="shared" si="15"/>
        <v/>
      </c>
      <c r="AX644" s="119" t="str">
        <f t="shared" si="16"/>
        <v/>
      </c>
      <c r="AY644" s="120"/>
      <c r="AZ644" s="121"/>
      <c r="BA644" s="122" t="str">
        <f t="shared" si="17"/>
        <v/>
      </c>
      <c r="BB644" s="34"/>
      <c r="BC644" s="121"/>
      <c r="BD644" s="136"/>
      <c r="BE644" s="125" t="str">
        <f t="shared" si="18"/>
        <v/>
      </c>
      <c r="BF644" s="126" t="str">
        <f t="shared" si="19"/>
        <v>FM41__44621_0.331238425925926</v>
      </c>
      <c r="BG644" s="127" t="str">
        <f t="shared" si="20"/>
        <v/>
      </c>
      <c r="BH644" s="137" t="s">
        <v>1808</v>
      </c>
      <c r="BI644" s="128" t="str">
        <f t="shared" si="21"/>
        <v>MA453</v>
      </c>
      <c r="BJ644" s="129" t="b">
        <f t="shared" si="22"/>
        <v>0</v>
      </c>
      <c r="BK644" s="128" t="str">
        <f t="shared" si="23"/>
        <v/>
      </c>
      <c r="BL644" s="121"/>
      <c r="BM644" s="5" t="str">
        <f t="shared" si="24"/>
        <v>MISSING</v>
      </c>
      <c r="BN644" s="120" t="b">
        <f t="shared" si="25"/>
        <v>0</v>
      </c>
      <c r="BO644" s="131" t="b">
        <f t="shared" si="26"/>
        <v>1</v>
      </c>
      <c r="BP644" s="121"/>
      <c r="BQ644" s="132" t="str">
        <f>VLOOKUP(A644,RAW_APS!A$3:O826,15,FALSE)</f>
        <v/>
      </c>
      <c r="BR644" s="120" t="b">
        <f t="shared" si="27"/>
        <v>1</v>
      </c>
      <c r="BS644" s="121"/>
      <c r="BT644" s="138" t="s">
        <v>244</v>
      </c>
      <c r="BU644" s="10" t="b">
        <f t="shared" si="28"/>
        <v>1</v>
      </c>
      <c r="BV644" s="120"/>
      <c r="BW644" s="120"/>
      <c r="BX644" s="120"/>
      <c r="BY644" s="120"/>
      <c r="BZ644" s="120"/>
      <c r="CA644" s="120"/>
      <c r="CB644" s="120"/>
      <c r="CC644" s="120"/>
    </row>
    <row r="645">
      <c r="A645" s="2" t="s">
        <v>1809</v>
      </c>
      <c r="B645" s="100">
        <v>44621.0</v>
      </c>
      <c r="C645" s="101">
        <v>0.33143518518518517</v>
      </c>
      <c r="D645" s="102"/>
      <c r="E645" s="102"/>
      <c r="F645" s="102"/>
      <c r="G645" s="102"/>
      <c r="H645" s="102"/>
      <c r="I645" s="103"/>
      <c r="J645" s="103"/>
      <c r="K645" s="2" t="s">
        <v>244</v>
      </c>
      <c r="L645" s="100">
        <v>44627.0</v>
      </c>
      <c r="M645" s="101">
        <v>0.47792824074074075</v>
      </c>
      <c r="P645" s="104" t="b">
        <f>IFNA(IF(VLOOKUP($A645,'Add from APT'!$AA$2:$AC826,3,FALSE)&gt;0,TRUE,FALSE),"ER - NOT IN APT")</f>
        <v>0</v>
      </c>
      <c r="Q645" s="105" t="str">
        <f>IF(ISLOGICAL(P645),IF(P645,"ER - REPS IN APT", IFNA(VLOOKUP($A645,RAW_APT!$A$3:$M826,7,FALSE),"ER - NOT IN APT")),P645)</f>
        <v>Result</v>
      </c>
      <c r="R645" s="106" t="b">
        <f t="shared" si="2"/>
        <v>1</v>
      </c>
      <c r="S645" s="107">
        <f t="shared" si="3"/>
        <v>1</v>
      </c>
      <c r="T645" s="143"/>
      <c r="U645" s="142"/>
      <c r="V645" s="142"/>
      <c r="W645" s="142"/>
      <c r="X645" s="110" t="b">
        <f t="shared" si="4"/>
        <v>0</v>
      </c>
      <c r="Y645" s="111" t="b">
        <v>0</v>
      </c>
      <c r="Z645" s="104" t="str">
        <f t="shared" si="5"/>
        <v/>
      </c>
      <c r="AA645" s="112" t="b">
        <f t="shared" si="6"/>
        <v>0</v>
      </c>
      <c r="AB645" s="142" t="b">
        <v>0</v>
      </c>
      <c r="AC645" s="140">
        <v>171.0</v>
      </c>
      <c r="AD645" s="141" t="b">
        <v>0</v>
      </c>
      <c r="AE645" s="115" t="str">
        <f t="shared" si="7"/>
        <v/>
      </c>
      <c r="AF645" s="116" t="b">
        <f t="shared" si="8"/>
        <v>0</v>
      </c>
      <c r="AG645" s="105" t="b">
        <f t="shared" si="9"/>
        <v>0</v>
      </c>
      <c r="AH645" s="140"/>
      <c r="AI645" s="140"/>
      <c r="AJ645" s="140"/>
      <c r="AK645" s="117" t="str">
        <f t="shared" si="10"/>
        <v>Negative</v>
      </c>
      <c r="AL645" s="142"/>
      <c r="AM645" s="112" t="s">
        <v>307</v>
      </c>
      <c r="AN645" s="112" t="s">
        <v>266</v>
      </c>
      <c r="AO645" s="112" t="str">
        <f>IFERROR(__xludf.DUMMYFUNCTION("IF($AG645, ""DELETED"",TRIM(JOIN("" "",D645:E645)))"),"")</f>
        <v/>
      </c>
      <c r="AP645" s="112" t="str">
        <f t="shared" ref="AP645:AQ645" si="670">IF($AG645, "DELETED", TRIM(CONCATENATE(F645,I645,U645)))</f>
        <v/>
      </c>
      <c r="AQ645" s="112" t="str">
        <f t="shared" si="670"/>
        <v/>
      </c>
      <c r="AR645" s="112" t="str">
        <f>IFERROR(__xludf.DUMMYFUNCTION("IF($AG645, ""DELETED"", TRIM(JOIN("" "",AP645,AQ645)))"),"")</f>
        <v/>
      </c>
      <c r="AS645" s="118"/>
      <c r="AT645" s="110" t="b">
        <f t="shared" si="12"/>
        <v>0</v>
      </c>
      <c r="AU645" s="110" t="str">
        <f t="shared" si="13"/>
        <v/>
      </c>
      <c r="AV645" s="110" t="str">
        <f t="shared" si="14"/>
        <v/>
      </c>
      <c r="AW645" s="110" t="str">
        <f t="shared" si="15"/>
        <v/>
      </c>
      <c r="AX645" s="119" t="str">
        <f t="shared" si="16"/>
        <v/>
      </c>
      <c r="AY645" s="120"/>
      <c r="AZ645" s="121"/>
      <c r="BA645" s="122" t="str">
        <f t="shared" si="17"/>
        <v/>
      </c>
      <c r="BB645" s="34"/>
      <c r="BC645" s="121"/>
      <c r="BD645" s="136"/>
      <c r="BE645" s="125" t="str">
        <f t="shared" si="18"/>
        <v/>
      </c>
      <c r="BF645" s="126" t="str">
        <f t="shared" si="19"/>
        <v>FM46__44621_0.331435185185185</v>
      </c>
      <c r="BG645" s="127" t="str">
        <f t="shared" si="20"/>
        <v/>
      </c>
      <c r="BH645" s="137" t="s">
        <v>1810</v>
      </c>
      <c r="BI645" s="128" t="str">
        <f t="shared" si="21"/>
        <v>MA454</v>
      </c>
      <c r="BJ645" s="129" t="b">
        <f t="shared" si="22"/>
        <v>0</v>
      </c>
      <c r="BK645" s="128" t="str">
        <f t="shared" si="23"/>
        <v/>
      </c>
      <c r="BL645" s="121"/>
      <c r="BM645" s="5" t="str">
        <f t="shared" si="24"/>
        <v>MISSING</v>
      </c>
      <c r="BN645" s="120" t="b">
        <f t="shared" si="25"/>
        <v>0</v>
      </c>
      <c r="BO645" s="131" t="b">
        <f t="shared" si="26"/>
        <v>1</v>
      </c>
      <c r="BP645" s="121"/>
      <c r="BQ645" s="132" t="str">
        <f>VLOOKUP(A645,RAW_APS!A$3:O826,15,FALSE)</f>
        <v/>
      </c>
      <c r="BR645" s="120" t="b">
        <f t="shared" si="27"/>
        <v>1</v>
      </c>
      <c r="BS645" s="121"/>
      <c r="BT645" s="138" t="s">
        <v>244</v>
      </c>
      <c r="BU645" s="10" t="b">
        <f t="shared" si="28"/>
        <v>1</v>
      </c>
      <c r="BV645" s="120"/>
      <c r="BW645" s="120"/>
      <c r="BX645" s="120"/>
      <c r="BY645" s="120"/>
      <c r="BZ645" s="120"/>
      <c r="CA645" s="120"/>
      <c r="CB645" s="120"/>
      <c r="CC645" s="120"/>
    </row>
    <row r="646">
      <c r="A646" s="2" t="s">
        <v>1811</v>
      </c>
      <c r="B646" s="100">
        <v>44621.0</v>
      </c>
      <c r="C646" s="101">
        <v>0.3319328703703704</v>
      </c>
      <c r="D646" s="102"/>
      <c r="E646" s="102"/>
      <c r="F646" s="102"/>
      <c r="G646" s="102"/>
      <c r="H646" s="102"/>
      <c r="I646" s="103"/>
      <c r="J646" s="103"/>
      <c r="K646" s="2" t="s">
        <v>244</v>
      </c>
      <c r="L646" s="100">
        <v>44627.0</v>
      </c>
      <c r="M646" s="101">
        <v>0.47792824074074075</v>
      </c>
      <c r="P646" s="104" t="b">
        <f>IFNA(IF(VLOOKUP($A646,'Add from APT'!$AA$2:$AC826,3,FALSE)&gt;0,TRUE,FALSE),"ER - NOT IN APT")</f>
        <v>0</v>
      </c>
      <c r="Q646" s="105" t="str">
        <f>IF(ISLOGICAL(P646),IF(P646,"ER - REPS IN APT", IFNA(VLOOKUP($A646,RAW_APT!$A$3:$M826,7,FALSE),"ER - NOT IN APT")),P646)</f>
        <v>Result</v>
      </c>
      <c r="R646" s="106" t="b">
        <f t="shared" si="2"/>
        <v>1</v>
      </c>
      <c r="S646" s="107">
        <f t="shared" si="3"/>
        <v>1</v>
      </c>
      <c r="T646" s="143"/>
      <c r="U646" s="142"/>
      <c r="V646" s="142"/>
      <c r="W646" s="142"/>
      <c r="X646" s="110" t="b">
        <f t="shared" si="4"/>
        <v>0</v>
      </c>
      <c r="Y646" s="111" t="b">
        <v>0</v>
      </c>
      <c r="Z646" s="104" t="str">
        <f t="shared" si="5"/>
        <v/>
      </c>
      <c r="AA646" s="112" t="b">
        <f t="shared" si="6"/>
        <v>0</v>
      </c>
      <c r="AB646" s="142" t="b">
        <v>0</v>
      </c>
      <c r="AC646" s="140">
        <v>170.0</v>
      </c>
      <c r="AD646" s="141" t="b">
        <v>0</v>
      </c>
      <c r="AE646" s="115" t="str">
        <f t="shared" si="7"/>
        <v/>
      </c>
      <c r="AF646" s="116" t="b">
        <f t="shared" si="8"/>
        <v>0</v>
      </c>
      <c r="AG646" s="105" t="b">
        <f t="shared" si="9"/>
        <v>0</v>
      </c>
      <c r="AH646" s="140"/>
      <c r="AI646" s="140"/>
      <c r="AJ646" s="140"/>
      <c r="AK646" s="117" t="str">
        <f t="shared" si="10"/>
        <v>Negative</v>
      </c>
      <c r="AL646" s="142"/>
      <c r="AM646" s="112" t="s">
        <v>862</v>
      </c>
      <c r="AN646" s="112" t="s">
        <v>539</v>
      </c>
      <c r="AO646" s="112" t="str">
        <f>IFERROR(__xludf.DUMMYFUNCTION("IF($AG646, ""DELETED"",TRIM(JOIN("" "",D646:E646)))"),"")</f>
        <v/>
      </c>
      <c r="AP646" s="112" t="str">
        <f t="shared" ref="AP646:AQ646" si="671">IF($AG646, "DELETED", TRIM(CONCATENATE(F646,I646,U646)))</f>
        <v/>
      </c>
      <c r="AQ646" s="112" t="str">
        <f t="shared" si="671"/>
        <v/>
      </c>
      <c r="AR646" s="112" t="str">
        <f>IFERROR(__xludf.DUMMYFUNCTION("IF($AG646, ""DELETED"", TRIM(JOIN("" "",AP646,AQ646)))"),"")</f>
        <v/>
      </c>
      <c r="AS646" s="118"/>
      <c r="AT646" s="110" t="b">
        <f t="shared" si="12"/>
        <v>0</v>
      </c>
      <c r="AU646" s="110" t="str">
        <f t="shared" si="13"/>
        <v/>
      </c>
      <c r="AV646" s="110" t="str">
        <f t="shared" si="14"/>
        <v/>
      </c>
      <c r="AW646" s="110" t="str">
        <f t="shared" si="15"/>
        <v/>
      </c>
      <c r="AX646" s="119" t="str">
        <f t="shared" si="16"/>
        <v/>
      </c>
      <c r="AY646" s="120"/>
      <c r="AZ646" s="121"/>
      <c r="BA646" s="122" t="str">
        <f t="shared" si="17"/>
        <v/>
      </c>
      <c r="BB646" s="34"/>
      <c r="BC646" s="121"/>
      <c r="BD646" s="136"/>
      <c r="BE646" s="125" t="str">
        <f t="shared" si="18"/>
        <v/>
      </c>
      <c r="BF646" s="126" t="str">
        <f t="shared" si="19"/>
        <v>FM82__44621_0.33193287037037</v>
      </c>
      <c r="BG646" s="127" t="str">
        <f t="shared" si="20"/>
        <v/>
      </c>
      <c r="BH646" s="137" t="s">
        <v>1812</v>
      </c>
      <c r="BI646" s="128" t="str">
        <f t="shared" si="21"/>
        <v>MA455</v>
      </c>
      <c r="BJ646" s="129" t="b">
        <f t="shared" si="22"/>
        <v>0</v>
      </c>
      <c r="BK646" s="128" t="str">
        <f t="shared" si="23"/>
        <v/>
      </c>
      <c r="BL646" s="121"/>
      <c r="BM646" s="5" t="str">
        <f t="shared" si="24"/>
        <v>MISSING</v>
      </c>
      <c r="BN646" s="120" t="b">
        <f t="shared" si="25"/>
        <v>0</v>
      </c>
      <c r="BO646" s="131" t="b">
        <f t="shared" si="26"/>
        <v>1</v>
      </c>
      <c r="BP646" s="121"/>
      <c r="BQ646" s="132" t="str">
        <f>VLOOKUP(A646,RAW_APS!A$3:O826,15,FALSE)</f>
        <v/>
      </c>
      <c r="BR646" s="120" t="b">
        <f t="shared" si="27"/>
        <v>1</v>
      </c>
      <c r="BS646" s="121"/>
      <c r="BT646" s="138" t="s">
        <v>244</v>
      </c>
      <c r="BU646" s="10" t="b">
        <f t="shared" si="28"/>
        <v>1</v>
      </c>
      <c r="BV646" s="120"/>
      <c r="BW646" s="120"/>
      <c r="BX646" s="120"/>
      <c r="BY646" s="120"/>
      <c r="BZ646" s="120"/>
      <c r="CA646" s="120"/>
      <c r="CB646" s="120"/>
      <c r="CC646" s="120"/>
    </row>
    <row r="647">
      <c r="A647" s="2" t="s">
        <v>1813</v>
      </c>
      <c r="B647" s="100">
        <v>44621.0</v>
      </c>
      <c r="C647" s="101">
        <v>0.3345949074074074</v>
      </c>
      <c r="D647" s="102"/>
      <c r="E647" s="102"/>
      <c r="F647" s="102"/>
      <c r="G647" s="102"/>
      <c r="H647" s="102"/>
      <c r="I647" s="103"/>
      <c r="J647" s="103"/>
      <c r="K647" s="2" t="s">
        <v>244</v>
      </c>
      <c r="L647" s="100">
        <v>44627.0</v>
      </c>
      <c r="M647" s="101">
        <v>0.47792824074074075</v>
      </c>
      <c r="P647" s="104" t="b">
        <f>IFNA(IF(VLOOKUP($A647,'Add from APT'!$AA$2:$AC826,3,FALSE)&gt;0,TRUE,FALSE),"ER - NOT IN APT")</f>
        <v>0</v>
      </c>
      <c r="Q647" s="105" t="str">
        <f>IF(ISLOGICAL(P647),IF(P647,"ER - REPS IN APT", IFNA(VLOOKUP($A647,RAW_APT!$A$3:$M826,7,FALSE),"ER - NOT IN APT")),P647)</f>
        <v>Result</v>
      </c>
      <c r="R647" s="106" t="b">
        <f t="shared" si="2"/>
        <v>1</v>
      </c>
      <c r="S647" s="107">
        <f t="shared" si="3"/>
        <v>1</v>
      </c>
      <c r="T647" s="143"/>
      <c r="U647" s="142"/>
      <c r="V647" s="142"/>
      <c r="W647" s="142"/>
      <c r="X647" s="110" t="b">
        <f t="shared" si="4"/>
        <v>0</v>
      </c>
      <c r="Y647" s="111" t="b">
        <v>0</v>
      </c>
      <c r="Z647" s="104" t="str">
        <f t="shared" si="5"/>
        <v/>
      </c>
      <c r="AA647" s="112" t="b">
        <f t="shared" si="6"/>
        <v>0</v>
      </c>
      <c r="AB647" s="142" t="b">
        <v>0</v>
      </c>
      <c r="AC647" s="140">
        <v>169.0</v>
      </c>
      <c r="AD647" s="141" t="b">
        <v>0</v>
      </c>
      <c r="AE647" s="115" t="str">
        <f t="shared" si="7"/>
        <v/>
      </c>
      <c r="AF647" s="116" t="b">
        <f t="shared" si="8"/>
        <v>0</v>
      </c>
      <c r="AG647" s="105" t="b">
        <f t="shared" si="9"/>
        <v>0</v>
      </c>
      <c r="AH647" s="140"/>
      <c r="AI647" s="140"/>
      <c r="AJ647" s="140"/>
      <c r="AK647" s="117" t="str">
        <f t="shared" si="10"/>
        <v>Negative</v>
      </c>
      <c r="AL647" s="142"/>
      <c r="AM647" s="112" t="s">
        <v>1370</v>
      </c>
      <c r="AN647" s="112" t="s">
        <v>1371</v>
      </c>
      <c r="AO647" s="112" t="str">
        <f>IFERROR(__xludf.DUMMYFUNCTION("IF($AG647, ""DELETED"",TRIM(JOIN("" "",D647:E647)))"),"")</f>
        <v/>
      </c>
      <c r="AP647" s="112" t="str">
        <f t="shared" ref="AP647:AQ647" si="672">IF($AG647, "DELETED", TRIM(CONCATENATE(F647,I647,U647)))</f>
        <v/>
      </c>
      <c r="AQ647" s="112" t="str">
        <f t="shared" si="672"/>
        <v/>
      </c>
      <c r="AR647" s="112" t="str">
        <f>IFERROR(__xludf.DUMMYFUNCTION("IF($AG647, ""DELETED"", TRIM(JOIN("" "",AP647,AQ647)))"),"")</f>
        <v/>
      </c>
      <c r="AS647" s="118"/>
      <c r="AT647" s="110" t="b">
        <f t="shared" si="12"/>
        <v>0</v>
      </c>
      <c r="AU647" s="110" t="str">
        <f t="shared" si="13"/>
        <v/>
      </c>
      <c r="AV647" s="110" t="str">
        <f t="shared" si="14"/>
        <v/>
      </c>
      <c r="AW647" s="110" t="str">
        <f t="shared" si="15"/>
        <v/>
      </c>
      <c r="AX647" s="119" t="str">
        <f t="shared" si="16"/>
        <v/>
      </c>
      <c r="AY647" s="120"/>
      <c r="AZ647" s="121"/>
      <c r="BA647" s="122" t="str">
        <f t="shared" si="17"/>
        <v/>
      </c>
      <c r="BB647" s="34"/>
      <c r="BC647" s="121"/>
      <c r="BD647" s="136"/>
      <c r="BE647" s="125" t="str">
        <f t="shared" si="18"/>
        <v/>
      </c>
      <c r="BF647" s="126" t="str">
        <f t="shared" si="19"/>
        <v>FM792__44621_0.334594907407407</v>
      </c>
      <c r="BG647" s="127" t="str">
        <f t="shared" si="20"/>
        <v/>
      </c>
      <c r="BH647" s="137" t="s">
        <v>1814</v>
      </c>
      <c r="BI647" s="128" t="str">
        <f t="shared" si="21"/>
        <v>MA456</v>
      </c>
      <c r="BJ647" s="129" t="b">
        <f t="shared" si="22"/>
        <v>0</v>
      </c>
      <c r="BK647" s="128" t="str">
        <f t="shared" si="23"/>
        <v/>
      </c>
      <c r="BL647" s="121"/>
      <c r="BM647" s="5" t="str">
        <f t="shared" si="24"/>
        <v>MISSING</v>
      </c>
      <c r="BN647" s="120" t="b">
        <f t="shared" si="25"/>
        <v>0</v>
      </c>
      <c r="BO647" s="131" t="b">
        <f t="shared" si="26"/>
        <v>1</v>
      </c>
      <c r="BP647" s="121"/>
      <c r="BQ647" s="132" t="str">
        <f>VLOOKUP(A647,RAW_APS!A$3:O826,15,FALSE)</f>
        <v/>
      </c>
      <c r="BR647" s="120" t="b">
        <f t="shared" si="27"/>
        <v>1</v>
      </c>
      <c r="BS647" s="121"/>
      <c r="BT647" s="138" t="s">
        <v>244</v>
      </c>
      <c r="BU647" s="10" t="b">
        <f t="shared" si="28"/>
        <v>1</v>
      </c>
      <c r="BV647" s="120"/>
      <c r="BW647" s="120"/>
      <c r="BX647" s="120"/>
      <c r="BY647" s="120"/>
      <c r="BZ647" s="120"/>
      <c r="CA647" s="120"/>
      <c r="CB647" s="120"/>
      <c r="CC647" s="120"/>
    </row>
    <row r="648">
      <c r="A648" s="2" t="s">
        <v>1815</v>
      </c>
      <c r="B648" s="100">
        <v>44621.0</v>
      </c>
      <c r="C648" s="101">
        <v>0.3350925925925926</v>
      </c>
      <c r="D648" s="102"/>
      <c r="E648" s="102"/>
      <c r="F648" s="102"/>
      <c r="G648" s="102"/>
      <c r="H648" s="102"/>
      <c r="I648" s="103"/>
      <c r="J648" s="103"/>
      <c r="K648" s="2" t="s">
        <v>244</v>
      </c>
      <c r="L648" s="100">
        <v>44627.0</v>
      </c>
      <c r="M648" s="101">
        <v>0.47792824074074075</v>
      </c>
      <c r="P648" s="104" t="b">
        <f>IFNA(IF(VLOOKUP($A648,'Add from APT'!$AA$2:$AC826,3,FALSE)&gt;0,TRUE,FALSE),"ER - NOT IN APT")</f>
        <v>0</v>
      </c>
      <c r="Q648" s="105" t="str">
        <f>IF(ISLOGICAL(P648),IF(P648,"ER - REPS IN APT", IFNA(VLOOKUP($A648,RAW_APT!$A$3:$M826,7,FALSE),"ER - NOT IN APT")),P648)</f>
        <v>Result</v>
      </c>
      <c r="R648" s="106" t="b">
        <f t="shared" si="2"/>
        <v>1</v>
      </c>
      <c r="S648" s="107">
        <f t="shared" si="3"/>
        <v>1</v>
      </c>
      <c r="T648" s="143"/>
      <c r="U648" s="142"/>
      <c r="V648" s="142"/>
      <c r="W648" s="142"/>
      <c r="X648" s="110" t="b">
        <f t="shared" si="4"/>
        <v>0</v>
      </c>
      <c r="Y648" s="111" t="b">
        <v>0</v>
      </c>
      <c r="Z648" s="104" t="str">
        <f t="shared" si="5"/>
        <v/>
      </c>
      <c r="AA648" s="112" t="b">
        <f t="shared" si="6"/>
        <v>0</v>
      </c>
      <c r="AB648" s="142" t="b">
        <v>0</v>
      </c>
      <c r="AC648" s="140">
        <v>168.0</v>
      </c>
      <c r="AD648" s="141" t="b">
        <v>0</v>
      </c>
      <c r="AE648" s="115" t="str">
        <f t="shared" si="7"/>
        <v/>
      </c>
      <c r="AF648" s="116" t="b">
        <f t="shared" si="8"/>
        <v>0</v>
      </c>
      <c r="AG648" s="105" t="b">
        <f t="shared" si="9"/>
        <v>0</v>
      </c>
      <c r="AH648" s="140"/>
      <c r="AI648" s="140"/>
      <c r="AJ648" s="140"/>
      <c r="AK648" s="117" t="str">
        <f t="shared" si="10"/>
        <v>Negative</v>
      </c>
      <c r="AL648" s="142"/>
      <c r="AM648" s="112" t="s">
        <v>310</v>
      </c>
      <c r="AN648" s="112" t="s">
        <v>311</v>
      </c>
      <c r="AO648" s="112" t="str">
        <f>IFERROR(__xludf.DUMMYFUNCTION("IF($AG648, ""DELETED"",TRIM(JOIN("" "",D648:E648)))"),"")</f>
        <v/>
      </c>
      <c r="AP648" s="112" t="str">
        <f t="shared" ref="AP648:AQ648" si="673">IF($AG648, "DELETED", TRIM(CONCATENATE(F648,I648,U648)))</f>
        <v/>
      </c>
      <c r="AQ648" s="112" t="str">
        <f t="shared" si="673"/>
        <v/>
      </c>
      <c r="AR648" s="112" t="str">
        <f>IFERROR(__xludf.DUMMYFUNCTION("IF($AG648, ""DELETED"", TRIM(JOIN("" "",AP648,AQ648)))"),"")</f>
        <v/>
      </c>
      <c r="AS648" s="118"/>
      <c r="AT648" s="110" t="b">
        <f t="shared" si="12"/>
        <v>0</v>
      </c>
      <c r="AU648" s="110" t="str">
        <f t="shared" si="13"/>
        <v/>
      </c>
      <c r="AV648" s="110" t="str">
        <f t="shared" si="14"/>
        <v/>
      </c>
      <c r="AW648" s="110" t="str">
        <f t="shared" si="15"/>
        <v/>
      </c>
      <c r="AX648" s="119" t="str">
        <f t="shared" si="16"/>
        <v/>
      </c>
      <c r="AY648" s="120"/>
      <c r="AZ648" s="121"/>
      <c r="BA648" s="122" t="str">
        <f t="shared" si="17"/>
        <v/>
      </c>
      <c r="BB648" s="34"/>
      <c r="BC648" s="121"/>
      <c r="BD648" s="136"/>
      <c r="BE648" s="125" t="str">
        <f t="shared" si="18"/>
        <v/>
      </c>
      <c r="BF648" s="126" t="str">
        <f t="shared" si="19"/>
        <v>FM372__44621_0.335092592592593</v>
      </c>
      <c r="BG648" s="127" t="str">
        <f t="shared" si="20"/>
        <v/>
      </c>
      <c r="BH648" s="137" t="s">
        <v>1816</v>
      </c>
      <c r="BI648" s="128" t="str">
        <f t="shared" si="21"/>
        <v>MA457</v>
      </c>
      <c r="BJ648" s="129" t="b">
        <f t="shared" si="22"/>
        <v>0</v>
      </c>
      <c r="BK648" s="128" t="str">
        <f t="shared" si="23"/>
        <v/>
      </c>
      <c r="BL648" s="121"/>
      <c r="BM648" s="5" t="str">
        <f t="shared" si="24"/>
        <v>MISSING</v>
      </c>
      <c r="BN648" s="120" t="b">
        <f t="shared" si="25"/>
        <v>0</v>
      </c>
      <c r="BO648" s="131" t="b">
        <f t="shared" si="26"/>
        <v>1</v>
      </c>
      <c r="BP648" s="121"/>
      <c r="BQ648" s="132" t="str">
        <f>VLOOKUP(A648,RAW_APS!A$3:O826,15,FALSE)</f>
        <v/>
      </c>
      <c r="BR648" s="120" t="b">
        <f t="shared" si="27"/>
        <v>1</v>
      </c>
      <c r="BS648" s="121"/>
      <c r="BT648" s="138" t="s">
        <v>244</v>
      </c>
      <c r="BU648" s="10" t="b">
        <f t="shared" si="28"/>
        <v>1</v>
      </c>
      <c r="BV648" s="120"/>
      <c r="BW648" s="120"/>
      <c r="BX648" s="120"/>
      <c r="BY648" s="120"/>
      <c r="BZ648" s="120"/>
      <c r="CA648" s="120"/>
      <c r="CB648" s="120"/>
      <c r="CC648" s="120"/>
    </row>
    <row r="649">
      <c r="A649" s="2" t="s">
        <v>1817</v>
      </c>
      <c r="B649" s="100">
        <v>44621.0</v>
      </c>
      <c r="C649" s="101">
        <v>0.3414351851851852</v>
      </c>
      <c r="D649" s="102"/>
      <c r="E649" s="102"/>
      <c r="F649" s="102"/>
      <c r="G649" s="102"/>
      <c r="H649" s="102"/>
      <c r="I649" s="103"/>
      <c r="J649" s="103"/>
      <c r="K649" s="2" t="s">
        <v>244</v>
      </c>
      <c r="L649" s="100">
        <v>44627.0</v>
      </c>
      <c r="M649" s="101">
        <v>0.47792824074074075</v>
      </c>
      <c r="P649" s="104" t="b">
        <f>IFNA(IF(VLOOKUP($A649,'Add from APT'!$AA$2:$AC826,3,FALSE)&gt;0,TRUE,FALSE),"ER - NOT IN APT")</f>
        <v>0</v>
      </c>
      <c r="Q649" s="105" t="str">
        <f>IF(ISLOGICAL(P649),IF(P649,"ER - REPS IN APT", IFNA(VLOOKUP($A649,RAW_APT!$A$3:$M826,7,FALSE),"ER - NOT IN APT")),P649)</f>
        <v>Result</v>
      </c>
      <c r="R649" s="106" t="b">
        <f t="shared" si="2"/>
        <v>1</v>
      </c>
      <c r="S649" s="107">
        <f t="shared" si="3"/>
        <v>1</v>
      </c>
      <c r="T649" s="143"/>
      <c r="U649" s="142"/>
      <c r="V649" s="142"/>
      <c r="W649" s="142"/>
      <c r="X649" s="110" t="b">
        <f t="shared" si="4"/>
        <v>0</v>
      </c>
      <c r="Y649" s="111" t="b">
        <v>0</v>
      </c>
      <c r="Z649" s="104" t="str">
        <f t="shared" si="5"/>
        <v/>
      </c>
      <c r="AA649" s="112" t="b">
        <f t="shared" si="6"/>
        <v>0</v>
      </c>
      <c r="AB649" s="142" t="b">
        <v>0</v>
      </c>
      <c r="AC649" s="140">
        <v>167.0</v>
      </c>
      <c r="AD649" s="141" t="b">
        <v>0</v>
      </c>
      <c r="AE649" s="115" t="str">
        <f t="shared" si="7"/>
        <v/>
      </c>
      <c r="AF649" s="116" t="b">
        <f t="shared" si="8"/>
        <v>0</v>
      </c>
      <c r="AG649" s="105" t="b">
        <f t="shared" si="9"/>
        <v>0</v>
      </c>
      <c r="AH649" s="140"/>
      <c r="AI649" s="140"/>
      <c r="AJ649" s="140"/>
      <c r="AK649" s="117" t="str">
        <f t="shared" si="10"/>
        <v>Negative</v>
      </c>
      <c r="AL649" s="142"/>
      <c r="AM649" s="112" t="s">
        <v>291</v>
      </c>
      <c r="AN649" s="112" t="s">
        <v>292</v>
      </c>
      <c r="AO649" s="112" t="str">
        <f>IFERROR(__xludf.DUMMYFUNCTION("IF($AG649, ""DELETED"",TRIM(JOIN("" "",D649:E649)))"),"")</f>
        <v/>
      </c>
      <c r="AP649" s="112" t="str">
        <f t="shared" ref="AP649:AQ649" si="674">IF($AG649, "DELETED", TRIM(CONCATENATE(F649,I649,U649)))</f>
        <v/>
      </c>
      <c r="AQ649" s="112" t="str">
        <f t="shared" si="674"/>
        <v/>
      </c>
      <c r="AR649" s="112" t="str">
        <f>IFERROR(__xludf.DUMMYFUNCTION("IF($AG649, ""DELETED"", TRIM(JOIN("" "",AP649,AQ649)))"),"")</f>
        <v/>
      </c>
      <c r="AS649" s="118"/>
      <c r="AT649" s="110" t="b">
        <f t="shared" si="12"/>
        <v>0</v>
      </c>
      <c r="AU649" s="110" t="str">
        <f t="shared" si="13"/>
        <v/>
      </c>
      <c r="AV649" s="110" t="str">
        <f t="shared" si="14"/>
        <v/>
      </c>
      <c r="AW649" s="110" t="str">
        <f t="shared" si="15"/>
        <v/>
      </c>
      <c r="AX649" s="119" t="str">
        <f t="shared" si="16"/>
        <v/>
      </c>
      <c r="AY649" s="120"/>
      <c r="AZ649" s="121"/>
      <c r="BA649" s="122" t="str">
        <f t="shared" si="17"/>
        <v/>
      </c>
      <c r="BB649" s="34"/>
      <c r="BC649" s="121"/>
      <c r="BD649" s="136"/>
      <c r="BE649" s="125" t="str">
        <f t="shared" si="18"/>
        <v/>
      </c>
      <c r="BF649" s="126" t="str">
        <f t="shared" si="19"/>
        <v>FM529__44621_0.341435185185185</v>
      </c>
      <c r="BG649" s="127" t="str">
        <f t="shared" si="20"/>
        <v/>
      </c>
      <c r="BH649" s="137" t="s">
        <v>1818</v>
      </c>
      <c r="BI649" s="128" t="str">
        <f t="shared" si="21"/>
        <v>MA458</v>
      </c>
      <c r="BJ649" s="129" t="b">
        <f t="shared" si="22"/>
        <v>0</v>
      </c>
      <c r="BK649" s="128" t="str">
        <f t="shared" si="23"/>
        <v/>
      </c>
      <c r="BL649" s="121"/>
      <c r="BM649" s="5" t="str">
        <f t="shared" si="24"/>
        <v>MISSING</v>
      </c>
      <c r="BN649" s="120" t="b">
        <f t="shared" si="25"/>
        <v>0</v>
      </c>
      <c r="BO649" s="131" t="b">
        <f t="shared" si="26"/>
        <v>1</v>
      </c>
      <c r="BP649" s="121"/>
      <c r="BQ649" s="132" t="str">
        <f>VLOOKUP(A649,RAW_APS!A$3:O826,15,FALSE)</f>
        <v/>
      </c>
      <c r="BR649" s="120" t="b">
        <f t="shared" si="27"/>
        <v>1</v>
      </c>
      <c r="BS649" s="121"/>
      <c r="BT649" s="138" t="s">
        <v>244</v>
      </c>
      <c r="BU649" s="10" t="b">
        <f t="shared" si="28"/>
        <v>1</v>
      </c>
      <c r="BV649" s="120"/>
      <c r="BW649" s="120"/>
      <c r="BX649" s="120"/>
      <c r="BY649" s="120"/>
      <c r="BZ649" s="120"/>
      <c r="CA649" s="120"/>
      <c r="CB649" s="120"/>
      <c r="CC649" s="120"/>
    </row>
    <row r="650">
      <c r="A650" s="2" t="s">
        <v>1819</v>
      </c>
      <c r="B650" s="100">
        <v>44621.0</v>
      </c>
      <c r="C650" s="101">
        <v>0.3439699074074074</v>
      </c>
      <c r="D650" s="102"/>
      <c r="E650" s="102"/>
      <c r="F650" s="102"/>
      <c r="G650" s="102"/>
      <c r="H650" s="102"/>
      <c r="I650" s="103"/>
      <c r="J650" s="103"/>
      <c r="K650" s="2" t="s">
        <v>244</v>
      </c>
      <c r="L650" s="100">
        <v>44627.0</v>
      </c>
      <c r="M650" s="101">
        <v>0.47792824074074075</v>
      </c>
      <c r="P650" s="104" t="b">
        <f>IFNA(IF(VLOOKUP($A650,'Add from APT'!$AA$2:$AC826,3,FALSE)&gt;0,TRUE,FALSE),"ER - NOT IN APT")</f>
        <v>0</v>
      </c>
      <c r="Q650" s="105" t="str">
        <f>IF(ISLOGICAL(P650),IF(P650,"ER - REPS IN APT", IFNA(VLOOKUP($A650,RAW_APT!$A$3:$M826,7,FALSE),"ER - NOT IN APT")),P650)</f>
        <v>Result</v>
      </c>
      <c r="R650" s="106" t="b">
        <f t="shared" si="2"/>
        <v>1</v>
      </c>
      <c r="S650" s="107">
        <f t="shared" si="3"/>
        <v>1</v>
      </c>
      <c r="T650" s="143"/>
      <c r="U650" s="142"/>
      <c r="V650" s="142"/>
      <c r="W650" s="142"/>
      <c r="X650" s="110" t="b">
        <f t="shared" si="4"/>
        <v>0</v>
      </c>
      <c r="Y650" s="111" t="b">
        <v>0</v>
      </c>
      <c r="Z650" s="104" t="str">
        <f t="shared" si="5"/>
        <v/>
      </c>
      <c r="AA650" s="112" t="b">
        <f t="shared" si="6"/>
        <v>0</v>
      </c>
      <c r="AB650" s="142" t="b">
        <v>0</v>
      </c>
      <c r="AC650" s="140">
        <v>166.0</v>
      </c>
      <c r="AD650" s="141" t="b">
        <v>0</v>
      </c>
      <c r="AE650" s="115" t="str">
        <f t="shared" si="7"/>
        <v/>
      </c>
      <c r="AF650" s="116" t="b">
        <f t="shared" si="8"/>
        <v>0</v>
      </c>
      <c r="AG650" s="105" t="b">
        <f t="shared" si="9"/>
        <v>0</v>
      </c>
      <c r="AH650" s="140"/>
      <c r="AI650" s="140"/>
      <c r="AJ650" s="140"/>
      <c r="AK650" s="117" t="str">
        <f t="shared" si="10"/>
        <v>Negative</v>
      </c>
      <c r="AL650" s="142"/>
      <c r="AM650" s="112" t="s">
        <v>731</v>
      </c>
      <c r="AN650" s="112" t="s">
        <v>732</v>
      </c>
      <c r="AO650" s="112" t="str">
        <f>IFERROR(__xludf.DUMMYFUNCTION("IF($AG650, ""DELETED"",TRIM(JOIN("" "",D650:E650)))"),"")</f>
        <v/>
      </c>
      <c r="AP650" s="112" t="str">
        <f t="shared" ref="AP650:AQ650" si="675">IF($AG650, "DELETED", TRIM(CONCATENATE(F650,I650,U650)))</f>
        <v/>
      </c>
      <c r="AQ650" s="112" t="str">
        <f t="shared" si="675"/>
        <v/>
      </c>
      <c r="AR650" s="112" t="str">
        <f>IFERROR(__xludf.DUMMYFUNCTION("IF($AG650, ""DELETED"", TRIM(JOIN("" "",AP650,AQ650)))"),"")</f>
        <v/>
      </c>
      <c r="AS650" s="118"/>
      <c r="AT650" s="110" t="b">
        <f t="shared" si="12"/>
        <v>0</v>
      </c>
      <c r="AU650" s="110" t="str">
        <f t="shared" si="13"/>
        <v/>
      </c>
      <c r="AV650" s="110" t="str">
        <f t="shared" si="14"/>
        <v/>
      </c>
      <c r="AW650" s="110" t="str">
        <f t="shared" si="15"/>
        <v/>
      </c>
      <c r="AX650" s="119" t="str">
        <f t="shared" si="16"/>
        <v/>
      </c>
      <c r="AY650" s="120"/>
      <c r="AZ650" s="121"/>
      <c r="BA650" s="122" t="str">
        <f t="shared" si="17"/>
        <v/>
      </c>
      <c r="BB650" s="34"/>
      <c r="BC650" s="121"/>
      <c r="BD650" s="136"/>
      <c r="BE650" s="125" t="str">
        <f t="shared" si="18"/>
        <v/>
      </c>
      <c r="BF650" s="126" t="str">
        <f t="shared" si="19"/>
        <v>MA1304__44621_0.343969907407407</v>
      </c>
      <c r="BG650" s="127" t="str">
        <f t="shared" si="20"/>
        <v/>
      </c>
      <c r="BH650" s="137" t="s">
        <v>1820</v>
      </c>
      <c r="BI650" s="128" t="str">
        <f t="shared" si="21"/>
        <v>MA460</v>
      </c>
      <c r="BJ650" s="129" t="b">
        <f t="shared" si="22"/>
        <v>0</v>
      </c>
      <c r="BK650" s="128" t="str">
        <f t="shared" si="23"/>
        <v/>
      </c>
      <c r="BL650" s="121"/>
      <c r="BM650" s="5" t="str">
        <f t="shared" si="24"/>
        <v>MISSING</v>
      </c>
      <c r="BN650" s="120" t="b">
        <f t="shared" si="25"/>
        <v>0</v>
      </c>
      <c r="BO650" s="131" t="b">
        <f t="shared" si="26"/>
        <v>1</v>
      </c>
      <c r="BP650" s="121"/>
      <c r="BQ650" s="132" t="str">
        <f>VLOOKUP(A650,RAW_APS!A$3:O826,15,FALSE)</f>
        <v/>
      </c>
      <c r="BR650" s="120" t="b">
        <f t="shared" si="27"/>
        <v>1</v>
      </c>
      <c r="BS650" s="121"/>
      <c r="BT650" s="138" t="s">
        <v>244</v>
      </c>
      <c r="BU650" s="10" t="b">
        <f t="shared" si="28"/>
        <v>1</v>
      </c>
      <c r="BV650" s="120"/>
      <c r="BW650" s="120"/>
      <c r="BX650" s="120"/>
      <c r="BY650" s="120"/>
      <c r="BZ650" s="120"/>
      <c r="CA650" s="120"/>
      <c r="CB650" s="120"/>
      <c r="CC650" s="120"/>
    </row>
    <row r="651">
      <c r="A651" s="2" t="s">
        <v>1821</v>
      </c>
      <c r="B651" s="100">
        <v>44621.0</v>
      </c>
      <c r="C651" s="101">
        <v>0.34618055555555555</v>
      </c>
      <c r="D651" s="102"/>
      <c r="E651" s="102"/>
      <c r="F651" s="102"/>
      <c r="G651" s="102"/>
      <c r="H651" s="102"/>
      <c r="I651" s="103"/>
      <c r="J651" s="103"/>
      <c r="K651" s="2" t="s">
        <v>244</v>
      </c>
      <c r="L651" s="100">
        <v>44627.0</v>
      </c>
      <c r="M651" s="101">
        <v>0.47792824074074075</v>
      </c>
      <c r="P651" s="104" t="b">
        <f>IFNA(IF(VLOOKUP($A651,'Add from APT'!$AA$2:$AC826,3,FALSE)&gt;0,TRUE,FALSE),"ER - NOT IN APT")</f>
        <v>0</v>
      </c>
      <c r="Q651" s="105" t="str">
        <f>IF(ISLOGICAL(P651),IF(P651,"ER - REPS IN APT", IFNA(VLOOKUP($A651,RAW_APT!$A$3:$M826,7,FALSE),"ER - NOT IN APT")),P651)</f>
        <v>Result</v>
      </c>
      <c r="R651" s="106" t="b">
        <f t="shared" si="2"/>
        <v>1</v>
      </c>
      <c r="S651" s="107">
        <f t="shared" si="3"/>
        <v>1</v>
      </c>
      <c r="T651" s="143"/>
      <c r="U651" s="142"/>
      <c r="V651" s="142"/>
      <c r="W651" s="142"/>
      <c r="X651" s="110" t="b">
        <f t="shared" si="4"/>
        <v>0</v>
      </c>
      <c r="Y651" s="111" t="b">
        <v>0</v>
      </c>
      <c r="Z651" s="104" t="str">
        <f t="shared" si="5"/>
        <v/>
      </c>
      <c r="AA651" s="112" t="b">
        <f t="shared" si="6"/>
        <v>0</v>
      </c>
      <c r="AB651" s="142" t="b">
        <v>0</v>
      </c>
      <c r="AC651" s="140">
        <v>165.0</v>
      </c>
      <c r="AD651" s="141" t="b">
        <v>0</v>
      </c>
      <c r="AE651" s="115" t="str">
        <f t="shared" si="7"/>
        <v/>
      </c>
      <c r="AF651" s="116" t="b">
        <f t="shared" si="8"/>
        <v>0</v>
      </c>
      <c r="AG651" s="105" t="b">
        <f t="shared" si="9"/>
        <v>0</v>
      </c>
      <c r="AH651" s="140"/>
      <c r="AI651" s="140"/>
      <c r="AJ651" s="140"/>
      <c r="AK651" s="117" t="str">
        <f t="shared" si="10"/>
        <v>Negative</v>
      </c>
      <c r="AL651" s="142"/>
      <c r="AM651" s="112" t="s">
        <v>362</v>
      </c>
      <c r="AN651" s="112" t="s">
        <v>363</v>
      </c>
      <c r="AO651" s="112" t="str">
        <f>IFERROR(__xludf.DUMMYFUNCTION("IF($AG651, ""DELETED"",TRIM(JOIN("" "",D651:E651)))"),"")</f>
        <v/>
      </c>
      <c r="AP651" s="112" t="str">
        <f t="shared" ref="AP651:AQ651" si="676">IF($AG651, "DELETED", TRIM(CONCATENATE(F651,I651,U651)))</f>
        <v/>
      </c>
      <c r="AQ651" s="112" t="str">
        <f t="shared" si="676"/>
        <v/>
      </c>
      <c r="AR651" s="112" t="str">
        <f>IFERROR(__xludf.DUMMYFUNCTION("IF($AG651, ""DELETED"", TRIM(JOIN("" "",AP651,AQ651)))"),"")</f>
        <v/>
      </c>
      <c r="AS651" s="118"/>
      <c r="AT651" s="110" t="b">
        <f t="shared" si="12"/>
        <v>0</v>
      </c>
      <c r="AU651" s="110" t="str">
        <f t="shared" si="13"/>
        <v/>
      </c>
      <c r="AV651" s="110" t="str">
        <f t="shared" si="14"/>
        <v/>
      </c>
      <c r="AW651" s="110" t="str">
        <f t="shared" si="15"/>
        <v/>
      </c>
      <c r="AX651" s="119" t="str">
        <f t="shared" si="16"/>
        <v/>
      </c>
      <c r="AY651" s="120"/>
      <c r="AZ651" s="121"/>
      <c r="BA651" s="122" t="str">
        <f t="shared" si="17"/>
        <v/>
      </c>
      <c r="BB651" s="34"/>
      <c r="BC651" s="121"/>
      <c r="BD651" s="136"/>
      <c r="BE651" s="125" t="str">
        <f t="shared" si="18"/>
        <v/>
      </c>
      <c r="BF651" s="126" t="str">
        <f t="shared" si="19"/>
        <v>MA1269__44621_0.346180555555556</v>
      </c>
      <c r="BG651" s="127" t="str">
        <f t="shared" si="20"/>
        <v/>
      </c>
      <c r="BH651" s="137" t="s">
        <v>1822</v>
      </c>
      <c r="BI651" s="128" t="str">
        <f t="shared" si="21"/>
        <v>MA460DEL</v>
      </c>
      <c r="BJ651" s="129" t="b">
        <f t="shared" si="22"/>
        <v>0</v>
      </c>
      <c r="BK651" s="128" t="str">
        <f t="shared" si="23"/>
        <v/>
      </c>
      <c r="BL651" s="121"/>
      <c r="BM651" s="5" t="str">
        <f t="shared" si="24"/>
        <v>MISSING</v>
      </c>
      <c r="BN651" s="120" t="b">
        <f t="shared" si="25"/>
        <v>0</v>
      </c>
      <c r="BO651" s="131" t="b">
        <f t="shared" si="26"/>
        <v>1</v>
      </c>
      <c r="BP651" s="121"/>
      <c r="BQ651" s="132" t="str">
        <f>VLOOKUP(A651,RAW_APS!A$3:O826,15,FALSE)</f>
        <v/>
      </c>
      <c r="BR651" s="120" t="b">
        <f t="shared" si="27"/>
        <v>1</v>
      </c>
      <c r="BS651" s="121"/>
      <c r="BT651" s="138" t="s">
        <v>244</v>
      </c>
      <c r="BU651" s="10" t="b">
        <f t="shared" si="28"/>
        <v>1</v>
      </c>
      <c r="BV651" s="120"/>
      <c r="BW651" s="120"/>
      <c r="BX651" s="120"/>
      <c r="BY651" s="120"/>
      <c r="BZ651" s="120"/>
      <c r="CA651" s="120"/>
      <c r="CB651" s="120"/>
      <c r="CC651" s="120"/>
    </row>
    <row r="652">
      <c r="A652" s="2" t="s">
        <v>1823</v>
      </c>
      <c r="B652" s="100">
        <v>44621.0</v>
      </c>
      <c r="C652" s="101">
        <v>0.44513888888888886</v>
      </c>
      <c r="D652" s="102"/>
      <c r="E652" s="102"/>
      <c r="F652" s="102"/>
      <c r="G652" s="102"/>
      <c r="H652" s="102"/>
      <c r="I652" s="103"/>
      <c r="J652" s="103"/>
      <c r="K652" s="2" t="s">
        <v>244</v>
      </c>
      <c r="L652" s="100">
        <v>44623.0</v>
      </c>
      <c r="M652" s="101">
        <v>0.4605787037037037</v>
      </c>
      <c r="P652" s="104" t="b">
        <f>IFNA(IF(VLOOKUP($A652,'Add from APT'!$AA$2:$AC826,3,FALSE)&gt;0,TRUE,FALSE),"ER - NOT IN APT")</f>
        <v>0</v>
      </c>
      <c r="Q652" s="105" t="str">
        <f>IF(ISLOGICAL(P652),IF(P652,"ER - REPS IN APT", IFNA(VLOOKUP($A652,RAW_APT!$A$3:$M826,7,FALSE),"ER - NOT IN APT")),P652)</f>
        <v>Result</v>
      </c>
      <c r="R652" s="106" t="b">
        <f t="shared" si="2"/>
        <v>1</v>
      </c>
      <c r="S652" s="107">
        <f t="shared" si="3"/>
        <v>1</v>
      </c>
      <c r="T652" s="143"/>
      <c r="U652" s="142"/>
      <c r="V652" s="142"/>
      <c r="W652" s="142"/>
      <c r="X652" s="110" t="b">
        <f t="shared" si="4"/>
        <v>0</v>
      </c>
      <c r="Y652" s="111" t="b">
        <v>0</v>
      </c>
      <c r="Z652" s="104" t="str">
        <f t="shared" si="5"/>
        <v/>
      </c>
      <c r="AA652" s="112" t="b">
        <f t="shared" si="6"/>
        <v>0</v>
      </c>
      <c r="AB652" s="142" t="b">
        <v>0</v>
      </c>
      <c r="AC652" s="140">
        <v>164.0</v>
      </c>
      <c r="AD652" s="141" t="b">
        <v>0</v>
      </c>
      <c r="AE652" s="115" t="str">
        <f t="shared" si="7"/>
        <v/>
      </c>
      <c r="AF652" s="116" t="b">
        <f t="shared" si="8"/>
        <v>0</v>
      </c>
      <c r="AG652" s="105" t="b">
        <f t="shared" si="9"/>
        <v>0</v>
      </c>
      <c r="AH652" s="140"/>
      <c r="AI652" s="140"/>
      <c r="AJ652" s="140"/>
      <c r="AK652" s="117" t="str">
        <f t="shared" si="10"/>
        <v>Negative</v>
      </c>
      <c r="AL652" s="142"/>
      <c r="AM652" s="112" t="s">
        <v>1374</v>
      </c>
      <c r="AN652" s="112" t="s">
        <v>1399</v>
      </c>
      <c r="AO652" s="112" t="str">
        <f>IFERROR(__xludf.DUMMYFUNCTION("IF($AG652, ""DELETED"",TRIM(JOIN("" "",D652:E652)))"),"")</f>
        <v/>
      </c>
      <c r="AP652" s="112" t="str">
        <f t="shared" ref="AP652:AQ652" si="677">IF($AG652, "DELETED", TRIM(CONCATENATE(F652,I652,U652)))</f>
        <v/>
      </c>
      <c r="AQ652" s="112" t="str">
        <f t="shared" si="677"/>
        <v/>
      </c>
      <c r="AR652" s="112" t="str">
        <f>IFERROR(__xludf.DUMMYFUNCTION("IF($AG652, ""DELETED"", TRIM(JOIN("" "",AP652,AQ652)))"),"")</f>
        <v/>
      </c>
      <c r="AS652" s="118"/>
      <c r="AT652" s="110" t="b">
        <f t="shared" si="12"/>
        <v>0</v>
      </c>
      <c r="AU652" s="110" t="str">
        <f t="shared" si="13"/>
        <v/>
      </c>
      <c r="AV652" s="110" t="str">
        <f t="shared" si="14"/>
        <v/>
      </c>
      <c r="AW652" s="110" t="str">
        <f t="shared" si="15"/>
        <v/>
      </c>
      <c r="AX652" s="119" t="str">
        <f t="shared" si="16"/>
        <v/>
      </c>
      <c r="AY652" s="120"/>
      <c r="AZ652" s="121"/>
      <c r="BA652" s="122" t="str">
        <f t="shared" si="17"/>
        <v/>
      </c>
      <c r="BB652" s="34"/>
      <c r="BC652" s="121"/>
      <c r="BD652" s="136"/>
      <c r="BE652" s="125" t="str">
        <f t="shared" si="18"/>
        <v/>
      </c>
      <c r="BF652" s="126" t="str">
        <f t="shared" si="19"/>
        <v>FM799__44621_0.445138888888889</v>
      </c>
      <c r="BG652" s="127" t="str">
        <f t="shared" si="20"/>
        <v/>
      </c>
      <c r="BH652" s="137" t="s">
        <v>1824</v>
      </c>
      <c r="BI652" s="128" t="str">
        <f t="shared" si="21"/>
        <v>MA461</v>
      </c>
      <c r="BJ652" s="129" t="b">
        <f t="shared" si="22"/>
        <v>0</v>
      </c>
      <c r="BK652" s="128" t="str">
        <f t="shared" si="23"/>
        <v/>
      </c>
      <c r="BL652" s="121"/>
      <c r="BM652" s="5" t="str">
        <f t="shared" si="24"/>
        <v>MISSING</v>
      </c>
      <c r="BN652" s="120" t="b">
        <f t="shared" si="25"/>
        <v>0</v>
      </c>
      <c r="BO652" s="131" t="b">
        <f t="shared" si="26"/>
        <v>1</v>
      </c>
      <c r="BP652" s="121"/>
      <c r="BQ652" s="132" t="str">
        <f>VLOOKUP(A652,RAW_APS!A$3:O826,15,FALSE)</f>
        <v/>
      </c>
      <c r="BR652" s="120" t="b">
        <f t="shared" si="27"/>
        <v>1</v>
      </c>
      <c r="BS652" s="121"/>
      <c r="BT652" s="138" t="s">
        <v>244</v>
      </c>
      <c r="BU652" s="10" t="b">
        <f t="shared" si="28"/>
        <v>1</v>
      </c>
      <c r="BV652" s="120"/>
      <c r="BW652" s="120"/>
      <c r="BX652" s="120"/>
      <c r="BY652" s="120"/>
      <c r="BZ652" s="120"/>
      <c r="CA652" s="120"/>
      <c r="CB652" s="120"/>
      <c r="CC652" s="120"/>
    </row>
    <row r="653">
      <c r="A653" s="2" t="s">
        <v>1825</v>
      </c>
      <c r="B653" s="100">
        <v>44621.0</v>
      </c>
      <c r="C653" s="101">
        <v>0.4674652777777778</v>
      </c>
      <c r="D653" s="102"/>
      <c r="E653" s="102"/>
      <c r="F653" s="102"/>
      <c r="G653" s="102"/>
      <c r="H653" s="102"/>
      <c r="I653" s="103"/>
      <c r="J653" s="103"/>
      <c r="K653" s="2" t="s">
        <v>244</v>
      </c>
      <c r="L653" s="100">
        <v>44627.0</v>
      </c>
      <c r="M653" s="101">
        <v>0.47792824074074075</v>
      </c>
      <c r="P653" s="104" t="b">
        <f>IFNA(IF(VLOOKUP($A653,'Add from APT'!$AA$2:$AC826,3,FALSE)&gt;0,TRUE,FALSE),"ER - NOT IN APT")</f>
        <v>0</v>
      </c>
      <c r="Q653" s="105" t="str">
        <f>IF(ISLOGICAL(P653),IF(P653,"ER - REPS IN APT", IFNA(VLOOKUP($A653,RAW_APT!$A$3:$M826,7,FALSE),"ER - NOT IN APT")),P653)</f>
        <v>Result</v>
      </c>
      <c r="R653" s="106" t="b">
        <f t="shared" si="2"/>
        <v>1</v>
      </c>
      <c r="S653" s="107">
        <f t="shared" si="3"/>
        <v>1</v>
      </c>
      <c r="T653" s="143"/>
      <c r="U653" s="142"/>
      <c r="V653" s="142"/>
      <c r="W653" s="142"/>
      <c r="X653" s="110" t="b">
        <f t="shared" si="4"/>
        <v>0</v>
      </c>
      <c r="Y653" s="111" t="b">
        <v>0</v>
      </c>
      <c r="Z653" s="104" t="str">
        <f t="shared" si="5"/>
        <v/>
      </c>
      <c r="AA653" s="112" t="b">
        <f t="shared" si="6"/>
        <v>0</v>
      </c>
      <c r="AB653" s="142" t="b">
        <v>0</v>
      </c>
      <c r="AC653" s="140">
        <v>163.0</v>
      </c>
      <c r="AD653" s="141" t="b">
        <v>0</v>
      </c>
      <c r="AE653" s="115" t="str">
        <f t="shared" si="7"/>
        <v/>
      </c>
      <c r="AF653" s="116" t="b">
        <f t="shared" si="8"/>
        <v>0</v>
      </c>
      <c r="AG653" s="105" t="b">
        <f t="shared" si="9"/>
        <v>0</v>
      </c>
      <c r="AH653" s="140"/>
      <c r="AI653" s="140"/>
      <c r="AJ653" s="140"/>
      <c r="AK653" s="117" t="str">
        <f t="shared" si="10"/>
        <v>Negative</v>
      </c>
      <c r="AL653" s="142"/>
      <c r="AM653" s="112" t="s">
        <v>273</v>
      </c>
      <c r="AN653" s="112" t="s">
        <v>357</v>
      </c>
      <c r="AO653" s="112" t="str">
        <f>IFERROR(__xludf.DUMMYFUNCTION("IF($AG653, ""DELETED"",TRIM(JOIN("" "",D653:E653)))"),"")</f>
        <v/>
      </c>
      <c r="AP653" s="112" t="str">
        <f t="shared" ref="AP653:AQ653" si="678">IF($AG653, "DELETED", TRIM(CONCATENATE(F653,I653,U653)))</f>
        <v/>
      </c>
      <c r="AQ653" s="112" t="str">
        <f t="shared" si="678"/>
        <v/>
      </c>
      <c r="AR653" s="112" t="str">
        <f>IFERROR(__xludf.DUMMYFUNCTION("IF($AG653, ""DELETED"", TRIM(JOIN("" "",AP653,AQ653)))"),"")</f>
        <v/>
      </c>
      <c r="AS653" s="118"/>
      <c r="AT653" s="110" t="b">
        <f t="shared" si="12"/>
        <v>0</v>
      </c>
      <c r="AU653" s="110" t="str">
        <f t="shared" si="13"/>
        <v/>
      </c>
      <c r="AV653" s="110" t="str">
        <f t="shared" si="14"/>
        <v/>
      </c>
      <c r="AW653" s="110" t="str">
        <f t="shared" si="15"/>
        <v/>
      </c>
      <c r="AX653" s="119" t="str">
        <f t="shared" si="16"/>
        <v/>
      </c>
      <c r="AY653" s="120"/>
      <c r="AZ653" s="121"/>
      <c r="BA653" s="122" t="str">
        <f t="shared" si="17"/>
        <v/>
      </c>
      <c r="BB653" s="34"/>
      <c r="BC653" s="121"/>
      <c r="BD653" s="136"/>
      <c r="BE653" s="125" t="str">
        <f t="shared" si="18"/>
        <v/>
      </c>
      <c r="BF653" s="126" t="str">
        <f t="shared" si="19"/>
        <v>FM2090__44621_0.467465277777778</v>
      </c>
      <c r="BG653" s="127" t="str">
        <f t="shared" si="20"/>
        <v/>
      </c>
      <c r="BH653" s="137" t="s">
        <v>1826</v>
      </c>
      <c r="BI653" s="128" t="str">
        <f t="shared" si="21"/>
        <v>MA462</v>
      </c>
      <c r="BJ653" s="129" t="b">
        <f t="shared" si="22"/>
        <v>0</v>
      </c>
      <c r="BK653" s="128" t="str">
        <f t="shared" si="23"/>
        <v/>
      </c>
      <c r="BL653" s="121"/>
      <c r="BM653" s="5" t="str">
        <f t="shared" si="24"/>
        <v>MISSING</v>
      </c>
      <c r="BN653" s="120" t="b">
        <f t="shared" si="25"/>
        <v>0</v>
      </c>
      <c r="BO653" s="131" t="b">
        <f t="shared" si="26"/>
        <v>1</v>
      </c>
      <c r="BP653" s="121"/>
      <c r="BQ653" s="132" t="str">
        <f>VLOOKUP(A653,RAW_APS!A$3:O826,15,FALSE)</f>
        <v/>
      </c>
      <c r="BR653" s="120" t="b">
        <f t="shared" si="27"/>
        <v>1</v>
      </c>
      <c r="BS653" s="121"/>
      <c r="BT653" s="138" t="s">
        <v>244</v>
      </c>
      <c r="BU653" s="10" t="b">
        <f t="shared" si="28"/>
        <v>1</v>
      </c>
      <c r="BV653" s="120"/>
      <c r="BW653" s="120"/>
      <c r="BX653" s="120"/>
      <c r="BY653" s="120"/>
      <c r="BZ653" s="120"/>
      <c r="CA653" s="120"/>
      <c r="CB653" s="120"/>
      <c r="CC653" s="120"/>
    </row>
    <row r="654">
      <c r="A654" s="2" t="s">
        <v>1827</v>
      </c>
      <c r="B654" s="100">
        <v>44621.0</v>
      </c>
      <c r="C654" s="101">
        <v>0.46792824074074074</v>
      </c>
      <c r="D654" s="102"/>
      <c r="E654" s="102"/>
      <c r="F654" s="139"/>
      <c r="G654" s="139"/>
      <c r="H654" s="139"/>
      <c r="I654" s="135"/>
      <c r="J654" s="103"/>
      <c r="K654" s="2" t="s">
        <v>244</v>
      </c>
      <c r="L654" s="100">
        <v>44627.0</v>
      </c>
      <c r="M654" s="101">
        <v>0.4779398148148148</v>
      </c>
      <c r="N654" s="2" t="s">
        <v>247</v>
      </c>
      <c r="P654" s="104" t="b">
        <f>IFNA(IF(VLOOKUP($A654,'Add from APT'!$AA$2:$AC826,3,FALSE)&gt;0,TRUE,FALSE),"ER - NOT IN APT")</f>
        <v>0</v>
      </c>
      <c r="Q654" s="105" t="str">
        <f>IF(ISLOGICAL(P654),IF(P654,"ER - REPS IN APT", IFNA(VLOOKUP($A654,RAW_APT!$A$3:$M826,7,FALSE),"ER - NOT IN APT")),P654)</f>
        <v>Result</v>
      </c>
      <c r="R654" s="106" t="b">
        <f t="shared" si="2"/>
        <v>1</v>
      </c>
      <c r="S654" s="107">
        <f t="shared" si="3"/>
        <v>1</v>
      </c>
      <c r="T654" s="140">
        <v>0.0</v>
      </c>
      <c r="U654" s="141"/>
      <c r="V654" s="141"/>
      <c r="W654" s="142"/>
      <c r="X654" s="110" t="b">
        <f t="shared" si="4"/>
        <v>0</v>
      </c>
      <c r="Y654" s="111" t="b">
        <v>0</v>
      </c>
      <c r="Z654" s="104" t="str">
        <f t="shared" si="5"/>
        <v/>
      </c>
      <c r="AA654" s="112" t="b">
        <f t="shared" si="6"/>
        <v>0</v>
      </c>
      <c r="AB654" s="142" t="b">
        <v>0</v>
      </c>
      <c r="AC654" s="140">
        <v>801.0</v>
      </c>
      <c r="AD654" s="141" t="b">
        <v>1</v>
      </c>
      <c r="AE654" s="115" t="str">
        <f t="shared" si="7"/>
        <v/>
      </c>
      <c r="AF654" s="116" t="b">
        <f t="shared" si="8"/>
        <v>0</v>
      </c>
      <c r="AG654" s="105" t="b">
        <f t="shared" si="9"/>
        <v>0</v>
      </c>
      <c r="AH654" s="140"/>
      <c r="AI654" s="140"/>
      <c r="AJ654" s="140"/>
      <c r="AK654" s="117" t="str">
        <f t="shared" si="10"/>
        <v>Negative</v>
      </c>
      <c r="AL654" s="142"/>
      <c r="AM654" s="112" t="s">
        <v>273</v>
      </c>
      <c r="AN654" s="112" t="s">
        <v>1828</v>
      </c>
      <c r="AO654" s="112" t="str">
        <f>IFERROR(__xludf.DUMMYFUNCTION("IF($AG654, ""DELETED"",TRIM(JOIN("" "",D654:E654)))"),"")</f>
        <v/>
      </c>
      <c r="AP654" s="112" t="str">
        <f t="shared" ref="AP654:AQ654" si="679">IF($AG654, "DELETED", TRIM(CONCATENATE(F654,I654,U654)))</f>
        <v/>
      </c>
      <c r="AQ654" s="112" t="str">
        <f t="shared" si="679"/>
        <v/>
      </c>
      <c r="AR654" s="112" t="str">
        <f>IFERROR(__xludf.DUMMYFUNCTION("IF($AG654, ""DELETED"", TRIM(JOIN("" "",AP654,AQ654)))"),"")</f>
        <v/>
      </c>
      <c r="AS654" s="118"/>
      <c r="AT654" s="110" t="b">
        <f t="shared" si="12"/>
        <v>0</v>
      </c>
      <c r="AU654" s="110" t="str">
        <f t="shared" si="13"/>
        <v/>
      </c>
      <c r="AV654" s="110" t="str">
        <f t="shared" si="14"/>
        <v/>
      </c>
      <c r="AW654" s="110" t="str">
        <f t="shared" si="15"/>
        <v/>
      </c>
      <c r="AX654" s="119" t="str">
        <f t="shared" si="16"/>
        <v/>
      </c>
      <c r="AY654" s="120"/>
      <c r="AZ654" s="121"/>
      <c r="BA654" s="122" t="str">
        <f t="shared" si="17"/>
        <v/>
      </c>
      <c r="BB654" s="34"/>
      <c r="BC654" s="121"/>
      <c r="BD654" s="136"/>
      <c r="BE654" s="125" t="str">
        <f t="shared" si="18"/>
        <v/>
      </c>
      <c r="BF654" s="126" t="str">
        <f t="shared" si="19"/>
        <v>MA1251__44621_0.467928240740741</v>
      </c>
      <c r="BG654" s="127" t="str">
        <f t="shared" si="20"/>
        <v/>
      </c>
      <c r="BH654" s="137" t="s">
        <v>1829</v>
      </c>
      <c r="BI654" s="128" t="str">
        <f t="shared" si="21"/>
        <v>MA463</v>
      </c>
      <c r="BJ654" s="129" t="b">
        <f t="shared" si="22"/>
        <v>0</v>
      </c>
      <c r="BK654" s="128" t="str">
        <f t="shared" si="23"/>
        <v/>
      </c>
      <c r="BL654" s="121"/>
      <c r="BM654" s="5" t="str">
        <f t="shared" si="24"/>
        <v>MISSING</v>
      </c>
      <c r="BN654" s="120" t="b">
        <f t="shared" si="25"/>
        <v>0</v>
      </c>
      <c r="BO654" s="131" t="b">
        <f t="shared" si="26"/>
        <v>1</v>
      </c>
      <c r="BP654" s="121"/>
      <c r="BQ654" s="132" t="str">
        <f>VLOOKUP(A654,RAW_APS!A$3:O826,15,FALSE)</f>
        <v>#N/A</v>
      </c>
      <c r="BR654" s="120" t="str">
        <f t="shared" si="27"/>
        <v>***TUBE ID NOT FOUND</v>
      </c>
      <c r="BS654" s="121"/>
      <c r="BT654" s="138" t="s">
        <v>244</v>
      </c>
      <c r="BU654" s="10" t="b">
        <f t="shared" si="28"/>
        <v>1</v>
      </c>
      <c r="BV654" s="120"/>
      <c r="BW654" s="120"/>
      <c r="BX654" s="120"/>
      <c r="BY654" s="120"/>
      <c r="BZ654" s="120"/>
      <c r="CA654" s="120"/>
      <c r="CB654" s="120"/>
      <c r="CC654" s="120"/>
    </row>
    <row r="655">
      <c r="A655" s="2" t="s">
        <v>1830</v>
      </c>
      <c r="B655" s="100">
        <v>44621.0</v>
      </c>
      <c r="C655" s="101">
        <v>0.46814814814814815</v>
      </c>
      <c r="D655" s="102"/>
      <c r="E655" s="102"/>
      <c r="F655" s="139"/>
      <c r="G655" s="139"/>
      <c r="H655" s="139"/>
      <c r="I655" s="135"/>
      <c r="J655" s="103"/>
      <c r="K655" s="2" t="s">
        <v>244</v>
      </c>
      <c r="L655" s="100">
        <v>44627.0</v>
      </c>
      <c r="M655" s="101">
        <v>0.4779398148148148</v>
      </c>
      <c r="N655" s="2" t="s">
        <v>247</v>
      </c>
      <c r="P655" s="104" t="b">
        <f>IFNA(IF(VLOOKUP($A655,'Add from APT'!$AA$2:$AC826,3,FALSE)&gt;0,TRUE,FALSE),"ER - NOT IN APT")</f>
        <v>0</v>
      </c>
      <c r="Q655" s="105" t="str">
        <f>IF(ISLOGICAL(P655),IF(P655,"ER - REPS IN APT", IFNA(VLOOKUP($A655,RAW_APT!$A$3:$M826,7,FALSE),"ER - NOT IN APT")),P655)</f>
        <v>Result</v>
      </c>
      <c r="R655" s="106" t="b">
        <f t="shared" si="2"/>
        <v>1</v>
      </c>
      <c r="S655" s="107">
        <f t="shared" si="3"/>
        <v>1</v>
      </c>
      <c r="T655" s="140">
        <v>0.0</v>
      </c>
      <c r="U655" s="141"/>
      <c r="V655" s="141"/>
      <c r="W655" s="142"/>
      <c r="X655" s="110" t="b">
        <f t="shared" si="4"/>
        <v>0</v>
      </c>
      <c r="Y655" s="111" t="b">
        <v>0</v>
      </c>
      <c r="Z655" s="104" t="str">
        <f t="shared" si="5"/>
        <v/>
      </c>
      <c r="AA655" s="112" t="b">
        <f t="shared" si="6"/>
        <v>0</v>
      </c>
      <c r="AB655" s="142" t="b">
        <v>0</v>
      </c>
      <c r="AC655" s="140">
        <v>804.0</v>
      </c>
      <c r="AD655" s="141" t="b">
        <v>1</v>
      </c>
      <c r="AE655" s="115" t="str">
        <f t="shared" si="7"/>
        <v/>
      </c>
      <c r="AF655" s="116" t="b">
        <f t="shared" si="8"/>
        <v>0</v>
      </c>
      <c r="AG655" s="105" t="b">
        <f t="shared" si="9"/>
        <v>0</v>
      </c>
      <c r="AH655" s="140"/>
      <c r="AI655" s="140"/>
      <c r="AJ655" s="140"/>
      <c r="AK655" s="117" t="str">
        <f t="shared" si="10"/>
        <v>Negative</v>
      </c>
      <c r="AL655" s="142"/>
      <c r="AM655" s="112" t="s">
        <v>273</v>
      </c>
      <c r="AN655" s="112" t="s">
        <v>1831</v>
      </c>
      <c r="AO655" s="112" t="str">
        <f>IFERROR(__xludf.DUMMYFUNCTION("IF($AG655, ""DELETED"",TRIM(JOIN("" "",D655:E655)))"),"")</f>
        <v/>
      </c>
      <c r="AP655" s="112" t="str">
        <f t="shared" ref="AP655:AQ655" si="680">IF($AG655, "DELETED", TRIM(CONCATENATE(F655,I655,U655)))</f>
        <v/>
      </c>
      <c r="AQ655" s="112" t="str">
        <f t="shared" si="680"/>
        <v/>
      </c>
      <c r="AR655" s="112" t="str">
        <f>IFERROR(__xludf.DUMMYFUNCTION("IF($AG655, ""DELETED"", TRIM(JOIN("" "",AP655,AQ655)))"),"")</f>
        <v/>
      </c>
      <c r="AS655" s="118"/>
      <c r="AT655" s="110" t="b">
        <f t="shared" si="12"/>
        <v>0</v>
      </c>
      <c r="AU655" s="110" t="str">
        <f t="shared" si="13"/>
        <v/>
      </c>
      <c r="AV655" s="110" t="str">
        <f t="shared" si="14"/>
        <v/>
      </c>
      <c r="AW655" s="110" t="str">
        <f t="shared" si="15"/>
        <v/>
      </c>
      <c r="AX655" s="119" t="str">
        <f t="shared" si="16"/>
        <v/>
      </c>
      <c r="AY655" s="120"/>
      <c r="AZ655" s="121"/>
      <c r="BA655" s="122" t="str">
        <f t="shared" si="17"/>
        <v/>
      </c>
      <c r="BB655" s="34"/>
      <c r="BC655" s="121"/>
      <c r="BD655" s="136"/>
      <c r="BE655" s="125" t="str">
        <f t="shared" si="18"/>
        <v/>
      </c>
      <c r="BF655" s="126" t="str">
        <f t="shared" si="19"/>
        <v>MA1293__44621_0.468148148148148</v>
      </c>
      <c r="BG655" s="127" t="str">
        <f t="shared" si="20"/>
        <v/>
      </c>
      <c r="BH655" s="137" t="s">
        <v>1832</v>
      </c>
      <c r="BI655" s="128" t="str">
        <f t="shared" si="21"/>
        <v>MA463A</v>
      </c>
      <c r="BJ655" s="129" t="b">
        <f t="shared" si="22"/>
        <v>0</v>
      </c>
      <c r="BK655" s="128" t="str">
        <f t="shared" si="23"/>
        <v/>
      </c>
      <c r="BL655" s="121"/>
      <c r="BM655" s="5" t="str">
        <f t="shared" si="24"/>
        <v>MISSING</v>
      </c>
      <c r="BN655" s="120" t="b">
        <f t="shared" si="25"/>
        <v>0</v>
      </c>
      <c r="BO655" s="131" t="b">
        <f t="shared" si="26"/>
        <v>1</v>
      </c>
      <c r="BP655" s="121"/>
      <c r="BQ655" s="132" t="str">
        <f>VLOOKUP(A655,RAW_APS!A$3:O826,15,FALSE)</f>
        <v>#N/A</v>
      </c>
      <c r="BR655" s="120" t="str">
        <f t="shared" si="27"/>
        <v>***TUBE ID NOT FOUND</v>
      </c>
      <c r="BS655" s="121"/>
      <c r="BT655" s="138" t="s">
        <v>244</v>
      </c>
      <c r="BU655" s="10" t="b">
        <f t="shared" si="28"/>
        <v>1</v>
      </c>
      <c r="BV655" s="120"/>
      <c r="BW655" s="120"/>
      <c r="BX655" s="120"/>
      <c r="BY655" s="120"/>
      <c r="BZ655" s="120"/>
      <c r="CA655" s="120"/>
      <c r="CB655" s="120"/>
      <c r="CC655" s="120"/>
    </row>
    <row r="656">
      <c r="A656" s="2" t="s">
        <v>1833</v>
      </c>
      <c r="B656" s="100">
        <v>44621.0</v>
      </c>
      <c r="C656" s="101">
        <v>0.5343287037037037</v>
      </c>
      <c r="D656" s="102"/>
      <c r="E656" s="102"/>
      <c r="F656" s="102"/>
      <c r="G656" s="102"/>
      <c r="H656" s="102"/>
      <c r="I656" s="103"/>
      <c r="J656" s="103"/>
      <c r="K656" s="2" t="s">
        <v>254</v>
      </c>
      <c r="L656" s="100">
        <v>44621.0</v>
      </c>
      <c r="M656" s="101">
        <v>0.5345023148148148</v>
      </c>
      <c r="N656" s="11"/>
      <c r="O656" s="11"/>
      <c r="P656" s="104" t="b">
        <f>IFNA(IF(VLOOKUP($A656,'Add from APT'!$AA$2:$AC826,3,FALSE)&gt;0,TRUE,FALSE),"ER - NOT IN APT")</f>
        <v>0</v>
      </c>
      <c r="Q656" s="105" t="str">
        <f>IF(ISLOGICAL(P656),IF(P656,"ER - REPS IN APT", IFNA(VLOOKUP($A656,RAW_APT!$A$3:$M826,7,FALSE),"ER - NOT IN APT")),P656)</f>
        <v>Received</v>
      </c>
      <c r="R656" s="106" t="b">
        <f t="shared" si="2"/>
        <v>1</v>
      </c>
      <c r="S656" s="107">
        <f t="shared" si="3"/>
        <v>1</v>
      </c>
      <c r="T656" s="108"/>
      <c r="U656" s="109"/>
      <c r="V656" s="109"/>
      <c r="W656" s="109"/>
      <c r="X656" s="110" t="b">
        <f t="shared" si="4"/>
        <v>0</v>
      </c>
      <c r="Y656" s="111" t="b">
        <v>0</v>
      </c>
      <c r="Z656" s="104" t="str">
        <f t="shared" si="5"/>
        <v/>
      </c>
      <c r="AA656" s="112" t="b">
        <f t="shared" si="6"/>
        <v>0</v>
      </c>
      <c r="AB656" s="109" t="b">
        <v>0</v>
      </c>
      <c r="AC656" s="113">
        <v>162.0</v>
      </c>
      <c r="AD656" s="114" t="b">
        <v>0</v>
      </c>
      <c r="AE656" s="115">
        <f t="shared" si="7"/>
        <v>0.25</v>
      </c>
      <c r="AF656" s="116" t="b">
        <f t="shared" si="8"/>
        <v>0</v>
      </c>
      <c r="AG656" s="105" t="b">
        <f t="shared" si="9"/>
        <v>1</v>
      </c>
      <c r="AH656" s="113">
        <v>2.0</v>
      </c>
      <c r="AI656" s="113"/>
      <c r="AJ656" s="113"/>
      <c r="AK656" s="117" t="str">
        <f t="shared" si="10"/>
        <v>DELETED</v>
      </c>
      <c r="AL656" s="109"/>
      <c r="AM656" s="112" t="s">
        <v>245</v>
      </c>
      <c r="AN656" s="112" t="s">
        <v>245</v>
      </c>
      <c r="AO656" s="112" t="str">
        <f>IFERROR(__xludf.DUMMYFUNCTION("IF($AG656, ""DELETED"",TRIM(JOIN("" "",D656:E656)))"),"DELETED")</f>
        <v>DELETED</v>
      </c>
      <c r="AP656" s="112" t="str">
        <f t="shared" ref="AP656:AQ656" si="681">IF($AG656, "DELETED", TRIM(CONCATENATE(F656,I656,U656)))</f>
        <v>DELETED</v>
      </c>
      <c r="AQ656" s="112" t="str">
        <f t="shared" si="681"/>
        <v>DELETED</v>
      </c>
      <c r="AR656" s="112" t="str">
        <f>IFERROR(__xludf.DUMMYFUNCTION("IF($AG656, ""DELETED"", TRIM(JOIN("" "",AP656,AQ656)))"),"DELETED")</f>
        <v>DELETED</v>
      </c>
      <c r="AS656" s="118"/>
      <c r="AT656" s="110" t="b">
        <f t="shared" si="12"/>
        <v>1</v>
      </c>
      <c r="AU656" s="110" t="str">
        <f t="shared" si="13"/>
        <v/>
      </c>
      <c r="AV656" s="110" t="str">
        <f t="shared" si="14"/>
        <v/>
      </c>
      <c r="AW656" s="110" t="str">
        <f t="shared" si="15"/>
        <v/>
      </c>
      <c r="AX656" s="119" t="str">
        <f t="shared" si="16"/>
        <v/>
      </c>
      <c r="AY656" s="120"/>
      <c r="AZ656" s="121"/>
      <c r="BA656" s="122" t="b">
        <f t="shared" si="17"/>
        <v>1</v>
      </c>
      <c r="BB656" s="34"/>
      <c r="BC656" s="121"/>
      <c r="BD656" s="136"/>
      <c r="BE656" s="125" t="str">
        <f t="shared" si="18"/>
        <v/>
      </c>
      <c r="BF656" s="126" t="str">
        <f t="shared" si="19"/>
        <v>HERO11__44621_0.534328703703704</v>
      </c>
      <c r="BG656" s="127" t="str">
        <f t="shared" si="20"/>
        <v/>
      </c>
      <c r="BH656" s="137" t="s">
        <v>1834</v>
      </c>
      <c r="BI656" s="128" t="str">
        <f t="shared" si="21"/>
        <v>MA464</v>
      </c>
      <c r="BJ656" s="129" t="b">
        <f t="shared" si="22"/>
        <v>0</v>
      </c>
      <c r="BK656" s="128" t="str">
        <f t="shared" si="23"/>
        <v/>
      </c>
      <c r="BL656" s="121"/>
      <c r="BM656" s="5" t="str">
        <f t="shared" si="24"/>
        <v/>
      </c>
      <c r="BN656" s="120" t="b">
        <f t="shared" si="25"/>
        <v>0</v>
      </c>
      <c r="BO656" s="131" t="b">
        <f t="shared" si="26"/>
        <v>0</v>
      </c>
      <c r="BP656" s="121"/>
      <c r="BQ656" s="132" t="str">
        <f>VLOOKUP(A656,RAW_APS!A$3:O826,15,FALSE)</f>
        <v/>
      </c>
      <c r="BR656" s="120" t="b">
        <f t="shared" si="27"/>
        <v>1</v>
      </c>
      <c r="BS656" s="121"/>
      <c r="BT656" s="138" t="s">
        <v>245</v>
      </c>
      <c r="BU656" s="10" t="b">
        <f t="shared" si="28"/>
        <v>1</v>
      </c>
      <c r="BV656" s="120"/>
      <c r="BW656" s="120"/>
      <c r="BX656" s="120"/>
      <c r="BY656" s="120"/>
      <c r="BZ656" s="120"/>
      <c r="CA656" s="120"/>
      <c r="CB656" s="120"/>
      <c r="CC656" s="120"/>
    </row>
    <row r="657">
      <c r="A657" s="2" t="s">
        <v>1835</v>
      </c>
      <c r="B657" s="100">
        <v>44623.0</v>
      </c>
      <c r="C657" s="101">
        <v>0.29432870370370373</v>
      </c>
      <c r="D657" s="102"/>
      <c r="E657" s="102"/>
      <c r="F657" s="102"/>
      <c r="G657" s="102"/>
      <c r="H657" s="102"/>
      <c r="I657" s="103"/>
      <c r="J657" s="103"/>
      <c r="K657" s="2" t="s">
        <v>244</v>
      </c>
      <c r="L657" s="100">
        <v>44623.0</v>
      </c>
      <c r="M657" s="101">
        <v>0.4605902777777778</v>
      </c>
      <c r="P657" s="104" t="b">
        <f>IFNA(IF(VLOOKUP($A657,'Add from APT'!$AA$2:$AC826,3,FALSE)&gt;0,TRUE,FALSE),"ER - NOT IN APT")</f>
        <v>0</v>
      </c>
      <c r="Q657" s="105" t="str">
        <f>IF(ISLOGICAL(P657),IF(P657,"ER - REPS IN APT", IFNA(VLOOKUP($A657,RAW_APT!$A$3:$M826,7,FALSE),"ER - NOT IN APT")),P657)</f>
        <v>Result</v>
      </c>
      <c r="R657" s="106" t="b">
        <f t="shared" si="2"/>
        <v>1</v>
      </c>
      <c r="S657" s="107">
        <f t="shared" si="3"/>
        <v>1</v>
      </c>
      <c r="T657" s="143"/>
      <c r="U657" s="142"/>
      <c r="V657" s="142"/>
      <c r="W657" s="142"/>
      <c r="X657" s="110" t="b">
        <f t="shared" si="4"/>
        <v>0</v>
      </c>
      <c r="Y657" s="111" t="b">
        <v>0</v>
      </c>
      <c r="Z657" s="104" t="str">
        <f t="shared" si="5"/>
        <v/>
      </c>
      <c r="AA657" s="112" t="b">
        <f t="shared" si="6"/>
        <v>0</v>
      </c>
      <c r="AB657" s="142" t="b">
        <v>0</v>
      </c>
      <c r="AC657" s="140">
        <v>161.0</v>
      </c>
      <c r="AD657" s="141" t="b">
        <v>0</v>
      </c>
      <c r="AE657" s="115">
        <f t="shared" si="7"/>
        <v>239.4166667</v>
      </c>
      <c r="AF657" s="116" t="b">
        <f t="shared" si="8"/>
        <v>0</v>
      </c>
      <c r="AG657" s="105" t="b">
        <f t="shared" si="9"/>
        <v>0</v>
      </c>
      <c r="AH657" s="140"/>
      <c r="AI657" s="140"/>
      <c r="AJ657" s="140"/>
      <c r="AK657" s="117" t="str">
        <f t="shared" si="10"/>
        <v>Negative</v>
      </c>
      <c r="AL657" s="142"/>
      <c r="AM657" s="112" t="s">
        <v>573</v>
      </c>
      <c r="AN657" s="112" t="s">
        <v>574</v>
      </c>
      <c r="AO657" s="112" t="str">
        <f>IFERROR(__xludf.DUMMYFUNCTION("IF($AG657, ""DELETED"",TRIM(JOIN("" "",D657:E657)))"),"")</f>
        <v/>
      </c>
      <c r="AP657" s="112" t="str">
        <f t="shared" ref="AP657:AQ657" si="682">IF($AG657, "DELETED", TRIM(CONCATENATE(F657,I657,U657)))</f>
        <v/>
      </c>
      <c r="AQ657" s="112" t="str">
        <f t="shared" si="682"/>
        <v/>
      </c>
      <c r="AR657" s="112" t="str">
        <f>IFERROR(__xludf.DUMMYFUNCTION("IF($AG657, ""DELETED"", TRIM(JOIN("" "",AP657,AQ657)))"),"")</f>
        <v/>
      </c>
      <c r="AS657" s="118"/>
      <c r="AT657" s="110" t="b">
        <f t="shared" si="12"/>
        <v>0</v>
      </c>
      <c r="AU657" s="110" t="str">
        <f t="shared" si="13"/>
        <v/>
      </c>
      <c r="AV657" s="110" t="str">
        <f t="shared" si="14"/>
        <v/>
      </c>
      <c r="AW657" s="110" t="str">
        <f t="shared" si="15"/>
        <v/>
      </c>
      <c r="AX657" s="119" t="str">
        <f t="shared" si="16"/>
        <v/>
      </c>
      <c r="AY657" s="120"/>
      <c r="AZ657" s="121"/>
      <c r="BA657" s="122" t="str">
        <f t="shared" si="17"/>
        <v/>
      </c>
      <c r="BB657" s="34"/>
      <c r="BC657" s="121"/>
      <c r="BD657" s="136"/>
      <c r="BE657" s="125" t="str">
        <f t="shared" si="18"/>
        <v/>
      </c>
      <c r="BF657" s="126" t="str">
        <f t="shared" si="19"/>
        <v>FM2083__44623_0.294328703703704</v>
      </c>
      <c r="BG657" s="127" t="str">
        <f t="shared" si="20"/>
        <v/>
      </c>
      <c r="BH657" s="137" t="s">
        <v>1836</v>
      </c>
      <c r="BI657" s="128" t="str">
        <f t="shared" si="21"/>
        <v>MA466</v>
      </c>
      <c r="BJ657" s="129" t="b">
        <f t="shared" si="22"/>
        <v>0</v>
      </c>
      <c r="BK657" s="128" t="str">
        <f t="shared" si="23"/>
        <v/>
      </c>
      <c r="BL657" s="121"/>
      <c r="BM657" s="5" t="str">
        <f t="shared" si="24"/>
        <v>MISSING</v>
      </c>
      <c r="BN657" s="120" t="b">
        <f t="shared" si="25"/>
        <v>0</v>
      </c>
      <c r="BO657" s="131" t="b">
        <f t="shared" si="26"/>
        <v>1</v>
      </c>
      <c r="BP657" s="121"/>
      <c r="BQ657" s="132" t="str">
        <f>VLOOKUP(A657,RAW_APS!A$3:O826,15,FALSE)</f>
        <v/>
      </c>
      <c r="BR657" s="120" t="b">
        <f t="shared" si="27"/>
        <v>1</v>
      </c>
      <c r="BS657" s="121"/>
      <c r="BT657" s="138" t="s">
        <v>244</v>
      </c>
      <c r="BU657" s="10" t="b">
        <f t="shared" si="28"/>
        <v>1</v>
      </c>
      <c r="BV657" s="120"/>
      <c r="BW657" s="120"/>
      <c r="BX657" s="120"/>
      <c r="BY657" s="120"/>
      <c r="BZ657" s="120"/>
      <c r="CA657" s="120"/>
      <c r="CB657" s="120"/>
      <c r="CC657" s="120"/>
    </row>
    <row r="658">
      <c r="A658" s="2" t="s">
        <v>1837</v>
      </c>
      <c r="B658" s="100">
        <v>44623.0</v>
      </c>
      <c r="C658" s="101">
        <v>0.2961574074074074</v>
      </c>
      <c r="D658" s="102"/>
      <c r="E658" s="102"/>
      <c r="F658" s="102"/>
      <c r="G658" s="102"/>
      <c r="H658" s="102"/>
      <c r="I658" s="103"/>
      <c r="J658" s="103"/>
      <c r="K658" s="2" t="s">
        <v>244</v>
      </c>
      <c r="L658" s="100">
        <v>44623.0</v>
      </c>
      <c r="M658" s="101">
        <v>0.4605902777777778</v>
      </c>
      <c r="P658" s="104" t="b">
        <f>IFNA(IF(VLOOKUP($A658,'Add from APT'!$AA$2:$AC826,3,FALSE)&gt;0,TRUE,FALSE),"ER - NOT IN APT")</f>
        <v>0</v>
      </c>
      <c r="Q658" s="105" t="str">
        <f>IF(ISLOGICAL(P658),IF(P658,"ER - REPS IN APT", IFNA(VLOOKUP($A658,RAW_APT!$A$3:$M826,7,FALSE),"ER - NOT IN APT")),P658)</f>
        <v>Result</v>
      </c>
      <c r="R658" s="106" t="b">
        <f t="shared" si="2"/>
        <v>1</v>
      </c>
      <c r="S658" s="107">
        <f t="shared" si="3"/>
        <v>1</v>
      </c>
      <c r="T658" s="143"/>
      <c r="U658" s="142"/>
      <c r="V658" s="142"/>
      <c r="W658" s="142"/>
      <c r="X658" s="110" t="b">
        <f t="shared" si="4"/>
        <v>0</v>
      </c>
      <c r="Y658" s="111" t="b">
        <v>0</v>
      </c>
      <c r="Z658" s="104" t="str">
        <f t="shared" si="5"/>
        <v/>
      </c>
      <c r="AA658" s="112" t="b">
        <f t="shared" si="6"/>
        <v>0</v>
      </c>
      <c r="AB658" s="142" t="b">
        <v>0</v>
      </c>
      <c r="AC658" s="140">
        <v>160.0</v>
      </c>
      <c r="AD658" s="141" t="b">
        <v>0</v>
      </c>
      <c r="AE658" s="115">
        <f t="shared" si="7"/>
        <v>236.7833333</v>
      </c>
      <c r="AF658" s="116" t="b">
        <f t="shared" si="8"/>
        <v>0</v>
      </c>
      <c r="AG658" s="105" t="b">
        <f t="shared" si="9"/>
        <v>0</v>
      </c>
      <c r="AH658" s="140"/>
      <c r="AI658" s="140"/>
      <c r="AJ658" s="140"/>
      <c r="AK658" s="117" t="str">
        <f t="shared" si="10"/>
        <v>Negative</v>
      </c>
      <c r="AL658" s="142"/>
      <c r="AM658" s="112" t="s">
        <v>624</v>
      </c>
      <c r="AN658" s="112" t="s">
        <v>625</v>
      </c>
      <c r="AO658" s="112" t="str">
        <f>IFERROR(__xludf.DUMMYFUNCTION("IF($AG658, ""DELETED"",TRIM(JOIN("" "",D658:E658)))"),"")</f>
        <v/>
      </c>
      <c r="AP658" s="112" t="str">
        <f t="shared" ref="AP658:AQ658" si="683">IF($AG658, "DELETED", TRIM(CONCATENATE(F658,I658,U658)))</f>
        <v/>
      </c>
      <c r="AQ658" s="112" t="str">
        <f t="shared" si="683"/>
        <v/>
      </c>
      <c r="AR658" s="112" t="str">
        <f>IFERROR(__xludf.DUMMYFUNCTION("IF($AG658, ""DELETED"", TRIM(JOIN("" "",AP658,AQ658)))"),"")</f>
        <v/>
      </c>
      <c r="AS658" s="118"/>
      <c r="AT658" s="110" t="b">
        <f t="shared" si="12"/>
        <v>0</v>
      </c>
      <c r="AU658" s="110" t="str">
        <f t="shared" si="13"/>
        <v/>
      </c>
      <c r="AV658" s="110" t="str">
        <f t="shared" si="14"/>
        <v/>
      </c>
      <c r="AW658" s="110" t="str">
        <f t="shared" si="15"/>
        <v/>
      </c>
      <c r="AX658" s="119" t="str">
        <f t="shared" si="16"/>
        <v/>
      </c>
      <c r="AY658" s="120"/>
      <c r="AZ658" s="121"/>
      <c r="BA658" s="122" t="str">
        <f t="shared" si="17"/>
        <v/>
      </c>
      <c r="BB658" s="34"/>
      <c r="BC658" s="121"/>
      <c r="BD658" s="136"/>
      <c r="BE658" s="125" t="str">
        <f t="shared" si="18"/>
        <v/>
      </c>
      <c r="BF658" s="126" t="str">
        <f t="shared" si="19"/>
        <v>FM1917__44623_0.296157407407407</v>
      </c>
      <c r="BG658" s="127" t="str">
        <f t="shared" si="20"/>
        <v/>
      </c>
      <c r="BH658" s="137" t="s">
        <v>1838</v>
      </c>
      <c r="BI658" s="128" t="str">
        <f t="shared" si="21"/>
        <v>MA467</v>
      </c>
      <c r="BJ658" s="129" t="b">
        <f t="shared" si="22"/>
        <v>0</v>
      </c>
      <c r="BK658" s="128" t="str">
        <f t="shared" si="23"/>
        <v/>
      </c>
      <c r="BL658" s="121"/>
      <c r="BM658" s="5" t="str">
        <f t="shared" si="24"/>
        <v>MISSING</v>
      </c>
      <c r="BN658" s="120" t="b">
        <f t="shared" si="25"/>
        <v>0</v>
      </c>
      <c r="BO658" s="131" t="b">
        <f t="shared" si="26"/>
        <v>1</v>
      </c>
      <c r="BP658" s="121"/>
      <c r="BQ658" s="132" t="str">
        <f>VLOOKUP(A658,RAW_APS!A$3:O826,15,FALSE)</f>
        <v/>
      </c>
      <c r="BR658" s="120" t="b">
        <f t="shared" si="27"/>
        <v>1</v>
      </c>
      <c r="BS658" s="121"/>
      <c r="BT658" s="138" t="s">
        <v>244</v>
      </c>
      <c r="BU658" s="10" t="b">
        <f t="shared" si="28"/>
        <v>1</v>
      </c>
      <c r="BV658" s="120"/>
      <c r="BW658" s="120"/>
      <c r="BX658" s="120"/>
      <c r="BY658" s="120"/>
      <c r="BZ658" s="120"/>
      <c r="CA658" s="120"/>
      <c r="CB658" s="120"/>
      <c r="CC658" s="120"/>
    </row>
    <row r="659">
      <c r="A659" s="2" t="s">
        <v>1839</v>
      </c>
      <c r="B659" s="100">
        <v>44623.0</v>
      </c>
      <c r="C659" s="101">
        <v>0.30385416666666665</v>
      </c>
      <c r="D659" s="102"/>
      <c r="E659" s="102"/>
      <c r="F659" s="102"/>
      <c r="G659" s="102"/>
      <c r="H659" s="102"/>
      <c r="I659" s="103"/>
      <c r="J659" s="103"/>
      <c r="K659" s="2" t="s">
        <v>244</v>
      </c>
      <c r="L659" s="100">
        <v>44623.0</v>
      </c>
      <c r="M659" s="101">
        <v>0.4605902777777778</v>
      </c>
      <c r="P659" s="104" t="b">
        <f>IFNA(IF(VLOOKUP($A659,'Add from APT'!$AA$2:$AC826,3,FALSE)&gt;0,TRUE,FALSE),"ER - NOT IN APT")</f>
        <v>0</v>
      </c>
      <c r="Q659" s="105" t="str">
        <f>IF(ISLOGICAL(P659),IF(P659,"ER - REPS IN APT", IFNA(VLOOKUP($A659,RAW_APT!$A$3:$M826,7,FALSE),"ER - NOT IN APT")),P659)</f>
        <v>Result</v>
      </c>
      <c r="R659" s="106" t="b">
        <f t="shared" si="2"/>
        <v>1</v>
      </c>
      <c r="S659" s="107">
        <f t="shared" si="3"/>
        <v>1</v>
      </c>
      <c r="T659" s="143"/>
      <c r="U659" s="142"/>
      <c r="V659" s="142"/>
      <c r="W659" s="142"/>
      <c r="X659" s="110" t="b">
        <f t="shared" si="4"/>
        <v>0</v>
      </c>
      <c r="Y659" s="111" t="b">
        <v>0</v>
      </c>
      <c r="Z659" s="104" t="str">
        <f t="shared" si="5"/>
        <v/>
      </c>
      <c r="AA659" s="112" t="b">
        <f t="shared" si="6"/>
        <v>0</v>
      </c>
      <c r="AB659" s="142" t="b">
        <v>0</v>
      </c>
      <c r="AC659" s="140">
        <v>159.0</v>
      </c>
      <c r="AD659" s="141" t="b">
        <v>0</v>
      </c>
      <c r="AE659" s="115">
        <f t="shared" si="7"/>
        <v>225.7</v>
      </c>
      <c r="AF659" s="116" t="b">
        <f t="shared" si="8"/>
        <v>0</v>
      </c>
      <c r="AG659" s="105" t="b">
        <f t="shared" si="9"/>
        <v>0</v>
      </c>
      <c r="AH659" s="140"/>
      <c r="AI659" s="140"/>
      <c r="AJ659" s="140"/>
      <c r="AK659" s="117" t="str">
        <f t="shared" si="10"/>
        <v>Negative</v>
      </c>
      <c r="AL659" s="141"/>
      <c r="AM659" s="112" t="s">
        <v>322</v>
      </c>
      <c r="AN659" s="112" t="s">
        <v>323</v>
      </c>
      <c r="AO659" s="112" t="str">
        <f>IFERROR(__xludf.DUMMYFUNCTION("IF($AG659, ""DELETED"",TRIM(JOIN("" "",D659:E659)))"),"")</f>
        <v/>
      </c>
      <c r="AP659" s="112" t="str">
        <f t="shared" ref="AP659:AQ659" si="684">IF($AG659, "DELETED", TRIM(CONCATENATE(F659,I659,U659)))</f>
        <v/>
      </c>
      <c r="AQ659" s="112" t="str">
        <f t="shared" si="684"/>
        <v/>
      </c>
      <c r="AR659" s="112" t="str">
        <f>IFERROR(__xludf.DUMMYFUNCTION("IF($AG659, ""DELETED"", TRIM(JOIN("" "",AP659,AQ659)))"),"")</f>
        <v/>
      </c>
      <c r="AS659" s="118"/>
      <c r="AT659" s="110" t="b">
        <f t="shared" si="12"/>
        <v>0</v>
      </c>
      <c r="AU659" s="110" t="str">
        <f t="shared" si="13"/>
        <v/>
      </c>
      <c r="AV659" s="110" t="str">
        <f t="shared" si="14"/>
        <v/>
      </c>
      <c r="AW659" s="110" t="str">
        <f t="shared" si="15"/>
        <v/>
      </c>
      <c r="AX659" s="119" t="str">
        <f t="shared" si="16"/>
        <v/>
      </c>
      <c r="AY659" s="120"/>
      <c r="AZ659" s="121"/>
      <c r="BA659" s="122" t="str">
        <f t="shared" si="17"/>
        <v/>
      </c>
      <c r="BB659" s="34"/>
      <c r="BC659" s="121"/>
      <c r="BD659" s="136"/>
      <c r="BE659" s="125" t="str">
        <f t="shared" si="18"/>
        <v/>
      </c>
      <c r="BF659" s="126" t="str">
        <f t="shared" si="19"/>
        <v>FM114__44623_0.303854166666667</v>
      </c>
      <c r="BG659" s="127" t="str">
        <f t="shared" si="20"/>
        <v/>
      </c>
      <c r="BH659" s="137" t="s">
        <v>1840</v>
      </c>
      <c r="BI659" s="128" t="str">
        <f t="shared" si="21"/>
        <v>MA468</v>
      </c>
      <c r="BJ659" s="129" t="b">
        <f t="shared" si="22"/>
        <v>0</v>
      </c>
      <c r="BK659" s="128" t="str">
        <f t="shared" si="23"/>
        <v/>
      </c>
      <c r="BL659" s="121"/>
      <c r="BM659" s="5" t="str">
        <f t="shared" si="24"/>
        <v>MISSING</v>
      </c>
      <c r="BN659" s="120" t="b">
        <f t="shared" si="25"/>
        <v>0</v>
      </c>
      <c r="BO659" s="131" t="b">
        <f t="shared" si="26"/>
        <v>1</v>
      </c>
      <c r="BP659" s="121"/>
      <c r="BQ659" s="132" t="str">
        <f>VLOOKUP(A659,RAW_APS!A$3:O826,15,FALSE)</f>
        <v/>
      </c>
      <c r="BR659" s="120" t="b">
        <f t="shared" si="27"/>
        <v>1</v>
      </c>
      <c r="BS659" s="121"/>
      <c r="BT659" s="138" t="s">
        <v>244</v>
      </c>
      <c r="BU659" s="10" t="b">
        <f t="shared" si="28"/>
        <v>1</v>
      </c>
      <c r="BV659" s="120"/>
      <c r="BW659" s="120"/>
      <c r="BX659" s="120"/>
      <c r="BY659" s="120"/>
      <c r="BZ659" s="120"/>
      <c r="CA659" s="120"/>
      <c r="CB659" s="120"/>
      <c r="CC659" s="120"/>
    </row>
    <row r="660">
      <c r="A660" s="2" t="s">
        <v>1841</v>
      </c>
      <c r="B660" s="100">
        <v>44623.0</v>
      </c>
      <c r="C660" s="101">
        <v>0.3044791666666667</v>
      </c>
      <c r="D660" s="102"/>
      <c r="E660" s="102"/>
      <c r="F660" s="102"/>
      <c r="G660" s="102"/>
      <c r="H660" s="102"/>
      <c r="I660" s="103"/>
      <c r="J660" s="103"/>
      <c r="K660" s="2" t="s">
        <v>244</v>
      </c>
      <c r="L660" s="100">
        <v>44623.0</v>
      </c>
      <c r="M660" s="101">
        <v>0.4605902777777778</v>
      </c>
      <c r="P660" s="104" t="b">
        <f>IFNA(IF(VLOOKUP($A660,'Add from APT'!$AA$2:$AC826,3,FALSE)&gt;0,TRUE,FALSE),"ER - NOT IN APT")</f>
        <v>0</v>
      </c>
      <c r="Q660" s="105" t="str">
        <f>IF(ISLOGICAL(P660),IF(P660,"ER - REPS IN APT", IFNA(VLOOKUP($A660,RAW_APT!$A$3:$M826,7,FALSE),"ER - NOT IN APT")),P660)</f>
        <v>Result</v>
      </c>
      <c r="R660" s="106" t="b">
        <f t="shared" si="2"/>
        <v>1</v>
      </c>
      <c r="S660" s="107">
        <f t="shared" si="3"/>
        <v>1</v>
      </c>
      <c r="T660" s="143"/>
      <c r="U660" s="142"/>
      <c r="V660" s="142"/>
      <c r="W660" s="142"/>
      <c r="X660" s="110" t="b">
        <f t="shared" si="4"/>
        <v>0</v>
      </c>
      <c r="Y660" s="111" t="b">
        <v>0</v>
      </c>
      <c r="Z660" s="104" t="str">
        <f t="shared" si="5"/>
        <v/>
      </c>
      <c r="AA660" s="112" t="b">
        <f t="shared" si="6"/>
        <v>0</v>
      </c>
      <c r="AB660" s="142" t="b">
        <v>0</v>
      </c>
      <c r="AC660" s="140">
        <v>158.0</v>
      </c>
      <c r="AD660" s="141" t="b">
        <v>0</v>
      </c>
      <c r="AE660" s="115">
        <f t="shared" si="7"/>
        <v>224.8</v>
      </c>
      <c r="AF660" s="116" t="b">
        <f t="shared" si="8"/>
        <v>0</v>
      </c>
      <c r="AG660" s="105" t="b">
        <f t="shared" si="9"/>
        <v>0</v>
      </c>
      <c r="AH660" s="140"/>
      <c r="AI660" s="140"/>
      <c r="AJ660" s="140"/>
      <c r="AK660" s="117" t="str">
        <f t="shared" si="10"/>
        <v>Negative</v>
      </c>
      <c r="AL660" s="141"/>
      <c r="AM660" s="112" t="s">
        <v>1473</v>
      </c>
      <c r="AN660" s="112" t="s">
        <v>1474</v>
      </c>
      <c r="AO660" s="112" t="str">
        <f>IFERROR(__xludf.DUMMYFUNCTION("IF($AG660, ""DELETED"",TRIM(JOIN("" "",D660:E660)))"),"")</f>
        <v/>
      </c>
      <c r="AP660" s="112" t="str">
        <f t="shared" ref="AP660:AQ660" si="685">IF($AG660, "DELETED", TRIM(CONCATENATE(F660,I660,U660)))</f>
        <v/>
      </c>
      <c r="AQ660" s="112" t="str">
        <f t="shared" si="685"/>
        <v/>
      </c>
      <c r="AR660" s="112" t="str">
        <f>IFERROR(__xludf.DUMMYFUNCTION("IF($AG660, ""DELETED"", TRIM(JOIN("" "",AP660,AQ660)))"),"")</f>
        <v/>
      </c>
      <c r="AS660" s="118"/>
      <c r="AT660" s="110" t="b">
        <f t="shared" si="12"/>
        <v>0</v>
      </c>
      <c r="AU660" s="110" t="str">
        <f t="shared" si="13"/>
        <v/>
      </c>
      <c r="AV660" s="110" t="str">
        <f t="shared" si="14"/>
        <v/>
      </c>
      <c r="AW660" s="110" t="str">
        <f t="shared" si="15"/>
        <v/>
      </c>
      <c r="AX660" s="119" t="str">
        <f t="shared" si="16"/>
        <v/>
      </c>
      <c r="AY660" s="120"/>
      <c r="AZ660" s="121"/>
      <c r="BA660" s="122" t="str">
        <f t="shared" si="17"/>
        <v/>
      </c>
      <c r="BB660" s="34"/>
      <c r="BC660" s="121"/>
      <c r="BD660" s="136"/>
      <c r="BE660" s="125" t="str">
        <f t="shared" si="18"/>
        <v/>
      </c>
      <c r="BF660" s="126" t="str">
        <f t="shared" si="19"/>
        <v>FM13__44623_0.304479166666667</v>
      </c>
      <c r="BG660" s="127" t="str">
        <f t="shared" si="20"/>
        <v/>
      </c>
      <c r="BH660" s="137" t="s">
        <v>1842</v>
      </c>
      <c r="BI660" s="128" t="str">
        <f t="shared" si="21"/>
        <v>MA469</v>
      </c>
      <c r="BJ660" s="129" t="b">
        <f t="shared" si="22"/>
        <v>0</v>
      </c>
      <c r="BK660" s="128" t="str">
        <f t="shared" si="23"/>
        <v/>
      </c>
      <c r="BL660" s="121"/>
      <c r="BM660" s="5" t="str">
        <f t="shared" si="24"/>
        <v>MISSING</v>
      </c>
      <c r="BN660" s="120" t="b">
        <f t="shared" si="25"/>
        <v>0</v>
      </c>
      <c r="BO660" s="131" t="b">
        <f t="shared" si="26"/>
        <v>1</v>
      </c>
      <c r="BP660" s="121"/>
      <c r="BQ660" s="132" t="str">
        <f>VLOOKUP(A660,RAW_APS!A$3:O826,15,FALSE)</f>
        <v/>
      </c>
      <c r="BR660" s="120" t="b">
        <f t="shared" si="27"/>
        <v>1</v>
      </c>
      <c r="BS660" s="121"/>
      <c r="BT660" s="138" t="s">
        <v>244</v>
      </c>
      <c r="BU660" s="10" t="b">
        <f t="shared" si="28"/>
        <v>1</v>
      </c>
      <c r="BV660" s="120"/>
      <c r="BW660" s="120"/>
      <c r="BX660" s="120"/>
      <c r="BY660" s="120"/>
      <c r="BZ660" s="120"/>
      <c r="CA660" s="120"/>
      <c r="CB660" s="120"/>
      <c r="CC660" s="120"/>
    </row>
    <row r="661">
      <c r="A661" s="2" t="s">
        <v>1843</v>
      </c>
      <c r="B661" s="100">
        <v>44623.0</v>
      </c>
      <c r="C661" s="101">
        <v>0.3051388888888889</v>
      </c>
      <c r="D661" s="102"/>
      <c r="E661" s="102"/>
      <c r="F661" s="102"/>
      <c r="G661" s="102"/>
      <c r="H661" s="102"/>
      <c r="I661" s="103"/>
      <c r="J661" s="103"/>
      <c r="K661" s="2" t="s">
        <v>244</v>
      </c>
      <c r="L661" s="100">
        <v>44623.0</v>
      </c>
      <c r="M661" s="101">
        <v>0.4605902777777778</v>
      </c>
      <c r="P661" s="104" t="b">
        <f>IFNA(IF(VLOOKUP($A661,'Add from APT'!$AA$2:$AC826,3,FALSE)&gt;0,TRUE,FALSE),"ER - NOT IN APT")</f>
        <v>0</v>
      </c>
      <c r="Q661" s="105" t="str">
        <f>IF(ISLOGICAL(P661),IF(P661,"ER - REPS IN APT", IFNA(VLOOKUP($A661,RAW_APT!$A$3:$M826,7,FALSE),"ER - NOT IN APT")),P661)</f>
        <v>Result</v>
      </c>
      <c r="R661" s="106" t="b">
        <f t="shared" si="2"/>
        <v>1</v>
      </c>
      <c r="S661" s="107">
        <f t="shared" si="3"/>
        <v>1</v>
      </c>
      <c r="T661" s="143"/>
      <c r="U661" s="142"/>
      <c r="V661" s="142"/>
      <c r="W661" s="142"/>
      <c r="X661" s="110" t="b">
        <f t="shared" si="4"/>
        <v>0</v>
      </c>
      <c r="Y661" s="111" t="b">
        <v>0</v>
      </c>
      <c r="Z661" s="104" t="str">
        <f t="shared" si="5"/>
        <v/>
      </c>
      <c r="AA661" s="112" t="b">
        <f t="shared" si="6"/>
        <v>0</v>
      </c>
      <c r="AB661" s="142" t="b">
        <v>0</v>
      </c>
      <c r="AC661" s="140">
        <v>157.0</v>
      </c>
      <c r="AD661" s="141" t="b">
        <v>0</v>
      </c>
      <c r="AE661" s="115">
        <f t="shared" si="7"/>
        <v>223.85</v>
      </c>
      <c r="AF661" s="116" t="b">
        <f t="shared" si="8"/>
        <v>0</v>
      </c>
      <c r="AG661" s="105" t="b">
        <f t="shared" si="9"/>
        <v>0</v>
      </c>
      <c r="AH661" s="140"/>
      <c r="AI661" s="140"/>
      <c r="AJ661" s="140"/>
      <c r="AK661" s="117" t="str">
        <f t="shared" si="10"/>
        <v>Negative</v>
      </c>
      <c r="AL661" s="141"/>
      <c r="AM661" s="112" t="s">
        <v>1099</v>
      </c>
      <c r="AN661" s="112" t="s">
        <v>1100</v>
      </c>
      <c r="AO661" s="112" t="str">
        <f>IFERROR(__xludf.DUMMYFUNCTION("IF($AG661, ""DELETED"",TRIM(JOIN("" "",D661:E661)))"),"")</f>
        <v/>
      </c>
      <c r="AP661" s="112" t="str">
        <f t="shared" ref="AP661:AQ661" si="686">IF($AG661, "DELETED", TRIM(CONCATENATE(F661,I661,U661)))</f>
        <v/>
      </c>
      <c r="AQ661" s="112" t="str">
        <f t="shared" si="686"/>
        <v/>
      </c>
      <c r="AR661" s="112" t="str">
        <f>IFERROR(__xludf.DUMMYFUNCTION("IF($AG661, ""DELETED"", TRIM(JOIN("" "",AP661,AQ661)))"),"")</f>
        <v/>
      </c>
      <c r="AS661" s="118"/>
      <c r="AT661" s="110" t="b">
        <f t="shared" si="12"/>
        <v>0</v>
      </c>
      <c r="AU661" s="110" t="str">
        <f t="shared" si="13"/>
        <v/>
      </c>
      <c r="AV661" s="110" t="str">
        <f t="shared" si="14"/>
        <v/>
      </c>
      <c r="AW661" s="110" t="str">
        <f t="shared" si="15"/>
        <v/>
      </c>
      <c r="AX661" s="119" t="str">
        <f t="shared" si="16"/>
        <v/>
      </c>
      <c r="AY661" s="120"/>
      <c r="AZ661" s="121"/>
      <c r="BA661" s="122" t="str">
        <f t="shared" si="17"/>
        <v/>
      </c>
      <c r="BB661" s="34"/>
      <c r="BC661" s="121"/>
      <c r="BD661" s="136"/>
      <c r="BE661" s="125" t="str">
        <f t="shared" si="18"/>
        <v/>
      </c>
      <c r="BF661" s="126" t="str">
        <f t="shared" si="19"/>
        <v>FM436__44623_0.305138888888889</v>
      </c>
      <c r="BG661" s="127" t="str">
        <f t="shared" si="20"/>
        <v/>
      </c>
      <c r="BH661" s="137" t="s">
        <v>1844</v>
      </c>
      <c r="BI661" s="128" t="str">
        <f t="shared" si="21"/>
        <v>MA473</v>
      </c>
      <c r="BJ661" s="129" t="b">
        <f t="shared" si="22"/>
        <v>0</v>
      </c>
      <c r="BK661" s="128" t="str">
        <f t="shared" si="23"/>
        <v/>
      </c>
      <c r="BL661" s="121"/>
      <c r="BM661" s="5" t="str">
        <f t="shared" si="24"/>
        <v>MISSING</v>
      </c>
      <c r="BN661" s="120" t="b">
        <f t="shared" si="25"/>
        <v>0</v>
      </c>
      <c r="BO661" s="131" t="b">
        <f t="shared" si="26"/>
        <v>1</v>
      </c>
      <c r="BP661" s="121"/>
      <c r="BQ661" s="132" t="str">
        <f>VLOOKUP(A661,RAW_APS!A$3:O826,15,FALSE)</f>
        <v/>
      </c>
      <c r="BR661" s="120" t="b">
        <f t="shared" si="27"/>
        <v>1</v>
      </c>
      <c r="BS661" s="121"/>
      <c r="BT661" s="138" t="s">
        <v>244</v>
      </c>
      <c r="BU661" s="10" t="b">
        <f t="shared" si="28"/>
        <v>1</v>
      </c>
      <c r="BV661" s="120"/>
      <c r="BW661" s="120"/>
      <c r="BX661" s="120"/>
      <c r="BY661" s="120"/>
      <c r="BZ661" s="120"/>
      <c r="CA661" s="120"/>
      <c r="CB661" s="120"/>
      <c r="CC661" s="120"/>
    </row>
    <row r="662">
      <c r="A662" s="2" t="s">
        <v>1845</v>
      </c>
      <c r="B662" s="100">
        <v>44623.0</v>
      </c>
      <c r="C662" s="101">
        <v>0.3095717592592593</v>
      </c>
      <c r="D662" s="102"/>
      <c r="E662" s="102"/>
      <c r="F662" s="102"/>
      <c r="G662" s="102"/>
      <c r="H662" s="102"/>
      <c r="I662" s="103"/>
      <c r="J662" s="103"/>
      <c r="K662" s="2" t="s">
        <v>244</v>
      </c>
      <c r="L662" s="100">
        <v>44623.0</v>
      </c>
      <c r="M662" s="101">
        <v>0.4605902777777778</v>
      </c>
      <c r="P662" s="104" t="b">
        <f>IFNA(IF(VLOOKUP($A662,'Add from APT'!$AA$2:$AC826,3,FALSE)&gt;0,TRUE,FALSE),"ER - NOT IN APT")</f>
        <v>0</v>
      </c>
      <c r="Q662" s="105" t="str">
        <f>IF(ISLOGICAL(P662),IF(P662,"ER - REPS IN APT", IFNA(VLOOKUP($A662,RAW_APT!$A$3:$M826,7,FALSE),"ER - NOT IN APT")),P662)</f>
        <v>Result</v>
      </c>
      <c r="R662" s="106" t="b">
        <f t="shared" si="2"/>
        <v>1</v>
      </c>
      <c r="S662" s="107">
        <f t="shared" si="3"/>
        <v>1</v>
      </c>
      <c r="T662" s="143"/>
      <c r="U662" s="142"/>
      <c r="V662" s="142"/>
      <c r="W662" s="142"/>
      <c r="X662" s="110" t="b">
        <f t="shared" si="4"/>
        <v>0</v>
      </c>
      <c r="Y662" s="111" t="b">
        <v>0</v>
      </c>
      <c r="Z662" s="104" t="str">
        <f t="shared" si="5"/>
        <v/>
      </c>
      <c r="AA662" s="112" t="b">
        <f t="shared" si="6"/>
        <v>0</v>
      </c>
      <c r="AB662" s="142" t="b">
        <v>0</v>
      </c>
      <c r="AC662" s="140">
        <v>156.0</v>
      </c>
      <c r="AD662" s="141" t="b">
        <v>0</v>
      </c>
      <c r="AE662" s="115">
        <f t="shared" si="7"/>
        <v>217.4666667</v>
      </c>
      <c r="AF662" s="116" t="b">
        <f t="shared" si="8"/>
        <v>0</v>
      </c>
      <c r="AG662" s="105" t="b">
        <f t="shared" si="9"/>
        <v>0</v>
      </c>
      <c r="AH662" s="140"/>
      <c r="AI662" s="140"/>
      <c r="AJ662" s="140"/>
      <c r="AK662" s="117" t="str">
        <f t="shared" si="10"/>
        <v>Negative</v>
      </c>
      <c r="AL662" s="141"/>
      <c r="AM662" s="112" t="s">
        <v>1420</v>
      </c>
      <c r="AN662" s="112" t="s">
        <v>1421</v>
      </c>
      <c r="AO662" s="112" t="str">
        <f>IFERROR(__xludf.DUMMYFUNCTION("IF($AG662, ""DELETED"",TRIM(JOIN("" "",D662:E662)))"),"")</f>
        <v/>
      </c>
      <c r="AP662" s="112" t="str">
        <f t="shared" ref="AP662:AQ662" si="687">IF($AG662, "DELETED", TRIM(CONCATENATE(F662,I662,U662)))</f>
        <v/>
      </c>
      <c r="AQ662" s="112" t="str">
        <f t="shared" si="687"/>
        <v/>
      </c>
      <c r="AR662" s="112" t="str">
        <f>IFERROR(__xludf.DUMMYFUNCTION("IF($AG662, ""DELETED"", TRIM(JOIN("" "",AP662,AQ662)))"),"")</f>
        <v/>
      </c>
      <c r="AS662" s="118"/>
      <c r="AT662" s="110" t="b">
        <f t="shared" si="12"/>
        <v>0</v>
      </c>
      <c r="AU662" s="110" t="str">
        <f t="shared" si="13"/>
        <v/>
      </c>
      <c r="AV662" s="110" t="str">
        <f t="shared" si="14"/>
        <v/>
      </c>
      <c r="AW662" s="110" t="str">
        <f t="shared" si="15"/>
        <v/>
      </c>
      <c r="AX662" s="119" t="str">
        <f t="shared" si="16"/>
        <v/>
      </c>
      <c r="AY662" s="120"/>
      <c r="AZ662" s="121"/>
      <c r="BA662" s="122" t="str">
        <f t="shared" si="17"/>
        <v/>
      </c>
      <c r="BB662" s="34"/>
      <c r="BC662" s="121"/>
      <c r="BD662" s="136"/>
      <c r="BE662" s="125" t="str">
        <f t="shared" si="18"/>
        <v/>
      </c>
      <c r="BF662" s="126" t="str">
        <f t="shared" si="19"/>
        <v>FM2061__44623_0.309571759259259</v>
      </c>
      <c r="BG662" s="127" t="str">
        <f t="shared" si="20"/>
        <v/>
      </c>
      <c r="BH662" s="137" t="s">
        <v>1846</v>
      </c>
      <c r="BI662" s="128" t="str">
        <f t="shared" si="21"/>
        <v>MA474</v>
      </c>
      <c r="BJ662" s="129" t="b">
        <f t="shared" si="22"/>
        <v>0</v>
      </c>
      <c r="BK662" s="128" t="str">
        <f t="shared" si="23"/>
        <v/>
      </c>
      <c r="BL662" s="121"/>
      <c r="BM662" s="5" t="str">
        <f t="shared" si="24"/>
        <v>MISSING</v>
      </c>
      <c r="BN662" s="120" t="b">
        <f t="shared" si="25"/>
        <v>0</v>
      </c>
      <c r="BO662" s="131" t="b">
        <f t="shared" si="26"/>
        <v>1</v>
      </c>
      <c r="BP662" s="121"/>
      <c r="BQ662" s="132" t="str">
        <f>VLOOKUP(A662,RAW_APS!A$3:O826,15,FALSE)</f>
        <v/>
      </c>
      <c r="BR662" s="120" t="b">
        <f t="shared" si="27"/>
        <v>1</v>
      </c>
      <c r="BS662" s="121"/>
      <c r="BT662" s="138" t="s">
        <v>244</v>
      </c>
      <c r="BU662" s="10" t="b">
        <f t="shared" si="28"/>
        <v>1</v>
      </c>
      <c r="BV662" s="120"/>
      <c r="BW662" s="120"/>
      <c r="BX662" s="120"/>
      <c r="BY662" s="120"/>
      <c r="BZ662" s="120"/>
      <c r="CA662" s="120"/>
      <c r="CB662" s="120"/>
      <c r="CC662" s="120"/>
    </row>
    <row r="663">
      <c r="A663" s="2" t="s">
        <v>1847</v>
      </c>
      <c r="B663" s="100">
        <v>44623.0</v>
      </c>
      <c r="C663" s="101">
        <v>0.3102662037037037</v>
      </c>
      <c r="D663" s="102"/>
      <c r="E663" s="102"/>
      <c r="F663" s="102"/>
      <c r="G663" s="102"/>
      <c r="H663" s="102"/>
      <c r="I663" s="103"/>
      <c r="J663" s="103"/>
      <c r="K663" s="2" t="s">
        <v>244</v>
      </c>
      <c r="L663" s="100">
        <v>44623.0</v>
      </c>
      <c r="M663" s="101">
        <v>0.4605902777777778</v>
      </c>
      <c r="P663" s="104" t="b">
        <f>IFNA(IF(VLOOKUP($A663,'Add from APT'!$AA$2:$AC826,3,FALSE)&gt;0,TRUE,FALSE),"ER - NOT IN APT")</f>
        <v>0</v>
      </c>
      <c r="Q663" s="105" t="str">
        <f>IF(ISLOGICAL(P663),IF(P663,"ER - REPS IN APT", IFNA(VLOOKUP($A663,RAW_APT!$A$3:$M826,7,FALSE),"ER - NOT IN APT")),P663)</f>
        <v>Result</v>
      </c>
      <c r="R663" s="106" t="b">
        <f t="shared" si="2"/>
        <v>1</v>
      </c>
      <c r="S663" s="107">
        <f t="shared" si="3"/>
        <v>1</v>
      </c>
      <c r="T663" s="143"/>
      <c r="U663" s="142"/>
      <c r="V663" s="142"/>
      <c r="W663" s="142"/>
      <c r="X663" s="110" t="b">
        <f t="shared" si="4"/>
        <v>0</v>
      </c>
      <c r="Y663" s="111" t="b">
        <v>0</v>
      </c>
      <c r="Z663" s="104" t="str">
        <f t="shared" si="5"/>
        <v/>
      </c>
      <c r="AA663" s="112" t="b">
        <f t="shared" si="6"/>
        <v>0</v>
      </c>
      <c r="AB663" s="142" t="b">
        <v>0</v>
      </c>
      <c r="AC663" s="140">
        <v>155.0</v>
      </c>
      <c r="AD663" s="141" t="b">
        <v>0</v>
      </c>
      <c r="AE663" s="115">
        <f t="shared" si="7"/>
        <v>216.4666667</v>
      </c>
      <c r="AF663" s="116" t="b">
        <f t="shared" si="8"/>
        <v>0</v>
      </c>
      <c r="AG663" s="105" t="b">
        <f t="shared" si="9"/>
        <v>0</v>
      </c>
      <c r="AH663" s="140"/>
      <c r="AI663" s="140"/>
      <c r="AJ663" s="140"/>
      <c r="AK663" s="117" t="str">
        <f t="shared" si="10"/>
        <v>Negative</v>
      </c>
      <c r="AL663" s="142"/>
      <c r="AM663" s="112" t="s">
        <v>583</v>
      </c>
      <c r="AN663" s="112" t="s">
        <v>584</v>
      </c>
      <c r="AO663" s="112" t="str">
        <f>IFERROR(__xludf.DUMMYFUNCTION("IF($AG663, ""DELETED"",TRIM(JOIN("" "",D663:E663)))"),"")</f>
        <v/>
      </c>
      <c r="AP663" s="112" t="str">
        <f t="shared" ref="AP663:AQ663" si="688">IF($AG663, "DELETED", TRIM(CONCATENATE(F663,I663,U663)))</f>
        <v/>
      </c>
      <c r="AQ663" s="112" t="str">
        <f t="shared" si="688"/>
        <v/>
      </c>
      <c r="AR663" s="112" t="str">
        <f>IFERROR(__xludf.DUMMYFUNCTION("IF($AG663, ""DELETED"", TRIM(JOIN("" "",AP663,AQ663)))"),"")</f>
        <v/>
      </c>
      <c r="AS663" s="118"/>
      <c r="AT663" s="110" t="b">
        <f t="shared" si="12"/>
        <v>0</v>
      </c>
      <c r="AU663" s="110" t="str">
        <f t="shared" si="13"/>
        <v/>
      </c>
      <c r="AV663" s="110" t="str">
        <f t="shared" si="14"/>
        <v/>
      </c>
      <c r="AW663" s="110" t="str">
        <f t="shared" si="15"/>
        <v/>
      </c>
      <c r="AX663" s="119" t="str">
        <f t="shared" si="16"/>
        <v/>
      </c>
      <c r="AY663" s="120"/>
      <c r="AZ663" s="121"/>
      <c r="BA663" s="122" t="str">
        <f t="shared" si="17"/>
        <v/>
      </c>
      <c r="BB663" s="34"/>
      <c r="BC663" s="121"/>
      <c r="BD663" s="136"/>
      <c r="BE663" s="125" t="str">
        <f t="shared" si="18"/>
        <v/>
      </c>
      <c r="BF663" s="126" t="str">
        <f t="shared" si="19"/>
        <v>FM813__44623_0.310266203703704</v>
      </c>
      <c r="BG663" s="127" t="str">
        <f t="shared" si="20"/>
        <v/>
      </c>
      <c r="BH663" s="137" t="s">
        <v>1848</v>
      </c>
      <c r="BI663" s="128" t="str">
        <f t="shared" si="21"/>
        <v>MA475</v>
      </c>
      <c r="BJ663" s="129" t="b">
        <f t="shared" si="22"/>
        <v>0</v>
      </c>
      <c r="BK663" s="128" t="str">
        <f t="shared" si="23"/>
        <v/>
      </c>
      <c r="BL663" s="121"/>
      <c r="BM663" s="5" t="str">
        <f t="shared" si="24"/>
        <v>MISSING</v>
      </c>
      <c r="BN663" s="120" t="b">
        <f t="shared" si="25"/>
        <v>0</v>
      </c>
      <c r="BO663" s="131" t="b">
        <f t="shared" si="26"/>
        <v>1</v>
      </c>
      <c r="BP663" s="121"/>
      <c r="BQ663" s="132" t="str">
        <f>VLOOKUP(A663,RAW_APS!A$3:O826,15,FALSE)</f>
        <v/>
      </c>
      <c r="BR663" s="120" t="b">
        <f t="shared" si="27"/>
        <v>1</v>
      </c>
      <c r="BS663" s="121"/>
      <c r="BT663" s="138" t="s">
        <v>244</v>
      </c>
      <c r="BU663" s="10" t="b">
        <f t="shared" si="28"/>
        <v>1</v>
      </c>
      <c r="BV663" s="120"/>
      <c r="BW663" s="120"/>
      <c r="BX663" s="120"/>
      <c r="BY663" s="120"/>
      <c r="BZ663" s="120"/>
      <c r="CA663" s="120"/>
      <c r="CB663" s="120"/>
      <c r="CC663" s="120"/>
    </row>
    <row r="664">
      <c r="A664" s="2" t="s">
        <v>1849</v>
      </c>
      <c r="B664" s="100">
        <v>44623.0</v>
      </c>
      <c r="C664" s="101">
        <v>0.3108680555555556</v>
      </c>
      <c r="D664" s="102"/>
      <c r="E664" s="102"/>
      <c r="F664" s="102"/>
      <c r="G664" s="102"/>
      <c r="H664" s="102"/>
      <c r="I664" s="103"/>
      <c r="J664" s="103"/>
      <c r="K664" s="2" t="s">
        <v>244</v>
      </c>
      <c r="L664" s="100">
        <v>44623.0</v>
      </c>
      <c r="M664" s="101">
        <v>0.4605902777777778</v>
      </c>
      <c r="P664" s="104" t="b">
        <f>IFNA(IF(VLOOKUP($A664,'Add from APT'!$AA$2:$AC826,3,FALSE)&gt;0,TRUE,FALSE),"ER - NOT IN APT")</f>
        <v>0</v>
      </c>
      <c r="Q664" s="105" t="str">
        <f>IF(ISLOGICAL(P664),IF(P664,"ER - REPS IN APT", IFNA(VLOOKUP($A664,RAW_APT!$A$3:$M826,7,FALSE),"ER - NOT IN APT")),P664)</f>
        <v>Result</v>
      </c>
      <c r="R664" s="106" t="b">
        <f t="shared" si="2"/>
        <v>1</v>
      </c>
      <c r="S664" s="107">
        <f t="shared" si="3"/>
        <v>1</v>
      </c>
      <c r="T664" s="143"/>
      <c r="U664" s="142"/>
      <c r="V664" s="142"/>
      <c r="W664" s="142"/>
      <c r="X664" s="110" t="b">
        <f t="shared" si="4"/>
        <v>0</v>
      </c>
      <c r="Y664" s="111" t="b">
        <v>0</v>
      </c>
      <c r="Z664" s="104" t="str">
        <f t="shared" si="5"/>
        <v/>
      </c>
      <c r="AA664" s="112" t="b">
        <f t="shared" si="6"/>
        <v>0</v>
      </c>
      <c r="AB664" s="142" t="b">
        <v>0</v>
      </c>
      <c r="AC664" s="140">
        <v>154.0</v>
      </c>
      <c r="AD664" s="141" t="b">
        <v>0</v>
      </c>
      <c r="AE664" s="115">
        <f t="shared" si="7"/>
        <v>215.6</v>
      </c>
      <c r="AF664" s="116" t="b">
        <f t="shared" si="8"/>
        <v>0</v>
      </c>
      <c r="AG664" s="105" t="b">
        <f t="shared" si="9"/>
        <v>0</v>
      </c>
      <c r="AH664" s="140"/>
      <c r="AI664" s="140"/>
      <c r="AJ664" s="140"/>
      <c r="AK664" s="117" t="str">
        <f t="shared" si="10"/>
        <v>Negative</v>
      </c>
      <c r="AL664" s="142"/>
      <c r="AM664" s="112" t="s">
        <v>512</v>
      </c>
      <c r="AN664" s="112" t="s">
        <v>513</v>
      </c>
      <c r="AO664" s="112" t="str">
        <f>IFERROR(__xludf.DUMMYFUNCTION("IF($AG664, ""DELETED"",TRIM(JOIN("" "",D664:E664)))"),"")</f>
        <v/>
      </c>
      <c r="AP664" s="112" t="str">
        <f t="shared" ref="AP664:AQ664" si="689">IF($AG664, "DELETED", TRIM(CONCATENATE(F664,I664,U664)))</f>
        <v/>
      </c>
      <c r="AQ664" s="112" t="str">
        <f t="shared" si="689"/>
        <v/>
      </c>
      <c r="AR664" s="112" t="str">
        <f>IFERROR(__xludf.DUMMYFUNCTION("IF($AG664, ""DELETED"", TRIM(JOIN("" "",AP664,AQ664)))"),"")</f>
        <v/>
      </c>
      <c r="AS664" s="118"/>
      <c r="AT664" s="110" t="b">
        <f t="shared" si="12"/>
        <v>0</v>
      </c>
      <c r="AU664" s="110" t="str">
        <f t="shared" si="13"/>
        <v/>
      </c>
      <c r="AV664" s="110" t="str">
        <f t="shared" si="14"/>
        <v/>
      </c>
      <c r="AW664" s="110" t="str">
        <f t="shared" si="15"/>
        <v/>
      </c>
      <c r="AX664" s="119" t="str">
        <f t="shared" si="16"/>
        <v/>
      </c>
      <c r="AY664" s="120"/>
      <c r="AZ664" s="121"/>
      <c r="BA664" s="122" t="str">
        <f t="shared" si="17"/>
        <v/>
      </c>
      <c r="BB664" s="34"/>
      <c r="BC664" s="121"/>
      <c r="BD664" s="136"/>
      <c r="BE664" s="125" t="str">
        <f t="shared" si="18"/>
        <v/>
      </c>
      <c r="BF664" s="126" t="str">
        <f t="shared" si="19"/>
        <v>FM2081__44623_0.310868055555556</v>
      </c>
      <c r="BG664" s="127" t="str">
        <f t="shared" si="20"/>
        <v/>
      </c>
      <c r="BH664" s="137" t="s">
        <v>1850</v>
      </c>
      <c r="BI664" s="128" t="str">
        <f t="shared" si="21"/>
        <v>MA477</v>
      </c>
      <c r="BJ664" s="129" t="b">
        <f t="shared" si="22"/>
        <v>0</v>
      </c>
      <c r="BK664" s="128" t="str">
        <f t="shared" si="23"/>
        <v/>
      </c>
      <c r="BL664" s="121"/>
      <c r="BM664" s="5" t="str">
        <f t="shared" si="24"/>
        <v>MISSING</v>
      </c>
      <c r="BN664" s="120" t="b">
        <f t="shared" si="25"/>
        <v>0</v>
      </c>
      <c r="BO664" s="131" t="b">
        <f t="shared" si="26"/>
        <v>1</v>
      </c>
      <c r="BP664" s="121"/>
      <c r="BQ664" s="132" t="str">
        <f>VLOOKUP(A664,RAW_APS!A$3:O826,15,FALSE)</f>
        <v/>
      </c>
      <c r="BR664" s="120" t="b">
        <f t="shared" si="27"/>
        <v>1</v>
      </c>
      <c r="BS664" s="121"/>
      <c r="BT664" s="138" t="s">
        <v>244</v>
      </c>
      <c r="BU664" s="10" t="b">
        <f t="shared" si="28"/>
        <v>1</v>
      </c>
      <c r="BV664" s="120"/>
      <c r="BW664" s="120"/>
      <c r="BX664" s="120"/>
      <c r="BY664" s="120"/>
      <c r="BZ664" s="120"/>
      <c r="CA664" s="120"/>
      <c r="CB664" s="120"/>
      <c r="CC664" s="120"/>
    </row>
    <row r="665">
      <c r="A665" s="2" t="s">
        <v>1851</v>
      </c>
      <c r="B665" s="100">
        <v>44623.0</v>
      </c>
      <c r="C665" s="101">
        <v>0.31104166666666666</v>
      </c>
      <c r="D665" s="102"/>
      <c r="E665" s="102"/>
      <c r="F665" s="102"/>
      <c r="G665" s="102"/>
      <c r="H665" s="102"/>
      <c r="I665" s="103"/>
      <c r="J665" s="103"/>
      <c r="K665" s="2" t="s">
        <v>244</v>
      </c>
      <c r="L665" s="100">
        <v>44623.0</v>
      </c>
      <c r="M665" s="101">
        <v>0.4605902777777778</v>
      </c>
      <c r="P665" s="104" t="b">
        <f>IFNA(IF(VLOOKUP($A665,'Add from APT'!$AA$2:$AC826,3,FALSE)&gt;0,TRUE,FALSE),"ER - NOT IN APT")</f>
        <v>0</v>
      </c>
      <c r="Q665" s="105" t="str">
        <f>IF(ISLOGICAL(P665),IF(P665,"ER - REPS IN APT", IFNA(VLOOKUP($A665,RAW_APT!$A$3:$M826,7,FALSE),"ER - NOT IN APT")),P665)</f>
        <v>Result</v>
      </c>
      <c r="R665" s="106" t="b">
        <f t="shared" si="2"/>
        <v>1</v>
      </c>
      <c r="S665" s="107">
        <f t="shared" si="3"/>
        <v>1</v>
      </c>
      <c r="T665" s="143"/>
      <c r="U665" s="142"/>
      <c r="V665" s="142"/>
      <c r="W665" s="142"/>
      <c r="X665" s="110" t="b">
        <f t="shared" si="4"/>
        <v>0</v>
      </c>
      <c r="Y665" s="111" t="b">
        <v>0</v>
      </c>
      <c r="Z665" s="104" t="str">
        <f t="shared" si="5"/>
        <v/>
      </c>
      <c r="AA665" s="112" t="b">
        <f t="shared" si="6"/>
        <v>0</v>
      </c>
      <c r="AB665" s="142" t="b">
        <v>0</v>
      </c>
      <c r="AC665" s="140">
        <v>153.0</v>
      </c>
      <c r="AD665" s="141" t="b">
        <v>0</v>
      </c>
      <c r="AE665" s="115">
        <f t="shared" si="7"/>
        <v>215.35</v>
      </c>
      <c r="AF665" s="116" t="b">
        <f t="shared" si="8"/>
        <v>0</v>
      </c>
      <c r="AG665" s="105" t="b">
        <f t="shared" si="9"/>
        <v>0</v>
      </c>
      <c r="AH665" s="140"/>
      <c r="AI665" s="140"/>
      <c r="AJ665" s="140"/>
      <c r="AK665" s="117" t="str">
        <f t="shared" si="10"/>
        <v>Negative</v>
      </c>
      <c r="AL665" s="142"/>
      <c r="AM665" s="112" t="s">
        <v>649</v>
      </c>
      <c r="AN665" s="112" t="s">
        <v>336</v>
      </c>
      <c r="AO665" s="112" t="str">
        <f>IFERROR(__xludf.DUMMYFUNCTION("IF($AG665, ""DELETED"",TRIM(JOIN("" "",D665:E665)))"),"")</f>
        <v/>
      </c>
      <c r="AP665" s="112" t="str">
        <f t="shared" ref="AP665:AQ665" si="690">IF($AG665, "DELETED", TRIM(CONCATENATE(F665,I665,U665)))</f>
        <v/>
      </c>
      <c r="AQ665" s="112" t="str">
        <f t="shared" si="690"/>
        <v/>
      </c>
      <c r="AR665" s="112" t="str">
        <f>IFERROR(__xludf.DUMMYFUNCTION("IF($AG665, ""DELETED"", TRIM(JOIN("" "",AP665,AQ665)))"),"")</f>
        <v/>
      </c>
      <c r="AS665" s="118"/>
      <c r="AT665" s="110" t="b">
        <f t="shared" si="12"/>
        <v>0</v>
      </c>
      <c r="AU665" s="110" t="str">
        <f t="shared" si="13"/>
        <v/>
      </c>
      <c r="AV665" s="110" t="str">
        <f t="shared" si="14"/>
        <v/>
      </c>
      <c r="AW665" s="110" t="str">
        <f t="shared" si="15"/>
        <v/>
      </c>
      <c r="AX665" s="119" t="str">
        <f t="shared" si="16"/>
        <v/>
      </c>
      <c r="AY665" s="120"/>
      <c r="AZ665" s="121"/>
      <c r="BA665" s="122" t="str">
        <f t="shared" si="17"/>
        <v/>
      </c>
      <c r="BB665" s="34"/>
      <c r="BC665" s="121"/>
      <c r="BD665" s="136"/>
      <c r="BE665" s="125" t="str">
        <f t="shared" si="18"/>
        <v/>
      </c>
      <c r="BF665" s="126" t="str">
        <f t="shared" si="19"/>
        <v>FM2089__44623_0.311041666666667</v>
      </c>
      <c r="BG665" s="127" t="str">
        <f t="shared" si="20"/>
        <v/>
      </c>
      <c r="BH665" s="137" t="s">
        <v>1852</v>
      </c>
      <c r="BI665" s="128" t="str">
        <f t="shared" si="21"/>
        <v>MA477A</v>
      </c>
      <c r="BJ665" s="129" t="b">
        <f t="shared" si="22"/>
        <v>0</v>
      </c>
      <c r="BK665" s="128" t="str">
        <f t="shared" si="23"/>
        <v/>
      </c>
      <c r="BL665" s="121"/>
      <c r="BM665" s="5" t="str">
        <f t="shared" si="24"/>
        <v>MISSING</v>
      </c>
      <c r="BN665" s="120" t="b">
        <f t="shared" si="25"/>
        <v>0</v>
      </c>
      <c r="BO665" s="131" t="b">
        <f t="shared" si="26"/>
        <v>1</v>
      </c>
      <c r="BP665" s="121"/>
      <c r="BQ665" s="132" t="str">
        <f>VLOOKUP(A665,RAW_APS!A$3:O826,15,FALSE)</f>
        <v/>
      </c>
      <c r="BR665" s="120" t="b">
        <f t="shared" si="27"/>
        <v>1</v>
      </c>
      <c r="BS665" s="121"/>
      <c r="BT665" s="138" t="s">
        <v>244</v>
      </c>
      <c r="BU665" s="10" t="b">
        <f t="shared" si="28"/>
        <v>1</v>
      </c>
      <c r="BV665" s="120"/>
      <c r="BW665" s="120"/>
      <c r="BX665" s="120"/>
      <c r="BY665" s="120"/>
      <c r="BZ665" s="120"/>
      <c r="CA665" s="120"/>
      <c r="CB665" s="120"/>
      <c r="CC665" s="120"/>
    </row>
    <row r="666">
      <c r="A666" s="2" t="s">
        <v>1853</v>
      </c>
      <c r="B666" s="100">
        <v>44623.0</v>
      </c>
      <c r="C666" s="101">
        <v>0.3132523148148148</v>
      </c>
      <c r="D666" s="102"/>
      <c r="E666" s="102"/>
      <c r="F666" s="102"/>
      <c r="G666" s="102"/>
      <c r="H666" s="102"/>
      <c r="I666" s="103"/>
      <c r="J666" s="103"/>
      <c r="K666" s="2" t="s">
        <v>244</v>
      </c>
      <c r="L666" s="100">
        <v>44623.0</v>
      </c>
      <c r="M666" s="101">
        <v>0.4605902777777778</v>
      </c>
      <c r="P666" s="104" t="b">
        <f>IFNA(IF(VLOOKUP($A666,'Add from APT'!$AA$2:$AC826,3,FALSE)&gt;0,TRUE,FALSE),"ER - NOT IN APT")</f>
        <v>0</v>
      </c>
      <c r="Q666" s="105" t="str">
        <f>IF(ISLOGICAL(P666),IF(P666,"ER - REPS IN APT", IFNA(VLOOKUP($A666,RAW_APT!$A$3:$M826,7,FALSE),"ER - NOT IN APT")),P666)</f>
        <v>Result</v>
      </c>
      <c r="R666" s="106" t="b">
        <f t="shared" si="2"/>
        <v>1</v>
      </c>
      <c r="S666" s="107">
        <f t="shared" si="3"/>
        <v>1</v>
      </c>
      <c r="T666" s="143"/>
      <c r="U666" s="142"/>
      <c r="V666" s="142"/>
      <c r="W666" s="142"/>
      <c r="X666" s="110" t="b">
        <f t="shared" si="4"/>
        <v>0</v>
      </c>
      <c r="Y666" s="111" t="b">
        <v>0</v>
      </c>
      <c r="Z666" s="104" t="str">
        <f t="shared" si="5"/>
        <v/>
      </c>
      <c r="AA666" s="112" t="b">
        <f t="shared" si="6"/>
        <v>0</v>
      </c>
      <c r="AB666" s="142" t="b">
        <v>0</v>
      </c>
      <c r="AC666" s="140">
        <v>152.0</v>
      </c>
      <c r="AD666" s="141" t="b">
        <v>0</v>
      </c>
      <c r="AE666" s="115">
        <f t="shared" si="7"/>
        <v>212.1666667</v>
      </c>
      <c r="AF666" s="116" t="b">
        <f t="shared" si="8"/>
        <v>0</v>
      </c>
      <c r="AG666" s="105" t="b">
        <f t="shared" si="9"/>
        <v>0</v>
      </c>
      <c r="AH666" s="140"/>
      <c r="AI666" s="140"/>
      <c r="AJ666" s="140"/>
      <c r="AK666" s="117" t="str">
        <f t="shared" si="10"/>
        <v>Negative</v>
      </c>
      <c r="AL666" s="142"/>
      <c r="AM666" s="112" t="s">
        <v>618</v>
      </c>
      <c r="AN666" s="112" t="s">
        <v>619</v>
      </c>
      <c r="AO666" s="112" t="str">
        <f>IFERROR(__xludf.DUMMYFUNCTION("IF($AG666, ""DELETED"",TRIM(JOIN("" "",D666:E666)))"),"")</f>
        <v/>
      </c>
      <c r="AP666" s="112" t="str">
        <f t="shared" ref="AP666:AQ666" si="691">IF($AG666, "DELETED", TRIM(CONCATENATE(F666,I666,U666)))</f>
        <v/>
      </c>
      <c r="AQ666" s="112" t="str">
        <f t="shared" si="691"/>
        <v/>
      </c>
      <c r="AR666" s="112" t="str">
        <f>IFERROR(__xludf.DUMMYFUNCTION("IF($AG666, ""DELETED"", TRIM(JOIN("" "",AP666,AQ666)))"),"")</f>
        <v/>
      </c>
      <c r="AS666" s="118"/>
      <c r="AT666" s="110" t="b">
        <f t="shared" si="12"/>
        <v>0</v>
      </c>
      <c r="AU666" s="110" t="str">
        <f t="shared" si="13"/>
        <v/>
      </c>
      <c r="AV666" s="110" t="str">
        <f t="shared" si="14"/>
        <v/>
      </c>
      <c r="AW666" s="110" t="str">
        <f t="shared" si="15"/>
        <v/>
      </c>
      <c r="AX666" s="119" t="str">
        <f t="shared" si="16"/>
        <v/>
      </c>
      <c r="AY666" s="120"/>
      <c r="AZ666" s="121"/>
      <c r="BA666" s="122" t="str">
        <f t="shared" si="17"/>
        <v/>
      </c>
      <c r="BB666" s="34"/>
      <c r="BC666" s="121"/>
      <c r="BD666" s="136"/>
      <c r="BE666" s="125" t="str">
        <f t="shared" si="18"/>
        <v/>
      </c>
      <c r="BF666" s="126" t="str">
        <f t="shared" si="19"/>
        <v>FM968__44623_0.313252314814815</v>
      </c>
      <c r="BG666" s="127" t="str">
        <f t="shared" si="20"/>
        <v/>
      </c>
      <c r="BH666" s="137" t="s">
        <v>1854</v>
      </c>
      <c r="BI666" s="128" t="str">
        <f t="shared" si="21"/>
        <v>MA478</v>
      </c>
      <c r="BJ666" s="129" t="b">
        <f t="shared" si="22"/>
        <v>0</v>
      </c>
      <c r="BK666" s="128" t="str">
        <f t="shared" si="23"/>
        <v/>
      </c>
      <c r="BL666" s="121"/>
      <c r="BM666" s="5" t="str">
        <f t="shared" si="24"/>
        <v>MISSING</v>
      </c>
      <c r="BN666" s="120" t="b">
        <f t="shared" si="25"/>
        <v>0</v>
      </c>
      <c r="BO666" s="131" t="b">
        <f t="shared" si="26"/>
        <v>1</v>
      </c>
      <c r="BP666" s="121"/>
      <c r="BQ666" s="132" t="str">
        <f>VLOOKUP(A666,RAW_APS!A$3:O826,15,FALSE)</f>
        <v/>
      </c>
      <c r="BR666" s="120" t="b">
        <f t="shared" si="27"/>
        <v>1</v>
      </c>
      <c r="BS666" s="121"/>
      <c r="BT666" s="138" t="s">
        <v>244</v>
      </c>
      <c r="BU666" s="10" t="b">
        <f t="shared" si="28"/>
        <v>1</v>
      </c>
      <c r="BV666" s="120"/>
      <c r="BW666" s="120"/>
      <c r="BX666" s="120"/>
      <c r="BY666" s="120"/>
      <c r="BZ666" s="120"/>
      <c r="CA666" s="120"/>
      <c r="CB666" s="120"/>
      <c r="CC666" s="120"/>
    </row>
    <row r="667">
      <c r="A667" s="2" t="s">
        <v>1855</v>
      </c>
      <c r="B667" s="100">
        <v>44623.0</v>
      </c>
      <c r="C667" s="101">
        <v>0.3156481481481481</v>
      </c>
      <c r="D667" s="102"/>
      <c r="E667" s="102"/>
      <c r="F667" s="102"/>
      <c r="G667" s="102"/>
      <c r="H667" s="102"/>
      <c r="I667" s="103"/>
      <c r="J667" s="103"/>
      <c r="K667" s="2" t="s">
        <v>244</v>
      </c>
      <c r="L667" s="100">
        <v>44623.0</v>
      </c>
      <c r="M667" s="101">
        <v>0.4605902777777778</v>
      </c>
      <c r="P667" s="104" t="b">
        <f>IFNA(IF(VLOOKUP($A667,'Add from APT'!$AA$2:$AC826,3,FALSE)&gt;0,TRUE,FALSE),"ER - NOT IN APT")</f>
        <v>0</v>
      </c>
      <c r="Q667" s="105" t="str">
        <f>IF(ISLOGICAL(P667),IF(P667,"ER - REPS IN APT", IFNA(VLOOKUP($A667,RAW_APT!$A$3:$M826,7,FALSE),"ER - NOT IN APT")),P667)</f>
        <v>Result</v>
      </c>
      <c r="R667" s="106" t="b">
        <f t="shared" si="2"/>
        <v>1</v>
      </c>
      <c r="S667" s="107">
        <f t="shared" si="3"/>
        <v>1</v>
      </c>
      <c r="T667" s="143"/>
      <c r="U667" s="142"/>
      <c r="V667" s="142"/>
      <c r="W667" s="142"/>
      <c r="X667" s="110" t="b">
        <f t="shared" si="4"/>
        <v>0</v>
      </c>
      <c r="Y667" s="111" t="b">
        <v>0</v>
      </c>
      <c r="Z667" s="104" t="str">
        <f t="shared" si="5"/>
        <v/>
      </c>
      <c r="AA667" s="112" t="b">
        <f t="shared" si="6"/>
        <v>0</v>
      </c>
      <c r="AB667" s="142" t="b">
        <v>0</v>
      </c>
      <c r="AC667" s="140">
        <v>151.0</v>
      </c>
      <c r="AD667" s="141" t="b">
        <v>0</v>
      </c>
      <c r="AE667" s="115">
        <f t="shared" si="7"/>
        <v>208.7166667</v>
      </c>
      <c r="AF667" s="116" t="b">
        <f t="shared" si="8"/>
        <v>0</v>
      </c>
      <c r="AG667" s="105" t="b">
        <f t="shared" si="9"/>
        <v>0</v>
      </c>
      <c r="AH667" s="140"/>
      <c r="AI667" s="140"/>
      <c r="AJ667" s="140"/>
      <c r="AK667" s="117" t="str">
        <f t="shared" si="10"/>
        <v>Negative</v>
      </c>
      <c r="AL667" s="142"/>
      <c r="AM667" s="112" t="s">
        <v>1656</v>
      </c>
      <c r="AN667" s="112" t="s">
        <v>1657</v>
      </c>
      <c r="AO667" s="112" t="str">
        <f>IFERROR(__xludf.DUMMYFUNCTION("IF($AG667, ""DELETED"",TRIM(JOIN("" "",D667:E667)))"),"")</f>
        <v/>
      </c>
      <c r="AP667" s="112" t="str">
        <f t="shared" ref="AP667:AQ667" si="692">IF($AG667, "DELETED", TRIM(CONCATENATE(F667,I667,U667)))</f>
        <v/>
      </c>
      <c r="AQ667" s="112" t="str">
        <f t="shared" si="692"/>
        <v/>
      </c>
      <c r="AR667" s="112" t="str">
        <f>IFERROR(__xludf.DUMMYFUNCTION("IF($AG667, ""DELETED"", TRIM(JOIN("" "",AP667,AQ667)))"),"")</f>
        <v/>
      </c>
      <c r="AS667" s="118"/>
      <c r="AT667" s="110" t="b">
        <f t="shared" si="12"/>
        <v>0</v>
      </c>
      <c r="AU667" s="110" t="str">
        <f t="shared" si="13"/>
        <v/>
      </c>
      <c r="AV667" s="110" t="str">
        <f t="shared" si="14"/>
        <v/>
      </c>
      <c r="AW667" s="110" t="str">
        <f t="shared" si="15"/>
        <v/>
      </c>
      <c r="AX667" s="119" t="str">
        <f t="shared" si="16"/>
        <v/>
      </c>
      <c r="AY667" s="120"/>
      <c r="AZ667" s="121"/>
      <c r="BA667" s="122" t="str">
        <f t="shared" si="17"/>
        <v/>
      </c>
      <c r="BB667" s="34"/>
      <c r="BC667" s="121"/>
      <c r="BD667" s="136"/>
      <c r="BE667" s="125" t="str">
        <f t="shared" si="18"/>
        <v/>
      </c>
      <c r="BF667" s="126" t="str">
        <f t="shared" si="19"/>
        <v>FM2078__44623_0.315648148148148</v>
      </c>
      <c r="BG667" s="127" t="str">
        <f t="shared" si="20"/>
        <v/>
      </c>
      <c r="BH667" s="137" t="s">
        <v>1856</v>
      </c>
      <c r="BI667" s="128" t="str">
        <f t="shared" si="21"/>
        <v>MA479</v>
      </c>
      <c r="BJ667" s="129" t="b">
        <f t="shared" si="22"/>
        <v>0</v>
      </c>
      <c r="BK667" s="128" t="str">
        <f t="shared" si="23"/>
        <v/>
      </c>
      <c r="BL667" s="121"/>
      <c r="BM667" s="5" t="str">
        <f t="shared" si="24"/>
        <v>MISSING</v>
      </c>
      <c r="BN667" s="120" t="b">
        <f t="shared" si="25"/>
        <v>0</v>
      </c>
      <c r="BO667" s="131" t="b">
        <f t="shared" si="26"/>
        <v>1</v>
      </c>
      <c r="BP667" s="121"/>
      <c r="BQ667" s="132" t="str">
        <f>VLOOKUP(A667,RAW_APS!A$3:O826,15,FALSE)</f>
        <v/>
      </c>
      <c r="BR667" s="120" t="b">
        <f t="shared" si="27"/>
        <v>1</v>
      </c>
      <c r="BS667" s="121"/>
      <c r="BT667" s="138" t="s">
        <v>244</v>
      </c>
      <c r="BU667" s="10" t="b">
        <f t="shared" si="28"/>
        <v>1</v>
      </c>
      <c r="BV667" s="120"/>
      <c r="BW667" s="120"/>
      <c r="BX667" s="120"/>
      <c r="BY667" s="120"/>
      <c r="BZ667" s="120"/>
      <c r="CA667" s="120"/>
      <c r="CB667" s="120"/>
      <c r="CC667" s="120"/>
    </row>
    <row r="668">
      <c r="A668" s="2" t="s">
        <v>1857</v>
      </c>
      <c r="B668" s="100">
        <v>44623.0</v>
      </c>
      <c r="C668" s="101">
        <v>0.3174074074074074</v>
      </c>
      <c r="D668" s="102"/>
      <c r="E668" s="102"/>
      <c r="F668" s="102"/>
      <c r="G668" s="102"/>
      <c r="H668" s="102"/>
      <c r="I668" s="103"/>
      <c r="J668" s="103"/>
      <c r="K668" s="2" t="s">
        <v>244</v>
      </c>
      <c r="L668" s="100">
        <v>44623.0</v>
      </c>
      <c r="M668" s="101">
        <v>0.4605902777777778</v>
      </c>
      <c r="P668" s="104" t="b">
        <f>IFNA(IF(VLOOKUP($A668,'Add from APT'!$AA$2:$AC826,3,FALSE)&gt;0,TRUE,FALSE),"ER - NOT IN APT")</f>
        <v>0</v>
      </c>
      <c r="Q668" s="105" t="str">
        <f>IF(ISLOGICAL(P668),IF(P668,"ER - REPS IN APT", IFNA(VLOOKUP($A668,RAW_APT!$A$3:$M826,7,FALSE),"ER - NOT IN APT")),P668)</f>
        <v>Result</v>
      </c>
      <c r="R668" s="106" t="b">
        <f t="shared" si="2"/>
        <v>1</v>
      </c>
      <c r="S668" s="107">
        <f t="shared" si="3"/>
        <v>1</v>
      </c>
      <c r="T668" s="143"/>
      <c r="U668" s="142"/>
      <c r="V668" s="142"/>
      <c r="W668" s="142"/>
      <c r="X668" s="110" t="b">
        <f t="shared" si="4"/>
        <v>0</v>
      </c>
      <c r="Y668" s="111" t="b">
        <v>0</v>
      </c>
      <c r="Z668" s="104" t="str">
        <f t="shared" si="5"/>
        <v/>
      </c>
      <c r="AA668" s="112" t="b">
        <f t="shared" si="6"/>
        <v>0</v>
      </c>
      <c r="AB668" s="142" t="b">
        <v>0</v>
      </c>
      <c r="AC668" s="140">
        <v>150.0</v>
      </c>
      <c r="AD668" s="141" t="b">
        <v>0</v>
      </c>
      <c r="AE668" s="115">
        <f t="shared" si="7"/>
        <v>206.1833333</v>
      </c>
      <c r="AF668" s="116" t="b">
        <f t="shared" si="8"/>
        <v>0</v>
      </c>
      <c r="AG668" s="105" t="b">
        <f t="shared" si="9"/>
        <v>0</v>
      </c>
      <c r="AH668" s="140"/>
      <c r="AI668" s="140"/>
      <c r="AJ668" s="140"/>
      <c r="AK668" s="117" t="str">
        <f t="shared" si="10"/>
        <v>Negative</v>
      </c>
      <c r="AL668" s="142"/>
      <c r="AM668" s="112" t="s">
        <v>1575</v>
      </c>
      <c r="AN668" s="112" t="s">
        <v>893</v>
      </c>
      <c r="AO668" s="112" t="str">
        <f>IFERROR(__xludf.DUMMYFUNCTION("IF($AG668, ""DELETED"",TRIM(JOIN("" "",D668:E668)))"),"")</f>
        <v/>
      </c>
      <c r="AP668" s="112" t="str">
        <f t="shared" ref="AP668:AQ668" si="693">IF($AG668, "DELETED", TRIM(CONCATENATE(F668,I668,U668)))</f>
        <v/>
      </c>
      <c r="AQ668" s="112" t="str">
        <f t="shared" si="693"/>
        <v/>
      </c>
      <c r="AR668" s="112" t="str">
        <f>IFERROR(__xludf.DUMMYFUNCTION("IF($AG668, ""DELETED"", TRIM(JOIN("" "",AP668,AQ668)))"),"")</f>
        <v/>
      </c>
      <c r="AS668" s="118"/>
      <c r="AT668" s="110" t="b">
        <f t="shared" si="12"/>
        <v>0</v>
      </c>
      <c r="AU668" s="110" t="str">
        <f t="shared" si="13"/>
        <v/>
      </c>
      <c r="AV668" s="110" t="str">
        <f t="shared" si="14"/>
        <v/>
      </c>
      <c r="AW668" s="110" t="str">
        <f t="shared" si="15"/>
        <v/>
      </c>
      <c r="AX668" s="119" t="str">
        <f t="shared" si="16"/>
        <v/>
      </c>
      <c r="AY668" s="120"/>
      <c r="AZ668" s="121"/>
      <c r="BA668" s="122" t="str">
        <f t="shared" si="17"/>
        <v/>
      </c>
      <c r="BB668" s="34"/>
      <c r="BC668" s="121"/>
      <c r="BD668" s="136"/>
      <c r="BE668" s="125" t="str">
        <f t="shared" si="18"/>
        <v/>
      </c>
      <c r="BF668" s="126" t="str">
        <f t="shared" si="19"/>
        <v>FM525__44623_0.317407407407407</v>
      </c>
      <c r="BG668" s="127" t="str">
        <f t="shared" si="20"/>
        <v/>
      </c>
      <c r="BH668" s="137" t="s">
        <v>1858</v>
      </c>
      <c r="BI668" s="128" t="str">
        <f t="shared" si="21"/>
        <v>MA480</v>
      </c>
      <c r="BJ668" s="129" t="b">
        <f t="shared" si="22"/>
        <v>0</v>
      </c>
      <c r="BK668" s="128" t="str">
        <f t="shared" si="23"/>
        <v/>
      </c>
      <c r="BL668" s="121"/>
      <c r="BM668" s="5" t="str">
        <f t="shared" si="24"/>
        <v>MISSING</v>
      </c>
      <c r="BN668" s="120" t="b">
        <f t="shared" si="25"/>
        <v>0</v>
      </c>
      <c r="BO668" s="131" t="b">
        <f t="shared" si="26"/>
        <v>1</v>
      </c>
      <c r="BP668" s="121"/>
      <c r="BQ668" s="132" t="str">
        <f>VLOOKUP(A668,RAW_APS!A$3:O826,15,FALSE)</f>
        <v/>
      </c>
      <c r="BR668" s="120" t="b">
        <f t="shared" si="27"/>
        <v>1</v>
      </c>
      <c r="BS668" s="121"/>
      <c r="BT668" s="138" t="s">
        <v>244</v>
      </c>
      <c r="BU668" s="10" t="b">
        <f t="shared" si="28"/>
        <v>1</v>
      </c>
      <c r="BV668" s="120"/>
      <c r="BW668" s="120"/>
      <c r="BX668" s="120"/>
      <c r="BY668" s="120"/>
      <c r="BZ668" s="120"/>
      <c r="CA668" s="120"/>
      <c r="CB668" s="120"/>
      <c r="CC668" s="120"/>
    </row>
    <row r="669">
      <c r="A669" s="2" t="s">
        <v>1859</v>
      </c>
      <c r="B669" s="100">
        <v>44623.0</v>
      </c>
      <c r="C669" s="101">
        <v>0.31928240740740743</v>
      </c>
      <c r="D669" s="102"/>
      <c r="E669" s="102"/>
      <c r="F669" s="102"/>
      <c r="G669" s="102"/>
      <c r="H669" s="102"/>
      <c r="I669" s="103"/>
      <c r="J669" s="103"/>
      <c r="K669" s="2" t="s">
        <v>244</v>
      </c>
      <c r="L669" s="100">
        <v>44623.0</v>
      </c>
      <c r="M669" s="101">
        <v>0.4605902777777778</v>
      </c>
      <c r="P669" s="104" t="b">
        <f>IFNA(IF(VLOOKUP($A669,'Add from APT'!$AA$2:$AC826,3,FALSE)&gt;0,TRUE,FALSE),"ER - NOT IN APT")</f>
        <v>0</v>
      </c>
      <c r="Q669" s="105" t="str">
        <f>IF(ISLOGICAL(P669),IF(P669,"ER - REPS IN APT", IFNA(VLOOKUP($A669,RAW_APT!$A$3:$M826,7,FALSE),"ER - NOT IN APT")),P669)</f>
        <v>Result</v>
      </c>
      <c r="R669" s="106" t="b">
        <f t="shared" si="2"/>
        <v>1</v>
      </c>
      <c r="S669" s="107">
        <f t="shared" si="3"/>
        <v>1</v>
      </c>
      <c r="T669" s="143"/>
      <c r="U669" s="142"/>
      <c r="V669" s="142"/>
      <c r="W669" s="142"/>
      <c r="X669" s="110" t="b">
        <f t="shared" si="4"/>
        <v>0</v>
      </c>
      <c r="Y669" s="111" t="b">
        <v>0</v>
      </c>
      <c r="Z669" s="104" t="str">
        <f t="shared" si="5"/>
        <v/>
      </c>
      <c r="AA669" s="112" t="b">
        <f t="shared" si="6"/>
        <v>0</v>
      </c>
      <c r="AB669" s="142" t="b">
        <v>0</v>
      </c>
      <c r="AC669" s="140">
        <v>149.0</v>
      </c>
      <c r="AD669" s="141" t="b">
        <v>0</v>
      </c>
      <c r="AE669" s="115">
        <f t="shared" si="7"/>
        <v>203.4833333</v>
      </c>
      <c r="AF669" s="116" t="b">
        <f t="shared" si="8"/>
        <v>0</v>
      </c>
      <c r="AG669" s="105" t="b">
        <f t="shared" si="9"/>
        <v>0</v>
      </c>
      <c r="AH669" s="140"/>
      <c r="AI669" s="140"/>
      <c r="AJ669" s="140"/>
      <c r="AK669" s="117" t="str">
        <f t="shared" si="10"/>
        <v>Negative</v>
      </c>
      <c r="AL669" s="142"/>
      <c r="AM669" s="112" t="s">
        <v>409</v>
      </c>
      <c r="AN669" s="112" t="s">
        <v>410</v>
      </c>
      <c r="AO669" s="112" t="str">
        <f>IFERROR(__xludf.DUMMYFUNCTION("IF($AG669, ""DELETED"",TRIM(JOIN("" "",D669:E669)))"),"")</f>
        <v/>
      </c>
      <c r="AP669" s="112" t="str">
        <f t="shared" ref="AP669:AQ669" si="694">IF($AG669, "DELETED", TRIM(CONCATENATE(F669,I669,U669)))</f>
        <v/>
      </c>
      <c r="AQ669" s="112" t="str">
        <f t="shared" si="694"/>
        <v/>
      </c>
      <c r="AR669" s="112" t="str">
        <f>IFERROR(__xludf.DUMMYFUNCTION("IF($AG669, ""DELETED"", TRIM(JOIN("" "",AP669,AQ669)))"),"")</f>
        <v/>
      </c>
      <c r="AS669" s="118"/>
      <c r="AT669" s="110" t="b">
        <f t="shared" si="12"/>
        <v>0</v>
      </c>
      <c r="AU669" s="110" t="str">
        <f t="shared" si="13"/>
        <v/>
      </c>
      <c r="AV669" s="110" t="str">
        <f t="shared" si="14"/>
        <v/>
      </c>
      <c r="AW669" s="110" t="str">
        <f t="shared" si="15"/>
        <v/>
      </c>
      <c r="AX669" s="119" t="str">
        <f t="shared" si="16"/>
        <v/>
      </c>
      <c r="AY669" s="120"/>
      <c r="AZ669" s="121"/>
      <c r="BA669" s="122" t="str">
        <f t="shared" si="17"/>
        <v/>
      </c>
      <c r="BB669" s="34"/>
      <c r="BC669" s="121"/>
      <c r="BD669" s="136"/>
      <c r="BE669" s="125" t="str">
        <f t="shared" si="18"/>
        <v/>
      </c>
      <c r="BF669" s="126" t="str">
        <f t="shared" si="19"/>
        <v>FM2085__44623_0.319282407407407</v>
      </c>
      <c r="BG669" s="127" t="str">
        <f t="shared" si="20"/>
        <v/>
      </c>
      <c r="BH669" s="137" t="s">
        <v>1860</v>
      </c>
      <c r="BI669" s="128" t="str">
        <f t="shared" si="21"/>
        <v>MA490</v>
      </c>
      <c r="BJ669" s="129" t="b">
        <f t="shared" si="22"/>
        <v>0</v>
      </c>
      <c r="BK669" s="128" t="str">
        <f t="shared" si="23"/>
        <v/>
      </c>
      <c r="BL669" s="121"/>
      <c r="BM669" s="5" t="str">
        <f t="shared" si="24"/>
        <v>MISSING</v>
      </c>
      <c r="BN669" s="120" t="b">
        <f t="shared" si="25"/>
        <v>0</v>
      </c>
      <c r="BO669" s="131" t="b">
        <f t="shared" si="26"/>
        <v>1</v>
      </c>
      <c r="BP669" s="121"/>
      <c r="BQ669" s="132" t="str">
        <f>VLOOKUP(A669,RAW_APS!A$3:O826,15,FALSE)</f>
        <v/>
      </c>
      <c r="BR669" s="120" t="b">
        <f t="shared" si="27"/>
        <v>1</v>
      </c>
      <c r="BS669" s="121"/>
      <c r="BT669" s="138" t="s">
        <v>244</v>
      </c>
      <c r="BU669" s="10" t="b">
        <f t="shared" si="28"/>
        <v>1</v>
      </c>
      <c r="BV669" s="120"/>
      <c r="BW669" s="120"/>
      <c r="BX669" s="120"/>
      <c r="BY669" s="120"/>
      <c r="BZ669" s="120"/>
      <c r="CA669" s="120"/>
      <c r="CB669" s="120"/>
      <c r="CC669" s="120"/>
    </row>
    <row r="670">
      <c r="A670" s="2" t="s">
        <v>1861</v>
      </c>
      <c r="B670" s="100">
        <v>44623.0</v>
      </c>
      <c r="C670" s="101">
        <v>0.32112268518518516</v>
      </c>
      <c r="D670" s="102"/>
      <c r="E670" s="102"/>
      <c r="F670" s="102"/>
      <c r="G670" s="102"/>
      <c r="H670" s="102"/>
      <c r="I670" s="103"/>
      <c r="J670" s="103"/>
      <c r="K670" s="2" t="s">
        <v>244</v>
      </c>
      <c r="L670" s="100">
        <v>44623.0</v>
      </c>
      <c r="M670" s="101">
        <v>0.4605902777777778</v>
      </c>
      <c r="P670" s="104" t="b">
        <f>IFNA(IF(VLOOKUP($A670,'Add from APT'!$AA$2:$AC826,3,FALSE)&gt;0,TRUE,FALSE),"ER - NOT IN APT")</f>
        <v>0</v>
      </c>
      <c r="Q670" s="105" t="str">
        <f>IF(ISLOGICAL(P670),IF(P670,"ER - REPS IN APT", IFNA(VLOOKUP($A670,RAW_APT!$A$3:$M826,7,FALSE),"ER - NOT IN APT")),P670)</f>
        <v>Result</v>
      </c>
      <c r="R670" s="106" t="b">
        <f t="shared" si="2"/>
        <v>1</v>
      </c>
      <c r="S670" s="107">
        <f t="shared" si="3"/>
        <v>1</v>
      </c>
      <c r="T670" s="143"/>
      <c r="U670" s="142"/>
      <c r="V670" s="142"/>
      <c r="W670" s="142"/>
      <c r="X670" s="110" t="b">
        <f t="shared" si="4"/>
        <v>0</v>
      </c>
      <c r="Y670" s="111" t="b">
        <v>0</v>
      </c>
      <c r="Z670" s="104" t="str">
        <f t="shared" si="5"/>
        <v/>
      </c>
      <c r="AA670" s="112" t="b">
        <f t="shared" si="6"/>
        <v>0</v>
      </c>
      <c r="AB670" s="142" t="b">
        <v>0</v>
      </c>
      <c r="AC670" s="140">
        <v>148.0</v>
      </c>
      <c r="AD670" s="141" t="b">
        <v>0</v>
      </c>
      <c r="AE670" s="115">
        <f t="shared" si="7"/>
        <v>200.8333333</v>
      </c>
      <c r="AF670" s="116" t="b">
        <f t="shared" si="8"/>
        <v>0</v>
      </c>
      <c r="AG670" s="105" t="b">
        <f t="shared" si="9"/>
        <v>0</v>
      </c>
      <c r="AH670" s="140"/>
      <c r="AI670" s="140"/>
      <c r="AJ670" s="140"/>
      <c r="AK670" s="117" t="str">
        <f t="shared" si="10"/>
        <v>Negative</v>
      </c>
      <c r="AL670" s="142"/>
      <c r="AM670" s="112" t="s">
        <v>465</v>
      </c>
      <c r="AN670" s="112" t="s">
        <v>466</v>
      </c>
      <c r="AO670" s="112" t="str">
        <f>IFERROR(__xludf.DUMMYFUNCTION("IF($AG670, ""DELETED"",TRIM(JOIN("" "",D670:E670)))"),"")</f>
        <v/>
      </c>
      <c r="AP670" s="112" t="str">
        <f t="shared" ref="AP670:AQ670" si="695">IF($AG670, "DELETED", TRIM(CONCATENATE(F670,I670,U670)))</f>
        <v/>
      </c>
      <c r="AQ670" s="112" t="str">
        <f t="shared" si="695"/>
        <v/>
      </c>
      <c r="AR670" s="112" t="str">
        <f>IFERROR(__xludf.DUMMYFUNCTION("IF($AG670, ""DELETED"", TRIM(JOIN("" "",AP670,AQ670)))"),"")</f>
        <v/>
      </c>
      <c r="AS670" s="118"/>
      <c r="AT670" s="110" t="b">
        <f t="shared" si="12"/>
        <v>0</v>
      </c>
      <c r="AU670" s="110" t="str">
        <f t="shared" si="13"/>
        <v/>
      </c>
      <c r="AV670" s="110" t="str">
        <f t="shared" si="14"/>
        <v/>
      </c>
      <c r="AW670" s="110" t="str">
        <f t="shared" si="15"/>
        <v/>
      </c>
      <c r="AX670" s="119" t="str">
        <f t="shared" si="16"/>
        <v/>
      </c>
      <c r="AY670" s="120"/>
      <c r="AZ670" s="121"/>
      <c r="BA670" s="122" t="str">
        <f t="shared" si="17"/>
        <v/>
      </c>
      <c r="BB670" s="34"/>
      <c r="BC670" s="121"/>
      <c r="BD670" s="136"/>
      <c r="BE670" s="125" t="str">
        <f t="shared" si="18"/>
        <v/>
      </c>
      <c r="BF670" s="126" t="str">
        <f t="shared" si="19"/>
        <v>FM802__44623_0.321122685185185</v>
      </c>
      <c r="BG670" s="127" t="str">
        <f t="shared" si="20"/>
        <v/>
      </c>
      <c r="BH670" s="137" t="s">
        <v>1862</v>
      </c>
      <c r="BI670" s="128" t="str">
        <f t="shared" si="21"/>
        <v>MA524</v>
      </c>
      <c r="BJ670" s="129" t="b">
        <f t="shared" si="22"/>
        <v>0</v>
      </c>
      <c r="BK670" s="128" t="str">
        <f t="shared" si="23"/>
        <v/>
      </c>
      <c r="BL670" s="121"/>
      <c r="BM670" s="5" t="str">
        <f t="shared" si="24"/>
        <v>MISSING</v>
      </c>
      <c r="BN670" s="120" t="b">
        <f t="shared" si="25"/>
        <v>0</v>
      </c>
      <c r="BO670" s="131" t="b">
        <f t="shared" si="26"/>
        <v>1</v>
      </c>
      <c r="BP670" s="121"/>
      <c r="BQ670" s="132" t="str">
        <f>VLOOKUP(A670,RAW_APS!A$3:O826,15,FALSE)</f>
        <v/>
      </c>
      <c r="BR670" s="120" t="b">
        <f t="shared" si="27"/>
        <v>1</v>
      </c>
      <c r="BS670" s="121"/>
      <c r="BT670" s="138" t="s">
        <v>244</v>
      </c>
      <c r="BU670" s="10" t="b">
        <f t="shared" si="28"/>
        <v>1</v>
      </c>
      <c r="BV670" s="120"/>
      <c r="BW670" s="120"/>
      <c r="BX670" s="120"/>
      <c r="BY670" s="120"/>
      <c r="BZ670" s="120"/>
      <c r="CA670" s="120"/>
      <c r="CB670" s="120"/>
      <c r="CC670" s="120"/>
    </row>
    <row r="671">
      <c r="A671" s="2" t="s">
        <v>1863</v>
      </c>
      <c r="B671" s="100">
        <v>44623.0</v>
      </c>
      <c r="C671" s="101">
        <v>0.32178240740740743</v>
      </c>
      <c r="D671" s="102"/>
      <c r="E671" s="102"/>
      <c r="F671" s="102"/>
      <c r="G671" s="102"/>
      <c r="H671" s="102"/>
      <c r="I671" s="103"/>
      <c r="J671" s="103"/>
      <c r="K671" s="2" t="s">
        <v>244</v>
      </c>
      <c r="L671" s="100">
        <v>44623.0</v>
      </c>
      <c r="M671" s="101">
        <v>0.4605902777777778</v>
      </c>
      <c r="P671" s="104" t="b">
        <f>IFNA(IF(VLOOKUP($A671,'Add from APT'!$AA$2:$AC826,3,FALSE)&gt;0,TRUE,FALSE),"ER - NOT IN APT")</f>
        <v>0</v>
      </c>
      <c r="Q671" s="105" t="str">
        <f>IF(ISLOGICAL(P671),IF(P671,"ER - REPS IN APT", IFNA(VLOOKUP($A671,RAW_APT!$A$3:$M826,7,FALSE),"ER - NOT IN APT")),P671)</f>
        <v>Result</v>
      </c>
      <c r="R671" s="106" t="b">
        <f t="shared" si="2"/>
        <v>1</v>
      </c>
      <c r="S671" s="107">
        <f t="shared" si="3"/>
        <v>1</v>
      </c>
      <c r="T671" s="143"/>
      <c r="U671" s="142"/>
      <c r="V671" s="142"/>
      <c r="W671" s="142"/>
      <c r="X671" s="110" t="b">
        <f t="shared" si="4"/>
        <v>0</v>
      </c>
      <c r="Y671" s="111" t="b">
        <v>0</v>
      </c>
      <c r="Z671" s="104" t="str">
        <f t="shared" si="5"/>
        <v/>
      </c>
      <c r="AA671" s="112" t="b">
        <f t="shared" si="6"/>
        <v>0</v>
      </c>
      <c r="AB671" s="142" t="b">
        <v>0</v>
      </c>
      <c r="AC671" s="140">
        <v>147.0</v>
      </c>
      <c r="AD671" s="141" t="b">
        <v>0</v>
      </c>
      <c r="AE671" s="115">
        <f t="shared" si="7"/>
        <v>199.8833333</v>
      </c>
      <c r="AF671" s="116" t="b">
        <f t="shared" si="8"/>
        <v>0</v>
      </c>
      <c r="AG671" s="105" t="b">
        <f t="shared" si="9"/>
        <v>0</v>
      </c>
      <c r="AH671" s="140"/>
      <c r="AI671" s="140"/>
      <c r="AJ671" s="140"/>
      <c r="AK671" s="117" t="str">
        <f t="shared" si="10"/>
        <v>Negative</v>
      </c>
      <c r="AL671" s="142"/>
      <c r="AM671" s="112" t="s">
        <v>875</v>
      </c>
      <c r="AN671" s="112" t="s">
        <v>876</v>
      </c>
      <c r="AO671" s="112" t="str">
        <f>IFERROR(__xludf.DUMMYFUNCTION("IF($AG671, ""DELETED"",TRIM(JOIN("" "",D671:E671)))"),"")</f>
        <v/>
      </c>
      <c r="AP671" s="112" t="str">
        <f t="shared" ref="AP671:AQ671" si="696">IF($AG671, "DELETED", TRIM(CONCATENATE(F671,I671,U671)))</f>
        <v/>
      </c>
      <c r="AQ671" s="112" t="str">
        <f t="shared" si="696"/>
        <v/>
      </c>
      <c r="AR671" s="112" t="str">
        <f>IFERROR(__xludf.DUMMYFUNCTION("IF($AG671, ""DELETED"", TRIM(JOIN("" "",AP671,AQ671)))"),"")</f>
        <v/>
      </c>
      <c r="AS671" s="118"/>
      <c r="AT671" s="110" t="b">
        <f t="shared" si="12"/>
        <v>0</v>
      </c>
      <c r="AU671" s="110" t="str">
        <f t="shared" si="13"/>
        <v/>
      </c>
      <c r="AV671" s="110" t="str">
        <f t="shared" si="14"/>
        <v/>
      </c>
      <c r="AW671" s="110" t="str">
        <f t="shared" si="15"/>
        <v/>
      </c>
      <c r="AX671" s="119" t="str">
        <f t="shared" si="16"/>
        <v/>
      </c>
      <c r="AY671" s="120"/>
      <c r="AZ671" s="121"/>
      <c r="BA671" s="122" t="str">
        <f t="shared" si="17"/>
        <v/>
      </c>
      <c r="BB671" s="34"/>
      <c r="BC671" s="121"/>
      <c r="BD671" s="136"/>
      <c r="BE671" s="125" t="str">
        <f t="shared" si="18"/>
        <v/>
      </c>
      <c r="BF671" s="126" t="str">
        <f t="shared" si="19"/>
        <v>MA1319__44623_0.321782407407407</v>
      </c>
      <c r="BG671" s="127" t="str">
        <f t="shared" si="20"/>
        <v/>
      </c>
      <c r="BH671" s="137" t="s">
        <v>1864</v>
      </c>
      <c r="BI671" s="128" t="str">
        <f t="shared" si="21"/>
        <v>MA542</v>
      </c>
      <c r="BJ671" s="129" t="b">
        <f t="shared" si="22"/>
        <v>0</v>
      </c>
      <c r="BK671" s="128" t="str">
        <f t="shared" si="23"/>
        <v/>
      </c>
      <c r="BL671" s="121"/>
      <c r="BM671" s="5" t="str">
        <f t="shared" si="24"/>
        <v>MISSING</v>
      </c>
      <c r="BN671" s="120" t="b">
        <f t="shared" si="25"/>
        <v>0</v>
      </c>
      <c r="BO671" s="131" t="b">
        <f t="shared" si="26"/>
        <v>1</v>
      </c>
      <c r="BP671" s="121"/>
      <c r="BQ671" s="132" t="str">
        <f>VLOOKUP(A671,RAW_APS!A$3:O826,15,FALSE)</f>
        <v/>
      </c>
      <c r="BR671" s="120" t="b">
        <f t="shared" si="27"/>
        <v>1</v>
      </c>
      <c r="BS671" s="121"/>
      <c r="BT671" s="138" t="s">
        <v>244</v>
      </c>
      <c r="BU671" s="10" t="b">
        <f t="shared" si="28"/>
        <v>1</v>
      </c>
      <c r="BV671" s="120"/>
      <c r="BW671" s="120"/>
      <c r="BX671" s="120"/>
      <c r="BY671" s="120"/>
      <c r="BZ671" s="120"/>
      <c r="CA671" s="120"/>
      <c r="CB671" s="120"/>
      <c r="CC671" s="120"/>
    </row>
    <row r="672">
      <c r="A672" s="2" t="s">
        <v>1865</v>
      </c>
      <c r="B672" s="100">
        <v>44623.0</v>
      </c>
      <c r="C672" s="101">
        <v>0.32197916666666665</v>
      </c>
      <c r="D672" s="102"/>
      <c r="E672" s="102"/>
      <c r="F672" s="102"/>
      <c r="G672" s="102"/>
      <c r="H672" s="102"/>
      <c r="I672" s="103"/>
      <c r="J672" s="103"/>
      <c r="K672" s="2" t="s">
        <v>244</v>
      </c>
      <c r="L672" s="100">
        <v>44623.0</v>
      </c>
      <c r="M672" s="101">
        <v>0.4605902777777778</v>
      </c>
      <c r="P672" s="104" t="b">
        <f>IFNA(IF(VLOOKUP($A672,'Add from APT'!$AA$2:$AC826,3,FALSE)&gt;0,TRUE,FALSE),"ER - NOT IN APT")</f>
        <v>0</v>
      </c>
      <c r="Q672" s="105" t="str">
        <f>IF(ISLOGICAL(P672),IF(P672,"ER - REPS IN APT", IFNA(VLOOKUP($A672,RAW_APT!$A$3:$M826,7,FALSE),"ER - NOT IN APT")),P672)</f>
        <v>Result</v>
      </c>
      <c r="R672" s="106" t="b">
        <f t="shared" si="2"/>
        <v>1</v>
      </c>
      <c r="S672" s="107">
        <f t="shared" si="3"/>
        <v>1</v>
      </c>
      <c r="T672" s="143"/>
      <c r="U672" s="142"/>
      <c r="V672" s="142"/>
      <c r="W672" s="142"/>
      <c r="X672" s="110" t="b">
        <f t="shared" si="4"/>
        <v>0</v>
      </c>
      <c r="Y672" s="111" t="b">
        <v>0</v>
      </c>
      <c r="Z672" s="104" t="str">
        <f t="shared" si="5"/>
        <v/>
      </c>
      <c r="AA672" s="112" t="b">
        <f t="shared" si="6"/>
        <v>0</v>
      </c>
      <c r="AB672" s="142" t="b">
        <v>0</v>
      </c>
      <c r="AC672" s="140">
        <v>146.0</v>
      </c>
      <c r="AD672" s="141" t="b">
        <v>0</v>
      </c>
      <c r="AE672" s="115">
        <f t="shared" si="7"/>
        <v>199.6</v>
      </c>
      <c r="AF672" s="116" t="b">
        <f t="shared" si="8"/>
        <v>0</v>
      </c>
      <c r="AG672" s="105" t="b">
        <f t="shared" si="9"/>
        <v>0</v>
      </c>
      <c r="AH672" s="140"/>
      <c r="AI672" s="140"/>
      <c r="AJ672" s="140"/>
      <c r="AK672" s="117" t="str">
        <f t="shared" si="10"/>
        <v>Negative</v>
      </c>
      <c r="AL672" s="142"/>
      <c r="AM672" s="112" t="s">
        <v>1638</v>
      </c>
      <c r="AN672" s="112" t="s">
        <v>1639</v>
      </c>
      <c r="AO672" s="112" t="str">
        <f>IFERROR(__xludf.DUMMYFUNCTION("IF($AG672, ""DELETED"",TRIM(JOIN("" "",D672:E672)))"),"")</f>
        <v/>
      </c>
      <c r="AP672" s="112" t="str">
        <f t="shared" ref="AP672:AQ672" si="697">IF($AG672, "DELETED", TRIM(CONCATENATE(F672,I672,U672)))</f>
        <v/>
      </c>
      <c r="AQ672" s="112" t="str">
        <f t="shared" si="697"/>
        <v/>
      </c>
      <c r="AR672" s="112" t="str">
        <f>IFERROR(__xludf.DUMMYFUNCTION("IF($AG672, ""DELETED"", TRIM(JOIN("" "",AP672,AQ672)))"),"")</f>
        <v/>
      </c>
      <c r="AS672" s="118"/>
      <c r="AT672" s="110" t="b">
        <f t="shared" si="12"/>
        <v>0</v>
      </c>
      <c r="AU672" s="110" t="str">
        <f t="shared" si="13"/>
        <v/>
      </c>
      <c r="AV672" s="110" t="str">
        <f t="shared" si="14"/>
        <v/>
      </c>
      <c r="AW672" s="110" t="str">
        <f t="shared" si="15"/>
        <v/>
      </c>
      <c r="AX672" s="119" t="str">
        <f t="shared" si="16"/>
        <v/>
      </c>
      <c r="AY672" s="120"/>
      <c r="AZ672" s="121"/>
      <c r="BA672" s="122" t="str">
        <f t="shared" si="17"/>
        <v/>
      </c>
      <c r="BB672" s="34"/>
      <c r="BC672" s="121"/>
      <c r="BD672" s="136"/>
      <c r="BE672" s="125" t="str">
        <f t="shared" si="18"/>
        <v/>
      </c>
      <c r="BF672" s="126" t="str">
        <f t="shared" si="19"/>
        <v>FM312__44623_0.321979166666667</v>
      </c>
      <c r="BG672" s="127" t="str">
        <f t="shared" si="20"/>
        <v/>
      </c>
      <c r="BH672" s="137" t="s">
        <v>1866</v>
      </c>
      <c r="BI672" s="128" t="str">
        <f t="shared" si="21"/>
        <v>MA545</v>
      </c>
      <c r="BJ672" s="129" t="b">
        <f t="shared" si="22"/>
        <v>0</v>
      </c>
      <c r="BK672" s="128" t="str">
        <f t="shared" si="23"/>
        <v/>
      </c>
      <c r="BL672" s="121"/>
      <c r="BM672" s="5" t="str">
        <f t="shared" si="24"/>
        <v>MISSING</v>
      </c>
      <c r="BN672" s="120" t="b">
        <f t="shared" si="25"/>
        <v>0</v>
      </c>
      <c r="BO672" s="131" t="b">
        <f t="shared" si="26"/>
        <v>1</v>
      </c>
      <c r="BP672" s="121"/>
      <c r="BQ672" s="132" t="str">
        <f>VLOOKUP(A672,RAW_APS!A$3:O826,15,FALSE)</f>
        <v/>
      </c>
      <c r="BR672" s="120" t="b">
        <f t="shared" si="27"/>
        <v>1</v>
      </c>
      <c r="BS672" s="121"/>
      <c r="BT672" s="138" t="s">
        <v>244</v>
      </c>
      <c r="BU672" s="10" t="b">
        <f t="shared" si="28"/>
        <v>1</v>
      </c>
      <c r="BV672" s="120"/>
      <c r="BW672" s="120"/>
      <c r="BX672" s="120"/>
      <c r="BY672" s="120"/>
      <c r="BZ672" s="120"/>
      <c r="CA672" s="120"/>
      <c r="CB672" s="120"/>
      <c r="CC672" s="120"/>
    </row>
    <row r="673">
      <c r="A673" s="2" t="s">
        <v>1867</v>
      </c>
      <c r="B673" s="100">
        <v>44623.0</v>
      </c>
      <c r="C673" s="101">
        <v>0.32256944444444446</v>
      </c>
      <c r="D673" s="102"/>
      <c r="E673" s="102"/>
      <c r="F673" s="102"/>
      <c r="G673" s="102"/>
      <c r="H673" s="102"/>
      <c r="I673" s="103"/>
      <c r="J673" s="103"/>
      <c r="K673" s="2" t="s">
        <v>244</v>
      </c>
      <c r="L673" s="100">
        <v>44623.0</v>
      </c>
      <c r="M673" s="101">
        <v>0.4605902777777778</v>
      </c>
      <c r="P673" s="104" t="b">
        <f>IFNA(IF(VLOOKUP($A673,'Add from APT'!$AA$2:$AC826,3,FALSE)&gt;0,TRUE,FALSE),"ER - NOT IN APT")</f>
        <v>0</v>
      </c>
      <c r="Q673" s="105" t="str">
        <f>IF(ISLOGICAL(P673),IF(P673,"ER - REPS IN APT", IFNA(VLOOKUP($A673,RAW_APT!$A$3:$M826,7,FALSE),"ER - NOT IN APT")),P673)</f>
        <v>Result</v>
      </c>
      <c r="R673" s="106" t="b">
        <f t="shared" si="2"/>
        <v>1</v>
      </c>
      <c r="S673" s="107">
        <f t="shared" si="3"/>
        <v>1</v>
      </c>
      <c r="T673" s="143"/>
      <c r="U673" s="142"/>
      <c r="V673" s="142"/>
      <c r="W673" s="142"/>
      <c r="X673" s="110" t="b">
        <f t="shared" si="4"/>
        <v>0</v>
      </c>
      <c r="Y673" s="111" t="b">
        <v>0</v>
      </c>
      <c r="Z673" s="104" t="str">
        <f t="shared" si="5"/>
        <v/>
      </c>
      <c r="AA673" s="112" t="b">
        <f t="shared" si="6"/>
        <v>0</v>
      </c>
      <c r="AB673" s="142" t="b">
        <v>0</v>
      </c>
      <c r="AC673" s="140">
        <v>145.0</v>
      </c>
      <c r="AD673" s="141" t="b">
        <v>0</v>
      </c>
      <c r="AE673" s="115">
        <f t="shared" si="7"/>
        <v>198.75</v>
      </c>
      <c r="AF673" s="116" t="b">
        <f t="shared" si="8"/>
        <v>0</v>
      </c>
      <c r="AG673" s="105" t="b">
        <f t="shared" si="9"/>
        <v>0</v>
      </c>
      <c r="AH673" s="140"/>
      <c r="AI673" s="140"/>
      <c r="AJ673" s="140"/>
      <c r="AK673" s="117" t="str">
        <f t="shared" si="10"/>
        <v>Negative</v>
      </c>
      <c r="AL673" s="142"/>
      <c r="AM673" s="112" t="s">
        <v>328</v>
      </c>
      <c r="AN673" s="112" t="s">
        <v>329</v>
      </c>
      <c r="AO673" s="112" t="str">
        <f>IFERROR(__xludf.DUMMYFUNCTION("IF($AG673, ""DELETED"",TRIM(JOIN("" "",D673:E673)))"),"")</f>
        <v/>
      </c>
      <c r="AP673" s="112" t="str">
        <f t="shared" ref="AP673:AQ673" si="698">IF($AG673, "DELETED", TRIM(CONCATENATE(F673,I673,U673)))</f>
        <v/>
      </c>
      <c r="AQ673" s="112" t="str">
        <f t="shared" si="698"/>
        <v/>
      </c>
      <c r="AR673" s="112" t="str">
        <f>IFERROR(__xludf.DUMMYFUNCTION("IF($AG673, ""DELETED"", TRIM(JOIN("" "",AP673,AQ673)))"),"")</f>
        <v/>
      </c>
      <c r="AS673" s="118"/>
      <c r="AT673" s="110" t="b">
        <f t="shared" si="12"/>
        <v>0</v>
      </c>
      <c r="AU673" s="110" t="str">
        <f t="shared" si="13"/>
        <v/>
      </c>
      <c r="AV673" s="110" t="str">
        <f t="shared" si="14"/>
        <v/>
      </c>
      <c r="AW673" s="110" t="str">
        <f t="shared" si="15"/>
        <v/>
      </c>
      <c r="AX673" s="119" t="str">
        <f t="shared" si="16"/>
        <v/>
      </c>
      <c r="AY673" s="120"/>
      <c r="AZ673" s="121"/>
      <c r="BA673" s="122" t="str">
        <f t="shared" si="17"/>
        <v/>
      </c>
      <c r="BB673" s="34"/>
      <c r="BC673" s="121"/>
      <c r="BD673" s="136"/>
      <c r="BE673" s="125" t="str">
        <f t="shared" si="18"/>
        <v/>
      </c>
      <c r="BF673" s="126" t="str">
        <f t="shared" si="19"/>
        <v>FM315__44623_0.322569444444444</v>
      </c>
      <c r="BG673" s="127" t="str">
        <f t="shared" si="20"/>
        <v/>
      </c>
      <c r="BH673" s="137" t="s">
        <v>1868</v>
      </c>
      <c r="BI673" s="128" t="str">
        <f t="shared" si="21"/>
        <v>MA547</v>
      </c>
      <c r="BJ673" s="129" t="b">
        <f t="shared" si="22"/>
        <v>0</v>
      </c>
      <c r="BK673" s="128" t="str">
        <f t="shared" si="23"/>
        <v/>
      </c>
      <c r="BL673" s="121"/>
      <c r="BM673" s="5" t="str">
        <f t="shared" si="24"/>
        <v>MISSING</v>
      </c>
      <c r="BN673" s="120" t="b">
        <f t="shared" si="25"/>
        <v>0</v>
      </c>
      <c r="BO673" s="131" t="b">
        <f t="shared" si="26"/>
        <v>1</v>
      </c>
      <c r="BP673" s="121"/>
      <c r="BQ673" s="132" t="str">
        <f>VLOOKUP(A673,RAW_APS!A$3:O826,15,FALSE)</f>
        <v/>
      </c>
      <c r="BR673" s="120" t="b">
        <f t="shared" si="27"/>
        <v>1</v>
      </c>
      <c r="BS673" s="121"/>
      <c r="BT673" s="138" t="s">
        <v>244</v>
      </c>
      <c r="BU673" s="10" t="b">
        <f t="shared" si="28"/>
        <v>1</v>
      </c>
      <c r="BV673" s="120"/>
      <c r="BW673" s="120"/>
      <c r="BX673" s="120"/>
      <c r="BY673" s="120"/>
      <c r="BZ673" s="120"/>
      <c r="CA673" s="120"/>
      <c r="CB673" s="120"/>
      <c r="CC673" s="120"/>
    </row>
    <row r="674">
      <c r="A674" s="2" t="s">
        <v>1869</v>
      </c>
      <c r="B674" s="100">
        <v>44623.0</v>
      </c>
      <c r="C674" s="101">
        <v>0.3226041666666667</v>
      </c>
      <c r="D674" s="102"/>
      <c r="E674" s="102"/>
      <c r="F674" s="102"/>
      <c r="G674" s="102"/>
      <c r="H674" s="102"/>
      <c r="I674" s="103"/>
      <c r="J674" s="103"/>
      <c r="K674" s="2" t="s">
        <v>244</v>
      </c>
      <c r="L674" s="100">
        <v>44623.0</v>
      </c>
      <c r="M674" s="101">
        <v>0.4605902777777778</v>
      </c>
      <c r="P674" s="104" t="b">
        <f>IFNA(IF(VLOOKUP($A674,'Add from APT'!$AA$2:$AC826,3,FALSE)&gt;0,TRUE,FALSE),"ER - NOT IN APT")</f>
        <v>0</v>
      </c>
      <c r="Q674" s="105" t="str">
        <f>IF(ISLOGICAL(P674),IF(P674,"ER - REPS IN APT", IFNA(VLOOKUP($A674,RAW_APT!$A$3:$M826,7,FALSE),"ER - NOT IN APT")),P674)</f>
        <v>Result</v>
      </c>
      <c r="R674" s="106" t="b">
        <f t="shared" si="2"/>
        <v>1</v>
      </c>
      <c r="S674" s="107">
        <f t="shared" si="3"/>
        <v>1</v>
      </c>
      <c r="T674" s="143"/>
      <c r="U674" s="142"/>
      <c r="V674" s="142"/>
      <c r="W674" s="142"/>
      <c r="X674" s="110" t="b">
        <f t="shared" si="4"/>
        <v>0</v>
      </c>
      <c r="Y674" s="111" t="b">
        <v>0</v>
      </c>
      <c r="Z674" s="104" t="str">
        <f t="shared" si="5"/>
        <v/>
      </c>
      <c r="AA674" s="112" t="b">
        <f t="shared" si="6"/>
        <v>0</v>
      </c>
      <c r="AB674" s="142" t="b">
        <v>0</v>
      </c>
      <c r="AC674" s="140">
        <v>144.0</v>
      </c>
      <c r="AD674" s="141" t="b">
        <v>0</v>
      </c>
      <c r="AE674" s="115">
        <f t="shared" si="7"/>
        <v>198.7</v>
      </c>
      <c r="AF674" s="116" t="b">
        <f t="shared" si="8"/>
        <v>0</v>
      </c>
      <c r="AG674" s="105" t="b">
        <f t="shared" si="9"/>
        <v>0</v>
      </c>
      <c r="AH674" s="140"/>
      <c r="AI674" s="140"/>
      <c r="AJ674" s="140"/>
      <c r="AK674" s="117" t="str">
        <f t="shared" si="10"/>
        <v>Negative</v>
      </c>
      <c r="AL674" s="142"/>
      <c r="AM674" s="112" t="s">
        <v>717</v>
      </c>
      <c r="AN674" s="112" t="s">
        <v>718</v>
      </c>
      <c r="AO674" s="112" t="str">
        <f>IFERROR(__xludf.DUMMYFUNCTION("IF($AG674, ""DELETED"",TRIM(JOIN("" "",D674:E674)))"),"")</f>
        <v/>
      </c>
      <c r="AP674" s="112" t="str">
        <f t="shared" ref="AP674:AQ674" si="699">IF($AG674, "DELETED", TRIM(CONCATENATE(F674,I674,U674)))</f>
        <v/>
      </c>
      <c r="AQ674" s="112" t="str">
        <f t="shared" si="699"/>
        <v/>
      </c>
      <c r="AR674" s="112" t="str">
        <f>IFERROR(__xludf.DUMMYFUNCTION("IF($AG674, ""DELETED"", TRIM(JOIN("" "",AP674,AQ674)))"),"")</f>
        <v/>
      </c>
      <c r="AS674" s="118"/>
      <c r="AT674" s="110" t="b">
        <f t="shared" si="12"/>
        <v>0</v>
      </c>
      <c r="AU674" s="110" t="str">
        <f t="shared" si="13"/>
        <v/>
      </c>
      <c r="AV674" s="110" t="str">
        <f t="shared" si="14"/>
        <v/>
      </c>
      <c r="AW674" s="110" t="str">
        <f t="shared" si="15"/>
        <v/>
      </c>
      <c r="AX674" s="119" t="str">
        <f t="shared" si="16"/>
        <v/>
      </c>
      <c r="AY674" s="120"/>
      <c r="AZ674" s="121"/>
      <c r="BA674" s="122" t="str">
        <f t="shared" si="17"/>
        <v/>
      </c>
      <c r="BB674" s="34"/>
      <c r="BC674" s="121"/>
      <c r="BD674" s="136"/>
      <c r="BE674" s="125" t="str">
        <f t="shared" si="18"/>
        <v/>
      </c>
      <c r="BF674" s="126" t="str">
        <f t="shared" si="19"/>
        <v>FM402__44623_0.322604166666667</v>
      </c>
      <c r="BG674" s="127" t="str">
        <f t="shared" si="20"/>
        <v/>
      </c>
      <c r="BH674" s="137" t="s">
        <v>1870</v>
      </c>
      <c r="BI674" s="128" t="str">
        <f t="shared" si="21"/>
        <v>MA556</v>
      </c>
      <c r="BJ674" s="129" t="b">
        <f t="shared" si="22"/>
        <v>0</v>
      </c>
      <c r="BK674" s="128" t="str">
        <f t="shared" si="23"/>
        <v/>
      </c>
      <c r="BL674" s="121"/>
      <c r="BM674" s="5" t="str">
        <f t="shared" si="24"/>
        <v>MISSING</v>
      </c>
      <c r="BN674" s="120" t="b">
        <f t="shared" si="25"/>
        <v>0</v>
      </c>
      <c r="BO674" s="131" t="b">
        <f t="shared" si="26"/>
        <v>1</v>
      </c>
      <c r="BP674" s="121"/>
      <c r="BQ674" s="132" t="str">
        <f>VLOOKUP(A674,RAW_APS!A$3:O826,15,FALSE)</f>
        <v/>
      </c>
      <c r="BR674" s="120" t="b">
        <f t="shared" si="27"/>
        <v>1</v>
      </c>
      <c r="BS674" s="121"/>
      <c r="BT674" s="138" t="s">
        <v>244</v>
      </c>
      <c r="BU674" s="10" t="b">
        <f t="shared" si="28"/>
        <v>1</v>
      </c>
      <c r="BV674" s="120"/>
      <c r="BW674" s="120"/>
      <c r="BX674" s="120"/>
      <c r="BY674" s="120"/>
      <c r="BZ674" s="120"/>
      <c r="CA674" s="120"/>
      <c r="CB674" s="120"/>
      <c r="CC674" s="120"/>
    </row>
    <row r="675">
      <c r="A675" s="2" t="s">
        <v>1871</v>
      </c>
      <c r="B675" s="100">
        <v>44623.0</v>
      </c>
      <c r="C675" s="101">
        <v>0.32363425925925926</v>
      </c>
      <c r="D675" s="102"/>
      <c r="E675" s="102"/>
      <c r="F675" s="102"/>
      <c r="G675" s="102"/>
      <c r="H675" s="102"/>
      <c r="I675" s="103"/>
      <c r="J675" s="103"/>
      <c r="K675" s="2" t="s">
        <v>244</v>
      </c>
      <c r="L675" s="100">
        <v>44623.0</v>
      </c>
      <c r="M675" s="101">
        <v>0.4605902777777778</v>
      </c>
      <c r="P675" s="104" t="b">
        <f>IFNA(IF(VLOOKUP($A675,'Add from APT'!$AA$2:$AC826,3,FALSE)&gt;0,TRUE,FALSE),"ER - NOT IN APT")</f>
        <v>0</v>
      </c>
      <c r="Q675" s="105" t="str">
        <f>IF(ISLOGICAL(P675),IF(P675,"ER - REPS IN APT", IFNA(VLOOKUP($A675,RAW_APT!$A$3:$M826,7,FALSE),"ER - NOT IN APT")),P675)</f>
        <v>Result</v>
      </c>
      <c r="R675" s="106" t="b">
        <f t="shared" si="2"/>
        <v>1</v>
      </c>
      <c r="S675" s="107">
        <f t="shared" si="3"/>
        <v>1</v>
      </c>
      <c r="T675" s="143"/>
      <c r="U675" s="142"/>
      <c r="V675" s="142"/>
      <c r="W675" s="142"/>
      <c r="X675" s="110" t="b">
        <f t="shared" si="4"/>
        <v>0</v>
      </c>
      <c r="Y675" s="111" t="b">
        <v>0</v>
      </c>
      <c r="Z675" s="104" t="str">
        <f t="shared" si="5"/>
        <v/>
      </c>
      <c r="AA675" s="112" t="b">
        <f t="shared" si="6"/>
        <v>0</v>
      </c>
      <c r="AB675" s="142" t="b">
        <v>0</v>
      </c>
      <c r="AC675" s="140">
        <v>143.0</v>
      </c>
      <c r="AD675" s="141" t="b">
        <v>0</v>
      </c>
      <c r="AE675" s="115">
        <f t="shared" si="7"/>
        <v>197.2166667</v>
      </c>
      <c r="AF675" s="116" t="b">
        <f t="shared" si="8"/>
        <v>0</v>
      </c>
      <c r="AG675" s="105" t="b">
        <f t="shared" si="9"/>
        <v>0</v>
      </c>
      <c r="AH675" s="140"/>
      <c r="AI675" s="140"/>
      <c r="AJ675" s="140"/>
      <c r="AK675" s="117" t="str">
        <f t="shared" si="10"/>
        <v>Negative</v>
      </c>
      <c r="AL675" s="142"/>
      <c r="AM675" s="112" t="s">
        <v>587</v>
      </c>
      <c r="AN675" s="112" t="s">
        <v>588</v>
      </c>
      <c r="AO675" s="112" t="str">
        <f>IFERROR(__xludf.DUMMYFUNCTION("IF($AG675, ""DELETED"",TRIM(JOIN("" "",D675:E675)))"),"")</f>
        <v/>
      </c>
      <c r="AP675" s="112" t="str">
        <f t="shared" ref="AP675:AQ675" si="700">IF($AG675, "DELETED", TRIM(CONCATENATE(F675,I675,U675)))</f>
        <v/>
      </c>
      <c r="AQ675" s="112" t="str">
        <f t="shared" si="700"/>
        <v/>
      </c>
      <c r="AR675" s="112" t="str">
        <f>IFERROR(__xludf.DUMMYFUNCTION("IF($AG675, ""DELETED"", TRIM(JOIN("" "",AP675,AQ675)))"),"")</f>
        <v/>
      </c>
      <c r="AS675" s="118"/>
      <c r="AT675" s="110" t="b">
        <f t="shared" si="12"/>
        <v>0</v>
      </c>
      <c r="AU675" s="110" t="str">
        <f t="shared" si="13"/>
        <v/>
      </c>
      <c r="AV675" s="110" t="str">
        <f t="shared" si="14"/>
        <v/>
      </c>
      <c r="AW675" s="110" t="str">
        <f t="shared" si="15"/>
        <v/>
      </c>
      <c r="AX675" s="119" t="str">
        <f t="shared" si="16"/>
        <v/>
      </c>
      <c r="AY675" s="120"/>
      <c r="AZ675" s="121"/>
      <c r="BA675" s="122" t="str">
        <f t="shared" si="17"/>
        <v/>
      </c>
      <c r="BB675" s="34"/>
      <c r="BC675" s="121"/>
      <c r="BD675" s="136"/>
      <c r="BE675" s="125" t="str">
        <f t="shared" si="18"/>
        <v/>
      </c>
      <c r="BF675" s="126" t="str">
        <f t="shared" si="19"/>
        <v>FM396__44623_0.323634259259259</v>
      </c>
      <c r="BG675" s="127" t="str">
        <f t="shared" si="20"/>
        <v/>
      </c>
      <c r="BH675" s="137" t="s">
        <v>1872</v>
      </c>
      <c r="BI675" s="128" t="str">
        <f t="shared" si="21"/>
        <v>MA574</v>
      </c>
      <c r="BJ675" s="129" t="b">
        <f t="shared" si="22"/>
        <v>0</v>
      </c>
      <c r="BK675" s="128" t="str">
        <f t="shared" si="23"/>
        <v/>
      </c>
      <c r="BL675" s="121"/>
      <c r="BM675" s="5" t="str">
        <f t="shared" si="24"/>
        <v>MISSING</v>
      </c>
      <c r="BN675" s="120" t="b">
        <f t="shared" si="25"/>
        <v>0</v>
      </c>
      <c r="BO675" s="131" t="b">
        <f t="shared" si="26"/>
        <v>1</v>
      </c>
      <c r="BP675" s="121"/>
      <c r="BQ675" s="132" t="str">
        <f>VLOOKUP(A675,RAW_APS!A$3:O826,15,FALSE)</f>
        <v/>
      </c>
      <c r="BR675" s="120" t="b">
        <f t="shared" si="27"/>
        <v>1</v>
      </c>
      <c r="BS675" s="121"/>
      <c r="BT675" s="138" t="s">
        <v>244</v>
      </c>
      <c r="BU675" s="10" t="b">
        <f t="shared" si="28"/>
        <v>1</v>
      </c>
      <c r="BV675" s="120"/>
      <c r="BW675" s="120"/>
      <c r="BX675" s="120"/>
      <c r="BY675" s="120"/>
      <c r="BZ675" s="120"/>
      <c r="CA675" s="120"/>
      <c r="CB675" s="120"/>
      <c r="CC675" s="120"/>
    </row>
    <row r="676">
      <c r="A676" s="2" t="s">
        <v>1873</v>
      </c>
      <c r="B676" s="100">
        <v>44623.0</v>
      </c>
      <c r="C676" s="101">
        <v>0.32719907407407406</v>
      </c>
      <c r="D676" s="102"/>
      <c r="E676" s="102"/>
      <c r="F676" s="103"/>
      <c r="G676" s="103"/>
      <c r="H676" s="103"/>
      <c r="I676" s="135"/>
      <c r="J676" s="103"/>
      <c r="K676" s="2" t="s">
        <v>244</v>
      </c>
      <c r="L676" s="100">
        <v>44623.0</v>
      </c>
      <c r="M676" s="101">
        <v>0.4605902777777778</v>
      </c>
      <c r="N676" s="2" t="s">
        <v>247</v>
      </c>
      <c r="P676" s="104" t="b">
        <f>IFNA(IF(VLOOKUP($A676,'Add from APT'!$AA$2:$AC826,3,FALSE)&gt;0,TRUE,FALSE),"ER - NOT IN APT")</f>
        <v>0</v>
      </c>
      <c r="Q676" s="105" t="str">
        <f>IF(ISLOGICAL(P676),IF(P676,"ER - REPS IN APT", IFNA(VLOOKUP($A676,RAW_APT!$A$3:$M826,7,FALSE),"ER - NOT IN APT")),P676)</f>
        <v>Result</v>
      </c>
      <c r="R676" s="106" t="b">
        <f t="shared" si="2"/>
        <v>1</v>
      </c>
      <c r="S676" s="107">
        <f t="shared" si="3"/>
        <v>1</v>
      </c>
      <c r="T676" s="140">
        <v>0.0</v>
      </c>
      <c r="W676" s="141"/>
      <c r="X676" s="110" t="b">
        <f t="shared" si="4"/>
        <v>0</v>
      </c>
      <c r="Y676" s="111" t="b">
        <v>0</v>
      </c>
      <c r="Z676" s="104" t="str">
        <f t="shared" si="5"/>
        <v/>
      </c>
      <c r="AA676" s="112" t="b">
        <f t="shared" si="6"/>
        <v>0</v>
      </c>
      <c r="AB676" s="142" t="b">
        <v>0</v>
      </c>
      <c r="AC676" s="140">
        <v>803.0</v>
      </c>
      <c r="AD676" s="141" t="b">
        <v>1</v>
      </c>
      <c r="AE676" s="115">
        <f t="shared" si="7"/>
        <v>192.0833333</v>
      </c>
      <c r="AF676" s="116" t="b">
        <f t="shared" si="8"/>
        <v>0</v>
      </c>
      <c r="AG676" s="105" t="b">
        <f t="shared" si="9"/>
        <v>0</v>
      </c>
      <c r="AH676" s="140"/>
      <c r="AI676" s="140"/>
      <c r="AJ676" s="140"/>
      <c r="AK676" s="117" t="str">
        <f t="shared" si="10"/>
        <v>Negative</v>
      </c>
      <c r="AL676" s="142"/>
      <c r="AM676" s="112" t="s">
        <v>918</v>
      </c>
      <c r="AN676" s="112" t="s">
        <v>886</v>
      </c>
      <c r="AO676" s="112" t="str">
        <f>IFERROR(__xludf.DUMMYFUNCTION("IF($AG676, ""DELETED"",TRIM(JOIN("" "",D676:E676)))"),"")</f>
        <v/>
      </c>
      <c r="AP676" s="112" t="str">
        <f t="shared" ref="AP676:AQ676" si="701">IF($AG676, "DELETED", TRIM(CONCATENATE(F676,I676,U676)))</f>
        <v/>
      </c>
      <c r="AQ676" s="112" t="str">
        <f t="shared" si="701"/>
        <v/>
      </c>
      <c r="AR676" s="112" t="str">
        <f>IFERROR(__xludf.DUMMYFUNCTION("IF($AG676, ""DELETED"", TRIM(JOIN("" "",AP676,AQ676)))"),"")</f>
        <v/>
      </c>
      <c r="AS676" s="118"/>
      <c r="AT676" s="110" t="b">
        <f t="shared" si="12"/>
        <v>0</v>
      </c>
      <c r="AU676" s="110" t="str">
        <f t="shared" si="13"/>
        <v/>
      </c>
      <c r="AV676" s="110" t="str">
        <f t="shared" si="14"/>
        <v/>
      </c>
      <c r="AW676" s="110" t="str">
        <f t="shared" si="15"/>
        <v/>
      </c>
      <c r="AX676" s="119" t="str">
        <f t="shared" si="16"/>
        <v/>
      </c>
      <c r="AY676" s="120"/>
      <c r="AZ676" s="121"/>
      <c r="BA676" s="122" t="str">
        <f t="shared" si="17"/>
        <v/>
      </c>
      <c r="BB676" s="34"/>
      <c r="BC676" s="121"/>
      <c r="BD676" s="136"/>
      <c r="BE676" s="125" t="str">
        <f t="shared" si="18"/>
        <v/>
      </c>
      <c r="BF676" s="126" t="str">
        <f t="shared" si="19"/>
        <v>MA1258__44623_0.327199074074074</v>
      </c>
      <c r="BG676" s="127" t="str">
        <f t="shared" si="20"/>
        <v/>
      </c>
      <c r="BH676" s="137" t="s">
        <v>1874</v>
      </c>
      <c r="BI676" s="128" t="str">
        <f t="shared" si="21"/>
        <v>MA598</v>
      </c>
      <c r="BJ676" s="129" t="b">
        <f t="shared" si="22"/>
        <v>0</v>
      </c>
      <c r="BK676" s="128" t="str">
        <f t="shared" si="23"/>
        <v/>
      </c>
      <c r="BL676" s="121"/>
      <c r="BM676" s="5" t="str">
        <f t="shared" si="24"/>
        <v>MISSING</v>
      </c>
      <c r="BN676" s="120" t="b">
        <f t="shared" si="25"/>
        <v>0</v>
      </c>
      <c r="BO676" s="131" t="b">
        <f t="shared" si="26"/>
        <v>1</v>
      </c>
      <c r="BP676" s="121"/>
      <c r="BQ676" s="132" t="str">
        <f>VLOOKUP(A676,RAW_APS!A$3:O826,15,FALSE)</f>
        <v>#N/A</v>
      </c>
      <c r="BR676" s="120" t="str">
        <f t="shared" si="27"/>
        <v>***TUBE ID NOT FOUND</v>
      </c>
      <c r="BS676" s="121"/>
      <c r="BT676" s="138" t="s">
        <v>244</v>
      </c>
      <c r="BU676" s="10" t="b">
        <f t="shared" si="28"/>
        <v>1</v>
      </c>
      <c r="BV676" s="120"/>
      <c r="BW676" s="120"/>
      <c r="BX676" s="120"/>
      <c r="BY676" s="120"/>
      <c r="BZ676" s="120"/>
      <c r="CA676" s="120"/>
      <c r="CB676" s="120"/>
      <c r="CC676" s="120"/>
    </row>
    <row r="677">
      <c r="A677" s="2" t="s">
        <v>1875</v>
      </c>
      <c r="B677" s="100">
        <v>44623.0</v>
      </c>
      <c r="C677" s="101">
        <v>0.3344212962962963</v>
      </c>
      <c r="D677" s="102"/>
      <c r="E677" s="102"/>
      <c r="F677" s="102"/>
      <c r="G677" s="102"/>
      <c r="H677" s="102"/>
      <c r="I677" s="103"/>
      <c r="J677" s="103"/>
      <c r="K677" s="2" t="s">
        <v>244</v>
      </c>
      <c r="L677" s="100">
        <v>44623.0</v>
      </c>
      <c r="M677" s="101">
        <v>0.4606018518518519</v>
      </c>
      <c r="P677" s="104" t="b">
        <f>IFNA(IF(VLOOKUP($A677,'Add from APT'!$AA$2:$AC826,3,FALSE)&gt;0,TRUE,FALSE),"ER - NOT IN APT")</f>
        <v>0</v>
      </c>
      <c r="Q677" s="105" t="str">
        <f>IF(ISLOGICAL(P677),IF(P677,"ER - REPS IN APT", IFNA(VLOOKUP($A677,RAW_APT!$A$3:$M826,7,FALSE),"ER - NOT IN APT")),P677)</f>
        <v>Result</v>
      </c>
      <c r="R677" s="106" t="b">
        <f t="shared" si="2"/>
        <v>1</v>
      </c>
      <c r="S677" s="107">
        <f t="shared" si="3"/>
        <v>1</v>
      </c>
      <c r="T677" s="143"/>
      <c r="U677" s="142"/>
      <c r="V677" s="142"/>
      <c r="W677" s="142"/>
      <c r="X677" s="110" t="b">
        <f t="shared" si="4"/>
        <v>0</v>
      </c>
      <c r="Y677" s="111" t="b">
        <v>0</v>
      </c>
      <c r="Z677" s="104" t="str">
        <f t="shared" si="5"/>
        <v/>
      </c>
      <c r="AA677" s="112" t="b">
        <f t="shared" si="6"/>
        <v>0</v>
      </c>
      <c r="AB677" s="142" t="b">
        <v>0</v>
      </c>
      <c r="AC677" s="140">
        <v>142.0</v>
      </c>
      <c r="AD677" s="141" t="b">
        <v>0</v>
      </c>
      <c r="AE677" s="115">
        <f t="shared" si="7"/>
        <v>181.7</v>
      </c>
      <c r="AF677" s="116" t="b">
        <f t="shared" si="8"/>
        <v>0</v>
      </c>
      <c r="AG677" s="105" t="b">
        <f t="shared" si="9"/>
        <v>0</v>
      </c>
      <c r="AH677" s="140"/>
      <c r="AI677" s="140"/>
      <c r="AJ677" s="140"/>
      <c r="AK677" s="117" t="str">
        <f t="shared" si="10"/>
        <v>Negative</v>
      </c>
      <c r="AL677" s="142"/>
      <c r="AM677" s="112" t="s">
        <v>307</v>
      </c>
      <c r="AN677" s="112" t="s">
        <v>266</v>
      </c>
      <c r="AO677" s="112" t="str">
        <f>IFERROR(__xludf.DUMMYFUNCTION("IF($AG677, ""DELETED"",TRIM(JOIN("" "",D677:E677)))"),"")</f>
        <v/>
      </c>
      <c r="AP677" s="112" t="str">
        <f t="shared" ref="AP677:AQ677" si="702">IF($AG677, "DELETED", TRIM(CONCATENATE(F677,I677,U677)))</f>
        <v/>
      </c>
      <c r="AQ677" s="112" t="str">
        <f t="shared" si="702"/>
        <v/>
      </c>
      <c r="AR677" s="112" t="str">
        <f>IFERROR(__xludf.DUMMYFUNCTION("IF($AG677, ""DELETED"", TRIM(JOIN("" "",AP677,AQ677)))"),"")</f>
        <v/>
      </c>
      <c r="AS677" s="118"/>
      <c r="AT677" s="110" t="b">
        <f t="shared" si="12"/>
        <v>0</v>
      </c>
      <c r="AU677" s="110" t="str">
        <f t="shared" si="13"/>
        <v/>
      </c>
      <c r="AV677" s="110" t="str">
        <f t="shared" si="14"/>
        <v/>
      </c>
      <c r="AW677" s="110" t="str">
        <f t="shared" si="15"/>
        <v/>
      </c>
      <c r="AX677" s="119" t="str">
        <f t="shared" si="16"/>
        <v/>
      </c>
      <c r="AY677" s="120"/>
      <c r="AZ677" s="121"/>
      <c r="BA677" s="122" t="str">
        <f t="shared" si="17"/>
        <v/>
      </c>
      <c r="BB677" s="34"/>
      <c r="BC677" s="121"/>
      <c r="BD677" s="136"/>
      <c r="BE677" s="125" t="str">
        <f t="shared" si="18"/>
        <v/>
      </c>
      <c r="BF677" s="126" t="str">
        <f t="shared" si="19"/>
        <v>FM97__44623_0.334421296296296</v>
      </c>
      <c r="BG677" s="127" t="str">
        <f t="shared" si="20"/>
        <v/>
      </c>
      <c r="BH677" s="137" t="s">
        <v>1876</v>
      </c>
      <c r="BI677" s="128" t="str">
        <f t="shared" si="21"/>
        <v>MA603</v>
      </c>
      <c r="BJ677" s="129" t="b">
        <f t="shared" si="22"/>
        <v>0</v>
      </c>
      <c r="BK677" s="128" t="str">
        <f t="shared" si="23"/>
        <v/>
      </c>
      <c r="BL677" s="121"/>
      <c r="BM677" s="5" t="str">
        <f t="shared" si="24"/>
        <v>MISSING</v>
      </c>
      <c r="BN677" s="120" t="b">
        <f t="shared" si="25"/>
        <v>0</v>
      </c>
      <c r="BO677" s="131" t="b">
        <f t="shared" si="26"/>
        <v>1</v>
      </c>
      <c r="BP677" s="121"/>
      <c r="BQ677" s="132" t="str">
        <f>VLOOKUP(A677,RAW_APS!A$3:O826,15,FALSE)</f>
        <v/>
      </c>
      <c r="BR677" s="120" t="b">
        <f t="shared" si="27"/>
        <v>1</v>
      </c>
      <c r="BS677" s="121"/>
      <c r="BT677" s="138" t="s">
        <v>244</v>
      </c>
      <c r="BU677" s="10" t="b">
        <f t="shared" si="28"/>
        <v>1</v>
      </c>
      <c r="BV677" s="120"/>
      <c r="BW677" s="120"/>
      <c r="BX677" s="120"/>
      <c r="BY677" s="120"/>
      <c r="BZ677" s="120"/>
      <c r="CA677" s="120"/>
      <c r="CB677" s="120"/>
      <c r="CC677" s="120"/>
    </row>
    <row r="678">
      <c r="A678" s="2" t="s">
        <v>1877</v>
      </c>
      <c r="B678" s="100">
        <v>44623.0</v>
      </c>
      <c r="C678" s="101">
        <v>0.3357291666666667</v>
      </c>
      <c r="D678" s="102"/>
      <c r="E678" s="102"/>
      <c r="F678" s="102"/>
      <c r="G678" s="102"/>
      <c r="H678" s="102"/>
      <c r="I678" s="103"/>
      <c r="J678" s="103"/>
      <c r="K678" s="2" t="s">
        <v>244</v>
      </c>
      <c r="L678" s="100">
        <v>44623.0</v>
      </c>
      <c r="M678" s="101">
        <v>0.4606018518518519</v>
      </c>
      <c r="P678" s="104" t="b">
        <f>IFNA(IF(VLOOKUP($A678,'Add from APT'!$AA$2:$AC826,3,FALSE)&gt;0,TRUE,FALSE),"ER - NOT IN APT")</f>
        <v>0</v>
      </c>
      <c r="Q678" s="105" t="str">
        <f>IF(ISLOGICAL(P678),IF(P678,"ER - REPS IN APT", IFNA(VLOOKUP($A678,RAW_APT!$A$3:$M826,7,FALSE),"ER - NOT IN APT")),P678)</f>
        <v>Result</v>
      </c>
      <c r="R678" s="106" t="b">
        <f t="shared" si="2"/>
        <v>1</v>
      </c>
      <c r="S678" s="107">
        <f t="shared" si="3"/>
        <v>1</v>
      </c>
      <c r="T678" s="143"/>
      <c r="U678" s="142"/>
      <c r="V678" s="142"/>
      <c r="W678" s="142"/>
      <c r="X678" s="110" t="b">
        <f t="shared" si="4"/>
        <v>0</v>
      </c>
      <c r="Y678" s="111" t="b">
        <v>0</v>
      </c>
      <c r="Z678" s="104" t="str">
        <f t="shared" si="5"/>
        <v/>
      </c>
      <c r="AA678" s="112" t="b">
        <f t="shared" si="6"/>
        <v>0</v>
      </c>
      <c r="AB678" s="142" t="b">
        <v>0</v>
      </c>
      <c r="AC678" s="140">
        <v>141.0</v>
      </c>
      <c r="AD678" s="141" t="b">
        <v>0</v>
      </c>
      <c r="AE678" s="115">
        <f t="shared" si="7"/>
        <v>179.8166667</v>
      </c>
      <c r="AF678" s="116" t="b">
        <f t="shared" si="8"/>
        <v>0</v>
      </c>
      <c r="AG678" s="105" t="b">
        <f t="shared" si="9"/>
        <v>0</v>
      </c>
      <c r="AH678" s="140"/>
      <c r="AI678" s="140"/>
      <c r="AJ678" s="140"/>
      <c r="AK678" s="117" t="str">
        <f t="shared" si="10"/>
        <v>Negative</v>
      </c>
      <c r="AL678" s="142"/>
      <c r="AM678" s="112" t="s">
        <v>633</v>
      </c>
      <c r="AN678" s="112" t="s">
        <v>634</v>
      </c>
      <c r="AO678" s="112" t="str">
        <f>IFERROR(__xludf.DUMMYFUNCTION("IF($AG678, ""DELETED"",TRIM(JOIN("" "",D678:E678)))"),"")</f>
        <v/>
      </c>
      <c r="AP678" s="112" t="str">
        <f t="shared" ref="AP678:AQ678" si="703">IF($AG678, "DELETED", TRIM(CONCATENATE(F678,I678,U678)))</f>
        <v/>
      </c>
      <c r="AQ678" s="112" t="str">
        <f t="shared" si="703"/>
        <v/>
      </c>
      <c r="AR678" s="112" t="str">
        <f>IFERROR(__xludf.DUMMYFUNCTION("IF($AG678, ""DELETED"", TRIM(JOIN("" "",AP678,AQ678)))"),"")</f>
        <v/>
      </c>
      <c r="AS678" s="118"/>
      <c r="AT678" s="110" t="b">
        <f t="shared" si="12"/>
        <v>0</v>
      </c>
      <c r="AU678" s="110" t="str">
        <f t="shared" si="13"/>
        <v/>
      </c>
      <c r="AV678" s="110" t="str">
        <f t="shared" si="14"/>
        <v/>
      </c>
      <c r="AW678" s="110" t="str">
        <f t="shared" si="15"/>
        <v/>
      </c>
      <c r="AX678" s="119" t="str">
        <f t="shared" si="16"/>
        <v/>
      </c>
      <c r="AY678" s="120"/>
      <c r="AZ678" s="121"/>
      <c r="BA678" s="122" t="str">
        <f t="shared" si="17"/>
        <v/>
      </c>
      <c r="BB678" s="34"/>
      <c r="BC678" s="121"/>
      <c r="BD678" s="136"/>
      <c r="BE678" s="125" t="str">
        <f t="shared" si="18"/>
        <v/>
      </c>
      <c r="BF678" s="126" t="str">
        <f t="shared" si="19"/>
        <v>FM29__44623_0.335729166666667</v>
      </c>
      <c r="BG678" s="127" t="str">
        <f t="shared" si="20"/>
        <v/>
      </c>
      <c r="BH678" s="137" t="s">
        <v>1878</v>
      </c>
      <c r="BI678" s="128" t="str">
        <f t="shared" si="21"/>
        <v>MA604</v>
      </c>
      <c r="BJ678" s="129" t="b">
        <f t="shared" si="22"/>
        <v>0</v>
      </c>
      <c r="BK678" s="128" t="str">
        <f t="shared" si="23"/>
        <v/>
      </c>
      <c r="BL678" s="121"/>
      <c r="BM678" s="5" t="str">
        <f t="shared" si="24"/>
        <v>MISSING</v>
      </c>
      <c r="BN678" s="120" t="b">
        <f t="shared" si="25"/>
        <v>0</v>
      </c>
      <c r="BO678" s="131" t="b">
        <f t="shared" si="26"/>
        <v>1</v>
      </c>
      <c r="BP678" s="121"/>
      <c r="BQ678" s="132" t="str">
        <f>VLOOKUP(A678,RAW_APS!A$3:O826,15,FALSE)</f>
        <v/>
      </c>
      <c r="BR678" s="120" t="b">
        <f t="shared" si="27"/>
        <v>1</v>
      </c>
      <c r="BS678" s="121"/>
      <c r="BT678" s="138" t="s">
        <v>244</v>
      </c>
      <c r="BU678" s="10" t="b">
        <f t="shared" si="28"/>
        <v>1</v>
      </c>
      <c r="BV678" s="120"/>
      <c r="BW678" s="120"/>
      <c r="BX678" s="120"/>
      <c r="BY678" s="120"/>
      <c r="BZ678" s="120"/>
      <c r="CA678" s="120"/>
      <c r="CB678" s="120"/>
      <c r="CC678" s="120"/>
    </row>
    <row r="679">
      <c r="A679" s="2" t="s">
        <v>1879</v>
      </c>
      <c r="B679" s="100">
        <v>44623.0</v>
      </c>
      <c r="C679" s="101">
        <v>0.33640046296296294</v>
      </c>
      <c r="D679" s="102"/>
      <c r="E679" s="102"/>
      <c r="F679" s="102"/>
      <c r="G679" s="102"/>
      <c r="H679" s="102"/>
      <c r="I679" s="103"/>
      <c r="J679" s="103"/>
      <c r="K679" s="2" t="s">
        <v>244</v>
      </c>
      <c r="L679" s="100">
        <v>44623.0</v>
      </c>
      <c r="M679" s="101">
        <v>0.4606018518518519</v>
      </c>
      <c r="P679" s="104" t="b">
        <f>IFNA(IF(VLOOKUP($A679,'Add from APT'!$AA$2:$AC826,3,FALSE)&gt;0,TRUE,FALSE),"ER - NOT IN APT")</f>
        <v>0</v>
      </c>
      <c r="Q679" s="105" t="str">
        <f>IF(ISLOGICAL(P679),IF(P679,"ER - REPS IN APT", IFNA(VLOOKUP($A679,RAW_APT!$A$3:$M826,7,FALSE),"ER - NOT IN APT")),P679)</f>
        <v>Result</v>
      </c>
      <c r="R679" s="106" t="b">
        <f t="shared" si="2"/>
        <v>1</v>
      </c>
      <c r="S679" s="107">
        <f t="shared" si="3"/>
        <v>1</v>
      </c>
      <c r="T679" s="143"/>
      <c r="U679" s="142"/>
      <c r="V679" s="142"/>
      <c r="W679" s="142"/>
      <c r="X679" s="110" t="b">
        <f t="shared" si="4"/>
        <v>0</v>
      </c>
      <c r="Y679" s="111" t="b">
        <v>0</v>
      </c>
      <c r="Z679" s="104" t="str">
        <f t="shared" si="5"/>
        <v/>
      </c>
      <c r="AA679" s="112" t="b">
        <f t="shared" si="6"/>
        <v>0</v>
      </c>
      <c r="AB679" s="142" t="b">
        <v>0</v>
      </c>
      <c r="AC679" s="140">
        <v>140.0</v>
      </c>
      <c r="AD679" s="141" t="b">
        <v>0</v>
      </c>
      <c r="AE679" s="115">
        <f t="shared" si="7"/>
        <v>178.85</v>
      </c>
      <c r="AF679" s="116" t="b">
        <f t="shared" si="8"/>
        <v>0</v>
      </c>
      <c r="AG679" s="105" t="b">
        <f t="shared" si="9"/>
        <v>0</v>
      </c>
      <c r="AH679" s="140"/>
      <c r="AI679" s="140"/>
      <c r="AJ679" s="140"/>
      <c r="AK679" s="117" t="str">
        <f t="shared" si="10"/>
        <v>Negative</v>
      </c>
      <c r="AL679" s="142"/>
      <c r="AM679" s="112" t="s">
        <v>862</v>
      </c>
      <c r="AN679" s="112" t="s">
        <v>539</v>
      </c>
      <c r="AO679" s="112" t="str">
        <f>IFERROR(__xludf.DUMMYFUNCTION("IF($AG679, ""DELETED"",TRIM(JOIN("" "",D679:E679)))"),"")</f>
        <v/>
      </c>
      <c r="AP679" s="112" t="str">
        <f t="shared" ref="AP679:AQ679" si="704">IF($AG679, "DELETED", TRIM(CONCATENATE(F679,I679,U679)))</f>
        <v/>
      </c>
      <c r="AQ679" s="112" t="str">
        <f t="shared" si="704"/>
        <v/>
      </c>
      <c r="AR679" s="112" t="str">
        <f>IFERROR(__xludf.DUMMYFUNCTION("IF($AG679, ""DELETED"", TRIM(JOIN("" "",AP679,AQ679)))"),"")</f>
        <v/>
      </c>
      <c r="AS679" s="118"/>
      <c r="AT679" s="110" t="b">
        <f t="shared" si="12"/>
        <v>0</v>
      </c>
      <c r="AU679" s="110" t="str">
        <f t="shared" si="13"/>
        <v/>
      </c>
      <c r="AV679" s="110" t="str">
        <f t="shared" si="14"/>
        <v/>
      </c>
      <c r="AW679" s="110" t="str">
        <f t="shared" si="15"/>
        <v/>
      </c>
      <c r="AX679" s="119" t="str">
        <f t="shared" si="16"/>
        <v/>
      </c>
      <c r="AY679" s="120"/>
      <c r="AZ679" s="121"/>
      <c r="BA679" s="122" t="str">
        <f t="shared" si="17"/>
        <v/>
      </c>
      <c r="BB679" s="34"/>
      <c r="BC679" s="121"/>
      <c r="BD679" s="136"/>
      <c r="BE679" s="125" t="str">
        <f t="shared" si="18"/>
        <v/>
      </c>
      <c r="BF679" s="126" t="str">
        <f t="shared" si="19"/>
        <v>FM40__44623_0.336400462962963</v>
      </c>
      <c r="BG679" s="127" t="str">
        <f t="shared" si="20"/>
        <v/>
      </c>
      <c r="BH679" s="137" t="s">
        <v>1880</v>
      </c>
      <c r="BI679" s="128" t="str">
        <f t="shared" si="21"/>
        <v>MA605</v>
      </c>
      <c r="BJ679" s="129" t="b">
        <f t="shared" si="22"/>
        <v>0</v>
      </c>
      <c r="BK679" s="128" t="str">
        <f t="shared" si="23"/>
        <v/>
      </c>
      <c r="BL679" s="121"/>
      <c r="BM679" s="5" t="str">
        <f t="shared" si="24"/>
        <v>MISSING</v>
      </c>
      <c r="BN679" s="120" t="b">
        <f t="shared" si="25"/>
        <v>0</v>
      </c>
      <c r="BO679" s="131" t="b">
        <f t="shared" si="26"/>
        <v>1</v>
      </c>
      <c r="BP679" s="121"/>
      <c r="BQ679" s="132" t="str">
        <f>VLOOKUP(A679,RAW_APS!A$3:O826,15,FALSE)</f>
        <v/>
      </c>
      <c r="BR679" s="120" t="b">
        <f t="shared" si="27"/>
        <v>1</v>
      </c>
      <c r="BS679" s="121"/>
      <c r="BT679" s="138" t="s">
        <v>244</v>
      </c>
      <c r="BU679" s="10" t="b">
        <f t="shared" si="28"/>
        <v>1</v>
      </c>
      <c r="BV679" s="120"/>
      <c r="BW679" s="120"/>
      <c r="BX679" s="120"/>
      <c r="BY679" s="120"/>
      <c r="BZ679" s="120"/>
      <c r="CA679" s="120"/>
      <c r="CB679" s="120"/>
      <c r="CC679" s="120"/>
    </row>
    <row r="680">
      <c r="A680" s="2" t="s">
        <v>1881</v>
      </c>
      <c r="B680" s="100">
        <v>44623.0</v>
      </c>
      <c r="C680" s="101">
        <v>0.3459143518518519</v>
      </c>
      <c r="D680" s="102"/>
      <c r="E680" s="102"/>
      <c r="F680" s="102"/>
      <c r="G680" s="102"/>
      <c r="H680" s="102"/>
      <c r="I680" s="103"/>
      <c r="J680" s="103"/>
      <c r="K680" s="2" t="s">
        <v>244</v>
      </c>
      <c r="L680" s="100">
        <v>44623.0</v>
      </c>
      <c r="M680" s="101">
        <v>0.4606018518518519</v>
      </c>
      <c r="P680" s="104" t="b">
        <f>IFNA(IF(VLOOKUP($A680,'Add from APT'!$AA$2:$AC826,3,FALSE)&gt;0,TRUE,FALSE),"ER - NOT IN APT")</f>
        <v>0</v>
      </c>
      <c r="Q680" s="105" t="str">
        <f>IF(ISLOGICAL(P680),IF(P680,"ER - REPS IN APT", IFNA(VLOOKUP($A680,RAW_APT!$A$3:$M826,7,FALSE),"ER - NOT IN APT")),P680)</f>
        <v>Result</v>
      </c>
      <c r="R680" s="106" t="b">
        <f t="shared" si="2"/>
        <v>1</v>
      </c>
      <c r="S680" s="107">
        <f t="shared" si="3"/>
        <v>1</v>
      </c>
      <c r="T680" s="143"/>
      <c r="U680" s="142"/>
      <c r="V680" s="142"/>
      <c r="W680" s="142"/>
      <c r="X680" s="110" t="b">
        <f t="shared" si="4"/>
        <v>0</v>
      </c>
      <c r="Y680" s="111" t="b">
        <v>0</v>
      </c>
      <c r="Z680" s="104" t="str">
        <f t="shared" si="5"/>
        <v/>
      </c>
      <c r="AA680" s="112" t="b">
        <f t="shared" si="6"/>
        <v>0</v>
      </c>
      <c r="AB680" s="142" t="b">
        <v>0</v>
      </c>
      <c r="AC680" s="140">
        <v>139.0</v>
      </c>
      <c r="AD680" s="141" t="b">
        <v>0</v>
      </c>
      <c r="AE680" s="115">
        <f t="shared" si="7"/>
        <v>165.15</v>
      </c>
      <c r="AF680" s="116" t="b">
        <f t="shared" si="8"/>
        <v>0</v>
      </c>
      <c r="AG680" s="105" t="b">
        <f t="shared" si="9"/>
        <v>0</v>
      </c>
      <c r="AH680" s="140"/>
      <c r="AI680" s="140"/>
      <c r="AJ680" s="140"/>
      <c r="AK680" s="117" t="str">
        <f t="shared" si="10"/>
        <v>Negative</v>
      </c>
      <c r="AL680" s="142"/>
      <c r="AM680" s="112" t="s">
        <v>318</v>
      </c>
      <c r="AN680" s="112" t="s">
        <v>319</v>
      </c>
      <c r="AO680" s="112" t="str">
        <f>IFERROR(__xludf.DUMMYFUNCTION("IF($AG680, ""DELETED"",TRIM(JOIN("" "",D680:E680)))"),"")</f>
        <v/>
      </c>
      <c r="AP680" s="112" t="str">
        <f t="shared" ref="AP680:AQ680" si="705">IF($AG680, "DELETED", TRIM(CONCATENATE(F680,I680,U680)))</f>
        <v/>
      </c>
      <c r="AQ680" s="112" t="str">
        <f t="shared" si="705"/>
        <v/>
      </c>
      <c r="AR680" s="112" t="str">
        <f>IFERROR(__xludf.DUMMYFUNCTION("IF($AG680, ""DELETED"", TRIM(JOIN("" "",AP680,AQ680)))"),"")</f>
        <v/>
      </c>
      <c r="AS680" s="118"/>
      <c r="AT680" s="110" t="b">
        <f t="shared" si="12"/>
        <v>0</v>
      </c>
      <c r="AU680" s="110" t="str">
        <f t="shared" si="13"/>
        <v/>
      </c>
      <c r="AV680" s="110" t="str">
        <f t="shared" si="14"/>
        <v/>
      </c>
      <c r="AW680" s="110" t="str">
        <f t="shared" si="15"/>
        <v/>
      </c>
      <c r="AX680" s="119" t="str">
        <f t="shared" si="16"/>
        <v/>
      </c>
      <c r="AY680" s="120"/>
      <c r="AZ680" s="121"/>
      <c r="BA680" s="122" t="str">
        <f t="shared" si="17"/>
        <v/>
      </c>
      <c r="BB680" s="34"/>
      <c r="BC680" s="121"/>
      <c r="BD680" s="136"/>
      <c r="BE680" s="125" t="str">
        <f t="shared" si="18"/>
        <v/>
      </c>
      <c r="BF680" s="126" t="str">
        <f t="shared" si="19"/>
        <v>FM58__44623_0.345914351851852</v>
      </c>
      <c r="BG680" s="127" t="str">
        <f t="shared" si="20"/>
        <v/>
      </c>
      <c r="BH680" s="137" t="s">
        <v>1882</v>
      </c>
      <c r="BI680" s="128" t="str">
        <f t="shared" si="21"/>
        <v>MA606</v>
      </c>
      <c r="BJ680" s="129" t="b">
        <f t="shared" si="22"/>
        <v>0</v>
      </c>
      <c r="BK680" s="128" t="str">
        <f t="shared" si="23"/>
        <v/>
      </c>
      <c r="BL680" s="121"/>
      <c r="BM680" s="5" t="str">
        <f t="shared" si="24"/>
        <v>MISSING</v>
      </c>
      <c r="BN680" s="120" t="b">
        <f t="shared" si="25"/>
        <v>0</v>
      </c>
      <c r="BO680" s="131" t="b">
        <f t="shared" si="26"/>
        <v>1</v>
      </c>
      <c r="BP680" s="121"/>
      <c r="BQ680" s="132" t="str">
        <f>VLOOKUP(A680,RAW_APS!A$3:O826,15,FALSE)</f>
        <v/>
      </c>
      <c r="BR680" s="120" t="b">
        <f t="shared" si="27"/>
        <v>1</v>
      </c>
      <c r="BS680" s="121"/>
      <c r="BT680" s="138" t="s">
        <v>244</v>
      </c>
      <c r="BU680" s="10" t="b">
        <f t="shared" si="28"/>
        <v>1</v>
      </c>
      <c r="BV680" s="120"/>
      <c r="BW680" s="120"/>
      <c r="BX680" s="120"/>
      <c r="BY680" s="120"/>
      <c r="BZ680" s="120"/>
      <c r="CA680" s="120"/>
      <c r="CB680" s="120"/>
      <c r="CC680" s="120"/>
    </row>
    <row r="681">
      <c r="A681" s="2" t="s">
        <v>1883</v>
      </c>
      <c r="B681" s="100">
        <v>44623.0</v>
      </c>
      <c r="C681" s="101">
        <v>0.35480324074074077</v>
      </c>
      <c r="D681" s="102"/>
      <c r="E681" s="102"/>
      <c r="F681" s="102"/>
      <c r="G681" s="102"/>
      <c r="H681" s="102"/>
      <c r="I681" s="103"/>
      <c r="J681" s="103"/>
      <c r="K681" s="2" t="s">
        <v>244</v>
      </c>
      <c r="L681" s="100">
        <v>44623.0</v>
      </c>
      <c r="M681" s="101">
        <v>0.4606018518518519</v>
      </c>
      <c r="P681" s="104" t="b">
        <f>IFNA(IF(VLOOKUP($A681,'Add from APT'!$AA$2:$AC826,3,FALSE)&gt;0,TRUE,FALSE),"ER - NOT IN APT")</f>
        <v>0</v>
      </c>
      <c r="Q681" s="105" t="str">
        <f>IF(ISLOGICAL(P681),IF(P681,"ER - REPS IN APT", IFNA(VLOOKUP($A681,RAW_APT!$A$3:$M826,7,FALSE),"ER - NOT IN APT")),P681)</f>
        <v>Result</v>
      </c>
      <c r="R681" s="106" t="b">
        <f t="shared" si="2"/>
        <v>1</v>
      </c>
      <c r="S681" s="107">
        <f t="shared" si="3"/>
        <v>1</v>
      </c>
      <c r="T681" s="143"/>
      <c r="U681" s="142"/>
      <c r="V681" s="142"/>
      <c r="W681" s="142"/>
      <c r="X681" s="110" t="b">
        <f t="shared" si="4"/>
        <v>0</v>
      </c>
      <c r="Y681" s="111" t="b">
        <v>0</v>
      </c>
      <c r="Z681" s="104" t="str">
        <f t="shared" si="5"/>
        <v/>
      </c>
      <c r="AA681" s="112" t="b">
        <f t="shared" si="6"/>
        <v>0</v>
      </c>
      <c r="AB681" s="142" t="b">
        <v>0</v>
      </c>
      <c r="AC681" s="140">
        <v>138.0</v>
      </c>
      <c r="AD681" s="141" t="b">
        <v>0</v>
      </c>
      <c r="AE681" s="115">
        <f t="shared" si="7"/>
        <v>152.35</v>
      </c>
      <c r="AF681" s="116" t="b">
        <f t="shared" si="8"/>
        <v>0</v>
      </c>
      <c r="AG681" s="105" t="b">
        <f t="shared" si="9"/>
        <v>0</v>
      </c>
      <c r="AH681" s="140"/>
      <c r="AI681" s="140"/>
      <c r="AJ681" s="140"/>
      <c r="AK681" s="117" t="str">
        <f t="shared" si="10"/>
        <v>Negative</v>
      </c>
      <c r="AL681" s="142"/>
      <c r="AM681" s="112" t="s">
        <v>727</v>
      </c>
      <c r="AN681" s="112" t="s">
        <v>728</v>
      </c>
      <c r="AO681" s="112" t="str">
        <f>IFERROR(__xludf.DUMMYFUNCTION("IF($AG681, ""DELETED"",TRIM(JOIN("" "",D681:E681)))"),"")</f>
        <v/>
      </c>
      <c r="AP681" s="112" t="str">
        <f t="shared" ref="AP681:AQ681" si="706">IF($AG681, "DELETED", TRIM(CONCATENATE(F681,I681,U681)))</f>
        <v/>
      </c>
      <c r="AQ681" s="112" t="str">
        <f t="shared" si="706"/>
        <v/>
      </c>
      <c r="AR681" s="112" t="str">
        <f>IFERROR(__xludf.DUMMYFUNCTION("IF($AG681, ""DELETED"", TRIM(JOIN("" "",AP681,AQ681)))"),"")</f>
        <v/>
      </c>
      <c r="AS681" s="118"/>
      <c r="AT681" s="110" t="b">
        <f t="shared" si="12"/>
        <v>0</v>
      </c>
      <c r="AU681" s="110" t="str">
        <f t="shared" si="13"/>
        <v/>
      </c>
      <c r="AV681" s="110" t="str">
        <f t="shared" si="14"/>
        <v/>
      </c>
      <c r="AW681" s="110" t="str">
        <f t="shared" si="15"/>
        <v/>
      </c>
      <c r="AX681" s="119" t="str">
        <f t="shared" si="16"/>
        <v/>
      </c>
      <c r="AY681" s="120"/>
      <c r="AZ681" s="121"/>
      <c r="BA681" s="122" t="str">
        <f t="shared" si="17"/>
        <v/>
      </c>
      <c r="BB681" s="34"/>
      <c r="BC681" s="121"/>
      <c r="BD681" s="136"/>
      <c r="BE681" s="125" t="str">
        <f t="shared" si="18"/>
        <v/>
      </c>
      <c r="BF681" s="126" t="str">
        <f t="shared" si="19"/>
        <v>FM24__44623_0.354803240740741</v>
      </c>
      <c r="BG681" s="127" t="str">
        <f t="shared" si="20"/>
        <v/>
      </c>
      <c r="BH681" s="137" t="s">
        <v>1884</v>
      </c>
      <c r="BI681" s="128" t="str">
        <f t="shared" si="21"/>
        <v>MA607</v>
      </c>
      <c r="BJ681" s="129" t="b">
        <f t="shared" si="22"/>
        <v>0</v>
      </c>
      <c r="BK681" s="128" t="str">
        <f t="shared" si="23"/>
        <v/>
      </c>
      <c r="BL681" s="121"/>
      <c r="BM681" s="5" t="str">
        <f t="shared" si="24"/>
        <v>MISSING</v>
      </c>
      <c r="BN681" s="120" t="b">
        <f t="shared" si="25"/>
        <v>0</v>
      </c>
      <c r="BO681" s="131" t="b">
        <f t="shared" si="26"/>
        <v>1</v>
      </c>
      <c r="BP681" s="121"/>
      <c r="BQ681" s="132" t="str">
        <f>VLOOKUP(A681,RAW_APS!A$3:O826,15,FALSE)</f>
        <v/>
      </c>
      <c r="BR681" s="120" t="b">
        <f t="shared" si="27"/>
        <v>1</v>
      </c>
      <c r="BS681" s="121"/>
      <c r="BT681" s="138" t="s">
        <v>244</v>
      </c>
      <c r="BU681" s="10" t="b">
        <f t="shared" si="28"/>
        <v>1</v>
      </c>
      <c r="BV681" s="120"/>
      <c r="BW681" s="120"/>
      <c r="BX681" s="120"/>
      <c r="BY681" s="120"/>
      <c r="BZ681" s="120"/>
      <c r="CA681" s="120"/>
      <c r="CB681" s="120"/>
      <c r="CC681" s="120"/>
    </row>
    <row r="682">
      <c r="A682" s="2" t="s">
        <v>1885</v>
      </c>
      <c r="B682" s="100">
        <v>44623.0</v>
      </c>
      <c r="C682" s="101">
        <v>0.3894097222222222</v>
      </c>
      <c r="D682" s="102"/>
      <c r="E682" s="102"/>
      <c r="F682" s="102"/>
      <c r="G682" s="102"/>
      <c r="H682" s="102"/>
      <c r="I682" s="103"/>
      <c r="J682" s="103"/>
      <c r="K682" s="2" t="s">
        <v>244</v>
      </c>
      <c r="L682" s="100">
        <v>44623.0</v>
      </c>
      <c r="M682" s="101">
        <v>0.4606018518518519</v>
      </c>
      <c r="P682" s="104" t="b">
        <f>IFNA(IF(VLOOKUP($A682,'Add from APT'!$AA$2:$AC826,3,FALSE)&gt;0,TRUE,FALSE),"ER - NOT IN APT")</f>
        <v>0</v>
      </c>
      <c r="Q682" s="105" t="str">
        <f>IF(ISLOGICAL(P682),IF(P682,"ER - REPS IN APT", IFNA(VLOOKUP($A682,RAW_APT!$A$3:$M826,7,FALSE),"ER - NOT IN APT")),P682)</f>
        <v>Result</v>
      </c>
      <c r="R682" s="106" t="b">
        <f t="shared" si="2"/>
        <v>1</v>
      </c>
      <c r="S682" s="107">
        <f t="shared" si="3"/>
        <v>1</v>
      </c>
      <c r="T682" s="143"/>
      <c r="U682" s="142"/>
      <c r="V682" s="142"/>
      <c r="W682" s="142"/>
      <c r="X682" s="110" t="b">
        <f t="shared" si="4"/>
        <v>0</v>
      </c>
      <c r="Y682" s="111" t="b">
        <v>0</v>
      </c>
      <c r="Z682" s="104" t="str">
        <f t="shared" si="5"/>
        <v/>
      </c>
      <c r="AA682" s="112" t="b">
        <f t="shared" si="6"/>
        <v>0</v>
      </c>
      <c r="AB682" s="142" t="b">
        <v>0</v>
      </c>
      <c r="AC682" s="140">
        <v>137.0</v>
      </c>
      <c r="AD682" s="141" t="b">
        <v>0</v>
      </c>
      <c r="AE682" s="115">
        <f t="shared" si="7"/>
        <v>102.5166667</v>
      </c>
      <c r="AF682" s="116" t="b">
        <f t="shared" si="8"/>
        <v>0</v>
      </c>
      <c r="AG682" s="105" t="b">
        <f t="shared" si="9"/>
        <v>0</v>
      </c>
      <c r="AH682" s="140"/>
      <c r="AI682" s="140"/>
      <c r="AJ682" s="140"/>
      <c r="AK682" s="117" t="str">
        <f t="shared" si="10"/>
        <v>Negative</v>
      </c>
      <c r="AL682" s="142"/>
      <c r="AM682" s="112" t="s">
        <v>273</v>
      </c>
      <c r="AN682" s="112" t="s">
        <v>274</v>
      </c>
      <c r="AO682" s="112" t="str">
        <f>IFERROR(__xludf.DUMMYFUNCTION("IF($AG682, ""DELETED"",TRIM(JOIN("" "",D682:E682)))"),"")</f>
        <v/>
      </c>
      <c r="AP682" s="112" t="str">
        <f t="shared" ref="AP682:AQ682" si="707">IF($AG682, "DELETED", TRIM(CONCATENATE(F682,I682,U682)))</f>
        <v/>
      </c>
      <c r="AQ682" s="112" t="str">
        <f t="shared" si="707"/>
        <v/>
      </c>
      <c r="AR682" s="112" t="str">
        <f>IFERROR(__xludf.DUMMYFUNCTION("IF($AG682, ""DELETED"", TRIM(JOIN("" "",AP682,AQ682)))"),"")</f>
        <v/>
      </c>
      <c r="AS682" s="118"/>
      <c r="AT682" s="110" t="b">
        <f t="shared" si="12"/>
        <v>0</v>
      </c>
      <c r="AU682" s="110" t="str">
        <f t="shared" si="13"/>
        <v/>
      </c>
      <c r="AV682" s="110" t="str">
        <f t="shared" si="14"/>
        <v/>
      </c>
      <c r="AW682" s="110" t="str">
        <f t="shared" si="15"/>
        <v/>
      </c>
      <c r="AX682" s="119" t="str">
        <f t="shared" si="16"/>
        <v/>
      </c>
      <c r="AY682" s="120"/>
      <c r="AZ682" s="121"/>
      <c r="BA682" s="122" t="str">
        <f t="shared" si="17"/>
        <v/>
      </c>
      <c r="BB682" s="34"/>
      <c r="BC682" s="121"/>
      <c r="BD682" s="136"/>
      <c r="BE682" s="125" t="str">
        <f t="shared" si="18"/>
        <v/>
      </c>
      <c r="BF682" s="126" t="str">
        <f t="shared" si="19"/>
        <v>FM646__44623_0.389409722222222</v>
      </c>
      <c r="BG682" s="127" t="str">
        <f t="shared" si="20"/>
        <v/>
      </c>
      <c r="BH682" s="137" t="s">
        <v>1886</v>
      </c>
      <c r="BI682" s="128" t="str">
        <f t="shared" si="21"/>
        <v>MA608</v>
      </c>
      <c r="BJ682" s="129" t="b">
        <f t="shared" si="22"/>
        <v>0</v>
      </c>
      <c r="BK682" s="128" t="str">
        <f t="shared" si="23"/>
        <v/>
      </c>
      <c r="BL682" s="121"/>
      <c r="BM682" s="5" t="str">
        <f t="shared" si="24"/>
        <v>MISSING</v>
      </c>
      <c r="BN682" s="120" t="b">
        <f t="shared" si="25"/>
        <v>0</v>
      </c>
      <c r="BO682" s="131" t="b">
        <f t="shared" si="26"/>
        <v>1</v>
      </c>
      <c r="BP682" s="121"/>
      <c r="BQ682" s="132" t="str">
        <f>VLOOKUP(A682,RAW_APS!A$3:O826,15,FALSE)</f>
        <v/>
      </c>
      <c r="BR682" s="120" t="b">
        <f t="shared" si="27"/>
        <v>1</v>
      </c>
      <c r="BS682" s="121"/>
      <c r="BT682" s="138" t="s">
        <v>244</v>
      </c>
      <c r="BU682" s="10" t="b">
        <f t="shared" si="28"/>
        <v>1</v>
      </c>
      <c r="BV682" s="120"/>
      <c r="BW682" s="120"/>
      <c r="BX682" s="120"/>
      <c r="BY682" s="120"/>
      <c r="BZ682" s="120"/>
      <c r="CA682" s="120"/>
      <c r="CB682" s="120"/>
      <c r="CC682" s="120"/>
    </row>
    <row r="683">
      <c r="A683" s="2" t="s">
        <v>1887</v>
      </c>
      <c r="B683" s="100">
        <v>44623.0</v>
      </c>
      <c r="C683" s="101">
        <v>0.3907638888888889</v>
      </c>
      <c r="D683" s="102"/>
      <c r="E683" s="102"/>
      <c r="F683" s="139"/>
      <c r="G683" s="103"/>
      <c r="H683" s="134"/>
      <c r="I683" s="135"/>
      <c r="J683" s="103"/>
      <c r="K683" s="2" t="s">
        <v>244</v>
      </c>
      <c r="L683" s="100">
        <v>44623.0</v>
      </c>
      <c r="M683" s="101">
        <v>0.4606018518518519</v>
      </c>
      <c r="N683" s="2" t="s">
        <v>247</v>
      </c>
      <c r="P683" s="104" t="b">
        <f>IFNA(IF(VLOOKUP($A683,'Add from APT'!$AA$2:$AC826,3,FALSE)&gt;0,TRUE,FALSE),"ER - NOT IN APT")</f>
        <v>0</v>
      </c>
      <c r="Q683" s="105" t="str">
        <f>IF(ISLOGICAL(P683),IF(P683,"ER - REPS IN APT", IFNA(VLOOKUP($A683,RAW_APT!$A$3:$M826,7,FALSE),"ER - NOT IN APT")),P683)</f>
        <v>Result</v>
      </c>
      <c r="R683" s="106" t="b">
        <f t="shared" si="2"/>
        <v>1</v>
      </c>
      <c r="S683" s="107">
        <f t="shared" si="3"/>
        <v>1</v>
      </c>
      <c r="T683" s="140">
        <v>0.0</v>
      </c>
      <c r="U683" s="141"/>
      <c r="V683" s="142"/>
      <c r="W683" s="142"/>
      <c r="X683" s="110" t="b">
        <f t="shared" si="4"/>
        <v>0</v>
      </c>
      <c r="Y683" s="111" t="b">
        <v>0</v>
      </c>
      <c r="Z683" s="104" t="str">
        <f t="shared" si="5"/>
        <v/>
      </c>
      <c r="AA683" s="112" t="b">
        <f t="shared" si="6"/>
        <v>0</v>
      </c>
      <c r="AB683" s="142" t="b">
        <v>0</v>
      </c>
      <c r="AC683" s="140">
        <v>808.0</v>
      </c>
      <c r="AD683" s="141" t="b">
        <v>1</v>
      </c>
      <c r="AE683" s="115">
        <f t="shared" si="7"/>
        <v>100.5666667</v>
      </c>
      <c r="AF683" s="116" t="b">
        <f t="shared" si="8"/>
        <v>0</v>
      </c>
      <c r="AG683" s="105" t="b">
        <f t="shared" si="9"/>
        <v>0</v>
      </c>
      <c r="AH683" s="140"/>
      <c r="AI683" s="140"/>
      <c r="AJ683" s="140"/>
      <c r="AK683" s="117" t="str">
        <f t="shared" si="10"/>
        <v>Negative</v>
      </c>
      <c r="AL683" s="142"/>
      <c r="AM683" s="112" t="s">
        <v>273</v>
      </c>
      <c r="AN683" s="112" t="s">
        <v>1888</v>
      </c>
      <c r="AO683" s="112" t="str">
        <f>IFERROR(__xludf.DUMMYFUNCTION("IF($AG683, ""DELETED"",TRIM(JOIN("" "",D683:E683)))"),"")</f>
        <v/>
      </c>
      <c r="AP683" s="112" t="str">
        <f t="shared" ref="AP683:AQ683" si="708">IF($AG683, "DELETED", TRIM(CONCATENATE(F683,I683,U683)))</f>
        <v/>
      </c>
      <c r="AQ683" s="112" t="str">
        <f t="shared" si="708"/>
        <v/>
      </c>
      <c r="AR683" s="112" t="str">
        <f>IFERROR(__xludf.DUMMYFUNCTION("IF($AG683, ""DELETED"", TRIM(JOIN("" "",AP683,AQ683)))"),"")</f>
        <v/>
      </c>
      <c r="AS683" s="118"/>
      <c r="AT683" s="110" t="b">
        <f t="shared" si="12"/>
        <v>0</v>
      </c>
      <c r="AU683" s="110" t="str">
        <f t="shared" si="13"/>
        <v/>
      </c>
      <c r="AV683" s="110" t="str">
        <f t="shared" si="14"/>
        <v/>
      </c>
      <c r="AW683" s="110" t="str">
        <f t="shared" si="15"/>
        <v/>
      </c>
      <c r="AX683" s="119" t="str">
        <f t="shared" si="16"/>
        <v/>
      </c>
      <c r="AY683" s="120"/>
      <c r="AZ683" s="121"/>
      <c r="BA683" s="122" t="str">
        <f t="shared" si="17"/>
        <v/>
      </c>
      <c r="BB683" s="34"/>
      <c r="BC683" s="121"/>
      <c r="BD683" s="136"/>
      <c r="BE683" s="125" t="str">
        <f t="shared" si="18"/>
        <v/>
      </c>
      <c r="BF683" s="126" t="str">
        <f t="shared" si="19"/>
        <v>MA1307__44623_0.390763888888889</v>
      </c>
      <c r="BG683" s="127" t="str">
        <f t="shared" si="20"/>
        <v/>
      </c>
      <c r="BH683" s="137" t="s">
        <v>1889</v>
      </c>
      <c r="BI683" s="128" t="str">
        <f t="shared" si="21"/>
        <v>MA609</v>
      </c>
      <c r="BJ683" s="129" t="b">
        <f t="shared" si="22"/>
        <v>0</v>
      </c>
      <c r="BK683" s="128" t="str">
        <f t="shared" si="23"/>
        <v/>
      </c>
      <c r="BL683" s="121"/>
      <c r="BM683" s="5" t="str">
        <f t="shared" si="24"/>
        <v>MISSING</v>
      </c>
      <c r="BN683" s="120" t="b">
        <f t="shared" si="25"/>
        <v>0</v>
      </c>
      <c r="BO683" s="131" t="b">
        <f t="shared" si="26"/>
        <v>1</v>
      </c>
      <c r="BP683" s="121"/>
      <c r="BQ683" s="132" t="str">
        <f>VLOOKUP(A683,RAW_APS!A$3:O826,15,FALSE)</f>
        <v>#N/A</v>
      </c>
      <c r="BR683" s="120" t="str">
        <f t="shared" si="27"/>
        <v>***TUBE ID NOT FOUND</v>
      </c>
      <c r="BS683" s="121"/>
      <c r="BT683" s="138" t="s">
        <v>244</v>
      </c>
      <c r="BU683" s="10" t="b">
        <f t="shared" si="28"/>
        <v>1</v>
      </c>
      <c r="BV683" s="120"/>
      <c r="BW683" s="120"/>
      <c r="BX683" s="120"/>
      <c r="BY683" s="120"/>
      <c r="BZ683" s="120"/>
      <c r="CA683" s="120"/>
      <c r="CB683" s="120"/>
      <c r="CC683" s="120"/>
    </row>
    <row r="684">
      <c r="A684" s="2" t="s">
        <v>1890</v>
      </c>
      <c r="B684" s="100">
        <v>44623.0</v>
      </c>
      <c r="C684" s="101">
        <v>0.3910416666666667</v>
      </c>
      <c r="D684" s="102"/>
      <c r="E684" s="102"/>
      <c r="F684" s="139"/>
      <c r="G684" s="103"/>
      <c r="H684" s="134"/>
      <c r="I684" s="135"/>
      <c r="J684" s="103"/>
      <c r="K684" s="2" t="s">
        <v>52</v>
      </c>
      <c r="L684" s="100">
        <v>44623.0</v>
      </c>
      <c r="M684" s="101">
        <v>0.46038194444444447</v>
      </c>
      <c r="N684" s="2" t="s">
        <v>247</v>
      </c>
      <c r="P684" s="104" t="b">
        <f>IFNA(IF(VLOOKUP($A684,'Add from APT'!$AA$2:$AC826,3,FALSE)&gt;0,TRUE,FALSE),"ER - NOT IN APT")</f>
        <v>0</v>
      </c>
      <c r="Q684" s="105" t="str">
        <f>IF(ISLOGICAL(P684),IF(P684,"ER - REPS IN APT", IFNA(VLOOKUP($A684,RAW_APT!$A$3:$M826,7,FALSE),"ER - NOT IN APT")),P684)</f>
        <v>Result</v>
      </c>
      <c r="R684" s="106" t="b">
        <f t="shared" si="2"/>
        <v>1</v>
      </c>
      <c r="S684" s="107">
        <f t="shared" si="3"/>
        <v>1</v>
      </c>
      <c r="T684" s="140">
        <v>0.0</v>
      </c>
      <c r="U684" s="141"/>
      <c r="V684" s="142"/>
      <c r="W684" s="142"/>
      <c r="X684" s="110" t="b">
        <f t="shared" si="4"/>
        <v>0</v>
      </c>
      <c r="Y684" s="111" t="b">
        <v>0</v>
      </c>
      <c r="Z684" s="104" t="str">
        <f t="shared" si="5"/>
        <v/>
      </c>
      <c r="AA684" s="112" t="b">
        <f t="shared" si="6"/>
        <v>0</v>
      </c>
      <c r="AB684" s="142" t="b">
        <v>0</v>
      </c>
      <c r="AC684" s="140">
        <v>807.0</v>
      </c>
      <c r="AD684" s="141" t="b">
        <v>1</v>
      </c>
      <c r="AE684" s="115">
        <f t="shared" si="7"/>
        <v>99.85</v>
      </c>
      <c r="AF684" s="116" t="b">
        <f t="shared" si="8"/>
        <v>0</v>
      </c>
      <c r="AG684" s="105" t="b">
        <f t="shared" si="9"/>
        <v>0</v>
      </c>
      <c r="AH684" s="140"/>
      <c r="AI684" s="140"/>
      <c r="AJ684" s="140"/>
      <c r="AK684" s="117" t="str">
        <f t="shared" si="10"/>
        <v>Positive</v>
      </c>
      <c r="AL684" s="141"/>
      <c r="AM684" s="112" t="s">
        <v>273</v>
      </c>
      <c r="AN684" s="112" t="s">
        <v>1891</v>
      </c>
      <c r="AO684" s="112" t="str">
        <f>IFERROR(__xludf.DUMMYFUNCTION("IF($AG684, ""DELETED"",TRIM(JOIN("" "",D684:E684)))"),"")</f>
        <v/>
      </c>
      <c r="AP684" s="112" t="str">
        <f t="shared" ref="AP684:AQ684" si="709">IF($AG684, "DELETED", TRIM(CONCATENATE(F684,I684,U684)))</f>
        <v/>
      </c>
      <c r="AQ684" s="112" t="str">
        <f t="shared" si="709"/>
        <v/>
      </c>
      <c r="AR684" s="112" t="str">
        <f>IFERROR(__xludf.DUMMYFUNCTION("IF($AG684, ""DELETED"", TRIM(JOIN("" "",AP684,AQ684)))"),"")</f>
        <v/>
      </c>
      <c r="AS684" s="118"/>
      <c r="AT684" s="110" t="b">
        <f t="shared" si="12"/>
        <v>0</v>
      </c>
      <c r="AU684" s="110" t="str">
        <f t="shared" si="13"/>
        <v/>
      </c>
      <c r="AV684" s="110" t="str">
        <f t="shared" si="14"/>
        <v/>
      </c>
      <c r="AW684" s="110" t="str">
        <f t="shared" si="15"/>
        <v/>
      </c>
      <c r="AX684" s="119" t="str">
        <f t="shared" si="16"/>
        <v/>
      </c>
      <c r="AY684" s="120"/>
      <c r="AZ684" s="121"/>
      <c r="BA684" s="122" t="str">
        <f t="shared" si="17"/>
        <v/>
      </c>
      <c r="BB684" s="34"/>
      <c r="BC684" s="121"/>
      <c r="BD684" s="136"/>
      <c r="BE684" s="125" t="str">
        <f t="shared" si="18"/>
        <v/>
      </c>
      <c r="BF684" s="126" t="str">
        <f t="shared" si="19"/>
        <v>MA1305__44623_0.391041666666667</v>
      </c>
      <c r="BG684" s="127" t="str">
        <f t="shared" si="20"/>
        <v/>
      </c>
      <c r="BH684" s="137" t="s">
        <v>1892</v>
      </c>
      <c r="BI684" s="128" t="str">
        <f t="shared" si="21"/>
        <v>MA610</v>
      </c>
      <c r="BJ684" s="129" t="b">
        <f t="shared" si="22"/>
        <v>0</v>
      </c>
      <c r="BK684" s="128" t="str">
        <f t="shared" si="23"/>
        <v/>
      </c>
      <c r="BL684" s="121"/>
      <c r="BM684" s="5" t="str">
        <f t="shared" si="24"/>
        <v>MISSING</v>
      </c>
      <c r="BN684" s="120" t="b">
        <f t="shared" si="25"/>
        <v>0</v>
      </c>
      <c r="BO684" s="131" t="b">
        <f t="shared" si="26"/>
        <v>1</v>
      </c>
      <c r="BP684" s="121"/>
      <c r="BQ684" s="132" t="str">
        <f>VLOOKUP(A684,RAW_APS!A$3:O826,15,FALSE)</f>
        <v>#N/A</v>
      </c>
      <c r="BR684" s="120" t="str">
        <f t="shared" si="27"/>
        <v>***TUBE ID NOT FOUND</v>
      </c>
      <c r="BS684" s="121"/>
      <c r="BT684" s="138" t="s">
        <v>52</v>
      </c>
      <c r="BU684" s="10" t="b">
        <f t="shared" si="28"/>
        <v>1</v>
      </c>
      <c r="BV684" s="120"/>
      <c r="BW684" s="120"/>
      <c r="BX684" s="120"/>
      <c r="BY684" s="120"/>
      <c r="BZ684" s="120"/>
      <c r="CA684" s="120"/>
      <c r="CB684" s="120"/>
      <c r="CC684" s="120"/>
    </row>
    <row r="685">
      <c r="A685" s="2" t="s">
        <v>1893</v>
      </c>
      <c r="B685" s="100">
        <v>44623.0</v>
      </c>
      <c r="C685" s="101">
        <v>0.3912731481481482</v>
      </c>
      <c r="D685" s="102"/>
      <c r="E685" s="102"/>
      <c r="F685" s="139"/>
      <c r="G685" s="103"/>
      <c r="H685" s="134"/>
      <c r="I685" s="135"/>
      <c r="J685" s="103"/>
      <c r="K685" s="2" t="s">
        <v>244</v>
      </c>
      <c r="L685" s="100">
        <v>44623.0</v>
      </c>
      <c r="M685" s="101">
        <v>0.4606018518518519</v>
      </c>
      <c r="N685" s="2" t="s">
        <v>247</v>
      </c>
      <c r="P685" s="104" t="b">
        <f>IFNA(IF(VLOOKUP($A685,'Add from APT'!$AA$2:$AC826,3,FALSE)&gt;0,TRUE,FALSE),"ER - NOT IN APT")</f>
        <v>0</v>
      </c>
      <c r="Q685" s="105" t="str">
        <f>IF(ISLOGICAL(P685),IF(P685,"ER - REPS IN APT", IFNA(VLOOKUP($A685,RAW_APT!$A$3:$M826,7,FALSE),"ER - NOT IN APT")),P685)</f>
        <v>Result</v>
      </c>
      <c r="R685" s="106" t="b">
        <f t="shared" si="2"/>
        <v>1</v>
      </c>
      <c r="S685" s="107">
        <f t="shared" si="3"/>
        <v>1</v>
      </c>
      <c r="T685" s="140">
        <v>0.0</v>
      </c>
      <c r="U685" s="141"/>
      <c r="V685" s="142"/>
      <c r="W685" s="142"/>
      <c r="X685" s="110" t="b">
        <f t="shared" si="4"/>
        <v>0</v>
      </c>
      <c r="Y685" s="111" t="b">
        <v>0</v>
      </c>
      <c r="Z685" s="104" t="str">
        <f t="shared" si="5"/>
        <v/>
      </c>
      <c r="AA685" s="112" t="b">
        <f t="shared" si="6"/>
        <v>0</v>
      </c>
      <c r="AB685" s="142" t="b">
        <v>0</v>
      </c>
      <c r="AC685" s="140">
        <v>809.0</v>
      </c>
      <c r="AD685" s="141" t="b">
        <v>1</v>
      </c>
      <c r="AE685" s="115">
        <f t="shared" si="7"/>
        <v>99.83333333</v>
      </c>
      <c r="AF685" s="116" t="b">
        <f t="shared" si="8"/>
        <v>0</v>
      </c>
      <c r="AG685" s="105" t="b">
        <f t="shared" si="9"/>
        <v>0</v>
      </c>
      <c r="AH685" s="140"/>
      <c r="AI685" s="140"/>
      <c r="AJ685" s="140"/>
      <c r="AK685" s="117" t="str">
        <f t="shared" si="10"/>
        <v>Negative</v>
      </c>
      <c r="AL685" s="142"/>
      <c r="AM685" s="112" t="s">
        <v>273</v>
      </c>
      <c r="AN685" s="112" t="s">
        <v>1894</v>
      </c>
      <c r="AO685" s="112" t="str">
        <f>IFERROR(__xludf.DUMMYFUNCTION("IF($AG685, ""DELETED"",TRIM(JOIN("" "",D685:E685)))"),"")</f>
        <v/>
      </c>
      <c r="AP685" s="112" t="str">
        <f t="shared" ref="AP685:AQ685" si="710">IF($AG685, "DELETED", TRIM(CONCATENATE(F685,I685,U685)))</f>
        <v/>
      </c>
      <c r="AQ685" s="112" t="str">
        <f t="shared" si="710"/>
        <v/>
      </c>
      <c r="AR685" s="112" t="str">
        <f>IFERROR(__xludf.DUMMYFUNCTION("IF($AG685, ""DELETED"", TRIM(JOIN("" "",AP685,AQ685)))"),"")</f>
        <v/>
      </c>
      <c r="AS685" s="118"/>
      <c r="AT685" s="110" t="b">
        <f t="shared" si="12"/>
        <v>0</v>
      </c>
      <c r="AU685" s="110" t="str">
        <f t="shared" si="13"/>
        <v/>
      </c>
      <c r="AV685" s="110" t="str">
        <f t="shared" si="14"/>
        <v/>
      </c>
      <c r="AW685" s="110" t="str">
        <f t="shared" si="15"/>
        <v/>
      </c>
      <c r="AX685" s="119" t="str">
        <f t="shared" si="16"/>
        <v/>
      </c>
      <c r="AY685" s="120"/>
      <c r="AZ685" s="121"/>
      <c r="BA685" s="122" t="str">
        <f t="shared" si="17"/>
        <v/>
      </c>
      <c r="BB685" s="34"/>
      <c r="BC685" s="121"/>
      <c r="BD685" s="136"/>
      <c r="BE685" s="125" t="str">
        <f t="shared" si="18"/>
        <v/>
      </c>
      <c r="BF685" s="126" t="str">
        <f t="shared" si="19"/>
        <v>MA1316__44623_0.391273148148148</v>
      </c>
      <c r="BG685" s="127" t="str">
        <f t="shared" si="20"/>
        <v/>
      </c>
      <c r="BH685" s="137" t="s">
        <v>1895</v>
      </c>
      <c r="BI685" s="128" t="str">
        <f t="shared" si="21"/>
        <v>MA613</v>
      </c>
      <c r="BJ685" s="129" t="b">
        <f t="shared" si="22"/>
        <v>0</v>
      </c>
      <c r="BK685" s="128" t="str">
        <f t="shared" si="23"/>
        <v/>
      </c>
      <c r="BL685" s="121"/>
      <c r="BM685" s="5" t="str">
        <f t="shared" si="24"/>
        <v>MISSING</v>
      </c>
      <c r="BN685" s="120" t="b">
        <f t="shared" si="25"/>
        <v>0</v>
      </c>
      <c r="BO685" s="131" t="b">
        <f t="shared" si="26"/>
        <v>1</v>
      </c>
      <c r="BP685" s="121"/>
      <c r="BQ685" s="132" t="str">
        <f>VLOOKUP(A685,RAW_APS!A$3:O826,15,FALSE)</f>
        <v>#N/A</v>
      </c>
      <c r="BR685" s="120" t="str">
        <f t="shared" si="27"/>
        <v>***TUBE ID NOT FOUND</v>
      </c>
      <c r="BS685" s="121"/>
      <c r="BT685" s="138" t="s">
        <v>244</v>
      </c>
      <c r="BU685" s="10" t="b">
        <f t="shared" si="28"/>
        <v>1</v>
      </c>
      <c r="BV685" s="120"/>
      <c r="BW685" s="120"/>
      <c r="BX685" s="120"/>
      <c r="BY685" s="120"/>
      <c r="BZ685" s="120"/>
      <c r="CA685" s="120"/>
      <c r="CB685" s="120"/>
      <c r="CC685" s="120"/>
    </row>
    <row r="686">
      <c r="A686" s="2" t="s">
        <v>1896</v>
      </c>
      <c r="B686" s="100">
        <v>44623.0</v>
      </c>
      <c r="C686" s="101">
        <v>0.3914930555555556</v>
      </c>
      <c r="D686" s="102"/>
      <c r="E686" s="102"/>
      <c r="F686" s="139"/>
      <c r="G686" s="103"/>
      <c r="H686" s="134"/>
      <c r="I686" s="135"/>
      <c r="J686" s="103"/>
      <c r="K686" s="2" t="s">
        <v>52</v>
      </c>
      <c r="L686" s="100">
        <v>44623.0</v>
      </c>
      <c r="M686" s="101">
        <v>0.46038194444444447</v>
      </c>
      <c r="N686" s="2" t="s">
        <v>247</v>
      </c>
      <c r="P686" s="104" t="b">
        <f>IFNA(IF(VLOOKUP($A686,'Add from APT'!$AA$2:$AC826,3,FALSE)&gt;0,TRUE,FALSE),"ER - NOT IN APT")</f>
        <v>0</v>
      </c>
      <c r="Q686" s="105" t="str">
        <f>IF(ISLOGICAL(P686),IF(P686,"ER - REPS IN APT", IFNA(VLOOKUP($A686,RAW_APT!$A$3:$M826,7,FALSE),"ER - NOT IN APT")),P686)</f>
        <v>Result</v>
      </c>
      <c r="R686" s="106" t="b">
        <f t="shared" si="2"/>
        <v>1</v>
      </c>
      <c r="S686" s="107">
        <f t="shared" si="3"/>
        <v>1</v>
      </c>
      <c r="T686" s="140">
        <v>0.0</v>
      </c>
      <c r="U686" s="141"/>
      <c r="V686" s="142"/>
      <c r="W686" s="142"/>
      <c r="X686" s="110" t="b">
        <f t="shared" si="4"/>
        <v>0</v>
      </c>
      <c r="Y686" s="111" t="b">
        <v>0</v>
      </c>
      <c r="Z686" s="104" t="str">
        <f t="shared" si="5"/>
        <v/>
      </c>
      <c r="AA686" s="112" t="b">
        <f t="shared" si="6"/>
        <v>0</v>
      </c>
      <c r="AB686" s="142" t="b">
        <v>0</v>
      </c>
      <c r="AC686" s="140">
        <v>796.0</v>
      </c>
      <c r="AD686" s="141" t="b">
        <v>1</v>
      </c>
      <c r="AE686" s="115">
        <f t="shared" si="7"/>
        <v>99.2</v>
      </c>
      <c r="AF686" s="116" t="b">
        <f t="shared" si="8"/>
        <v>0</v>
      </c>
      <c r="AG686" s="105" t="b">
        <f t="shared" si="9"/>
        <v>0</v>
      </c>
      <c r="AH686" s="140"/>
      <c r="AI686" s="140"/>
      <c r="AJ686" s="140"/>
      <c r="AK686" s="117" t="str">
        <f t="shared" si="10"/>
        <v>Positive</v>
      </c>
      <c r="AL686" s="142"/>
      <c r="AM686" s="112" t="s">
        <v>273</v>
      </c>
      <c r="AN686" s="112" t="s">
        <v>1897</v>
      </c>
      <c r="AO686" s="112" t="str">
        <f>IFERROR(__xludf.DUMMYFUNCTION("IF($AG686, ""DELETED"",TRIM(JOIN("" "",D686:E686)))"),"")</f>
        <v/>
      </c>
      <c r="AP686" s="112" t="str">
        <f t="shared" ref="AP686:AQ686" si="711">IF($AG686, "DELETED", TRIM(CONCATENATE(F686,I686,U686)))</f>
        <v/>
      </c>
      <c r="AQ686" s="112" t="str">
        <f t="shared" si="711"/>
        <v/>
      </c>
      <c r="AR686" s="112" t="str">
        <f>IFERROR(__xludf.DUMMYFUNCTION("IF($AG686, ""DELETED"", TRIM(JOIN("" "",AP686,AQ686)))"),"")</f>
        <v/>
      </c>
      <c r="AS686" s="118"/>
      <c r="AT686" s="110" t="b">
        <f t="shared" si="12"/>
        <v>0</v>
      </c>
      <c r="AU686" s="110" t="str">
        <f t="shared" si="13"/>
        <v/>
      </c>
      <c r="AV686" s="110" t="str">
        <f t="shared" si="14"/>
        <v/>
      </c>
      <c r="AW686" s="110" t="str">
        <f t="shared" si="15"/>
        <v/>
      </c>
      <c r="AX686" s="119" t="str">
        <f t="shared" si="16"/>
        <v/>
      </c>
      <c r="AY686" s="120"/>
      <c r="AZ686" s="121"/>
      <c r="BA686" s="122" t="str">
        <f t="shared" si="17"/>
        <v/>
      </c>
      <c r="BB686" s="34"/>
      <c r="BC686" s="121"/>
      <c r="BD686" s="136"/>
      <c r="BE686" s="125" t="str">
        <f t="shared" si="18"/>
        <v/>
      </c>
      <c r="BF686" s="126" t="str">
        <f t="shared" si="19"/>
        <v>MA1202__44623_0.391493055555556</v>
      </c>
      <c r="BG686" s="127" t="str">
        <f t="shared" si="20"/>
        <v/>
      </c>
      <c r="BH686" s="137" t="s">
        <v>1898</v>
      </c>
      <c r="BI686" s="128" t="str">
        <f t="shared" si="21"/>
        <v>MA615</v>
      </c>
      <c r="BJ686" s="129" t="b">
        <f t="shared" si="22"/>
        <v>0</v>
      </c>
      <c r="BK686" s="128" t="str">
        <f t="shared" si="23"/>
        <v/>
      </c>
      <c r="BL686" s="121"/>
      <c r="BM686" s="5" t="str">
        <f t="shared" si="24"/>
        <v>MISSING</v>
      </c>
      <c r="BN686" s="120" t="b">
        <f t="shared" si="25"/>
        <v>0</v>
      </c>
      <c r="BO686" s="131" t="b">
        <f t="shared" si="26"/>
        <v>1</v>
      </c>
      <c r="BP686" s="121"/>
      <c r="BQ686" s="132" t="str">
        <f>VLOOKUP(A686,RAW_APS!A$3:O826,15,FALSE)</f>
        <v>#N/A</v>
      </c>
      <c r="BR686" s="120" t="str">
        <f t="shared" si="27"/>
        <v>***TUBE ID NOT FOUND</v>
      </c>
      <c r="BS686" s="121"/>
      <c r="BT686" s="138" t="s">
        <v>52</v>
      </c>
      <c r="BU686" s="10" t="b">
        <f t="shared" si="28"/>
        <v>1</v>
      </c>
      <c r="BV686" s="120"/>
      <c r="BW686" s="120"/>
      <c r="BX686" s="120"/>
      <c r="BY686" s="120"/>
      <c r="BZ686" s="120"/>
      <c r="CA686" s="120"/>
      <c r="CB686" s="120"/>
      <c r="CC686" s="120"/>
    </row>
    <row r="687">
      <c r="A687" s="2" t="s">
        <v>1899</v>
      </c>
      <c r="B687" s="100">
        <v>44623.0</v>
      </c>
      <c r="C687" s="101">
        <v>0.4114699074074074</v>
      </c>
      <c r="D687" s="102"/>
      <c r="E687" s="102"/>
      <c r="F687" s="102"/>
      <c r="G687" s="102"/>
      <c r="H687" s="102"/>
      <c r="I687" s="103"/>
      <c r="J687" s="103"/>
      <c r="K687" s="2" t="s">
        <v>244</v>
      </c>
      <c r="L687" s="100">
        <v>44623.0</v>
      </c>
      <c r="M687" s="101">
        <v>0.4606018518518519</v>
      </c>
      <c r="P687" s="104" t="b">
        <f>IFNA(IF(VLOOKUP($A687,'Add from APT'!$AA$2:$AC826,3,FALSE)&gt;0,TRUE,FALSE),"ER - NOT IN APT")</f>
        <v>0</v>
      </c>
      <c r="Q687" s="105" t="str">
        <f>IF(ISLOGICAL(P687),IF(P687,"ER - REPS IN APT", IFNA(VLOOKUP($A687,RAW_APT!$A$3:$M826,7,FALSE),"ER - NOT IN APT")),P687)</f>
        <v>Result</v>
      </c>
      <c r="R687" s="106" t="b">
        <f t="shared" si="2"/>
        <v>1</v>
      </c>
      <c r="S687" s="107">
        <f t="shared" si="3"/>
        <v>1</v>
      </c>
      <c r="T687" s="143"/>
      <c r="U687" s="142"/>
      <c r="V687" s="142"/>
      <c r="W687" s="142"/>
      <c r="X687" s="110" t="b">
        <f t="shared" si="4"/>
        <v>0</v>
      </c>
      <c r="Y687" s="111" t="b">
        <v>0</v>
      </c>
      <c r="Z687" s="104" t="str">
        <f t="shared" si="5"/>
        <v/>
      </c>
      <c r="AA687" s="112" t="b">
        <f t="shared" si="6"/>
        <v>0</v>
      </c>
      <c r="AB687" s="142" t="b">
        <v>0</v>
      </c>
      <c r="AC687" s="140">
        <v>136.0</v>
      </c>
      <c r="AD687" s="141" t="b">
        <v>0</v>
      </c>
      <c r="AE687" s="115">
        <f t="shared" si="7"/>
        <v>70.75</v>
      </c>
      <c r="AF687" s="116" t="b">
        <f t="shared" si="8"/>
        <v>0</v>
      </c>
      <c r="AG687" s="105" t="b">
        <f t="shared" si="9"/>
        <v>0</v>
      </c>
      <c r="AH687" s="140"/>
      <c r="AI687" s="140"/>
      <c r="AJ687" s="140"/>
      <c r="AK687" s="117" t="str">
        <f t="shared" si="10"/>
        <v>Negative</v>
      </c>
      <c r="AL687" s="142"/>
      <c r="AM687" s="112" t="s">
        <v>273</v>
      </c>
      <c r="AN687" s="112" t="s">
        <v>1900</v>
      </c>
      <c r="AO687" s="112" t="str">
        <f>IFERROR(__xludf.DUMMYFUNCTION("IF($AG687, ""DELETED"",TRIM(JOIN("" "",D687:E687)))"),"")</f>
        <v/>
      </c>
      <c r="AP687" s="112" t="str">
        <f t="shared" ref="AP687:AQ687" si="712">IF($AG687, "DELETED", TRIM(CONCATENATE(F687,I687,U687)))</f>
        <v/>
      </c>
      <c r="AQ687" s="112" t="str">
        <f t="shared" si="712"/>
        <v/>
      </c>
      <c r="AR687" s="112" t="str">
        <f>IFERROR(__xludf.DUMMYFUNCTION("IF($AG687, ""DELETED"", TRIM(JOIN("" "",AP687,AQ687)))"),"")</f>
        <v/>
      </c>
      <c r="AS687" s="118"/>
      <c r="AT687" s="110" t="b">
        <f t="shared" si="12"/>
        <v>0</v>
      </c>
      <c r="AU687" s="110" t="str">
        <f t="shared" si="13"/>
        <v/>
      </c>
      <c r="AV687" s="110" t="str">
        <f t="shared" si="14"/>
        <v/>
      </c>
      <c r="AW687" s="110" t="str">
        <f t="shared" si="15"/>
        <v/>
      </c>
      <c r="AX687" s="119" t="str">
        <f t="shared" si="16"/>
        <v/>
      </c>
      <c r="AY687" s="120"/>
      <c r="AZ687" s="121"/>
      <c r="BA687" s="122" t="str">
        <f t="shared" si="17"/>
        <v/>
      </c>
      <c r="BB687" s="34"/>
      <c r="BC687" s="121"/>
      <c r="BD687" s="136"/>
      <c r="BE687" s="125" t="str">
        <f t="shared" si="18"/>
        <v/>
      </c>
      <c r="BF687" s="126" t="str">
        <f t="shared" si="19"/>
        <v>FM440__44623_0.411469907407407</v>
      </c>
      <c r="BG687" s="127" t="str">
        <f t="shared" si="20"/>
        <v/>
      </c>
      <c r="BH687" s="137" t="s">
        <v>1901</v>
      </c>
      <c r="BI687" s="128" t="str">
        <f t="shared" si="21"/>
        <v>MA616</v>
      </c>
      <c r="BJ687" s="129" t="b">
        <f t="shared" si="22"/>
        <v>0</v>
      </c>
      <c r="BK687" s="128" t="str">
        <f t="shared" si="23"/>
        <v/>
      </c>
      <c r="BL687" s="121"/>
      <c r="BM687" s="5" t="str">
        <f t="shared" si="24"/>
        <v>MISSING</v>
      </c>
      <c r="BN687" s="120" t="b">
        <f t="shared" si="25"/>
        <v>0</v>
      </c>
      <c r="BO687" s="131" t="b">
        <f t="shared" si="26"/>
        <v>1</v>
      </c>
      <c r="BP687" s="121"/>
      <c r="BQ687" s="132" t="str">
        <f>VLOOKUP(A687,RAW_APS!A$3:O826,15,FALSE)</f>
        <v/>
      </c>
      <c r="BR687" s="120" t="b">
        <f t="shared" si="27"/>
        <v>1</v>
      </c>
      <c r="BS687" s="121"/>
      <c r="BT687" s="138" t="s">
        <v>244</v>
      </c>
      <c r="BU687" s="10" t="b">
        <f t="shared" si="28"/>
        <v>1</v>
      </c>
      <c r="BV687" s="120"/>
      <c r="BW687" s="120"/>
      <c r="BX687" s="120"/>
      <c r="BY687" s="120"/>
      <c r="BZ687" s="120"/>
      <c r="CA687" s="120"/>
      <c r="CB687" s="120"/>
      <c r="CC687" s="120"/>
    </row>
    <row r="688">
      <c r="A688" s="2" t="s">
        <v>1902</v>
      </c>
      <c r="B688" s="100">
        <v>44623.0</v>
      </c>
      <c r="C688" s="101">
        <v>0.4583564814814815</v>
      </c>
      <c r="D688" s="102"/>
      <c r="E688" s="102"/>
      <c r="F688" s="102"/>
      <c r="G688" s="102"/>
      <c r="H688" s="102"/>
      <c r="I688" s="103"/>
      <c r="J688" s="103"/>
      <c r="K688" s="2" t="s">
        <v>244</v>
      </c>
      <c r="L688" s="100">
        <v>44623.0</v>
      </c>
      <c r="M688" s="101">
        <v>0.4606018518518519</v>
      </c>
      <c r="P688" s="104" t="b">
        <f>IFNA(IF(VLOOKUP($A688,'Add from APT'!$AA$2:$AC826,3,FALSE)&gt;0,TRUE,FALSE),"ER - NOT IN APT")</f>
        <v>0</v>
      </c>
      <c r="Q688" s="105" t="str">
        <f>IF(ISLOGICAL(P688),IF(P688,"ER - REPS IN APT", IFNA(VLOOKUP($A688,RAW_APT!$A$3:$M826,7,FALSE),"ER - NOT IN APT")),P688)</f>
        <v>Result</v>
      </c>
      <c r="R688" s="106" t="b">
        <f t="shared" si="2"/>
        <v>1</v>
      </c>
      <c r="S688" s="107">
        <f t="shared" si="3"/>
        <v>1</v>
      </c>
      <c r="T688" s="143"/>
      <c r="U688" s="142"/>
      <c r="V688" s="142"/>
      <c r="W688" s="142"/>
      <c r="X688" s="110" t="b">
        <f t="shared" si="4"/>
        <v>0</v>
      </c>
      <c r="Y688" s="111" t="b">
        <v>0</v>
      </c>
      <c r="Z688" s="104" t="str">
        <f t="shared" si="5"/>
        <v/>
      </c>
      <c r="AA688" s="112" t="b">
        <f t="shared" si="6"/>
        <v>0</v>
      </c>
      <c r="AB688" s="142" t="b">
        <v>0</v>
      </c>
      <c r="AC688" s="140">
        <v>135.0</v>
      </c>
      <c r="AD688" s="141" t="b">
        <v>0</v>
      </c>
      <c r="AE688" s="115">
        <f t="shared" si="7"/>
        <v>3.233333333</v>
      </c>
      <c r="AF688" s="116" t="b">
        <f t="shared" si="8"/>
        <v>0</v>
      </c>
      <c r="AG688" s="105" t="b">
        <f t="shared" si="9"/>
        <v>0</v>
      </c>
      <c r="AH688" s="140"/>
      <c r="AI688" s="140"/>
      <c r="AJ688" s="140"/>
      <c r="AK688" s="117" t="str">
        <f t="shared" si="10"/>
        <v>Negative</v>
      </c>
      <c r="AL688" s="142"/>
      <c r="AM688" s="112" t="s">
        <v>273</v>
      </c>
      <c r="AN688" s="112" t="s">
        <v>1465</v>
      </c>
      <c r="AO688" s="112" t="str">
        <f>IFERROR(__xludf.DUMMYFUNCTION("IF($AG688, ""DELETED"",TRIM(JOIN("" "",D688:E688)))"),"")</f>
        <v/>
      </c>
      <c r="AP688" s="112" t="str">
        <f t="shared" ref="AP688:AQ688" si="713">IF($AG688, "DELETED", TRIM(CONCATENATE(F688,I688,U688)))</f>
        <v/>
      </c>
      <c r="AQ688" s="112" t="str">
        <f t="shared" si="713"/>
        <v/>
      </c>
      <c r="AR688" s="112" t="str">
        <f>IFERROR(__xludf.DUMMYFUNCTION("IF($AG688, ""DELETED"", TRIM(JOIN("" "",AP688,AQ688)))"),"")</f>
        <v/>
      </c>
      <c r="AS688" s="118"/>
      <c r="AT688" s="110" t="b">
        <f t="shared" si="12"/>
        <v>0</v>
      </c>
      <c r="AU688" s="110" t="str">
        <f t="shared" si="13"/>
        <v/>
      </c>
      <c r="AV688" s="110" t="str">
        <f t="shared" si="14"/>
        <v/>
      </c>
      <c r="AW688" s="110" t="str">
        <f t="shared" si="15"/>
        <v/>
      </c>
      <c r="AX688" s="119" t="str">
        <f t="shared" si="16"/>
        <v/>
      </c>
      <c r="AY688" s="120"/>
      <c r="AZ688" s="121"/>
      <c r="BA688" s="122" t="str">
        <f t="shared" si="17"/>
        <v/>
      </c>
      <c r="BB688" s="34"/>
      <c r="BC688" s="121"/>
      <c r="BD688" s="136"/>
      <c r="BE688" s="125" t="str">
        <f t="shared" si="18"/>
        <v/>
      </c>
      <c r="BF688" s="126" t="str">
        <f t="shared" si="19"/>
        <v>MA363__44623_0.458356481481482</v>
      </c>
      <c r="BG688" s="127" t="str">
        <f t="shared" si="20"/>
        <v/>
      </c>
      <c r="BH688" s="137" t="s">
        <v>1903</v>
      </c>
      <c r="BI688" s="128" t="str">
        <f t="shared" si="21"/>
        <v>MA617</v>
      </c>
      <c r="BJ688" s="129" t="b">
        <f t="shared" si="22"/>
        <v>0</v>
      </c>
      <c r="BK688" s="128" t="str">
        <f t="shared" si="23"/>
        <v/>
      </c>
      <c r="BL688" s="121"/>
      <c r="BM688" s="5" t="str">
        <f t="shared" si="24"/>
        <v>MISSING</v>
      </c>
      <c r="BN688" s="120" t="b">
        <f t="shared" si="25"/>
        <v>0</v>
      </c>
      <c r="BO688" s="131" t="b">
        <f t="shared" si="26"/>
        <v>1</v>
      </c>
      <c r="BP688" s="121"/>
      <c r="BQ688" s="132" t="str">
        <f>VLOOKUP(A688,RAW_APS!A$3:O826,15,FALSE)</f>
        <v/>
      </c>
      <c r="BR688" s="120" t="b">
        <f t="shared" si="27"/>
        <v>1</v>
      </c>
      <c r="BS688" s="121"/>
      <c r="BT688" s="138" t="s">
        <v>244</v>
      </c>
      <c r="BU688" s="10" t="b">
        <f t="shared" si="28"/>
        <v>1</v>
      </c>
      <c r="BV688" s="120"/>
      <c r="BW688" s="120"/>
      <c r="BX688" s="120"/>
      <c r="BY688" s="120"/>
      <c r="BZ688" s="120"/>
      <c r="CA688" s="120"/>
      <c r="CB688" s="120"/>
      <c r="CC688" s="120"/>
    </row>
    <row r="689">
      <c r="A689" s="2" t="s">
        <v>1904</v>
      </c>
      <c r="B689" s="100">
        <v>44623.0</v>
      </c>
      <c r="C689" s="101">
        <v>0.4691666666666667</v>
      </c>
      <c r="D689" s="102"/>
      <c r="E689" s="102"/>
      <c r="F689" s="139"/>
      <c r="G689" s="139"/>
      <c r="H689" s="139"/>
      <c r="I689" s="103"/>
      <c r="J689" s="103"/>
      <c r="K689" s="2" t="s">
        <v>254</v>
      </c>
      <c r="L689" s="11"/>
      <c r="M689" s="11"/>
      <c r="N689" s="11"/>
      <c r="O689" s="11"/>
      <c r="P689" s="104" t="b">
        <f>IFNA(IF(VLOOKUP($A689,'Add from APT'!$AA$2:$AC826,3,FALSE)&gt;0,TRUE,FALSE),"ER - NOT IN APT")</f>
        <v>0</v>
      </c>
      <c r="Q689" s="105" t="str">
        <f>IF(ISLOGICAL(P689),IF(P689,"ER - REPS IN APT", IFNA(VLOOKUP($A689,RAW_APT!$A$3:$M826,7,FALSE),"ER - NOT IN APT")),P689)</f>
        <v>Collected</v>
      </c>
      <c r="R689" s="106" t="b">
        <f t="shared" si="2"/>
        <v>1</v>
      </c>
      <c r="S689" s="107">
        <f t="shared" si="3"/>
        <v>1</v>
      </c>
      <c r="T689" s="140">
        <v>0.0</v>
      </c>
      <c r="U689" s="141"/>
      <c r="V689" s="141"/>
      <c r="W689" s="141"/>
      <c r="X689" s="110" t="b">
        <f t="shared" si="4"/>
        <v>0</v>
      </c>
      <c r="Y689" s="111" t="b">
        <v>0</v>
      </c>
      <c r="Z689" s="104" t="str">
        <f t="shared" si="5"/>
        <v/>
      </c>
      <c r="AA689" s="112" t="b">
        <f t="shared" si="6"/>
        <v>0</v>
      </c>
      <c r="AB689" s="142" t="b">
        <v>0</v>
      </c>
      <c r="AC689" s="140">
        <v>134.0</v>
      </c>
      <c r="AD689" s="141" t="b">
        <v>0</v>
      </c>
      <c r="AE689" s="115" t="str">
        <f t="shared" si="7"/>
        <v/>
      </c>
      <c r="AF689" s="116" t="b">
        <f t="shared" si="8"/>
        <v>0</v>
      </c>
      <c r="AG689" s="105" t="b">
        <f t="shared" si="9"/>
        <v>0</v>
      </c>
      <c r="AH689" s="140"/>
      <c r="AI689" s="140"/>
      <c r="AJ689" s="140">
        <v>2.0</v>
      </c>
      <c r="AK689" s="117" t="str">
        <f t="shared" si="10"/>
        <v>Negative</v>
      </c>
      <c r="AL689" s="142"/>
      <c r="AM689" s="112" t="s">
        <v>273</v>
      </c>
      <c r="AN689" s="112" t="s">
        <v>1905</v>
      </c>
      <c r="AO689" s="112" t="str">
        <f>IFERROR(__xludf.DUMMYFUNCTION("IF($AG689, ""DELETED"",TRIM(JOIN("" "",D689:E689)))"),"")</f>
        <v/>
      </c>
      <c r="AP689" s="112" t="str">
        <f t="shared" ref="AP689:AQ689" si="714">IF($AG689, "DELETED", TRIM(CONCATENATE(F689,I689,U689)))</f>
        <v/>
      </c>
      <c r="AQ689" s="112" t="str">
        <f t="shared" si="714"/>
        <v/>
      </c>
      <c r="AR689" s="112" t="str">
        <f>IFERROR(__xludf.DUMMYFUNCTION("IF($AG689, ""DELETED"", TRIM(JOIN("" "",AP689,AQ689)))"),"")</f>
        <v/>
      </c>
      <c r="AS689" s="118"/>
      <c r="AT689" s="110" t="b">
        <f t="shared" si="12"/>
        <v>0</v>
      </c>
      <c r="AU689" s="110" t="str">
        <f t="shared" si="13"/>
        <v/>
      </c>
      <c r="AV689" s="110" t="str">
        <f t="shared" si="14"/>
        <v/>
      </c>
      <c r="AW689" s="110" t="str">
        <f t="shared" si="15"/>
        <v/>
      </c>
      <c r="AX689" s="119" t="str">
        <f t="shared" si="16"/>
        <v/>
      </c>
      <c r="AY689" s="120"/>
      <c r="AZ689" s="121"/>
      <c r="BA689" s="122" t="b">
        <f t="shared" si="17"/>
        <v>1</v>
      </c>
      <c r="BB689" s="34"/>
      <c r="BC689" s="121"/>
      <c r="BD689" s="136"/>
      <c r="BE689" s="125" t="str">
        <f t="shared" si="18"/>
        <v/>
      </c>
      <c r="BF689" s="126" t="str">
        <f t="shared" si="19"/>
        <v>FM1202__44623_0.469166666666667</v>
      </c>
      <c r="BG689" s="127" t="str">
        <f t="shared" si="20"/>
        <v/>
      </c>
      <c r="BH689" s="137" t="s">
        <v>1906</v>
      </c>
      <c r="BI689" s="128" t="str">
        <f t="shared" si="21"/>
        <v>MA619</v>
      </c>
      <c r="BJ689" s="129" t="b">
        <f t="shared" si="22"/>
        <v>0</v>
      </c>
      <c r="BK689" s="128" t="str">
        <f t="shared" si="23"/>
        <v/>
      </c>
      <c r="BL689" s="121"/>
      <c r="BM689" s="5" t="str">
        <f t="shared" si="24"/>
        <v>MISSING</v>
      </c>
      <c r="BN689" s="120" t="b">
        <f t="shared" si="25"/>
        <v>0</v>
      </c>
      <c r="BO689" s="131" t="b">
        <f t="shared" si="26"/>
        <v>1</v>
      </c>
      <c r="BP689" s="121"/>
      <c r="BQ689" s="132" t="str">
        <f>VLOOKUP(A689,RAW_APS!A$3:O826,15,FALSE)</f>
        <v/>
      </c>
      <c r="BR689" s="120" t="b">
        <f t="shared" si="27"/>
        <v>1</v>
      </c>
      <c r="BS689" s="121"/>
      <c r="BT689" s="138" t="s">
        <v>244</v>
      </c>
      <c r="BU689" s="10" t="b">
        <f t="shared" si="28"/>
        <v>1</v>
      </c>
      <c r="BV689" s="120"/>
      <c r="BW689" s="120"/>
      <c r="BX689" s="120"/>
      <c r="BY689" s="120"/>
      <c r="BZ689" s="120"/>
      <c r="CA689" s="120"/>
      <c r="CB689" s="120"/>
      <c r="CC689" s="120"/>
    </row>
    <row r="690">
      <c r="A690" s="2" t="s">
        <v>1907</v>
      </c>
      <c r="B690" s="100">
        <v>44625.0</v>
      </c>
      <c r="C690" s="101">
        <v>0.2652893518518519</v>
      </c>
      <c r="D690" s="102"/>
      <c r="E690" s="102"/>
      <c r="F690" s="102"/>
      <c r="G690" s="102"/>
      <c r="H690" s="102"/>
      <c r="I690" s="103"/>
      <c r="J690" s="103"/>
      <c r="K690" s="2" t="s">
        <v>244</v>
      </c>
      <c r="L690" s="100">
        <v>44625.0</v>
      </c>
      <c r="M690" s="101">
        <v>0.48974537037037036</v>
      </c>
      <c r="P690" s="104" t="b">
        <f>IFNA(IF(VLOOKUP($A690,'Add from APT'!$AA$2:$AC826,3,FALSE)&gt;0,TRUE,FALSE),"ER - NOT IN APT")</f>
        <v>0</v>
      </c>
      <c r="Q690" s="105" t="str">
        <f>IF(ISLOGICAL(P690),IF(P690,"ER - REPS IN APT", IFNA(VLOOKUP($A690,RAW_APT!$A$3:$M826,7,FALSE),"ER - NOT IN APT")),P690)</f>
        <v>Result</v>
      </c>
      <c r="R690" s="106" t="b">
        <f t="shared" si="2"/>
        <v>1</v>
      </c>
      <c r="S690" s="107">
        <f t="shared" si="3"/>
        <v>1</v>
      </c>
      <c r="T690" s="143"/>
      <c r="U690" s="142"/>
      <c r="V690" s="142"/>
      <c r="W690" s="142"/>
      <c r="X690" s="110" t="b">
        <f t="shared" si="4"/>
        <v>0</v>
      </c>
      <c r="Y690" s="111" t="b">
        <v>0</v>
      </c>
      <c r="Z690" s="104" t="str">
        <f t="shared" si="5"/>
        <v/>
      </c>
      <c r="AA690" s="112" t="b">
        <f t="shared" si="6"/>
        <v>0</v>
      </c>
      <c r="AB690" s="142" t="b">
        <v>0</v>
      </c>
      <c r="AC690" s="140">
        <v>133.0</v>
      </c>
      <c r="AD690" s="141" t="b">
        <v>0</v>
      </c>
      <c r="AE690" s="115">
        <f t="shared" si="7"/>
        <v>323.2166667</v>
      </c>
      <c r="AF690" s="116" t="b">
        <f t="shared" si="8"/>
        <v>0</v>
      </c>
      <c r="AG690" s="105" t="b">
        <f t="shared" si="9"/>
        <v>0</v>
      </c>
      <c r="AH690" s="140"/>
      <c r="AI690" s="140"/>
      <c r="AJ690" s="140"/>
      <c r="AK690" s="117" t="str">
        <f t="shared" si="10"/>
        <v>Negative</v>
      </c>
      <c r="AL690" s="142"/>
      <c r="AM690" s="112" t="s">
        <v>1313</v>
      </c>
      <c r="AN690" s="112" t="s">
        <v>1485</v>
      </c>
      <c r="AO690" s="112" t="str">
        <f>IFERROR(__xludf.DUMMYFUNCTION("IF($AG690, ""DELETED"",TRIM(JOIN("" "",D690:E690)))"),"")</f>
        <v/>
      </c>
      <c r="AP690" s="112" t="str">
        <f t="shared" ref="AP690:AQ690" si="715">IF($AG690, "DELETED", TRIM(CONCATENATE(F690,I690,U690)))</f>
        <v/>
      </c>
      <c r="AQ690" s="112" t="str">
        <f t="shared" si="715"/>
        <v/>
      </c>
      <c r="AR690" s="112" t="str">
        <f>IFERROR(__xludf.DUMMYFUNCTION("IF($AG690, ""DELETED"", TRIM(JOIN("" "",AP690,AQ690)))"),"")</f>
        <v/>
      </c>
      <c r="AS690" s="118"/>
      <c r="AT690" s="110" t="b">
        <f t="shared" si="12"/>
        <v>0</v>
      </c>
      <c r="AU690" s="110" t="str">
        <f t="shared" si="13"/>
        <v/>
      </c>
      <c r="AV690" s="110" t="str">
        <f t="shared" si="14"/>
        <v/>
      </c>
      <c r="AW690" s="110" t="str">
        <f t="shared" si="15"/>
        <v/>
      </c>
      <c r="AX690" s="119" t="str">
        <f t="shared" si="16"/>
        <v/>
      </c>
      <c r="AY690" s="120"/>
      <c r="AZ690" s="121"/>
      <c r="BA690" s="122" t="str">
        <f t="shared" si="17"/>
        <v/>
      </c>
      <c r="BB690" s="34"/>
      <c r="BC690" s="121"/>
      <c r="BD690" s="136"/>
      <c r="BE690" s="125" t="str">
        <f t="shared" si="18"/>
        <v/>
      </c>
      <c r="BF690" s="126" t="str">
        <f t="shared" si="19"/>
        <v>MA319__44625_0.265289351851852</v>
      </c>
      <c r="BG690" s="127" t="str">
        <f t="shared" si="20"/>
        <v/>
      </c>
      <c r="BH690" s="137" t="s">
        <v>1908</v>
      </c>
      <c r="BI690" s="128" t="str">
        <f t="shared" si="21"/>
        <v>MA620</v>
      </c>
      <c r="BJ690" s="129" t="b">
        <f t="shared" si="22"/>
        <v>0</v>
      </c>
      <c r="BK690" s="128" t="str">
        <f t="shared" si="23"/>
        <v/>
      </c>
      <c r="BL690" s="121"/>
      <c r="BM690" s="5" t="str">
        <f t="shared" si="24"/>
        <v>MISSING</v>
      </c>
      <c r="BN690" s="120" t="b">
        <f t="shared" si="25"/>
        <v>0</v>
      </c>
      <c r="BO690" s="131" t="b">
        <f t="shared" si="26"/>
        <v>1</v>
      </c>
      <c r="BP690" s="121"/>
      <c r="BQ690" s="132" t="str">
        <f>VLOOKUP(A690,RAW_APS!A$3:O826,15,FALSE)</f>
        <v/>
      </c>
      <c r="BR690" s="120" t="b">
        <f t="shared" si="27"/>
        <v>1</v>
      </c>
      <c r="BS690" s="121"/>
      <c r="BT690" s="138" t="s">
        <v>244</v>
      </c>
      <c r="BU690" s="10" t="b">
        <f t="shared" si="28"/>
        <v>1</v>
      </c>
      <c r="BV690" s="120"/>
      <c r="BW690" s="120"/>
      <c r="BX690" s="120"/>
      <c r="BY690" s="120"/>
      <c r="BZ690" s="120"/>
      <c r="CA690" s="120"/>
      <c r="CB690" s="120"/>
      <c r="CC690" s="120"/>
    </row>
    <row r="691">
      <c r="A691" s="2" t="s">
        <v>1909</v>
      </c>
      <c r="B691" s="100">
        <v>44625.0</v>
      </c>
      <c r="C691" s="101">
        <v>0.2703587962962963</v>
      </c>
      <c r="D691" s="102"/>
      <c r="E691" s="102"/>
      <c r="F691" s="102"/>
      <c r="G691" s="102"/>
      <c r="H691" s="102"/>
      <c r="I691" s="103"/>
      <c r="J691" s="103"/>
      <c r="K691" s="2" t="s">
        <v>244</v>
      </c>
      <c r="L691" s="100">
        <v>44625.0</v>
      </c>
      <c r="M691" s="101">
        <v>0.48974537037037036</v>
      </c>
      <c r="P691" s="104" t="b">
        <f>IFNA(IF(VLOOKUP($A691,'Add from APT'!$AA$2:$AC826,3,FALSE)&gt;0,TRUE,FALSE),"ER - NOT IN APT")</f>
        <v>0</v>
      </c>
      <c r="Q691" s="105" t="str">
        <f>IF(ISLOGICAL(P691),IF(P691,"ER - REPS IN APT", IFNA(VLOOKUP($A691,RAW_APT!$A$3:$M826,7,FALSE),"ER - NOT IN APT")),P691)</f>
        <v>Result</v>
      </c>
      <c r="R691" s="106" t="b">
        <f t="shared" si="2"/>
        <v>1</v>
      </c>
      <c r="S691" s="107">
        <f t="shared" si="3"/>
        <v>1</v>
      </c>
      <c r="T691" s="143"/>
      <c r="U691" s="142"/>
      <c r="V691" s="142"/>
      <c r="W691" s="142"/>
      <c r="X691" s="110" t="b">
        <f t="shared" si="4"/>
        <v>0</v>
      </c>
      <c r="Y691" s="111" t="b">
        <v>0</v>
      </c>
      <c r="Z691" s="104" t="str">
        <f t="shared" si="5"/>
        <v/>
      </c>
      <c r="AA691" s="112" t="b">
        <f t="shared" si="6"/>
        <v>0</v>
      </c>
      <c r="AB691" s="142" t="b">
        <v>0</v>
      </c>
      <c r="AC691" s="140">
        <v>132.0</v>
      </c>
      <c r="AD691" s="141" t="b">
        <v>0</v>
      </c>
      <c r="AE691" s="115">
        <f t="shared" si="7"/>
        <v>315.9166667</v>
      </c>
      <c r="AF691" s="116" t="b">
        <f t="shared" si="8"/>
        <v>0</v>
      </c>
      <c r="AG691" s="105" t="b">
        <f t="shared" si="9"/>
        <v>0</v>
      </c>
      <c r="AH691" s="140"/>
      <c r="AI691" s="140"/>
      <c r="AJ691" s="140"/>
      <c r="AK691" s="117" t="str">
        <f t="shared" si="10"/>
        <v>Negative</v>
      </c>
      <c r="AL691" s="142"/>
      <c r="AM691" s="112" t="s">
        <v>612</v>
      </c>
      <c r="AN691" s="112" t="s">
        <v>613</v>
      </c>
      <c r="AO691" s="112" t="str">
        <f>IFERROR(__xludf.DUMMYFUNCTION("IF($AG691, ""DELETED"",TRIM(JOIN("" "",D691:E691)))"),"")</f>
        <v/>
      </c>
      <c r="AP691" s="112" t="str">
        <f t="shared" ref="AP691:AQ691" si="716">IF($AG691, "DELETED", TRIM(CONCATENATE(F691,I691,U691)))</f>
        <v/>
      </c>
      <c r="AQ691" s="112" t="str">
        <f t="shared" si="716"/>
        <v/>
      </c>
      <c r="AR691" s="112" t="str">
        <f>IFERROR(__xludf.DUMMYFUNCTION("IF($AG691, ""DELETED"", TRIM(JOIN("" "",AP691,AQ691)))"),"")</f>
        <v/>
      </c>
      <c r="AS691" s="118"/>
      <c r="AT691" s="110" t="b">
        <f t="shared" si="12"/>
        <v>0</v>
      </c>
      <c r="AU691" s="110" t="str">
        <f t="shared" si="13"/>
        <v/>
      </c>
      <c r="AV691" s="110" t="str">
        <f t="shared" si="14"/>
        <v/>
      </c>
      <c r="AW691" s="110" t="str">
        <f t="shared" si="15"/>
        <v/>
      </c>
      <c r="AX691" s="119" t="str">
        <f t="shared" si="16"/>
        <v/>
      </c>
      <c r="AY691" s="120"/>
      <c r="AZ691" s="121"/>
      <c r="BA691" s="122" t="str">
        <f t="shared" si="17"/>
        <v/>
      </c>
      <c r="BB691" s="34"/>
      <c r="BC691" s="121"/>
      <c r="BD691" s="136"/>
      <c r="BE691" s="125" t="str">
        <f t="shared" si="18"/>
        <v/>
      </c>
      <c r="BF691" s="126" t="str">
        <f t="shared" si="19"/>
        <v>MA328__44625_0.270358796296296</v>
      </c>
      <c r="BG691" s="127" t="str">
        <f t="shared" si="20"/>
        <v/>
      </c>
      <c r="BH691" s="137" t="s">
        <v>1910</v>
      </c>
      <c r="BI691" s="128" t="str">
        <f t="shared" si="21"/>
        <v>MA622</v>
      </c>
      <c r="BJ691" s="129" t="b">
        <f t="shared" si="22"/>
        <v>0</v>
      </c>
      <c r="BK691" s="128" t="str">
        <f t="shared" si="23"/>
        <v/>
      </c>
      <c r="BL691" s="121"/>
      <c r="BM691" s="5" t="str">
        <f t="shared" si="24"/>
        <v>MISSING</v>
      </c>
      <c r="BN691" s="120" t="b">
        <f t="shared" si="25"/>
        <v>0</v>
      </c>
      <c r="BO691" s="131" t="b">
        <f t="shared" si="26"/>
        <v>1</v>
      </c>
      <c r="BP691" s="121"/>
      <c r="BQ691" s="132" t="str">
        <f>VLOOKUP(A691,RAW_APS!A$3:O826,15,FALSE)</f>
        <v/>
      </c>
      <c r="BR691" s="120" t="b">
        <f t="shared" si="27"/>
        <v>1</v>
      </c>
      <c r="BS691" s="121"/>
      <c r="BT691" s="138" t="s">
        <v>244</v>
      </c>
      <c r="BU691" s="10" t="b">
        <f t="shared" si="28"/>
        <v>1</v>
      </c>
      <c r="BV691" s="120"/>
      <c r="BW691" s="120"/>
      <c r="BX691" s="120"/>
      <c r="BY691" s="120"/>
      <c r="BZ691" s="120"/>
      <c r="CA691" s="120"/>
      <c r="CB691" s="120"/>
      <c r="CC691" s="120"/>
    </row>
    <row r="692">
      <c r="A692" s="2" t="s">
        <v>1911</v>
      </c>
      <c r="B692" s="100">
        <v>44625.0</v>
      </c>
      <c r="C692" s="101">
        <v>0.2726851851851852</v>
      </c>
      <c r="D692" s="102"/>
      <c r="E692" s="102"/>
      <c r="F692" s="102"/>
      <c r="G692" s="102"/>
      <c r="H692" s="102"/>
      <c r="I692" s="103"/>
      <c r="J692" s="103"/>
      <c r="K692" s="2" t="s">
        <v>244</v>
      </c>
      <c r="L692" s="100">
        <v>44625.0</v>
      </c>
      <c r="M692" s="101">
        <v>0.48974537037037036</v>
      </c>
      <c r="P692" s="104" t="b">
        <f>IFNA(IF(VLOOKUP($A692,'Add from APT'!$AA$2:$AC826,3,FALSE)&gt;0,TRUE,FALSE),"ER - NOT IN APT")</f>
        <v>0</v>
      </c>
      <c r="Q692" s="105" t="str">
        <f>IF(ISLOGICAL(P692),IF(P692,"ER - REPS IN APT", IFNA(VLOOKUP($A692,RAW_APT!$A$3:$M826,7,FALSE),"ER - NOT IN APT")),P692)</f>
        <v>Result</v>
      </c>
      <c r="R692" s="106" t="b">
        <f t="shared" si="2"/>
        <v>1</v>
      </c>
      <c r="S692" s="107">
        <f t="shared" si="3"/>
        <v>1</v>
      </c>
      <c r="T692" s="143"/>
      <c r="U692" s="142"/>
      <c r="V692" s="142"/>
      <c r="W692" s="142"/>
      <c r="X692" s="110" t="b">
        <f t="shared" si="4"/>
        <v>0</v>
      </c>
      <c r="Y692" s="111" t="b">
        <v>0</v>
      </c>
      <c r="Z692" s="104" t="str">
        <f t="shared" si="5"/>
        <v/>
      </c>
      <c r="AA692" s="112" t="b">
        <f t="shared" si="6"/>
        <v>0</v>
      </c>
      <c r="AB692" s="142" t="b">
        <v>0</v>
      </c>
      <c r="AC692" s="140">
        <v>131.0</v>
      </c>
      <c r="AD692" s="141" t="b">
        <v>0</v>
      </c>
      <c r="AE692" s="115">
        <f t="shared" si="7"/>
        <v>312.5666667</v>
      </c>
      <c r="AF692" s="116" t="b">
        <f t="shared" si="8"/>
        <v>0</v>
      </c>
      <c r="AG692" s="105" t="b">
        <f t="shared" si="9"/>
        <v>0</v>
      </c>
      <c r="AH692" s="140"/>
      <c r="AI692" s="140"/>
      <c r="AJ692" s="140"/>
      <c r="AK692" s="117" t="str">
        <f t="shared" si="10"/>
        <v>Negative</v>
      </c>
      <c r="AL692" s="142"/>
      <c r="AM692" s="112" t="s">
        <v>430</v>
      </c>
      <c r="AN692" s="112" t="s">
        <v>431</v>
      </c>
      <c r="AO692" s="112" t="str">
        <f>IFERROR(__xludf.DUMMYFUNCTION("IF($AG692, ""DELETED"",TRIM(JOIN("" "",D692:E692)))"),"")</f>
        <v/>
      </c>
      <c r="AP692" s="112" t="str">
        <f t="shared" ref="AP692:AQ692" si="717">IF($AG692, "DELETED", TRIM(CONCATENATE(F692,I692,U692)))</f>
        <v/>
      </c>
      <c r="AQ692" s="112" t="str">
        <f t="shared" si="717"/>
        <v/>
      </c>
      <c r="AR692" s="112" t="str">
        <f>IFERROR(__xludf.DUMMYFUNCTION("IF($AG692, ""DELETED"", TRIM(JOIN("" "",AP692,AQ692)))"),"")</f>
        <v/>
      </c>
      <c r="AS692" s="118"/>
      <c r="AT692" s="110" t="b">
        <f t="shared" si="12"/>
        <v>0</v>
      </c>
      <c r="AU692" s="110" t="str">
        <f t="shared" si="13"/>
        <v/>
      </c>
      <c r="AV692" s="110" t="str">
        <f t="shared" si="14"/>
        <v/>
      </c>
      <c r="AW692" s="110" t="str">
        <f t="shared" si="15"/>
        <v/>
      </c>
      <c r="AX692" s="119" t="str">
        <f t="shared" si="16"/>
        <v/>
      </c>
      <c r="AY692" s="120"/>
      <c r="AZ692" s="121"/>
      <c r="BA692" s="122" t="str">
        <f t="shared" si="17"/>
        <v/>
      </c>
      <c r="BB692" s="34"/>
      <c r="BC692" s="121"/>
      <c r="BD692" s="136"/>
      <c r="BE692" s="125" t="str">
        <f t="shared" si="18"/>
        <v/>
      </c>
      <c r="BF692" s="126" t="str">
        <f t="shared" si="19"/>
        <v>FM480__44625_0.272685185185185</v>
      </c>
      <c r="BG692" s="127" t="str">
        <f t="shared" si="20"/>
        <v/>
      </c>
      <c r="BH692" s="137" t="s">
        <v>1912</v>
      </c>
      <c r="BI692" s="128" t="str">
        <f t="shared" si="21"/>
        <v>MA623</v>
      </c>
      <c r="BJ692" s="129" t="b">
        <f t="shared" si="22"/>
        <v>0</v>
      </c>
      <c r="BK692" s="128" t="str">
        <f t="shared" si="23"/>
        <v/>
      </c>
      <c r="BL692" s="121"/>
      <c r="BM692" s="5" t="str">
        <f t="shared" si="24"/>
        <v>MISSING</v>
      </c>
      <c r="BN692" s="120" t="b">
        <f t="shared" si="25"/>
        <v>0</v>
      </c>
      <c r="BO692" s="131" t="b">
        <f t="shared" si="26"/>
        <v>1</v>
      </c>
      <c r="BP692" s="121"/>
      <c r="BQ692" s="132" t="str">
        <f>VLOOKUP(A692,RAW_APS!A$3:O826,15,FALSE)</f>
        <v/>
      </c>
      <c r="BR692" s="120" t="b">
        <f t="shared" si="27"/>
        <v>1</v>
      </c>
      <c r="BS692" s="121"/>
      <c r="BT692" s="138" t="s">
        <v>244</v>
      </c>
      <c r="BU692" s="10" t="b">
        <f t="shared" si="28"/>
        <v>1</v>
      </c>
      <c r="BV692" s="120"/>
      <c r="BW692" s="120"/>
      <c r="BX692" s="120"/>
      <c r="BY692" s="120"/>
      <c r="BZ692" s="120"/>
      <c r="CA692" s="120"/>
      <c r="CB692" s="120"/>
      <c r="CC692" s="120"/>
    </row>
    <row r="693">
      <c r="A693" s="2" t="s">
        <v>1913</v>
      </c>
      <c r="B693" s="100">
        <v>44625.0</v>
      </c>
      <c r="C693" s="101">
        <v>0.28769675925925925</v>
      </c>
      <c r="D693" s="102"/>
      <c r="E693" s="102"/>
      <c r="F693" s="102"/>
      <c r="G693" s="102"/>
      <c r="H693" s="102"/>
      <c r="I693" s="103"/>
      <c r="J693" s="103"/>
      <c r="K693" s="2" t="s">
        <v>244</v>
      </c>
      <c r="L693" s="100">
        <v>44625.0</v>
      </c>
      <c r="M693" s="101">
        <v>0.48974537037037036</v>
      </c>
      <c r="P693" s="104" t="b">
        <f>IFNA(IF(VLOOKUP($A693,'Add from APT'!$AA$2:$AC826,3,FALSE)&gt;0,TRUE,FALSE),"ER - NOT IN APT")</f>
        <v>0</v>
      </c>
      <c r="Q693" s="105" t="str">
        <f>IF(ISLOGICAL(P693),IF(P693,"ER - REPS IN APT", IFNA(VLOOKUP($A693,RAW_APT!$A$3:$M826,7,FALSE),"ER - NOT IN APT")),P693)</f>
        <v>Result</v>
      </c>
      <c r="R693" s="106" t="b">
        <f t="shared" si="2"/>
        <v>1</v>
      </c>
      <c r="S693" s="107">
        <f t="shared" si="3"/>
        <v>1</v>
      </c>
      <c r="T693" s="143"/>
      <c r="U693" s="142"/>
      <c r="V693" s="142"/>
      <c r="W693" s="142"/>
      <c r="X693" s="110" t="b">
        <f t="shared" si="4"/>
        <v>0</v>
      </c>
      <c r="Y693" s="111" t="b">
        <v>0</v>
      </c>
      <c r="Z693" s="104" t="str">
        <f t="shared" si="5"/>
        <v/>
      </c>
      <c r="AA693" s="112" t="b">
        <f t="shared" si="6"/>
        <v>0</v>
      </c>
      <c r="AB693" s="142" t="b">
        <v>0</v>
      </c>
      <c r="AC693" s="140">
        <v>130.0</v>
      </c>
      <c r="AD693" s="141" t="b">
        <v>0</v>
      </c>
      <c r="AE693" s="115">
        <f t="shared" si="7"/>
        <v>290.95</v>
      </c>
      <c r="AF693" s="116" t="b">
        <f t="shared" si="8"/>
        <v>0</v>
      </c>
      <c r="AG693" s="105" t="b">
        <f t="shared" si="9"/>
        <v>0</v>
      </c>
      <c r="AH693" s="140"/>
      <c r="AI693" s="140"/>
      <c r="AJ693" s="140"/>
      <c r="AK693" s="117" t="str">
        <f t="shared" si="10"/>
        <v>Negative</v>
      </c>
      <c r="AL693" s="142"/>
      <c r="AM693" s="112" t="s">
        <v>1306</v>
      </c>
      <c r="AN693" s="112" t="s">
        <v>1307</v>
      </c>
      <c r="AO693" s="112" t="str">
        <f>IFERROR(__xludf.DUMMYFUNCTION("IF($AG693, ""DELETED"",TRIM(JOIN("" "",D693:E693)))"),"")</f>
        <v/>
      </c>
      <c r="AP693" s="112" t="str">
        <f t="shared" ref="AP693:AQ693" si="718">IF($AG693, "DELETED", TRIM(CONCATENATE(F693,I693,U693)))</f>
        <v/>
      </c>
      <c r="AQ693" s="112" t="str">
        <f t="shared" si="718"/>
        <v/>
      </c>
      <c r="AR693" s="112" t="str">
        <f>IFERROR(__xludf.DUMMYFUNCTION("IF($AG693, ""DELETED"", TRIM(JOIN("" "",AP693,AQ693)))"),"")</f>
        <v/>
      </c>
      <c r="AS693" s="118"/>
      <c r="AT693" s="110" t="b">
        <f t="shared" si="12"/>
        <v>0</v>
      </c>
      <c r="AU693" s="110" t="str">
        <f t="shared" si="13"/>
        <v/>
      </c>
      <c r="AV693" s="110" t="str">
        <f t="shared" si="14"/>
        <v/>
      </c>
      <c r="AW693" s="110" t="str">
        <f t="shared" si="15"/>
        <v/>
      </c>
      <c r="AX693" s="119" t="str">
        <f t="shared" si="16"/>
        <v/>
      </c>
      <c r="AY693" s="120"/>
      <c r="AZ693" s="121"/>
      <c r="BA693" s="122" t="str">
        <f t="shared" si="17"/>
        <v/>
      </c>
      <c r="BB693" s="34"/>
      <c r="BC693" s="121"/>
      <c r="BD693" s="136"/>
      <c r="BE693" s="125" t="str">
        <f t="shared" si="18"/>
        <v/>
      </c>
      <c r="BF693" s="126" t="str">
        <f t="shared" si="19"/>
        <v>FM423__44625_0.287696759259259</v>
      </c>
      <c r="BG693" s="127" t="str">
        <f t="shared" si="20"/>
        <v/>
      </c>
      <c r="BH693" s="137" t="s">
        <v>1914</v>
      </c>
      <c r="BI693" s="128" t="str">
        <f t="shared" si="21"/>
        <v>MA624</v>
      </c>
      <c r="BJ693" s="129" t="b">
        <f t="shared" si="22"/>
        <v>0</v>
      </c>
      <c r="BK693" s="128" t="str">
        <f t="shared" si="23"/>
        <v/>
      </c>
      <c r="BL693" s="121"/>
      <c r="BM693" s="5" t="str">
        <f t="shared" si="24"/>
        <v>MISSING</v>
      </c>
      <c r="BN693" s="120" t="b">
        <f t="shared" si="25"/>
        <v>0</v>
      </c>
      <c r="BO693" s="131" t="b">
        <f t="shared" si="26"/>
        <v>1</v>
      </c>
      <c r="BP693" s="121"/>
      <c r="BQ693" s="132" t="str">
        <f>VLOOKUP(A693,RAW_APS!A$3:O826,15,FALSE)</f>
        <v/>
      </c>
      <c r="BR693" s="120" t="b">
        <f t="shared" si="27"/>
        <v>1</v>
      </c>
      <c r="BS693" s="121"/>
      <c r="BT693" s="138" t="s">
        <v>244</v>
      </c>
      <c r="BU693" s="10" t="b">
        <f t="shared" si="28"/>
        <v>1</v>
      </c>
      <c r="BV693" s="120"/>
      <c r="BW693" s="120"/>
      <c r="BX693" s="120"/>
      <c r="BY693" s="120"/>
      <c r="BZ693" s="120"/>
      <c r="CA693" s="120"/>
      <c r="CB693" s="120"/>
      <c r="CC693" s="120"/>
    </row>
    <row r="694">
      <c r="A694" s="2" t="s">
        <v>1915</v>
      </c>
      <c r="B694" s="100">
        <v>44625.0</v>
      </c>
      <c r="C694" s="101">
        <v>0.29268518518518516</v>
      </c>
      <c r="D694" s="102"/>
      <c r="E694" s="102"/>
      <c r="F694" s="102"/>
      <c r="G694" s="102"/>
      <c r="H694" s="102"/>
      <c r="I694" s="103"/>
      <c r="J694" s="103"/>
      <c r="K694" s="2" t="s">
        <v>244</v>
      </c>
      <c r="L694" s="100">
        <v>44625.0</v>
      </c>
      <c r="M694" s="101">
        <v>0.48998842592592595</v>
      </c>
      <c r="P694" s="104" t="b">
        <f>IFNA(IF(VLOOKUP($A694,'Add from APT'!$AA$2:$AC826,3,FALSE)&gt;0,TRUE,FALSE),"ER - NOT IN APT")</f>
        <v>0</v>
      </c>
      <c r="Q694" s="105" t="str">
        <f>IF(ISLOGICAL(P694),IF(P694,"ER - REPS IN APT", IFNA(VLOOKUP($A694,RAW_APT!$A$3:$M826,7,FALSE),"ER - NOT IN APT")),P694)</f>
        <v>Result</v>
      </c>
      <c r="R694" s="106" t="b">
        <f t="shared" si="2"/>
        <v>1</v>
      </c>
      <c r="S694" s="107">
        <f t="shared" si="3"/>
        <v>1</v>
      </c>
      <c r="T694" s="143"/>
      <c r="U694" s="142"/>
      <c r="V694" s="142"/>
      <c r="W694" s="142"/>
      <c r="X694" s="110" t="b">
        <f t="shared" si="4"/>
        <v>0</v>
      </c>
      <c r="Y694" s="111" t="b">
        <v>0</v>
      </c>
      <c r="Z694" s="104" t="str">
        <f t="shared" si="5"/>
        <v/>
      </c>
      <c r="AA694" s="112" t="b">
        <f t="shared" si="6"/>
        <v>0</v>
      </c>
      <c r="AB694" s="142" t="b">
        <v>0</v>
      </c>
      <c r="AC694" s="140">
        <v>129.0</v>
      </c>
      <c r="AD694" s="141" t="b">
        <v>0</v>
      </c>
      <c r="AE694" s="115">
        <f t="shared" si="7"/>
        <v>284.1166667</v>
      </c>
      <c r="AF694" s="116" t="b">
        <f t="shared" si="8"/>
        <v>0</v>
      </c>
      <c r="AG694" s="105" t="b">
        <f t="shared" si="9"/>
        <v>0</v>
      </c>
      <c r="AH694" s="140"/>
      <c r="AI694" s="140"/>
      <c r="AJ694" s="140"/>
      <c r="AK694" s="117" t="str">
        <f t="shared" si="10"/>
        <v>Negative</v>
      </c>
      <c r="AL694" s="142"/>
      <c r="AM694" s="112" t="s">
        <v>1490</v>
      </c>
      <c r="AN694" s="112" t="s">
        <v>1491</v>
      </c>
      <c r="AO694" s="112" t="str">
        <f>IFERROR(__xludf.DUMMYFUNCTION("IF($AG694, ""DELETED"",TRIM(JOIN("" "",D694:E694)))"),"")</f>
        <v/>
      </c>
      <c r="AP694" s="112" t="str">
        <f t="shared" ref="AP694:AQ694" si="719">IF($AG694, "DELETED", TRIM(CONCATENATE(F694,I694,U694)))</f>
        <v/>
      </c>
      <c r="AQ694" s="112" t="str">
        <f t="shared" si="719"/>
        <v/>
      </c>
      <c r="AR694" s="112" t="str">
        <f>IFERROR(__xludf.DUMMYFUNCTION("IF($AG694, ""DELETED"", TRIM(JOIN("" "",AP694,AQ694)))"),"")</f>
        <v/>
      </c>
      <c r="AS694" s="118"/>
      <c r="AT694" s="110" t="b">
        <f t="shared" si="12"/>
        <v>0</v>
      </c>
      <c r="AU694" s="110" t="str">
        <f t="shared" si="13"/>
        <v/>
      </c>
      <c r="AV694" s="110" t="str">
        <f t="shared" si="14"/>
        <v/>
      </c>
      <c r="AW694" s="110" t="str">
        <f t="shared" si="15"/>
        <v/>
      </c>
      <c r="AX694" s="119" t="str">
        <f t="shared" si="16"/>
        <v/>
      </c>
      <c r="AY694" s="120"/>
      <c r="AZ694" s="121"/>
      <c r="BA694" s="122" t="str">
        <f t="shared" si="17"/>
        <v/>
      </c>
      <c r="BB694" s="34"/>
      <c r="BC694" s="121"/>
      <c r="BD694" s="136"/>
      <c r="BE694" s="125" t="str">
        <f t="shared" si="18"/>
        <v/>
      </c>
      <c r="BF694" s="126" t="str">
        <f t="shared" si="19"/>
        <v>FM2041__44625_0.292685185185185</v>
      </c>
      <c r="BG694" s="127" t="str">
        <f t="shared" si="20"/>
        <v/>
      </c>
      <c r="BH694" s="137" t="s">
        <v>1916</v>
      </c>
      <c r="BI694" s="128" t="str">
        <f t="shared" si="21"/>
        <v>MA625</v>
      </c>
      <c r="BJ694" s="129" t="b">
        <f t="shared" si="22"/>
        <v>0</v>
      </c>
      <c r="BK694" s="128" t="str">
        <f t="shared" si="23"/>
        <v/>
      </c>
      <c r="BL694" s="121"/>
      <c r="BM694" s="5" t="str">
        <f t="shared" si="24"/>
        <v>MISSING</v>
      </c>
      <c r="BN694" s="120" t="b">
        <f t="shared" si="25"/>
        <v>0</v>
      </c>
      <c r="BO694" s="131" t="b">
        <f t="shared" si="26"/>
        <v>1</v>
      </c>
      <c r="BP694" s="121"/>
      <c r="BQ694" s="132" t="str">
        <f>VLOOKUP(A694,RAW_APS!A$3:O826,15,FALSE)</f>
        <v/>
      </c>
      <c r="BR694" s="120" t="b">
        <f t="shared" si="27"/>
        <v>1</v>
      </c>
      <c r="BS694" s="121"/>
      <c r="BT694" s="138" t="s">
        <v>244</v>
      </c>
      <c r="BU694" s="10" t="b">
        <f t="shared" si="28"/>
        <v>1</v>
      </c>
      <c r="BV694" s="120"/>
      <c r="BW694" s="120"/>
      <c r="BX694" s="120"/>
      <c r="BY694" s="120"/>
      <c r="BZ694" s="120"/>
      <c r="CA694" s="120"/>
      <c r="CB694" s="120"/>
      <c r="CC694" s="120"/>
    </row>
    <row r="695">
      <c r="A695" s="2" t="s">
        <v>1917</v>
      </c>
      <c r="B695" s="100">
        <v>44625.0</v>
      </c>
      <c r="C695" s="101">
        <v>0.29443287037037036</v>
      </c>
      <c r="D695" s="102"/>
      <c r="E695" s="102"/>
      <c r="F695" s="102"/>
      <c r="G695" s="102"/>
      <c r="H695" s="102"/>
      <c r="I695" s="103"/>
      <c r="J695" s="103"/>
      <c r="K695" s="2" t="s">
        <v>244</v>
      </c>
      <c r="L695" s="100">
        <v>44625.0</v>
      </c>
      <c r="M695" s="101">
        <v>0.48974537037037036</v>
      </c>
      <c r="P695" s="104" t="b">
        <f>IFNA(IF(VLOOKUP($A695,'Add from APT'!$AA$2:$AC826,3,FALSE)&gt;0,TRUE,FALSE),"ER - NOT IN APT")</f>
        <v>0</v>
      </c>
      <c r="Q695" s="105" t="str">
        <f>IF(ISLOGICAL(P695),IF(P695,"ER - REPS IN APT", IFNA(VLOOKUP($A695,RAW_APT!$A$3:$M826,7,FALSE),"ER - NOT IN APT")),P695)</f>
        <v>Result</v>
      </c>
      <c r="R695" s="106" t="b">
        <f t="shared" si="2"/>
        <v>1</v>
      </c>
      <c r="S695" s="107">
        <f t="shared" si="3"/>
        <v>1</v>
      </c>
      <c r="T695" s="143"/>
      <c r="U695" s="142"/>
      <c r="V695" s="142"/>
      <c r="W695" s="142"/>
      <c r="X695" s="110" t="b">
        <f t="shared" si="4"/>
        <v>0</v>
      </c>
      <c r="Y695" s="111" t="b">
        <v>0</v>
      </c>
      <c r="Z695" s="104" t="str">
        <f t="shared" si="5"/>
        <v/>
      </c>
      <c r="AA695" s="112" t="b">
        <f t="shared" si="6"/>
        <v>0</v>
      </c>
      <c r="AB695" s="142" t="b">
        <v>0</v>
      </c>
      <c r="AC695" s="140">
        <v>128.0</v>
      </c>
      <c r="AD695" s="141" t="b">
        <v>0</v>
      </c>
      <c r="AE695" s="115">
        <f t="shared" si="7"/>
        <v>281.25</v>
      </c>
      <c r="AF695" s="116" t="b">
        <f t="shared" si="8"/>
        <v>0</v>
      </c>
      <c r="AG695" s="105" t="b">
        <f t="shared" si="9"/>
        <v>0</v>
      </c>
      <c r="AH695" s="140"/>
      <c r="AI695" s="140"/>
      <c r="AJ695" s="140"/>
      <c r="AK695" s="117" t="str">
        <f t="shared" si="10"/>
        <v>Negative</v>
      </c>
      <c r="AL695" s="142"/>
      <c r="AM695" s="112" t="s">
        <v>419</v>
      </c>
      <c r="AN695" s="112" t="s">
        <v>420</v>
      </c>
      <c r="AO695" s="112" t="str">
        <f>IFERROR(__xludf.DUMMYFUNCTION("IF($AG695, ""DELETED"",TRIM(JOIN("" "",D695:E695)))"),"")</f>
        <v/>
      </c>
      <c r="AP695" s="112" t="str">
        <f t="shared" ref="AP695:AQ695" si="720">IF($AG695, "DELETED", TRIM(CONCATENATE(F695,I695,U695)))</f>
        <v/>
      </c>
      <c r="AQ695" s="112" t="str">
        <f t="shared" si="720"/>
        <v/>
      </c>
      <c r="AR695" s="112" t="str">
        <f>IFERROR(__xludf.DUMMYFUNCTION("IF($AG695, ""DELETED"", TRIM(JOIN("" "",AP695,AQ695)))"),"")</f>
        <v/>
      </c>
      <c r="AS695" s="118"/>
      <c r="AT695" s="110" t="b">
        <f t="shared" si="12"/>
        <v>0</v>
      </c>
      <c r="AU695" s="110" t="str">
        <f t="shared" si="13"/>
        <v/>
      </c>
      <c r="AV695" s="110" t="str">
        <f t="shared" si="14"/>
        <v/>
      </c>
      <c r="AW695" s="110" t="str">
        <f t="shared" si="15"/>
        <v/>
      </c>
      <c r="AX695" s="119" t="str">
        <f t="shared" si="16"/>
        <v/>
      </c>
      <c r="AY695" s="120"/>
      <c r="AZ695" s="121"/>
      <c r="BA695" s="122" t="str">
        <f t="shared" si="17"/>
        <v/>
      </c>
      <c r="BB695" s="34"/>
      <c r="BC695" s="121"/>
      <c r="BD695" s="136"/>
      <c r="BE695" s="125" t="str">
        <f t="shared" si="18"/>
        <v/>
      </c>
      <c r="BF695" s="126" t="str">
        <f t="shared" si="19"/>
        <v>FM95__44625_0.29443287037037</v>
      </c>
      <c r="BG695" s="127" t="str">
        <f t="shared" si="20"/>
        <v/>
      </c>
      <c r="BH695" s="137" t="s">
        <v>1918</v>
      </c>
      <c r="BI695" s="128" t="str">
        <f t="shared" si="21"/>
        <v>MA627</v>
      </c>
      <c r="BJ695" s="129" t="b">
        <f t="shared" si="22"/>
        <v>0</v>
      </c>
      <c r="BK695" s="128" t="str">
        <f t="shared" si="23"/>
        <v/>
      </c>
      <c r="BL695" s="121"/>
      <c r="BM695" s="5" t="str">
        <f t="shared" si="24"/>
        <v>MISSING</v>
      </c>
      <c r="BN695" s="120" t="b">
        <f t="shared" si="25"/>
        <v>0</v>
      </c>
      <c r="BO695" s="131" t="b">
        <f t="shared" si="26"/>
        <v>1</v>
      </c>
      <c r="BP695" s="121"/>
      <c r="BQ695" s="132" t="str">
        <f>VLOOKUP(A695,RAW_APS!A$3:O826,15,FALSE)</f>
        <v/>
      </c>
      <c r="BR695" s="120" t="b">
        <f t="shared" si="27"/>
        <v>1</v>
      </c>
      <c r="BS695" s="121"/>
      <c r="BT695" s="138" t="s">
        <v>244</v>
      </c>
      <c r="BU695" s="10" t="b">
        <f t="shared" si="28"/>
        <v>1</v>
      </c>
      <c r="BV695" s="120"/>
      <c r="BW695" s="120"/>
      <c r="BX695" s="120"/>
      <c r="BY695" s="120"/>
      <c r="BZ695" s="120"/>
      <c r="CA695" s="120"/>
      <c r="CB695" s="120"/>
      <c r="CC695" s="120"/>
    </row>
    <row r="696">
      <c r="A696" s="2" t="s">
        <v>1919</v>
      </c>
      <c r="B696" s="100">
        <v>44625.0</v>
      </c>
      <c r="C696" s="101">
        <v>0.30115740740740743</v>
      </c>
      <c r="D696" s="102"/>
      <c r="E696" s="102"/>
      <c r="F696" s="102"/>
      <c r="G696" s="102"/>
      <c r="H696" s="102"/>
      <c r="I696" s="103"/>
      <c r="J696" s="103"/>
      <c r="K696" s="2" t="s">
        <v>244</v>
      </c>
      <c r="L696" s="100">
        <v>44625.0</v>
      </c>
      <c r="M696" s="101">
        <v>0.48974537037037036</v>
      </c>
      <c r="P696" s="104" t="b">
        <f>IFNA(IF(VLOOKUP($A696,'Add from APT'!$AA$2:$AC826,3,FALSE)&gt;0,TRUE,FALSE),"ER - NOT IN APT")</f>
        <v>0</v>
      </c>
      <c r="Q696" s="105" t="str">
        <f>IF(ISLOGICAL(P696),IF(P696,"ER - REPS IN APT", IFNA(VLOOKUP($A696,RAW_APT!$A$3:$M826,7,FALSE),"ER - NOT IN APT")),P696)</f>
        <v>Result</v>
      </c>
      <c r="R696" s="106" t="b">
        <f t="shared" si="2"/>
        <v>1</v>
      </c>
      <c r="S696" s="107">
        <f t="shared" si="3"/>
        <v>1</v>
      </c>
      <c r="T696" s="143"/>
      <c r="U696" s="142"/>
      <c r="V696" s="142"/>
      <c r="W696" s="142"/>
      <c r="X696" s="110" t="b">
        <f t="shared" si="4"/>
        <v>0</v>
      </c>
      <c r="Y696" s="111" t="b">
        <v>0</v>
      </c>
      <c r="Z696" s="104" t="str">
        <f t="shared" si="5"/>
        <v/>
      </c>
      <c r="AA696" s="112" t="b">
        <f t="shared" si="6"/>
        <v>0</v>
      </c>
      <c r="AB696" s="142" t="b">
        <v>0</v>
      </c>
      <c r="AC696" s="140">
        <v>127.0</v>
      </c>
      <c r="AD696" s="141" t="b">
        <v>0</v>
      </c>
      <c r="AE696" s="115">
        <f t="shared" si="7"/>
        <v>271.5666667</v>
      </c>
      <c r="AF696" s="116" t="b">
        <f t="shared" si="8"/>
        <v>0</v>
      </c>
      <c r="AG696" s="105" t="b">
        <f t="shared" si="9"/>
        <v>0</v>
      </c>
      <c r="AH696" s="140"/>
      <c r="AI696" s="140"/>
      <c r="AJ696" s="140"/>
      <c r="AK696" s="117" t="str">
        <f t="shared" si="10"/>
        <v>Negative</v>
      </c>
      <c r="AL696" s="142"/>
      <c r="AM696" s="112" t="s">
        <v>1248</v>
      </c>
      <c r="AN696" s="112" t="s">
        <v>1249</v>
      </c>
      <c r="AO696" s="112" t="str">
        <f>IFERROR(__xludf.DUMMYFUNCTION("IF($AG696, ""DELETED"",TRIM(JOIN("" "",D696:E696)))"),"")</f>
        <v/>
      </c>
      <c r="AP696" s="112" t="str">
        <f t="shared" ref="AP696:AQ696" si="721">IF($AG696, "DELETED", TRIM(CONCATENATE(F696,I696,U696)))</f>
        <v/>
      </c>
      <c r="AQ696" s="112" t="str">
        <f t="shared" si="721"/>
        <v/>
      </c>
      <c r="AR696" s="112" t="str">
        <f>IFERROR(__xludf.DUMMYFUNCTION("IF($AG696, ""DELETED"", TRIM(JOIN("" "",AP696,AQ696)))"),"")</f>
        <v/>
      </c>
      <c r="AS696" s="118"/>
      <c r="AT696" s="110" t="b">
        <f t="shared" si="12"/>
        <v>0</v>
      </c>
      <c r="AU696" s="110" t="str">
        <f t="shared" si="13"/>
        <v/>
      </c>
      <c r="AV696" s="110" t="str">
        <f t="shared" si="14"/>
        <v/>
      </c>
      <c r="AW696" s="110" t="str">
        <f t="shared" si="15"/>
        <v/>
      </c>
      <c r="AX696" s="119" t="str">
        <f t="shared" si="16"/>
        <v/>
      </c>
      <c r="AY696" s="120"/>
      <c r="AZ696" s="121"/>
      <c r="BA696" s="122" t="str">
        <f t="shared" si="17"/>
        <v/>
      </c>
      <c r="BB696" s="34"/>
      <c r="BC696" s="121"/>
      <c r="BD696" s="136"/>
      <c r="BE696" s="125" t="str">
        <f t="shared" si="18"/>
        <v/>
      </c>
      <c r="BF696" s="126" t="str">
        <f t="shared" si="19"/>
        <v>FM370__44625_0.301157407407407</v>
      </c>
      <c r="BG696" s="127" t="str">
        <f t="shared" si="20"/>
        <v/>
      </c>
      <c r="BH696" s="137" t="s">
        <v>1920</v>
      </c>
      <c r="BI696" s="128" t="str">
        <f t="shared" si="21"/>
        <v>MA629</v>
      </c>
      <c r="BJ696" s="129" t="b">
        <f t="shared" si="22"/>
        <v>0</v>
      </c>
      <c r="BK696" s="128" t="str">
        <f t="shared" si="23"/>
        <v/>
      </c>
      <c r="BL696" s="121"/>
      <c r="BM696" s="5" t="str">
        <f t="shared" si="24"/>
        <v>MISSING</v>
      </c>
      <c r="BN696" s="120" t="b">
        <f t="shared" si="25"/>
        <v>0</v>
      </c>
      <c r="BO696" s="131" t="b">
        <f t="shared" si="26"/>
        <v>1</v>
      </c>
      <c r="BP696" s="121"/>
      <c r="BQ696" s="132" t="str">
        <f>VLOOKUP(A696,RAW_APS!A$3:O826,15,FALSE)</f>
        <v/>
      </c>
      <c r="BR696" s="120" t="b">
        <f t="shared" si="27"/>
        <v>1</v>
      </c>
      <c r="BS696" s="121"/>
      <c r="BT696" s="138" t="s">
        <v>244</v>
      </c>
      <c r="BU696" s="10" t="b">
        <f t="shared" si="28"/>
        <v>1</v>
      </c>
      <c r="BV696" s="120"/>
      <c r="BW696" s="120"/>
      <c r="BX696" s="120"/>
      <c r="BY696" s="120"/>
      <c r="BZ696" s="120"/>
      <c r="CA696" s="120"/>
      <c r="CB696" s="120"/>
      <c r="CC696" s="120"/>
    </row>
    <row r="697">
      <c r="A697" s="2" t="s">
        <v>1921</v>
      </c>
      <c r="B697" s="100">
        <v>44625.0</v>
      </c>
      <c r="C697" s="101">
        <v>0.30530092592592595</v>
      </c>
      <c r="D697" s="102"/>
      <c r="E697" s="102"/>
      <c r="F697" s="102"/>
      <c r="G697" s="102"/>
      <c r="H697" s="102"/>
      <c r="I697" s="103"/>
      <c r="J697" s="103"/>
      <c r="K697" s="2" t="s">
        <v>244</v>
      </c>
      <c r="L697" s="100">
        <v>44625.0</v>
      </c>
      <c r="M697" s="101">
        <v>0.48974537037037036</v>
      </c>
      <c r="P697" s="104" t="b">
        <f>IFNA(IF(VLOOKUP($A697,'Add from APT'!$AA$2:$AC826,3,FALSE)&gt;0,TRUE,FALSE),"ER - NOT IN APT")</f>
        <v>0</v>
      </c>
      <c r="Q697" s="105" t="str">
        <f>IF(ISLOGICAL(P697),IF(P697,"ER - REPS IN APT", IFNA(VLOOKUP($A697,RAW_APT!$A$3:$M826,7,FALSE),"ER - NOT IN APT")),P697)</f>
        <v>Result</v>
      </c>
      <c r="R697" s="106" t="b">
        <f t="shared" si="2"/>
        <v>1</v>
      </c>
      <c r="S697" s="107">
        <f t="shared" si="3"/>
        <v>1</v>
      </c>
      <c r="T697" s="143"/>
      <c r="U697" s="142"/>
      <c r="V697" s="142"/>
      <c r="W697" s="142"/>
      <c r="X697" s="110" t="b">
        <f t="shared" si="4"/>
        <v>0</v>
      </c>
      <c r="Y697" s="111" t="b">
        <v>0</v>
      </c>
      <c r="Z697" s="104" t="str">
        <f t="shared" si="5"/>
        <v/>
      </c>
      <c r="AA697" s="112" t="b">
        <f t="shared" si="6"/>
        <v>0</v>
      </c>
      <c r="AB697" s="142" t="b">
        <v>0</v>
      </c>
      <c r="AC697" s="140">
        <v>126.0</v>
      </c>
      <c r="AD697" s="141" t="b">
        <v>0</v>
      </c>
      <c r="AE697" s="115">
        <f t="shared" si="7"/>
        <v>265.6</v>
      </c>
      <c r="AF697" s="116" t="b">
        <f t="shared" si="8"/>
        <v>0</v>
      </c>
      <c r="AG697" s="105" t="b">
        <f t="shared" si="9"/>
        <v>0</v>
      </c>
      <c r="AH697" s="140"/>
      <c r="AI697" s="140"/>
      <c r="AJ697" s="140"/>
      <c r="AK697" s="117" t="str">
        <f t="shared" si="10"/>
        <v>Negative</v>
      </c>
      <c r="AL697" s="142"/>
      <c r="AM697" s="112" t="s">
        <v>1274</v>
      </c>
      <c r="AN697" s="112" t="s">
        <v>1275</v>
      </c>
      <c r="AO697" s="112" t="str">
        <f>IFERROR(__xludf.DUMMYFUNCTION("IF($AG697, ""DELETED"",TRIM(JOIN("" "",D697:E697)))"),"")</f>
        <v/>
      </c>
      <c r="AP697" s="112" t="str">
        <f t="shared" ref="AP697:AQ697" si="722">IF($AG697, "DELETED", TRIM(CONCATENATE(F697,I697,U697)))</f>
        <v/>
      </c>
      <c r="AQ697" s="112" t="str">
        <f t="shared" si="722"/>
        <v/>
      </c>
      <c r="AR697" s="112" t="str">
        <f>IFERROR(__xludf.DUMMYFUNCTION("IF($AG697, ""DELETED"", TRIM(JOIN("" "",AP697,AQ697)))"),"")</f>
        <v/>
      </c>
      <c r="AS697" s="118"/>
      <c r="AT697" s="110" t="b">
        <f t="shared" si="12"/>
        <v>0</v>
      </c>
      <c r="AU697" s="110" t="str">
        <f t="shared" si="13"/>
        <v/>
      </c>
      <c r="AV697" s="110" t="str">
        <f t="shared" si="14"/>
        <v/>
      </c>
      <c r="AW697" s="110" t="str">
        <f t="shared" si="15"/>
        <v/>
      </c>
      <c r="AX697" s="119" t="str">
        <f t="shared" si="16"/>
        <v/>
      </c>
      <c r="AY697" s="120"/>
      <c r="AZ697" s="121"/>
      <c r="BA697" s="122" t="str">
        <f t="shared" si="17"/>
        <v/>
      </c>
      <c r="BB697" s="34"/>
      <c r="BC697" s="121"/>
      <c r="BD697" s="136"/>
      <c r="BE697" s="125" t="str">
        <f t="shared" si="18"/>
        <v/>
      </c>
      <c r="BF697" s="126" t="str">
        <f t="shared" si="19"/>
        <v>FM329__44625_0.305300925925926</v>
      </c>
      <c r="BG697" s="127" t="str">
        <f t="shared" si="20"/>
        <v/>
      </c>
      <c r="BH697" s="137" t="s">
        <v>1922</v>
      </c>
      <c r="BI697" s="128" t="str">
        <f t="shared" si="21"/>
        <v>MA630</v>
      </c>
      <c r="BJ697" s="129" t="b">
        <f t="shared" si="22"/>
        <v>0</v>
      </c>
      <c r="BK697" s="128" t="str">
        <f t="shared" si="23"/>
        <v/>
      </c>
      <c r="BL697" s="121"/>
      <c r="BM697" s="5" t="str">
        <f t="shared" si="24"/>
        <v>MISSING</v>
      </c>
      <c r="BN697" s="120" t="b">
        <f t="shared" si="25"/>
        <v>0</v>
      </c>
      <c r="BO697" s="131" t="b">
        <f t="shared" si="26"/>
        <v>1</v>
      </c>
      <c r="BP697" s="121"/>
      <c r="BQ697" s="132" t="str">
        <f>VLOOKUP(A697,RAW_APS!A$3:O826,15,FALSE)</f>
        <v/>
      </c>
      <c r="BR697" s="120" t="b">
        <f t="shared" si="27"/>
        <v>1</v>
      </c>
      <c r="BS697" s="121"/>
      <c r="BT697" s="138" t="s">
        <v>244</v>
      </c>
      <c r="BU697" s="10" t="b">
        <f t="shared" si="28"/>
        <v>1</v>
      </c>
      <c r="BV697" s="120"/>
      <c r="BW697" s="120"/>
      <c r="BX697" s="120"/>
      <c r="BY697" s="120"/>
      <c r="BZ697" s="120"/>
      <c r="CA697" s="120"/>
      <c r="CB697" s="120"/>
      <c r="CC697" s="120"/>
    </row>
    <row r="698">
      <c r="A698" s="2" t="s">
        <v>1923</v>
      </c>
      <c r="B698" s="100">
        <v>44625.0</v>
      </c>
      <c r="C698" s="101">
        <v>0.30789351851851854</v>
      </c>
      <c r="D698" s="102"/>
      <c r="E698" s="102"/>
      <c r="F698" s="102"/>
      <c r="G698" s="102"/>
      <c r="H698" s="102"/>
      <c r="I698" s="103"/>
      <c r="J698" s="103"/>
      <c r="K698" s="2" t="s">
        <v>244</v>
      </c>
      <c r="L698" s="100">
        <v>44625.0</v>
      </c>
      <c r="M698" s="101">
        <v>0.48974537037037036</v>
      </c>
      <c r="P698" s="104" t="b">
        <f>IFNA(IF(VLOOKUP($A698,'Add from APT'!$AA$2:$AC826,3,FALSE)&gt;0,TRUE,FALSE),"ER - NOT IN APT")</f>
        <v>0</v>
      </c>
      <c r="Q698" s="105" t="str">
        <f>IF(ISLOGICAL(P698),IF(P698,"ER - REPS IN APT", IFNA(VLOOKUP($A698,RAW_APT!$A$3:$M826,7,FALSE),"ER - NOT IN APT")),P698)</f>
        <v>Result</v>
      </c>
      <c r="R698" s="106" t="b">
        <f t="shared" si="2"/>
        <v>1</v>
      </c>
      <c r="S698" s="107">
        <f t="shared" si="3"/>
        <v>1</v>
      </c>
      <c r="T698" s="143"/>
      <c r="U698" s="142"/>
      <c r="V698" s="142"/>
      <c r="W698" s="142"/>
      <c r="X698" s="110" t="b">
        <f t="shared" si="4"/>
        <v>0</v>
      </c>
      <c r="Y698" s="111" t="b">
        <v>0</v>
      </c>
      <c r="Z698" s="104" t="str">
        <f t="shared" si="5"/>
        <v/>
      </c>
      <c r="AA698" s="112" t="b">
        <f t="shared" si="6"/>
        <v>0</v>
      </c>
      <c r="AB698" s="142" t="b">
        <v>0</v>
      </c>
      <c r="AC698" s="140">
        <v>125.0</v>
      </c>
      <c r="AD698" s="141" t="b">
        <v>0</v>
      </c>
      <c r="AE698" s="115">
        <f t="shared" si="7"/>
        <v>261.8666667</v>
      </c>
      <c r="AF698" s="116" t="b">
        <f t="shared" si="8"/>
        <v>0</v>
      </c>
      <c r="AG698" s="105" t="b">
        <f t="shared" si="9"/>
        <v>0</v>
      </c>
      <c r="AH698" s="140"/>
      <c r="AI698" s="140"/>
      <c r="AJ698" s="140"/>
      <c r="AK698" s="117" t="str">
        <f t="shared" si="10"/>
        <v>Negative</v>
      </c>
      <c r="AL698" s="142"/>
      <c r="AM698" s="112" t="s">
        <v>1380</v>
      </c>
      <c r="AN698" s="112" t="s">
        <v>1381</v>
      </c>
      <c r="AO698" s="112" t="str">
        <f>IFERROR(__xludf.DUMMYFUNCTION("IF($AG698, ""DELETED"",TRIM(JOIN("" "",D698:E698)))"),"")</f>
        <v/>
      </c>
      <c r="AP698" s="112" t="str">
        <f t="shared" ref="AP698:AQ698" si="723">IF($AG698, "DELETED", TRIM(CONCATENATE(F698,I698,U698)))</f>
        <v/>
      </c>
      <c r="AQ698" s="112" t="str">
        <f t="shared" si="723"/>
        <v/>
      </c>
      <c r="AR698" s="112" t="str">
        <f>IFERROR(__xludf.DUMMYFUNCTION("IF($AG698, ""DELETED"", TRIM(JOIN("" "",AP698,AQ698)))"),"")</f>
        <v/>
      </c>
      <c r="AS698" s="118"/>
      <c r="AT698" s="110" t="b">
        <f t="shared" si="12"/>
        <v>0</v>
      </c>
      <c r="AU698" s="110" t="str">
        <f t="shared" si="13"/>
        <v/>
      </c>
      <c r="AV698" s="110" t="str">
        <f t="shared" si="14"/>
        <v/>
      </c>
      <c r="AW698" s="110" t="str">
        <f t="shared" si="15"/>
        <v/>
      </c>
      <c r="AX698" s="119" t="str">
        <f t="shared" si="16"/>
        <v/>
      </c>
      <c r="AY698" s="120"/>
      <c r="AZ698" s="121"/>
      <c r="BA698" s="122" t="str">
        <f t="shared" si="17"/>
        <v/>
      </c>
      <c r="BB698" s="34"/>
      <c r="BC698" s="121"/>
      <c r="BD698" s="136"/>
      <c r="BE698" s="125" t="str">
        <f t="shared" si="18"/>
        <v/>
      </c>
      <c r="BF698" s="126" t="str">
        <f t="shared" si="19"/>
        <v>FM2055__44625_0.307893518518519</v>
      </c>
      <c r="BG698" s="127" t="str">
        <f t="shared" si="20"/>
        <v/>
      </c>
      <c r="BH698" s="137" t="s">
        <v>1924</v>
      </c>
      <c r="BI698" s="128" t="str">
        <f t="shared" si="21"/>
        <v>MA631</v>
      </c>
      <c r="BJ698" s="129" t="b">
        <f t="shared" si="22"/>
        <v>0</v>
      </c>
      <c r="BK698" s="128" t="str">
        <f t="shared" si="23"/>
        <v/>
      </c>
      <c r="BL698" s="121"/>
      <c r="BM698" s="5" t="str">
        <f t="shared" si="24"/>
        <v>MISSING</v>
      </c>
      <c r="BN698" s="120" t="b">
        <f t="shared" si="25"/>
        <v>0</v>
      </c>
      <c r="BO698" s="131" t="b">
        <f t="shared" si="26"/>
        <v>1</v>
      </c>
      <c r="BP698" s="121"/>
      <c r="BQ698" s="132" t="str">
        <f>VLOOKUP(A698,RAW_APS!A$3:O826,15,FALSE)</f>
        <v/>
      </c>
      <c r="BR698" s="120" t="b">
        <f t="shared" si="27"/>
        <v>1</v>
      </c>
      <c r="BS698" s="121"/>
      <c r="BT698" s="138" t="s">
        <v>244</v>
      </c>
      <c r="BU698" s="10" t="b">
        <f t="shared" si="28"/>
        <v>1</v>
      </c>
      <c r="BV698" s="120"/>
      <c r="BW698" s="120"/>
      <c r="BX698" s="120"/>
      <c r="BY698" s="120"/>
      <c r="BZ698" s="120"/>
      <c r="CA698" s="120"/>
      <c r="CB698" s="120"/>
      <c r="CC698" s="120"/>
    </row>
    <row r="699">
      <c r="A699" s="2" t="s">
        <v>1925</v>
      </c>
      <c r="B699" s="100">
        <v>44625.0</v>
      </c>
      <c r="C699" s="101">
        <v>0.3079861111111111</v>
      </c>
      <c r="D699" s="102"/>
      <c r="E699" s="102"/>
      <c r="F699" s="102"/>
      <c r="G699" s="102"/>
      <c r="H699" s="102"/>
      <c r="I699" s="103"/>
      <c r="J699" s="103"/>
      <c r="K699" s="2" t="s">
        <v>244</v>
      </c>
      <c r="L699" s="100">
        <v>44625.0</v>
      </c>
      <c r="M699" s="101">
        <v>0.48974537037037036</v>
      </c>
      <c r="P699" s="104" t="b">
        <f>IFNA(IF(VLOOKUP($A699,'Add from APT'!$AA$2:$AC826,3,FALSE)&gt;0,TRUE,FALSE),"ER - NOT IN APT")</f>
        <v>0</v>
      </c>
      <c r="Q699" s="105" t="str">
        <f>IF(ISLOGICAL(P699),IF(P699,"ER - REPS IN APT", IFNA(VLOOKUP($A699,RAW_APT!$A$3:$M826,7,FALSE),"ER - NOT IN APT")),P699)</f>
        <v>Result</v>
      </c>
      <c r="R699" s="106" t="b">
        <f t="shared" si="2"/>
        <v>1</v>
      </c>
      <c r="S699" s="107">
        <f t="shared" si="3"/>
        <v>1</v>
      </c>
      <c r="T699" s="143"/>
      <c r="U699" s="142"/>
      <c r="V699" s="142"/>
      <c r="W699" s="142"/>
      <c r="X699" s="110" t="b">
        <f t="shared" si="4"/>
        <v>0</v>
      </c>
      <c r="Y699" s="111" t="b">
        <v>0</v>
      </c>
      <c r="Z699" s="104" t="str">
        <f t="shared" si="5"/>
        <v/>
      </c>
      <c r="AA699" s="112" t="b">
        <f t="shared" si="6"/>
        <v>0</v>
      </c>
      <c r="AB699" s="142" t="b">
        <v>0</v>
      </c>
      <c r="AC699" s="140">
        <v>124.0</v>
      </c>
      <c r="AD699" s="141" t="b">
        <v>0</v>
      </c>
      <c r="AE699" s="115">
        <f t="shared" si="7"/>
        <v>261.7333333</v>
      </c>
      <c r="AF699" s="116" t="b">
        <f t="shared" si="8"/>
        <v>0</v>
      </c>
      <c r="AG699" s="105" t="b">
        <f t="shared" si="9"/>
        <v>0</v>
      </c>
      <c r="AH699" s="140"/>
      <c r="AI699" s="140"/>
      <c r="AJ699" s="140"/>
      <c r="AK699" s="117" t="str">
        <f t="shared" si="10"/>
        <v>Negative</v>
      </c>
      <c r="AL699" s="142"/>
      <c r="AM699" s="112" t="s">
        <v>465</v>
      </c>
      <c r="AN699" s="112" t="s">
        <v>466</v>
      </c>
      <c r="AO699" s="112" t="str">
        <f>IFERROR(__xludf.DUMMYFUNCTION("IF($AG699, ""DELETED"",TRIM(JOIN("" "",D699:E699)))"),"")</f>
        <v/>
      </c>
      <c r="AP699" s="112" t="str">
        <f t="shared" ref="AP699:AQ699" si="724">IF($AG699, "DELETED", TRIM(CONCATENATE(F699,I699,U699)))</f>
        <v/>
      </c>
      <c r="AQ699" s="112" t="str">
        <f t="shared" si="724"/>
        <v/>
      </c>
      <c r="AR699" s="112" t="str">
        <f>IFERROR(__xludf.DUMMYFUNCTION("IF($AG699, ""DELETED"", TRIM(JOIN("" "",AP699,AQ699)))"),"")</f>
        <v/>
      </c>
      <c r="AS699" s="118"/>
      <c r="AT699" s="110" t="b">
        <f t="shared" si="12"/>
        <v>0</v>
      </c>
      <c r="AU699" s="110" t="str">
        <f t="shared" si="13"/>
        <v/>
      </c>
      <c r="AV699" s="110" t="str">
        <f t="shared" si="14"/>
        <v/>
      </c>
      <c r="AW699" s="110" t="str">
        <f t="shared" si="15"/>
        <v/>
      </c>
      <c r="AX699" s="119" t="str">
        <f t="shared" si="16"/>
        <v/>
      </c>
      <c r="AY699" s="120"/>
      <c r="AZ699" s="121"/>
      <c r="BA699" s="122" t="str">
        <f t="shared" si="17"/>
        <v/>
      </c>
      <c r="BB699" s="34"/>
      <c r="BC699" s="121"/>
      <c r="BD699" s="136"/>
      <c r="BE699" s="125" t="str">
        <f t="shared" si="18"/>
        <v/>
      </c>
      <c r="BF699" s="126" t="str">
        <f t="shared" si="19"/>
        <v>FM458__44625_0.307986111111111</v>
      </c>
      <c r="BG699" s="127" t="str">
        <f t="shared" si="20"/>
        <v/>
      </c>
      <c r="BH699" s="137" t="s">
        <v>1926</v>
      </c>
      <c r="BI699" s="128" t="str">
        <f t="shared" si="21"/>
        <v>MA632</v>
      </c>
      <c r="BJ699" s="129" t="b">
        <f t="shared" si="22"/>
        <v>0</v>
      </c>
      <c r="BK699" s="128" t="str">
        <f t="shared" si="23"/>
        <v/>
      </c>
      <c r="BL699" s="121"/>
      <c r="BM699" s="5" t="str">
        <f t="shared" si="24"/>
        <v>MISSING</v>
      </c>
      <c r="BN699" s="120" t="b">
        <f t="shared" si="25"/>
        <v>0</v>
      </c>
      <c r="BO699" s="131" t="b">
        <f t="shared" si="26"/>
        <v>1</v>
      </c>
      <c r="BP699" s="121"/>
      <c r="BQ699" s="132" t="str">
        <f>VLOOKUP(A699,RAW_APS!A$3:O826,15,FALSE)</f>
        <v/>
      </c>
      <c r="BR699" s="120" t="b">
        <f t="shared" si="27"/>
        <v>1</v>
      </c>
      <c r="BS699" s="121"/>
      <c r="BT699" s="138" t="s">
        <v>244</v>
      </c>
      <c r="BU699" s="10" t="b">
        <f t="shared" si="28"/>
        <v>1</v>
      </c>
      <c r="BV699" s="120"/>
      <c r="BW699" s="120"/>
      <c r="BX699" s="120"/>
      <c r="BY699" s="120"/>
      <c r="BZ699" s="120"/>
      <c r="CA699" s="120"/>
      <c r="CB699" s="120"/>
      <c r="CC699" s="120"/>
    </row>
    <row r="700">
      <c r="A700" s="2" t="s">
        <v>1927</v>
      </c>
      <c r="B700" s="100">
        <v>44625.0</v>
      </c>
      <c r="C700" s="101">
        <v>0.308599537037037</v>
      </c>
      <c r="D700" s="102"/>
      <c r="E700" s="102"/>
      <c r="F700" s="102"/>
      <c r="G700" s="102"/>
      <c r="H700" s="102"/>
      <c r="I700" s="103"/>
      <c r="J700" s="103"/>
      <c r="K700" s="2" t="s">
        <v>244</v>
      </c>
      <c r="L700" s="100">
        <v>44625.0</v>
      </c>
      <c r="M700" s="101">
        <v>0.48974537037037036</v>
      </c>
      <c r="P700" s="104" t="b">
        <f>IFNA(IF(VLOOKUP($A700,'Add from APT'!$AA$2:$AC826,3,FALSE)&gt;0,TRUE,FALSE),"ER - NOT IN APT")</f>
        <v>0</v>
      </c>
      <c r="Q700" s="105" t="str">
        <f>IF(ISLOGICAL(P700),IF(P700,"ER - REPS IN APT", IFNA(VLOOKUP($A700,RAW_APT!$A$3:$M826,7,FALSE),"ER - NOT IN APT")),P700)</f>
        <v>Result</v>
      </c>
      <c r="R700" s="106" t="b">
        <f t="shared" si="2"/>
        <v>1</v>
      </c>
      <c r="S700" s="107">
        <f t="shared" si="3"/>
        <v>1</v>
      </c>
      <c r="T700" s="143"/>
      <c r="U700" s="142"/>
      <c r="V700" s="142"/>
      <c r="W700" s="142"/>
      <c r="X700" s="110" t="b">
        <f t="shared" si="4"/>
        <v>0</v>
      </c>
      <c r="Y700" s="111" t="b">
        <v>0</v>
      </c>
      <c r="Z700" s="104" t="str">
        <f t="shared" si="5"/>
        <v/>
      </c>
      <c r="AA700" s="112" t="b">
        <f t="shared" si="6"/>
        <v>0</v>
      </c>
      <c r="AB700" s="142" t="b">
        <v>0</v>
      </c>
      <c r="AC700" s="140">
        <v>123.0</v>
      </c>
      <c r="AD700" s="141" t="b">
        <v>0</v>
      </c>
      <c r="AE700" s="115">
        <f t="shared" si="7"/>
        <v>260.85</v>
      </c>
      <c r="AF700" s="116" t="b">
        <f t="shared" si="8"/>
        <v>0</v>
      </c>
      <c r="AG700" s="105" t="b">
        <f t="shared" si="9"/>
        <v>0</v>
      </c>
      <c r="AH700" s="140"/>
      <c r="AI700" s="140"/>
      <c r="AJ700" s="140"/>
      <c r="AK700" s="117" t="str">
        <f t="shared" si="10"/>
        <v>Negative</v>
      </c>
      <c r="AL700" s="142"/>
      <c r="AM700" s="112" t="s">
        <v>797</v>
      </c>
      <c r="AN700" s="112" t="s">
        <v>798</v>
      </c>
      <c r="AO700" s="112" t="str">
        <f>IFERROR(__xludf.DUMMYFUNCTION("IF($AG700, ""DELETED"",TRIM(JOIN("" "",D700:E700)))"),"")</f>
        <v/>
      </c>
      <c r="AP700" s="112" t="str">
        <f t="shared" ref="AP700:AQ700" si="725">IF($AG700, "DELETED", TRIM(CONCATENATE(F700,I700,U700)))</f>
        <v/>
      </c>
      <c r="AQ700" s="112" t="str">
        <f t="shared" si="725"/>
        <v/>
      </c>
      <c r="AR700" s="112" t="str">
        <f>IFERROR(__xludf.DUMMYFUNCTION("IF($AG700, ""DELETED"", TRIM(JOIN("" "",AP700,AQ700)))"),"")</f>
        <v/>
      </c>
      <c r="AS700" s="118"/>
      <c r="AT700" s="110" t="b">
        <f t="shared" si="12"/>
        <v>0</v>
      </c>
      <c r="AU700" s="110" t="str">
        <f t="shared" si="13"/>
        <v/>
      </c>
      <c r="AV700" s="110" t="str">
        <f t="shared" si="14"/>
        <v/>
      </c>
      <c r="AW700" s="110" t="str">
        <f t="shared" si="15"/>
        <v/>
      </c>
      <c r="AX700" s="119" t="str">
        <f t="shared" si="16"/>
        <v/>
      </c>
      <c r="AY700" s="120"/>
      <c r="AZ700" s="121"/>
      <c r="BA700" s="122" t="str">
        <f t="shared" si="17"/>
        <v/>
      </c>
      <c r="BB700" s="34"/>
      <c r="BC700" s="121"/>
      <c r="BD700" s="136"/>
      <c r="BE700" s="125" t="str">
        <f t="shared" si="18"/>
        <v/>
      </c>
      <c r="BF700" s="126" t="str">
        <f t="shared" si="19"/>
        <v>FM2048__44625_0.308599537037037</v>
      </c>
      <c r="BG700" s="127" t="str">
        <f t="shared" si="20"/>
        <v/>
      </c>
      <c r="BH700" s="137" t="s">
        <v>1928</v>
      </c>
      <c r="BI700" s="128" t="str">
        <f t="shared" si="21"/>
        <v>MA633</v>
      </c>
      <c r="BJ700" s="129" t="b">
        <f t="shared" si="22"/>
        <v>0</v>
      </c>
      <c r="BK700" s="128" t="str">
        <f t="shared" si="23"/>
        <v/>
      </c>
      <c r="BL700" s="121"/>
      <c r="BM700" s="5" t="str">
        <f t="shared" si="24"/>
        <v>MISSING</v>
      </c>
      <c r="BN700" s="120" t="b">
        <f t="shared" si="25"/>
        <v>0</v>
      </c>
      <c r="BO700" s="131" t="b">
        <f t="shared" si="26"/>
        <v>1</v>
      </c>
      <c r="BP700" s="121"/>
      <c r="BQ700" s="132" t="str">
        <f>VLOOKUP(A700,RAW_APS!A$3:O826,15,FALSE)</f>
        <v/>
      </c>
      <c r="BR700" s="120" t="b">
        <f t="shared" si="27"/>
        <v>1</v>
      </c>
      <c r="BS700" s="121"/>
      <c r="BT700" s="138" t="s">
        <v>244</v>
      </c>
      <c r="BU700" s="10" t="b">
        <f t="shared" si="28"/>
        <v>1</v>
      </c>
      <c r="BV700" s="120"/>
      <c r="BW700" s="120"/>
      <c r="BX700" s="120"/>
      <c r="BY700" s="120"/>
      <c r="BZ700" s="120"/>
      <c r="CA700" s="120"/>
      <c r="CB700" s="120"/>
      <c r="CC700" s="120"/>
    </row>
    <row r="701">
      <c r="A701" s="2" t="s">
        <v>1929</v>
      </c>
      <c r="B701" s="100">
        <v>44625.0</v>
      </c>
      <c r="C701" s="101">
        <v>0.30886574074074075</v>
      </c>
      <c r="D701" s="102"/>
      <c r="E701" s="102"/>
      <c r="F701" s="102"/>
      <c r="G701" s="102"/>
      <c r="H701" s="102"/>
      <c r="I701" s="103"/>
      <c r="J701" s="103"/>
      <c r="K701" s="2" t="s">
        <v>244</v>
      </c>
      <c r="L701" s="100">
        <v>44625.0</v>
      </c>
      <c r="M701" s="101">
        <v>0.48974537037037036</v>
      </c>
      <c r="P701" s="104" t="b">
        <f>IFNA(IF(VLOOKUP($A701,'Add from APT'!$AA$2:$AC826,3,FALSE)&gt;0,TRUE,FALSE),"ER - NOT IN APT")</f>
        <v>0</v>
      </c>
      <c r="Q701" s="105" t="str">
        <f>IF(ISLOGICAL(P701),IF(P701,"ER - REPS IN APT", IFNA(VLOOKUP($A701,RAW_APT!$A$3:$M826,7,FALSE),"ER - NOT IN APT")),P701)</f>
        <v>Result</v>
      </c>
      <c r="R701" s="106" t="b">
        <f t="shared" si="2"/>
        <v>1</v>
      </c>
      <c r="S701" s="107">
        <f t="shared" si="3"/>
        <v>1</v>
      </c>
      <c r="T701" s="143"/>
      <c r="U701" s="142"/>
      <c r="V701" s="142"/>
      <c r="W701" s="142"/>
      <c r="X701" s="110" t="b">
        <f t="shared" si="4"/>
        <v>0</v>
      </c>
      <c r="Y701" s="111" t="b">
        <v>0</v>
      </c>
      <c r="Z701" s="104" t="str">
        <f t="shared" si="5"/>
        <v/>
      </c>
      <c r="AA701" s="112" t="b">
        <f t="shared" si="6"/>
        <v>0</v>
      </c>
      <c r="AB701" s="142" t="b">
        <v>0</v>
      </c>
      <c r="AC701" s="140">
        <v>122.0</v>
      </c>
      <c r="AD701" s="141" t="b">
        <v>0</v>
      </c>
      <c r="AE701" s="115">
        <f t="shared" si="7"/>
        <v>260.4666667</v>
      </c>
      <c r="AF701" s="116" t="b">
        <f t="shared" si="8"/>
        <v>0</v>
      </c>
      <c r="AG701" s="105" t="b">
        <f t="shared" si="9"/>
        <v>0</v>
      </c>
      <c r="AH701" s="140"/>
      <c r="AI701" s="140"/>
      <c r="AJ701" s="140"/>
      <c r="AK701" s="117" t="str">
        <f t="shared" si="10"/>
        <v>Negative</v>
      </c>
      <c r="AL701" s="142"/>
      <c r="AM701" s="112" t="s">
        <v>1242</v>
      </c>
      <c r="AN701" s="112" t="s">
        <v>1243</v>
      </c>
      <c r="AO701" s="112" t="str">
        <f>IFERROR(__xludf.DUMMYFUNCTION("IF($AG701, ""DELETED"",TRIM(JOIN("" "",D701:E701)))"),"")</f>
        <v/>
      </c>
      <c r="AP701" s="112" t="str">
        <f t="shared" ref="AP701:AQ701" si="726">IF($AG701, "DELETED", TRIM(CONCATENATE(F701,I701,U701)))</f>
        <v/>
      </c>
      <c r="AQ701" s="112" t="str">
        <f t="shared" si="726"/>
        <v/>
      </c>
      <c r="AR701" s="112" t="str">
        <f>IFERROR(__xludf.DUMMYFUNCTION("IF($AG701, ""DELETED"", TRIM(JOIN("" "",AP701,AQ701)))"),"")</f>
        <v/>
      </c>
      <c r="AS701" s="118"/>
      <c r="AT701" s="110" t="b">
        <f t="shared" si="12"/>
        <v>0</v>
      </c>
      <c r="AU701" s="110" t="str">
        <f t="shared" si="13"/>
        <v/>
      </c>
      <c r="AV701" s="110" t="str">
        <f t="shared" si="14"/>
        <v/>
      </c>
      <c r="AW701" s="110" t="str">
        <f t="shared" si="15"/>
        <v/>
      </c>
      <c r="AX701" s="119" t="str">
        <f t="shared" si="16"/>
        <v/>
      </c>
      <c r="AY701" s="120"/>
      <c r="AZ701" s="121"/>
      <c r="BA701" s="122" t="str">
        <f t="shared" si="17"/>
        <v/>
      </c>
      <c r="BB701" s="34"/>
      <c r="BC701" s="121"/>
      <c r="BD701" s="136"/>
      <c r="BE701" s="125" t="str">
        <f t="shared" si="18"/>
        <v/>
      </c>
      <c r="BF701" s="126" t="str">
        <f t="shared" si="19"/>
        <v>FM405__44625_0.308865740740741</v>
      </c>
      <c r="BG701" s="127" t="str">
        <f t="shared" si="20"/>
        <v/>
      </c>
      <c r="BH701" s="137" t="s">
        <v>1930</v>
      </c>
      <c r="BI701" s="128" t="str">
        <f t="shared" si="21"/>
        <v>MA634</v>
      </c>
      <c r="BJ701" s="129" t="b">
        <f t="shared" si="22"/>
        <v>0</v>
      </c>
      <c r="BK701" s="128" t="str">
        <f t="shared" si="23"/>
        <v/>
      </c>
      <c r="BL701" s="121"/>
      <c r="BM701" s="5" t="str">
        <f t="shared" si="24"/>
        <v>MISSING</v>
      </c>
      <c r="BN701" s="120" t="b">
        <f t="shared" si="25"/>
        <v>0</v>
      </c>
      <c r="BO701" s="131" t="b">
        <f t="shared" si="26"/>
        <v>1</v>
      </c>
      <c r="BP701" s="121"/>
      <c r="BQ701" s="132" t="str">
        <f>VLOOKUP(A701,RAW_APS!A$3:O826,15,FALSE)</f>
        <v/>
      </c>
      <c r="BR701" s="120" t="b">
        <f t="shared" si="27"/>
        <v>1</v>
      </c>
      <c r="BS701" s="121"/>
      <c r="BT701" s="138" t="s">
        <v>244</v>
      </c>
      <c r="BU701" s="10" t="b">
        <f t="shared" si="28"/>
        <v>1</v>
      </c>
      <c r="BV701" s="120"/>
      <c r="BW701" s="120"/>
      <c r="BX701" s="120"/>
      <c r="BY701" s="120"/>
      <c r="BZ701" s="120"/>
      <c r="CA701" s="120"/>
      <c r="CB701" s="120"/>
      <c r="CC701" s="120"/>
    </row>
    <row r="702">
      <c r="A702" s="2" t="s">
        <v>1931</v>
      </c>
      <c r="B702" s="100">
        <v>44625.0</v>
      </c>
      <c r="C702" s="101">
        <v>0.3098148148148148</v>
      </c>
      <c r="D702" s="102"/>
      <c r="E702" s="102"/>
      <c r="F702" s="102"/>
      <c r="G702" s="102"/>
      <c r="H702" s="102"/>
      <c r="I702" s="103"/>
      <c r="J702" s="103"/>
      <c r="K702" s="2" t="s">
        <v>244</v>
      </c>
      <c r="L702" s="100">
        <v>44625.0</v>
      </c>
      <c r="M702" s="101">
        <v>0.48974537037037036</v>
      </c>
      <c r="P702" s="104" t="b">
        <f>IFNA(IF(VLOOKUP($A702,'Add from APT'!$AA$2:$AC826,3,FALSE)&gt;0,TRUE,FALSE),"ER - NOT IN APT")</f>
        <v>0</v>
      </c>
      <c r="Q702" s="105" t="str">
        <f>IF(ISLOGICAL(P702),IF(P702,"ER - REPS IN APT", IFNA(VLOOKUP($A702,RAW_APT!$A$3:$M826,7,FALSE),"ER - NOT IN APT")),P702)</f>
        <v>Result</v>
      </c>
      <c r="R702" s="106" t="b">
        <f t="shared" si="2"/>
        <v>1</v>
      </c>
      <c r="S702" s="107">
        <f t="shared" si="3"/>
        <v>1</v>
      </c>
      <c r="T702" s="143"/>
      <c r="U702" s="142"/>
      <c r="V702" s="142"/>
      <c r="W702" s="142"/>
      <c r="X702" s="110" t="b">
        <f t="shared" si="4"/>
        <v>0</v>
      </c>
      <c r="Y702" s="111" t="b">
        <v>0</v>
      </c>
      <c r="Z702" s="104" t="str">
        <f t="shared" si="5"/>
        <v/>
      </c>
      <c r="AA702" s="112" t="b">
        <f t="shared" si="6"/>
        <v>0</v>
      </c>
      <c r="AB702" s="142" t="b">
        <v>0</v>
      </c>
      <c r="AC702" s="140">
        <v>121.0</v>
      </c>
      <c r="AD702" s="141" t="b">
        <v>0</v>
      </c>
      <c r="AE702" s="115">
        <f t="shared" si="7"/>
        <v>259.1</v>
      </c>
      <c r="AF702" s="116" t="b">
        <f t="shared" si="8"/>
        <v>0</v>
      </c>
      <c r="AG702" s="105" t="b">
        <f t="shared" si="9"/>
        <v>0</v>
      </c>
      <c r="AH702" s="140"/>
      <c r="AI702" s="140"/>
      <c r="AJ702" s="140"/>
      <c r="AK702" s="117" t="str">
        <f t="shared" si="10"/>
        <v>Negative</v>
      </c>
      <c r="AL702" s="142"/>
      <c r="AM702" s="112" t="s">
        <v>1512</v>
      </c>
      <c r="AN702" s="112" t="s">
        <v>1513</v>
      </c>
      <c r="AO702" s="112" t="str">
        <f>IFERROR(__xludf.DUMMYFUNCTION("IF($AG702, ""DELETED"",TRIM(JOIN("" "",D702:E702)))"),"")</f>
        <v/>
      </c>
      <c r="AP702" s="112" t="str">
        <f t="shared" ref="AP702:AQ702" si="727">IF($AG702, "DELETED", TRIM(CONCATENATE(F702,I702,U702)))</f>
        <v/>
      </c>
      <c r="AQ702" s="112" t="str">
        <f t="shared" si="727"/>
        <v/>
      </c>
      <c r="AR702" s="112" t="str">
        <f>IFERROR(__xludf.DUMMYFUNCTION("IF($AG702, ""DELETED"", TRIM(JOIN("" "",AP702,AQ702)))"),"")</f>
        <v/>
      </c>
      <c r="AS702" s="118"/>
      <c r="AT702" s="110" t="b">
        <f t="shared" si="12"/>
        <v>0</v>
      </c>
      <c r="AU702" s="110" t="str">
        <f t="shared" si="13"/>
        <v/>
      </c>
      <c r="AV702" s="110" t="str">
        <f t="shared" si="14"/>
        <v/>
      </c>
      <c r="AW702" s="110" t="str">
        <f t="shared" si="15"/>
        <v/>
      </c>
      <c r="AX702" s="119" t="str">
        <f t="shared" si="16"/>
        <v/>
      </c>
      <c r="AY702" s="120"/>
      <c r="AZ702" s="121"/>
      <c r="BA702" s="122" t="str">
        <f t="shared" si="17"/>
        <v/>
      </c>
      <c r="BB702" s="34"/>
      <c r="BC702" s="121"/>
      <c r="BD702" s="136"/>
      <c r="BE702" s="125" t="str">
        <f t="shared" si="18"/>
        <v/>
      </c>
      <c r="BF702" s="126" t="str">
        <f t="shared" si="19"/>
        <v>MA213__44625_0.309814814814815</v>
      </c>
      <c r="BG702" s="127" t="str">
        <f t="shared" si="20"/>
        <v/>
      </c>
      <c r="BH702" s="137" t="s">
        <v>1932</v>
      </c>
      <c r="BI702" s="128" t="str">
        <f t="shared" si="21"/>
        <v>MA635</v>
      </c>
      <c r="BJ702" s="129" t="b">
        <f t="shared" si="22"/>
        <v>0</v>
      </c>
      <c r="BK702" s="128" t="str">
        <f t="shared" si="23"/>
        <v/>
      </c>
      <c r="BL702" s="121"/>
      <c r="BM702" s="5" t="str">
        <f t="shared" si="24"/>
        <v>MISSING</v>
      </c>
      <c r="BN702" s="120" t="b">
        <f t="shared" si="25"/>
        <v>0</v>
      </c>
      <c r="BO702" s="131" t="b">
        <f t="shared" si="26"/>
        <v>1</v>
      </c>
      <c r="BP702" s="121"/>
      <c r="BQ702" s="132" t="str">
        <f>VLOOKUP(A702,RAW_APS!A$3:O826,15,FALSE)</f>
        <v/>
      </c>
      <c r="BR702" s="120" t="b">
        <f t="shared" si="27"/>
        <v>1</v>
      </c>
      <c r="BS702" s="121"/>
      <c r="BT702" s="138" t="s">
        <v>244</v>
      </c>
      <c r="BU702" s="10" t="b">
        <f t="shared" si="28"/>
        <v>1</v>
      </c>
      <c r="BV702" s="120"/>
      <c r="BW702" s="120"/>
      <c r="BX702" s="120"/>
      <c r="BY702" s="120"/>
      <c r="BZ702" s="120"/>
      <c r="CA702" s="120"/>
      <c r="CB702" s="120"/>
      <c r="CC702" s="120"/>
    </row>
    <row r="703">
      <c r="A703" s="2" t="s">
        <v>1933</v>
      </c>
      <c r="B703" s="100">
        <v>44625.0</v>
      </c>
      <c r="C703" s="101">
        <v>0.3107523148148148</v>
      </c>
      <c r="D703" s="102"/>
      <c r="E703" s="102"/>
      <c r="F703" s="102"/>
      <c r="G703" s="102"/>
      <c r="H703" s="102"/>
      <c r="I703" s="103"/>
      <c r="J703" s="103"/>
      <c r="K703" s="2" t="s">
        <v>244</v>
      </c>
      <c r="L703" s="100">
        <v>44625.0</v>
      </c>
      <c r="M703" s="101">
        <v>0.48974537037037036</v>
      </c>
      <c r="P703" s="104" t="b">
        <f>IFNA(IF(VLOOKUP($A703,'Add from APT'!$AA$2:$AC826,3,FALSE)&gt;0,TRUE,FALSE),"ER - NOT IN APT")</f>
        <v>0</v>
      </c>
      <c r="Q703" s="105" t="str">
        <f>IF(ISLOGICAL(P703),IF(P703,"ER - REPS IN APT", IFNA(VLOOKUP($A703,RAW_APT!$A$3:$M826,7,FALSE),"ER - NOT IN APT")),P703)</f>
        <v>Result</v>
      </c>
      <c r="R703" s="106" t="b">
        <f t="shared" si="2"/>
        <v>1</v>
      </c>
      <c r="S703" s="107">
        <f t="shared" si="3"/>
        <v>1</v>
      </c>
      <c r="T703" s="143"/>
      <c r="U703" s="142"/>
      <c r="V703" s="142"/>
      <c r="W703" s="142"/>
      <c r="X703" s="110" t="b">
        <f t="shared" si="4"/>
        <v>0</v>
      </c>
      <c r="Y703" s="111" t="b">
        <v>0</v>
      </c>
      <c r="Z703" s="104" t="str">
        <f t="shared" si="5"/>
        <v/>
      </c>
      <c r="AA703" s="112" t="b">
        <f t="shared" si="6"/>
        <v>0</v>
      </c>
      <c r="AB703" s="142" t="b">
        <v>0</v>
      </c>
      <c r="AC703" s="140">
        <v>120.0</v>
      </c>
      <c r="AD703" s="141" t="b">
        <v>0</v>
      </c>
      <c r="AE703" s="115">
        <f t="shared" si="7"/>
        <v>257.75</v>
      </c>
      <c r="AF703" s="116" t="b">
        <f t="shared" si="8"/>
        <v>0</v>
      </c>
      <c r="AG703" s="105" t="b">
        <f t="shared" si="9"/>
        <v>0</v>
      </c>
      <c r="AH703" s="140"/>
      <c r="AI703" s="140"/>
      <c r="AJ703" s="140"/>
      <c r="AK703" s="117" t="str">
        <f t="shared" si="10"/>
        <v>Negative</v>
      </c>
      <c r="AL703" s="142"/>
      <c r="AM703" s="112" t="s">
        <v>1260</v>
      </c>
      <c r="AN703" s="112" t="s">
        <v>1261</v>
      </c>
      <c r="AO703" s="112" t="str">
        <f>IFERROR(__xludf.DUMMYFUNCTION("IF($AG703, ""DELETED"",TRIM(JOIN("" "",D703:E703)))"),"")</f>
        <v/>
      </c>
      <c r="AP703" s="112" t="str">
        <f t="shared" ref="AP703:AQ703" si="728">IF($AG703, "DELETED", TRIM(CONCATENATE(F703,I703,U703)))</f>
        <v/>
      </c>
      <c r="AQ703" s="112" t="str">
        <f t="shared" si="728"/>
        <v/>
      </c>
      <c r="AR703" s="112" t="str">
        <f>IFERROR(__xludf.DUMMYFUNCTION("IF($AG703, ""DELETED"", TRIM(JOIN("" "",AP703,AQ703)))"),"")</f>
        <v/>
      </c>
      <c r="AS703" s="118"/>
      <c r="AT703" s="110" t="b">
        <f t="shared" si="12"/>
        <v>0</v>
      </c>
      <c r="AU703" s="110" t="str">
        <f t="shared" si="13"/>
        <v/>
      </c>
      <c r="AV703" s="110" t="str">
        <f t="shared" si="14"/>
        <v/>
      </c>
      <c r="AW703" s="110" t="str">
        <f t="shared" si="15"/>
        <v/>
      </c>
      <c r="AX703" s="119" t="str">
        <f t="shared" si="16"/>
        <v/>
      </c>
      <c r="AY703" s="120"/>
      <c r="AZ703" s="121"/>
      <c r="BA703" s="122" t="str">
        <f t="shared" si="17"/>
        <v/>
      </c>
      <c r="BB703" s="34"/>
      <c r="BC703" s="121"/>
      <c r="BD703" s="136"/>
      <c r="BE703" s="125" t="str">
        <f t="shared" si="18"/>
        <v/>
      </c>
      <c r="BF703" s="126" t="str">
        <f t="shared" si="19"/>
        <v>FM2076__44625_0.310752314814815</v>
      </c>
      <c r="BG703" s="127" t="str">
        <f t="shared" si="20"/>
        <v/>
      </c>
      <c r="BH703" s="137" t="s">
        <v>1934</v>
      </c>
      <c r="BI703" s="128" t="str">
        <f t="shared" si="21"/>
        <v>MA636</v>
      </c>
      <c r="BJ703" s="129" t="b">
        <f t="shared" si="22"/>
        <v>0</v>
      </c>
      <c r="BK703" s="128" t="str">
        <f t="shared" si="23"/>
        <v/>
      </c>
      <c r="BL703" s="121"/>
      <c r="BM703" s="5" t="str">
        <f t="shared" si="24"/>
        <v>MISSING</v>
      </c>
      <c r="BN703" s="120" t="b">
        <f t="shared" si="25"/>
        <v>0</v>
      </c>
      <c r="BO703" s="131" t="b">
        <f t="shared" si="26"/>
        <v>1</v>
      </c>
      <c r="BP703" s="121"/>
      <c r="BQ703" s="132" t="str">
        <f>VLOOKUP(A703,RAW_APS!A$3:O826,15,FALSE)</f>
        <v/>
      </c>
      <c r="BR703" s="120" t="b">
        <f t="shared" si="27"/>
        <v>1</v>
      </c>
      <c r="BS703" s="121"/>
      <c r="BT703" s="138" t="s">
        <v>244</v>
      </c>
      <c r="BU703" s="10" t="b">
        <f t="shared" si="28"/>
        <v>1</v>
      </c>
      <c r="BV703" s="120"/>
      <c r="BW703" s="120"/>
      <c r="BX703" s="120"/>
      <c r="BY703" s="120"/>
      <c r="BZ703" s="120"/>
      <c r="CA703" s="120"/>
      <c r="CB703" s="120"/>
      <c r="CC703" s="120"/>
    </row>
    <row r="704">
      <c r="A704" s="2" t="s">
        <v>1935</v>
      </c>
      <c r="B704" s="100">
        <v>44625.0</v>
      </c>
      <c r="C704" s="101">
        <v>0.3109953703703704</v>
      </c>
      <c r="D704" s="102"/>
      <c r="E704" s="102"/>
      <c r="F704" s="102"/>
      <c r="G704" s="102"/>
      <c r="H704" s="102"/>
      <c r="I704" s="103"/>
      <c r="J704" s="103"/>
      <c r="K704" s="2" t="s">
        <v>244</v>
      </c>
      <c r="L704" s="100">
        <v>44625.0</v>
      </c>
      <c r="M704" s="101">
        <v>0.48974537037037036</v>
      </c>
      <c r="P704" s="104" t="b">
        <f>IFNA(IF(VLOOKUP($A704,'Add from APT'!$AA$2:$AC826,3,FALSE)&gt;0,TRUE,FALSE),"ER - NOT IN APT")</f>
        <v>0</v>
      </c>
      <c r="Q704" s="105" t="str">
        <f>IF(ISLOGICAL(P704),IF(P704,"ER - REPS IN APT", IFNA(VLOOKUP($A704,RAW_APT!$A$3:$M826,7,FALSE),"ER - NOT IN APT")),P704)</f>
        <v>Result</v>
      </c>
      <c r="R704" s="106" t="b">
        <f t="shared" si="2"/>
        <v>1</v>
      </c>
      <c r="S704" s="107">
        <f t="shared" si="3"/>
        <v>1</v>
      </c>
      <c r="T704" s="143"/>
      <c r="U704" s="142"/>
      <c r="V704" s="142"/>
      <c r="W704" s="142"/>
      <c r="X704" s="110" t="b">
        <f t="shared" si="4"/>
        <v>0</v>
      </c>
      <c r="Y704" s="111" t="b">
        <v>0</v>
      </c>
      <c r="Z704" s="104" t="str">
        <f t="shared" si="5"/>
        <v/>
      </c>
      <c r="AA704" s="112" t="b">
        <f t="shared" si="6"/>
        <v>0</v>
      </c>
      <c r="AB704" s="142" t="b">
        <v>0</v>
      </c>
      <c r="AC704" s="140">
        <v>119.0</v>
      </c>
      <c r="AD704" s="141" t="b">
        <v>0</v>
      </c>
      <c r="AE704" s="115">
        <f t="shared" si="7"/>
        <v>257.4</v>
      </c>
      <c r="AF704" s="116" t="b">
        <f t="shared" si="8"/>
        <v>0</v>
      </c>
      <c r="AG704" s="105" t="b">
        <f t="shared" si="9"/>
        <v>0</v>
      </c>
      <c r="AH704" s="140"/>
      <c r="AI704" s="140"/>
      <c r="AJ704" s="140"/>
      <c r="AK704" s="117" t="str">
        <f t="shared" si="10"/>
        <v>Negative</v>
      </c>
      <c r="AL704" s="142"/>
      <c r="AM704" s="112" t="s">
        <v>436</v>
      </c>
      <c r="AN704" s="112" t="s">
        <v>437</v>
      </c>
      <c r="AO704" s="112" t="str">
        <f>IFERROR(__xludf.DUMMYFUNCTION("IF($AG704, ""DELETED"",TRIM(JOIN("" "",D704:E704)))"),"")</f>
        <v/>
      </c>
      <c r="AP704" s="112" t="str">
        <f t="shared" ref="AP704:AQ704" si="729">IF($AG704, "DELETED", TRIM(CONCATENATE(F704,I704,U704)))</f>
        <v/>
      </c>
      <c r="AQ704" s="112" t="str">
        <f t="shared" si="729"/>
        <v/>
      </c>
      <c r="AR704" s="112" t="str">
        <f>IFERROR(__xludf.DUMMYFUNCTION("IF($AG704, ""DELETED"", TRIM(JOIN("" "",AP704,AQ704)))"),"")</f>
        <v/>
      </c>
      <c r="AS704" s="118"/>
      <c r="AT704" s="110" t="b">
        <f t="shared" si="12"/>
        <v>0</v>
      </c>
      <c r="AU704" s="110" t="str">
        <f t="shared" si="13"/>
        <v/>
      </c>
      <c r="AV704" s="110" t="str">
        <f t="shared" si="14"/>
        <v/>
      </c>
      <c r="AW704" s="110" t="str">
        <f t="shared" si="15"/>
        <v/>
      </c>
      <c r="AX704" s="119" t="str">
        <f t="shared" si="16"/>
        <v/>
      </c>
      <c r="AY704" s="120"/>
      <c r="AZ704" s="121"/>
      <c r="BA704" s="122" t="str">
        <f t="shared" si="17"/>
        <v/>
      </c>
      <c r="BB704" s="34"/>
      <c r="BC704" s="121"/>
      <c r="BD704" s="136"/>
      <c r="BE704" s="125" t="str">
        <f t="shared" si="18"/>
        <v/>
      </c>
      <c r="BF704" s="126" t="str">
        <f t="shared" si="19"/>
        <v>MA1238__44625_0.31099537037037</v>
      </c>
      <c r="BG704" s="127" t="str">
        <f t="shared" si="20"/>
        <v/>
      </c>
      <c r="BH704" s="137" t="s">
        <v>1936</v>
      </c>
      <c r="BI704" s="128" t="str">
        <f t="shared" si="21"/>
        <v>MA638</v>
      </c>
      <c r="BJ704" s="129" t="b">
        <f t="shared" si="22"/>
        <v>0</v>
      </c>
      <c r="BK704" s="128" t="str">
        <f t="shared" si="23"/>
        <v/>
      </c>
      <c r="BL704" s="121"/>
      <c r="BM704" s="5" t="str">
        <f t="shared" si="24"/>
        <v>MISSING</v>
      </c>
      <c r="BN704" s="120" t="b">
        <f t="shared" si="25"/>
        <v>0</v>
      </c>
      <c r="BO704" s="131" t="b">
        <f t="shared" si="26"/>
        <v>1</v>
      </c>
      <c r="BP704" s="121"/>
      <c r="BQ704" s="132" t="str">
        <f>VLOOKUP(A704,RAW_APS!A$3:O826,15,FALSE)</f>
        <v/>
      </c>
      <c r="BR704" s="120" t="b">
        <f t="shared" si="27"/>
        <v>1</v>
      </c>
      <c r="BS704" s="121"/>
      <c r="BT704" s="138" t="s">
        <v>244</v>
      </c>
      <c r="BU704" s="10" t="b">
        <f t="shared" si="28"/>
        <v>1</v>
      </c>
      <c r="BV704" s="120"/>
      <c r="BW704" s="120"/>
      <c r="BX704" s="120"/>
      <c r="BY704" s="120"/>
      <c r="BZ704" s="120"/>
      <c r="CA704" s="120"/>
      <c r="CB704" s="120"/>
      <c r="CC704" s="120"/>
    </row>
    <row r="705">
      <c r="A705" s="2" t="s">
        <v>1937</v>
      </c>
      <c r="B705" s="100">
        <v>44625.0</v>
      </c>
      <c r="C705" s="101">
        <v>0.3150115740740741</v>
      </c>
      <c r="D705" s="102"/>
      <c r="E705" s="102"/>
      <c r="F705" s="102"/>
      <c r="G705" s="102"/>
      <c r="H705" s="102"/>
      <c r="I705" s="103"/>
      <c r="J705" s="103"/>
      <c r="K705" s="2" t="s">
        <v>244</v>
      </c>
      <c r="L705" s="100">
        <v>44625.0</v>
      </c>
      <c r="M705" s="101">
        <v>0.48974537037037036</v>
      </c>
      <c r="P705" s="104" t="b">
        <f>IFNA(IF(VLOOKUP($A705,'Add from APT'!$AA$2:$AC826,3,FALSE)&gt;0,TRUE,FALSE),"ER - NOT IN APT")</f>
        <v>0</v>
      </c>
      <c r="Q705" s="105" t="str">
        <f>IF(ISLOGICAL(P705),IF(P705,"ER - REPS IN APT", IFNA(VLOOKUP($A705,RAW_APT!$A$3:$M826,7,FALSE),"ER - NOT IN APT")),P705)</f>
        <v>Result</v>
      </c>
      <c r="R705" s="106" t="b">
        <f t="shared" si="2"/>
        <v>1</v>
      </c>
      <c r="S705" s="107">
        <f t="shared" si="3"/>
        <v>1</v>
      </c>
      <c r="T705" s="143"/>
      <c r="U705" s="142"/>
      <c r="V705" s="142"/>
      <c r="W705" s="142"/>
      <c r="X705" s="110" t="b">
        <f t="shared" si="4"/>
        <v>0</v>
      </c>
      <c r="Y705" s="111" t="b">
        <v>0</v>
      </c>
      <c r="Z705" s="104" t="str">
        <f t="shared" si="5"/>
        <v/>
      </c>
      <c r="AA705" s="112" t="b">
        <f t="shared" si="6"/>
        <v>0</v>
      </c>
      <c r="AB705" s="142" t="b">
        <v>0</v>
      </c>
      <c r="AC705" s="140">
        <v>118.0</v>
      </c>
      <c r="AD705" s="141" t="b">
        <v>0</v>
      </c>
      <c r="AE705" s="115">
        <f t="shared" si="7"/>
        <v>251.6166667</v>
      </c>
      <c r="AF705" s="116" t="b">
        <f t="shared" si="8"/>
        <v>0</v>
      </c>
      <c r="AG705" s="105" t="b">
        <f t="shared" si="9"/>
        <v>0</v>
      </c>
      <c r="AH705" s="140"/>
      <c r="AI705" s="140"/>
      <c r="AJ705" s="140"/>
      <c r="AK705" s="117" t="str">
        <f t="shared" si="10"/>
        <v>Negative</v>
      </c>
      <c r="AL705" s="142"/>
      <c r="AM705" s="112" t="s">
        <v>1298</v>
      </c>
      <c r="AN705" s="112" t="s">
        <v>1299</v>
      </c>
      <c r="AO705" s="112" t="str">
        <f>IFERROR(__xludf.DUMMYFUNCTION("IF($AG705, ""DELETED"",TRIM(JOIN("" "",D705:E705)))"),"")</f>
        <v/>
      </c>
      <c r="AP705" s="112" t="str">
        <f t="shared" ref="AP705:AQ705" si="730">IF($AG705, "DELETED", TRIM(CONCATENATE(F705,I705,U705)))</f>
        <v/>
      </c>
      <c r="AQ705" s="112" t="str">
        <f t="shared" si="730"/>
        <v/>
      </c>
      <c r="AR705" s="112" t="str">
        <f>IFERROR(__xludf.DUMMYFUNCTION("IF($AG705, ""DELETED"", TRIM(JOIN("" "",AP705,AQ705)))"),"")</f>
        <v/>
      </c>
      <c r="AS705" s="118"/>
      <c r="AT705" s="110" t="b">
        <f t="shared" si="12"/>
        <v>0</v>
      </c>
      <c r="AU705" s="110" t="str">
        <f t="shared" si="13"/>
        <v/>
      </c>
      <c r="AV705" s="110" t="str">
        <f t="shared" si="14"/>
        <v/>
      </c>
      <c r="AW705" s="110" t="str">
        <f t="shared" si="15"/>
        <v/>
      </c>
      <c r="AX705" s="119" t="str">
        <f t="shared" si="16"/>
        <v/>
      </c>
      <c r="AY705" s="120"/>
      <c r="AZ705" s="121"/>
      <c r="BA705" s="122" t="str">
        <f t="shared" si="17"/>
        <v/>
      </c>
      <c r="BB705" s="34"/>
      <c r="BC705" s="121"/>
      <c r="BD705" s="136"/>
      <c r="BE705" s="125" t="str">
        <f t="shared" si="18"/>
        <v/>
      </c>
      <c r="BF705" s="126" t="str">
        <f t="shared" si="19"/>
        <v>MA370__44625_0.315011574074074</v>
      </c>
      <c r="BG705" s="127" t="str">
        <f t="shared" si="20"/>
        <v/>
      </c>
      <c r="BH705" s="137" t="s">
        <v>1938</v>
      </c>
      <c r="BI705" s="128" t="str">
        <f t="shared" si="21"/>
        <v>MA639</v>
      </c>
      <c r="BJ705" s="129" t="b">
        <f t="shared" si="22"/>
        <v>0</v>
      </c>
      <c r="BK705" s="128" t="str">
        <f t="shared" si="23"/>
        <v/>
      </c>
      <c r="BL705" s="121"/>
      <c r="BM705" s="5" t="str">
        <f t="shared" si="24"/>
        <v>MISSING</v>
      </c>
      <c r="BN705" s="120" t="b">
        <f t="shared" si="25"/>
        <v>0</v>
      </c>
      <c r="BO705" s="131" t="b">
        <f t="shared" si="26"/>
        <v>1</v>
      </c>
      <c r="BP705" s="121"/>
      <c r="BQ705" s="132" t="str">
        <f>VLOOKUP(A705,RAW_APS!A$3:O826,15,FALSE)</f>
        <v/>
      </c>
      <c r="BR705" s="120" t="b">
        <f t="shared" si="27"/>
        <v>1</v>
      </c>
      <c r="BS705" s="121"/>
      <c r="BT705" s="138" t="s">
        <v>244</v>
      </c>
      <c r="BU705" s="10" t="b">
        <f t="shared" si="28"/>
        <v>1</v>
      </c>
      <c r="BV705" s="120"/>
      <c r="BW705" s="120"/>
      <c r="BX705" s="120"/>
      <c r="BY705" s="120"/>
      <c r="BZ705" s="120"/>
      <c r="CA705" s="120"/>
      <c r="CB705" s="120"/>
      <c r="CC705" s="120"/>
    </row>
    <row r="706">
      <c r="A706" s="2" t="s">
        <v>1939</v>
      </c>
      <c r="B706" s="100">
        <v>44625.0</v>
      </c>
      <c r="C706" s="101">
        <v>0.3158564814814815</v>
      </c>
      <c r="D706" s="102"/>
      <c r="E706" s="102"/>
      <c r="F706" s="102"/>
      <c r="G706" s="102"/>
      <c r="H706" s="102"/>
      <c r="I706" s="103"/>
      <c r="J706" s="103"/>
      <c r="K706" s="2" t="s">
        <v>244</v>
      </c>
      <c r="L706" s="100">
        <v>44625.0</v>
      </c>
      <c r="M706" s="101">
        <v>0.48974537037037036</v>
      </c>
      <c r="P706" s="104" t="b">
        <f>IFNA(IF(VLOOKUP($A706,'Add from APT'!$AA$2:$AC826,3,FALSE)&gt;0,TRUE,FALSE),"ER - NOT IN APT")</f>
        <v>0</v>
      </c>
      <c r="Q706" s="105" t="str">
        <f>IF(ISLOGICAL(P706),IF(P706,"ER - REPS IN APT", IFNA(VLOOKUP($A706,RAW_APT!$A$3:$M826,7,FALSE),"ER - NOT IN APT")),P706)</f>
        <v>Result</v>
      </c>
      <c r="R706" s="106" t="b">
        <f t="shared" si="2"/>
        <v>1</v>
      </c>
      <c r="S706" s="107">
        <f t="shared" si="3"/>
        <v>1</v>
      </c>
      <c r="T706" s="143"/>
      <c r="U706" s="142"/>
      <c r="V706" s="142"/>
      <c r="W706" s="142"/>
      <c r="X706" s="110" t="b">
        <f t="shared" si="4"/>
        <v>0</v>
      </c>
      <c r="Y706" s="111" t="b">
        <v>0</v>
      </c>
      <c r="Z706" s="104" t="str">
        <f t="shared" si="5"/>
        <v/>
      </c>
      <c r="AA706" s="112" t="b">
        <f t="shared" si="6"/>
        <v>0</v>
      </c>
      <c r="AB706" s="142" t="b">
        <v>0</v>
      </c>
      <c r="AC706" s="140">
        <v>117.0</v>
      </c>
      <c r="AD706" s="141" t="b">
        <v>0</v>
      </c>
      <c r="AE706" s="115">
        <f t="shared" si="7"/>
        <v>250.4</v>
      </c>
      <c r="AF706" s="116" t="b">
        <f t="shared" si="8"/>
        <v>0</v>
      </c>
      <c r="AG706" s="105" t="b">
        <f t="shared" si="9"/>
        <v>0</v>
      </c>
      <c r="AH706" s="140"/>
      <c r="AI706" s="140"/>
      <c r="AJ706" s="140"/>
      <c r="AK706" s="117" t="str">
        <f t="shared" si="10"/>
        <v>Negative</v>
      </c>
      <c r="AL706" s="142"/>
      <c r="AM706" s="112" t="s">
        <v>1575</v>
      </c>
      <c r="AN706" s="112" t="s">
        <v>893</v>
      </c>
      <c r="AO706" s="112" t="str">
        <f>IFERROR(__xludf.DUMMYFUNCTION("IF($AG706, ""DELETED"",TRIM(JOIN("" "",D706:E706)))"),"")</f>
        <v/>
      </c>
      <c r="AP706" s="112" t="str">
        <f t="shared" ref="AP706:AQ706" si="731">IF($AG706, "DELETED", TRIM(CONCATENATE(F706,I706,U706)))</f>
        <v/>
      </c>
      <c r="AQ706" s="112" t="str">
        <f t="shared" si="731"/>
        <v/>
      </c>
      <c r="AR706" s="112" t="str">
        <f>IFERROR(__xludf.DUMMYFUNCTION("IF($AG706, ""DELETED"", TRIM(JOIN("" "",AP706,AQ706)))"),"")</f>
        <v/>
      </c>
      <c r="AS706" s="118"/>
      <c r="AT706" s="110" t="b">
        <f t="shared" si="12"/>
        <v>0</v>
      </c>
      <c r="AU706" s="110" t="str">
        <f t="shared" si="13"/>
        <v/>
      </c>
      <c r="AV706" s="110" t="str">
        <f t="shared" si="14"/>
        <v/>
      </c>
      <c r="AW706" s="110" t="str">
        <f t="shared" si="15"/>
        <v/>
      </c>
      <c r="AX706" s="119" t="str">
        <f t="shared" si="16"/>
        <v/>
      </c>
      <c r="AY706" s="120"/>
      <c r="AZ706" s="121"/>
      <c r="BA706" s="122" t="str">
        <f t="shared" si="17"/>
        <v/>
      </c>
      <c r="BB706" s="34"/>
      <c r="BC706" s="121"/>
      <c r="BD706" s="136"/>
      <c r="BE706" s="125" t="str">
        <f t="shared" si="18"/>
        <v/>
      </c>
      <c r="BF706" s="126" t="str">
        <f t="shared" si="19"/>
        <v>FM477__44625_0.315856481481482</v>
      </c>
      <c r="BG706" s="127" t="str">
        <f t="shared" si="20"/>
        <v/>
      </c>
      <c r="BH706" s="137" t="s">
        <v>1940</v>
      </c>
      <c r="BI706" s="128" t="str">
        <f t="shared" si="21"/>
        <v>MA641</v>
      </c>
      <c r="BJ706" s="129" t="b">
        <f t="shared" si="22"/>
        <v>0</v>
      </c>
      <c r="BK706" s="128" t="str">
        <f t="shared" si="23"/>
        <v/>
      </c>
      <c r="BL706" s="121"/>
      <c r="BM706" s="5" t="str">
        <f t="shared" si="24"/>
        <v>MISSING</v>
      </c>
      <c r="BN706" s="120" t="b">
        <f t="shared" si="25"/>
        <v>0</v>
      </c>
      <c r="BO706" s="131" t="b">
        <f t="shared" si="26"/>
        <v>1</v>
      </c>
      <c r="BP706" s="121"/>
      <c r="BQ706" s="132" t="str">
        <f>VLOOKUP(A706,RAW_APS!A$3:O826,15,FALSE)</f>
        <v/>
      </c>
      <c r="BR706" s="120" t="b">
        <f t="shared" si="27"/>
        <v>1</v>
      </c>
      <c r="BS706" s="121"/>
      <c r="BT706" s="138" t="s">
        <v>244</v>
      </c>
      <c r="BU706" s="10" t="b">
        <f t="shared" si="28"/>
        <v>1</v>
      </c>
      <c r="BV706" s="120"/>
      <c r="BW706" s="120"/>
      <c r="BX706" s="120"/>
      <c r="BY706" s="120"/>
      <c r="BZ706" s="120"/>
      <c r="CA706" s="120"/>
      <c r="CB706" s="120"/>
      <c r="CC706" s="120"/>
    </row>
    <row r="707">
      <c r="A707" s="2" t="s">
        <v>1941</v>
      </c>
      <c r="B707" s="100">
        <v>44625.0</v>
      </c>
      <c r="C707" s="101">
        <v>0.31592592592592594</v>
      </c>
      <c r="D707" s="102"/>
      <c r="E707" s="102"/>
      <c r="F707" s="102"/>
      <c r="G707" s="102"/>
      <c r="H707" s="102"/>
      <c r="I707" s="103"/>
      <c r="J707" s="103"/>
      <c r="K707" s="2" t="s">
        <v>244</v>
      </c>
      <c r="L707" s="100">
        <v>44625.0</v>
      </c>
      <c r="M707" s="101">
        <v>0.48975694444444445</v>
      </c>
      <c r="P707" s="104" t="b">
        <f>IFNA(IF(VLOOKUP($A707,'Add from APT'!$AA$2:$AC826,3,FALSE)&gt;0,TRUE,FALSE),"ER - NOT IN APT")</f>
        <v>0</v>
      </c>
      <c r="Q707" s="105" t="str">
        <f>IF(ISLOGICAL(P707),IF(P707,"ER - REPS IN APT", IFNA(VLOOKUP($A707,RAW_APT!$A$3:$M826,7,FALSE),"ER - NOT IN APT")),P707)</f>
        <v>Result</v>
      </c>
      <c r="R707" s="106" t="b">
        <f t="shared" si="2"/>
        <v>1</v>
      </c>
      <c r="S707" s="107">
        <f t="shared" si="3"/>
        <v>1</v>
      </c>
      <c r="T707" s="143"/>
      <c r="U707" s="142"/>
      <c r="V707" s="142"/>
      <c r="W707" s="142"/>
      <c r="X707" s="110" t="b">
        <f t="shared" si="4"/>
        <v>0</v>
      </c>
      <c r="Y707" s="111" t="b">
        <v>0</v>
      </c>
      <c r="Z707" s="104" t="str">
        <f t="shared" si="5"/>
        <v/>
      </c>
      <c r="AA707" s="112" t="b">
        <f t="shared" si="6"/>
        <v>0</v>
      </c>
      <c r="AB707" s="142" t="b">
        <v>0</v>
      </c>
      <c r="AC707" s="140">
        <v>116.0</v>
      </c>
      <c r="AD707" s="141" t="b">
        <v>0</v>
      </c>
      <c r="AE707" s="115">
        <f t="shared" si="7"/>
        <v>250.3166667</v>
      </c>
      <c r="AF707" s="116" t="b">
        <f t="shared" si="8"/>
        <v>0</v>
      </c>
      <c r="AG707" s="105" t="b">
        <f t="shared" si="9"/>
        <v>0</v>
      </c>
      <c r="AH707" s="140"/>
      <c r="AI707" s="140"/>
      <c r="AJ707" s="140"/>
      <c r="AK707" s="117" t="str">
        <f t="shared" si="10"/>
        <v>Negative</v>
      </c>
      <c r="AL707" s="142"/>
      <c r="AM707" s="112" t="s">
        <v>793</v>
      </c>
      <c r="AN707" s="112" t="s">
        <v>836</v>
      </c>
      <c r="AO707" s="112" t="str">
        <f>IFERROR(__xludf.DUMMYFUNCTION("IF($AG707, ""DELETED"",TRIM(JOIN("" "",D707:E707)))"),"")</f>
        <v/>
      </c>
      <c r="AP707" s="112" t="str">
        <f t="shared" ref="AP707:AQ707" si="732">IF($AG707, "DELETED", TRIM(CONCATENATE(F707,I707,U707)))</f>
        <v/>
      </c>
      <c r="AQ707" s="112" t="str">
        <f t="shared" si="732"/>
        <v/>
      </c>
      <c r="AR707" s="112" t="str">
        <f>IFERROR(__xludf.DUMMYFUNCTION("IF($AG707, ""DELETED"", TRIM(JOIN("" "",AP707,AQ707)))"),"")</f>
        <v/>
      </c>
      <c r="AS707" s="118"/>
      <c r="AT707" s="110" t="b">
        <f t="shared" si="12"/>
        <v>0</v>
      </c>
      <c r="AU707" s="110" t="str">
        <f t="shared" si="13"/>
        <v/>
      </c>
      <c r="AV707" s="110" t="str">
        <f t="shared" si="14"/>
        <v/>
      </c>
      <c r="AW707" s="110" t="str">
        <f t="shared" si="15"/>
        <v/>
      </c>
      <c r="AX707" s="119" t="str">
        <f t="shared" si="16"/>
        <v/>
      </c>
      <c r="AY707" s="120"/>
      <c r="AZ707" s="121"/>
      <c r="BA707" s="122" t="str">
        <f t="shared" si="17"/>
        <v/>
      </c>
      <c r="BB707" s="34"/>
      <c r="BC707" s="121"/>
      <c r="BD707" s="136"/>
      <c r="BE707" s="125" t="str">
        <f t="shared" si="18"/>
        <v/>
      </c>
      <c r="BF707" s="126" t="str">
        <f t="shared" si="19"/>
        <v>MA1272__44625_0.315925925925926</v>
      </c>
      <c r="BG707" s="127" t="str">
        <f t="shared" si="20"/>
        <v/>
      </c>
      <c r="BH707" s="137" t="s">
        <v>1942</v>
      </c>
      <c r="BI707" s="128" t="str">
        <f t="shared" si="21"/>
        <v>MA643</v>
      </c>
      <c r="BJ707" s="129" t="b">
        <f t="shared" si="22"/>
        <v>0</v>
      </c>
      <c r="BK707" s="128" t="str">
        <f t="shared" si="23"/>
        <v/>
      </c>
      <c r="BL707" s="121"/>
      <c r="BM707" s="5" t="str">
        <f t="shared" si="24"/>
        <v>MISSING</v>
      </c>
      <c r="BN707" s="120" t="b">
        <f t="shared" si="25"/>
        <v>0</v>
      </c>
      <c r="BO707" s="131" t="b">
        <f t="shared" si="26"/>
        <v>1</v>
      </c>
      <c r="BP707" s="121"/>
      <c r="BQ707" s="132" t="str">
        <f>VLOOKUP(A707,RAW_APS!A$3:O826,15,FALSE)</f>
        <v/>
      </c>
      <c r="BR707" s="120" t="b">
        <f t="shared" si="27"/>
        <v>1</v>
      </c>
      <c r="BS707" s="121"/>
      <c r="BT707" s="138" t="s">
        <v>244</v>
      </c>
      <c r="BU707" s="10" t="b">
        <f t="shared" si="28"/>
        <v>1</v>
      </c>
      <c r="BV707" s="120"/>
      <c r="BW707" s="120"/>
      <c r="BX707" s="120"/>
      <c r="BY707" s="120"/>
      <c r="BZ707" s="120"/>
      <c r="CA707" s="120"/>
      <c r="CB707" s="120"/>
      <c r="CC707" s="120"/>
    </row>
    <row r="708">
      <c r="A708" s="2" t="s">
        <v>1943</v>
      </c>
      <c r="B708" s="100">
        <v>44625.0</v>
      </c>
      <c r="C708" s="101">
        <v>0.3188888888888889</v>
      </c>
      <c r="D708" s="102"/>
      <c r="E708" s="102"/>
      <c r="F708" s="102"/>
      <c r="G708" s="102"/>
      <c r="H708" s="102"/>
      <c r="I708" s="103"/>
      <c r="J708" s="103"/>
      <c r="K708" s="2" t="s">
        <v>244</v>
      </c>
      <c r="L708" s="100">
        <v>44627.0</v>
      </c>
      <c r="M708" s="101">
        <v>0.47788194444444443</v>
      </c>
      <c r="P708" s="104" t="b">
        <f>IFNA(IF(VLOOKUP($A708,'Add from APT'!$AA$2:$AC826,3,FALSE)&gt;0,TRUE,FALSE),"ER - NOT IN APT")</f>
        <v>0</v>
      </c>
      <c r="Q708" s="105" t="str">
        <f>IF(ISLOGICAL(P708),IF(P708,"ER - REPS IN APT", IFNA(VLOOKUP($A708,RAW_APT!$A$3:$M826,7,FALSE),"ER - NOT IN APT")),P708)</f>
        <v>Result</v>
      </c>
      <c r="R708" s="106" t="b">
        <f t="shared" si="2"/>
        <v>1</v>
      </c>
      <c r="S708" s="107">
        <f t="shared" si="3"/>
        <v>1</v>
      </c>
      <c r="T708" s="143"/>
      <c r="U708" s="142"/>
      <c r="V708" s="142"/>
      <c r="W708" s="142"/>
      <c r="X708" s="110" t="b">
        <f t="shared" si="4"/>
        <v>0</v>
      </c>
      <c r="Y708" s="111" t="b">
        <v>0</v>
      </c>
      <c r="Z708" s="104" t="str">
        <f t="shared" si="5"/>
        <v/>
      </c>
      <c r="AA708" s="112" t="b">
        <f t="shared" si="6"/>
        <v>0</v>
      </c>
      <c r="AB708" s="142" t="b">
        <v>0</v>
      </c>
      <c r="AC708" s="140">
        <v>115.0</v>
      </c>
      <c r="AD708" s="141" t="b">
        <v>0</v>
      </c>
      <c r="AE708" s="115" t="str">
        <f t="shared" si="7"/>
        <v/>
      </c>
      <c r="AF708" s="116" t="b">
        <f t="shared" si="8"/>
        <v>0</v>
      </c>
      <c r="AG708" s="105" t="b">
        <f t="shared" si="9"/>
        <v>0</v>
      </c>
      <c r="AH708" s="140"/>
      <c r="AI708" s="140"/>
      <c r="AJ708" s="140"/>
      <c r="AK708" s="117" t="str">
        <f t="shared" si="10"/>
        <v>Negative</v>
      </c>
      <c r="AL708" s="142"/>
      <c r="AM708" s="112" t="s">
        <v>1294</v>
      </c>
      <c r="AN708" s="112" t="s">
        <v>1295</v>
      </c>
      <c r="AO708" s="112" t="str">
        <f>IFERROR(__xludf.DUMMYFUNCTION("IF($AG708, ""DELETED"",TRIM(JOIN("" "",D708:E708)))"),"")</f>
        <v/>
      </c>
      <c r="AP708" s="112" t="str">
        <f t="shared" ref="AP708:AQ708" si="733">IF($AG708, "DELETED", TRIM(CONCATENATE(F708,I708,U708)))</f>
        <v/>
      </c>
      <c r="AQ708" s="112" t="str">
        <f t="shared" si="733"/>
        <v/>
      </c>
      <c r="AR708" s="112" t="str">
        <f>IFERROR(__xludf.DUMMYFUNCTION("IF($AG708, ""DELETED"", TRIM(JOIN("" "",AP708,AQ708)))"),"")</f>
        <v/>
      </c>
      <c r="AS708" s="118"/>
      <c r="AT708" s="110" t="b">
        <f t="shared" si="12"/>
        <v>0</v>
      </c>
      <c r="AU708" s="110" t="str">
        <f t="shared" si="13"/>
        <v/>
      </c>
      <c r="AV708" s="110" t="str">
        <f t="shared" si="14"/>
        <v/>
      </c>
      <c r="AW708" s="110" t="str">
        <f t="shared" si="15"/>
        <v/>
      </c>
      <c r="AX708" s="119" t="str">
        <f t="shared" si="16"/>
        <v/>
      </c>
      <c r="AY708" s="120"/>
      <c r="AZ708" s="121"/>
      <c r="BA708" s="122" t="str">
        <f t="shared" si="17"/>
        <v/>
      </c>
      <c r="BB708" s="34"/>
      <c r="BC708" s="121"/>
      <c r="BD708" s="136"/>
      <c r="BE708" s="125" t="str">
        <f t="shared" si="18"/>
        <v/>
      </c>
      <c r="BF708" s="126" t="str">
        <f t="shared" si="19"/>
        <v>FM991__44625_0.318888888888889</v>
      </c>
      <c r="BG708" s="127" t="str">
        <f t="shared" si="20"/>
        <v/>
      </c>
      <c r="BH708" s="137" t="s">
        <v>1944</v>
      </c>
      <c r="BI708" s="128" t="str">
        <f t="shared" si="21"/>
        <v>MA644</v>
      </c>
      <c r="BJ708" s="129" t="b">
        <f t="shared" si="22"/>
        <v>0</v>
      </c>
      <c r="BK708" s="128" t="str">
        <f t="shared" si="23"/>
        <v/>
      </c>
      <c r="BL708" s="121"/>
      <c r="BM708" s="5" t="str">
        <f t="shared" si="24"/>
        <v>MISSING</v>
      </c>
      <c r="BN708" s="120" t="b">
        <f t="shared" si="25"/>
        <v>0</v>
      </c>
      <c r="BO708" s="131" t="b">
        <f t="shared" si="26"/>
        <v>1</v>
      </c>
      <c r="BP708" s="121"/>
      <c r="BQ708" s="132" t="str">
        <f>VLOOKUP(A708,RAW_APS!A$3:O826,15,FALSE)</f>
        <v/>
      </c>
      <c r="BR708" s="120" t="b">
        <f t="shared" si="27"/>
        <v>1</v>
      </c>
      <c r="BS708" s="121"/>
      <c r="BT708" s="138" t="s">
        <v>244</v>
      </c>
      <c r="BU708" s="10" t="b">
        <f t="shared" si="28"/>
        <v>1</v>
      </c>
      <c r="BV708" s="120"/>
      <c r="BW708" s="120"/>
      <c r="BX708" s="120"/>
      <c r="BY708" s="120"/>
      <c r="BZ708" s="120"/>
      <c r="CA708" s="120"/>
      <c r="CB708" s="120"/>
      <c r="CC708" s="120"/>
    </row>
    <row r="709">
      <c r="A709" s="2" t="s">
        <v>1945</v>
      </c>
      <c r="B709" s="100">
        <v>44625.0</v>
      </c>
      <c r="C709" s="101">
        <v>0.3190277777777778</v>
      </c>
      <c r="D709" s="102"/>
      <c r="E709" s="102"/>
      <c r="F709" s="102"/>
      <c r="G709" s="102"/>
      <c r="H709" s="102"/>
      <c r="I709" s="103"/>
      <c r="J709" s="103"/>
      <c r="K709" s="2" t="s">
        <v>244</v>
      </c>
      <c r="L709" s="100">
        <v>44625.0</v>
      </c>
      <c r="M709" s="101">
        <v>0.48975694444444445</v>
      </c>
      <c r="P709" s="104" t="b">
        <f>IFNA(IF(VLOOKUP($A709,'Add from APT'!$AA$2:$AC826,3,FALSE)&gt;0,TRUE,FALSE),"ER - NOT IN APT")</f>
        <v>0</v>
      </c>
      <c r="Q709" s="105" t="str">
        <f>IF(ISLOGICAL(P709),IF(P709,"ER - REPS IN APT", IFNA(VLOOKUP($A709,RAW_APT!$A$3:$M826,7,FALSE),"ER - NOT IN APT")),P709)</f>
        <v>Result</v>
      </c>
      <c r="R709" s="106" t="b">
        <f t="shared" si="2"/>
        <v>1</v>
      </c>
      <c r="S709" s="107">
        <f t="shared" si="3"/>
        <v>1</v>
      </c>
      <c r="T709" s="143"/>
      <c r="U709" s="142"/>
      <c r="V709" s="142"/>
      <c r="W709" s="142"/>
      <c r="X709" s="110" t="b">
        <f t="shared" si="4"/>
        <v>0</v>
      </c>
      <c r="Y709" s="111" t="b">
        <v>0</v>
      </c>
      <c r="Z709" s="104" t="str">
        <f t="shared" si="5"/>
        <v/>
      </c>
      <c r="AA709" s="112" t="b">
        <f t="shared" si="6"/>
        <v>0</v>
      </c>
      <c r="AB709" s="142" t="b">
        <v>0</v>
      </c>
      <c r="AC709" s="140">
        <v>114.0</v>
      </c>
      <c r="AD709" s="141" t="b">
        <v>0</v>
      </c>
      <c r="AE709" s="115">
        <f t="shared" si="7"/>
        <v>245.85</v>
      </c>
      <c r="AF709" s="116" t="b">
        <f t="shared" si="8"/>
        <v>0</v>
      </c>
      <c r="AG709" s="105" t="b">
        <f t="shared" si="9"/>
        <v>0</v>
      </c>
      <c r="AH709" s="140"/>
      <c r="AI709" s="140"/>
      <c r="AJ709" s="140"/>
      <c r="AK709" s="117" t="str">
        <f t="shared" si="10"/>
        <v>Negative</v>
      </c>
      <c r="AL709" s="142"/>
      <c r="AM709" s="112" t="s">
        <v>587</v>
      </c>
      <c r="AN709" s="112" t="s">
        <v>588</v>
      </c>
      <c r="AO709" s="112" t="str">
        <f>IFERROR(__xludf.DUMMYFUNCTION("IF($AG709, ""DELETED"",TRIM(JOIN("" "",D709:E709)))"),"")</f>
        <v/>
      </c>
      <c r="AP709" s="112" t="str">
        <f t="shared" ref="AP709:AQ709" si="734">IF($AG709, "DELETED", TRIM(CONCATENATE(F709,I709,U709)))</f>
        <v/>
      </c>
      <c r="AQ709" s="112" t="str">
        <f t="shared" si="734"/>
        <v/>
      </c>
      <c r="AR709" s="112" t="str">
        <f>IFERROR(__xludf.DUMMYFUNCTION("IF($AG709, ""DELETED"", TRIM(JOIN("" "",AP709,AQ709)))"),"")</f>
        <v/>
      </c>
      <c r="AS709" s="118"/>
      <c r="AT709" s="110" t="b">
        <f t="shared" si="12"/>
        <v>0</v>
      </c>
      <c r="AU709" s="110" t="str">
        <f t="shared" si="13"/>
        <v/>
      </c>
      <c r="AV709" s="110" t="str">
        <f t="shared" si="14"/>
        <v/>
      </c>
      <c r="AW709" s="110" t="str">
        <f t="shared" si="15"/>
        <v/>
      </c>
      <c r="AX709" s="119" t="str">
        <f t="shared" si="16"/>
        <v/>
      </c>
      <c r="AY709" s="120"/>
      <c r="AZ709" s="121"/>
      <c r="BA709" s="122" t="str">
        <f t="shared" si="17"/>
        <v/>
      </c>
      <c r="BB709" s="34"/>
      <c r="BC709" s="121"/>
      <c r="BD709" s="136"/>
      <c r="BE709" s="125" t="str">
        <f t="shared" si="18"/>
        <v/>
      </c>
      <c r="BF709" s="126" t="str">
        <f t="shared" si="19"/>
        <v>FM446__44625_0.319027777777778</v>
      </c>
      <c r="BG709" s="127" t="str">
        <f t="shared" si="20"/>
        <v/>
      </c>
      <c r="BH709" s="137" t="s">
        <v>1946</v>
      </c>
      <c r="BI709" s="128" t="str">
        <f t="shared" si="21"/>
        <v>MA645</v>
      </c>
      <c r="BJ709" s="129" t="b">
        <f t="shared" si="22"/>
        <v>0</v>
      </c>
      <c r="BK709" s="128" t="str">
        <f t="shared" si="23"/>
        <v/>
      </c>
      <c r="BL709" s="121"/>
      <c r="BM709" s="5" t="str">
        <f t="shared" si="24"/>
        <v>MISSING</v>
      </c>
      <c r="BN709" s="120" t="b">
        <f t="shared" si="25"/>
        <v>0</v>
      </c>
      <c r="BO709" s="131" t="b">
        <f t="shared" si="26"/>
        <v>1</v>
      </c>
      <c r="BP709" s="121"/>
      <c r="BQ709" s="132" t="str">
        <f>VLOOKUP(A709,RAW_APS!A$3:O826,15,FALSE)</f>
        <v/>
      </c>
      <c r="BR709" s="120" t="b">
        <f t="shared" si="27"/>
        <v>1</v>
      </c>
      <c r="BS709" s="121"/>
      <c r="BT709" s="138" t="s">
        <v>244</v>
      </c>
      <c r="BU709" s="10" t="b">
        <f t="shared" si="28"/>
        <v>1</v>
      </c>
      <c r="BV709" s="120"/>
      <c r="BW709" s="120"/>
      <c r="BX709" s="120"/>
      <c r="BY709" s="120"/>
      <c r="BZ709" s="120"/>
      <c r="CA709" s="120"/>
      <c r="CB709" s="120"/>
      <c r="CC709" s="120"/>
    </row>
    <row r="710">
      <c r="A710" s="2" t="s">
        <v>1947</v>
      </c>
      <c r="B710" s="100">
        <v>44625.0</v>
      </c>
      <c r="C710" s="101">
        <v>0.3232175925925926</v>
      </c>
      <c r="D710" s="102"/>
      <c r="E710" s="102"/>
      <c r="F710" s="102"/>
      <c r="G710" s="102"/>
      <c r="H710" s="102"/>
      <c r="I710" s="103"/>
      <c r="J710" s="103"/>
      <c r="K710" s="2" t="s">
        <v>244</v>
      </c>
      <c r="L710" s="100">
        <v>44625.0</v>
      </c>
      <c r="M710" s="101">
        <v>0.48997685185185186</v>
      </c>
      <c r="P710" s="104" t="b">
        <f>IFNA(IF(VLOOKUP($A710,'Add from APT'!$AA$2:$AC826,3,FALSE)&gt;0,TRUE,FALSE),"ER - NOT IN APT")</f>
        <v>0</v>
      </c>
      <c r="Q710" s="105" t="str">
        <f>IF(ISLOGICAL(P710),IF(P710,"ER - REPS IN APT", IFNA(VLOOKUP($A710,RAW_APT!$A$3:$M826,7,FALSE),"ER - NOT IN APT")),P710)</f>
        <v>Result</v>
      </c>
      <c r="R710" s="106" t="b">
        <f t="shared" si="2"/>
        <v>1</v>
      </c>
      <c r="S710" s="107">
        <f t="shared" si="3"/>
        <v>1</v>
      </c>
      <c r="T710" s="143"/>
      <c r="U710" s="142"/>
      <c r="V710" s="142"/>
      <c r="W710" s="142"/>
      <c r="X710" s="110" t="b">
        <f t="shared" si="4"/>
        <v>0</v>
      </c>
      <c r="Y710" s="111" t="b">
        <v>0</v>
      </c>
      <c r="Z710" s="104" t="str">
        <f t="shared" si="5"/>
        <v/>
      </c>
      <c r="AA710" s="112" t="b">
        <f t="shared" si="6"/>
        <v>0</v>
      </c>
      <c r="AB710" s="142" t="b">
        <v>0</v>
      </c>
      <c r="AC710" s="140">
        <v>113.0</v>
      </c>
      <c r="AD710" s="141" t="b">
        <v>0</v>
      </c>
      <c r="AE710" s="115">
        <f t="shared" si="7"/>
        <v>240.1333333</v>
      </c>
      <c r="AF710" s="116" t="b">
        <f t="shared" si="8"/>
        <v>0</v>
      </c>
      <c r="AG710" s="105" t="b">
        <f t="shared" si="9"/>
        <v>0</v>
      </c>
      <c r="AH710" s="140"/>
      <c r="AI710" s="140"/>
      <c r="AJ710" s="140"/>
      <c r="AK710" s="117" t="str">
        <f t="shared" si="10"/>
        <v>Negative</v>
      </c>
      <c r="AL710" s="142"/>
      <c r="AM710" s="112" t="s">
        <v>1516</v>
      </c>
      <c r="AN710" s="112" t="s">
        <v>1517</v>
      </c>
      <c r="AO710" s="112" t="str">
        <f>IFERROR(__xludf.DUMMYFUNCTION("IF($AG710, ""DELETED"",TRIM(JOIN("" "",D710:E710)))"),"")</f>
        <v/>
      </c>
      <c r="AP710" s="112" t="str">
        <f t="shared" ref="AP710:AQ710" si="735">IF($AG710, "DELETED", TRIM(CONCATENATE(F710,I710,U710)))</f>
        <v/>
      </c>
      <c r="AQ710" s="112" t="str">
        <f t="shared" si="735"/>
        <v/>
      </c>
      <c r="AR710" s="112" t="str">
        <f>IFERROR(__xludf.DUMMYFUNCTION("IF($AG710, ""DELETED"", TRIM(JOIN("" "",AP710,AQ710)))"),"")</f>
        <v/>
      </c>
      <c r="AS710" s="118"/>
      <c r="AT710" s="110" t="b">
        <f t="shared" si="12"/>
        <v>0</v>
      </c>
      <c r="AU710" s="110" t="str">
        <f t="shared" si="13"/>
        <v/>
      </c>
      <c r="AV710" s="110" t="str">
        <f t="shared" si="14"/>
        <v/>
      </c>
      <c r="AW710" s="110" t="str">
        <f t="shared" si="15"/>
        <v/>
      </c>
      <c r="AX710" s="119" t="str">
        <f t="shared" si="16"/>
        <v/>
      </c>
      <c r="AY710" s="120"/>
      <c r="AZ710" s="121"/>
      <c r="BA710" s="122" t="str">
        <f t="shared" si="17"/>
        <v/>
      </c>
      <c r="BB710" s="34"/>
      <c r="BC710" s="121"/>
      <c r="BD710" s="136"/>
      <c r="BE710" s="125" t="str">
        <f t="shared" si="18"/>
        <v/>
      </c>
      <c r="BF710" s="126" t="str">
        <f t="shared" si="19"/>
        <v>FM2045__44625_0.323217592592593</v>
      </c>
      <c r="BG710" s="127" t="str">
        <f t="shared" si="20"/>
        <v/>
      </c>
      <c r="BH710" s="137" t="s">
        <v>1948</v>
      </c>
      <c r="BI710" s="128" t="str">
        <f t="shared" si="21"/>
        <v>MA647</v>
      </c>
      <c r="BJ710" s="129" t="b">
        <f t="shared" si="22"/>
        <v>0</v>
      </c>
      <c r="BK710" s="128" t="str">
        <f t="shared" si="23"/>
        <v/>
      </c>
      <c r="BL710" s="121"/>
      <c r="BM710" s="5" t="str">
        <f t="shared" si="24"/>
        <v>MISSING</v>
      </c>
      <c r="BN710" s="120" t="b">
        <f t="shared" si="25"/>
        <v>0</v>
      </c>
      <c r="BO710" s="131" t="b">
        <f t="shared" si="26"/>
        <v>1</v>
      </c>
      <c r="BP710" s="121"/>
      <c r="BQ710" s="132" t="str">
        <f>VLOOKUP(A710,RAW_APS!A$3:O826,15,FALSE)</f>
        <v/>
      </c>
      <c r="BR710" s="120" t="b">
        <f t="shared" si="27"/>
        <v>1</v>
      </c>
      <c r="BS710" s="121"/>
      <c r="BT710" s="138" t="s">
        <v>244</v>
      </c>
      <c r="BU710" s="10" t="b">
        <f t="shared" si="28"/>
        <v>1</v>
      </c>
      <c r="BV710" s="120"/>
      <c r="BW710" s="120"/>
      <c r="BX710" s="120"/>
      <c r="BY710" s="120"/>
      <c r="BZ710" s="120"/>
      <c r="CA710" s="120"/>
      <c r="CB710" s="120"/>
      <c r="CC710" s="120"/>
    </row>
    <row r="711">
      <c r="A711" s="2" t="s">
        <v>1949</v>
      </c>
      <c r="B711" s="100">
        <v>44625.0</v>
      </c>
      <c r="C711" s="101">
        <v>0.33188657407407407</v>
      </c>
      <c r="D711" s="102"/>
      <c r="E711" s="102"/>
      <c r="F711" s="102"/>
      <c r="G711" s="102"/>
      <c r="H711" s="102"/>
      <c r="I711" s="103"/>
      <c r="J711" s="103"/>
      <c r="K711" s="2" t="s">
        <v>244</v>
      </c>
      <c r="L711" s="100">
        <v>44625.0</v>
      </c>
      <c r="M711" s="101">
        <v>0.48975694444444445</v>
      </c>
      <c r="P711" s="104" t="b">
        <f>IFNA(IF(VLOOKUP($A711,'Add from APT'!$AA$2:$AC826,3,FALSE)&gt;0,TRUE,FALSE),"ER - NOT IN APT")</f>
        <v>0</v>
      </c>
      <c r="Q711" s="105" t="str">
        <f>IF(ISLOGICAL(P711),IF(P711,"ER - REPS IN APT", IFNA(VLOOKUP($A711,RAW_APT!$A$3:$M826,7,FALSE),"ER - NOT IN APT")),P711)</f>
        <v>Result</v>
      </c>
      <c r="R711" s="106" t="b">
        <f t="shared" si="2"/>
        <v>1</v>
      </c>
      <c r="S711" s="107">
        <f t="shared" si="3"/>
        <v>1</v>
      </c>
      <c r="T711" s="143"/>
      <c r="U711" s="142"/>
      <c r="V711" s="142"/>
      <c r="W711" s="142"/>
      <c r="X711" s="110" t="b">
        <f t="shared" si="4"/>
        <v>0</v>
      </c>
      <c r="Y711" s="111" t="b">
        <v>0</v>
      </c>
      <c r="Z711" s="104" t="str">
        <f t="shared" si="5"/>
        <v/>
      </c>
      <c r="AA711" s="112" t="b">
        <f t="shared" si="6"/>
        <v>0</v>
      </c>
      <c r="AB711" s="142" t="b">
        <v>0</v>
      </c>
      <c r="AC711" s="140">
        <v>112.0</v>
      </c>
      <c r="AD711" s="141" t="b">
        <v>0</v>
      </c>
      <c r="AE711" s="115">
        <f t="shared" si="7"/>
        <v>227.3333333</v>
      </c>
      <c r="AF711" s="116" t="b">
        <f t="shared" si="8"/>
        <v>0</v>
      </c>
      <c r="AG711" s="105" t="b">
        <f t="shared" si="9"/>
        <v>0</v>
      </c>
      <c r="AH711" s="140"/>
      <c r="AI711" s="140"/>
      <c r="AJ711" s="140"/>
      <c r="AK711" s="117" t="str">
        <f t="shared" si="10"/>
        <v>Negative</v>
      </c>
      <c r="AL711" s="142"/>
      <c r="AM711" s="112" t="s">
        <v>257</v>
      </c>
      <c r="AN711" s="112" t="s">
        <v>406</v>
      </c>
      <c r="AO711" s="112" t="str">
        <f>IFERROR(__xludf.DUMMYFUNCTION("IF($AG711, ""DELETED"",TRIM(JOIN("" "",D711:E711)))"),"")</f>
        <v/>
      </c>
      <c r="AP711" s="112" t="str">
        <f t="shared" ref="AP711:AQ711" si="736">IF($AG711, "DELETED", TRIM(CONCATENATE(F711,I711,U711)))</f>
        <v/>
      </c>
      <c r="AQ711" s="112" t="str">
        <f t="shared" si="736"/>
        <v/>
      </c>
      <c r="AR711" s="112" t="str">
        <f>IFERROR(__xludf.DUMMYFUNCTION("IF($AG711, ""DELETED"", TRIM(JOIN("" "",AP711,AQ711)))"),"")</f>
        <v/>
      </c>
      <c r="AS711" s="118"/>
      <c r="AT711" s="110" t="b">
        <f t="shared" si="12"/>
        <v>0</v>
      </c>
      <c r="AU711" s="110" t="str">
        <f t="shared" si="13"/>
        <v/>
      </c>
      <c r="AV711" s="110" t="str">
        <f t="shared" si="14"/>
        <v/>
      </c>
      <c r="AW711" s="110" t="str">
        <f t="shared" si="15"/>
        <v/>
      </c>
      <c r="AX711" s="119" t="str">
        <f t="shared" si="16"/>
        <v/>
      </c>
      <c r="AY711" s="120"/>
      <c r="AZ711" s="121"/>
      <c r="BA711" s="122" t="str">
        <f t="shared" si="17"/>
        <v/>
      </c>
      <c r="BB711" s="34"/>
      <c r="BC711" s="121"/>
      <c r="BD711" s="136"/>
      <c r="BE711" s="125" t="str">
        <f t="shared" si="18"/>
        <v/>
      </c>
      <c r="BF711" s="126" t="str">
        <f t="shared" si="19"/>
        <v>MA403__44625_0.331886574074074</v>
      </c>
      <c r="BG711" s="127" t="str">
        <f t="shared" si="20"/>
        <v/>
      </c>
      <c r="BH711" s="137" t="s">
        <v>1950</v>
      </c>
      <c r="BI711" s="128" t="str">
        <f t="shared" si="21"/>
        <v>MA648</v>
      </c>
      <c r="BJ711" s="129" t="str">
        <f>IFERROR(AND(EXACT(#REF!,BI711),NOT(EXACT(BI711,BI710))),"")</f>
        <v/>
      </c>
      <c r="BK711" s="128" t="str">
        <f t="shared" si="23"/>
        <v/>
      </c>
      <c r="BL711" s="121"/>
      <c r="BM711" s="5" t="str">
        <f t="shared" si="24"/>
        <v>MISSING</v>
      </c>
      <c r="BN711" s="120" t="b">
        <f t="shared" si="25"/>
        <v>0</v>
      </c>
      <c r="BO711" s="131" t="b">
        <f t="shared" si="26"/>
        <v>1</v>
      </c>
      <c r="BP711" s="121"/>
      <c r="BQ711" s="132" t="str">
        <f>VLOOKUP(A711,RAW_APS!A$3:O826,15,FALSE)</f>
        <v/>
      </c>
      <c r="BR711" s="120" t="b">
        <f t="shared" si="27"/>
        <v>1</v>
      </c>
      <c r="BS711" s="121"/>
      <c r="BT711" s="138" t="s">
        <v>244</v>
      </c>
      <c r="BU711" s="10" t="b">
        <f t="shared" si="28"/>
        <v>1</v>
      </c>
      <c r="BV711" s="120"/>
      <c r="BW711" s="120"/>
      <c r="BX711" s="120"/>
      <c r="BY711" s="120"/>
      <c r="BZ711" s="120"/>
      <c r="CA711" s="120"/>
      <c r="CB711" s="120"/>
      <c r="CC711" s="120"/>
    </row>
    <row r="712">
      <c r="A712" s="2" t="s">
        <v>1951</v>
      </c>
      <c r="B712" s="100">
        <v>44625.0</v>
      </c>
      <c r="C712" s="101">
        <v>0.3324884259259259</v>
      </c>
      <c r="D712" s="102"/>
      <c r="E712" s="102"/>
      <c r="F712" s="102"/>
      <c r="G712" s="102"/>
      <c r="H712" s="102"/>
      <c r="I712" s="103"/>
      <c r="J712" s="103"/>
      <c r="K712" s="2" t="s">
        <v>244</v>
      </c>
      <c r="L712" s="100">
        <v>44625.0</v>
      </c>
      <c r="M712" s="101">
        <v>0.48975694444444445</v>
      </c>
      <c r="P712" s="104" t="b">
        <f>IFNA(IF(VLOOKUP($A712,'Add from APT'!$AA$2:$AC826,3,FALSE)&gt;0,TRUE,FALSE),"ER - NOT IN APT")</f>
        <v>0</v>
      </c>
      <c r="Q712" s="105" t="str">
        <f>IF(ISLOGICAL(P712),IF(P712,"ER - REPS IN APT", IFNA(VLOOKUP($A712,RAW_APT!$A$3:$M826,7,FALSE),"ER - NOT IN APT")),P712)</f>
        <v>Result</v>
      </c>
      <c r="R712" s="106" t="b">
        <f t="shared" si="2"/>
        <v>1</v>
      </c>
      <c r="S712" s="107">
        <f t="shared" si="3"/>
        <v>1</v>
      </c>
      <c r="T712" s="143"/>
      <c r="U712" s="142"/>
      <c r="V712" s="142"/>
      <c r="W712" s="142"/>
      <c r="X712" s="110" t="b">
        <f t="shared" si="4"/>
        <v>0</v>
      </c>
      <c r="Y712" s="111" t="b">
        <v>0</v>
      </c>
      <c r="Z712" s="104" t="str">
        <f t="shared" si="5"/>
        <v/>
      </c>
      <c r="AA712" s="112" t="b">
        <f t="shared" si="6"/>
        <v>0</v>
      </c>
      <c r="AB712" s="142" t="b">
        <v>0</v>
      </c>
      <c r="AC712" s="140">
        <v>111.0</v>
      </c>
      <c r="AD712" s="141" t="b">
        <v>0</v>
      </c>
      <c r="AE712" s="115">
        <f t="shared" si="7"/>
        <v>226.4666667</v>
      </c>
      <c r="AF712" s="116" t="b">
        <f t="shared" si="8"/>
        <v>0</v>
      </c>
      <c r="AG712" s="105" t="b">
        <f t="shared" si="9"/>
        <v>0</v>
      </c>
      <c r="AH712" s="140"/>
      <c r="AI712" s="140"/>
      <c r="AJ712" s="140"/>
      <c r="AK712" s="117" t="str">
        <f t="shared" si="10"/>
        <v>Negative</v>
      </c>
      <c r="AL712" s="142"/>
      <c r="AM712" s="112" t="s">
        <v>1638</v>
      </c>
      <c r="AN712" s="112" t="s">
        <v>1639</v>
      </c>
      <c r="AO712" s="112" t="str">
        <f>IFERROR(__xludf.DUMMYFUNCTION("IF($AG712, ""DELETED"",TRIM(JOIN("" "",D712:E712)))"),"")</f>
        <v/>
      </c>
      <c r="AP712" s="112" t="str">
        <f t="shared" ref="AP712:AQ712" si="737">IF($AG712, "DELETED", TRIM(CONCATENATE(F712,I712,U712)))</f>
        <v/>
      </c>
      <c r="AQ712" s="112" t="str">
        <f t="shared" si="737"/>
        <v/>
      </c>
      <c r="AR712" s="112" t="str">
        <f>IFERROR(__xludf.DUMMYFUNCTION("IF($AG712, ""DELETED"", TRIM(JOIN("" "",AP712,AQ712)))"),"")</f>
        <v/>
      </c>
      <c r="AS712" s="118"/>
      <c r="AT712" s="110" t="b">
        <f t="shared" si="12"/>
        <v>0</v>
      </c>
      <c r="AU712" s="110" t="str">
        <f t="shared" si="13"/>
        <v/>
      </c>
      <c r="AV712" s="110" t="str">
        <f t="shared" si="14"/>
        <v/>
      </c>
      <c r="AW712" s="110" t="str">
        <f t="shared" si="15"/>
        <v/>
      </c>
      <c r="AX712" s="119" t="str">
        <f t="shared" si="16"/>
        <v/>
      </c>
      <c r="AY712" s="120"/>
      <c r="AZ712" s="121"/>
      <c r="BA712" s="122" t="str">
        <f t="shared" si="17"/>
        <v/>
      </c>
      <c r="BB712" s="34"/>
      <c r="BC712" s="121"/>
      <c r="BD712" s="136"/>
      <c r="BE712" s="125" t="str">
        <f t="shared" si="18"/>
        <v/>
      </c>
      <c r="BF712" s="126" t="str">
        <f t="shared" si="19"/>
        <v>FM470__44625_0.332488425925926</v>
      </c>
      <c r="BG712" s="127" t="str">
        <f t="shared" si="20"/>
        <v/>
      </c>
      <c r="BH712" s="137" t="s">
        <v>1952</v>
      </c>
      <c r="BI712" s="128" t="str">
        <f t="shared" si="21"/>
        <v>MA649</v>
      </c>
      <c r="BJ712" s="129" t="str">
        <f>IFERROR(AND(EXACT(BI713,BI712),NOT(EXACT(BI712,#REF!))),"")</f>
        <v/>
      </c>
      <c r="BK712" s="128" t="str">
        <f t="shared" si="23"/>
        <v/>
      </c>
      <c r="BL712" s="121"/>
      <c r="BM712" s="5" t="str">
        <f t="shared" si="24"/>
        <v>MISSING</v>
      </c>
      <c r="BN712" s="120" t="b">
        <f t="shared" si="25"/>
        <v>0</v>
      </c>
      <c r="BO712" s="131" t="b">
        <f t="shared" si="26"/>
        <v>1</v>
      </c>
      <c r="BP712" s="121"/>
      <c r="BQ712" s="132" t="str">
        <f>VLOOKUP(A712,RAW_APS!A$3:O826,15,FALSE)</f>
        <v/>
      </c>
      <c r="BR712" s="120" t="b">
        <f t="shared" si="27"/>
        <v>1</v>
      </c>
      <c r="BS712" s="121"/>
      <c r="BT712" s="138" t="s">
        <v>244</v>
      </c>
      <c r="BU712" s="10" t="b">
        <f t="shared" si="28"/>
        <v>1</v>
      </c>
      <c r="BV712" s="120"/>
      <c r="BW712" s="120"/>
      <c r="BX712" s="120"/>
      <c r="BY712" s="120"/>
      <c r="BZ712" s="120"/>
      <c r="CA712" s="120"/>
      <c r="CB712" s="120"/>
      <c r="CC712" s="120"/>
    </row>
    <row r="713">
      <c r="A713" s="2" t="s">
        <v>1953</v>
      </c>
      <c r="B713" s="100">
        <v>44625.0</v>
      </c>
      <c r="C713" s="101">
        <v>0.3350462962962963</v>
      </c>
      <c r="D713" s="102"/>
      <c r="E713" s="102"/>
      <c r="F713" s="102"/>
      <c r="G713" s="102"/>
      <c r="H713" s="102"/>
      <c r="I713" s="103"/>
      <c r="J713" s="103"/>
      <c r="K713" s="2" t="s">
        <v>244</v>
      </c>
      <c r="L713" s="100">
        <v>44625.0</v>
      </c>
      <c r="M713" s="101">
        <v>0.48975694444444445</v>
      </c>
      <c r="P713" s="104" t="b">
        <f>IFNA(IF(VLOOKUP($A713,'Add from APT'!$AA$2:$AC826,3,FALSE)&gt;0,TRUE,FALSE),"ER - NOT IN APT")</f>
        <v>0</v>
      </c>
      <c r="Q713" s="105" t="str">
        <f>IF(ISLOGICAL(P713),IF(P713,"ER - REPS IN APT", IFNA(VLOOKUP($A713,RAW_APT!$A$3:$M826,7,FALSE),"ER - NOT IN APT")),P713)</f>
        <v>Result</v>
      </c>
      <c r="R713" s="106" t="b">
        <f t="shared" si="2"/>
        <v>1</v>
      </c>
      <c r="S713" s="107">
        <f t="shared" si="3"/>
        <v>1</v>
      </c>
      <c r="T713" s="143"/>
      <c r="U713" s="142"/>
      <c r="V713" s="142"/>
      <c r="W713" s="142"/>
      <c r="X713" s="110" t="b">
        <f t="shared" si="4"/>
        <v>0</v>
      </c>
      <c r="Y713" s="111" t="b">
        <v>0</v>
      </c>
      <c r="Z713" s="104" t="str">
        <f t="shared" si="5"/>
        <v/>
      </c>
      <c r="AA713" s="112" t="b">
        <f t="shared" si="6"/>
        <v>0</v>
      </c>
      <c r="AB713" s="142" t="b">
        <v>0</v>
      </c>
      <c r="AC713" s="140">
        <v>110.0</v>
      </c>
      <c r="AD713" s="141" t="b">
        <v>0</v>
      </c>
      <c r="AE713" s="115">
        <f t="shared" si="7"/>
        <v>222.7833333</v>
      </c>
      <c r="AF713" s="116" t="b">
        <f t="shared" si="8"/>
        <v>0</v>
      </c>
      <c r="AG713" s="105" t="b">
        <f t="shared" si="9"/>
        <v>0</v>
      </c>
      <c r="AH713" s="140"/>
      <c r="AI713" s="140"/>
      <c r="AJ713" s="140"/>
      <c r="AK713" s="117" t="str">
        <f t="shared" si="10"/>
        <v>Negative</v>
      </c>
      <c r="AL713" s="142"/>
      <c r="AM713" s="112" t="s">
        <v>850</v>
      </c>
      <c r="AN713" s="112" t="s">
        <v>851</v>
      </c>
      <c r="AO713" s="112" t="str">
        <f>IFERROR(__xludf.DUMMYFUNCTION("IF($AG713, ""DELETED"",TRIM(JOIN("" "",D713:E713)))"),"")</f>
        <v/>
      </c>
      <c r="AP713" s="112" t="str">
        <f t="shared" ref="AP713:AQ713" si="738">IF($AG713, "DELETED", TRIM(CONCATENATE(F713,I713,U713)))</f>
        <v/>
      </c>
      <c r="AQ713" s="112" t="str">
        <f t="shared" si="738"/>
        <v/>
      </c>
      <c r="AR713" s="112" t="str">
        <f>IFERROR(__xludf.DUMMYFUNCTION("IF($AG713, ""DELETED"", TRIM(JOIN("" "",AP713,AQ713)))"),"")</f>
        <v/>
      </c>
      <c r="AS713" s="118"/>
      <c r="AT713" s="110" t="b">
        <f t="shared" si="12"/>
        <v>0</v>
      </c>
      <c r="AU713" s="110" t="str">
        <f t="shared" si="13"/>
        <v/>
      </c>
      <c r="AV713" s="110" t="str">
        <f t="shared" si="14"/>
        <v/>
      </c>
      <c r="AW713" s="110" t="str">
        <f t="shared" si="15"/>
        <v/>
      </c>
      <c r="AX713" s="119" t="str">
        <f t="shared" si="16"/>
        <v/>
      </c>
      <c r="AY713" s="120"/>
      <c r="AZ713" s="121"/>
      <c r="BA713" s="122" t="str">
        <f t="shared" si="17"/>
        <v/>
      </c>
      <c r="BB713" s="34"/>
      <c r="BC713" s="121"/>
      <c r="BD713" s="136"/>
      <c r="BE713" s="125" t="str">
        <f t="shared" si="18"/>
        <v/>
      </c>
      <c r="BF713" s="126" t="str">
        <f t="shared" si="19"/>
        <v>FM337__44625_0.335046296296296</v>
      </c>
      <c r="BG713" s="127" t="str">
        <f t="shared" si="20"/>
        <v/>
      </c>
      <c r="BH713" s="137" t="s">
        <v>1954</v>
      </c>
      <c r="BI713" s="128" t="str">
        <f t="shared" si="21"/>
        <v>MA650</v>
      </c>
      <c r="BJ713" s="129" t="b">
        <f t="shared" ref="BJ713:BJ826" si="740">IFERROR(AND(EXACT(BI714,BI713),NOT(EXACT(BI713,BI712))),"")</f>
        <v>0</v>
      </c>
      <c r="BK713" s="128" t="str">
        <f t="shared" si="23"/>
        <v/>
      </c>
      <c r="BL713" s="121"/>
      <c r="BM713" s="5" t="str">
        <f t="shared" si="24"/>
        <v>MISSING</v>
      </c>
      <c r="BN713" s="120" t="b">
        <f t="shared" si="25"/>
        <v>0</v>
      </c>
      <c r="BO713" s="131" t="b">
        <f t="shared" si="26"/>
        <v>1</v>
      </c>
      <c r="BP713" s="121"/>
      <c r="BQ713" s="132" t="str">
        <f>VLOOKUP(A713,RAW_APS!A$3:O826,15,FALSE)</f>
        <v/>
      </c>
      <c r="BR713" s="120" t="b">
        <f t="shared" si="27"/>
        <v>1</v>
      </c>
      <c r="BS713" s="121"/>
      <c r="BT713" s="138" t="s">
        <v>244</v>
      </c>
      <c r="BU713" s="10" t="b">
        <f t="shared" si="28"/>
        <v>1</v>
      </c>
      <c r="BV713" s="120"/>
      <c r="BW713" s="120"/>
      <c r="BX713" s="120"/>
      <c r="BY713" s="120"/>
      <c r="BZ713" s="120"/>
      <c r="CA713" s="120"/>
      <c r="CB713" s="120"/>
      <c r="CC713" s="120"/>
    </row>
    <row r="714">
      <c r="A714" s="2" t="s">
        <v>1955</v>
      </c>
      <c r="B714" s="100">
        <v>44625.0</v>
      </c>
      <c r="C714" s="101">
        <v>0.3416666666666667</v>
      </c>
      <c r="D714" s="102"/>
      <c r="E714" s="102"/>
      <c r="F714" s="102"/>
      <c r="G714" s="102"/>
      <c r="H714" s="102"/>
      <c r="I714" s="103"/>
      <c r="J714" s="103"/>
      <c r="K714" s="2" t="s">
        <v>244</v>
      </c>
      <c r="L714" s="100">
        <v>44625.0</v>
      </c>
      <c r="M714" s="101">
        <v>0.48975694444444445</v>
      </c>
      <c r="P714" s="104" t="b">
        <f>IFNA(IF(VLOOKUP($A714,'Add from APT'!$AA$2:$AC826,3,FALSE)&gt;0,TRUE,FALSE),"ER - NOT IN APT")</f>
        <v>0</v>
      </c>
      <c r="Q714" s="105" t="str">
        <f>IF(ISLOGICAL(P714),IF(P714,"ER - REPS IN APT", IFNA(VLOOKUP($A714,RAW_APT!$A$3:$M826,7,FALSE),"ER - NOT IN APT")),P714)</f>
        <v>Result</v>
      </c>
      <c r="R714" s="106" t="b">
        <f t="shared" si="2"/>
        <v>1</v>
      </c>
      <c r="S714" s="107">
        <f t="shared" si="3"/>
        <v>1</v>
      </c>
      <c r="T714" s="143"/>
      <c r="U714" s="142"/>
      <c r="V714" s="142"/>
      <c r="W714" s="142"/>
      <c r="X714" s="110" t="b">
        <f t="shared" si="4"/>
        <v>0</v>
      </c>
      <c r="Y714" s="111" t="b">
        <v>0</v>
      </c>
      <c r="Z714" s="104" t="str">
        <f t="shared" si="5"/>
        <v/>
      </c>
      <c r="AA714" s="112" t="b">
        <f t="shared" si="6"/>
        <v>0</v>
      </c>
      <c r="AB714" s="142" t="b">
        <v>0</v>
      </c>
      <c r="AC714" s="140">
        <v>109.0</v>
      </c>
      <c r="AD714" s="141" t="b">
        <v>0</v>
      </c>
      <c r="AE714" s="115">
        <f t="shared" si="7"/>
        <v>213.25</v>
      </c>
      <c r="AF714" s="116" t="b">
        <f t="shared" si="8"/>
        <v>0</v>
      </c>
      <c r="AG714" s="105" t="b">
        <f t="shared" si="9"/>
        <v>0</v>
      </c>
      <c r="AH714" s="140"/>
      <c r="AI714" s="140"/>
      <c r="AJ714" s="140"/>
      <c r="AK714" s="117" t="str">
        <f t="shared" si="10"/>
        <v>Negative</v>
      </c>
      <c r="AL714" s="142"/>
      <c r="AM714" s="112" t="s">
        <v>1473</v>
      </c>
      <c r="AN714" s="112" t="s">
        <v>1474</v>
      </c>
      <c r="AO714" s="112" t="str">
        <f>IFERROR(__xludf.DUMMYFUNCTION("IF($AG714, ""DELETED"",TRIM(JOIN("" "",D714:E714)))"),"")</f>
        <v/>
      </c>
      <c r="AP714" s="112" t="str">
        <f t="shared" ref="AP714:AQ714" si="739">IF($AG714, "DELETED", TRIM(CONCATENATE(F714,I714,U714)))</f>
        <v/>
      </c>
      <c r="AQ714" s="112" t="str">
        <f t="shared" si="739"/>
        <v/>
      </c>
      <c r="AR714" s="112" t="str">
        <f>IFERROR(__xludf.DUMMYFUNCTION("IF($AG714, ""DELETED"", TRIM(JOIN("" "",AP714,AQ714)))"),"")</f>
        <v/>
      </c>
      <c r="AS714" s="118"/>
      <c r="AT714" s="110" t="b">
        <f t="shared" si="12"/>
        <v>0</v>
      </c>
      <c r="AU714" s="110" t="str">
        <f t="shared" si="13"/>
        <v/>
      </c>
      <c r="AV714" s="110" t="str">
        <f t="shared" si="14"/>
        <v/>
      </c>
      <c r="AW714" s="110" t="str">
        <f t="shared" si="15"/>
        <v/>
      </c>
      <c r="AX714" s="119" t="str">
        <f t="shared" si="16"/>
        <v/>
      </c>
      <c r="AY714" s="120"/>
      <c r="AZ714" s="121"/>
      <c r="BA714" s="122" t="str">
        <f t="shared" si="17"/>
        <v/>
      </c>
      <c r="BB714" s="34"/>
      <c r="BC714" s="121"/>
      <c r="BD714" s="136"/>
      <c r="BE714" s="125" t="str">
        <f t="shared" si="18"/>
        <v/>
      </c>
      <c r="BF714" s="126" t="str">
        <f t="shared" si="19"/>
        <v>FM8__44625_0.341666666666667</v>
      </c>
      <c r="BG714" s="127" t="str">
        <f t="shared" si="20"/>
        <v/>
      </c>
      <c r="BH714" s="137" t="s">
        <v>1956</v>
      </c>
      <c r="BI714" s="128" t="str">
        <f t="shared" si="21"/>
        <v>MA651</v>
      </c>
      <c r="BJ714" s="129" t="b">
        <f t="shared" si="740"/>
        <v>0</v>
      </c>
      <c r="BK714" s="128" t="str">
        <f t="shared" si="23"/>
        <v/>
      </c>
      <c r="BL714" s="121"/>
      <c r="BM714" s="5" t="str">
        <f t="shared" si="24"/>
        <v>MISSING</v>
      </c>
      <c r="BN714" s="120" t="b">
        <f t="shared" si="25"/>
        <v>0</v>
      </c>
      <c r="BO714" s="131" t="b">
        <f t="shared" si="26"/>
        <v>1</v>
      </c>
      <c r="BP714" s="121"/>
      <c r="BQ714" s="132" t="str">
        <f>VLOOKUP(A714,RAW_APS!A$3:O826,15,FALSE)</f>
        <v/>
      </c>
      <c r="BR714" s="120" t="b">
        <f t="shared" si="27"/>
        <v>1</v>
      </c>
      <c r="BS714" s="121"/>
      <c r="BT714" s="138" t="s">
        <v>244</v>
      </c>
      <c r="BU714" s="10" t="b">
        <f t="shared" si="28"/>
        <v>1</v>
      </c>
      <c r="BV714" s="120"/>
      <c r="BW714" s="120"/>
      <c r="BX714" s="120"/>
      <c r="BY714" s="120"/>
      <c r="BZ714" s="120"/>
      <c r="CA714" s="120"/>
      <c r="CB714" s="120"/>
      <c r="CC714" s="120"/>
    </row>
    <row r="715">
      <c r="A715" s="2" t="s">
        <v>1957</v>
      </c>
      <c r="B715" s="100">
        <v>44625.0</v>
      </c>
      <c r="C715" s="101">
        <v>0.34193287037037035</v>
      </c>
      <c r="D715" s="102"/>
      <c r="E715" s="102"/>
      <c r="F715" s="102"/>
      <c r="G715" s="102"/>
      <c r="H715" s="102"/>
      <c r="I715" s="103"/>
      <c r="J715" s="103"/>
      <c r="K715" s="2" t="s">
        <v>244</v>
      </c>
      <c r="L715" s="100">
        <v>44625.0</v>
      </c>
      <c r="M715" s="101">
        <v>0.48975694444444445</v>
      </c>
      <c r="P715" s="104" t="b">
        <f>IFNA(IF(VLOOKUP($A715,'Add from APT'!$AA$2:$AC826,3,FALSE)&gt;0,TRUE,FALSE),"ER - NOT IN APT")</f>
        <v>0</v>
      </c>
      <c r="Q715" s="105" t="str">
        <f>IF(ISLOGICAL(P715),IF(P715,"ER - REPS IN APT", IFNA(VLOOKUP($A715,RAW_APT!$A$3:$M826,7,FALSE),"ER - NOT IN APT")),P715)</f>
        <v>Result</v>
      </c>
      <c r="R715" s="106" t="b">
        <f t="shared" si="2"/>
        <v>1</v>
      </c>
      <c r="S715" s="107">
        <f t="shared" si="3"/>
        <v>1</v>
      </c>
      <c r="T715" s="143"/>
      <c r="U715" s="142"/>
      <c r="V715" s="142"/>
      <c r="W715" s="142"/>
      <c r="X715" s="110" t="b">
        <f t="shared" si="4"/>
        <v>0</v>
      </c>
      <c r="Y715" s="111" t="b">
        <v>0</v>
      </c>
      <c r="Z715" s="104" t="str">
        <f t="shared" si="5"/>
        <v/>
      </c>
      <c r="AA715" s="112" t="b">
        <f t="shared" si="6"/>
        <v>0</v>
      </c>
      <c r="AB715" s="142" t="b">
        <v>0</v>
      </c>
      <c r="AC715" s="140">
        <v>108.0</v>
      </c>
      <c r="AD715" s="141" t="b">
        <v>0</v>
      </c>
      <c r="AE715" s="115">
        <f t="shared" si="7"/>
        <v>212.8666667</v>
      </c>
      <c r="AF715" s="116" t="b">
        <f t="shared" si="8"/>
        <v>0</v>
      </c>
      <c r="AG715" s="105" t="b">
        <f t="shared" si="9"/>
        <v>0</v>
      </c>
      <c r="AH715" s="140"/>
      <c r="AI715" s="140"/>
      <c r="AJ715" s="140"/>
      <c r="AK715" s="117" t="str">
        <f t="shared" si="10"/>
        <v>Negative</v>
      </c>
      <c r="AL715" s="142"/>
      <c r="AM715" s="112" t="s">
        <v>491</v>
      </c>
      <c r="AN715" s="112" t="s">
        <v>495</v>
      </c>
      <c r="AO715" s="112" t="str">
        <f>IFERROR(__xludf.DUMMYFUNCTION("IF($AG715, ""DELETED"",TRIM(JOIN("" "",D715:E715)))"),"")</f>
        <v/>
      </c>
      <c r="AP715" s="112" t="str">
        <f t="shared" ref="AP715:AQ715" si="741">IF($AG715, "DELETED", TRIM(CONCATENATE(F715,I715,U715)))</f>
        <v/>
      </c>
      <c r="AQ715" s="112" t="str">
        <f t="shared" si="741"/>
        <v/>
      </c>
      <c r="AR715" s="112" t="str">
        <f>IFERROR(__xludf.DUMMYFUNCTION("IF($AG715, ""DELETED"", TRIM(JOIN("" "",AP715,AQ715)))"),"")</f>
        <v/>
      </c>
      <c r="AS715" s="118"/>
      <c r="AT715" s="110" t="b">
        <f t="shared" si="12"/>
        <v>0</v>
      </c>
      <c r="AU715" s="110" t="str">
        <f t="shared" si="13"/>
        <v/>
      </c>
      <c r="AV715" s="110" t="str">
        <f t="shared" si="14"/>
        <v/>
      </c>
      <c r="AW715" s="110" t="str">
        <f t="shared" si="15"/>
        <v/>
      </c>
      <c r="AX715" s="119" t="str">
        <f t="shared" si="16"/>
        <v/>
      </c>
      <c r="AY715" s="120"/>
      <c r="AZ715" s="121"/>
      <c r="BA715" s="122" t="str">
        <f t="shared" si="17"/>
        <v/>
      </c>
      <c r="BB715" s="34"/>
      <c r="BC715" s="121"/>
      <c r="BD715" s="136"/>
      <c r="BE715" s="125" t="str">
        <f t="shared" si="18"/>
        <v/>
      </c>
      <c r="BF715" s="126" t="str">
        <f t="shared" si="19"/>
        <v>FM30__44625_0.34193287037037</v>
      </c>
      <c r="BG715" s="127" t="str">
        <f t="shared" si="20"/>
        <v/>
      </c>
      <c r="BH715" s="137" t="s">
        <v>1958</v>
      </c>
      <c r="BI715" s="128" t="str">
        <f t="shared" si="21"/>
        <v>MA652</v>
      </c>
      <c r="BJ715" s="129" t="b">
        <f t="shared" si="740"/>
        <v>0</v>
      </c>
      <c r="BK715" s="128" t="str">
        <f t="shared" si="23"/>
        <v/>
      </c>
      <c r="BL715" s="121"/>
      <c r="BM715" s="5" t="str">
        <f t="shared" si="24"/>
        <v>MISSING</v>
      </c>
      <c r="BN715" s="120" t="b">
        <f t="shared" si="25"/>
        <v>0</v>
      </c>
      <c r="BO715" s="131" t="b">
        <f t="shared" si="26"/>
        <v>1</v>
      </c>
      <c r="BP715" s="121"/>
      <c r="BQ715" s="132" t="str">
        <f>VLOOKUP(A715,RAW_APS!A$3:O826,15,FALSE)</f>
        <v/>
      </c>
      <c r="BR715" s="120" t="b">
        <f t="shared" si="27"/>
        <v>1</v>
      </c>
      <c r="BS715" s="121"/>
      <c r="BT715" s="138" t="s">
        <v>244</v>
      </c>
      <c r="BU715" s="10" t="b">
        <f t="shared" si="28"/>
        <v>1</v>
      </c>
      <c r="BV715" s="120"/>
      <c r="BW715" s="120"/>
      <c r="BX715" s="120"/>
      <c r="BY715" s="120"/>
      <c r="BZ715" s="120"/>
      <c r="CA715" s="120"/>
      <c r="CB715" s="120"/>
      <c r="CC715" s="120"/>
    </row>
    <row r="716">
      <c r="A716" s="2" t="s">
        <v>1959</v>
      </c>
      <c r="B716" s="100">
        <v>44625.0</v>
      </c>
      <c r="C716" s="101">
        <v>0.3421875</v>
      </c>
      <c r="D716" s="102"/>
      <c r="E716" s="102"/>
      <c r="F716" s="102"/>
      <c r="G716" s="102"/>
      <c r="H716" s="102"/>
      <c r="I716" s="103"/>
      <c r="J716" s="103"/>
      <c r="K716" s="2" t="s">
        <v>244</v>
      </c>
      <c r="L716" s="100">
        <v>44625.0</v>
      </c>
      <c r="M716" s="101">
        <v>0.48975694444444445</v>
      </c>
      <c r="P716" s="104" t="b">
        <f>IFNA(IF(VLOOKUP($A716,'Add from APT'!$AA$2:$AC826,3,FALSE)&gt;0,TRUE,FALSE),"ER - NOT IN APT")</f>
        <v>0</v>
      </c>
      <c r="Q716" s="105" t="str">
        <f>IF(ISLOGICAL(P716),IF(P716,"ER - REPS IN APT", IFNA(VLOOKUP($A716,RAW_APT!$A$3:$M826,7,FALSE),"ER - NOT IN APT")),P716)</f>
        <v>Result</v>
      </c>
      <c r="R716" s="106" t="b">
        <f t="shared" si="2"/>
        <v>1</v>
      </c>
      <c r="S716" s="107">
        <f t="shared" si="3"/>
        <v>1</v>
      </c>
      <c r="T716" s="143"/>
      <c r="U716" s="142"/>
      <c r="V716" s="142"/>
      <c r="W716" s="142"/>
      <c r="X716" s="110" t="b">
        <f t="shared" si="4"/>
        <v>0</v>
      </c>
      <c r="Y716" s="111" t="b">
        <v>0</v>
      </c>
      <c r="Z716" s="104" t="str">
        <f t="shared" si="5"/>
        <v/>
      </c>
      <c r="AA716" s="112" t="b">
        <f t="shared" si="6"/>
        <v>0</v>
      </c>
      <c r="AB716" s="142" t="b">
        <v>0</v>
      </c>
      <c r="AC716" s="140">
        <v>107.0</v>
      </c>
      <c r="AD716" s="141" t="b">
        <v>0</v>
      </c>
      <c r="AE716" s="115">
        <f t="shared" si="7"/>
        <v>212.5</v>
      </c>
      <c r="AF716" s="116" t="b">
        <f t="shared" si="8"/>
        <v>0</v>
      </c>
      <c r="AG716" s="105" t="b">
        <f t="shared" si="9"/>
        <v>0</v>
      </c>
      <c r="AH716" s="140"/>
      <c r="AI716" s="140"/>
      <c r="AJ716" s="140"/>
      <c r="AK716" s="117" t="str">
        <f t="shared" si="10"/>
        <v>Negative</v>
      </c>
      <c r="AL716" s="142"/>
      <c r="AM716" s="112" t="s">
        <v>857</v>
      </c>
      <c r="AN716" s="112" t="s">
        <v>696</v>
      </c>
      <c r="AO716" s="112" t="str">
        <f>IFERROR(__xludf.DUMMYFUNCTION("IF($AG716, ""DELETED"",TRIM(JOIN("" "",D716:E716)))"),"")</f>
        <v/>
      </c>
      <c r="AP716" s="112" t="str">
        <f t="shared" ref="AP716:AQ716" si="742">IF($AG716, "DELETED", TRIM(CONCATENATE(F716,I716,U716)))</f>
        <v/>
      </c>
      <c r="AQ716" s="112" t="str">
        <f t="shared" si="742"/>
        <v/>
      </c>
      <c r="AR716" s="112" t="str">
        <f>IFERROR(__xludf.DUMMYFUNCTION("IF($AG716, ""DELETED"", TRIM(JOIN("" "",AP716,AQ716)))"),"")</f>
        <v/>
      </c>
      <c r="AS716" s="118"/>
      <c r="AT716" s="110" t="b">
        <f t="shared" si="12"/>
        <v>0</v>
      </c>
      <c r="AU716" s="110" t="str">
        <f t="shared" si="13"/>
        <v/>
      </c>
      <c r="AV716" s="110" t="str">
        <f t="shared" si="14"/>
        <v/>
      </c>
      <c r="AW716" s="110" t="str">
        <f t="shared" si="15"/>
        <v/>
      </c>
      <c r="AX716" s="119" t="str">
        <f t="shared" si="16"/>
        <v/>
      </c>
      <c r="AY716" s="120"/>
      <c r="AZ716" s="121"/>
      <c r="BA716" s="122" t="str">
        <f t="shared" si="17"/>
        <v/>
      </c>
      <c r="BB716" s="34"/>
      <c r="BC716" s="121"/>
      <c r="BD716" s="136"/>
      <c r="BE716" s="125" t="str">
        <f t="shared" si="18"/>
        <v/>
      </c>
      <c r="BF716" s="126" t="str">
        <f t="shared" si="19"/>
        <v>FM75__44625_0.3421875</v>
      </c>
      <c r="BG716" s="127" t="str">
        <f t="shared" si="20"/>
        <v/>
      </c>
      <c r="BH716" s="137" t="s">
        <v>1960</v>
      </c>
      <c r="BI716" s="128" t="str">
        <f t="shared" si="21"/>
        <v>MA653</v>
      </c>
      <c r="BJ716" s="129" t="b">
        <f t="shared" si="740"/>
        <v>0</v>
      </c>
      <c r="BK716" s="128" t="str">
        <f t="shared" si="23"/>
        <v/>
      </c>
      <c r="BL716" s="121"/>
      <c r="BM716" s="5" t="str">
        <f t="shared" si="24"/>
        <v>MISSING</v>
      </c>
      <c r="BN716" s="120" t="b">
        <f t="shared" si="25"/>
        <v>0</v>
      </c>
      <c r="BO716" s="131" t="b">
        <f t="shared" si="26"/>
        <v>1</v>
      </c>
      <c r="BP716" s="121"/>
      <c r="BQ716" s="132" t="str">
        <f>VLOOKUP(A716,RAW_APS!A$3:O826,15,FALSE)</f>
        <v/>
      </c>
      <c r="BR716" s="120" t="b">
        <f t="shared" si="27"/>
        <v>1</v>
      </c>
      <c r="BS716" s="121"/>
      <c r="BT716" s="138" t="s">
        <v>244</v>
      </c>
      <c r="BU716" s="10" t="b">
        <f t="shared" si="28"/>
        <v>1</v>
      </c>
      <c r="BV716" s="120"/>
      <c r="BW716" s="120"/>
      <c r="BX716" s="120"/>
      <c r="BY716" s="120"/>
      <c r="BZ716" s="120"/>
      <c r="CA716" s="120"/>
      <c r="CB716" s="120"/>
      <c r="CC716" s="120"/>
    </row>
    <row r="717">
      <c r="A717" s="2" t="s">
        <v>1961</v>
      </c>
      <c r="B717" s="100">
        <v>44625.0</v>
      </c>
      <c r="C717" s="101">
        <v>0.35530092592592594</v>
      </c>
      <c r="D717" s="102"/>
      <c r="E717" s="102"/>
      <c r="F717" s="102"/>
      <c r="G717" s="102"/>
      <c r="H717" s="102"/>
      <c r="I717" s="103"/>
      <c r="J717" s="103"/>
      <c r="K717" s="2" t="s">
        <v>52</v>
      </c>
      <c r="L717" s="100">
        <v>44627.0</v>
      </c>
      <c r="M717" s="101">
        <v>0.4779861111111111</v>
      </c>
      <c r="P717" s="104" t="b">
        <f>IFNA(IF(VLOOKUP($A717,'Add from APT'!$AA$2:$AC826,3,FALSE)&gt;0,TRUE,FALSE),"ER - NOT IN APT")</f>
        <v>0</v>
      </c>
      <c r="Q717" s="105" t="str">
        <f>IF(ISLOGICAL(P717),IF(P717,"ER - REPS IN APT", IFNA(VLOOKUP($A717,RAW_APT!$A$3:$M826,7,FALSE),"ER - NOT IN APT")),P717)</f>
        <v>Result</v>
      </c>
      <c r="R717" s="106" t="b">
        <f t="shared" si="2"/>
        <v>1</v>
      </c>
      <c r="S717" s="107">
        <f t="shared" si="3"/>
        <v>1</v>
      </c>
      <c r="T717" s="143"/>
      <c r="U717" s="142"/>
      <c r="V717" s="142"/>
      <c r="W717" s="141"/>
      <c r="X717" s="110" t="b">
        <f t="shared" si="4"/>
        <v>0</v>
      </c>
      <c r="Y717" s="111" t="b">
        <v>0</v>
      </c>
      <c r="Z717" s="104" t="str">
        <f t="shared" si="5"/>
        <v/>
      </c>
      <c r="AA717" s="112" t="b">
        <f t="shared" si="6"/>
        <v>0</v>
      </c>
      <c r="AB717" s="142" t="b">
        <v>0</v>
      </c>
      <c r="AC717" s="140">
        <v>106.0</v>
      </c>
      <c r="AD717" s="141" t="b">
        <v>0</v>
      </c>
      <c r="AE717" s="115" t="str">
        <f t="shared" si="7"/>
        <v/>
      </c>
      <c r="AF717" s="116" t="b">
        <f t="shared" si="8"/>
        <v>0</v>
      </c>
      <c r="AG717" s="105" t="b">
        <f t="shared" si="9"/>
        <v>0</v>
      </c>
      <c r="AH717" s="140"/>
      <c r="AI717" s="140"/>
      <c r="AJ717" s="140"/>
      <c r="AK717" s="117" t="str">
        <f t="shared" si="10"/>
        <v>Positive</v>
      </c>
      <c r="AL717" s="141"/>
      <c r="AM717" s="112" t="s">
        <v>269</v>
      </c>
      <c r="AN717" s="112" t="s">
        <v>270</v>
      </c>
      <c r="AO717" s="112" t="str">
        <f>IFERROR(__xludf.DUMMYFUNCTION("IF($AG717, ""DELETED"",TRIM(JOIN("" "",D717:E717)))"),"")</f>
        <v/>
      </c>
      <c r="AP717" s="112" t="str">
        <f t="shared" ref="AP717:AQ717" si="743">IF($AG717, "DELETED", TRIM(CONCATENATE(F717,I717,U717)))</f>
        <v/>
      </c>
      <c r="AQ717" s="112" t="str">
        <f t="shared" si="743"/>
        <v/>
      </c>
      <c r="AR717" s="112" t="str">
        <f>IFERROR(__xludf.DUMMYFUNCTION("IF($AG717, ""DELETED"", TRIM(JOIN("" "",AP717,AQ717)))"),"")</f>
        <v/>
      </c>
      <c r="AS717" s="118"/>
      <c r="AT717" s="110" t="b">
        <f t="shared" si="12"/>
        <v>0</v>
      </c>
      <c r="AU717" s="110" t="str">
        <f t="shared" si="13"/>
        <v/>
      </c>
      <c r="AV717" s="110" t="str">
        <f t="shared" si="14"/>
        <v/>
      </c>
      <c r="AW717" s="110" t="str">
        <f t="shared" si="15"/>
        <v/>
      </c>
      <c r="AX717" s="119" t="str">
        <f t="shared" si="16"/>
        <v/>
      </c>
      <c r="AY717" s="120"/>
      <c r="AZ717" s="121"/>
      <c r="BA717" s="122" t="str">
        <f t="shared" si="17"/>
        <v/>
      </c>
      <c r="BB717" s="34"/>
      <c r="BC717" s="121"/>
      <c r="BD717" s="136"/>
      <c r="BE717" s="125" t="str">
        <f t="shared" si="18"/>
        <v/>
      </c>
      <c r="BF717" s="126" t="str">
        <f t="shared" si="19"/>
        <v>MA1294__44625_0.355300925925926</v>
      </c>
      <c r="BG717" s="127" t="str">
        <f t="shared" si="20"/>
        <v/>
      </c>
      <c r="BH717" s="137" t="s">
        <v>1962</v>
      </c>
      <c r="BI717" s="128" t="str">
        <f t="shared" si="21"/>
        <v>MA654</v>
      </c>
      <c r="BJ717" s="129" t="b">
        <f t="shared" si="740"/>
        <v>0</v>
      </c>
      <c r="BK717" s="128" t="str">
        <f t="shared" si="23"/>
        <v/>
      </c>
      <c r="BL717" s="121"/>
      <c r="BM717" s="5" t="str">
        <f t="shared" si="24"/>
        <v>MISSING</v>
      </c>
      <c r="BN717" s="120" t="b">
        <f t="shared" si="25"/>
        <v>0</v>
      </c>
      <c r="BO717" s="131" t="b">
        <f t="shared" si="26"/>
        <v>1</v>
      </c>
      <c r="BP717" s="121"/>
      <c r="BQ717" s="132" t="str">
        <f>VLOOKUP(A717,RAW_APS!A$3:O826,15,FALSE)</f>
        <v/>
      </c>
      <c r="BR717" s="120" t="b">
        <f t="shared" si="27"/>
        <v>1</v>
      </c>
      <c r="BS717" s="121"/>
      <c r="BT717" s="138" t="s">
        <v>52</v>
      </c>
      <c r="BU717" s="10" t="b">
        <f t="shared" si="28"/>
        <v>1</v>
      </c>
      <c r="BV717" s="120"/>
      <c r="BW717" s="120"/>
      <c r="BX717" s="120"/>
      <c r="BY717" s="120"/>
      <c r="BZ717" s="120"/>
      <c r="CA717" s="120"/>
      <c r="CB717" s="120"/>
      <c r="CC717" s="120"/>
    </row>
    <row r="718">
      <c r="A718" s="2" t="s">
        <v>1963</v>
      </c>
      <c r="B718" s="100">
        <v>44625.0</v>
      </c>
      <c r="C718" s="101">
        <v>0.36768518518518517</v>
      </c>
      <c r="D718" s="102"/>
      <c r="E718" s="102"/>
      <c r="F718" s="102"/>
      <c r="G718" s="102"/>
      <c r="H718" s="102"/>
      <c r="I718" s="103"/>
      <c r="J718" s="103"/>
      <c r="K718" s="2" t="s">
        <v>244</v>
      </c>
      <c r="L718" s="100">
        <v>44625.0</v>
      </c>
      <c r="M718" s="101">
        <v>0.48975694444444445</v>
      </c>
      <c r="P718" s="104" t="b">
        <f>IFNA(IF(VLOOKUP($A718,'Add from APT'!$AA$2:$AC826,3,FALSE)&gt;0,TRUE,FALSE),"ER - NOT IN APT")</f>
        <v>0</v>
      </c>
      <c r="Q718" s="105" t="str">
        <f>IF(ISLOGICAL(P718),IF(P718,"ER - REPS IN APT", IFNA(VLOOKUP($A718,RAW_APT!$A$3:$M826,7,FALSE),"ER - NOT IN APT")),P718)</f>
        <v>Result</v>
      </c>
      <c r="R718" s="106" t="b">
        <f t="shared" si="2"/>
        <v>1</v>
      </c>
      <c r="S718" s="107">
        <f t="shared" si="3"/>
        <v>1</v>
      </c>
      <c r="T718" s="143"/>
      <c r="U718" s="142"/>
      <c r="V718" s="142"/>
      <c r="W718" s="142"/>
      <c r="X718" s="110" t="b">
        <f t="shared" si="4"/>
        <v>0</v>
      </c>
      <c r="Y718" s="111" t="b">
        <v>0</v>
      </c>
      <c r="Z718" s="104" t="str">
        <f t="shared" si="5"/>
        <v/>
      </c>
      <c r="AA718" s="112" t="b">
        <f t="shared" si="6"/>
        <v>0</v>
      </c>
      <c r="AB718" s="142" t="b">
        <v>0</v>
      </c>
      <c r="AC718" s="140">
        <v>105.0</v>
      </c>
      <c r="AD718" s="141" t="b">
        <v>0</v>
      </c>
      <c r="AE718" s="115">
        <f t="shared" si="7"/>
        <v>175.7833333</v>
      </c>
      <c r="AF718" s="116" t="b">
        <f t="shared" si="8"/>
        <v>0</v>
      </c>
      <c r="AG718" s="105" t="b">
        <f t="shared" si="9"/>
        <v>0</v>
      </c>
      <c r="AH718" s="140"/>
      <c r="AI718" s="140"/>
      <c r="AJ718" s="140"/>
      <c r="AK718" s="117" t="str">
        <f t="shared" si="10"/>
        <v>Negative</v>
      </c>
      <c r="AL718" s="142"/>
      <c r="AM718" s="112" t="s">
        <v>577</v>
      </c>
      <c r="AN718" s="112" t="s">
        <v>578</v>
      </c>
      <c r="AO718" s="112" t="str">
        <f>IFERROR(__xludf.DUMMYFUNCTION("IF($AG718, ""DELETED"",TRIM(JOIN("" "",D718:E718)))"),"")</f>
        <v/>
      </c>
      <c r="AP718" s="112" t="str">
        <f t="shared" ref="AP718:AQ718" si="744">IF($AG718, "DELETED", TRIM(CONCATENATE(F718,I718,U718)))</f>
        <v/>
      </c>
      <c r="AQ718" s="112" t="str">
        <f t="shared" si="744"/>
        <v/>
      </c>
      <c r="AR718" s="112" t="str">
        <f>IFERROR(__xludf.DUMMYFUNCTION("IF($AG718, ""DELETED"", TRIM(JOIN("" "",AP718,AQ718)))"),"")</f>
        <v/>
      </c>
      <c r="AS718" s="118"/>
      <c r="AT718" s="110" t="b">
        <f t="shared" si="12"/>
        <v>0</v>
      </c>
      <c r="AU718" s="110" t="str">
        <f t="shared" si="13"/>
        <v/>
      </c>
      <c r="AV718" s="110" t="str">
        <f t="shared" si="14"/>
        <v/>
      </c>
      <c r="AW718" s="110" t="str">
        <f t="shared" si="15"/>
        <v/>
      </c>
      <c r="AX718" s="119" t="str">
        <f t="shared" si="16"/>
        <v/>
      </c>
      <c r="AY718" s="120"/>
      <c r="AZ718" s="121"/>
      <c r="BA718" s="122" t="str">
        <f t="shared" si="17"/>
        <v/>
      </c>
      <c r="BB718" s="34"/>
      <c r="BC718" s="121"/>
      <c r="BD718" s="136"/>
      <c r="BE718" s="125" t="str">
        <f t="shared" si="18"/>
        <v/>
      </c>
      <c r="BF718" s="126" t="str">
        <f t="shared" si="19"/>
        <v>FM1905__44625_0.367685185185185</v>
      </c>
      <c r="BG718" s="127" t="str">
        <f t="shared" si="20"/>
        <v/>
      </c>
      <c r="BH718" s="137" t="s">
        <v>1964</v>
      </c>
      <c r="BI718" s="128" t="str">
        <f t="shared" si="21"/>
        <v>MA655</v>
      </c>
      <c r="BJ718" s="129" t="b">
        <f t="shared" si="740"/>
        <v>0</v>
      </c>
      <c r="BK718" s="128" t="str">
        <f t="shared" si="23"/>
        <v/>
      </c>
      <c r="BL718" s="121"/>
      <c r="BM718" s="5" t="str">
        <f t="shared" si="24"/>
        <v>MISSING</v>
      </c>
      <c r="BN718" s="120" t="b">
        <f t="shared" si="25"/>
        <v>0</v>
      </c>
      <c r="BO718" s="131" t="b">
        <f t="shared" si="26"/>
        <v>1</v>
      </c>
      <c r="BP718" s="121"/>
      <c r="BQ718" s="132" t="str">
        <f>VLOOKUP(A718,RAW_APS!A$3:O826,15,FALSE)</f>
        <v/>
      </c>
      <c r="BR718" s="120" t="b">
        <f t="shared" si="27"/>
        <v>1</v>
      </c>
      <c r="BS718" s="121"/>
      <c r="BT718" s="138" t="s">
        <v>244</v>
      </c>
      <c r="BU718" s="10" t="b">
        <f t="shared" si="28"/>
        <v>1</v>
      </c>
      <c r="BV718" s="120"/>
      <c r="BW718" s="120"/>
      <c r="BX718" s="120"/>
      <c r="BY718" s="120"/>
      <c r="BZ718" s="120"/>
      <c r="CA718" s="120"/>
      <c r="CB718" s="120"/>
      <c r="CC718" s="120"/>
    </row>
    <row r="719">
      <c r="A719" s="2" t="s">
        <v>1965</v>
      </c>
      <c r="B719" s="100">
        <v>44625.0</v>
      </c>
      <c r="C719" s="101">
        <v>0.3858333333333333</v>
      </c>
      <c r="D719" s="102"/>
      <c r="E719" s="102"/>
      <c r="F719" s="102"/>
      <c r="G719" s="102"/>
      <c r="H719" s="102"/>
      <c r="I719" s="103"/>
      <c r="J719" s="103"/>
      <c r="K719" s="2" t="s">
        <v>244</v>
      </c>
      <c r="L719" s="100">
        <v>44625.0</v>
      </c>
      <c r="M719" s="101">
        <v>0.48975694444444445</v>
      </c>
      <c r="P719" s="104" t="b">
        <f>IFNA(IF(VLOOKUP($A719,'Add from APT'!$AA$2:$AC826,3,FALSE)&gt;0,TRUE,FALSE),"ER - NOT IN APT")</f>
        <v>0</v>
      </c>
      <c r="Q719" s="105" t="str">
        <f>IF(ISLOGICAL(P719),IF(P719,"ER - REPS IN APT", IFNA(VLOOKUP($A719,RAW_APT!$A$3:$M826,7,FALSE),"ER - NOT IN APT")),P719)</f>
        <v>Result</v>
      </c>
      <c r="R719" s="106" t="b">
        <f t="shared" si="2"/>
        <v>1</v>
      </c>
      <c r="S719" s="107">
        <f t="shared" si="3"/>
        <v>1</v>
      </c>
      <c r="T719" s="143"/>
      <c r="U719" s="142"/>
      <c r="V719" s="142"/>
      <c r="W719" s="142"/>
      <c r="X719" s="110" t="b">
        <f t="shared" si="4"/>
        <v>0</v>
      </c>
      <c r="Y719" s="111" t="b">
        <v>0</v>
      </c>
      <c r="Z719" s="104" t="str">
        <f t="shared" si="5"/>
        <v/>
      </c>
      <c r="AA719" s="112" t="b">
        <f t="shared" si="6"/>
        <v>0</v>
      </c>
      <c r="AB719" s="142" t="b">
        <v>0</v>
      </c>
      <c r="AC719" s="140">
        <v>104.0</v>
      </c>
      <c r="AD719" s="141" t="b">
        <v>0</v>
      </c>
      <c r="AE719" s="115">
        <f t="shared" si="7"/>
        <v>149.65</v>
      </c>
      <c r="AF719" s="116" t="b">
        <f t="shared" si="8"/>
        <v>0</v>
      </c>
      <c r="AG719" s="105" t="b">
        <f t="shared" si="9"/>
        <v>0</v>
      </c>
      <c r="AH719" s="140"/>
      <c r="AI719" s="140"/>
      <c r="AJ719" s="140"/>
      <c r="AK719" s="117" t="str">
        <f t="shared" si="10"/>
        <v>Negative</v>
      </c>
      <c r="AL719" s="142"/>
      <c r="AM719" s="112" t="s">
        <v>457</v>
      </c>
      <c r="AN719" s="112" t="s">
        <v>458</v>
      </c>
      <c r="AO719" s="112" t="str">
        <f>IFERROR(__xludf.DUMMYFUNCTION("IF($AG719, ""DELETED"",TRIM(JOIN("" "",D719:E719)))"),"")</f>
        <v/>
      </c>
      <c r="AP719" s="112" t="str">
        <f t="shared" ref="AP719:AQ719" si="745">IF($AG719, "DELETED", TRIM(CONCATENATE(F719,I719,U719)))</f>
        <v/>
      </c>
      <c r="AQ719" s="112" t="str">
        <f t="shared" si="745"/>
        <v/>
      </c>
      <c r="AR719" s="112" t="str">
        <f>IFERROR(__xludf.DUMMYFUNCTION("IF($AG719, ""DELETED"", TRIM(JOIN("" "",AP719,AQ719)))"),"")</f>
        <v/>
      </c>
      <c r="AS719" s="118"/>
      <c r="AT719" s="110" t="b">
        <f t="shared" si="12"/>
        <v>0</v>
      </c>
      <c r="AU719" s="110" t="str">
        <f t="shared" si="13"/>
        <v/>
      </c>
      <c r="AV719" s="110" t="str">
        <f t="shared" si="14"/>
        <v/>
      </c>
      <c r="AW719" s="110" t="str">
        <f t="shared" si="15"/>
        <v/>
      </c>
      <c r="AX719" s="119" t="str">
        <f t="shared" si="16"/>
        <v/>
      </c>
      <c r="AY719" s="120"/>
      <c r="AZ719" s="121"/>
      <c r="BA719" s="122" t="str">
        <f t="shared" si="17"/>
        <v/>
      </c>
      <c r="BB719" s="34"/>
      <c r="BC719" s="121"/>
      <c r="BD719" s="136"/>
      <c r="BE719" s="125" t="str">
        <f t="shared" si="18"/>
        <v/>
      </c>
      <c r="BF719" s="126" t="str">
        <f t="shared" si="19"/>
        <v>FM85__44625_0.385833333333333</v>
      </c>
      <c r="BG719" s="127" t="str">
        <f t="shared" si="20"/>
        <v/>
      </c>
      <c r="BH719" s="137" t="s">
        <v>1966</v>
      </c>
      <c r="BI719" s="128" t="str">
        <f t="shared" si="21"/>
        <v>MA656</v>
      </c>
      <c r="BJ719" s="129" t="b">
        <f t="shared" si="740"/>
        <v>0</v>
      </c>
      <c r="BK719" s="128" t="str">
        <f t="shared" si="23"/>
        <v/>
      </c>
      <c r="BL719" s="121"/>
      <c r="BM719" s="5" t="str">
        <f t="shared" si="24"/>
        <v>MISSING</v>
      </c>
      <c r="BN719" s="120" t="b">
        <f t="shared" si="25"/>
        <v>0</v>
      </c>
      <c r="BO719" s="131" t="b">
        <f t="shared" si="26"/>
        <v>1</v>
      </c>
      <c r="BP719" s="121"/>
      <c r="BQ719" s="132" t="str">
        <f>VLOOKUP(A719,RAW_APS!A$3:O826,15,FALSE)</f>
        <v/>
      </c>
      <c r="BR719" s="120" t="b">
        <f t="shared" si="27"/>
        <v>1</v>
      </c>
      <c r="BS719" s="121"/>
      <c r="BT719" s="138" t="s">
        <v>244</v>
      </c>
      <c r="BU719" s="10" t="b">
        <f t="shared" si="28"/>
        <v>1</v>
      </c>
      <c r="BV719" s="120"/>
      <c r="BW719" s="120"/>
      <c r="BX719" s="120"/>
      <c r="BY719" s="120"/>
      <c r="BZ719" s="120"/>
      <c r="CA719" s="120"/>
      <c r="CB719" s="120"/>
      <c r="CC719" s="120"/>
    </row>
    <row r="720">
      <c r="A720" s="2" t="s">
        <v>1967</v>
      </c>
      <c r="B720" s="100">
        <v>44625.0</v>
      </c>
      <c r="C720" s="101">
        <v>0.3939930555555556</v>
      </c>
      <c r="D720" s="102"/>
      <c r="E720" s="102"/>
      <c r="F720" s="139"/>
      <c r="G720" s="139"/>
      <c r="H720" s="139"/>
      <c r="I720" s="103"/>
      <c r="J720" s="103"/>
      <c r="K720" s="2" t="s">
        <v>244</v>
      </c>
      <c r="L720" s="100">
        <v>44625.0</v>
      </c>
      <c r="M720" s="101">
        <v>0.48998842592592595</v>
      </c>
      <c r="P720" s="104" t="b">
        <f>IFNA(IF(VLOOKUP($A720,'Add from APT'!$AA$2:$AC826,3,FALSE)&gt;0,TRUE,FALSE),"ER - NOT IN APT")</f>
        <v>0</v>
      </c>
      <c r="Q720" s="105" t="str">
        <f>IF(ISLOGICAL(P720),IF(P720,"ER - REPS IN APT", IFNA(VLOOKUP($A720,RAW_APT!$A$3:$M826,7,FALSE),"ER - NOT IN APT")),P720)</f>
        <v>Result</v>
      </c>
      <c r="R720" s="106" t="b">
        <f t="shared" si="2"/>
        <v>1</v>
      </c>
      <c r="S720" s="107">
        <f t="shared" si="3"/>
        <v>1</v>
      </c>
      <c r="T720" s="140">
        <v>0.0</v>
      </c>
      <c r="U720" s="141"/>
      <c r="V720" s="141"/>
      <c r="W720" s="141"/>
      <c r="X720" s="110" t="b">
        <f t="shared" si="4"/>
        <v>0</v>
      </c>
      <c r="Y720" s="111" t="b">
        <v>0</v>
      </c>
      <c r="Z720" s="104" t="str">
        <f t="shared" si="5"/>
        <v/>
      </c>
      <c r="AA720" s="112" t="b">
        <f t="shared" si="6"/>
        <v>0</v>
      </c>
      <c r="AB720" s="142" t="b">
        <v>0</v>
      </c>
      <c r="AC720" s="140">
        <v>103.0</v>
      </c>
      <c r="AD720" s="141" t="b">
        <v>0</v>
      </c>
      <c r="AE720" s="115">
        <f t="shared" si="7"/>
        <v>138.2333333</v>
      </c>
      <c r="AF720" s="116" t="b">
        <f t="shared" si="8"/>
        <v>0</v>
      </c>
      <c r="AG720" s="105" t="b">
        <f t="shared" si="9"/>
        <v>0</v>
      </c>
      <c r="AH720" s="140"/>
      <c r="AI720" s="140"/>
      <c r="AJ720" s="140"/>
      <c r="AK720" s="117" t="str">
        <f t="shared" si="10"/>
        <v>Negative</v>
      </c>
      <c r="AL720" s="142"/>
      <c r="AM720" s="112" t="s">
        <v>1757</v>
      </c>
      <c r="AN720" s="112" t="s">
        <v>1905</v>
      </c>
      <c r="AO720" s="112" t="str">
        <f>IFERROR(__xludf.DUMMYFUNCTION("IF($AG720, ""DELETED"",TRIM(JOIN("" "",D720:E720)))"),"")</f>
        <v/>
      </c>
      <c r="AP720" s="112" t="str">
        <f t="shared" ref="AP720:AQ720" si="746">IF($AG720, "DELETED", TRIM(CONCATENATE(F720,I720,U720)))</f>
        <v/>
      </c>
      <c r="AQ720" s="112" t="str">
        <f t="shared" si="746"/>
        <v/>
      </c>
      <c r="AR720" s="112" t="str">
        <f>IFERROR(__xludf.DUMMYFUNCTION("IF($AG720, ""DELETED"", TRIM(JOIN("" "",AP720,AQ720)))"),"")</f>
        <v/>
      </c>
      <c r="AS720" s="118"/>
      <c r="AT720" s="110" t="b">
        <f t="shared" si="12"/>
        <v>0</v>
      </c>
      <c r="AU720" s="110" t="str">
        <f t="shared" si="13"/>
        <v/>
      </c>
      <c r="AV720" s="110" t="str">
        <f t="shared" si="14"/>
        <v/>
      </c>
      <c r="AW720" s="110" t="str">
        <f t="shared" si="15"/>
        <v/>
      </c>
      <c r="AX720" s="119" t="str">
        <f t="shared" si="16"/>
        <v/>
      </c>
      <c r="AY720" s="120"/>
      <c r="AZ720" s="121"/>
      <c r="BA720" s="122" t="str">
        <f t="shared" si="17"/>
        <v/>
      </c>
      <c r="BB720" s="34"/>
      <c r="BC720" s="121"/>
      <c r="BD720" s="136"/>
      <c r="BE720" s="125" t="str">
        <f t="shared" si="18"/>
        <v/>
      </c>
      <c r="BF720" s="126" t="str">
        <f t="shared" si="19"/>
        <v>MA1308__44625_0.393993055555556</v>
      </c>
      <c r="BG720" s="127" t="str">
        <f t="shared" si="20"/>
        <v/>
      </c>
      <c r="BH720" s="137" t="s">
        <v>1968</v>
      </c>
      <c r="BI720" s="128" t="str">
        <f t="shared" si="21"/>
        <v>MA657</v>
      </c>
      <c r="BJ720" s="129" t="b">
        <f t="shared" si="740"/>
        <v>0</v>
      </c>
      <c r="BK720" s="128" t="str">
        <f t="shared" si="23"/>
        <v/>
      </c>
      <c r="BL720" s="121"/>
      <c r="BM720" s="5" t="str">
        <f t="shared" si="24"/>
        <v>MISSING</v>
      </c>
      <c r="BN720" s="120" t="b">
        <f t="shared" si="25"/>
        <v>0</v>
      </c>
      <c r="BO720" s="131" t="b">
        <f t="shared" si="26"/>
        <v>1</v>
      </c>
      <c r="BP720" s="121"/>
      <c r="BQ720" s="132" t="str">
        <f>VLOOKUP(A720,RAW_APS!A$3:O826,15,FALSE)</f>
        <v/>
      </c>
      <c r="BR720" s="120" t="b">
        <f t="shared" si="27"/>
        <v>1</v>
      </c>
      <c r="BS720" s="121"/>
      <c r="BT720" s="138" t="s">
        <v>244</v>
      </c>
      <c r="BU720" s="10" t="b">
        <f t="shared" si="28"/>
        <v>1</v>
      </c>
      <c r="BV720" s="120"/>
      <c r="BW720" s="120"/>
      <c r="BX720" s="120"/>
      <c r="BY720" s="120"/>
      <c r="BZ720" s="120"/>
      <c r="CA720" s="120"/>
      <c r="CB720" s="120"/>
      <c r="CC720" s="120"/>
    </row>
    <row r="721">
      <c r="A721" s="2" t="s">
        <v>1969</v>
      </c>
      <c r="B721" s="100">
        <v>44625.0</v>
      </c>
      <c r="C721" s="101">
        <v>0.3943171296296296</v>
      </c>
      <c r="D721" s="102"/>
      <c r="E721" s="102"/>
      <c r="F721" s="139"/>
      <c r="G721" s="139"/>
      <c r="H721" s="139"/>
      <c r="I721" s="103"/>
      <c r="J721" s="103"/>
      <c r="K721" s="2" t="s">
        <v>244</v>
      </c>
      <c r="L721" s="100">
        <v>44625.0</v>
      </c>
      <c r="M721" s="101">
        <v>0.48975694444444445</v>
      </c>
      <c r="P721" s="104" t="b">
        <f>IFNA(IF(VLOOKUP($A721,'Add from APT'!$AA$2:$AC826,3,FALSE)&gt;0,TRUE,FALSE),"ER - NOT IN APT")</f>
        <v>0</v>
      </c>
      <c r="Q721" s="105" t="str">
        <f>IF(ISLOGICAL(P721),IF(P721,"ER - REPS IN APT", IFNA(VLOOKUP($A721,RAW_APT!$A$3:$M826,7,FALSE),"ER - NOT IN APT")),P721)</f>
        <v>Result</v>
      </c>
      <c r="R721" s="106" t="b">
        <f t="shared" si="2"/>
        <v>1</v>
      </c>
      <c r="S721" s="107">
        <f t="shared" si="3"/>
        <v>1</v>
      </c>
      <c r="T721" s="140">
        <v>0.0</v>
      </c>
      <c r="U721" s="141"/>
      <c r="V721" s="141"/>
      <c r="W721" s="141"/>
      <c r="X721" s="110" t="b">
        <f t="shared" si="4"/>
        <v>0</v>
      </c>
      <c r="Y721" s="111" t="b">
        <v>0</v>
      </c>
      <c r="Z721" s="104" t="str">
        <f t="shared" si="5"/>
        <v/>
      </c>
      <c r="AA721" s="112" t="b">
        <f t="shared" si="6"/>
        <v>0</v>
      </c>
      <c r="AB721" s="142" t="b">
        <v>0</v>
      </c>
      <c r="AC721" s="140">
        <v>102.0</v>
      </c>
      <c r="AD721" s="141" t="b">
        <v>0</v>
      </c>
      <c r="AE721" s="115">
        <f t="shared" si="7"/>
        <v>137.4333333</v>
      </c>
      <c r="AF721" s="116" t="b">
        <f t="shared" si="8"/>
        <v>0</v>
      </c>
      <c r="AG721" s="105" t="b">
        <f t="shared" si="9"/>
        <v>0</v>
      </c>
      <c r="AH721" s="140"/>
      <c r="AI721" s="140"/>
      <c r="AJ721" s="140"/>
      <c r="AK721" s="117" t="str">
        <f t="shared" si="10"/>
        <v>Negative</v>
      </c>
      <c r="AL721" s="142"/>
      <c r="AM721" s="112" t="s">
        <v>1757</v>
      </c>
      <c r="AN721" s="112" t="s">
        <v>1828</v>
      </c>
      <c r="AO721" s="112" t="str">
        <f>IFERROR(__xludf.DUMMYFUNCTION("IF($AG721, ""DELETED"",TRIM(JOIN("" "",D721:E721)))"),"")</f>
        <v/>
      </c>
      <c r="AP721" s="112" t="str">
        <f t="shared" ref="AP721:AQ721" si="747">IF($AG721, "DELETED", TRIM(CONCATENATE(F721,I721,U721)))</f>
        <v/>
      </c>
      <c r="AQ721" s="112" t="str">
        <f t="shared" si="747"/>
        <v/>
      </c>
      <c r="AR721" s="112" t="str">
        <f>IFERROR(__xludf.DUMMYFUNCTION("IF($AG721, ""DELETED"", TRIM(JOIN("" "",AP721,AQ721)))"),"")</f>
        <v/>
      </c>
      <c r="AS721" s="118"/>
      <c r="AT721" s="110" t="b">
        <f t="shared" si="12"/>
        <v>0</v>
      </c>
      <c r="AU721" s="110" t="str">
        <f t="shared" si="13"/>
        <v/>
      </c>
      <c r="AV721" s="110" t="str">
        <f t="shared" si="14"/>
        <v/>
      </c>
      <c r="AW721" s="110" t="str">
        <f t="shared" si="15"/>
        <v/>
      </c>
      <c r="AX721" s="119" t="str">
        <f t="shared" si="16"/>
        <v/>
      </c>
      <c r="AY721" s="120"/>
      <c r="AZ721" s="121"/>
      <c r="BA721" s="122" t="str">
        <f t="shared" si="17"/>
        <v/>
      </c>
      <c r="BB721" s="34"/>
      <c r="BC721" s="121"/>
      <c r="BD721" s="136"/>
      <c r="BE721" s="125" t="str">
        <f t="shared" si="18"/>
        <v/>
      </c>
      <c r="BF721" s="126" t="str">
        <f t="shared" si="19"/>
        <v>MA1270__44625_0.39431712962963</v>
      </c>
      <c r="BG721" s="127" t="str">
        <f t="shared" si="20"/>
        <v/>
      </c>
      <c r="BH721" s="137" t="s">
        <v>1970</v>
      </c>
      <c r="BI721" s="128" t="str">
        <f t="shared" si="21"/>
        <v>MA658</v>
      </c>
      <c r="BJ721" s="129" t="b">
        <f t="shared" si="740"/>
        <v>0</v>
      </c>
      <c r="BK721" s="128" t="str">
        <f t="shared" si="23"/>
        <v/>
      </c>
      <c r="BL721" s="121"/>
      <c r="BM721" s="5" t="str">
        <f t="shared" si="24"/>
        <v>MISSING</v>
      </c>
      <c r="BN721" s="120" t="b">
        <f t="shared" si="25"/>
        <v>0</v>
      </c>
      <c r="BO721" s="131" t="b">
        <f t="shared" si="26"/>
        <v>1</v>
      </c>
      <c r="BP721" s="121"/>
      <c r="BQ721" s="132" t="str">
        <f>VLOOKUP(A721,RAW_APS!A$3:O826,15,FALSE)</f>
        <v/>
      </c>
      <c r="BR721" s="120" t="b">
        <f t="shared" si="27"/>
        <v>1</v>
      </c>
      <c r="BS721" s="121"/>
      <c r="BT721" s="138" t="s">
        <v>244</v>
      </c>
      <c r="BU721" s="10" t="b">
        <f t="shared" si="28"/>
        <v>1</v>
      </c>
      <c r="BV721" s="120"/>
      <c r="BW721" s="120"/>
      <c r="BX721" s="120"/>
      <c r="BY721" s="120"/>
      <c r="BZ721" s="120"/>
      <c r="CA721" s="120"/>
      <c r="CB721" s="120"/>
      <c r="CC721" s="120"/>
    </row>
    <row r="722">
      <c r="A722" s="2" t="s">
        <v>1971</v>
      </c>
      <c r="B722" s="100">
        <v>44625.0</v>
      </c>
      <c r="C722" s="101">
        <v>0.39457175925925925</v>
      </c>
      <c r="D722" s="102"/>
      <c r="E722" s="102"/>
      <c r="F722" s="139"/>
      <c r="G722" s="139"/>
      <c r="H722" s="139"/>
      <c r="I722" s="103"/>
      <c r="J722" s="103"/>
      <c r="K722" s="2" t="s">
        <v>244</v>
      </c>
      <c r="L722" s="100">
        <v>44625.0</v>
      </c>
      <c r="M722" s="101">
        <v>0.48975694444444445</v>
      </c>
      <c r="P722" s="104" t="b">
        <f>IFNA(IF(VLOOKUP($A722,'Add from APT'!$AA$2:$AC826,3,FALSE)&gt;0,TRUE,FALSE),"ER - NOT IN APT")</f>
        <v>0</v>
      </c>
      <c r="Q722" s="105" t="str">
        <f>IF(ISLOGICAL(P722),IF(P722,"ER - REPS IN APT", IFNA(VLOOKUP($A722,RAW_APT!$A$3:$M826,7,FALSE),"ER - NOT IN APT")),P722)</f>
        <v>Result</v>
      </c>
      <c r="R722" s="106" t="b">
        <f t="shared" si="2"/>
        <v>1</v>
      </c>
      <c r="S722" s="107">
        <f t="shared" si="3"/>
        <v>1</v>
      </c>
      <c r="T722" s="140">
        <v>0.0</v>
      </c>
      <c r="U722" s="141"/>
      <c r="V722" s="141"/>
      <c r="W722" s="141"/>
      <c r="X722" s="110" t="b">
        <f t="shared" si="4"/>
        <v>0</v>
      </c>
      <c r="Y722" s="111" t="b">
        <v>0</v>
      </c>
      <c r="Z722" s="104" t="str">
        <f t="shared" si="5"/>
        <v/>
      </c>
      <c r="AA722" s="112" t="b">
        <f t="shared" si="6"/>
        <v>0</v>
      </c>
      <c r="AB722" s="142" t="b">
        <v>0</v>
      </c>
      <c r="AC722" s="140">
        <v>101.0</v>
      </c>
      <c r="AD722" s="141" t="b">
        <v>0</v>
      </c>
      <c r="AE722" s="115">
        <f t="shared" si="7"/>
        <v>137.0666667</v>
      </c>
      <c r="AF722" s="116" t="b">
        <f t="shared" si="8"/>
        <v>0</v>
      </c>
      <c r="AG722" s="105" t="b">
        <f t="shared" si="9"/>
        <v>0</v>
      </c>
      <c r="AH722" s="140"/>
      <c r="AI722" s="140"/>
      <c r="AJ722" s="140"/>
      <c r="AK722" s="117" t="str">
        <f t="shared" si="10"/>
        <v>Negative</v>
      </c>
      <c r="AL722" s="142"/>
      <c r="AM722" s="112" t="s">
        <v>1757</v>
      </c>
      <c r="AN722" s="112" t="s">
        <v>1831</v>
      </c>
      <c r="AO722" s="112" t="str">
        <f>IFERROR(__xludf.DUMMYFUNCTION("IF($AG722, ""DELETED"",TRIM(JOIN("" "",D722:E722)))"),"")</f>
        <v/>
      </c>
      <c r="AP722" s="112" t="str">
        <f t="shared" ref="AP722:AQ722" si="748">IF($AG722, "DELETED", TRIM(CONCATENATE(F722,I722,U722)))</f>
        <v/>
      </c>
      <c r="AQ722" s="112" t="str">
        <f t="shared" si="748"/>
        <v/>
      </c>
      <c r="AR722" s="112" t="str">
        <f>IFERROR(__xludf.DUMMYFUNCTION("IF($AG722, ""DELETED"", TRIM(JOIN("" "",AP722,AQ722)))"),"")</f>
        <v/>
      </c>
      <c r="AS722" s="118"/>
      <c r="AT722" s="110" t="b">
        <f t="shared" si="12"/>
        <v>0</v>
      </c>
      <c r="AU722" s="110" t="str">
        <f t="shared" si="13"/>
        <v/>
      </c>
      <c r="AV722" s="110" t="str">
        <f t="shared" si="14"/>
        <v/>
      </c>
      <c r="AW722" s="110" t="str">
        <f t="shared" si="15"/>
        <v/>
      </c>
      <c r="AX722" s="119" t="str">
        <f t="shared" si="16"/>
        <v/>
      </c>
      <c r="AY722" s="120"/>
      <c r="AZ722" s="121"/>
      <c r="BA722" s="122" t="str">
        <f t="shared" si="17"/>
        <v/>
      </c>
      <c r="BB722" s="34"/>
      <c r="BC722" s="121"/>
      <c r="BD722" s="136"/>
      <c r="BE722" s="125" t="str">
        <f t="shared" si="18"/>
        <v/>
      </c>
      <c r="BF722" s="126" t="str">
        <f t="shared" si="19"/>
        <v>MA1235__44625_0.394571759259259</v>
      </c>
      <c r="BG722" s="127" t="str">
        <f t="shared" si="20"/>
        <v/>
      </c>
      <c r="BH722" s="137" t="s">
        <v>1972</v>
      </c>
      <c r="BI722" s="128" t="str">
        <f t="shared" si="21"/>
        <v>MA659</v>
      </c>
      <c r="BJ722" s="129" t="b">
        <f t="shared" si="740"/>
        <v>0</v>
      </c>
      <c r="BK722" s="128" t="str">
        <f t="shared" si="23"/>
        <v/>
      </c>
      <c r="BL722" s="121"/>
      <c r="BM722" s="5" t="str">
        <f t="shared" si="24"/>
        <v>MISSING</v>
      </c>
      <c r="BN722" s="120" t="b">
        <f t="shared" si="25"/>
        <v>0</v>
      </c>
      <c r="BO722" s="131" t="b">
        <f t="shared" si="26"/>
        <v>1</v>
      </c>
      <c r="BP722" s="121"/>
      <c r="BQ722" s="132" t="str">
        <f>VLOOKUP(A722,RAW_APS!A$3:O826,15,FALSE)</f>
        <v/>
      </c>
      <c r="BR722" s="120" t="b">
        <f t="shared" si="27"/>
        <v>1</v>
      </c>
      <c r="BS722" s="121"/>
      <c r="BT722" s="138" t="s">
        <v>244</v>
      </c>
      <c r="BU722" s="10" t="b">
        <f t="shared" si="28"/>
        <v>1</v>
      </c>
      <c r="BV722" s="120"/>
      <c r="BW722" s="120"/>
      <c r="BX722" s="120"/>
      <c r="BY722" s="120"/>
      <c r="BZ722" s="120"/>
      <c r="CA722" s="120"/>
      <c r="CB722" s="120"/>
      <c r="CC722" s="120"/>
    </row>
    <row r="723">
      <c r="A723" s="2" t="s">
        <v>1973</v>
      </c>
      <c r="B723" s="100">
        <v>44625.0</v>
      </c>
      <c r="C723" s="101">
        <v>0.43181712962962965</v>
      </c>
      <c r="D723" s="102"/>
      <c r="E723" s="102"/>
      <c r="F723" s="139"/>
      <c r="G723" s="148"/>
      <c r="H723" s="148"/>
      <c r="I723" s="103"/>
      <c r="J723" s="103"/>
      <c r="K723" s="2" t="s">
        <v>244</v>
      </c>
      <c r="L723" s="100">
        <v>44625.0</v>
      </c>
      <c r="M723" s="101">
        <v>0.48975694444444445</v>
      </c>
      <c r="P723" s="104" t="b">
        <f>IFNA(IF(VLOOKUP($A723,'Add from APT'!$AA$2:$AC826,3,FALSE)&gt;0,TRUE,FALSE),"ER - NOT IN APT")</f>
        <v>0</v>
      </c>
      <c r="Q723" s="105" t="str">
        <f>IF(ISLOGICAL(P723),IF(P723,"ER - REPS IN APT", IFNA(VLOOKUP($A723,RAW_APT!$A$3:$M826,7,FALSE),"ER - NOT IN APT")),P723)</f>
        <v>Result</v>
      </c>
      <c r="R723" s="106" t="b">
        <f t="shared" si="2"/>
        <v>1</v>
      </c>
      <c r="S723" s="107">
        <f t="shared" si="3"/>
        <v>1</v>
      </c>
      <c r="T723" s="140">
        <v>0.0</v>
      </c>
      <c r="U723" s="141"/>
      <c r="V723" s="142"/>
      <c r="W723" s="142"/>
      <c r="X723" s="110" t="b">
        <f t="shared" si="4"/>
        <v>0</v>
      </c>
      <c r="Y723" s="111" t="b">
        <v>0</v>
      </c>
      <c r="Z723" s="104" t="str">
        <f t="shared" si="5"/>
        <v/>
      </c>
      <c r="AA723" s="112" t="b">
        <f t="shared" si="6"/>
        <v>0</v>
      </c>
      <c r="AB723" s="142" t="b">
        <v>0</v>
      </c>
      <c r="AC723" s="140">
        <v>100.0</v>
      </c>
      <c r="AD723" s="141" t="b">
        <v>0</v>
      </c>
      <c r="AE723" s="115">
        <f t="shared" si="7"/>
        <v>83.43333333</v>
      </c>
      <c r="AF723" s="116" t="b">
        <f t="shared" si="8"/>
        <v>0</v>
      </c>
      <c r="AG723" s="105" t="b">
        <f t="shared" si="9"/>
        <v>0</v>
      </c>
      <c r="AH723" s="140"/>
      <c r="AI723" s="140"/>
      <c r="AJ723" s="140"/>
      <c r="AK723" s="117" t="str">
        <f t="shared" si="10"/>
        <v>Negative</v>
      </c>
      <c r="AL723" s="142"/>
      <c r="AM723" s="112" t="s">
        <v>1757</v>
      </c>
      <c r="AN723" s="112" t="s">
        <v>1974</v>
      </c>
      <c r="AO723" s="112" t="str">
        <f>IFERROR(__xludf.DUMMYFUNCTION("IF($AG723, ""DELETED"",TRIM(JOIN("" "",D723:E723)))"),"")</f>
        <v/>
      </c>
      <c r="AP723" s="112" t="str">
        <f t="shared" ref="AP723:AQ723" si="749">IF($AG723, "DELETED", TRIM(CONCATENATE(F723,I723,U723)))</f>
        <v/>
      </c>
      <c r="AQ723" s="112" t="str">
        <f t="shared" si="749"/>
        <v/>
      </c>
      <c r="AR723" s="112" t="str">
        <f>IFERROR(__xludf.DUMMYFUNCTION("IF($AG723, ""DELETED"", TRIM(JOIN("" "",AP723,AQ723)))"),"")</f>
        <v/>
      </c>
      <c r="AS723" s="118"/>
      <c r="AT723" s="110" t="b">
        <f t="shared" si="12"/>
        <v>0</v>
      </c>
      <c r="AU723" s="110" t="str">
        <f t="shared" si="13"/>
        <v/>
      </c>
      <c r="AV723" s="110" t="str">
        <f t="shared" si="14"/>
        <v/>
      </c>
      <c r="AW723" s="110" t="str">
        <f t="shared" si="15"/>
        <v/>
      </c>
      <c r="AX723" s="119" t="str">
        <f t="shared" si="16"/>
        <v/>
      </c>
      <c r="AY723" s="120"/>
      <c r="AZ723" s="121"/>
      <c r="BA723" s="122" t="str">
        <f t="shared" si="17"/>
        <v/>
      </c>
      <c r="BB723" s="34"/>
      <c r="BC723" s="121"/>
      <c r="BD723" s="136"/>
      <c r="BE723" s="125" t="str">
        <f t="shared" si="18"/>
        <v/>
      </c>
      <c r="BF723" s="126" t="str">
        <f t="shared" si="19"/>
        <v>FM410__44625_0.43181712962963</v>
      </c>
      <c r="BG723" s="127" t="str">
        <f t="shared" si="20"/>
        <v/>
      </c>
      <c r="BH723" s="137" t="s">
        <v>1975</v>
      </c>
      <c r="BI723" s="128" t="str">
        <f t="shared" si="21"/>
        <v>MA660</v>
      </c>
      <c r="BJ723" s="129" t="b">
        <f t="shared" si="740"/>
        <v>0</v>
      </c>
      <c r="BK723" s="128" t="str">
        <f t="shared" si="23"/>
        <v/>
      </c>
      <c r="BL723" s="121"/>
      <c r="BM723" s="5" t="str">
        <f t="shared" si="24"/>
        <v>MISSING</v>
      </c>
      <c r="BN723" s="120" t="b">
        <f t="shared" si="25"/>
        <v>0</v>
      </c>
      <c r="BO723" s="131" t="b">
        <f t="shared" si="26"/>
        <v>1</v>
      </c>
      <c r="BP723" s="121"/>
      <c r="BQ723" s="132" t="str">
        <f>VLOOKUP(A723,RAW_APS!A$3:O826,15,FALSE)</f>
        <v/>
      </c>
      <c r="BR723" s="120" t="b">
        <f t="shared" si="27"/>
        <v>1</v>
      </c>
      <c r="BS723" s="121"/>
      <c r="BT723" s="138" t="s">
        <v>244</v>
      </c>
      <c r="BU723" s="10" t="b">
        <f t="shared" si="28"/>
        <v>1</v>
      </c>
      <c r="BV723" s="120"/>
      <c r="BW723" s="120"/>
      <c r="BX723" s="120"/>
      <c r="BY723" s="120"/>
      <c r="BZ723" s="120"/>
      <c r="CA723" s="120"/>
      <c r="CB723" s="120"/>
      <c r="CC723" s="120"/>
    </row>
    <row r="724">
      <c r="A724" s="2" t="s">
        <v>1976</v>
      </c>
      <c r="B724" s="100">
        <v>44627.0</v>
      </c>
      <c r="C724" s="101">
        <v>0.27618055555555554</v>
      </c>
      <c r="D724" s="102"/>
      <c r="E724" s="102"/>
      <c r="F724" s="102"/>
      <c r="G724" s="102"/>
      <c r="H724" s="102"/>
      <c r="I724" s="103"/>
      <c r="J724" s="103"/>
      <c r="K724" s="2" t="s">
        <v>244</v>
      </c>
      <c r="L724" s="100">
        <v>44627.0</v>
      </c>
      <c r="M724" s="101">
        <v>0.4778935185185185</v>
      </c>
      <c r="P724" s="104" t="b">
        <f>IFNA(IF(VLOOKUP($A724,'Add from APT'!$AA$2:$AC826,3,FALSE)&gt;0,TRUE,FALSE),"ER - NOT IN APT")</f>
        <v>0</v>
      </c>
      <c r="Q724" s="105" t="str">
        <f>IF(ISLOGICAL(P724),IF(P724,"ER - REPS IN APT", IFNA(VLOOKUP($A724,RAW_APT!$A$3:$M826,7,FALSE),"ER - NOT IN APT")),P724)</f>
        <v>Result</v>
      </c>
      <c r="R724" s="106" t="b">
        <f t="shared" si="2"/>
        <v>1</v>
      </c>
      <c r="S724" s="107">
        <f t="shared" si="3"/>
        <v>1</v>
      </c>
      <c r="T724" s="143"/>
      <c r="U724" s="142"/>
      <c r="V724" s="142"/>
      <c r="W724" s="142"/>
      <c r="X724" s="110" t="b">
        <f t="shared" si="4"/>
        <v>0</v>
      </c>
      <c r="Y724" s="111" t="b">
        <v>0</v>
      </c>
      <c r="Z724" s="104" t="str">
        <f t="shared" si="5"/>
        <v/>
      </c>
      <c r="AA724" s="112" t="b">
        <f t="shared" si="6"/>
        <v>0</v>
      </c>
      <c r="AB724" s="142" t="b">
        <v>0</v>
      </c>
      <c r="AC724" s="140">
        <v>99.0</v>
      </c>
      <c r="AD724" s="141" t="b">
        <v>0</v>
      </c>
      <c r="AE724" s="115">
        <f t="shared" si="7"/>
        <v>290.4666667</v>
      </c>
      <c r="AF724" s="116" t="b">
        <f t="shared" si="8"/>
        <v>0</v>
      </c>
      <c r="AG724" s="105" t="b">
        <f t="shared" si="9"/>
        <v>0</v>
      </c>
      <c r="AH724" s="140"/>
      <c r="AI724" s="140"/>
      <c r="AJ724" s="140"/>
      <c r="AK724" s="117" t="str">
        <f t="shared" si="10"/>
        <v>Negative</v>
      </c>
      <c r="AL724" s="142"/>
      <c r="AM724" s="112" t="s">
        <v>1374</v>
      </c>
      <c r="AN724" s="112" t="s">
        <v>1375</v>
      </c>
      <c r="AO724" s="112" t="str">
        <f>IFERROR(__xludf.DUMMYFUNCTION("IF($AG724, ""DELETED"",TRIM(JOIN("" "",D724:E724)))"),"")</f>
        <v/>
      </c>
      <c r="AP724" s="112" t="str">
        <f t="shared" ref="AP724:AQ724" si="750">IF($AG724, "DELETED", TRIM(CONCATENATE(F724,I724,U724)))</f>
        <v/>
      </c>
      <c r="AQ724" s="112" t="str">
        <f t="shared" si="750"/>
        <v/>
      </c>
      <c r="AR724" s="112" t="str">
        <f>IFERROR(__xludf.DUMMYFUNCTION("IF($AG724, ""DELETED"", TRIM(JOIN("" "",AP724,AQ724)))"),"")</f>
        <v/>
      </c>
      <c r="AS724" s="118"/>
      <c r="AT724" s="110" t="b">
        <f t="shared" si="12"/>
        <v>0</v>
      </c>
      <c r="AU724" s="110" t="str">
        <f t="shared" si="13"/>
        <v/>
      </c>
      <c r="AV724" s="110" t="str">
        <f t="shared" si="14"/>
        <v/>
      </c>
      <c r="AW724" s="110" t="str">
        <f t="shared" si="15"/>
        <v/>
      </c>
      <c r="AX724" s="119" t="str">
        <f t="shared" si="16"/>
        <v/>
      </c>
      <c r="AY724" s="120"/>
      <c r="AZ724" s="121"/>
      <c r="BA724" s="122" t="str">
        <f t="shared" si="17"/>
        <v/>
      </c>
      <c r="BB724" s="34"/>
      <c r="BC724" s="121"/>
      <c r="BD724" s="136"/>
      <c r="BE724" s="125" t="str">
        <f t="shared" si="18"/>
        <v/>
      </c>
      <c r="BF724" s="126" t="str">
        <f t="shared" si="19"/>
        <v>MA350__44627_0.276180555555556</v>
      </c>
      <c r="BG724" s="127" t="str">
        <f t="shared" si="20"/>
        <v/>
      </c>
      <c r="BH724" s="137" t="s">
        <v>1977</v>
      </c>
      <c r="BI724" s="128" t="str">
        <f t="shared" si="21"/>
        <v>MA683</v>
      </c>
      <c r="BJ724" s="129" t="b">
        <f t="shared" si="740"/>
        <v>0</v>
      </c>
      <c r="BK724" s="128" t="str">
        <f t="shared" si="23"/>
        <v/>
      </c>
      <c r="BL724" s="121"/>
      <c r="BM724" s="5" t="str">
        <f t="shared" si="24"/>
        <v>MISSING</v>
      </c>
      <c r="BN724" s="120" t="b">
        <f t="shared" si="25"/>
        <v>0</v>
      </c>
      <c r="BO724" s="131" t="b">
        <f t="shared" si="26"/>
        <v>1</v>
      </c>
      <c r="BP724" s="121"/>
      <c r="BQ724" s="132" t="str">
        <f>VLOOKUP(A724,RAW_APS!A$3:O826,15,FALSE)</f>
        <v/>
      </c>
      <c r="BR724" s="120" t="b">
        <f t="shared" si="27"/>
        <v>1</v>
      </c>
      <c r="BS724" s="121"/>
      <c r="BT724" s="138" t="s">
        <v>244</v>
      </c>
      <c r="BU724" s="10" t="b">
        <f t="shared" si="28"/>
        <v>1</v>
      </c>
      <c r="BV724" s="120"/>
      <c r="BW724" s="120"/>
      <c r="BX724" s="120"/>
      <c r="BY724" s="120"/>
      <c r="BZ724" s="120"/>
      <c r="CA724" s="120"/>
      <c r="CB724" s="120"/>
      <c r="CC724" s="120"/>
    </row>
    <row r="725">
      <c r="A725" s="2" t="s">
        <v>1978</v>
      </c>
      <c r="B725" s="100">
        <v>44627.0</v>
      </c>
      <c r="C725" s="101">
        <v>0.28903935185185187</v>
      </c>
      <c r="D725" s="102"/>
      <c r="E725" s="102"/>
      <c r="F725" s="102"/>
      <c r="G725" s="102"/>
      <c r="H725" s="102"/>
      <c r="I725" s="103"/>
      <c r="J725" s="103"/>
      <c r="K725" s="2" t="s">
        <v>244</v>
      </c>
      <c r="L725" s="100">
        <v>44627.0</v>
      </c>
      <c r="M725" s="101">
        <v>0.4778935185185185</v>
      </c>
      <c r="P725" s="104" t="b">
        <f>IFNA(IF(VLOOKUP($A725,'Add from APT'!$AA$2:$AC826,3,FALSE)&gt;0,TRUE,FALSE),"ER - NOT IN APT")</f>
        <v>0</v>
      </c>
      <c r="Q725" s="105" t="str">
        <f>IF(ISLOGICAL(P725),IF(P725,"ER - REPS IN APT", IFNA(VLOOKUP($A725,RAW_APT!$A$3:$M826,7,FALSE),"ER - NOT IN APT")),P725)</f>
        <v>Result</v>
      </c>
      <c r="R725" s="106" t="b">
        <f t="shared" si="2"/>
        <v>1</v>
      </c>
      <c r="S725" s="107">
        <f t="shared" si="3"/>
        <v>1</v>
      </c>
      <c r="T725" s="143"/>
      <c r="U725" s="142"/>
      <c r="V725" s="142"/>
      <c r="W725" s="142"/>
      <c r="X725" s="110" t="b">
        <f t="shared" si="4"/>
        <v>0</v>
      </c>
      <c r="Y725" s="111" t="b">
        <v>0</v>
      </c>
      <c r="Z725" s="104" t="str">
        <f t="shared" si="5"/>
        <v/>
      </c>
      <c r="AA725" s="112" t="b">
        <f t="shared" si="6"/>
        <v>0</v>
      </c>
      <c r="AB725" s="142" t="b">
        <v>0</v>
      </c>
      <c r="AC725" s="140">
        <v>98.0</v>
      </c>
      <c r="AD725" s="141" t="b">
        <v>0</v>
      </c>
      <c r="AE725" s="115">
        <f t="shared" si="7"/>
        <v>271.95</v>
      </c>
      <c r="AF725" s="116" t="b">
        <f t="shared" si="8"/>
        <v>0</v>
      </c>
      <c r="AG725" s="105" t="b">
        <f t="shared" si="9"/>
        <v>0</v>
      </c>
      <c r="AH725" s="140"/>
      <c r="AI725" s="140"/>
      <c r="AJ725" s="140"/>
      <c r="AK725" s="117" t="str">
        <f t="shared" si="10"/>
        <v>Negative</v>
      </c>
      <c r="AL725" s="142"/>
      <c r="AM725" s="112" t="s">
        <v>356</v>
      </c>
      <c r="AN725" s="112" t="s">
        <v>357</v>
      </c>
      <c r="AO725" s="112" t="str">
        <f>IFERROR(__xludf.DUMMYFUNCTION("IF($AG725, ""DELETED"",TRIM(JOIN("" "",D725:E725)))"),"")</f>
        <v/>
      </c>
      <c r="AP725" s="112" t="str">
        <f t="shared" ref="AP725:AQ725" si="751">IF($AG725, "DELETED", TRIM(CONCATENATE(F725,I725,U725)))</f>
        <v/>
      </c>
      <c r="AQ725" s="112" t="str">
        <f t="shared" si="751"/>
        <v/>
      </c>
      <c r="AR725" s="112" t="str">
        <f>IFERROR(__xludf.DUMMYFUNCTION("IF($AG725, ""DELETED"", TRIM(JOIN("" "",AP725,AQ725)))"),"")</f>
        <v/>
      </c>
      <c r="AS725" s="118"/>
      <c r="AT725" s="110" t="b">
        <f t="shared" si="12"/>
        <v>0</v>
      </c>
      <c r="AU725" s="110" t="str">
        <f t="shared" si="13"/>
        <v/>
      </c>
      <c r="AV725" s="110" t="str">
        <f t="shared" si="14"/>
        <v/>
      </c>
      <c r="AW725" s="110" t="str">
        <f t="shared" si="15"/>
        <v/>
      </c>
      <c r="AX725" s="119" t="str">
        <f t="shared" si="16"/>
        <v/>
      </c>
      <c r="AY725" s="120"/>
      <c r="AZ725" s="121"/>
      <c r="BA725" s="122" t="str">
        <f t="shared" si="17"/>
        <v/>
      </c>
      <c r="BB725" s="34"/>
      <c r="BC725" s="121"/>
      <c r="BD725" s="136"/>
      <c r="BE725" s="125" t="str">
        <f t="shared" si="18"/>
        <v/>
      </c>
      <c r="BF725" s="126" t="str">
        <f t="shared" si="19"/>
        <v>FM380__44627_0.289039351851852</v>
      </c>
      <c r="BG725" s="127" t="str">
        <f t="shared" si="20"/>
        <v/>
      </c>
      <c r="BH725" s="137" t="s">
        <v>1979</v>
      </c>
      <c r="BI725" s="128" t="str">
        <f t="shared" si="21"/>
        <v>MA690</v>
      </c>
      <c r="BJ725" s="129" t="b">
        <f t="shared" si="740"/>
        <v>0</v>
      </c>
      <c r="BK725" s="128" t="str">
        <f t="shared" si="23"/>
        <v/>
      </c>
      <c r="BL725" s="121"/>
      <c r="BM725" s="5" t="str">
        <f t="shared" si="24"/>
        <v>MISSING</v>
      </c>
      <c r="BN725" s="120" t="b">
        <f t="shared" si="25"/>
        <v>0</v>
      </c>
      <c r="BO725" s="131" t="b">
        <f t="shared" si="26"/>
        <v>1</v>
      </c>
      <c r="BP725" s="121"/>
      <c r="BQ725" s="132" t="str">
        <f>VLOOKUP(A725,RAW_APS!A$3:O826,15,FALSE)</f>
        <v/>
      </c>
      <c r="BR725" s="120" t="b">
        <f t="shared" si="27"/>
        <v>1</v>
      </c>
      <c r="BS725" s="121"/>
      <c r="BT725" s="138" t="s">
        <v>244</v>
      </c>
      <c r="BU725" s="10" t="b">
        <f t="shared" si="28"/>
        <v>1</v>
      </c>
      <c r="BV725" s="120"/>
      <c r="BW725" s="120"/>
      <c r="BX725" s="120"/>
      <c r="BY725" s="120"/>
      <c r="BZ725" s="120"/>
      <c r="CA725" s="120"/>
      <c r="CB725" s="120"/>
      <c r="CC725" s="120"/>
    </row>
    <row r="726">
      <c r="A726" s="2" t="s">
        <v>1980</v>
      </c>
      <c r="B726" s="100">
        <v>44627.0</v>
      </c>
      <c r="C726" s="101">
        <v>0.29409722222222223</v>
      </c>
      <c r="D726" s="102"/>
      <c r="E726" s="102"/>
      <c r="F726" s="102"/>
      <c r="G726" s="102"/>
      <c r="H726" s="102"/>
      <c r="I726" s="103"/>
      <c r="J726" s="103"/>
      <c r="K726" s="2" t="s">
        <v>244</v>
      </c>
      <c r="L726" s="100">
        <v>44627.0</v>
      </c>
      <c r="M726" s="101">
        <v>0.4778935185185185</v>
      </c>
      <c r="P726" s="104" t="b">
        <f>IFNA(IF(VLOOKUP($A726,'Add from APT'!$AA$2:$AC826,3,FALSE)&gt;0,TRUE,FALSE),"ER - NOT IN APT")</f>
        <v>0</v>
      </c>
      <c r="Q726" s="105" t="str">
        <f>IF(ISLOGICAL(P726),IF(P726,"ER - REPS IN APT", IFNA(VLOOKUP($A726,RAW_APT!$A$3:$M826,7,FALSE),"ER - NOT IN APT")),P726)</f>
        <v>Result</v>
      </c>
      <c r="R726" s="106" t="b">
        <f t="shared" si="2"/>
        <v>1</v>
      </c>
      <c r="S726" s="107">
        <f t="shared" si="3"/>
        <v>1</v>
      </c>
      <c r="T726" s="143"/>
      <c r="U726" s="142"/>
      <c r="V726" s="142"/>
      <c r="W726" s="142"/>
      <c r="X726" s="110" t="b">
        <f t="shared" si="4"/>
        <v>0</v>
      </c>
      <c r="Y726" s="111" t="b">
        <v>0</v>
      </c>
      <c r="Z726" s="104" t="str">
        <f t="shared" si="5"/>
        <v/>
      </c>
      <c r="AA726" s="112" t="b">
        <f t="shared" si="6"/>
        <v>0</v>
      </c>
      <c r="AB726" s="142" t="b">
        <v>0</v>
      </c>
      <c r="AC726" s="140">
        <v>97.0</v>
      </c>
      <c r="AD726" s="141" t="b">
        <v>0</v>
      </c>
      <c r="AE726" s="115">
        <f t="shared" si="7"/>
        <v>264.6666667</v>
      </c>
      <c r="AF726" s="116" t="b">
        <f t="shared" si="8"/>
        <v>0</v>
      </c>
      <c r="AG726" s="105" t="b">
        <f t="shared" si="9"/>
        <v>0</v>
      </c>
      <c r="AH726" s="140"/>
      <c r="AI726" s="140"/>
      <c r="AJ726" s="140"/>
      <c r="AK726" s="117" t="str">
        <f t="shared" si="10"/>
        <v>Negative</v>
      </c>
      <c r="AL726" s="142"/>
      <c r="AM726" s="112" t="s">
        <v>1334</v>
      </c>
      <c r="AN726" s="112" t="s">
        <v>1335</v>
      </c>
      <c r="AO726" s="112" t="str">
        <f>IFERROR(__xludf.DUMMYFUNCTION("IF($AG726, ""DELETED"",TRIM(JOIN("" "",D726:E726)))"),"")</f>
        <v/>
      </c>
      <c r="AP726" s="112" t="str">
        <f t="shared" ref="AP726:AQ726" si="752">IF($AG726, "DELETED", TRIM(CONCATENATE(F726,I726,U726)))</f>
        <v/>
      </c>
      <c r="AQ726" s="112" t="str">
        <f t="shared" si="752"/>
        <v/>
      </c>
      <c r="AR726" s="112" t="str">
        <f>IFERROR(__xludf.DUMMYFUNCTION("IF($AG726, ""DELETED"", TRIM(JOIN("" "",AP726,AQ726)))"),"")</f>
        <v/>
      </c>
      <c r="AS726" s="118"/>
      <c r="AT726" s="110" t="b">
        <f t="shared" si="12"/>
        <v>0</v>
      </c>
      <c r="AU726" s="110" t="str">
        <f t="shared" si="13"/>
        <v/>
      </c>
      <c r="AV726" s="110" t="str">
        <f t="shared" si="14"/>
        <v/>
      </c>
      <c r="AW726" s="110" t="str">
        <f t="shared" si="15"/>
        <v/>
      </c>
      <c r="AX726" s="119" t="str">
        <f t="shared" si="16"/>
        <v/>
      </c>
      <c r="AY726" s="120"/>
      <c r="AZ726" s="121"/>
      <c r="BA726" s="122" t="str">
        <f t="shared" si="17"/>
        <v/>
      </c>
      <c r="BB726" s="34"/>
      <c r="BC726" s="121"/>
      <c r="BD726" s="136"/>
      <c r="BE726" s="125" t="str">
        <f t="shared" si="18"/>
        <v/>
      </c>
      <c r="BF726" s="126" t="str">
        <f t="shared" si="19"/>
        <v>FM400__44627_0.294097222222222</v>
      </c>
      <c r="BG726" s="127" t="str">
        <f t="shared" si="20"/>
        <v/>
      </c>
      <c r="BH726" s="137" t="s">
        <v>1981</v>
      </c>
      <c r="BI726" s="128" t="str">
        <f t="shared" si="21"/>
        <v>MA700</v>
      </c>
      <c r="BJ726" s="129" t="b">
        <f t="shared" si="740"/>
        <v>0</v>
      </c>
      <c r="BK726" s="128" t="str">
        <f t="shared" si="23"/>
        <v/>
      </c>
      <c r="BL726" s="121"/>
      <c r="BM726" s="5" t="str">
        <f t="shared" si="24"/>
        <v>MISSING</v>
      </c>
      <c r="BN726" s="120" t="b">
        <f t="shared" si="25"/>
        <v>0</v>
      </c>
      <c r="BO726" s="131" t="b">
        <f t="shared" si="26"/>
        <v>1</v>
      </c>
      <c r="BP726" s="121"/>
      <c r="BQ726" s="132" t="str">
        <f>VLOOKUP(A726,RAW_APS!A$3:O826,15,FALSE)</f>
        <v/>
      </c>
      <c r="BR726" s="120" t="b">
        <f t="shared" si="27"/>
        <v>1</v>
      </c>
      <c r="BS726" s="121"/>
      <c r="BT726" s="138" t="s">
        <v>244</v>
      </c>
      <c r="BU726" s="10" t="b">
        <f t="shared" si="28"/>
        <v>1</v>
      </c>
      <c r="BV726" s="120"/>
      <c r="BW726" s="120"/>
      <c r="BX726" s="120"/>
      <c r="BY726" s="120"/>
      <c r="BZ726" s="120"/>
      <c r="CA726" s="120"/>
      <c r="CB726" s="120"/>
      <c r="CC726" s="120"/>
    </row>
    <row r="727">
      <c r="A727" s="2" t="s">
        <v>1982</v>
      </c>
      <c r="B727" s="100">
        <v>44627.0</v>
      </c>
      <c r="C727" s="101">
        <v>0.2957175925925926</v>
      </c>
      <c r="D727" s="102"/>
      <c r="E727" s="102"/>
      <c r="F727" s="102"/>
      <c r="G727" s="102"/>
      <c r="H727" s="102"/>
      <c r="I727" s="103"/>
      <c r="J727" s="103"/>
      <c r="K727" s="2" t="s">
        <v>244</v>
      </c>
      <c r="L727" s="100">
        <v>44627.0</v>
      </c>
      <c r="M727" s="101">
        <v>0.4778935185185185</v>
      </c>
      <c r="P727" s="104" t="b">
        <f>IFNA(IF(VLOOKUP($A727,'Add from APT'!$AA$2:$AC826,3,FALSE)&gt;0,TRUE,FALSE),"ER - NOT IN APT")</f>
        <v>0</v>
      </c>
      <c r="Q727" s="105" t="str">
        <f>IF(ISLOGICAL(P727),IF(P727,"ER - REPS IN APT", IFNA(VLOOKUP($A727,RAW_APT!$A$3:$M826,7,FALSE),"ER - NOT IN APT")),P727)</f>
        <v>Result</v>
      </c>
      <c r="R727" s="106" t="b">
        <f t="shared" si="2"/>
        <v>1</v>
      </c>
      <c r="S727" s="107">
        <f t="shared" si="3"/>
        <v>1</v>
      </c>
      <c r="T727" s="143"/>
      <c r="U727" s="142"/>
      <c r="V727" s="142"/>
      <c r="W727" s="142"/>
      <c r="X727" s="110" t="b">
        <f t="shared" si="4"/>
        <v>0</v>
      </c>
      <c r="Y727" s="111" t="b">
        <v>0</v>
      </c>
      <c r="Z727" s="104" t="str">
        <f t="shared" si="5"/>
        <v/>
      </c>
      <c r="AA727" s="112" t="b">
        <f t="shared" si="6"/>
        <v>0</v>
      </c>
      <c r="AB727" s="142" t="b">
        <v>0</v>
      </c>
      <c r="AC727" s="140">
        <v>94.0</v>
      </c>
      <c r="AD727" s="141" t="b">
        <v>0</v>
      </c>
      <c r="AE727" s="115">
        <f t="shared" si="7"/>
        <v>262.3333333</v>
      </c>
      <c r="AF727" s="116" t="b">
        <f t="shared" si="8"/>
        <v>0</v>
      </c>
      <c r="AG727" s="105" t="b">
        <f t="shared" si="9"/>
        <v>0</v>
      </c>
      <c r="AH727" s="140"/>
      <c r="AI727" s="140"/>
      <c r="AJ727" s="140"/>
      <c r="AK727" s="117" t="str">
        <f t="shared" si="10"/>
        <v>Negative</v>
      </c>
      <c r="AL727" s="142"/>
      <c r="AM727" s="112" t="s">
        <v>806</v>
      </c>
      <c r="AN727" s="112" t="s">
        <v>807</v>
      </c>
      <c r="AO727" s="112" t="str">
        <f>IFERROR(__xludf.DUMMYFUNCTION("IF($AG727, ""DELETED"",TRIM(JOIN("" "",D727:E727)))"),"")</f>
        <v/>
      </c>
      <c r="AP727" s="112" t="str">
        <f t="shared" ref="AP727:AQ727" si="753">IF($AG727, "DELETED", TRIM(CONCATENATE(F727,I727,U727)))</f>
        <v/>
      </c>
      <c r="AQ727" s="112" t="str">
        <f t="shared" si="753"/>
        <v/>
      </c>
      <c r="AR727" s="112" t="str">
        <f>IFERROR(__xludf.DUMMYFUNCTION("IF($AG727, ""DELETED"", TRIM(JOIN("" "",AP727,AQ727)))"),"")</f>
        <v/>
      </c>
      <c r="AS727" s="118"/>
      <c r="AT727" s="110" t="b">
        <f t="shared" si="12"/>
        <v>0</v>
      </c>
      <c r="AU727" s="110" t="str">
        <f t="shared" si="13"/>
        <v/>
      </c>
      <c r="AV727" s="110" t="str">
        <f t="shared" si="14"/>
        <v/>
      </c>
      <c r="AW727" s="110" t="str">
        <f t="shared" si="15"/>
        <v/>
      </c>
      <c r="AX727" s="119" t="str">
        <f t="shared" si="16"/>
        <v/>
      </c>
      <c r="AY727" s="120"/>
      <c r="AZ727" s="121"/>
      <c r="BA727" s="122" t="str">
        <f t="shared" si="17"/>
        <v/>
      </c>
      <c r="BB727" s="34"/>
      <c r="BC727" s="121"/>
      <c r="BD727" s="136"/>
      <c r="BE727" s="125" t="str">
        <f t="shared" si="18"/>
        <v/>
      </c>
      <c r="BF727" s="126" t="str">
        <f t="shared" si="19"/>
        <v>FM2082__44627_0.295717592592593</v>
      </c>
      <c r="BG727" s="127" t="str">
        <f t="shared" si="20"/>
        <v/>
      </c>
      <c r="BH727" s="137" t="s">
        <v>1983</v>
      </c>
      <c r="BI727" s="128" t="str">
        <f t="shared" si="21"/>
        <v>MA705</v>
      </c>
      <c r="BJ727" s="129" t="b">
        <f t="shared" si="740"/>
        <v>0</v>
      </c>
      <c r="BK727" s="128" t="str">
        <f t="shared" si="23"/>
        <v/>
      </c>
      <c r="BL727" s="121"/>
      <c r="BM727" s="5" t="str">
        <f t="shared" si="24"/>
        <v>MISSING</v>
      </c>
      <c r="BN727" s="120" t="b">
        <f t="shared" si="25"/>
        <v>0</v>
      </c>
      <c r="BO727" s="131" t="b">
        <f t="shared" si="26"/>
        <v>1</v>
      </c>
      <c r="BP727" s="121"/>
      <c r="BQ727" s="132" t="str">
        <f>VLOOKUP(A727,RAW_APS!A$3:O826,15,FALSE)</f>
        <v/>
      </c>
      <c r="BR727" s="120" t="b">
        <f t="shared" si="27"/>
        <v>1</v>
      </c>
      <c r="BS727" s="121"/>
      <c r="BT727" s="138" t="s">
        <v>244</v>
      </c>
      <c r="BU727" s="10" t="b">
        <f t="shared" si="28"/>
        <v>1</v>
      </c>
      <c r="BV727" s="120"/>
      <c r="BW727" s="120"/>
      <c r="BX727" s="120"/>
      <c r="BY727" s="120"/>
      <c r="BZ727" s="120"/>
      <c r="CA727" s="120"/>
      <c r="CB727" s="120"/>
      <c r="CC727" s="120"/>
    </row>
    <row r="728">
      <c r="A728" s="2" t="s">
        <v>1984</v>
      </c>
      <c r="B728" s="100">
        <v>44627.0</v>
      </c>
      <c r="C728" s="101">
        <v>0.2964351851851852</v>
      </c>
      <c r="D728" s="102"/>
      <c r="E728" s="102"/>
      <c r="F728" s="102"/>
      <c r="G728" s="102"/>
      <c r="H728" s="102"/>
      <c r="I728" s="103"/>
      <c r="J728" s="103"/>
      <c r="K728" s="2" t="s">
        <v>244</v>
      </c>
      <c r="L728" s="100">
        <v>44627.0</v>
      </c>
      <c r="M728" s="101">
        <v>0.4778935185185185</v>
      </c>
      <c r="P728" s="104" t="b">
        <f>IFNA(IF(VLOOKUP($A728,'Add from APT'!$AA$2:$AC826,3,FALSE)&gt;0,TRUE,FALSE),"ER - NOT IN APT")</f>
        <v>0</v>
      </c>
      <c r="Q728" s="105" t="str">
        <f>IF(ISLOGICAL(P728),IF(P728,"ER - REPS IN APT", IFNA(VLOOKUP($A728,RAW_APT!$A$3:$M826,7,FALSE),"ER - NOT IN APT")),P728)</f>
        <v>Result</v>
      </c>
      <c r="R728" s="106" t="b">
        <f t="shared" si="2"/>
        <v>1</v>
      </c>
      <c r="S728" s="107">
        <f t="shared" si="3"/>
        <v>1</v>
      </c>
      <c r="T728" s="143"/>
      <c r="U728" s="142"/>
      <c r="V728" s="142"/>
      <c r="W728" s="142"/>
      <c r="X728" s="110" t="b">
        <f t="shared" si="4"/>
        <v>0</v>
      </c>
      <c r="Y728" s="111" t="b">
        <v>0</v>
      </c>
      <c r="Z728" s="104" t="str">
        <f t="shared" si="5"/>
        <v/>
      </c>
      <c r="AA728" s="112" t="b">
        <f t="shared" si="6"/>
        <v>0</v>
      </c>
      <c r="AB728" s="142" t="b">
        <v>0</v>
      </c>
      <c r="AC728" s="140">
        <v>96.0</v>
      </c>
      <c r="AD728" s="141" t="b">
        <v>0</v>
      </c>
      <c r="AE728" s="115">
        <f t="shared" si="7"/>
        <v>261.3</v>
      </c>
      <c r="AF728" s="116" t="b">
        <f t="shared" si="8"/>
        <v>0</v>
      </c>
      <c r="AG728" s="105" t="b">
        <f t="shared" si="9"/>
        <v>0</v>
      </c>
      <c r="AH728" s="140"/>
      <c r="AI728" s="140"/>
      <c r="AJ728" s="140"/>
      <c r="AK728" s="117" t="str">
        <f t="shared" si="10"/>
        <v>Negative</v>
      </c>
      <c r="AL728" s="142"/>
      <c r="AM728" s="112" t="s">
        <v>1358</v>
      </c>
      <c r="AN728" s="112" t="s">
        <v>1359</v>
      </c>
      <c r="AO728" s="112" t="str">
        <f>IFERROR(__xludf.DUMMYFUNCTION("IF($AG728, ""DELETED"",TRIM(JOIN("" "",D728:E728)))"),"")</f>
        <v/>
      </c>
      <c r="AP728" s="112" t="str">
        <f t="shared" ref="AP728:AQ728" si="754">IF($AG728, "DELETED", TRIM(CONCATENATE(F728,I728,U728)))</f>
        <v/>
      </c>
      <c r="AQ728" s="112" t="str">
        <f t="shared" si="754"/>
        <v/>
      </c>
      <c r="AR728" s="112" t="str">
        <f>IFERROR(__xludf.DUMMYFUNCTION("IF($AG728, ""DELETED"", TRIM(JOIN("" "",AP728,AQ728)))"),"")</f>
        <v/>
      </c>
      <c r="AS728" s="118"/>
      <c r="AT728" s="110" t="b">
        <f t="shared" si="12"/>
        <v>0</v>
      </c>
      <c r="AU728" s="110" t="str">
        <f t="shared" si="13"/>
        <v/>
      </c>
      <c r="AV728" s="110" t="str">
        <f t="shared" si="14"/>
        <v/>
      </c>
      <c r="AW728" s="110" t="str">
        <f t="shared" si="15"/>
        <v/>
      </c>
      <c r="AX728" s="119" t="str">
        <f t="shared" si="16"/>
        <v/>
      </c>
      <c r="AY728" s="120"/>
      <c r="AZ728" s="121"/>
      <c r="BA728" s="122" t="str">
        <f t="shared" si="17"/>
        <v/>
      </c>
      <c r="BB728" s="34"/>
      <c r="BC728" s="121"/>
      <c r="BD728" s="136"/>
      <c r="BE728" s="125" t="str">
        <f t="shared" si="18"/>
        <v/>
      </c>
      <c r="BF728" s="126" t="str">
        <f t="shared" si="19"/>
        <v>FM417__44627_0.296435185185185</v>
      </c>
      <c r="BG728" s="127" t="str">
        <f t="shared" si="20"/>
        <v/>
      </c>
      <c r="BH728" s="137" t="s">
        <v>1985</v>
      </c>
      <c r="BI728" s="128" t="str">
        <f t="shared" si="21"/>
        <v>MA707</v>
      </c>
      <c r="BJ728" s="129" t="b">
        <f t="shared" si="740"/>
        <v>0</v>
      </c>
      <c r="BK728" s="128" t="str">
        <f t="shared" si="23"/>
        <v/>
      </c>
      <c r="BL728" s="121"/>
      <c r="BM728" s="5" t="str">
        <f t="shared" si="24"/>
        <v>MISSING</v>
      </c>
      <c r="BN728" s="120" t="b">
        <f t="shared" si="25"/>
        <v>0</v>
      </c>
      <c r="BO728" s="131" t="b">
        <f t="shared" si="26"/>
        <v>1</v>
      </c>
      <c r="BP728" s="121"/>
      <c r="BQ728" s="132" t="str">
        <f>VLOOKUP(A728,RAW_APS!A$3:O826,15,FALSE)</f>
        <v/>
      </c>
      <c r="BR728" s="120" t="b">
        <f t="shared" si="27"/>
        <v>1</v>
      </c>
      <c r="BS728" s="121"/>
      <c r="BT728" s="138" t="s">
        <v>244</v>
      </c>
      <c r="BU728" s="10" t="b">
        <f t="shared" si="28"/>
        <v>1</v>
      </c>
      <c r="BV728" s="120"/>
      <c r="BW728" s="120"/>
      <c r="BX728" s="120"/>
      <c r="BY728" s="120"/>
      <c r="BZ728" s="120"/>
      <c r="CA728" s="120"/>
      <c r="CB728" s="120"/>
      <c r="CC728" s="120"/>
    </row>
    <row r="729">
      <c r="A729" s="2" t="s">
        <v>1986</v>
      </c>
      <c r="B729" s="100">
        <v>44627.0</v>
      </c>
      <c r="C729" s="101">
        <v>0.2971412037037037</v>
      </c>
      <c r="D729" s="102"/>
      <c r="E729" s="102"/>
      <c r="F729" s="102"/>
      <c r="G729" s="102"/>
      <c r="H729" s="102"/>
      <c r="I729" s="103"/>
      <c r="J729" s="103"/>
      <c r="K729" s="2" t="s">
        <v>244</v>
      </c>
      <c r="L729" s="100">
        <v>44627.0</v>
      </c>
      <c r="M729" s="101">
        <v>0.4778935185185185</v>
      </c>
      <c r="P729" s="104" t="b">
        <f>IFNA(IF(VLOOKUP($A729,'Add from APT'!$AA$2:$AC826,3,FALSE)&gt;0,TRUE,FALSE),"ER - NOT IN APT")</f>
        <v>0</v>
      </c>
      <c r="Q729" s="105" t="str">
        <f>IF(ISLOGICAL(P729),IF(P729,"ER - REPS IN APT", IFNA(VLOOKUP($A729,RAW_APT!$A$3:$M826,7,FALSE),"ER - NOT IN APT")),P729)</f>
        <v>Result</v>
      </c>
      <c r="R729" s="106" t="b">
        <f t="shared" si="2"/>
        <v>1</v>
      </c>
      <c r="S729" s="107">
        <f t="shared" si="3"/>
        <v>1</v>
      </c>
      <c r="T729" s="143"/>
      <c r="U729" s="142"/>
      <c r="V729" s="142"/>
      <c r="W729" s="142"/>
      <c r="X729" s="110" t="b">
        <f t="shared" si="4"/>
        <v>0</v>
      </c>
      <c r="Y729" s="111" t="b">
        <v>0</v>
      </c>
      <c r="Z729" s="104" t="str">
        <f t="shared" si="5"/>
        <v/>
      </c>
      <c r="AA729" s="112" t="b">
        <f t="shared" si="6"/>
        <v>0</v>
      </c>
      <c r="AB729" s="142" t="b">
        <v>0</v>
      </c>
      <c r="AC729" s="140">
        <v>95.0</v>
      </c>
      <c r="AD729" s="141" t="b">
        <v>0</v>
      </c>
      <c r="AE729" s="115">
        <f t="shared" si="7"/>
        <v>260.2833333</v>
      </c>
      <c r="AF729" s="116" t="b">
        <f t="shared" si="8"/>
        <v>0</v>
      </c>
      <c r="AG729" s="105" t="b">
        <f t="shared" si="9"/>
        <v>0</v>
      </c>
      <c r="AH729" s="140"/>
      <c r="AI729" s="140"/>
      <c r="AJ729" s="140"/>
      <c r="AK729" s="117" t="str">
        <f t="shared" si="10"/>
        <v>Negative</v>
      </c>
      <c r="AL729" s="142"/>
      <c r="AM729" s="112" t="s">
        <v>854</v>
      </c>
      <c r="AN729" s="112" t="s">
        <v>687</v>
      </c>
      <c r="AO729" s="112" t="str">
        <f>IFERROR(__xludf.DUMMYFUNCTION("IF($AG729, ""DELETED"",TRIM(JOIN("" "",D729:E729)))"),"")</f>
        <v/>
      </c>
      <c r="AP729" s="112" t="str">
        <f t="shared" ref="AP729:AQ729" si="755">IF($AG729, "DELETED", TRIM(CONCATENATE(F729,I729,U729)))</f>
        <v/>
      </c>
      <c r="AQ729" s="112" t="str">
        <f t="shared" si="755"/>
        <v/>
      </c>
      <c r="AR729" s="112" t="str">
        <f>IFERROR(__xludf.DUMMYFUNCTION("IF($AG729, ""DELETED"", TRIM(JOIN("" "",AP729,AQ729)))"),"")</f>
        <v/>
      </c>
      <c r="AS729" s="118"/>
      <c r="AT729" s="110" t="b">
        <f t="shared" si="12"/>
        <v>0</v>
      </c>
      <c r="AU729" s="110" t="str">
        <f t="shared" si="13"/>
        <v/>
      </c>
      <c r="AV729" s="110" t="str">
        <f t="shared" si="14"/>
        <v/>
      </c>
      <c r="AW729" s="110" t="str">
        <f t="shared" si="15"/>
        <v/>
      </c>
      <c r="AX729" s="119" t="str">
        <f t="shared" si="16"/>
        <v/>
      </c>
      <c r="AY729" s="120"/>
      <c r="AZ729" s="121"/>
      <c r="BA729" s="122" t="str">
        <f t="shared" si="17"/>
        <v/>
      </c>
      <c r="BB729" s="34"/>
      <c r="BC729" s="121"/>
      <c r="BD729" s="136"/>
      <c r="BE729" s="125" t="str">
        <f t="shared" si="18"/>
        <v/>
      </c>
      <c r="BF729" s="126" t="str">
        <f t="shared" si="19"/>
        <v>FM476__44627_0.297141203703704</v>
      </c>
      <c r="BG729" s="127" t="str">
        <f t="shared" si="20"/>
        <v/>
      </c>
      <c r="BH729" s="137" t="s">
        <v>1987</v>
      </c>
      <c r="BI729" s="128" t="str">
        <f t="shared" si="21"/>
        <v>MA711</v>
      </c>
      <c r="BJ729" s="129" t="b">
        <f t="shared" si="740"/>
        <v>0</v>
      </c>
      <c r="BK729" s="128" t="str">
        <f t="shared" si="23"/>
        <v/>
      </c>
      <c r="BL729" s="121"/>
      <c r="BM729" s="5" t="str">
        <f t="shared" si="24"/>
        <v>MISSING</v>
      </c>
      <c r="BN729" s="120" t="b">
        <f t="shared" si="25"/>
        <v>0</v>
      </c>
      <c r="BO729" s="131" t="b">
        <f t="shared" si="26"/>
        <v>1</v>
      </c>
      <c r="BP729" s="121"/>
      <c r="BQ729" s="132" t="str">
        <f>VLOOKUP(A729,RAW_APS!A$3:O826,15,FALSE)</f>
        <v/>
      </c>
      <c r="BR729" s="120" t="b">
        <f t="shared" si="27"/>
        <v>1</v>
      </c>
      <c r="BS729" s="121"/>
      <c r="BT729" s="138" t="s">
        <v>244</v>
      </c>
      <c r="BU729" s="10" t="b">
        <f t="shared" si="28"/>
        <v>1</v>
      </c>
      <c r="BV729" s="120"/>
      <c r="BW729" s="120"/>
      <c r="BX729" s="120"/>
      <c r="BY729" s="120"/>
      <c r="BZ729" s="120"/>
      <c r="CA729" s="120"/>
      <c r="CB729" s="120"/>
      <c r="CC729" s="120"/>
    </row>
    <row r="730">
      <c r="A730" s="2" t="s">
        <v>1988</v>
      </c>
      <c r="B730" s="100">
        <v>44627.0</v>
      </c>
      <c r="C730" s="101">
        <v>0.3037152777777778</v>
      </c>
      <c r="D730" s="102"/>
      <c r="E730" s="102"/>
      <c r="F730" s="102"/>
      <c r="G730" s="102"/>
      <c r="H730" s="102"/>
      <c r="I730" s="103"/>
      <c r="J730" s="103"/>
      <c r="K730" s="2" t="s">
        <v>244</v>
      </c>
      <c r="L730" s="100">
        <v>44627.0</v>
      </c>
      <c r="M730" s="101">
        <v>0.4778935185185185</v>
      </c>
      <c r="P730" s="104" t="b">
        <f>IFNA(IF(VLOOKUP($A730,'Add from APT'!$AA$2:$AC826,3,FALSE)&gt;0,TRUE,FALSE),"ER - NOT IN APT")</f>
        <v>0</v>
      </c>
      <c r="Q730" s="105" t="str">
        <f>IF(ISLOGICAL(P730),IF(P730,"ER - REPS IN APT", IFNA(VLOOKUP($A730,RAW_APT!$A$3:$M826,7,FALSE),"ER - NOT IN APT")),P730)</f>
        <v>Result</v>
      </c>
      <c r="R730" s="106" t="b">
        <f t="shared" si="2"/>
        <v>1</v>
      </c>
      <c r="S730" s="107">
        <f t="shared" si="3"/>
        <v>1</v>
      </c>
      <c r="T730" s="143"/>
      <c r="U730" s="142"/>
      <c r="V730" s="142"/>
      <c r="W730" s="142"/>
      <c r="X730" s="110" t="b">
        <f t="shared" si="4"/>
        <v>0</v>
      </c>
      <c r="Y730" s="111" t="b">
        <v>0</v>
      </c>
      <c r="Z730" s="104" t="str">
        <f t="shared" si="5"/>
        <v/>
      </c>
      <c r="AA730" s="112" t="b">
        <f t="shared" si="6"/>
        <v>0</v>
      </c>
      <c r="AB730" s="142" t="b">
        <v>0</v>
      </c>
      <c r="AC730" s="140">
        <v>93.0</v>
      </c>
      <c r="AD730" s="141" t="b">
        <v>0</v>
      </c>
      <c r="AE730" s="115">
        <f t="shared" si="7"/>
        <v>250.8166667</v>
      </c>
      <c r="AF730" s="116" t="b">
        <f t="shared" si="8"/>
        <v>0</v>
      </c>
      <c r="AG730" s="105" t="b">
        <f t="shared" si="9"/>
        <v>0</v>
      </c>
      <c r="AH730" s="140"/>
      <c r="AI730" s="140"/>
      <c r="AJ730" s="140"/>
      <c r="AK730" s="117" t="str">
        <f t="shared" si="10"/>
        <v>Negative</v>
      </c>
      <c r="AL730" s="142"/>
      <c r="AM730" s="112" t="s">
        <v>390</v>
      </c>
      <c r="AN730" s="112" t="s">
        <v>391</v>
      </c>
      <c r="AO730" s="112" t="str">
        <f>IFERROR(__xludf.DUMMYFUNCTION("IF($AG730, ""DELETED"",TRIM(JOIN("" "",D730:E730)))"),"")</f>
        <v/>
      </c>
      <c r="AP730" s="112" t="str">
        <f t="shared" ref="AP730:AQ730" si="756">IF($AG730, "DELETED", TRIM(CONCATENATE(F730,I730,U730)))</f>
        <v/>
      </c>
      <c r="AQ730" s="112" t="str">
        <f t="shared" si="756"/>
        <v/>
      </c>
      <c r="AR730" s="112" t="str">
        <f>IFERROR(__xludf.DUMMYFUNCTION("IF($AG730, ""DELETED"", TRIM(JOIN("" "",AP730,AQ730)))"),"")</f>
        <v/>
      </c>
      <c r="AS730" s="118"/>
      <c r="AT730" s="110" t="b">
        <f t="shared" si="12"/>
        <v>0</v>
      </c>
      <c r="AU730" s="110" t="str">
        <f t="shared" si="13"/>
        <v/>
      </c>
      <c r="AV730" s="110" t="str">
        <f t="shared" si="14"/>
        <v/>
      </c>
      <c r="AW730" s="110" t="str">
        <f t="shared" si="15"/>
        <v/>
      </c>
      <c r="AX730" s="119" t="str">
        <f t="shared" si="16"/>
        <v/>
      </c>
      <c r="AY730" s="120"/>
      <c r="AZ730" s="121"/>
      <c r="BA730" s="122" t="str">
        <f t="shared" si="17"/>
        <v/>
      </c>
      <c r="BB730" s="34"/>
      <c r="BC730" s="121"/>
      <c r="BD730" s="136"/>
      <c r="BE730" s="125" t="str">
        <f t="shared" si="18"/>
        <v/>
      </c>
      <c r="BF730" s="126" t="str">
        <f t="shared" si="19"/>
        <v>FM388__44627_0.303715277777778</v>
      </c>
      <c r="BG730" s="127" t="str">
        <f t="shared" si="20"/>
        <v/>
      </c>
      <c r="BH730" s="137" t="s">
        <v>1989</v>
      </c>
      <c r="BI730" s="128" t="str">
        <f t="shared" si="21"/>
        <v>MA727</v>
      </c>
      <c r="BJ730" s="129" t="b">
        <f t="shared" si="740"/>
        <v>0</v>
      </c>
      <c r="BK730" s="128" t="str">
        <f t="shared" si="23"/>
        <v/>
      </c>
      <c r="BL730" s="121"/>
      <c r="BM730" s="5" t="str">
        <f t="shared" si="24"/>
        <v>MISSING</v>
      </c>
      <c r="BN730" s="120" t="b">
        <f t="shared" si="25"/>
        <v>0</v>
      </c>
      <c r="BO730" s="131" t="b">
        <f t="shared" si="26"/>
        <v>1</v>
      </c>
      <c r="BP730" s="121"/>
      <c r="BQ730" s="132" t="str">
        <f>VLOOKUP(A730,RAW_APS!A$3:O826,15,FALSE)</f>
        <v/>
      </c>
      <c r="BR730" s="120" t="b">
        <f t="shared" si="27"/>
        <v>1</v>
      </c>
      <c r="BS730" s="121"/>
      <c r="BT730" s="138" t="s">
        <v>244</v>
      </c>
      <c r="BU730" s="10" t="b">
        <f t="shared" si="28"/>
        <v>1</v>
      </c>
      <c r="BV730" s="120"/>
      <c r="BW730" s="120"/>
      <c r="BX730" s="120"/>
      <c r="BY730" s="120"/>
      <c r="BZ730" s="120"/>
      <c r="CA730" s="120"/>
      <c r="CB730" s="120"/>
      <c r="CC730" s="120"/>
    </row>
    <row r="731">
      <c r="A731" s="2" t="s">
        <v>1990</v>
      </c>
      <c r="B731" s="100">
        <v>44627.0</v>
      </c>
      <c r="C731" s="101">
        <v>0.3088194444444444</v>
      </c>
      <c r="D731" s="102"/>
      <c r="E731" s="102"/>
      <c r="F731" s="102"/>
      <c r="G731" s="102"/>
      <c r="H731" s="102"/>
      <c r="I731" s="103"/>
      <c r="J731" s="103"/>
      <c r="K731" s="2" t="s">
        <v>244</v>
      </c>
      <c r="L731" s="100">
        <v>44627.0</v>
      </c>
      <c r="M731" s="101">
        <v>0.4778935185185185</v>
      </c>
      <c r="P731" s="104" t="b">
        <f>IFNA(IF(VLOOKUP($A731,'Add from APT'!$AA$2:$AC826,3,FALSE)&gt;0,TRUE,FALSE),"ER - NOT IN APT")</f>
        <v>0</v>
      </c>
      <c r="Q731" s="105" t="str">
        <f>IF(ISLOGICAL(P731),IF(P731,"ER - REPS IN APT", IFNA(VLOOKUP($A731,RAW_APT!$A$3:$M826,7,FALSE),"ER - NOT IN APT")),P731)</f>
        <v>Result</v>
      </c>
      <c r="R731" s="106" t="b">
        <f t="shared" si="2"/>
        <v>1</v>
      </c>
      <c r="S731" s="107">
        <f t="shared" si="3"/>
        <v>1</v>
      </c>
      <c r="T731" s="143"/>
      <c r="U731" s="142"/>
      <c r="V731" s="142"/>
      <c r="W731" s="142"/>
      <c r="X731" s="110" t="b">
        <f t="shared" si="4"/>
        <v>0</v>
      </c>
      <c r="Y731" s="111" t="b">
        <v>0</v>
      </c>
      <c r="Z731" s="104" t="str">
        <f t="shared" si="5"/>
        <v/>
      </c>
      <c r="AA731" s="112" t="b">
        <f t="shared" si="6"/>
        <v>0</v>
      </c>
      <c r="AB731" s="142" t="b">
        <v>0</v>
      </c>
      <c r="AC731" s="140">
        <v>92.0</v>
      </c>
      <c r="AD731" s="141" t="b">
        <v>0</v>
      </c>
      <c r="AE731" s="115">
        <f t="shared" si="7"/>
        <v>243.4666667</v>
      </c>
      <c r="AF731" s="116" t="b">
        <f t="shared" si="8"/>
        <v>0</v>
      </c>
      <c r="AG731" s="105" t="b">
        <f t="shared" si="9"/>
        <v>0</v>
      </c>
      <c r="AH731" s="140"/>
      <c r="AI731" s="140"/>
      <c r="AJ731" s="140"/>
      <c r="AK731" s="117" t="str">
        <f t="shared" si="10"/>
        <v>Negative</v>
      </c>
      <c r="AL731" s="142"/>
      <c r="AM731" s="112" t="s">
        <v>303</v>
      </c>
      <c r="AN731" s="112" t="s">
        <v>304</v>
      </c>
      <c r="AO731" s="112" t="str">
        <f>IFERROR(__xludf.DUMMYFUNCTION("IF($AG731, ""DELETED"",TRIM(JOIN("" "",D731:E731)))"),"")</f>
        <v/>
      </c>
      <c r="AP731" s="112" t="str">
        <f t="shared" ref="AP731:AQ731" si="757">IF($AG731, "DELETED", TRIM(CONCATENATE(F731,I731,U731)))</f>
        <v/>
      </c>
      <c r="AQ731" s="112" t="str">
        <f t="shared" si="757"/>
        <v/>
      </c>
      <c r="AR731" s="112" t="str">
        <f>IFERROR(__xludf.DUMMYFUNCTION("IF($AG731, ""DELETED"", TRIM(JOIN("" "",AP731,AQ731)))"),"")</f>
        <v/>
      </c>
      <c r="AS731" s="118"/>
      <c r="AT731" s="110" t="b">
        <f t="shared" si="12"/>
        <v>0</v>
      </c>
      <c r="AU731" s="110" t="str">
        <f t="shared" si="13"/>
        <v/>
      </c>
      <c r="AV731" s="110" t="str">
        <f t="shared" si="14"/>
        <v/>
      </c>
      <c r="AW731" s="110" t="str">
        <f t="shared" si="15"/>
        <v/>
      </c>
      <c r="AX731" s="119" t="str">
        <f t="shared" si="16"/>
        <v/>
      </c>
      <c r="AY731" s="120"/>
      <c r="AZ731" s="121"/>
      <c r="BA731" s="122" t="str">
        <f t="shared" si="17"/>
        <v/>
      </c>
      <c r="BB731" s="34"/>
      <c r="BC731" s="121"/>
      <c r="BD731" s="136"/>
      <c r="BE731" s="125" t="str">
        <f t="shared" si="18"/>
        <v/>
      </c>
      <c r="BF731" s="126" t="str">
        <f t="shared" si="19"/>
        <v>FM52__44627_0.308819444444444</v>
      </c>
      <c r="BG731" s="127" t="str">
        <f t="shared" si="20"/>
        <v/>
      </c>
      <c r="BH731" s="137" t="s">
        <v>1991</v>
      </c>
      <c r="BI731" s="128" t="str">
        <f t="shared" si="21"/>
        <v>MA917</v>
      </c>
      <c r="BJ731" s="129" t="b">
        <f t="shared" si="740"/>
        <v>0</v>
      </c>
      <c r="BK731" s="128" t="str">
        <f t="shared" si="23"/>
        <v/>
      </c>
      <c r="BL731" s="121"/>
      <c r="BM731" s="5" t="str">
        <f t="shared" si="24"/>
        <v>MISSING</v>
      </c>
      <c r="BN731" s="120" t="b">
        <f t="shared" si="25"/>
        <v>0</v>
      </c>
      <c r="BO731" s="131" t="b">
        <f t="shared" si="26"/>
        <v>1</v>
      </c>
      <c r="BP731" s="121"/>
      <c r="BQ731" s="132" t="str">
        <f>VLOOKUP(A731,RAW_APS!A$3:O826,15,FALSE)</f>
        <v/>
      </c>
      <c r="BR731" s="120" t="b">
        <f t="shared" si="27"/>
        <v>1</v>
      </c>
      <c r="BS731" s="121"/>
      <c r="BT731" s="138" t="s">
        <v>244</v>
      </c>
      <c r="BU731" s="10" t="b">
        <f t="shared" si="28"/>
        <v>1</v>
      </c>
      <c r="BV731" s="120"/>
      <c r="BW731" s="120"/>
      <c r="BX731" s="120"/>
      <c r="BY731" s="120"/>
      <c r="BZ731" s="120"/>
      <c r="CA731" s="120"/>
      <c r="CB731" s="120"/>
      <c r="CC731" s="120"/>
    </row>
    <row r="732">
      <c r="A732" s="2" t="s">
        <v>1992</v>
      </c>
      <c r="B732" s="100">
        <v>44627.0</v>
      </c>
      <c r="C732" s="101">
        <v>0.31277777777777777</v>
      </c>
      <c r="D732" s="102"/>
      <c r="E732" s="102"/>
      <c r="F732" s="102"/>
      <c r="G732" s="102"/>
      <c r="H732" s="102"/>
      <c r="I732" s="103"/>
      <c r="J732" s="103"/>
      <c r="K732" s="2" t="s">
        <v>244</v>
      </c>
      <c r="L732" s="100">
        <v>44627.0</v>
      </c>
      <c r="M732" s="101">
        <v>0.4778935185185185</v>
      </c>
      <c r="P732" s="104" t="b">
        <f>IFNA(IF(VLOOKUP($A732,'Add from APT'!$AA$2:$AC826,3,FALSE)&gt;0,TRUE,FALSE),"ER - NOT IN APT")</f>
        <v>0</v>
      </c>
      <c r="Q732" s="105" t="str">
        <f>IF(ISLOGICAL(P732),IF(P732,"ER - REPS IN APT", IFNA(VLOOKUP($A732,RAW_APT!$A$3:$M826,7,FALSE),"ER - NOT IN APT")),P732)</f>
        <v>Result</v>
      </c>
      <c r="R732" s="106" t="b">
        <f t="shared" si="2"/>
        <v>1</v>
      </c>
      <c r="S732" s="107">
        <f t="shared" si="3"/>
        <v>1</v>
      </c>
      <c r="T732" s="143"/>
      <c r="U732" s="142"/>
      <c r="V732" s="142"/>
      <c r="W732" s="142"/>
      <c r="X732" s="110" t="b">
        <f t="shared" si="4"/>
        <v>0</v>
      </c>
      <c r="Y732" s="111" t="b">
        <v>0</v>
      </c>
      <c r="Z732" s="104" t="str">
        <f t="shared" si="5"/>
        <v/>
      </c>
      <c r="AA732" s="112" t="b">
        <f t="shared" si="6"/>
        <v>0</v>
      </c>
      <c r="AB732" s="142" t="b">
        <v>0</v>
      </c>
      <c r="AC732" s="140">
        <v>91.0</v>
      </c>
      <c r="AD732" s="141" t="b">
        <v>0</v>
      </c>
      <c r="AE732" s="115">
        <f t="shared" si="7"/>
        <v>237.7666667</v>
      </c>
      <c r="AF732" s="116" t="b">
        <f t="shared" si="8"/>
        <v>0</v>
      </c>
      <c r="AG732" s="105" t="b">
        <f t="shared" si="9"/>
        <v>0</v>
      </c>
      <c r="AH732" s="140"/>
      <c r="AI732" s="140"/>
      <c r="AJ732" s="140"/>
      <c r="AK732" s="117" t="str">
        <f t="shared" si="10"/>
        <v>Negative</v>
      </c>
      <c r="AL732" s="142"/>
      <c r="AM732" s="112" t="s">
        <v>508</v>
      </c>
      <c r="AN732" s="112" t="s">
        <v>1390</v>
      </c>
      <c r="AO732" s="112" t="str">
        <f>IFERROR(__xludf.DUMMYFUNCTION("IF($AG732, ""DELETED"",TRIM(JOIN("" "",D732:E732)))"),"")</f>
        <v/>
      </c>
      <c r="AP732" s="112" t="str">
        <f t="shared" ref="AP732:AQ732" si="758">IF($AG732, "DELETED", TRIM(CONCATENATE(F732,I732,U732)))</f>
        <v/>
      </c>
      <c r="AQ732" s="112" t="str">
        <f t="shared" si="758"/>
        <v/>
      </c>
      <c r="AR732" s="112" t="str">
        <f>IFERROR(__xludf.DUMMYFUNCTION("IF($AG732, ""DELETED"", TRIM(JOIN("" "",AP732,AQ732)))"),"")</f>
        <v/>
      </c>
      <c r="AS732" s="118"/>
      <c r="AT732" s="110" t="b">
        <f t="shared" si="12"/>
        <v>0</v>
      </c>
      <c r="AU732" s="110" t="str">
        <f t="shared" si="13"/>
        <v/>
      </c>
      <c r="AV732" s="110" t="str">
        <f t="shared" si="14"/>
        <v/>
      </c>
      <c r="AW732" s="110" t="str">
        <f t="shared" si="15"/>
        <v/>
      </c>
      <c r="AX732" s="119" t="str">
        <f t="shared" si="16"/>
        <v/>
      </c>
      <c r="AY732" s="120"/>
      <c r="AZ732" s="121"/>
      <c r="BA732" s="122" t="str">
        <f t="shared" si="17"/>
        <v/>
      </c>
      <c r="BB732" s="34"/>
      <c r="BC732" s="121"/>
      <c r="BD732" s="136"/>
      <c r="BE732" s="125" t="str">
        <f t="shared" si="18"/>
        <v/>
      </c>
      <c r="BF732" s="126" t="str">
        <f t="shared" si="19"/>
        <v>FM369__44627_0.312777777777778</v>
      </c>
      <c r="BG732" s="127" t="str">
        <f t="shared" si="20"/>
        <v/>
      </c>
      <c r="BH732" s="137" t="s">
        <v>1993</v>
      </c>
      <c r="BI732" s="128" t="str">
        <f t="shared" si="21"/>
        <v>MA959</v>
      </c>
      <c r="BJ732" s="129" t="b">
        <f t="shared" si="740"/>
        <v>0</v>
      </c>
      <c r="BK732" s="128" t="str">
        <f t="shared" si="23"/>
        <v/>
      </c>
      <c r="BL732" s="121"/>
      <c r="BM732" s="5" t="str">
        <f t="shared" si="24"/>
        <v>MISSING</v>
      </c>
      <c r="BN732" s="120" t="b">
        <f t="shared" si="25"/>
        <v>0</v>
      </c>
      <c r="BO732" s="131" t="b">
        <f t="shared" si="26"/>
        <v>1</v>
      </c>
      <c r="BP732" s="121"/>
      <c r="BQ732" s="132" t="str">
        <f>VLOOKUP(A732,RAW_APS!A$3:O826,15,FALSE)</f>
        <v/>
      </c>
      <c r="BR732" s="120" t="b">
        <f t="shared" si="27"/>
        <v>1</v>
      </c>
      <c r="BS732" s="121"/>
      <c r="BT732" s="138" t="s">
        <v>244</v>
      </c>
      <c r="BU732" s="10" t="b">
        <f t="shared" si="28"/>
        <v>1</v>
      </c>
      <c r="BV732" s="120"/>
      <c r="BW732" s="120"/>
      <c r="BX732" s="120"/>
      <c r="BY732" s="120"/>
      <c r="BZ732" s="120"/>
      <c r="CA732" s="120"/>
      <c r="CB732" s="120"/>
      <c r="CC732" s="120"/>
    </row>
    <row r="733">
      <c r="A733" s="2" t="s">
        <v>1994</v>
      </c>
      <c r="B733" s="100">
        <v>44627.0</v>
      </c>
      <c r="C733" s="101">
        <v>0.31363425925925925</v>
      </c>
      <c r="D733" s="102"/>
      <c r="E733" s="102"/>
      <c r="F733" s="102"/>
      <c r="G733" s="102"/>
      <c r="H733" s="102"/>
      <c r="I733" s="103"/>
      <c r="J733" s="103"/>
      <c r="K733" s="2" t="s">
        <v>244</v>
      </c>
      <c r="L733" s="100">
        <v>44627.0</v>
      </c>
      <c r="M733" s="101">
        <v>0.4778935185185185</v>
      </c>
      <c r="P733" s="104" t="b">
        <f>IFNA(IF(VLOOKUP($A733,'Add from APT'!$AA$2:$AC826,3,FALSE)&gt;0,TRUE,FALSE),"ER - NOT IN APT")</f>
        <v>0</v>
      </c>
      <c r="Q733" s="105" t="str">
        <f>IF(ISLOGICAL(P733),IF(P733,"ER - REPS IN APT", IFNA(VLOOKUP($A733,RAW_APT!$A$3:$M826,7,FALSE),"ER - NOT IN APT")),P733)</f>
        <v>Result</v>
      </c>
      <c r="R733" s="106" t="b">
        <f t="shared" si="2"/>
        <v>1</v>
      </c>
      <c r="S733" s="107">
        <f t="shared" si="3"/>
        <v>1</v>
      </c>
      <c r="T733" s="143"/>
      <c r="U733" s="142"/>
      <c r="V733" s="142"/>
      <c r="W733" s="142"/>
      <c r="X733" s="110" t="b">
        <f t="shared" si="4"/>
        <v>0</v>
      </c>
      <c r="Y733" s="111" t="b">
        <v>0</v>
      </c>
      <c r="Z733" s="104" t="str">
        <f t="shared" si="5"/>
        <v/>
      </c>
      <c r="AA733" s="112" t="b">
        <f t="shared" si="6"/>
        <v>0</v>
      </c>
      <c r="AB733" s="142" t="b">
        <v>0</v>
      </c>
      <c r="AC733" s="140">
        <v>90.0</v>
      </c>
      <c r="AD733" s="141" t="b">
        <v>0</v>
      </c>
      <c r="AE733" s="115">
        <f t="shared" si="7"/>
        <v>236.5333333</v>
      </c>
      <c r="AF733" s="116" t="b">
        <f t="shared" si="8"/>
        <v>0</v>
      </c>
      <c r="AG733" s="105" t="b">
        <f t="shared" si="9"/>
        <v>0</v>
      </c>
      <c r="AH733" s="140"/>
      <c r="AI733" s="140"/>
      <c r="AJ733" s="140"/>
      <c r="AK733" s="117" t="str">
        <f t="shared" si="10"/>
        <v>Negative</v>
      </c>
      <c r="AL733" s="142"/>
      <c r="AM733" s="112" t="s">
        <v>1270</v>
      </c>
      <c r="AN733" s="112" t="s">
        <v>1271</v>
      </c>
      <c r="AO733" s="112" t="str">
        <f>IFERROR(__xludf.DUMMYFUNCTION("IF($AG733, ""DELETED"",TRIM(JOIN("" "",D733:E733)))"),"")</f>
        <v/>
      </c>
      <c r="AP733" s="112" t="str">
        <f t="shared" ref="AP733:AQ733" si="759">IF($AG733, "DELETED", TRIM(CONCATENATE(F733,I733,U733)))</f>
        <v/>
      </c>
      <c r="AQ733" s="112" t="str">
        <f t="shared" si="759"/>
        <v/>
      </c>
      <c r="AR733" s="112" t="str">
        <f>IFERROR(__xludf.DUMMYFUNCTION("IF($AG733, ""DELETED"", TRIM(JOIN("" "",AP733,AQ733)))"),"")</f>
        <v/>
      </c>
      <c r="AS733" s="118"/>
      <c r="AT733" s="110" t="b">
        <f t="shared" si="12"/>
        <v>0</v>
      </c>
      <c r="AU733" s="110" t="str">
        <f t="shared" si="13"/>
        <v/>
      </c>
      <c r="AV733" s="110" t="str">
        <f t="shared" si="14"/>
        <v/>
      </c>
      <c r="AW733" s="110" t="str">
        <f t="shared" si="15"/>
        <v/>
      </c>
      <c r="AX733" s="119" t="str">
        <f t="shared" si="16"/>
        <v/>
      </c>
      <c r="AY733" s="120"/>
      <c r="AZ733" s="121"/>
      <c r="BA733" s="122" t="str">
        <f t="shared" si="17"/>
        <v/>
      </c>
      <c r="BB733" s="34"/>
      <c r="BC733" s="121"/>
      <c r="BD733" s="136"/>
      <c r="BE733" s="125" t="str">
        <f t="shared" si="18"/>
        <v/>
      </c>
      <c r="BF733" s="126" t="str">
        <f t="shared" si="19"/>
        <v>FM54__44627_0.313634259259259</v>
      </c>
      <c r="BG733" s="127" t="str">
        <f t="shared" si="20"/>
        <v/>
      </c>
      <c r="BH733" s="137" t="s">
        <v>1995</v>
      </c>
      <c r="BI733" s="128" t="str">
        <f t="shared" si="21"/>
        <v>MA977</v>
      </c>
      <c r="BJ733" s="129" t="b">
        <f t="shared" si="740"/>
        <v>0</v>
      </c>
      <c r="BK733" s="128" t="str">
        <f t="shared" si="23"/>
        <v/>
      </c>
      <c r="BL733" s="121"/>
      <c r="BM733" s="5" t="str">
        <f t="shared" si="24"/>
        <v>MISSING</v>
      </c>
      <c r="BN733" s="120" t="b">
        <f t="shared" si="25"/>
        <v>0</v>
      </c>
      <c r="BO733" s="131" t="b">
        <f t="shared" si="26"/>
        <v>1</v>
      </c>
      <c r="BP733" s="121"/>
      <c r="BQ733" s="132" t="str">
        <f>VLOOKUP(A733,RAW_APS!A$3:O826,15,FALSE)</f>
        <v/>
      </c>
      <c r="BR733" s="120" t="b">
        <f t="shared" si="27"/>
        <v>1</v>
      </c>
      <c r="BS733" s="121"/>
      <c r="BT733" s="138" t="s">
        <v>244</v>
      </c>
      <c r="BU733" s="10" t="b">
        <f t="shared" si="28"/>
        <v>1</v>
      </c>
      <c r="BV733" s="120"/>
      <c r="BW733" s="120"/>
      <c r="BX733" s="120"/>
      <c r="BY733" s="120"/>
      <c r="BZ733" s="120"/>
      <c r="CA733" s="120"/>
      <c r="CB733" s="120"/>
      <c r="CC733" s="120"/>
    </row>
    <row r="734">
      <c r="A734" s="2" t="s">
        <v>1996</v>
      </c>
      <c r="B734" s="100">
        <v>44627.0</v>
      </c>
      <c r="C734" s="101">
        <v>0.3145833333333333</v>
      </c>
      <c r="D734" s="102"/>
      <c r="E734" s="102"/>
      <c r="F734" s="102"/>
      <c r="G734" s="102"/>
      <c r="H734" s="102"/>
      <c r="I734" s="103"/>
      <c r="J734" s="103"/>
      <c r="K734" s="2" t="s">
        <v>244</v>
      </c>
      <c r="L734" s="100">
        <v>44627.0</v>
      </c>
      <c r="M734" s="101">
        <v>0.4778935185185185</v>
      </c>
      <c r="P734" s="104" t="b">
        <f>IFNA(IF(VLOOKUP($A734,'Add from APT'!$AA$2:$AC826,3,FALSE)&gt;0,TRUE,FALSE),"ER - NOT IN APT")</f>
        <v>0</v>
      </c>
      <c r="Q734" s="105" t="str">
        <f>IF(ISLOGICAL(P734),IF(P734,"ER - REPS IN APT", IFNA(VLOOKUP($A734,RAW_APT!$A$3:$M826,7,FALSE),"ER - NOT IN APT")),P734)</f>
        <v>Result</v>
      </c>
      <c r="R734" s="106" t="b">
        <f t="shared" si="2"/>
        <v>1</v>
      </c>
      <c r="S734" s="107">
        <f t="shared" si="3"/>
        <v>1</v>
      </c>
      <c r="T734" s="143"/>
      <c r="U734" s="142"/>
      <c r="V734" s="142"/>
      <c r="W734" s="142"/>
      <c r="X734" s="110" t="b">
        <f t="shared" si="4"/>
        <v>0</v>
      </c>
      <c r="Y734" s="111" t="b">
        <v>0</v>
      </c>
      <c r="Z734" s="104" t="str">
        <f t="shared" si="5"/>
        <v/>
      </c>
      <c r="AA734" s="112" t="b">
        <f t="shared" si="6"/>
        <v>0</v>
      </c>
      <c r="AB734" s="142" t="b">
        <v>0</v>
      </c>
      <c r="AC734" s="140">
        <v>89.0</v>
      </c>
      <c r="AD734" s="141" t="b">
        <v>0</v>
      </c>
      <c r="AE734" s="115">
        <f t="shared" si="7"/>
        <v>235.1666667</v>
      </c>
      <c r="AF734" s="116" t="b">
        <f t="shared" si="8"/>
        <v>0</v>
      </c>
      <c r="AG734" s="105" t="b">
        <f t="shared" si="9"/>
        <v>0</v>
      </c>
      <c r="AH734" s="140"/>
      <c r="AI734" s="140"/>
      <c r="AJ734" s="140"/>
      <c r="AK734" s="117" t="str">
        <f t="shared" si="10"/>
        <v>Negative</v>
      </c>
      <c r="AL734" s="142"/>
      <c r="AM734" s="112" t="s">
        <v>1420</v>
      </c>
      <c r="AN734" s="112" t="s">
        <v>1421</v>
      </c>
      <c r="AO734" s="112" t="str">
        <f>IFERROR(__xludf.DUMMYFUNCTION("IF($AG734, ""DELETED"",TRIM(JOIN("" "",D734:E734)))"),"")</f>
        <v/>
      </c>
      <c r="AP734" s="112" t="str">
        <f t="shared" ref="AP734:AQ734" si="760">IF($AG734, "DELETED", TRIM(CONCATENATE(F734,I734,U734)))</f>
        <v/>
      </c>
      <c r="AQ734" s="112" t="str">
        <f t="shared" si="760"/>
        <v/>
      </c>
      <c r="AR734" s="112" t="str">
        <f>IFERROR(__xludf.DUMMYFUNCTION("IF($AG734, ""DELETED"", TRIM(JOIN("" "",AP734,AQ734)))"),"")</f>
        <v/>
      </c>
      <c r="AS734" s="118"/>
      <c r="AT734" s="110" t="b">
        <f t="shared" si="12"/>
        <v>0</v>
      </c>
      <c r="AU734" s="110" t="str">
        <f t="shared" si="13"/>
        <v/>
      </c>
      <c r="AV734" s="110" t="str">
        <f t="shared" si="14"/>
        <v/>
      </c>
      <c r="AW734" s="110" t="str">
        <f t="shared" si="15"/>
        <v/>
      </c>
      <c r="AX734" s="119" t="str">
        <f t="shared" si="16"/>
        <v/>
      </c>
      <c r="AY734" s="120"/>
      <c r="AZ734" s="121"/>
      <c r="BA734" s="122" t="str">
        <f t="shared" si="17"/>
        <v/>
      </c>
      <c r="BB734" s="34"/>
      <c r="BC734" s="121"/>
      <c r="BD734" s="136"/>
      <c r="BE734" s="125" t="str">
        <f t="shared" si="18"/>
        <v/>
      </c>
      <c r="BF734" s="126" t="str">
        <f t="shared" si="19"/>
        <v>MA340__44627_0.314583333333333</v>
      </c>
      <c r="BG734" s="127" t="str">
        <f t="shared" si="20"/>
        <v/>
      </c>
      <c r="BH734" s="137" t="s">
        <v>1997</v>
      </c>
      <c r="BI734" s="128" t="str">
        <f t="shared" si="21"/>
        <v>MAX100</v>
      </c>
      <c r="BJ734" s="129" t="b">
        <f t="shared" si="740"/>
        <v>0</v>
      </c>
      <c r="BK734" s="128" t="str">
        <f t="shared" si="23"/>
        <v/>
      </c>
      <c r="BL734" s="121"/>
      <c r="BM734" s="5" t="str">
        <f t="shared" si="24"/>
        <v>MISSING</v>
      </c>
      <c r="BN734" s="120" t="b">
        <f t="shared" si="25"/>
        <v>0</v>
      </c>
      <c r="BO734" s="131" t="b">
        <f t="shared" si="26"/>
        <v>1</v>
      </c>
      <c r="BP734" s="121"/>
      <c r="BQ734" s="132" t="str">
        <f>VLOOKUP(A734,RAW_APS!A$3:O826,15,FALSE)</f>
        <v/>
      </c>
      <c r="BR734" s="120" t="b">
        <f t="shared" si="27"/>
        <v>1</v>
      </c>
      <c r="BS734" s="121"/>
      <c r="BT734" s="138" t="s">
        <v>244</v>
      </c>
      <c r="BU734" s="10" t="b">
        <f t="shared" si="28"/>
        <v>1</v>
      </c>
      <c r="BV734" s="120"/>
      <c r="BW734" s="120"/>
      <c r="BX734" s="120"/>
      <c r="BY734" s="120"/>
      <c r="BZ734" s="120"/>
      <c r="CA734" s="120"/>
      <c r="CB734" s="120"/>
      <c r="CC734" s="120"/>
    </row>
    <row r="735">
      <c r="A735" s="2" t="s">
        <v>1998</v>
      </c>
      <c r="B735" s="100">
        <v>44627.0</v>
      </c>
      <c r="C735" s="101">
        <v>0.318125</v>
      </c>
      <c r="D735" s="102"/>
      <c r="E735" s="102"/>
      <c r="F735" s="102"/>
      <c r="G735" s="102"/>
      <c r="H735" s="102"/>
      <c r="I735" s="103"/>
      <c r="J735" s="103"/>
      <c r="K735" s="2" t="s">
        <v>244</v>
      </c>
      <c r="L735" s="100">
        <v>44627.0</v>
      </c>
      <c r="M735" s="101">
        <v>0.4778935185185185</v>
      </c>
      <c r="P735" s="104" t="b">
        <f>IFNA(IF(VLOOKUP($A735,'Add from APT'!$AA$2:$AC826,3,FALSE)&gt;0,TRUE,FALSE),"ER - NOT IN APT")</f>
        <v>0</v>
      </c>
      <c r="Q735" s="105" t="str">
        <f>IF(ISLOGICAL(P735),IF(P735,"ER - REPS IN APT", IFNA(VLOOKUP($A735,RAW_APT!$A$3:$M826,7,FALSE),"ER - NOT IN APT")),P735)</f>
        <v>Result</v>
      </c>
      <c r="R735" s="106" t="b">
        <f t="shared" si="2"/>
        <v>1</v>
      </c>
      <c r="S735" s="107">
        <f t="shared" si="3"/>
        <v>1</v>
      </c>
      <c r="T735" s="143"/>
      <c r="U735" s="142"/>
      <c r="V735" s="142"/>
      <c r="W735" s="142"/>
      <c r="X735" s="110" t="b">
        <f t="shared" si="4"/>
        <v>0</v>
      </c>
      <c r="Y735" s="111" t="b">
        <v>0</v>
      </c>
      <c r="Z735" s="104" t="str">
        <f t="shared" si="5"/>
        <v/>
      </c>
      <c r="AA735" s="112" t="b">
        <f t="shared" si="6"/>
        <v>0</v>
      </c>
      <c r="AB735" s="142" t="b">
        <v>0</v>
      </c>
      <c r="AC735" s="140">
        <v>88.0</v>
      </c>
      <c r="AD735" s="141" t="b">
        <v>0</v>
      </c>
      <c r="AE735" s="115">
        <f t="shared" si="7"/>
        <v>230.0666667</v>
      </c>
      <c r="AF735" s="116" t="b">
        <f t="shared" si="8"/>
        <v>0</v>
      </c>
      <c r="AG735" s="105" t="b">
        <f t="shared" si="9"/>
        <v>0</v>
      </c>
      <c r="AH735" s="140"/>
      <c r="AI735" s="140"/>
      <c r="AJ735" s="140"/>
      <c r="AK735" s="117" t="str">
        <f t="shared" si="10"/>
        <v>Negative</v>
      </c>
      <c r="AL735" s="142"/>
      <c r="AM735" s="112" t="s">
        <v>295</v>
      </c>
      <c r="AN735" s="112" t="s">
        <v>296</v>
      </c>
      <c r="AO735" s="112" t="str">
        <f>IFERROR(__xludf.DUMMYFUNCTION("IF($AG735, ""DELETED"",TRIM(JOIN("" "",D735:E735)))"),"")</f>
        <v/>
      </c>
      <c r="AP735" s="112" t="str">
        <f t="shared" ref="AP735:AQ735" si="761">IF($AG735, "DELETED", TRIM(CONCATENATE(F735,I735,U735)))</f>
        <v/>
      </c>
      <c r="AQ735" s="112" t="str">
        <f t="shared" si="761"/>
        <v/>
      </c>
      <c r="AR735" s="112" t="str">
        <f>IFERROR(__xludf.DUMMYFUNCTION("IF($AG735, ""DELETED"", TRIM(JOIN("" "",AP735,AQ735)))"),"")</f>
        <v/>
      </c>
      <c r="AS735" s="118"/>
      <c r="AT735" s="110" t="b">
        <f t="shared" si="12"/>
        <v>0</v>
      </c>
      <c r="AU735" s="110" t="str">
        <f t="shared" si="13"/>
        <v/>
      </c>
      <c r="AV735" s="110" t="str">
        <f t="shared" si="14"/>
        <v/>
      </c>
      <c r="AW735" s="110" t="str">
        <f t="shared" si="15"/>
        <v/>
      </c>
      <c r="AX735" s="119" t="str">
        <f t="shared" si="16"/>
        <v/>
      </c>
      <c r="AY735" s="120"/>
      <c r="AZ735" s="121"/>
      <c r="BA735" s="122" t="str">
        <f t="shared" si="17"/>
        <v/>
      </c>
      <c r="BB735" s="34"/>
      <c r="BC735" s="121"/>
      <c r="BD735" s="136"/>
      <c r="BE735" s="125" t="str">
        <f t="shared" si="18"/>
        <v/>
      </c>
      <c r="BF735" s="126" t="str">
        <f t="shared" si="19"/>
        <v>MA1318__44627_0.318125</v>
      </c>
      <c r="BG735" s="127" t="str">
        <f t="shared" si="20"/>
        <v/>
      </c>
      <c r="BH735" s="137" t="s">
        <v>1999</v>
      </c>
      <c r="BI735" s="128" t="str">
        <f t="shared" si="21"/>
        <v>MAX101</v>
      </c>
      <c r="BJ735" s="129" t="b">
        <f t="shared" si="740"/>
        <v>0</v>
      </c>
      <c r="BK735" s="128" t="str">
        <f t="shared" si="23"/>
        <v/>
      </c>
      <c r="BL735" s="121"/>
      <c r="BM735" s="5" t="str">
        <f t="shared" si="24"/>
        <v>MISSING</v>
      </c>
      <c r="BN735" s="120" t="b">
        <f t="shared" si="25"/>
        <v>0</v>
      </c>
      <c r="BO735" s="131" t="b">
        <f t="shared" si="26"/>
        <v>1</v>
      </c>
      <c r="BP735" s="121"/>
      <c r="BQ735" s="132" t="str">
        <f>VLOOKUP(A735,RAW_APS!A$3:O826,15,FALSE)</f>
        <v/>
      </c>
      <c r="BR735" s="120" t="b">
        <f t="shared" si="27"/>
        <v>1</v>
      </c>
      <c r="BS735" s="121"/>
      <c r="BT735" s="138" t="s">
        <v>244</v>
      </c>
      <c r="BU735" s="10" t="b">
        <f t="shared" si="28"/>
        <v>1</v>
      </c>
      <c r="BV735" s="120"/>
      <c r="BW735" s="120"/>
      <c r="BX735" s="120"/>
      <c r="BY735" s="120"/>
      <c r="BZ735" s="120"/>
      <c r="CA735" s="120"/>
      <c r="CB735" s="120"/>
      <c r="CC735" s="120"/>
    </row>
    <row r="736">
      <c r="A736" s="2" t="s">
        <v>2000</v>
      </c>
      <c r="B736" s="100">
        <v>44627.0</v>
      </c>
      <c r="C736" s="101">
        <v>0.31984953703703706</v>
      </c>
      <c r="D736" s="102"/>
      <c r="E736" s="102"/>
      <c r="F736" s="102"/>
      <c r="G736" s="102"/>
      <c r="H736" s="102"/>
      <c r="I736" s="103"/>
      <c r="J736" s="103"/>
      <c r="K736" s="2" t="s">
        <v>244</v>
      </c>
      <c r="L736" s="100">
        <v>44627.0</v>
      </c>
      <c r="M736" s="101">
        <v>0.4778935185185185</v>
      </c>
      <c r="P736" s="104" t="b">
        <f>IFNA(IF(VLOOKUP($A736,'Add from APT'!$AA$2:$AC826,3,FALSE)&gt;0,TRUE,FALSE),"ER - NOT IN APT")</f>
        <v>0</v>
      </c>
      <c r="Q736" s="105" t="str">
        <f>IF(ISLOGICAL(P736),IF(P736,"ER - REPS IN APT", IFNA(VLOOKUP($A736,RAW_APT!$A$3:$M826,7,FALSE),"ER - NOT IN APT")),P736)</f>
        <v>Result</v>
      </c>
      <c r="R736" s="106" t="b">
        <f t="shared" si="2"/>
        <v>1</v>
      </c>
      <c r="S736" s="107">
        <f t="shared" si="3"/>
        <v>1</v>
      </c>
      <c r="T736" s="143"/>
      <c r="U736" s="142"/>
      <c r="V736" s="142"/>
      <c r="W736" s="142"/>
      <c r="X736" s="110" t="b">
        <f t="shared" si="4"/>
        <v>0</v>
      </c>
      <c r="Y736" s="111" t="b">
        <v>0</v>
      </c>
      <c r="Z736" s="104" t="str">
        <f t="shared" si="5"/>
        <v/>
      </c>
      <c r="AA736" s="112" t="b">
        <f t="shared" si="6"/>
        <v>0</v>
      </c>
      <c r="AB736" s="142" t="b">
        <v>0</v>
      </c>
      <c r="AC736" s="140">
        <v>87.0</v>
      </c>
      <c r="AD736" s="141" t="b">
        <v>0</v>
      </c>
      <c r="AE736" s="115">
        <f t="shared" si="7"/>
        <v>227.5833333</v>
      </c>
      <c r="AF736" s="116" t="b">
        <f t="shared" si="8"/>
        <v>0</v>
      </c>
      <c r="AG736" s="105" t="b">
        <f t="shared" si="9"/>
        <v>0</v>
      </c>
      <c r="AH736" s="140"/>
      <c r="AI736" s="140"/>
      <c r="AJ736" s="140"/>
      <c r="AK736" s="117" t="str">
        <f t="shared" si="10"/>
        <v>Negative</v>
      </c>
      <c r="AL736" s="142"/>
      <c r="AM736" s="112" t="s">
        <v>577</v>
      </c>
      <c r="AN736" s="112" t="s">
        <v>578</v>
      </c>
      <c r="AO736" s="112" t="str">
        <f>IFERROR(__xludf.DUMMYFUNCTION("IF($AG736, ""DELETED"",TRIM(JOIN("" "",D736:E736)))"),"")</f>
        <v/>
      </c>
      <c r="AP736" s="112" t="str">
        <f t="shared" ref="AP736:AQ736" si="762">IF($AG736, "DELETED", TRIM(CONCATENATE(F736,I736,U736)))</f>
        <v/>
      </c>
      <c r="AQ736" s="112" t="str">
        <f t="shared" si="762"/>
        <v/>
      </c>
      <c r="AR736" s="112" t="str">
        <f>IFERROR(__xludf.DUMMYFUNCTION("IF($AG736, ""DELETED"", TRIM(JOIN("" "",AP736,AQ736)))"),"")</f>
        <v/>
      </c>
      <c r="AS736" s="118"/>
      <c r="AT736" s="110" t="b">
        <f t="shared" si="12"/>
        <v>0</v>
      </c>
      <c r="AU736" s="110" t="str">
        <f t="shared" si="13"/>
        <v/>
      </c>
      <c r="AV736" s="110" t="str">
        <f t="shared" si="14"/>
        <v/>
      </c>
      <c r="AW736" s="110" t="str">
        <f t="shared" si="15"/>
        <v/>
      </c>
      <c r="AX736" s="119" t="str">
        <f t="shared" si="16"/>
        <v/>
      </c>
      <c r="AY736" s="120"/>
      <c r="AZ736" s="121"/>
      <c r="BA736" s="122" t="str">
        <f t="shared" si="17"/>
        <v/>
      </c>
      <c r="BB736" s="34"/>
      <c r="BC736" s="121"/>
      <c r="BD736" s="136"/>
      <c r="BE736" s="125" t="str">
        <f t="shared" si="18"/>
        <v/>
      </c>
      <c r="BF736" s="126" t="str">
        <f t="shared" si="19"/>
        <v>FM2068__44627_0.319849537037037</v>
      </c>
      <c r="BG736" s="127" t="str">
        <f t="shared" si="20"/>
        <v/>
      </c>
      <c r="BH736" s="137" t="s">
        <v>2001</v>
      </c>
      <c r="BI736" s="128" t="str">
        <f t="shared" si="21"/>
        <v>MAX102</v>
      </c>
      <c r="BJ736" s="129" t="b">
        <f t="shared" si="740"/>
        <v>0</v>
      </c>
      <c r="BK736" s="128" t="str">
        <f t="shared" si="23"/>
        <v/>
      </c>
      <c r="BL736" s="121"/>
      <c r="BM736" s="5" t="str">
        <f t="shared" si="24"/>
        <v>MISSING</v>
      </c>
      <c r="BN736" s="120" t="b">
        <f t="shared" si="25"/>
        <v>0</v>
      </c>
      <c r="BO736" s="131" t="b">
        <f t="shared" si="26"/>
        <v>1</v>
      </c>
      <c r="BP736" s="121"/>
      <c r="BQ736" s="132" t="str">
        <f>VLOOKUP(A736,RAW_APS!A$3:O826,15,FALSE)</f>
        <v/>
      </c>
      <c r="BR736" s="120" t="b">
        <f t="shared" si="27"/>
        <v>1</v>
      </c>
      <c r="BS736" s="121"/>
      <c r="BT736" s="138" t="s">
        <v>244</v>
      </c>
      <c r="BU736" s="10" t="b">
        <f t="shared" si="28"/>
        <v>1</v>
      </c>
      <c r="BV736" s="120"/>
      <c r="BW736" s="120"/>
      <c r="BX736" s="120"/>
      <c r="BY736" s="120"/>
      <c r="BZ736" s="120"/>
      <c r="CA736" s="120"/>
      <c r="CB736" s="120"/>
      <c r="CC736" s="120"/>
    </row>
    <row r="737">
      <c r="A737" s="2" t="s">
        <v>2002</v>
      </c>
      <c r="B737" s="100">
        <v>44627.0</v>
      </c>
      <c r="C737" s="101">
        <v>0.3199768518518519</v>
      </c>
      <c r="D737" s="102"/>
      <c r="E737" s="102"/>
      <c r="F737" s="102"/>
      <c r="G737" s="102"/>
      <c r="H737" s="102"/>
      <c r="I737" s="103"/>
      <c r="J737" s="103"/>
      <c r="K737" s="2" t="s">
        <v>244</v>
      </c>
      <c r="L737" s="100">
        <v>44627.0</v>
      </c>
      <c r="M737" s="101">
        <v>0.4778935185185185</v>
      </c>
      <c r="P737" s="104" t="b">
        <f>IFNA(IF(VLOOKUP($A737,'Add from APT'!$AA$2:$AC826,3,FALSE)&gt;0,TRUE,FALSE),"ER - NOT IN APT")</f>
        <v>0</v>
      </c>
      <c r="Q737" s="105" t="str">
        <f>IF(ISLOGICAL(P737),IF(P737,"ER - REPS IN APT", IFNA(VLOOKUP($A737,RAW_APT!$A$3:$M826,7,FALSE),"ER - NOT IN APT")),P737)</f>
        <v>Result</v>
      </c>
      <c r="R737" s="106" t="b">
        <f t="shared" si="2"/>
        <v>1</v>
      </c>
      <c r="S737" s="107">
        <f t="shared" si="3"/>
        <v>1</v>
      </c>
      <c r="T737" s="143"/>
      <c r="U737" s="142"/>
      <c r="V737" s="142"/>
      <c r="W737" s="142"/>
      <c r="X737" s="110" t="b">
        <f t="shared" si="4"/>
        <v>0</v>
      </c>
      <c r="Y737" s="111" t="b">
        <v>0</v>
      </c>
      <c r="Z737" s="104" t="str">
        <f t="shared" si="5"/>
        <v/>
      </c>
      <c r="AA737" s="112" t="b">
        <f t="shared" si="6"/>
        <v>0</v>
      </c>
      <c r="AB737" s="142" t="b">
        <v>0</v>
      </c>
      <c r="AC737" s="140">
        <v>86.0</v>
      </c>
      <c r="AD737" s="141" t="b">
        <v>0</v>
      </c>
      <c r="AE737" s="115">
        <f t="shared" si="7"/>
        <v>227.4</v>
      </c>
      <c r="AF737" s="116" t="b">
        <f t="shared" si="8"/>
        <v>0</v>
      </c>
      <c r="AG737" s="105" t="b">
        <f t="shared" si="9"/>
        <v>0</v>
      </c>
      <c r="AH737" s="140"/>
      <c r="AI737" s="140"/>
      <c r="AJ737" s="140"/>
      <c r="AK737" s="117" t="str">
        <f t="shared" si="10"/>
        <v>Negative</v>
      </c>
      <c r="AL737" s="142"/>
      <c r="AM737" s="112" t="s">
        <v>362</v>
      </c>
      <c r="AN737" s="112" t="s">
        <v>363</v>
      </c>
      <c r="AO737" s="112" t="str">
        <f>IFERROR(__xludf.DUMMYFUNCTION("IF($AG737, ""DELETED"",TRIM(JOIN("" "",D737:E737)))"),"")</f>
        <v/>
      </c>
      <c r="AP737" s="112" t="str">
        <f t="shared" ref="AP737:AQ737" si="763">IF($AG737, "DELETED", TRIM(CONCATENATE(F737,I737,U737)))</f>
        <v/>
      </c>
      <c r="AQ737" s="112" t="str">
        <f t="shared" si="763"/>
        <v/>
      </c>
      <c r="AR737" s="112" t="str">
        <f>IFERROR(__xludf.DUMMYFUNCTION("IF($AG737, ""DELETED"", TRIM(JOIN("" "",AP737,AQ737)))"),"")</f>
        <v/>
      </c>
      <c r="AS737" s="118"/>
      <c r="AT737" s="110" t="b">
        <f t="shared" si="12"/>
        <v>0</v>
      </c>
      <c r="AU737" s="110" t="str">
        <f t="shared" si="13"/>
        <v/>
      </c>
      <c r="AV737" s="110" t="str">
        <f t="shared" si="14"/>
        <v/>
      </c>
      <c r="AW737" s="110" t="str">
        <f t="shared" si="15"/>
        <v/>
      </c>
      <c r="AX737" s="119" t="str">
        <f t="shared" si="16"/>
        <v/>
      </c>
      <c r="AY737" s="120"/>
      <c r="AZ737" s="121"/>
      <c r="BA737" s="122" t="str">
        <f t="shared" si="17"/>
        <v/>
      </c>
      <c r="BB737" s="34"/>
      <c r="BC737" s="121"/>
      <c r="BD737" s="136"/>
      <c r="BE737" s="125" t="str">
        <f t="shared" si="18"/>
        <v/>
      </c>
      <c r="BF737" s="126" t="str">
        <f t="shared" si="19"/>
        <v>MA1284__44627_0.319976851851852</v>
      </c>
      <c r="BG737" s="127" t="str">
        <f t="shared" si="20"/>
        <v/>
      </c>
      <c r="BH737" s="137" t="s">
        <v>2003</v>
      </c>
      <c r="BI737" s="128" t="str">
        <f t="shared" si="21"/>
        <v>MAX103</v>
      </c>
      <c r="BJ737" s="129" t="b">
        <f t="shared" si="740"/>
        <v>0</v>
      </c>
      <c r="BK737" s="128" t="str">
        <f t="shared" si="23"/>
        <v/>
      </c>
      <c r="BL737" s="121"/>
      <c r="BM737" s="5" t="str">
        <f t="shared" si="24"/>
        <v>MISSING</v>
      </c>
      <c r="BN737" s="120" t="b">
        <f t="shared" si="25"/>
        <v>0</v>
      </c>
      <c r="BO737" s="131" t="b">
        <f t="shared" si="26"/>
        <v>1</v>
      </c>
      <c r="BP737" s="121"/>
      <c r="BQ737" s="132" t="str">
        <f>VLOOKUP(A737,RAW_APS!A$3:O826,15,FALSE)</f>
        <v/>
      </c>
      <c r="BR737" s="120" t="b">
        <f t="shared" si="27"/>
        <v>1</v>
      </c>
      <c r="BS737" s="121"/>
      <c r="BT737" s="138" t="s">
        <v>244</v>
      </c>
      <c r="BU737" s="10" t="b">
        <f t="shared" si="28"/>
        <v>1</v>
      </c>
      <c r="BV737" s="120"/>
      <c r="BW737" s="120"/>
      <c r="BX737" s="120"/>
      <c r="BY737" s="120"/>
      <c r="BZ737" s="120"/>
      <c r="CA737" s="120"/>
      <c r="CB737" s="120"/>
      <c r="CC737" s="120"/>
    </row>
    <row r="738">
      <c r="A738" s="2" t="s">
        <v>2004</v>
      </c>
      <c r="B738" s="100">
        <v>44627.0</v>
      </c>
      <c r="C738" s="101">
        <v>0.3200925925925926</v>
      </c>
      <c r="D738" s="102"/>
      <c r="E738" s="102"/>
      <c r="F738" s="102"/>
      <c r="G738" s="102"/>
      <c r="H738" s="102"/>
      <c r="I738" s="103"/>
      <c r="J738" s="103"/>
      <c r="K738" s="2" t="s">
        <v>244</v>
      </c>
      <c r="L738" s="100">
        <v>44627.0</v>
      </c>
      <c r="M738" s="101">
        <v>0.4778935185185185</v>
      </c>
      <c r="P738" s="104" t="b">
        <f>IFNA(IF(VLOOKUP($A738,'Add from APT'!$AA$2:$AC826,3,FALSE)&gt;0,TRUE,FALSE),"ER - NOT IN APT")</f>
        <v>0</v>
      </c>
      <c r="Q738" s="105" t="str">
        <f>IF(ISLOGICAL(P738),IF(P738,"ER - REPS IN APT", IFNA(VLOOKUP($A738,RAW_APT!$A$3:$M826,7,FALSE),"ER - NOT IN APT")),P738)</f>
        <v>Result</v>
      </c>
      <c r="R738" s="106" t="b">
        <f t="shared" si="2"/>
        <v>1</v>
      </c>
      <c r="S738" s="107">
        <f t="shared" si="3"/>
        <v>1</v>
      </c>
      <c r="T738" s="143"/>
      <c r="U738" s="142"/>
      <c r="V738" s="142"/>
      <c r="W738" s="142"/>
      <c r="X738" s="110" t="b">
        <f t="shared" si="4"/>
        <v>0</v>
      </c>
      <c r="Y738" s="111" t="b">
        <v>0</v>
      </c>
      <c r="Z738" s="104" t="str">
        <f t="shared" si="5"/>
        <v/>
      </c>
      <c r="AA738" s="112" t="b">
        <f t="shared" si="6"/>
        <v>0</v>
      </c>
      <c r="AB738" s="142" t="b">
        <v>0</v>
      </c>
      <c r="AC738" s="140">
        <v>85.0</v>
      </c>
      <c r="AD738" s="141" t="b">
        <v>0</v>
      </c>
      <c r="AE738" s="115">
        <f t="shared" si="7"/>
        <v>227.2333333</v>
      </c>
      <c r="AF738" s="116" t="b">
        <f t="shared" si="8"/>
        <v>0</v>
      </c>
      <c r="AG738" s="105" t="b">
        <f t="shared" si="9"/>
        <v>0</v>
      </c>
      <c r="AH738" s="140"/>
      <c r="AI738" s="140"/>
      <c r="AJ738" s="140"/>
      <c r="AK738" s="117" t="str">
        <f t="shared" si="10"/>
        <v>Negative</v>
      </c>
      <c r="AL738" s="142"/>
      <c r="AM738" s="112" t="s">
        <v>2005</v>
      </c>
      <c r="AN738" s="112" t="s">
        <v>2006</v>
      </c>
      <c r="AO738" s="112" t="str">
        <f>IFERROR(__xludf.DUMMYFUNCTION("IF($AG738, ""DELETED"",TRIM(JOIN("" "",D738:E738)))"),"")</f>
        <v/>
      </c>
      <c r="AP738" s="112" t="str">
        <f t="shared" ref="AP738:AQ738" si="764">IF($AG738, "DELETED", TRIM(CONCATENATE(F738,I738,U738)))</f>
        <v/>
      </c>
      <c r="AQ738" s="112" t="str">
        <f t="shared" si="764"/>
        <v/>
      </c>
      <c r="AR738" s="112" t="str">
        <f>IFERROR(__xludf.DUMMYFUNCTION("IF($AG738, ""DELETED"", TRIM(JOIN("" "",AP738,AQ738)))"),"")</f>
        <v/>
      </c>
      <c r="AS738" s="118"/>
      <c r="AT738" s="110" t="b">
        <f t="shared" si="12"/>
        <v>0</v>
      </c>
      <c r="AU738" s="110" t="str">
        <f t="shared" si="13"/>
        <v/>
      </c>
      <c r="AV738" s="110" t="str">
        <f t="shared" si="14"/>
        <v/>
      </c>
      <c r="AW738" s="110" t="str">
        <f t="shared" si="15"/>
        <v/>
      </c>
      <c r="AX738" s="119" t="str">
        <f t="shared" si="16"/>
        <v/>
      </c>
      <c r="AY738" s="120"/>
      <c r="AZ738" s="121"/>
      <c r="BA738" s="122" t="str">
        <f t="shared" si="17"/>
        <v/>
      </c>
      <c r="BB738" s="34"/>
      <c r="BC738" s="121"/>
      <c r="BD738" s="136"/>
      <c r="BE738" s="125" t="str">
        <f t="shared" si="18"/>
        <v/>
      </c>
      <c r="BF738" s="126" t="str">
        <f t="shared" si="19"/>
        <v>FM2062__44627_0.320092592592593</v>
      </c>
      <c r="BG738" s="127" t="str">
        <f t="shared" si="20"/>
        <v/>
      </c>
      <c r="BH738" s="137" t="s">
        <v>2007</v>
      </c>
      <c r="BI738" s="128" t="str">
        <f t="shared" si="21"/>
        <v>MAX104</v>
      </c>
      <c r="BJ738" s="129" t="b">
        <f t="shared" si="740"/>
        <v>0</v>
      </c>
      <c r="BK738" s="128" t="str">
        <f t="shared" si="23"/>
        <v/>
      </c>
      <c r="BL738" s="121"/>
      <c r="BM738" s="5" t="str">
        <f t="shared" si="24"/>
        <v>MISSING</v>
      </c>
      <c r="BN738" s="120" t="b">
        <f t="shared" si="25"/>
        <v>0</v>
      </c>
      <c r="BO738" s="131" t="b">
        <f t="shared" si="26"/>
        <v>1</v>
      </c>
      <c r="BP738" s="121"/>
      <c r="BQ738" s="132" t="str">
        <f>VLOOKUP(A738,RAW_APS!A$3:O826,15,FALSE)</f>
        <v/>
      </c>
      <c r="BR738" s="120" t="b">
        <f t="shared" si="27"/>
        <v>1</v>
      </c>
      <c r="BS738" s="121"/>
      <c r="BT738" s="138" t="s">
        <v>244</v>
      </c>
      <c r="BU738" s="10" t="b">
        <f t="shared" si="28"/>
        <v>1</v>
      </c>
      <c r="BV738" s="120"/>
      <c r="BW738" s="120"/>
      <c r="BX738" s="120"/>
      <c r="BY738" s="120"/>
      <c r="BZ738" s="120"/>
      <c r="CA738" s="120"/>
      <c r="CB738" s="120"/>
      <c r="CC738" s="120"/>
    </row>
    <row r="739">
      <c r="A739" s="2" t="s">
        <v>2008</v>
      </c>
      <c r="B739" s="100">
        <v>44627.0</v>
      </c>
      <c r="C739" s="101">
        <v>0.32047453703703704</v>
      </c>
      <c r="D739" s="102"/>
      <c r="E739" s="102"/>
      <c r="F739" s="102"/>
      <c r="G739" s="102"/>
      <c r="H739" s="102"/>
      <c r="I739" s="103"/>
      <c r="J739" s="103"/>
      <c r="K739" s="2" t="s">
        <v>244</v>
      </c>
      <c r="L739" s="100">
        <v>44627.0</v>
      </c>
      <c r="M739" s="101">
        <v>0.4778935185185185</v>
      </c>
      <c r="P739" s="104" t="b">
        <f>IFNA(IF(VLOOKUP($A739,'Add from APT'!$AA$2:$AC826,3,FALSE)&gt;0,TRUE,FALSE),"ER - NOT IN APT")</f>
        <v>0</v>
      </c>
      <c r="Q739" s="105" t="str">
        <f>IF(ISLOGICAL(P739),IF(P739,"ER - REPS IN APT", IFNA(VLOOKUP($A739,RAW_APT!$A$3:$M826,7,FALSE),"ER - NOT IN APT")),P739)</f>
        <v>Result</v>
      </c>
      <c r="R739" s="106" t="b">
        <f t="shared" si="2"/>
        <v>1</v>
      </c>
      <c r="S739" s="107">
        <f t="shared" si="3"/>
        <v>1</v>
      </c>
      <c r="T739" s="143"/>
      <c r="U739" s="142"/>
      <c r="V739" s="142"/>
      <c r="W739" s="142"/>
      <c r="X739" s="110" t="b">
        <f t="shared" si="4"/>
        <v>0</v>
      </c>
      <c r="Y739" s="111" t="b">
        <v>0</v>
      </c>
      <c r="Z739" s="104" t="str">
        <f t="shared" si="5"/>
        <v/>
      </c>
      <c r="AA739" s="112" t="b">
        <f t="shared" si="6"/>
        <v>0</v>
      </c>
      <c r="AB739" s="142" t="b">
        <v>0</v>
      </c>
      <c r="AC739" s="140">
        <v>84.0</v>
      </c>
      <c r="AD739" s="141" t="b">
        <v>0</v>
      </c>
      <c r="AE739" s="115">
        <f t="shared" si="7"/>
        <v>226.6833333</v>
      </c>
      <c r="AF739" s="116" t="b">
        <f t="shared" si="8"/>
        <v>0</v>
      </c>
      <c r="AG739" s="105" t="b">
        <f t="shared" si="9"/>
        <v>0</v>
      </c>
      <c r="AH739" s="140"/>
      <c r="AI739" s="140"/>
      <c r="AJ739" s="140"/>
      <c r="AK739" s="117" t="str">
        <f t="shared" si="10"/>
        <v>Negative</v>
      </c>
      <c r="AL739" s="142"/>
      <c r="AM739" s="112" t="s">
        <v>731</v>
      </c>
      <c r="AN739" s="112" t="s">
        <v>732</v>
      </c>
      <c r="AO739" s="112" t="str">
        <f>IFERROR(__xludf.DUMMYFUNCTION("IF($AG739, ""DELETED"",TRIM(JOIN("" "",D739:E739)))"),"")</f>
        <v/>
      </c>
      <c r="AP739" s="112" t="str">
        <f t="shared" ref="AP739:AQ739" si="765">IF($AG739, "DELETED", TRIM(CONCATENATE(F739,I739,U739)))</f>
        <v/>
      </c>
      <c r="AQ739" s="112" t="str">
        <f t="shared" si="765"/>
        <v/>
      </c>
      <c r="AR739" s="112" t="str">
        <f>IFERROR(__xludf.DUMMYFUNCTION("IF($AG739, ""DELETED"", TRIM(JOIN("" "",AP739,AQ739)))"),"")</f>
        <v/>
      </c>
      <c r="AS739" s="118"/>
      <c r="AT739" s="110" t="b">
        <f t="shared" si="12"/>
        <v>0</v>
      </c>
      <c r="AU739" s="110" t="str">
        <f t="shared" si="13"/>
        <v/>
      </c>
      <c r="AV739" s="110" t="str">
        <f t="shared" si="14"/>
        <v/>
      </c>
      <c r="AW739" s="110" t="str">
        <f t="shared" si="15"/>
        <v/>
      </c>
      <c r="AX739" s="119" t="str">
        <f t="shared" si="16"/>
        <v/>
      </c>
      <c r="AY739" s="120"/>
      <c r="AZ739" s="121"/>
      <c r="BA739" s="122" t="str">
        <f t="shared" si="17"/>
        <v/>
      </c>
      <c r="BB739" s="34"/>
      <c r="BC739" s="121"/>
      <c r="BD739" s="136"/>
      <c r="BE739" s="125" t="str">
        <f t="shared" si="18"/>
        <v/>
      </c>
      <c r="BF739" s="126" t="str">
        <f t="shared" si="19"/>
        <v>MA1227__44627_0.320474537037037</v>
      </c>
      <c r="BG739" s="127" t="str">
        <f t="shared" si="20"/>
        <v/>
      </c>
      <c r="BH739" s="137" t="s">
        <v>2009</v>
      </c>
      <c r="BI739" s="128" t="str">
        <f t="shared" si="21"/>
        <v>MAX105</v>
      </c>
      <c r="BJ739" s="129" t="b">
        <f t="shared" si="740"/>
        <v>0</v>
      </c>
      <c r="BK739" s="128" t="str">
        <f t="shared" si="23"/>
        <v/>
      </c>
      <c r="BL739" s="121"/>
      <c r="BM739" s="5" t="str">
        <f t="shared" si="24"/>
        <v>MISSING</v>
      </c>
      <c r="BN739" s="120" t="b">
        <f t="shared" si="25"/>
        <v>0</v>
      </c>
      <c r="BO739" s="131" t="b">
        <f t="shared" si="26"/>
        <v>1</v>
      </c>
      <c r="BP739" s="121"/>
      <c r="BQ739" s="132" t="str">
        <f>VLOOKUP(A739,RAW_APS!A$3:O826,15,FALSE)</f>
        <v/>
      </c>
      <c r="BR739" s="120" t="b">
        <f t="shared" si="27"/>
        <v>1</v>
      </c>
      <c r="BS739" s="121"/>
      <c r="BT739" s="138" t="s">
        <v>244</v>
      </c>
      <c r="BU739" s="10" t="b">
        <f t="shared" si="28"/>
        <v>1</v>
      </c>
      <c r="BV739" s="120"/>
      <c r="BW739" s="120"/>
      <c r="BX739" s="120"/>
      <c r="BY739" s="120"/>
      <c r="BZ739" s="120"/>
      <c r="CA739" s="120"/>
      <c r="CB739" s="120"/>
      <c r="CC739" s="120"/>
    </row>
    <row r="740">
      <c r="A740" s="2" t="s">
        <v>2010</v>
      </c>
      <c r="B740" s="100">
        <v>44627.0</v>
      </c>
      <c r="C740" s="101">
        <v>0.32157407407407407</v>
      </c>
      <c r="D740" s="102"/>
      <c r="E740" s="102"/>
      <c r="F740" s="102"/>
      <c r="G740" s="102"/>
      <c r="H740" s="102"/>
      <c r="I740" s="103"/>
      <c r="J740" s="103"/>
      <c r="K740" s="2" t="s">
        <v>244</v>
      </c>
      <c r="L740" s="100">
        <v>44627.0</v>
      </c>
      <c r="M740" s="101">
        <v>0.4779050925925926</v>
      </c>
      <c r="P740" s="104" t="b">
        <f>IFNA(IF(VLOOKUP($A740,'Add from APT'!$AA$2:$AC826,3,FALSE)&gt;0,TRUE,FALSE),"ER - NOT IN APT")</f>
        <v>0</v>
      </c>
      <c r="Q740" s="105" t="str">
        <f>IF(ISLOGICAL(P740),IF(P740,"ER - REPS IN APT", IFNA(VLOOKUP($A740,RAW_APT!$A$3:$M826,7,FALSE),"ER - NOT IN APT")),P740)</f>
        <v>Result</v>
      </c>
      <c r="R740" s="106" t="b">
        <f t="shared" si="2"/>
        <v>1</v>
      </c>
      <c r="S740" s="107">
        <f t="shared" si="3"/>
        <v>1</v>
      </c>
      <c r="T740" s="143"/>
      <c r="U740" s="142"/>
      <c r="V740" s="142"/>
      <c r="W740" s="142"/>
      <c r="X740" s="110" t="b">
        <f t="shared" si="4"/>
        <v>0</v>
      </c>
      <c r="Y740" s="111" t="b">
        <v>0</v>
      </c>
      <c r="Z740" s="104" t="str">
        <f t="shared" si="5"/>
        <v/>
      </c>
      <c r="AA740" s="112" t="b">
        <f t="shared" si="6"/>
        <v>0</v>
      </c>
      <c r="AB740" s="142" t="b">
        <v>0</v>
      </c>
      <c r="AC740" s="140">
        <v>83.0</v>
      </c>
      <c r="AD740" s="141" t="b">
        <v>0</v>
      </c>
      <c r="AE740" s="115">
        <f t="shared" si="7"/>
        <v>225.1166667</v>
      </c>
      <c r="AF740" s="116" t="b">
        <f t="shared" si="8"/>
        <v>0</v>
      </c>
      <c r="AG740" s="105" t="b">
        <f t="shared" si="9"/>
        <v>0</v>
      </c>
      <c r="AH740" s="140"/>
      <c r="AI740" s="140"/>
      <c r="AJ740" s="140"/>
      <c r="AK740" s="117" t="str">
        <f t="shared" si="10"/>
        <v>Negative</v>
      </c>
      <c r="AL740" s="142"/>
      <c r="AM740" s="112" t="s">
        <v>857</v>
      </c>
      <c r="AN740" s="112" t="s">
        <v>696</v>
      </c>
      <c r="AO740" s="112" t="str">
        <f>IFERROR(__xludf.DUMMYFUNCTION("IF($AG740, ""DELETED"",TRIM(JOIN("" "",D740:E740)))"),"")</f>
        <v/>
      </c>
      <c r="AP740" s="112" t="str">
        <f t="shared" ref="AP740:AQ740" si="766">IF($AG740, "DELETED", TRIM(CONCATENATE(F740,I740,U740)))</f>
        <v/>
      </c>
      <c r="AQ740" s="112" t="str">
        <f t="shared" si="766"/>
        <v/>
      </c>
      <c r="AR740" s="112" t="str">
        <f>IFERROR(__xludf.DUMMYFUNCTION("IF($AG740, ""DELETED"", TRIM(JOIN("" "",AP740,AQ740)))"),"")</f>
        <v/>
      </c>
      <c r="AS740" s="118"/>
      <c r="AT740" s="110" t="b">
        <f t="shared" si="12"/>
        <v>0</v>
      </c>
      <c r="AU740" s="110" t="str">
        <f t="shared" si="13"/>
        <v/>
      </c>
      <c r="AV740" s="110" t="str">
        <f t="shared" si="14"/>
        <v/>
      </c>
      <c r="AW740" s="110" t="str">
        <f t="shared" si="15"/>
        <v/>
      </c>
      <c r="AX740" s="119" t="str">
        <f t="shared" si="16"/>
        <v/>
      </c>
      <c r="AY740" s="120"/>
      <c r="AZ740" s="121"/>
      <c r="BA740" s="122" t="str">
        <f t="shared" si="17"/>
        <v/>
      </c>
      <c r="BB740" s="34"/>
      <c r="BC740" s="121"/>
      <c r="BD740" s="136"/>
      <c r="BE740" s="125" t="str">
        <f t="shared" si="18"/>
        <v/>
      </c>
      <c r="BF740" s="126" t="str">
        <f t="shared" si="19"/>
        <v>FM63__44627_0.321574074074074</v>
      </c>
      <c r="BG740" s="127" t="str">
        <f t="shared" si="20"/>
        <v/>
      </c>
      <c r="BH740" s="137" t="s">
        <v>2011</v>
      </c>
      <c r="BI740" s="128" t="str">
        <f t="shared" si="21"/>
        <v>MAX106</v>
      </c>
      <c r="BJ740" s="129" t="b">
        <f t="shared" si="740"/>
        <v>0</v>
      </c>
      <c r="BK740" s="128" t="str">
        <f t="shared" si="23"/>
        <v/>
      </c>
      <c r="BL740" s="121"/>
      <c r="BM740" s="5" t="str">
        <f t="shared" si="24"/>
        <v>MISSING</v>
      </c>
      <c r="BN740" s="120" t="b">
        <f t="shared" si="25"/>
        <v>0</v>
      </c>
      <c r="BO740" s="131" t="b">
        <f t="shared" si="26"/>
        <v>1</v>
      </c>
      <c r="BP740" s="121"/>
      <c r="BQ740" s="132" t="str">
        <f>VLOOKUP(A740,RAW_APS!A$3:O826,15,FALSE)</f>
        <v/>
      </c>
      <c r="BR740" s="120" t="b">
        <f t="shared" si="27"/>
        <v>1</v>
      </c>
      <c r="BS740" s="121"/>
      <c r="BT740" s="138" t="s">
        <v>244</v>
      </c>
      <c r="BU740" s="10" t="b">
        <f t="shared" si="28"/>
        <v>1</v>
      </c>
      <c r="BV740" s="120"/>
      <c r="BW740" s="120"/>
      <c r="BX740" s="120"/>
      <c r="BY740" s="120"/>
      <c r="BZ740" s="120"/>
      <c r="CA740" s="120"/>
      <c r="CB740" s="120"/>
      <c r="CC740" s="120"/>
    </row>
    <row r="741">
      <c r="A741" s="2" t="s">
        <v>2012</v>
      </c>
      <c r="B741" s="100">
        <v>44627.0</v>
      </c>
      <c r="C741" s="101">
        <v>0.3216087962962963</v>
      </c>
      <c r="D741" s="102"/>
      <c r="E741" s="102"/>
      <c r="F741" s="102"/>
      <c r="G741" s="102"/>
      <c r="H741" s="102"/>
      <c r="I741" s="103"/>
      <c r="J741" s="103"/>
      <c r="K741" s="2" t="s">
        <v>244</v>
      </c>
      <c r="L741" s="100">
        <v>44627.0</v>
      </c>
      <c r="M741" s="101">
        <v>0.4779050925925926</v>
      </c>
      <c r="P741" s="104" t="b">
        <f>IFNA(IF(VLOOKUP($A741,'Add from APT'!$AA$2:$AC826,3,FALSE)&gt;0,TRUE,FALSE),"ER - NOT IN APT")</f>
        <v>0</v>
      </c>
      <c r="Q741" s="105" t="str">
        <f>IF(ISLOGICAL(P741),IF(P741,"ER - REPS IN APT", IFNA(VLOOKUP($A741,RAW_APT!$A$3:$M826,7,FALSE),"ER - NOT IN APT")),P741)</f>
        <v>Result</v>
      </c>
      <c r="R741" s="106" t="b">
        <f t="shared" si="2"/>
        <v>1</v>
      </c>
      <c r="S741" s="107">
        <f t="shared" si="3"/>
        <v>1</v>
      </c>
      <c r="T741" s="143"/>
      <c r="U741" s="142"/>
      <c r="V741" s="142"/>
      <c r="W741" s="142"/>
      <c r="X741" s="110" t="b">
        <f t="shared" si="4"/>
        <v>0</v>
      </c>
      <c r="Y741" s="111" t="b">
        <v>0</v>
      </c>
      <c r="Z741" s="104" t="str">
        <f t="shared" si="5"/>
        <v/>
      </c>
      <c r="AA741" s="112" t="b">
        <f t="shared" si="6"/>
        <v>0</v>
      </c>
      <c r="AB741" s="142" t="b">
        <v>0</v>
      </c>
      <c r="AC741" s="140">
        <v>82.0</v>
      </c>
      <c r="AD741" s="141" t="b">
        <v>0</v>
      </c>
      <c r="AE741" s="115">
        <f t="shared" si="7"/>
        <v>225.0666667</v>
      </c>
      <c r="AF741" s="116" t="b">
        <f t="shared" si="8"/>
        <v>0</v>
      </c>
      <c r="AG741" s="105" t="b">
        <f t="shared" si="9"/>
        <v>0</v>
      </c>
      <c r="AH741" s="140"/>
      <c r="AI741" s="140"/>
      <c r="AJ741" s="140"/>
      <c r="AK741" s="117" t="str">
        <f t="shared" si="10"/>
        <v>Negative</v>
      </c>
      <c r="AL741" s="142"/>
      <c r="AM741" s="112" t="s">
        <v>491</v>
      </c>
      <c r="AN741" s="112" t="s">
        <v>495</v>
      </c>
      <c r="AO741" s="112" t="str">
        <f>IFERROR(__xludf.DUMMYFUNCTION("IF($AG741, ""DELETED"",TRIM(JOIN("" "",D741:E741)))"),"")</f>
        <v/>
      </c>
      <c r="AP741" s="112" t="str">
        <f t="shared" ref="AP741:AQ741" si="767">IF($AG741, "DELETED", TRIM(CONCATENATE(F741,I741,U741)))</f>
        <v/>
      </c>
      <c r="AQ741" s="112" t="str">
        <f t="shared" si="767"/>
        <v/>
      </c>
      <c r="AR741" s="112" t="str">
        <f>IFERROR(__xludf.DUMMYFUNCTION("IF($AG741, ""DELETED"", TRIM(JOIN("" "",AP741,AQ741)))"),"")</f>
        <v/>
      </c>
      <c r="AS741" s="118"/>
      <c r="AT741" s="110" t="b">
        <f t="shared" si="12"/>
        <v>0</v>
      </c>
      <c r="AU741" s="110" t="str">
        <f t="shared" si="13"/>
        <v/>
      </c>
      <c r="AV741" s="110" t="str">
        <f t="shared" si="14"/>
        <v/>
      </c>
      <c r="AW741" s="110" t="str">
        <f t="shared" si="15"/>
        <v/>
      </c>
      <c r="AX741" s="119" t="str">
        <f t="shared" si="16"/>
        <v/>
      </c>
      <c r="AY741" s="120"/>
      <c r="AZ741" s="121"/>
      <c r="BA741" s="122" t="str">
        <f t="shared" si="17"/>
        <v/>
      </c>
      <c r="BB741" s="34"/>
      <c r="BC741" s="121"/>
      <c r="BD741" s="136"/>
      <c r="BE741" s="125" t="str">
        <f t="shared" si="18"/>
        <v/>
      </c>
      <c r="BF741" s="126" t="str">
        <f t="shared" si="19"/>
        <v>FM43__44627_0.321608796296296</v>
      </c>
      <c r="BG741" s="127" t="str">
        <f t="shared" si="20"/>
        <v/>
      </c>
      <c r="BH741" s="137" t="s">
        <v>2013</v>
      </c>
      <c r="BI741" s="128" t="str">
        <f t="shared" si="21"/>
        <v>MAX107</v>
      </c>
      <c r="BJ741" s="129" t="b">
        <f t="shared" si="740"/>
        <v>0</v>
      </c>
      <c r="BK741" s="128" t="str">
        <f t="shared" si="23"/>
        <v/>
      </c>
      <c r="BL741" s="121"/>
      <c r="BM741" s="5" t="str">
        <f t="shared" si="24"/>
        <v>MISSING</v>
      </c>
      <c r="BN741" s="120" t="b">
        <f t="shared" si="25"/>
        <v>0</v>
      </c>
      <c r="BO741" s="131" t="b">
        <f t="shared" si="26"/>
        <v>1</v>
      </c>
      <c r="BP741" s="121"/>
      <c r="BQ741" s="132" t="str">
        <f>VLOOKUP(A741,RAW_APS!A$3:O826,15,FALSE)</f>
        <v/>
      </c>
      <c r="BR741" s="120" t="b">
        <f t="shared" si="27"/>
        <v>1</v>
      </c>
      <c r="BS741" s="121"/>
      <c r="BT741" s="138" t="s">
        <v>244</v>
      </c>
      <c r="BU741" s="10" t="b">
        <f t="shared" si="28"/>
        <v>1</v>
      </c>
      <c r="BV741" s="120"/>
      <c r="BW741" s="120"/>
      <c r="BX741" s="120"/>
      <c r="BY741" s="120"/>
      <c r="BZ741" s="120"/>
      <c r="CA741" s="120"/>
      <c r="CB741" s="120"/>
      <c r="CC741" s="120"/>
    </row>
    <row r="742">
      <c r="A742" s="2" t="s">
        <v>2014</v>
      </c>
      <c r="B742" s="100">
        <v>44627.0</v>
      </c>
      <c r="C742" s="101">
        <v>0.32310185185185186</v>
      </c>
      <c r="D742" s="102"/>
      <c r="E742" s="102"/>
      <c r="F742" s="102"/>
      <c r="G742" s="102"/>
      <c r="H742" s="102"/>
      <c r="I742" s="103"/>
      <c r="J742" s="103"/>
      <c r="K742" s="2" t="s">
        <v>244</v>
      </c>
      <c r="L742" s="100">
        <v>44627.0</v>
      </c>
      <c r="M742" s="101">
        <v>0.4779050925925926</v>
      </c>
      <c r="P742" s="104" t="b">
        <f>IFNA(IF(VLOOKUP($A742,'Add from APT'!$AA$2:$AC826,3,FALSE)&gt;0,TRUE,FALSE),"ER - NOT IN APT")</f>
        <v>0</v>
      </c>
      <c r="Q742" s="105" t="str">
        <f>IF(ISLOGICAL(P742),IF(P742,"ER - REPS IN APT", IFNA(VLOOKUP($A742,RAW_APT!$A$3:$M826,7,FALSE),"ER - NOT IN APT")),P742)</f>
        <v>Result</v>
      </c>
      <c r="R742" s="106" t="b">
        <f t="shared" si="2"/>
        <v>1</v>
      </c>
      <c r="S742" s="107">
        <f t="shared" si="3"/>
        <v>1</v>
      </c>
      <c r="T742" s="143"/>
      <c r="U742" s="142"/>
      <c r="V742" s="142"/>
      <c r="W742" s="142"/>
      <c r="X742" s="110" t="b">
        <f t="shared" si="4"/>
        <v>0</v>
      </c>
      <c r="Y742" s="111" t="b">
        <v>0</v>
      </c>
      <c r="Z742" s="104" t="str">
        <f t="shared" si="5"/>
        <v/>
      </c>
      <c r="AA742" s="112" t="b">
        <f t="shared" si="6"/>
        <v>0</v>
      </c>
      <c r="AB742" s="142" t="b">
        <v>0</v>
      </c>
      <c r="AC742" s="140">
        <v>81.0</v>
      </c>
      <c r="AD742" s="141" t="b">
        <v>0</v>
      </c>
      <c r="AE742" s="115">
        <f t="shared" si="7"/>
        <v>222.9166667</v>
      </c>
      <c r="AF742" s="116" t="b">
        <f t="shared" si="8"/>
        <v>0</v>
      </c>
      <c r="AG742" s="105" t="b">
        <f t="shared" si="9"/>
        <v>0</v>
      </c>
      <c r="AH742" s="140"/>
      <c r="AI742" s="140"/>
      <c r="AJ742" s="140"/>
      <c r="AK742" s="117" t="str">
        <f t="shared" si="10"/>
        <v>Negative</v>
      </c>
      <c r="AL742" s="142"/>
      <c r="AM742" s="112" t="s">
        <v>477</v>
      </c>
      <c r="AN742" s="112" t="s">
        <v>450</v>
      </c>
      <c r="AO742" s="112" t="str">
        <f>IFERROR(__xludf.DUMMYFUNCTION("IF($AG742, ""DELETED"",TRIM(JOIN("" "",D742:E742)))"),"")</f>
        <v/>
      </c>
      <c r="AP742" s="112" t="str">
        <f t="shared" ref="AP742:AQ742" si="768">IF($AG742, "DELETED", TRIM(CONCATENATE(F742,I742,U742)))</f>
        <v/>
      </c>
      <c r="AQ742" s="112" t="str">
        <f t="shared" si="768"/>
        <v/>
      </c>
      <c r="AR742" s="112" t="str">
        <f>IFERROR(__xludf.DUMMYFUNCTION("IF($AG742, ""DELETED"", TRIM(JOIN("" "",AP742,AQ742)))"),"")</f>
        <v/>
      </c>
      <c r="AS742" s="118"/>
      <c r="AT742" s="110" t="b">
        <f t="shared" si="12"/>
        <v>0</v>
      </c>
      <c r="AU742" s="110" t="str">
        <f t="shared" si="13"/>
        <v/>
      </c>
      <c r="AV742" s="110" t="str">
        <f t="shared" si="14"/>
        <v/>
      </c>
      <c r="AW742" s="110" t="str">
        <f t="shared" si="15"/>
        <v/>
      </c>
      <c r="AX742" s="119" t="str">
        <f t="shared" si="16"/>
        <v/>
      </c>
      <c r="AY742" s="120"/>
      <c r="AZ742" s="121"/>
      <c r="BA742" s="122" t="str">
        <f t="shared" si="17"/>
        <v/>
      </c>
      <c r="BB742" s="34"/>
      <c r="BC742" s="121"/>
      <c r="BD742" s="136"/>
      <c r="BE742" s="125" t="str">
        <f t="shared" si="18"/>
        <v/>
      </c>
      <c r="BF742" s="126" t="str">
        <f t="shared" si="19"/>
        <v>FM521__44627_0.323101851851852</v>
      </c>
      <c r="BG742" s="127" t="str">
        <f t="shared" si="20"/>
        <v/>
      </c>
      <c r="BH742" s="137" t="s">
        <v>2015</v>
      </c>
      <c r="BI742" s="128" t="str">
        <f t="shared" si="21"/>
        <v>MAX108</v>
      </c>
      <c r="BJ742" s="129" t="b">
        <f t="shared" si="740"/>
        <v>0</v>
      </c>
      <c r="BK742" s="128" t="str">
        <f t="shared" si="23"/>
        <v/>
      </c>
      <c r="BL742" s="121"/>
      <c r="BM742" s="5" t="str">
        <f t="shared" si="24"/>
        <v>MISSING</v>
      </c>
      <c r="BN742" s="120" t="b">
        <f t="shared" si="25"/>
        <v>0</v>
      </c>
      <c r="BO742" s="131" t="b">
        <f t="shared" si="26"/>
        <v>1</v>
      </c>
      <c r="BP742" s="121"/>
      <c r="BQ742" s="132" t="str">
        <f>VLOOKUP(A742,RAW_APS!A$3:O826,15,FALSE)</f>
        <v/>
      </c>
      <c r="BR742" s="120" t="b">
        <f t="shared" si="27"/>
        <v>1</v>
      </c>
      <c r="BS742" s="121"/>
      <c r="BT742" s="138" t="s">
        <v>244</v>
      </c>
      <c r="BU742" s="10" t="b">
        <f t="shared" si="28"/>
        <v>1</v>
      </c>
      <c r="BV742" s="120"/>
      <c r="BW742" s="120"/>
      <c r="BX742" s="120"/>
      <c r="BY742" s="120"/>
      <c r="BZ742" s="120"/>
      <c r="CA742" s="120"/>
      <c r="CB742" s="120"/>
      <c r="CC742" s="120"/>
    </row>
    <row r="743">
      <c r="A743" s="2" t="s">
        <v>2016</v>
      </c>
      <c r="B743" s="100">
        <v>44627.0</v>
      </c>
      <c r="C743" s="101">
        <v>0.32450231481481484</v>
      </c>
      <c r="D743" s="102"/>
      <c r="E743" s="102"/>
      <c r="F743" s="102"/>
      <c r="G743" s="102"/>
      <c r="H743" s="102"/>
      <c r="I743" s="103"/>
      <c r="J743" s="103"/>
      <c r="K743" s="2" t="s">
        <v>244</v>
      </c>
      <c r="L743" s="100">
        <v>44627.0</v>
      </c>
      <c r="M743" s="101">
        <v>0.4779050925925926</v>
      </c>
      <c r="P743" s="104" t="b">
        <f>IFNA(IF(VLOOKUP($A743,'Add from APT'!$AA$2:$AC826,3,FALSE)&gt;0,TRUE,FALSE),"ER - NOT IN APT")</f>
        <v>0</v>
      </c>
      <c r="Q743" s="105" t="str">
        <f>IF(ISLOGICAL(P743),IF(P743,"ER - REPS IN APT", IFNA(VLOOKUP($A743,RAW_APT!$A$3:$M826,7,FALSE),"ER - NOT IN APT")),P743)</f>
        <v>Result</v>
      </c>
      <c r="R743" s="106" t="b">
        <f t="shared" si="2"/>
        <v>1</v>
      </c>
      <c r="S743" s="107">
        <f t="shared" si="3"/>
        <v>1</v>
      </c>
      <c r="T743" s="143"/>
      <c r="U743" s="142"/>
      <c r="V743" s="142"/>
      <c r="W743" s="142"/>
      <c r="X743" s="110" t="b">
        <f t="shared" si="4"/>
        <v>0</v>
      </c>
      <c r="Y743" s="111" t="b">
        <v>0</v>
      </c>
      <c r="Z743" s="104" t="str">
        <f t="shared" si="5"/>
        <v/>
      </c>
      <c r="AA743" s="112" t="b">
        <f t="shared" si="6"/>
        <v>0</v>
      </c>
      <c r="AB743" s="142" t="b">
        <v>0</v>
      </c>
      <c r="AC743" s="140">
        <v>80.0</v>
      </c>
      <c r="AD743" s="141" t="b">
        <v>0</v>
      </c>
      <c r="AE743" s="115">
        <f t="shared" si="7"/>
        <v>220.9</v>
      </c>
      <c r="AF743" s="116" t="b">
        <f t="shared" si="8"/>
        <v>0</v>
      </c>
      <c r="AG743" s="105" t="b">
        <f t="shared" si="9"/>
        <v>0</v>
      </c>
      <c r="AH743" s="140"/>
      <c r="AI743" s="140"/>
      <c r="AJ743" s="140"/>
      <c r="AK743" s="117" t="str">
        <f t="shared" si="10"/>
        <v>Negative</v>
      </c>
      <c r="AL743" s="142"/>
      <c r="AM743" s="112" t="s">
        <v>762</v>
      </c>
      <c r="AN743" s="112" t="s">
        <v>763</v>
      </c>
      <c r="AO743" s="112" t="str">
        <f>IFERROR(__xludf.DUMMYFUNCTION("IF($AG743, ""DELETED"",TRIM(JOIN("" "",D743:E743)))"),"")</f>
        <v/>
      </c>
      <c r="AP743" s="112" t="str">
        <f t="shared" ref="AP743:AQ743" si="769">IF($AG743, "DELETED", TRIM(CONCATENATE(F743,I743,U743)))</f>
        <v/>
      </c>
      <c r="AQ743" s="112" t="str">
        <f t="shared" si="769"/>
        <v/>
      </c>
      <c r="AR743" s="112" t="str">
        <f>IFERROR(__xludf.DUMMYFUNCTION("IF($AG743, ""DELETED"", TRIM(JOIN("" "",AP743,AQ743)))"),"")</f>
        <v/>
      </c>
      <c r="AS743" s="118"/>
      <c r="AT743" s="110" t="b">
        <f t="shared" si="12"/>
        <v>0</v>
      </c>
      <c r="AU743" s="110" t="str">
        <f t="shared" si="13"/>
        <v/>
      </c>
      <c r="AV743" s="110" t="str">
        <f t="shared" si="14"/>
        <v/>
      </c>
      <c r="AW743" s="110" t="str">
        <f t="shared" si="15"/>
        <v/>
      </c>
      <c r="AX743" s="119" t="str">
        <f t="shared" si="16"/>
        <v/>
      </c>
      <c r="AY743" s="120"/>
      <c r="AZ743" s="121"/>
      <c r="BA743" s="122" t="str">
        <f t="shared" si="17"/>
        <v/>
      </c>
      <c r="BB743" s="34"/>
      <c r="BC743" s="121"/>
      <c r="BD743" s="136"/>
      <c r="BE743" s="125" t="str">
        <f t="shared" si="18"/>
        <v/>
      </c>
      <c r="BF743" s="126" t="str">
        <f t="shared" si="19"/>
        <v>FM1007__44627_0.324502314814815</v>
      </c>
      <c r="BG743" s="127" t="str">
        <f t="shared" si="20"/>
        <v/>
      </c>
      <c r="BH743" s="137" t="s">
        <v>2017</v>
      </c>
      <c r="BI743" s="128" t="str">
        <f t="shared" si="21"/>
        <v>MAX109</v>
      </c>
      <c r="BJ743" s="129" t="b">
        <f t="shared" si="740"/>
        <v>0</v>
      </c>
      <c r="BK743" s="128" t="str">
        <f t="shared" si="23"/>
        <v/>
      </c>
      <c r="BL743" s="121"/>
      <c r="BM743" s="5" t="str">
        <f t="shared" si="24"/>
        <v>MISSING</v>
      </c>
      <c r="BN743" s="120" t="b">
        <f t="shared" si="25"/>
        <v>0</v>
      </c>
      <c r="BO743" s="131" t="b">
        <f t="shared" si="26"/>
        <v>1</v>
      </c>
      <c r="BP743" s="121"/>
      <c r="BQ743" s="132" t="str">
        <f>VLOOKUP(A743,RAW_APS!A$3:O826,15,FALSE)</f>
        <v/>
      </c>
      <c r="BR743" s="120" t="b">
        <f t="shared" si="27"/>
        <v>1</v>
      </c>
      <c r="BS743" s="121"/>
      <c r="BT743" s="138" t="s">
        <v>244</v>
      </c>
      <c r="BU743" s="10" t="b">
        <f t="shared" si="28"/>
        <v>1</v>
      </c>
      <c r="BV743" s="120"/>
      <c r="BW743" s="120"/>
      <c r="BX743" s="120"/>
      <c r="BY743" s="120"/>
      <c r="BZ743" s="120"/>
      <c r="CA743" s="120"/>
      <c r="CB743" s="120"/>
      <c r="CC743" s="120"/>
    </row>
    <row r="744">
      <c r="A744" s="2" t="s">
        <v>2018</v>
      </c>
      <c r="B744" s="100">
        <v>44627.0</v>
      </c>
      <c r="C744" s="101">
        <v>0.3253125</v>
      </c>
      <c r="D744" s="102"/>
      <c r="E744" s="102"/>
      <c r="F744" s="102"/>
      <c r="G744" s="102"/>
      <c r="H744" s="102"/>
      <c r="I744" s="103"/>
      <c r="J744" s="103"/>
      <c r="K744" s="2" t="s">
        <v>244</v>
      </c>
      <c r="L744" s="100">
        <v>44627.0</v>
      </c>
      <c r="M744" s="101">
        <v>0.4779050925925926</v>
      </c>
      <c r="P744" s="104" t="b">
        <f>IFNA(IF(VLOOKUP($A744,'Add from APT'!$AA$2:$AC826,3,FALSE)&gt;0,TRUE,FALSE),"ER - NOT IN APT")</f>
        <v>0</v>
      </c>
      <c r="Q744" s="105" t="str">
        <f>IF(ISLOGICAL(P744),IF(P744,"ER - REPS IN APT", IFNA(VLOOKUP($A744,RAW_APT!$A$3:$M826,7,FALSE),"ER - NOT IN APT")),P744)</f>
        <v>Result</v>
      </c>
      <c r="R744" s="106" t="b">
        <f t="shared" si="2"/>
        <v>1</v>
      </c>
      <c r="S744" s="107">
        <f t="shared" si="3"/>
        <v>1</v>
      </c>
      <c r="T744" s="143"/>
      <c r="U744" s="142"/>
      <c r="V744" s="142"/>
      <c r="W744" s="142"/>
      <c r="X744" s="110" t="b">
        <f t="shared" si="4"/>
        <v>0</v>
      </c>
      <c r="Y744" s="111" t="b">
        <v>0</v>
      </c>
      <c r="Z744" s="104" t="str">
        <f t="shared" si="5"/>
        <v/>
      </c>
      <c r="AA744" s="112" t="b">
        <f t="shared" si="6"/>
        <v>0</v>
      </c>
      <c r="AB744" s="142" t="b">
        <v>0</v>
      </c>
      <c r="AC744" s="140">
        <v>79.0</v>
      </c>
      <c r="AD744" s="141" t="b">
        <v>0</v>
      </c>
      <c r="AE744" s="115">
        <f t="shared" si="7"/>
        <v>219.7333333</v>
      </c>
      <c r="AF744" s="116" t="b">
        <f t="shared" si="8"/>
        <v>0</v>
      </c>
      <c r="AG744" s="105" t="b">
        <f t="shared" si="9"/>
        <v>0</v>
      </c>
      <c r="AH744" s="140"/>
      <c r="AI744" s="140"/>
      <c r="AJ744" s="140"/>
      <c r="AK744" s="117" t="str">
        <f t="shared" si="10"/>
        <v>Negative</v>
      </c>
      <c r="AL744" s="142"/>
      <c r="AM744" s="112" t="s">
        <v>307</v>
      </c>
      <c r="AN744" s="112" t="s">
        <v>266</v>
      </c>
      <c r="AO744" s="112" t="str">
        <f>IFERROR(__xludf.DUMMYFUNCTION("IF($AG744, ""DELETED"",TRIM(JOIN("" "",D744:E744)))"),"")</f>
        <v/>
      </c>
      <c r="AP744" s="112" t="str">
        <f t="shared" ref="AP744:AQ744" si="770">IF($AG744, "DELETED", TRIM(CONCATENATE(F744,I744,U744)))</f>
        <v/>
      </c>
      <c r="AQ744" s="112" t="str">
        <f t="shared" si="770"/>
        <v/>
      </c>
      <c r="AR744" s="112" t="str">
        <f>IFERROR(__xludf.DUMMYFUNCTION("IF($AG744, ""DELETED"", TRIM(JOIN("" "",AP744,AQ744)))"),"")</f>
        <v/>
      </c>
      <c r="AS744" s="118"/>
      <c r="AT744" s="110" t="b">
        <f t="shared" si="12"/>
        <v>0</v>
      </c>
      <c r="AU744" s="110" t="str">
        <f t="shared" si="13"/>
        <v/>
      </c>
      <c r="AV744" s="110" t="str">
        <f t="shared" si="14"/>
        <v/>
      </c>
      <c r="AW744" s="110" t="str">
        <f t="shared" si="15"/>
        <v/>
      </c>
      <c r="AX744" s="119" t="str">
        <f t="shared" si="16"/>
        <v/>
      </c>
      <c r="AY744" s="120"/>
      <c r="AZ744" s="121"/>
      <c r="BA744" s="122" t="str">
        <f t="shared" si="17"/>
        <v/>
      </c>
      <c r="BB744" s="34"/>
      <c r="BC744" s="121"/>
      <c r="BD744" s="136"/>
      <c r="BE744" s="125" t="str">
        <f t="shared" si="18"/>
        <v/>
      </c>
      <c r="BF744" s="126" t="str">
        <f t="shared" si="19"/>
        <v>FM93__44627_0.3253125</v>
      </c>
      <c r="BG744" s="127" t="str">
        <f t="shared" si="20"/>
        <v/>
      </c>
      <c r="BH744" s="137" t="s">
        <v>2019</v>
      </c>
      <c r="BI744" s="128" t="str">
        <f t="shared" si="21"/>
        <v>MAX110</v>
      </c>
      <c r="BJ744" s="129" t="b">
        <f t="shared" si="740"/>
        <v>0</v>
      </c>
      <c r="BK744" s="128" t="str">
        <f t="shared" si="23"/>
        <v/>
      </c>
      <c r="BL744" s="121"/>
      <c r="BM744" s="5" t="str">
        <f t="shared" si="24"/>
        <v>MISSING</v>
      </c>
      <c r="BN744" s="120" t="b">
        <f t="shared" si="25"/>
        <v>0</v>
      </c>
      <c r="BO744" s="131" t="b">
        <f t="shared" si="26"/>
        <v>1</v>
      </c>
      <c r="BP744" s="121"/>
      <c r="BQ744" s="132" t="str">
        <f>VLOOKUP(A744,RAW_APS!A$3:O826,15,FALSE)</f>
        <v/>
      </c>
      <c r="BR744" s="120" t="b">
        <f t="shared" si="27"/>
        <v>1</v>
      </c>
      <c r="BS744" s="121"/>
      <c r="BT744" s="138" t="s">
        <v>244</v>
      </c>
      <c r="BU744" s="10" t="b">
        <f t="shared" si="28"/>
        <v>1</v>
      </c>
      <c r="BV744" s="120"/>
      <c r="BW744" s="120"/>
      <c r="BX744" s="120"/>
      <c r="BY744" s="120"/>
      <c r="BZ744" s="120"/>
      <c r="CA744" s="120"/>
      <c r="CB744" s="120"/>
      <c r="CC744" s="120"/>
    </row>
    <row r="745">
      <c r="A745" s="2" t="s">
        <v>2020</v>
      </c>
      <c r="B745" s="100">
        <v>44627.0</v>
      </c>
      <c r="C745" s="101">
        <v>0.3256712962962963</v>
      </c>
      <c r="D745" s="102"/>
      <c r="E745" s="102"/>
      <c r="F745" s="102"/>
      <c r="G745" s="102"/>
      <c r="H745" s="102"/>
      <c r="I745" s="103"/>
      <c r="J745" s="103"/>
      <c r="K745" s="2" t="s">
        <v>244</v>
      </c>
      <c r="L745" s="100">
        <v>44627.0</v>
      </c>
      <c r="M745" s="101">
        <v>0.4779050925925926</v>
      </c>
      <c r="P745" s="104" t="b">
        <f>IFNA(IF(VLOOKUP($A745,'Add from APT'!$AA$2:$AC826,3,FALSE)&gt;0,TRUE,FALSE),"ER - NOT IN APT")</f>
        <v>0</v>
      </c>
      <c r="Q745" s="105" t="str">
        <f>IF(ISLOGICAL(P745),IF(P745,"ER - REPS IN APT", IFNA(VLOOKUP($A745,RAW_APT!$A$3:$M826,7,FALSE),"ER - NOT IN APT")),P745)</f>
        <v>Result</v>
      </c>
      <c r="R745" s="106" t="b">
        <f t="shared" si="2"/>
        <v>1</v>
      </c>
      <c r="S745" s="107">
        <f t="shared" si="3"/>
        <v>1</v>
      </c>
      <c r="T745" s="143"/>
      <c r="U745" s="142"/>
      <c r="V745" s="142"/>
      <c r="W745" s="142"/>
      <c r="X745" s="110" t="b">
        <f t="shared" si="4"/>
        <v>0</v>
      </c>
      <c r="Y745" s="111" t="b">
        <v>0</v>
      </c>
      <c r="Z745" s="104" t="str">
        <f t="shared" si="5"/>
        <v/>
      </c>
      <c r="AA745" s="112" t="b">
        <f t="shared" si="6"/>
        <v>0</v>
      </c>
      <c r="AB745" s="142" t="b">
        <v>0</v>
      </c>
      <c r="AC745" s="140">
        <v>78.0</v>
      </c>
      <c r="AD745" s="141" t="b">
        <v>0</v>
      </c>
      <c r="AE745" s="115">
        <f t="shared" si="7"/>
        <v>219.2166667</v>
      </c>
      <c r="AF745" s="116" t="b">
        <f t="shared" si="8"/>
        <v>0</v>
      </c>
      <c r="AG745" s="105" t="b">
        <f t="shared" si="9"/>
        <v>0</v>
      </c>
      <c r="AH745" s="140"/>
      <c r="AI745" s="140"/>
      <c r="AJ745" s="140"/>
      <c r="AK745" s="117" t="str">
        <f t="shared" si="10"/>
        <v>Negative</v>
      </c>
      <c r="AL745" s="142"/>
      <c r="AM745" s="112" t="s">
        <v>291</v>
      </c>
      <c r="AN745" s="112" t="s">
        <v>292</v>
      </c>
      <c r="AO745" s="112" t="str">
        <f>IFERROR(__xludf.DUMMYFUNCTION("IF($AG745, ""DELETED"",TRIM(JOIN("" "",D745:E745)))"),"")</f>
        <v/>
      </c>
      <c r="AP745" s="112" t="str">
        <f t="shared" ref="AP745:AQ745" si="771">IF($AG745, "DELETED", TRIM(CONCATENATE(F745,I745,U745)))</f>
        <v/>
      </c>
      <c r="AQ745" s="112" t="str">
        <f t="shared" si="771"/>
        <v/>
      </c>
      <c r="AR745" s="112" t="str">
        <f>IFERROR(__xludf.DUMMYFUNCTION("IF($AG745, ""DELETED"", TRIM(JOIN("" "",AP745,AQ745)))"),"")</f>
        <v/>
      </c>
      <c r="AS745" s="118"/>
      <c r="AT745" s="110" t="b">
        <f t="shared" si="12"/>
        <v>0</v>
      </c>
      <c r="AU745" s="110" t="str">
        <f t="shared" si="13"/>
        <v/>
      </c>
      <c r="AV745" s="110" t="str">
        <f t="shared" si="14"/>
        <v/>
      </c>
      <c r="AW745" s="110" t="str">
        <f t="shared" si="15"/>
        <v/>
      </c>
      <c r="AX745" s="119" t="str">
        <f t="shared" si="16"/>
        <v/>
      </c>
      <c r="AY745" s="120"/>
      <c r="AZ745" s="121"/>
      <c r="BA745" s="122" t="str">
        <f t="shared" si="17"/>
        <v/>
      </c>
      <c r="BB745" s="34"/>
      <c r="BC745" s="121"/>
      <c r="BD745" s="136"/>
      <c r="BE745" s="125" t="str">
        <f t="shared" si="18"/>
        <v/>
      </c>
      <c r="BF745" s="126" t="str">
        <f t="shared" si="19"/>
        <v>FM448__44627_0.325671296296296</v>
      </c>
      <c r="BG745" s="127" t="str">
        <f t="shared" si="20"/>
        <v/>
      </c>
      <c r="BH745" s="137" t="s">
        <v>2021</v>
      </c>
      <c r="BI745" s="128" t="str">
        <f t="shared" si="21"/>
        <v>MAX111</v>
      </c>
      <c r="BJ745" s="129" t="b">
        <f t="shared" si="740"/>
        <v>0</v>
      </c>
      <c r="BK745" s="128" t="str">
        <f t="shared" si="23"/>
        <v/>
      </c>
      <c r="BL745" s="121"/>
      <c r="BM745" s="5" t="str">
        <f t="shared" si="24"/>
        <v>MISSING</v>
      </c>
      <c r="BN745" s="120" t="b">
        <f t="shared" si="25"/>
        <v>0</v>
      </c>
      <c r="BO745" s="131" t="b">
        <f t="shared" si="26"/>
        <v>1</v>
      </c>
      <c r="BP745" s="121"/>
      <c r="BQ745" s="132" t="str">
        <f>VLOOKUP(A745,RAW_APS!A$3:O826,15,FALSE)</f>
        <v/>
      </c>
      <c r="BR745" s="120" t="b">
        <f t="shared" si="27"/>
        <v>1</v>
      </c>
      <c r="BS745" s="121"/>
      <c r="BT745" s="138" t="s">
        <v>244</v>
      </c>
      <c r="BU745" s="10" t="b">
        <f t="shared" si="28"/>
        <v>1</v>
      </c>
      <c r="BV745" s="120"/>
      <c r="BW745" s="120"/>
      <c r="BX745" s="120"/>
      <c r="BY745" s="120"/>
      <c r="BZ745" s="120"/>
      <c r="CA745" s="120"/>
      <c r="CB745" s="120"/>
      <c r="CC745" s="120"/>
    </row>
    <row r="746">
      <c r="A746" s="2" t="s">
        <v>2022</v>
      </c>
      <c r="B746" s="100">
        <v>44627.0</v>
      </c>
      <c r="C746" s="101">
        <v>0.3267939814814815</v>
      </c>
      <c r="D746" s="102"/>
      <c r="E746" s="102"/>
      <c r="F746" s="102"/>
      <c r="G746" s="102"/>
      <c r="H746" s="102"/>
      <c r="I746" s="103"/>
      <c r="J746" s="103"/>
      <c r="K746" s="2" t="s">
        <v>244</v>
      </c>
      <c r="L746" s="100">
        <v>44627.0</v>
      </c>
      <c r="M746" s="101">
        <v>0.4779050925925926</v>
      </c>
      <c r="P746" s="104" t="b">
        <f>IFNA(IF(VLOOKUP($A746,'Add from APT'!$AA$2:$AC826,3,FALSE)&gt;0,TRUE,FALSE),"ER - NOT IN APT")</f>
        <v>0</v>
      </c>
      <c r="Q746" s="105" t="str">
        <f>IF(ISLOGICAL(P746),IF(P746,"ER - REPS IN APT", IFNA(VLOOKUP($A746,RAW_APT!$A$3:$M826,7,FALSE),"ER - NOT IN APT")),P746)</f>
        <v>Result</v>
      </c>
      <c r="R746" s="106" t="b">
        <f t="shared" si="2"/>
        <v>1</v>
      </c>
      <c r="S746" s="107">
        <f t="shared" si="3"/>
        <v>1</v>
      </c>
      <c r="T746" s="143"/>
      <c r="U746" s="142"/>
      <c r="V746" s="142"/>
      <c r="W746" s="142"/>
      <c r="X746" s="110" t="b">
        <f t="shared" si="4"/>
        <v>0</v>
      </c>
      <c r="Y746" s="111" t="b">
        <v>0</v>
      </c>
      <c r="Z746" s="104" t="str">
        <f t="shared" si="5"/>
        <v/>
      </c>
      <c r="AA746" s="112" t="b">
        <f t="shared" si="6"/>
        <v>0</v>
      </c>
      <c r="AB746" s="142" t="b">
        <v>0</v>
      </c>
      <c r="AC746" s="140">
        <v>77.0</v>
      </c>
      <c r="AD746" s="141" t="b">
        <v>0</v>
      </c>
      <c r="AE746" s="115">
        <f t="shared" si="7"/>
        <v>217.6</v>
      </c>
      <c r="AF746" s="116" t="b">
        <f t="shared" si="8"/>
        <v>0</v>
      </c>
      <c r="AG746" s="105" t="b">
        <f t="shared" si="9"/>
        <v>0</v>
      </c>
      <c r="AH746" s="140"/>
      <c r="AI746" s="140"/>
      <c r="AJ746" s="140"/>
      <c r="AK746" s="117" t="str">
        <f t="shared" si="10"/>
        <v>Negative</v>
      </c>
      <c r="AL746" s="142"/>
      <c r="AM746" s="112" t="s">
        <v>1354</v>
      </c>
      <c r="AN746" s="112" t="s">
        <v>1355</v>
      </c>
      <c r="AO746" s="112" t="str">
        <f>IFERROR(__xludf.DUMMYFUNCTION("IF($AG746, ""DELETED"",TRIM(JOIN("" "",D746:E746)))"),"")</f>
        <v/>
      </c>
      <c r="AP746" s="112" t="str">
        <f t="shared" ref="AP746:AQ746" si="772">IF($AG746, "DELETED", TRIM(CONCATENATE(F746,I746,U746)))</f>
        <v/>
      </c>
      <c r="AQ746" s="112" t="str">
        <f t="shared" si="772"/>
        <v/>
      </c>
      <c r="AR746" s="112" t="str">
        <f>IFERROR(__xludf.DUMMYFUNCTION("IF($AG746, ""DELETED"", TRIM(JOIN("" "",AP746,AQ746)))"),"")</f>
        <v/>
      </c>
      <c r="AS746" s="118"/>
      <c r="AT746" s="110" t="b">
        <f t="shared" si="12"/>
        <v>0</v>
      </c>
      <c r="AU746" s="110" t="str">
        <f t="shared" si="13"/>
        <v/>
      </c>
      <c r="AV746" s="110" t="str">
        <f t="shared" si="14"/>
        <v/>
      </c>
      <c r="AW746" s="110" t="str">
        <f t="shared" si="15"/>
        <v/>
      </c>
      <c r="AX746" s="119" t="str">
        <f t="shared" si="16"/>
        <v/>
      </c>
      <c r="AY746" s="120"/>
      <c r="AZ746" s="121"/>
      <c r="BA746" s="122" t="str">
        <f t="shared" si="17"/>
        <v/>
      </c>
      <c r="BB746" s="34"/>
      <c r="BC746" s="121"/>
      <c r="BD746" s="136"/>
      <c r="BE746" s="125" t="str">
        <f t="shared" si="18"/>
        <v/>
      </c>
      <c r="BF746" s="126" t="str">
        <f t="shared" si="19"/>
        <v>FM2080__44627_0.326793981481482</v>
      </c>
      <c r="BG746" s="127" t="str">
        <f t="shared" si="20"/>
        <v/>
      </c>
      <c r="BH746" s="137" t="s">
        <v>2023</v>
      </c>
      <c r="BI746" s="128" t="str">
        <f t="shared" si="21"/>
        <v>MAX112</v>
      </c>
      <c r="BJ746" s="129" t="b">
        <f t="shared" si="740"/>
        <v>0</v>
      </c>
      <c r="BK746" s="128" t="str">
        <f t="shared" si="23"/>
        <v/>
      </c>
      <c r="BL746" s="121"/>
      <c r="BM746" s="5" t="str">
        <f t="shared" si="24"/>
        <v>MISSING</v>
      </c>
      <c r="BN746" s="120" t="b">
        <f t="shared" si="25"/>
        <v>0</v>
      </c>
      <c r="BO746" s="131" t="b">
        <f t="shared" si="26"/>
        <v>1</v>
      </c>
      <c r="BP746" s="121"/>
      <c r="BQ746" s="132" t="str">
        <f>VLOOKUP(A746,RAW_APS!A$3:O826,15,FALSE)</f>
        <v/>
      </c>
      <c r="BR746" s="120" t="b">
        <f t="shared" si="27"/>
        <v>1</v>
      </c>
      <c r="BS746" s="121"/>
      <c r="BT746" s="138" t="s">
        <v>244</v>
      </c>
      <c r="BU746" s="10" t="b">
        <f t="shared" si="28"/>
        <v>1</v>
      </c>
      <c r="BV746" s="120"/>
      <c r="BW746" s="120"/>
      <c r="BX746" s="120"/>
      <c r="BY746" s="120"/>
      <c r="BZ746" s="120"/>
      <c r="CA746" s="120"/>
      <c r="CB746" s="120"/>
      <c r="CC746" s="120"/>
    </row>
    <row r="747">
      <c r="A747" s="2" t="s">
        <v>2024</v>
      </c>
      <c r="B747" s="100">
        <v>44627.0</v>
      </c>
      <c r="C747" s="101">
        <v>0.3278240740740741</v>
      </c>
      <c r="D747" s="102"/>
      <c r="E747" s="102"/>
      <c r="F747" s="102"/>
      <c r="G747" s="102"/>
      <c r="H747" s="102"/>
      <c r="I747" s="103"/>
      <c r="J747" s="103"/>
      <c r="K747" s="2" t="s">
        <v>244</v>
      </c>
      <c r="L747" s="100">
        <v>44627.0</v>
      </c>
      <c r="M747" s="101">
        <v>0.4779050925925926</v>
      </c>
      <c r="P747" s="104" t="b">
        <f>IFNA(IF(VLOOKUP($A747,'Add from APT'!$AA$2:$AC826,3,FALSE)&gt;0,TRUE,FALSE),"ER - NOT IN APT")</f>
        <v>0</v>
      </c>
      <c r="Q747" s="105" t="str">
        <f>IF(ISLOGICAL(P747),IF(P747,"ER - REPS IN APT", IFNA(VLOOKUP($A747,RAW_APT!$A$3:$M826,7,FALSE),"ER - NOT IN APT")),P747)</f>
        <v>Result</v>
      </c>
      <c r="R747" s="106" t="b">
        <f t="shared" si="2"/>
        <v>1</v>
      </c>
      <c r="S747" s="107">
        <f t="shared" si="3"/>
        <v>1</v>
      </c>
      <c r="T747" s="143"/>
      <c r="U747" s="142"/>
      <c r="V747" s="142"/>
      <c r="W747" s="142"/>
      <c r="X747" s="110" t="b">
        <f t="shared" si="4"/>
        <v>0</v>
      </c>
      <c r="Y747" s="111" t="b">
        <v>0</v>
      </c>
      <c r="Z747" s="104" t="str">
        <f t="shared" si="5"/>
        <v/>
      </c>
      <c r="AA747" s="112" t="b">
        <f t="shared" si="6"/>
        <v>0</v>
      </c>
      <c r="AB747" s="142" t="b">
        <v>0</v>
      </c>
      <c r="AC747" s="140">
        <v>76.0</v>
      </c>
      <c r="AD747" s="141" t="b">
        <v>0</v>
      </c>
      <c r="AE747" s="115">
        <f t="shared" si="7"/>
        <v>216.1166667</v>
      </c>
      <c r="AF747" s="116" t="b">
        <f t="shared" si="8"/>
        <v>0</v>
      </c>
      <c r="AG747" s="105" t="b">
        <f t="shared" si="9"/>
        <v>0</v>
      </c>
      <c r="AH747" s="140"/>
      <c r="AI747" s="140"/>
      <c r="AJ747" s="140"/>
      <c r="AK747" s="117" t="str">
        <f t="shared" si="10"/>
        <v>Negative</v>
      </c>
      <c r="AL747" s="141"/>
      <c r="AM747" s="112" t="s">
        <v>1454</v>
      </c>
      <c r="AN747" s="112" t="s">
        <v>1455</v>
      </c>
      <c r="AO747" s="112" t="str">
        <f>IFERROR(__xludf.DUMMYFUNCTION("IF($AG747, ""DELETED"",TRIM(JOIN("" "",D747:E747)))"),"")</f>
        <v/>
      </c>
      <c r="AP747" s="112" t="str">
        <f t="shared" ref="AP747:AQ747" si="773">IF($AG747, "DELETED", TRIM(CONCATENATE(F747,I747,U747)))</f>
        <v/>
      </c>
      <c r="AQ747" s="112" t="str">
        <f t="shared" si="773"/>
        <v/>
      </c>
      <c r="AR747" s="112" t="str">
        <f>IFERROR(__xludf.DUMMYFUNCTION("IF($AG747, ""DELETED"", TRIM(JOIN("" "",AP747,AQ747)))"),"")</f>
        <v/>
      </c>
      <c r="AS747" s="118"/>
      <c r="AT747" s="110" t="b">
        <f t="shared" si="12"/>
        <v>0</v>
      </c>
      <c r="AU747" s="110" t="str">
        <f t="shared" si="13"/>
        <v/>
      </c>
      <c r="AV747" s="110" t="str">
        <f t="shared" si="14"/>
        <v/>
      </c>
      <c r="AW747" s="110" t="str">
        <f t="shared" si="15"/>
        <v/>
      </c>
      <c r="AX747" s="119" t="str">
        <f t="shared" si="16"/>
        <v/>
      </c>
      <c r="AY747" s="120"/>
      <c r="AZ747" s="121"/>
      <c r="BA747" s="122" t="str">
        <f t="shared" si="17"/>
        <v/>
      </c>
      <c r="BB747" s="34"/>
      <c r="BC747" s="121"/>
      <c r="BD747" s="136"/>
      <c r="BE747" s="125" t="str">
        <f t="shared" si="18"/>
        <v/>
      </c>
      <c r="BF747" s="126" t="str">
        <f t="shared" si="19"/>
        <v>FM1789__44627_0.327824074074074</v>
      </c>
      <c r="BG747" s="127" t="str">
        <f t="shared" si="20"/>
        <v/>
      </c>
      <c r="BH747" s="137" t="s">
        <v>2025</v>
      </c>
      <c r="BI747" s="128" t="str">
        <f t="shared" si="21"/>
        <v>MAX113</v>
      </c>
      <c r="BJ747" s="129" t="b">
        <f t="shared" si="740"/>
        <v>0</v>
      </c>
      <c r="BK747" s="128" t="str">
        <f t="shared" si="23"/>
        <v/>
      </c>
      <c r="BL747" s="121"/>
      <c r="BM747" s="5" t="str">
        <f t="shared" si="24"/>
        <v>MISSING</v>
      </c>
      <c r="BN747" s="120" t="b">
        <f t="shared" si="25"/>
        <v>0</v>
      </c>
      <c r="BO747" s="131" t="b">
        <f t="shared" si="26"/>
        <v>1</v>
      </c>
      <c r="BP747" s="121"/>
      <c r="BQ747" s="132" t="str">
        <f>VLOOKUP(A747,RAW_APS!A$3:O826,15,FALSE)</f>
        <v/>
      </c>
      <c r="BR747" s="120" t="b">
        <f t="shared" si="27"/>
        <v>1</v>
      </c>
      <c r="BS747" s="121"/>
      <c r="BT747" s="138" t="s">
        <v>244</v>
      </c>
      <c r="BU747" s="10" t="b">
        <f t="shared" si="28"/>
        <v>1</v>
      </c>
      <c r="BV747" s="120"/>
      <c r="BW747" s="120"/>
      <c r="BX747" s="120"/>
      <c r="BY747" s="120"/>
      <c r="BZ747" s="120"/>
      <c r="CA747" s="120"/>
      <c r="CB747" s="120"/>
      <c r="CC747" s="120"/>
    </row>
    <row r="748">
      <c r="A748" s="2" t="s">
        <v>2026</v>
      </c>
      <c r="B748" s="100">
        <v>44627.0</v>
      </c>
      <c r="C748" s="101">
        <v>0.3370023148148148</v>
      </c>
      <c r="D748" s="102"/>
      <c r="E748" s="102"/>
      <c r="F748" s="102"/>
      <c r="G748" s="102"/>
      <c r="H748" s="102"/>
      <c r="I748" s="103"/>
      <c r="J748" s="103"/>
      <c r="K748" s="2" t="s">
        <v>244</v>
      </c>
      <c r="L748" s="100">
        <v>44627.0</v>
      </c>
      <c r="M748" s="101">
        <v>0.4779050925925926</v>
      </c>
      <c r="P748" s="104" t="b">
        <f>IFNA(IF(VLOOKUP($A748,'Add from APT'!$AA$2:$AC826,3,FALSE)&gt;0,TRUE,FALSE),"ER - NOT IN APT")</f>
        <v>0</v>
      </c>
      <c r="Q748" s="105" t="str">
        <f>IF(ISLOGICAL(P748),IF(P748,"ER - REPS IN APT", IFNA(VLOOKUP($A748,RAW_APT!$A$3:$M826,7,FALSE),"ER - NOT IN APT")),P748)</f>
        <v>Result</v>
      </c>
      <c r="R748" s="106" t="b">
        <f t="shared" si="2"/>
        <v>1</v>
      </c>
      <c r="S748" s="107">
        <f t="shared" si="3"/>
        <v>1</v>
      </c>
      <c r="T748" s="143"/>
      <c r="U748" s="142"/>
      <c r="V748" s="142"/>
      <c r="W748" s="142"/>
      <c r="X748" s="110" t="b">
        <f t="shared" si="4"/>
        <v>0</v>
      </c>
      <c r="Y748" s="111" t="b">
        <v>0</v>
      </c>
      <c r="Z748" s="104" t="str">
        <f t="shared" si="5"/>
        <v/>
      </c>
      <c r="AA748" s="112" t="b">
        <f t="shared" si="6"/>
        <v>0</v>
      </c>
      <c r="AB748" s="142" t="b">
        <v>0</v>
      </c>
      <c r="AC748" s="140">
        <v>75.0</v>
      </c>
      <c r="AD748" s="141" t="b">
        <v>0</v>
      </c>
      <c r="AE748" s="115">
        <f t="shared" si="7"/>
        <v>202.9</v>
      </c>
      <c r="AF748" s="116" t="b">
        <f t="shared" si="8"/>
        <v>0</v>
      </c>
      <c r="AG748" s="105" t="b">
        <f t="shared" si="9"/>
        <v>0</v>
      </c>
      <c r="AH748" s="140"/>
      <c r="AI748" s="140"/>
      <c r="AJ748" s="140"/>
      <c r="AK748" s="117" t="str">
        <f t="shared" si="10"/>
        <v>Negative</v>
      </c>
      <c r="AL748" s="142"/>
      <c r="AM748" s="112" t="s">
        <v>1370</v>
      </c>
      <c r="AN748" s="112" t="s">
        <v>1371</v>
      </c>
      <c r="AO748" s="112" t="str">
        <f>IFERROR(__xludf.DUMMYFUNCTION("IF($AG748, ""DELETED"",TRIM(JOIN("" "",D748:E748)))"),"")</f>
        <v/>
      </c>
      <c r="AP748" s="112" t="str">
        <f t="shared" ref="AP748:AQ748" si="774">IF($AG748, "DELETED", TRIM(CONCATENATE(F748,I748,U748)))</f>
        <v/>
      </c>
      <c r="AQ748" s="112" t="str">
        <f t="shared" si="774"/>
        <v/>
      </c>
      <c r="AR748" s="112" t="str">
        <f>IFERROR(__xludf.DUMMYFUNCTION("IF($AG748, ""DELETED"", TRIM(JOIN("" "",AP748,AQ748)))"),"")</f>
        <v/>
      </c>
      <c r="AS748" s="118"/>
      <c r="AT748" s="110" t="b">
        <f t="shared" si="12"/>
        <v>0</v>
      </c>
      <c r="AU748" s="110" t="str">
        <f t="shared" si="13"/>
        <v/>
      </c>
      <c r="AV748" s="110" t="str">
        <f t="shared" si="14"/>
        <v/>
      </c>
      <c r="AW748" s="110" t="str">
        <f t="shared" si="15"/>
        <v/>
      </c>
      <c r="AX748" s="119" t="str">
        <f t="shared" si="16"/>
        <v/>
      </c>
      <c r="AY748" s="120"/>
      <c r="AZ748" s="121"/>
      <c r="BA748" s="122" t="str">
        <f t="shared" si="17"/>
        <v/>
      </c>
      <c r="BB748" s="34"/>
      <c r="BC748" s="121"/>
      <c r="BD748" s="136"/>
      <c r="BE748" s="125" t="str">
        <f t="shared" si="18"/>
        <v/>
      </c>
      <c r="BF748" s="126" t="str">
        <f t="shared" si="19"/>
        <v>MA378__44627_0.337002314814815</v>
      </c>
      <c r="BG748" s="127" t="str">
        <f t="shared" si="20"/>
        <v/>
      </c>
      <c r="BH748" s="137" t="s">
        <v>2027</v>
      </c>
      <c r="BI748" s="128" t="str">
        <f t="shared" si="21"/>
        <v>MAX114</v>
      </c>
      <c r="BJ748" s="129" t="b">
        <f t="shared" si="740"/>
        <v>0</v>
      </c>
      <c r="BK748" s="128" t="str">
        <f t="shared" si="23"/>
        <v/>
      </c>
      <c r="BL748" s="121"/>
      <c r="BM748" s="5" t="str">
        <f t="shared" si="24"/>
        <v>MISSING</v>
      </c>
      <c r="BN748" s="120" t="b">
        <f t="shared" si="25"/>
        <v>0</v>
      </c>
      <c r="BO748" s="131" t="b">
        <f t="shared" si="26"/>
        <v>1</v>
      </c>
      <c r="BP748" s="121"/>
      <c r="BQ748" s="132" t="str">
        <f>VLOOKUP(A748,RAW_APS!A$3:O826,15,FALSE)</f>
        <v/>
      </c>
      <c r="BR748" s="120" t="b">
        <f t="shared" si="27"/>
        <v>1</v>
      </c>
      <c r="BS748" s="121"/>
      <c r="BT748" s="138" t="s">
        <v>244</v>
      </c>
      <c r="BU748" s="10" t="b">
        <f t="shared" si="28"/>
        <v>1</v>
      </c>
      <c r="BV748" s="120"/>
      <c r="BW748" s="120"/>
      <c r="BX748" s="120"/>
      <c r="BY748" s="120"/>
      <c r="BZ748" s="120"/>
      <c r="CA748" s="120"/>
      <c r="CB748" s="120"/>
      <c r="CC748" s="120"/>
    </row>
    <row r="749">
      <c r="A749" s="2" t="s">
        <v>2028</v>
      </c>
      <c r="B749" s="100">
        <v>44627.0</v>
      </c>
      <c r="C749" s="101">
        <v>0.3383449074074074</v>
      </c>
      <c r="D749" s="102"/>
      <c r="E749" s="102"/>
      <c r="F749" s="102"/>
      <c r="G749" s="102"/>
      <c r="H749" s="102"/>
      <c r="I749" s="103"/>
      <c r="J749" s="103"/>
      <c r="K749" s="2" t="s">
        <v>244</v>
      </c>
      <c r="L749" s="100">
        <v>44627.0</v>
      </c>
      <c r="M749" s="101">
        <v>0.4779050925925926</v>
      </c>
      <c r="P749" s="104" t="b">
        <f>IFNA(IF(VLOOKUP($A749,'Add from APT'!$AA$2:$AC826,3,FALSE)&gt;0,TRUE,FALSE),"ER - NOT IN APT")</f>
        <v>0</v>
      </c>
      <c r="Q749" s="105" t="str">
        <f>IF(ISLOGICAL(P749),IF(P749,"ER - REPS IN APT", IFNA(VLOOKUP($A749,RAW_APT!$A$3:$M826,7,FALSE),"ER - NOT IN APT")),P749)</f>
        <v>Result</v>
      </c>
      <c r="R749" s="106" t="b">
        <f t="shared" si="2"/>
        <v>1</v>
      </c>
      <c r="S749" s="107">
        <f t="shared" si="3"/>
        <v>1</v>
      </c>
      <c r="T749" s="143"/>
      <c r="U749" s="142"/>
      <c r="V749" s="142"/>
      <c r="W749" s="142"/>
      <c r="X749" s="110" t="b">
        <f t="shared" si="4"/>
        <v>0</v>
      </c>
      <c r="Y749" s="111" t="b">
        <v>0</v>
      </c>
      <c r="Z749" s="104" t="str">
        <f t="shared" si="5"/>
        <v/>
      </c>
      <c r="AA749" s="112" t="b">
        <f t="shared" si="6"/>
        <v>0</v>
      </c>
      <c r="AB749" s="142" t="b">
        <v>0</v>
      </c>
      <c r="AC749" s="140">
        <v>74.0</v>
      </c>
      <c r="AD749" s="141" t="b">
        <v>0</v>
      </c>
      <c r="AE749" s="115">
        <f t="shared" si="7"/>
        <v>200.9666667</v>
      </c>
      <c r="AF749" s="116" t="b">
        <f t="shared" si="8"/>
        <v>0</v>
      </c>
      <c r="AG749" s="105" t="b">
        <f t="shared" si="9"/>
        <v>0</v>
      </c>
      <c r="AH749" s="140"/>
      <c r="AI749" s="140"/>
      <c r="AJ749" s="140"/>
      <c r="AK749" s="117" t="str">
        <f t="shared" si="10"/>
        <v>Negative</v>
      </c>
      <c r="AL749" s="141"/>
      <c r="AM749" s="112" t="s">
        <v>1370</v>
      </c>
      <c r="AN749" s="112" t="s">
        <v>1162</v>
      </c>
      <c r="AO749" s="112" t="str">
        <f>IFERROR(__xludf.DUMMYFUNCTION("IF($AG749, ""DELETED"",TRIM(JOIN("" "",D749:E749)))"),"")</f>
        <v/>
      </c>
      <c r="AP749" s="112" t="str">
        <f t="shared" ref="AP749:AQ749" si="775">IF($AG749, "DELETED", TRIM(CONCATENATE(F749,I749,U749)))</f>
        <v/>
      </c>
      <c r="AQ749" s="112" t="str">
        <f t="shared" si="775"/>
        <v/>
      </c>
      <c r="AR749" s="112" t="str">
        <f>IFERROR(__xludf.DUMMYFUNCTION("IF($AG749, ""DELETED"", TRIM(JOIN("" "",AP749,AQ749)))"),"")</f>
        <v/>
      </c>
      <c r="AS749" s="118"/>
      <c r="AT749" s="110" t="b">
        <f t="shared" si="12"/>
        <v>0</v>
      </c>
      <c r="AU749" s="110" t="str">
        <f t="shared" si="13"/>
        <v/>
      </c>
      <c r="AV749" s="110" t="str">
        <f t="shared" si="14"/>
        <v/>
      </c>
      <c r="AW749" s="110" t="str">
        <f t="shared" si="15"/>
        <v/>
      </c>
      <c r="AX749" s="119" t="str">
        <f t="shared" si="16"/>
        <v/>
      </c>
      <c r="AY749" s="120"/>
      <c r="AZ749" s="121"/>
      <c r="BA749" s="122" t="str">
        <f t="shared" si="17"/>
        <v/>
      </c>
      <c r="BB749" s="34"/>
      <c r="BC749" s="121"/>
      <c r="BD749" s="136"/>
      <c r="BE749" s="125" t="str">
        <f t="shared" si="18"/>
        <v/>
      </c>
      <c r="BF749" s="126" t="str">
        <f t="shared" si="19"/>
        <v>MA353__44627_0.338344907407407</v>
      </c>
      <c r="BG749" s="127" t="str">
        <f t="shared" si="20"/>
        <v/>
      </c>
      <c r="BH749" s="137" t="s">
        <v>2029</v>
      </c>
      <c r="BI749" s="128" t="str">
        <f t="shared" si="21"/>
        <v>MAX115</v>
      </c>
      <c r="BJ749" s="129" t="b">
        <f t="shared" si="740"/>
        <v>0</v>
      </c>
      <c r="BK749" s="128" t="str">
        <f t="shared" si="23"/>
        <v/>
      </c>
      <c r="BL749" s="121"/>
      <c r="BM749" s="5" t="str">
        <f t="shared" si="24"/>
        <v>MISSING</v>
      </c>
      <c r="BN749" s="120" t="b">
        <f t="shared" si="25"/>
        <v>0</v>
      </c>
      <c r="BO749" s="131" t="b">
        <f t="shared" si="26"/>
        <v>1</v>
      </c>
      <c r="BP749" s="121"/>
      <c r="BQ749" s="132" t="str">
        <f>VLOOKUP(A749,RAW_APS!A$3:O826,15,FALSE)</f>
        <v/>
      </c>
      <c r="BR749" s="120" t="b">
        <f t="shared" si="27"/>
        <v>1</v>
      </c>
      <c r="BS749" s="121"/>
      <c r="BT749" s="138" t="s">
        <v>244</v>
      </c>
      <c r="BU749" s="10" t="b">
        <f t="shared" si="28"/>
        <v>1</v>
      </c>
      <c r="BV749" s="120"/>
      <c r="BW749" s="120"/>
      <c r="BX749" s="120"/>
      <c r="BY749" s="120"/>
      <c r="BZ749" s="120"/>
      <c r="CA749" s="120"/>
      <c r="CB749" s="120"/>
      <c r="CC749" s="120"/>
    </row>
    <row r="750">
      <c r="A750" s="2" t="s">
        <v>2030</v>
      </c>
      <c r="B750" s="100">
        <v>44627.0</v>
      </c>
      <c r="C750" s="101">
        <v>0.3385300925925926</v>
      </c>
      <c r="D750" s="102"/>
      <c r="E750" s="102"/>
      <c r="F750" s="102"/>
      <c r="G750" s="102"/>
      <c r="H750" s="102"/>
      <c r="I750" s="103"/>
      <c r="J750" s="103"/>
      <c r="K750" s="2" t="s">
        <v>244</v>
      </c>
      <c r="L750" s="100">
        <v>44627.0</v>
      </c>
      <c r="M750" s="101">
        <v>0.4779050925925926</v>
      </c>
      <c r="P750" s="104" t="b">
        <f>IFNA(IF(VLOOKUP($A750,'Add from APT'!$AA$2:$AC826,3,FALSE)&gt;0,TRUE,FALSE),"ER - NOT IN APT")</f>
        <v>0</v>
      </c>
      <c r="Q750" s="105" t="str">
        <f>IF(ISLOGICAL(P750),IF(P750,"ER - REPS IN APT", IFNA(VLOOKUP($A750,RAW_APT!$A$3:$M826,7,FALSE),"ER - NOT IN APT")),P750)</f>
        <v>Result</v>
      </c>
      <c r="R750" s="106" t="b">
        <f t="shared" si="2"/>
        <v>1</v>
      </c>
      <c r="S750" s="107">
        <f t="shared" si="3"/>
        <v>1</v>
      </c>
      <c r="T750" s="143"/>
      <c r="U750" s="142"/>
      <c r="V750" s="142"/>
      <c r="W750" s="142"/>
      <c r="X750" s="110" t="b">
        <f t="shared" si="4"/>
        <v>0</v>
      </c>
      <c r="Y750" s="111" t="b">
        <v>0</v>
      </c>
      <c r="Z750" s="104" t="str">
        <f t="shared" si="5"/>
        <v/>
      </c>
      <c r="AA750" s="112" t="b">
        <f t="shared" si="6"/>
        <v>0</v>
      </c>
      <c r="AB750" s="142" t="b">
        <v>0</v>
      </c>
      <c r="AC750" s="140">
        <v>73.0</v>
      </c>
      <c r="AD750" s="141" t="b">
        <v>0</v>
      </c>
      <c r="AE750" s="115">
        <f t="shared" si="7"/>
        <v>200.7</v>
      </c>
      <c r="AF750" s="116" t="b">
        <f t="shared" si="8"/>
        <v>0</v>
      </c>
      <c r="AG750" s="105" t="b">
        <f t="shared" si="9"/>
        <v>0</v>
      </c>
      <c r="AH750" s="140"/>
      <c r="AI750" s="140"/>
      <c r="AJ750" s="140"/>
      <c r="AK750" s="117" t="str">
        <f t="shared" si="10"/>
        <v>Negative</v>
      </c>
      <c r="AL750" s="141"/>
      <c r="AM750" s="112" t="s">
        <v>1402</v>
      </c>
      <c r="AN750" s="112" t="s">
        <v>1403</v>
      </c>
      <c r="AO750" s="112" t="str">
        <f>IFERROR(__xludf.DUMMYFUNCTION("IF($AG750, ""DELETED"",TRIM(JOIN("" "",D750:E750)))"),"")</f>
        <v/>
      </c>
      <c r="AP750" s="112" t="str">
        <f t="shared" ref="AP750:AQ750" si="776">IF($AG750, "DELETED", TRIM(CONCATENATE(F750,I750,U750)))</f>
        <v/>
      </c>
      <c r="AQ750" s="112" t="str">
        <f t="shared" si="776"/>
        <v/>
      </c>
      <c r="AR750" s="112" t="str">
        <f>IFERROR(__xludf.DUMMYFUNCTION("IF($AG750, ""DELETED"", TRIM(JOIN("" "",AP750,AQ750)))"),"")</f>
        <v/>
      </c>
      <c r="AS750" s="118"/>
      <c r="AT750" s="110" t="b">
        <f t="shared" si="12"/>
        <v>0</v>
      </c>
      <c r="AU750" s="110" t="str">
        <f t="shared" si="13"/>
        <v/>
      </c>
      <c r="AV750" s="110" t="str">
        <f t="shared" si="14"/>
        <v/>
      </c>
      <c r="AW750" s="110" t="str">
        <f t="shared" si="15"/>
        <v/>
      </c>
      <c r="AX750" s="119" t="str">
        <f t="shared" si="16"/>
        <v/>
      </c>
      <c r="AY750" s="120"/>
      <c r="AZ750" s="121"/>
      <c r="BA750" s="122" t="str">
        <f t="shared" si="17"/>
        <v/>
      </c>
      <c r="BB750" s="34"/>
      <c r="BC750" s="121"/>
      <c r="BD750" s="136"/>
      <c r="BE750" s="125" t="str">
        <f t="shared" si="18"/>
        <v/>
      </c>
      <c r="BF750" s="126" t="str">
        <f t="shared" si="19"/>
        <v>FM367__44627_0.338530092592593</v>
      </c>
      <c r="BG750" s="127" t="str">
        <f t="shared" si="20"/>
        <v/>
      </c>
      <c r="BH750" s="137" t="s">
        <v>2031</v>
      </c>
      <c r="BI750" s="128" t="str">
        <f t="shared" si="21"/>
        <v>MAX116</v>
      </c>
      <c r="BJ750" s="129" t="b">
        <f t="shared" si="740"/>
        <v>0</v>
      </c>
      <c r="BK750" s="128" t="str">
        <f t="shared" si="23"/>
        <v/>
      </c>
      <c r="BL750" s="121"/>
      <c r="BM750" s="5" t="str">
        <f t="shared" si="24"/>
        <v>MISSING</v>
      </c>
      <c r="BN750" s="120" t="b">
        <f t="shared" si="25"/>
        <v>0</v>
      </c>
      <c r="BO750" s="131" t="b">
        <f t="shared" si="26"/>
        <v>1</v>
      </c>
      <c r="BP750" s="121"/>
      <c r="BQ750" s="132" t="str">
        <f>VLOOKUP(A750,RAW_APS!A$3:O826,15,FALSE)</f>
        <v/>
      </c>
      <c r="BR750" s="120" t="b">
        <f t="shared" si="27"/>
        <v>1</v>
      </c>
      <c r="BS750" s="121"/>
      <c r="BT750" s="138" t="s">
        <v>244</v>
      </c>
      <c r="BU750" s="10" t="b">
        <f t="shared" si="28"/>
        <v>1</v>
      </c>
      <c r="BV750" s="120"/>
      <c r="BW750" s="120"/>
      <c r="BX750" s="120"/>
      <c r="BY750" s="120"/>
      <c r="BZ750" s="120"/>
      <c r="CA750" s="120"/>
      <c r="CB750" s="120"/>
      <c r="CC750" s="120"/>
    </row>
    <row r="751">
      <c r="A751" s="2" t="s">
        <v>2032</v>
      </c>
      <c r="B751" s="100">
        <v>44627.0</v>
      </c>
      <c r="C751" s="101">
        <v>0.3386458333333333</v>
      </c>
      <c r="D751" s="102"/>
      <c r="E751" s="102"/>
      <c r="F751" s="102"/>
      <c r="G751" s="102"/>
      <c r="H751" s="102"/>
      <c r="I751" s="103"/>
      <c r="J751" s="103"/>
      <c r="K751" s="2" t="s">
        <v>244</v>
      </c>
      <c r="L751" s="100">
        <v>44627.0</v>
      </c>
      <c r="M751" s="101">
        <v>0.4779050925925926</v>
      </c>
      <c r="P751" s="104" t="b">
        <f>IFNA(IF(VLOOKUP($A751,'Add from APT'!$AA$2:$AC826,3,FALSE)&gt;0,TRUE,FALSE),"ER - NOT IN APT")</f>
        <v>0</v>
      </c>
      <c r="Q751" s="105" t="str">
        <f>IF(ISLOGICAL(P751),IF(P751,"ER - REPS IN APT", IFNA(VLOOKUP($A751,RAW_APT!$A$3:$M826,7,FALSE),"ER - NOT IN APT")),P751)</f>
        <v>Result</v>
      </c>
      <c r="R751" s="106" t="b">
        <f t="shared" si="2"/>
        <v>1</v>
      </c>
      <c r="S751" s="107">
        <f t="shared" si="3"/>
        <v>1</v>
      </c>
      <c r="T751" s="143"/>
      <c r="U751" s="142"/>
      <c r="V751" s="142"/>
      <c r="W751" s="142"/>
      <c r="X751" s="110" t="b">
        <f t="shared" si="4"/>
        <v>0</v>
      </c>
      <c r="Y751" s="111" t="b">
        <v>0</v>
      </c>
      <c r="Z751" s="104" t="str">
        <f t="shared" si="5"/>
        <v/>
      </c>
      <c r="AA751" s="112" t="b">
        <f t="shared" si="6"/>
        <v>0</v>
      </c>
      <c r="AB751" s="142" t="b">
        <v>0</v>
      </c>
      <c r="AC751" s="140">
        <v>72.0</v>
      </c>
      <c r="AD751" s="141" t="b">
        <v>0</v>
      </c>
      <c r="AE751" s="115">
        <f t="shared" si="7"/>
        <v>200.5333333</v>
      </c>
      <c r="AF751" s="116" t="b">
        <f t="shared" si="8"/>
        <v>0</v>
      </c>
      <c r="AG751" s="105" t="b">
        <f t="shared" si="9"/>
        <v>0</v>
      </c>
      <c r="AH751" s="140"/>
      <c r="AI751" s="140"/>
      <c r="AJ751" s="140"/>
      <c r="AK751" s="117" t="str">
        <f t="shared" si="10"/>
        <v>Negative</v>
      </c>
      <c r="AL751" s="142"/>
      <c r="AM751" s="112" t="s">
        <v>593</v>
      </c>
      <c r="AN751" s="112" t="s">
        <v>594</v>
      </c>
      <c r="AO751" s="112" t="str">
        <f>IFERROR(__xludf.DUMMYFUNCTION("IF($AG751, ""DELETED"",TRIM(JOIN("" "",D751:E751)))"),"")</f>
        <v/>
      </c>
      <c r="AP751" s="112" t="str">
        <f t="shared" ref="AP751:AQ751" si="777">IF($AG751, "DELETED", TRIM(CONCATENATE(F751,I751,U751)))</f>
        <v/>
      </c>
      <c r="AQ751" s="112" t="str">
        <f t="shared" si="777"/>
        <v/>
      </c>
      <c r="AR751" s="112" t="str">
        <f>IFERROR(__xludf.DUMMYFUNCTION("IF($AG751, ""DELETED"", TRIM(JOIN("" "",AP751,AQ751)))"),"")</f>
        <v/>
      </c>
      <c r="AS751" s="118"/>
      <c r="AT751" s="110" t="b">
        <f t="shared" si="12"/>
        <v>0</v>
      </c>
      <c r="AU751" s="110" t="str">
        <f t="shared" si="13"/>
        <v/>
      </c>
      <c r="AV751" s="110" t="str">
        <f t="shared" si="14"/>
        <v/>
      </c>
      <c r="AW751" s="110" t="str">
        <f t="shared" si="15"/>
        <v/>
      </c>
      <c r="AX751" s="119" t="str">
        <f t="shared" si="16"/>
        <v/>
      </c>
      <c r="AY751" s="120"/>
      <c r="AZ751" s="121"/>
      <c r="BA751" s="122" t="str">
        <f t="shared" si="17"/>
        <v/>
      </c>
      <c r="BB751" s="34"/>
      <c r="BC751" s="121"/>
      <c r="BD751" s="136"/>
      <c r="BE751" s="125" t="str">
        <f t="shared" si="18"/>
        <v/>
      </c>
      <c r="BF751" s="126" t="str">
        <f t="shared" si="19"/>
        <v>FM413__44627_0.338645833333333</v>
      </c>
      <c r="BG751" s="127" t="str">
        <f t="shared" si="20"/>
        <v/>
      </c>
      <c r="BH751" s="137" t="s">
        <v>2033</v>
      </c>
      <c r="BI751" s="128" t="str">
        <f t="shared" si="21"/>
        <v>MAX117</v>
      </c>
      <c r="BJ751" s="129" t="b">
        <f t="shared" si="740"/>
        <v>0</v>
      </c>
      <c r="BK751" s="128" t="str">
        <f t="shared" si="23"/>
        <v/>
      </c>
      <c r="BL751" s="121"/>
      <c r="BM751" s="5" t="str">
        <f t="shared" si="24"/>
        <v>MISSING</v>
      </c>
      <c r="BN751" s="120" t="b">
        <f t="shared" si="25"/>
        <v>0</v>
      </c>
      <c r="BO751" s="131" t="b">
        <f t="shared" si="26"/>
        <v>1</v>
      </c>
      <c r="BP751" s="121"/>
      <c r="BQ751" s="132" t="str">
        <f>VLOOKUP(A751,RAW_APS!A$3:O826,15,FALSE)</f>
        <v/>
      </c>
      <c r="BR751" s="120" t="b">
        <f t="shared" si="27"/>
        <v>1</v>
      </c>
      <c r="BS751" s="121"/>
      <c r="BT751" s="138" t="s">
        <v>244</v>
      </c>
      <c r="BU751" s="10" t="b">
        <f t="shared" si="28"/>
        <v>1</v>
      </c>
      <c r="BV751" s="120"/>
      <c r="BW751" s="120"/>
      <c r="BX751" s="120"/>
      <c r="BY751" s="120"/>
      <c r="BZ751" s="120"/>
      <c r="CA751" s="120"/>
      <c r="CB751" s="120"/>
      <c r="CC751" s="120"/>
    </row>
    <row r="752">
      <c r="A752" s="2" t="s">
        <v>2034</v>
      </c>
      <c r="B752" s="100">
        <v>44627.0</v>
      </c>
      <c r="C752" s="101">
        <v>0.34769675925925925</v>
      </c>
      <c r="D752" s="102"/>
      <c r="E752" s="102"/>
      <c r="F752" s="102"/>
      <c r="G752" s="102"/>
      <c r="H752" s="102"/>
      <c r="I752" s="103"/>
      <c r="J752" s="103"/>
      <c r="K752" s="2" t="s">
        <v>244</v>
      </c>
      <c r="L752" s="100">
        <v>44627.0</v>
      </c>
      <c r="M752" s="101">
        <v>0.4779050925925926</v>
      </c>
      <c r="P752" s="104" t="b">
        <f>IFNA(IF(VLOOKUP($A752,'Add from APT'!$AA$2:$AC826,3,FALSE)&gt;0,TRUE,FALSE),"ER - NOT IN APT")</f>
        <v>0</v>
      </c>
      <c r="Q752" s="105" t="str">
        <f>IF(ISLOGICAL(P752),IF(P752,"ER - REPS IN APT", IFNA(VLOOKUP($A752,RAW_APT!$A$3:$M826,7,FALSE),"ER - NOT IN APT")),P752)</f>
        <v>Result</v>
      </c>
      <c r="R752" s="106" t="b">
        <f t="shared" si="2"/>
        <v>1</v>
      </c>
      <c r="S752" s="107">
        <f t="shared" si="3"/>
        <v>1</v>
      </c>
      <c r="T752" s="143"/>
      <c r="U752" s="142"/>
      <c r="V752" s="142"/>
      <c r="W752" s="142"/>
      <c r="X752" s="110" t="b">
        <f t="shared" si="4"/>
        <v>0</v>
      </c>
      <c r="Y752" s="111" t="b">
        <v>0</v>
      </c>
      <c r="Z752" s="104" t="str">
        <f t="shared" si="5"/>
        <v/>
      </c>
      <c r="AA752" s="112" t="b">
        <f t="shared" si="6"/>
        <v>0</v>
      </c>
      <c r="AB752" s="142" t="b">
        <v>0</v>
      </c>
      <c r="AC752" s="140">
        <v>70.0</v>
      </c>
      <c r="AD752" s="141" t="b">
        <v>0</v>
      </c>
      <c r="AE752" s="115">
        <f t="shared" si="7"/>
        <v>187.5</v>
      </c>
      <c r="AF752" s="116" t="b">
        <f t="shared" si="8"/>
        <v>0</v>
      </c>
      <c r="AG752" s="105" t="b">
        <f t="shared" si="9"/>
        <v>0</v>
      </c>
      <c r="AH752" s="140"/>
      <c r="AI752" s="140"/>
      <c r="AJ752" s="140"/>
      <c r="AK752" s="117" t="str">
        <f t="shared" si="10"/>
        <v>Negative</v>
      </c>
      <c r="AL752" s="142"/>
      <c r="AM752" s="112" t="s">
        <v>649</v>
      </c>
      <c r="AN752" s="112" t="s">
        <v>336</v>
      </c>
      <c r="AO752" s="112" t="str">
        <f>IFERROR(__xludf.DUMMYFUNCTION("IF($AG752, ""DELETED"",TRIM(JOIN("" "",D752:E752)))"),"")</f>
        <v/>
      </c>
      <c r="AP752" s="112" t="str">
        <f t="shared" ref="AP752:AQ752" si="778">IF($AG752, "DELETED", TRIM(CONCATENATE(F752,I752,U752)))</f>
        <v/>
      </c>
      <c r="AQ752" s="112" t="str">
        <f t="shared" si="778"/>
        <v/>
      </c>
      <c r="AR752" s="112" t="str">
        <f>IFERROR(__xludf.DUMMYFUNCTION("IF($AG752, ""DELETED"", TRIM(JOIN("" "",AP752,AQ752)))"),"")</f>
        <v/>
      </c>
      <c r="AS752" s="118"/>
      <c r="AT752" s="110" t="b">
        <f t="shared" si="12"/>
        <v>0</v>
      </c>
      <c r="AU752" s="110" t="str">
        <f t="shared" si="13"/>
        <v/>
      </c>
      <c r="AV752" s="110" t="str">
        <f t="shared" si="14"/>
        <v/>
      </c>
      <c r="AW752" s="110" t="str">
        <f t="shared" si="15"/>
        <v/>
      </c>
      <c r="AX752" s="119" t="str">
        <f t="shared" si="16"/>
        <v/>
      </c>
      <c r="AY752" s="120"/>
      <c r="AZ752" s="121"/>
      <c r="BA752" s="122" t="str">
        <f t="shared" si="17"/>
        <v/>
      </c>
      <c r="BB752" s="34"/>
      <c r="BC752" s="121"/>
      <c r="BD752" s="136"/>
      <c r="BE752" s="125" t="str">
        <f t="shared" si="18"/>
        <v/>
      </c>
      <c r="BF752" s="126" t="str">
        <f t="shared" si="19"/>
        <v>MA314__44627_0.347696759259259</v>
      </c>
      <c r="BG752" s="127" t="str">
        <f t="shared" si="20"/>
        <v/>
      </c>
      <c r="BH752" s="137" t="s">
        <v>2035</v>
      </c>
      <c r="BI752" s="128" t="str">
        <f t="shared" si="21"/>
        <v>MAX118</v>
      </c>
      <c r="BJ752" s="129" t="b">
        <f t="shared" si="740"/>
        <v>0</v>
      </c>
      <c r="BK752" s="128" t="str">
        <f t="shared" si="23"/>
        <v/>
      </c>
      <c r="BL752" s="121"/>
      <c r="BM752" s="5" t="str">
        <f t="shared" si="24"/>
        <v>MISSING</v>
      </c>
      <c r="BN752" s="120" t="b">
        <f t="shared" si="25"/>
        <v>0</v>
      </c>
      <c r="BO752" s="131" t="b">
        <f t="shared" si="26"/>
        <v>1</v>
      </c>
      <c r="BP752" s="121"/>
      <c r="BQ752" s="132" t="str">
        <f>VLOOKUP(A752,RAW_APS!A$3:O826,15,FALSE)</f>
        <v/>
      </c>
      <c r="BR752" s="120" t="b">
        <f t="shared" si="27"/>
        <v>1</v>
      </c>
      <c r="BS752" s="121"/>
      <c r="BT752" s="138" t="s">
        <v>244</v>
      </c>
      <c r="BU752" s="10" t="b">
        <f t="shared" si="28"/>
        <v>1</v>
      </c>
      <c r="BV752" s="120"/>
      <c r="BW752" s="120"/>
      <c r="BX752" s="120"/>
      <c r="BY752" s="120"/>
      <c r="BZ752" s="120"/>
      <c r="CA752" s="120"/>
      <c r="CB752" s="120"/>
      <c r="CC752" s="120"/>
    </row>
    <row r="753">
      <c r="A753" s="2" t="s">
        <v>2036</v>
      </c>
      <c r="B753" s="100">
        <v>44627.0</v>
      </c>
      <c r="C753" s="101">
        <v>0.35195601851851854</v>
      </c>
      <c r="D753" s="102"/>
      <c r="E753" s="102"/>
      <c r="F753" s="102"/>
      <c r="G753" s="102"/>
      <c r="H753" s="102"/>
      <c r="I753" s="103"/>
      <c r="J753" s="103"/>
      <c r="K753" s="2" t="s">
        <v>244</v>
      </c>
      <c r="L753" s="100">
        <v>44627.0</v>
      </c>
      <c r="M753" s="101">
        <v>0.4779050925925926</v>
      </c>
      <c r="P753" s="104" t="b">
        <f>IFNA(IF(VLOOKUP($A753,'Add from APT'!$AA$2:$AC826,3,FALSE)&gt;0,TRUE,FALSE),"ER - NOT IN APT")</f>
        <v>0</v>
      </c>
      <c r="Q753" s="105" t="str">
        <f>IF(ISLOGICAL(P753),IF(P753,"ER - REPS IN APT", IFNA(VLOOKUP($A753,RAW_APT!$A$3:$M826,7,FALSE),"ER - NOT IN APT")),P753)</f>
        <v>Result</v>
      </c>
      <c r="R753" s="106" t="b">
        <f t="shared" si="2"/>
        <v>1</v>
      </c>
      <c r="S753" s="107">
        <f t="shared" si="3"/>
        <v>1</v>
      </c>
      <c r="T753" s="143"/>
      <c r="U753" s="142"/>
      <c r="V753" s="142"/>
      <c r="W753" s="142"/>
      <c r="X753" s="110" t="b">
        <f t="shared" si="4"/>
        <v>0</v>
      </c>
      <c r="Y753" s="111" t="b">
        <v>0</v>
      </c>
      <c r="Z753" s="104" t="str">
        <f t="shared" si="5"/>
        <v/>
      </c>
      <c r="AA753" s="112" t="b">
        <f t="shared" si="6"/>
        <v>0</v>
      </c>
      <c r="AB753" s="142" t="b">
        <v>0</v>
      </c>
      <c r="AC753" s="140">
        <v>69.0</v>
      </c>
      <c r="AD753" s="141" t="b">
        <v>0</v>
      </c>
      <c r="AE753" s="115">
        <f t="shared" si="7"/>
        <v>181.3666667</v>
      </c>
      <c r="AF753" s="116" t="b">
        <f t="shared" si="8"/>
        <v>0</v>
      </c>
      <c r="AG753" s="105" t="b">
        <f t="shared" si="9"/>
        <v>0</v>
      </c>
      <c r="AH753" s="140"/>
      <c r="AI753" s="140"/>
      <c r="AJ753" s="140"/>
      <c r="AK753" s="117" t="str">
        <f t="shared" si="10"/>
        <v>Negative</v>
      </c>
      <c r="AL753" s="142"/>
      <c r="AM753" s="112" t="s">
        <v>1380</v>
      </c>
      <c r="AN753" s="112" t="s">
        <v>1381</v>
      </c>
      <c r="AO753" s="112" t="str">
        <f>IFERROR(__xludf.DUMMYFUNCTION("IF($AG753, ""DELETED"",TRIM(JOIN("" "",D753:E753)))"),"")</f>
        <v/>
      </c>
      <c r="AP753" s="112" t="str">
        <f t="shared" ref="AP753:AQ753" si="779">IF($AG753, "DELETED", TRIM(CONCATENATE(F753,I753,U753)))</f>
        <v/>
      </c>
      <c r="AQ753" s="112" t="str">
        <f t="shared" si="779"/>
        <v/>
      </c>
      <c r="AR753" s="112" t="str">
        <f>IFERROR(__xludf.DUMMYFUNCTION("IF($AG753, ""DELETED"", TRIM(JOIN("" "",AP753,AQ753)))"),"")</f>
        <v/>
      </c>
      <c r="AS753" s="118"/>
      <c r="AT753" s="110" t="b">
        <f t="shared" si="12"/>
        <v>0</v>
      </c>
      <c r="AU753" s="110" t="str">
        <f t="shared" si="13"/>
        <v/>
      </c>
      <c r="AV753" s="110" t="str">
        <f t="shared" si="14"/>
        <v/>
      </c>
      <c r="AW753" s="110" t="str">
        <f t="shared" si="15"/>
        <v/>
      </c>
      <c r="AX753" s="119" t="str">
        <f t="shared" si="16"/>
        <v/>
      </c>
      <c r="AY753" s="120"/>
      <c r="AZ753" s="121"/>
      <c r="BA753" s="122" t="str">
        <f t="shared" si="17"/>
        <v/>
      </c>
      <c r="BB753" s="34"/>
      <c r="BC753" s="121"/>
      <c r="BD753" s="136"/>
      <c r="BE753" s="125" t="str">
        <f t="shared" si="18"/>
        <v/>
      </c>
      <c r="BF753" s="126" t="str">
        <f t="shared" si="19"/>
        <v>FM2099__44627_0.351956018518519</v>
      </c>
      <c r="BG753" s="127" t="str">
        <f t="shared" si="20"/>
        <v/>
      </c>
      <c r="BH753" s="137" t="s">
        <v>2037</v>
      </c>
      <c r="BI753" s="128" t="str">
        <f t="shared" si="21"/>
        <v>MAX119</v>
      </c>
      <c r="BJ753" s="129" t="b">
        <f t="shared" si="740"/>
        <v>0</v>
      </c>
      <c r="BK753" s="128" t="str">
        <f t="shared" si="23"/>
        <v/>
      </c>
      <c r="BL753" s="121"/>
      <c r="BM753" s="5" t="str">
        <f t="shared" si="24"/>
        <v>MISSING</v>
      </c>
      <c r="BN753" s="120" t="b">
        <f t="shared" si="25"/>
        <v>0</v>
      </c>
      <c r="BO753" s="131" t="b">
        <f t="shared" si="26"/>
        <v>1</v>
      </c>
      <c r="BP753" s="121"/>
      <c r="BQ753" s="132" t="str">
        <f>VLOOKUP(A753,RAW_APS!A$3:O826,15,FALSE)</f>
        <v/>
      </c>
      <c r="BR753" s="120" t="b">
        <f t="shared" si="27"/>
        <v>1</v>
      </c>
      <c r="BS753" s="121"/>
      <c r="BT753" s="138" t="s">
        <v>244</v>
      </c>
      <c r="BU753" s="10" t="b">
        <f t="shared" si="28"/>
        <v>1</v>
      </c>
      <c r="BV753" s="120"/>
      <c r="BW753" s="120"/>
      <c r="BX753" s="120"/>
      <c r="BY753" s="120"/>
      <c r="BZ753" s="120"/>
      <c r="CA753" s="120"/>
      <c r="CB753" s="120"/>
      <c r="CC753" s="120"/>
    </row>
    <row r="754">
      <c r="A754" s="2" t="s">
        <v>2038</v>
      </c>
      <c r="B754" s="100">
        <v>44629.0</v>
      </c>
      <c r="C754" s="101">
        <v>0.2939699074074074</v>
      </c>
      <c r="D754" s="102"/>
      <c r="E754" s="102"/>
      <c r="F754" s="102"/>
      <c r="G754" s="102"/>
      <c r="H754" s="102"/>
      <c r="I754" s="103"/>
      <c r="J754" s="103"/>
      <c r="K754" s="2" t="s">
        <v>244</v>
      </c>
      <c r="L754" s="100">
        <v>44629.0</v>
      </c>
      <c r="M754" s="101">
        <v>0.4994328703703704</v>
      </c>
      <c r="P754" s="104" t="b">
        <f>IFNA(IF(VLOOKUP($A754,'Add from APT'!$AA$2:$AC826,3,FALSE)&gt;0,TRUE,FALSE),"ER - NOT IN APT")</f>
        <v>0</v>
      </c>
      <c r="Q754" s="105" t="str">
        <f>IF(ISLOGICAL(P754),IF(P754,"ER - REPS IN APT", IFNA(VLOOKUP($A754,RAW_APT!$A$3:$M826,7,FALSE),"ER - NOT IN APT")),P754)</f>
        <v>Result</v>
      </c>
      <c r="R754" s="106" t="b">
        <f t="shared" si="2"/>
        <v>1</v>
      </c>
      <c r="S754" s="107">
        <f t="shared" si="3"/>
        <v>1</v>
      </c>
      <c r="T754" s="143"/>
      <c r="U754" s="142"/>
      <c r="V754" s="142"/>
      <c r="W754" s="142"/>
      <c r="X754" s="110" t="b">
        <f t="shared" si="4"/>
        <v>0</v>
      </c>
      <c r="Y754" s="111" t="b">
        <v>0</v>
      </c>
      <c r="Z754" s="104" t="str">
        <f t="shared" si="5"/>
        <v/>
      </c>
      <c r="AA754" s="112" t="b">
        <f t="shared" si="6"/>
        <v>0</v>
      </c>
      <c r="AB754" s="142" t="b">
        <v>0</v>
      </c>
      <c r="AC754" s="140">
        <v>68.0</v>
      </c>
      <c r="AD754" s="141" t="b">
        <v>0</v>
      </c>
      <c r="AE754" s="115">
        <f t="shared" si="7"/>
        <v>295.8666667</v>
      </c>
      <c r="AF754" s="116" t="b">
        <f t="shared" si="8"/>
        <v>0</v>
      </c>
      <c r="AG754" s="105" t="b">
        <f t="shared" si="9"/>
        <v>0</v>
      </c>
      <c r="AH754" s="140"/>
      <c r="AI754" s="140"/>
      <c r="AJ754" s="140"/>
      <c r="AK754" s="117" t="str">
        <f t="shared" si="10"/>
        <v>Negative</v>
      </c>
      <c r="AL754" s="142"/>
      <c r="AM754" s="112" t="s">
        <v>624</v>
      </c>
      <c r="AN754" s="112" t="s">
        <v>625</v>
      </c>
      <c r="AO754" s="112" t="str">
        <f>IFERROR(__xludf.DUMMYFUNCTION("IF($AG754, ""DELETED"",TRIM(JOIN("" "",D754:E754)))"),"")</f>
        <v/>
      </c>
      <c r="AP754" s="112" t="str">
        <f t="shared" ref="AP754:AQ754" si="780">IF($AG754, "DELETED", TRIM(CONCATENATE(F754,I754,U754)))</f>
        <v/>
      </c>
      <c r="AQ754" s="112" t="str">
        <f t="shared" si="780"/>
        <v/>
      </c>
      <c r="AR754" s="112" t="str">
        <f>IFERROR(__xludf.DUMMYFUNCTION("IF($AG754, ""DELETED"", TRIM(JOIN("" "",AP754,AQ754)))"),"")</f>
        <v/>
      </c>
      <c r="AS754" s="118"/>
      <c r="AT754" s="110" t="b">
        <f t="shared" si="12"/>
        <v>0</v>
      </c>
      <c r="AU754" s="110" t="str">
        <f t="shared" si="13"/>
        <v/>
      </c>
      <c r="AV754" s="110" t="str">
        <f t="shared" si="14"/>
        <v/>
      </c>
      <c r="AW754" s="110" t="str">
        <f t="shared" si="15"/>
        <v/>
      </c>
      <c r="AX754" s="119" t="str">
        <f t="shared" si="16"/>
        <v/>
      </c>
      <c r="AY754" s="120"/>
      <c r="AZ754" s="121"/>
      <c r="BA754" s="122" t="str">
        <f t="shared" si="17"/>
        <v/>
      </c>
      <c r="BB754" s="34"/>
      <c r="BC754" s="121"/>
      <c r="BD754" s="136"/>
      <c r="BE754" s="125" t="str">
        <f t="shared" si="18"/>
        <v/>
      </c>
      <c r="BF754" s="126" t="str">
        <f t="shared" si="19"/>
        <v>FM2049__44629_0.293969907407407</v>
      </c>
      <c r="BG754" s="127" t="str">
        <f t="shared" si="20"/>
        <v/>
      </c>
      <c r="BH754" s="137" t="s">
        <v>2039</v>
      </c>
      <c r="BI754" s="128" t="str">
        <f t="shared" si="21"/>
        <v>MAX12</v>
      </c>
      <c r="BJ754" s="129" t="b">
        <f t="shared" si="740"/>
        <v>0</v>
      </c>
      <c r="BK754" s="128" t="str">
        <f t="shared" si="23"/>
        <v/>
      </c>
      <c r="BL754" s="121"/>
      <c r="BM754" s="5" t="str">
        <f t="shared" si="24"/>
        <v>MISSING</v>
      </c>
      <c r="BN754" s="120" t="b">
        <f t="shared" si="25"/>
        <v>0</v>
      </c>
      <c r="BO754" s="131" t="b">
        <f t="shared" si="26"/>
        <v>1</v>
      </c>
      <c r="BP754" s="121"/>
      <c r="BQ754" s="132" t="str">
        <f>VLOOKUP(A754,RAW_APS!A$3:O826,15,FALSE)</f>
        <v/>
      </c>
      <c r="BR754" s="120" t="b">
        <f t="shared" si="27"/>
        <v>1</v>
      </c>
      <c r="BS754" s="121"/>
      <c r="BT754" s="138" t="s">
        <v>244</v>
      </c>
      <c r="BU754" s="10" t="b">
        <f t="shared" si="28"/>
        <v>1</v>
      </c>
      <c r="BV754" s="120"/>
      <c r="BW754" s="120"/>
      <c r="BX754" s="120"/>
      <c r="BY754" s="120"/>
      <c r="BZ754" s="120"/>
      <c r="CA754" s="120"/>
      <c r="CB754" s="120"/>
      <c r="CC754" s="120"/>
    </row>
    <row r="755">
      <c r="A755" s="2" t="s">
        <v>2040</v>
      </c>
      <c r="B755" s="100">
        <v>44629.0</v>
      </c>
      <c r="C755" s="101">
        <v>0.31136574074074075</v>
      </c>
      <c r="D755" s="102"/>
      <c r="E755" s="102"/>
      <c r="F755" s="102"/>
      <c r="G755" s="102"/>
      <c r="H755" s="102"/>
      <c r="I755" s="103"/>
      <c r="J755" s="103"/>
      <c r="K755" s="2" t="s">
        <v>254</v>
      </c>
      <c r="L755" s="11"/>
      <c r="M755" s="11"/>
      <c r="N755" s="11"/>
      <c r="O755" s="11"/>
      <c r="P755" s="104" t="b">
        <f>IFNA(IF(VLOOKUP($A755,'Add from APT'!$AA$2:$AC826,3,FALSE)&gt;0,TRUE,FALSE),"ER - NOT IN APT")</f>
        <v>0</v>
      </c>
      <c r="Q755" s="105" t="str">
        <f>IF(ISLOGICAL(P755),IF(P755,"ER - REPS IN APT", IFNA(VLOOKUP($A755,RAW_APT!$A$3:$M826,7,FALSE),"ER - NOT IN APT")),P755)</f>
        <v>Collected</v>
      </c>
      <c r="R755" s="106" t="b">
        <f t="shared" si="2"/>
        <v>1</v>
      </c>
      <c r="S755" s="107">
        <f t="shared" si="3"/>
        <v>1</v>
      </c>
      <c r="T755" s="143"/>
      <c r="U755" s="142"/>
      <c r="V755" s="142"/>
      <c r="W755" s="142"/>
      <c r="X755" s="110" t="b">
        <f t="shared" si="4"/>
        <v>0</v>
      </c>
      <c r="Y755" s="111" t="b">
        <v>0</v>
      </c>
      <c r="Z755" s="104" t="str">
        <f t="shared" si="5"/>
        <v/>
      </c>
      <c r="AA755" s="112" t="b">
        <f t="shared" si="6"/>
        <v>0</v>
      </c>
      <c r="AB755" s="142" t="b">
        <v>0</v>
      </c>
      <c r="AC755" s="140">
        <v>67.0</v>
      </c>
      <c r="AD755" s="141" t="b">
        <v>0</v>
      </c>
      <c r="AE755" s="115" t="str">
        <f t="shared" si="7"/>
        <v/>
      </c>
      <c r="AF755" s="116" t="b">
        <f t="shared" si="8"/>
        <v>0</v>
      </c>
      <c r="AG755" s="105" t="b">
        <f t="shared" si="9"/>
        <v>0</v>
      </c>
      <c r="AH755" s="140"/>
      <c r="AI755" s="140"/>
      <c r="AJ755" s="140">
        <v>2.0</v>
      </c>
      <c r="AK755" s="117" t="str">
        <f t="shared" si="10"/>
        <v>Negative</v>
      </c>
      <c r="AL755" s="142"/>
      <c r="AM755" s="112" t="s">
        <v>328</v>
      </c>
      <c r="AN755" s="112" t="s">
        <v>329</v>
      </c>
      <c r="AO755" s="112" t="str">
        <f>IFERROR(__xludf.DUMMYFUNCTION("IF($AG755, ""DELETED"",TRIM(JOIN("" "",D755:E755)))"),"")</f>
        <v/>
      </c>
      <c r="AP755" s="112" t="str">
        <f t="shared" ref="AP755:AQ755" si="781">IF($AG755, "DELETED", TRIM(CONCATENATE(F755,I755,U755)))</f>
        <v/>
      </c>
      <c r="AQ755" s="112" t="str">
        <f t="shared" si="781"/>
        <v/>
      </c>
      <c r="AR755" s="112" t="str">
        <f>IFERROR(__xludf.DUMMYFUNCTION("IF($AG755, ""DELETED"", TRIM(JOIN("" "",AP755,AQ755)))"),"")</f>
        <v/>
      </c>
      <c r="AS755" s="118"/>
      <c r="AT755" s="110" t="b">
        <f t="shared" si="12"/>
        <v>0</v>
      </c>
      <c r="AU755" s="110" t="str">
        <f t="shared" si="13"/>
        <v/>
      </c>
      <c r="AV755" s="110" t="str">
        <f t="shared" si="14"/>
        <v/>
      </c>
      <c r="AW755" s="110" t="str">
        <f t="shared" si="15"/>
        <v/>
      </c>
      <c r="AX755" s="119" t="str">
        <f t="shared" si="16"/>
        <v/>
      </c>
      <c r="AY755" s="120"/>
      <c r="AZ755" s="121"/>
      <c r="BA755" s="122" t="b">
        <f t="shared" si="17"/>
        <v>1</v>
      </c>
      <c r="BB755" s="34"/>
      <c r="BC755" s="121"/>
      <c r="BD755" s="136"/>
      <c r="BE755" s="125" t="str">
        <f t="shared" si="18"/>
        <v/>
      </c>
      <c r="BF755" s="126" t="str">
        <f t="shared" si="19"/>
        <v>FM395__44629_0.311365740740741</v>
      </c>
      <c r="BG755" s="127" t="str">
        <f t="shared" si="20"/>
        <v/>
      </c>
      <c r="BH755" s="137" t="s">
        <v>2041</v>
      </c>
      <c r="BI755" s="128" t="str">
        <f t="shared" si="21"/>
        <v>MAX120</v>
      </c>
      <c r="BJ755" s="129" t="b">
        <f t="shared" si="740"/>
        <v>0</v>
      </c>
      <c r="BK755" s="128" t="str">
        <f t="shared" si="23"/>
        <v/>
      </c>
      <c r="BL755" s="121"/>
      <c r="BM755" s="5" t="str">
        <f t="shared" si="24"/>
        <v>MISSING</v>
      </c>
      <c r="BN755" s="120" t="b">
        <f t="shared" si="25"/>
        <v>0</v>
      </c>
      <c r="BO755" s="131" t="b">
        <f t="shared" si="26"/>
        <v>1</v>
      </c>
      <c r="BP755" s="121"/>
      <c r="BQ755" s="132" t="str">
        <f>VLOOKUP(A755,RAW_APS!A$3:O826,15,FALSE)</f>
        <v/>
      </c>
      <c r="BR755" s="120" t="b">
        <f t="shared" si="27"/>
        <v>1</v>
      </c>
      <c r="BS755" s="121"/>
      <c r="BT755" s="138" t="s">
        <v>244</v>
      </c>
      <c r="BU755" s="10" t="b">
        <f t="shared" si="28"/>
        <v>1</v>
      </c>
      <c r="BV755" s="120"/>
      <c r="BW755" s="120"/>
      <c r="BX755" s="120"/>
      <c r="BY755" s="120"/>
      <c r="BZ755" s="120"/>
      <c r="CA755" s="120"/>
      <c r="CB755" s="120"/>
      <c r="CC755" s="120"/>
    </row>
    <row r="756">
      <c r="A756" s="2" t="s">
        <v>2042</v>
      </c>
      <c r="B756" s="100">
        <v>44629.0</v>
      </c>
      <c r="C756" s="101">
        <v>0.31177083333333333</v>
      </c>
      <c r="D756" s="102"/>
      <c r="E756" s="102"/>
      <c r="F756" s="102"/>
      <c r="G756" s="102"/>
      <c r="H756" s="102"/>
      <c r="I756" s="103"/>
      <c r="J756" s="103"/>
      <c r="K756" s="2" t="s">
        <v>244</v>
      </c>
      <c r="L756" s="100">
        <v>44629.0</v>
      </c>
      <c r="M756" s="101">
        <v>0.49944444444444447</v>
      </c>
      <c r="P756" s="104" t="b">
        <f>IFNA(IF(VLOOKUP($A756,'Add from APT'!$AA$2:$AC826,3,FALSE)&gt;0,TRUE,FALSE),"ER - NOT IN APT")</f>
        <v>0</v>
      </c>
      <c r="Q756" s="105" t="str">
        <f>IF(ISLOGICAL(P756),IF(P756,"ER - REPS IN APT", IFNA(VLOOKUP($A756,RAW_APT!$A$3:$M826,7,FALSE),"ER - NOT IN APT")),P756)</f>
        <v>Result</v>
      </c>
      <c r="R756" s="106" t="b">
        <f t="shared" si="2"/>
        <v>1</v>
      </c>
      <c r="S756" s="107">
        <f t="shared" si="3"/>
        <v>1</v>
      </c>
      <c r="T756" s="143"/>
      <c r="U756" s="142"/>
      <c r="V756" s="142"/>
      <c r="W756" s="142"/>
      <c r="X756" s="110" t="b">
        <f t="shared" si="4"/>
        <v>0</v>
      </c>
      <c r="Y756" s="111" t="b">
        <v>0</v>
      </c>
      <c r="Z756" s="104" t="str">
        <f t="shared" si="5"/>
        <v/>
      </c>
      <c r="AA756" s="112" t="b">
        <f t="shared" si="6"/>
        <v>0</v>
      </c>
      <c r="AB756" s="142" t="b">
        <v>0</v>
      </c>
      <c r="AC756" s="140">
        <v>66.0</v>
      </c>
      <c r="AD756" s="141" t="b">
        <v>0</v>
      </c>
      <c r="AE756" s="115">
        <f t="shared" si="7"/>
        <v>270.25</v>
      </c>
      <c r="AF756" s="116" t="b">
        <f t="shared" si="8"/>
        <v>0</v>
      </c>
      <c r="AG756" s="105" t="b">
        <f t="shared" si="9"/>
        <v>0</v>
      </c>
      <c r="AH756" s="140"/>
      <c r="AI756" s="140"/>
      <c r="AJ756" s="140"/>
      <c r="AK756" s="117" t="str">
        <f t="shared" si="10"/>
        <v>Negative</v>
      </c>
      <c r="AL756" s="142"/>
      <c r="AM756" s="112" t="s">
        <v>875</v>
      </c>
      <c r="AN756" s="112" t="s">
        <v>876</v>
      </c>
      <c r="AO756" s="112" t="str">
        <f>IFERROR(__xludf.DUMMYFUNCTION("IF($AG756, ""DELETED"",TRIM(JOIN("" "",D756:E756)))"),"")</f>
        <v/>
      </c>
      <c r="AP756" s="112" t="str">
        <f t="shared" ref="AP756:AQ756" si="782">IF($AG756, "DELETED", TRIM(CONCATENATE(F756,I756,U756)))</f>
        <v/>
      </c>
      <c r="AQ756" s="112" t="str">
        <f t="shared" si="782"/>
        <v/>
      </c>
      <c r="AR756" s="112" t="str">
        <f>IFERROR(__xludf.DUMMYFUNCTION("IF($AG756, ""DELETED"", TRIM(JOIN("" "",AP756,AQ756)))"),"")</f>
        <v/>
      </c>
      <c r="AS756" s="118"/>
      <c r="AT756" s="110" t="b">
        <f t="shared" si="12"/>
        <v>0</v>
      </c>
      <c r="AU756" s="110" t="str">
        <f t="shared" si="13"/>
        <v/>
      </c>
      <c r="AV756" s="110" t="str">
        <f t="shared" si="14"/>
        <v/>
      </c>
      <c r="AW756" s="110" t="str">
        <f t="shared" si="15"/>
        <v/>
      </c>
      <c r="AX756" s="119" t="str">
        <f t="shared" si="16"/>
        <v/>
      </c>
      <c r="AY756" s="120"/>
      <c r="AZ756" s="121"/>
      <c r="BA756" s="122" t="str">
        <f t="shared" si="17"/>
        <v/>
      </c>
      <c r="BB756" s="34"/>
      <c r="BC756" s="121"/>
      <c r="BD756" s="136"/>
      <c r="BE756" s="125" t="str">
        <f t="shared" si="18"/>
        <v/>
      </c>
      <c r="BF756" s="126" t="str">
        <f t="shared" si="19"/>
        <v>MA1275__44629_0.311770833333333</v>
      </c>
      <c r="BG756" s="127" t="str">
        <f t="shared" si="20"/>
        <v/>
      </c>
      <c r="BH756" s="137" t="s">
        <v>2043</v>
      </c>
      <c r="BI756" s="128" t="str">
        <f t="shared" si="21"/>
        <v>MAX122</v>
      </c>
      <c r="BJ756" s="129" t="b">
        <f t="shared" si="740"/>
        <v>0</v>
      </c>
      <c r="BK756" s="128" t="str">
        <f t="shared" si="23"/>
        <v/>
      </c>
      <c r="BL756" s="121"/>
      <c r="BM756" s="5" t="str">
        <f t="shared" si="24"/>
        <v>MISSING</v>
      </c>
      <c r="BN756" s="120" t="b">
        <f t="shared" si="25"/>
        <v>0</v>
      </c>
      <c r="BO756" s="131" t="b">
        <f t="shared" si="26"/>
        <v>1</v>
      </c>
      <c r="BP756" s="121"/>
      <c r="BQ756" s="132" t="str">
        <f>VLOOKUP(A756,RAW_APS!A$3:O826,15,FALSE)</f>
        <v/>
      </c>
      <c r="BR756" s="120" t="b">
        <f t="shared" si="27"/>
        <v>1</v>
      </c>
      <c r="BS756" s="121"/>
      <c r="BT756" s="138" t="s">
        <v>244</v>
      </c>
      <c r="BU756" s="10" t="b">
        <f t="shared" si="28"/>
        <v>1</v>
      </c>
      <c r="BV756" s="120"/>
      <c r="BW756" s="120"/>
      <c r="BX756" s="120"/>
      <c r="BY756" s="120"/>
      <c r="BZ756" s="120"/>
      <c r="CA756" s="120"/>
      <c r="CB756" s="120"/>
      <c r="CC756" s="120"/>
    </row>
    <row r="757">
      <c r="A757" s="2" t="s">
        <v>2044</v>
      </c>
      <c r="B757" s="100">
        <v>44629.0</v>
      </c>
      <c r="C757" s="101">
        <v>0.3121527777777778</v>
      </c>
      <c r="D757" s="102"/>
      <c r="E757" s="102"/>
      <c r="F757" s="102"/>
      <c r="G757" s="102"/>
      <c r="H757" s="102"/>
      <c r="I757" s="103"/>
      <c r="J757" s="103"/>
      <c r="K757" s="2" t="s">
        <v>244</v>
      </c>
      <c r="L757" s="100">
        <v>44629.0</v>
      </c>
      <c r="M757" s="101">
        <v>0.49944444444444447</v>
      </c>
      <c r="P757" s="104" t="b">
        <f>IFNA(IF(VLOOKUP($A757,'Add from APT'!$AA$2:$AC826,3,FALSE)&gt;0,TRUE,FALSE),"ER - NOT IN APT")</f>
        <v>0</v>
      </c>
      <c r="Q757" s="105" t="str">
        <f>IF(ISLOGICAL(P757),IF(P757,"ER - REPS IN APT", IFNA(VLOOKUP($A757,RAW_APT!$A$3:$M826,7,FALSE),"ER - NOT IN APT")),P757)</f>
        <v>Result</v>
      </c>
      <c r="R757" s="106" t="b">
        <f t="shared" si="2"/>
        <v>1</v>
      </c>
      <c r="S757" s="107">
        <f t="shared" si="3"/>
        <v>1</v>
      </c>
      <c r="T757" s="143"/>
      <c r="U757" s="142"/>
      <c r="V757" s="142"/>
      <c r="W757" s="142"/>
      <c r="X757" s="110" t="b">
        <f t="shared" si="4"/>
        <v>0</v>
      </c>
      <c r="Y757" s="111" t="b">
        <v>0</v>
      </c>
      <c r="Z757" s="104" t="str">
        <f t="shared" si="5"/>
        <v/>
      </c>
      <c r="AA757" s="112" t="b">
        <f t="shared" si="6"/>
        <v>0</v>
      </c>
      <c r="AB757" s="142" t="b">
        <v>0</v>
      </c>
      <c r="AC757" s="140">
        <v>65.0</v>
      </c>
      <c r="AD757" s="141" t="b">
        <v>0</v>
      </c>
      <c r="AE757" s="115">
        <f t="shared" si="7"/>
        <v>269.7</v>
      </c>
      <c r="AF757" s="116" t="b">
        <f t="shared" si="8"/>
        <v>0</v>
      </c>
      <c r="AG757" s="105" t="b">
        <f t="shared" si="9"/>
        <v>0</v>
      </c>
      <c r="AH757" s="140"/>
      <c r="AI757" s="140"/>
      <c r="AJ757" s="140"/>
      <c r="AK757" s="117" t="str">
        <f t="shared" si="10"/>
        <v>Negative</v>
      </c>
      <c r="AL757" s="142"/>
      <c r="AM757" s="112" t="s">
        <v>618</v>
      </c>
      <c r="AN757" s="112" t="s">
        <v>619</v>
      </c>
      <c r="AO757" s="112" t="str">
        <f>IFERROR(__xludf.DUMMYFUNCTION("IF($AG757, ""DELETED"",TRIM(JOIN("" "",D757:E757)))"),"")</f>
        <v/>
      </c>
      <c r="AP757" s="112" t="str">
        <f t="shared" ref="AP757:AQ757" si="783">IF($AG757, "DELETED", TRIM(CONCATENATE(F757,I757,U757)))</f>
        <v/>
      </c>
      <c r="AQ757" s="112" t="str">
        <f t="shared" si="783"/>
        <v/>
      </c>
      <c r="AR757" s="112" t="str">
        <f>IFERROR(__xludf.DUMMYFUNCTION("IF($AG757, ""DELETED"", TRIM(JOIN("" "",AP757,AQ757)))"),"")</f>
        <v/>
      </c>
      <c r="AS757" s="118"/>
      <c r="AT757" s="110" t="b">
        <f t="shared" si="12"/>
        <v>0</v>
      </c>
      <c r="AU757" s="110" t="str">
        <f t="shared" si="13"/>
        <v/>
      </c>
      <c r="AV757" s="110" t="str">
        <f t="shared" si="14"/>
        <v/>
      </c>
      <c r="AW757" s="110" t="str">
        <f t="shared" si="15"/>
        <v/>
      </c>
      <c r="AX757" s="119" t="str">
        <f t="shared" si="16"/>
        <v/>
      </c>
      <c r="AY757" s="120"/>
      <c r="AZ757" s="121"/>
      <c r="BA757" s="122" t="str">
        <f t="shared" si="17"/>
        <v/>
      </c>
      <c r="BB757" s="34"/>
      <c r="BC757" s="121"/>
      <c r="BD757" s="136"/>
      <c r="BE757" s="125" t="str">
        <f t="shared" si="18"/>
        <v/>
      </c>
      <c r="BF757" s="126" t="str">
        <f t="shared" si="19"/>
        <v>FM2067__44629_0.312152777777778</v>
      </c>
      <c r="BG757" s="127" t="str">
        <f t="shared" si="20"/>
        <v/>
      </c>
      <c r="BH757" s="137" t="s">
        <v>2045</v>
      </c>
      <c r="BI757" s="128" t="str">
        <f t="shared" si="21"/>
        <v>MAX123</v>
      </c>
      <c r="BJ757" s="129" t="b">
        <f t="shared" si="740"/>
        <v>0</v>
      </c>
      <c r="BK757" s="128" t="str">
        <f t="shared" si="23"/>
        <v/>
      </c>
      <c r="BL757" s="121"/>
      <c r="BM757" s="5" t="str">
        <f t="shared" si="24"/>
        <v>MISSING</v>
      </c>
      <c r="BN757" s="120" t="b">
        <f t="shared" si="25"/>
        <v>0</v>
      </c>
      <c r="BO757" s="131" t="b">
        <f t="shared" si="26"/>
        <v>1</v>
      </c>
      <c r="BP757" s="121"/>
      <c r="BQ757" s="132" t="str">
        <f>VLOOKUP(A757,RAW_APS!A$3:O826,15,FALSE)</f>
        <v/>
      </c>
      <c r="BR757" s="120" t="b">
        <f t="shared" si="27"/>
        <v>1</v>
      </c>
      <c r="BS757" s="121"/>
      <c r="BT757" s="138" t="s">
        <v>244</v>
      </c>
      <c r="BU757" s="10" t="b">
        <f t="shared" si="28"/>
        <v>1</v>
      </c>
      <c r="BV757" s="120"/>
      <c r="BW757" s="120"/>
      <c r="BX757" s="120"/>
      <c r="BY757" s="120"/>
      <c r="BZ757" s="120"/>
      <c r="CA757" s="120"/>
      <c r="CB757" s="120"/>
      <c r="CC757" s="120"/>
    </row>
    <row r="758">
      <c r="A758" s="2" t="s">
        <v>2046</v>
      </c>
      <c r="B758" s="100">
        <v>44629.0</v>
      </c>
      <c r="C758" s="101">
        <v>0.31225694444444446</v>
      </c>
      <c r="D758" s="102"/>
      <c r="E758" s="102"/>
      <c r="F758" s="102"/>
      <c r="G758" s="102"/>
      <c r="H758" s="102"/>
      <c r="I758" s="103"/>
      <c r="J758" s="103"/>
      <c r="K758" s="2" t="s">
        <v>244</v>
      </c>
      <c r="L758" s="100">
        <v>44629.0</v>
      </c>
      <c r="M758" s="101">
        <v>0.49944444444444447</v>
      </c>
      <c r="P758" s="104" t="b">
        <f>IFNA(IF(VLOOKUP($A758,'Add from APT'!$AA$2:$AC826,3,FALSE)&gt;0,TRUE,FALSE),"ER - NOT IN APT")</f>
        <v>0</v>
      </c>
      <c r="Q758" s="105" t="str">
        <f>IF(ISLOGICAL(P758),IF(P758,"ER - REPS IN APT", IFNA(VLOOKUP($A758,RAW_APT!$A$3:$M826,7,FALSE),"ER - NOT IN APT")),P758)</f>
        <v>Result</v>
      </c>
      <c r="R758" s="106" t="b">
        <f t="shared" si="2"/>
        <v>1</v>
      </c>
      <c r="S758" s="107">
        <f t="shared" si="3"/>
        <v>1</v>
      </c>
      <c r="T758" s="143"/>
      <c r="U758" s="142"/>
      <c r="V758" s="142"/>
      <c r="W758" s="142"/>
      <c r="X758" s="110" t="b">
        <f t="shared" si="4"/>
        <v>0</v>
      </c>
      <c r="Y758" s="111" t="b">
        <v>0</v>
      </c>
      <c r="Z758" s="104" t="str">
        <f t="shared" si="5"/>
        <v/>
      </c>
      <c r="AA758" s="112" t="b">
        <f t="shared" si="6"/>
        <v>0</v>
      </c>
      <c r="AB758" s="142" t="b">
        <v>0</v>
      </c>
      <c r="AC758" s="140">
        <v>64.0</v>
      </c>
      <c r="AD758" s="141" t="b">
        <v>0</v>
      </c>
      <c r="AE758" s="115">
        <f t="shared" si="7"/>
        <v>269.55</v>
      </c>
      <c r="AF758" s="116" t="b">
        <f t="shared" si="8"/>
        <v>0</v>
      </c>
      <c r="AG758" s="105" t="b">
        <f t="shared" si="9"/>
        <v>0</v>
      </c>
      <c r="AH758" s="140"/>
      <c r="AI758" s="140"/>
      <c r="AJ758" s="140"/>
      <c r="AK758" s="117" t="str">
        <f t="shared" si="10"/>
        <v>Negative</v>
      </c>
      <c r="AL758" s="142"/>
      <c r="AM758" s="112" t="s">
        <v>1638</v>
      </c>
      <c r="AN758" s="112" t="s">
        <v>1639</v>
      </c>
      <c r="AO758" s="112" t="str">
        <f>IFERROR(__xludf.DUMMYFUNCTION("IF($AG758, ""DELETED"",TRIM(JOIN("" "",D758:E758)))"),"")</f>
        <v/>
      </c>
      <c r="AP758" s="112" t="str">
        <f t="shared" ref="AP758:AQ758" si="784">IF($AG758, "DELETED", TRIM(CONCATENATE(F758,I758,U758)))</f>
        <v/>
      </c>
      <c r="AQ758" s="112" t="str">
        <f t="shared" si="784"/>
        <v/>
      </c>
      <c r="AR758" s="112" t="str">
        <f>IFERROR(__xludf.DUMMYFUNCTION("IF($AG758, ""DELETED"", TRIM(JOIN("" "",AP758,AQ758)))"),"")</f>
        <v/>
      </c>
      <c r="AS758" s="118"/>
      <c r="AT758" s="110" t="b">
        <f t="shared" si="12"/>
        <v>0</v>
      </c>
      <c r="AU758" s="110" t="str">
        <f t="shared" si="13"/>
        <v/>
      </c>
      <c r="AV758" s="110" t="str">
        <f t="shared" si="14"/>
        <v/>
      </c>
      <c r="AW758" s="110" t="str">
        <f t="shared" si="15"/>
        <v/>
      </c>
      <c r="AX758" s="119" t="str">
        <f t="shared" si="16"/>
        <v/>
      </c>
      <c r="AY758" s="120"/>
      <c r="AZ758" s="121"/>
      <c r="BA758" s="122" t="str">
        <f t="shared" si="17"/>
        <v/>
      </c>
      <c r="BB758" s="34"/>
      <c r="BC758" s="121"/>
      <c r="BD758" s="136"/>
      <c r="BE758" s="125" t="str">
        <f t="shared" si="18"/>
        <v/>
      </c>
      <c r="BF758" s="126" t="str">
        <f t="shared" si="19"/>
        <v>FM310__44629_0.312256944444444</v>
      </c>
      <c r="BG758" s="127" t="str">
        <f t="shared" si="20"/>
        <v/>
      </c>
      <c r="BH758" s="137" t="s">
        <v>2047</v>
      </c>
      <c r="BI758" s="128" t="str">
        <f t="shared" si="21"/>
        <v>MAX124</v>
      </c>
      <c r="BJ758" s="129" t="b">
        <f t="shared" si="740"/>
        <v>0</v>
      </c>
      <c r="BK758" s="128" t="str">
        <f t="shared" si="23"/>
        <v/>
      </c>
      <c r="BL758" s="121"/>
      <c r="BM758" s="5" t="str">
        <f t="shared" si="24"/>
        <v>MISSING</v>
      </c>
      <c r="BN758" s="120" t="b">
        <f t="shared" si="25"/>
        <v>0</v>
      </c>
      <c r="BO758" s="131" t="b">
        <f t="shared" si="26"/>
        <v>1</v>
      </c>
      <c r="BP758" s="121"/>
      <c r="BQ758" s="132" t="str">
        <f>VLOOKUP(A758,RAW_APS!A$3:O826,15,FALSE)</f>
        <v/>
      </c>
      <c r="BR758" s="120" t="b">
        <f t="shared" si="27"/>
        <v>1</v>
      </c>
      <c r="BS758" s="121"/>
      <c r="BT758" s="138" t="s">
        <v>244</v>
      </c>
      <c r="BU758" s="10" t="b">
        <f t="shared" si="28"/>
        <v>1</v>
      </c>
      <c r="BV758" s="120"/>
      <c r="BW758" s="120"/>
      <c r="BX758" s="120"/>
      <c r="BY758" s="120"/>
      <c r="BZ758" s="120"/>
      <c r="CA758" s="120"/>
      <c r="CB758" s="120"/>
      <c r="CC758" s="120"/>
    </row>
    <row r="759">
      <c r="A759" s="2" t="s">
        <v>2048</v>
      </c>
      <c r="B759" s="100">
        <v>44629.0</v>
      </c>
      <c r="C759" s="101">
        <v>0.31296296296296294</v>
      </c>
      <c r="D759" s="102"/>
      <c r="E759" s="102"/>
      <c r="F759" s="102"/>
      <c r="G759" s="102"/>
      <c r="H759" s="102"/>
      <c r="I759" s="103"/>
      <c r="J759" s="103"/>
      <c r="K759" s="2" t="s">
        <v>244</v>
      </c>
      <c r="L759" s="100">
        <v>44629.0</v>
      </c>
      <c r="M759" s="101">
        <v>0.49944444444444447</v>
      </c>
      <c r="P759" s="104" t="b">
        <f>IFNA(IF(VLOOKUP($A759,'Add from APT'!$AA$2:$AC826,3,FALSE)&gt;0,TRUE,FALSE),"ER - NOT IN APT")</f>
        <v>0</v>
      </c>
      <c r="Q759" s="105" t="str">
        <f>IF(ISLOGICAL(P759),IF(P759,"ER - REPS IN APT", IFNA(VLOOKUP($A759,RAW_APT!$A$3:$M826,7,FALSE),"ER - NOT IN APT")),P759)</f>
        <v>Result</v>
      </c>
      <c r="R759" s="106" t="b">
        <f t="shared" si="2"/>
        <v>1</v>
      </c>
      <c r="S759" s="107">
        <f t="shared" si="3"/>
        <v>1</v>
      </c>
      <c r="T759" s="143"/>
      <c r="U759" s="142"/>
      <c r="V759" s="142"/>
      <c r="W759" s="142"/>
      <c r="X759" s="110" t="b">
        <f t="shared" si="4"/>
        <v>0</v>
      </c>
      <c r="Y759" s="111" t="b">
        <v>0</v>
      </c>
      <c r="Z759" s="104" t="str">
        <f t="shared" si="5"/>
        <v/>
      </c>
      <c r="AA759" s="112" t="b">
        <f t="shared" si="6"/>
        <v>0</v>
      </c>
      <c r="AB759" s="142" t="b">
        <v>0</v>
      </c>
      <c r="AC759" s="140">
        <v>63.0</v>
      </c>
      <c r="AD759" s="141" t="b">
        <v>0</v>
      </c>
      <c r="AE759" s="115">
        <f t="shared" si="7"/>
        <v>268.5333333</v>
      </c>
      <c r="AF759" s="116" t="b">
        <f t="shared" si="8"/>
        <v>0</v>
      </c>
      <c r="AG759" s="105" t="b">
        <f t="shared" si="9"/>
        <v>0</v>
      </c>
      <c r="AH759" s="140"/>
      <c r="AI759" s="140"/>
      <c r="AJ759" s="140"/>
      <c r="AK759" s="117" t="str">
        <f t="shared" si="10"/>
        <v>Negative</v>
      </c>
      <c r="AL759" s="142"/>
      <c r="AM759" s="112" t="s">
        <v>273</v>
      </c>
      <c r="AN759" s="112" t="s">
        <v>274</v>
      </c>
      <c r="AO759" s="112" t="str">
        <f>IFERROR(__xludf.DUMMYFUNCTION("IF($AG759, ""DELETED"",TRIM(JOIN("" "",D759:E759)))"),"")</f>
        <v/>
      </c>
      <c r="AP759" s="112" t="str">
        <f t="shared" ref="AP759:AQ759" si="785">IF($AG759, "DELETED", TRIM(CONCATENATE(F759,I759,U759)))</f>
        <v/>
      </c>
      <c r="AQ759" s="112" t="str">
        <f t="shared" si="785"/>
        <v/>
      </c>
      <c r="AR759" s="112" t="str">
        <f>IFERROR(__xludf.DUMMYFUNCTION("IF($AG759, ""DELETED"", TRIM(JOIN("" "",AP759,AQ759)))"),"")</f>
        <v/>
      </c>
      <c r="AS759" s="118"/>
      <c r="AT759" s="110" t="b">
        <f t="shared" si="12"/>
        <v>0</v>
      </c>
      <c r="AU759" s="110" t="str">
        <f t="shared" si="13"/>
        <v/>
      </c>
      <c r="AV759" s="110" t="str">
        <f t="shared" si="14"/>
        <v/>
      </c>
      <c r="AW759" s="110" t="str">
        <f t="shared" si="15"/>
        <v/>
      </c>
      <c r="AX759" s="119" t="str">
        <f t="shared" si="16"/>
        <v/>
      </c>
      <c r="AY759" s="120"/>
      <c r="AZ759" s="121"/>
      <c r="BA759" s="122" t="str">
        <f t="shared" si="17"/>
        <v/>
      </c>
      <c r="BB759" s="34"/>
      <c r="BC759" s="121"/>
      <c r="BD759" s="136"/>
      <c r="BE759" s="125" t="str">
        <f t="shared" si="18"/>
        <v/>
      </c>
      <c r="BF759" s="126" t="str">
        <f t="shared" si="19"/>
        <v>FM2046__44629_0.312962962962963</v>
      </c>
      <c r="BG759" s="127" t="str">
        <f t="shared" si="20"/>
        <v/>
      </c>
      <c r="BH759" s="137" t="s">
        <v>2049</v>
      </c>
      <c r="BI759" s="128" t="str">
        <f t="shared" si="21"/>
        <v>MAX125</v>
      </c>
      <c r="BJ759" s="129" t="b">
        <f t="shared" si="740"/>
        <v>0</v>
      </c>
      <c r="BK759" s="128" t="str">
        <f t="shared" si="23"/>
        <v/>
      </c>
      <c r="BL759" s="121"/>
      <c r="BM759" s="5" t="str">
        <f t="shared" si="24"/>
        <v>MISSING</v>
      </c>
      <c r="BN759" s="120" t="b">
        <f t="shared" si="25"/>
        <v>0</v>
      </c>
      <c r="BO759" s="131" t="b">
        <f t="shared" si="26"/>
        <v>1</v>
      </c>
      <c r="BP759" s="121"/>
      <c r="BQ759" s="132" t="str">
        <f>VLOOKUP(A759,RAW_APS!A$3:O826,15,FALSE)</f>
        <v/>
      </c>
      <c r="BR759" s="120" t="b">
        <f t="shared" si="27"/>
        <v>1</v>
      </c>
      <c r="BS759" s="121"/>
      <c r="BT759" s="138" t="s">
        <v>244</v>
      </c>
      <c r="BU759" s="10" t="b">
        <f t="shared" si="28"/>
        <v>1</v>
      </c>
      <c r="BV759" s="120"/>
      <c r="BW759" s="120"/>
      <c r="BX759" s="120"/>
      <c r="BY759" s="120"/>
      <c r="BZ759" s="120"/>
      <c r="CA759" s="120"/>
      <c r="CB759" s="120"/>
      <c r="CC759" s="120"/>
    </row>
    <row r="760">
      <c r="A760" s="2" t="s">
        <v>2050</v>
      </c>
      <c r="B760" s="100">
        <v>44629.0</v>
      </c>
      <c r="C760" s="101">
        <v>0.31309027777777776</v>
      </c>
      <c r="D760" s="102"/>
      <c r="E760" s="102"/>
      <c r="F760" s="102"/>
      <c r="G760" s="102"/>
      <c r="H760" s="102"/>
      <c r="I760" s="103"/>
      <c r="J760" s="103"/>
      <c r="K760" s="2" t="s">
        <v>244</v>
      </c>
      <c r="L760" s="100">
        <v>44629.0</v>
      </c>
      <c r="M760" s="101">
        <v>0.49944444444444447</v>
      </c>
      <c r="P760" s="104" t="b">
        <f>IFNA(IF(VLOOKUP($A760,'Add from APT'!$AA$2:$AC826,3,FALSE)&gt;0,TRUE,FALSE),"ER - NOT IN APT")</f>
        <v>0</v>
      </c>
      <c r="Q760" s="105" t="str">
        <f>IF(ISLOGICAL(P760),IF(P760,"ER - REPS IN APT", IFNA(VLOOKUP($A760,RAW_APT!$A$3:$M826,7,FALSE),"ER - NOT IN APT")),P760)</f>
        <v>Result</v>
      </c>
      <c r="R760" s="106" t="b">
        <f t="shared" si="2"/>
        <v>1</v>
      </c>
      <c r="S760" s="107">
        <f t="shared" si="3"/>
        <v>1</v>
      </c>
      <c r="T760" s="143"/>
      <c r="U760" s="142"/>
      <c r="V760" s="142"/>
      <c r="W760" s="142"/>
      <c r="X760" s="110" t="b">
        <f t="shared" si="4"/>
        <v>0</v>
      </c>
      <c r="Y760" s="111" t="b">
        <v>0</v>
      </c>
      <c r="Z760" s="104" t="str">
        <f t="shared" si="5"/>
        <v/>
      </c>
      <c r="AA760" s="112" t="b">
        <f t="shared" si="6"/>
        <v>0</v>
      </c>
      <c r="AB760" s="142" t="b">
        <v>0</v>
      </c>
      <c r="AC760" s="140">
        <v>62.0</v>
      </c>
      <c r="AD760" s="141" t="b">
        <v>0</v>
      </c>
      <c r="AE760" s="115">
        <f t="shared" si="7"/>
        <v>268.35</v>
      </c>
      <c r="AF760" s="116" t="b">
        <f t="shared" si="8"/>
        <v>0</v>
      </c>
      <c r="AG760" s="105" t="b">
        <f t="shared" si="9"/>
        <v>0</v>
      </c>
      <c r="AH760" s="140"/>
      <c r="AI760" s="140"/>
      <c r="AJ760" s="140"/>
      <c r="AK760" s="117" t="str">
        <f t="shared" si="10"/>
        <v>Negative</v>
      </c>
      <c r="AL760" s="142"/>
      <c r="AM760" s="112" t="s">
        <v>1656</v>
      </c>
      <c r="AN760" s="112" t="s">
        <v>1657</v>
      </c>
      <c r="AO760" s="112" t="str">
        <f>IFERROR(__xludf.DUMMYFUNCTION("IF($AG760, ""DELETED"",TRIM(JOIN("" "",D760:E760)))"),"")</f>
        <v/>
      </c>
      <c r="AP760" s="112" t="str">
        <f t="shared" ref="AP760:AQ760" si="786">IF($AG760, "DELETED", TRIM(CONCATENATE(F760,I760,U760)))</f>
        <v/>
      </c>
      <c r="AQ760" s="112" t="str">
        <f t="shared" si="786"/>
        <v/>
      </c>
      <c r="AR760" s="112" t="str">
        <f>IFERROR(__xludf.DUMMYFUNCTION("IF($AG760, ""DELETED"", TRIM(JOIN("" "",AP760,AQ760)))"),"")</f>
        <v/>
      </c>
      <c r="AS760" s="118"/>
      <c r="AT760" s="110" t="b">
        <f t="shared" si="12"/>
        <v>0</v>
      </c>
      <c r="AU760" s="110" t="str">
        <f t="shared" si="13"/>
        <v/>
      </c>
      <c r="AV760" s="110" t="str">
        <f t="shared" si="14"/>
        <v/>
      </c>
      <c r="AW760" s="110" t="str">
        <f t="shared" si="15"/>
        <v/>
      </c>
      <c r="AX760" s="119" t="str">
        <f t="shared" si="16"/>
        <v/>
      </c>
      <c r="AY760" s="120"/>
      <c r="AZ760" s="121"/>
      <c r="BA760" s="122" t="str">
        <f t="shared" si="17"/>
        <v/>
      </c>
      <c r="BB760" s="34"/>
      <c r="BC760" s="121"/>
      <c r="BD760" s="136"/>
      <c r="BE760" s="125" t="str">
        <f t="shared" si="18"/>
        <v/>
      </c>
      <c r="BF760" s="126" t="str">
        <f t="shared" si="19"/>
        <v>FM304__44629_0.313090277777778</v>
      </c>
      <c r="BG760" s="127" t="str">
        <f t="shared" si="20"/>
        <v/>
      </c>
      <c r="BH760" s="137" t="s">
        <v>2051</v>
      </c>
      <c r="BI760" s="128" t="str">
        <f t="shared" si="21"/>
        <v>MAX128</v>
      </c>
      <c r="BJ760" s="129" t="b">
        <f t="shared" si="740"/>
        <v>0</v>
      </c>
      <c r="BK760" s="128" t="str">
        <f t="shared" si="23"/>
        <v/>
      </c>
      <c r="BL760" s="121"/>
      <c r="BM760" s="5" t="str">
        <f t="shared" si="24"/>
        <v>MISSING</v>
      </c>
      <c r="BN760" s="120" t="b">
        <f t="shared" si="25"/>
        <v>0</v>
      </c>
      <c r="BO760" s="131" t="b">
        <f t="shared" si="26"/>
        <v>1</v>
      </c>
      <c r="BP760" s="121"/>
      <c r="BQ760" s="132" t="str">
        <f>VLOOKUP(A760,RAW_APS!A$3:O826,15,FALSE)</f>
        <v/>
      </c>
      <c r="BR760" s="120" t="b">
        <f t="shared" si="27"/>
        <v>1</v>
      </c>
      <c r="BS760" s="121"/>
      <c r="BT760" s="138" t="s">
        <v>244</v>
      </c>
      <c r="BU760" s="10" t="b">
        <f t="shared" si="28"/>
        <v>1</v>
      </c>
      <c r="BV760" s="120"/>
      <c r="BW760" s="120"/>
      <c r="BX760" s="120"/>
      <c r="BY760" s="120"/>
      <c r="BZ760" s="120"/>
      <c r="CA760" s="120"/>
      <c r="CB760" s="120"/>
      <c r="CC760" s="120"/>
    </row>
    <row r="761">
      <c r="A761" s="2" t="s">
        <v>2052</v>
      </c>
      <c r="B761" s="100">
        <v>44629.0</v>
      </c>
      <c r="C761" s="101">
        <v>0.31440972222222224</v>
      </c>
      <c r="D761" s="102"/>
      <c r="E761" s="102"/>
      <c r="F761" s="102"/>
      <c r="G761" s="102"/>
      <c r="H761" s="102"/>
      <c r="I761" s="103"/>
      <c r="J761" s="103"/>
      <c r="K761" s="2" t="s">
        <v>244</v>
      </c>
      <c r="L761" s="100">
        <v>44629.0</v>
      </c>
      <c r="M761" s="101">
        <v>0.49944444444444447</v>
      </c>
      <c r="P761" s="104" t="b">
        <f>IFNA(IF(VLOOKUP($A761,'Add from APT'!$AA$2:$AC826,3,FALSE)&gt;0,TRUE,FALSE),"ER - NOT IN APT")</f>
        <v>0</v>
      </c>
      <c r="Q761" s="105" t="str">
        <f>IF(ISLOGICAL(P761),IF(P761,"ER - REPS IN APT", IFNA(VLOOKUP($A761,RAW_APT!$A$3:$M826,7,FALSE),"ER - NOT IN APT")),P761)</f>
        <v>Result</v>
      </c>
      <c r="R761" s="106" t="b">
        <f t="shared" si="2"/>
        <v>1</v>
      </c>
      <c r="S761" s="107">
        <f t="shared" si="3"/>
        <v>1</v>
      </c>
      <c r="T761" s="143"/>
      <c r="U761" s="142"/>
      <c r="V761" s="142"/>
      <c r="W761" s="142"/>
      <c r="X761" s="110" t="b">
        <f t="shared" si="4"/>
        <v>0</v>
      </c>
      <c r="Y761" s="111" t="b">
        <v>0</v>
      </c>
      <c r="Z761" s="104" t="str">
        <f t="shared" si="5"/>
        <v/>
      </c>
      <c r="AA761" s="112" t="b">
        <f t="shared" si="6"/>
        <v>0</v>
      </c>
      <c r="AB761" s="142" t="b">
        <v>0</v>
      </c>
      <c r="AC761" s="140">
        <v>61.0</v>
      </c>
      <c r="AD761" s="141" t="b">
        <v>0</v>
      </c>
      <c r="AE761" s="115">
        <f t="shared" si="7"/>
        <v>266.45</v>
      </c>
      <c r="AF761" s="116" t="b">
        <f t="shared" si="8"/>
        <v>0</v>
      </c>
      <c r="AG761" s="105" t="b">
        <f t="shared" si="9"/>
        <v>0</v>
      </c>
      <c r="AH761" s="140"/>
      <c r="AI761" s="140"/>
      <c r="AJ761" s="140"/>
      <c r="AK761" s="117" t="str">
        <f t="shared" si="10"/>
        <v>Negative</v>
      </c>
      <c r="AL761" s="142"/>
      <c r="AM761" s="112" t="s">
        <v>717</v>
      </c>
      <c r="AN761" s="112" t="s">
        <v>718</v>
      </c>
      <c r="AO761" s="112" t="str">
        <f>IFERROR(__xludf.DUMMYFUNCTION("IF($AG761, ""DELETED"",TRIM(JOIN("" "",D761:E761)))"),"")</f>
        <v/>
      </c>
      <c r="AP761" s="112" t="str">
        <f t="shared" ref="AP761:AQ761" si="787">IF($AG761, "DELETED", TRIM(CONCATENATE(F761,I761,U761)))</f>
        <v/>
      </c>
      <c r="AQ761" s="112" t="str">
        <f t="shared" si="787"/>
        <v/>
      </c>
      <c r="AR761" s="112" t="str">
        <f>IFERROR(__xludf.DUMMYFUNCTION("IF($AG761, ""DELETED"", TRIM(JOIN("" "",AP761,AQ761)))"),"")</f>
        <v/>
      </c>
      <c r="AS761" s="118"/>
      <c r="AT761" s="110" t="b">
        <f t="shared" si="12"/>
        <v>0</v>
      </c>
      <c r="AU761" s="110" t="str">
        <f t="shared" si="13"/>
        <v/>
      </c>
      <c r="AV761" s="110" t="str">
        <f t="shared" si="14"/>
        <v/>
      </c>
      <c r="AW761" s="110" t="str">
        <f t="shared" si="15"/>
        <v/>
      </c>
      <c r="AX761" s="119" t="str">
        <f t="shared" si="16"/>
        <v/>
      </c>
      <c r="AY761" s="120"/>
      <c r="AZ761" s="121"/>
      <c r="BA761" s="122" t="str">
        <f t="shared" si="17"/>
        <v/>
      </c>
      <c r="BB761" s="34"/>
      <c r="BC761" s="121"/>
      <c r="BD761" s="136"/>
      <c r="BE761" s="125" t="str">
        <f t="shared" si="18"/>
        <v/>
      </c>
      <c r="BF761" s="126" t="str">
        <f t="shared" si="19"/>
        <v>FM2097__44629_0.314409722222222</v>
      </c>
      <c r="BG761" s="127" t="str">
        <f t="shared" si="20"/>
        <v/>
      </c>
      <c r="BH761" s="137" t="s">
        <v>2053</v>
      </c>
      <c r="BI761" s="128" t="str">
        <f t="shared" si="21"/>
        <v>MAX131</v>
      </c>
      <c r="BJ761" s="129" t="b">
        <f t="shared" si="740"/>
        <v>0</v>
      </c>
      <c r="BK761" s="128" t="str">
        <f t="shared" si="23"/>
        <v/>
      </c>
      <c r="BL761" s="121"/>
      <c r="BM761" s="5" t="str">
        <f t="shared" si="24"/>
        <v>MISSING</v>
      </c>
      <c r="BN761" s="120" t="b">
        <f t="shared" si="25"/>
        <v>0</v>
      </c>
      <c r="BO761" s="131" t="b">
        <f t="shared" si="26"/>
        <v>1</v>
      </c>
      <c r="BP761" s="121"/>
      <c r="BQ761" s="132" t="str">
        <f>VLOOKUP(A761,RAW_APS!A$3:O826,15,FALSE)</f>
        <v/>
      </c>
      <c r="BR761" s="120" t="b">
        <f t="shared" si="27"/>
        <v>1</v>
      </c>
      <c r="BS761" s="121"/>
      <c r="BT761" s="138" t="s">
        <v>244</v>
      </c>
      <c r="BU761" s="10" t="b">
        <f t="shared" si="28"/>
        <v>1</v>
      </c>
      <c r="BV761" s="120"/>
      <c r="BW761" s="120"/>
      <c r="BX761" s="120"/>
      <c r="BY761" s="120"/>
      <c r="BZ761" s="120"/>
      <c r="CA761" s="120"/>
      <c r="CB761" s="120"/>
      <c r="CC761" s="120"/>
    </row>
    <row r="762">
      <c r="A762" s="2" t="s">
        <v>2054</v>
      </c>
      <c r="B762" s="100">
        <v>44629.0</v>
      </c>
      <c r="C762" s="101">
        <v>0.31482638888888886</v>
      </c>
      <c r="D762" s="102"/>
      <c r="E762" s="102"/>
      <c r="F762" s="102"/>
      <c r="G762" s="102"/>
      <c r="H762" s="102"/>
      <c r="I762" s="103"/>
      <c r="J762" s="103"/>
      <c r="K762" s="2" t="s">
        <v>244</v>
      </c>
      <c r="L762" s="100">
        <v>44629.0</v>
      </c>
      <c r="M762" s="101">
        <v>0.49944444444444447</v>
      </c>
      <c r="P762" s="104" t="b">
        <f>IFNA(IF(VLOOKUP($A762,'Add from APT'!$AA$2:$AC826,3,FALSE)&gt;0,TRUE,FALSE),"ER - NOT IN APT")</f>
        <v>0</v>
      </c>
      <c r="Q762" s="105" t="str">
        <f>IF(ISLOGICAL(P762),IF(P762,"ER - REPS IN APT", IFNA(VLOOKUP($A762,RAW_APT!$A$3:$M826,7,FALSE),"ER - NOT IN APT")),P762)</f>
        <v>Result</v>
      </c>
      <c r="R762" s="106" t="b">
        <f t="shared" si="2"/>
        <v>1</v>
      </c>
      <c r="S762" s="107">
        <f t="shared" si="3"/>
        <v>1</v>
      </c>
      <c r="T762" s="143"/>
      <c r="U762" s="142"/>
      <c r="V762" s="142"/>
      <c r="W762" s="142"/>
      <c r="X762" s="110" t="b">
        <f t="shared" si="4"/>
        <v>0</v>
      </c>
      <c r="Y762" s="111" t="b">
        <v>0</v>
      </c>
      <c r="Z762" s="104" t="str">
        <f t="shared" si="5"/>
        <v/>
      </c>
      <c r="AA762" s="112" t="b">
        <f t="shared" si="6"/>
        <v>0</v>
      </c>
      <c r="AB762" s="142" t="b">
        <v>0</v>
      </c>
      <c r="AC762" s="140">
        <v>60.0</v>
      </c>
      <c r="AD762" s="141" t="b">
        <v>0</v>
      </c>
      <c r="AE762" s="115">
        <f t="shared" si="7"/>
        <v>265.85</v>
      </c>
      <c r="AF762" s="116" t="b">
        <f t="shared" si="8"/>
        <v>0</v>
      </c>
      <c r="AG762" s="105" t="b">
        <f t="shared" si="9"/>
        <v>0</v>
      </c>
      <c r="AH762" s="140"/>
      <c r="AI762" s="140"/>
      <c r="AJ762" s="140"/>
      <c r="AK762" s="117" t="str">
        <f t="shared" si="10"/>
        <v>Negative</v>
      </c>
      <c r="AL762" s="142"/>
      <c r="AM762" s="112" t="s">
        <v>587</v>
      </c>
      <c r="AN762" s="112" t="s">
        <v>588</v>
      </c>
      <c r="AO762" s="112" t="str">
        <f>IFERROR(__xludf.DUMMYFUNCTION("IF($AG762, ""DELETED"",TRIM(JOIN("" "",D762:E762)))"),"")</f>
        <v/>
      </c>
      <c r="AP762" s="112" t="str">
        <f t="shared" ref="AP762:AQ762" si="788">IF($AG762, "DELETED", TRIM(CONCATENATE(F762,I762,U762)))</f>
        <v/>
      </c>
      <c r="AQ762" s="112" t="str">
        <f t="shared" si="788"/>
        <v/>
      </c>
      <c r="AR762" s="112" t="str">
        <f>IFERROR(__xludf.DUMMYFUNCTION("IF($AG762, ""DELETED"", TRIM(JOIN("" "",AP762,AQ762)))"),"")</f>
        <v/>
      </c>
      <c r="AS762" s="118"/>
      <c r="AT762" s="110" t="b">
        <f t="shared" si="12"/>
        <v>0</v>
      </c>
      <c r="AU762" s="110" t="str">
        <f t="shared" si="13"/>
        <v/>
      </c>
      <c r="AV762" s="110" t="str">
        <f t="shared" si="14"/>
        <v/>
      </c>
      <c r="AW762" s="110" t="str">
        <f t="shared" si="15"/>
        <v/>
      </c>
      <c r="AX762" s="119" t="str">
        <f t="shared" si="16"/>
        <v/>
      </c>
      <c r="AY762" s="120"/>
      <c r="AZ762" s="121"/>
      <c r="BA762" s="122" t="str">
        <f t="shared" si="17"/>
        <v/>
      </c>
      <c r="BB762" s="34"/>
      <c r="BC762" s="121"/>
      <c r="BD762" s="136"/>
      <c r="BE762" s="125" t="str">
        <f t="shared" si="18"/>
        <v/>
      </c>
      <c r="BF762" s="126" t="str">
        <f t="shared" si="19"/>
        <v>FM498__44629_0.314826388888889</v>
      </c>
      <c r="BG762" s="127" t="str">
        <f t="shared" si="20"/>
        <v/>
      </c>
      <c r="BH762" s="137" t="s">
        <v>2055</v>
      </c>
      <c r="BI762" s="128" t="str">
        <f t="shared" si="21"/>
        <v>MAX132</v>
      </c>
      <c r="BJ762" s="129" t="b">
        <f t="shared" si="740"/>
        <v>0</v>
      </c>
      <c r="BK762" s="128" t="str">
        <f t="shared" si="23"/>
        <v/>
      </c>
      <c r="BL762" s="121"/>
      <c r="BM762" s="5" t="str">
        <f t="shared" si="24"/>
        <v>MISSING</v>
      </c>
      <c r="BN762" s="120" t="b">
        <f t="shared" si="25"/>
        <v>0</v>
      </c>
      <c r="BO762" s="131" t="b">
        <f t="shared" si="26"/>
        <v>1</v>
      </c>
      <c r="BP762" s="121"/>
      <c r="BQ762" s="132" t="str">
        <f>VLOOKUP(A762,RAW_APS!A$3:O826,15,FALSE)</f>
        <v/>
      </c>
      <c r="BR762" s="120" t="b">
        <f t="shared" si="27"/>
        <v>1</v>
      </c>
      <c r="BS762" s="121"/>
      <c r="BT762" s="138" t="s">
        <v>244</v>
      </c>
      <c r="BU762" s="10" t="b">
        <f t="shared" si="28"/>
        <v>1</v>
      </c>
      <c r="BV762" s="120"/>
      <c r="BW762" s="120"/>
      <c r="BX762" s="120"/>
      <c r="BY762" s="120"/>
      <c r="BZ762" s="120"/>
      <c r="CA762" s="120"/>
      <c r="CB762" s="120"/>
      <c r="CC762" s="120"/>
    </row>
    <row r="763">
      <c r="A763" s="2" t="s">
        <v>2056</v>
      </c>
      <c r="B763" s="100">
        <v>44629.0</v>
      </c>
      <c r="C763" s="101">
        <v>0.3169328703703704</v>
      </c>
      <c r="D763" s="102"/>
      <c r="E763" s="102"/>
      <c r="F763" s="102"/>
      <c r="G763" s="102"/>
      <c r="H763" s="102"/>
      <c r="I763" s="103"/>
      <c r="J763" s="103"/>
      <c r="K763" s="2" t="s">
        <v>244</v>
      </c>
      <c r="L763" s="100">
        <v>44629.0</v>
      </c>
      <c r="M763" s="101">
        <v>0.49944444444444447</v>
      </c>
      <c r="P763" s="104" t="b">
        <f>IFNA(IF(VLOOKUP($A763,'Add from APT'!$AA$2:$AC826,3,FALSE)&gt;0,TRUE,FALSE),"ER - NOT IN APT")</f>
        <v>0</v>
      </c>
      <c r="Q763" s="105" t="str">
        <f>IF(ISLOGICAL(P763),IF(P763,"ER - REPS IN APT", IFNA(VLOOKUP($A763,RAW_APT!$A$3:$M826,7,FALSE),"ER - NOT IN APT")),P763)</f>
        <v>Result</v>
      </c>
      <c r="R763" s="106" t="b">
        <f t="shared" si="2"/>
        <v>1</v>
      </c>
      <c r="S763" s="107">
        <f t="shared" si="3"/>
        <v>1</v>
      </c>
      <c r="T763" s="143"/>
      <c r="U763" s="142"/>
      <c r="V763" s="142"/>
      <c r="W763" s="142"/>
      <c r="X763" s="110" t="b">
        <f t="shared" si="4"/>
        <v>0</v>
      </c>
      <c r="Y763" s="111" t="b">
        <v>0</v>
      </c>
      <c r="Z763" s="104" t="str">
        <f t="shared" si="5"/>
        <v/>
      </c>
      <c r="AA763" s="112" t="b">
        <f t="shared" si="6"/>
        <v>0</v>
      </c>
      <c r="AB763" s="142" t="b">
        <v>0</v>
      </c>
      <c r="AC763" s="140">
        <v>59.0</v>
      </c>
      <c r="AD763" s="141" t="b">
        <v>0</v>
      </c>
      <c r="AE763" s="115">
        <f t="shared" si="7"/>
        <v>262.8166667</v>
      </c>
      <c r="AF763" s="116" t="b">
        <f t="shared" si="8"/>
        <v>0</v>
      </c>
      <c r="AG763" s="105" t="b">
        <f t="shared" si="9"/>
        <v>0</v>
      </c>
      <c r="AH763" s="140"/>
      <c r="AI763" s="140"/>
      <c r="AJ763" s="140"/>
      <c r="AK763" s="117" t="str">
        <f t="shared" si="10"/>
        <v>Negative</v>
      </c>
      <c r="AL763" s="142"/>
      <c r="AM763" s="112" t="s">
        <v>1099</v>
      </c>
      <c r="AN763" s="112" t="s">
        <v>1100</v>
      </c>
      <c r="AO763" s="112" t="str">
        <f>IFERROR(__xludf.DUMMYFUNCTION("IF($AG763, ""DELETED"",TRIM(JOIN("" "",D763:E763)))"),"")</f>
        <v/>
      </c>
      <c r="AP763" s="112" t="str">
        <f t="shared" ref="AP763:AQ763" si="789">IF($AG763, "DELETED", TRIM(CONCATENATE(F763,I763,U763)))</f>
        <v/>
      </c>
      <c r="AQ763" s="112" t="str">
        <f t="shared" si="789"/>
        <v/>
      </c>
      <c r="AR763" s="112" t="str">
        <f>IFERROR(__xludf.DUMMYFUNCTION("IF($AG763, ""DELETED"", TRIM(JOIN("" "",AP763,AQ763)))"),"")</f>
        <v/>
      </c>
      <c r="AS763" s="118"/>
      <c r="AT763" s="110" t="b">
        <f t="shared" si="12"/>
        <v>0</v>
      </c>
      <c r="AU763" s="110" t="str">
        <f t="shared" si="13"/>
        <v/>
      </c>
      <c r="AV763" s="110" t="str">
        <f t="shared" si="14"/>
        <v/>
      </c>
      <c r="AW763" s="110" t="str">
        <f t="shared" si="15"/>
        <v/>
      </c>
      <c r="AX763" s="119" t="str">
        <f t="shared" si="16"/>
        <v/>
      </c>
      <c r="AY763" s="120"/>
      <c r="AZ763" s="121"/>
      <c r="BA763" s="122" t="str">
        <f t="shared" si="17"/>
        <v/>
      </c>
      <c r="BB763" s="34"/>
      <c r="BC763" s="121"/>
      <c r="BD763" s="136"/>
      <c r="BE763" s="125" t="str">
        <f t="shared" si="18"/>
        <v/>
      </c>
      <c r="BF763" s="126" t="str">
        <f t="shared" si="19"/>
        <v>FM422__44629_0.31693287037037</v>
      </c>
      <c r="BG763" s="127" t="str">
        <f t="shared" si="20"/>
        <v/>
      </c>
      <c r="BH763" s="137" t="s">
        <v>2057</v>
      </c>
      <c r="BI763" s="128" t="str">
        <f t="shared" si="21"/>
        <v>MAX133</v>
      </c>
      <c r="BJ763" s="129" t="b">
        <f t="shared" si="740"/>
        <v>0</v>
      </c>
      <c r="BK763" s="128" t="str">
        <f t="shared" si="23"/>
        <v/>
      </c>
      <c r="BL763" s="121"/>
      <c r="BM763" s="5" t="str">
        <f t="shared" si="24"/>
        <v>MISSING</v>
      </c>
      <c r="BN763" s="120" t="b">
        <f t="shared" si="25"/>
        <v>0</v>
      </c>
      <c r="BO763" s="131" t="b">
        <f t="shared" si="26"/>
        <v>1</v>
      </c>
      <c r="BP763" s="121"/>
      <c r="BQ763" s="132" t="str">
        <f>VLOOKUP(A763,RAW_APS!A$3:O826,15,FALSE)</f>
        <v/>
      </c>
      <c r="BR763" s="120" t="b">
        <f t="shared" si="27"/>
        <v>1</v>
      </c>
      <c r="BS763" s="121"/>
      <c r="BT763" s="138" t="s">
        <v>244</v>
      </c>
      <c r="BU763" s="10" t="b">
        <f t="shared" si="28"/>
        <v>1</v>
      </c>
      <c r="BV763" s="120"/>
      <c r="BW763" s="120"/>
      <c r="BX763" s="120"/>
      <c r="BY763" s="120"/>
      <c r="BZ763" s="120"/>
      <c r="CA763" s="120"/>
      <c r="CB763" s="120"/>
      <c r="CC763" s="120"/>
    </row>
    <row r="764">
      <c r="A764" s="2" t="s">
        <v>2058</v>
      </c>
      <c r="B764" s="100">
        <v>44629.0</v>
      </c>
      <c r="C764" s="101">
        <v>0.31734953703703705</v>
      </c>
      <c r="D764" s="102"/>
      <c r="E764" s="102"/>
      <c r="F764" s="102"/>
      <c r="G764" s="102"/>
      <c r="H764" s="102"/>
      <c r="I764" s="103"/>
      <c r="J764" s="103"/>
      <c r="K764" s="2" t="s">
        <v>244</v>
      </c>
      <c r="L764" s="100">
        <v>44629.0</v>
      </c>
      <c r="M764" s="101">
        <v>0.49944444444444447</v>
      </c>
      <c r="P764" s="104" t="b">
        <f>IFNA(IF(VLOOKUP($A764,'Add from APT'!$AA$2:$AC826,3,FALSE)&gt;0,TRUE,FALSE),"ER - NOT IN APT")</f>
        <v>0</v>
      </c>
      <c r="Q764" s="105" t="str">
        <f>IF(ISLOGICAL(P764),IF(P764,"ER - REPS IN APT", IFNA(VLOOKUP($A764,RAW_APT!$A$3:$M826,7,FALSE),"ER - NOT IN APT")),P764)</f>
        <v>Result</v>
      </c>
      <c r="R764" s="106" t="b">
        <f t="shared" si="2"/>
        <v>1</v>
      </c>
      <c r="S764" s="107">
        <f t="shared" si="3"/>
        <v>1</v>
      </c>
      <c r="T764" s="143"/>
      <c r="U764" s="142"/>
      <c r="V764" s="142"/>
      <c r="W764" s="142"/>
      <c r="X764" s="110" t="b">
        <f t="shared" si="4"/>
        <v>0</v>
      </c>
      <c r="Y764" s="111" t="b">
        <v>0</v>
      </c>
      <c r="Z764" s="104" t="str">
        <f t="shared" si="5"/>
        <v/>
      </c>
      <c r="AA764" s="112" t="b">
        <f t="shared" si="6"/>
        <v>0</v>
      </c>
      <c r="AB764" s="142" t="b">
        <v>0</v>
      </c>
      <c r="AC764" s="140">
        <v>58.0</v>
      </c>
      <c r="AD764" s="141" t="b">
        <v>0</v>
      </c>
      <c r="AE764" s="115">
        <f t="shared" si="7"/>
        <v>262.2166667</v>
      </c>
      <c r="AF764" s="116" t="b">
        <f t="shared" si="8"/>
        <v>0</v>
      </c>
      <c r="AG764" s="105" t="b">
        <f t="shared" si="9"/>
        <v>0</v>
      </c>
      <c r="AH764" s="140"/>
      <c r="AI764" s="140"/>
      <c r="AJ764" s="140"/>
      <c r="AK764" s="117" t="str">
        <f t="shared" si="10"/>
        <v>Negative</v>
      </c>
      <c r="AL764" s="142"/>
      <c r="AM764" s="112" t="s">
        <v>322</v>
      </c>
      <c r="AN764" s="112" t="s">
        <v>323</v>
      </c>
      <c r="AO764" s="112" t="str">
        <f>IFERROR(__xludf.DUMMYFUNCTION("IF($AG764, ""DELETED"",TRIM(JOIN("" "",D764:E764)))"),"")</f>
        <v/>
      </c>
      <c r="AP764" s="112" t="str">
        <f t="shared" ref="AP764:AQ764" si="790">IF($AG764, "DELETED", TRIM(CONCATENATE(F764,I764,U764)))</f>
        <v/>
      </c>
      <c r="AQ764" s="112" t="str">
        <f t="shared" si="790"/>
        <v/>
      </c>
      <c r="AR764" s="112" t="str">
        <f>IFERROR(__xludf.DUMMYFUNCTION("IF($AG764, ""DELETED"", TRIM(JOIN("" "",AP764,AQ764)))"),"")</f>
        <v/>
      </c>
      <c r="AS764" s="118"/>
      <c r="AT764" s="110" t="b">
        <f t="shared" si="12"/>
        <v>0</v>
      </c>
      <c r="AU764" s="110" t="str">
        <f t="shared" si="13"/>
        <v/>
      </c>
      <c r="AV764" s="110" t="str">
        <f t="shared" si="14"/>
        <v/>
      </c>
      <c r="AW764" s="110" t="str">
        <f t="shared" si="15"/>
        <v/>
      </c>
      <c r="AX764" s="119" t="str">
        <f t="shared" si="16"/>
        <v/>
      </c>
      <c r="AY764" s="120"/>
      <c r="AZ764" s="121"/>
      <c r="BA764" s="122" t="str">
        <f t="shared" si="17"/>
        <v/>
      </c>
      <c r="BB764" s="34"/>
      <c r="BC764" s="121"/>
      <c r="BD764" s="136"/>
      <c r="BE764" s="125" t="str">
        <f t="shared" si="18"/>
        <v/>
      </c>
      <c r="BF764" s="126" t="str">
        <f t="shared" si="19"/>
        <v>FM91__44629_0.317349537037037</v>
      </c>
      <c r="BG764" s="127" t="str">
        <f t="shared" si="20"/>
        <v/>
      </c>
      <c r="BH764" s="137" t="s">
        <v>2059</v>
      </c>
      <c r="BI764" s="128" t="str">
        <f t="shared" si="21"/>
        <v>MAX134</v>
      </c>
      <c r="BJ764" s="129" t="b">
        <f t="shared" si="740"/>
        <v>0</v>
      </c>
      <c r="BK764" s="128" t="str">
        <f t="shared" si="23"/>
        <v/>
      </c>
      <c r="BL764" s="121"/>
      <c r="BM764" s="5" t="str">
        <f t="shared" si="24"/>
        <v>MISSING</v>
      </c>
      <c r="BN764" s="120" t="b">
        <f t="shared" si="25"/>
        <v>0</v>
      </c>
      <c r="BO764" s="131" t="b">
        <f t="shared" si="26"/>
        <v>1</v>
      </c>
      <c r="BP764" s="121"/>
      <c r="BQ764" s="132" t="str">
        <f>VLOOKUP(A764,RAW_APS!A$3:O826,15,FALSE)</f>
        <v/>
      </c>
      <c r="BR764" s="120" t="b">
        <f t="shared" si="27"/>
        <v>1</v>
      </c>
      <c r="BS764" s="121"/>
      <c r="BT764" s="138" t="s">
        <v>244</v>
      </c>
      <c r="BU764" s="10" t="b">
        <f t="shared" si="28"/>
        <v>1</v>
      </c>
      <c r="BV764" s="120"/>
      <c r="BW764" s="120"/>
      <c r="BX764" s="120"/>
      <c r="BY764" s="120"/>
      <c r="BZ764" s="120"/>
      <c r="CA764" s="120"/>
      <c r="CB764" s="120"/>
      <c r="CC764" s="120"/>
    </row>
    <row r="765">
      <c r="A765" s="2" t="s">
        <v>2060</v>
      </c>
      <c r="B765" s="100">
        <v>44629.0</v>
      </c>
      <c r="C765" s="101">
        <v>0.31824074074074077</v>
      </c>
      <c r="D765" s="102"/>
      <c r="E765" s="102"/>
      <c r="F765" s="102"/>
      <c r="G765" s="102"/>
      <c r="H765" s="102"/>
      <c r="I765" s="103"/>
      <c r="J765" s="103"/>
      <c r="K765" s="2" t="s">
        <v>244</v>
      </c>
      <c r="L765" s="100">
        <v>44629.0</v>
      </c>
      <c r="M765" s="101">
        <v>0.49944444444444447</v>
      </c>
      <c r="P765" s="104" t="b">
        <f>IFNA(IF(VLOOKUP($A765,'Add from APT'!$AA$2:$AC826,3,FALSE)&gt;0,TRUE,FALSE),"ER - NOT IN APT")</f>
        <v>0</v>
      </c>
      <c r="Q765" s="105" t="str">
        <f>IF(ISLOGICAL(P765),IF(P765,"ER - REPS IN APT", IFNA(VLOOKUP($A765,RAW_APT!$A$3:$M826,7,FALSE),"ER - NOT IN APT")),P765)</f>
        <v>Result</v>
      </c>
      <c r="R765" s="106" t="b">
        <f t="shared" si="2"/>
        <v>1</v>
      </c>
      <c r="S765" s="107">
        <f t="shared" si="3"/>
        <v>1</v>
      </c>
      <c r="T765" s="143"/>
      <c r="U765" s="142"/>
      <c r="V765" s="142"/>
      <c r="W765" s="142"/>
      <c r="X765" s="110" t="b">
        <f t="shared" si="4"/>
        <v>0</v>
      </c>
      <c r="Y765" s="111" t="b">
        <v>0</v>
      </c>
      <c r="Z765" s="104" t="str">
        <f t="shared" si="5"/>
        <v/>
      </c>
      <c r="AA765" s="112" t="b">
        <f t="shared" si="6"/>
        <v>0</v>
      </c>
      <c r="AB765" s="142" t="b">
        <v>0</v>
      </c>
      <c r="AC765" s="140">
        <v>57.0</v>
      </c>
      <c r="AD765" s="141" t="b">
        <v>0</v>
      </c>
      <c r="AE765" s="115">
        <f t="shared" si="7"/>
        <v>260.9333333</v>
      </c>
      <c r="AF765" s="116" t="b">
        <f t="shared" si="8"/>
        <v>0</v>
      </c>
      <c r="AG765" s="105" t="b">
        <f t="shared" si="9"/>
        <v>0</v>
      </c>
      <c r="AH765" s="140"/>
      <c r="AI765" s="140"/>
      <c r="AJ765" s="140"/>
      <c r="AK765" s="117" t="str">
        <f t="shared" si="10"/>
        <v>Negative</v>
      </c>
      <c r="AL765" s="142"/>
      <c r="AM765" s="112" t="s">
        <v>862</v>
      </c>
      <c r="AN765" s="112" t="s">
        <v>539</v>
      </c>
      <c r="AO765" s="112" t="str">
        <f>IFERROR(__xludf.DUMMYFUNCTION("IF($AG765, ""DELETED"",TRIM(JOIN("" "",D765:E765)))"),"")</f>
        <v/>
      </c>
      <c r="AP765" s="112" t="str">
        <f t="shared" ref="AP765:AQ765" si="791">IF($AG765, "DELETED", TRIM(CONCATENATE(F765,I765,U765)))</f>
        <v/>
      </c>
      <c r="AQ765" s="112" t="str">
        <f t="shared" si="791"/>
        <v/>
      </c>
      <c r="AR765" s="112" t="str">
        <f>IFERROR(__xludf.DUMMYFUNCTION("IF($AG765, ""DELETED"", TRIM(JOIN("" "",AP765,AQ765)))"),"")</f>
        <v/>
      </c>
      <c r="AS765" s="118"/>
      <c r="AT765" s="110" t="b">
        <f t="shared" si="12"/>
        <v>0</v>
      </c>
      <c r="AU765" s="110" t="str">
        <f t="shared" si="13"/>
        <v/>
      </c>
      <c r="AV765" s="110" t="str">
        <f t="shared" si="14"/>
        <v/>
      </c>
      <c r="AW765" s="110" t="str">
        <f t="shared" si="15"/>
        <v/>
      </c>
      <c r="AX765" s="119" t="str">
        <f t="shared" si="16"/>
        <v/>
      </c>
      <c r="AY765" s="120"/>
      <c r="AZ765" s="121"/>
      <c r="BA765" s="122" t="str">
        <f t="shared" si="17"/>
        <v/>
      </c>
      <c r="BB765" s="34"/>
      <c r="BC765" s="121"/>
      <c r="BD765" s="136"/>
      <c r="BE765" s="125" t="str">
        <f t="shared" si="18"/>
        <v/>
      </c>
      <c r="BF765" s="126" t="str">
        <f t="shared" si="19"/>
        <v>FM16__44629_0.318240740740741</v>
      </c>
      <c r="BG765" s="127" t="str">
        <f t="shared" si="20"/>
        <v/>
      </c>
      <c r="BH765" s="137" t="s">
        <v>2061</v>
      </c>
      <c r="BI765" s="128" t="str">
        <f t="shared" si="21"/>
        <v>MAX135</v>
      </c>
      <c r="BJ765" s="129" t="b">
        <f t="shared" si="740"/>
        <v>0</v>
      </c>
      <c r="BK765" s="128" t="str">
        <f t="shared" si="23"/>
        <v/>
      </c>
      <c r="BL765" s="121"/>
      <c r="BM765" s="5" t="str">
        <f t="shared" si="24"/>
        <v>MISSING</v>
      </c>
      <c r="BN765" s="120" t="b">
        <f t="shared" si="25"/>
        <v>0</v>
      </c>
      <c r="BO765" s="131" t="b">
        <f t="shared" si="26"/>
        <v>1</v>
      </c>
      <c r="BP765" s="121"/>
      <c r="BQ765" s="132" t="str">
        <f>VLOOKUP(A765,RAW_APS!A$3:O826,15,FALSE)</f>
        <v/>
      </c>
      <c r="BR765" s="120" t="b">
        <f t="shared" si="27"/>
        <v>1</v>
      </c>
      <c r="BS765" s="121"/>
      <c r="BT765" s="138" t="s">
        <v>244</v>
      </c>
      <c r="BU765" s="10" t="b">
        <f t="shared" si="28"/>
        <v>1</v>
      </c>
      <c r="BV765" s="120"/>
      <c r="BW765" s="120"/>
      <c r="BX765" s="120"/>
      <c r="BY765" s="120"/>
      <c r="BZ765" s="120"/>
      <c r="CA765" s="120"/>
      <c r="CB765" s="120"/>
      <c r="CC765" s="120"/>
    </row>
    <row r="766">
      <c r="A766" s="2" t="s">
        <v>2062</v>
      </c>
      <c r="B766" s="100">
        <v>44629.0</v>
      </c>
      <c r="C766" s="101">
        <v>0.3201851851851852</v>
      </c>
      <c r="D766" s="102"/>
      <c r="E766" s="102"/>
      <c r="F766" s="102"/>
      <c r="G766" s="102"/>
      <c r="H766" s="102"/>
      <c r="I766" s="103"/>
      <c r="J766" s="103"/>
      <c r="K766" s="2" t="s">
        <v>244</v>
      </c>
      <c r="L766" s="100">
        <v>44629.0</v>
      </c>
      <c r="M766" s="101">
        <v>0.49944444444444447</v>
      </c>
      <c r="P766" s="104" t="b">
        <f>IFNA(IF(VLOOKUP($A766,'Add from APT'!$AA$2:$AC826,3,FALSE)&gt;0,TRUE,FALSE),"ER - NOT IN APT")</f>
        <v>0</v>
      </c>
      <c r="Q766" s="105" t="str">
        <f>IF(ISLOGICAL(P766),IF(P766,"ER - REPS IN APT", IFNA(VLOOKUP($A766,RAW_APT!$A$3:$M826,7,FALSE),"ER - NOT IN APT")),P766)</f>
        <v>Result</v>
      </c>
      <c r="R766" s="106" t="b">
        <f t="shared" si="2"/>
        <v>1</v>
      </c>
      <c r="S766" s="107">
        <f t="shared" si="3"/>
        <v>1</v>
      </c>
      <c r="T766" s="143"/>
      <c r="U766" s="142"/>
      <c r="V766" s="142"/>
      <c r="W766" s="142"/>
      <c r="X766" s="110" t="b">
        <f t="shared" si="4"/>
        <v>0</v>
      </c>
      <c r="Y766" s="111" t="b">
        <v>0</v>
      </c>
      <c r="Z766" s="104" t="str">
        <f t="shared" si="5"/>
        <v/>
      </c>
      <c r="AA766" s="112" t="b">
        <f t="shared" si="6"/>
        <v>0</v>
      </c>
      <c r="AB766" s="142" t="b">
        <v>0</v>
      </c>
      <c r="AC766" s="140">
        <v>56.0</v>
      </c>
      <c r="AD766" s="141" t="b">
        <v>0</v>
      </c>
      <c r="AE766" s="115">
        <f t="shared" si="7"/>
        <v>258.1333333</v>
      </c>
      <c r="AF766" s="116" t="b">
        <f t="shared" si="8"/>
        <v>0</v>
      </c>
      <c r="AG766" s="105" t="b">
        <f t="shared" si="9"/>
        <v>0</v>
      </c>
      <c r="AH766" s="140"/>
      <c r="AI766" s="140"/>
      <c r="AJ766" s="140"/>
      <c r="AK766" s="117" t="str">
        <f t="shared" si="10"/>
        <v>Negative</v>
      </c>
      <c r="AL766" s="142"/>
      <c r="AM766" s="112" t="s">
        <v>508</v>
      </c>
      <c r="AN766" s="112" t="s">
        <v>1390</v>
      </c>
      <c r="AO766" s="112" t="str">
        <f>IFERROR(__xludf.DUMMYFUNCTION("IF($AG766, ""DELETED"",TRIM(JOIN("" "",D766:E766)))"),"")</f>
        <v/>
      </c>
      <c r="AP766" s="112" t="str">
        <f t="shared" ref="AP766:AQ766" si="792">IF($AG766, "DELETED", TRIM(CONCATENATE(F766,I766,U766)))</f>
        <v/>
      </c>
      <c r="AQ766" s="112" t="str">
        <f t="shared" si="792"/>
        <v/>
      </c>
      <c r="AR766" s="112" t="str">
        <f>IFERROR(__xludf.DUMMYFUNCTION("IF($AG766, ""DELETED"", TRIM(JOIN("" "",AP766,AQ766)))"),"")</f>
        <v/>
      </c>
      <c r="AS766" s="118"/>
      <c r="AT766" s="110" t="b">
        <f t="shared" si="12"/>
        <v>0</v>
      </c>
      <c r="AU766" s="110" t="str">
        <f t="shared" si="13"/>
        <v/>
      </c>
      <c r="AV766" s="110" t="str">
        <f t="shared" si="14"/>
        <v/>
      </c>
      <c r="AW766" s="110" t="str">
        <f t="shared" si="15"/>
        <v/>
      </c>
      <c r="AX766" s="119" t="str">
        <f t="shared" si="16"/>
        <v/>
      </c>
      <c r="AY766" s="120"/>
      <c r="AZ766" s="121"/>
      <c r="BA766" s="122" t="str">
        <f t="shared" si="17"/>
        <v/>
      </c>
      <c r="BB766" s="34"/>
      <c r="BC766" s="121"/>
      <c r="BD766" s="136"/>
      <c r="BE766" s="125" t="str">
        <f t="shared" si="18"/>
        <v/>
      </c>
      <c r="BF766" s="126" t="str">
        <f t="shared" si="19"/>
        <v>FM340__44629_0.320185185185185</v>
      </c>
      <c r="BG766" s="127" t="str">
        <f t="shared" si="20"/>
        <v/>
      </c>
      <c r="BH766" s="137" t="s">
        <v>2063</v>
      </c>
      <c r="BI766" s="128" t="str">
        <f t="shared" si="21"/>
        <v>MAX136</v>
      </c>
      <c r="BJ766" s="129" t="b">
        <f t="shared" si="740"/>
        <v>0</v>
      </c>
      <c r="BK766" s="128" t="str">
        <f t="shared" si="23"/>
        <v/>
      </c>
      <c r="BL766" s="121"/>
      <c r="BM766" s="5" t="str">
        <f t="shared" si="24"/>
        <v>MISSING</v>
      </c>
      <c r="BN766" s="120" t="b">
        <f t="shared" si="25"/>
        <v>0</v>
      </c>
      <c r="BO766" s="131" t="b">
        <f t="shared" si="26"/>
        <v>1</v>
      </c>
      <c r="BP766" s="121"/>
      <c r="BQ766" s="132" t="str">
        <f>VLOOKUP(A766,RAW_APS!A$3:O826,15,FALSE)</f>
        <v/>
      </c>
      <c r="BR766" s="120" t="b">
        <f t="shared" si="27"/>
        <v>1</v>
      </c>
      <c r="BS766" s="121"/>
      <c r="BT766" s="138" t="s">
        <v>244</v>
      </c>
      <c r="BU766" s="10" t="b">
        <f t="shared" si="28"/>
        <v>1</v>
      </c>
      <c r="BV766" s="120"/>
      <c r="BW766" s="120"/>
      <c r="BX766" s="120"/>
      <c r="BY766" s="120"/>
      <c r="BZ766" s="120"/>
      <c r="CA766" s="120"/>
      <c r="CB766" s="120"/>
      <c r="CC766" s="120"/>
    </row>
    <row r="767">
      <c r="A767" s="2" t="s">
        <v>2064</v>
      </c>
      <c r="B767" s="100">
        <v>44629.0</v>
      </c>
      <c r="C767" s="101">
        <v>0.32186342592592593</v>
      </c>
      <c r="D767" s="102"/>
      <c r="E767" s="102"/>
      <c r="F767" s="102"/>
      <c r="G767" s="102"/>
      <c r="H767" s="102"/>
      <c r="I767" s="103"/>
      <c r="J767" s="103"/>
      <c r="K767" s="2" t="s">
        <v>244</v>
      </c>
      <c r="L767" s="100">
        <v>44629.0</v>
      </c>
      <c r="M767" s="101">
        <v>0.49944444444444447</v>
      </c>
      <c r="P767" s="104" t="b">
        <f>IFNA(IF(VLOOKUP($A767,'Add from APT'!$AA$2:$AC826,3,FALSE)&gt;0,TRUE,FALSE),"ER - NOT IN APT")</f>
        <v>0</v>
      </c>
      <c r="Q767" s="105" t="str">
        <f>IF(ISLOGICAL(P767),IF(P767,"ER - REPS IN APT", IFNA(VLOOKUP($A767,RAW_APT!$A$3:$M826,7,FALSE),"ER - NOT IN APT")),P767)</f>
        <v>Result</v>
      </c>
      <c r="R767" s="106" t="b">
        <f t="shared" si="2"/>
        <v>1</v>
      </c>
      <c r="S767" s="107">
        <f t="shared" si="3"/>
        <v>1</v>
      </c>
      <c r="T767" s="143"/>
      <c r="U767" s="142"/>
      <c r="V767" s="142"/>
      <c r="W767" s="142"/>
      <c r="X767" s="110" t="b">
        <f t="shared" si="4"/>
        <v>0</v>
      </c>
      <c r="Y767" s="111" t="b">
        <v>0</v>
      </c>
      <c r="Z767" s="104" t="str">
        <f t="shared" si="5"/>
        <v/>
      </c>
      <c r="AA767" s="112" t="b">
        <f t="shared" si="6"/>
        <v>0</v>
      </c>
      <c r="AB767" s="142" t="b">
        <v>0</v>
      </c>
      <c r="AC767" s="140">
        <v>55.0</v>
      </c>
      <c r="AD767" s="141" t="b">
        <v>0</v>
      </c>
      <c r="AE767" s="115">
        <f t="shared" si="7"/>
        <v>255.7166667</v>
      </c>
      <c r="AF767" s="116" t="b">
        <f t="shared" si="8"/>
        <v>0</v>
      </c>
      <c r="AG767" s="105" t="b">
        <f t="shared" si="9"/>
        <v>0</v>
      </c>
      <c r="AH767" s="140"/>
      <c r="AI767" s="140"/>
      <c r="AJ767" s="140"/>
      <c r="AK767" s="117" t="str">
        <f t="shared" si="10"/>
        <v>Negative</v>
      </c>
      <c r="AL767" s="142"/>
      <c r="AM767" s="112" t="s">
        <v>1420</v>
      </c>
      <c r="AN767" s="112" t="s">
        <v>1421</v>
      </c>
      <c r="AO767" s="112" t="str">
        <f>IFERROR(__xludf.DUMMYFUNCTION("IF($AG767, ""DELETED"",TRIM(JOIN("" "",D767:E767)))"),"")</f>
        <v/>
      </c>
      <c r="AP767" s="112" t="str">
        <f t="shared" ref="AP767:AQ767" si="793">IF($AG767, "DELETED", TRIM(CONCATENATE(F767,I767,U767)))</f>
        <v/>
      </c>
      <c r="AQ767" s="112" t="str">
        <f t="shared" si="793"/>
        <v/>
      </c>
      <c r="AR767" s="112" t="str">
        <f>IFERROR(__xludf.DUMMYFUNCTION("IF($AG767, ""DELETED"", TRIM(JOIN("" "",AP767,AQ767)))"),"")</f>
        <v/>
      </c>
      <c r="AS767" s="118"/>
      <c r="AT767" s="110" t="b">
        <f t="shared" si="12"/>
        <v>0</v>
      </c>
      <c r="AU767" s="110" t="str">
        <f t="shared" si="13"/>
        <v/>
      </c>
      <c r="AV767" s="110" t="str">
        <f t="shared" si="14"/>
        <v/>
      </c>
      <c r="AW767" s="110" t="str">
        <f t="shared" si="15"/>
        <v/>
      </c>
      <c r="AX767" s="119" t="str">
        <f t="shared" si="16"/>
        <v/>
      </c>
      <c r="AY767" s="120"/>
      <c r="AZ767" s="121"/>
      <c r="BA767" s="122" t="str">
        <f t="shared" si="17"/>
        <v/>
      </c>
      <c r="BB767" s="34"/>
      <c r="BC767" s="121"/>
      <c r="BD767" s="136"/>
      <c r="BE767" s="125" t="str">
        <f t="shared" si="18"/>
        <v/>
      </c>
      <c r="BF767" s="126" t="str">
        <f t="shared" si="19"/>
        <v>FM1889__44629_0.321863425925926</v>
      </c>
      <c r="BG767" s="127" t="str">
        <f t="shared" si="20"/>
        <v/>
      </c>
      <c r="BH767" s="137" t="s">
        <v>2065</v>
      </c>
      <c r="BI767" s="128" t="str">
        <f t="shared" si="21"/>
        <v>MAX137</v>
      </c>
      <c r="BJ767" s="129" t="b">
        <f t="shared" si="740"/>
        <v>0</v>
      </c>
      <c r="BK767" s="128" t="str">
        <f t="shared" si="23"/>
        <v/>
      </c>
      <c r="BL767" s="121"/>
      <c r="BM767" s="5" t="str">
        <f t="shared" si="24"/>
        <v>MISSING</v>
      </c>
      <c r="BN767" s="120" t="b">
        <f t="shared" si="25"/>
        <v>0</v>
      </c>
      <c r="BO767" s="131" t="b">
        <f t="shared" si="26"/>
        <v>1</v>
      </c>
      <c r="BP767" s="121"/>
      <c r="BQ767" s="132" t="str">
        <f>VLOOKUP(A767,RAW_APS!A$3:O826,15,FALSE)</f>
        <v/>
      </c>
      <c r="BR767" s="120" t="b">
        <f t="shared" si="27"/>
        <v>1</v>
      </c>
      <c r="BS767" s="121"/>
      <c r="BT767" s="138" t="s">
        <v>244</v>
      </c>
      <c r="BU767" s="10" t="b">
        <f t="shared" si="28"/>
        <v>1</v>
      </c>
      <c r="BV767" s="120"/>
      <c r="BW767" s="120"/>
      <c r="BX767" s="120"/>
      <c r="BY767" s="120"/>
      <c r="BZ767" s="120"/>
      <c r="CA767" s="120"/>
      <c r="CB767" s="120"/>
      <c r="CC767" s="120"/>
    </row>
    <row r="768">
      <c r="A768" s="2" t="s">
        <v>2066</v>
      </c>
      <c r="B768" s="100">
        <v>44629.0</v>
      </c>
      <c r="C768" s="101">
        <v>0.3237847222222222</v>
      </c>
      <c r="D768" s="102"/>
      <c r="E768" s="102"/>
      <c r="F768" s="102"/>
      <c r="G768" s="102"/>
      <c r="H768" s="102"/>
      <c r="I768" s="103"/>
      <c r="J768" s="103"/>
      <c r="K768" s="2" t="s">
        <v>244</v>
      </c>
      <c r="L768" s="100">
        <v>44629.0</v>
      </c>
      <c r="M768" s="101">
        <v>0.49944444444444447</v>
      </c>
      <c r="P768" s="104" t="b">
        <f>IFNA(IF(VLOOKUP($A768,'Add from APT'!$AA$2:$AC826,3,FALSE)&gt;0,TRUE,FALSE),"ER - NOT IN APT")</f>
        <v>0</v>
      </c>
      <c r="Q768" s="105" t="str">
        <f>IF(ISLOGICAL(P768),IF(P768,"ER - REPS IN APT", IFNA(VLOOKUP($A768,RAW_APT!$A$3:$M826,7,FALSE),"ER - NOT IN APT")),P768)</f>
        <v>Result</v>
      </c>
      <c r="R768" s="106" t="b">
        <f t="shared" si="2"/>
        <v>1</v>
      </c>
      <c r="S768" s="107">
        <f t="shared" si="3"/>
        <v>1</v>
      </c>
      <c r="T768" s="143"/>
      <c r="U768" s="142"/>
      <c r="V768" s="142"/>
      <c r="W768" s="142"/>
      <c r="X768" s="110" t="b">
        <f t="shared" si="4"/>
        <v>0</v>
      </c>
      <c r="Y768" s="111" t="b">
        <v>0</v>
      </c>
      <c r="Z768" s="104" t="str">
        <f t="shared" si="5"/>
        <v/>
      </c>
      <c r="AA768" s="112" t="b">
        <f t="shared" si="6"/>
        <v>0</v>
      </c>
      <c r="AB768" s="142" t="b">
        <v>0</v>
      </c>
      <c r="AC768" s="140">
        <v>54.0</v>
      </c>
      <c r="AD768" s="141" t="b">
        <v>0</v>
      </c>
      <c r="AE768" s="115">
        <f t="shared" si="7"/>
        <v>252.95</v>
      </c>
      <c r="AF768" s="116" t="b">
        <f t="shared" si="8"/>
        <v>0</v>
      </c>
      <c r="AG768" s="105" t="b">
        <f t="shared" si="9"/>
        <v>0</v>
      </c>
      <c r="AH768" s="140"/>
      <c r="AI768" s="140"/>
      <c r="AJ768" s="140"/>
      <c r="AK768" s="117" t="str">
        <f t="shared" si="10"/>
        <v>Negative</v>
      </c>
      <c r="AL768" s="142"/>
      <c r="AM768" s="112" t="s">
        <v>982</v>
      </c>
      <c r="AN768" s="112" t="s">
        <v>983</v>
      </c>
      <c r="AO768" s="112" t="str">
        <f>IFERROR(__xludf.DUMMYFUNCTION("IF($AG768, ""DELETED"",TRIM(JOIN("" "",D768:E768)))"),"")</f>
        <v/>
      </c>
      <c r="AP768" s="112" t="str">
        <f t="shared" ref="AP768:AQ768" si="794">IF($AG768, "DELETED", TRIM(CONCATENATE(F768,I768,U768)))</f>
        <v/>
      </c>
      <c r="AQ768" s="112" t="str">
        <f t="shared" si="794"/>
        <v/>
      </c>
      <c r="AR768" s="112" t="str">
        <f>IFERROR(__xludf.DUMMYFUNCTION("IF($AG768, ""DELETED"", TRIM(JOIN("" "",AP768,AQ768)))"),"")</f>
        <v/>
      </c>
      <c r="AS768" s="118"/>
      <c r="AT768" s="110" t="b">
        <f t="shared" si="12"/>
        <v>0</v>
      </c>
      <c r="AU768" s="110" t="str">
        <f t="shared" si="13"/>
        <v/>
      </c>
      <c r="AV768" s="110" t="str">
        <f t="shared" si="14"/>
        <v/>
      </c>
      <c r="AW768" s="110" t="str">
        <f t="shared" si="15"/>
        <v/>
      </c>
      <c r="AX768" s="119" t="str">
        <f t="shared" si="16"/>
        <v/>
      </c>
      <c r="AY768" s="120"/>
      <c r="AZ768" s="121"/>
      <c r="BA768" s="122" t="str">
        <f t="shared" si="17"/>
        <v/>
      </c>
      <c r="BB768" s="34"/>
      <c r="BC768" s="121"/>
      <c r="BD768" s="136"/>
      <c r="BE768" s="125" t="str">
        <f t="shared" si="18"/>
        <v/>
      </c>
      <c r="BF768" s="126" t="str">
        <f t="shared" si="19"/>
        <v>FM401__44629_0.323784722222222</v>
      </c>
      <c r="BG768" s="127" t="str">
        <f t="shared" si="20"/>
        <v/>
      </c>
      <c r="BH768" s="137" t="s">
        <v>2067</v>
      </c>
      <c r="BI768" s="128" t="str">
        <f t="shared" si="21"/>
        <v>MAX138</v>
      </c>
      <c r="BJ768" s="129" t="b">
        <f t="shared" si="740"/>
        <v>0</v>
      </c>
      <c r="BK768" s="128" t="str">
        <f t="shared" si="23"/>
        <v/>
      </c>
      <c r="BL768" s="121"/>
      <c r="BM768" s="5" t="str">
        <f t="shared" si="24"/>
        <v>MISSING</v>
      </c>
      <c r="BN768" s="120" t="b">
        <f t="shared" si="25"/>
        <v>0</v>
      </c>
      <c r="BO768" s="131" t="b">
        <f t="shared" si="26"/>
        <v>1</v>
      </c>
      <c r="BP768" s="121"/>
      <c r="BQ768" s="132" t="str">
        <f>VLOOKUP(A768,RAW_APS!A$3:O826,15,FALSE)</f>
        <v/>
      </c>
      <c r="BR768" s="120" t="b">
        <f t="shared" si="27"/>
        <v>1</v>
      </c>
      <c r="BS768" s="121"/>
      <c r="BT768" s="138" t="s">
        <v>244</v>
      </c>
      <c r="BU768" s="10" t="b">
        <f t="shared" si="28"/>
        <v>1</v>
      </c>
      <c r="BV768" s="120"/>
      <c r="BW768" s="120"/>
      <c r="BX768" s="120"/>
      <c r="BY768" s="120"/>
      <c r="BZ768" s="120"/>
      <c r="CA768" s="120"/>
      <c r="CB768" s="120"/>
      <c r="CC768" s="120"/>
    </row>
    <row r="769">
      <c r="A769" s="2" t="s">
        <v>2068</v>
      </c>
      <c r="B769" s="100">
        <v>44629.0</v>
      </c>
      <c r="C769" s="101">
        <v>0.3240162037037037</v>
      </c>
      <c r="D769" s="102"/>
      <c r="E769" s="102"/>
      <c r="F769" s="102"/>
      <c r="G769" s="102"/>
      <c r="H769" s="102"/>
      <c r="I769" s="103"/>
      <c r="J769" s="103"/>
      <c r="K769" s="2" t="s">
        <v>244</v>
      </c>
      <c r="L769" s="100">
        <v>44629.0</v>
      </c>
      <c r="M769" s="101">
        <v>0.4994560185185185</v>
      </c>
      <c r="P769" s="104" t="b">
        <f>IFNA(IF(VLOOKUP($A769,'Add from APT'!$AA$2:$AC826,3,FALSE)&gt;0,TRUE,FALSE),"ER - NOT IN APT")</f>
        <v>0</v>
      </c>
      <c r="Q769" s="105" t="str">
        <f>IF(ISLOGICAL(P769),IF(P769,"ER - REPS IN APT", IFNA(VLOOKUP($A769,RAW_APT!$A$3:$M826,7,FALSE),"ER - NOT IN APT")),P769)</f>
        <v>Result</v>
      </c>
      <c r="R769" s="106" t="b">
        <f t="shared" si="2"/>
        <v>1</v>
      </c>
      <c r="S769" s="107">
        <f t="shared" si="3"/>
        <v>1</v>
      </c>
      <c r="T769" s="143"/>
      <c r="U769" s="142"/>
      <c r="V769" s="142"/>
      <c r="W769" s="142"/>
      <c r="X769" s="110" t="b">
        <f t="shared" si="4"/>
        <v>0</v>
      </c>
      <c r="Y769" s="111" t="b">
        <v>0</v>
      </c>
      <c r="Z769" s="104" t="str">
        <f t="shared" si="5"/>
        <v/>
      </c>
      <c r="AA769" s="112" t="b">
        <f t="shared" si="6"/>
        <v>0</v>
      </c>
      <c r="AB769" s="142" t="b">
        <v>0</v>
      </c>
      <c r="AC769" s="140">
        <v>53.0</v>
      </c>
      <c r="AD769" s="141" t="b">
        <v>0</v>
      </c>
      <c r="AE769" s="115">
        <f t="shared" si="7"/>
        <v>252.6333333</v>
      </c>
      <c r="AF769" s="116" t="b">
        <f t="shared" si="8"/>
        <v>0</v>
      </c>
      <c r="AG769" s="105" t="b">
        <f t="shared" si="9"/>
        <v>0</v>
      </c>
      <c r="AH769" s="140"/>
      <c r="AI769" s="140"/>
      <c r="AJ769" s="140"/>
      <c r="AK769" s="117" t="str">
        <f t="shared" si="10"/>
        <v>Negative</v>
      </c>
      <c r="AL769" s="142"/>
      <c r="AM769" s="112" t="s">
        <v>577</v>
      </c>
      <c r="AN769" s="112" t="s">
        <v>578</v>
      </c>
      <c r="AO769" s="112" t="str">
        <f>IFERROR(__xludf.DUMMYFUNCTION("IF($AG769, ""DELETED"",TRIM(JOIN("" "",D769:E769)))"),"")</f>
        <v/>
      </c>
      <c r="AP769" s="112" t="str">
        <f t="shared" ref="AP769:AQ769" si="795">IF($AG769, "DELETED", TRIM(CONCATENATE(F769,I769,U769)))</f>
        <v/>
      </c>
      <c r="AQ769" s="112" t="str">
        <f t="shared" si="795"/>
        <v/>
      </c>
      <c r="AR769" s="112" t="str">
        <f>IFERROR(__xludf.DUMMYFUNCTION("IF($AG769, ""DELETED"", TRIM(JOIN("" "",AP769,AQ769)))"),"")</f>
        <v/>
      </c>
      <c r="AS769" s="118"/>
      <c r="AT769" s="110" t="b">
        <f t="shared" si="12"/>
        <v>0</v>
      </c>
      <c r="AU769" s="110" t="str">
        <f t="shared" si="13"/>
        <v/>
      </c>
      <c r="AV769" s="110" t="str">
        <f t="shared" si="14"/>
        <v/>
      </c>
      <c r="AW769" s="110" t="str">
        <f t="shared" si="15"/>
        <v/>
      </c>
      <c r="AX769" s="119" t="str">
        <f t="shared" si="16"/>
        <v/>
      </c>
      <c r="AY769" s="120"/>
      <c r="AZ769" s="121"/>
      <c r="BA769" s="122" t="str">
        <f t="shared" si="17"/>
        <v/>
      </c>
      <c r="BB769" s="34"/>
      <c r="BC769" s="121"/>
      <c r="BD769" s="136"/>
      <c r="BE769" s="125" t="str">
        <f t="shared" si="18"/>
        <v/>
      </c>
      <c r="BF769" s="126" t="str">
        <f t="shared" si="19"/>
        <v>FM1797__44629_0.324016203703704</v>
      </c>
      <c r="BG769" s="127" t="str">
        <f t="shared" si="20"/>
        <v/>
      </c>
      <c r="BH769" s="137" t="s">
        <v>2069</v>
      </c>
      <c r="BI769" s="128" t="str">
        <f t="shared" si="21"/>
        <v>MAX139</v>
      </c>
      <c r="BJ769" s="129" t="b">
        <f t="shared" si="740"/>
        <v>0</v>
      </c>
      <c r="BK769" s="128" t="str">
        <f t="shared" si="23"/>
        <v/>
      </c>
      <c r="BL769" s="121"/>
      <c r="BM769" s="5" t="str">
        <f t="shared" si="24"/>
        <v>MISSING</v>
      </c>
      <c r="BN769" s="120" t="b">
        <f t="shared" si="25"/>
        <v>0</v>
      </c>
      <c r="BO769" s="131" t="b">
        <f t="shared" si="26"/>
        <v>1</v>
      </c>
      <c r="BP769" s="121"/>
      <c r="BQ769" s="132" t="str">
        <f>VLOOKUP(A769,RAW_APS!A$3:O826,15,FALSE)</f>
        <v/>
      </c>
      <c r="BR769" s="120" t="b">
        <f t="shared" si="27"/>
        <v>1</v>
      </c>
      <c r="BS769" s="121"/>
      <c r="BT769" s="138" t="s">
        <v>244</v>
      </c>
      <c r="BU769" s="10" t="b">
        <f t="shared" si="28"/>
        <v>1</v>
      </c>
      <c r="BV769" s="120"/>
      <c r="BW769" s="120"/>
      <c r="BX769" s="120"/>
      <c r="BY769" s="120"/>
      <c r="BZ769" s="120"/>
      <c r="CA769" s="120"/>
      <c r="CB769" s="120"/>
      <c r="CC769" s="120"/>
    </row>
    <row r="770">
      <c r="A770" s="2" t="s">
        <v>2070</v>
      </c>
      <c r="B770" s="100">
        <v>44629.0</v>
      </c>
      <c r="C770" s="101">
        <v>0.32828703703703704</v>
      </c>
      <c r="D770" s="102"/>
      <c r="E770" s="102"/>
      <c r="F770" s="102"/>
      <c r="G770" s="102"/>
      <c r="H770" s="102"/>
      <c r="I770" s="103"/>
      <c r="J770" s="103"/>
      <c r="K770" s="2" t="s">
        <v>244</v>
      </c>
      <c r="L770" s="100">
        <v>44629.0</v>
      </c>
      <c r="M770" s="101">
        <v>0.4994560185185185</v>
      </c>
      <c r="P770" s="104" t="b">
        <f>IFNA(IF(VLOOKUP($A770,'Add from APT'!$AA$2:$AC826,3,FALSE)&gt;0,TRUE,FALSE),"ER - NOT IN APT")</f>
        <v>0</v>
      </c>
      <c r="Q770" s="105" t="str">
        <f>IF(ISLOGICAL(P770),IF(P770,"ER - REPS IN APT", IFNA(VLOOKUP($A770,RAW_APT!$A$3:$M826,7,FALSE),"ER - NOT IN APT")),P770)</f>
        <v>Result</v>
      </c>
      <c r="R770" s="106" t="b">
        <f t="shared" si="2"/>
        <v>1</v>
      </c>
      <c r="S770" s="107">
        <f t="shared" si="3"/>
        <v>1</v>
      </c>
      <c r="T770" s="143"/>
      <c r="U770" s="142"/>
      <c r="V770" s="142"/>
      <c r="W770" s="142"/>
      <c r="X770" s="110" t="b">
        <f t="shared" si="4"/>
        <v>0</v>
      </c>
      <c r="Y770" s="111" t="b">
        <v>0</v>
      </c>
      <c r="Z770" s="104" t="str">
        <f t="shared" si="5"/>
        <v/>
      </c>
      <c r="AA770" s="112" t="b">
        <f t="shared" si="6"/>
        <v>0</v>
      </c>
      <c r="AB770" s="142" t="b">
        <v>0</v>
      </c>
      <c r="AC770" s="140">
        <v>52.0</v>
      </c>
      <c r="AD770" s="141" t="b">
        <v>0</v>
      </c>
      <c r="AE770" s="115">
        <f t="shared" si="7"/>
        <v>246.4833333</v>
      </c>
      <c r="AF770" s="116" t="b">
        <f t="shared" si="8"/>
        <v>0</v>
      </c>
      <c r="AG770" s="105" t="b">
        <f t="shared" si="9"/>
        <v>0</v>
      </c>
      <c r="AH770" s="140"/>
      <c r="AI770" s="140"/>
      <c r="AJ770" s="140"/>
      <c r="AK770" s="117" t="str">
        <f t="shared" si="10"/>
        <v>Negative</v>
      </c>
      <c r="AL770" s="142"/>
      <c r="AM770" s="112" t="s">
        <v>1408</v>
      </c>
      <c r="AN770" s="112" t="s">
        <v>1409</v>
      </c>
      <c r="AO770" s="112" t="str">
        <f>IFERROR(__xludf.DUMMYFUNCTION("IF($AG770, ""DELETED"",TRIM(JOIN("" "",D770:E770)))"),"")</f>
        <v/>
      </c>
      <c r="AP770" s="112" t="str">
        <f t="shared" ref="AP770:AQ770" si="796">IF($AG770, "DELETED", TRIM(CONCATENATE(F770,I770,U770)))</f>
        <v/>
      </c>
      <c r="AQ770" s="112" t="str">
        <f t="shared" si="796"/>
        <v/>
      </c>
      <c r="AR770" s="112" t="str">
        <f>IFERROR(__xludf.DUMMYFUNCTION("IF($AG770, ""DELETED"", TRIM(JOIN("" "",AP770,AQ770)))"),"")</f>
        <v/>
      </c>
      <c r="AS770" s="118"/>
      <c r="AT770" s="110" t="b">
        <f t="shared" si="12"/>
        <v>0</v>
      </c>
      <c r="AU770" s="110" t="str">
        <f t="shared" si="13"/>
        <v/>
      </c>
      <c r="AV770" s="110" t="str">
        <f t="shared" si="14"/>
        <v/>
      </c>
      <c r="AW770" s="110" t="str">
        <f t="shared" si="15"/>
        <v/>
      </c>
      <c r="AX770" s="119" t="str">
        <f t="shared" si="16"/>
        <v/>
      </c>
      <c r="AY770" s="120"/>
      <c r="AZ770" s="121"/>
      <c r="BA770" s="122" t="str">
        <f t="shared" si="17"/>
        <v/>
      </c>
      <c r="BB770" s="34"/>
      <c r="BC770" s="121"/>
      <c r="BD770" s="136"/>
      <c r="BE770" s="125" t="str">
        <f t="shared" si="18"/>
        <v/>
      </c>
      <c r="BF770" s="126" t="str">
        <f t="shared" si="19"/>
        <v>MA333__44629_0.328287037037037</v>
      </c>
      <c r="BG770" s="127" t="str">
        <f t="shared" si="20"/>
        <v/>
      </c>
      <c r="BH770" s="137" t="s">
        <v>2071</v>
      </c>
      <c r="BI770" s="128" t="str">
        <f t="shared" si="21"/>
        <v>MAX141</v>
      </c>
      <c r="BJ770" s="129" t="b">
        <f t="shared" si="740"/>
        <v>0</v>
      </c>
      <c r="BK770" s="128" t="str">
        <f t="shared" si="23"/>
        <v/>
      </c>
      <c r="BL770" s="121"/>
      <c r="BM770" s="5" t="str">
        <f t="shared" si="24"/>
        <v>MISSING</v>
      </c>
      <c r="BN770" s="120" t="b">
        <f t="shared" si="25"/>
        <v>0</v>
      </c>
      <c r="BO770" s="131" t="b">
        <f t="shared" si="26"/>
        <v>1</v>
      </c>
      <c r="BP770" s="121"/>
      <c r="BQ770" s="132" t="str">
        <f>VLOOKUP(A770,RAW_APS!A$3:O826,15,FALSE)</f>
        <v/>
      </c>
      <c r="BR770" s="120" t="b">
        <f t="shared" si="27"/>
        <v>1</v>
      </c>
      <c r="BS770" s="121"/>
      <c r="BT770" s="138" t="s">
        <v>244</v>
      </c>
      <c r="BU770" s="10" t="b">
        <f t="shared" si="28"/>
        <v>1</v>
      </c>
      <c r="BV770" s="120"/>
      <c r="BW770" s="120"/>
      <c r="BX770" s="120"/>
      <c r="BY770" s="120"/>
      <c r="BZ770" s="120"/>
      <c r="CA770" s="120"/>
      <c r="CB770" s="120"/>
      <c r="CC770" s="120"/>
    </row>
    <row r="771">
      <c r="A771" s="2" t="s">
        <v>2072</v>
      </c>
      <c r="B771" s="100">
        <v>44629.0</v>
      </c>
      <c r="C771" s="101">
        <v>0.3285300925925926</v>
      </c>
      <c r="D771" s="102"/>
      <c r="E771" s="102"/>
      <c r="F771" s="102"/>
      <c r="G771" s="102"/>
      <c r="H771" s="102"/>
      <c r="I771" s="103"/>
      <c r="J771" s="103"/>
      <c r="K771" s="2" t="s">
        <v>244</v>
      </c>
      <c r="L771" s="100">
        <v>44629.0</v>
      </c>
      <c r="M771" s="101">
        <v>0.4994560185185185</v>
      </c>
      <c r="P771" s="104" t="b">
        <f>IFNA(IF(VLOOKUP($A771,'Add from APT'!$AA$2:$AC826,3,FALSE)&gt;0,TRUE,FALSE),"ER - NOT IN APT")</f>
        <v>0</v>
      </c>
      <c r="Q771" s="105" t="str">
        <f>IF(ISLOGICAL(P771),IF(P771,"ER - REPS IN APT", IFNA(VLOOKUP($A771,RAW_APT!$A$3:$M826,7,FALSE),"ER - NOT IN APT")),P771)</f>
        <v>Result</v>
      </c>
      <c r="R771" s="106" t="b">
        <f t="shared" si="2"/>
        <v>1</v>
      </c>
      <c r="S771" s="107">
        <f t="shared" si="3"/>
        <v>1</v>
      </c>
      <c r="T771" s="143"/>
      <c r="U771" s="142"/>
      <c r="V771" s="142"/>
      <c r="W771" s="142"/>
      <c r="X771" s="110" t="b">
        <f t="shared" si="4"/>
        <v>0</v>
      </c>
      <c r="Y771" s="111" t="b">
        <v>0</v>
      </c>
      <c r="Z771" s="104" t="str">
        <f t="shared" si="5"/>
        <v/>
      </c>
      <c r="AA771" s="112" t="b">
        <f t="shared" si="6"/>
        <v>0</v>
      </c>
      <c r="AB771" s="142" t="b">
        <v>0</v>
      </c>
      <c r="AC771" s="140">
        <v>51.0</v>
      </c>
      <c r="AD771" s="141" t="b">
        <v>0</v>
      </c>
      <c r="AE771" s="115">
        <f t="shared" si="7"/>
        <v>246.1333333</v>
      </c>
      <c r="AF771" s="116" t="b">
        <f t="shared" si="8"/>
        <v>0</v>
      </c>
      <c r="AG771" s="105" t="b">
        <f t="shared" si="9"/>
        <v>0</v>
      </c>
      <c r="AH771" s="140"/>
      <c r="AI771" s="140"/>
      <c r="AJ771" s="140"/>
      <c r="AK771" s="117" t="str">
        <f t="shared" si="10"/>
        <v>Negative</v>
      </c>
      <c r="AL771" s="142"/>
      <c r="AM771" s="112" t="s">
        <v>573</v>
      </c>
      <c r="AN771" s="112" t="s">
        <v>574</v>
      </c>
      <c r="AO771" s="112" t="str">
        <f>IFERROR(__xludf.DUMMYFUNCTION("IF($AG771, ""DELETED"",TRIM(JOIN("" "",D771:E771)))"),"")</f>
        <v/>
      </c>
      <c r="AP771" s="112" t="str">
        <f t="shared" ref="AP771:AQ771" si="797">IF($AG771, "DELETED", TRIM(CONCATENATE(F771,I771,U771)))</f>
        <v/>
      </c>
      <c r="AQ771" s="112" t="str">
        <f t="shared" si="797"/>
        <v/>
      </c>
      <c r="AR771" s="112" t="str">
        <f>IFERROR(__xludf.DUMMYFUNCTION("IF($AG771, ""DELETED"", TRIM(JOIN("" "",AP771,AQ771)))"),"")</f>
        <v/>
      </c>
      <c r="AS771" s="118"/>
      <c r="AT771" s="110" t="b">
        <f t="shared" si="12"/>
        <v>0</v>
      </c>
      <c r="AU771" s="110" t="str">
        <f t="shared" si="13"/>
        <v/>
      </c>
      <c r="AV771" s="110" t="str">
        <f t="shared" si="14"/>
        <v/>
      </c>
      <c r="AW771" s="110" t="str">
        <f t="shared" si="15"/>
        <v/>
      </c>
      <c r="AX771" s="119" t="str">
        <f t="shared" si="16"/>
        <v/>
      </c>
      <c r="AY771" s="120"/>
      <c r="AZ771" s="121"/>
      <c r="BA771" s="122" t="str">
        <f t="shared" si="17"/>
        <v/>
      </c>
      <c r="BB771" s="34"/>
      <c r="BC771" s="121"/>
      <c r="BD771" s="136"/>
      <c r="BE771" s="125" t="str">
        <f t="shared" si="18"/>
        <v/>
      </c>
      <c r="BF771" s="126" t="str">
        <f t="shared" si="19"/>
        <v>FM47__44629_0.328530092592593</v>
      </c>
      <c r="BG771" s="127" t="str">
        <f t="shared" si="20"/>
        <v/>
      </c>
      <c r="BH771" s="137" t="s">
        <v>2073</v>
      </c>
      <c r="BI771" s="128" t="str">
        <f t="shared" si="21"/>
        <v>MAX142</v>
      </c>
      <c r="BJ771" s="129" t="b">
        <f t="shared" si="740"/>
        <v>0</v>
      </c>
      <c r="BK771" s="128" t="str">
        <f t="shared" si="23"/>
        <v/>
      </c>
      <c r="BL771" s="121"/>
      <c r="BM771" s="5" t="str">
        <f t="shared" si="24"/>
        <v>MISSING</v>
      </c>
      <c r="BN771" s="120" t="b">
        <f t="shared" si="25"/>
        <v>0</v>
      </c>
      <c r="BO771" s="131" t="b">
        <f t="shared" si="26"/>
        <v>1</v>
      </c>
      <c r="BP771" s="121"/>
      <c r="BQ771" s="132" t="str">
        <f>VLOOKUP(A771,RAW_APS!A$3:O826,15,FALSE)</f>
        <v/>
      </c>
      <c r="BR771" s="120" t="b">
        <f t="shared" si="27"/>
        <v>1</v>
      </c>
      <c r="BS771" s="121"/>
      <c r="BT771" s="138" t="s">
        <v>244</v>
      </c>
      <c r="BU771" s="10" t="b">
        <f t="shared" si="28"/>
        <v>1</v>
      </c>
      <c r="BV771" s="120"/>
      <c r="BW771" s="120"/>
      <c r="BX771" s="120"/>
      <c r="BY771" s="120"/>
      <c r="BZ771" s="120"/>
      <c r="CA771" s="120"/>
      <c r="CB771" s="120"/>
      <c r="CC771" s="120"/>
    </row>
    <row r="772">
      <c r="A772" s="2" t="s">
        <v>2074</v>
      </c>
      <c r="B772" s="100">
        <v>44629.0</v>
      </c>
      <c r="C772" s="101">
        <v>0.3330324074074074</v>
      </c>
      <c r="D772" s="102"/>
      <c r="E772" s="102"/>
      <c r="F772" s="102"/>
      <c r="G772" s="102"/>
      <c r="H772" s="102"/>
      <c r="I772" s="103"/>
      <c r="J772" s="103"/>
      <c r="K772" s="2" t="s">
        <v>244</v>
      </c>
      <c r="L772" s="100">
        <v>44629.0</v>
      </c>
      <c r="M772" s="101">
        <v>0.4994560185185185</v>
      </c>
      <c r="P772" s="104" t="b">
        <f>IFNA(IF(VLOOKUP($A772,'Add from APT'!$AA$2:$AC826,3,FALSE)&gt;0,TRUE,FALSE),"ER - NOT IN APT")</f>
        <v>0</v>
      </c>
      <c r="Q772" s="105" t="str">
        <f>IF(ISLOGICAL(P772),IF(P772,"ER - REPS IN APT", IFNA(VLOOKUP($A772,RAW_APT!$A$3:$M826,7,FALSE),"ER - NOT IN APT")),P772)</f>
        <v>Result</v>
      </c>
      <c r="R772" s="106" t="b">
        <f t="shared" si="2"/>
        <v>1</v>
      </c>
      <c r="S772" s="107">
        <f t="shared" si="3"/>
        <v>1</v>
      </c>
      <c r="T772" s="143"/>
      <c r="U772" s="142"/>
      <c r="V772" s="142"/>
      <c r="W772" s="142"/>
      <c r="X772" s="110" t="b">
        <f t="shared" si="4"/>
        <v>0</v>
      </c>
      <c r="Y772" s="111" t="b">
        <v>0</v>
      </c>
      <c r="Z772" s="104" t="str">
        <f t="shared" si="5"/>
        <v/>
      </c>
      <c r="AA772" s="112" t="b">
        <f t="shared" si="6"/>
        <v>0</v>
      </c>
      <c r="AB772" s="142" t="b">
        <v>0</v>
      </c>
      <c r="AC772" s="140">
        <v>50.0</v>
      </c>
      <c r="AD772" s="141" t="b">
        <v>0</v>
      </c>
      <c r="AE772" s="115">
        <f t="shared" si="7"/>
        <v>239.65</v>
      </c>
      <c r="AF772" s="116" t="b">
        <f t="shared" si="8"/>
        <v>0</v>
      </c>
      <c r="AG772" s="105" t="b">
        <f t="shared" si="9"/>
        <v>0</v>
      </c>
      <c r="AH772" s="140"/>
      <c r="AI772" s="140"/>
      <c r="AJ772" s="140"/>
      <c r="AK772" s="117" t="str">
        <f t="shared" si="10"/>
        <v>Negative</v>
      </c>
      <c r="AL772" s="142"/>
      <c r="AM772" s="112" t="s">
        <v>1662</v>
      </c>
      <c r="AN772" s="112" t="s">
        <v>1663</v>
      </c>
      <c r="AO772" s="112" t="str">
        <f>IFERROR(__xludf.DUMMYFUNCTION("IF($AG772, ""DELETED"",TRIM(JOIN("" "",D772:E772)))"),"")</f>
        <v/>
      </c>
      <c r="AP772" s="112" t="str">
        <f t="shared" ref="AP772:AQ772" si="798">IF($AG772, "DELETED", TRIM(CONCATENATE(F772,I772,U772)))</f>
        <v/>
      </c>
      <c r="AQ772" s="112" t="str">
        <f t="shared" si="798"/>
        <v/>
      </c>
      <c r="AR772" s="112" t="str">
        <f>IFERROR(__xludf.DUMMYFUNCTION("IF($AG772, ""DELETED"", TRIM(JOIN("" "",AP772,AQ772)))"),"")</f>
        <v/>
      </c>
      <c r="AS772" s="118"/>
      <c r="AT772" s="110" t="b">
        <f t="shared" si="12"/>
        <v>0</v>
      </c>
      <c r="AU772" s="110" t="str">
        <f t="shared" si="13"/>
        <v/>
      </c>
      <c r="AV772" s="110" t="str">
        <f t="shared" si="14"/>
        <v/>
      </c>
      <c r="AW772" s="110" t="str">
        <f t="shared" si="15"/>
        <v/>
      </c>
      <c r="AX772" s="119" t="str">
        <f t="shared" si="16"/>
        <v/>
      </c>
      <c r="AY772" s="120"/>
      <c r="AZ772" s="121"/>
      <c r="BA772" s="122" t="str">
        <f t="shared" si="17"/>
        <v/>
      </c>
      <c r="BB772" s="34"/>
      <c r="BC772" s="121"/>
      <c r="BD772" s="136"/>
      <c r="BE772" s="125" t="str">
        <f t="shared" si="18"/>
        <v/>
      </c>
      <c r="BF772" s="126" t="str">
        <f t="shared" si="19"/>
        <v>MA357__44629_0.333032407407407</v>
      </c>
      <c r="BG772" s="127" t="str">
        <f t="shared" si="20"/>
        <v/>
      </c>
      <c r="BH772" s="137" t="s">
        <v>2075</v>
      </c>
      <c r="BI772" s="128" t="str">
        <f t="shared" si="21"/>
        <v>MAX20</v>
      </c>
      <c r="BJ772" s="129" t="b">
        <f t="shared" si="740"/>
        <v>0</v>
      </c>
      <c r="BK772" s="128" t="str">
        <f t="shared" si="23"/>
        <v/>
      </c>
      <c r="BL772" s="121"/>
      <c r="BM772" s="5" t="str">
        <f t="shared" si="24"/>
        <v>MISSING</v>
      </c>
      <c r="BN772" s="120" t="b">
        <f t="shared" si="25"/>
        <v>0</v>
      </c>
      <c r="BO772" s="131" t="b">
        <f t="shared" si="26"/>
        <v>1</v>
      </c>
      <c r="BP772" s="121"/>
      <c r="BQ772" s="132" t="str">
        <f>VLOOKUP(A772,RAW_APS!A$3:O826,15,FALSE)</f>
        <v/>
      </c>
      <c r="BR772" s="120" t="b">
        <f t="shared" si="27"/>
        <v>1</v>
      </c>
      <c r="BS772" s="121"/>
      <c r="BT772" s="138" t="s">
        <v>244</v>
      </c>
      <c r="BU772" s="10" t="b">
        <f t="shared" si="28"/>
        <v>1</v>
      </c>
      <c r="BV772" s="120"/>
      <c r="BW772" s="120"/>
      <c r="BX772" s="120"/>
      <c r="BY772" s="120"/>
      <c r="BZ772" s="120"/>
      <c r="CA772" s="120"/>
      <c r="CB772" s="120"/>
      <c r="CC772" s="120"/>
    </row>
    <row r="773">
      <c r="A773" s="2" t="s">
        <v>2076</v>
      </c>
      <c r="B773" s="100">
        <v>44629.0</v>
      </c>
      <c r="C773" s="101">
        <v>0.334837962962963</v>
      </c>
      <c r="D773" s="102"/>
      <c r="E773" s="102"/>
      <c r="F773" s="102"/>
      <c r="G773" s="102"/>
      <c r="H773" s="102"/>
      <c r="I773" s="103"/>
      <c r="J773" s="103"/>
      <c r="K773" s="2" t="s">
        <v>244</v>
      </c>
      <c r="L773" s="100">
        <v>44629.0</v>
      </c>
      <c r="M773" s="101">
        <v>0.4994560185185185</v>
      </c>
      <c r="P773" s="104" t="b">
        <f>IFNA(IF(VLOOKUP($A773,'Add from APT'!$AA$2:$AC826,3,FALSE)&gt;0,TRUE,FALSE),"ER - NOT IN APT")</f>
        <v>0</v>
      </c>
      <c r="Q773" s="105" t="str">
        <f>IF(ISLOGICAL(P773),IF(P773,"ER - REPS IN APT", IFNA(VLOOKUP($A773,RAW_APT!$A$3:$M826,7,FALSE),"ER - NOT IN APT")),P773)</f>
        <v>Result</v>
      </c>
      <c r="R773" s="106" t="b">
        <f t="shared" si="2"/>
        <v>1</v>
      </c>
      <c r="S773" s="107">
        <f t="shared" si="3"/>
        <v>1</v>
      </c>
      <c r="T773" s="143"/>
      <c r="U773" s="142"/>
      <c r="V773" s="142"/>
      <c r="W773" s="142"/>
      <c r="X773" s="110" t="b">
        <f t="shared" si="4"/>
        <v>0</v>
      </c>
      <c r="Y773" s="111" t="b">
        <v>0</v>
      </c>
      <c r="Z773" s="104" t="str">
        <f t="shared" si="5"/>
        <v/>
      </c>
      <c r="AA773" s="112" t="b">
        <f t="shared" si="6"/>
        <v>0</v>
      </c>
      <c r="AB773" s="142" t="b">
        <v>0</v>
      </c>
      <c r="AC773" s="140">
        <v>49.0</v>
      </c>
      <c r="AD773" s="141" t="b">
        <v>0</v>
      </c>
      <c r="AE773" s="115">
        <f t="shared" si="7"/>
        <v>237.05</v>
      </c>
      <c r="AF773" s="116" t="b">
        <f t="shared" si="8"/>
        <v>0</v>
      </c>
      <c r="AG773" s="105" t="b">
        <f t="shared" si="9"/>
        <v>0</v>
      </c>
      <c r="AH773" s="140"/>
      <c r="AI773" s="140"/>
      <c r="AJ773" s="140"/>
      <c r="AK773" s="117" t="str">
        <f t="shared" si="10"/>
        <v>Negative</v>
      </c>
      <c r="AL773" s="142"/>
      <c r="AM773" s="112" t="s">
        <v>318</v>
      </c>
      <c r="AN773" s="112" t="s">
        <v>319</v>
      </c>
      <c r="AO773" s="112" t="str">
        <f>IFERROR(__xludf.DUMMYFUNCTION("IF($AG773, ""DELETED"",TRIM(JOIN("" "",D773:E773)))"),"")</f>
        <v/>
      </c>
      <c r="AP773" s="112" t="str">
        <f t="shared" ref="AP773:AQ773" si="799">IF($AG773, "DELETED", TRIM(CONCATENATE(F773,I773,U773)))</f>
        <v/>
      </c>
      <c r="AQ773" s="112" t="str">
        <f t="shared" si="799"/>
        <v/>
      </c>
      <c r="AR773" s="112" t="str">
        <f>IFERROR(__xludf.DUMMYFUNCTION("IF($AG773, ""DELETED"", TRIM(JOIN("" "",AP773,AQ773)))"),"")</f>
        <v/>
      </c>
      <c r="AS773" s="118"/>
      <c r="AT773" s="110" t="b">
        <f t="shared" si="12"/>
        <v>0</v>
      </c>
      <c r="AU773" s="110" t="str">
        <f t="shared" si="13"/>
        <v/>
      </c>
      <c r="AV773" s="110" t="str">
        <f t="shared" si="14"/>
        <v/>
      </c>
      <c r="AW773" s="110" t="str">
        <f t="shared" si="15"/>
        <v/>
      </c>
      <c r="AX773" s="119" t="str">
        <f t="shared" si="16"/>
        <v/>
      </c>
      <c r="AY773" s="120"/>
      <c r="AZ773" s="121"/>
      <c r="BA773" s="122" t="str">
        <f t="shared" si="17"/>
        <v/>
      </c>
      <c r="BB773" s="34"/>
      <c r="BC773" s="121"/>
      <c r="BD773" s="136"/>
      <c r="BE773" s="125" t="str">
        <f t="shared" si="18"/>
        <v/>
      </c>
      <c r="BF773" s="126" t="str">
        <f t="shared" si="19"/>
        <v>MA395__44629_0.334837962962963</v>
      </c>
      <c r="BG773" s="127" t="str">
        <f t="shared" si="20"/>
        <v/>
      </c>
      <c r="BH773" s="137" t="s">
        <v>2077</v>
      </c>
      <c r="BI773" s="128" t="str">
        <f t="shared" si="21"/>
        <v>MAX24</v>
      </c>
      <c r="BJ773" s="129" t="b">
        <f t="shared" si="740"/>
        <v>0</v>
      </c>
      <c r="BK773" s="128" t="str">
        <f t="shared" si="23"/>
        <v/>
      </c>
      <c r="BL773" s="121"/>
      <c r="BM773" s="5" t="str">
        <f t="shared" si="24"/>
        <v>MISSING</v>
      </c>
      <c r="BN773" s="120" t="b">
        <f t="shared" si="25"/>
        <v>0</v>
      </c>
      <c r="BO773" s="131" t="b">
        <f t="shared" si="26"/>
        <v>1</v>
      </c>
      <c r="BP773" s="121"/>
      <c r="BQ773" s="132" t="str">
        <f>VLOOKUP(A773,RAW_APS!A$3:O826,15,FALSE)</f>
        <v/>
      </c>
      <c r="BR773" s="120" t="b">
        <f t="shared" si="27"/>
        <v>1</v>
      </c>
      <c r="BS773" s="121"/>
      <c r="BT773" s="138" t="s">
        <v>244</v>
      </c>
      <c r="BU773" s="10" t="b">
        <f t="shared" si="28"/>
        <v>1</v>
      </c>
      <c r="BV773" s="120"/>
      <c r="BW773" s="120"/>
      <c r="BX773" s="120"/>
      <c r="BY773" s="120"/>
      <c r="BZ773" s="120"/>
      <c r="CA773" s="120"/>
      <c r="CB773" s="120"/>
      <c r="CC773" s="120"/>
    </row>
    <row r="774">
      <c r="A774" s="2" t="s">
        <v>2078</v>
      </c>
      <c r="B774" s="100">
        <v>44629.0</v>
      </c>
      <c r="C774" s="101">
        <v>0.33490740740740743</v>
      </c>
      <c r="D774" s="102"/>
      <c r="E774" s="102"/>
      <c r="F774" s="102"/>
      <c r="G774" s="102"/>
      <c r="H774" s="102"/>
      <c r="I774" s="103"/>
      <c r="J774" s="103"/>
      <c r="K774" s="2" t="s">
        <v>244</v>
      </c>
      <c r="L774" s="100">
        <v>44629.0</v>
      </c>
      <c r="M774" s="101">
        <v>0.4994560185185185</v>
      </c>
      <c r="P774" s="104" t="b">
        <f>IFNA(IF(VLOOKUP($A774,'Add from APT'!$AA$2:$AC826,3,FALSE)&gt;0,TRUE,FALSE),"ER - NOT IN APT")</f>
        <v>0</v>
      </c>
      <c r="Q774" s="105" t="str">
        <f>IF(ISLOGICAL(P774),IF(P774,"ER - REPS IN APT", IFNA(VLOOKUP($A774,RAW_APT!$A$3:$M826,7,FALSE),"ER - NOT IN APT")),P774)</f>
        <v>Result</v>
      </c>
      <c r="R774" s="106" t="b">
        <f t="shared" si="2"/>
        <v>1</v>
      </c>
      <c r="S774" s="107">
        <f t="shared" si="3"/>
        <v>1</v>
      </c>
      <c r="T774" s="143"/>
      <c r="U774" s="142"/>
      <c r="V774" s="142"/>
      <c r="W774" s="142"/>
      <c r="X774" s="110" t="b">
        <f t="shared" si="4"/>
        <v>0</v>
      </c>
      <c r="Y774" s="111" t="b">
        <v>0</v>
      </c>
      <c r="Z774" s="104" t="str">
        <f t="shared" si="5"/>
        <v/>
      </c>
      <c r="AA774" s="112" t="b">
        <f t="shared" si="6"/>
        <v>0</v>
      </c>
      <c r="AB774" s="142" t="b">
        <v>0</v>
      </c>
      <c r="AC774" s="140">
        <v>48.0</v>
      </c>
      <c r="AD774" s="141" t="b">
        <v>0</v>
      </c>
      <c r="AE774" s="115">
        <f t="shared" si="7"/>
        <v>236.95</v>
      </c>
      <c r="AF774" s="116" t="b">
        <f t="shared" si="8"/>
        <v>0</v>
      </c>
      <c r="AG774" s="105" t="b">
        <f t="shared" si="9"/>
        <v>0</v>
      </c>
      <c r="AH774" s="140"/>
      <c r="AI774" s="140"/>
      <c r="AJ774" s="140"/>
      <c r="AK774" s="117" t="str">
        <f t="shared" si="10"/>
        <v>Negative</v>
      </c>
      <c r="AL774" s="142"/>
      <c r="AM774" s="112" t="s">
        <v>1454</v>
      </c>
      <c r="AN774" s="112" t="s">
        <v>1455</v>
      </c>
      <c r="AO774" s="112" t="str">
        <f>IFERROR(__xludf.DUMMYFUNCTION("IF($AG774, ""DELETED"",TRIM(JOIN("" "",D774:E774)))"),"")</f>
        <v/>
      </c>
      <c r="AP774" s="112" t="str">
        <f t="shared" ref="AP774:AQ774" si="800">IF($AG774, "DELETED", TRIM(CONCATENATE(F774,I774,U774)))</f>
        <v/>
      </c>
      <c r="AQ774" s="112" t="str">
        <f t="shared" si="800"/>
        <v/>
      </c>
      <c r="AR774" s="112" t="str">
        <f>IFERROR(__xludf.DUMMYFUNCTION("IF($AG774, ""DELETED"", TRIM(JOIN("" "",AP774,AQ774)))"),"")</f>
        <v/>
      </c>
      <c r="AS774" s="118"/>
      <c r="AT774" s="110" t="b">
        <f t="shared" si="12"/>
        <v>0</v>
      </c>
      <c r="AU774" s="110" t="str">
        <f t="shared" si="13"/>
        <v/>
      </c>
      <c r="AV774" s="110" t="str">
        <f t="shared" si="14"/>
        <v/>
      </c>
      <c r="AW774" s="110" t="str">
        <f t="shared" si="15"/>
        <v/>
      </c>
      <c r="AX774" s="119" t="str">
        <f t="shared" si="16"/>
        <v/>
      </c>
      <c r="AY774" s="120"/>
      <c r="AZ774" s="121"/>
      <c r="BA774" s="122" t="str">
        <f t="shared" si="17"/>
        <v/>
      </c>
      <c r="BB774" s="34"/>
      <c r="BC774" s="121"/>
      <c r="BD774" s="136"/>
      <c r="BE774" s="125" t="str">
        <f t="shared" si="18"/>
        <v/>
      </c>
      <c r="BF774" s="126" t="str">
        <f t="shared" si="19"/>
        <v>MA379__44629_0.334907407407407</v>
      </c>
      <c r="BG774" s="127" t="str">
        <f t="shared" si="20"/>
        <v/>
      </c>
      <c r="BH774" s="137" t="s">
        <v>2079</v>
      </c>
      <c r="BI774" s="128" t="str">
        <f t="shared" si="21"/>
        <v>MAX28</v>
      </c>
      <c r="BJ774" s="129" t="b">
        <f t="shared" si="740"/>
        <v>0</v>
      </c>
      <c r="BK774" s="128" t="str">
        <f t="shared" si="23"/>
        <v/>
      </c>
      <c r="BL774" s="121"/>
      <c r="BM774" s="5" t="str">
        <f t="shared" si="24"/>
        <v>MISSING</v>
      </c>
      <c r="BN774" s="120" t="b">
        <f t="shared" si="25"/>
        <v>0</v>
      </c>
      <c r="BO774" s="131" t="b">
        <f t="shared" si="26"/>
        <v>1</v>
      </c>
      <c r="BP774" s="121"/>
      <c r="BQ774" s="132" t="str">
        <f>VLOOKUP(A774,RAW_APS!A$3:O826,15,FALSE)</f>
        <v/>
      </c>
      <c r="BR774" s="120" t="b">
        <f t="shared" si="27"/>
        <v>1</v>
      </c>
      <c r="BS774" s="121"/>
      <c r="BT774" s="138" t="s">
        <v>244</v>
      </c>
      <c r="BU774" s="10" t="b">
        <f t="shared" si="28"/>
        <v>1</v>
      </c>
      <c r="BV774" s="120"/>
      <c r="BW774" s="120"/>
      <c r="BX774" s="120"/>
      <c r="BY774" s="120"/>
      <c r="BZ774" s="120"/>
      <c r="CA774" s="120"/>
      <c r="CB774" s="120"/>
      <c r="CC774" s="120"/>
    </row>
    <row r="775">
      <c r="A775" s="2" t="s">
        <v>2080</v>
      </c>
      <c r="B775" s="100">
        <v>44629.0</v>
      </c>
      <c r="C775" s="101">
        <v>0.3370949074074074</v>
      </c>
      <c r="D775" s="102"/>
      <c r="E775" s="102"/>
      <c r="F775" s="102"/>
      <c r="G775" s="102"/>
      <c r="H775" s="102"/>
      <c r="I775" s="103"/>
      <c r="J775" s="103"/>
      <c r="K775" s="2" t="s">
        <v>244</v>
      </c>
      <c r="L775" s="100">
        <v>44629.0</v>
      </c>
      <c r="M775" s="101">
        <v>0.4994560185185185</v>
      </c>
      <c r="P775" s="104" t="b">
        <f>IFNA(IF(VLOOKUP($A775,'Add from APT'!$AA$2:$AC826,3,FALSE)&gt;0,TRUE,FALSE),"ER - NOT IN APT")</f>
        <v>0</v>
      </c>
      <c r="Q775" s="105" t="str">
        <f>IF(ISLOGICAL(P775),IF(P775,"ER - REPS IN APT", IFNA(VLOOKUP($A775,RAW_APT!$A$3:$M826,7,FALSE),"ER - NOT IN APT")),P775)</f>
        <v>Result</v>
      </c>
      <c r="R775" s="106" t="b">
        <f t="shared" si="2"/>
        <v>1</v>
      </c>
      <c r="S775" s="107">
        <f t="shared" si="3"/>
        <v>1</v>
      </c>
      <c r="T775" s="143"/>
      <c r="U775" s="142"/>
      <c r="V775" s="142"/>
      <c r="W775" s="142"/>
      <c r="X775" s="110" t="b">
        <f t="shared" si="4"/>
        <v>0</v>
      </c>
      <c r="Y775" s="111" t="b">
        <v>0</v>
      </c>
      <c r="Z775" s="104" t="str">
        <f t="shared" si="5"/>
        <v/>
      </c>
      <c r="AA775" s="112" t="b">
        <f t="shared" si="6"/>
        <v>0</v>
      </c>
      <c r="AB775" s="142" t="b">
        <v>0</v>
      </c>
      <c r="AC775" s="140">
        <v>47.0</v>
      </c>
      <c r="AD775" s="141" t="b">
        <v>0</v>
      </c>
      <c r="AE775" s="115">
        <f t="shared" si="7"/>
        <v>233.8</v>
      </c>
      <c r="AF775" s="116" t="b">
        <f t="shared" si="8"/>
        <v>0</v>
      </c>
      <c r="AG775" s="105" t="b">
        <f t="shared" si="9"/>
        <v>0</v>
      </c>
      <c r="AH775" s="140"/>
      <c r="AI775" s="140"/>
      <c r="AJ775" s="140"/>
      <c r="AK775" s="117" t="str">
        <f t="shared" si="10"/>
        <v>Negative</v>
      </c>
      <c r="AL775" s="142"/>
      <c r="AM775" s="112" t="s">
        <v>307</v>
      </c>
      <c r="AN775" s="112" t="s">
        <v>266</v>
      </c>
      <c r="AO775" s="112" t="str">
        <f>IFERROR(__xludf.DUMMYFUNCTION("IF($AG775, ""DELETED"",TRIM(JOIN("" "",D775:E775)))"),"")</f>
        <v/>
      </c>
      <c r="AP775" s="112" t="str">
        <f t="shared" ref="AP775:AQ775" si="801">IF($AG775, "DELETED", TRIM(CONCATENATE(F775,I775,U775)))</f>
        <v/>
      </c>
      <c r="AQ775" s="112" t="str">
        <f t="shared" si="801"/>
        <v/>
      </c>
      <c r="AR775" s="112" t="str">
        <f>IFERROR(__xludf.DUMMYFUNCTION("IF($AG775, ""DELETED"", TRIM(JOIN("" "",AP775,AQ775)))"),"")</f>
        <v/>
      </c>
      <c r="AS775" s="118"/>
      <c r="AT775" s="110" t="b">
        <f t="shared" si="12"/>
        <v>0</v>
      </c>
      <c r="AU775" s="110" t="str">
        <f t="shared" si="13"/>
        <v/>
      </c>
      <c r="AV775" s="110" t="str">
        <f t="shared" si="14"/>
        <v/>
      </c>
      <c r="AW775" s="110" t="str">
        <f t="shared" si="15"/>
        <v/>
      </c>
      <c r="AX775" s="119" t="str">
        <f t="shared" si="16"/>
        <v/>
      </c>
      <c r="AY775" s="120"/>
      <c r="AZ775" s="121"/>
      <c r="BA775" s="122" t="str">
        <f t="shared" si="17"/>
        <v/>
      </c>
      <c r="BB775" s="34"/>
      <c r="BC775" s="121"/>
      <c r="BD775" s="136"/>
      <c r="BE775" s="125" t="str">
        <f t="shared" si="18"/>
        <v/>
      </c>
      <c r="BF775" s="126" t="str">
        <f t="shared" si="19"/>
        <v>FM83__44629_0.337094907407407</v>
      </c>
      <c r="BG775" s="127" t="str">
        <f t="shared" si="20"/>
        <v/>
      </c>
      <c r="BH775" s="137" t="s">
        <v>2081</v>
      </c>
      <c r="BI775" s="128" t="str">
        <f t="shared" si="21"/>
        <v>MAX36</v>
      </c>
      <c r="BJ775" s="129" t="b">
        <f t="shared" si="740"/>
        <v>0</v>
      </c>
      <c r="BK775" s="128" t="str">
        <f t="shared" si="23"/>
        <v/>
      </c>
      <c r="BL775" s="121"/>
      <c r="BM775" s="5" t="str">
        <f t="shared" si="24"/>
        <v>MISSING</v>
      </c>
      <c r="BN775" s="120" t="b">
        <f t="shared" si="25"/>
        <v>0</v>
      </c>
      <c r="BO775" s="131" t="b">
        <f t="shared" si="26"/>
        <v>1</v>
      </c>
      <c r="BP775" s="121"/>
      <c r="BQ775" s="132" t="str">
        <f>VLOOKUP(A775,RAW_APS!A$3:O826,15,FALSE)</f>
        <v/>
      </c>
      <c r="BR775" s="120" t="b">
        <f t="shared" si="27"/>
        <v>1</v>
      </c>
      <c r="BS775" s="121"/>
      <c r="BT775" s="138" t="s">
        <v>244</v>
      </c>
      <c r="BU775" s="10" t="b">
        <f t="shared" si="28"/>
        <v>1</v>
      </c>
      <c r="BV775" s="120"/>
      <c r="BW775" s="120"/>
      <c r="BX775" s="120"/>
      <c r="BY775" s="120"/>
      <c r="BZ775" s="120"/>
      <c r="CA775" s="120"/>
      <c r="CB775" s="120"/>
      <c r="CC775" s="120"/>
    </row>
    <row r="776">
      <c r="A776" s="2" t="s">
        <v>2082</v>
      </c>
      <c r="B776" s="100">
        <v>44629.0</v>
      </c>
      <c r="C776" s="101">
        <v>0.4018287037037037</v>
      </c>
      <c r="D776" s="102"/>
      <c r="E776" s="102"/>
      <c r="F776" s="102"/>
      <c r="G776" s="102"/>
      <c r="H776" s="102"/>
      <c r="I776" s="103"/>
      <c r="J776" s="103"/>
      <c r="K776" s="2" t="s">
        <v>244</v>
      </c>
      <c r="L776" s="100">
        <v>44629.0</v>
      </c>
      <c r="M776" s="101">
        <v>0.4994560185185185</v>
      </c>
      <c r="P776" s="104" t="b">
        <f>IFNA(IF(VLOOKUP($A776,'Add from APT'!$AA$2:$AC826,3,FALSE)&gt;0,TRUE,FALSE),"ER - NOT IN APT")</f>
        <v>0</v>
      </c>
      <c r="Q776" s="105" t="str">
        <f>IF(ISLOGICAL(P776),IF(P776,"ER - REPS IN APT", IFNA(VLOOKUP($A776,RAW_APT!$A$3:$M826,7,FALSE),"ER - NOT IN APT")),P776)</f>
        <v>Result</v>
      </c>
      <c r="R776" s="106" t="b">
        <f t="shared" si="2"/>
        <v>1</v>
      </c>
      <c r="S776" s="107">
        <f t="shared" si="3"/>
        <v>1</v>
      </c>
      <c r="T776" s="143"/>
      <c r="U776" s="142"/>
      <c r="V776" s="142"/>
      <c r="W776" s="142"/>
      <c r="X776" s="110" t="b">
        <f t="shared" si="4"/>
        <v>0</v>
      </c>
      <c r="Y776" s="111" t="b">
        <v>0</v>
      </c>
      <c r="Z776" s="104" t="str">
        <f t="shared" si="5"/>
        <v/>
      </c>
      <c r="AA776" s="112" t="b">
        <f t="shared" si="6"/>
        <v>0</v>
      </c>
      <c r="AB776" s="142" t="b">
        <v>0</v>
      </c>
      <c r="AC776" s="140">
        <v>46.0</v>
      </c>
      <c r="AD776" s="141" t="b">
        <v>0</v>
      </c>
      <c r="AE776" s="115">
        <f t="shared" si="7"/>
        <v>140.5833333</v>
      </c>
      <c r="AF776" s="116" t="b">
        <f t="shared" si="8"/>
        <v>0</v>
      </c>
      <c r="AG776" s="105" t="b">
        <f t="shared" si="9"/>
        <v>0</v>
      </c>
      <c r="AH776" s="140"/>
      <c r="AI776" s="140"/>
      <c r="AJ776" s="140"/>
      <c r="AK776" s="117" t="str">
        <f t="shared" si="10"/>
        <v>Negative</v>
      </c>
      <c r="AL776" s="142"/>
      <c r="AM776" s="112" t="s">
        <v>727</v>
      </c>
      <c r="AN776" s="112" t="s">
        <v>728</v>
      </c>
      <c r="AO776" s="112" t="str">
        <f>IFERROR(__xludf.DUMMYFUNCTION("IF($AG776, ""DELETED"",TRIM(JOIN("" "",D776:E776)))"),"")</f>
        <v/>
      </c>
      <c r="AP776" s="112" t="str">
        <f t="shared" ref="AP776:AQ776" si="802">IF($AG776, "DELETED", TRIM(CONCATENATE(F776,I776,U776)))</f>
        <v/>
      </c>
      <c r="AQ776" s="112" t="str">
        <f t="shared" si="802"/>
        <v/>
      </c>
      <c r="AR776" s="112" t="str">
        <f>IFERROR(__xludf.DUMMYFUNCTION("IF($AG776, ""DELETED"", TRIM(JOIN("" "",AP776,AQ776)))"),"")</f>
        <v/>
      </c>
      <c r="AS776" s="118"/>
      <c r="AT776" s="110" t="b">
        <f t="shared" si="12"/>
        <v>0</v>
      </c>
      <c r="AU776" s="110" t="str">
        <f t="shared" si="13"/>
        <v/>
      </c>
      <c r="AV776" s="110" t="str">
        <f t="shared" si="14"/>
        <v/>
      </c>
      <c r="AW776" s="110" t="str">
        <f t="shared" si="15"/>
        <v/>
      </c>
      <c r="AX776" s="119" t="str">
        <f t="shared" si="16"/>
        <v/>
      </c>
      <c r="AY776" s="120"/>
      <c r="AZ776" s="121"/>
      <c r="BA776" s="122" t="str">
        <f t="shared" si="17"/>
        <v/>
      </c>
      <c r="BB776" s="34"/>
      <c r="BC776" s="121"/>
      <c r="BD776" s="136"/>
      <c r="BE776" s="125" t="str">
        <f t="shared" si="18"/>
        <v/>
      </c>
      <c r="BF776" s="126" t="str">
        <f t="shared" si="19"/>
        <v>FM60__44629_0.401828703703704</v>
      </c>
      <c r="BG776" s="127" t="str">
        <f t="shared" si="20"/>
        <v/>
      </c>
      <c r="BH776" s="137" t="s">
        <v>2083</v>
      </c>
      <c r="BI776" s="128" t="str">
        <f t="shared" si="21"/>
        <v>MAX4</v>
      </c>
      <c r="BJ776" s="129" t="b">
        <f t="shared" si="740"/>
        <v>0</v>
      </c>
      <c r="BK776" s="128" t="str">
        <f t="shared" si="23"/>
        <v/>
      </c>
      <c r="BL776" s="121"/>
      <c r="BM776" s="5" t="str">
        <f t="shared" si="24"/>
        <v>MISSING</v>
      </c>
      <c r="BN776" s="120" t="b">
        <f t="shared" si="25"/>
        <v>0</v>
      </c>
      <c r="BO776" s="131" t="b">
        <f t="shared" si="26"/>
        <v>1</v>
      </c>
      <c r="BP776" s="121"/>
      <c r="BQ776" s="132" t="str">
        <f>VLOOKUP(A776,RAW_APS!A$3:O826,15,FALSE)</f>
        <v/>
      </c>
      <c r="BR776" s="120" t="b">
        <f t="shared" si="27"/>
        <v>1</v>
      </c>
      <c r="BS776" s="121"/>
      <c r="BT776" s="138" t="s">
        <v>244</v>
      </c>
      <c r="BU776" s="10" t="b">
        <f t="shared" si="28"/>
        <v>1</v>
      </c>
      <c r="BV776" s="120"/>
      <c r="BW776" s="120"/>
      <c r="BX776" s="120"/>
      <c r="BY776" s="120"/>
      <c r="BZ776" s="120"/>
      <c r="CA776" s="120"/>
      <c r="CB776" s="120"/>
      <c r="CC776" s="120"/>
    </row>
    <row r="777">
      <c r="A777" s="2" t="s">
        <v>2084</v>
      </c>
      <c r="B777" s="100">
        <v>44629.0</v>
      </c>
      <c r="C777" s="101">
        <v>0.40596064814814814</v>
      </c>
      <c r="D777" s="102"/>
      <c r="E777" s="102"/>
      <c r="F777" s="102"/>
      <c r="G777" s="102"/>
      <c r="H777" s="102"/>
      <c r="I777" s="103"/>
      <c r="J777" s="103"/>
      <c r="K777" s="2" t="s">
        <v>244</v>
      </c>
      <c r="L777" s="100">
        <v>44629.0</v>
      </c>
      <c r="M777" s="101">
        <v>0.4994560185185185</v>
      </c>
      <c r="P777" s="104" t="b">
        <f>IFNA(IF(VLOOKUP($A777,'Add from APT'!$AA$2:$AC826,3,FALSE)&gt;0,TRUE,FALSE),"ER - NOT IN APT")</f>
        <v>0</v>
      </c>
      <c r="Q777" s="105" t="str">
        <f>IF(ISLOGICAL(P777),IF(P777,"ER - REPS IN APT", IFNA(VLOOKUP($A777,RAW_APT!$A$3:$M826,7,FALSE),"ER - NOT IN APT")),P777)</f>
        <v>Result</v>
      </c>
      <c r="R777" s="106" t="b">
        <f t="shared" si="2"/>
        <v>1</v>
      </c>
      <c r="S777" s="107">
        <f t="shared" si="3"/>
        <v>1</v>
      </c>
      <c r="T777" s="143"/>
      <c r="U777" s="142"/>
      <c r="V777" s="142"/>
      <c r="W777" s="142"/>
      <c r="X777" s="110" t="b">
        <f t="shared" si="4"/>
        <v>0</v>
      </c>
      <c r="Y777" s="111" t="b">
        <v>0</v>
      </c>
      <c r="Z777" s="104" t="str">
        <f t="shared" si="5"/>
        <v/>
      </c>
      <c r="AA777" s="112" t="b">
        <f t="shared" si="6"/>
        <v>0</v>
      </c>
      <c r="AB777" s="142" t="b">
        <v>0</v>
      </c>
      <c r="AC777" s="140">
        <v>45.0</v>
      </c>
      <c r="AD777" s="141" t="b">
        <v>0</v>
      </c>
      <c r="AE777" s="115">
        <f t="shared" si="7"/>
        <v>134.6333333</v>
      </c>
      <c r="AF777" s="116" t="b">
        <f t="shared" si="8"/>
        <v>0</v>
      </c>
      <c r="AG777" s="105" t="b">
        <f t="shared" si="9"/>
        <v>0</v>
      </c>
      <c r="AH777" s="140"/>
      <c r="AI777" s="140"/>
      <c r="AJ777" s="140"/>
      <c r="AK777" s="117" t="str">
        <f t="shared" si="10"/>
        <v>Negative</v>
      </c>
      <c r="AL777" s="142"/>
      <c r="AM777" s="112" t="s">
        <v>875</v>
      </c>
      <c r="AN777" s="112" t="s">
        <v>1465</v>
      </c>
      <c r="AO777" s="112" t="str">
        <f>IFERROR(__xludf.DUMMYFUNCTION("IF($AG777, ""DELETED"",TRIM(JOIN("" "",D777:E777)))"),"")</f>
        <v/>
      </c>
      <c r="AP777" s="112" t="str">
        <f t="shared" ref="AP777:AQ777" si="803">IF($AG777, "DELETED", TRIM(CONCATENATE(F777,I777,U777)))</f>
        <v/>
      </c>
      <c r="AQ777" s="112" t="str">
        <f t="shared" si="803"/>
        <v/>
      </c>
      <c r="AR777" s="112" t="str">
        <f>IFERROR(__xludf.DUMMYFUNCTION("IF($AG777, ""DELETED"", TRIM(JOIN("" "",AP777,AQ777)))"),"")</f>
        <v/>
      </c>
      <c r="AS777" s="118"/>
      <c r="AT777" s="110" t="b">
        <f t="shared" si="12"/>
        <v>0</v>
      </c>
      <c r="AU777" s="110" t="str">
        <f t="shared" si="13"/>
        <v/>
      </c>
      <c r="AV777" s="110" t="str">
        <f t="shared" si="14"/>
        <v/>
      </c>
      <c r="AW777" s="110" t="str">
        <f t="shared" si="15"/>
        <v/>
      </c>
      <c r="AX777" s="119" t="str">
        <f t="shared" si="16"/>
        <v/>
      </c>
      <c r="AY777" s="120"/>
      <c r="AZ777" s="121"/>
      <c r="BA777" s="122" t="str">
        <f t="shared" si="17"/>
        <v/>
      </c>
      <c r="BB777" s="34"/>
      <c r="BC777" s="121"/>
      <c r="BD777" s="136"/>
      <c r="BE777" s="125" t="str">
        <f t="shared" si="18"/>
        <v/>
      </c>
      <c r="BF777" s="126" t="str">
        <f t="shared" si="19"/>
        <v>MA1313__44629_0.405960648148148</v>
      </c>
      <c r="BG777" s="127" t="str">
        <f t="shared" si="20"/>
        <v/>
      </c>
      <c r="BH777" s="137" t="s">
        <v>2085</v>
      </c>
      <c r="BI777" s="128" t="str">
        <f t="shared" si="21"/>
        <v>MAX40</v>
      </c>
      <c r="BJ777" s="129" t="b">
        <f t="shared" si="740"/>
        <v>0</v>
      </c>
      <c r="BK777" s="128" t="str">
        <f t="shared" si="23"/>
        <v/>
      </c>
      <c r="BL777" s="121"/>
      <c r="BM777" s="5" t="str">
        <f t="shared" si="24"/>
        <v>MISSING</v>
      </c>
      <c r="BN777" s="120" t="b">
        <f t="shared" si="25"/>
        <v>0</v>
      </c>
      <c r="BO777" s="131" t="b">
        <f t="shared" si="26"/>
        <v>1</v>
      </c>
      <c r="BP777" s="121"/>
      <c r="BQ777" s="132" t="str">
        <f>VLOOKUP(A777,RAW_APS!A$3:O826,15,FALSE)</f>
        <v/>
      </c>
      <c r="BR777" s="120" t="b">
        <f t="shared" si="27"/>
        <v>1</v>
      </c>
      <c r="BS777" s="121"/>
      <c r="BT777" s="138" t="s">
        <v>244</v>
      </c>
      <c r="BU777" s="10" t="b">
        <f t="shared" si="28"/>
        <v>1</v>
      </c>
      <c r="BV777" s="120"/>
      <c r="BW777" s="120"/>
      <c r="BX777" s="120"/>
      <c r="BY777" s="120"/>
      <c r="BZ777" s="120"/>
      <c r="CA777" s="120"/>
      <c r="CB777" s="120"/>
      <c r="CC777" s="120"/>
    </row>
    <row r="778">
      <c r="A778" s="2" t="s">
        <v>2086</v>
      </c>
      <c r="B778" s="100">
        <v>44629.0</v>
      </c>
      <c r="C778" s="101">
        <v>0.407349537037037</v>
      </c>
      <c r="D778" s="102"/>
      <c r="E778" s="102"/>
      <c r="F778" s="103"/>
      <c r="G778" s="103"/>
      <c r="H778" s="103"/>
      <c r="I778" s="135"/>
      <c r="J778" s="103"/>
      <c r="K778" s="2" t="s">
        <v>254</v>
      </c>
      <c r="L778" s="100">
        <v>44861.0</v>
      </c>
      <c r="M778" s="101">
        <v>0.4895023148148148</v>
      </c>
      <c r="N778" s="2" t="s">
        <v>247</v>
      </c>
      <c r="O778" s="11"/>
      <c r="P778" s="104" t="b">
        <f>IFNA(IF(VLOOKUP($A778,'Add from APT'!$AA$2:$AC826,3,FALSE)&gt;0,TRUE,FALSE),"ER - NOT IN APT")</f>
        <v>0</v>
      </c>
      <c r="Q778" s="105" t="str">
        <f>IF(ISLOGICAL(P778),IF(P778,"ER - REPS IN APT", IFNA(VLOOKUP($A778,RAW_APT!$A$3:$M826,7,FALSE),"ER - NOT IN APT")),P778)</f>
        <v>Collected</v>
      </c>
      <c r="R778" s="106" t="b">
        <f t="shared" si="2"/>
        <v>1</v>
      </c>
      <c r="S778" s="107">
        <f t="shared" si="3"/>
        <v>1</v>
      </c>
      <c r="T778" s="140">
        <v>0.0</v>
      </c>
      <c r="W778" s="142"/>
      <c r="X778" s="110" t="b">
        <f t="shared" si="4"/>
        <v>0</v>
      </c>
      <c r="Y778" s="111" t="b">
        <v>0</v>
      </c>
      <c r="Z778" s="104" t="str">
        <f t="shared" si="5"/>
        <v/>
      </c>
      <c r="AA778" s="112" t="b">
        <f t="shared" si="6"/>
        <v>0</v>
      </c>
      <c r="AB778" s="142" t="b">
        <v>0</v>
      </c>
      <c r="AC778" s="140">
        <v>802.0</v>
      </c>
      <c r="AD778" s="141" t="b">
        <v>1</v>
      </c>
      <c r="AE778" s="115" t="str">
        <f t="shared" si="7"/>
        <v/>
      </c>
      <c r="AF778" s="116" t="b">
        <f t="shared" si="8"/>
        <v>0</v>
      </c>
      <c r="AG778" s="105" t="b">
        <f t="shared" si="9"/>
        <v>0</v>
      </c>
      <c r="AH778" s="140"/>
      <c r="AI778" s="140"/>
      <c r="AJ778" s="140">
        <v>2.0</v>
      </c>
      <c r="AK778" s="117" t="str">
        <f t="shared" si="10"/>
        <v>Negative</v>
      </c>
      <c r="AL778" s="142"/>
      <c r="AM778" s="112" t="s">
        <v>918</v>
      </c>
      <c r="AN778" s="112" t="s">
        <v>886</v>
      </c>
      <c r="AO778" s="112" t="str">
        <f>IFERROR(__xludf.DUMMYFUNCTION("IF($AG778, ""DELETED"",TRIM(JOIN("" "",D778:E778)))"),"")</f>
        <v/>
      </c>
      <c r="AP778" s="112" t="str">
        <f t="shared" ref="AP778:AQ778" si="804">IF($AG778, "DELETED", TRIM(CONCATENATE(F778,I778,U778)))</f>
        <v/>
      </c>
      <c r="AQ778" s="112" t="str">
        <f t="shared" si="804"/>
        <v/>
      </c>
      <c r="AR778" s="112" t="str">
        <f>IFERROR(__xludf.DUMMYFUNCTION("IF($AG778, ""DELETED"", TRIM(JOIN("" "",AP778,AQ778)))"),"")</f>
        <v/>
      </c>
      <c r="AS778" s="118"/>
      <c r="AT778" s="110" t="b">
        <f t="shared" si="12"/>
        <v>0</v>
      </c>
      <c r="AU778" s="110" t="str">
        <f t="shared" si="13"/>
        <v/>
      </c>
      <c r="AV778" s="110" t="str">
        <f t="shared" si="14"/>
        <v/>
      </c>
      <c r="AW778" s="110" t="str">
        <f t="shared" si="15"/>
        <v/>
      </c>
      <c r="AX778" s="119" t="str">
        <f t="shared" si="16"/>
        <v/>
      </c>
      <c r="AY778" s="120"/>
      <c r="AZ778" s="121"/>
      <c r="BA778" s="122" t="b">
        <f t="shared" si="17"/>
        <v>1</v>
      </c>
      <c r="BB778" s="34"/>
      <c r="BC778" s="121"/>
      <c r="BD778" s="136"/>
      <c r="BE778" s="125" t="str">
        <f t="shared" si="18"/>
        <v/>
      </c>
      <c r="BF778" s="126" t="str">
        <f t="shared" si="19"/>
        <v>MA1254__44629_0.407349537037037</v>
      </c>
      <c r="BG778" s="127" t="str">
        <f t="shared" si="20"/>
        <v/>
      </c>
      <c r="BH778" s="137" t="s">
        <v>2087</v>
      </c>
      <c r="BI778" s="128" t="str">
        <f t="shared" si="21"/>
        <v>MAX44</v>
      </c>
      <c r="BJ778" s="129" t="b">
        <f t="shared" si="740"/>
        <v>0</v>
      </c>
      <c r="BK778" s="128" t="str">
        <f t="shared" si="23"/>
        <v/>
      </c>
      <c r="BL778" s="121"/>
      <c r="BM778" s="5" t="str">
        <f t="shared" si="24"/>
        <v>MISSING</v>
      </c>
      <c r="BN778" s="120" t="b">
        <f t="shared" si="25"/>
        <v>0</v>
      </c>
      <c r="BO778" s="131" t="b">
        <f t="shared" si="26"/>
        <v>1</v>
      </c>
      <c r="BP778" s="121"/>
      <c r="BQ778" s="132" t="str">
        <f>VLOOKUP(A778,RAW_APS!A$3:O826,15,FALSE)</f>
        <v>#N/A</v>
      </c>
      <c r="BR778" s="120" t="str">
        <f t="shared" si="27"/>
        <v>***TUBE ID NOT FOUND</v>
      </c>
      <c r="BS778" s="121"/>
      <c r="BT778" s="138" t="s">
        <v>244</v>
      </c>
      <c r="BU778" s="10" t="b">
        <f t="shared" si="28"/>
        <v>1</v>
      </c>
      <c r="BV778" s="120"/>
      <c r="BW778" s="120"/>
      <c r="BX778" s="120"/>
      <c r="BY778" s="120"/>
      <c r="BZ778" s="120"/>
      <c r="CA778" s="120"/>
      <c r="CB778" s="120"/>
      <c r="CC778" s="120"/>
    </row>
    <row r="779">
      <c r="A779" s="2" t="s">
        <v>2088</v>
      </c>
      <c r="B779" s="100">
        <v>44629.0</v>
      </c>
      <c r="C779" s="101">
        <v>0.4893287037037037</v>
      </c>
      <c r="D779" s="102"/>
      <c r="E779" s="102"/>
      <c r="F779" s="102"/>
      <c r="G779" s="102"/>
      <c r="H779" s="102"/>
      <c r="I779" s="103"/>
      <c r="J779" s="103"/>
      <c r="K779" s="2" t="s">
        <v>244</v>
      </c>
      <c r="L779" s="100">
        <v>44629.0</v>
      </c>
      <c r="M779" s="101">
        <v>0.4994560185185185</v>
      </c>
      <c r="P779" s="104" t="b">
        <f>IFNA(IF(VLOOKUP($A779,'Add from APT'!$AA$2:$AC826,3,FALSE)&gt;0,TRUE,FALSE),"ER - NOT IN APT")</f>
        <v>0</v>
      </c>
      <c r="Q779" s="105" t="str">
        <f>IF(ISLOGICAL(P779),IF(P779,"ER - REPS IN APT", IFNA(VLOOKUP($A779,RAW_APT!$A$3:$M826,7,FALSE),"ER - NOT IN APT")),P779)</f>
        <v>Result</v>
      </c>
      <c r="R779" s="106" t="b">
        <f t="shared" si="2"/>
        <v>1</v>
      </c>
      <c r="S779" s="107">
        <f t="shared" si="3"/>
        <v>1</v>
      </c>
      <c r="T779" s="143"/>
      <c r="U779" s="142"/>
      <c r="V779" s="142"/>
      <c r="W779" s="142"/>
      <c r="X779" s="110" t="b">
        <f t="shared" si="4"/>
        <v>0</v>
      </c>
      <c r="Y779" s="111" t="b">
        <v>0</v>
      </c>
      <c r="Z779" s="104" t="str">
        <f t="shared" si="5"/>
        <v/>
      </c>
      <c r="AA779" s="112" t="b">
        <f t="shared" si="6"/>
        <v>0</v>
      </c>
      <c r="AB779" s="142" t="b">
        <v>0</v>
      </c>
      <c r="AC779" s="140">
        <v>44.0</v>
      </c>
      <c r="AD779" s="141" t="b">
        <v>0</v>
      </c>
      <c r="AE779" s="115">
        <f t="shared" si="7"/>
        <v>14.58333333</v>
      </c>
      <c r="AF779" s="116" t="b">
        <f t="shared" si="8"/>
        <v>0</v>
      </c>
      <c r="AG779" s="105" t="b">
        <f t="shared" si="9"/>
        <v>0</v>
      </c>
      <c r="AH779" s="140"/>
      <c r="AI779" s="140"/>
      <c r="AJ779" s="140"/>
      <c r="AK779" s="117" t="str">
        <f t="shared" si="10"/>
        <v>Negative</v>
      </c>
      <c r="AL779" s="142"/>
      <c r="AM779" s="112" t="s">
        <v>261</v>
      </c>
      <c r="AN779" s="112" t="s">
        <v>1900</v>
      </c>
      <c r="AO779" s="112" t="str">
        <f>IFERROR(__xludf.DUMMYFUNCTION("IF($AG779, ""DELETED"",TRIM(JOIN("" "",D779:E779)))"),"")</f>
        <v/>
      </c>
      <c r="AP779" s="112" t="str">
        <f t="shared" ref="AP779:AQ779" si="805">IF($AG779, "DELETED", TRIM(CONCATENATE(F779,I779,U779)))</f>
        <v/>
      </c>
      <c r="AQ779" s="112" t="str">
        <f t="shared" si="805"/>
        <v/>
      </c>
      <c r="AR779" s="112" t="str">
        <f>IFERROR(__xludf.DUMMYFUNCTION("IF($AG779, ""DELETED"", TRIM(JOIN("" "",AP779,AQ779)))"),"")</f>
        <v/>
      </c>
      <c r="AS779" s="118"/>
      <c r="AT779" s="110" t="b">
        <f t="shared" si="12"/>
        <v>0</v>
      </c>
      <c r="AU779" s="110" t="str">
        <f t="shared" si="13"/>
        <v/>
      </c>
      <c r="AV779" s="110" t="str">
        <f t="shared" si="14"/>
        <v/>
      </c>
      <c r="AW779" s="110" t="str">
        <f t="shared" si="15"/>
        <v/>
      </c>
      <c r="AX779" s="119" t="str">
        <f t="shared" si="16"/>
        <v/>
      </c>
      <c r="AY779" s="120"/>
      <c r="AZ779" s="121"/>
      <c r="BA779" s="122" t="str">
        <f t="shared" si="17"/>
        <v/>
      </c>
      <c r="BB779" s="34"/>
      <c r="BC779" s="121"/>
      <c r="BD779" s="136"/>
      <c r="BE779" s="125" t="str">
        <f t="shared" si="18"/>
        <v/>
      </c>
      <c r="BF779" s="126" t="str">
        <f t="shared" si="19"/>
        <v>FM427__44629_0.489328703703704</v>
      </c>
      <c r="BG779" s="127" t="str">
        <f t="shared" si="20"/>
        <v/>
      </c>
      <c r="BH779" s="137" t="s">
        <v>2089</v>
      </c>
      <c r="BI779" s="128" t="str">
        <f t="shared" si="21"/>
        <v>MAX48</v>
      </c>
      <c r="BJ779" s="129" t="b">
        <f t="shared" si="740"/>
        <v>0</v>
      </c>
      <c r="BK779" s="128" t="str">
        <f t="shared" si="23"/>
        <v/>
      </c>
      <c r="BL779" s="121"/>
      <c r="BM779" s="5" t="str">
        <f t="shared" si="24"/>
        <v>MISSING</v>
      </c>
      <c r="BN779" s="120" t="b">
        <f t="shared" si="25"/>
        <v>0</v>
      </c>
      <c r="BO779" s="131" t="b">
        <f t="shared" si="26"/>
        <v>1</v>
      </c>
      <c r="BP779" s="121"/>
      <c r="BQ779" s="132" t="str">
        <f>VLOOKUP(A779,RAW_APS!A$3:O826,15,FALSE)</f>
        <v/>
      </c>
      <c r="BR779" s="120" t="b">
        <f t="shared" si="27"/>
        <v>1</v>
      </c>
      <c r="BS779" s="121"/>
      <c r="BT779" s="138" t="s">
        <v>244</v>
      </c>
      <c r="BU779" s="10" t="b">
        <f t="shared" si="28"/>
        <v>1</v>
      </c>
      <c r="BV779" s="120"/>
      <c r="BW779" s="120"/>
      <c r="BX779" s="120"/>
      <c r="BY779" s="120"/>
      <c r="BZ779" s="120"/>
      <c r="CA779" s="120"/>
      <c r="CB779" s="120"/>
      <c r="CC779" s="120"/>
    </row>
    <row r="780">
      <c r="A780" s="2" t="s">
        <v>2090</v>
      </c>
      <c r="B780" s="100">
        <v>44629.0</v>
      </c>
      <c r="C780" s="101">
        <v>0.4899074074074074</v>
      </c>
      <c r="D780" s="102"/>
      <c r="E780" s="102"/>
      <c r="F780" s="102"/>
      <c r="G780" s="102"/>
      <c r="H780" s="102"/>
      <c r="I780" s="103"/>
      <c r="J780" s="103"/>
      <c r="K780" s="2" t="s">
        <v>244</v>
      </c>
      <c r="L780" s="100">
        <v>44629.0</v>
      </c>
      <c r="M780" s="101">
        <v>0.4994560185185185</v>
      </c>
      <c r="P780" s="104" t="b">
        <f>IFNA(IF(VLOOKUP($A780,'Add from APT'!$AA$2:$AC826,3,FALSE)&gt;0,TRUE,FALSE),"ER - NOT IN APT")</f>
        <v>0</v>
      </c>
      <c r="Q780" s="105" t="str">
        <f>IF(ISLOGICAL(P780),IF(P780,"ER - REPS IN APT", IFNA(VLOOKUP($A780,RAW_APT!$A$3:$M826,7,FALSE),"ER - NOT IN APT")),P780)</f>
        <v>Result</v>
      </c>
      <c r="R780" s="106" t="b">
        <f t="shared" si="2"/>
        <v>1</v>
      </c>
      <c r="S780" s="107">
        <f t="shared" si="3"/>
        <v>1</v>
      </c>
      <c r="T780" s="143"/>
      <c r="U780" s="142"/>
      <c r="V780" s="142"/>
      <c r="W780" s="142"/>
      <c r="X780" s="110" t="b">
        <f t="shared" si="4"/>
        <v>0</v>
      </c>
      <c r="Y780" s="111" t="b">
        <v>0</v>
      </c>
      <c r="Z780" s="104" t="str">
        <f t="shared" si="5"/>
        <v/>
      </c>
      <c r="AA780" s="112" t="b">
        <f t="shared" si="6"/>
        <v>0</v>
      </c>
      <c r="AB780" s="142" t="b">
        <v>0</v>
      </c>
      <c r="AC780" s="140">
        <v>43.0</v>
      </c>
      <c r="AD780" s="141" t="b">
        <v>0</v>
      </c>
      <c r="AE780" s="115">
        <f t="shared" si="7"/>
        <v>13.75</v>
      </c>
      <c r="AF780" s="116" t="b">
        <f t="shared" si="8"/>
        <v>0</v>
      </c>
      <c r="AG780" s="105" t="b">
        <f t="shared" si="9"/>
        <v>0</v>
      </c>
      <c r="AH780" s="140"/>
      <c r="AI780" s="140"/>
      <c r="AJ780" s="140"/>
      <c r="AK780" s="117" t="str">
        <f t="shared" si="10"/>
        <v>Negative</v>
      </c>
      <c r="AL780" s="142"/>
      <c r="AM780" s="112" t="s">
        <v>261</v>
      </c>
      <c r="AN780" s="112" t="s">
        <v>944</v>
      </c>
      <c r="AO780" s="112" t="str">
        <f>IFERROR(__xludf.DUMMYFUNCTION("IF($AG780, ""DELETED"",TRIM(JOIN("" "",D780:E780)))"),"")</f>
        <v/>
      </c>
      <c r="AP780" s="112" t="str">
        <f t="shared" ref="AP780:AQ780" si="806">IF($AG780, "DELETED", TRIM(CONCATENATE(F780,I780,U780)))</f>
        <v/>
      </c>
      <c r="AQ780" s="112" t="str">
        <f t="shared" si="806"/>
        <v/>
      </c>
      <c r="AR780" s="112" t="str">
        <f>IFERROR(__xludf.DUMMYFUNCTION("IF($AG780, ""DELETED"", TRIM(JOIN("" "",AP780,AQ780)))"),"")</f>
        <v/>
      </c>
      <c r="AS780" s="118"/>
      <c r="AT780" s="110" t="b">
        <f t="shared" si="12"/>
        <v>0</v>
      </c>
      <c r="AU780" s="110" t="str">
        <f t="shared" si="13"/>
        <v/>
      </c>
      <c r="AV780" s="110" t="str">
        <f t="shared" si="14"/>
        <v/>
      </c>
      <c r="AW780" s="110" t="str">
        <f t="shared" si="15"/>
        <v/>
      </c>
      <c r="AX780" s="119" t="str">
        <f t="shared" si="16"/>
        <v/>
      </c>
      <c r="AY780" s="120"/>
      <c r="AZ780" s="121"/>
      <c r="BA780" s="122" t="str">
        <f t="shared" si="17"/>
        <v/>
      </c>
      <c r="BB780" s="34"/>
      <c r="BC780" s="121"/>
      <c r="BD780" s="136"/>
      <c r="BE780" s="125" t="str">
        <f t="shared" si="18"/>
        <v/>
      </c>
      <c r="BF780" s="126" t="str">
        <f t="shared" si="19"/>
        <v>FM439__44629_0.489907407407407</v>
      </c>
      <c r="BG780" s="127" t="str">
        <f t="shared" si="20"/>
        <v/>
      </c>
      <c r="BH780" s="137" t="s">
        <v>2091</v>
      </c>
      <c r="BI780" s="128" t="str">
        <f t="shared" si="21"/>
        <v>MAX51</v>
      </c>
      <c r="BJ780" s="129" t="b">
        <f t="shared" si="740"/>
        <v>0</v>
      </c>
      <c r="BK780" s="128" t="str">
        <f t="shared" si="23"/>
        <v/>
      </c>
      <c r="BL780" s="121"/>
      <c r="BM780" s="5" t="str">
        <f t="shared" si="24"/>
        <v>MISSING</v>
      </c>
      <c r="BN780" s="120" t="b">
        <f t="shared" si="25"/>
        <v>0</v>
      </c>
      <c r="BO780" s="131" t="b">
        <f t="shared" si="26"/>
        <v>1</v>
      </c>
      <c r="BP780" s="121"/>
      <c r="BQ780" s="132" t="str">
        <f>VLOOKUP(A780,RAW_APS!A$3:O826,15,FALSE)</f>
        <v/>
      </c>
      <c r="BR780" s="120" t="b">
        <f t="shared" si="27"/>
        <v>1</v>
      </c>
      <c r="BS780" s="121"/>
      <c r="BT780" s="138" t="s">
        <v>244</v>
      </c>
      <c r="BU780" s="10" t="b">
        <f t="shared" si="28"/>
        <v>1</v>
      </c>
      <c r="BV780" s="120"/>
      <c r="BW780" s="120"/>
      <c r="BX780" s="120"/>
      <c r="BY780" s="120"/>
      <c r="BZ780" s="120"/>
      <c r="CA780" s="120"/>
      <c r="CB780" s="120"/>
      <c r="CC780" s="120"/>
    </row>
    <row r="781">
      <c r="A781" s="2" t="s">
        <v>2092</v>
      </c>
      <c r="B781" s="100">
        <v>44631.0</v>
      </c>
      <c r="C781" s="101">
        <v>0.2678009259259259</v>
      </c>
      <c r="D781" s="102"/>
      <c r="E781" s="102"/>
      <c r="F781" s="102"/>
      <c r="G781" s="102"/>
      <c r="H781" s="102"/>
      <c r="I781" s="103"/>
      <c r="J781" s="103"/>
      <c r="K781" s="2" t="s">
        <v>244</v>
      </c>
      <c r="L781" s="100">
        <v>44631.0</v>
      </c>
      <c r="M781" s="101">
        <v>0.4860763888888889</v>
      </c>
      <c r="P781" s="104" t="b">
        <f>IFNA(IF(VLOOKUP($A781,'Add from APT'!$AA$2:$AC826,3,FALSE)&gt;0,TRUE,FALSE),"ER - NOT IN APT")</f>
        <v>0</v>
      </c>
      <c r="Q781" s="105" t="str">
        <f>IF(ISLOGICAL(P781),IF(P781,"ER - REPS IN APT", IFNA(VLOOKUP($A781,RAW_APT!$A$3:$M826,7,FALSE),"ER - NOT IN APT")),P781)</f>
        <v>Result</v>
      </c>
      <c r="R781" s="106" t="b">
        <f t="shared" si="2"/>
        <v>1</v>
      </c>
      <c r="S781" s="107">
        <f t="shared" si="3"/>
        <v>1</v>
      </c>
      <c r="T781" s="143"/>
      <c r="U781" s="142"/>
      <c r="V781" s="142"/>
      <c r="W781" s="142"/>
      <c r="X781" s="110" t="b">
        <f t="shared" si="4"/>
        <v>0</v>
      </c>
      <c r="Y781" s="111" t="b">
        <v>0</v>
      </c>
      <c r="Z781" s="104" t="str">
        <f t="shared" si="5"/>
        <v/>
      </c>
      <c r="AA781" s="112" t="b">
        <f t="shared" si="6"/>
        <v>0</v>
      </c>
      <c r="AB781" s="142" t="b">
        <v>0</v>
      </c>
      <c r="AC781" s="140">
        <v>42.0</v>
      </c>
      <c r="AD781" s="141" t="b">
        <v>0</v>
      </c>
      <c r="AE781" s="115">
        <f t="shared" si="7"/>
        <v>314.3166667</v>
      </c>
      <c r="AF781" s="116" t="b">
        <f t="shared" si="8"/>
        <v>0</v>
      </c>
      <c r="AG781" s="105" t="b">
        <f t="shared" si="9"/>
        <v>0</v>
      </c>
      <c r="AH781" s="140"/>
      <c r="AI781" s="140"/>
      <c r="AJ781" s="140"/>
      <c r="AK781" s="117" t="str">
        <f t="shared" si="10"/>
        <v>Negative</v>
      </c>
      <c r="AL781" s="141"/>
      <c r="AM781" s="112" t="s">
        <v>793</v>
      </c>
      <c r="AN781" s="112" t="s">
        <v>836</v>
      </c>
      <c r="AO781" s="112" t="str">
        <f>IFERROR(__xludf.DUMMYFUNCTION("IF($AG781, ""DELETED"",TRIM(JOIN("" "",D781:E781)))"),"")</f>
        <v/>
      </c>
      <c r="AP781" s="112" t="str">
        <f t="shared" ref="AP781:AQ781" si="807">IF($AG781, "DELETED", TRIM(CONCATENATE(F781,I781,U781)))</f>
        <v/>
      </c>
      <c r="AQ781" s="112" t="str">
        <f t="shared" si="807"/>
        <v/>
      </c>
      <c r="AR781" s="112" t="str">
        <f>IFERROR(__xludf.DUMMYFUNCTION("IF($AG781, ""DELETED"", TRIM(JOIN("" "",AP781,AQ781)))"),"")</f>
        <v/>
      </c>
      <c r="AS781" s="118"/>
      <c r="AT781" s="110" t="b">
        <f t="shared" si="12"/>
        <v>0</v>
      </c>
      <c r="AU781" s="110" t="str">
        <f t="shared" si="13"/>
        <v/>
      </c>
      <c r="AV781" s="110" t="str">
        <f t="shared" si="14"/>
        <v/>
      </c>
      <c r="AW781" s="110" t="str">
        <f t="shared" si="15"/>
        <v/>
      </c>
      <c r="AX781" s="119" t="str">
        <f t="shared" si="16"/>
        <v/>
      </c>
      <c r="AY781" s="120"/>
      <c r="AZ781" s="121"/>
      <c r="BA781" s="122" t="str">
        <f t="shared" si="17"/>
        <v/>
      </c>
      <c r="BB781" s="34"/>
      <c r="BC781" s="121"/>
      <c r="BD781" s="136"/>
      <c r="BE781" s="125" t="str">
        <f t="shared" si="18"/>
        <v/>
      </c>
      <c r="BF781" s="126" t="str">
        <f t="shared" si="19"/>
        <v>MA1210__44631_0.267800925925926</v>
      </c>
      <c r="BG781" s="127" t="str">
        <f t="shared" si="20"/>
        <v/>
      </c>
      <c r="BH781" s="137" t="s">
        <v>2093</v>
      </c>
      <c r="BI781" s="128" t="str">
        <f t="shared" si="21"/>
        <v>MAX55</v>
      </c>
      <c r="BJ781" s="129" t="b">
        <f t="shared" si="740"/>
        <v>0</v>
      </c>
      <c r="BK781" s="128" t="str">
        <f t="shared" si="23"/>
        <v/>
      </c>
      <c r="BL781" s="121"/>
      <c r="BM781" s="5" t="str">
        <f t="shared" si="24"/>
        <v>MISSING</v>
      </c>
      <c r="BN781" s="120" t="b">
        <f t="shared" si="25"/>
        <v>0</v>
      </c>
      <c r="BO781" s="131" t="b">
        <f t="shared" si="26"/>
        <v>1</v>
      </c>
      <c r="BP781" s="121"/>
      <c r="BQ781" s="132" t="str">
        <f>VLOOKUP(A781,RAW_APS!A$3:O826,15,FALSE)</f>
        <v/>
      </c>
      <c r="BR781" s="120" t="b">
        <f t="shared" si="27"/>
        <v>1</v>
      </c>
      <c r="BS781" s="121"/>
      <c r="BT781" s="138" t="s">
        <v>244</v>
      </c>
      <c r="BU781" s="10" t="b">
        <f t="shared" si="28"/>
        <v>1</v>
      </c>
      <c r="BV781" s="120"/>
      <c r="BW781" s="120"/>
      <c r="BX781" s="120"/>
      <c r="BY781" s="120"/>
      <c r="BZ781" s="120"/>
      <c r="CA781" s="120"/>
      <c r="CB781" s="120"/>
      <c r="CC781" s="120"/>
    </row>
    <row r="782">
      <c r="A782" s="2" t="s">
        <v>2094</v>
      </c>
      <c r="B782" s="100">
        <v>44631.0</v>
      </c>
      <c r="C782" s="101">
        <v>0.2694328703703704</v>
      </c>
      <c r="D782" s="102"/>
      <c r="E782" s="102"/>
      <c r="F782" s="139"/>
      <c r="G782" s="103"/>
      <c r="H782" s="103"/>
      <c r="I782" s="103"/>
      <c r="J782" s="103"/>
      <c r="K782" s="2" t="s">
        <v>244</v>
      </c>
      <c r="L782" s="100">
        <v>44631.0</v>
      </c>
      <c r="M782" s="101">
        <v>0.4860763888888889</v>
      </c>
      <c r="P782" s="104" t="b">
        <f>IFNA(IF(VLOOKUP($A782,'Add from APT'!$AA$2:$AC826,3,FALSE)&gt;0,TRUE,FALSE),"ER - NOT IN APT")</f>
        <v>0</v>
      </c>
      <c r="Q782" s="105" t="str">
        <f>IF(ISLOGICAL(P782),IF(P782,"ER - REPS IN APT", IFNA(VLOOKUP($A782,RAW_APT!$A$3:$M826,7,FALSE),"ER - NOT IN APT")),P782)</f>
        <v>Result</v>
      </c>
      <c r="R782" s="106" t="b">
        <f t="shared" si="2"/>
        <v>1</v>
      </c>
      <c r="S782" s="107">
        <f t="shared" si="3"/>
        <v>1</v>
      </c>
      <c r="T782" s="140">
        <v>0.0</v>
      </c>
      <c r="U782" s="141"/>
      <c r="W782" s="141"/>
      <c r="X782" s="110" t="b">
        <f t="shared" si="4"/>
        <v>0</v>
      </c>
      <c r="Y782" s="111" t="b">
        <v>0</v>
      </c>
      <c r="Z782" s="104" t="str">
        <f t="shared" si="5"/>
        <v/>
      </c>
      <c r="AA782" s="112" t="b">
        <f t="shared" si="6"/>
        <v>0</v>
      </c>
      <c r="AB782" s="142" t="b">
        <v>0</v>
      </c>
      <c r="AC782" s="140">
        <v>41.0</v>
      </c>
      <c r="AD782" s="141" t="b">
        <v>0</v>
      </c>
      <c r="AE782" s="115">
        <f t="shared" si="7"/>
        <v>311.9666667</v>
      </c>
      <c r="AF782" s="116" t="b">
        <f t="shared" si="8"/>
        <v>0</v>
      </c>
      <c r="AG782" s="105" t="b">
        <f t="shared" si="9"/>
        <v>0</v>
      </c>
      <c r="AH782" s="140"/>
      <c r="AI782" s="140"/>
      <c r="AJ782" s="140"/>
      <c r="AK782" s="117" t="str">
        <f t="shared" si="10"/>
        <v>Negative</v>
      </c>
      <c r="AL782" s="141"/>
      <c r="AM782" s="112" t="s">
        <v>793</v>
      </c>
      <c r="AN782" s="112" t="s">
        <v>2095</v>
      </c>
      <c r="AO782" s="112" t="str">
        <f>IFERROR(__xludf.DUMMYFUNCTION("IF($AG782, ""DELETED"",TRIM(JOIN("" "",D782:E782)))"),"")</f>
        <v/>
      </c>
      <c r="AP782" s="112" t="str">
        <f t="shared" ref="AP782:AQ782" si="808">IF($AG782, "DELETED", TRIM(CONCATENATE(F782,I782,U782)))</f>
        <v/>
      </c>
      <c r="AQ782" s="112" t="str">
        <f t="shared" si="808"/>
        <v/>
      </c>
      <c r="AR782" s="112" t="str">
        <f>IFERROR(__xludf.DUMMYFUNCTION("IF($AG782, ""DELETED"", TRIM(JOIN("" "",AP782,AQ782)))"),"")</f>
        <v/>
      </c>
      <c r="AS782" s="118"/>
      <c r="AT782" s="110" t="b">
        <f t="shared" si="12"/>
        <v>0</v>
      </c>
      <c r="AU782" s="110" t="str">
        <f t="shared" si="13"/>
        <v/>
      </c>
      <c r="AV782" s="110" t="str">
        <f t="shared" si="14"/>
        <v/>
      </c>
      <c r="AW782" s="110" t="str">
        <f t="shared" si="15"/>
        <v/>
      </c>
      <c r="AX782" s="119" t="str">
        <f t="shared" si="16"/>
        <v/>
      </c>
      <c r="AY782" s="120"/>
      <c r="AZ782" s="121"/>
      <c r="BA782" s="122" t="str">
        <f t="shared" si="17"/>
        <v/>
      </c>
      <c r="BB782" s="34"/>
      <c r="BC782" s="121"/>
      <c r="BD782" s="136"/>
      <c r="BE782" s="125" t="str">
        <f t="shared" si="18"/>
        <v/>
      </c>
      <c r="BF782" s="126" t="str">
        <f t="shared" si="19"/>
        <v>MA1302__44631_0.26943287037037</v>
      </c>
      <c r="BG782" s="127" t="str">
        <f t="shared" si="20"/>
        <v/>
      </c>
      <c r="BH782" s="137" t="s">
        <v>2096</v>
      </c>
      <c r="BI782" s="128" t="str">
        <f t="shared" si="21"/>
        <v>MAX56</v>
      </c>
      <c r="BJ782" s="129" t="b">
        <f t="shared" si="740"/>
        <v>0</v>
      </c>
      <c r="BK782" s="128" t="str">
        <f t="shared" si="23"/>
        <v/>
      </c>
      <c r="BL782" s="121"/>
      <c r="BM782" s="5" t="str">
        <f t="shared" si="24"/>
        <v>MISSING</v>
      </c>
      <c r="BN782" s="120" t="b">
        <f t="shared" si="25"/>
        <v>0</v>
      </c>
      <c r="BO782" s="131" t="b">
        <f t="shared" si="26"/>
        <v>1</v>
      </c>
      <c r="BP782" s="121"/>
      <c r="BQ782" s="132" t="str">
        <f>VLOOKUP(A782,RAW_APS!A$3:O826,15,FALSE)</f>
        <v/>
      </c>
      <c r="BR782" s="120" t="b">
        <f t="shared" si="27"/>
        <v>1</v>
      </c>
      <c r="BS782" s="121"/>
      <c r="BT782" s="138" t="s">
        <v>244</v>
      </c>
      <c r="BU782" s="10" t="b">
        <f t="shared" si="28"/>
        <v>1</v>
      </c>
      <c r="BV782" s="120"/>
      <c r="BW782" s="120"/>
      <c r="BX782" s="120"/>
      <c r="BY782" s="120"/>
      <c r="BZ782" s="120"/>
      <c r="CA782" s="120"/>
      <c r="CB782" s="120"/>
      <c r="CC782" s="120"/>
    </row>
    <row r="783">
      <c r="A783" s="2" t="s">
        <v>2097</v>
      </c>
      <c r="B783" s="100">
        <v>44631.0</v>
      </c>
      <c r="C783" s="101">
        <v>0.2769097222222222</v>
      </c>
      <c r="D783" s="102"/>
      <c r="E783" s="102"/>
      <c r="F783" s="102"/>
      <c r="G783" s="102"/>
      <c r="H783" s="102"/>
      <c r="I783" s="103"/>
      <c r="J783" s="103"/>
      <c r="K783" s="2" t="s">
        <v>244</v>
      </c>
      <c r="L783" s="100">
        <v>44631.0</v>
      </c>
      <c r="M783" s="101">
        <v>0.4860763888888889</v>
      </c>
      <c r="P783" s="104" t="b">
        <f>IFNA(IF(VLOOKUP($A783,'Add from APT'!$AA$2:$AC826,3,FALSE)&gt;0,TRUE,FALSE),"ER - NOT IN APT")</f>
        <v>0</v>
      </c>
      <c r="Q783" s="105" t="str">
        <f>IF(ISLOGICAL(P783),IF(P783,"ER - REPS IN APT", IFNA(VLOOKUP($A783,RAW_APT!$A$3:$M826,7,FALSE),"ER - NOT IN APT")),P783)</f>
        <v>Result</v>
      </c>
      <c r="R783" s="106" t="b">
        <f t="shared" si="2"/>
        <v>1</v>
      </c>
      <c r="S783" s="107">
        <f t="shared" si="3"/>
        <v>1</v>
      </c>
      <c r="T783" s="143"/>
      <c r="U783" s="142"/>
      <c r="V783" s="142"/>
      <c r="W783" s="142"/>
      <c r="X783" s="110" t="b">
        <f t="shared" si="4"/>
        <v>0</v>
      </c>
      <c r="Y783" s="111" t="b">
        <v>0</v>
      </c>
      <c r="Z783" s="104" t="str">
        <f t="shared" si="5"/>
        <v/>
      </c>
      <c r="AA783" s="112" t="b">
        <f t="shared" si="6"/>
        <v>0</v>
      </c>
      <c r="AB783" s="142" t="b">
        <v>0</v>
      </c>
      <c r="AC783" s="140">
        <v>40.0</v>
      </c>
      <c r="AD783" s="141" t="b">
        <v>0</v>
      </c>
      <c r="AE783" s="115">
        <f t="shared" si="7"/>
        <v>301.2</v>
      </c>
      <c r="AF783" s="116" t="b">
        <f t="shared" si="8"/>
        <v>0</v>
      </c>
      <c r="AG783" s="105" t="b">
        <f t="shared" si="9"/>
        <v>0</v>
      </c>
      <c r="AH783" s="140"/>
      <c r="AI783" s="140"/>
      <c r="AJ783" s="140"/>
      <c r="AK783" s="117" t="str">
        <f t="shared" si="10"/>
        <v>Negative</v>
      </c>
      <c r="AL783" s="141"/>
      <c r="AM783" s="112" t="s">
        <v>1313</v>
      </c>
      <c r="AN783" s="112" t="s">
        <v>1485</v>
      </c>
      <c r="AO783" s="112" t="str">
        <f>IFERROR(__xludf.DUMMYFUNCTION("IF($AG783, ""DELETED"",TRIM(JOIN("" "",D783:E783)))"),"")</f>
        <v/>
      </c>
      <c r="AP783" s="112" t="str">
        <f t="shared" ref="AP783:AQ783" si="809">IF($AG783, "DELETED", TRIM(CONCATENATE(F783,I783,U783)))</f>
        <v/>
      </c>
      <c r="AQ783" s="112" t="str">
        <f t="shared" si="809"/>
        <v/>
      </c>
      <c r="AR783" s="112" t="str">
        <f>IFERROR(__xludf.DUMMYFUNCTION("IF($AG783, ""DELETED"", TRIM(JOIN("" "",AP783,AQ783)))"),"")</f>
        <v/>
      </c>
      <c r="AS783" s="118"/>
      <c r="AT783" s="110" t="b">
        <f t="shared" si="12"/>
        <v>0</v>
      </c>
      <c r="AU783" s="110" t="str">
        <f t="shared" si="13"/>
        <v/>
      </c>
      <c r="AV783" s="110" t="str">
        <f t="shared" si="14"/>
        <v/>
      </c>
      <c r="AW783" s="110" t="str">
        <f t="shared" si="15"/>
        <v/>
      </c>
      <c r="AX783" s="119" t="str">
        <f t="shared" si="16"/>
        <v/>
      </c>
      <c r="AY783" s="120"/>
      <c r="AZ783" s="121"/>
      <c r="BA783" s="122" t="str">
        <f t="shared" si="17"/>
        <v/>
      </c>
      <c r="BB783" s="34"/>
      <c r="BC783" s="121"/>
      <c r="BD783" s="136"/>
      <c r="BE783" s="125" t="str">
        <f t="shared" si="18"/>
        <v/>
      </c>
      <c r="BF783" s="126" t="str">
        <f t="shared" si="19"/>
        <v>MA345__44631_0.276909722222222</v>
      </c>
      <c r="BG783" s="127" t="str">
        <f t="shared" si="20"/>
        <v/>
      </c>
      <c r="BH783" s="137" t="s">
        <v>2098</v>
      </c>
      <c r="BI783" s="128" t="str">
        <f t="shared" si="21"/>
        <v>MAX59</v>
      </c>
      <c r="BJ783" s="129" t="b">
        <f t="shared" si="740"/>
        <v>0</v>
      </c>
      <c r="BK783" s="128" t="str">
        <f t="shared" si="23"/>
        <v/>
      </c>
      <c r="BL783" s="121"/>
      <c r="BM783" s="5" t="str">
        <f t="shared" si="24"/>
        <v>MISSING</v>
      </c>
      <c r="BN783" s="120" t="b">
        <f t="shared" si="25"/>
        <v>0</v>
      </c>
      <c r="BO783" s="131" t="b">
        <f t="shared" si="26"/>
        <v>1</v>
      </c>
      <c r="BP783" s="121"/>
      <c r="BQ783" s="132" t="str">
        <f>VLOOKUP(A783,RAW_APS!A$3:O826,15,FALSE)</f>
        <v/>
      </c>
      <c r="BR783" s="120" t="b">
        <f t="shared" si="27"/>
        <v>1</v>
      </c>
      <c r="BS783" s="121"/>
      <c r="BT783" s="138" t="s">
        <v>244</v>
      </c>
      <c r="BU783" s="10" t="b">
        <f t="shared" si="28"/>
        <v>1</v>
      </c>
      <c r="BV783" s="120"/>
      <c r="BW783" s="120"/>
      <c r="BX783" s="120"/>
      <c r="BY783" s="120"/>
      <c r="BZ783" s="120"/>
      <c r="CA783" s="120"/>
      <c r="CB783" s="120"/>
      <c r="CC783" s="120"/>
    </row>
    <row r="784">
      <c r="A784" s="2" t="s">
        <v>2099</v>
      </c>
      <c r="B784" s="100">
        <v>44631.0</v>
      </c>
      <c r="C784" s="101">
        <v>0.287662037037037</v>
      </c>
      <c r="D784" s="102"/>
      <c r="E784" s="102"/>
      <c r="F784" s="102"/>
      <c r="G784" s="102"/>
      <c r="H784" s="102"/>
      <c r="I784" s="103"/>
      <c r="J784" s="103"/>
      <c r="K784" s="2" t="s">
        <v>244</v>
      </c>
      <c r="L784" s="100">
        <v>44631.0</v>
      </c>
      <c r="M784" s="101">
        <v>0.4860763888888889</v>
      </c>
      <c r="P784" s="104" t="b">
        <f>IFNA(IF(VLOOKUP($A784,'Add from APT'!$AA$2:$AC826,3,FALSE)&gt;0,TRUE,FALSE),"ER - NOT IN APT")</f>
        <v>0</v>
      </c>
      <c r="Q784" s="105" t="str">
        <f>IF(ISLOGICAL(P784),IF(P784,"ER - REPS IN APT", IFNA(VLOOKUP($A784,RAW_APT!$A$3:$M826,7,FALSE),"ER - NOT IN APT")),P784)</f>
        <v>Result</v>
      </c>
      <c r="R784" s="106" t="b">
        <f t="shared" si="2"/>
        <v>1</v>
      </c>
      <c r="S784" s="107">
        <f t="shared" si="3"/>
        <v>1</v>
      </c>
      <c r="T784" s="143"/>
      <c r="U784" s="142"/>
      <c r="V784" s="142"/>
      <c r="W784" s="142"/>
      <c r="X784" s="110" t="b">
        <f t="shared" si="4"/>
        <v>0</v>
      </c>
      <c r="Y784" s="111" t="b">
        <v>0</v>
      </c>
      <c r="Z784" s="104" t="str">
        <f t="shared" si="5"/>
        <v/>
      </c>
      <c r="AA784" s="112" t="b">
        <f t="shared" si="6"/>
        <v>0</v>
      </c>
      <c r="AB784" s="142" t="b">
        <v>0</v>
      </c>
      <c r="AC784" s="140">
        <v>39.0</v>
      </c>
      <c r="AD784" s="141" t="b">
        <v>0</v>
      </c>
      <c r="AE784" s="115">
        <f t="shared" si="7"/>
        <v>285.7166667</v>
      </c>
      <c r="AF784" s="116" t="b">
        <f t="shared" si="8"/>
        <v>0</v>
      </c>
      <c r="AG784" s="105" t="b">
        <f t="shared" si="9"/>
        <v>0</v>
      </c>
      <c r="AH784" s="140"/>
      <c r="AI784" s="140"/>
      <c r="AJ784" s="140"/>
      <c r="AK784" s="117" t="str">
        <f t="shared" si="10"/>
        <v>Negative</v>
      </c>
      <c r="AL784" s="142"/>
      <c r="AM784" s="112" t="s">
        <v>1490</v>
      </c>
      <c r="AN784" s="112" t="s">
        <v>1491</v>
      </c>
      <c r="AO784" s="112" t="str">
        <f>IFERROR(__xludf.DUMMYFUNCTION("IF($AG784, ""DELETED"",TRIM(JOIN("" "",D784:E784)))"),"")</f>
        <v/>
      </c>
      <c r="AP784" s="112" t="str">
        <f t="shared" ref="AP784:AQ784" si="810">IF($AG784, "DELETED", TRIM(CONCATENATE(F784,I784,U784)))</f>
        <v/>
      </c>
      <c r="AQ784" s="112" t="str">
        <f t="shared" si="810"/>
        <v/>
      </c>
      <c r="AR784" s="112" t="str">
        <f>IFERROR(__xludf.DUMMYFUNCTION("IF($AG784, ""DELETED"", TRIM(JOIN("" "",AP784,AQ784)))"),"")</f>
        <v/>
      </c>
      <c r="AS784" s="118"/>
      <c r="AT784" s="110" t="b">
        <f t="shared" si="12"/>
        <v>0</v>
      </c>
      <c r="AU784" s="110" t="str">
        <f t="shared" si="13"/>
        <v/>
      </c>
      <c r="AV784" s="110" t="str">
        <f t="shared" si="14"/>
        <v/>
      </c>
      <c r="AW784" s="110" t="str">
        <f t="shared" si="15"/>
        <v/>
      </c>
      <c r="AX784" s="119" t="str">
        <f t="shared" si="16"/>
        <v/>
      </c>
      <c r="AY784" s="120"/>
      <c r="AZ784" s="121"/>
      <c r="BA784" s="122" t="str">
        <f t="shared" si="17"/>
        <v/>
      </c>
      <c r="BB784" s="34"/>
      <c r="BC784" s="121"/>
      <c r="BD784" s="136"/>
      <c r="BE784" s="125" t="str">
        <f t="shared" si="18"/>
        <v/>
      </c>
      <c r="BF784" s="126" t="str">
        <f t="shared" si="19"/>
        <v>FM2060__44631_0.287662037037037</v>
      </c>
      <c r="BG784" s="127" t="str">
        <f t="shared" si="20"/>
        <v/>
      </c>
      <c r="BH784" s="137" t="s">
        <v>2100</v>
      </c>
      <c r="BI784" s="128" t="str">
        <f t="shared" si="21"/>
        <v>MAX60</v>
      </c>
      <c r="BJ784" s="129" t="b">
        <f t="shared" si="740"/>
        <v>0</v>
      </c>
      <c r="BK784" s="128" t="str">
        <f t="shared" si="23"/>
        <v/>
      </c>
      <c r="BL784" s="121"/>
      <c r="BM784" s="5" t="str">
        <f t="shared" si="24"/>
        <v>MISSING</v>
      </c>
      <c r="BN784" s="120" t="b">
        <f t="shared" si="25"/>
        <v>0</v>
      </c>
      <c r="BO784" s="131" t="b">
        <f t="shared" si="26"/>
        <v>1</v>
      </c>
      <c r="BP784" s="121"/>
      <c r="BQ784" s="132" t="str">
        <f>VLOOKUP(A784,RAW_APS!A$3:O826,15,FALSE)</f>
        <v/>
      </c>
      <c r="BR784" s="120" t="b">
        <f t="shared" si="27"/>
        <v>1</v>
      </c>
      <c r="BS784" s="121"/>
      <c r="BT784" s="138" t="s">
        <v>244</v>
      </c>
      <c r="BU784" s="10" t="b">
        <f t="shared" si="28"/>
        <v>1</v>
      </c>
      <c r="BV784" s="120"/>
      <c r="BW784" s="120"/>
      <c r="BX784" s="120"/>
      <c r="BY784" s="120"/>
      <c r="BZ784" s="120"/>
      <c r="CA784" s="120"/>
      <c r="CB784" s="120"/>
      <c r="CC784" s="120"/>
    </row>
    <row r="785">
      <c r="A785" s="2" t="s">
        <v>2101</v>
      </c>
      <c r="B785" s="100">
        <v>44631.0</v>
      </c>
      <c r="C785" s="101">
        <v>0.2908101851851852</v>
      </c>
      <c r="D785" s="102"/>
      <c r="E785" s="102"/>
      <c r="F785" s="102"/>
      <c r="G785" s="102"/>
      <c r="H785" s="102"/>
      <c r="I785" s="103"/>
      <c r="J785" s="103"/>
      <c r="K785" s="2" t="s">
        <v>244</v>
      </c>
      <c r="L785" s="100">
        <v>44631.0</v>
      </c>
      <c r="M785" s="101">
        <v>0.4860763888888889</v>
      </c>
      <c r="P785" s="104" t="b">
        <f>IFNA(IF(VLOOKUP($A785,'Add from APT'!$AA$2:$AC826,3,FALSE)&gt;0,TRUE,FALSE),"ER - NOT IN APT")</f>
        <v>0</v>
      </c>
      <c r="Q785" s="105" t="str">
        <f>IF(ISLOGICAL(P785),IF(P785,"ER - REPS IN APT", IFNA(VLOOKUP($A785,RAW_APT!$A$3:$M826,7,FALSE),"ER - NOT IN APT")),P785)</f>
        <v>Result</v>
      </c>
      <c r="R785" s="106" t="b">
        <f t="shared" si="2"/>
        <v>1</v>
      </c>
      <c r="S785" s="107">
        <f t="shared" si="3"/>
        <v>1</v>
      </c>
      <c r="T785" s="143"/>
      <c r="U785" s="142"/>
      <c r="V785" s="142"/>
      <c r="W785" s="142"/>
      <c r="X785" s="110" t="b">
        <f t="shared" si="4"/>
        <v>0</v>
      </c>
      <c r="Y785" s="111" t="b">
        <v>0</v>
      </c>
      <c r="Z785" s="104" t="str">
        <f t="shared" si="5"/>
        <v/>
      </c>
      <c r="AA785" s="112" t="b">
        <f t="shared" si="6"/>
        <v>0</v>
      </c>
      <c r="AB785" s="142" t="b">
        <v>0</v>
      </c>
      <c r="AC785" s="140">
        <v>38.0</v>
      </c>
      <c r="AD785" s="141" t="b">
        <v>0</v>
      </c>
      <c r="AE785" s="115">
        <f t="shared" si="7"/>
        <v>281.1833333</v>
      </c>
      <c r="AF785" s="116" t="b">
        <f t="shared" si="8"/>
        <v>0</v>
      </c>
      <c r="AG785" s="105" t="b">
        <f t="shared" si="9"/>
        <v>0</v>
      </c>
      <c r="AH785" s="140"/>
      <c r="AI785" s="140"/>
      <c r="AJ785" s="140"/>
      <c r="AK785" s="117" t="str">
        <f t="shared" si="10"/>
        <v>Negative</v>
      </c>
      <c r="AL785" s="142"/>
      <c r="AM785" s="112" t="s">
        <v>850</v>
      </c>
      <c r="AN785" s="112" t="s">
        <v>851</v>
      </c>
      <c r="AO785" s="112" t="str">
        <f>IFERROR(__xludf.DUMMYFUNCTION("IF($AG785, ""DELETED"",TRIM(JOIN("" "",D785:E785)))"),"")</f>
        <v/>
      </c>
      <c r="AP785" s="112" t="str">
        <f t="shared" ref="AP785:AQ785" si="811">IF($AG785, "DELETED", TRIM(CONCATENATE(F785,I785,U785)))</f>
        <v/>
      </c>
      <c r="AQ785" s="112" t="str">
        <f t="shared" si="811"/>
        <v/>
      </c>
      <c r="AR785" s="112" t="str">
        <f>IFERROR(__xludf.DUMMYFUNCTION("IF($AG785, ""DELETED"", TRIM(JOIN("" "",AP785,AQ785)))"),"")</f>
        <v/>
      </c>
      <c r="AS785" s="118"/>
      <c r="AT785" s="110" t="b">
        <f t="shared" si="12"/>
        <v>0</v>
      </c>
      <c r="AU785" s="110" t="str">
        <f t="shared" si="13"/>
        <v/>
      </c>
      <c r="AV785" s="110" t="str">
        <f t="shared" si="14"/>
        <v/>
      </c>
      <c r="AW785" s="110" t="str">
        <f t="shared" si="15"/>
        <v/>
      </c>
      <c r="AX785" s="119" t="str">
        <f t="shared" si="16"/>
        <v/>
      </c>
      <c r="AY785" s="120"/>
      <c r="AZ785" s="121"/>
      <c r="BA785" s="122" t="str">
        <f t="shared" si="17"/>
        <v/>
      </c>
      <c r="BB785" s="34"/>
      <c r="BC785" s="121"/>
      <c r="BD785" s="136"/>
      <c r="BE785" s="125" t="str">
        <f t="shared" si="18"/>
        <v/>
      </c>
      <c r="BF785" s="126" t="str">
        <f t="shared" si="19"/>
        <v>FM318__44631_0.290810185185185</v>
      </c>
      <c r="BG785" s="127" t="str">
        <f t="shared" si="20"/>
        <v/>
      </c>
      <c r="BH785" s="137" t="s">
        <v>2102</v>
      </c>
      <c r="BI785" s="128" t="str">
        <f t="shared" si="21"/>
        <v>MAX62</v>
      </c>
      <c r="BJ785" s="129" t="b">
        <f t="shared" si="740"/>
        <v>0</v>
      </c>
      <c r="BK785" s="128" t="str">
        <f t="shared" si="23"/>
        <v/>
      </c>
      <c r="BL785" s="121"/>
      <c r="BM785" s="5" t="str">
        <f t="shared" si="24"/>
        <v>MISSING</v>
      </c>
      <c r="BN785" s="120" t="b">
        <f t="shared" si="25"/>
        <v>0</v>
      </c>
      <c r="BO785" s="131" t="b">
        <f t="shared" si="26"/>
        <v>1</v>
      </c>
      <c r="BP785" s="121"/>
      <c r="BQ785" s="132" t="str">
        <f>VLOOKUP(A785,RAW_APS!A$3:O826,15,FALSE)</f>
        <v/>
      </c>
      <c r="BR785" s="120" t="b">
        <f t="shared" si="27"/>
        <v>1</v>
      </c>
      <c r="BS785" s="121"/>
      <c r="BT785" s="138" t="s">
        <v>244</v>
      </c>
      <c r="BU785" s="10" t="b">
        <f t="shared" si="28"/>
        <v>1</v>
      </c>
      <c r="BV785" s="120"/>
      <c r="BW785" s="120"/>
      <c r="BX785" s="120"/>
      <c r="BY785" s="120"/>
      <c r="BZ785" s="120"/>
      <c r="CA785" s="120"/>
      <c r="CB785" s="120"/>
      <c r="CC785" s="120"/>
    </row>
    <row r="786">
      <c r="A786" s="2" t="s">
        <v>2103</v>
      </c>
      <c r="B786" s="100">
        <v>44631.0</v>
      </c>
      <c r="C786" s="101">
        <v>0.2971875</v>
      </c>
      <c r="D786" s="102"/>
      <c r="E786" s="102"/>
      <c r="F786" s="102"/>
      <c r="G786" s="102"/>
      <c r="H786" s="102"/>
      <c r="I786" s="103"/>
      <c r="J786" s="103"/>
      <c r="K786" s="2" t="s">
        <v>244</v>
      </c>
      <c r="L786" s="100">
        <v>44631.0</v>
      </c>
      <c r="M786" s="101">
        <v>0.48608796296296297</v>
      </c>
      <c r="P786" s="104" t="b">
        <f>IFNA(IF(VLOOKUP($A786,'Add from APT'!$AA$2:$AC826,3,FALSE)&gt;0,TRUE,FALSE),"ER - NOT IN APT")</f>
        <v>0</v>
      </c>
      <c r="Q786" s="105" t="str">
        <f>IF(ISLOGICAL(P786),IF(P786,"ER - REPS IN APT", IFNA(VLOOKUP($A786,RAW_APT!$A$3:$M826,7,FALSE),"ER - NOT IN APT")),P786)</f>
        <v>Result</v>
      </c>
      <c r="R786" s="106" t="b">
        <f t="shared" si="2"/>
        <v>1</v>
      </c>
      <c r="S786" s="107">
        <f t="shared" si="3"/>
        <v>1</v>
      </c>
      <c r="T786" s="143"/>
      <c r="U786" s="142"/>
      <c r="V786" s="142"/>
      <c r="W786" s="142"/>
      <c r="X786" s="110" t="b">
        <f t="shared" si="4"/>
        <v>0</v>
      </c>
      <c r="Y786" s="111" t="b">
        <v>0</v>
      </c>
      <c r="Z786" s="104" t="str">
        <f t="shared" si="5"/>
        <v/>
      </c>
      <c r="AA786" s="112" t="b">
        <f t="shared" si="6"/>
        <v>0</v>
      </c>
      <c r="AB786" s="142" t="b">
        <v>0</v>
      </c>
      <c r="AC786" s="140">
        <v>37.0</v>
      </c>
      <c r="AD786" s="141" t="b">
        <v>0</v>
      </c>
      <c r="AE786" s="115">
        <f t="shared" si="7"/>
        <v>272.0166667</v>
      </c>
      <c r="AF786" s="116" t="b">
        <f t="shared" si="8"/>
        <v>0</v>
      </c>
      <c r="AG786" s="105" t="b">
        <f t="shared" si="9"/>
        <v>0</v>
      </c>
      <c r="AH786" s="140"/>
      <c r="AI786" s="140"/>
      <c r="AJ786" s="140"/>
      <c r="AK786" s="117" t="str">
        <f t="shared" si="10"/>
        <v>Negative</v>
      </c>
      <c r="AL786" s="142"/>
      <c r="AM786" s="112" t="s">
        <v>1260</v>
      </c>
      <c r="AN786" s="112" t="s">
        <v>1261</v>
      </c>
      <c r="AO786" s="112" t="str">
        <f>IFERROR(__xludf.DUMMYFUNCTION("IF($AG786, ""DELETED"",TRIM(JOIN("" "",D786:E786)))"),"")</f>
        <v/>
      </c>
      <c r="AP786" s="112" t="str">
        <f t="shared" ref="AP786:AQ786" si="812">IF($AG786, "DELETED", TRIM(CONCATENATE(F786,I786,U786)))</f>
        <v/>
      </c>
      <c r="AQ786" s="112" t="str">
        <f t="shared" si="812"/>
        <v/>
      </c>
      <c r="AR786" s="112" t="str">
        <f>IFERROR(__xludf.DUMMYFUNCTION("IF($AG786, ""DELETED"", TRIM(JOIN("" "",AP786,AQ786)))"),"")</f>
        <v/>
      </c>
      <c r="AS786" s="118"/>
      <c r="AT786" s="110" t="b">
        <f t="shared" si="12"/>
        <v>0</v>
      </c>
      <c r="AU786" s="110" t="str">
        <f t="shared" si="13"/>
        <v/>
      </c>
      <c r="AV786" s="110" t="str">
        <f t="shared" si="14"/>
        <v/>
      </c>
      <c r="AW786" s="110" t="str">
        <f t="shared" si="15"/>
        <v/>
      </c>
      <c r="AX786" s="119" t="str">
        <f t="shared" si="16"/>
        <v/>
      </c>
      <c r="AY786" s="120"/>
      <c r="AZ786" s="121"/>
      <c r="BA786" s="122" t="str">
        <f t="shared" si="17"/>
        <v/>
      </c>
      <c r="BB786" s="34"/>
      <c r="BC786" s="121"/>
      <c r="BD786" s="136"/>
      <c r="BE786" s="125" t="str">
        <f t="shared" si="18"/>
        <v/>
      </c>
      <c r="BF786" s="126" t="str">
        <f t="shared" si="19"/>
        <v>FM2042__44631_0.2971875</v>
      </c>
      <c r="BG786" s="127" t="str">
        <f t="shared" si="20"/>
        <v/>
      </c>
      <c r="BH786" s="137" t="s">
        <v>2104</v>
      </c>
      <c r="BI786" s="128" t="str">
        <f t="shared" si="21"/>
        <v>MAX63</v>
      </c>
      <c r="BJ786" s="129" t="b">
        <f t="shared" si="740"/>
        <v>0</v>
      </c>
      <c r="BK786" s="128" t="str">
        <f t="shared" si="23"/>
        <v/>
      </c>
      <c r="BL786" s="121"/>
      <c r="BM786" s="5" t="str">
        <f t="shared" si="24"/>
        <v>MISSING</v>
      </c>
      <c r="BN786" s="120" t="b">
        <f t="shared" si="25"/>
        <v>0</v>
      </c>
      <c r="BO786" s="131" t="b">
        <f t="shared" si="26"/>
        <v>1</v>
      </c>
      <c r="BP786" s="121"/>
      <c r="BQ786" s="132" t="str">
        <f>VLOOKUP(A786,RAW_APS!A$3:O826,15,FALSE)</f>
        <v/>
      </c>
      <c r="BR786" s="120" t="b">
        <f t="shared" si="27"/>
        <v>1</v>
      </c>
      <c r="BS786" s="121"/>
      <c r="BT786" s="138" t="s">
        <v>244</v>
      </c>
      <c r="BU786" s="10" t="b">
        <f t="shared" si="28"/>
        <v>1</v>
      </c>
      <c r="BV786" s="120"/>
      <c r="BW786" s="120"/>
      <c r="BX786" s="120"/>
      <c r="BY786" s="120"/>
      <c r="BZ786" s="120"/>
      <c r="CA786" s="120"/>
      <c r="CB786" s="120"/>
      <c r="CC786" s="120"/>
    </row>
    <row r="787">
      <c r="A787" s="2" t="s">
        <v>2105</v>
      </c>
      <c r="B787" s="100">
        <v>44631.0</v>
      </c>
      <c r="C787" s="101">
        <v>0.30041666666666667</v>
      </c>
      <c r="D787" s="102"/>
      <c r="E787" s="102"/>
      <c r="F787" s="102"/>
      <c r="G787" s="102"/>
      <c r="H787" s="102"/>
      <c r="I787" s="103"/>
      <c r="J787" s="103"/>
      <c r="K787" s="2" t="s">
        <v>244</v>
      </c>
      <c r="L787" s="100">
        <v>44631.0</v>
      </c>
      <c r="M787" s="101">
        <v>0.48608796296296297</v>
      </c>
      <c r="P787" s="104" t="b">
        <f>IFNA(IF(VLOOKUP($A787,'Add from APT'!$AA$2:$AC826,3,FALSE)&gt;0,TRUE,FALSE),"ER - NOT IN APT")</f>
        <v>0</v>
      </c>
      <c r="Q787" s="105" t="str">
        <f>IF(ISLOGICAL(P787),IF(P787,"ER - REPS IN APT", IFNA(VLOOKUP($A787,RAW_APT!$A$3:$M826,7,FALSE),"ER - NOT IN APT")),P787)</f>
        <v>Result</v>
      </c>
      <c r="R787" s="106" t="b">
        <f t="shared" si="2"/>
        <v>1</v>
      </c>
      <c r="S787" s="107">
        <f t="shared" si="3"/>
        <v>1</v>
      </c>
      <c r="T787" s="143"/>
      <c r="U787" s="142"/>
      <c r="V787" s="142"/>
      <c r="W787" s="142"/>
      <c r="X787" s="110" t="b">
        <f t="shared" si="4"/>
        <v>0</v>
      </c>
      <c r="Y787" s="111" t="b">
        <v>0</v>
      </c>
      <c r="Z787" s="104" t="str">
        <f t="shared" si="5"/>
        <v/>
      </c>
      <c r="AA787" s="112" t="b">
        <f t="shared" si="6"/>
        <v>0</v>
      </c>
      <c r="AB787" s="142" t="b">
        <v>0</v>
      </c>
      <c r="AC787" s="140">
        <v>36.0</v>
      </c>
      <c r="AD787" s="141" t="b">
        <v>0</v>
      </c>
      <c r="AE787" s="115">
        <f t="shared" si="7"/>
        <v>267.3666667</v>
      </c>
      <c r="AF787" s="116" t="b">
        <f t="shared" si="8"/>
        <v>0</v>
      </c>
      <c r="AG787" s="105" t="b">
        <f t="shared" si="9"/>
        <v>0</v>
      </c>
      <c r="AH787" s="140"/>
      <c r="AI787" s="140"/>
      <c r="AJ787" s="140"/>
      <c r="AK787" s="117" t="str">
        <f t="shared" si="10"/>
        <v>Negative</v>
      </c>
      <c r="AL787" s="142"/>
      <c r="AM787" s="112" t="s">
        <v>430</v>
      </c>
      <c r="AN787" s="112" t="s">
        <v>431</v>
      </c>
      <c r="AO787" s="112" t="str">
        <f>IFERROR(__xludf.DUMMYFUNCTION("IF($AG787, ""DELETED"",TRIM(JOIN("" "",D787:E787)))"),"")</f>
        <v/>
      </c>
      <c r="AP787" s="112" t="str">
        <f t="shared" ref="AP787:AQ787" si="813">IF($AG787, "DELETED", TRIM(CONCATENATE(F787,I787,U787)))</f>
        <v/>
      </c>
      <c r="AQ787" s="112" t="str">
        <f t="shared" si="813"/>
        <v/>
      </c>
      <c r="AR787" s="112" t="str">
        <f>IFERROR(__xludf.DUMMYFUNCTION("IF($AG787, ""DELETED"", TRIM(JOIN("" "",AP787,AQ787)))"),"")</f>
        <v/>
      </c>
      <c r="AS787" s="118"/>
      <c r="AT787" s="110" t="b">
        <f t="shared" si="12"/>
        <v>0</v>
      </c>
      <c r="AU787" s="110" t="str">
        <f t="shared" si="13"/>
        <v/>
      </c>
      <c r="AV787" s="110" t="str">
        <f t="shared" si="14"/>
        <v/>
      </c>
      <c r="AW787" s="110" t="str">
        <f t="shared" si="15"/>
        <v/>
      </c>
      <c r="AX787" s="119" t="str">
        <f t="shared" si="16"/>
        <v/>
      </c>
      <c r="AY787" s="120"/>
      <c r="AZ787" s="121"/>
      <c r="BA787" s="122" t="str">
        <f t="shared" si="17"/>
        <v/>
      </c>
      <c r="BB787" s="34"/>
      <c r="BC787" s="121"/>
      <c r="BD787" s="136"/>
      <c r="BE787" s="125" t="str">
        <f t="shared" si="18"/>
        <v/>
      </c>
      <c r="BF787" s="126" t="str">
        <f t="shared" si="19"/>
        <v>FM438__44631_0.300416666666667</v>
      </c>
      <c r="BG787" s="127" t="str">
        <f t="shared" si="20"/>
        <v/>
      </c>
      <c r="BH787" s="137" t="s">
        <v>2106</v>
      </c>
      <c r="BI787" s="128" t="str">
        <f t="shared" si="21"/>
        <v>MAX64</v>
      </c>
      <c r="BJ787" s="129" t="b">
        <f t="shared" si="740"/>
        <v>0</v>
      </c>
      <c r="BK787" s="128" t="str">
        <f t="shared" si="23"/>
        <v/>
      </c>
      <c r="BL787" s="121"/>
      <c r="BM787" s="5" t="str">
        <f t="shared" si="24"/>
        <v>MISSING</v>
      </c>
      <c r="BN787" s="120" t="b">
        <f t="shared" si="25"/>
        <v>0</v>
      </c>
      <c r="BO787" s="131" t="b">
        <f t="shared" si="26"/>
        <v>1</v>
      </c>
      <c r="BP787" s="121"/>
      <c r="BQ787" s="132" t="str">
        <f>VLOOKUP(A787,RAW_APS!A$3:O826,15,FALSE)</f>
        <v/>
      </c>
      <c r="BR787" s="120" t="b">
        <f t="shared" si="27"/>
        <v>1</v>
      </c>
      <c r="BS787" s="121"/>
      <c r="BT787" s="138" t="s">
        <v>244</v>
      </c>
      <c r="BU787" s="10" t="b">
        <f t="shared" si="28"/>
        <v>1</v>
      </c>
      <c r="BV787" s="120"/>
      <c r="BW787" s="120"/>
      <c r="BX787" s="120"/>
      <c r="BY787" s="120"/>
      <c r="BZ787" s="120"/>
      <c r="CA787" s="120"/>
      <c r="CB787" s="120"/>
      <c r="CC787" s="120"/>
    </row>
    <row r="788">
      <c r="A788" s="2" t="s">
        <v>2107</v>
      </c>
      <c r="B788" s="100">
        <v>44631.0</v>
      </c>
      <c r="C788" s="101">
        <v>0.3006712962962963</v>
      </c>
      <c r="D788" s="102"/>
      <c r="E788" s="102"/>
      <c r="F788" s="102"/>
      <c r="G788" s="102"/>
      <c r="H788" s="102"/>
      <c r="I788" s="103"/>
      <c r="J788" s="103"/>
      <c r="K788" s="2" t="s">
        <v>244</v>
      </c>
      <c r="L788" s="100">
        <v>44631.0</v>
      </c>
      <c r="M788" s="101">
        <v>0.48608796296296297</v>
      </c>
      <c r="P788" s="104" t="b">
        <f>IFNA(IF(VLOOKUP($A788,'Add from APT'!$AA$2:$AC826,3,FALSE)&gt;0,TRUE,FALSE),"ER - NOT IN APT")</f>
        <v>0</v>
      </c>
      <c r="Q788" s="105" t="str">
        <f>IF(ISLOGICAL(P788),IF(P788,"ER - REPS IN APT", IFNA(VLOOKUP($A788,RAW_APT!$A$3:$M826,7,FALSE),"ER - NOT IN APT")),P788)</f>
        <v>Result</v>
      </c>
      <c r="R788" s="106" t="b">
        <f t="shared" si="2"/>
        <v>1</v>
      </c>
      <c r="S788" s="107">
        <f t="shared" si="3"/>
        <v>1</v>
      </c>
      <c r="T788" s="143"/>
      <c r="U788" s="142"/>
      <c r="V788" s="142"/>
      <c r="W788" s="142"/>
      <c r="X788" s="110" t="b">
        <f t="shared" si="4"/>
        <v>0</v>
      </c>
      <c r="Y788" s="111" t="b">
        <v>0</v>
      </c>
      <c r="Z788" s="104" t="str">
        <f t="shared" si="5"/>
        <v/>
      </c>
      <c r="AA788" s="112" t="b">
        <f t="shared" si="6"/>
        <v>0</v>
      </c>
      <c r="AB788" s="142" t="b">
        <v>0</v>
      </c>
      <c r="AC788" s="140">
        <v>35.0</v>
      </c>
      <c r="AD788" s="141" t="b">
        <v>0</v>
      </c>
      <c r="AE788" s="115">
        <f t="shared" si="7"/>
        <v>267</v>
      </c>
      <c r="AF788" s="116" t="b">
        <f t="shared" si="8"/>
        <v>0</v>
      </c>
      <c r="AG788" s="105" t="b">
        <f t="shared" si="9"/>
        <v>0</v>
      </c>
      <c r="AH788" s="140"/>
      <c r="AI788" s="140"/>
      <c r="AJ788" s="140"/>
      <c r="AK788" s="117" t="str">
        <f t="shared" si="10"/>
        <v>Negative</v>
      </c>
      <c r="AL788" s="142"/>
      <c r="AM788" s="112" t="s">
        <v>1254</v>
      </c>
      <c r="AN788" s="112" t="s">
        <v>1255</v>
      </c>
      <c r="AO788" s="112" t="str">
        <f>IFERROR(__xludf.DUMMYFUNCTION("IF($AG788, ""DELETED"",TRIM(JOIN("" "",D788:E788)))"),"")</f>
        <v/>
      </c>
      <c r="AP788" s="112" t="str">
        <f t="shared" ref="AP788:AQ788" si="814">IF($AG788, "DELETED", TRIM(CONCATENATE(F788,I788,U788)))</f>
        <v/>
      </c>
      <c r="AQ788" s="112" t="str">
        <f t="shared" si="814"/>
        <v/>
      </c>
      <c r="AR788" s="112" t="str">
        <f>IFERROR(__xludf.DUMMYFUNCTION("IF($AG788, ""DELETED"", TRIM(JOIN("" "",AP788,AQ788)))"),"")</f>
        <v/>
      </c>
      <c r="AS788" s="118"/>
      <c r="AT788" s="110" t="b">
        <f t="shared" si="12"/>
        <v>0</v>
      </c>
      <c r="AU788" s="110" t="str">
        <f t="shared" si="13"/>
        <v/>
      </c>
      <c r="AV788" s="110" t="str">
        <f t="shared" si="14"/>
        <v/>
      </c>
      <c r="AW788" s="110" t="str">
        <f t="shared" si="15"/>
        <v/>
      </c>
      <c r="AX788" s="119" t="str">
        <f t="shared" si="16"/>
        <v/>
      </c>
      <c r="AY788" s="120"/>
      <c r="AZ788" s="121"/>
      <c r="BA788" s="122" t="str">
        <f t="shared" si="17"/>
        <v/>
      </c>
      <c r="BB788" s="34"/>
      <c r="BC788" s="121"/>
      <c r="BD788" s="136"/>
      <c r="BE788" s="125" t="str">
        <f t="shared" si="18"/>
        <v/>
      </c>
      <c r="BF788" s="126" t="str">
        <f t="shared" si="19"/>
        <v>FM355__44631_0.300671296296296</v>
      </c>
      <c r="BG788" s="127" t="str">
        <f t="shared" si="20"/>
        <v/>
      </c>
      <c r="BH788" s="137" t="s">
        <v>2108</v>
      </c>
      <c r="BI788" s="128" t="str">
        <f t="shared" si="21"/>
        <v>MAX65</v>
      </c>
      <c r="BJ788" s="129" t="b">
        <f t="shared" si="740"/>
        <v>0</v>
      </c>
      <c r="BK788" s="128" t="str">
        <f t="shared" si="23"/>
        <v/>
      </c>
      <c r="BL788" s="121"/>
      <c r="BM788" s="5" t="str">
        <f t="shared" si="24"/>
        <v>MISSING</v>
      </c>
      <c r="BN788" s="120" t="b">
        <f t="shared" si="25"/>
        <v>0</v>
      </c>
      <c r="BO788" s="131" t="b">
        <f t="shared" si="26"/>
        <v>1</v>
      </c>
      <c r="BP788" s="121"/>
      <c r="BQ788" s="132" t="str">
        <f>VLOOKUP(A788,RAW_APS!A$3:O826,15,FALSE)</f>
        <v/>
      </c>
      <c r="BR788" s="120" t="b">
        <f t="shared" si="27"/>
        <v>1</v>
      </c>
      <c r="BS788" s="121"/>
      <c r="BT788" s="138" t="s">
        <v>244</v>
      </c>
      <c r="BU788" s="10" t="b">
        <f t="shared" si="28"/>
        <v>1</v>
      </c>
      <c r="BV788" s="120"/>
      <c r="BW788" s="120"/>
      <c r="BX788" s="120"/>
      <c r="BY788" s="120"/>
      <c r="BZ788" s="120"/>
      <c r="CA788" s="120"/>
      <c r="CB788" s="120"/>
      <c r="CC788" s="120"/>
    </row>
    <row r="789">
      <c r="A789" s="2" t="s">
        <v>2109</v>
      </c>
      <c r="B789" s="100">
        <v>44631.0</v>
      </c>
      <c r="C789" s="101">
        <v>0.30194444444444446</v>
      </c>
      <c r="D789" s="102"/>
      <c r="E789" s="102"/>
      <c r="F789" s="102"/>
      <c r="G789" s="102"/>
      <c r="H789" s="102"/>
      <c r="I789" s="103"/>
      <c r="J789" s="103"/>
      <c r="K789" s="2" t="s">
        <v>244</v>
      </c>
      <c r="L789" s="100">
        <v>44631.0</v>
      </c>
      <c r="M789" s="101">
        <v>0.48608796296296297</v>
      </c>
      <c r="P789" s="104" t="b">
        <f>IFNA(IF(VLOOKUP($A789,'Add from APT'!$AA$2:$AC826,3,FALSE)&gt;0,TRUE,FALSE),"ER - NOT IN APT")</f>
        <v>0</v>
      </c>
      <c r="Q789" s="105" t="str">
        <f>IF(ISLOGICAL(P789),IF(P789,"ER - REPS IN APT", IFNA(VLOOKUP($A789,RAW_APT!$A$3:$M826,7,FALSE),"ER - NOT IN APT")),P789)</f>
        <v>Result</v>
      </c>
      <c r="R789" s="106" t="b">
        <f t="shared" si="2"/>
        <v>1</v>
      </c>
      <c r="S789" s="107">
        <f t="shared" si="3"/>
        <v>1</v>
      </c>
      <c r="T789" s="143"/>
      <c r="U789" s="142"/>
      <c r="V789" s="142"/>
      <c r="W789" s="142"/>
      <c r="X789" s="110" t="b">
        <f t="shared" si="4"/>
        <v>0</v>
      </c>
      <c r="Y789" s="111" t="b">
        <v>0</v>
      </c>
      <c r="Z789" s="104" t="str">
        <f t="shared" si="5"/>
        <v/>
      </c>
      <c r="AA789" s="112" t="b">
        <f t="shared" si="6"/>
        <v>0</v>
      </c>
      <c r="AB789" s="142" t="b">
        <v>0</v>
      </c>
      <c r="AC789" s="140">
        <v>34.0</v>
      </c>
      <c r="AD789" s="141" t="b">
        <v>0</v>
      </c>
      <c r="AE789" s="115">
        <f t="shared" si="7"/>
        <v>265.1666667</v>
      </c>
      <c r="AF789" s="116" t="b">
        <f t="shared" si="8"/>
        <v>0</v>
      </c>
      <c r="AG789" s="105" t="b">
        <f t="shared" si="9"/>
        <v>0</v>
      </c>
      <c r="AH789" s="140"/>
      <c r="AI789" s="140"/>
      <c r="AJ789" s="140"/>
      <c r="AK789" s="117" t="str">
        <f t="shared" si="10"/>
        <v>Negative</v>
      </c>
      <c r="AL789" s="142"/>
      <c r="AM789" s="112" t="s">
        <v>1294</v>
      </c>
      <c r="AN789" s="112" t="s">
        <v>1295</v>
      </c>
      <c r="AO789" s="112" t="str">
        <f>IFERROR(__xludf.DUMMYFUNCTION("IF($AG789, ""DELETED"",TRIM(JOIN("" "",D789:E789)))"),"")</f>
        <v/>
      </c>
      <c r="AP789" s="112" t="str">
        <f t="shared" ref="AP789:AQ789" si="815">IF($AG789, "DELETED", TRIM(CONCATENATE(F789,I789,U789)))</f>
        <v/>
      </c>
      <c r="AQ789" s="112" t="str">
        <f t="shared" si="815"/>
        <v/>
      </c>
      <c r="AR789" s="112" t="str">
        <f>IFERROR(__xludf.DUMMYFUNCTION("IF($AG789, ""DELETED"", TRIM(JOIN("" "",AP789,AQ789)))"),"")</f>
        <v/>
      </c>
      <c r="AS789" s="118"/>
      <c r="AT789" s="110" t="b">
        <f t="shared" si="12"/>
        <v>0</v>
      </c>
      <c r="AU789" s="110" t="str">
        <f t="shared" si="13"/>
        <v/>
      </c>
      <c r="AV789" s="110" t="str">
        <f t="shared" si="14"/>
        <v/>
      </c>
      <c r="AW789" s="110" t="str">
        <f t="shared" si="15"/>
        <v/>
      </c>
      <c r="AX789" s="119" t="str">
        <f t="shared" si="16"/>
        <v/>
      </c>
      <c r="AY789" s="120"/>
      <c r="AZ789" s="121"/>
      <c r="BA789" s="122" t="str">
        <f t="shared" si="17"/>
        <v/>
      </c>
      <c r="BB789" s="34"/>
      <c r="BC789" s="121"/>
      <c r="BD789" s="136"/>
      <c r="BE789" s="125" t="str">
        <f t="shared" si="18"/>
        <v/>
      </c>
      <c r="BF789" s="126" t="str">
        <f t="shared" si="19"/>
        <v>MA407__44631_0.301944444444444</v>
      </c>
      <c r="BG789" s="127" t="str">
        <f t="shared" si="20"/>
        <v/>
      </c>
      <c r="BH789" s="137" t="s">
        <v>2110</v>
      </c>
      <c r="BI789" s="128" t="str">
        <f t="shared" si="21"/>
        <v>MAX67</v>
      </c>
      <c r="BJ789" s="129" t="b">
        <f t="shared" si="740"/>
        <v>0</v>
      </c>
      <c r="BK789" s="128" t="str">
        <f t="shared" si="23"/>
        <v/>
      </c>
      <c r="BL789" s="121"/>
      <c r="BM789" s="5" t="str">
        <f t="shared" si="24"/>
        <v>MISSING</v>
      </c>
      <c r="BN789" s="120" t="b">
        <f t="shared" si="25"/>
        <v>0</v>
      </c>
      <c r="BO789" s="131" t="b">
        <f t="shared" si="26"/>
        <v>1</v>
      </c>
      <c r="BP789" s="121"/>
      <c r="BQ789" s="132" t="str">
        <f>VLOOKUP(A789,RAW_APS!A$3:O826,15,FALSE)</f>
        <v/>
      </c>
      <c r="BR789" s="120" t="b">
        <f t="shared" si="27"/>
        <v>1</v>
      </c>
      <c r="BS789" s="121"/>
      <c r="BT789" s="138" t="s">
        <v>244</v>
      </c>
      <c r="BU789" s="10" t="b">
        <f t="shared" si="28"/>
        <v>1</v>
      </c>
      <c r="BV789" s="120"/>
      <c r="BW789" s="120"/>
      <c r="BX789" s="120"/>
      <c r="BY789" s="120"/>
      <c r="BZ789" s="120"/>
      <c r="CA789" s="120"/>
      <c r="CB789" s="120"/>
      <c r="CC789" s="120"/>
    </row>
    <row r="790">
      <c r="A790" s="2" t="s">
        <v>2111</v>
      </c>
      <c r="B790" s="100">
        <v>44631.0</v>
      </c>
      <c r="C790" s="101">
        <v>0.3019560185185185</v>
      </c>
      <c r="D790" s="102"/>
      <c r="E790" s="102"/>
      <c r="F790" s="102"/>
      <c r="G790" s="102"/>
      <c r="H790" s="102"/>
      <c r="I790" s="103"/>
      <c r="J790" s="103"/>
      <c r="K790" s="2" t="s">
        <v>244</v>
      </c>
      <c r="L790" s="100">
        <v>44631.0</v>
      </c>
      <c r="M790" s="101">
        <v>0.48608796296296297</v>
      </c>
      <c r="P790" s="104" t="b">
        <f>IFNA(IF(VLOOKUP($A790,'Add from APT'!$AA$2:$AC826,3,FALSE)&gt;0,TRUE,FALSE),"ER - NOT IN APT")</f>
        <v>0</v>
      </c>
      <c r="Q790" s="105" t="str">
        <f>IF(ISLOGICAL(P790),IF(P790,"ER - REPS IN APT", IFNA(VLOOKUP($A790,RAW_APT!$A$3:$M826,7,FALSE),"ER - NOT IN APT")),P790)</f>
        <v>Result</v>
      </c>
      <c r="R790" s="106" t="b">
        <f t="shared" si="2"/>
        <v>1</v>
      </c>
      <c r="S790" s="107">
        <f t="shared" si="3"/>
        <v>1</v>
      </c>
      <c r="T790" s="143"/>
      <c r="U790" s="142"/>
      <c r="V790" s="142"/>
      <c r="W790" s="142"/>
      <c r="X790" s="110" t="b">
        <f t="shared" si="4"/>
        <v>0</v>
      </c>
      <c r="Y790" s="111" t="b">
        <v>0</v>
      </c>
      <c r="Z790" s="104" t="str">
        <f t="shared" si="5"/>
        <v/>
      </c>
      <c r="AA790" s="112" t="b">
        <f t="shared" si="6"/>
        <v>0</v>
      </c>
      <c r="AB790" s="142" t="b">
        <v>0</v>
      </c>
      <c r="AC790" s="140">
        <v>33.0</v>
      </c>
      <c r="AD790" s="141" t="b">
        <v>0</v>
      </c>
      <c r="AE790" s="115">
        <f t="shared" si="7"/>
        <v>265.15</v>
      </c>
      <c r="AF790" s="116" t="b">
        <f t="shared" si="8"/>
        <v>0</v>
      </c>
      <c r="AG790" s="105" t="b">
        <f t="shared" si="9"/>
        <v>0</v>
      </c>
      <c r="AH790" s="140"/>
      <c r="AI790" s="140"/>
      <c r="AJ790" s="140"/>
      <c r="AK790" s="117" t="str">
        <f t="shared" si="10"/>
        <v>Negative</v>
      </c>
      <c r="AL790" s="142"/>
      <c r="AM790" s="112" t="s">
        <v>1298</v>
      </c>
      <c r="AN790" s="112" t="s">
        <v>1299</v>
      </c>
      <c r="AO790" s="112" t="str">
        <f>IFERROR(__xludf.DUMMYFUNCTION("IF($AG790, ""DELETED"",TRIM(JOIN("" "",D790:E790)))"),"")</f>
        <v/>
      </c>
      <c r="AP790" s="112" t="str">
        <f t="shared" ref="AP790:AQ790" si="816">IF($AG790, "DELETED", TRIM(CONCATENATE(F790,I790,U790)))</f>
        <v/>
      </c>
      <c r="AQ790" s="112" t="str">
        <f t="shared" si="816"/>
        <v/>
      </c>
      <c r="AR790" s="112" t="str">
        <f>IFERROR(__xludf.DUMMYFUNCTION("IF($AG790, ""DELETED"", TRIM(JOIN("" "",AP790,AQ790)))"),"")</f>
        <v/>
      </c>
      <c r="AS790" s="118"/>
      <c r="AT790" s="110" t="b">
        <f t="shared" si="12"/>
        <v>0</v>
      </c>
      <c r="AU790" s="110" t="str">
        <f t="shared" si="13"/>
        <v/>
      </c>
      <c r="AV790" s="110" t="str">
        <f t="shared" si="14"/>
        <v/>
      </c>
      <c r="AW790" s="110" t="str">
        <f t="shared" si="15"/>
        <v/>
      </c>
      <c r="AX790" s="119" t="str">
        <f t="shared" si="16"/>
        <v/>
      </c>
      <c r="AY790" s="120"/>
      <c r="AZ790" s="121"/>
      <c r="BA790" s="122" t="str">
        <f t="shared" si="17"/>
        <v/>
      </c>
      <c r="BB790" s="34"/>
      <c r="BC790" s="121"/>
      <c r="BD790" s="136"/>
      <c r="BE790" s="125" t="str">
        <f t="shared" si="18"/>
        <v/>
      </c>
      <c r="BF790" s="126" t="str">
        <f t="shared" si="19"/>
        <v>MA325__44631_0.301956018518519</v>
      </c>
      <c r="BG790" s="127" t="str">
        <f t="shared" si="20"/>
        <v/>
      </c>
      <c r="BH790" s="137" t="s">
        <v>2112</v>
      </c>
      <c r="BI790" s="128" t="str">
        <f t="shared" si="21"/>
        <v>MAX68</v>
      </c>
      <c r="BJ790" s="129" t="b">
        <f t="shared" si="740"/>
        <v>0</v>
      </c>
      <c r="BK790" s="128" t="str">
        <f t="shared" si="23"/>
        <v/>
      </c>
      <c r="BL790" s="121"/>
      <c r="BM790" s="5" t="str">
        <f t="shared" si="24"/>
        <v>MISSING</v>
      </c>
      <c r="BN790" s="120" t="b">
        <f t="shared" si="25"/>
        <v>0</v>
      </c>
      <c r="BO790" s="131" t="b">
        <f t="shared" si="26"/>
        <v>1</v>
      </c>
      <c r="BP790" s="121"/>
      <c r="BQ790" s="132" t="str">
        <f>VLOOKUP(A790,RAW_APS!A$3:O826,15,FALSE)</f>
        <v/>
      </c>
      <c r="BR790" s="120" t="b">
        <f t="shared" si="27"/>
        <v>1</v>
      </c>
      <c r="BS790" s="121"/>
      <c r="BT790" s="138" t="s">
        <v>244</v>
      </c>
      <c r="BU790" s="10" t="b">
        <f t="shared" si="28"/>
        <v>1</v>
      </c>
      <c r="BV790" s="120"/>
      <c r="BW790" s="120"/>
      <c r="BX790" s="120"/>
      <c r="BY790" s="120"/>
      <c r="BZ790" s="120"/>
      <c r="CA790" s="120"/>
      <c r="CB790" s="120"/>
      <c r="CC790" s="120"/>
    </row>
    <row r="791">
      <c r="A791" s="2" t="s">
        <v>2113</v>
      </c>
      <c r="B791" s="100">
        <v>44631.0</v>
      </c>
      <c r="C791" s="101">
        <v>0.30644675925925924</v>
      </c>
      <c r="D791" s="102"/>
      <c r="E791" s="102"/>
      <c r="F791" s="102"/>
      <c r="G791" s="102"/>
      <c r="H791" s="102"/>
      <c r="I791" s="103"/>
      <c r="J791" s="103"/>
      <c r="K791" s="2" t="s">
        <v>244</v>
      </c>
      <c r="L791" s="100">
        <v>44631.0</v>
      </c>
      <c r="M791" s="101">
        <v>0.48608796296296297</v>
      </c>
      <c r="P791" s="104" t="b">
        <f>IFNA(IF(VLOOKUP($A791,'Add from APT'!$AA$2:$AC826,3,FALSE)&gt;0,TRUE,FALSE),"ER - NOT IN APT")</f>
        <v>0</v>
      </c>
      <c r="Q791" s="105" t="str">
        <f>IF(ISLOGICAL(P791),IF(P791,"ER - REPS IN APT", IFNA(VLOOKUP($A791,RAW_APT!$A$3:$M826,7,FALSE),"ER - NOT IN APT")),P791)</f>
        <v>Result</v>
      </c>
      <c r="R791" s="106" t="b">
        <f t="shared" si="2"/>
        <v>1</v>
      </c>
      <c r="S791" s="107">
        <f t="shared" si="3"/>
        <v>1</v>
      </c>
      <c r="T791" s="143"/>
      <c r="U791" s="142"/>
      <c r="V791" s="142"/>
      <c r="W791" s="142"/>
      <c r="X791" s="110" t="b">
        <f t="shared" si="4"/>
        <v>0</v>
      </c>
      <c r="Y791" s="111" t="b">
        <v>0</v>
      </c>
      <c r="Z791" s="104" t="str">
        <f t="shared" si="5"/>
        <v/>
      </c>
      <c r="AA791" s="112" t="b">
        <f t="shared" si="6"/>
        <v>0</v>
      </c>
      <c r="AB791" s="142" t="b">
        <v>0</v>
      </c>
      <c r="AC791" s="140">
        <v>32.0</v>
      </c>
      <c r="AD791" s="141" t="b">
        <v>0</v>
      </c>
      <c r="AE791" s="115">
        <f t="shared" si="7"/>
        <v>258.6833333</v>
      </c>
      <c r="AF791" s="116" t="b">
        <f t="shared" si="8"/>
        <v>0</v>
      </c>
      <c r="AG791" s="105" t="b">
        <f t="shared" si="9"/>
        <v>0</v>
      </c>
      <c r="AH791" s="140"/>
      <c r="AI791" s="140"/>
      <c r="AJ791" s="140"/>
      <c r="AK791" s="117" t="str">
        <f t="shared" si="10"/>
        <v>Negative</v>
      </c>
      <c r="AL791" s="142"/>
      <c r="AM791" s="112" t="s">
        <v>857</v>
      </c>
      <c r="AN791" s="112" t="s">
        <v>696</v>
      </c>
      <c r="AO791" s="112" t="str">
        <f>IFERROR(__xludf.DUMMYFUNCTION("IF($AG791, ""DELETED"",TRIM(JOIN("" "",D791:E791)))"),"")</f>
        <v/>
      </c>
      <c r="AP791" s="112" t="str">
        <f t="shared" ref="AP791:AQ791" si="817">IF($AG791, "DELETED", TRIM(CONCATENATE(F791,I791,U791)))</f>
        <v/>
      </c>
      <c r="AQ791" s="112" t="str">
        <f t="shared" si="817"/>
        <v/>
      </c>
      <c r="AR791" s="112" t="str">
        <f>IFERROR(__xludf.DUMMYFUNCTION("IF($AG791, ""DELETED"", TRIM(JOIN("" "",AP791,AQ791)))"),"")</f>
        <v/>
      </c>
      <c r="AS791" s="118"/>
      <c r="AT791" s="110" t="b">
        <f t="shared" si="12"/>
        <v>0</v>
      </c>
      <c r="AU791" s="110" t="str">
        <f t="shared" si="13"/>
        <v/>
      </c>
      <c r="AV791" s="110" t="str">
        <f t="shared" si="14"/>
        <v/>
      </c>
      <c r="AW791" s="110" t="str">
        <f t="shared" si="15"/>
        <v/>
      </c>
      <c r="AX791" s="119" t="str">
        <f t="shared" si="16"/>
        <v/>
      </c>
      <c r="AY791" s="120"/>
      <c r="AZ791" s="121"/>
      <c r="BA791" s="122" t="str">
        <f t="shared" si="17"/>
        <v/>
      </c>
      <c r="BB791" s="34"/>
      <c r="BC791" s="121"/>
      <c r="BD791" s="136"/>
      <c r="BE791" s="125" t="str">
        <f t="shared" si="18"/>
        <v/>
      </c>
      <c r="BF791" s="126" t="str">
        <f t="shared" si="19"/>
        <v>FM17__44631_0.306446759259259</v>
      </c>
      <c r="BG791" s="127" t="str">
        <f t="shared" si="20"/>
        <v/>
      </c>
      <c r="BH791" s="137" t="s">
        <v>2114</v>
      </c>
      <c r="BI791" s="128" t="str">
        <f t="shared" si="21"/>
        <v>MAX69</v>
      </c>
      <c r="BJ791" s="129" t="b">
        <f t="shared" si="740"/>
        <v>0</v>
      </c>
      <c r="BK791" s="128" t="str">
        <f t="shared" si="23"/>
        <v/>
      </c>
      <c r="BL791" s="121"/>
      <c r="BM791" s="5" t="str">
        <f t="shared" si="24"/>
        <v>MISSING</v>
      </c>
      <c r="BN791" s="120" t="b">
        <f t="shared" si="25"/>
        <v>0</v>
      </c>
      <c r="BO791" s="131" t="b">
        <f t="shared" si="26"/>
        <v>1</v>
      </c>
      <c r="BP791" s="121"/>
      <c r="BQ791" s="132" t="str">
        <f>VLOOKUP(A791,RAW_APS!A$3:O826,15,FALSE)</f>
        <v/>
      </c>
      <c r="BR791" s="120" t="b">
        <f t="shared" si="27"/>
        <v>1</v>
      </c>
      <c r="BS791" s="121"/>
      <c r="BT791" s="138" t="s">
        <v>244</v>
      </c>
      <c r="BU791" s="10" t="b">
        <f t="shared" si="28"/>
        <v>1</v>
      </c>
      <c r="BV791" s="120"/>
      <c r="BW791" s="120"/>
      <c r="BX791" s="120"/>
      <c r="BY791" s="120"/>
      <c r="BZ791" s="120"/>
      <c r="CA791" s="120"/>
      <c r="CB791" s="120"/>
      <c r="CC791" s="120"/>
    </row>
    <row r="792">
      <c r="A792" s="2" t="s">
        <v>2115</v>
      </c>
      <c r="B792" s="100">
        <v>44631.0</v>
      </c>
      <c r="C792" s="101">
        <v>0.30668981481481483</v>
      </c>
      <c r="D792" s="102"/>
      <c r="E792" s="102"/>
      <c r="F792" s="102"/>
      <c r="G792" s="102"/>
      <c r="H792" s="102"/>
      <c r="I792" s="103"/>
      <c r="J792" s="103"/>
      <c r="K792" s="2" t="s">
        <v>244</v>
      </c>
      <c r="L792" s="100">
        <v>44631.0</v>
      </c>
      <c r="M792" s="101">
        <v>0.48608796296296297</v>
      </c>
      <c r="P792" s="104" t="b">
        <f>IFNA(IF(VLOOKUP($A792,'Add from APT'!$AA$2:$AC826,3,FALSE)&gt;0,TRUE,FALSE),"ER - NOT IN APT")</f>
        <v>0</v>
      </c>
      <c r="Q792" s="105" t="str">
        <f>IF(ISLOGICAL(P792),IF(P792,"ER - REPS IN APT", IFNA(VLOOKUP($A792,RAW_APT!$A$3:$M826,7,FALSE),"ER - NOT IN APT")),P792)</f>
        <v>Result</v>
      </c>
      <c r="R792" s="106" t="b">
        <f t="shared" si="2"/>
        <v>1</v>
      </c>
      <c r="S792" s="107">
        <f t="shared" si="3"/>
        <v>1</v>
      </c>
      <c r="T792" s="143"/>
      <c r="U792" s="142"/>
      <c r="V792" s="142"/>
      <c r="W792" s="142"/>
      <c r="X792" s="110" t="b">
        <f t="shared" si="4"/>
        <v>0</v>
      </c>
      <c r="Y792" s="111" t="b">
        <v>0</v>
      </c>
      <c r="Z792" s="104" t="str">
        <f t="shared" si="5"/>
        <v/>
      </c>
      <c r="AA792" s="112" t="b">
        <f t="shared" si="6"/>
        <v>0</v>
      </c>
      <c r="AB792" s="142" t="b">
        <v>0</v>
      </c>
      <c r="AC792" s="140">
        <v>31.0</v>
      </c>
      <c r="AD792" s="141" t="b">
        <v>0</v>
      </c>
      <c r="AE792" s="115">
        <f t="shared" si="7"/>
        <v>258.3333333</v>
      </c>
      <c r="AF792" s="116" t="b">
        <f t="shared" si="8"/>
        <v>0</v>
      </c>
      <c r="AG792" s="105" t="b">
        <f t="shared" si="9"/>
        <v>0</v>
      </c>
      <c r="AH792" s="140"/>
      <c r="AI792" s="140"/>
      <c r="AJ792" s="140"/>
      <c r="AK792" s="117" t="str">
        <f t="shared" si="10"/>
        <v>Negative</v>
      </c>
      <c r="AL792" s="142"/>
      <c r="AM792" s="112" t="s">
        <v>2116</v>
      </c>
      <c r="AN792" s="112" t="s">
        <v>545</v>
      </c>
      <c r="AO792" s="112" t="str">
        <f>IFERROR(__xludf.DUMMYFUNCTION("IF($AG792, ""DELETED"",TRIM(JOIN("" "",D792:E792)))"),"")</f>
        <v/>
      </c>
      <c r="AP792" s="112" t="str">
        <f t="shared" ref="AP792:AQ792" si="818">IF($AG792, "DELETED", TRIM(CONCATENATE(F792,I792,U792)))</f>
        <v/>
      </c>
      <c r="AQ792" s="112" t="str">
        <f t="shared" si="818"/>
        <v/>
      </c>
      <c r="AR792" s="112" t="str">
        <f>IFERROR(__xludf.DUMMYFUNCTION("IF($AG792, ""DELETED"", TRIM(JOIN("" "",AP792,AQ792)))"),"")</f>
        <v/>
      </c>
      <c r="AS792" s="118"/>
      <c r="AT792" s="110" t="b">
        <f t="shared" si="12"/>
        <v>0</v>
      </c>
      <c r="AU792" s="110" t="str">
        <f t="shared" si="13"/>
        <v/>
      </c>
      <c r="AV792" s="110" t="str">
        <f t="shared" si="14"/>
        <v/>
      </c>
      <c r="AW792" s="110" t="str">
        <f t="shared" si="15"/>
        <v/>
      </c>
      <c r="AX792" s="119" t="str">
        <f t="shared" si="16"/>
        <v/>
      </c>
      <c r="AY792" s="120"/>
      <c r="AZ792" s="121"/>
      <c r="BA792" s="122" t="str">
        <f t="shared" si="17"/>
        <v/>
      </c>
      <c r="BB792" s="34"/>
      <c r="BC792" s="121"/>
      <c r="BD792" s="136"/>
      <c r="BE792" s="125" t="str">
        <f t="shared" si="18"/>
        <v/>
      </c>
      <c r="BF792" s="126" t="str">
        <f t="shared" si="19"/>
        <v>FM105__44631_0.306689814814815</v>
      </c>
      <c r="BG792" s="127" t="str">
        <f t="shared" si="20"/>
        <v/>
      </c>
      <c r="BH792" s="137" t="s">
        <v>2117</v>
      </c>
      <c r="BI792" s="128" t="str">
        <f t="shared" si="21"/>
        <v>MAX70</v>
      </c>
      <c r="BJ792" s="129" t="b">
        <f t="shared" si="740"/>
        <v>0</v>
      </c>
      <c r="BK792" s="128" t="str">
        <f t="shared" si="23"/>
        <v/>
      </c>
      <c r="BL792" s="121"/>
      <c r="BM792" s="5" t="str">
        <f t="shared" si="24"/>
        <v>MISSING</v>
      </c>
      <c r="BN792" s="120" t="b">
        <f t="shared" si="25"/>
        <v>0</v>
      </c>
      <c r="BO792" s="131" t="b">
        <f t="shared" si="26"/>
        <v>1</v>
      </c>
      <c r="BP792" s="121"/>
      <c r="BQ792" s="132" t="str">
        <f>VLOOKUP(A792,RAW_APS!A$3:O826,15,FALSE)</f>
        <v/>
      </c>
      <c r="BR792" s="120" t="b">
        <f t="shared" si="27"/>
        <v>1</v>
      </c>
      <c r="BS792" s="121"/>
      <c r="BT792" s="138" t="s">
        <v>244</v>
      </c>
      <c r="BU792" s="10" t="b">
        <f t="shared" si="28"/>
        <v>1</v>
      </c>
      <c r="BV792" s="120"/>
      <c r="BW792" s="120"/>
      <c r="BX792" s="120"/>
      <c r="BY792" s="120"/>
      <c r="BZ792" s="120"/>
      <c r="CA792" s="120"/>
      <c r="CB792" s="120"/>
      <c r="CC792" s="120"/>
    </row>
    <row r="793">
      <c r="A793" s="2" t="s">
        <v>2118</v>
      </c>
      <c r="B793" s="100">
        <v>44631.0</v>
      </c>
      <c r="C793" s="101">
        <v>0.3084953703703704</v>
      </c>
      <c r="D793" s="102"/>
      <c r="E793" s="102"/>
      <c r="F793" s="102"/>
      <c r="G793" s="102"/>
      <c r="H793" s="102"/>
      <c r="I793" s="103"/>
      <c r="J793" s="103"/>
      <c r="K793" s="2" t="s">
        <v>244</v>
      </c>
      <c r="L793" s="100">
        <v>44631.0</v>
      </c>
      <c r="M793" s="101">
        <v>0.48608796296296297</v>
      </c>
      <c r="P793" s="104" t="b">
        <f>IFNA(IF(VLOOKUP($A793,'Add from APT'!$AA$2:$AC826,3,FALSE)&gt;0,TRUE,FALSE),"ER - NOT IN APT")</f>
        <v>0</v>
      </c>
      <c r="Q793" s="105" t="str">
        <f>IF(ISLOGICAL(P793),IF(P793,"ER - REPS IN APT", IFNA(VLOOKUP($A793,RAW_APT!$A$3:$M826,7,FALSE),"ER - NOT IN APT")),P793)</f>
        <v>Result</v>
      </c>
      <c r="R793" s="106" t="b">
        <f t="shared" si="2"/>
        <v>1</v>
      </c>
      <c r="S793" s="107">
        <f t="shared" si="3"/>
        <v>1</v>
      </c>
      <c r="T793" s="143"/>
      <c r="U793" s="142"/>
      <c r="V793" s="142"/>
      <c r="W793" s="142"/>
      <c r="X793" s="110" t="b">
        <f t="shared" si="4"/>
        <v>0</v>
      </c>
      <c r="Y793" s="111" t="b">
        <v>0</v>
      </c>
      <c r="Z793" s="104" t="str">
        <f t="shared" si="5"/>
        <v/>
      </c>
      <c r="AA793" s="112" t="b">
        <f t="shared" si="6"/>
        <v>0</v>
      </c>
      <c r="AB793" s="142" t="b">
        <v>0</v>
      </c>
      <c r="AC793" s="140">
        <v>30.0</v>
      </c>
      <c r="AD793" s="141" t="b">
        <v>0</v>
      </c>
      <c r="AE793" s="115">
        <f t="shared" si="7"/>
        <v>255.7333333</v>
      </c>
      <c r="AF793" s="116" t="b">
        <f t="shared" si="8"/>
        <v>0</v>
      </c>
      <c r="AG793" s="105" t="b">
        <f t="shared" si="9"/>
        <v>0</v>
      </c>
      <c r="AH793" s="140"/>
      <c r="AI793" s="140"/>
      <c r="AJ793" s="140"/>
      <c r="AK793" s="117" t="str">
        <f t="shared" si="10"/>
        <v>Negative</v>
      </c>
      <c r="AL793" s="142"/>
      <c r="AM793" s="112" t="s">
        <v>1516</v>
      </c>
      <c r="AN793" s="112" t="s">
        <v>1517</v>
      </c>
      <c r="AO793" s="112" t="str">
        <f>IFERROR(__xludf.DUMMYFUNCTION("IF($AG793, ""DELETED"",TRIM(JOIN("" "",D793:E793)))"),"")</f>
        <v/>
      </c>
      <c r="AP793" s="112" t="str">
        <f t="shared" ref="AP793:AQ793" si="819">IF($AG793, "DELETED", TRIM(CONCATENATE(F793,I793,U793)))</f>
        <v/>
      </c>
      <c r="AQ793" s="112" t="str">
        <f t="shared" si="819"/>
        <v/>
      </c>
      <c r="AR793" s="112" t="str">
        <f>IFERROR(__xludf.DUMMYFUNCTION("IF($AG793, ""DELETED"", TRIM(JOIN("" "",AP793,AQ793)))"),"")</f>
        <v/>
      </c>
      <c r="AS793" s="118"/>
      <c r="AT793" s="110" t="b">
        <f t="shared" si="12"/>
        <v>0</v>
      </c>
      <c r="AU793" s="110" t="str">
        <f t="shared" si="13"/>
        <v/>
      </c>
      <c r="AV793" s="110" t="str">
        <f t="shared" si="14"/>
        <v/>
      </c>
      <c r="AW793" s="110" t="str">
        <f t="shared" si="15"/>
        <v/>
      </c>
      <c r="AX793" s="119" t="str">
        <f t="shared" si="16"/>
        <v/>
      </c>
      <c r="AY793" s="120"/>
      <c r="AZ793" s="121"/>
      <c r="BA793" s="122" t="str">
        <f t="shared" si="17"/>
        <v/>
      </c>
      <c r="BB793" s="34"/>
      <c r="BC793" s="121"/>
      <c r="BD793" s="136"/>
      <c r="BE793" s="125" t="str">
        <f t="shared" si="18"/>
        <v/>
      </c>
      <c r="BF793" s="126" t="str">
        <f t="shared" si="19"/>
        <v>FM1870__44631_0.30849537037037</v>
      </c>
      <c r="BG793" s="127" t="str">
        <f t="shared" si="20"/>
        <v/>
      </c>
      <c r="BH793" s="137" t="s">
        <v>2119</v>
      </c>
      <c r="BI793" s="128" t="str">
        <f t="shared" si="21"/>
        <v>MAX72</v>
      </c>
      <c r="BJ793" s="129" t="b">
        <f t="shared" si="740"/>
        <v>0</v>
      </c>
      <c r="BK793" s="128" t="str">
        <f t="shared" si="23"/>
        <v/>
      </c>
      <c r="BL793" s="121"/>
      <c r="BM793" s="5" t="str">
        <f t="shared" si="24"/>
        <v>MISSING</v>
      </c>
      <c r="BN793" s="120" t="b">
        <f t="shared" si="25"/>
        <v>0</v>
      </c>
      <c r="BO793" s="131" t="b">
        <f t="shared" si="26"/>
        <v>1</v>
      </c>
      <c r="BP793" s="121"/>
      <c r="BQ793" s="132" t="str">
        <f>VLOOKUP(A793,RAW_APS!A$3:O826,15,FALSE)</f>
        <v/>
      </c>
      <c r="BR793" s="120" t="b">
        <f t="shared" si="27"/>
        <v>1</v>
      </c>
      <c r="BS793" s="121"/>
      <c r="BT793" s="138" t="s">
        <v>244</v>
      </c>
      <c r="BU793" s="10" t="b">
        <f t="shared" si="28"/>
        <v>1</v>
      </c>
      <c r="BV793" s="120"/>
      <c r="BW793" s="120"/>
      <c r="BX793" s="120"/>
      <c r="BY793" s="120"/>
      <c r="BZ793" s="120"/>
      <c r="CA793" s="120"/>
      <c r="CB793" s="120"/>
      <c r="CC793" s="120"/>
    </row>
    <row r="794">
      <c r="A794" s="2" t="s">
        <v>2120</v>
      </c>
      <c r="B794" s="100">
        <v>44631.0</v>
      </c>
      <c r="C794" s="101">
        <v>0.30917824074074074</v>
      </c>
      <c r="D794" s="102"/>
      <c r="E794" s="102"/>
      <c r="F794" s="139"/>
      <c r="G794" s="103"/>
      <c r="H794" s="103"/>
      <c r="I794" s="103"/>
      <c r="J794" s="103"/>
      <c r="K794" s="2" t="s">
        <v>244</v>
      </c>
      <c r="L794" s="100">
        <v>44631.0</v>
      </c>
      <c r="M794" s="101">
        <v>0.48608796296296297</v>
      </c>
      <c r="P794" s="104" t="b">
        <f>IFNA(IF(VLOOKUP($A794,'Add from APT'!$AA$2:$AC826,3,FALSE)&gt;0,TRUE,FALSE),"ER - NOT IN APT")</f>
        <v>0</v>
      </c>
      <c r="Q794" s="105" t="str">
        <f>IF(ISLOGICAL(P794),IF(P794,"ER - REPS IN APT", IFNA(VLOOKUP($A794,RAW_APT!$A$3:$M826,7,FALSE),"ER - NOT IN APT")),P794)</f>
        <v>Result</v>
      </c>
      <c r="R794" s="106" t="b">
        <f t="shared" si="2"/>
        <v>1</v>
      </c>
      <c r="S794" s="107">
        <f t="shared" si="3"/>
        <v>1</v>
      </c>
      <c r="T794" s="140">
        <v>0.0</v>
      </c>
      <c r="U794" s="141"/>
      <c r="W794" s="141"/>
      <c r="X794" s="110" t="b">
        <f t="shared" si="4"/>
        <v>0</v>
      </c>
      <c r="Y794" s="111" t="b">
        <v>0</v>
      </c>
      <c r="Z794" s="104" t="str">
        <f t="shared" si="5"/>
        <v/>
      </c>
      <c r="AA794" s="112" t="b">
        <f t="shared" si="6"/>
        <v>0</v>
      </c>
      <c r="AB794" s="142" t="b">
        <v>0</v>
      </c>
      <c r="AC794" s="140">
        <v>29.0</v>
      </c>
      <c r="AD794" s="141" t="b">
        <v>0</v>
      </c>
      <c r="AE794" s="115">
        <f t="shared" si="7"/>
        <v>254.75</v>
      </c>
      <c r="AF794" s="116" t="b">
        <f t="shared" si="8"/>
        <v>0</v>
      </c>
      <c r="AG794" s="105" t="b">
        <f t="shared" si="9"/>
        <v>0</v>
      </c>
      <c r="AH794" s="140"/>
      <c r="AI794" s="140"/>
      <c r="AJ794" s="140"/>
      <c r="AK794" s="117" t="str">
        <f t="shared" si="10"/>
        <v>Negative</v>
      </c>
      <c r="AL794" s="142"/>
      <c r="AM794" s="112" t="s">
        <v>1516</v>
      </c>
      <c r="AN794" s="112" t="s">
        <v>1752</v>
      </c>
      <c r="AO794" s="112" t="str">
        <f>IFERROR(__xludf.DUMMYFUNCTION("IF($AG794, ""DELETED"",TRIM(JOIN("" "",D794:E794)))"),"")</f>
        <v/>
      </c>
      <c r="AP794" s="112" t="str">
        <f t="shared" ref="AP794:AQ794" si="820">IF($AG794, "DELETED", TRIM(CONCATENATE(F794,I794,U794)))</f>
        <v/>
      </c>
      <c r="AQ794" s="112" t="str">
        <f t="shared" si="820"/>
        <v/>
      </c>
      <c r="AR794" s="112" t="str">
        <f>IFERROR(__xludf.DUMMYFUNCTION("IF($AG794, ""DELETED"", TRIM(JOIN("" "",AP794,AQ794)))"),"")</f>
        <v/>
      </c>
      <c r="AS794" s="118"/>
      <c r="AT794" s="110" t="b">
        <f t="shared" si="12"/>
        <v>0</v>
      </c>
      <c r="AU794" s="110" t="str">
        <f t="shared" si="13"/>
        <v/>
      </c>
      <c r="AV794" s="110" t="str">
        <f t="shared" si="14"/>
        <v/>
      </c>
      <c r="AW794" s="110" t="str">
        <f t="shared" si="15"/>
        <v/>
      </c>
      <c r="AX794" s="119" t="str">
        <f t="shared" si="16"/>
        <v/>
      </c>
      <c r="AY794" s="120"/>
      <c r="AZ794" s="121"/>
      <c r="BA794" s="122" t="str">
        <f t="shared" si="17"/>
        <v/>
      </c>
      <c r="BB794" s="34"/>
      <c r="BC794" s="121"/>
      <c r="BD794" s="136"/>
      <c r="BE794" s="125" t="str">
        <f t="shared" si="18"/>
        <v/>
      </c>
      <c r="BF794" s="126" t="str">
        <f t="shared" si="19"/>
        <v>FM1786__44631_0.309178240740741</v>
      </c>
      <c r="BG794" s="127" t="str">
        <f t="shared" si="20"/>
        <v/>
      </c>
      <c r="BH794" s="137" t="s">
        <v>2121</v>
      </c>
      <c r="BI794" s="128" t="str">
        <f t="shared" si="21"/>
        <v>MAX74</v>
      </c>
      <c r="BJ794" s="129" t="b">
        <f t="shared" si="740"/>
        <v>0</v>
      </c>
      <c r="BK794" s="128" t="str">
        <f t="shared" si="23"/>
        <v/>
      </c>
      <c r="BL794" s="121"/>
      <c r="BM794" s="5" t="str">
        <f t="shared" si="24"/>
        <v>MISSING</v>
      </c>
      <c r="BN794" s="120" t="b">
        <f t="shared" si="25"/>
        <v>0</v>
      </c>
      <c r="BO794" s="131" t="b">
        <f t="shared" si="26"/>
        <v>1</v>
      </c>
      <c r="BP794" s="121"/>
      <c r="BQ794" s="132" t="str">
        <f>VLOOKUP(A794,RAW_APS!A$3:O826,15,FALSE)</f>
        <v/>
      </c>
      <c r="BR794" s="120" t="b">
        <f t="shared" si="27"/>
        <v>1</v>
      </c>
      <c r="BS794" s="121"/>
      <c r="BT794" s="138" t="s">
        <v>244</v>
      </c>
      <c r="BU794" s="10" t="b">
        <f t="shared" si="28"/>
        <v>1</v>
      </c>
      <c r="BV794" s="120"/>
      <c r="BW794" s="120"/>
      <c r="BX794" s="120"/>
      <c r="BY794" s="120"/>
      <c r="BZ794" s="120"/>
      <c r="CA794" s="120"/>
      <c r="CB794" s="120"/>
      <c r="CC794" s="120"/>
    </row>
    <row r="795">
      <c r="A795" s="2" t="s">
        <v>2122</v>
      </c>
      <c r="B795" s="100">
        <v>44631.0</v>
      </c>
      <c r="C795" s="101">
        <v>0.31730324074074073</v>
      </c>
      <c r="D795" s="102"/>
      <c r="E795" s="102"/>
      <c r="F795" s="102"/>
      <c r="G795" s="102"/>
      <c r="H795" s="102"/>
      <c r="I795" s="103"/>
      <c r="J795" s="103"/>
      <c r="K795" s="2" t="s">
        <v>244</v>
      </c>
      <c r="L795" s="100">
        <v>44631.0</v>
      </c>
      <c r="M795" s="101">
        <v>0.48608796296296297</v>
      </c>
      <c r="P795" s="104" t="b">
        <f>IFNA(IF(VLOOKUP($A795,'Add from APT'!$AA$2:$AC826,3,FALSE)&gt;0,TRUE,FALSE),"ER - NOT IN APT")</f>
        <v>0</v>
      </c>
      <c r="Q795" s="105" t="str">
        <f>IF(ISLOGICAL(P795),IF(P795,"ER - REPS IN APT", IFNA(VLOOKUP($A795,RAW_APT!$A$3:$M826,7,FALSE),"ER - NOT IN APT")),P795)</f>
        <v>Result</v>
      </c>
      <c r="R795" s="106" t="b">
        <f t="shared" si="2"/>
        <v>1</v>
      </c>
      <c r="S795" s="107">
        <f t="shared" si="3"/>
        <v>1</v>
      </c>
      <c r="T795" s="143"/>
      <c r="U795" s="142"/>
      <c r="V795" s="142"/>
      <c r="W795" s="142"/>
      <c r="X795" s="110" t="b">
        <f t="shared" si="4"/>
        <v>0</v>
      </c>
      <c r="Y795" s="111" t="b">
        <v>0</v>
      </c>
      <c r="Z795" s="104" t="str">
        <f t="shared" si="5"/>
        <v/>
      </c>
      <c r="AA795" s="112" t="b">
        <f t="shared" si="6"/>
        <v>0</v>
      </c>
      <c r="AB795" s="142" t="b">
        <v>0</v>
      </c>
      <c r="AC795" s="140">
        <v>28.0</v>
      </c>
      <c r="AD795" s="141" t="b">
        <v>0</v>
      </c>
      <c r="AE795" s="115">
        <f t="shared" si="7"/>
        <v>243.05</v>
      </c>
      <c r="AF795" s="116" t="b">
        <f t="shared" si="8"/>
        <v>0</v>
      </c>
      <c r="AG795" s="105" t="b">
        <f t="shared" si="9"/>
        <v>0</v>
      </c>
      <c r="AH795" s="140"/>
      <c r="AI795" s="140"/>
      <c r="AJ795" s="140"/>
      <c r="AK795" s="117" t="str">
        <f t="shared" si="10"/>
        <v>Negative</v>
      </c>
      <c r="AL795" s="142"/>
      <c r="AM795" s="112" t="s">
        <v>577</v>
      </c>
      <c r="AN795" s="112" t="s">
        <v>578</v>
      </c>
      <c r="AO795" s="112" t="str">
        <f>IFERROR(__xludf.DUMMYFUNCTION("IF($AG795, ""DELETED"",TRIM(JOIN("" "",D795:E795)))"),"")</f>
        <v/>
      </c>
      <c r="AP795" s="112" t="str">
        <f t="shared" ref="AP795:AQ795" si="821">IF($AG795, "DELETED", TRIM(CONCATENATE(F795,I795,U795)))</f>
        <v/>
      </c>
      <c r="AQ795" s="112" t="str">
        <f t="shared" si="821"/>
        <v/>
      </c>
      <c r="AR795" s="112" t="str">
        <f>IFERROR(__xludf.DUMMYFUNCTION("IF($AG795, ""DELETED"", TRIM(JOIN("" "",AP795,AQ795)))"),"")</f>
        <v/>
      </c>
      <c r="AS795" s="118"/>
      <c r="AT795" s="110" t="b">
        <f t="shared" si="12"/>
        <v>0</v>
      </c>
      <c r="AU795" s="110" t="str">
        <f t="shared" si="13"/>
        <v/>
      </c>
      <c r="AV795" s="110" t="str">
        <f t="shared" si="14"/>
        <v/>
      </c>
      <c r="AW795" s="110" t="str">
        <f t="shared" si="15"/>
        <v/>
      </c>
      <c r="AX795" s="119" t="str">
        <f t="shared" si="16"/>
        <v/>
      </c>
      <c r="AY795" s="120"/>
      <c r="AZ795" s="121"/>
      <c r="BA795" s="122" t="str">
        <f t="shared" si="17"/>
        <v/>
      </c>
      <c r="BB795" s="34"/>
      <c r="BC795" s="121"/>
      <c r="BD795" s="136"/>
      <c r="BE795" s="125" t="str">
        <f t="shared" si="18"/>
        <v/>
      </c>
      <c r="BF795" s="126" t="str">
        <f t="shared" si="19"/>
        <v>FM2063__44631_0.317303240740741</v>
      </c>
      <c r="BG795" s="127" t="str">
        <f t="shared" si="20"/>
        <v/>
      </c>
      <c r="BH795" s="137" t="s">
        <v>2123</v>
      </c>
      <c r="BI795" s="128" t="str">
        <f t="shared" si="21"/>
        <v>MAX75</v>
      </c>
      <c r="BJ795" s="129" t="b">
        <f t="shared" si="740"/>
        <v>0</v>
      </c>
      <c r="BK795" s="128" t="str">
        <f t="shared" si="23"/>
        <v/>
      </c>
      <c r="BL795" s="121"/>
      <c r="BM795" s="5" t="str">
        <f t="shared" si="24"/>
        <v>MISSING</v>
      </c>
      <c r="BN795" s="120" t="b">
        <f t="shared" si="25"/>
        <v>0</v>
      </c>
      <c r="BO795" s="131" t="b">
        <f t="shared" si="26"/>
        <v>1</v>
      </c>
      <c r="BP795" s="121"/>
      <c r="BQ795" s="132" t="str">
        <f>VLOOKUP(A795,RAW_APS!A$3:O826,15,FALSE)</f>
        <v/>
      </c>
      <c r="BR795" s="120" t="b">
        <f t="shared" si="27"/>
        <v>1</v>
      </c>
      <c r="BS795" s="121"/>
      <c r="BT795" s="138" t="s">
        <v>244</v>
      </c>
      <c r="BU795" s="10" t="b">
        <f t="shared" si="28"/>
        <v>1</v>
      </c>
      <c r="BV795" s="120"/>
      <c r="BW795" s="120"/>
      <c r="BX795" s="120"/>
      <c r="BY795" s="120"/>
      <c r="BZ795" s="120"/>
      <c r="CA795" s="120"/>
      <c r="CB795" s="120"/>
      <c r="CC795" s="120"/>
    </row>
    <row r="796">
      <c r="A796" s="2" t="s">
        <v>2124</v>
      </c>
      <c r="B796" s="100">
        <v>44631.0</v>
      </c>
      <c r="C796" s="101">
        <v>0.3235763888888889</v>
      </c>
      <c r="D796" s="102"/>
      <c r="E796" s="102"/>
      <c r="F796" s="102"/>
      <c r="G796" s="102"/>
      <c r="H796" s="102"/>
      <c r="I796" s="103"/>
      <c r="J796" s="103"/>
      <c r="K796" s="2" t="s">
        <v>244</v>
      </c>
      <c r="L796" s="100">
        <v>44631.0</v>
      </c>
      <c r="M796" s="101">
        <v>0.48608796296296297</v>
      </c>
      <c r="P796" s="104" t="b">
        <f>IFNA(IF(VLOOKUP($A796,'Add from APT'!$AA$2:$AC826,3,FALSE)&gt;0,TRUE,FALSE),"ER - NOT IN APT")</f>
        <v>0</v>
      </c>
      <c r="Q796" s="105" t="str">
        <f>IF(ISLOGICAL(P796),IF(P796,"ER - REPS IN APT", IFNA(VLOOKUP($A796,RAW_APT!$A$3:$M826,7,FALSE),"ER - NOT IN APT")),P796)</f>
        <v>Result</v>
      </c>
      <c r="R796" s="106" t="b">
        <f t="shared" si="2"/>
        <v>1</v>
      </c>
      <c r="S796" s="107">
        <f t="shared" si="3"/>
        <v>1</v>
      </c>
      <c r="T796" s="143"/>
      <c r="U796" s="142"/>
      <c r="V796" s="142"/>
      <c r="W796" s="142"/>
      <c r="X796" s="110" t="b">
        <f t="shared" si="4"/>
        <v>0</v>
      </c>
      <c r="Y796" s="111" t="b">
        <v>0</v>
      </c>
      <c r="Z796" s="104" t="str">
        <f t="shared" si="5"/>
        <v/>
      </c>
      <c r="AA796" s="112" t="b">
        <f t="shared" si="6"/>
        <v>0</v>
      </c>
      <c r="AB796" s="142" t="b">
        <v>0</v>
      </c>
      <c r="AC796" s="140">
        <v>27.0</v>
      </c>
      <c r="AD796" s="141" t="b">
        <v>0</v>
      </c>
      <c r="AE796" s="115">
        <f t="shared" si="7"/>
        <v>234.0166667</v>
      </c>
      <c r="AF796" s="116" t="b">
        <f t="shared" si="8"/>
        <v>0</v>
      </c>
      <c r="AG796" s="105" t="b">
        <f t="shared" si="9"/>
        <v>0</v>
      </c>
      <c r="AH796" s="140"/>
      <c r="AI796" s="140"/>
      <c r="AJ796" s="140"/>
      <c r="AK796" s="117" t="str">
        <f t="shared" si="10"/>
        <v>Negative</v>
      </c>
      <c r="AL796" s="142"/>
      <c r="AM796" s="112" t="s">
        <v>307</v>
      </c>
      <c r="AN796" s="112" t="s">
        <v>266</v>
      </c>
      <c r="AO796" s="112" t="str">
        <f>IFERROR(__xludf.DUMMYFUNCTION("IF($AG796, ""DELETED"",TRIM(JOIN("" "",D796:E796)))"),"")</f>
        <v/>
      </c>
      <c r="AP796" s="112" t="str">
        <f t="shared" ref="AP796:AQ796" si="822">IF($AG796, "DELETED", TRIM(CONCATENATE(F796,I796,U796)))</f>
        <v/>
      </c>
      <c r="AQ796" s="112" t="str">
        <f t="shared" si="822"/>
        <v/>
      </c>
      <c r="AR796" s="112" t="str">
        <f>IFERROR(__xludf.DUMMYFUNCTION("IF($AG796, ""DELETED"", TRIM(JOIN("" "",AP796,AQ796)))"),"")</f>
        <v/>
      </c>
      <c r="AS796" s="118"/>
      <c r="AT796" s="110" t="b">
        <f t="shared" si="12"/>
        <v>0</v>
      </c>
      <c r="AU796" s="110" t="str">
        <f t="shared" si="13"/>
        <v/>
      </c>
      <c r="AV796" s="110" t="str">
        <f t="shared" si="14"/>
        <v/>
      </c>
      <c r="AW796" s="110" t="str">
        <f t="shared" si="15"/>
        <v/>
      </c>
      <c r="AX796" s="119" t="str">
        <f t="shared" si="16"/>
        <v/>
      </c>
      <c r="AY796" s="120"/>
      <c r="AZ796" s="121"/>
      <c r="BA796" s="122" t="str">
        <f t="shared" si="17"/>
        <v/>
      </c>
      <c r="BB796" s="34"/>
      <c r="BC796" s="121"/>
      <c r="BD796" s="136"/>
      <c r="BE796" s="125" t="str">
        <f t="shared" si="18"/>
        <v/>
      </c>
      <c r="BF796" s="126" t="str">
        <f t="shared" si="19"/>
        <v>FM39__44631_0.323576388888889</v>
      </c>
      <c r="BG796" s="127" t="str">
        <f t="shared" si="20"/>
        <v/>
      </c>
      <c r="BH796" s="137" t="s">
        <v>2125</v>
      </c>
      <c r="BI796" s="128" t="str">
        <f t="shared" si="21"/>
        <v>MAX76</v>
      </c>
      <c r="BJ796" s="129" t="b">
        <f t="shared" si="740"/>
        <v>0</v>
      </c>
      <c r="BK796" s="128" t="str">
        <f t="shared" si="23"/>
        <v/>
      </c>
      <c r="BL796" s="121"/>
      <c r="BM796" s="5" t="str">
        <f t="shared" si="24"/>
        <v>MISSING</v>
      </c>
      <c r="BN796" s="120" t="b">
        <f t="shared" si="25"/>
        <v>0</v>
      </c>
      <c r="BO796" s="131" t="b">
        <f t="shared" si="26"/>
        <v>1</v>
      </c>
      <c r="BP796" s="121"/>
      <c r="BQ796" s="132" t="str">
        <f>VLOOKUP(A796,RAW_APS!A$3:O826,15,FALSE)</f>
        <v/>
      </c>
      <c r="BR796" s="120" t="b">
        <f t="shared" si="27"/>
        <v>1</v>
      </c>
      <c r="BS796" s="121"/>
      <c r="BT796" s="138" t="s">
        <v>244</v>
      </c>
      <c r="BU796" s="10" t="b">
        <f t="shared" si="28"/>
        <v>1</v>
      </c>
      <c r="BV796" s="120"/>
      <c r="BW796" s="120"/>
      <c r="BX796" s="120"/>
      <c r="BY796" s="120"/>
      <c r="BZ796" s="120"/>
      <c r="CA796" s="120"/>
      <c r="CB796" s="120"/>
      <c r="CC796" s="120"/>
    </row>
    <row r="797">
      <c r="A797" s="2" t="s">
        <v>2126</v>
      </c>
      <c r="B797" s="100">
        <v>44631.0</v>
      </c>
      <c r="C797" s="101">
        <v>0.32358796296296294</v>
      </c>
      <c r="D797" s="102"/>
      <c r="E797" s="102"/>
      <c r="F797" s="102"/>
      <c r="G797" s="102"/>
      <c r="H797" s="102"/>
      <c r="I797" s="103"/>
      <c r="J797" s="103"/>
      <c r="K797" s="2" t="s">
        <v>244</v>
      </c>
      <c r="L797" s="100">
        <v>44631.0</v>
      </c>
      <c r="M797" s="101">
        <v>0.48608796296296297</v>
      </c>
      <c r="P797" s="104" t="b">
        <f>IFNA(IF(VLOOKUP($A797,'Add from APT'!$AA$2:$AC826,3,FALSE)&gt;0,TRUE,FALSE),"ER - NOT IN APT")</f>
        <v>0</v>
      </c>
      <c r="Q797" s="105" t="str">
        <f>IF(ISLOGICAL(P797),IF(P797,"ER - REPS IN APT", IFNA(VLOOKUP($A797,RAW_APT!$A$3:$M826,7,FALSE),"ER - NOT IN APT")),P797)</f>
        <v>Result</v>
      </c>
      <c r="R797" s="106" t="b">
        <f t="shared" si="2"/>
        <v>1</v>
      </c>
      <c r="S797" s="107">
        <f t="shared" si="3"/>
        <v>1</v>
      </c>
      <c r="T797" s="143"/>
      <c r="U797" s="142"/>
      <c r="V797" s="142"/>
      <c r="W797" s="142"/>
      <c r="X797" s="110" t="b">
        <f t="shared" si="4"/>
        <v>0</v>
      </c>
      <c r="Y797" s="111" t="b">
        <v>0</v>
      </c>
      <c r="Z797" s="104" t="str">
        <f t="shared" si="5"/>
        <v/>
      </c>
      <c r="AA797" s="112" t="b">
        <f t="shared" si="6"/>
        <v>0</v>
      </c>
      <c r="AB797" s="142" t="b">
        <v>0</v>
      </c>
      <c r="AC797" s="140">
        <v>26.0</v>
      </c>
      <c r="AD797" s="141" t="b">
        <v>0</v>
      </c>
      <c r="AE797" s="115">
        <f t="shared" si="7"/>
        <v>234</v>
      </c>
      <c r="AF797" s="116" t="b">
        <f t="shared" si="8"/>
        <v>0</v>
      </c>
      <c r="AG797" s="105" t="b">
        <f t="shared" si="9"/>
        <v>0</v>
      </c>
      <c r="AH797" s="140"/>
      <c r="AI797" s="140"/>
      <c r="AJ797" s="140"/>
      <c r="AK797" s="117" t="str">
        <f t="shared" si="10"/>
        <v>Negative</v>
      </c>
      <c r="AL797" s="142"/>
      <c r="AM797" s="112" t="s">
        <v>491</v>
      </c>
      <c r="AN797" s="112" t="s">
        <v>495</v>
      </c>
      <c r="AO797" s="112" t="str">
        <f>IFERROR(__xludf.DUMMYFUNCTION("IF($AG797, ""DELETED"",TRIM(JOIN("" "",D797:E797)))"),"")</f>
        <v/>
      </c>
      <c r="AP797" s="112" t="str">
        <f t="shared" ref="AP797:AQ797" si="823">IF($AG797, "DELETED", TRIM(CONCATENATE(F797,I797,U797)))</f>
        <v/>
      </c>
      <c r="AQ797" s="112" t="str">
        <f t="shared" si="823"/>
        <v/>
      </c>
      <c r="AR797" s="112" t="str">
        <f>IFERROR(__xludf.DUMMYFUNCTION("IF($AG797, ""DELETED"", TRIM(JOIN("" "",AP797,AQ797)))"),"")</f>
        <v/>
      </c>
      <c r="AS797" s="118"/>
      <c r="AT797" s="110" t="b">
        <f t="shared" si="12"/>
        <v>0</v>
      </c>
      <c r="AU797" s="110" t="str">
        <f t="shared" si="13"/>
        <v/>
      </c>
      <c r="AV797" s="110" t="str">
        <f t="shared" si="14"/>
        <v/>
      </c>
      <c r="AW797" s="110" t="str">
        <f t="shared" si="15"/>
        <v/>
      </c>
      <c r="AX797" s="119" t="str">
        <f t="shared" si="16"/>
        <v/>
      </c>
      <c r="AY797" s="120"/>
      <c r="AZ797" s="121"/>
      <c r="BA797" s="122" t="str">
        <f t="shared" si="17"/>
        <v/>
      </c>
      <c r="BB797" s="34"/>
      <c r="BC797" s="121"/>
      <c r="BD797" s="136"/>
      <c r="BE797" s="125" t="str">
        <f t="shared" si="18"/>
        <v/>
      </c>
      <c r="BF797" s="126" t="str">
        <f t="shared" si="19"/>
        <v>FM15__44631_0.323587962962963</v>
      </c>
      <c r="BG797" s="127" t="str">
        <f t="shared" si="20"/>
        <v/>
      </c>
      <c r="BH797" s="137" t="s">
        <v>2127</v>
      </c>
      <c r="BI797" s="128" t="str">
        <f t="shared" si="21"/>
        <v>MAX79</v>
      </c>
      <c r="BJ797" s="129" t="b">
        <f t="shared" si="740"/>
        <v>0</v>
      </c>
      <c r="BK797" s="128" t="str">
        <f t="shared" si="23"/>
        <v/>
      </c>
      <c r="BL797" s="121"/>
      <c r="BM797" s="5" t="str">
        <f t="shared" si="24"/>
        <v>MISSING</v>
      </c>
      <c r="BN797" s="120" t="b">
        <f t="shared" si="25"/>
        <v>0</v>
      </c>
      <c r="BO797" s="131" t="b">
        <f t="shared" si="26"/>
        <v>1</v>
      </c>
      <c r="BP797" s="121"/>
      <c r="BQ797" s="132" t="str">
        <f>VLOOKUP(A797,RAW_APS!A$3:O826,15,FALSE)</f>
        <v/>
      </c>
      <c r="BR797" s="120" t="b">
        <f t="shared" si="27"/>
        <v>1</v>
      </c>
      <c r="BS797" s="121"/>
      <c r="BT797" s="138" t="s">
        <v>244</v>
      </c>
      <c r="BU797" s="10" t="b">
        <f t="shared" si="28"/>
        <v>1</v>
      </c>
      <c r="BV797" s="120"/>
      <c r="BW797" s="120"/>
      <c r="BX797" s="120"/>
      <c r="BY797" s="120"/>
      <c r="BZ797" s="120"/>
      <c r="CA797" s="120"/>
      <c r="CB797" s="120"/>
      <c r="CC797" s="120"/>
    </row>
    <row r="798">
      <c r="A798" s="2" t="s">
        <v>2128</v>
      </c>
      <c r="B798" s="100">
        <v>44631.0</v>
      </c>
      <c r="C798" s="101">
        <v>0.32407407407407407</v>
      </c>
      <c r="D798" s="102"/>
      <c r="E798" s="102"/>
      <c r="F798" s="103"/>
      <c r="G798" s="103"/>
      <c r="H798" s="103"/>
      <c r="I798" s="135"/>
      <c r="J798" s="103"/>
      <c r="K798" s="2" t="s">
        <v>244</v>
      </c>
      <c r="L798" s="100">
        <v>44631.0</v>
      </c>
      <c r="M798" s="101">
        <v>0.486099537037037</v>
      </c>
      <c r="N798" s="2" t="s">
        <v>247</v>
      </c>
      <c r="P798" s="104" t="b">
        <f>IFNA(IF(VLOOKUP($A798,'Add from APT'!$AA$2:$AC826,3,FALSE)&gt;0,TRUE,FALSE),"ER - NOT IN APT")</f>
        <v>0</v>
      </c>
      <c r="Q798" s="105" t="str">
        <f>IF(ISLOGICAL(P798),IF(P798,"ER - REPS IN APT", IFNA(VLOOKUP($A798,RAW_APT!$A$3:$M826,7,FALSE),"ER - NOT IN APT")),P798)</f>
        <v>Result</v>
      </c>
      <c r="R798" s="106" t="b">
        <f t="shared" si="2"/>
        <v>1</v>
      </c>
      <c r="S798" s="107">
        <f t="shared" si="3"/>
        <v>1</v>
      </c>
      <c r="T798" s="140">
        <v>0.0</v>
      </c>
      <c r="W798" s="142"/>
      <c r="X798" s="110" t="b">
        <f t="shared" si="4"/>
        <v>0</v>
      </c>
      <c r="Y798" s="111" t="b">
        <v>0</v>
      </c>
      <c r="Z798" s="104" t="str">
        <f t="shared" si="5"/>
        <v/>
      </c>
      <c r="AA798" s="112" t="b">
        <f t="shared" si="6"/>
        <v>0</v>
      </c>
      <c r="AB798" s="142" t="b">
        <v>0</v>
      </c>
      <c r="AC798" s="140">
        <v>787.0</v>
      </c>
      <c r="AD798" s="141" t="b">
        <v>1</v>
      </c>
      <c r="AE798" s="115">
        <f t="shared" si="7"/>
        <v>233.3166667</v>
      </c>
      <c r="AF798" s="116" t="b">
        <f t="shared" si="8"/>
        <v>0</v>
      </c>
      <c r="AG798" s="105" t="b">
        <f t="shared" si="9"/>
        <v>0</v>
      </c>
      <c r="AH798" s="140"/>
      <c r="AI798" s="140"/>
      <c r="AJ798" s="140"/>
      <c r="AK798" s="117" t="str">
        <f t="shared" si="10"/>
        <v>Negative</v>
      </c>
      <c r="AL798" s="141"/>
      <c r="AM798" s="112" t="s">
        <v>504</v>
      </c>
      <c r="AN798" s="112" t="s">
        <v>505</v>
      </c>
      <c r="AO798" s="112" t="str">
        <f>IFERROR(__xludf.DUMMYFUNCTION("IF($AG798, ""DELETED"",TRIM(JOIN("" "",D798:E798)))"),"")</f>
        <v/>
      </c>
      <c r="AP798" s="112" t="str">
        <f t="shared" ref="AP798:AQ798" si="824">IF($AG798, "DELETED", TRIM(CONCATENATE(F798,I798,U798)))</f>
        <v/>
      </c>
      <c r="AQ798" s="112" t="str">
        <f t="shared" si="824"/>
        <v/>
      </c>
      <c r="AR798" s="112" t="str">
        <f>IFERROR(__xludf.DUMMYFUNCTION("IF($AG798, ""DELETED"", TRIM(JOIN("" "",AP798,AQ798)))"),"")</f>
        <v/>
      </c>
      <c r="AS798" s="118"/>
      <c r="AT798" s="110" t="b">
        <f t="shared" si="12"/>
        <v>0</v>
      </c>
      <c r="AU798" s="110" t="str">
        <f t="shared" si="13"/>
        <v/>
      </c>
      <c r="AV798" s="110" t="str">
        <f t="shared" si="14"/>
        <v/>
      </c>
      <c r="AW798" s="110" t="str">
        <f t="shared" si="15"/>
        <v/>
      </c>
      <c r="AX798" s="119" t="str">
        <f t="shared" si="16"/>
        <v/>
      </c>
      <c r="AY798" s="120"/>
      <c r="AZ798" s="121"/>
      <c r="BA798" s="122" t="str">
        <f t="shared" si="17"/>
        <v/>
      </c>
      <c r="BB798" s="34"/>
      <c r="BC798" s="121"/>
      <c r="BD798" s="136"/>
      <c r="BE798" s="125" t="str">
        <f t="shared" si="18"/>
        <v/>
      </c>
      <c r="BF798" s="126" t="str">
        <f t="shared" si="19"/>
        <v>FM113__44631_0.324074074074074</v>
      </c>
      <c r="BG798" s="127" t="str">
        <f t="shared" si="20"/>
        <v/>
      </c>
      <c r="BH798" s="137" t="s">
        <v>2129</v>
      </c>
      <c r="BI798" s="128" t="str">
        <f t="shared" si="21"/>
        <v>MAX8</v>
      </c>
      <c r="BJ798" s="129" t="b">
        <f t="shared" si="740"/>
        <v>0</v>
      </c>
      <c r="BK798" s="128" t="str">
        <f t="shared" si="23"/>
        <v/>
      </c>
      <c r="BL798" s="121"/>
      <c r="BM798" s="5" t="str">
        <f t="shared" si="24"/>
        <v>MISSING</v>
      </c>
      <c r="BN798" s="120" t="b">
        <f t="shared" si="25"/>
        <v>0</v>
      </c>
      <c r="BO798" s="131" t="b">
        <f t="shared" si="26"/>
        <v>1</v>
      </c>
      <c r="BP798" s="121"/>
      <c r="BQ798" s="132" t="str">
        <f>VLOOKUP(A798,RAW_APS!A$3:O826,15,FALSE)</f>
        <v>#N/A</v>
      </c>
      <c r="BR798" s="120" t="str">
        <f t="shared" si="27"/>
        <v>***TUBE ID NOT FOUND</v>
      </c>
      <c r="BS798" s="121"/>
      <c r="BT798" s="138" t="s">
        <v>244</v>
      </c>
      <c r="BU798" s="10" t="b">
        <f t="shared" si="28"/>
        <v>1</v>
      </c>
      <c r="BV798" s="120"/>
      <c r="BW798" s="120"/>
      <c r="BX798" s="120"/>
      <c r="BY798" s="120"/>
      <c r="BZ798" s="120"/>
      <c r="CA798" s="120"/>
      <c r="CB798" s="120"/>
      <c r="CC798" s="120"/>
    </row>
    <row r="799">
      <c r="A799" s="2" t="s">
        <v>2130</v>
      </c>
      <c r="B799" s="100">
        <v>44631.0</v>
      </c>
      <c r="C799" s="101">
        <v>0.32710648148148147</v>
      </c>
      <c r="D799" s="102"/>
      <c r="E799" s="102"/>
      <c r="F799" s="102"/>
      <c r="G799" s="102"/>
      <c r="H799" s="102"/>
      <c r="I799" s="103"/>
      <c r="J799" s="103"/>
      <c r="K799" s="2" t="s">
        <v>244</v>
      </c>
      <c r="L799" s="100">
        <v>44631.0</v>
      </c>
      <c r="M799" s="101">
        <v>0.486099537037037</v>
      </c>
      <c r="P799" s="104" t="b">
        <f>IFNA(IF(VLOOKUP($A799,'Add from APT'!$AA$2:$AC826,3,FALSE)&gt;0,TRUE,FALSE),"ER - NOT IN APT")</f>
        <v>0</v>
      </c>
      <c r="Q799" s="105" t="str">
        <f>IF(ISLOGICAL(P799),IF(P799,"ER - REPS IN APT", IFNA(VLOOKUP($A799,RAW_APT!$A$3:$M826,7,FALSE),"ER - NOT IN APT")),P799)</f>
        <v>Result</v>
      </c>
      <c r="R799" s="106" t="b">
        <f t="shared" si="2"/>
        <v>1</v>
      </c>
      <c r="S799" s="107">
        <f t="shared" si="3"/>
        <v>1</v>
      </c>
      <c r="T799" s="143"/>
      <c r="U799" s="142"/>
      <c r="V799" s="142"/>
      <c r="W799" s="142"/>
      <c r="X799" s="110" t="b">
        <f t="shared" si="4"/>
        <v>0</v>
      </c>
      <c r="Y799" s="111" t="b">
        <v>0</v>
      </c>
      <c r="Z799" s="104" t="str">
        <f t="shared" si="5"/>
        <v/>
      </c>
      <c r="AA799" s="112" t="b">
        <f t="shared" si="6"/>
        <v>0</v>
      </c>
      <c r="AB799" s="142" t="b">
        <v>0</v>
      </c>
      <c r="AC799" s="140">
        <v>25.0</v>
      </c>
      <c r="AD799" s="141" t="b">
        <v>0</v>
      </c>
      <c r="AE799" s="115">
        <f t="shared" si="7"/>
        <v>228.95</v>
      </c>
      <c r="AF799" s="116" t="b">
        <f t="shared" si="8"/>
        <v>0</v>
      </c>
      <c r="AG799" s="105" t="b">
        <f t="shared" si="9"/>
        <v>0</v>
      </c>
      <c r="AH799" s="140"/>
      <c r="AI799" s="140"/>
      <c r="AJ799" s="140"/>
      <c r="AK799" s="117" t="str">
        <f t="shared" si="10"/>
        <v>Negative</v>
      </c>
      <c r="AL799" s="142"/>
      <c r="AM799" s="112" t="s">
        <v>465</v>
      </c>
      <c r="AN799" s="112" t="s">
        <v>466</v>
      </c>
      <c r="AO799" s="112" t="str">
        <f>IFERROR(__xludf.DUMMYFUNCTION("IF($AG799, ""DELETED"",TRIM(JOIN("" "",D799:E799)))"),"")</f>
        <v/>
      </c>
      <c r="AP799" s="112" t="str">
        <f t="shared" ref="AP799:AQ799" si="825">IF($AG799, "DELETED", TRIM(CONCATENATE(F799,I799,U799)))</f>
        <v/>
      </c>
      <c r="AQ799" s="112" t="str">
        <f t="shared" si="825"/>
        <v/>
      </c>
      <c r="AR799" s="112" t="str">
        <f>IFERROR(__xludf.DUMMYFUNCTION("IF($AG799, ""DELETED"", TRIM(JOIN("" "",AP799,AQ799)))"),"")</f>
        <v/>
      </c>
      <c r="AS799" s="118"/>
      <c r="AT799" s="110" t="b">
        <f t="shared" si="12"/>
        <v>0</v>
      </c>
      <c r="AU799" s="110" t="str">
        <f t="shared" si="13"/>
        <v/>
      </c>
      <c r="AV799" s="110" t="str">
        <f t="shared" si="14"/>
        <v/>
      </c>
      <c r="AW799" s="110" t="str">
        <f t="shared" si="15"/>
        <v/>
      </c>
      <c r="AX799" s="119" t="str">
        <f t="shared" si="16"/>
        <v/>
      </c>
      <c r="AY799" s="120"/>
      <c r="AZ799" s="121"/>
      <c r="BA799" s="122" t="str">
        <f t="shared" si="17"/>
        <v/>
      </c>
      <c r="BB799" s="34"/>
      <c r="BC799" s="121"/>
      <c r="BD799" s="136"/>
      <c r="BE799" s="125" t="str">
        <f t="shared" si="18"/>
        <v/>
      </c>
      <c r="BF799" s="126" t="str">
        <f t="shared" si="19"/>
        <v>FM404__44631_0.327106481481482</v>
      </c>
      <c r="BG799" s="127" t="str">
        <f t="shared" si="20"/>
        <v/>
      </c>
      <c r="BH799" s="137" t="s">
        <v>2131</v>
      </c>
      <c r="BI799" s="128" t="str">
        <f t="shared" si="21"/>
        <v>MAX80</v>
      </c>
      <c r="BJ799" s="129" t="b">
        <f t="shared" si="740"/>
        <v>0</v>
      </c>
      <c r="BK799" s="128" t="str">
        <f t="shared" si="23"/>
        <v/>
      </c>
      <c r="BL799" s="121"/>
      <c r="BM799" s="5" t="str">
        <f t="shared" si="24"/>
        <v>MISSING</v>
      </c>
      <c r="BN799" s="120" t="b">
        <f t="shared" si="25"/>
        <v>0</v>
      </c>
      <c r="BO799" s="131" t="b">
        <f t="shared" si="26"/>
        <v>1</v>
      </c>
      <c r="BP799" s="121"/>
      <c r="BQ799" s="132" t="str">
        <f>VLOOKUP(A799,RAW_APS!A$3:O826,15,FALSE)</f>
        <v/>
      </c>
      <c r="BR799" s="120" t="b">
        <f t="shared" si="27"/>
        <v>1</v>
      </c>
      <c r="BS799" s="121"/>
      <c r="BT799" s="138" t="s">
        <v>244</v>
      </c>
      <c r="BU799" s="10" t="b">
        <f t="shared" si="28"/>
        <v>1</v>
      </c>
      <c r="BV799" s="120"/>
      <c r="BW799" s="120"/>
      <c r="BX799" s="120"/>
      <c r="BY799" s="120"/>
      <c r="BZ799" s="120"/>
      <c r="CA799" s="120"/>
      <c r="CB799" s="120"/>
      <c r="CC799" s="120"/>
    </row>
    <row r="800">
      <c r="A800" s="2" t="s">
        <v>2132</v>
      </c>
      <c r="B800" s="100">
        <v>44631.0</v>
      </c>
      <c r="C800" s="101">
        <v>0.3299884259259259</v>
      </c>
      <c r="D800" s="102"/>
      <c r="E800" s="102"/>
      <c r="F800" s="102"/>
      <c r="G800" s="102"/>
      <c r="H800" s="102"/>
      <c r="I800" s="103"/>
      <c r="J800" s="103"/>
      <c r="K800" s="2" t="s">
        <v>244</v>
      </c>
      <c r="L800" s="100">
        <v>44631.0</v>
      </c>
      <c r="M800" s="101">
        <v>0.486099537037037</v>
      </c>
      <c r="P800" s="104" t="b">
        <f>IFNA(IF(VLOOKUP($A800,'Add from APT'!$AA$2:$AC826,3,FALSE)&gt;0,TRUE,FALSE),"ER - NOT IN APT")</f>
        <v>0</v>
      </c>
      <c r="Q800" s="105" t="str">
        <f>IF(ISLOGICAL(P800),IF(P800,"ER - REPS IN APT", IFNA(VLOOKUP($A800,RAW_APT!$A$3:$M826,7,FALSE),"ER - NOT IN APT")),P800)</f>
        <v>Result</v>
      </c>
      <c r="R800" s="106" t="b">
        <f t="shared" si="2"/>
        <v>1</v>
      </c>
      <c r="S800" s="107">
        <f t="shared" si="3"/>
        <v>1</v>
      </c>
      <c r="T800" s="143"/>
      <c r="U800" s="142"/>
      <c r="V800" s="142"/>
      <c r="W800" s="142"/>
      <c r="X800" s="110" t="b">
        <f t="shared" si="4"/>
        <v>0</v>
      </c>
      <c r="Y800" s="111" t="b">
        <v>0</v>
      </c>
      <c r="Z800" s="104" t="str">
        <f t="shared" si="5"/>
        <v/>
      </c>
      <c r="AA800" s="112" t="b">
        <f t="shared" si="6"/>
        <v>0</v>
      </c>
      <c r="AB800" s="142" t="b">
        <v>0</v>
      </c>
      <c r="AC800" s="140">
        <v>24.0</v>
      </c>
      <c r="AD800" s="141" t="b">
        <v>0</v>
      </c>
      <c r="AE800" s="115">
        <f t="shared" si="7"/>
        <v>224.8</v>
      </c>
      <c r="AF800" s="116" t="b">
        <f t="shared" si="8"/>
        <v>0</v>
      </c>
      <c r="AG800" s="105" t="b">
        <f t="shared" si="9"/>
        <v>0</v>
      </c>
      <c r="AH800" s="140"/>
      <c r="AI800" s="140"/>
      <c r="AJ800" s="140"/>
      <c r="AK800" s="117" t="str">
        <f t="shared" si="10"/>
        <v>Negative</v>
      </c>
      <c r="AL800" s="142"/>
      <c r="AM800" s="112" t="s">
        <v>398</v>
      </c>
      <c r="AN800" s="112" t="s">
        <v>399</v>
      </c>
      <c r="AO800" s="112" t="str">
        <f>IFERROR(__xludf.DUMMYFUNCTION("IF($AG800, ""DELETED"",TRIM(JOIN("" "",D800:E800)))"),"")</f>
        <v/>
      </c>
      <c r="AP800" s="112" t="str">
        <f t="shared" ref="AP800:AQ800" si="826">IF($AG800, "DELETED", TRIM(CONCATENATE(F800,I800,U800)))</f>
        <v/>
      </c>
      <c r="AQ800" s="112" t="str">
        <f t="shared" si="826"/>
        <v/>
      </c>
      <c r="AR800" s="112" t="str">
        <f>IFERROR(__xludf.DUMMYFUNCTION("IF($AG800, ""DELETED"", TRIM(JOIN("" "",AP800,AQ800)))"),"")</f>
        <v/>
      </c>
      <c r="AS800" s="118"/>
      <c r="AT800" s="110" t="b">
        <f t="shared" si="12"/>
        <v>0</v>
      </c>
      <c r="AU800" s="110" t="str">
        <f t="shared" si="13"/>
        <v/>
      </c>
      <c r="AV800" s="110" t="str">
        <f t="shared" si="14"/>
        <v/>
      </c>
      <c r="AW800" s="110" t="str">
        <f t="shared" si="15"/>
        <v/>
      </c>
      <c r="AX800" s="119" t="str">
        <f t="shared" si="16"/>
        <v/>
      </c>
      <c r="AY800" s="120"/>
      <c r="AZ800" s="121"/>
      <c r="BA800" s="122" t="str">
        <f t="shared" si="17"/>
        <v/>
      </c>
      <c r="BB800" s="34"/>
      <c r="BC800" s="121"/>
      <c r="BD800" s="136"/>
      <c r="BE800" s="125" t="str">
        <f t="shared" si="18"/>
        <v/>
      </c>
      <c r="BF800" s="126" t="str">
        <f t="shared" si="19"/>
        <v>FM464__44631_0.329988425925926</v>
      </c>
      <c r="BG800" s="127" t="str">
        <f t="shared" si="20"/>
        <v/>
      </c>
      <c r="BH800" s="137" t="s">
        <v>2133</v>
      </c>
      <c r="BI800" s="128" t="str">
        <f t="shared" si="21"/>
        <v>MAX81</v>
      </c>
      <c r="BJ800" s="129" t="b">
        <f t="shared" si="740"/>
        <v>0</v>
      </c>
      <c r="BK800" s="128" t="str">
        <f t="shared" si="23"/>
        <v/>
      </c>
      <c r="BL800" s="121"/>
      <c r="BM800" s="5" t="str">
        <f t="shared" si="24"/>
        <v>MISSING</v>
      </c>
      <c r="BN800" s="120" t="b">
        <f t="shared" si="25"/>
        <v>0</v>
      </c>
      <c r="BO800" s="131" t="b">
        <f t="shared" si="26"/>
        <v>1</v>
      </c>
      <c r="BP800" s="121"/>
      <c r="BQ800" s="132" t="str">
        <f>VLOOKUP(A800,RAW_APS!A$3:O826,15,FALSE)</f>
        <v/>
      </c>
      <c r="BR800" s="120" t="b">
        <f t="shared" si="27"/>
        <v>1</v>
      </c>
      <c r="BS800" s="121"/>
      <c r="BT800" s="138" t="s">
        <v>244</v>
      </c>
      <c r="BU800" s="10" t="b">
        <f t="shared" si="28"/>
        <v>1</v>
      </c>
      <c r="BV800" s="120"/>
      <c r="BW800" s="120"/>
      <c r="BX800" s="120"/>
      <c r="BY800" s="120"/>
      <c r="BZ800" s="120"/>
      <c r="CA800" s="120"/>
      <c r="CB800" s="120"/>
      <c r="CC800" s="120"/>
    </row>
    <row r="801">
      <c r="A801" s="2" t="s">
        <v>2134</v>
      </c>
      <c r="B801" s="100">
        <v>44631.0</v>
      </c>
      <c r="C801" s="101">
        <v>0.3314236111111111</v>
      </c>
      <c r="D801" s="102"/>
      <c r="E801" s="102"/>
      <c r="F801" s="102"/>
      <c r="G801" s="102"/>
      <c r="H801" s="102"/>
      <c r="I801" s="103"/>
      <c r="J801" s="103"/>
      <c r="K801" s="2" t="s">
        <v>244</v>
      </c>
      <c r="L801" s="100">
        <v>44631.0</v>
      </c>
      <c r="M801" s="101">
        <v>0.486099537037037</v>
      </c>
      <c r="P801" s="104" t="b">
        <f>IFNA(IF(VLOOKUP($A801,'Add from APT'!$AA$2:$AC826,3,FALSE)&gt;0,TRUE,FALSE),"ER - NOT IN APT")</f>
        <v>0</v>
      </c>
      <c r="Q801" s="105" t="str">
        <f>IF(ISLOGICAL(P801),IF(P801,"ER - REPS IN APT", IFNA(VLOOKUP($A801,RAW_APT!$A$3:$M826,7,FALSE),"ER - NOT IN APT")),P801)</f>
        <v>Result</v>
      </c>
      <c r="R801" s="106" t="b">
        <f t="shared" si="2"/>
        <v>1</v>
      </c>
      <c r="S801" s="107">
        <f t="shared" si="3"/>
        <v>1</v>
      </c>
      <c r="T801" s="143"/>
      <c r="U801" s="142"/>
      <c r="V801" s="142"/>
      <c r="W801" s="142"/>
      <c r="X801" s="110" t="b">
        <f t="shared" si="4"/>
        <v>0</v>
      </c>
      <c r="Y801" s="111" t="b">
        <v>0</v>
      </c>
      <c r="Z801" s="104" t="str">
        <f t="shared" si="5"/>
        <v/>
      </c>
      <c r="AA801" s="112" t="b">
        <f t="shared" si="6"/>
        <v>0</v>
      </c>
      <c r="AB801" s="142" t="b">
        <v>0</v>
      </c>
      <c r="AC801" s="140">
        <v>23.0</v>
      </c>
      <c r="AD801" s="141" t="b">
        <v>0</v>
      </c>
      <c r="AE801" s="115">
        <f t="shared" si="7"/>
        <v>222.7333333</v>
      </c>
      <c r="AF801" s="116" t="b">
        <f t="shared" si="8"/>
        <v>0</v>
      </c>
      <c r="AG801" s="105" t="b">
        <f t="shared" si="9"/>
        <v>0</v>
      </c>
      <c r="AH801" s="140"/>
      <c r="AI801" s="140"/>
      <c r="AJ801" s="140"/>
      <c r="AK801" s="117" t="str">
        <f t="shared" si="10"/>
        <v>Negative</v>
      </c>
      <c r="AL801" s="142"/>
      <c r="AM801" s="112" t="s">
        <v>1242</v>
      </c>
      <c r="AN801" s="112" t="s">
        <v>1243</v>
      </c>
      <c r="AO801" s="112" t="str">
        <f>IFERROR(__xludf.DUMMYFUNCTION("IF($AG801, ""DELETED"",TRIM(JOIN("" "",D801:E801)))"),"")</f>
        <v/>
      </c>
      <c r="AP801" s="112" t="str">
        <f t="shared" ref="AP801:AQ801" si="827">IF($AG801, "DELETED", TRIM(CONCATENATE(F801,I801,U801)))</f>
        <v/>
      </c>
      <c r="AQ801" s="112" t="str">
        <f t="shared" si="827"/>
        <v/>
      </c>
      <c r="AR801" s="112" t="str">
        <f>IFERROR(__xludf.DUMMYFUNCTION("IF($AG801, ""DELETED"", TRIM(JOIN("" "",AP801,AQ801)))"),"")</f>
        <v/>
      </c>
      <c r="AS801" s="118"/>
      <c r="AT801" s="110" t="b">
        <f t="shared" si="12"/>
        <v>0</v>
      </c>
      <c r="AU801" s="110" t="str">
        <f t="shared" si="13"/>
        <v/>
      </c>
      <c r="AV801" s="110" t="str">
        <f t="shared" si="14"/>
        <v/>
      </c>
      <c r="AW801" s="110" t="str">
        <f t="shared" si="15"/>
        <v/>
      </c>
      <c r="AX801" s="119" t="str">
        <f t="shared" si="16"/>
        <v/>
      </c>
      <c r="AY801" s="120"/>
      <c r="AZ801" s="121"/>
      <c r="BA801" s="122" t="str">
        <f t="shared" si="17"/>
        <v/>
      </c>
      <c r="BB801" s="34"/>
      <c r="BC801" s="121"/>
      <c r="BD801" s="136"/>
      <c r="BE801" s="125" t="str">
        <f t="shared" si="18"/>
        <v/>
      </c>
      <c r="BF801" s="126" t="str">
        <f t="shared" si="19"/>
        <v>FM360__44631_0.331423611111111</v>
      </c>
      <c r="BG801" s="127" t="str">
        <f t="shared" si="20"/>
        <v/>
      </c>
      <c r="BH801" s="137" t="s">
        <v>2135</v>
      </c>
      <c r="BI801" s="128" t="str">
        <f t="shared" si="21"/>
        <v>MAX82</v>
      </c>
      <c r="BJ801" s="129" t="b">
        <f t="shared" si="740"/>
        <v>0</v>
      </c>
      <c r="BK801" s="128" t="str">
        <f t="shared" si="23"/>
        <v/>
      </c>
      <c r="BL801" s="121"/>
      <c r="BM801" s="5" t="str">
        <f t="shared" si="24"/>
        <v>MISSING</v>
      </c>
      <c r="BN801" s="120" t="b">
        <f t="shared" si="25"/>
        <v>0</v>
      </c>
      <c r="BO801" s="131" t="b">
        <f t="shared" si="26"/>
        <v>1</v>
      </c>
      <c r="BP801" s="121"/>
      <c r="BQ801" s="132" t="str">
        <f>VLOOKUP(A801,RAW_APS!A$3:O826,15,FALSE)</f>
        <v/>
      </c>
      <c r="BR801" s="120" t="b">
        <f t="shared" si="27"/>
        <v>1</v>
      </c>
      <c r="BS801" s="121"/>
      <c r="BT801" s="138" t="s">
        <v>244</v>
      </c>
      <c r="BU801" s="10" t="b">
        <f t="shared" si="28"/>
        <v>1</v>
      </c>
      <c r="BV801" s="120"/>
      <c r="BW801" s="120"/>
      <c r="BX801" s="120"/>
      <c r="BY801" s="120"/>
      <c r="BZ801" s="120"/>
      <c r="CA801" s="120"/>
      <c r="CB801" s="120"/>
      <c r="CC801" s="120"/>
    </row>
    <row r="802">
      <c r="A802" s="2" t="s">
        <v>2136</v>
      </c>
      <c r="B802" s="100">
        <v>44631.0</v>
      </c>
      <c r="C802" s="101">
        <v>0.3362962962962963</v>
      </c>
      <c r="D802" s="102"/>
      <c r="E802" s="102"/>
      <c r="F802" s="102"/>
      <c r="G802" s="102"/>
      <c r="H802" s="102"/>
      <c r="I802" s="103"/>
      <c r="J802" s="103"/>
      <c r="K802" s="2" t="s">
        <v>244</v>
      </c>
      <c r="L802" s="100">
        <v>44631.0</v>
      </c>
      <c r="M802" s="101">
        <v>0.486099537037037</v>
      </c>
      <c r="P802" s="104" t="b">
        <f>IFNA(IF(VLOOKUP($A802,'Add from APT'!$AA$2:$AC826,3,FALSE)&gt;0,TRUE,FALSE),"ER - NOT IN APT")</f>
        <v>0</v>
      </c>
      <c r="Q802" s="105" t="str">
        <f>IF(ISLOGICAL(P802),IF(P802,"ER - REPS IN APT", IFNA(VLOOKUP($A802,RAW_APT!$A$3:$M826,7,FALSE),"ER - NOT IN APT")),P802)</f>
        <v>Result</v>
      </c>
      <c r="R802" s="106" t="b">
        <f t="shared" si="2"/>
        <v>1</v>
      </c>
      <c r="S802" s="107">
        <f t="shared" si="3"/>
        <v>1</v>
      </c>
      <c r="T802" s="143"/>
      <c r="U802" s="142"/>
      <c r="V802" s="142"/>
      <c r="W802" s="142"/>
      <c r="X802" s="110" t="b">
        <f t="shared" si="4"/>
        <v>0</v>
      </c>
      <c r="Y802" s="111" t="b">
        <v>0</v>
      </c>
      <c r="Z802" s="104" t="str">
        <f t="shared" si="5"/>
        <v/>
      </c>
      <c r="AA802" s="112" t="b">
        <f t="shared" si="6"/>
        <v>0</v>
      </c>
      <c r="AB802" s="142" t="b">
        <v>0</v>
      </c>
      <c r="AC802" s="140">
        <v>22.0</v>
      </c>
      <c r="AD802" s="141" t="b">
        <v>0</v>
      </c>
      <c r="AE802" s="115">
        <f t="shared" si="7"/>
        <v>215.7166667</v>
      </c>
      <c r="AF802" s="116" t="b">
        <f t="shared" si="8"/>
        <v>0</v>
      </c>
      <c r="AG802" s="105" t="b">
        <f t="shared" si="9"/>
        <v>0</v>
      </c>
      <c r="AH802" s="140"/>
      <c r="AI802" s="140"/>
      <c r="AJ802" s="140"/>
      <c r="AK802" s="117" t="str">
        <f t="shared" si="10"/>
        <v>Negative</v>
      </c>
      <c r="AL802" s="142"/>
      <c r="AM802" s="112" t="s">
        <v>457</v>
      </c>
      <c r="AN802" s="112" t="s">
        <v>458</v>
      </c>
      <c r="AO802" s="112" t="str">
        <f>IFERROR(__xludf.DUMMYFUNCTION("IF($AG802, ""DELETED"",TRIM(JOIN("" "",D802:E802)))"),"")</f>
        <v/>
      </c>
      <c r="AP802" s="112" t="str">
        <f t="shared" ref="AP802:AQ802" si="828">IF($AG802, "DELETED", TRIM(CONCATENATE(F802,I802,U802)))</f>
        <v/>
      </c>
      <c r="AQ802" s="112" t="str">
        <f t="shared" si="828"/>
        <v/>
      </c>
      <c r="AR802" s="112" t="str">
        <f>IFERROR(__xludf.DUMMYFUNCTION("IF($AG802, ""DELETED"", TRIM(JOIN("" "",AP802,AQ802)))"),"")</f>
        <v/>
      </c>
      <c r="AS802" s="118"/>
      <c r="AT802" s="110" t="b">
        <f t="shared" si="12"/>
        <v>0</v>
      </c>
      <c r="AU802" s="110" t="str">
        <f t="shared" si="13"/>
        <v/>
      </c>
      <c r="AV802" s="110" t="str">
        <f t="shared" si="14"/>
        <v/>
      </c>
      <c r="AW802" s="110" t="str">
        <f t="shared" si="15"/>
        <v/>
      </c>
      <c r="AX802" s="119" t="str">
        <f t="shared" si="16"/>
        <v/>
      </c>
      <c r="AY802" s="120"/>
      <c r="AZ802" s="121"/>
      <c r="BA802" s="122" t="str">
        <f t="shared" si="17"/>
        <v/>
      </c>
      <c r="BB802" s="34"/>
      <c r="BC802" s="121"/>
      <c r="BD802" s="136"/>
      <c r="BE802" s="125" t="str">
        <f t="shared" si="18"/>
        <v/>
      </c>
      <c r="BF802" s="126" t="str">
        <f t="shared" si="19"/>
        <v>FM65__44631_0.336296296296296</v>
      </c>
      <c r="BG802" s="127" t="str">
        <f t="shared" si="20"/>
        <v/>
      </c>
      <c r="BH802" s="137" t="s">
        <v>2137</v>
      </c>
      <c r="BI802" s="128" t="str">
        <f t="shared" si="21"/>
        <v>MAX84</v>
      </c>
      <c r="BJ802" s="129" t="b">
        <f t="shared" si="740"/>
        <v>0</v>
      </c>
      <c r="BK802" s="128" t="str">
        <f t="shared" si="23"/>
        <v/>
      </c>
      <c r="BL802" s="121"/>
      <c r="BM802" s="5" t="str">
        <f t="shared" si="24"/>
        <v>MISSING</v>
      </c>
      <c r="BN802" s="120" t="b">
        <f t="shared" si="25"/>
        <v>0</v>
      </c>
      <c r="BO802" s="131" t="b">
        <f t="shared" si="26"/>
        <v>1</v>
      </c>
      <c r="BP802" s="121"/>
      <c r="BQ802" s="132" t="str">
        <f>VLOOKUP(A802,RAW_APS!A$3:O826,15,FALSE)</f>
        <v/>
      </c>
      <c r="BR802" s="120" t="b">
        <f t="shared" si="27"/>
        <v>1</v>
      </c>
      <c r="BS802" s="121"/>
      <c r="BT802" s="138" t="s">
        <v>244</v>
      </c>
      <c r="BU802" s="10" t="b">
        <f t="shared" si="28"/>
        <v>1</v>
      </c>
      <c r="BV802" s="120"/>
      <c r="BW802" s="120"/>
      <c r="BX802" s="120"/>
      <c r="BY802" s="120"/>
      <c r="BZ802" s="120"/>
      <c r="CA802" s="120"/>
      <c r="CB802" s="120"/>
      <c r="CC802" s="120"/>
    </row>
    <row r="803">
      <c r="A803" s="2" t="s">
        <v>2138</v>
      </c>
      <c r="B803" s="100">
        <v>44631.0</v>
      </c>
      <c r="C803" s="101">
        <v>0.340625</v>
      </c>
      <c r="D803" s="102"/>
      <c r="E803" s="102"/>
      <c r="F803" s="102"/>
      <c r="G803" s="102"/>
      <c r="H803" s="102"/>
      <c r="I803" s="103"/>
      <c r="J803" s="103"/>
      <c r="K803" s="2" t="s">
        <v>244</v>
      </c>
      <c r="L803" s="100">
        <v>44631.0</v>
      </c>
      <c r="M803" s="101">
        <v>0.486099537037037</v>
      </c>
      <c r="P803" s="104" t="b">
        <f>IFNA(IF(VLOOKUP($A803,'Add from APT'!$AA$2:$AC826,3,FALSE)&gt;0,TRUE,FALSE),"ER - NOT IN APT")</f>
        <v>0</v>
      </c>
      <c r="Q803" s="105" t="str">
        <f>IF(ISLOGICAL(P803),IF(P803,"ER - REPS IN APT", IFNA(VLOOKUP($A803,RAW_APT!$A$3:$M826,7,FALSE),"ER - NOT IN APT")),P803)</f>
        <v>Result</v>
      </c>
      <c r="R803" s="106" t="b">
        <f t="shared" si="2"/>
        <v>1</v>
      </c>
      <c r="S803" s="107">
        <f t="shared" si="3"/>
        <v>1</v>
      </c>
      <c r="T803" s="143"/>
      <c r="U803" s="142"/>
      <c r="V803" s="142"/>
      <c r="W803" s="142"/>
      <c r="X803" s="110" t="b">
        <f t="shared" si="4"/>
        <v>0</v>
      </c>
      <c r="Y803" s="111" t="b">
        <v>0</v>
      </c>
      <c r="Z803" s="104" t="str">
        <f t="shared" si="5"/>
        <v/>
      </c>
      <c r="AA803" s="112" t="b">
        <f t="shared" si="6"/>
        <v>0</v>
      </c>
      <c r="AB803" s="142" t="b">
        <v>0</v>
      </c>
      <c r="AC803" s="140">
        <v>21.0</v>
      </c>
      <c r="AD803" s="141" t="b">
        <v>0</v>
      </c>
      <c r="AE803" s="115">
        <f t="shared" si="7"/>
        <v>209.4833333</v>
      </c>
      <c r="AF803" s="116" t="b">
        <f t="shared" si="8"/>
        <v>0</v>
      </c>
      <c r="AG803" s="105" t="b">
        <f t="shared" si="9"/>
        <v>0</v>
      </c>
      <c r="AH803" s="140"/>
      <c r="AI803" s="140"/>
      <c r="AJ803" s="140"/>
      <c r="AK803" s="117" t="str">
        <f t="shared" si="10"/>
        <v>Negative</v>
      </c>
      <c r="AL803" s="142"/>
      <c r="AM803" s="112" t="s">
        <v>436</v>
      </c>
      <c r="AN803" s="112" t="s">
        <v>437</v>
      </c>
      <c r="AO803" s="112" t="str">
        <f>IFERROR(__xludf.DUMMYFUNCTION("IF($AG803, ""DELETED"",TRIM(JOIN("" "",D803:E803)))"),"")</f>
        <v/>
      </c>
      <c r="AP803" s="112" t="str">
        <f t="shared" ref="AP803:AQ803" si="829">IF($AG803, "DELETED", TRIM(CONCATENATE(F803,I803,U803)))</f>
        <v/>
      </c>
      <c r="AQ803" s="112" t="str">
        <f t="shared" si="829"/>
        <v/>
      </c>
      <c r="AR803" s="112" t="str">
        <f>IFERROR(__xludf.DUMMYFUNCTION("IF($AG803, ""DELETED"", TRIM(JOIN("" "",AP803,AQ803)))"),"")</f>
        <v/>
      </c>
      <c r="AS803" s="118"/>
      <c r="AT803" s="110" t="b">
        <f t="shared" si="12"/>
        <v>0</v>
      </c>
      <c r="AU803" s="110" t="str">
        <f t="shared" si="13"/>
        <v/>
      </c>
      <c r="AV803" s="110" t="str">
        <f t="shared" si="14"/>
        <v/>
      </c>
      <c r="AW803" s="110" t="str">
        <f t="shared" si="15"/>
        <v/>
      </c>
      <c r="AX803" s="119" t="str">
        <f t="shared" si="16"/>
        <v/>
      </c>
      <c r="AY803" s="120"/>
      <c r="AZ803" s="121"/>
      <c r="BA803" s="122" t="str">
        <f t="shared" si="17"/>
        <v/>
      </c>
      <c r="BB803" s="34"/>
      <c r="BC803" s="121"/>
      <c r="BD803" s="136"/>
      <c r="BE803" s="125" t="str">
        <f t="shared" si="18"/>
        <v/>
      </c>
      <c r="BF803" s="126" t="str">
        <f t="shared" si="19"/>
        <v>FM599__44631_0.340625</v>
      </c>
      <c r="BG803" s="127" t="str">
        <f t="shared" si="20"/>
        <v/>
      </c>
      <c r="BH803" s="137" t="s">
        <v>2139</v>
      </c>
      <c r="BI803" s="128" t="str">
        <f t="shared" si="21"/>
        <v>MAX85</v>
      </c>
      <c r="BJ803" s="129" t="b">
        <f t="shared" si="740"/>
        <v>0</v>
      </c>
      <c r="BK803" s="128" t="str">
        <f t="shared" si="23"/>
        <v/>
      </c>
      <c r="BL803" s="121"/>
      <c r="BM803" s="5" t="str">
        <f t="shared" si="24"/>
        <v>MISSING</v>
      </c>
      <c r="BN803" s="120" t="b">
        <f t="shared" si="25"/>
        <v>0</v>
      </c>
      <c r="BO803" s="131" t="b">
        <f t="shared" si="26"/>
        <v>1</v>
      </c>
      <c r="BP803" s="121"/>
      <c r="BQ803" s="132" t="str">
        <f>VLOOKUP(A803,RAW_APS!A$3:O826,15,FALSE)</f>
        <v/>
      </c>
      <c r="BR803" s="120" t="b">
        <f t="shared" si="27"/>
        <v>1</v>
      </c>
      <c r="BS803" s="121"/>
      <c r="BT803" s="138" t="s">
        <v>244</v>
      </c>
      <c r="BU803" s="10" t="b">
        <f t="shared" si="28"/>
        <v>1</v>
      </c>
      <c r="BV803" s="120"/>
      <c r="BW803" s="120"/>
      <c r="BX803" s="120"/>
      <c r="BY803" s="120"/>
      <c r="BZ803" s="120"/>
      <c r="CA803" s="120"/>
      <c r="CB803" s="120"/>
      <c r="CC803" s="120"/>
    </row>
    <row r="804">
      <c r="A804" s="2" t="s">
        <v>2140</v>
      </c>
      <c r="B804" s="100">
        <v>44631.0</v>
      </c>
      <c r="C804" s="101">
        <v>0.34096064814814814</v>
      </c>
      <c r="D804" s="102"/>
      <c r="E804" s="102"/>
      <c r="F804" s="102"/>
      <c r="G804" s="102"/>
      <c r="H804" s="102"/>
      <c r="I804" s="103"/>
      <c r="J804" s="103"/>
      <c r="K804" s="2" t="s">
        <v>244</v>
      </c>
      <c r="L804" s="100">
        <v>44631.0</v>
      </c>
      <c r="M804" s="101">
        <v>0.486099537037037</v>
      </c>
      <c r="P804" s="104" t="b">
        <f>IFNA(IF(VLOOKUP($A804,'Add from APT'!$AA$2:$AC826,3,FALSE)&gt;0,TRUE,FALSE),"ER - NOT IN APT")</f>
        <v>0</v>
      </c>
      <c r="Q804" s="105" t="str">
        <f>IF(ISLOGICAL(P804),IF(P804,"ER - REPS IN APT", IFNA(VLOOKUP($A804,RAW_APT!$A$3:$M826,7,FALSE),"ER - NOT IN APT")),P804)</f>
        <v>Result</v>
      </c>
      <c r="R804" s="106" t="b">
        <f t="shared" si="2"/>
        <v>1</v>
      </c>
      <c r="S804" s="107">
        <f t="shared" si="3"/>
        <v>1</v>
      </c>
      <c r="T804" s="143"/>
      <c r="U804" s="142"/>
      <c r="V804" s="142"/>
      <c r="W804" s="142"/>
      <c r="X804" s="110" t="b">
        <f t="shared" si="4"/>
        <v>0</v>
      </c>
      <c r="Y804" s="111" t="b">
        <v>0</v>
      </c>
      <c r="Z804" s="104" t="str">
        <f t="shared" si="5"/>
        <v/>
      </c>
      <c r="AA804" s="112" t="b">
        <f t="shared" si="6"/>
        <v>0</v>
      </c>
      <c r="AB804" s="142" t="b">
        <v>0</v>
      </c>
      <c r="AC804" s="140">
        <v>20.0</v>
      </c>
      <c r="AD804" s="141" t="b">
        <v>0</v>
      </c>
      <c r="AE804" s="115">
        <f t="shared" si="7"/>
        <v>209</v>
      </c>
      <c r="AF804" s="116" t="b">
        <f t="shared" si="8"/>
        <v>0</v>
      </c>
      <c r="AG804" s="105" t="b">
        <f t="shared" si="9"/>
        <v>0</v>
      </c>
      <c r="AH804" s="140"/>
      <c r="AI804" s="140"/>
      <c r="AJ804" s="140"/>
      <c r="AK804" s="117" t="str">
        <f t="shared" si="10"/>
        <v>Negative</v>
      </c>
      <c r="AL804" s="142"/>
      <c r="AM804" s="112" t="s">
        <v>1512</v>
      </c>
      <c r="AN804" s="112" t="s">
        <v>1513</v>
      </c>
      <c r="AO804" s="112" t="str">
        <f>IFERROR(__xludf.DUMMYFUNCTION("IF($AG804, ""DELETED"",TRIM(JOIN("" "",D804:E804)))"),"")</f>
        <v/>
      </c>
      <c r="AP804" s="112" t="str">
        <f t="shared" ref="AP804:AQ804" si="830">IF($AG804, "DELETED", TRIM(CONCATENATE(F804,I804,U804)))</f>
        <v/>
      </c>
      <c r="AQ804" s="112" t="str">
        <f t="shared" si="830"/>
        <v/>
      </c>
      <c r="AR804" s="112" t="str">
        <f>IFERROR(__xludf.DUMMYFUNCTION("IF($AG804, ""DELETED"", TRIM(JOIN("" "",AP804,AQ804)))"),"")</f>
        <v/>
      </c>
      <c r="AS804" s="118"/>
      <c r="AT804" s="110" t="b">
        <f t="shared" si="12"/>
        <v>0</v>
      </c>
      <c r="AU804" s="110" t="str">
        <f t="shared" si="13"/>
        <v/>
      </c>
      <c r="AV804" s="110" t="str">
        <f t="shared" si="14"/>
        <v/>
      </c>
      <c r="AW804" s="110" t="str">
        <f t="shared" si="15"/>
        <v/>
      </c>
      <c r="AX804" s="119" t="str">
        <f t="shared" si="16"/>
        <v/>
      </c>
      <c r="AY804" s="120"/>
      <c r="AZ804" s="121"/>
      <c r="BA804" s="122" t="str">
        <f t="shared" si="17"/>
        <v/>
      </c>
      <c r="BB804" s="34"/>
      <c r="BC804" s="121"/>
      <c r="BD804" s="136"/>
      <c r="BE804" s="125" t="str">
        <f t="shared" si="18"/>
        <v/>
      </c>
      <c r="BF804" s="126" t="str">
        <f t="shared" si="19"/>
        <v>FM569__44631_0.340960648148148</v>
      </c>
      <c r="BG804" s="127" t="str">
        <f t="shared" si="20"/>
        <v/>
      </c>
      <c r="BH804" s="137" t="s">
        <v>2141</v>
      </c>
      <c r="BI804" s="128" t="str">
        <f t="shared" si="21"/>
        <v>MAX88</v>
      </c>
      <c r="BJ804" s="129" t="b">
        <f t="shared" si="740"/>
        <v>0</v>
      </c>
      <c r="BK804" s="128" t="str">
        <f t="shared" si="23"/>
        <v/>
      </c>
      <c r="BL804" s="121"/>
      <c r="BM804" s="5" t="str">
        <f t="shared" si="24"/>
        <v>MISSING</v>
      </c>
      <c r="BN804" s="120" t="b">
        <f t="shared" si="25"/>
        <v>0</v>
      </c>
      <c r="BO804" s="131" t="b">
        <f t="shared" si="26"/>
        <v>1</v>
      </c>
      <c r="BP804" s="121"/>
      <c r="BQ804" s="132" t="str">
        <f>VLOOKUP(A804,RAW_APS!A$3:O826,15,FALSE)</f>
        <v/>
      </c>
      <c r="BR804" s="120" t="b">
        <f t="shared" si="27"/>
        <v>1</v>
      </c>
      <c r="BS804" s="121"/>
      <c r="BT804" s="138" t="s">
        <v>244</v>
      </c>
      <c r="BU804" s="10" t="b">
        <f t="shared" si="28"/>
        <v>1</v>
      </c>
      <c r="BV804" s="120"/>
      <c r="BW804" s="120"/>
      <c r="BX804" s="120"/>
      <c r="BY804" s="120"/>
      <c r="BZ804" s="120"/>
      <c r="CA804" s="120"/>
      <c r="CB804" s="120"/>
      <c r="CC804" s="120"/>
    </row>
    <row r="805">
      <c r="A805" s="2" t="s">
        <v>2142</v>
      </c>
      <c r="B805" s="100">
        <v>44631.0</v>
      </c>
      <c r="C805" s="101">
        <v>0.34293981481481484</v>
      </c>
      <c r="D805" s="102"/>
      <c r="E805" s="102"/>
      <c r="F805" s="102"/>
      <c r="G805" s="102"/>
      <c r="H805" s="102"/>
      <c r="I805" s="103"/>
      <c r="J805" s="103"/>
      <c r="K805" s="2" t="s">
        <v>244</v>
      </c>
      <c r="L805" s="100">
        <v>44631.0</v>
      </c>
      <c r="M805" s="101">
        <v>0.486099537037037</v>
      </c>
      <c r="P805" s="104" t="b">
        <f>IFNA(IF(VLOOKUP($A805,'Add from APT'!$AA$2:$AC826,3,FALSE)&gt;0,TRUE,FALSE),"ER - NOT IN APT")</f>
        <v>0</v>
      </c>
      <c r="Q805" s="105" t="str">
        <f>IF(ISLOGICAL(P805),IF(P805,"ER - REPS IN APT", IFNA(VLOOKUP($A805,RAW_APT!$A$3:$M826,7,FALSE),"ER - NOT IN APT")),P805)</f>
        <v>Result</v>
      </c>
      <c r="R805" s="106" t="b">
        <f t="shared" si="2"/>
        <v>1</v>
      </c>
      <c r="S805" s="107">
        <f t="shared" si="3"/>
        <v>1</v>
      </c>
      <c r="T805" s="143"/>
      <c r="U805" s="142"/>
      <c r="V805" s="142"/>
      <c r="W805" s="142"/>
      <c r="X805" s="110" t="b">
        <f t="shared" si="4"/>
        <v>0</v>
      </c>
      <c r="Y805" s="111" t="b">
        <v>0</v>
      </c>
      <c r="Z805" s="104" t="str">
        <f t="shared" si="5"/>
        <v/>
      </c>
      <c r="AA805" s="112" t="b">
        <f t="shared" si="6"/>
        <v>0</v>
      </c>
      <c r="AB805" s="142" t="b">
        <v>0</v>
      </c>
      <c r="AC805" s="140">
        <v>19.0</v>
      </c>
      <c r="AD805" s="141" t="b">
        <v>0</v>
      </c>
      <c r="AE805" s="115">
        <f t="shared" si="7"/>
        <v>206.15</v>
      </c>
      <c r="AF805" s="116" t="b">
        <f t="shared" si="8"/>
        <v>0</v>
      </c>
      <c r="AG805" s="105" t="b">
        <f t="shared" si="9"/>
        <v>0</v>
      </c>
      <c r="AH805" s="140"/>
      <c r="AI805" s="140"/>
      <c r="AJ805" s="140"/>
      <c r="AK805" s="117" t="str">
        <f t="shared" si="10"/>
        <v>Negative</v>
      </c>
      <c r="AL805" s="142"/>
      <c r="AM805" s="112" t="s">
        <v>649</v>
      </c>
      <c r="AN805" s="112" t="s">
        <v>336</v>
      </c>
      <c r="AO805" s="112" t="str">
        <f>IFERROR(__xludf.DUMMYFUNCTION("IF($AG805, ""DELETED"",TRIM(JOIN("" "",D805:E805)))"),"")</f>
        <v/>
      </c>
      <c r="AP805" s="112" t="str">
        <f t="shared" ref="AP805:AQ805" si="831">IF($AG805, "DELETED", TRIM(CONCATENATE(F805,I805,U805)))</f>
        <v/>
      </c>
      <c r="AQ805" s="112" t="str">
        <f t="shared" si="831"/>
        <v/>
      </c>
      <c r="AR805" s="112" t="str">
        <f>IFERROR(__xludf.DUMMYFUNCTION("IF($AG805, ""DELETED"", TRIM(JOIN("" "",AP805,AQ805)))"),"")</f>
        <v/>
      </c>
      <c r="AS805" s="118"/>
      <c r="AT805" s="110" t="b">
        <f t="shared" si="12"/>
        <v>0</v>
      </c>
      <c r="AU805" s="110" t="str">
        <f t="shared" si="13"/>
        <v/>
      </c>
      <c r="AV805" s="110" t="str">
        <f t="shared" si="14"/>
        <v/>
      </c>
      <c r="AW805" s="110" t="str">
        <f t="shared" si="15"/>
        <v/>
      </c>
      <c r="AX805" s="119" t="str">
        <f t="shared" si="16"/>
        <v/>
      </c>
      <c r="AY805" s="120"/>
      <c r="AZ805" s="121"/>
      <c r="BA805" s="122" t="str">
        <f t="shared" si="17"/>
        <v/>
      </c>
      <c r="BB805" s="34"/>
      <c r="BC805" s="121"/>
      <c r="BD805" s="136"/>
      <c r="BE805" s="125" t="str">
        <f t="shared" si="18"/>
        <v/>
      </c>
      <c r="BF805" s="126" t="str">
        <f t="shared" si="19"/>
        <v>FM2044__44631_0.342939814814815</v>
      </c>
      <c r="BG805" s="127" t="str">
        <f t="shared" si="20"/>
        <v/>
      </c>
      <c r="BH805" s="137" t="s">
        <v>2143</v>
      </c>
      <c r="BI805" s="128" t="str">
        <f t="shared" si="21"/>
        <v>MAX89</v>
      </c>
      <c r="BJ805" s="129" t="b">
        <f t="shared" si="740"/>
        <v>0</v>
      </c>
      <c r="BK805" s="128" t="str">
        <f t="shared" si="23"/>
        <v/>
      </c>
      <c r="BL805" s="121"/>
      <c r="BM805" s="5" t="str">
        <f t="shared" si="24"/>
        <v>MISSING</v>
      </c>
      <c r="BN805" s="120" t="b">
        <f t="shared" si="25"/>
        <v>0</v>
      </c>
      <c r="BO805" s="131" t="b">
        <f t="shared" si="26"/>
        <v>1</v>
      </c>
      <c r="BP805" s="121"/>
      <c r="BQ805" s="132" t="str">
        <f>VLOOKUP(A805,RAW_APS!A$3:O826,15,FALSE)</f>
        <v/>
      </c>
      <c r="BR805" s="120" t="b">
        <f t="shared" si="27"/>
        <v>1</v>
      </c>
      <c r="BS805" s="121"/>
      <c r="BT805" s="138" t="s">
        <v>244</v>
      </c>
      <c r="BU805" s="10" t="b">
        <f t="shared" si="28"/>
        <v>1</v>
      </c>
      <c r="BV805" s="120"/>
      <c r="BW805" s="120"/>
      <c r="BX805" s="120"/>
      <c r="BY805" s="120"/>
      <c r="BZ805" s="120"/>
      <c r="CA805" s="120"/>
      <c r="CB805" s="120"/>
      <c r="CC805" s="120"/>
    </row>
    <row r="806">
      <c r="A806" s="2" t="s">
        <v>2144</v>
      </c>
      <c r="B806" s="100">
        <v>44631.0</v>
      </c>
      <c r="C806" s="101">
        <v>0.34501157407407407</v>
      </c>
      <c r="D806" s="102"/>
      <c r="E806" s="102"/>
      <c r="F806" s="102"/>
      <c r="G806" s="102"/>
      <c r="H806" s="102"/>
      <c r="I806" s="103"/>
      <c r="J806" s="103"/>
      <c r="K806" s="2" t="s">
        <v>244</v>
      </c>
      <c r="L806" s="100">
        <v>44631.0</v>
      </c>
      <c r="M806" s="101">
        <v>0.486099537037037</v>
      </c>
      <c r="P806" s="104" t="b">
        <f>IFNA(IF(VLOOKUP($A806,'Add from APT'!$AA$2:$AC826,3,FALSE)&gt;0,TRUE,FALSE),"ER - NOT IN APT")</f>
        <v>0</v>
      </c>
      <c r="Q806" s="105" t="str">
        <f>IF(ISLOGICAL(P806),IF(P806,"ER - REPS IN APT", IFNA(VLOOKUP($A806,RAW_APT!$A$3:$M826,7,FALSE),"ER - NOT IN APT")),P806)</f>
        <v>Result</v>
      </c>
      <c r="R806" s="106" t="b">
        <f t="shared" si="2"/>
        <v>1</v>
      </c>
      <c r="S806" s="107">
        <f t="shared" si="3"/>
        <v>1</v>
      </c>
      <c r="T806" s="143"/>
      <c r="U806" s="142"/>
      <c r="V806" s="142"/>
      <c r="W806" s="142"/>
      <c r="X806" s="110" t="b">
        <f t="shared" si="4"/>
        <v>0</v>
      </c>
      <c r="Y806" s="111" t="b">
        <v>0</v>
      </c>
      <c r="Z806" s="104" t="str">
        <f t="shared" si="5"/>
        <v/>
      </c>
      <c r="AA806" s="112" t="b">
        <f t="shared" si="6"/>
        <v>0</v>
      </c>
      <c r="AB806" s="142" t="b">
        <v>0</v>
      </c>
      <c r="AC806" s="140">
        <v>18.0</v>
      </c>
      <c r="AD806" s="141" t="b">
        <v>0</v>
      </c>
      <c r="AE806" s="115">
        <f t="shared" si="7"/>
        <v>203.1666667</v>
      </c>
      <c r="AF806" s="116" t="b">
        <f t="shared" si="8"/>
        <v>0</v>
      </c>
      <c r="AG806" s="105" t="b">
        <f t="shared" si="9"/>
        <v>0</v>
      </c>
      <c r="AH806" s="140"/>
      <c r="AI806" s="140"/>
      <c r="AJ806" s="140"/>
      <c r="AK806" s="117" t="str">
        <f t="shared" si="10"/>
        <v>Negative</v>
      </c>
      <c r="AL806" s="142"/>
      <c r="AM806" s="112" t="s">
        <v>731</v>
      </c>
      <c r="AN806" s="112" t="s">
        <v>732</v>
      </c>
      <c r="AO806" s="112" t="str">
        <f>IFERROR(__xludf.DUMMYFUNCTION("IF($AG806, ""DELETED"",TRIM(JOIN("" "",D806:E806)))"),"")</f>
        <v/>
      </c>
      <c r="AP806" s="112" t="str">
        <f t="shared" ref="AP806:AQ806" si="832">IF($AG806, "DELETED", TRIM(CONCATENATE(F806,I806,U806)))</f>
        <v/>
      </c>
      <c r="AQ806" s="112" t="str">
        <f t="shared" si="832"/>
        <v/>
      </c>
      <c r="AR806" s="112" t="str">
        <f>IFERROR(__xludf.DUMMYFUNCTION("IF($AG806, ""DELETED"", TRIM(JOIN("" "",AP806,AQ806)))"),"")</f>
        <v/>
      </c>
      <c r="AS806" s="118"/>
      <c r="AT806" s="110" t="b">
        <f t="shared" si="12"/>
        <v>0</v>
      </c>
      <c r="AU806" s="110" t="str">
        <f t="shared" si="13"/>
        <v/>
      </c>
      <c r="AV806" s="110" t="str">
        <f t="shared" si="14"/>
        <v/>
      </c>
      <c r="AW806" s="110" t="str">
        <f t="shared" si="15"/>
        <v/>
      </c>
      <c r="AX806" s="119" t="str">
        <f t="shared" si="16"/>
        <v/>
      </c>
      <c r="AY806" s="120"/>
      <c r="AZ806" s="121"/>
      <c r="BA806" s="122" t="str">
        <f t="shared" si="17"/>
        <v/>
      </c>
      <c r="BB806" s="34"/>
      <c r="BC806" s="121"/>
      <c r="BD806" s="136"/>
      <c r="BE806" s="125" t="str">
        <f t="shared" si="18"/>
        <v/>
      </c>
      <c r="BF806" s="126" t="str">
        <f t="shared" si="19"/>
        <v>MA375__44631_0.345011574074074</v>
      </c>
      <c r="BG806" s="127" t="str">
        <f t="shared" si="20"/>
        <v/>
      </c>
      <c r="BH806" s="137" t="s">
        <v>2145</v>
      </c>
      <c r="BI806" s="128" t="str">
        <f t="shared" si="21"/>
        <v>MAX90</v>
      </c>
      <c r="BJ806" s="129" t="b">
        <f t="shared" si="740"/>
        <v>0</v>
      </c>
      <c r="BK806" s="128" t="str">
        <f t="shared" si="23"/>
        <v/>
      </c>
      <c r="BL806" s="121"/>
      <c r="BM806" s="5" t="str">
        <f t="shared" si="24"/>
        <v>MISSING</v>
      </c>
      <c r="BN806" s="120" t="b">
        <f t="shared" si="25"/>
        <v>0</v>
      </c>
      <c r="BO806" s="131" t="b">
        <f t="shared" si="26"/>
        <v>1</v>
      </c>
      <c r="BP806" s="121"/>
      <c r="BQ806" s="132" t="str">
        <f>VLOOKUP(A806,RAW_APS!A$3:O826,15,FALSE)</f>
        <v/>
      </c>
      <c r="BR806" s="120" t="b">
        <f t="shared" si="27"/>
        <v>1</v>
      </c>
      <c r="BS806" s="121"/>
      <c r="BT806" s="138" t="s">
        <v>244</v>
      </c>
      <c r="BU806" s="10" t="b">
        <f t="shared" si="28"/>
        <v>1</v>
      </c>
      <c r="BV806" s="120"/>
      <c r="BW806" s="120"/>
      <c r="BX806" s="120"/>
      <c r="BY806" s="120"/>
      <c r="BZ806" s="120"/>
      <c r="CA806" s="120"/>
      <c r="CB806" s="120"/>
      <c r="CC806" s="120"/>
    </row>
    <row r="807">
      <c r="A807" s="2" t="s">
        <v>2146</v>
      </c>
      <c r="B807" s="100">
        <v>44631.0</v>
      </c>
      <c r="C807" s="101">
        <v>0.39895833333333336</v>
      </c>
      <c r="D807" s="102"/>
      <c r="E807" s="102"/>
      <c r="F807" s="103"/>
      <c r="G807" s="103"/>
      <c r="H807" s="103"/>
      <c r="I807" s="135"/>
      <c r="J807" s="103"/>
      <c r="K807" s="2" t="s">
        <v>244</v>
      </c>
      <c r="L807" s="100">
        <v>44631.0</v>
      </c>
      <c r="M807" s="101">
        <v>0.486099537037037</v>
      </c>
      <c r="N807" s="2" t="s">
        <v>247</v>
      </c>
      <c r="P807" s="104" t="b">
        <f>IFNA(IF(VLOOKUP($A807,'Add from APT'!$AA$2:$AC826,3,FALSE)&gt;0,TRUE,FALSE),"ER - NOT IN APT")</f>
        <v>0</v>
      </c>
      <c r="Q807" s="105" t="str">
        <f>IF(ISLOGICAL(P807),IF(P807,"ER - REPS IN APT", IFNA(VLOOKUP($A807,RAW_APT!$A$3:$M826,7,FALSE),"ER - NOT IN APT")),P807)</f>
        <v>Result</v>
      </c>
      <c r="R807" s="106" t="b">
        <f t="shared" si="2"/>
        <v>1</v>
      </c>
      <c r="S807" s="107">
        <f t="shared" si="3"/>
        <v>1</v>
      </c>
      <c r="T807" s="140">
        <v>0.0</v>
      </c>
      <c r="W807" s="141"/>
      <c r="X807" s="110" t="b">
        <f t="shared" si="4"/>
        <v>0</v>
      </c>
      <c r="Y807" s="111" t="b">
        <v>0</v>
      </c>
      <c r="Z807" s="104" t="str">
        <f t="shared" si="5"/>
        <v/>
      </c>
      <c r="AA807" s="112" t="b">
        <f t="shared" si="6"/>
        <v>0</v>
      </c>
      <c r="AB807" s="142" t="b">
        <v>0</v>
      </c>
      <c r="AC807" s="140">
        <v>789.0</v>
      </c>
      <c r="AD807" s="141" t="b">
        <v>1</v>
      </c>
      <c r="AE807" s="115">
        <f t="shared" si="7"/>
        <v>125.4833333</v>
      </c>
      <c r="AF807" s="116" t="b">
        <f t="shared" si="8"/>
        <v>0</v>
      </c>
      <c r="AG807" s="105" t="b">
        <f t="shared" si="9"/>
        <v>0</v>
      </c>
      <c r="AH807" s="140"/>
      <c r="AI807" s="140"/>
      <c r="AJ807" s="140"/>
      <c r="AK807" s="117" t="str">
        <f t="shared" si="10"/>
        <v>Negative</v>
      </c>
      <c r="AL807" s="142"/>
      <c r="AM807" s="112" t="s">
        <v>500</v>
      </c>
      <c r="AN807" s="112" t="s">
        <v>377</v>
      </c>
      <c r="AO807" s="112" t="str">
        <f>IFERROR(__xludf.DUMMYFUNCTION("IF($AG807, ""DELETED"",TRIM(JOIN("" "",D807:E807)))"),"")</f>
        <v/>
      </c>
      <c r="AP807" s="112" t="str">
        <f t="shared" ref="AP807:AQ807" si="833">IF($AG807, "DELETED", TRIM(CONCATENATE(F807,I807,U807)))</f>
        <v/>
      </c>
      <c r="AQ807" s="112" t="str">
        <f t="shared" si="833"/>
        <v/>
      </c>
      <c r="AR807" s="112" t="str">
        <f>IFERROR(__xludf.DUMMYFUNCTION("IF($AG807, ""DELETED"", TRIM(JOIN("" "",AP807,AQ807)))"),"")</f>
        <v/>
      </c>
      <c r="AS807" s="118"/>
      <c r="AT807" s="110" t="b">
        <f t="shared" si="12"/>
        <v>0</v>
      </c>
      <c r="AU807" s="110" t="str">
        <f t="shared" si="13"/>
        <v/>
      </c>
      <c r="AV807" s="110" t="str">
        <f t="shared" si="14"/>
        <v/>
      </c>
      <c r="AW807" s="110" t="str">
        <f t="shared" si="15"/>
        <v/>
      </c>
      <c r="AX807" s="119" t="str">
        <f t="shared" si="16"/>
        <v/>
      </c>
      <c r="AY807" s="120"/>
      <c r="AZ807" s="121"/>
      <c r="BA807" s="122" t="str">
        <f t="shared" si="17"/>
        <v/>
      </c>
      <c r="BB807" s="34"/>
      <c r="BC807" s="121"/>
      <c r="BD807" s="136"/>
      <c r="BE807" s="125" t="str">
        <f t="shared" si="18"/>
        <v/>
      </c>
      <c r="BF807" s="126" t="str">
        <f t="shared" si="19"/>
        <v>FM339__44631_0.398958333333333</v>
      </c>
      <c r="BG807" s="127" t="str">
        <f t="shared" si="20"/>
        <v/>
      </c>
      <c r="BH807" s="137" t="s">
        <v>2147</v>
      </c>
      <c r="BI807" s="128" t="str">
        <f t="shared" si="21"/>
        <v>MAX92</v>
      </c>
      <c r="BJ807" s="129" t="b">
        <f t="shared" si="740"/>
        <v>0</v>
      </c>
      <c r="BK807" s="128" t="str">
        <f t="shared" si="23"/>
        <v/>
      </c>
      <c r="BL807" s="121"/>
      <c r="BM807" s="5" t="str">
        <f t="shared" si="24"/>
        <v>MISSING</v>
      </c>
      <c r="BN807" s="120" t="b">
        <f t="shared" si="25"/>
        <v>0</v>
      </c>
      <c r="BO807" s="131" t="b">
        <f t="shared" si="26"/>
        <v>1</v>
      </c>
      <c r="BP807" s="121"/>
      <c r="BQ807" s="132" t="str">
        <f>VLOOKUP(A807,RAW_APS!A$3:O826,15,FALSE)</f>
        <v>#N/A</v>
      </c>
      <c r="BR807" s="120" t="str">
        <f t="shared" si="27"/>
        <v>***TUBE ID NOT FOUND</v>
      </c>
      <c r="BS807" s="121"/>
      <c r="BT807" s="138" t="s">
        <v>244</v>
      </c>
      <c r="BU807" s="10" t="b">
        <f t="shared" si="28"/>
        <v>1</v>
      </c>
      <c r="BV807" s="120"/>
      <c r="BW807" s="120"/>
      <c r="BX807" s="120"/>
      <c r="BY807" s="120"/>
      <c r="BZ807" s="120"/>
      <c r="CA807" s="120"/>
      <c r="CB807" s="120"/>
      <c r="CC807" s="120"/>
    </row>
    <row r="808">
      <c r="A808" s="2" t="s">
        <v>2148</v>
      </c>
      <c r="B808" s="100">
        <v>44631.0</v>
      </c>
      <c r="C808" s="101">
        <v>0.4051388888888889</v>
      </c>
      <c r="D808" s="102"/>
      <c r="E808" s="102"/>
      <c r="F808" s="102"/>
      <c r="G808" s="102"/>
      <c r="H808" s="102"/>
      <c r="I808" s="103"/>
      <c r="J808" s="103"/>
      <c r="K808" s="2" t="s">
        <v>244</v>
      </c>
      <c r="L808" s="100">
        <v>44631.0</v>
      </c>
      <c r="M808" s="101">
        <v>0.486099537037037</v>
      </c>
      <c r="P808" s="104" t="b">
        <f>IFNA(IF(VLOOKUP($A808,'Add from APT'!$AA$2:$AC826,3,FALSE)&gt;0,TRUE,FALSE),"ER - NOT IN APT")</f>
        <v>0</v>
      </c>
      <c r="Q808" s="105" t="str">
        <f>IF(ISLOGICAL(P808),IF(P808,"ER - REPS IN APT", IFNA(VLOOKUP($A808,RAW_APT!$A$3:$M826,7,FALSE),"ER - NOT IN APT")),P808)</f>
        <v>Result</v>
      </c>
      <c r="R808" s="106" t="b">
        <f t="shared" si="2"/>
        <v>1</v>
      </c>
      <c r="S808" s="107">
        <f t="shared" si="3"/>
        <v>1</v>
      </c>
      <c r="T808" s="143"/>
      <c r="U808" s="142"/>
      <c r="V808" s="142"/>
      <c r="W808" s="142"/>
      <c r="X808" s="110" t="b">
        <f t="shared" si="4"/>
        <v>0</v>
      </c>
      <c r="Y808" s="111" t="b">
        <v>0</v>
      </c>
      <c r="Z808" s="104" t="str">
        <f t="shared" si="5"/>
        <v/>
      </c>
      <c r="AA808" s="112" t="b">
        <f t="shared" si="6"/>
        <v>0</v>
      </c>
      <c r="AB808" s="142" t="b">
        <v>0</v>
      </c>
      <c r="AC808" s="140">
        <v>17.0</v>
      </c>
      <c r="AD808" s="141" t="b">
        <v>0</v>
      </c>
      <c r="AE808" s="115">
        <f t="shared" si="7"/>
        <v>116.5833333</v>
      </c>
      <c r="AF808" s="116" t="b">
        <f t="shared" si="8"/>
        <v>0</v>
      </c>
      <c r="AG808" s="105" t="b">
        <f t="shared" si="9"/>
        <v>0</v>
      </c>
      <c r="AH808" s="140"/>
      <c r="AI808" s="140"/>
      <c r="AJ808" s="140"/>
      <c r="AK808" s="117" t="str">
        <f t="shared" si="10"/>
        <v>Negative</v>
      </c>
      <c r="AL808" s="142"/>
      <c r="AM808" s="112" t="s">
        <v>1286</v>
      </c>
      <c r="AN808" s="112" t="s">
        <v>1287</v>
      </c>
      <c r="AO808" s="112" t="str">
        <f>IFERROR(__xludf.DUMMYFUNCTION("IF($AG808, ""DELETED"",TRIM(JOIN("" "",D808:E808)))"),"")</f>
        <v/>
      </c>
      <c r="AP808" s="112" t="str">
        <f t="shared" ref="AP808:AQ808" si="834">IF($AG808, "DELETED", TRIM(CONCATENATE(F808,I808,U808)))</f>
        <v/>
      </c>
      <c r="AQ808" s="112" t="str">
        <f t="shared" si="834"/>
        <v/>
      </c>
      <c r="AR808" s="112" t="str">
        <f>IFERROR(__xludf.DUMMYFUNCTION("IF($AG808, ""DELETED"", TRIM(JOIN("" "",AP808,AQ808)))"),"")</f>
        <v/>
      </c>
      <c r="AS808" s="118"/>
      <c r="AT808" s="110" t="b">
        <f t="shared" si="12"/>
        <v>0</v>
      </c>
      <c r="AU808" s="110" t="str">
        <f t="shared" si="13"/>
        <v/>
      </c>
      <c r="AV808" s="110" t="str">
        <f t="shared" si="14"/>
        <v/>
      </c>
      <c r="AW808" s="110" t="str">
        <f t="shared" si="15"/>
        <v/>
      </c>
      <c r="AX808" s="119" t="str">
        <f t="shared" si="16"/>
        <v/>
      </c>
      <c r="AY808" s="120"/>
      <c r="AZ808" s="121"/>
      <c r="BA808" s="122" t="str">
        <f t="shared" si="17"/>
        <v/>
      </c>
      <c r="BB808" s="34"/>
      <c r="BC808" s="121"/>
      <c r="BD808" s="136"/>
      <c r="BE808" s="125" t="str">
        <f t="shared" si="18"/>
        <v/>
      </c>
      <c r="BF808" s="126" t="str">
        <f t="shared" si="19"/>
        <v>FM371__44631_0.405138888888889</v>
      </c>
      <c r="BG808" s="127" t="str">
        <f t="shared" si="20"/>
        <v/>
      </c>
      <c r="BH808" s="137" t="s">
        <v>2149</v>
      </c>
      <c r="BI808" s="128" t="str">
        <f t="shared" si="21"/>
        <v>MAX93</v>
      </c>
      <c r="BJ808" s="129" t="b">
        <f t="shared" si="740"/>
        <v>0</v>
      </c>
      <c r="BK808" s="128" t="str">
        <f t="shared" si="23"/>
        <v/>
      </c>
      <c r="BL808" s="121"/>
      <c r="BM808" s="5" t="str">
        <f t="shared" si="24"/>
        <v>MISSING</v>
      </c>
      <c r="BN808" s="120" t="b">
        <f t="shared" si="25"/>
        <v>0</v>
      </c>
      <c r="BO808" s="131" t="b">
        <f t="shared" si="26"/>
        <v>1</v>
      </c>
      <c r="BP808" s="121"/>
      <c r="BQ808" s="132" t="str">
        <f>VLOOKUP(A808,RAW_APS!A$3:O826,15,FALSE)</f>
        <v/>
      </c>
      <c r="BR808" s="120" t="b">
        <f t="shared" si="27"/>
        <v>1</v>
      </c>
      <c r="BS808" s="121"/>
      <c r="BT808" s="138" t="s">
        <v>244</v>
      </c>
      <c r="BU808" s="10" t="b">
        <f t="shared" si="28"/>
        <v>1</v>
      </c>
      <c r="BV808" s="120"/>
      <c r="BW808" s="120"/>
      <c r="BX808" s="120"/>
      <c r="BY808" s="120"/>
      <c r="BZ808" s="120"/>
      <c r="CA808" s="120"/>
      <c r="CB808" s="120"/>
      <c r="CC808" s="120"/>
    </row>
    <row r="809">
      <c r="A809" s="2" t="s">
        <v>2150</v>
      </c>
      <c r="B809" s="100">
        <v>44632.0</v>
      </c>
      <c r="C809" s="101">
        <v>0.32890046296296294</v>
      </c>
      <c r="D809" s="102"/>
      <c r="E809" s="102"/>
      <c r="F809" s="102"/>
      <c r="G809" s="102"/>
      <c r="H809" s="102"/>
      <c r="I809" s="103"/>
      <c r="J809" s="103"/>
      <c r="K809" s="2" t="s">
        <v>254</v>
      </c>
      <c r="L809" s="11"/>
      <c r="M809" s="11"/>
      <c r="N809" s="11"/>
      <c r="O809" s="11"/>
      <c r="P809" s="104" t="b">
        <f>IFNA(IF(VLOOKUP($A809,'Add from APT'!$AA$2:$AC826,3,FALSE)&gt;0,TRUE,FALSE),"ER - NOT IN APT")</f>
        <v>0</v>
      </c>
      <c r="Q809" s="105" t="str">
        <f>IF(ISLOGICAL(P809),IF(P809,"ER - REPS IN APT", IFNA(VLOOKUP($A809,RAW_APT!$A$3:$M826,7,FALSE),"ER - NOT IN APT")),P809)</f>
        <v>Collected</v>
      </c>
      <c r="R809" s="106" t="b">
        <f t="shared" si="2"/>
        <v>1</v>
      </c>
      <c r="S809" s="107">
        <f t="shared" si="3"/>
        <v>1</v>
      </c>
      <c r="T809" s="143"/>
      <c r="U809" s="142"/>
      <c r="V809" s="142"/>
      <c r="W809" s="142"/>
      <c r="X809" s="110" t="b">
        <f t="shared" si="4"/>
        <v>0</v>
      </c>
      <c r="Y809" s="111" t="b">
        <v>0</v>
      </c>
      <c r="Z809" s="104" t="str">
        <f t="shared" si="5"/>
        <v/>
      </c>
      <c r="AA809" s="112" t="b">
        <f t="shared" si="6"/>
        <v>0</v>
      </c>
      <c r="AB809" s="142" t="b">
        <v>0</v>
      </c>
      <c r="AC809" s="140">
        <v>16.0</v>
      </c>
      <c r="AD809" s="141" t="b">
        <v>0</v>
      </c>
      <c r="AE809" s="115" t="str">
        <f t="shared" si="7"/>
        <v/>
      </c>
      <c r="AF809" s="116" t="b">
        <f t="shared" si="8"/>
        <v>0</v>
      </c>
      <c r="AG809" s="105" t="b">
        <f t="shared" si="9"/>
        <v>1</v>
      </c>
      <c r="AH809" s="140">
        <v>9.4</v>
      </c>
      <c r="AI809" s="140"/>
      <c r="AJ809" s="140"/>
      <c r="AK809" s="117" t="str">
        <f t="shared" si="10"/>
        <v>DELETED</v>
      </c>
      <c r="AL809" s="142"/>
      <c r="AM809" s="112" t="s">
        <v>245</v>
      </c>
      <c r="AN809" s="112" t="s">
        <v>245</v>
      </c>
      <c r="AO809" s="112" t="str">
        <f>IFERROR(__xludf.DUMMYFUNCTION("IF($AG809, ""DELETED"",TRIM(JOIN("" "",D809:E809)))"),"DELETED")</f>
        <v>DELETED</v>
      </c>
      <c r="AP809" s="112" t="str">
        <f t="shared" ref="AP809:AQ809" si="835">IF($AG809, "DELETED", TRIM(CONCATENATE(F809,I809,U809)))</f>
        <v>DELETED</v>
      </c>
      <c r="AQ809" s="112" t="str">
        <f t="shared" si="835"/>
        <v>DELETED</v>
      </c>
      <c r="AR809" s="112" t="str">
        <f>IFERROR(__xludf.DUMMYFUNCTION("IF($AG809, ""DELETED"", TRIM(JOIN("" "",AP809,AQ809)))"),"DELETED")</f>
        <v>DELETED</v>
      </c>
      <c r="AS809" s="118"/>
      <c r="AT809" s="110" t="b">
        <f t="shared" si="12"/>
        <v>1</v>
      </c>
      <c r="AU809" s="110" t="str">
        <f t="shared" si="13"/>
        <v/>
      </c>
      <c r="AV809" s="110" t="str">
        <f t="shared" si="14"/>
        <v/>
      </c>
      <c r="AW809" s="110" t="str">
        <f t="shared" si="15"/>
        <v/>
      </c>
      <c r="AX809" s="119" t="str">
        <f t="shared" si="16"/>
        <v/>
      </c>
      <c r="AY809" s="120"/>
      <c r="AZ809" s="121"/>
      <c r="BA809" s="122" t="b">
        <f t="shared" si="17"/>
        <v>1</v>
      </c>
      <c r="BB809" s="34"/>
      <c r="BC809" s="121"/>
      <c r="BD809" s="136"/>
      <c r="BE809" s="125" t="str">
        <f t="shared" si="18"/>
        <v/>
      </c>
      <c r="BF809" s="126" t="str">
        <f t="shared" si="19"/>
        <v>FM475__44632_0.328900462962963</v>
      </c>
      <c r="BG809" s="127" t="str">
        <f t="shared" si="20"/>
        <v/>
      </c>
      <c r="BH809" s="137" t="s">
        <v>2151</v>
      </c>
      <c r="BI809" s="128" t="str">
        <f t="shared" si="21"/>
        <v>MAX94</v>
      </c>
      <c r="BJ809" s="129" t="b">
        <f t="shared" si="740"/>
        <v>0</v>
      </c>
      <c r="BK809" s="128" t="str">
        <f t="shared" si="23"/>
        <v/>
      </c>
      <c r="BL809" s="121"/>
      <c r="BM809" s="5" t="str">
        <f t="shared" si="24"/>
        <v/>
      </c>
      <c r="BN809" s="120" t="b">
        <f t="shared" si="25"/>
        <v>0</v>
      </c>
      <c r="BO809" s="131" t="b">
        <f t="shared" si="26"/>
        <v>0</v>
      </c>
      <c r="BP809" s="121"/>
      <c r="BQ809" s="132" t="str">
        <f>VLOOKUP(A809,RAW_APS!A$3:O826,15,FALSE)</f>
        <v/>
      </c>
      <c r="BR809" s="120" t="b">
        <f t="shared" si="27"/>
        <v>1</v>
      </c>
      <c r="BS809" s="121"/>
      <c r="BT809" s="138" t="s">
        <v>245</v>
      </c>
      <c r="BU809" s="10" t="b">
        <f t="shared" si="28"/>
        <v>1</v>
      </c>
      <c r="BV809" s="120"/>
      <c r="BW809" s="120"/>
      <c r="BX809" s="120"/>
      <c r="BY809" s="120"/>
      <c r="BZ809" s="120"/>
      <c r="CA809" s="120"/>
      <c r="CB809" s="120"/>
      <c r="CC809" s="120"/>
    </row>
    <row r="810">
      <c r="A810" s="2" t="s">
        <v>2152</v>
      </c>
      <c r="B810" s="100">
        <v>44633.0</v>
      </c>
      <c r="C810" s="101">
        <v>0.29672453703703705</v>
      </c>
      <c r="D810" s="102"/>
      <c r="E810" s="102"/>
      <c r="F810" s="102"/>
      <c r="G810" s="102"/>
      <c r="H810" s="102"/>
      <c r="I810" s="103"/>
      <c r="J810" s="103"/>
      <c r="K810" s="2" t="s">
        <v>254</v>
      </c>
      <c r="L810" s="11"/>
      <c r="M810" s="11"/>
      <c r="N810" s="11"/>
      <c r="O810" s="11"/>
      <c r="P810" s="104" t="b">
        <f>IFNA(IF(VLOOKUP($A810,'Add from APT'!$AA$2:$AC826,3,FALSE)&gt;0,TRUE,FALSE),"ER - NOT IN APT")</f>
        <v>0</v>
      </c>
      <c r="Q810" s="105" t="str">
        <f>IF(ISLOGICAL(P810),IF(P810,"ER - REPS IN APT", IFNA(VLOOKUP($A810,RAW_APT!$A$3:$M826,7,FALSE),"ER - NOT IN APT")),P810)</f>
        <v>Collected</v>
      </c>
      <c r="R810" s="106" t="b">
        <f t="shared" si="2"/>
        <v>1</v>
      </c>
      <c r="S810" s="107">
        <f t="shared" si="3"/>
        <v>1</v>
      </c>
      <c r="T810" s="143"/>
      <c r="U810" s="142"/>
      <c r="V810" s="142"/>
      <c r="W810" s="142"/>
      <c r="X810" s="110" t="b">
        <f t="shared" si="4"/>
        <v>0</v>
      </c>
      <c r="Y810" s="111" t="b">
        <v>0</v>
      </c>
      <c r="Z810" s="104" t="str">
        <f t="shared" si="5"/>
        <v/>
      </c>
      <c r="AA810" s="112" t="b">
        <f t="shared" si="6"/>
        <v>0</v>
      </c>
      <c r="AB810" s="142" t="b">
        <v>0</v>
      </c>
      <c r="AC810" s="140">
        <v>15.0</v>
      </c>
      <c r="AD810" s="141" t="b">
        <v>0</v>
      </c>
      <c r="AE810" s="115" t="str">
        <f t="shared" si="7"/>
        <v/>
      </c>
      <c r="AF810" s="116" t="b">
        <f t="shared" si="8"/>
        <v>0</v>
      </c>
      <c r="AG810" s="105" t="b">
        <f t="shared" si="9"/>
        <v>1</v>
      </c>
      <c r="AH810" s="140">
        <v>9.4</v>
      </c>
      <c r="AI810" s="140"/>
      <c r="AJ810" s="140"/>
      <c r="AK810" s="117" t="str">
        <f t="shared" si="10"/>
        <v>DELETED</v>
      </c>
      <c r="AL810" s="142"/>
      <c r="AM810" s="112" t="s">
        <v>245</v>
      </c>
      <c r="AN810" s="112" t="s">
        <v>245</v>
      </c>
      <c r="AO810" s="112" t="str">
        <f>IFERROR(__xludf.DUMMYFUNCTION("IF($AG810, ""DELETED"",TRIM(JOIN("" "",D810:E810)))"),"DELETED")</f>
        <v>DELETED</v>
      </c>
      <c r="AP810" s="112" t="str">
        <f t="shared" ref="AP810:AQ810" si="836">IF($AG810, "DELETED", TRIM(CONCATENATE(F810,I810,U810)))</f>
        <v>DELETED</v>
      </c>
      <c r="AQ810" s="112" t="str">
        <f t="shared" si="836"/>
        <v>DELETED</v>
      </c>
      <c r="AR810" s="112" t="str">
        <f>IFERROR(__xludf.DUMMYFUNCTION("IF($AG810, ""DELETED"", TRIM(JOIN("" "",AP810,AQ810)))"),"DELETED")</f>
        <v>DELETED</v>
      </c>
      <c r="AS810" s="118"/>
      <c r="AT810" s="110" t="b">
        <f t="shared" si="12"/>
        <v>1</v>
      </c>
      <c r="AU810" s="110" t="str">
        <f t="shared" si="13"/>
        <v/>
      </c>
      <c r="AV810" s="110" t="str">
        <f t="shared" si="14"/>
        <v/>
      </c>
      <c r="AW810" s="110" t="str">
        <f t="shared" si="15"/>
        <v/>
      </c>
      <c r="AX810" s="119" t="str">
        <f t="shared" si="16"/>
        <v/>
      </c>
      <c r="AY810" s="120"/>
      <c r="AZ810" s="121"/>
      <c r="BA810" s="122" t="b">
        <f t="shared" si="17"/>
        <v>1</v>
      </c>
      <c r="BB810" s="34"/>
      <c r="BC810" s="121"/>
      <c r="BD810" s="136"/>
      <c r="BE810" s="125" t="str">
        <f t="shared" si="18"/>
        <v/>
      </c>
      <c r="BF810" s="126" t="str">
        <f t="shared" si="19"/>
        <v>FM42__44633_0.296724537037037</v>
      </c>
      <c r="BG810" s="127" t="str">
        <f t="shared" si="20"/>
        <v/>
      </c>
      <c r="BH810" s="137" t="s">
        <v>2153</v>
      </c>
      <c r="BI810" s="128" t="str">
        <f t="shared" si="21"/>
        <v>MAX95</v>
      </c>
      <c r="BJ810" s="129" t="b">
        <f t="shared" si="740"/>
        <v>0</v>
      </c>
      <c r="BK810" s="128" t="str">
        <f t="shared" si="23"/>
        <v/>
      </c>
      <c r="BL810" s="121"/>
      <c r="BM810" s="5" t="str">
        <f t="shared" si="24"/>
        <v/>
      </c>
      <c r="BN810" s="120" t="b">
        <f t="shared" si="25"/>
        <v>0</v>
      </c>
      <c r="BO810" s="131" t="b">
        <f t="shared" si="26"/>
        <v>0</v>
      </c>
      <c r="BP810" s="121"/>
      <c r="BQ810" s="132" t="str">
        <f>VLOOKUP(A810,RAW_APS!A$3:O826,15,FALSE)</f>
        <v/>
      </c>
      <c r="BR810" s="120" t="b">
        <f t="shared" si="27"/>
        <v>1</v>
      </c>
      <c r="BS810" s="121"/>
      <c r="BT810" s="138" t="s">
        <v>245</v>
      </c>
      <c r="BU810" s="10" t="b">
        <f t="shared" si="28"/>
        <v>1</v>
      </c>
      <c r="BV810" s="120"/>
      <c r="BW810" s="120"/>
      <c r="BX810" s="120"/>
      <c r="BY810" s="120"/>
      <c r="BZ810" s="120"/>
      <c r="CA810" s="120"/>
      <c r="CB810" s="120"/>
      <c r="CC810" s="120"/>
    </row>
    <row r="811">
      <c r="A811" s="2" t="s">
        <v>2154</v>
      </c>
      <c r="B811" s="100">
        <v>44633.0</v>
      </c>
      <c r="C811" s="101">
        <v>0.3360416666666667</v>
      </c>
      <c r="D811" s="102"/>
      <c r="E811" s="102"/>
      <c r="F811" s="103"/>
      <c r="G811" s="103"/>
      <c r="H811" s="103"/>
      <c r="I811" s="135"/>
      <c r="J811" s="103"/>
      <c r="K811" s="2" t="s">
        <v>254</v>
      </c>
      <c r="L811" s="100">
        <v>44861.0</v>
      </c>
      <c r="M811" s="101">
        <v>0.4895023148148148</v>
      </c>
      <c r="N811" s="2" t="s">
        <v>247</v>
      </c>
      <c r="O811" s="11"/>
      <c r="P811" s="104" t="b">
        <f>IFNA(IF(VLOOKUP($A811,'Add from APT'!$AA$2:$AC826,3,FALSE)&gt;0,TRUE,FALSE),"ER - NOT IN APT")</f>
        <v>0</v>
      </c>
      <c r="Q811" s="105" t="str">
        <f>IF(ISLOGICAL(P811),IF(P811,"ER - REPS IN APT", IFNA(VLOOKUP($A811,RAW_APT!$A$3:$M826,7,FALSE),"ER - NOT IN APT")),P811)</f>
        <v>Collected</v>
      </c>
      <c r="R811" s="106" t="b">
        <f t="shared" si="2"/>
        <v>1</v>
      </c>
      <c r="S811" s="107">
        <f t="shared" si="3"/>
        <v>1</v>
      </c>
      <c r="T811" s="140">
        <v>0.0</v>
      </c>
      <c r="W811" s="142"/>
      <c r="X811" s="110" t="b">
        <f t="shared" si="4"/>
        <v>0</v>
      </c>
      <c r="Y811" s="111" t="b">
        <v>0</v>
      </c>
      <c r="Z811" s="104" t="str">
        <f t="shared" si="5"/>
        <v/>
      </c>
      <c r="AA811" s="112" t="b">
        <f t="shared" si="6"/>
        <v>0</v>
      </c>
      <c r="AB811" s="142" t="b">
        <v>0</v>
      </c>
      <c r="AC811" s="140">
        <v>812.0</v>
      </c>
      <c r="AD811" s="141" t="b">
        <v>1</v>
      </c>
      <c r="AE811" s="115" t="str">
        <f t="shared" si="7"/>
        <v/>
      </c>
      <c r="AF811" s="116" t="b">
        <f t="shared" si="8"/>
        <v>0</v>
      </c>
      <c r="AG811" s="105" t="b">
        <f t="shared" si="9"/>
        <v>1</v>
      </c>
      <c r="AH811" s="140">
        <v>9.4</v>
      </c>
      <c r="AI811" s="140"/>
      <c r="AJ811" s="140"/>
      <c r="AK811" s="117" t="str">
        <f t="shared" si="10"/>
        <v>DELETED</v>
      </c>
      <c r="AL811" s="142"/>
      <c r="AM811" s="112" t="s">
        <v>245</v>
      </c>
      <c r="AN811" s="112" t="s">
        <v>245</v>
      </c>
      <c r="AO811" s="112" t="str">
        <f>IFERROR(__xludf.DUMMYFUNCTION("IF($AG811, ""DELETED"",TRIM(JOIN("" "",D811:E811)))"),"DELETED")</f>
        <v>DELETED</v>
      </c>
      <c r="AP811" s="112" t="str">
        <f t="shared" ref="AP811:AQ811" si="837">IF($AG811, "DELETED", TRIM(CONCATENATE(F811,I811,U811)))</f>
        <v>DELETED</v>
      </c>
      <c r="AQ811" s="112" t="str">
        <f t="shared" si="837"/>
        <v>DELETED</v>
      </c>
      <c r="AR811" s="112" t="str">
        <f>IFERROR(__xludf.DUMMYFUNCTION("IF($AG811, ""DELETED"", TRIM(JOIN("" "",AP811,AQ811)))"),"DELETED")</f>
        <v>DELETED</v>
      </c>
      <c r="AS811" s="118"/>
      <c r="AT811" s="110" t="b">
        <f t="shared" si="12"/>
        <v>1</v>
      </c>
      <c r="AU811" s="110" t="str">
        <f t="shared" si="13"/>
        <v/>
      </c>
      <c r="AV811" s="110" t="str">
        <f t="shared" si="14"/>
        <v/>
      </c>
      <c r="AW811" s="110" t="str">
        <f t="shared" si="15"/>
        <v/>
      </c>
      <c r="AX811" s="119" t="str">
        <f t="shared" si="16"/>
        <v/>
      </c>
      <c r="AY811" s="120"/>
      <c r="AZ811" s="121"/>
      <c r="BA811" s="122" t="b">
        <f t="shared" si="17"/>
        <v>1</v>
      </c>
      <c r="BB811" s="34"/>
      <c r="BC811" s="121"/>
      <c r="BD811" s="136"/>
      <c r="BE811" s="125" t="str">
        <f t="shared" si="18"/>
        <v/>
      </c>
      <c r="BF811" s="126" t="str">
        <f t="shared" si="19"/>
        <v>MA399__44633_0.336041666666667</v>
      </c>
      <c r="BG811" s="127" t="str">
        <f t="shared" si="20"/>
        <v/>
      </c>
      <c r="BH811" s="137" t="s">
        <v>2155</v>
      </c>
      <c r="BI811" s="128" t="str">
        <f t="shared" si="21"/>
        <v>MAX97</v>
      </c>
      <c r="BJ811" s="129" t="b">
        <f t="shared" si="740"/>
        <v>0</v>
      </c>
      <c r="BK811" s="128" t="str">
        <f t="shared" si="23"/>
        <v/>
      </c>
      <c r="BL811" s="121"/>
      <c r="BM811" s="5" t="str">
        <f t="shared" si="24"/>
        <v/>
      </c>
      <c r="BN811" s="120" t="b">
        <f t="shared" si="25"/>
        <v>0</v>
      </c>
      <c r="BO811" s="131" t="b">
        <f t="shared" si="26"/>
        <v>0</v>
      </c>
      <c r="BP811" s="121"/>
      <c r="BQ811" s="132" t="str">
        <f>VLOOKUP(A811,RAW_APS!A$3:O826,15,FALSE)</f>
        <v>#N/A</v>
      </c>
      <c r="BR811" s="120" t="str">
        <f t="shared" si="27"/>
        <v>***TUBE ID NOT FOUND</v>
      </c>
      <c r="BS811" s="121"/>
      <c r="BT811" s="138" t="s">
        <v>245</v>
      </c>
      <c r="BU811" s="10" t="b">
        <f t="shared" si="28"/>
        <v>1</v>
      </c>
      <c r="BV811" s="120"/>
      <c r="BW811" s="120"/>
      <c r="BX811" s="120"/>
      <c r="BY811" s="120"/>
      <c r="BZ811" s="120"/>
      <c r="CA811" s="120"/>
      <c r="CB811" s="120"/>
      <c r="CC811" s="120"/>
    </row>
    <row r="812">
      <c r="A812" s="2" t="s">
        <v>2156</v>
      </c>
      <c r="B812" s="100">
        <v>44633.0</v>
      </c>
      <c r="C812" s="101">
        <v>0.3531712962962963</v>
      </c>
      <c r="D812" s="102"/>
      <c r="E812" s="102"/>
      <c r="F812" s="102"/>
      <c r="G812" s="102"/>
      <c r="H812" s="102"/>
      <c r="I812" s="103"/>
      <c r="J812" s="103"/>
      <c r="K812" s="2" t="s">
        <v>254</v>
      </c>
      <c r="L812" s="11"/>
      <c r="M812" s="11"/>
      <c r="N812" s="11"/>
      <c r="O812" s="11"/>
      <c r="P812" s="104" t="b">
        <f>IFNA(IF(VLOOKUP($A812,'Add from APT'!$AA$2:$AC826,3,FALSE)&gt;0,TRUE,FALSE),"ER - NOT IN APT")</f>
        <v>0</v>
      </c>
      <c r="Q812" s="105" t="str">
        <f>IF(ISLOGICAL(P812),IF(P812,"ER - REPS IN APT", IFNA(VLOOKUP($A812,RAW_APT!$A$3:$M826,7,FALSE),"ER - NOT IN APT")),P812)</f>
        <v>Collected</v>
      </c>
      <c r="R812" s="106" t="b">
        <f t="shared" si="2"/>
        <v>1</v>
      </c>
      <c r="S812" s="107">
        <f t="shared" si="3"/>
        <v>1</v>
      </c>
      <c r="T812" s="143"/>
      <c r="U812" s="142"/>
      <c r="V812" s="142"/>
      <c r="W812" s="142"/>
      <c r="X812" s="110" t="b">
        <f t="shared" si="4"/>
        <v>0</v>
      </c>
      <c r="Y812" s="111" t="b">
        <v>0</v>
      </c>
      <c r="Z812" s="104" t="str">
        <f t="shared" si="5"/>
        <v/>
      </c>
      <c r="AA812" s="112" t="b">
        <f t="shared" si="6"/>
        <v>0</v>
      </c>
      <c r="AB812" s="142" t="b">
        <v>0</v>
      </c>
      <c r="AC812" s="140">
        <v>14.0</v>
      </c>
      <c r="AD812" s="141" t="b">
        <v>0</v>
      </c>
      <c r="AE812" s="115" t="str">
        <f t="shared" si="7"/>
        <v/>
      </c>
      <c r="AF812" s="116" t="b">
        <f t="shared" si="8"/>
        <v>0</v>
      </c>
      <c r="AG812" s="105" t="b">
        <f t="shared" si="9"/>
        <v>1</v>
      </c>
      <c r="AH812" s="140">
        <v>9.4</v>
      </c>
      <c r="AI812" s="140"/>
      <c r="AJ812" s="140"/>
      <c r="AK812" s="117" t="str">
        <f t="shared" si="10"/>
        <v>DELETED</v>
      </c>
      <c r="AL812" s="142"/>
      <c r="AM812" s="112" t="s">
        <v>245</v>
      </c>
      <c r="AN812" s="112" t="s">
        <v>245</v>
      </c>
      <c r="AO812" s="112" t="str">
        <f>IFERROR(__xludf.DUMMYFUNCTION("IF($AG812, ""DELETED"",TRIM(JOIN("" "",D812:E812)))"),"DELETED")</f>
        <v>DELETED</v>
      </c>
      <c r="AP812" s="112" t="str">
        <f t="shared" ref="AP812:AQ812" si="838">IF($AG812, "DELETED", TRIM(CONCATENATE(F812,I812,U812)))</f>
        <v>DELETED</v>
      </c>
      <c r="AQ812" s="112" t="str">
        <f t="shared" si="838"/>
        <v>DELETED</v>
      </c>
      <c r="AR812" s="112" t="str">
        <f>IFERROR(__xludf.DUMMYFUNCTION("IF($AG812, ""DELETED"", TRIM(JOIN("" "",AP812,AQ812)))"),"DELETED")</f>
        <v>DELETED</v>
      </c>
      <c r="AS812" s="118"/>
      <c r="AT812" s="110" t="b">
        <f t="shared" si="12"/>
        <v>1</v>
      </c>
      <c r="AU812" s="110" t="str">
        <f t="shared" si="13"/>
        <v/>
      </c>
      <c r="AV812" s="110" t="str">
        <f t="shared" si="14"/>
        <v/>
      </c>
      <c r="AW812" s="110" t="str">
        <f t="shared" si="15"/>
        <v/>
      </c>
      <c r="AX812" s="119" t="str">
        <f t="shared" si="16"/>
        <v/>
      </c>
      <c r="AY812" s="120"/>
      <c r="AZ812" s="121"/>
      <c r="BA812" s="122" t="b">
        <f t="shared" si="17"/>
        <v>1</v>
      </c>
      <c r="BB812" s="34"/>
      <c r="BC812" s="121"/>
      <c r="BD812" s="136"/>
      <c r="BE812" s="125" t="str">
        <f t="shared" si="18"/>
        <v/>
      </c>
      <c r="BF812" s="126" t="str">
        <f t="shared" si="19"/>
        <v>MA306__44633_0.353171296296296</v>
      </c>
      <c r="BG812" s="127" t="str">
        <f t="shared" si="20"/>
        <v/>
      </c>
      <c r="BH812" s="137" t="s">
        <v>2157</v>
      </c>
      <c r="BI812" s="128" t="str">
        <f t="shared" si="21"/>
        <v>MAX98</v>
      </c>
      <c r="BJ812" s="129" t="b">
        <f t="shared" si="740"/>
        <v>0</v>
      </c>
      <c r="BK812" s="128" t="str">
        <f t="shared" si="23"/>
        <v/>
      </c>
      <c r="BL812" s="121"/>
      <c r="BM812" s="5" t="str">
        <f t="shared" si="24"/>
        <v/>
      </c>
      <c r="BN812" s="120" t="b">
        <f t="shared" si="25"/>
        <v>0</v>
      </c>
      <c r="BO812" s="131" t="b">
        <f t="shared" si="26"/>
        <v>0</v>
      </c>
      <c r="BP812" s="121"/>
      <c r="BQ812" s="132" t="str">
        <f>VLOOKUP(A812,RAW_APS!A$3:O826,15,FALSE)</f>
        <v/>
      </c>
      <c r="BR812" s="120" t="b">
        <f t="shared" si="27"/>
        <v>1</v>
      </c>
      <c r="BS812" s="121"/>
      <c r="BT812" s="138" t="s">
        <v>245</v>
      </c>
      <c r="BU812" s="10" t="b">
        <f t="shared" si="28"/>
        <v>1</v>
      </c>
      <c r="BV812" s="120"/>
      <c r="BW812" s="120"/>
      <c r="BX812" s="120"/>
      <c r="BY812" s="120"/>
      <c r="BZ812" s="120"/>
      <c r="CA812" s="120"/>
      <c r="CB812" s="120"/>
      <c r="CC812" s="120"/>
    </row>
    <row r="813">
      <c r="A813" s="2" t="s">
        <v>2158</v>
      </c>
      <c r="B813" s="100">
        <v>44635.0</v>
      </c>
      <c r="C813" s="101">
        <v>0.29900462962962965</v>
      </c>
      <c r="D813" s="102"/>
      <c r="E813" s="102"/>
      <c r="F813" s="102"/>
      <c r="G813" s="102"/>
      <c r="H813" s="102"/>
      <c r="I813" s="103"/>
      <c r="J813" s="103"/>
      <c r="K813" s="2" t="s">
        <v>254</v>
      </c>
      <c r="L813" s="11"/>
      <c r="M813" s="11"/>
      <c r="N813" s="11"/>
      <c r="O813" s="11"/>
      <c r="P813" s="104" t="b">
        <f>IFNA(IF(VLOOKUP($A813,'Add from APT'!$AA$2:$AC826,3,FALSE)&gt;0,TRUE,FALSE),"ER - NOT IN APT")</f>
        <v>0</v>
      </c>
      <c r="Q813" s="105" t="str">
        <f>IF(ISLOGICAL(P813),IF(P813,"ER - REPS IN APT", IFNA(VLOOKUP($A813,RAW_APT!$A$3:$M826,7,FALSE),"ER - NOT IN APT")),P813)</f>
        <v>Collected</v>
      </c>
      <c r="R813" s="106" t="b">
        <f t="shared" si="2"/>
        <v>1</v>
      </c>
      <c r="S813" s="107">
        <f t="shared" si="3"/>
        <v>1</v>
      </c>
      <c r="T813" s="143"/>
      <c r="U813" s="142"/>
      <c r="V813" s="142"/>
      <c r="W813" s="142"/>
      <c r="X813" s="110" t="b">
        <f t="shared" si="4"/>
        <v>0</v>
      </c>
      <c r="Y813" s="111" t="b">
        <v>0</v>
      </c>
      <c r="Z813" s="104" t="str">
        <f t="shared" si="5"/>
        <v/>
      </c>
      <c r="AA813" s="112" t="b">
        <f t="shared" si="6"/>
        <v>0</v>
      </c>
      <c r="AB813" s="142" t="b">
        <v>0</v>
      </c>
      <c r="AC813" s="140">
        <v>13.0</v>
      </c>
      <c r="AD813" s="141" t="b">
        <v>0</v>
      </c>
      <c r="AE813" s="115" t="str">
        <f t="shared" si="7"/>
        <v/>
      </c>
      <c r="AF813" s="116" t="b">
        <f t="shared" si="8"/>
        <v>0</v>
      </c>
      <c r="AG813" s="105" t="b">
        <f t="shared" si="9"/>
        <v>1</v>
      </c>
      <c r="AH813" s="140">
        <v>9.4</v>
      </c>
      <c r="AI813" s="140"/>
      <c r="AJ813" s="140"/>
      <c r="AK813" s="117" t="str">
        <f t="shared" si="10"/>
        <v>DELETED</v>
      </c>
      <c r="AL813" s="142"/>
      <c r="AM813" s="112" t="s">
        <v>245</v>
      </c>
      <c r="AN813" s="112" t="s">
        <v>245</v>
      </c>
      <c r="AO813" s="112" t="str">
        <f>IFERROR(__xludf.DUMMYFUNCTION("IF($AG813, ""DELETED"",TRIM(JOIN("" "",D813:E813)))"),"DELETED")</f>
        <v>DELETED</v>
      </c>
      <c r="AP813" s="112" t="str">
        <f t="shared" ref="AP813:AQ813" si="839">IF($AG813, "DELETED", TRIM(CONCATENATE(F813,I813,U813)))</f>
        <v>DELETED</v>
      </c>
      <c r="AQ813" s="112" t="str">
        <f t="shared" si="839"/>
        <v>DELETED</v>
      </c>
      <c r="AR813" s="112" t="str">
        <f>IFERROR(__xludf.DUMMYFUNCTION("IF($AG813, ""DELETED"", TRIM(JOIN("" "",AP813,AQ813)))"),"DELETED")</f>
        <v>DELETED</v>
      </c>
      <c r="AS813" s="118"/>
      <c r="AT813" s="110" t="b">
        <f t="shared" si="12"/>
        <v>1</v>
      </c>
      <c r="AU813" s="110" t="str">
        <f t="shared" si="13"/>
        <v/>
      </c>
      <c r="AV813" s="110" t="str">
        <f t="shared" si="14"/>
        <v/>
      </c>
      <c r="AW813" s="110" t="str">
        <f t="shared" si="15"/>
        <v/>
      </c>
      <c r="AX813" s="119" t="str">
        <f t="shared" si="16"/>
        <v/>
      </c>
      <c r="AY813" s="120"/>
      <c r="AZ813" s="121"/>
      <c r="BA813" s="122" t="b">
        <f t="shared" si="17"/>
        <v>1</v>
      </c>
      <c r="BB813" s="34"/>
      <c r="BC813" s="121"/>
      <c r="BD813" s="136"/>
      <c r="BE813" s="125" t="str">
        <f t="shared" si="18"/>
        <v/>
      </c>
      <c r="BF813" s="126" t="str">
        <f t="shared" si="19"/>
        <v>FM31__44635_0.29900462962963</v>
      </c>
      <c r="BG813" s="127" t="str">
        <f t="shared" si="20"/>
        <v/>
      </c>
      <c r="BH813" s="137" t="s">
        <v>2159</v>
      </c>
      <c r="BI813" s="128" t="str">
        <f t="shared" si="21"/>
        <v>MN3330</v>
      </c>
      <c r="BJ813" s="129" t="b">
        <f t="shared" si="740"/>
        <v>0</v>
      </c>
      <c r="BK813" s="128" t="str">
        <f t="shared" si="23"/>
        <v/>
      </c>
      <c r="BL813" s="121"/>
      <c r="BM813" s="5" t="str">
        <f t="shared" si="24"/>
        <v/>
      </c>
      <c r="BN813" s="120" t="b">
        <f t="shared" si="25"/>
        <v>0</v>
      </c>
      <c r="BO813" s="131" t="b">
        <f t="shared" si="26"/>
        <v>0</v>
      </c>
      <c r="BP813" s="121"/>
      <c r="BQ813" s="132" t="str">
        <f>VLOOKUP(A813,RAW_APS!A$3:O826,15,FALSE)</f>
        <v/>
      </c>
      <c r="BR813" s="120" t="b">
        <f t="shared" si="27"/>
        <v>1</v>
      </c>
      <c r="BS813" s="121"/>
      <c r="BT813" s="138" t="s">
        <v>245</v>
      </c>
      <c r="BU813" s="10" t="b">
        <f t="shared" si="28"/>
        <v>1</v>
      </c>
      <c r="BV813" s="120"/>
      <c r="BW813" s="120"/>
      <c r="BX813" s="120"/>
      <c r="BY813" s="120"/>
      <c r="BZ813" s="120"/>
      <c r="CA813" s="120"/>
      <c r="CB813" s="120"/>
      <c r="CC813" s="120"/>
    </row>
    <row r="814">
      <c r="A814" s="2" t="s">
        <v>2160</v>
      </c>
      <c r="B814" s="100">
        <v>44637.0</v>
      </c>
      <c r="C814" s="101">
        <v>0.2895949074074074</v>
      </c>
      <c r="D814" s="102"/>
      <c r="E814" s="102"/>
      <c r="F814" s="102"/>
      <c r="G814" s="102"/>
      <c r="H814" s="102"/>
      <c r="I814" s="103"/>
      <c r="J814" s="103"/>
      <c r="K814" s="2" t="s">
        <v>254</v>
      </c>
      <c r="L814" s="11"/>
      <c r="M814" s="11"/>
      <c r="N814" s="11"/>
      <c r="O814" s="11"/>
      <c r="P814" s="104" t="b">
        <f>IFNA(IF(VLOOKUP($A814,'Add from APT'!$AA$2:$AC826,3,FALSE)&gt;0,TRUE,FALSE),"ER - NOT IN APT")</f>
        <v>0</v>
      </c>
      <c r="Q814" s="105" t="str">
        <f>IF(ISLOGICAL(P814),IF(P814,"ER - REPS IN APT", IFNA(VLOOKUP($A814,RAW_APT!$A$3:$M826,7,FALSE),"ER - NOT IN APT")),P814)</f>
        <v>Collected</v>
      </c>
      <c r="R814" s="106" t="b">
        <f t="shared" si="2"/>
        <v>1</v>
      </c>
      <c r="S814" s="107">
        <f t="shared" si="3"/>
        <v>1</v>
      </c>
      <c r="T814" s="143"/>
      <c r="U814" s="142"/>
      <c r="V814" s="142"/>
      <c r="W814" s="142"/>
      <c r="X814" s="110" t="b">
        <f t="shared" si="4"/>
        <v>0</v>
      </c>
      <c r="Y814" s="111" t="b">
        <v>0</v>
      </c>
      <c r="Z814" s="104" t="str">
        <f t="shared" si="5"/>
        <v/>
      </c>
      <c r="AA814" s="112" t="b">
        <f t="shared" si="6"/>
        <v>0</v>
      </c>
      <c r="AB814" s="142" t="b">
        <v>0</v>
      </c>
      <c r="AC814" s="140">
        <v>12.0</v>
      </c>
      <c r="AD814" s="141" t="b">
        <v>0</v>
      </c>
      <c r="AE814" s="115" t="str">
        <f t="shared" si="7"/>
        <v/>
      </c>
      <c r="AF814" s="116" t="b">
        <f t="shared" si="8"/>
        <v>0</v>
      </c>
      <c r="AG814" s="105" t="b">
        <f t="shared" si="9"/>
        <v>1</v>
      </c>
      <c r="AH814" s="140">
        <v>9.4</v>
      </c>
      <c r="AI814" s="140"/>
      <c r="AJ814" s="140"/>
      <c r="AK814" s="117" t="str">
        <f t="shared" si="10"/>
        <v>DELETED</v>
      </c>
      <c r="AL814" s="142"/>
      <c r="AM814" s="112" t="s">
        <v>245</v>
      </c>
      <c r="AN814" s="112" t="s">
        <v>245</v>
      </c>
      <c r="AO814" s="112" t="str">
        <f>IFERROR(__xludf.DUMMYFUNCTION("IF($AG814, ""DELETED"",TRIM(JOIN("" "",D814:E814)))"),"DELETED")</f>
        <v>DELETED</v>
      </c>
      <c r="AP814" s="112" t="str">
        <f t="shared" ref="AP814:AQ814" si="840">IF($AG814, "DELETED", TRIM(CONCATENATE(F814,I814,U814)))</f>
        <v>DELETED</v>
      </c>
      <c r="AQ814" s="112" t="str">
        <f t="shared" si="840"/>
        <v>DELETED</v>
      </c>
      <c r="AR814" s="112" t="str">
        <f>IFERROR(__xludf.DUMMYFUNCTION("IF($AG814, ""DELETED"", TRIM(JOIN("" "",AP814,AQ814)))"),"DELETED")</f>
        <v>DELETED</v>
      </c>
      <c r="AS814" s="118"/>
      <c r="AT814" s="110" t="b">
        <f t="shared" si="12"/>
        <v>1</v>
      </c>
      <c r="AU814" s="110" t="str">
        <f t="shared" si="13"/>
        <v/>
      </c>
      <c r="AV814" s="110" t="str">
        <f t="shared" si="14"/>
        <v/>
      </c>
      <c r="AW814" s="110" t="str">
        <f t="shared" si="15"/>
        <v/>
      </c>
      <c r="AX814" s="119" t="str">
        <f t="shared" si="16"/>
        <v/>
      </c>
      <c r="AY814" s="120"/>
      <c r="AZ814" s="121"/>
      <c r="BA814" s="122" t="b">
        <f t="shared" si="17"/>
        <v>1</v>
      </c>
      <c r="BB814" s="34"/>
      <c r="BC814" s="121"/>
      <c r="BD814" s="136"/>
      <c r="BE814" s="125" t="str">
        <f t="shared" si="18"/>
        <v/>
      </c>
      <c r="BF814" s="126" t="str">
        <f t="shared" si="19"/>
        <v>FM2051__44637_0.289594907407407</v>
      </c>
      <c r="BG814" s="127" t="str">
        <f t="shared" si="20"/>
        <v/>
      </c>
      <c r="BH814" s="137" t="s">
        <v>2161</v>
      </c>
      <c r="BI814" s="128" t="str">
        <f t="shared" si="21"/>
        <v>Test12</v>
      </c>
      <c r="BJ814" s="129" t="b">
        <f t="shared" si="740"/>
        <v>0</v>
      </c>
      <c r="BK814" s="128" t="str">
        <f t="shared" si="23"/>
        <v/>
      </c>
      <c r="BL814" s="121"/>
      <c r="BM814" s="5" t="str">
        <f t="shared" si="24"/>
        <v/>
      </c>
      <c r="BN814" s="120" t="b">
        <f t="shared" si="25"/>
        <v>0</v>
      </c>
      <c r="BO814" s="131" t="b">
        <f t="shared" si="26"/>
        <v>0</v>
      </c>
      <c r="BP814" s="121"/>
      <c r="BQ814" s="132" t="str">
        <f>VLOOKUP(A814,RAW_APS!A$3:O826,15,FALSE)</f>
        <v/>
      </c>
      <c r="BR814" s="120" t="b">
        <f t="shared" si="27"/>
        <v>1</v>
      </c>
      <c r="BS814" s="121"/>
      <c r="BT814" s="138" t="s">
        <v>245</v>
      </c>
      <c r="BU814" s="10" t="b">
        <f t="shared" si="28"/>
        <v>1</v>
      </c>
      <c r="BV814" s="120"/>
      <c r="BW814" s="120"/>
      <c r="BX814" s="120"/>
      <c r="BY814" s="120"/>
      <c r="BZ814" s="120"/>
      <c r="CA814" s="120"/>
      <c r="CB814" s="120"/>
      <c r="CC814" s="120"/>
    </row>
    <row r="815" ht="15.75" customHeight="1">
      <c r="A815" s="2" t="s">
        <v>2162</v>
      </c>
      <c r="B815" s="100">
        <v>44657.0</v>
      </c>
      <c r="C815" s="101">
        <v>0.3511458333333333</v>
      </c>
      <c r="D815" s="102"/>
      <c r="E815" s="102"/>
      <c r="F815" s="102"/>
      <c r="G815" s="102"/>
      <c r="H815" s="102"/>
      <c r="I815" s="103"/>
      <c r="J815" s="103"/>
      <c r="K815" s="2" t="s">
        <v>254</v>
      </c>
      <c r="L815" s="11"/>
      <c r="M815" s="11"/>
      <c r="N815" s="11"/>
      <c r="O815" s="11"/>
      <c r="P815" s="104" t="b">
        <f>IFNA(IF(VLOOKUP($A815,'Add from APT'!$AA$2:$AC826,3,FALSE)&gt;0,TRUE,FALSE),"ER - NOT IN APT")</f>
        <v>0</v>
      </c>
      <c r="Q815" s="105" t="str">
        <f>IF(ISLOGICAL(P815),IF(P815,"ER - REPS IN APT", IFNA(VLOOKUP($A815,RAW_APT!$A$3:$M826,7,FALSE),"ER - NOT IN APT")),P815)</f>
        <v>Collected</v>
      </c>
      <c r="R815" s="106" t="b">
        <f t="shared" si="2"/>
        <v>1</v>
      </c>
      <c r="S815" s="107">
        <f t="shared" si="3"/>
        <v>1</v>
      </c>
      <c r="T815" s="143"/>
      <c r="U815" s="142"/>
      <c r="V815" s="142"/>
      <c r="W815" s="142"/>
      <c r="X815" s="110" t="b">
        <f t="shared" si="4"/>
        <v>0</v>
      </c>
      <c r="Y815" s="111" t="b">
        <v>0</v>
      </c>
      <c r="Z815" s="104" t="str">
        <f t="shared" si="5"/>
        <v/>
      </c>
      <c r="AA815" s="112" t="b">
        <f t="shared" si="6"/>
        <v>0</v>
      </c>
      <c r="AB815" s="142" t="b">
        <v>0</v>
      </c>
      <c r="AC815" s="140">
        <v>11.0</v>
      </c>
      <c r="AD815" s="141" t="b">
        <v>0</v>
      </c>
      <c r="AE815" s="115" t="str">
        <f t="shared" si="7"/>
        <v/>
      </c>
      <c r="AF815" s="116" t="b">
        <f t="shared" si="8"/>
        <v>0</v>
      </c>
      <c r="AG815" s="105" t="b">
        <f t="shared" si="9"/>
        <v>1</v>
      </c>
      <c r="AH815" s="140">
        <v>9.4</v>
      </c>
      <c r="AI815" s="140"/>
      <c r="AJ815" s="140"/>
      <c r="AK815" s="117" t="str">
        <f t="shared" si="10"/>
        <v>DELETED</v>
      </c>
      <c r="AL815" s="142"/>
      <c r="AM815" s="112" t="s">
        <v>245</v>
      </c>
      <c r="AN815" s="112" t="s">
        <v>245</v>
      </c>
      <c r="AO815" s="112" t="str">
        <f>IFERROR(__xludf.DUMMYFUNCTION("IF($AG815, ""DELETED"",TRIM(JOIN("" "",D815:E815)))"),"DELETED")</f>
        <v>DELETED</v>
      </c>
      <c r="AP815" s="112" t="str">
        <f t="shared" ref="AP815:AQ815" si="841">IF($AG815, "DELETED", TRIM(CONCATENATE(F815,I815,U815)))</f>
        <v>DELETED</v>
      </c>
      <c r="AQ815" s="112" t="str">
        <f t="shared" si="841"/>
        <v>DELETED</v>
      </c>
      <c r="AR815" s="112" t="str">
        <f>IFERROR(__xludf.DUMMYFUNCTION("IF($AG815, ""DELETED"", TRIM(JOIN("" "",AP815,AQ815)))"),"DELETED")</f>
        <v>DELETED</v>
      </c>
      <c r="AS815" s="118"/>
      <c r="AT815" s="110" t="b">
        <f t="shared" si="12"/>
        <v>1</v>
      </c>
      <c r="AU815" s="110" t="str">
        <f t="shared" si="13"/>
        <v/>
      </c>
      <c r="AV815" s="110" t="str">
        <f t="shared" si="14"/>
        <v/>
      </c>
      <c r="AW815" s="110" t="str">
        <f t="shared" si="15"/>
        <v/>
      </c>
      <c r="AX815" s="119" t="str">
        <f t="shared" si="16"/>
        <v/>
      </c>
      <c r="AY815" s="120"/>
      <c r="AZ815" s="121"/>
      <c r="BA815" s="122" t="b">
        <f t="shared" si="17"/>
        <v>1</v>
      </c>
      <c r="BB815" s="34"/>
      <c r="BC815" s="121"/>
      <c r="BD815" s="136"/>
      <c r="BE815" s="125" t="str">
        <f t="shared" si="18"/>
        <v/>
      </c>
      <c r="BF815" s="126" t="str">
        <f t="shared" si="19"/>
        <v>FM352__44657_0.351145833333333</v>
      </c>
      <c r="BG815" s="127" t="str">
        <f t="shared" si="20"/>
        <v/>
      </c>
      <c r="BH815" s="137" t="s">
        <v>2163</v>
      </c>
      <c r="BI815" s="128" t="str">
        <f t="shared" si="21"/>
        <v>Test123</v>
      </c>
      <c r="BJ815" s="129" t="b">
        <f t="shared" si="740"/>
        <v>0</v>
      </c>
      <c r="BK815" s="128" t="str">
        <f t="shared" si="23"/>
        <v/>
      </c>
      <c r="BL815" s="121"/>
      <c r="BM815" s="5" t="str">
        <f t="shared" si="24"/>
        <v/>
      </c>
      <c r="BN815" s="120" t="b">
        <f t="shared" si="25"/>
        <v>0</v>
      </c>
      <c r="BO815" s="131" t="b">
        <f t="shared" si="26"/>
        <v>0</v>
      </c>
      <c r="BP815" s="121"/>
      <c r="BQ815" s="132" t="str">
        <f>VLOOKUP(A815,RAW_APS!A$3:O826,15,FALSE)</f>
        <v/>
      </c>
      <c r="BR815" s="120" t="b">
        <f t="shared" si="27"/>
        <v>1</v>
      </c>
      <c r="BS815" s="121"/>
      <c r="BT815" s="138" t="s">
        <v>245</v>
      </c>
      <c r="BU815" s="10" t="b">
        <f t="shared" si="28"/>
        <v>1</v>
      </c>
      <c r="BV815" s="120"/>
      <c r="BW815" s="120"/>
      <c r="BX815" s="120"/>
      <c r="BY815" s="120"/>
      <c r="BZ815" s="120"/>
      <c r="CA815" s="120"/>
      <c r="CB815" s="120"/>
      <c r="CC815" s="120"/>
    </row>
    <row r="816">
      <c r="A816" s="2" t="s">
        <v>2164</v>
      </c>
      <c r="B816" s="100">
        <v>44665.0</v>
      </c>
      <c r="C816" s="101">
        <v>0.32200231481481484</v>
      </c>
      <c r="D816" s="102"/>
      <c r="E816" s="102"/>
      <c r="F816" s="102"/>
      <c r="G816" s="102"/>
      <c r="H816" s="102"/>
      <c r="I816" s="103"/>
      <c r="J816" s="103"/>
      <c r="K816" s="2" t="s">
        <v>244</v>
      </c>
      <c r="L816" s="100">
        <v>44665.0</v>
      </c>
      <c r="M816" s="101">
        <v>0.36649305555555556</v>
      </c>
      <c r="P816" s="104" t="b">
        <f>IFNA(IF(VLOOKUP($A816,'Add from APT'!$AA$2:$AC826,3,FALSE)&gt;0,TRUE,FALSE),"ER - NOT IN APT")</f>
        <v>0</v>
      </c>
      <c r="Q816" s="105" t="str">
        <f>IF(ISLOGICAL(P816),IF(P816,"ER - REPS IN APT", IFNA(VLOOKUP($A816,RAW_APT!$A$3:$M826,7,FALSE),"ER - NOT IN APT")),P816)</f>
        <v>Result</v>
      </c>
      <c r="R816" s="106" t="b">
        <f t="shared" si="2"/>
        <v>1</v>
      </c>
      <c r="S816" s="107">
        <f t="shared" si="3"/>
        <v>1</v>
      </c>
      <c r="T816" s="143"/>
      <c r="U816" s="142"/>
      <c r="V816" s="142"/>
      <c r="W816" s="142"/>
      <c r="X816" s="110" t="b">
        <f t="shared" si="4"/>
        <v>0</v>
      </c>
      <c r="Y816" s="111" t="b">
        <v>0</v>
      </c>
      <c r="Z816" s="104" t="str">
        <f t="shared" si="5"/>
        <v/>
      </c>
      <c r="AA816" s="112" t="b">
        <f t="shared" si="6"/>
        <v>0</v>
      </c>
      <c r="AB816" s="142" t="b">
        <v>0</v>
      </c>
      <c r="AC816" s="140">
        <v>10.0</v>
      </c>
      <c r="AD816" s="141" t="b">
        <v>0</v>
      </c>
      <c r="AE816" s="115">
        <f t="shared" si="7"/>
        <v>64.06666667</v>
      </c>
      <c r="AF816" s="116" t="b">
        <f t="shared" si="8"/>
        <v>0</v>
      </c>
      <c r="AG816" s="105" t="b">
        <f t="shared" si="9"/>
        <v>0</v>
      </c>
      <c r="AH816" s="140"/>
      <c r="AI816" s="140"/>
      <c r="AJ816" s="140"/>
      <c r="AK816" s="117" t="str">
        <f t="shared" si="10"/>
        <v>Negative</v>
      </c>
      <c r="AL816" s="142"/>
      <c r="AM816" s="112" t="s">
        <v>261</v>
      </c>
      <c r="AN816" s="112" t="s">
        <v>886</v>
      </c>
      <c r="AO816" s="112" t="str">
        <f>IFERROR(__xludf.DUMMYFUNCTION("IF($AG816, ""DELETED"",TRIM(JOIN("" "",D816:E816)))"),"")</f>
        <v/>
      </c>
      <c r="AP816" s="112" t="str">
        <f t="shared" ref="AP816:AQ816" si="842">IF($AG816, "DELETED", TRIM(CONCATENATE(F816,I816,U816)))</f>
        <v/>
      </c>
      <c r="AQ816" s="112" t="str">
        <f t="shared" si="842"/>
        <v/>
      </c>
      <c r="AR816" s="112" t="str">
        <f>IFERROR(__xludf.DUMMYFUNCTION("IF($AG816, ""DELETED"", TRIM(JOIN("" "",AP816,AQ816)))"),"")</f>
        <v/>
      </c>
      <c r="AS816" s="118"/>
      <c r="AT816" s="110" t="b">
        <f t="shared" si="12"/>
        <v>0</v>
      </c>
      <c r="AU816" s="110" t="str">
        <f t="shared" si="13"/>
        <v/>
      </c>
      <c r="AV816" s="110" t="str">
        <f t="shared" si="14"/>
        <v/>
      </c>
      <c r="AW816" s="110" t="str">
        <f t="shared" si="15"/>
        <v/>
      </c>
      <c r="AX816" s="119" t="str">
        <f t="shared" si="16"/>
        <v/>
      </c>
      <c r="AY816" s="120"/>
      <c r="AZ816" s="121"/>
      <c r="BA816" s="122" t="str">
        <f t="shared" si="17"/>
        <v/>
      </c>
      <c r="BB816" s="34"/>
      <c r="BC816" s="121"/>
      <c r="BD816" s="136"/>
      <c r="BE816" s="125" t="str">
        <f t="shared" si="18"/>
        <v/>
      </c>
      <c r="BF816" s="126" t="str">
        <f t="shared" si="19"/>
        <v>FM532__44665_0.322002314814815</v>
      </c>
      <c r="BG816" s="127" t="str">
        <f t="shared" si="20"/>
        <v/>
      </c>
      <c r="BH816" s="137" t="s">
        <v>2165</v>
      </c>
      <c r="BI816" s="128" t="str">
        <f t="shared" si="21"/>
        <v>Test2</v>
      </c>
      <c r="BJ816" s="129" t="b">
        <f t="shared" si="740"/>
        <v>0</v>
      </c>
      <c r="BK816" s="128" t="str">
        <f t="shared" si="23"/>
        <v/>
      </c>
      <c r="BL816" s="121"/>
      <c r="BM816" s="5" t="str">
        <f t="shared" si="24"/>
        <v>MISSING</v>
      </c>
      <c r="BN816" s="120" t="b">
        <f t="shared" si="25"/>
        <v>0</v>
      </c>
      <c r="BO816" s="131" t="b">
        <f t="shared" si="26"/>
        <v>1</v>
      </c>
      <c r="BP816" s="121"/>
      <c r="BQ816" s="132" t="str">
        <f>VLOOKUP(A816,RAW_APS!A$3:O826,15,FALSE)</f>
        <v/>
      </c>
      <c r="BR816" s="120" t="b">
        <f t="shared" si="27"/>
        <v>1</v>
      </c>
      <c r="BS816" s="121"/>
      <c r="BT816" s="138" t="s">
        <v>244</v>
      </c>
      <c r="BU816" s="10" t="b">
        <f t="shared" si="28"/>
        <v>1</v>
      </c>
      <c r="BV816" s="120"/>
      <c r="BW816" s="120"/>
      <c r="BX816" s="120"/>
      <c r="BY816" s="120"/>
      <c r="BZ816" s="120"/>
      <c r="CA816" s="120"/>
      <c r="CB816" s="120"/>
      <c r="CC816" s="120"/>
    </row>
    <row r="817">
      <c r="A817" s="2" t="s">
        <v>2166</v>
      </c>
      <c r="B817" s="100">
        <v>44692.0</v>
      </c>
      <c r="C817" s="101">
        <v>0.2778703703703704</v>
      </c>
      <c r="D817" s="102"/>
      <c r="E817" s="102"/>
      <c r="F817" s="102"/>
      <c r="G817" s="102"/>
      <c r="H817" s="102"/>
      <c r="I817" s="103"/>
      <c r="J817" s="103"/>
      <c r="K817" s="2" t="s">
        <v>244</v>
      </c>
      <c r="L817" s="100">
        <v>44692.0</v>
      </c>
      <c r="M817" s="101">
        <v>0.5025115740740741</v>
      </c>
      <c r="P817" s="104" t="b">
        <f>IFNA(IF(VLOOKUP($A817,'Add from APT'!$AA$2:$AC826,3,FALSE)&gt;0,TRUE,FALSE),"ER - NOT IN APT")</f>
        <v>0</v>
      </c>
      <c r="Q817" s="105" t="str">
        <f>IF(ISLOGICAL(P817),IF(P817,"ER - REPS IN APT", IFNA(VLOOKUP($A817,RAW_APT!$A$3:$M826,7,FALSE),"ER - NOT IN APT")),P817)</f>
        <v>Result</v>
      </c>
      <c r="R817" s="106" t="b">
        <f t="shared" si="2"/>
        <v>1</v>
      </c>
      <c r="S817" s="107">
        <f t="shared" si="3"/>
        <v>1</v>
      </c>
      <c r="T817" s="143"/>
      <c r="U817" s="142"/>
      <c r="V817" s="142"/>
      <c r="W817" s="142"/>
      <c r="X817" s="110" t="b">
        <f t="shared" si="4"/>
        <v>0</v>
      </c>
      <c r="Y817" s="111" t="b">
        <v>0</v>
      </c>
      <c r="Z817" s="104" t="str">
        <f t="shared" si="5"/>
        <v/>
      </c>
      <c r="AA817" s="112" t="b">
        <f t="shared" si="6"/>
        <v>0</v>
      </c>
      <c r="AB817" s="142" t="b">
        <v>0</v>
      </c>
      <c r="AC817" s="140">
        <v>9.0</v>
      </c>
      <c r="AD817" s="141" t="b">
        <v>0</v>
      </c>
      <c r="AE817" s="115">
        <f t="shared" si="7"/>
        <v>323.4833333</v>
      </c>
      <c r="AF817" s="116" t="b">
        <f t="shared" si="8"/>
        <v>0</v>
      </c>
      <c r="AG817" s="105" t="b">
        <f t="shared" si="9"/>
        <v>0</v>
      </c>
      <c r="AH817" s="140"/>
      <c r="AI817" s="140"/>
      <c r="AJ817" s="140"/>
      <c r="AK817" s="117" t="str">
        <f t="shared" si="10"/>
        <v>Negative</v>
      </c>
      <c r="AL817" s="142"/>
      <c r="AM817" s="112" t="s">
        <v>261</v>
      </c>
      <c r="AN817" s="112" t="s">
        <v>262</v>
      </c>
      <c r="AO817" s="112" t="str">
        <f>IFERROR(__xludf.DUMMYFUNCTION("IF($AG817, ""DELETED"",TRIM(JOIN("" "",D817:E817)))"),"")</f>
        <v/>
      </c>
      <c r="AP817" s="112" t="str">
        <f t="shared" ref="AP817:AQ817" si="843">IF($AG817, "DELETED", TRIM(CONCATENATE(F817,I817,U817)))</f>
        <v/>
      </c>
      <c r="AQ817" s="112" t="str">
        <f t="shared" si="843"/>
        <v/>
      </c>
      <c r="AR817" s="112" t="str">
        <f>IFERROR(__xludf.DUMMYFUNCTION("IF($AG817, ""DELETED"", TRIM(JOIN("" "",AP817,AQ817)))"),"")</f>
        <v/>
      </c>
      <c r="AS817" s="118"/>
      <c r="AT817" s="110" t="b">
        <f t="shared" si="12"/>
        <v>0</v>
      </c>
      <c r="AU817" s="110" t="str">
        <f t="shared" si="13"/>
        <v/>
      </c>
      <c r="AV817" s="110" t="str">
        <f t="shared" si="14"/>
        <v/>
      </c>
      <c r="AW817" s="110" t="str">
        <f t="shared" si="15"/>
        <v/>
      </c>
      <c r="AX817" s="119" t="str">
        <f t="shared" si="16"/>
        <v/>
      </c>
      <c r="AY817" s="120"/>
      <c r="AZ817" s="121"/>
      <c r="BA817" s="122" t="str">
        <f t="shared" si="17"/>
        <v/>
      </c>
      <c r="BB817" s="34"/>
      <c r="BC817" s="121"/>
      <c r="BD817" s="136"/>
      <c r="BE817" s="125" t="str">
        <f t="shared" si="18"/>
        <v/>
      </c>
      <c r="BF817" s="126" t="str">
        <f t="shared" si="19"/>
        <v>MA1405__44692_0.27787037037037</v>
      </c>
      <c r="BG817" s="127" t="str">
        <f t="shared" si="20"/>
        <v/>
      </c>
      <c r="BH817" s="137" t="s">
        <v>2167</v>
      </c>
      <c r="BI817" s="128" t="str">
        <f t="shared" si="21"/>
        <v>Test3</v>
      </c>
      <c r="BJ817" s="129" t="b">
        <f t="shared" si="740"/>
        <v>0</v>
      </c>
      <c r="BK817" s="128" t="str">
        <f t="shared" si="23"/>
        <v/>
      </c>
      <c r="BL817" s="121"/>
      <c r="BM817" s="5" t="str">
        <f t="shared" si="24"/>
        <v>MISSING</v>
      </c>
      <c r="BN817" s="120" t="b">
        <f t="shared" si="25"/>
        <v>0</v>
      </c>
      <c r="BO817" s="131" t="b">
        <f t="shared" si="26"/>
        <v>1</v>
      </c>
      <c r="BP817" s="121"/>
      <c r="BQ817" s="132" t="str">
        <f>VLOOKUP(A817,RAW_APS!A$3:O826,15,FALSE)</f>
        <v/>
      </c>
      <c r="BR817" s="120" t="b">
        <f t="shared" si="27"/>
        <v>1</v>
      </c>
      <c r="BS817" s="121"/>
      <c r="BT817" s="138" t="s">
        <v>244</v>
      </c>
      <c r="BU817" s="10" t="b">
        <f t="shared" si="28"/>
        <v>1</v>
      </c>
      <c r="BV817" s="120"/>
      <c r="BW817" s="120"/>
      <c r="BX817" s="120"/>
      <c r="BY817" s="120"/>
      <c r="BZ817" s="120"/>
      <c r="CA817" s="120"/>
      <c r="CB817" s="120"/>
      <c r="CC817" s="120"/>
    </row>
    <row r="818">
      <c r="A818" s="2" t="s">
        <v>2168</v>
      </c>
      <c r="B818" s="100">
        <v>44692.0</v>
      </c>
      <c r="C818" s="101">
        <v>0.2784259259259259</v>
      </c>
      <c r="D818" s="102"/>
      <c r="E818" s="102"/>
      <c r="F818" s="157"/>
      <c r="G818" s="139"/>
      <c r="H818" s="139"/>
      <c r="I818" s="103"/>
      <c r="J818" s="103"/>
      <c r="K818" s="2" t="s">
        <v>244</v>
      </c>
      <c r="L818" s="100">
        <v>44692.0</v>
      </c>
      <c r="M818" s="101">
        <v>0.5025115740740741</v>
      </c>
      <c r="P818" s="104" t="b">
        <f>IFNA(IF(VLOOKUP($A818,'Add from APT'!$AA$2:$AC826,3,FALSE)&gt;0,TRUE,FALSE),"ER - NOT IN APT")</f>
        <v>0</v>
      </c>
      <c r="Q818" s="105" t="str">
        <f>IF(ISLOGICAL(P818),IF(P818,"ER - REPS IN APT", IFNA(VLOOKUP($A818,RAW_APT!$A$3:$M826,7,FALSE),"ER - NOT IN APT")),P818)</f>
        <v>Result</v>
      </c>
      <c r="R818" s="106" t="b">
        <f t="shared" si="2"/>
        <v>1</v>
      </c>
      <c r="S818" s="107">
        <f t="shared" si="3"/>
        <v>1</v>
      </c>
      <c r="T818" s="140">
        <v>0.0</v>
      </c>
      <c r="U818" s="158"/>
      <c r="V818" s="141"/>
      <c r="W818" s="141"/>
      <c r="X818" s="110" t="b">
        <f t="shared" si="4"/>
        <v>0</v>
      </c>
      <c r="Y818" s="111" t="b">
        <v>0</v>
      </c>
      <c r="Z818" s="104" t="str">
        <f t="shared" si="5"/>
        <v/>
      </c>
      <c r="AA818" s="112" t="b">
        <f t="shared" si="6"/>
        <v>0</v>
      </c>
      <c r="AB818" s="142" t="b">
        <v>0</v>
      </c>
      <c r="AC818" s="140">
        <v>8.0</v>
      </c>
      <c r="AD818" s="141" t="b">
        <v>0</v>
      </c>
      <c r="AE818" s="115">
        <f t="shared" si="7"/>
        <v>322.6833333</v>
      </c>
      <c r="AF818" s="116" t="b">
        <f t="shared" si="8"/>
        <v>0</v>
      </c>
      <c r="AG818" s="105" t="b">
        <f t="shared" si="9"/>
        <v>0</v>
      </c>
      <c r="AH818" s="140"/>
      <c r="AI818" s="140"/>
      <c r="AJ818" s="140"/>
      <c r="AK818" s="117" t="str">
        <f t="shared" si="10"/>
        <v>Negative</v>
      </c>
      <c r="AL818" s="141"/>
      <c r="AM818" s="112" t="s">
        <v>261</v>
      </c>
      <c r="AN818" s="112" t="s">
        <v>708</v>
      </c>
      <c r="AO818" s="112" t="str">
        <f>IFERROR(__xludf.DUMMYFUNCTION("IF($AG818, ""DELETED"",TRIM(JOIN("" "",D818:E818)))"),"")</f>
        <v/>
      </c>
      <c r="AP818" s="112" t="str">
        <f t="shared" ref="AP818:AQ818" si="844">IF($AG818, "DELETED", TRIM(CONCATENATE(F818,I818,U818)))</f>
        <v/>
      </c>
      <c r="AQ818" s="112" t="str">
        <f t="shared" si="844"/>
        <v/>
      </c>
      <c r="AR818" s="112" t="str">
        <f>IFERROR(__xludf.DUMMYFUNCTION("IF($AG818, ""DELETED"", TRIM(JOIN("" "",AP818,AQ818)))"),"")</f>
        <v/>
      </c>
      <c r="AS818" s="118"/>
      <c r="AT818" s="110" t="b">
        <f t="shared" si="12"/>
        <v>0</v>
      </c>
      <c r="AU818" s="110" t="str">
        <f t="shared" si="13"/>
        <v/>
      </c>
      <c r="AV818" s="110" t="str">
        <f t="shared" si="14"/>
        <v/>
      </c>
      <c r="AW818" s="110" t="str">
        <f t="shared" si="15"/>
        <v/>
      </c>
      <c r="AX818" s="119" t="str">
        <f t="shared" si="16"/>
        <v/>
      </c>
      <c r="AY818" s="120"/>
      <c r="AZ818" s="121"/>
      <c r="BA818" s="122" t="str">
        <f t="shared" si="17"/>
        <v/>
      </c>
      <c r="BB818" s="34"/>
      <c r="BC818" s="121"/>
      <c r="BD818" s="136"/>
      <c r="BE818" s="125" t="str">
        <f t="shared" si="18"/>
        <v/>
      </c>
      <c r="BF818" s="126" t="str">
        <f t="shared" si="19"/>
        <v>MA1453__44692_0.278425925925926</v>
      </c>
      <c r="BG818" s="127" t="str">
        <f t="shared" si="20"/>
        <v/>
      </c>
      <c r="BH818" s="137" t="s">
        <v>2169</v>
      </c>
      <c r="BI818" s="128" t="str">
        <f t="shared" si="21"/>
        <v>Test4</v>
      </c>
      <c r="BJ818" s="129" t="b">
        <f t="shared" si="740"/>
        <v>0</v>
      </c>
      <c r="BK818" s="128" t="str">
        <f t="shared" si="23"/>
        <v/>
      </c>
      <c r="BL818" s="121"/>
      <c r="BM818" s="5" t="str">
        <f t="shared" si="24"/>
        <v>MISSING</v>
      </c>
      <c r="BN818" s="120" t="b">
        <f t="shared" si="25"/>
        <v>0</v>
      </c>
      <c r="BO818" s="131" t="b">
        <f t="shared" si="26"/>
        <v>1</v>
      </c>
      <c r="BP818" s="121"/>
      <c r="BQ818" s="132" t="str">
        <f>VLOOKUP(A818,RAW_APS!A$3:O826,15,FALSE)</f>
        <v/>
      </c>
      <c r="BR818" s="120" t="b">
        <f t="shared" si="27"/>
        <v>1</v>
      </c>
      <c r="BS818" s="121"/>
      <c r="BT818" s="138" t="s">
        <v>244</v>
      </c>
      <c r="BU818" s="10" t="b">
        <f t="shared" si="28"/>
        <v>1</v>
      </c>
      <c r="BV818" s="120"/>
      <c r="BW818" s="120"/>
      <c r="BX818" s="120"/>
      <c r="BY818" s="120"/>
      <c r="BZ818" s="120"/>
      <c r="CA818" s="120"/>
      <c r="CB818" s="120"/>
      <c r="CC818" s="120"/>
    </row>
    <row r="819">
      <c r="A819" s="2" t="s">
        <v>2170</v>
      </c>
      <c r="B819" s="100">
        <v>44692.0</v>
      </c>
      <c r="C819" s="101">
        <v>0.2788773148148148</v>
      </c>
      <c r="D819" s="102"/>
      <c r="E819" s="102"/>
      <c r="F819" s="103"/>
      <c r="G819" s="148"/>
      <c r="H819" s="148"/>
      <c r="I819" s="103"/>
      <c r="J819" s="103"/>
      <c r="K819" s="2" t="s">
        <v>244</v>
      </c>
      <c r="L819" s="100">
        <v>44692.0</v>
      </c>
      <c r="M819" s="101">
        <v>0.5025231481481481</v>
      </c>
      <c r="P819" s="104" t="b">
        <f>IFNA(IF(VLOOKUP($A819,'Add from APT'!$AA$2:$AC826,3,FALSE)&gt;0,TRUE,FALSE),"ER - NOT IN APT")</f>
        <v>0</v>
      </c>
      <c r="Q819" s="105" t="str">
        <f>IF(ISLOGICAL(P819),IF(P819,"ER - REPS IN APT", IFNA(VLOOKUP($A819,RAW_APT!$A$3:$M826,7,FALSE),"ER - NOT IN APT")),P819)</f>
        <v>Result</v>
      </c>
      <c r="R819" s="106" t="b">
        <f t="shared" si="2"/>
        <v>1</v>
      </c>
      <c r="S819" s="107">
        <f t="shared" si="3"/>
        <v>1</v>
      </c>
      <c r="T819" s="140">
        <v>0.0</v>
      </c>
      <c r="V819" s="142"/>
      <c r="W819" s="142"/>
      <c r="X819" s="110" t="b">
        <f t="shared" si="4"/>
        <v>0</v>
      </c>
      <c r="Y819" s="111" t="b">
        <v>0</v>
      </c>
      <c r="Z819" s="104" t="str">
        <f t="shared" si="5"/>
        <v/>
      </c>
      <c r="AA819" s="112" t="b">
        <f t="shared" si="6"/>
        <v>0</v>
      </c>
      <c r="AB819" s="142" t="b">
        <v>0</v>
      </c>
      <c r="AC819" s="140">
        <v>7.0</v>
      </c>
      <c r="AD819" s="141" t="b">
        <v>0</v>
      </c>
      <c r="AE819" s="115">
        <f t="shared" si="7"/>
        <v>322.05</v>
      </c>
      <c r="AF819" s="116" t="b">
        <f t="shared" si="8"/>
        <v>0</v>
      </c>
      <c r="AG819" s="105" t="b">
        <f t="shared" si="9"/>
        <v>0</v>
      </c>
      <c r="AH819" s="140"/>
      <c r="AI819" s="140"/>
      <c r="AJ819" s="140"/>
      <c r="AK819" s="117" t="str">
        <f t="shared" si="10"/>
        <v>Negative</v>
      </c>
      <c r="AL819" s="141"/>
      <c r="AM819" s="112" t="s">
        <v>261</v>
      </c>
      <c r="AN819" s="112" t="s">
        <v>913</v>
      </c>
      <c r="AO819" s="112" t="str">
        <f>IFERROR(__xludf.DUMMYFUNCTION("IF($AG819, ""DELETED"",TRIM(JOIN("" "",D819:E819)))"),"")</f>
        <v/>
      </c>
      <c r="AP819" s="112" t="str">
        <f t="shared" ref="AP819:AQ819" si="845">IF($AG819, "DELETED", TRIM(CONCATENATE(F819,I819,U819)))</f>
        <v/>
      </c>
      <c r="AQ819" s="112" t="str">
        <f t="shared" si="845"/>
        <v/>
      </c>
      <c r="AR819" s="112" t="str">
        <f>IFERROR(__xludf.DUMMYFUNCTION("IF($AG819, ""DELETED"", TRIM(JOIN("" "",AP819,AQ819)))"),"")</f>
        <v/>
      </c>
      <c r="AS819" s="118"/>
      <c r="AT819" s="110" t="b">
        <f t="shared" si="12"/>
        <v>0</v>
      </c>
      <c r="AU819" s="110" t="str">
        <f t="shared" si="13"/>
        <v/>
      </c>
      <c r="AV819" s="110" t="str">
        <f t="shared" si="14"/>
        <v/>
      </c>
      <c r="AW819" s="110" t="str">
        <f t="shared" si="15"/>
        <v/>
      </c>
      <c r="AX819" s="119" t="str">
        <f t="shared" si="16"/>
        <v/>
      </c>
      <c r="AY819" s="120"/>
      <c r="AZ819" s="121"/>
      <c r="BA819" s="122" t="str">
        <f t="shared" si="17"/>
        <v/>
      </c>
      <c r="BB819" s="34"/>
      <c r="BC819" s="121"/>
      <c r="BD819" s="136"/>
      <c r="BE819" s="125" t="str">
        <f t="shared" si="18"/>
        <v/>
      </c>
      <c r="BF819" s="126" t="str">
        <f t="shared" si="19"/>
        <v>MA1397__44692_0.278877314814815</v>
      </c>
      <c r="BG819" s="127" t="str">
        <f t="shared" si="20"/>
        <v/>
      </c>
      <c r="BH819" s="137" t="s">
        <v>2171</v>
      </c>
      <c r="BI819" s="128" t="str">
        <f t="shared" si="21"/>
        <v>Test5</v>
      </c>
      <c r="BJ819" s="129" t="b">
        <f t="shared" si="740"/>
        <v>0</v>
      </c>
      <c r="BK819" s="128" t="str">
        <f t="shared" si="23"/>
        <v/>
      </c>
      <c r="BL819" s="121"/>
      <c r="BM819" s="5" t="str">
        <f t="shared" si="24"/>
        <v>MISSING</v>
      </c>
      <c r="BN819" s="120" t="b">
        <f t="shared" si="25"/>
        <v>0</v>
      </c>
      <c r="BO819" s="131" t="b">
        <f t="shared" si="26"/>
        <v>1</v>
      </c>
      <c r="BP819" s="121"/>
      <c r="BQ819" s="132" t="str">
        <f>VLOOKUP(A819,RAW_APS!A$3:O826,15,FALSE)</f>
        <v/>
      </c>
      <c r="BR819" s="120" t="b">
        <f t="shared" si="27"/>
        <v>1</v>
      </c>
      <c r="BS819" s="121"/>
      <c r="BT819" s="138" t="s">
        <v>244</v>
      </c>
      <c r="BU819" s="10" t="b">
        <f t="shared" si="28"/>
        <v>1</v>
      </c>
      <c r="BV819" s="120"/>
      <c r="BW819" s="120"/>
      <c r="BX819" s="120"/>
      <c r="BY819" s="120"/>
      <c r="BZ819" s="120"/>
      <c r="CA819" s="120"/>
      <c r="CB819" s="120"/>
      <c r="CC819" s="120"/>
    </row>
    <row r="820">
      <c r="A820" s="2" t="s">
        <v>2172</v>
      </c>
      <c r="B820" s="100">
        <v>44692.0</v>
      </c>
      <c r="C820" s="101">
        <v>0.2888541666666667</v>
      </c>
      <c r="D820" s="102"/>
      <c r="E820" s="102"/>
      <c r="F820" s="139"/>
      <c r="G820" s="148"/>
      <c r="H820" s="148"/>
      <c r="I820" s="103"/>
      <c r="J820" s="103"/>
      <c r="K820" s="2" t="s">
        <v>244</v>
      </c>
      <c r="L820" s="100">
        <v>44692.0</v>
      </c>
      <c r="M820" s="101">
        <v>0.5025231481481481</v>
      </c>
      <c r="P820" s="104" t="b">
        <f>IFNA(IF(VLOOKUP($A820,'Add from APT'!$AA$2:$AC826,3,FALSE)&gt;0,TRUE,FALSE),"ER - NOT IN APT")</f>
        <v>0</v>
      </c>
      <c r="Q820" s="105" t="str">
        <f>IF(ISLOGICAL(P820),IF(P820,"ER - REPS IN APT", IFNA(VLOOKUP($A820,RAW_APT!$A$3:$M826,7,FALSE),"ER - NOT IN APT")),P820)</f>
        <v>Result</v>
      </c>
      <c r="R820" s="106" t="b">
        <f t="shared" si="2"/>
        <v>1</v>
      </c>
      <c r="S820" s="107">
        <f t="shared" si="3"/>
        <v>1</v>
      </c>
      <c r="T820" s="140">
        <v>0.0</v>
      </c>
      <c r="U820" s="141"/>
      <c r="V820" s="142"/>
      <c r="W820" s="141"/>
      <c r="X820" s="110" t="b">
        <f t="shared" si="4"/>
        <v>0</v>
      </c>
      <c r="Y820" s="111" t="b">
        <v>0</v>
      </c>
      <c r="Z820" s="104" t="str">
        <f t="shared" si="5"/>
        <v/>
      </c>
      <c r="AA820" s="112" t="b">
        <f t="shared" si="6"/>
        <v>0</v>
      </c>
      <c r="AB820" s="142" t="b">
        <v>0</v>
      </c>
      <c r="AC820" s="140">
        <v>6.0</v>
      </c>
      <c r="AD820" s="141" t="b">
        <v>0</v>
      </c>
      <c r="AE820" s="115">
        <f t="shared" si="7"/>
        <v>307.6833333</v>
      </c>
      <c r="AF820" s="116" t="b">
        <f t="shared" si="8"/>
        <v>0</v>
      </c>
      <c r="AG820" s="105" t="b">
        <f t="shared" si="9"/>
        <v>0</v>
      </c>
      <c r="AH820" s="140"/>
      <c r="AI820" s="140"/>
      <c r="AJ820" s="140"/>
      <c r="AK820" s="117" t="str">
        <f t="shared" si="10"/>
        <v>Negative</v>
      </c>
      <c r="AL820" s="142"/>
      <c r="AM820" s="112" t="s">
        <v>261</v>
      </c>
      <c r="AN820" s="112" t="s">
        <v>926</v>
      </c>
      <c r="AO820" s="112" t="str">
        <f>IFERROR(__xludf.DUMMYFUNCTION("IF($AG820, ""DELETED"",TRIM(JOIN("" "",D820:E820)))"),"")</f>
        <v/>
      </c>
      <c r="AP820" s="112" t="str">
        <f t="shared" ref="AP820:AQ820" si="846">IF($AG820, "DELETED", TRIM(CONCATENATE(F820,I820,U820)))</f>
        <v/>
      </c>
      <c r="AQ820" s="112" t="str">
        <f t="shared" si="846"/>
        <v/>
      </c>
      <c r="AR820" s="112" t="str">
        <f>IFERROR(__xludf.DUMMYFUNCTION("IF($AG820, ""DELETED"", TRIM(JOIN("" "",AP820,AQ820)))"),"")</f>
        <v/>
      </c>
      <c r="AS820" s="118"/>
      <c r="AT820" s="110" t="b">
        <f t="shared" si="12"/>
        <v>0</v>
      </c>
      <c r="AU820" s="110" t="str">
        <f t="shared" si="13"/>
        <v/>
      </c>
      <c r="AV820" s="110" t="str">
        <f t="shared" si="14"/>
        <v/>
      </c>
      <c r="AW820" s="110" t="str">
        <f t="shared" si="15"/>
        <v/>
      </c>
      <c r="AX820" s="119" t="str">
        <f t="shared" si="16"/>
        <v/>
      </c>
      <c r="AY820" s="120"/>
      <c r="AZ820" s="121"/>
      <c r="BA820" s="122" t="str">
        <f t="shared" si="17"/>
        <v/>
      </c>
      <c r="BB820" s="34"/>
      <c r="BC820" s="121"/>
      <c r="BD820" s="136"/>
      <c r="BE820" s="125" t="str">
        <f t="shared" si="18"/>
        <v/>
      </c>
      <c r="BF820" s="126" t="str">
        <f t="shared" si="19"/>
        <v>MA1392__44692_0.288854166666667</v>
      </c>
      <c r="BG820" s="127" t="str">
        <f t="shared" si="20"/>
        <v/>
      </c>
      <c r="BH820" s="137" t="s">
        <v>2173</v>
      </c>
      <c r="BI820" s="128" t="str">
        <f t="shared" si="21"/>
        <v>Testn</v>
      </c>
      <c r="BJ820" s="129" t="b">
        <f t="shared" si="740"/>
        <v>0</v>
      </c>
      <c r="BK820" s="128" t="str">
        <f t="shared" si="23"/>
        <v/>
      </c>
      <c r="BL820" s="121"/>
      <c r="BM820" s="5" t="str">
        <f t="shared" si="24"/>
        <v>MISSING</v>
      </c>
      <c r="BN820" s="120" t="b">
        <f t="shared" si="25"/>
        <v>0</v>
      </c>
      <c r="BO820" s="131" t="b">
        <f t="shared" si="26"/>
        <v>1</v>
      </c>
      <c r="BP820" s="121"/>
      <c r="BQ820" s="132" t="str">
        <f>VLOOKUP(A820,RAW_APS!A$3:O826,15,FALSE)</f>
        <v/>
      </c>
      <c r="BR820" s="120" t="b">
        <f t="shared" si="27"/>
        <v>1</v>
      </c>
      <c r="BS820" s="121"/>
      <c r="BT820" s="138" t="s">
        <v>244</v>
      </c>
      <c r="BU820" s="10" t="b">
        <f t="shared" si="28"/>
        <v>1</v>
      </c>
      <c r="BV820" s="120"/>
      <c r="BW820" s="120"/>
      <c r="BX820" s="120"/>
      <c r="BY820" s="120"/>
      <c r="BZ820" s="120"/>
      <c r="CA820" s="120"/>
      <c r="CB820" s="120"/>
      <c r="CC820" s="120"/>
    </row>
    <row r="821">
      <c r="A821" s="2" t="s">
        <v>2174</v>
      </c>
      <c r="B821" s="100">
        <v>44692.0</v>
      </c>
      <c r="C821" s="101">
        <v>0.29189814814814813</v>
      </c>
      <c r="D821" s="102"/>
      <c r="E821" s="102"/>
      <c r="F821" s="139"/>
      <c r="G821" s="148"/>
      <c r="H821" s="148"/>
      <c r="I821" s="103"/>
      <c r="J821" s="103"/>
      <c r="K821" s="2" t="s">
        <v>244</v>
      </c>
      <c r="L821" s="100">
        <v>44692.0</v>
      </c>
      <c r="M821" s="101">
        <v>0.5025231481481481</v>
      </c>
      <c r="P821" s="104" t="b">
        <f>IFNA(IF(VLOOKUP($A821,'Add from APT'!$AA$2:$AC826,3,FALSE)&gt;0,TRUE,FALSE),"ER - NOT IN APT")</f>
        <v>0</v>
      </c>
      <c r="Q821" s="105" t="str">
        <f>IF(ISLOGICAL(P821),IF(P821,"ER - REPS IN APT", IFNA(VLOOKUP($A821,RAW_APT!$A$3:$M826,7,FALSE),"ER - NOT IN APT")),P821)</f>
        <v>Result</v>
      </c>
      <c r="R821" s="106" t="b">
        <f t="shared" si="2"/>
        <v>1</v>
      </c>
      <c r="S821" s="107">
        <f t="shared" si="3"/>
        <v>1</v>
      </c>
      <c r="T821" s="140">
        <v>0.0</v>
      </c>
      <c r="U821" s="141"/>
      <c r="V821" s="142"/>
      <c r="W821" s="141"/>
      <c r="X821" s="110" t="b">
        <f t="shared" si="4"/>
        <v>0</v>
      </c>
      <c r="Y821" s="111" t="b">
        <v>0</v>
      </c>
      <c r="Z821" s="104" t="str">
        <f t="shared" si="5"/>
        <v/>
      </c>
      <c r="AA821" s="112" t="b">
        <f t="shared" si="6"/>
        <v>0</v>
      </c>
      <c r="AB821" s="142" t="b">
        <v>0</v>
      </c>
      <c r="AC821" s="140">
        <v>5.0</v>
      </c>
      <c r="AD821" s="141" t="b">
        <v>0</v>
      </c>
      <c r="AE821" s="115">
        <f t="shared" si="7"/>
        <v>303.3</v>
      </c>
      <c r="AF821" s="116" t="b">
        <f t="shared" si="8"/>
        <v>0</v>
      </c>
      <c r="AG821" s="105" t="b">
        <f t="shared" si="9"/>
        <v>0</v>
      </c>
      <c r="AH821" s="140"/>
      <c r="AI821" s="140"/>
      <c r="AJ821" s="140"/>
      <c r="AK821" s="117" t="str">
        <f t="shared" si="10"/>
        <v>Negative</v>
      </c>
      <c r="AL821" s="142"/>
      <c r="AM821" s="112" t="s">
        <v>261</v>
      </c>
      <c r="AN821" s="112" t="s">
        <v>923</v>
      </c>
      <c r="AO821" s="112" t="str">
        <f>IFERROR(__xludf.DUMMYFUNCTION("IF($AG821, ""DELETED"",TRIM(JOIN("" "",D821:E821)))"),"")</f>
        <v/>
      </c>
      <c r="AP821" s="112" t="str">
        <f t="shared" ref="AP821:AQ821" si="847">IF($AG821, "DELETED", TRIM(CONCATENATE(F821,I821,U821)))</f>
        <v/>
      </c>
      <c r="AQ821" s="112" t="str">
        <f t="shared" si="847"/>
        <v/>
      </c>
      <c r="AR821" s="112" t="str">
        <f>IFERROR(__xludf.DUMMYFUNCTION("IF($AG821, ""DELETED"", TRIM(JOIN("" "",AP821,AQ821)))"),"")</f>
        <v/>
      </c>
      <c r="AS821" s="118"/>
      <c r="AT821" s="110" t="b">
        <f t="shared" si="12"/>
        <v>0</v>
      </c>
      <c r="AU821" s="110" t="str">
        <f t="shared" si="13"/>
        <v/>
      </c>
      <c r="AV821" s="110" t="str">
        <f t="shared" si="14"/>
        <v/>
      </c>
      <c r="AW821" s="110" t="str">
        <f t="shared" si="15"/>
        <v/>
      </c>
      <c r="AX821" s="119" t="str">
        <f t="shared" si="16"/>
        <v/>
      </c>
      <c r="AY821" s="120"/>
      <c r="AZ821" s="121"/>
      <c r="BA821" s="122" t="str">
        <f t="shared" si="17"/>
        <v/>
      </c>
      <c r="BB821" s="34"/>
      <c r="BC821" s="121"/>
      <c r="BD821" s="136"/>
      <c r="BE821" s="125" t="str">
        <f t="shared" si="18"/>
        <v/>
      </c>
      <c r="BF821" s="126" t="str">
        <f t="shared" si="19"/>
        <v>MA1497__44692_0.291898148148148</v>
      </c>
      <c r="BG821" s="127" t="str">
        <f t="shared" si="20"/>
        <v/>
      </c>
      <c r="BH821" s="137"/>
      <c r="BI821" s="128" t="str">
        <f t="shared" si="21"/>
        <v/>
      </c>
      <c r="BJ821" s="129" t="b">
        <f t="shared" si="740"/>
        <v>1</v>
      </c>
      <c r="BK821" s="128" t="str">
        <f t="shared" si="23"/>
        <v/>
      </c>
      <c r="BL821" s="121"/>
      <c r="BM821" s="5" t="str">
        <f t="shared" si="24"/>
        <v>MISSING</v>
      </c>
      <c r="BN821" s="120" t="b">
        <f t="shared" si="25"/>
        <v>0</v>
      </c>
      <c r="BO821" s="131" t="b">
        <f t="shared" si="26"/>
        <v>1</v>
      </c>
      <c r="BP821" s="121"/>
      <c r="BQ821" s="132" t="str">
        <f>VLOOKUP(A821,RAW_APS!A$3:O826,15,FALSE)</f>
        <v/>
      </c>
      <c r="BR821" s="120" t="b">
        <f t="shared" si="27"/>
        <v>1</v>
      </c>
      <c r="BS821" s="121"/>
      <c r="BT821" s="138" t="s">
        <v>244</v>
      </c>
      <c r="BU821" s="10" t="b">
        <f t="shared" si="28"/>
        <v>1</v>
      </c>
      <c r="BV821" s="120"/>
      <c r="BW821" s="120"/>
      <c r="BX821" s="120"/>
      <c r="BY821" s="120"/>
      <c r="BZ821" s="120"/>
      <c r="CA821" s="120"/>
      <c r="CB821" s="120"/>
      <c r="CC821" s="120"/>
    </row>
    <row r="822">
      <c r="A822" s="2" t="s">
        <v>2175</v>
      </c>
      <c r="B822" s="100">
        <v>44692.0</v>
      </c>
      <c r="C822" s="101">
        <v>0.30863425925925925</v>
      </c>
      <c r="D822" s="102"/>
      <c r="E822" s="102"/>
      <c r="F822" s="139"/>
      <c r="G822" s="148"/>
      <c r="H822" s="148"/>
      <c r="I822" s="103"/>
      <c r="J822" s="103"/>
      <c r="K822" s="2" t="s">
        <v>244</v>
      </c>
      <c r="L822" s="100">
        <v>44692.0</v>
      </c>
      <c r="M822" s="101">
        <v>0.5025231481481481</v>
      </c>
      <c r="P822" s="104" t="b">
        <f>IFNA(IF(VLOOKUP($A822,'Add from APT'!$AA$2:$AC826,3,FALSE)&gt;0,TRUE,FALSE),"ER - NOT IN APT")</f>
        <v>0</v>
      </c>
      <c r="Q822" s="105" t="str">
        <f>IF(ISLOGICAL(P822),IF(P822,"ER - REPS IN APT", IFNA(VLOOKUP($A822,RAW_APT!$A$3:$M826,7,FALSE),"ER - NOT IN APT")),P822)</f>
        <v>Result</v>
      </c>
      <c r="R822" s="106" t="b">
        <f t="shared" si="2"/>
        <v>1</v>
      </c>
      <c r="S822" s="107">
        <f t="shared" si="3"/>
        <v>1</v>
      </c>
      <c r="T822" s="140">
        <v>0.0</v>
      </c>
      <c r="U822" s="141"/>
      <c r="V822" s="142"/>
      <c r="W822" s="141"/>
      <c r="X822" s="110" t="b">
        <f t="shared" si="4"/>
        <v>0</v>
      </c>
      <c r="Y822" s="111" t="b">
        <v>0</v>
      </c>
      <c r="Z822" s="104" t="str">
        <f t="shared" si="5"/>
        <v/>
      </c>
      <c r="AA822" s="112" t="b">
        <f t="shared" si="6"/>
        <v>0</v>
      </c>
      <c r="AB822" s="142" t="b">
        <v>0</v>
      </c>
      <c r="AC822" s="140">
        <v>4.0</v>
      </c>
      <c r="AD822" s="141" t="b">
        <v>0</v>
      </c>
      <c r="AE822" s="115">
        <f t="shared" si="7"/>
        <v>279.2</v>
      </c>
      <c r="AF822" s="116" t="b">
        <f t="shared" si="8"/>
        <v>0</v>
      </c>
      <c r="AG822" s="105" t="b">
        <f t="shared" si="9"/>
        <v>0</v>
      </c>
      <c r="AH822" s="140"/>
      <c r="AI822" s="140"/>
      <c r="AJ822" s="140"/>
      <c r="AK822" s="117" t="str">
        <f t="shared" si="10"/>
        <v>Negative</v>
      </c>
      <c r="AL822" s="142"/>
      <c r="AM822" s="112" t="s">
        <v>261</v>
      </c>
      <c r="AN822" s="112" t="s">
        <v>2176</v>
      </c>
      <c r="AO822" s="112" t="str">
        <f>IFERROR(__xludf.DUMMYFUNCTION("IF($AG822, ""DELETED"",TRIM(JOIN("" "",D822:E822)))"),"")</f>
        <v/>
      </c>
      <c r="AP822" s="112" t="str">
        <f t="shared" ref="AP822:AQ822" si="848">IF($AG822, "DELETED", TRIM(CONCATENATE(F822,I822,U822)))</f>
        <v/>
      </c>
      <c r="AQ822" s="112" t="str">
        <f t="shared" si="848"/>
        <v/>
      </c>
      <c r="AR822" s="112" t="str">
        <f>IFERROR(__xludf.DUMMYFUNCTION("IF($AG822, ""DELETED"", TRIM(JOIN("" "",AP822,AQ822)))"),"")</f>
        <v/>
      </c>
      <c r="AS822" s="118"/>
      <c r="AT822" s="110" t="b">
        <f t="shared" si="12"/>
        <v>0</v>
      </c>
      <c r="AU822" s="110" t="str">
        <f t="shared" si="13"/>
        <v/>
      </c>
      <c r="AV822" s="110" t="str">
        <f t="shared" si="14"/>
        <v/>
      </c>
      <c r="AW822" s="110" t="str">
        <f t="shared" si="15"/>
        <v/>
      </c>
      <c r="AX822" s="119" t="str">
        <f t="shared" si="16"/>
        <v/>
      </c>
      <c r="AY822" s="120"/>
      <c r="AZ822" s="121"/>
      <c r="BA822" s="122" t="str">
        <f t="shared" si="17"/>
        <v/>
      </c>
      <c r="BB822" s="34"/>
      <c r="BC822" s="121"/>
      <c r="BD822" s="136"/>
      <c r="BE822" s="125" t="str">
        <f t="shared" si="18"/>
        <v/>
      </c>
      <c r="BF822" s="126" t="str">
        <f t="shared" si="19"/>
        <v>MA1429__44692_0.308634259259259</v>
      </c>
      <c r="BG822" s="127" t="str">
        <f t="shared" si="20"/>
        <v/>
      </c>
      <c r="BH822" s="137"/>
      <c r="BI822" s="128" t="str">
        <f t="shared" si="21"/>
        <v/>
      </c>
      <c r="BJ822" s="129" t="b">
        <f t="shared" si="740"/>
        <v>0</v>
      </c>
      <c r="BK822" s="128" t="str">
        <f t="shared" si="23"/>
        <v/>
      </c>
      <c r="BL822" s="121"/>
      <c r="BM822" s="5" t="str">
        <f t="shared" si="24"/>
        <v>MISSING</v>
      </c>
      <c r="BN822" s="120" t="b">
        <f t="shared" si="25"/>
        <v>0</v>
      </c>
      <c r="BO822" s="131" t="b">
        <f t="shared" si="26"/>
        <v>1</v>
      </c>
      <c r="BP822" s="121"/>
      <c r="BQ822" s="132" t="str">
        <f>VLOOKUP(A822,RAW_APS!A$3:O826,15,FALSE)</f>
        <v/>
      </c>
      <c r="BR822" s="120" t="b">
        <f t="shared" si="27"/>
        <v>1</v>
      </c>
      <c r="BS822" s="121"/>
      <c r="BT822" s="138" t="s">
        <v>244</v>
      </c>
      <c r="BU822" s="10" t="b">
        <f t="shared" si="28"/>
        <v>1</v>
      </c>
      <c r="BV822" s="120"/>
      <c r="BW822" s="120"/>
      <c r="BX822" s="120"/>
      <c r="BY822" s="120"/>
      <c r="BZ822" s="120"/>
      <c r="CA822" s="120"/>
      <c r="CB822" s="120"/>
      <c r="CC822" s="120"/>
    </row>
    <row r="823">
      <c r="A823" s="2" t="s">
        <v>2177</v>
      </c>
      <c r="B823" s="100">
        <v>44692.0</v>
      </c>
      <c r="C823" s="101">
        <v>0.30903935185185183</v>
      </c>
      <c r="D823" s="102"/>
      <c r="E823" s="102"/>
      <c r="F823" s="139"/>
      <c r="G823" s="148"/>
      <c r="H823" s="148"/>
      <c r="I823" s="103"/>
      <c r="J823" s="103"/>
      <c r="K823" s="2" t="s">
        <v>244</v>
      </c>
      <c r="L823" s="100">
        <v>44692.0</v>
      </c>
      <c r="M823" s="101">
        <v>0.5025231481481481</v>
      </c>
      <c r="P823" s="104" t="b">
        <f>IFNA(IF(VLOOKUP($A823,'Add from APT'!$AA$2:$AC826,3,FALSE)&gt;0,TRUE,FALSE),"ER - NOT IN APT")</f>
        <v>0</v>
      </c>
      <c r="Q823" s="105" t="str">
        <f>IF(ISLOGICAL(P823),IF(P823,"ER - REPS IN APT", IFNA(VLOOKUP($A823,RAW_APT!$A$3:$M826,7,FALSE),"ER - NOT IN APT")),P823)</f>
        <v>Result</v>
      </c>
      <c r="R823" s="106" t="b">
        <f t="shared" si="2"/>
        <v>1</v>
      </c>
      <c r="S823" s="107">
        <f t="shared" si="3"/>
        <v>1</v>
      </c>
      <c r="T823" s="140">
        <v>0.0</v>
      </c>
      <c r="U823" s="141"/>
      <c r="V823" s="142"/>
      <c r="W823" s="141"/>
      <c r="X823" s="110" t="b">
        <f t="shared" si="4"/>
        <v>0</v>
      </c>
      <c r="Y823" s="111" t="b">
        <v>0</v>
      </c>
      <c r="Z823" s="104" t="str">
        <f t="shared" si="5"/>
        <v/>
      </c>
      <c r="AA823" s="112" t="b">
        <f t="shared" si="6"/>
        <v>0</v>
      </c>
      <c r="AB823" s="142" t="b">
        <v>0</v>
      </c>
      <c r="AC823" s="140">
        <v>3.0</v>
      </c>
      <c r="AD823" s="141" t="b">
        <v>0</v>
      </c>
      <c r="AE823" s="115">
        <f t="shared" si="7"/>
        <v>278.6166667</v>
      </c>
      <c r="AF823" s="116" t="b">
        <f t="shared" si="8"/>
        <v>0</v>
      </c>
      <c r="AG823" s="105" t="b">
        <f t="shared" si="9"/>
        <v>0</v>
      </c>
      <c r="AH823" s="140"/>
      <c r="AI823" s="140"/>
      <c r="AJ823" s="140"/>
      <c r="AK823" s="117" t="str">
        <f t="shared" si="10"/>
        <v>Negative</v>
      </c>
      <c r="AL823" s="142"/>
      <c r="AM823" s="112" t="s">
        <v>261</v>
      </c>
      <c r="AN823" s="112" t="s">
        <v>2178</v>
      </c>
      <c r="AO823" s="112" t="str">
        <f>IFERROR(__xludf.DUMMYFUNCTION("IF($AG823, ""DELETED"",TRIM(JOIN("" "",D823:E823)))"),"")</f>
        <v/>
      </c>
      <c r="AP823" s="112" t="str">
        <f t="shared" ref="AP823:AQ823" si="849">IF($AG823, "DELETED", TRIM(CONCATENATE(F823,I823,U823)))</f>
        <v/>
      </c>
      <c r="AQ823" s="112" t="str">
        <f t="shared" si="849"/>
        <v/>
      </c>
      <c r="AR823" s="112" t="str">
        <f>IFERROR(__xludf.DUMMYFUNCTION("IF($AG823, ""DELETED"", TRIM(JOIN("" "",AP823,AQ823)))"),"")</f>
        <v/>
      </c>
      <c r="AS823" s="118"/>
      <c r="AT823" s="110" t="b">
        <f t="shared" si="12"/>
        <v>0</v>
      </c>
      <c r="AU823" s="110" t="str">
        <f t="shared" si="13"/>
        <v/>
      </c>
      <c r="AV823" s="110" t="str">
        <f t="shared" si="14"/>
        <v/>
      </c>
      <c r="AW823" s="110" t="str">
        <f t="shared" si="15"/>
        <v/>
      </c>
      <c r="AX823" s="119" t="str">
        <f t="shared" si="16"/>
        <v/>
      </c>
      <c r="AY823" s="120"/>
      <c r="AZ823" s="121"/>
      <c r="BA823" s="122" t="str">
        <f t="shared" si="17"/>
        <v/>
      </c>
      <c r="BB823" s="34"/>
      <c r="BC823" s="121"/>
      <c r="BD823" s="136"/>
      <c r="BE823" s="125" t="str">
        <f t="shared" si="18"/>
        <v/>
      </c>
      <c r="BF823" s="126" t="str">
        <f t="shared" si="19"/>
        <v>MA1398__44692_0.309039351851852</v>
      </c>
      <c r="BG823" s="127" t="str">
        <f t="shared" si="20"/>
        <v/>
      </c>
      <c r="BH823" s="137"/>
      <c r="BI823" s="128" t="str">
        <f t="shared" si="21"/>
        <v/>
      </c>
      <c r="BJ823" s="129" t="b">
        <f t="shared" si="740"/>
        <v>0</v>
      </c>
      <c r="BK823" s="128" t="str">
        <f t="shared" si="23"/>
        <v/>
      </c>
      <c r="BL823" s="121"/>
      <c r="BM823" s="5" t="str">
        <f t="shared" si="24"/>
        <v>MISSING</v>
      </c>
      <c r="BN823" s="120" t="b">
        <f t="shared" si="25"/>
        <v>0</v>
      </c>
      <c r="BO823" s="131" t="b">
        <f t="shared" si="26"/>
        <v>1</v>
      </c>
      <c r="BP823" s="121"/>
      <c r="BQ823" s="132" t="str">
        <f>VLOOKUP(A823,RAW_APS!A$3:O826,15,FALSE)</f>
        <v/>
      </c>
      <c r="BR823" s="120" t="b">
        <f t="shared" si="27"/>
        <v>1</v>
      </c>
      <c r="BS823" s="121"/>
      <c r="BT823" s="138" t="s">
        <v>244</v>
      </c>
      <c r="BU823" s="10" t="b">
        <f t="shared" si="28"/>
        <v>1</v>
      </c>
      <c r="BV823" s="120"/>
      <c r="BW823" s="120"/>
      <c r="BX823" s="120"/>
      <c r="BY823" s="120"/>
      <c r="BZ823" s="120"/>
      <c r="CA823" s="120"/>
      <c r="CB823" s="120"/>
      <c r="CC823" s="120"/>
    </row>
    <row r="824">
      <c r="A824" s="2" t="s">
        <v>2179</v>
      </c>
      <c r="B824" s="100">
        <v>44692.0</v>
      </c>
      <c r="C824" s="101">
        <v>0.3093634259259259</v>
      </c>
      <c r="D824" s="102"/>
      <c r="E824" s="102"/>
      <c r="F824" s="139"/>
      <c r="G824" s="148"/>
      <c r="H824" s="148"/>
      <c r="I824" s="103"/>
      <c r="J824" s="103"/>
      <c r="K824" s="2" t="s">
        <v>244</v>
      </c>
      <c r="L824" s="100">
        <v>44692.0</v>
      </c>
      <c r="M824" s="101">
        <v>0.5025231481481481</v>
      </c>
      <c r="P824" s="104" t="b">
        <f>IFNA(IF(VLOOKUP($A824,'Add from APT'!$AA$2:$AC826,3,FALSE)&gt;0,TRUE,FALSE),"ER - NOT IN APT")</f>
        <v>0</v>
      </c>
      <c r="Q824" s="105" t="str">
        <f>IF(ISLOGICAL(P824),IF(P824,"ER - REPS IN APT", IFNA(VLOOKUP($A824,RAW_APT!$A$3:$M826,7,FALSE),"ER - NOT IN APT")),P824)</f>
        <v>Result</v>
      </c>
      <c r="R824" s="106" t="b">
        <f t="shared" si="2"/>
        <v>1</v>
      </c>
      <c r="S824" s="107">
        <f t="shared" si="3"/>
        <v>1</v>
      </c>
      <c r="T824" s="140">
        <v>0.0</v>
      </c>
      <c r="U824" s="141"/>
      <c r="V824" s="142"/>
      <c r="W824" s="141"/>
      <c r="X824" s="110" t="b">
        <f t="shared" si="4"/>
        <v>0</v>
      </c>
      <c r="Y824" s="111" t="b">
        <v>0</v>
      </c>
      <c r="Z824" s="104" t="str">
        <f t="shared" si="5"/>
        <v/>
      </c>
      <c r="AA824" s="112" t="b">
        <f t="shared" si="6"/>
        <v>0</v>
      </c>
      <c r="AB824" s="142" t="b">
        <v>0</v>
      </c>
      <c r="AC824" s="140">
        <v>2.0</v>
      </c>
      <c r="AD824" s="141" t="b">
        <v>0</v>
      </c>
      <c r="AE824" s="115">
        <f t="shared" si="7"/>
        <v>278.15</v>
      </c>
      <c r="AF824" s="116" t="b">
        <f t="shared" si="8"/>
        <v>0</v>
      </c>
      <c r="AG824" s="105" t="b">
        <f t="shared" si="9"/>
        <v>0</v>
      </c>
      <c r="AH824" s="140"/>
      <c r="AI824" s="140"/>
      <c r="AJ824" s="140"/>
      <c r="AK824" s="117" t="str">
        <f t="shared" si="10"/>
        <v>Negative</v>
      </c>
      <c r="AL824" s="142"/>
      <c r="AM824" s="112" t="s">
        <v>261</v>
      </c>
      <c r="AN824" s="112" t="s">
        <v>2180</v>
      </c>
      <c r="AO824" s="112" t="str">
        <f>IFERROR(__xludf.DUMMYFUNCTION("IF($AG824, ""DELETED"",TRIM(JOIN("" "",D824:E824)))"),"")</f>
        <v/>
      </c>
      <c r="AP824" s="112" t="str">
        <f t="shared" ref="AP824:AQ824" si="850">IF($AG824, "DELETED", TRIM(CONCATENATE(F824,I824,U824)))</f>
        <v/>
      </c>
      <c r="AQ824" s="112" t="str">
        <f t="shared" si="850"/>
        <v/>
      </c>
      <c r="AR824" s="112" t="str">
        <f>IFERROR(__xludf.DUMMYFUNCTION("IF($AG824, ""DELETED"", TRIM(JOIN("" "",AP824,AQ824)))"),"")</f>
        <v/>
      </c>
      <c r="AS824" s="118"/>
      <c r="AT824" s="110" t="b">
        <f t="shared" si="12"/>
        <v>0</v>
      </c>
      <c r="AU824" s="110" t="str">
        <f t="shared" si="13"/>
        <v/>
      </c>
      <c r="AV824" s="110" t="str">
        <f t="shared" si="14"/>
        <v/>
      </c>
      <c r="AW824" s="110" t="str">
        <f t="shared" si="15"/>
        <v/>
      </c>
      <c r="AX824" s="119" t="str">
        <f t="shared" si="16"/>
        <v/>
      </c>
      <c r="AY824" s="120"/>
      <c r="AZ824" s="121"/>
      <c r="BA824" s="122" t="str">
        <f t="shared" si="17"/>
        <v/>
      </c>
      <c r="BB824" s="34"/>
      <c r="BC824" s="121"/>
      <c r="BD824" s="136"/>
      <c r="BE824" s="125" t="str">
        <f t="shared" si="18"/>
        <v/>
      </c>
      <c r="BF824" s="126" t="str">
        <f t="shared" si="19"/>
        <v>MA1384__44692_0.309363425925926</v>
      </c>
      <c r="BG824" s="127" t="str">
        <f t="shared" si="20"/>
        <v/>
      </c>
      <c r="BH824" s="137"/>
      <c r="BI824" s="128" t="str">
        <f t="shared" si="21"/>
        <v/>
      </c>
      <c r="BJ824" s="129" t="b">
        <f t="shared" si="740"/>
        <v>0</v>
      </c>
      <c r="BK824" s="128" t="str">
        <f t="shared" si="23"/>
        <v/>
      </c>
      <c r="BL824" s="121"/>
      <c r="BM824" s="5" t="str">
        <f t="shared" si="24"/>
        <v>MISSING</v>
      </c>
      <c r="BN824" s="120" t="b">
        <f t="shared" si="25"/>
        <v>0</v>
      </c>
      <c r="BO824" s="131" t="b">
        <f t="shared" si="26"/>
        <v>1</v>
      </c>
      <c r="BP824" s="121"/>
      <c r="BQ824" s="132" t="str">
        <f>VLOOKUP(A824,RAW_APS!A$3:O826,15,FALSE)</f>
        <v/>
      </c>
      <c r="BR824" s="120" t="b">
        <f t="shared" si="27"/>
        <v>1</v>
      </c>
      <c r="BS824" s="121"/>
      <c r="BT824" s="138" t="s">
        <v>244</v>
      </c>
      <c r="BU824" s="10" t="b">
        <f t="shared" si="28"/>
        <v>1</v>
      </c>
      <c r="BV824" s="120"/>
      <c r="BW824" s="120"/>
      <c r="BX824" s="120"/>
      <c r="BY824" s="120"/>
      <c r="BZ824" s="120"/>
      <c r="CA824" s="120"/>
      <c r="CB824" s="120"/>
      <c r="CC824" s="120"/>
    </row>
    <row r="825">
      <c r="A825" s="2" t="s">
        <v>2181</v>
      </c>
      <c r="B825" s="100">
        <v>44692.0</v>
      </c>
      <c r="C825" s="101">
        <v>0.34565972222222224</v>
      </c>
      <c r="D825" s="102"/>
      <c r="E825" s="102"/>
      <c r="F825" s="102"/>
      <c r="G825" s="102"/>
      <c r="H825" s="102"/>
      <c r="I825" s="103"/>
      <c r="J825" s="103"/>
      <c r="K825" s="2" t="s">
        <v>244</v>
      </c>
      <c r="L825" s="100">
        <v>44692.0</v>
      </c>
      <c r="M825" s="101">
        <v>0.5025231481481481</v>
      </c>
      <c r="P825" s="104" t="b">
        <f>IFNA(IF(VLOOKUP($A825,'Add from APT'!$AA$2:$AC826,3,FALSE)&gt;0,TRUE,FALSE),"ER - NOT IN APT")</f>
        <v>0</v>
      </c>
      <c r="Q825" s="105" t="str">
        <f>IF(ISLOGICAL(P825),IF(P825,"ER - REPS IN APT", IFNA(VLOOKUP($A825,RAW_APT!$A$3:$M826,7,FALSE),"ER - NOT IN APT")),P825)</f>
        <v>Result</v>
      </c>
      <c r="R825" s="106" t="b">
        <f t="shared" si="2"/>
        <v>1</v>
      </c>
      <c r="S825" s="107">
        <f t="shared" si="3"/>
        <v>1</v>
      </c>
      <c r="T825" s="143"/>
      <c r="U825" s="142"/>
      <c r="V825" s="142"/>
      <c r="W825" s="142"/>
      <c r="X825" s="110" t="b">
        <f t="shared" si="4"/>
        <v>0</v>
      </c>
      <c r="Y825" s="111" t="b">
        <v>0</v>
      </c>
      <c r="Z825" s="104" t="str">
        <f t="shared" si="5"/>
        <v/>
      </c>
      <c r="AA825" s="112" t="b">
        <f t="shared" si="6"/>
        <v>0</v>
      </c>
      <c r="AB825" s="142" t="b">
        <v>0</v>
      </c>
      <c r="AC825" s="140">
        <v>1.0</v>
      </c>
      <c r="AD825" s="141" t="b">
        <v>0</v>
      </c>
      <c r="AE825" s="115">
        <f t="shared" si="7"/>
        <v>225.8833333</v>
      </c>
      <c r="AF825" s="116" t="b">
        <f t="shared" si="8"/>
        <v>0</v>
      </c>
      <c r="AG825" s="105" t="b">
        <f t="shared" si="9"/>
        <v>0</v>
      </c>
      <c r="AH825" s="140"/>
      <c r="AI825" s="140"/>
      <c r="AJ825" s="140"/>
      <c r="AK825" s="117" t="str">
        <f t="shared" si="10"/>
        <v>Negative</v>
      </c>
      <c r="AL825" s="142"/>
      <c r="AM825" s="112" t="s">
        <v>881</v>
      </c>
      <c r="AN825" s="112" t="s">
        <v>655</v>
      </c>
      <c r="AO825" s="112" t="str">
        <f>IFERROR(__xludf.DUMMYFUNCTION("IF($AG825, ""DELETED"",TRIM(JOIN("" "",D825:E825)))"),"")</f>
        <v/>
      </c>
      <c r="AP825" s="112" t="str">
        <f t="shared" ref="AP825:AQ825" si="851">IF($AG825, "DELETED", TRIM(CONCATENATE(F825,I825,U825)))</f>
        <v/>
      </c>
      <c r="AQ825" s="112" t="str">
        <f t="shared" si="851"/>
        <v/>
      </c>
      <c r="AR825" s="112" t="str">
        <f>IFERROR(__xludf.DUMMYFUNCTION("IF($AG825, ""DELETED"", TRIM(JOIN("" "",AP825,AQ825)))"),"")</f>
        <v/>
      </c>
      <c r="AS825" s="118"/>
      <c r="AT825" s="110" t="b">
        <f t="shared" si="12"/>
        <v>0</v>
      </c>
      <c r="AU825" s="110" t="str">
        <f t="shared" si="13"/>
        <v/>
      </c>
      <c r="AV825" s="110" t="str">
        <f t="shared" si="14"/>
        <v/>
      </c>
      <c r="AW825" s="110" t="str">
        <f t="shared" si="15"/>
        <v/>
      </c>
      <c r="AX825" s="119" t="str">
        <f t="shared" si="16"/>
        <v/>
      </c>
      <c r="AY825" s="120"/>
      <c r="AZ825" s="121"/>
      <c r="BA825" s="122" t="str">
        <f t="shared" si="17"/>
        <v/>
      </c>
      <c r="BB825" s="34"/>
      <c r="BC825" s="121"/>
      <c r="BD825" s="136"/>
      <c r="BE825" s="125" t="str">
        <f t="shared" si="18"/>
        <v/>
      </c>
      <c r="BF825" s="126" t="str">
        <f t="shared" si="19"/>
        <v>FM512__44692_0.345659722222222</v>
      </c>
      <c r="BG825" s="127" t="str">
        <f t="shared" si="20"/>
        <v/>
      </c>
      <c r="BH825" s="137"/>
      <c r="BI825" s="128" t="str">
        <f t="shared" si="21"/>
        <v/>
      </c>
      <c r="BJ825" s="129" t="b">
        <f t="shared" si="740"/>
        <v>0</v>
      </c>
      <c r="BK825" s="128" t="str">
        <f t="shared" si="23"/>
        <v/>
      </c>
      <c r="BL825" s="121"/>
      <c r="BM825" s="5" t="str">
        <f t="shared" si="24"/>
        <v>MISSING</v>
      </c>
      <c r="BN825" s="120" t="b">
        <f t="shared" si="25"/>
        <v>0</v>
      </c>
      <c r="BO825" s="131" t="b">
        <f t="shared" si="26"/>
        <v>1</v>
      </c>
      <c r="BP825" s="121"/>
      <c r="BQ825" s="132" t="str">
        <f>VLOOKUP(A825,RAW_APS!A$3:O826,15,FALSE)</f>
        <v/>
      </c>
      <c r="BR825" s="120" t="b">
        <f t="shared" si="27"/>
        <v>1</v>
      </c>
      <c r="BS825" s="121"/>
      <c r="BT825" s="138" t="s">
        <v>244</v>
      </c>
      <c r="BU825" s="10" t="b">
        <f t="shared" si="28"/>
        <v>1</v>
      </c>
      <c r="BV825" s="120"/>
      <c r="BW825" s="120"/>
      <c r="BX825" s="120"/>
      <c r="BY825" s="120"/>
      <c r="BZ825" s="120"/>
      <c r="CA825" s="120"/>
      <c r="CB825" s="120"/>
      <c r="CC825" s="120"/>
    </row>
    <row r="826">
      <c r="A826" s="2" t="s">
        <v>2182</v>
      </c>
      <c r="B826" s="11"/>
      <c r="C826" s="11"/>
      <c r="D826" s="102"/>
      <c r="E826" s="102"/>
      <c r="F826" s="102"/>
      <c r="G826" s="102"/>
      <c r="H826" s="102"/>
      <c r="I826" s="103"/>
      <c r="J826" s="103"/>
      <c r="K826" s="2" t="s">
        <v>254</v>
      </c>
      <c r="L826" s="11"/>
      <c r="M826" s="11"/>
      <c r="N826" s="11"/>
      <c r="O826" s="11"/>
      <c r="P826" s="104" t="b">
        <f>IFNA(IF(VLOOKUP($A826,'Add from APT'!$AA$2:$AC826,3,FALSE)&gt;0,TRUE,FALSE),"ER - NOT IN APT")</f>
        <v>0</v>
      </c>
      <c r="Q826" s="105" t="str">
        <f>IF(ISLOGICAL(P826),IF(P826,"ER - REPS IN APT", IFNA(VLOOKUP($A826,RAW_APT!$A$3:$M826,7,FALSE),"ER - NOT IN APT")),P826)</f>
        <v>Incomplete</v>
      </c>
      <c r="R826" s="106" t="b">
        <f t="shared" si="2"/>
        <v>1</v>
      </c>
      <c r="S826" s="107">
        <f t="shared" si="3"/>
        <v>1</v>
      </c>
      <c r="T826" s="108"/>
      <c r="U826" s="109"/>
      <c r="V826" s="109"/>
      <c r="W826" s="109"/>
      <c r="X826" s="110" t="b">
        <f t="shared" si="4"/>
        <v>0</v>
      </c>
      <c r="Y826" s="111" t="b">
        <v>0</v>
      </c>
      <c r="Z826" s="104" t="str">
        <f t="shared" si="5"/>
        <v/>
      </c>
      <c r="AA826" s="112" t="b">
        <f t="shared" si="6"/>
        <v>0</v>
      </c>
      <c r="AB826" s="109" t="b">
        <v>0</v>
      </c>
      <c r="AC826" s="113">
        <v>71.0</v>
      </c>
      <c r="AD826" s="114" t="b">
        <v>0</v>
      </c>
      <c r="AE826" s="115" t="str">
        <f t="shared" si="7"/>
        <v/>
      </c>
      <c r="AF826" s="116" t="b">
        <f t="shared" si="8"/>
        <v>0</v>
      </c>
      <c r="AG826" s="105" t="b">
        <f t="shared" si="9"/>
        <v>1</v>
      </c>
      <c r="AH826" s="113">
        <v>9.0</v>
      </c>
      <c r="AI826" s="113"/>
      <c r="AJ826" s="113"/>
      <c r="AK826" s="117" t="str">
        <f t="shared" si="10"/>
        <v>DELETED</v>
      </c>
      <c r="AL826" s="114" t="s">
        <v>2183</v>
      </c>
      <c r="AM826" s="112" t="s">
        <v>245</v>
      </c>
      <c r="AN826" s="112" t="s">
        <v>245</v>
      </c>
      <c r="AO826" s="112" t="str">
        <f>IFERROR(__xludf.DUMMYFUNCTION("IF($AG826, ""DELETED"",TRIM(JOIN("" "",D826:E826)))"),"DELETED")</f>
        <v>DELETED</v>
      </c>
      <c r="AP826" s="112" t="str">
        <f t="shared" ref="AP826:AQ826" si="852">IF($AG826, "DELETED", TRIM(CONCATENATE(F826,I826,U826)))</f>
        <v>DELETED</v>
      </c>
      <c r="AQ826" s="112" t="str">
        <f t="shared" si="852"/>
        <v>DELETED</v>
      </c>
      <c r="AR826" s="112" t="str">
        <f>IFERROR(__xludf.DUMMYFUNCTION("IF($AG826, ""DELETED"", TRIM(JOIN("" "",AP826,AQ826)))"),"DELETED")</f>
        <v>DELETED</v>
      </c>
      <c r="AS826" s="118"/>
      <c r="AT826" s="110" t="b">
        <f t="shared" si="12"/>
        <v>1</v>
      </c>
      <c r="AU826" s="110" t="str">
        <f t="shared" si="13"/>
        <v/>
      </c>
      <c r="AV826" s="110" t="str">
        <f t="shared" si="14"/>
        <v/>
      </c>
      <c r="AW826" s="110" t="str">
        <f t="shared" si="15"/>
        <v/>
      </c>
      <c r="AX826" s="119" t="str">
        <f t="shared" si="16"/>
        <v/>
      </c>
      <c r="AY826" s="120"/>
      <c r="AZ826" s="121"/>
      <c r="BA826" s="122" t="b">
        <f t="shared" si="17"/>
        <v>1</v>
      </c>
      <c r="BB826" s="34"/>
      <c r="BC826" s="121"/>
      <c r="BD826" s="136"/>
      <c r="BE826" s="125" t="str">
        <f t="shared" si="18"/>
        <v/>
      </c>
      <c r="BF826" s="126" t="str">
        <f t="shared" si="19"/>
        <v>MN3330___</v>
      </c>
      <c r="BG826" s="127" t="str">
        <f t="shared" si="20"/>
        <v/>
      </c>
      <c r="BH826" s="137"/>
      <c r="BI826" s="128" t="str">
        <f t="shared" si="21"/>
        <v/>
      </c>
      <c r="BJ826" s="129" t="b">
        <f t="shared" si="740"/>
        <v>0</v>
      </c>
      <c r="BK826" s="128" t="str">
        <f t="shared" si="23"/>
        <v/>
      </c>
      <c r="BL826" s="121"/>
      <c r="BM826" s="5" t="str">
        <f t="shared" si="24"/>
        <v/>
      </c>
      <c r="BN826" s="120" t="b">
        <f t="shared" si="25"/>
        <v>0</v>
      </c>
      <c r="BO826" s="131" t="b">
        <f t="shared" si="26"/>
        <v>0</v>
      </c>
      <c r="BP826" s="121"/>
      <c r="BQ826" s="132" t="str">
        <f>VLOOKUP(A826,RAW_APS!A$3:O826,15,FALSE)</f>
        <v/>
      </c>
      <c r="BR826" s="120" t="b">
        <f t="shared" si="27"/>
        <v>1</v>
      </c>
      <c r="BS826" s="121"/>
      <c r="BT826" s="138" t="s">
        <v>245</v>
      </c>
      <c r="BU826" s="10" t="b">
        <f t="shared" si="28"/>
        <v>1</v>
      </c>
      <c r="BV826" s="120"/>
      <c r="BW826" s="120"/>
      <c r="BX826" s="120"/>
      <c r="BY826" s="120"/>
      <c r="BZ826" s="120"/>
      <c r="CA826" s="120"/>
      <c r="CB826" s="120"/>
      <c r="CC826" s="120"/>
    </row>
  </sheetData>
  <customSheetViews>
    <customSheetView guid="{175D1447-8185-4C6D-8D8E-F18964270594}" filter="1" showAutoFilter="1">
      <autoFilter ref="$K$1:$K$826"/>
    </customSheetView>
  </customSheetViews>
  <conditionalFormatting sqref="AT2:AT826">
    <cfRule type="cellIs" dxfId="0" priority="1" operator="equal">
      <formula>"FALSE"</formula>
    </cfRule>
  </conditionalFormatting>
  <conditionalFormatting sqref="AU2:AW826">
    <cfRule type="cellIs" dxfId="0" priority="2" operator="greaterThan">
      <formula>1</formula>
    </cfRule>
  </conditionalFormatting>
  <conditionalFormatting sqref="P2:Q826">
    <cfRule type="containsText" dxfId="2" priority="3" operator="containsText" text="ER">
      <formula>NOT(ISERROR(SEARCH(("ER"),(P2))))</formula>
    </cfRule>
  </conditionalFormatting>
  <conditionalFormatting sqref="P1:P826">
    <cfRule type="cellIs" dxfId="3" priority="4" operator="equal">
      <formula>"TRUE"</formula>
    </cfRule>
  </conditionalFormatting>
  <conditionalFormatting sqref="X1 AF1 AT1">
    <cfRule type="containsText" dxfId="0" priority="5" operator="containsText" text="ERROR">
      <formula>NOT(ISERROR(SEARCH(("ERROR"),(X1))))</formula>
    </cfRule>
  </conditionalFormatting>
  <conditionalFormatting sqref="X2:X826">
    <cfRule type="containsText" dxfId="0" priority="6" operator="containsText" text="ER">
      <formula>NOT(ISERROR(SEARCH(("ER"),(X2))))</formula>
    </cfRule>
  </conditionalFormatting>
  <conditionalFormatting sqref="AF2:AF826">
    <cfRule type="cellIs" dxfId="0" priority="7" operator="equal">
      <formula>"TRUE"</formula>
    </cfRule>
  </conditionalFormatting>
  <conditionalFormatting sqref="AT1 X1 AF1">
    <cfRule type="notContainsText" dxfId="1" priority="8" operator="notContains" text="ERROR">
      <formula>ISERROR(SEARCH(("ERROR"),(AT1)))</formula>
    </cfRule>
  </conditionalFormatting>
  <conditionalFormatting sqref="BA2:BA826">
    <cfRule type="cellIs" dxfId="4" priority="9" operator="equal">
      <formula>"TRUE"</formula>
    </cfRule>
  </conditionalFormatting>
  <conditionalFormatting sqref="A2:N826 O2:O239 AH2:AJ826 O241:O826 U242:V242">
    <cfRule type="expression" dxfId="4" priority="10">
      <formula>$BA2</formula>
    </cfRule>
  </conditionalFormatting>
  <conditionalFormatting sqref="BR1:BR826">
    <cfRule type="containsText" dxfId="0" priority="11" operator="containsText" text="FALSE">
      <formula>NOT(ISERROR(SEARCH(("FALSE"),(BR1))))</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4" max="4" width="14.13"/>
    <col customWidth="1" min="11" max="11" width="11.5"/>
    <col customWidth="1" min="12" max="12" width="10.5"/>
    <col customWidth="1" min="13" max="13" width="8.25"/>
    <col customWidth="1" min="14" max="14" width="16.5"/>
    <col customWidth="1" min="15" max="15" width="21.13"/>
    <col customWidth="1" min="16" max="16" width="11.25"/>
    <col customWidth="1" min="17" max="17" width="13.75"/>
    <col customWidth="1" min="18" max="20" width="8.25"/>
    <col customWidth="1" min="21" max="21" width="15.75"/>
    <col customWidth="1" min="22" max="22" width="15.38"/>
    <col customWidth="1" min="23" max="23" width="19.5"/>
    <col customWidth="1" min="24" max="24" width="9.38"/>
    <col customWidth="1" min="25" max="25" width="8.75" outlineLevel="1"/>
    <col customWidth="1" min="26" max="26" width="8.38" outlineLevel="1"/>
    <col customWidth="1" min="27" max="27" width="10.13" outlineLevel="1"/>
    <col customWidth="1" min="28" max="28" width="8.88" outlineLevel="1"/>
    <col customWidth="1" min="29" max="29" width="8.0" outlineLevel="1"/>
    <col customWidth="1" min="30" max="30" width="9.5" outlineLevel="1"/>
    <col customWidth="1" min="31" max="32" width="10.88" outlineLevel="1"/>
    <col customWidth="1" min="33" max="33" width="10.25" outlineLevel="1"/>
    <col customWidth="1" min="34" max="34" width="7.13" outlineLevel="1"/>
    <col customWidth="1" min="35" max="35" width="7.5" outlineLevel="1"/>
    <col customWidth="1" min="36" max="36" width="9.38" outlineLevel="1"/>
    <col customWidth="1" min="37" max="37" width="9.63" outlineLevel="1"/>
    <col customWidth="1" min="38" max="38" width="26.38" outlineLevel="1"/>
    <col customWidth="1" min="39" max="39" width="20.38" outlineLevel="1"/>
    <col customWidth="1" min="40" max="40" width="20.88" outlineLevel="1"/>
    <col customWidth="1" min="41" max="41" width="19.75"/>
    <col customWidth="1" min="42" max="42" width="13.25"/>
    <col customWidth="1" min="43" max="43" width="14.88"/>
    <col customWidth="1" min="44" max="44" width="19.25"/>
    <col customWidth="1" min="45" max="45" width="8.63"/>
    <col customWidth="1" min="46" max="46" width="13.63"/>
    <col customWidth="1" min="47" max="47" width="10.88"/>
    <col customWidth="1" min="48" max="48" width="11.5"/>
    <col customWidth="1" min="49" max="49" width="7.38"/>
    <col customWidth="1" min="50" max="50" width="15.25"/>
    <col customWidth="1" min="51" max="82" width="5.5"/>
  </cols>
  <sheetData>
    <row r="1">
      <c r="A1" s="74" t="str">
        <f>preDEL!A$1</f>
        <v>TUBE ID</v>
      </c>
      <c r="B1" s="74" t="str">
        <f>preDEL!B$1</f>
        <v>COLLECTION DATE</v>
      </c>
      <c r="C1" s="74" t="str">
        <f>preDEL!C$1</f>
        <v>COLLECTION TIME</v>
      </c>
      <c r="D1" s="74" t="str">
        <f>preDEL!D$1</f>
        <v>SPONSOR FIRSTNAME</v>
      </c>
      <c r="E1" s="74" t="str">
        <f>preDEL!E$1</f>
        <v>SPONSOR LASTNAME</v>
      </c>
      <c r="F1" s="74" t="str">
        <f>preDEL!F$1</f>
        <v>PARTICIPANT FIRSTNAME</v>
      </c>
      <c r="G1" s="74" t="str">
        <f>preDEL!G$1</f>
        <v>PARTICIPANT LASTNAME</v>
      </c>
      <c r="H1" s="74" t="str">
        <f>preDEL!H$1</f>
        <v>PARTICIPANT EMAIL</v>
      </c>
      <c r="I1" s="74" t="str">
        <f>preDEL!I$1</f>
        <v>MINOR FIRSTNAME</v>
      </c>
      <c r="J1" s="74" t="str">
        <f>preDEL!J$1</f>
        <v>MINOR LASTNAME</v>
      </c>
      <c r="K1" s="74" t="str">
        <f>preDEL!K$1</f>
        <v>APP
RESULT</v>
      </c>
      <c r="L1" s="74" t="str">
        <f>preDEL!L$1</f>
        <v>RESULT DATE</v>
      </c>
      <c r="M1" s="74" t="str">
        <f>preDEL!M$1</f>
        <v>RESULT TIME</v>
      </c>
      <c r="N1" s="74" t="str">
        <f>preDEL!N$1</f>
        <v>APP
GROUP</v>
      </c>
      <c r="O1" s="74" t="str">
        <f>preDEL!O$1</f>
        <v>NOTE</v>
      </c>
      <c r="P1" s="74" t="str">
        <f>preDEL!P$1</f>
        <v>REPS IN RAW_APT?</v>
      </c>
      <c r="Q1" s="74" t="str">
        <f>preDEL!Q$1</f>
        <v>STATUS</v>
      </c>
      <c r="R1" s="74" t="str">
        <f>preDEL!R$1</f>
        <v>Tube ID First Row?</v>
      </c>
      <c r="S1" s="74" t="str">
        <f>preDEL!S$1</f>
        <v>Num Tube IDs</v>
      </c>
      <c r="T1" s="74" t="str">
        <f>preDEL!T$1</f>
        <v>Add N Names</v>
      </c>
      <c r="U1" s="74" t="str">
        <f>preDEL!U$1</f>
        <v>NOTE FIRSTNAME</v>
      </c>
      <c r="V1" s="74" t="str">
        <f>preDEL!V$1</f>
        <v>NOTE LASTNAME</v>
      </c>
      <c r="W1" s="74" t="str">
        <f>preDEL!W$1</f>
        <v>Names Adjust</v>
      </c>
      <c r="X1" s="74" t="str">
        <f>preDEL!X$1</f>
        <v>Note Name?</v>
      </c>
      <c r="Y1" s="74" t="str">
        <f>preDEL!Y$1</f>
        <v>FRAN</v>
      </c>
      <c r="Z1" s="74" t="str">
        <f>preDEL!Z$1</f>
        <v>&gt;4 Samples</v>
      </c>
      <c r="AA1" s="74" t="str">
        <f>preDEL!AA$1</f>
        <v>Has Note?</v>
      </c>
      <c r="AB1" s="74" t="str">
        <f>preDEL!AB$1</f>
        <v>Preserve Note</v>
      </c>
      <c r="AC1" s="74" t="str">
        <f>preDEL!AC$1</f>
        <v>Initial Order</v>
      </c>
      <c r="AD1" s="74" t="str">
        <f>preDEL!AD$1</f>
        <v>Added from APT?</v>
      </c>
      <c r="AE1" s="74" t="str">
        <f>preDEL!AE$1</f>
        <v>Minutes Col to Result</v>
      </c>
      <c r="AF1" s="74" t="str">
        <f>preDEL!AF$1</f>
        <v>Tube IDs w Diff Times?</v>
      </c>
      <c r="AG1" s="74" t="str">
        <f>preDEL!AG$1</f>
        <v>Delete?</v>
      </c>
      <c r="AH1" s="74" t="str">
        <f>preDEL!AH$1</f>
        <v>Delete Code</v>
      </c>
      <c r="AI1" s="74" t="str">
        <f>preDEL!AI$1</f>
        <v>Basic Correct Code</v>
      </c>
      <c r="AJ1" s="74" t="str">
        <f>preDEL!AJ$1</f>
        <v>Result Correct Code</v>
      </c>
      <c r="AK1" s="74" t="str">
        <f>preDEL!AK$1</f>
        <v>FINAL RESULT</v>
      </c>
      <c r="AL1" s="74" t="str">
        <f>preDEL!AL$1</f>
        <v>Correction Notes</v>
      </c>
      <c r="AM1" s="74" t="str">
        <f>preDEL!AM$1</f>
        <v>Sponsor ID</v>
      </c>
      <c r="AN1" s="74" t="str">
        <f>preDEL!AN$1</f>
        <v>Participant ID</v>
      </c>
      <c r="AO1" s="74" t="str">
        <f>preDEL!AO$1</f>
        <v>Sponsor
FullName</v>
      </c>
      <c r="AP1" s="74" t="str">
        <f>preDEL!AP$1</f>
        <v>Combined Participant Firstname</v>
      </c>
      <c r="AQ1" s="74" t="str">
        <f>preDEL!AQ$1</f>
        <v>Combined Participant Lastname</v>
      </c>
      <c r="AR1" s="74" t="str">
        <f>preDEL!AR$1</f>
        <v>Combined Participant Fullname</v>
      </c>
      <c r="AS1" s="74" t="str">
        <f>preDEL!AS$1</f>
        <v>FINAL
GROUP</v>
      </c>
      <c r="AT1" s="74" t="str">
        <f>preDEL!AT$1</f>
        <v>ERROR!! NAME COLS CHECK? 767</v>
      </c>
      <c r="AU1" s="74" t="str">
        <f>preDEL!AU$1</f>
        <v>PARTCIP 
NAME COLS</v>
      </c>
      <c r="AV1" s="74" t="str">
        <f>preDEL!AV$1</f>
        <v>MINOR 
NAME COLS</v>
      </c>
      <c r="AW1" s="74" t="str">
        <f>preDEL!AW$1</f>
        <v>NOTE 
NAME COLS</v>
      </c>
      <c r="AX1" s="74" t="str">
        <f>preDEL!AX$1</f>
        <v>Note Name Extras - Rows Added Not Orig Tube ID Row</v>
      </c>
      <c r="AY1" s="74">
        <f>preDEL!AY$1</f>
        <v>0</v>
      </c>
      <c r="AZ1" s="169" t="s">
        <v>232</v>
      </c>
      <c r="BA1" s="169"/>
      <c r="BB1" s="169"/>
      <c r="BC1" s="169"/>
      <c r="BD1" s="169"/>
      <c r="BE1" s="169"/>
      <c r="BF1" s="169"/>
      <c r="BG1" s="169"/>
      <c r="BH1" s="169"/>
      <c r="BI1" s="169"/>
      <c r="BJ1" s="169"/>
      <c r="BK1" s="169"/>
      <c r="BL1" s="169"/>
      <c r="BM1" s="169"/>
      <c r="BN1" s="169"/>
      <c r="BO1" s="169"/>
      <c r="BP1" s="169"/>
      <c r="BQ1" s="169"/>
      <c r="BR1" s="169"/>
      <c r="BS1" s="169"/>
      <c r="BT1" s="169"/>
      <c r="BU1" s="169"/>
      <c r="BV1" s="169"/>
      <c r="BW1" s="169"/>
      <c r="BX1" s="169"/>
      <c r="BY1" s="169"/>
      <c r="BZ1" s="169"/>
      <c r="CA1" s="169"/>
      <c r="CB1" s="169"/>
      <c r="CC1" s="169"/>
      <c r="CD1" s="169"/>
    </row>
    <row r="2">
      <c r="A2" s="105" t="str">
        <f>IF(preDEL!$AG2,IFERROR(0/0,""),preDEL!A2)</f>
        <v/>
      </c>
      <c r="B2" s="170" t="str">
        <f>IF(preDEL!$AG2,IFERROR(0/0,""),preDEL!B2)</f>
        <v/>
      </c>
      <c r="C2" s="171" t="str">
        <f>IF(preDEL!$AG2,IFERROR(0/0,""),preDEL!C2)</f>
        <v/>
      </c>
      <c r="D2" s="105" t="str">
        <f>IF(preDEL!$AG2,IFERROR(0/0,""),preDEL!D2)</f>
        <v/>
      </c>
      <c r="E2" s="105" t="str">
        <f>IF(preDEL!$AG2,IFERROR(0/0,""),preDEL!E2)</f>
        <v/>
      </c>
      <c r="F2" s="112" t="str">
        <f>IF(preDEL!$AG2,IFERROR(0/0,""),preDEL!F2)</f>
        <v/>
      </c>
      <c r="G2" s="112" t="str">
        <f>IF(preDEL!$AG2,IFERROR(0/0,""),preDEL!G2)</f>
        <v/>
      </c>
      <c r="H2" s="112" t="str">
        <f>IF(preDEL!$AG2,IFERROR(0/0,""),preDEL!H2)</f>
        <v/>
      </c>
      <c r="I2" s="105" t="str">
        <f>IF(preDEL!$AG2,IFERROR(0/0,""),preDEL!I2)</f>
        <v/>
      </c>
      <c r="J2" s="105" t="str">
        <f>IF(preDEL!$AG2,IFERROR(0/0,""),preDEL!J2)</f>
        <v/>
      </c>
      <c r="K2" s="105" t="str">
        <f>IF(preDEL!$AG2,IFERROR(0/0,""),preDEL!K2)</f>
        <v/>
      </c>
      <c r="L2" s="170" t="str">
        <f>IF(preDEL!$AG2,IFERROR(0/0,""),preDEL!L2)</f>
        <v/>
      </c>
      <c r="M2" s="171" t="str">
        <f>IF(preDEL!$AG2,IFERROR(0/0,""),preDEL!M2)</f>
        <v/>
      </c>
      <c r="N2" s="112" t="str">
        <f>IF(preDEL!$AG2,IFERROR(0/0,""),preDEL!N2)</f>
        <v/>
      </c>
      <c r="O2" s="112" t="str">
        <f>IF(preDEL!$AG2,IFERROR(0/0,""),preDEL!O2)</f>
        <v/>
      </c>
      <c r="P2" s="110" t="str">
        <f>IF(preDEL!$AG2,IFERROR(0/0,""),preDEL!P2)</f>
        <v/>
      </c>
      <c r="Q2" s="110" t="str">
        <f>IF(preDEL!$AG2,IFERROR(0/0,""),preDEL!Q2)</f>
        <v/>
      </c>
      <c r="R2" s="104" t="str">
        <f>IF(preDEL!$AG2,IFERROR(0/0,""),preDEL!R2)</f>
        <v/>
      </c>
      <c r="S2" s="104" t="str">
        <f>IF(preDEL!$AG2,IFERROR(0/0,""),preDEL!S2)</f>
        <v/>
      </c>
      <c r="T2" s="110" t="str">
        <f>IF(preDEL!$AG2,IFERROR(0/0,""),preDEL!T2)</f>
        <v/>
      </c>
      <c r="U2" s="112" t="str">
        <f>IF(preDEL!$AG2,IFERROR(0/0,""),preDEL!U2)</f>
        <v/>
      </c>
      <c r="V2" s="105" t="str">
        <f>IF(preDEL!$AG2,IFERROR(0/0,""),preDEL!V2)</f>
        <v/>
      </c>
      <c r="W2" s="112" t="str">
        <f>IF(preDEL!$AG2,IFERROR(0/0,""),preDEL!W2)</f>
        <v/>
      </c>
      <c r="X2" s="104" t="str">
        <f>IF(preDEL!$AG2,IFERROR(0/0,""),preDEL!X2)</f>
        <v/>
      </c>
      <c r="Y2" s="110" t="str">
        <f>IF(preDEL!$AG2,IFERROR(0/0,""),preDEL!Y2)</f>
        <v/>
      </c>
      <c r="Z2" s="105" t="str">
        <f>IF(preDEL!$AG2,IFERROR(0/0,""),preDEL!Z2)</f>
        <v/>
      </c>
      <c r="AA2" s="110" t="str">
        <f>IF(preDEL!$AG2,IFERROR(0/0,""),preDEL!AA2)</f>
        <v/>
      </c>
      <c r="AB2" s="110" t="str">
        <f>IF(preDEL!$AG2,IFERROR(0/0,""),preDEL!AB2)</f>
        <v/>
      </c>
      <c r="AC2" s="172" t="str">
        <f>IF(preDEL!$AG2,IFERROR(0/0,""),preDEL!AC2)</f>
        <v/>
      </c>
      <c r="AD2" s="104" t="str">
        <f>IF(preDEL!$AG2,IFERROR(0/0,""),preDEL!AD2)</f>
        <v/>
      </c>
      <c r="AE2" s="173" t="str">
        <f>IF(preDEL!$AG2,IFERROR(0/0,""),preDEL!AE2)</f>
        <v/>
      </c>
      <c r="AF2" s="110" t="str">
        <f>IF(preDEL!$AG2,IFERROR(0/0,""),preDEL!AF2)</f>
        <v/>
      </c>
      <c r="AG2" s="110" t="str">
        <f>IF(preDEL!$AG2,IFERROR(0/0,""),preDEL!AG2)</f>
        <v/>
      </c>
      <c r="AH2" s="104" t="str">
        <f>IF(preDEL!$AG2,IFERROR(0/0,""),preDEL!AH2)</f>
        <v/>
      </c>
      <c r="AI2" s="105" t="str">
        <f>IF(preDEL!$AG2,IFERROR(0/0,""),preDEL!AI2)</f>
        <v/>
      </c>
      <c r="AJ2" s="112" t="str">
        <f>IF(preDEL!$AG2,IFERROR(0/0,""),preDEL!AJ2)</f>
        <v/>
      </c>
      <c r="AK2" s="105" t="str">
        <f>IF(preDEL!$AG2,IFERROR(0/0,""),preDEL!AK2)</f>
        <v/>
      </c>
      <c r="AL2" s="112" t="str">
        <f>IF(preDEL!$AG2,IFERROR(0/0,""),preDEL!AL2)</f>
        <v/>
      </c>
      <c r="AM2" s="112" t="str">
        <f>IF(preDEL!$AG2,IFERROR(0/0,""),preDEL!AM2)</f>
        <v/>
      </c>
      <c r="AN2" s="112" t="str">
        <f>IF(preDEL!$AG2,IFERROR(0/0,""),preDEL!AN2)</f>
        <v/>
      </c>
      <c r="AO2" s="112" t="str">
        <f>IF(preDEL!$AG2,IFERROR(0/0,""),preDEL!AO2)</f>
        <v/>
      </c>
      <c r="AP2" s="112" t="str">
        <f>IF(preDEL!$AG2,IFERROR(0/0,""),preDEL!AP2)</f>
        <v/>
      </c>
      <c r="AQ2" s="112" t="str">
        <f>IF(preDEL!$AG2,IFERROR(0/0,""),preDEL!AQ2)</f>
        <v/>
      </c>
      <c r="AR2" s="112" t="str">
        <f>IF(preDEL!$AG2,IFERROR(0/0,""),preDEL!AR2)</f>
        <v/>
      </c>
      <c r="AS2" s="112" t="str">
        <f>IF(preDEL!$AG2,IFERROR(0/0,""),preDEL!AS2)</f>
        <v/>
      </c>
      <c r="AT2" s="112" t="str">
        <f>IF(preDEL!$AG2,IFERROR(0/0,""),preDEL!AT2)</f>
        <v/>
      </c>
      <c r="AU2" s="112" t="str">
        <f>IF(preDEL!$AG2,IFERROR(0/0,""),preDEL!AU2)</f>
        <v/>
      </c>
      <c r="AV2" s="112" t="str">
        <f>IF(preDEL!$AG2,IFERROR(0/0,""),preDEL!AV2)</f>
        <v/>
      </c>
      <c r="AW2" s="112" t="str">
        <f>IF(preDEL!$AG2,IFERROR(0/0,""),preDEL!AW2)</f>
        <v/>
      </c>
      <c r="AX2" s="112" t="str">
        <f>IF(preDEL!$AG2,IFERROR(0/0,""),preDEL!AX2)</f>
        <v/>
      </c>
      <c r="AY2" s="112" t="str">
        <f>IF(preDEL!$AG2,IFERROR(0/0,""),preDEL!AY2)</f>
        <v/>
      </c>
      <c r="AZ2" s="174"/>
      <c r="BA2" s="174"/>
      <c r="BB2" s="174"/>
      <c r="BC2" s="174"/>
      <c r="BD2" s="174"/>
      <c r="BE2" s="174"/>
      <c r="BF2" s="174"/>
      <c r="BG2" s="174"/>
      <c r="BH2" s="174"/>
      <c r="BI2" s="174"/>
      <c r="BJ2" s="174"/>
      <c r="BK2" s="174"/>
      <c r="BL2" s="174"/>
      <c r="BM2" s="174"/>
      <c r="BN2" s="174"/>
      <c r="BO2" s="174"/>
      <c r="BP2" s="174"/>
      <c r="BQ2" s="174"/>
      <c r="BR2" s="174"/>
      <c r="BS2" s="174"/>
      <c r="BT2" s="174"/>
      <c r="BU2" s="174"/>
      <c r="BV2" s="174"/>
      <c r="BW2" s="174"/>
      <c r="BX2" s="174"/>
      <c r="BY2" s="174"/>
      <c r="BZ2" s="174"/>
      <c r="CA2" s="174"/>
      <c r="CB2" s="174"/>
      <c r="CC2" s="174"/>
      <c r="CD2" s="174"/>
    </row>
    <row r="3">
      <c r="A3" s="105" t="str">
        <f>IF(preDEL!$AG3,IFERROR(0/0,""),preDEL!A3)</f>
        <v/>
      </c>
      <c r="B3" s="170" t="str">
        <f>IF(preDEL!$AG3,IFERROR(0/0,""),preDEL!B3)</f>
        <v/>
      </c>
      <c r="C3" s="171" t="str">
        <f>IF(preDEL!$AG3,IFERROR(0/0,""),preDEL!C3)</f>
        <v/>
      </c>
      <c r="D3" s="105" t="str">
        <f>IF(preDEL!$AG3,IFERROR(0/0,""),preDEL!D3)</f>
        <v/>
      </c>
      <c r="E3" s="105" t="str">
        <f>IF(preDEL!$AG3,IFERROR(0/0,""),preDEL!E3)</f>
        <v/>
      </c>
      <c r="F3" s="112" t="str">
        <f>IF(preDEL!$AG3,IFERROR(0/0,""),preDEL!F3)</f>
        <v/>
      </c>
      <c r="G3" s="112" t="str">
        <f>IF(preDEL!$AG3,IFERROR(0/0,""),preDEL!G3)</f>
        <v/>
      </c>
      <c r="H3" s="112" t="str">
        <f>IF(preDEL!$AG3,IFERROR(0/0,""),preDEL!H3)</f>
        <v/>
      </c>
      <c r="I3" s="105" t="str">
        <f>IF(preDEL!$AG3,IFERROR(0/0,""),preDEL!I3)</f>
        <v/>
      </c>
      <c r="J3" s="105" t="str">
        <f>IF(preDEL!$AG3,IFERROR(0/0,""),preDEL!J3)</f>
        <v/>
      </c>
      <c r="K3" s="105" t="str">
        <f>IF(preDEL!$AG3,IFERROR(0/0,""),preDEL!K3)</f>
        <v/>
      </c>
      <c r="L3" s="170" t="str">
        <f>IF(preDEL!$AG3,IFERROR(0/0,""),preDEL!L3)</f>
        <v/>
      </c>
      <c r="M3" s="171" t="str">
        <f>IF(preDEL!$AG3,IFERROR(0/0,""),preDEL!M3)</f>
        <v/>
      </c>
      <c r="N3" s="112" t="str">
        <f>IF(preDEL!$AG3,IFERROR(0/0,""),preDEL!N3)</f>
        <v/>
      </c>
      <c r="O3" s="112" t="str">
        <f>IF(preDEL!$AG3,IFERROR(0/0,""),preDEL!O3)</f>
        <v/>
      </c>
      <c r="P3" s="110" t="str">
        <f>IF(preDEL!$AG3,IFERROR(0/0,""),preDEL!P3)</f>
        <v/>
      </c>
      <c r="Q3" s="110" t="str">
        <f>IF(preDEL!$AG3,IFERROR(0/0,""),preDEL!Q3)</f>
        <v/>
      </c>
      <c r="R3" s="104" t="str">
        <f>IF(preDEL!$AG3,IFERROR(0/0,""),preDEL!R3)</f>
        <v/>
      </c>
      <c r="S3" s="104" t="str">
        <f>IF(preDEL!$AG3,IFERROR(0/0,""),preDEL!S3)</f>
        <v/>
      </c>
      <c r="T3" s="110" t="str">
        <f>IF(preDEL!$AG3,IFERROR(0/0,""),preDEL!T3)</f>
        <v/>
      </c>
      <c r="U3" s="112" t="str">
        <f>IF(preDEL!$AG3,IFERROR(0/0,""),preDEL!U3)</f>
        <v/>
      </c>
      <c r="V3" s="105" t="str">
        <f>IF(preDEL!$AG3,IFERROR(0/0,""),preDEL!V3)</f>
        <v/>
      </c>
      <c r="W3" s="112" t="str">
        <f>IF(preDEL!$AG3,IFERROR(0/0,""),preDEL!W3)</f>
        <v/>
      </c>
      <c r="X3" s="104" t="str">
        <f>IF(preDEL!$AG3,IFERROR(0/0,""),preDEL!X3)</f>
        <v/>
      </c>
      <c r="Y3" s="110" t="str">
        <f>IF(preDEL!$AG3,IFERROR(0/0,""),preDEL!Y3)</f>
        <v/>
      </c>
      <c r="Z3" s="105" t="str">
        <f>IF(preDEL!$AG3,IFERROR(0/0,""),preDEL!Z3)</f>
        <v/>
      </c>
      <c r="AA3" s="110" t="str">
        <f>IF(preDEL!$AG3,IFERROR(0/0,""),preDEL!AA3)</f>
        <v/>
      </c>
      <c r="AB3" s="110" t="str">
        <f>IF(preDEL!$AG3,IFERROR(0/0,""),preDEL!AB3)</f>
        <v/>
      </c>
      <c r="AC3" s="172" t="str">
        <f>IF(preDEL!$AG3,IFERROR(0/0,""),preDEL!AC3)</f>
        <v/>
      </c>
      <c r="AD3" s="104" t="str">
        <f>IF(preDEL!$AG3,IFERROR(0/0,""),preDEL!AD3)</f>
        <v/>
      </c>
      <c r="AE3" s="173" t="str">
        <f>IF(preDEL!$AG3,IFERROR(0/0,""),preDEL!AE3)</f>
        <v/>
      </c>
      <c r="AF3" s="110" t="str">
        <f>IF(preDEL!$AG3,IFERROR(0/0,""),preDEL!AF3)</f>
        <v/>
      </c>
      <c r="AG3" s="110" t="str">
        <f>IF(preDEL!$AG3,IFERROR(0/0,""),preDEL!AG3)</f>
        <v/>
      </c>
      <c r="AH3" s="104" t="str">
        <f>IF(preDEL!$AG3,IFERROR(0/0,""),preDEL!AH3)</f>
        <v/>
      </c>
      <c r="AI3" s="105" t="str">
        <f>IF(preDEL!$AG3,IFERROR(0/0,""),preDEL!AI3)</f>
        <v/>
      </c>
      <c r="AJ3" s="112" t="str">
        <f>IF(preDEL!$AG3,IFERROR(0/0,""),preDEL!AJ3)</f>
        <v/>
      </c>
      <c r="AK3" s="105" t="str">
        <f>IF(preDEL!$AG3,IFERROR(0/0,""),preDEL!AK3)</f>
        <v/>
      </c>
      <c r="AL3" s="112" t="str">
        <f>IF(preDEL!$AG3,IFERROR(0/0,""),preDEL!AL3)</f>
        <v/>
      </c>
      <c r="AM3" s="112" t="str">
        <f>IF(preDEL!$AG3,IFERROR(0/0,""),preDEL!AM3)</f>
        <v/>
      </c>
      <c r="AN3" s="112" t="str">
        <f>IF(preDEL!$AG3,IFERROR(0/0,""),preDEL!AN3)</f>
        <v/>
      </c>
      <c r="AO3" s="112" t="str">
        <f>IF(preDEL!$AG3,IFERROR(0/0,""),preDEL!AO3)</f>
        <v/>
      </c>
      <c r="AP3" s="112" t="str">
        <f>IF(preDEL!$AG3,IFERROR(0/0,""),preDEL!AP3)</f>
        <v/>
      </c>
      <c r="AQ3" s="112" t="str">
        <f>IF(preDEL!$AG3,IFERROR(0/0,""),preDEL!AQ3)</f>
        <v/>
      </c>
      <c r="AR3" s="112" t="str">
        <f>IF(preDEL!$AG3,IFERROR(0/0,""),preDEL!AR3)</f>
        <v/>
      </c>
      <c r="AS3" s="112" t="str">
        <f>IF(preDEL!$AG3,IFERROR(0/0,""),preDEL!AS3)</f>
        <v/>
      </c>
      <c r="AT3" s="112" t="str">
        <f>IF(preDEL!$AG3,IFERROR(0/0,""),preDEL!AT3)</f>
        <v/>
      </c>
      <c r="AU3" s="112" t="str">
        <f>IF(preDEL!$AG3,IFERROR(0/0,""),preDEL!AU3)</f>
        <v/>
      </c>
      <c r="AV3" s="112" t="str">
        <f>IF(preDEL!$AG3,IFERROR(0/0,""),preDEL!AV3)</f>
        <v/>
      </c>
      <c r="AW3" s="112" t="str">
        <f>IF(preDEL!$AG3,IFERROR(0/0,""),preDEL!AW3)</f>
        <v/>
      </c>
      <c r="AX3" s="112" t="str">
        <f>IF(preDEL!$AG3,IFERROR(0/0,""),preDEL!AX3)</f>
        <v/>
      </c>
      <c r="AY3" s="112" t="str">
        <f>IF(preDEL!$AG3,IFERROR(0/0,""),preDEL!AY3)</f>
        <v/>
      </c>
      <c r="AZ3" s="174"/>
      <c r="BA3" s="174"/>
      <c r="BB3" s="174"/>
      <c r="BC3" s="174"/>
      <c r="BD3" s="174"/>
      <c r="BE3" s="174"/>
      <c r="BF3" s="174"/>
      <c r="BG3" s="174"/>
      <c r="BH3" s="174"/>
      <c r="BI3" s="174"/>
      <c r="BJ3" s="174"/>
      <c r="BK3" s="174"/>
      <c r="BL3" s="174"/>
      <c r="BM3" s="174"/>
      <c r="BN3" s="174"/>
      <c r="BO3" s="174"/>
      <c r="BP3" s="174"/>
      <c r="BQ3" s="174"/>
      <c r="BR3" s="174"/>
      <c r="BS3" s="174"/>
      <c r="BT3" s="174"/>
      <c r="BU3" s="174"/>
      <c r="BV3" s="174"/>
      <c r="BW3" s="174"/>
      <c r="BX3" s="174"/>
      <c r="BY3" s="174"/>
      <c r="BZ3" s="174"/>
      <c r="CA3" s="174"/>
      <c r="CB3" s="174"/>
      <c r="CC3" s="174"/>
      <c r="CD3" s="174"/>
    </row>
    <row r="4">
      <c r="A4" s="105" t="str">
        <f>IF(preDEL!$AG4,IFERROR(0/0,""),preDEL!A4)</f>
        <v/>
      </c>
      <c r="B4" s="170" t="str">
        <f>IF(preDEL!$AG4,IFERROR(0/0,""),preDEL!B4)</f>
        <v/>
      </c>
      <c r="C4" s="171" t="str">
        <f>IF(preDEL!$AG4,IFERROR(0/0,""),preDEL!C4)</f>
        <v/>
      </c>
      <c r="D4" s="105" t="str">
        <f>IF(preDEL!$AG4,IFERROR(0/0,""),preDEL!D4)</f>
        <v/>
      </c>
      <c r="E4" s="105" t="str">
        <f>IF(preDEL!$AG4,IFERROR(0/0,""),preDEL!E4)</f>
        <v/>
      </c>
      <c r="F4" s="112" t="str">
        <f>IF(preDEL!$AG4,IFERROR(0/0,""),preDEL!F4)</f>
        <v/>
      </c>
      <c r="G4" s="112" t="str">
        <f>IF(preDEL!$AG4,IFERROR(0/0,""),preDEL!G4)</f>
        <v/>
      </c>
      <c r="H4" s="112" t="str">
        <f>IF(preDEL!$AG4,IFERROR(0/0,""),preDEL!H4)</f>
        <v/>
      </c>
      <c r="I4" s="105" t="str">
        <f>IF(preDEL!$AG4,IFERROR(0/0,""),preDEL!I4)</f>
        <v/>
      </c>
      <c r="J4" s="105" t="str">
        <f>IF(preDEL!$AG4,IFERROR(0/0,""),preDEL!J4)</f>
        <v/>
      </c>
      <c r="K4" s="105" t="str">
        <f>IF(preDEL!$AG4,IFERROR(0/0,""),preDEL!K4)</f>
        <v/>
      </c>
      <c r="L4" s="170" t="str">
        <f>IF(preDEL!$AG4,IFERROR(0/0,""),preDEL!L4)</f>
        <v/>
      </c>
      <c r="M4" s="171" t="str">
        <f>IF(preDEL!$AG4,IFERROR(0/0,""),preDEL!M4)</f>
        <v/>
      </c>
      <c r="N4" s="112" t="str">
        <f>IF(preDEL!$AG4,IFERROR(0/0,""),preDEL!N4)</f>
        <v/>
      </c>
      <c r="O4" s="112" t="str">
        <f>IF(preDEL!$AG4,IFERROR(0/0,""),preDEL!O4)</f>
        <v/>
      </c>
      <c r="P4" s="110" t="str">
        <f>IF(preDEL!$AG4,IFERROR(0/0,""),preDEL!P4)</f>
        <v/>
      </c>
      <c r="Q4" s="110" t="str">
        <f>IF(preDEL!$AG4,IFERROR(0/0,""),preDEL!Q4)</f>
        <v/>
      </c>
      <c r="R4" s="104" t="str">
        <f>IF(preDEL!$AG4,IFERROR(0/0,""),preDEL!R4)</f>
        <v/>
      </c>
      <c r="S4" s="104" t="str">
        <f>IF(preDEL!$AG4,IFERROR(0/0,""),preDEL!S4)</f>
        <v/>
      </c>
      <c r="T4" s="110" t="str">
        <f>IF(preDEL!$AG4,IFERROR(0/0,""),preDEL!T4)</f>
        <v/>
      </c>
      <c r="U4" s="112" t="str">
        <f>IF(preDEL!$AG4,IFERROR(0/0,""),preDEL!U4)</f>
        <v/>
      </c>
      <c r="V4" s="105" t="str">
        <f>IF(preDEL!$AG4,IFERROR(0/0,""),preDEL!V4)</f>
        <v/>
      </c>
      <c r="W4" s="112" t="str">
        <f>IF(preDEL!$AG4,IFERROR(0/0,""),preDEL!W4)</f>
        <v/>
      </c>
      <c r="X4" s="104" t="str">
        <f>IF(preDEL!$AG4,IFERROR(0/0,""),preDEL!X4)</f>
        <v/>
      </c>
      <c r="Y4" s="110" t="str">
        <f>IF(preDEL!$AG4,IFERROR(0/0,""),preDEL!Y4)</f>
        <v/>
      </c>
      <c r="Z4" s="105" t="str">
        <f>IF(preDEL!$AG4,IFERROR(0/0,""),preDEL!Z4)</f>
        <v/>
      </c>
      <c r="AA4" s="110" t="str">
        <f>IF(preDEL!$AG4,IFERROR(0/0,""),preDEL!AA4)</f>
        <v/>
      </c>
      <c r="AB4" s="110" t="str">
        <f>IF(preDEL!$AG4,IFERROR(0/0,""),preDEL!AB4)</f>
        <v/>
      </c>
      <c r="AC4" s="172" t="str">
        <f>IF(preDEL!$AG4,IFERROR(0/0,""),preDEL!AC4)</f>
        <v/>
      </c>
      <c r="AD4" s="104" t="str">
        <f>IF(preDEL!$AG4,IFERROR(0/0,""),preDEL!AD4)</f>
        <v/>
      </c>
      <c r="AE4" s="173" t="str">
        <f>IF(preDEL!$AG4,IFERROR(0/0,""),preDEL!AE4)</f>
        <v/>
      </c>
      <c r="AF4" s="110" t="str">
        <f>IF(preDEL!$AG4,IFERROR(0/0,""),preDEL!AF4)</f>
        <v/>
      </c>
      <c r="AG4" s="110" t="str">
        <f>IF(preDEL!$AG4,IFERROR(0/0,""),preDEL!AG4)</f>
        <v/>
      </c>
      <c r="AH4" s="104" t="str">
        <f>IF(preDEL!$AG4,IFERROR(0/0,""),preDEL!AH4)</f>
        <v/>
      </c>
      <c r="AI4" s="105" t="str">
        <f>IF(preDEL!$AG4,IFERROR(0/0,""),preDEL!AI4)</f>
        <v/>
      </c>
      <c r="AJ4" s="112" t="str">
        <f>IF(preDEL!$AG4,IFERROR(0/0,""),preDEL!AJ4)</f>
        <v/>
      </c>
      <c r="AK4" s="105" t="str">
        <f>IF(preDEL!$AG4,IFERROR(0/0,""),preDEL!AK4)</f>
        <v/>
      </c>
      <c r="AL4" s="112" t="str">
        <f>IF(preDEL!$AG4,IFERROR(0/0,""),preDEL!AL4)</f>
        <v/>
      </c>
      <c r="AM4" s="112" t="str">
        <f>IF(preDEL!$AG4,IFERROR(0/0,""),preDEL!AM4)</f>
        <v/>
      </c>
      <c r="AN4" s="112" t="str">
        <f>IF(preDEL!$AG4,IFERROR(0/0,""),preDEL!AN4)</f>
        <v/>
      </c>
      <c r="AO4" s="112" t="str">
        <f>IF(preDEL!$AG4,IFERROR(0/0,""),preDEL!AO4)</f>
        <v/>
      </c>
      <c r="AP4" s="112" t="str">
        <f>IF(preDEL!$AG4,IFERROR(0/0,""),preDEL!AP4)</f>
        <v/>
      </c>
      <c r="AQ4" s="112" t="str">
        <f>IF(preDEL!$AG4,IFERROR(0/0,""),preDEL!AQ4)</f>
        <v/>
      </c>
      <c r="AR4" s="112" t="str">
        <f>IF(preDEL!$AG4,IFERROR(0/0,""),preDEL!AR4)</f>
        <v/>
      </c>
      <c r="AS4" s="112" t="str">
        <f>IF(preDEL!$AG4,IFERROR(0/0,""),preDEL!AS4)</f>
        <v/>
      </c>
      <c r="AT4" s="112" t="str">
        <f>IF(preDEL!$AG4,IFERROR(0/0,""),preDEL!AT4)</f>
        <v/>
      </c>
      <c r="AU4" s="112" t="str">
        <f>IF(preDEL!$AG4,IFERROR(0/0,""),preDEL!AU4)</f>
        <v/>
      </c>
      <c r="AV4" s="112" t="str">
        <f>IF(preDEL!$AG4,IFERROR(0/0,""),preDEL!AV4)</f>
        <v/>
      </c>
      <c r="AW4" s="112" t="str">
        <f>IF(preDEL!$AG4,IFERROR(0/0,""),preDEL!AW4)</f>
        <v/>
      </c>
      <c r="AX4" s="112" t="str">
        <f>IF(preDEL!$AG4,IFERROR(0/0,""),preDEL!AX4)</f>
        <v/>
      </c>
      <c r="AY4" s="112" t="str">
        <f>IF(preDEL!$AG4,IFERROR(0/0,""),preDEL!AY4)</f>
        <v/>
      </c>
      <c r="AZ4" s="174"/>
      <c r="BA4" s="174"/>
      <c r="BB4" s="174"/>
      <c r="BC4" s="174"/>
      <c r="BD4" s="174"/>
      <c r="BE4" s="174"/>
      <c r="BF4" s="174"/>
      <c r="BG4" s="174"/>
      <c r="BH4" s="174"/>
      <c r="BI4" s="174"/>
      <c r="BJ4" s="174"/>
      <c r="BK4" s="174"/>
      <c r="BL4" s="174"/>
      <c r="BM4" s="174"/>
      <c r="BN4" s="174"/>
      <c r="BO4" s="174"/>
      <c r="BP4" s="174"/>
      <c r="BQ4" s="174"/>
      <c r="BR4" s="174"/>
      <c r="BS4" s="174"/>
      <c r="BT4" s="174"/>
      <c r="BU4" s="174"/>
      <c r="BV4" s="174"/>
      <c r="BW4" s="174"/>
      <c r="BX4" s="174"/>
      <c r="BY4" s="174"/>
      <c r="BZ4" s="174"/>
      <c r="CA4" s="174"/>
      <c r="CB4" s="174"/>
      <c r="CC4" s="174"/>
      <c r="CD4" s="174"/>
    </row>
    <row r="5">
      <c r="A5" s="105" t="str">
        <f>IF(preDEL!$AG5,IFERROR(0/0,""),preDEL!A5)</f>
        <v/>
      </c>
      <c r="B5" s="170" t="str">
        <f>IF(preDEL!$AG5,IFERROR(0/0,""),preDEL!B5)</f>
        <v/>
      </c>
      <c r="C5" s="171" t="str">
        <f>IF(preDEL!$AG5,IFERROR(0/0,""),preDEL!C5)</f>
        <v/>
      </c>
      <c r="D5" s="105" t="str">
        <f>IF(preDEL!$AG5,IFERROR(0/0,""),preDEL!D5)</f>
        <v/>
      </c>
      <c r="E5" s="105" t="str">
        <f>IF(preDEL!$AG5,IFERROR(0/0,""),preDEL!E5)</f>
        <v/>
      </c>
      <c r="F5" s="112" t="str">
        <f>IF(preDEL!$AG5,IFERROR(0/0,""),preDEL!F5)</f>
        <v/>
      </c>
      <c r="G5" s="112" t="str">
        <f>IF(preDEL!$AG5,IFERROR(0/0,""),preDEL!G5)</f>
        <v/>
      </c>
      <c r="H5" s="112" t="str">
        <f>IF(preDEL!$AG5,IFERROR(0/0,""),preDEL!H5)</f>
        <v/>
      </c>
      <c r="I5" s="105" t="str">
        <f>IF(preDEL!$AG5,IFERROR(0/0,""),preDEL!I5)</f>
        <v/>
      </c>
      <c r="J5" s="105" t="str">
        <f>IF(preDEL!$AG5,IFERROR(0/0,""),preDEL!J5)</f>
        <v/>
      </c>
      <c r="K5" s="105" t="str">
        <f>IF(preDEL!$AG5,IFERROR(0/0,""),preDEL!K5)</f>
        <v/>
      </c>
      <c r="L5" s="170" t="str">
        <f>IF(preDEL!$AG5,IFERROR(0/0,""),preDEL!L5)</f>
        <v/>
      </c>
      <c r="M5" s="171" t="str">
        <f>IF(preDEL!$AG5,IFERROR(0/0,""),preDEL!M5)</f>
        <v/>
      </c>
      <c r="N5" s="112" t="str">
        <f>IF(preDEL!$AG5,IFERROR(0/0,""),preDEL!N5)</f>
        <v/>
      </c>
      <c r="O5" s="112" t="str">
        <f>IF(preDEL!$AG5,IFERROR(0/0,""),preDEL!O5)</f>
        <v/>
      </c>
      <c r="P5" s="110" t="str">
        <f>IF(preDEL!$AG5,IFERROR(0/0,""),preDEL!P5)</f>
        <v/>
      </c>
      <c r="Q5" s="110" t="str">
        <f>IF(preDEL!$AG5,IFERROR(0/0,""),preDEL!Q5)</f>
        <v/>
      </c>
      <c r="R5" s="104" t="str">
        <f>IF(preDEL!$AG5,IFERROR(0/0,""),preDEL!R5)</f>
        <v/>
      </c>
      <c r="S5" s="104" t="str">
        <f>IF(preDEL!$AG5,IFERROR(0/0,""),preDEL!S5)</f>
        <v/>
      </c>
      <c r="T5" s="110" t="str">
        <f>IF(preDEL!$AG5,IFERROR(0/0,""),preDEL!T5)</f>
        <v/>
      </c>
      <c r="U5" s="112" t="str">
        <f>IF(preDEL!$AG5,IFERROR(0/0,""),preDEL!U5)</f>
        <v/>
      </c>
      <c r="V5" s="105" t="str">
        <f>IF(preDEL!$AG5,IFERROR(0/0,""),preDEL!V5)</f>
        <v/>
      </c>
      <c r="W5" s="112" t="str">
        <f>IF(preDEL!$AG5,IFERROR(0/0,""),preDEL!W5)</f>
        <v/>
      </c>
      <c r="X5" s="104" t="str">
        <f>IF(preDEL!$AG5,IFERROR(0/0,""),preDEL!X5)</f>
        <v/>
      </c>
      <c r="Y5" s="110" t="str">
        <f>IF(preDEL!$AG5,IFERROR(0/0,""),preDEL!Y5)</f>
        <v/>
      </c>
      <c r="Z5" s="105" t="str">
        <f>IF(preDEL!$AG5,IFERROR(0/0,""),preDEL!Z5)</f>
        <v/>
      </c>
      <c r="AA5" s="110" t="str">
        <f>IF(preDEL!$AG5,IFERROR(0/0,""),preDEL!AA5)</f>
        <v/>
      </c>
      <c r="AB5" s="110" t="str">
        <f>IF(preDEL!$AG5,IFERROR(0/0,""),preDEL!AB5)</f>
        <v/>
      </c>
      <c r="AC5" s="172" t="str">
        <f>IF(preDEL!$AG5,IFERROR(0/0,""),preDEL!AC5)</f>
        <v/>
      </c>
      <c r="AD5" s="104" t="str">
        <f>IF(preDEL!$AG5,IFERROR(0/0,""),preDEL!AD5)</f>
        <v/>
      </c>
      <c r="AE5" s="173" t="str">
        <f>IF(preDEL!$AG5,IFERROR(0/0,""),preDEL!AE5)</f>
        <v/>
      </c>
      <c r="AF5" s="110" t="str">
        <f>IF(preDEL!$AG5,IFERROR(0/0,""),preDEL!AF5)</f>
        <v/>
      </c>
      <c r="AG5" s="110" t="str">
        <f>IF(preDEL!$AG5,IFERROR(0/0,""),preDEL!AG5)</f>
        <v/>
      </c>
      <c r="AH5" s="104" t="str">
        <f>IF(preDEL!$AG5,IFERROR(0/0,""),preDEL!AH5)</f>
        <v/>
      </c>
      <c r="AI5" s="105" t="str">
        <f>IF(preDEL!$AG5,IFERROR(0/0,""),preDEL!AI5)</f>
        <v/>
      </c>
      <c r="AJ5" s="112" t="str">
        <f>IF(preDEL!$AG5,IFERROR(0/0,""),preDEL!AJ5)</f>
        <v/>
      </c>
      <c r="AK5" s="105" t="str">
        <f>IF(preDEL!$AG5,IFERROR(0/0,""),preDEL!AK5)</f>
        <v/>
      </c>
      <c r="AL5" s="112" t="str">
        <f>IF(preDEL!$AG5,IFERROR(0/0,""),preDEL!AL5)</f>
        <v/>
      </c>
      <c r="AM5" s="112" t="str">
        <f>IF(preDEL!$AG5,IFERROR(0/0,""),preDEL!AM5)</f>
        <v/>
      </c>
      <c r="AN5" s="112" t="str">
        <f>IF(preDEL!$AG5,IFERROR(0/0,""),preDEL!AN5)</f>
        <v/>
      </c>
      <c r="AO5" s="112" t="str">
        <f>IF(preDEL!$AG5,IFERROR(0/0,""),preDEL!AO5)</f>
        <v/>
      </c>
      <c r="AP5" s="112" t="str">
        <f>IF(preDEL!$AG5,IFERROR(0/0,""),preDEL!AP5)</f>
        <v/>
      </c>
      <c r="AQ5" s="112" t="str">
        <f>IF(preDEL!$AG5,IFERROR(0/0,""),preDEL!AQ5)</f>
        <v/>
      </c>
      <c r="AR5" s="112" t="str">
        <f>IF(preDEL!$AG5,IFERROR(0/0,""),preDEL!AR5)</f>
        <v/>
      </c>
      <c r="AS5" s="112" t="str">
        <f>IF(preDEL!$AG5,IFERROR(0/0,""),preDEL!AS5)</f>
        <v/>
      </c>
      <c r="AT5" s="112" t="str">
        <f>IF(preDEL!$AG5,IFERROR(0/0,""),preDEL!AT5)</f>
        <v/>
      </c>
      <c r="AU5" s="112" t="str">
        <f>IF(preDEL!$AG5,IFERROR(0/0,""),preDEL!AU5)</f>
        <v/>
      </c>
      <c r="AV5" s="112" t="str">
        <f>IF(preDEL!$AG5,IFERROR(0/0,""),preDEL!AV5)</f>
        <v/>
      </c>
      <c r="AW5" s="112" t="str">
        <f>IF(preDEL!$AG5,IFERROR(0/0,""),preDEL!AW5)</f>
        <v/>
      </c>
      <c r="AX5" s="112" t="str">
        <f>IF(preDEL!$AG5,IFERROR(0/0,""),preDEL!AX5)</f>
        <v/>
      </c>
      <c r="AY5" s="112" t="str">
        <f>IF(preDEL!$AG5,IFERROR(0/0,""),preDEL!AY5)</f>
        <v/>
      </c>
      <c r="AZ5" s="174"/>
      <c r="BA5" s="174"/>
      <c r="BB5" s="174"/>
      <c r="BC5" s="174"/>
      <c r="BD5" s="174"/>
      <c r="BE5" s="174"/>
      <c r="BF5" s="174"/>
      <c r="BG5" s="174"/>
      <c r="BH5" s="174"/>
      <c r="BI5" s="174"/>
      <c r="BJ5" s="174"/>
      <c r="BK5" s="174"/>
      <c r="BL5" s="174"/>
      <c r="BM5" s="174"/>
      <c r="BN5" s="174"/>
      <c r="BO5" s="174"/>
      <c r="BP5" s="174"/>
      <c r="BQ5" s="174"/>
      <c r="BR5" s="174"/>
      <c r="BS5" s="174"/>
      <c r="BT5" s="174"/>
      <c r="BU5" s="174"/>
      <c r="BV5" s="174"/>
      <c r="BW5" s="174"/>
      <c r="BX5" s="174"/>
      <c r="BY5" s="174"/>
      <c r="BZ5" s="174"/>
      <c r="CA5" s="174"/>
      <c r="CB5" s="174"/>
      <c r="CC5" s="174"/>
      <c r="CD5" s="174"/>
    </row>
    <row r="6">
      <c r="A6" s="105" t="str">
        <f>IF(preDEL!$AG6,IFERROR(0/0,""),preDEL!A6)</f>
        <v/>
      </c>
      <c r="B6" s="170" t="str">
        <f>IF(preDEL!$AG6,IFERROR(0/0,""),preDEL!B6)</f>
        <v/>
      </c>
      <c r="C6" s="171" t="str">
        <f>IF(preDEL!$AG6,IFERROR(0/0,""),preDEL!C6)</f>
        <v/>
      </c>
      <c r="D6" s="105" t="str">
        <f>IF(preDEL!$AG6,IFERROR(0/0,""),preDEL!D6)</f>
        <v/>
      </c>
      <c r="E6" s="105" t="str">
        <f>IF(preDEL!$AG6,IFERROR(0/0,""),preDEL!E6)</f>
        <v/>
      </c>
      <c r="F6" s="112" t="str">
        <f>IF(preDEL!$AG6,IFERROR(0/0,""),preDEL!F6)</f>
        <v/>
      </c>
      <c r="G6" s="112" t="str">
        <f>IF(preDEL!$AG6,IFERROR(0/0,""),preDEL!G6)</f>
        <v/>
      </c>
      <c r="H6" s="112" t="str">
        <f>IF(preDEL!$AG6,IFERROR(0/0,""),preDEL!H6)</f>
        <v/>
      </c>
      <c r="I6" s="105" t="str">
        <f>IF(preDEL!$AG6,IFERROR(0/0,""),preDEL!I6)</f>
        <v/>
      </c>
      <c r="J6" s="105" t="str">
        <f>IF(preDEL!$AG6,IFERROR(0/0,""),preDEL!J6)</f>
        <v/>
      </c>
      <c r="K6" s="105" t="str">
        <f>IF(preDEL!$AG6,IFERROR(0/0,""),preDEL!K6)</f>
        <v/>
      </c>
      <c r="L6" s="170" t="str">
        <f>IF(preDEL!$AG6,IFERROR(0/0,""),preDEL!L6)</f>
        <v/>
      </c>
      <c r="M6" s="171" t="str">
        <f>IF(preDEL!$AG6,IFERROR(0/0,""),preDEL!M6)</f>
        <v/>
      </c>
      <c r="N6" s="112" t="str">
        <f>IF(preDEL!$AG6,IFERROR(0/0,""),preDEL!N6)</f>
        <v/>
      </c>
      <c r="O6" s="112" t="str">
        <f>IF(preDEL!$AG6,IFERROR(0/0,""),preDEL!O6)</f>
        <v/>
      </c>
      <c r="P6" s="110" t="str">
        <f>IF(preDEL!$AG6,IFERROR(0/0,""),preDEL!P6)</f>
        <v/>
      </c>
      <c r="Q6" s="110" t="str">
        <f>IF(preDEL!$AG6,IFERROR(0/0,""),preDEL!Q6)</f>
        <v/>
      </c>
      <c r="R6" s="104" t="str">
        <f>IF(preDEL!$AG6,IFERROR(0/0,""),preDEL!R6)</f>
        <v/>
      </c>
      <c r="S6" s="104" t="str">
        <f>IF(preDEL!$AG6,IFERROR(0/0,""),preDEL!S6)</f>
        <v/>
      </c>
      <c r="T6" s="110" t="str">
        <f>IF(preDEL!$AG6,IFERROR(0/0,""),preDEL!T6)</f>
        <v/>
      </c>
      <c r="U6" s="112" t="str">
        <f>IF(preDEL!$AG6,IFERROR(0/0,""),preDEL!U6)</f>
        <v/>
      </c>
      <c r="V6" s="105" t="str">
        <f>IF(preDEL!$AG6,IFERROR(0/0,""),preDEL!V6)</f>
        <v/>
      </c>
      <c r="W6" s="112" t="str">
        <f>IF(preDEL!$AG6,IFERROR(0/0,""),preDEL!W6)</f>
        <v/>
      </c>
      <c r="X6" s="104" t="str">
        <f>IF(preDEL!$AG6,IFERROR(0/0,""),preDEL!X6)</f>
        <v/>
      </c>
      <c r="Y6" s="110" t="str">
        <f>IF(preDEL!$AG6,IFERROR(0/0,""),preDEL!Y6)</f>
        <v/>
      </c>
      <c r="Z6" s="105" t="str">
        <f>IF(preDEL!$AG6,IFERROR(0/0,""),preDEL!Z6)</f>
        <v/>
      </c>
      <c r="AA6" s="110" t="str">
        <f>IF(preDEL!$AG6,IFERROR(0/0,""),preDEL!AA6)</f>
        <v/>
      </c>
      <c r="AB6" s="110" t="str">
        <f>IF(preDEL!$AG6,IFERROR(0/0,""),preDEL!AB6)</f>
        <v/>
      </c>
      <c r="AC6" s="172" t="str">
        <f>IF(preDEL!$AG6,IFERROR(0/0,""),preDEL!AC6)</f>
        <v/>
      </c>
      <c r="AD6" s="104" t="str">
        <f>IF(preDEL!$AG6,IFERROR(0/0,""),preDEL!AD6)</f>
        <v/>
      </c>
      <c r="AE6" s="173" t="str">
        <f>IF(preDEL!$AG6,IFERROR(0/0,""),preDEL!AE6)</f>
        <v/>
      </c>
      <c r="AF6" s="110" t="str">
        <f>IF(preDEL!$AG6,IFERROR(0/0,""),preDEL!AF6)</f>
        <v/>
      </c>
      <c r="AG6" s="110" t="str">
        <f>IF(preDEL!$AG6,IFERROR(0/0,""),preDEL!AG6)</f>
        <v/>
      </c>
      <c r="AH6" s="104" t="str">
        <f>IF(preDEL!$AG6,IFERROR(0/0,""),preDEL!AH6)</f>
        <v/>
      </c>
      <c r="AI6" s="105" t="str">
        <f>IF(preDEL!$AG6,IFERROR(0/0,""),preDEL!AI6)</f>
        <v/>
      </c>
      <c r="AJ6" s="112" t="str">
        <f>IF(preDEL!$AG6,IFERROR(0/0,""),preDEL!AJ6)</f>
        <v/>
      </c>
      <c r="AK6" s="105" t="str">
        <f>IF(preDEL!$AG6,IFERROR(0/0,""),preDEL!AK6)</f>
        <v/>
      </c>
      <c r="AL6" s="112" t="str">
        <f>IF(preDEL!$AG6,IFERROR(0/0,""),preDEL!AL6)</f>
        <v/>
      </c>
      <c r="AM6" s="112" t="str">
        <f>IF(preDEL!$AG6,IFERROR(0/0,""),preDEL!AM6)</f>
        <v/>
      </c>
      <c r="AN6" s="112" t="str">
        <f>IF(preDEL!$AG6,IFERROR(0/0,""),preDEL!AN6)</f>
        <v/>
      </c>
      <c r="AO6" s="112" t="str">
        <f>IF(preDEL!$AG6,IFERROR(0/0,""),preDEL!AO6)</f>
        <v/>
      </c>
      <c r="AP6" s="112" t="str">
        <f>IF(preDEL!$AG6,IFERROR(0/0,""),preDEL!AP6)</f>
        <v/>
      </c>
      <c r="AQ6" s="112" t="str">
        <f>IF(preDEL!$AG6,IFERROR(0/0,""),preDEL!AQ6)</f>
        <v/>
      </c>
      <c r="AR6" s="112" t="str">
        <f>IF(preDEL!$AG6,IFERROR(0/0,""),preDEL!AR6)</f>
        <v/>
      </c>
      <c r="AS6" s="112" t="str">
        <f>IF(preDEL!$AG6,IFERROR(0/0,""),preDEL!AS6)</f>
        <v/>
      </c>
      <c r="AT6" s="112" t="str">
        <f>IF(preDEL!$AG6,IFERROR(0/0,""),preDEL!AT6)</f>
        <v/>
      </c>
      <c r="AU6" s="112" t="str">
        <f>IF(preDEL!$AG6,IFERROR(0/0,""),preDEL!AU6)</f>
        <v/>
      </c>
      <c r="AV6" s="112" t="str">
        <f>IF(preDEL!$AG6,IFERROR(0/0,""),preDEL!AV6)</f>
        <v/>
      </c>
      <c r="AW6" s="112" t="str">
        <f>IF(preDEL!$AG6,IFERROR(0/0,""),preDEL!AW6)</f>
        <v/>
      </c>
      <c r="AX6" s="112" t="str">
        <f>IF(preDEL!$AG6,IFERROR(0/0,""),preDEL!AX6)</f>
        <v/>
      </c>
      <c r="AY6" s="112" t="str">
        <f>IF(preDEL!$AG6,IFERROR(0/0,""),preDEL!AY6)</f>
        <v/>
      </c>
      <c r="AZ6" s="174"/>
      <c r="BA6" s="174"/>
      <c r="BB6" s="174"/>
      <c r="BC6" s="174"/>
      <c r="BD6" s="174"/>
      <c r="BE6" s="174"/>
      <c r="BF6" s="174"/>
      <c r="BG6" s="174"/>
      <c r="BH6" s="174"/>
      <c r="BI6" s="174"/>
      <c r="BJ6" s="174"/>
      <c r="BK6" s="174"/>
      <c r="BL6" s="174"/>
      <c r="BM6" s="174"/>
      <c r="BN6" s="174"/>
      <c r="BO6" s="174"/>
      <c r="BP6" s="174"/>
      <c r="BQ6" s="174"/>
      <c r="BR6" s="174"/>
      <c r="BS6" s="174"/>
      <c r="BT6" s="174"/>
      <c r="BU6" s="174"/>
      <c r="BV6" s="174"/>
      <c r="BW6" s="174"/>
      <c r="BX6" s="174"/>
      <c r="BY6" s="174"/>
      <c r="BZ6" s="174"/>
      <c r="CA6" s="174"/>
      <c r="CB6" s="174"/>
      <c r="CC6" s="174"/>
      <c r="CD6" s="174"/>
    </row>
    <row r="7">
      <c r="A7" s="105" t="str">
        <f>IF(preDEL!$AG7,IFERROR(0/0,""),preDEL!A7)</f>
        <v>MAX88</v>
      </c>
      <c r="B7" s="170">
        <f>IF(preDEL!$AG7,IFERROR(0/0,""),preDEL!B7)</f>
        <v>44540</v>
      </c>
      <c r="C7" s="171">
        <f>IF(preDEL!$AG7,IFERROR(0/0,""),preDEL!C7)</f>
        <v>0.2940162037</v>
      </c>
      <c r="D7" s="105" t="str">
        <f>IF(preDEL!$AG7,IFERROR(0/0,""),preDEL!D7)</f>
        <v/>
      </c>
      <c r="E7" s="105" t="str">
        <f>IF(preDEL!$AG7,IFERROR(0/0,""),preDEL!E7)</f>
        <v/>
      </c>
      <c r="F7" s="112" t="str">
        <f>IF(preDEL!$AG7,IFERROR(0/0,""),preDEL!F7)</f>
        <v/>
      </c>
      <c r="G7" s="112" t="str">
        <f>IF(preDEL!$AG7,IFERROR(0/0,""),preDEL!G7)</f>
        <v/>
      </c>
      <c r="H7" s="112" t="str">
        <f>IF(preDEL!$AG7,IFERROR(0/0,""),preDEL!H7)</f>
        <v/>
      </c>
      <c r="I7" s="105" t="str">
        <f>IF(preDEL!$AG7,IFERROR(0/0,""),preDEL!I7)</f>
        <v/>
      </c>
      <c r="J7" s="105" t="str">
        <f>IF(preDEL!$AG7,IFERROR(0/0,""),preDEL!J7)</f>
        <v/>
      </c>
      <c r="K7" s="105" t="str">
        <f>IF(preDEL!$AG7,IFERROR(0/0,""),preDEL!K7)</f>
        <v>Negative</v>
      </c>
      <c r="L7" s="170">
        <f>IF(preDEL!$AG7,IFERROR(0/0,""),preDEL!L7)</f>
        <v>44543</v>
      </c>
      <c r="M7" s="171">
        <f>IF(preDEL!$AG7,IFERROR(0/0,""),preDEL!M7)</f>
        <v>0.7857175926</v>
      </c>
      <c r="N7" s="112" t="str">
        <f>IF(preDEL!$AG7,IFERROR(0/0,""),preDEL!N7)</f>
        <v/>
      </c>
      <c r="O7" s="112" t="str">
        <f>IF(preDEL!$AG7,IFERROR(0/0,""),preDEL!O7)</f>
        <v/>
      </c>
      <c r="P7" s="110" t="b">
        <f>IF(preDEL!$AG7,IFERROR(0/0,""),preDEL!P7)</f>
        <v>0</v>
      </c>
      <c r="Q7" s="110" t="str">
        <f>IF(preDEL!$AG7,IFERROR(0/0,""),preDEL!Q7)</f>
        <v>Result</v>
      </c>
      <c r="R7" s="104" t="b">
        <f>IF(preDEL!$AG7,IFERROR(0/0,""),preDEL!R7)</f>
        <v>1</v>
      </c>
      <c r="S7" s="104">
        <f>IF(preDEL!$AG7,IFERROR(0/0,""),preDEL!S7)</f>
        <v>1</v>
      </c>
      <c r="T7" s="110">
        <f>IF(preDEL!$AG7,IFERROR(0/0,""),preDEL!T7)</f>
        <v>0</v>
      </c>
      <c r="U7" s="112" t="str">
        <f>IF(preDEL!$AG7,IFERROR(0/0,""),preDEL!U7)</f>
        <v/>
      </c>
      <c r="V7" s="105" t="str">
        <f>IF(preDEL!$AG7,IFERROR(0/0,""),preDEL!V7)</f>
        <v/>
      </c>
      <c r="W7" s="112" t="str">
        <f>IF(preDEL!$AG7,IFERROR(0/0,""),preDEL!W7)</f>
        <v/>
      </c>
      <c r="X7" s="104" t="b">
        <f>IF(preDEL!$AG7,IFERROR(0/0,""),preDEL!X7)</f>
        <v>0</v>
      </c>
      <c r="Y7" s="110" t="b">
        <f>IF(preDEL!$AG7,IFERROR(0/0,""),preDEL!Y7)</f>
        <v>0</v>
      </c>
      <c r="Z7" s="105" t="str">
        <f>IF(preDEL!$AG7,IFERROR(0/0,""),preDEL!Z7)</f>
        <v/>
      </c>
      <c r="AA7" s="110" t="b">
        <f>IF(preDEL!$AG7,IFERROR(0/0,""),preDEL!AA7)</f>
        <v>0</v>
      </c>
      <c r="AB7" s="110" t="b">
        <f>IF(preDEL!$AG7,IFERROR(0/0,""),preDEL!AB7)</f>
        <v>0</v>
      </c>
      <c r="AC7" s="172">
        <f>IF(preDEL!$AG7,IFERROR(0/0,""),preDEL!AC7)</f>
        <v>782</v>
      </c>
      <c r="AD7" s="104" t="b">
        <f>IF(preDEL!$AG7,IFERROR(0/0,""),preDEL!AD7)</f>
        <v>0</v>
      </c>
      <c r="AE7" s="173" t="str">
        <f>IF(preDEL!$AG7,IFERROR(0/0,""),preDEL!AE7)</f>
        <v/>
      </c>
      <c r="AF7" s="110" t="b">
        <f>IF(preDEL!$AG7,IFERROR(0/0,""),preDEL!AF7)</f>
        <v>0</v>
      </c>
      <c r="AG7" s="110" t="b">
        <f>IF(preDEL!$AG7,IFERROR(0/0,""),preDEL!AG7)</f>
        <v>0</v>
      </c>
      <c r="AH7" s="104" t="str">
        <f>IF(preDEL!$AG7,IFERROR(0/0,""),preDEL!AH7)</f>
        <v/>
      </c>
      <c r="AI7" s="105" t="str">
        <f>IF(preDEL!$AG7,IFERROR(0/0,""),preDEL!AI7)</f>
        <v/>
      </c>
      <c r="AJ7" s="112" t="str">
        <f>IF(preDEL!$AG7,IFERROR(0/0,""),preDEL!AJ7)</f>
        <v/>
      </c>
      <c r="AK7" s="105" t="str">
        <f>IF(preDEL!$AG7,IFERROR(0/0,""),preDEL!AK7)</f>
        <v>Negative</v>
      </c>
      <c r="AL7" s="112" t="str">
        <f>IF(preDEL!$AG7,IFERROR(0/0,""),preDEL!AL7)</f>
        <v/>
      </c>
      <c r="AM7" s="112" t="str">
        <f>IF(preDEL!$AG7,IFERROR(0/0,""),preDEL!AM7)</f>
        <v>SpBEND708976</v>
      </c>
      <c r="AN7" s="112" t="str">
        <f>IF(preDEL!$AG7,IFERROR(0/0,""),preDEL!AN7)</f>
        <v>BEND561629</v>
      </c>
      <c r="AO7" s="112" t="str">
        <f>IF(preDEL!$AG7,IFERROR(0/0,""),preDEL!AO7)</f>
        <v/>
      </c>
      <c r="AP7" s="112" t="str">
        <f>IF(preDEL!$AG7,IFERROR(0/0,""),preDEL!AP7)</f>
        <v/>
      </c>
      <c r="AQ7" s="112" t="str">
        <f>IF(preDEL!$AG7,IFERROR(0/0,""),preDEL!AQ7)</f>
        <v/>
      </c>
      <c r="AR7" s="112" t="str">
        <f>IF(preDEL!$AG7,IFERROR(0/0,""),preDEL!AR7)</f>
        <v/>
      </c>
      <c r="AS7" s="112" t="str">
        <f>IF(preDEL!$AG7,IFERROR(0/0,""),preDEL!AS7)</f>
        <v/>
      </c>
      <c r="AT7" s="112" t="b">
        <f>IF(preDEL!$AG7,IFERROR(0/0,""),preDEL!AT7)</f>
        <v>0</v>
      </c>
      <c r="AU7" s="112" t="str">
        <f>IF(preDEL!$AG7,IFERROR(0/0,""),preDEL!AU7)</f>
        <v/>
      </c>
      <c r="AV7" s="112" t="str">
        <f>IF(preDEL!$AG7,IFERROR(0/0,""),preDEL!AV7)</f>
        <v/>
      </c>
      <c r="AW7" s="112" t="str">
        <f>IF(preDEL!$AG7,IFERROR(0/0,""),preDEL!AW7)</f>
        <v/>
      </c>
      <c r="AX7" s="112" t="str">
        <f>IF(preDEL!$AG7,IFERROR(0/0,""),preDEL!AX7)</f>
        <v/>
      </c>
      <c r="AY7" s="112" t="str">
        <f>IF(preDEL!$AG7,IFERROR(0/0,""),preDEL!AY7)</f>
        <v/>
      </c>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c r="CD7" s="174"/>
    </row>
    <row r="8">
      <c r="A8" s="105" t="str">
        <f>IF(preDEL!$AG8,IFERROR(0/0,""),preDEL!A8)</f>
        <v>MAX136</v>
      </c>
      <c r="B8" s="170">
        <f>IF(preDEL!$AG8,IFERROR(0/0,""),preDEL!B8)</f>
        <v>44540</v>
      </c>
      <c r="C8" s="171">
        <f>IF(preDEL!$AG8,IFERROR(0/0,""),preDEL!C8)</f>
        <v>0.2980092593</v>
      </c>
      <c r="D8" s="105" t="str">
        <f>IF(preDEL!$AG8,IFERROR(0/0,""),preDEL!D8)</f>
        <v/>
      </c>
      <c r="E8" s="105" t="str">
        <f>IF(preDEL!$AG8,IFERROR(0/0,""),preDEL!E8)</f>
        <v/>
      </c>
      <c r="F8" s="112" t="str">
        <f>IF(preDEL!$AG8,IFERROR(0/0,""),preDEL!F8)</f>
        <v/>
      </c>
      <c r="G8" s="112" t="str">
        <f>IF(preDEL!$AG8,IFERROR(0/0,""),preDEL!G8)</f>
        <v/>
      </c>
      <c r="H8" s="112" t="str">
        <f>IF(preDEL!$AG8,IFERROR(0/0,""),preDEL!H8)</f>
        <v/>
      </c>
      <c r="I8" s="105" t="str">
        <f>IF(preDEL!$AG8,IFERROR(0/0,""),preDEL!I8)</f>
        <v/>
      </c>
      <c r="J8" s="105" t="str">
        <f>IF(preDEL!$AG8,IFERROR(0/0,""),preDEL!J8)</f>
        <v/>
      </c>
      <c r="K8" s="105" t="str">
        <f>IF(preDEL!$AG8,IFERROR(0/0,""),preDEL!K8)</f>
        <v>Negative</v>
      </c>
      <c r="L8" s="170">
        <f>IF(preDEL!$AG8,IFERROR(0/0,""),preDEL!L8)</f>
        <v>44543</v>
      </c>
      <c r="M8" s="171">
        <f>IF(preDEL!$AG8,IFERROR(0/0,""),preDEL!M8)</f>
        <v>0.7857175926</v>
      </c>
      <c r="N8" s="112" t="str">
        <f>IF(preDEL!$AG8,IFERROR(0/0,""),preDEL!N8)</f>
        <v/>
      </c>
      <c r="O8" s="112" t="str">
        <f>IF(preDEL!$AG8,IFERROR(0/0,""),preDEL!O8)</f>
        <v/>
      </c>
      <c r="P8" s="110" t="b">
        <f>IF(preDEL!$AG8,IFERROR(0/0,""),preDEL!P8)</f>
        <v>0</v>
      </c>
      <c r="Q8" s="110" t="str">
        <f>IF(preDEL!$AG8,IFERROR(0/0,""),preDEL!Q8)</f>
        <v>Result</v>
      </c>
      <c r="R8" s="104" t="b">
        <f>IF(preDEL!$AG8,IFERROR(0/0,""),preDEL!R8)</f>
        <v>1</v>
      </c>
      <c r="S8" s="104">
        <f>IF(preDEL!$AG8,IFERROR(0/0,""),preDEL!S8)</f>
        <v>1</v>
      </c>
      <c r="T8" s="110" t="str">
        <f>IF(preDEL!$AG8,IFERROR(0/0,""),preDEL!T8)</f>
        <v/>
      </c>
      <c r="U8" s="112" t="str">
        <f>IF(preDEL!$AG8,IFERROR(0/0,""),preDEL!U8)</f>
        <v/>
      </c>
      <c r="V8" s="105" t="str">
        <f>IF(preDEL!$AG8,IFERROR(0/0,""),preDEL!V8)</f>
        <v/>
      </c>
      <c r="W8" s="112" t="str">
        <f>IF(preDEL!$AG8,IFERROR(0/0,""),preDEL!W8)</f>
        <v/>
      </c>
      <c r="X8" s="104" t="b">
        <f>IF(preDEL!$AG8,IFERROR(0/0,""),preDEL!X8)</f>
        <v>0</v>
      </c>
      <c r="Y8" s="110" t="b">
        <f>IF(preDEL!$AG8,IFERROR(0/0,""),preDEL!Y8)</f>
        <v>0</v>
      </c>
      <c r="Z8" s="105" t="str">
        <f>IF(preDEL!$AG8,IFERROR(0/0,""),preDEL!Z8)</f>
        <v/>
      </c>
      <c r="AA8" s="110" t="b">
        <f>IF(preDEL!$AG8,IFERROR(0/0,""),preDEL!AA8)</f>
        <v>0</v>
      </c>
      <c r="AB8" s="110" t="b">
        <f>IF(preDEL!$AG8,IFERROR(0/0,""),preDEL!AB8)</f>
        <v>0</v>
      </c>
      <c r="AC8" s="172">
        <f>IF(preDEL!$AG8,IFERROR(0/0,""),preDEL!AC8)</f>
        <v>781</v>
      </c>
      <c r="AD8" s="104" t="b">
        <f>IF(preDEL!$AG8,IFERROR(0/0,""),preDEL!AD8)</f>
        <v>0</v>
      </c>
      <c r="AE8" s="173" t="str">
        <f>IF(preDEL!$AG8,IFERROR(0/0,""),preDEL!AE8)</f>
        <v/>
      </c>
      <c r="AF8" s="110" t="b">
        <f>IF(preDEL!$AG8,IFERROR(0/0,""),preDEL!AF8)</f>
        <v>0</v>
      </c>
      <c r="AG8" s="110" t="b">
        <f>IF(preDEL!$AG8,IFERROR(0/0,""),preDEL!AG8)</f>
        <v>0</v>
      </c>
      <c r="AH8" s="104" t="str">
        <f>IF(preDEL!$AG8,IFERROR(0/0,""),preDEL!AH8)</f>
        <v/>
      </c>
      <c r="AI8" s="105" t="str">
        <f>IF(preDEL!$AG8,IFERROR(0/0,""),preDEL!AI8)</f>
        <v/>
      </c>
      <c r="AJ8" s="112" t="str">
        <f>IF(preDEL!$AG8,IFERROR(0/0,""),preDEL!AJ8)</f>
        <v/>
      </c>
      <c r="AK8" s="105" t="str">
        <f>IF(preDEL!$AG8,IFERROR(0/0,""),preDEL!AK8)</f>
        <v>Negative</v>
      </c>
      <c r="AL8" s="112" t="str">
        <f>IF(preDEL!$AG8,IFERROR(0/0,""),preDEL!AL8)</f>
        <v/>
      </c>
      <c r="AM8" s="112" t="str">
        <f>IF(preDEL!$AG8,IFERROR(0/0,""),preDEL!AM8)</f>
        <v>SpBEND394154</v>
      </c>
      <c r="AN8" s="112" t="str">
        <f>IF(preDEL!$AG8,IFERROR(0/0,""),preDEL!AN8)</f>
        <v>BEND365993</v>
      </c>
      <c r="AO8" s="112" t="str">
        <f>IF(preDEL!$AG8,IFERROR(0/0,""),preDEL!AO8)</f>
        <v/>
      </c>
      <c r="AP8" s="112" t="str">
        <f>IF(preDEL!$AG8,IFERROR(0/0,""),preDEL!AP8)</f>
        <v/>
      </c>
      <c r="AQ8" s="112" t="str">
        <f>IF(preDEL!$AG8,IFERROR(0/0,""),preDEL!AQ8)</f>
        <v/>
      </c>
      <c r="AR8" s="112" t="str">
        <f>IF(preDEL!$AG8,IFERROR(0/0,""),preDEL!AR8)</f>
        <v/>
      </c>
      <c r="AS8" s="112" t="str">
        <f>IF(preDEL!$AG8,IFERROR(0/0,""),preDEL!AS8)</f>
        <v/>
      </c>
      <c r="AT8" s="112" t="b">
        <f>IF(preDEL!$AG8,IFERROR(0/0,""),preDEL!AT8)</f>
        <v>0</v>
      </c>
      <c r="AU8" s="112" t="str">
        <f>IF(preDEL!$AG8,IFERROR(0/0,""),preDEL!AU8)</f>
        <v/>
      </c>
      <c r="AV8" s="112" t="str">
        <f>IF(preDEL!$AG8,IFERROR(0/0,""),preDEL!AV8)</f>
        <v/>
      </c>
      <c r="AW8" s="112" t="str">
        <f>IF(preDEL!$AG8,IFERROR(0/0,""),preDEL!AW8)</f>
        <v/>
      </c>
      <c r="AX8" s="112" t="str">
        <f>IF(preDEL!$AG8,IFERROR(0/0,""),preDEL!AX8)</f>
        <v/>
      </c>
      <c r="AY8" s="112" t="str">
        <f>IF(preDEL!$AG8,IFERROR(0/0,""),preDEL!AY8)</f>
        <v/>
      </c>
      <c r="AZ8" s="174"/>
      <c r="BA8" s="174"/>
      <c r="BB8" s="174"/>
      <c r="BC8" s="174"/>
      <c r="BD8" s="174"/>
      <c r="BE8" s="174"/>
      <c r="BF8" s="174"/>
      <c r="BG8" s="174"/>
      <c r="BH8" s="174"/>
      <c r="BI8" s="174"/>
      <c r="BJ8" s="174"/>
      <c r="BK8" s="174"/>
      <c r="BL8" s="174"/>
      <c r="BM8" s="174"/>
      <c r="BN8" s="174"/>
      <c r="BO8" s="174"/>
      <c r="BP8" s="174"/>
      <c r="BQ8" s="174"/>
      <c r="BR8" s="174"/>
      <c r="BS8" s="174"/>
      <c r="BT8" s="174"/>
      <c r="BU8" s="174"/>
      <c r="BV8" s="174"/>
      <c r="BW8" s="174"/>
      <c r="BX8" s="174"/>
      <c r="BY8" s="174"/>
      <c r="BZ8" s="174"/>
      <c r="CA8" s="174"/>
      <c r="CB8" s="174"/>
      <c r="CC8" s="174"/>
      <c r="CD8" s="174"/>
    </row>
    <row r="9">
      <c r="A9" s="105" t="str">
        <f>IF(preDEL!$AG9,IFERROR(0/0,""),preDEL!A9)</f>
        <v/>
      </c>
      <c r="B9" s="170" t="str">
        <f>IF(preDEL!$AG9,IFERROR(0/0,""),preDEL!B9)</f>
        <v/>
      </c>
      <c r="C9" s="171" t="str">
        <f>IF(preDEL!$AG9,IFERROR(0/0,""),preDEL!C9)</f>
        <v/>
      </c>
      <c r="D9" s="105" t="str">
        <f>IF(preDEL!$AG9,IFERROR(0/0,""),preDEL!D9)</f>
        <v/>
      </c>
      <c r="E9" s="105" t="str">
        <f>IF(preDEL!$AG9,IFERROR(0/0,""),preDEL!E9)</f>
        <v/>
      </c>
      <c r="F9" s="112" t="str">
        <f>IF(preDEL!$AG9,IFERROR(0/0,""),preDEL!F9)</f>
        <v/>
      </c>
      <c r="G9" s="112" t="str">
        <f>IF(preDEL!$AG9,IFERROR(0/0,""),preDEL!G9)</f>
        <v/>
      </c>
      <c r="H9" s="112" t="str">
        <f>IF(preDEL!$AG9,IFERROR(0/0,""),preDEL!H9)</f>
        <v/>
      </c>
      <c r="I9" s="105" t="str">
        <f>IF(preDEL!$AG9,IFERROR(0/0,""),preDEL!I9)</f>
        <v/>
      </c>
      <c r="J9" s="105" t="str">
        <f>IF(preDEL!$AG9,IFERROR(0/0,""),preDEL!J9)</f>
        <v/>
      </c>
      <c r="K9" s="105" t="str">
        <f>IF(preDEL!$AG9,IFERROR(0/0,""),preDEL!K9)</f>
        <v/>
      </c>
      <c r="L9" s="170" t="str">
        <f>IF(preDEL!$AG9,IFERROR(0/0,""),preDEL!L9)</f>
        <v/>
      </c>
      <c r="M9" s="171" t="str">
        <f>IF(preDEL!$AG9,IFERROR(0/0,""),preDEL!M9)</f>
        <v/>
      </c>
      <c r="N9" s="112" t="str">
        <f>IF(preDEL!$AG9,IFERROR(0/0,""),preDEL!N9)</f>
        <v/>
      </c>
      <c r="O9" s="112" t="str">
        <f>IF(preDEL!$AG9,IFERROR(0/0,""),preDEL!O9)</f>
        <v/>
      </c>
      <c r="P9" s="110" t="str">
        <f>IF(preDEL!$AG9,IFERROR(0/0,""),preDEL!P9)</f>
        <v/>
      </c>
      <c r="Q9" s="110" t="str">
        <f>IF(preDEL!$AG9,IFERROR(0/0,""),preDEL!Q9)</f>
        <v/>
      </c>
      <c r="R9" s="104" t="str">
        <f>IF(preDEL!$AG9,IFERROR(0/0,""),preDEL!R9)</f>
        <v/>
      </c>
      <c r="S9" s="104" t="str">
        <f>IF(preDEL!$AG9,IFERROR(0/0,""),preDEL!S9)</f>
        <v/>
      </c>
      <c r="T9" s="110" t="str">
        <f>IF(preDEL!$AG9,IFERROR(0/0,""),preDEL!T9)</f>
        <v/>
      </c>
      <c r="U9" s="112" t="str">
        <f>IF(preDEL!$AG9,IFERROR(0/0,""),preDEL!U9)</f>
        <v/>
      </c>
      <c r="V9" s="105" t="str">
        <f>IF(preDEL!$AG9,IFERROR(0/0,""),preDEL!V9)</f>
        <v/>
      </c>
      <c r="W9" s="112" t="str">
        <f>IF(preDEL!$AG9,IFERROR(0/0,""),preDEL!W9)</f>
        <v/>
      </c>
      <c r="X9" s="104" t="str">
        <f>IF(preDEL!$AG9,IFERROR(0/0,""),preDEL!X9)</f>
        <v/>
      </c>
      <c r="Y9" s="110" t="str">
        <f>IF(preDEL!$AG9,IFERROR(0/0,""),preDEL!Y9)</f>
        <v/>
      </c>
      <c r="Z9" s="105" t="str">
        <f>IF(preDEL!$AG9,IFERROR(0/0,""),preDEL!Z9)</f>
        <v/>
      </c>
      <c r="AA9" s="110" t="str">
        <f>IF(preDEL!$AG9,IFERROR(0/0,""),preDEL!AA9)</f>
        <v/>
      </c>
      <c r="AB9" s="110" t="str">
        <f>IF(preDEL!$AG9,IFERROR(0/0,""),preDEL!AB9)</f>
        <v/>
      </c>
      <c r="AC9" s="172" t="str">
        <f>IF(preDEL!$AG9,IFERROR(0/0,""),preDEL!AC9)</f>
        <v/>
      </c>
      <c r="AD9" s="104" t="str">
        <f>IF(preDEL!$AG9,IFERROR(0/0,""),preDEL!AD9)</f>
        <v/>
      </c>
      <c r="AE9" s="173" t="str">
        <f>IF(preDEL!$AG9,IFERROR(0/0,""),preDEL!AE9)</f>
        <v/>
      </c>
      <c r="AF9" s="110" t="str">
        <f>IF(preDEL!$AG9,IFERROR(0/0,""),preDEL!AF9)</f>
        <v/>
      </c>
      <c r="AG9" s="110" t="str">
        <f>IF(preDEL!$AG9,IFERROR(0/0,""),preDEL!AG9)</f>
        <v/>
      </c>
      <c r="AH9" s="104" t="str">
        <f>IF(preDEL!$AG9,IFERROR(0/0,""),preDEL!AH9)</f>
        <v/>
      </c>
      <c r="AI9" s="105" t="str">
        <f>IF(preDEL!$AG9,IFERROR(0/0,""),preDEL!AI9)</f>
        <v/>
      </c>
      <c r="AJ9" s="112" t="str">
        <f>IF(preDEL!$AG9,IFERROR(0/0,""),preDEL!AJ9)</f>
        <v/>
      </c>
      <c r="AK9" s="105" t="str">
        <f>IF(preDEL!$AG9,IFERROR(0/0,""),preDEL!AK9)</f>
        <v/>
      </c>
      <c r="AL9" s="112" t="str">
        <f>IF(preDEL!$AG9,IFERROR(0/0,""),preDEL!AL9)</f>
        <v/>
      </c>
      <c r="AM9" s="112" t="str">
        <f>IF(preDEL!$AG9,IFERROR(0/0,""),preDEL!AM9)</f>
        <v/>
      </c>
      <c r="AN9" s="112" t="str">
        <f>IF(preDEL!$AG9,IFERROR(0/0,""),preDEL!AN9)</f>
        <v/>
      </c>
      <c r="AO9" s="112" t="str">
        <f>IF(preDEL!$AG9,IFERROR(0/0,""),preDEL!AO9)</f>
        <v/>
      </c>
      <c r="AP9" s="112" t="str">
        <f>IF(preDEL!$AG9,IFERROR(0/0,""),preDEL!AP9)</f>
        <v/>
      </c>
      <c r="AQ9" s="112" t="str">
        <f>IF(preDEL!$AG9,IFERROR(0/0,""),preDEL!AQ9)</f>
        <v/>
      </c>
      <c r="AR9" s="112" t="str">
        <f>IF(preDEL!$AG9,IFERROR(0/0,""),preDEL!AR9)</f>
        <v/>
      </c>
      <c r="AS9" s="112" t="str">
        <f>IF(preDEL!$AG9,IFERROR(0/0,""),preDEL!AS9)</f>
        <v/>
      </c>
      <c r="AT9" s="112" t="str">
        <f>IF(preDEL!$AG9,IFERROR(0/0,""),preDEL!AT9)</f>
        <v/>
      </c>
      <c r="AU9" s="112" t="str">
        <f>IF(preDEL!$AG9,IFERROR(0/0,""),preDEL!AU9)</f>
        <v/>
      </c>
      <c r="AV9" s="112" t="str">
        <f>IF(preDEL!$AG9,IFERROR(0/0,""),preDEL!AV9)</f>
        <v/>
      </c>
      <c r="AW9" s="112" t="str">
        <f>IF(preDEL!$AG9,IFERROR(0/0,""),preDEL!AW9)</f>
        <v/>
      </c>
      <c r="AX9" s="112" t="str">
        <f>IF(preDEL!$AG9,IFERROR(0/0,""),preDEL!AX9)</f>
        <v/>
      </c>
      <c r="AY9" s="112" t="str">
        <f>IF(preDEL!$AG9,IFERROR(0/0,""),preDEL!AY9)</f>
        <v/>
      </c>
      <c r="AZ9" s="174"/>
      <c r="BA9" s="174"/>
      <c r="BB9" s="174"/>
      <c r="BC9" s="174"/>
      <c r="BD9" s="174"/>
      <c r="BE9" s="174"/>
      <c r="BF9" s="174"/>
      <c r="BG9" s="174"/>
      <c r="BH9" s="174"/>
      <c r="BI9" s="174"/>
      <c r="BJ9" s="174"/>
      <c r="BK9" s="174"/>
      <c r="BL9" s="174"/>
      <c r="BM9" s="174"/>
      <c r="BN9" s="174"/>
      <c r="BO9" s="174"/>
      <c r="BP9" s="174"/>
      <c r="BQ9" s="174"/>
      <c r="BR9" s="174"/>
      <c r="BS9" s="174"/>
      <c r="BT9" s="174"/>
      <c r="BU9" s="174"/>
      <c r="BV9" s="174"/>
      <c r="BW9" s="174"/>
      <c r="BX9" s="174"/>
      <c r="BY9" s="174"/>
      <c r="BZ9" s="174"/>
      <c r="CA9" s="174"/>
      <c r="CB9" s="174"/>
      <c r="CC9" s="174"/>
      <c r="CD9" s="174"/>
    </row>
    <row r="10">
      <c r="A10" s="105" t="str">
        <f>IF(preDEL!$AG10,IFERROR(0/0,""),preDEL!A10)</f>
        <v>MAX79</v>
      </c>
      <c r="B10" s="170">
        <f>IF(preDEL!$AG10,IFERROR(0/0,""),preDEL!B10)</f>
        <v>44540</v>
      </c>
      <c r="C10" s="171">
        <f>IF(preDEL!$AG10,IFERROR(0/0,""),preDEL!C10)</f>
        <v>0.3005439815</v>
      </c>
      <c r="D10" s="105" t="str">
        <f>IF(preDEL!$AG10,IFERROR(0/0,""),preDEL!D10)</f>
        <v/>
      </c>
      <c r="E10" s="105" t="str">
        <f>IF(preDEL!$AG10,IFERROR(0/0,""),preDEL!E10)</f>
        <v/>
      </c>
      <c r="F10" s="112" t="str">
        <f>IF(preDEL!$AG10,IFERROR(0/0,""),preDEL!F10)</f>
        <v/>
      </c>
      <c r="G10" s="112" t="str">
        <f>IF(preDEL!$AG10,IFERROR(0/0,""),preDEL!G10)</f>
        <v/>
      </c>
      <c r="H10" s="112" t="str">
        <f>IF(preDEL!$AG10,IFERROR(0/0,""),preDEL!H10)</f>
        <v/>
      </c>
      <c r="I10" s="105" t="str">
        <f>IF(preDEL!$AG10,IFERROR(0/0,""),preDEL!I10)</f>
        <v/>
      </c>
      <c r="J10" s="105" t="str">
        <f>IF(preDEL!$AG10,IFERROR(0/0,""),preDEL!J10)</f>
        <v/>
      </c>
      <c r="K10" s="105" t="str">
        <f>IF(preDEL!$AG10,IFERROR(0/0,""),preDEL!K10)</f>
        <v>Negative</v>
      </c>
      <c r="L10" s="170">
        <f>IF(preDEL!$AG10,IFERROR(0/0,""),preDEL!L10)</f>
        <v>44543</v>
      </c>
      <c r="M10" s="171">
        <f>IF(preDEL!$AG10,IFERROR(0/0,""),preDEL!M10)</f>
        <v>0.7857175926</v>
      </c>
      <c r="N10" s="112" t="str">
        <f>IF(preDEL!$AG10,IFERROR(0/0,""),preDEL!N10)</f>
        <v/>
      </c>
      <c r="O10" s="112" t="str">
        <f>IF(preDEL!$AG10,IFERROR(0/0,""),preDEL!O10)</f>
        <v/>
      </c>
      <c r="P10" s="110" t="b">
        <f>IF(preDEL!$AG10,IFERROR(0/0,""),preDEL!P10)</f>
        <v>0</v>
      </c>
      <c r="Q10" s="110" t="str">
        <f>IF(preDEL!$AG10,IFERROR(0/0,""),preDEL!Q10)</f>
        <v>Result</v>
      </c>
      <c r="R10" s="104" t="b">
        <f>IF(preDEL!$AG10,IFERROR(0/0,""),preDEL!R10)</f>
        <v>0</v>
      </c>
      <c r="S10" s="104">
        <f>IF(preDEL!$AG10,IFERROR(0/0,""),preDEL!S10)</f>
        <v>2</v>
      </c>
      <c r="T10" s="110" t="str">
        <f>IF(preDEL!$AG10,IFERROR(0/0,""),preDEL!T10)</f>
        <v/>
      </c>
      <c r="U10" s="112" t="str">
        <f>IF(preDEL!$AG10,IFERROR(0/0,""),preDEL!U10)</f>
        <v/>
      </c>
      <c r="V10" s="105" t="str">
        <f>IF(preDEL!$AG10,IFERROR(0/0,""),preDEL!V10)</f>
        <v/>
      </c>
      <c r="W10" s="112" t="str">
        <f>IF(preDEL!$AG10,IFERROR(0/0,""),preDEL!W10)</f>
        <v/>
      </c>
      <c r="X10" s="104" t="b">
        <f>IF(preDEL!$AG10,IFERROR(0/0,""),preDEL!X10)</f>
        <v>0</v>
      </c>
      <c r="Y10" s="110" t="b">
        <f>IF(preDEL!$AG10,IFERROR(0/0,""),preDEL!Y10)</f>
        <v>0</v>
      </c>
      <c r="Z10" s="105" t="str">
        <f>IF(preDEL!$AG10,IFERROR(0/0,""),preDEL!Z10)</f>
        <v/>
      </c>
      <c r="AA10" s="110" t="b">
        <f>IF(preDEL!$AG10,IFERROR(0/0,""),preDEL!AA10)</f>
        <v>0</v>
      </c>
      <c r="AB10" s="110" t="b">
        <f>IF(preDEL!$AG10,IFERROR(0/0,""),preDEL!AB10)</f>
        <v>0</v>
      </c>
      <c r="AC10" s="172">
        <f>IF(preDEL!$AG10,IFERROR(0/0,""),preDEL!AC10)</f>
        <v>780</v>
      </c>
      <c r="AD10" s="104" t="b">
        <f>IF(preDEL!$AG10,IFERROR(0/0,""),preDEL!AD10)</f>
        <v>0</v>
      </c>
      <c r="AE10" s="173" t="str">
        <f>IF(preDEL!$AG10,IFERROR(0/0,""),preDEL!AE10)</f>
        <v/>
      </c>
      <c r="AF10" s="110" t="b">
        <f>IF(preDEL!$AG10,IFERROR(0/0,""),preDEL!AF10)</f>
        <v>0</v>
      </c>
      <c r="AG10" s="110" t="b">
        <f>IF(preDEL!$AG10,IFERROR(0/0,""),preDEL!AG10)</f>
        <v>0</v>
      </c>
      <c r="AH10" s="104" t="str">
        <f>IF(preDEL!$AG10,IFERROR(0/0,""),preDEL!AH10)</f>
        <v/>
      </c>
      <c r="AI10" s="105" t="str">
        <f>IF(preDEL!$AG10,IFERROR(0/0,""),preDEL!AI10)</f>
        <v/>
      </c>
      <c r="AJ10" s="112" t="str">
        <f>IF(preDEL!$AG10,IFERROR(0/0,""),preDEL!AJ10)</f>
        <v/>
      </c>
      <c r="AK10" s="105" t="str">
        <f>IF(preDEL!$AG10,IFERROR(0/0,""),preDEL!AK10)</f>
        <v>Negative</v>
      </c>
      <c r="AL10" s="112" t="str">
        <f>IF(preDEL!$AG10,IFERROR(0/0,""),preDEL!AL10)</f>
        <v/>
      </c>
      <c r="AM10" s="112" t="str">
        <f>IF(preDEL!$AG10,IFERROR(0/0,""),preDEL!AM10)</f>
        <v>SpBEND394154</v>
      </c>
      <c r="AN10" s="112" t="str">
        <f>IF(preDEL!$AG10,IFERROR(0/0,""),preDEL!AN10)</f>
        <v>BEND364074</v>
      </c>
      <c r="AO10" s="112" t="str">
        <f>IF(preDEL!$AG10,IFERROR(0/0,""),preDEL!AO10)</f>
        <v/>
      </c>
      <c r="AP10" s="112" t="str">
        <f>IF(preDEL!$AG10,IFERROR(0/0,""),preDEL!AP10)</f>
        <v/>
      </c>
      <c r="AQ10" s="112" t="str">
        <f>IF(preDEL!$AG10,IFERROR(0/0,""),preDEL!AQ10)</f>
        <v/>
      </c>
      <c r="AR10" s="112" t="str">
        <f>IF(preDEL!$AG10,IFERROR(0/0,""),preDEL!AR10)</f>
        <v/>
      </c>
      <c r="AS10" s="112" t="str">
        <f>IF(preDEL!$AG10,IFERROR(0/0,""),preDEL!AS10)</f>
        <v/>
      </c>
      <c r="AT10" s="112" t="b">
        <f>IF(preDEL!$AG10,IFERROR(0/0,""),preDEL!AT10)</f>
        <v>0</v>
      </c>
      <c r="AU10" s="112" t="str">
        <f>IF(preDEL!$AG10,IFERROR(0/0,""),preDEL!AU10)</f>
        <v/>
      </c>
      <c r="AV10" s="112" t="str">
        <f>IF(preDEL!$AG10,IFERROR(0/0,""),preDEL!AV10)</f>
        <v/>
      </c>
      <c r="AW10" s="112" t="str">
        <f>IF(preDEL!$AG10,IFERROR(0/0,""),preDEL!AW10)</f>
        <v/>
      </c>
      <c r="AX10" s="112" t="str">
        <f>IF(preDEL!$AG10,IFERROR(0/0,""),preDEL!AX10)</f>
        <v/>
      </c>
      <c r="AY10" s="112" t="str">
        <f>IF(preDEL!$AG10,IFERROR(0/0,""),preDEL!AY10)</f>
        <v/>
      </c>
      <c r="AZ10" s="174"/>
      <c r="BA10" s="174"/>
      <c r="BB10" s="174"/>
      <c r="BC10" s="174"/>
      <c r="BD10" s="174"/>
      <c r="BE10" s="174"/>
      <c r="BF10" s="174"/>
      <c r="BG10" s="174"/>
      <c r="BH10" s="174"/>
      <c r="BI10" s="174"/>
      <c r="BJ10" s="174"/>
      <c r="BK10" s="174"/>
      <c r="BL10" s="174"/>
      <c r="BM10" s="174"/>
      <c r="BN10" s="174"/>
      <c r="BO10" s="174"/>
      <c r="BP10" s="174"/>
      <c r="BQ10" s="174"/>
      <c r="BR10" s="174"/>
      <c r="BS10" s="174"/>
      <c r="BT10" s="174"/>
      <c r="BU10" s="174"/>
      <c r="BV10" s="174"/>
      <c r="BW10" s="174"/>
      <c r="BX10" s="174"/>
      <c r="BY10" s="174"/>
      <c r="BZ10" s="174"/>
      <c r="CA10" s="174"/>
      <c r="CB10" s="174"/>
      <c r="CC10" s="174"/>
      <c r="CD10" s="174"/>
    </row>
    <row r="11">
      <c r="A11" s="105" t="str">
        <f>IF(preDEL!$AG11,IFERROR(0/0,""),preDEL!A11)</f>
        <v>MAX64</v>
      </c>
      <c r="B11" s="170">
        <f>IF(preDEL!$AG11,IFERROR(0/0,""),preDEL!B11)</f>
        <v>44540</v>
      </c>
      <c r="C11" s="171">
        <f>IF(preDEL!$AG11,IFERROR(0/0,""),preDEL!C11)</f>
        <v>0.3010532407</v>
      </c>
      <c r="D11" s="105" t="str">
        <f>IF(preDEL!$AG11,IFERROR(0/0,""),preDEL!D11)</f>
        <v/>
      </c>
      <c r="E11" s="105" t="str">
        <f>IF(preDEL!$AG11,IFERROR(0/0,""),preDEL!E11)</f>
        <v/>
      </c>
      <c r="F11" s="112" t="str">
        <f>IF(preDEL!$AG11,IFERROR(0/0,""),preDEL!F11)</f>
        <v/>
      </c>
      <c r="G11" s="112" t="str">
        <f>IF(preDEL!$AG11,IFERROR(0/0,""),preDEL!G11)</f>
        <v/>
      </c>
      <c r="H11" s="112" t="str">
        <f>IF(preDEL!$AG11,IFERROR(0/0,""),preDEL!H11)</f>
        <v/>
      </c>
      <c r="I11" s="105" t="str">
        <f>IF(preDEL!$AG11,IFERROR(0/0,""),preDEL!I11)</f>
        <v/>
      </c>
      <c r="J11" s="105" t="str">
        <f>IF(preDEL!$AG11,IFERROR(0/0,""),preDEL!J11)</f>
        <v/>
      </c>
      <c r="K11" s="105" t="str">
        <f>IF(preDEL!$AG11,IFERROR(0/0,""),preDEL!K11)</f>
        <v>Negative</v>
      </c>
      <c r="L11" s="170">
        <f>IF(preDEL!$AG11,IFERROR(0/0,""),preDEL!L11)</f>
        <v>44543</v>
      </c>
      <c r="M11" s="171">
        <f>IF(preDEL!$AG11,IFERROR(0/0,""),preDEL!M11)</f>
        <v>0.7857291667</v>
      </c>
      <c r="N11" s="112" t="str">
        <f>IF(preDEL!$AG11,IFERROR(0/0,""),preDEL!N11)</f>
        <v/>
      </c>
      <c r="O11" s="112" t="str">
        <f>IF(preDEL!$AG11,IFERROR(0/0,""),preDEL!O11)</f>
        <v/>
      </c>
      <c r="P11" s="110" t="b">
        <f>IF(preDEL!$AG11,IFERROR(0/0,""),preDEL!P11)</f>
        <v>0</v>
      </c>
      <c r="Q11" s="110" t="str">
        <f>IF(preDEL!$AG11,IFERROR(0/0,""),preDEL!Q11)</f>
        <v>Result</v>
      </c>
      <c r="R11" s="104" t="b">
        <f>IF(preDEL!$AG11,IFERROR(0/0,""),preDEL!R11)</f>
        <v>1</v>
      </c>
      <c r="S11" s="104">
        <f>IF(preDEL!$AG11,IFERROR(0/0,""),preDEL!S11)</f>
        <v>1</v>
      </c>
      <c r="T11" s="110" t="str">
        <f>IF(preDEL!$AG11,IFERROR(0/0,""),preDEL!T11)</f>
        <v/>
      </c>
      <c r="U11" s="112" t="str">
        <f>IF(preDEL!$AG11,IFERROR(0/0,""),preDEL!U11)</f>
        <v/>
      </c>
      <c r="V11" s="105" t="str">
        <f>IF(preDEL!$AG11,IFERROR(0/0,""),preDEL!V11)</f>
        <v/>
      </c>
      <c r="W11" s="112" t="str">
        <f>IF(preDEL!$AG11,IFERROR(0/0,""),preDEL!W11)</f>
        <v/>
      </c>
      <c r="X11" s="104" t="b">
        <f>IF(preDEL!$AG11,IFERROR(0/0,""),preDEL!X11)</f>
        <v>0</v>
      </c>
      <c r="Y11" s="110" t="b">
        <f>IF(preDEL!$AG11,IFERROR(0/0,""),preDEL!Y11)</f>
        <v>0</v>
      </c>
      <c r="Z11" s="105" t="str">
        <f>IF(preDEL!$AG11,IFERROR(0/0,""),preDEL!Z11)</f>
        <v/>
      </c>
      <c r="AA11" s="110" t="b">
        <f>IF(preDEL!$AG11,IFERROR(0/0,""),preDEL!AA11)</f>
        <v>0</v>
      </c>
      <c r="AB11" s="110" t="b">
        <f>IF(preDEL!$AG11,IFERROR(0/0,""),preDEL!AB11)</f>
        <v>0</v>
      </c>
      <c r="AC11" s="172">
        <f>IF(preDEL!$AG11,IFERROR(0/0,""),preDEL!AC11)</f>
        <v>778</v>
      </c>
      <c r="AD11" s="104" t="b">
        <f>IF(preDEL!$AG11,IFERROR(0/0,""),preDEL!AD11)</f>
        <v>0</v>
      </c>
      <c r="AE11" s="173" t="str">
        <f>IF(preDEL!$AG11,IFERROR(0/0,""),preDEL!AE11)</f>
        <v/>
      </c>
      <c r="AF11" s="110" t="b">
        <f>IF(preDEL!$AG11,IFERROR(0/0,""),preDEL!AF11)</f>
        <v>0</v>
      </c>
      <c r="AG11" s="110" t="b">
        <f>IF(preDEL!$AG11,IFERROR(0/0,""),preDEL!AG11)</f>
        <v>0</v>
      </c>
      <c r="AH11" s="104" t="str">
        <f>IF(preDEL!$AG11,IFERROR(0/0,""),preDEL!AH11)</f>
        <v/>
      </c>
      <c r="AI11" s="105" t="str">
        <f>IF(preDEL!$AG11,IFERROR(0/0,""),preDEL!AI11)</f>
        <v/>
      </c>
      <c r="AJ11" s="112" t="str">
        <f>IF(preDEL!$AG11,IFERROR(0/0,""),preDEL!AJ11)</f>
        <v/>
      </c>
      <c r="AK11" s="105" t="str">
        <f>IF(preDEL!$AG11,IFERROR(0/0,""),preDEL!AK11)</f>
        <v>Negative</v>
      </c>
      <c r="AL11" s="112" t="str">
        <f>IF(preDEL!$AG11,IFERROR(0/0,""),preDEL!AL11)</f>
        <v/>
      </c>
      <c r="AM11" s="112" t="str">
        <f>IF(preDEL!$AG11,IFERROR(0/0,""),preDEL!AM11)</f>
        <v>SpBEND350015</v>
      </c>
      <c r="AN11" s="112" t="str">
        <f>IF(preDEL!$AG11,IFERROR(0/0,""),preDEL!AN11)</f>
        <v>BEND670149</v>
      </c>
      <c r="AO11" s="112" t="str">
        <f>IF(preDEL!$AG11,IFERROR(0/0,""),preDEL!AO11)</f>
        <v/>
      </c>
      <c r="AP11" s="112" t="str">
        <f>IF(preDEL!$AG11,IFERROR(0/0,""),preDEL!AP11)</f>
        <v/>
      </c>
      <c r="AQ11" s="112" t="str">
        <f>IF(preDEL!$AG11,IFERROR(0/0,""),preDEL!AQ11)</f>
        <v/>
      </c>
      <c r="AR11" s="112" t="str">
        <f>IF(preDEL!$AG11,IFERROR(0/0,""),preDEL!AR11)</f>
        <v/>
      </c>
      <c r="AS11" s="112" t="str">
        <f>IF(preDEL!$AG11,IFERROR(0/0,""),preDEL!AS11)</f>
        <v/>
      </c>
      <c r="AT11" s="112" t="b">
        <f>IF(preDEL!$AG11,IFERROR(0/0,""),preDEL!AT11)</f>
        <v>0</v>
      </c>
      <c r="AU11" s="112" t="str">
        <f>IF(preDEL!$AG11,IFERROR(0/0,""),preDEL!AU11)</f>
        <v/>
      </c>
      <c r="AV11" s="112" t="str">
        <f>IF(preDEL!$AG11,IFERROR(0/0,""),preDEL!AV11)</f>
        <v/>
      </c>
      <c r="AW11" s="112" t="str">
        <f>IF(preDEL!$AG11,IFERROR(0/0,""),preDEL!AW11)</f>
        <v/>
      </c>
      <c r="AX11" s="112" t="str">
        <f>IF(preDEL!$AG11,IFERROR(0/0,""),preDEL!AX11)</f>
        <v/>
      </c>
      <c r="AY11" s="112" t="str">
        <f>IF(preDEL!$AG11,IFERROR(0/0,""),preDEL!AY11)</f>
        <v/>
      </c>
      <c r="AZ11" s="174"/>
      <c r="BA11" s="174"/>
      <c r="BB11" s="174"/>
      <c r="BC11" s="174"/>
      <c r="BD11" s="174"/>
      <c r="BE11" s="174"/>
      <c r="BF11" s="174"/>
      <c r="BG11" s="174"/>
      <c r="BH11" s="174"/>
      <c r="BI11" s="174"/>
      <c r="BJ11" s="174"/>
      <c r="BK11" s="174"/>
      <c r="BL11" s="174"/>
      <c r="BM11" s="174"/>
      <c r="BN11" s="174"/>
      <c r="BO11" s="174"/>
      <c r="BP11" s="174"/>
      <c r="BQ11" s="174"/>
      <c r="BR11" s="174"/>
      <c r="BS11" s="174"/>
      <c r="BT11" s="174"/>
      <c r="BU11" s="174"/>
      <c r="BV11" s="174"/>
      <c r="BW11" s="174"/>
      <c r="BX11" s="174"/>
      <c r="BY11" s="174"/>
      <c r="BZ11" s="174"/>
      <c r="CA11" s="174"/>
      <c r="CB11" s="174"/>
      <c r="CC11" s="174"/>
      <c r="CD11" s="174"/>
    </row>
    <row r="12">
      <c r="A12" s="105" t="str">
        <f>IF(preDEL!$AG12,IFERROR(0/0,""),preDEL!A12)</f>
        <v>MA1025</v>
      </c>
      <c r="B12" s="170">
        <f>IF(preDEL!$AG12,IFERROR(0/0,""),preDEL!B12)</f>
        <v>44540</v>
      </c>
      <c r="C12" s="171">
        <f>IF(preDEL!$AG12,IFERROR(0/0,""),preDEL!C12)</f>
        <v>0.3112847222</v>
      </c>
      <c r="D12" s="105" t="str">
        <f>IF(preDEL!$AG12,IFERROR(0/0,""),preDEL!D12)</f>
        <v/>
      </c>
      <c r="E12" s="105" t="str">
        <f>IF(preDEL!$AG12,IFERROR(0/0,""),preDEL!E12)</f>
        <v/>
      </c>
      <c r="F12" s="112" t="str">
        <f>IF(preDEL!$AG12,IFERROR(0/0,""),preDEL!F12)</f>
        <v/>
      </c>
      <c r="G12" s="112" t="str">
        <f>IF(preDEL!$AG12,IFERROR(0/0,""),preDEL!G12)</f>
        <v/>
      </c>
      <c r="H12" s="112" t="str">
        <f>IF(preDEL!$AG12,IFERROR(0/0,""),preDEL!H12)</f>
        <v/>
      </c>
      <c r="I12" s="105" t="str">
        <f>IF(preDEL!$AG12,IFERROR(0/0,""),preDEL!I12)</f>
        <v/>
      </c>
      <c r="J12" s="105" t="str">
        <f>IF(preDEL!$AG12,IFERROR(0/0,""),preDEL!J12)</f>
        <v/>
      </c>
      <c r="K12" s="105" t="str">
        <f>IF(preDEL!$AG12,IFERROR(0/0,""),preDEL!K12)</f>
        <v>Negative</v>
      </c>
      <c r="L12" s="170">
        <f>IF(preDEL!$AG12,IFERROR(0/0,""),preDEL!L12)</f>
        <v>44543</v>
      </c>
      <c r="M12" s="171">
        <f>IF(preDEL!$AG12,IFERROR(0/0,""),preDEL!M12)</f>
        <v>0.7857291667</v>
      </c>
      <c r="N12" s="112" t="str">
        <f>IF(preDEL!$AG12,IFERROR(0/0,""),preDEL!N12)</f>
        <v/>
      </c>
      <c r="O12" s="112" t="str">
        <f>IF(preDEL!$AG12,IFERROR(0/0,""),preDEL!O12)</f>
        <v/>
      </c>
      <c r="P12" s="110" t="b">
        <f>IF(preDEL!$AG12,IFERROR(0/0,""),preDEL!P12)</f>
        <v>0</v>
      </c>
      <c r="Q12" s="110" t="str">
        <f>IF(preDEL!$AG12,IFERROR(0/0,""),preDEL!Q12)</f>
        <v>Result</v>
      </c>
      <c r="R12" s="104" t="b">
        <f>IF(preDEL!$AG12,IFERROR(0/0,""),preDEL!R12)</f>
        <v>1</v>
      </c>
      <c r="S12" s="104">
        <f>IF(preDEL!$AG12,IFERROR(0/0,""),preDEL!S12)</f>
        <v>1</v>
      </c>
      <c r="T12" s="110" t="str">
        <f>IF(preDEL!$AG12,IFERROR(0/0,""),preDEL!T12)</f>
        <v/>
      </c>
      <c r="U12" s="112" t="str">
        <f>IF(preDEL!$AG12,IFERROR(0/0,""),preDEL!U12)</f>
        <v/>
      </c>
      <c r="V12" s="105" t="str">
        <f>IF(preDEL!$AG12,IFERROR(0/0,""),preDEL!V12)</f>
        <v/>
      </c>
      <c r="W12" s="112" t="str">
        <f>IF(preDEL!$AG12,IFERROR(0/0,""),preDEL!W12)</f>
        <v/>
      </c>
      <c r="X12" s="104" t="b">
        <f>IF(preDEL!$AG12,IFERROR(0/0,""),preDEL!X12)</f>
        <v>0</v>
      </c>
      <c r="Y12" s="110" t="b">
        <f>IF(preDEL!$AG12,IFERROR(0/0,""),preDEL!Y12)</f>
        <v>0</v>
      </c>
      <c r="Z12" s="105" t="str">
        <f>IF(preDEL!$AG12,IFERROR(0/0,""),preDEL!Z12)</f>
        <v/>
      </c>
      <c r="AA12" s="110" t="b">
        <f>IF(preDEL!$AG12,IFERROR(0/0,""),preDEL!AA12)</f>
        <v>0</v>
      </c>
      <c r="AB12" s="110" t="b">
        <f>IF(preDEL!$AG12,IFERROR(0/0,""),preDEL!AB12)</f>
        <v>0</v>
      </c>
      <c r="AC12" s="172">
        <f>IF(preDEL!$AG12,IFERROR(0/0,""),preDEL!AC12)</f>
        <v>777</v>
      </c>
      <c r="AD12" s="104" t="b">
        <f>IF(preDEL!$AG12,IFERROR(0/0,""),preDEL!AD12)</f>
        <v>0</v>
      </c>
      <c r="AE12" s="173" t="str">
        <f>IF(preDEL!$AG12,IFERROR(0/0,""),preDEL!AE12)</f>
        <v/>
      </c>
      <c r="AF12" s="110" t="b">
        <f>IF(preDEL!$AG12,IFERROR(0/0,""),preDEL!AF12)</f>
        <v>0</v>
      </c>
      <c r="AG12" s="110" t="b">
        <f>IF(preDEL!$AG12,IFERROR(0/0,""),preDEL!AG12)</f>
        <v>0</v>
      </c>
      <c r="AH12" s="104" t="str">
        <f>IF(preDEL!$AG12,IFERROR(0/0,""),preDEL!AH12)</f>
        <v/>
      </c>
      <c r="AI12" s="105" t="str">
        <f>IF(preDEL!$AG12,IFERROR(0/0,""),preDEL!AI12)</f>
        <v/>
      </c>
      <c r="AJ12" s="112" t="str">
        <f>IF(preDEL!$AG12,IFERROR(0/0,""),preDEL!AJ12)</f>
        <v/>
      </c>
      <c r="AK12" s="105" t="str">
        <f>IF(preDEL!$AG12,IFERROR(0/0,""),preDEL!AK12)</f>
        <v>Negative</v>
      </c>
      <c r="AL12" s="112" t="str">
        <f>IF(preDEL!$AG12,IFERROR(0/0,""),preDEL!AL12)</f>
        <v/>
      </c>
      <c r="AM12" s="112" t="str">
        <f>IF(preDEL!$AG12,IFERROR(0/0,""),preDEL!AM12)</f>
        <v>SpBEND110967</v>
      </c>
      <c r="AN12" s="112" t="str">
        <f>IF(preDEL!$AG12,IFERROR(0/0,""),preDEL!AN12)</f>
        <v>BEND477901</v>
      </c>
      <c r="AO12" s="112" t="str">
        <f>IF(preDEL!$AG12,IFERROR(0/0,""),preDEL!AO12)</f>
        <v/>
      </c>
      <c r="AP12" s="112" t="str">
        <f>IF(preDEL!$AG12,IFERROR(0/0,""),preDEL!AP12)</f>
        <v/>
      </c>
      <c r="AQ12" s="112" t="str">
        <f>IF(preDEL!$AG12,IFERROR(0/0,""),preDEL!AQ12)</f>
        <v/>
      </c>
      <c r="AR12" s="112" t="str">
        <f>IF(preDEL!$AG12,IFERROR(0/0,""),preDEL!AR12)</f>
        <v/>
      </c>
      <c r="AS12" s="112" t="str">
        <f>IF(preDEL!$AG12,IFERROR(0/0,""),preDEL!AS12)</f>
        <v/>
      </c>
      <c r="AT12" s="112" t="b">
        <f>IF(preDEL!$AG12,IFERROR(0/0,""),preDEL!AT12)</f>
        <v>0</v>
      </c>
      <c r="AU12" s="112" t="str">
        <f>IF(preDEL!$AG12,IFERROR(0/0,""),preDEL!AU12)</f>
        <v/>
      </c>
      <c r="AV12" s="112" t="str">
        <f>IF(preDEL!$AG12,IFERROR(0/0,""),preDEL!AV12)</f>
        <v/>
      </c>
      <c r="AW12" s="112" t="str">
        <f>IF(preDEL!$AG12,IFERROR(0/0,""),preDEL!AW12)</f>
        <v/>
      </c>
      <c r="AX12" s="112" t="str">
        <f>IF(preDEL!$AG12,IFERROR(0/0,""),preDEL!AX12)</f>
        <v/>
      </c>
      <c r="AY12" s="112" t="str">
        <f>IF(preDEL!$AG12,IFERROR(0/0,""),preDEL!AY12)</f>
        <v/>
      </c>
      <c r="AZ12" s="174"/>
      <c r="BA12" s="174"/>
      <c r="BB12" s="174"/>
      <c r="BC12" s="174"/>
      <c r="BD12" s="174"/>
      <c r="BE12" s="174"/>
      <c r="BF12" s="174"/>
      <c r="BG12" s="174"/>
      <c r="BH12" s="174"/>
      <c r="BI12" s="174"/>
      <c r="BJ12" s="174"/>
      <c r="BK12" s="174"/>
      <c r="BL12" s="174"/>
      <c r="BM12" s="174"/>
      <c r="BN12" s="174"/>
      <c r="BO12" s="174"/>
      <c r="BP12" s="174"/>
      <c r="BQ12" s="174"/>
      <c r="BR12" s="174"/>
      <c r="BS12" s="174"/>
      <c r="BT12" s="174"/>
      <c r="BU12" s="174"/>
      <c r="BV12" s="174"/>
      <c r="BW12" s="174"/>
      <c r="BX12" s="174"/>
      <c r="BY12" s="174"/>
      <c r="BZ12" s="174"/>
      <c r="CA12" s="174"/>
      <c r="CB12" s="174"/>
      <c r="CC12" s="174"/>
      <c r="CD12" s="174"/>
    </row>
    <row r="13">
      <c r="A13" s="105" t="str">
        <f>IF(preDEL!$AG13,IFERROR(0/0,""),preDEL!A13)</f>
        <v/>
      </c>
      <c r="B13" s="170" t="str">
        <f>IF(preDEL!$AG13,IFERROR(0/0,""),preDEL!B13)</f>
        <v/>
      </c>
      <c r="C13" s="171" t="str">
        <f>IF(preDEL!$AG13,IFERROR(0/0,""),preDEL!C13)</f>
        <v/>
      </c>
      <c r="D13" s="105" t="str">
        <f>IF(preDEL!$AG13,IFERROR(0/0,""),preDEL!D13)</f>
        <v/>
      </c>
      <c r="E13" s="105" t="str">
        <f>IF(preDEL!$AG13,IFERROR(0/0,""),preDEL!E13)</f>
        <v/>
      </c>
      <c r="F13" s="112" t="str">
        <f>IF(preDEL!$AG13,IFERROR(0/0,""),preDEL!F13)</f>
        <v/>
      </c>
      <c r="G13" s="112" t="str">
        <f>IF(preDEL!$AG13,IFERROR(0/0,""),preDEL!G13)</f>
        <v/>
      </c>
      <c r="H13" s="112" t="str">
        <f>IF(preDEL!$AG13,IFERROR(0/0,""),preDEL!H13)</f>
        <v/>
      </c>
      <c r="I13" s="105" t="str">
        <f>IF(preDEL!$AG13,IFERROR(0/0,""),preDEL!I13)</f>
        <v/>
      </c>
      <c r="J13" s="105" t="str">
        <f>IF(preDEL!$AG13,IFERROR(0/0,""),preDEL!J13)</f>
        <v/>
      </c>
      <c r="K13" s="105" t="str">
        <f>IF(preDEL!$AG13,IFERROR(0/0,""),preDEL!K13)</f>
        <v/>
      </c>
      <c r="L13" s="170" t="str">
        <f>IF(preDEL!$AG13,IFERROR(0/0,""),preDEL!L13)</f>
        <v/>
      </c>
      <c r="M13" s="171" t="str">
        <f>IF(preDEL!$AG13,IFERROR(0/0,""),preDEL!M13)</f>
        <v/>
      </c>
      <c r="N13" s="112" t="str">
        <f>IF(preDEL!$AG13,IFERROR(0/0,""),preDEL!N13)</f>
        <v/>
      </c>
      <c r="O13" s="112" t="str">
        <f>IF(preDEL!$AG13,IFERROR(0/0,""),preDEL!O13)</f>
        <v/>
      </c>
      <c r="P13" s="110" t="str">
        <f>IF(preDEL!$AG13,IFERROR(0/0,""),preDEL!P13)</f>
        <v/>
      </c>
      <c r="Q13" s="110" t="str">
        <f>IF(preDEL!$AG13,IFERROR(0/0,""),preDEL!Q13)</f>
        <v/>
      </c>
      <c r="R13" s="104" t="str">
        <f>IF(preDEL!$AG13,IFERROR(0/0,""),preDEL!R13)</f>
        <v/>
      </c>
      <c r="S13" s="104" t="str">
        <f>IF(preDEL!$AG13,IFERROR(0/0,""),preDEL!S13)</f>
        <v/>
      </c>
      <c r="T13" s="110" t="str">
        <f>IF(preDEL!$AG13,IFERROR(0/0,""),preDEL!T13)</f>
        <v/>
      </c>
      <c r="U13" s="112" t="str">
        <f>IF(preDEL!$AG13,IFERROR(0/0,""),preDEL!U13)</f>
        <v/>
      </c>
      <c r="V13" s="105" t="str">
        <f>IF(preDEL!$AG13,IFERROR(0/0,""),preDEL!V13)</f>
        <v/>
      </c>
      <c r="W13" s="112" t="str">
        <f>IF(preDEL!$AG13,IFERROR(0/0,""),preDEL!W13)</f>
        <v/>
      </c>
      <c r="X13" s="104" t="str">
        <f>IF(preDEL!$AG13,IFERROR(0/0,""),preDEL!X13)</f>
        <v/>
      </c>
      <c r="Y13" s="110" t="str">
        <f>IF(preDEL!$AG13,IFERROR(0/0,""),preDEL!Y13)</f>
        <v/>
      </c>
      <c r="Z13" s="105" t="str">
        <f>IF(preDEL!$AG13,IFERROR(0/0,""),preDEL!Z13)</f>
        <v/>
      </c>
      <c r="AA13" s="110" t="str">
        <f>IF(preDEL!$AG13,IFERROR(0/0,""),preDEL!AA13)</f>
        <v/>
      </c>
      <c r="AB13" s="110" t="str">
        <f>IF(preDEL!$AG13,IFERROR(0/0,""),preDEL!AB13)</f>
        <v/>
      </c>
      <c r="AC13" s="172" t="str">
        <f>IF(preDEL!$AG13,IFERROR(0/0,""),preDEL!AC13)</f>
        <v/>
      </c>
      <c r="AD13" s="104" t="str">
        <f>IF(preDEL!$AG13,IFERROR(0/0,""),preDEL!AD13)</f>
        <v/>
      </c>
      <c r="AE13" s="173" t="str">
        <f>IF(preDEL!$AG13,IFERROR(0/0,""),preDEL!AE13)</f>
        <v/>
      </c>
      <c r="AF13" s="110" t="str">
        <f>IF(preDEL!$AG13,IFERROR(0/0,""),preDEL!AF13)</f>
        <v/>
      </c>
      <c r="AG13" s="110" t="str">
        <f>IF(preDEL!$AG13,IFERROR(0/0,""),preDEL!AG13)</f>
        <v/>
      </c>
      <c r="AH13" s="104" t="str">
        <f>IF(preDEL!$AG13,IFERROR(0/0,""),preDEL!AH13)</f>
        <v/>
      </c>
      <c r="AI13" s="105" t="str">
        <f>IF(preDEL!$AG13,IFERROR(0/0,""),preDEL!AI13)</f>
        <v/>
      </c>
      <c r="AJ13" s="112" t="str">
        <f>IF(preDEL!$AG13,IFERROR(0/0,""),preDEL!AJ13)</f>
        <v/>
      </c>
      <c r="AK13" s="105" t="str">
        <f>IF(preDEL!$AG13,IFERROR(0/0,""),preDEL!AK13)</f>
        <v/>
      </c>
      <c r="AL13" s="112" t="str">
        <f>IF(preDEL!$AG13,IFERROR(0/0,""),preDEL!AL13)</f>
        <v/>
      </c>
      <c r="AM13" s="112" t="str">
        <f>IF(preDEL!$AG13,IFERROR(0/0,""),preDEL!AM13)</f>
        <v/>
      </c>
      <c r="AN13" s="112" t="str">
        <f>IF(preDEL!$AG13,IFERROR(0/0,""),preDEL!AN13)</f>
        <v/>
      </c>
      <c r="AO13" s="112" t="str">
        <f>IF(preDEL!$AG13,IFERROR(0/0,""),preDEL!AO13)</f>
        <v/>
      </c>
      <c r="AP13" s="112" t="str">
        <f>IF(preDEL!$AG13,IFERROR(0/0,""),preDEL!AP13)</f>
        <v/>
      </c>
      <c r="AQ13" s="112" t="str">
        <f>IF(preDEL!$AG13,IFERROR(0/0,""),preDEL!AQ13)</f>
        <v/>
      </c>
      <c r="AR13" s="112" t="str">
        <f>IF(preDEL!$AG13,IFERROR(0/0,""),preDEL!AR13)</f>
        <v/>
      </c>
      <c r="AS13" s="112" t="str">
        <f>IF(preDEL!$AG13,IFERROR(0/0,""),preDEL!AS13)</f>
        <v/>
      </c>
      <c r="AT13" s="112" t="str">
        <f>IF(preDEL!$AG13,IFERROR(0/0,""),preDEL!AT13)</f>
        <v/>
      </c>
      <c r="AU13" s="112" t="str">
        <f>IF(preDEL!$AG13,IFERROR(0/0,""),preDEL!AU13)</f>
        <v/>
      </c>
      <c r="AV13" s="112" t="str">
        <f>IF(preDEL!$AG13,IFERROR(0/0,""),preDEL!AV13)</f>
        <v/>
      </c>
      <c r="AW13" s="112" t="str">
        <f>IF(preDEL!$AG13,IFERROR(0/0,""),preDEL!AW13)</f>
        <v/>
      </c>
      <c r="AX13" s="112" t="str">
        <f>IF(preDEL!$AG13,IFERROR(0/0,""),preDEL!AX13)</f>
        <v/>
      </c>
      <c r="AY13" s="112" t="str">
        <f>IF(preDEL!$AG13,IFERROR(0/0,""),preDEL!AY13)</f>
        <v/>
      </c>
      <c r="AZ13" s="174"/>
      <c r="BA13" s="174"/>
      <c r="BB13" s="174"/>
      <c r="BC13" s="174"/>
      <c r="BD13" s="174"/>
      <c r="BE13" s="174"/>
      <c r="BF13" s="174"/>
      <c r="BG13" s="174"/>
      <c r="BH13" s="174"/>
      <c r="BI13" s="174"/>
      <c r="BJ13" s="174"/>
      <c r="BK13" s="174"/>
      <c r="BL13" s="174"/>
      <c r="BM13" s="174"/>
      <c r="BN13" s="174"/>
      <c r="BO13" s="174"/>
      <c r="BP13" s="174"/>
      <c r="BQ13" s="174"/>
      <c r="BR13" s="174"/>
      <c r="BS13" s="174"/>
      <c r="BT13" s="174"/>
      <c r="BU13" s="174"/>
      <c r="BV13" s="174"/>
      <c r="BW13" s="174"/>
      <c r="BX13" s="174"/>
      <c r="BY13" s="174"/>
      <c r="BZ13" s="174"/>
      <c r="CA13" s="174"/>
      <c r="CB13" s="174"/>
      <c r="CC13" s="174"/>
      <c r="CD13" s="174"/>
    </row>
    <row r="14">
      <c r="A14" s="105" t="str">
        <f>IF(preDEL!$AG14,IFERROR(0/0,""),preDEL!A14)</f>
        <v/>
      </c>
      <c r="B14" s="170" t="str">
        <f>IF(preDEL!$AG14,IFERROR(0/0,""),preDEL!B14)</f>
        <v/>
      </c>
      <c r="C14" s="171" t="str">
        <f>IF(preDEL!$AG14,IFERROR(0/0,""),preDEL!C14)</f>
        <v/>
      </c>
      <c r="D14" s="105" t="str">
        <f>IF(preDEL!$AG14,IFERROR(0/0,""),preDEL!D14)</f>
        <v/>
      </c>
      <c r="E14" s="105" t="str">
        <f>IF(preDEL!$AG14,IFERROR(0/0,""),preDEL!E14)</f>
        <v/>
      </c>
      <c r="F14" s="112" t="str">
        <f>IF(preDEL!$AG14,IFERROR(0/0,""),preDEL!F14)</f>
        <v/>
      </c>
      <c r="G14" s="112" t="str">
        <f>IF(preDEL!$AG14,IFERROR(0/0,""),preDEL!G14)</f>
        <v/>
      </c>
      <c r="H14" s="112" t="str">
        <f>IF(preDEL!$AG14,IFERROR(0/0,""),preDEL!H14)</f>
        <v/>
      </c>
      <c r="I14" s="105" t="str">
        <f>IF(preDEL!$AG14,IFERROR(0/0,""),preDEL!I14)</f>
        <v/>
      </c>
      <c r="J14" s="105" t="str">
        <f>IF(preDEL!$AG14,IFERROR(0/0,""),preDEL!J14)</f>
        <v/>
      </c>
      <c r="K14" s="105" t="str">
        <f>IF(preDEL!$AG14,IFERROR(0/0,""),preDEL!K14)</f>
        <v/>
      </c>
      <c r="L14" s="170" t="str">
        <f>IF(preDEL!$AG14,IFERROR(0/0,""),preDEL!L14)</f>
        <v/>
      </c>
      <c r="M14" s="171" t="str">
        <f>IF(preDEL!$AG14,IFERROR(0/0,""),preDEL!M14)</f>
        <v/>
      </c>
      <c r="N14" s="112" t="str">
        <f>IF(preDEL!$AG14,IFERROR(0/0,""),preDEL!N14)</f>
        <v/>
      </c>
      <c r="O14" s="112" t="str">
        <f>IF(preDEL!$AG14,IFERROR(0/0,""),preDEL!O14)</f>
        <v/>
      </c>
      <c r="P14" s="110" t="str">
        <f>IF(preDEL!$AG14,IFERROR(0/0,""),preDEL!P14)</f>
        <v/>
      </c>
      <c r="Q14" s="110" t="str">
        <f>IF(preDEL!$AG14,IFERROR(0/0,""),preDEL!Q14)</f>
        <v/>
      </c>
      <c r="R14" s="104" t="str">
        <f>IF(preDEL!$AG14,IFERROR(0/0,""),preDEL!R14)</f>
        <v/>
      </c>
      <c r="S14" s="104" t="str">
        <f>IF(preDEL!$AG14,IFERROR(0/0,""),preDEL!S14)</f>
        <v/>
      </c>
      <c r="T14" s="110" t="str">
        <f>IF(preDEL!$AG14,IFERROR(0/0,""),preDEL!T14)</f>
        <v/>
      </c>
      <c r="U14" s="112" t="str">
        <f>IF(preDEL!$AG14,IFERROR(0/0,""),preDEL!U14)</f>
        <v/>
      </c>
      <c r="V14" s="105" t="str">
        <f>IF(preDEL!$AG14,IFERROR(0/0,""),preDEL!V14)</f>
        <v/>
      </c>
      <c r="W14" s="112" t="str">
        <f>IF(preDEL!$AG14,IFERROR(0/0,""),preDEL!W14)</f>
        <v/>
      </c>
      <c r="X14" s="104" t="str">
        <f>IF(preDEL!$AG14,IFERROR(0/0,""),preDEL!X14)</f>
        <v/>
      </c>
      <c r="Y14" s="110" t="str">
        <f>IF(preDEL!$AG14,IFERROR(0/0,""),preDEL!Y14)</f>
        <v/>
      </c>
      <c r="Z14" s="105" t="str">
        <f>IF(preDEL!$AG14,IFERROR(0/0,""),preDEL!Z14)</f>
        <v/>
      </c>
      <c r="AA14" s="110" t="str">
        <f>IF(preDEL!$AG14,IFERROR(0/0,""),preDEL!AA14)</f>
        <v/>
      </c>
      <c r="AB14" s="110" t="str">
        <f>IF(preDEL!$AG14,IFERROR(0/0,""),preDEL!AB14)</f>
        <v/>
      </c>
      <c r="AC14" s="172" t="str">
        <f>IF(preDEL!$AG14,IFERROR(0/0,""),preDEL!AC14)</f>
        <v/>
      </c>
      <c r="AD14" s="104" t="str">
        <f>IF(preDEL!$AG14,IFERROR(0/0,""),preDEL!AD14)</f>
        <v/>
      </c>
      <c r="AE14" s="173" t="str">
        <f>IF(preDEL!$AG14,IFERROR(0/0,""),preDEL!AE14)</f>
        <v/>
      </c>
      <c r="AF14" s="110" t="str">
        <f>IF(preDEL!$AG14,IFERROR(0/0,""),preDEL!AF14)</f>
        <v/>
      </c>
      <c r="AG14" s="110" t="str">
        <f>IF(preDEL!$AG14,IFERROR(0/0,""),preDEL!AG14)</f>
        <v/>
      </c>
      <c r="AH14" s="104" t="str">
        <f>IF(preDEL!$AG14,IFERROR(0/0,""),preDEL!AH14)</f>
        <v/>
      </c>
      <c r="AI14" s="105" t="str">
        <f>IF(preDEL!$AG14,IFERROR(0/0,""),preDEL!AI14)</f>
        <v/>
      </c>
      <c r="AJ14" s="112" t="str">
        <f>IF(preDEL!$AG14,IFERROR(0/0,""),preDEL!AJ14)</f>
        <v/>
      </c>
      <c r="AK14" s="105" t="str">
        <f>IF(preDEL!$AG14,IFERROR(0/0,""),preDEL!AK14)</f>
        <v/>
      </c>
      <c r="AL14" s="112" t="str">
        <f>IF(preDEL!$AG14,IFERROR(0/0,""),preDEL!AL14)</f>
        <v/>
      </c>
      <c r="AM14" s="112" t="str">
        <f>IF(preDEL!$AG14,IFERROR(0/0,""),preDEL!AM14)</f>
        <v/>
      </c>
      <c r="AN14" s="112" t="str">
        <f>IF(preDEL!$AG14,IFERROR(0/0,""),preDEL!AN14)</f>
        <v/>
      </c>
      <c r="AO14" s="112" t="str">
        <f>IF(preDEL!$AG14,IFERROR(0/0,""),preDEL!AO14)</f>
        <v/>
      </c>
      <c r="AP14" s="112" t="str">
        <f>IF(preDEL!$AG14,IFERROR(0/0,""),preDEL!AP14)</f>
        <v/>
      </c>
      <c r="AQ14" s="112" t="str">
        <f>IF(preDEL!$AG14,IFERROR(0/0,""),preDEL!AQ14)</f>
        <v/>
      </c>
      <c r="AR14" s="112" t="str">
        <f>IF(preDEL!$AG14,IFERROR(0/0,""),preDEL!AR14)</f>
        <v/>
      </c>
      <c r="AS14" s="112" t="str">
        <f>IF(preDEL!$AG14,IFERROR(0/0,""),preDEL!AS14)</f>
        <v/>
      </c>
      <c r="AT14" s="112" t="str">
        <f>IF(preDEL!$AG14,IFERROR(0/0,""),preDEL!AT14)</f>
        <v/>
      </c>
      <c r="AU14" s="112" t="str">
        <f>IF(preDEL!$AG14,IFERROR(0/0,""),preDEL!AU14)</f>
        <v/>
      </c>
      <c r="AV14" s="112" t="str">
        <f>IF(preDEL!$AG14,IFERROR(0/0,""),preDEL!AV14)</f>
        <v/>
      </c>
      <c r="AW14" s="112" t="str">
        <f>IF(preDEL!$AG14,IFERROR(0/0,""),preDEL!AW14)</f>
        <v/>
      </c>
      <c r="AX14" s="112" t="str">
        <f>IF(preDEL!$AG14,IFERROR(0/0,""),preDEL!AX14)</f>
        <v/>
      </c>
      <c r="AY14" s="112" t="str">
        <f>IF(preDEL!$AG14,IFERROR(0/0,""),preDEL!AY14)</f>
        <v/>
      </c>
      <c r="AZ14" s="174"/>
      <c r="BA14" s="174"/>
      <c r="BB14" s="174"/>
      <c r="BC14" s="174"/>
      <c r="BD14" s="174"/>
      <c r="BE14" s="174"/>
      <c r="BF14" s="174"/>
      <c r="BG14" s="174"/>
      <c r="BH14" s="174"/>
      <c r="BI14" s="174"/>
      <c r="BJ14" s="174"/>
      <c r="BK14" s="174"/>
      <c r="BL14" s="174"/>
      <c r="BM14" s="174"/>
      <c r="BN14" s="174"/>
      <c r="BO14" s="174"/>
      <c r="BP14" s="174"/>
      <c r="BQ14" s="174"/>
      <c r="BR14" s="174"/>
      <c r="BS14" s="174"/>
      <c r="BT14" s="174"/>
      <c r="BU14" s="174"/>
      <c r="BV14" s="174"/>
      <c r="BW14" s="174"/>
      <c r="BX14" s="174"/>
      <c r="BY14" s="174"/>
      <c r="BZ14" s="174"/>
      <c r="CA14" s="174"/>
      <c r="CB14" s="174"/>
      <c r="CC14" s="174"/>
      <c r="CD14" s="174"/>
    </row>
    <row r="15">
      <c r="A15" s="105" t="str">
        <f>IF(preDEL!$AG15,IFERROR(0/0,""),preDEL!A15)</f>
        <v/>
      </c>
      <c r="B15" s="170" t="str">
        <f>IF(preDEL!$AG15,IFERROR(0/0,""),preDEL!B15)</f>
        <v/>
      </c>
      <c r="C15" s="171" t="str">
        <f>IF(preDEL!$AG15,IFERROR(0/0,""),preDEL!C15)</f>
        <v/>
      </c>
      <c r="D15" s="105" t="str">
        <f>IF(preDEL!$AG15,IFERROR(0/0,""),preDEL!D15)</f>
        <v/>
      </c>
      <c r="E15" s="105" t="str">
        <f>IF(preDEL!$AG15,IFERROR(0/0,""),preDEL!E15)</f>
        <v/>
      </c>
      <c r="F15" s="112" t="str">
        <f>IF(preDEL!$AG15,IFERROR(0/0,""),preDEL!F15)</f>
        <v/>
      </c>
      <c r="G15" s="112" t="str">
        <f>IF(preDEL!$AG15,IFERROR(0/0,""),preDEL!G15)</f>
        <v/>
      </c>
      <c r="H15" s="112" t="str">
        <f>IF(preDEL!$AG15,IFERROR(0/0,""),preDEL!H15)</f>
        <v/>
      </c>
      <c r="I15" s="105" t="str">
        <f>IF(preDEL!$AG15,IFERROR(0/0,""),preDEL!I15)</f>
        <v/>
      </c>
      <c r="J15" s="105" t="str">
        <f>IF(preDEL!$AG15,IFERROR(0/0,""),preDEL!J15)</f>
        <v/>
      </c>
      <c r="K15" s="105" t="str">
        <f>IF(preDEL!$AG15,IFERROR(0/0,""),preDEL!K15)</f>
        <v/>
      </c>
      <c r="L15" s="170" t="str">
        <f>IF(preDEL!$AG15,IFERROR(0/0,""),preDEL!L15)</f>
        <v/>
      </c>
      <c r="M15" s="171" t="str">
        <f>IF(preDEL!$AG15,IFERROR(0/0,""),preDEL!M15)</f>
        <v/>
      </c>
      <c r="N15" s="112" t="str">
        <f>IF(preDEL!$AG15,IFERROR(0/0,""),preDEL!N15)</f>
        <v/>
      </c>
      <c r="O15" s="112" t="str">
        <f>IF(preDEL!$AG15,IFERROR(0/0,""),preDEL!O15)</f>
        <v/>
      </c>
      <c r="P15" s="110" t="str">
        <f>IF(preDEL!$AG15,IFERROR(0/0,""),preDEL!P15)</f>
        <v/>
      </c>
      <c r="Q15" s="110" t="str">
        <f>IF(preDEL!$AG15,IFERROR(0/0,""),preDEL!Q15)</f>
        <v/>
      </c>
      <c r="R15" s="104" t="str">
        <f>IF(preDEL!$AG15,IFERROR(0/0,""),preDEL!R15)</f>
        <v/>
      </c>
      <c r="S15" s="104" t="str">
        <f>IF(preDEL!$AG15,IFERROR(0/0,""),preDEL!S15)</f>
        <v/>
      </c>
      <c r="T15" s="110" t="str">
        <f>IF(preDEL!$AG15,IFERROR(0/0,""),preDEL!T15)</f>
        <v/>
      </c>
      <c r="U15" s="112" t="str">
        <f>IF(preDEL!$AG15,IFERROR(0/0,""),preDEL!U15)</f>
        <v/>
      </c>
      <c r="V15" s="105" t="str">
        <f>IF(preDEL!$AG15,IFERROR(0/0,""),preDEL!V15)</f>
        <v/>
      </c>
      <c r="W15" s="112" t="str">
        <f>IF(preDEL!$AG15,IFERROR(0/0,""),preDEL!W15)</f>
        <v/>
      </c>
      <c r="X15" s="104" t="str">
        <f>IF(preDEL!$AG15,IFERROR(0/0,""),preDEL!X15)</f>
        <v/>
      </c>
      <c r="Y15" s="110" t="str">
        <f>IF(preDEL!$AG15,IFERROR(0/0,""),preDEL!Y15)</f>
        <v/>
      </c>
      <c r="Z15" s="105" t="str">
        <f>IF(preDEL!$AG15,IFERROR(0/0,""),preDEL!Z15)</f>
        <v/>
      </c>
      <c r="AA15" s="110" t="str">
        <f>IF(preDEL!$AG15,IFERROR(0/0,""),preDEL!AA15)</f>
        <v/>
      </c>
      <c r="AB15" s="110" t="str">
        <f>IF(preDEL!$AG15,IFERROR(0/0,""),preDEL!AB15)</f>
        <v/>
      </c>
      <c r="AC15" s="172" t="str">
        <f>IF(preDEL!$AG15,IFERROR(0/0,""),preDEL!AC15)</f>
        <v/>
      </c>
      <c r="AD15" s="104" t="str">
        <f>IF(preDEL!$AG15,IFERROR(0/0,""),preDEL!AD15)</f>
        <v/>
      </c>
      <c r="AE15" s="173" t="str">
        <f>IF(preDEL!$AG15,IFERROR(0/0,""),preDEL!AE15)</f>
        <v/>
      </c>
      <c r="AF15" s="110" t="str">
        <f>IF(preDEL!$AG15,IFERROR(0/0,""),preDEL!AF15)</f>
        <v/>
      </c>
      <c r="AG15" s="110" t="str">
        <f>IF(preDEL!$AG15,IFERROR(0/0,""),preDEL!AG15)</f>
        <v/>
      </c>
      <c r="AH15" s="104" t="str">
        <f>IF(preDEL!$AG15,IFERROR(0/0,""),preDEL!AH15)</f>
        <v/>
      </c>
      <c r="AI15" s="105" t="str">
        <f>IF(preDEL!$AG15,IFERROR(0/0,""),preDEL!AI15)</f>
        <v/>
      </c>
      <c r="AJ15" s="112" t="str">
        <f>IF(preDEL!$AG15,IFERROR(0/0,""),preDEL!AJ15)</f>
        <v/>
      </c>
      <c r="AK15" s="105" t="str">
        <f>IF(preDEL!$AG15,IFERROR(0/0,""),preDEL!AK15)</f>
        <v/>
      </c>
      <c r="AL15" s="112" t="str">
        <f>IF(preDEL!$AG15,IFERROR(0/0,""),preDEL!AL15)</f>
        <v/>
      </c>
      <c r="AM15" s="112" t="str">
        <f>IF(preDEL!$AG15,IFERROR(0/0,""),preDEL!AM15)</f>
        <v/>
      </c>
      <c r="AN15" s="112" t="str">
        <f>IF(preDEL!$AG15,IFERROR(0/0,""),preDEL!AN15)</f>
        <v/>
      </c>
      <c r="AO15" s="112" t="str">
        <f>IF(preDEL!$AG15,IFERROR(0/0,""),preDEL!AO15)</f>
        <v/>
      </c>
      <c r="AP15" s="112" t="str">
        <f>IF(preDEL!$AG15,IFERROR(0/0,""),preDEL!AP15)</f>
        <v/>
      </c>
      <c r="AQ15" s="112" t="str">
        <f>IF(preDEL!$AG15,IFERROR(0/0,""),preDEL!AQ15)</f>
        <v/>
      </c>
      <c r="AR15" s="112" t="str">
        <f>IF(preDEL!$AG15,IFERROR(0/0,""),preDEL!AR15)</f>
        <v/>
      </c>
      <c r="AS15" s="112" t="str">
        <f>IF(preDEL!$AG15,IFERROR(0/0,""),preDEL!AS15)</f>
        <v/>
      </c>
      <c r="AT15" s="112" t="str">
        <f>IF(preDEL!$AG15,IFERROR(0/0,""),preDEL!AT15)</f>
        <v/>
      </c>
      <c r="AU15" s="112" t="str">
        <f>IF(preDEL!$AG15,IFERROR(0/0,""),preDEL!AU15)</f>
        <v/>
      </c>
      <c r="AV15" s="112" t="str">
        <f>IF(preDEL!$AG15,IFERROR(0/0,""),preDEL!AV15)</f>
        <v/>
      </c>
      <c r="AW15" s="112" t="str">
        <f>IF(preDEL!$AG15,IFERROR(0/0,""),preDEL!AW15)</f>
        <v/>
      </c>
      <c r="AX15" s="112" t="str">
        <f>IF(preDEL!$AG15,IFERROR(0/0,""),preDEL!AX15)</f>
        <v/>
      </c>
      <c r="AY15" s="112" t="str">
        <f>IF(preDEL!$AG15,IFERROR(0/0,""),preDEL!AY15)</f>
        <v/>
      </c>
      <c r="AZ15" s="174"/>
      <c r="BA15" s="174"/>
      <c r="BB15" s="174"/>
      <c r="BC15" s="174"/>
      <c r="BD15" s="174"/>
      <c r="BE15" s="174"/>
      <c r="BF15" s="174"/>
      <c r="BG15" s="174"/>
      <c r="BH15" s="174"/>
      <c r="BI15" s="174"/>
      <c r="BJ15" s="174"/>
      <c r="BK15" s="174"/>
      <c r="BL15" s="174"/>
      <c r="BM15" s="174"/>
      <c r="BN15" s="174"/>
      <c r="BO15" s="174"/>
      <c r="BP15" s="174"/>
      <c r="BQ15" s="174"/>
      <c r="BR15" s="174"/>
      <c r="BS15" s="174"/>
      <c r="BT15" s="174"/>
      <c r="BU15" s="174"/>
      <c r="BV15" s="174"/>
      <c r="BW15" s="174"/>
      <c r="BX15" s="174"/>
      <c r="BY15" s="174"/>
      <c r="BZ15" s="174"/>
      <c r="CA15" s="174"/>
      <c r="CB15" s="174"/>
      <c r="CC15" s="174"/>
      <c r="CD15" s="174"/>
    </row>
    <row r="16">
      <c r="A16" s="105" t="str">
        <f>IF(preDEL!$AG16,IFERROR(0/0,""),preDEL!A16)</f>
        <v/>
      </c>
      <c r="B16" s="170" t="str">
        <f>IF(preDEL!$AG16,IFERROR(0/0,""),preDEL!B16)</f>
        <v/>
      </c>
      <c r="C16" s="171" t="str">
        <f>IF(preDEL!$AG16,IFERROR(0/0,""),preDEL!C16)</f>
        <v/>
      </c>
      <c r="D16" s="105" t="str">
        <f>IF(preDEL!$AG16,IFERROR(0/0,""),preDEL!D16)</f>
        <v/>
      </c>
      <c r="E16" s="105" t="str">
        <f>IF(preDEL!$AG16,IFERROR(0/0,""),preDEL!E16)</f>
        <v/>
      </c>
      <c r="F16" s="112" t="str">
        <f>IF(preDEL!$AG16,IFERROR(0/0,""),preDEL!F16)</f>
        <v/>
      </c>
      <c r="G16" s="112" t="str">
        <f>IF(preDEL!$AG16,IFERROR(0/0,""),preDEL!G16)</f>
        <v/>
      </c>
      <c r="H16" s="112" t="str">
        <f>IF(preDEL!$AG16,IFERROR(0/0,""),preDEL!H16)</f>
        <v/>
      </c>
      <c r="I16" s="105" t="str">
        <f>IF(preDEL!$AG16,IFERROR(0/0,""),preDEL!I16)</f>
        <v/>
      </c>
      <c r="J16" s="105" t="str">
        <f>IF(preDEL!$AG16,IFERROR(0/0,""),preDEL!J16)</f>
        <v/>
      </c>
      <c r="K16" s="105" t="str">
        <f>IF(preDEL!$AG16,IFERROR(0/0,""),preDEL!K16)</f>
        <v/>
      </c>
      <c r="L16" s="170" t="str">
        <f>IF(preDEL!$AG16,IFERROR(0/0,""),preDEL!L16)</f>
        <v/>
      </c>
      <c r="M16" s="171" t="str">
        <f>IF(preDEL!$AG16,IFERROR(0/0,""),preDEL!M16)</f>
        <v/>
      </c>
      <c r="N16" s="112" t="str">
        <f>IF(preDEL!$AG16,IFERROR(0/0,""),preDEL!N16)</f>
        <v/>
      </c>
      <c r="O16" s="112" t="str">
        <f>IF(preDEL!$AG16,IFERROR(0/0,""),preDEL!O16)</f>
        <v/>
      </c>
      <c r="P16" s="110" t="str">
        <f>IF(preDEL!$AG16,IFERROR(0/0,""),preDEL!P16)</f>
        <v/>
      </c>
      <c r="Q16" s="110" t="str">
        <f>IF(preDEL!$AG16,IFERROR(0/0,""),preDEL!Q16)</f>
        <v/>
      </c>
      <c r="R16" s="104" t="str">
        <f>IF(preDEL!$AG16,IFERROR(0/0,""),preDEL!R16)</f>
        <v/>
      </c>
      <c r="S16" s="104" t="str">
        <f>IF(preDEL!$AG16,IFERROR(0/0,""),preDEL!S16)</f>
        <v/>
      </c>
      <c r="T16" s="110" t="str">
        <f>IF(preDEL!$AG16,IFERROR(0/0,""),preDEL!T16)</f>
        <v/>
      </c>
      <c r="U16" s="112" t="str">
        <f>IF(preDEL!$AG16,IFERROR(0/0,""),preDEL!U16)</f>
        <v/>
      </c>
      <c r="V16" s="105" t="str">
        <f>IF(preDEL!$AG16,IFERROR(0/0,""),preDEL!V16)</f>
        <v/>
      </c>
      <c r="W16" s="112" t="str">
        <f>IF(preDEL!$AG16,IFERROR(0/0,""),preDEL!W16)</f>
        <v/>
      </c>
      <c r="X16" s="104" t="str">
        <f>IF(preDEL!$AG16,IFERROR(0/0,""),preDEL!X16)</f>
        <v/>
      </c>
      <c r="Y16" s="110" t="str">
        <f>IF(preDEL!$AG16,IFERROR(0/0,""),preDEL!Y16)</f>
        <v/>
      </c>
      <c r="Z16" s="105" t="str">
        <f>IF(preDEL!$AG16,IFERROR(0/0,""),preDEL!Z16)</f>
        <v/>
      </c>
      <c r="AA16" s="110" t="str">
        <f>IF(preDEL!$AG16,IFERROR(0/0,""),preDEL!AA16)</f>
        <v/>
      </c>
      <c r="AB16" s="110" t="str">
        <f>IF(preDEL!$AG16,IFERROR(0/0,""),preDEL!AB16)</f>
        <v/>
      </c>
      <c r="AC16" s="172" t="str">
        <f>IF(preDEL!$AG16,IFERROR(0/0,""),preDEL!AC16)</f>
        <v/>
      </c>
      <c r="AD16" s="104" t="str">
        <f>IF(preDEL!$AG16,IFERROR(0/0,""),preDEL!AD16)</f>
        <v/>
      </c>
      <c r="AE16" s="173" t="str">
        <f>IF(preDEL!$AG16,IFERROR(0/0,""),preDEL!AE16)</f>
        <v/>
      </c>
      <c r="AF16" s="110" t="str">
        <f>IF(preDEL!$AG16,IFERROR(0/0,""),preDEL!AF16)</f>
        <v/>
      </c>
      <c r="AG16" s="110" t="str">
        <f>IF(preDEL!$AG16,IFERROR(0/0,""),preDEL!AG16)</f>
        <v/>
      </c>
      <c r="AH16" s="104" t="str">
        <f>IF(preDEL!$AG16,IFERROR(0/0,""),preDEL!AH16)</f>
        <v/>
      </c>
      <c r="AI16" s="105" t="str">
        <f>IF(preDEL!$AG16,IFERROR(0/0,""),preDEL!AI16)</f>
        <v/>
      </c>
      <c r="AJ16" s="112" t="str">
        <f>IF(preDEL!$AG16,IFERROR(0/0,""),preDEL!AJ16)</f>
        <v/>
      </c>
      <c r="AK16" s="105" t="str">
        <f>IF(preDEL!$AG16,IFERROR(0/0,""),preDEL!AK16)</f>
        <v/>
      </c>
      <c r="AL16" s="112" t="str">
        <f>IF(preDEL!$AG16,IFERROR(0/0,""),preDEL!AL16)</f>
        <v/>
      </c>
      <c r="AM16" s="112" t="str">
        <f>IF(preDEL!$AG16,IFERROR(0/0,""),preDEL!AM16)</f>
        <v/>
      </c>
      <c r="AN16" s="112" t="str">
        <f>IF(preDEL!$AG16,IFERROR(0/0,""),preDEL!AN16)</f>
        <v/>
      </c>
      <c r="AO16" s="112" t="str">
        <f>IF(preDEL!$AG16,IFERROR(0/0,""),preDEL!AO16)</f>
        <v/>
      </c>
      <c r="AP16" s="112" t="str">
        <f>IF(preDEL!$AG16,IFERROR(0/0,""),preDEL!AP16)</f>
        <v/>
      </c>
      <c r="AQ16" s="112" t="str">
        <f>IF(preDEL!$AG16,IFERROR(0/0,""),preDEL!AQ16)</f>
        <v/>
      </c>
      <c r="AR16" s="112" t="str">
        <f>IF(preDEL!$AG16,IFERROR(0/0,""),preDEL!AR16)</f>
        <v/>
      </c>
      <c r="AS16" s="112" t="str">
        <f>IF(preDEL!$AG16,IFERROR(0/0,""),preDEL!AS16)</f>
        <v/>
      </c>
      <c r="AT16" s="112" t="str">
        <f>IF(preDEL!$AG16,IFERROR(0/0,""),preDEL!AT16)</f>
        <v/>
      </c>
      <c r="AU16" s="112" t="str">
        <f>IF(preDEL!$AG16,IFERROR(0/0,""),preDEL!AU16)</f>
        <v/>
      </c>
      <c r="AV16" s="112" t="str">
        <f>IF(preDEL!$AG16,IFERROR(0/0,""),preDEL!AV16)</f>
        <v/>
      </c>
      <c r="AW16" s="112" t="str">
        <f>IF(preDEL!$AG16,IFERROR(0/0,""),preDEL!AW16)</f>
        <v/>
      </c>
      <c r="AX16" s="112" t="str">
        <f>IF(preDEL!$AG16,IFERROR(0/0,""),preDEL!AX16)</f>
        <v/>
      </c>
      <c r="AY16" s="112" t="str">
        <f>IF(preDEL!$AG16,IFERROR(0/0,""),preDEL!AY16)</f>
        <v/>
      </c>
      <c r="AZ16" s="174"/>
      <c r="BA16" s="174"/>
      <c r="BB16" s="174"/>
      <c r="BC16" s="174"/>
      <c r="BD16" s="174"/>
      <c r="BE16" s="174"/>
      <c r="BF16" s="174"/>
      <c r="BG16" s="174"/>
      <c r="BH16" s="174"/>
      <c r="BI16" s="174"/>
      <c r="BJ16" s="174"/>
      <c r="BK16" s="174"/>
      <c r="BL16" s="174"/>
      <c r="BM16" s="174"/>
      <c r="BN16" s="174"/>
      <c r="BO16" s="174"/>
      <c r="BP16" s="174"/>
      <c r="BQ16" s="174"/>
      <c r="BR16" s="174"/>
      <c r="BS16" s="174"/>
      <c r="BT16" s="174"/>
      <c r="BU16" s="174"/>
      <c r="BV16" s="174"/>
      <c r="BW16" s="174"/>
      <c r="BX16" s="174"/>
      <c r="BY16" s="174"/>
      <c r="BZ16" s="174"/>
      <c r="CA16" s="174"/>
      <c r="CB16" s="174"/>
      <c r="CC16" s="174"/>
      <c r="CD16" s="174"/>
    </row>
    <row r="17">
      <c r="A17" s="105" t="str">
        <f>IF(preDEL!$AG17,IFERROR(0/0,""),preDEL!A17)</f>
        <v/>
      </c>
      <c r="B17" s="170" t="str">
        <f>IF(preDEL!$AG17,IFERROR(0/0,""),preDEL!B17)</f>
        <v/>
      </c>
      <c r="C17" s="171" t="str">
        <f>IF(preDEL!$AG17,IFERROR(0/0,""),preDEL!C17)</f>
        <v/>
      </c>
      <c r="D17" s="105" t="str">
        <f>IF(preDEL!$AG17,IFERROR(0/0,""),preDEL!D17)</f>
        <v/>
      </c>
      <c r="E17" s="105" t="str">
        <f>IF(preDEL!$AG17,IFERROR(0/0,""),preDEL!E17)</f>
        <v/>
      </c>
      <c r="F17" s="112" t="str">
        <f>IF(preDEL!$AG17,IFERROR(0/0,""),preDEL!F17)</f>
        <v/>
      </c>
      <c r="G17" s="112" t="str">
        <f>IF(preDEL!$AG17,IFERROR(0/0,""),preDEL!G17)</f>
        <v/>
      </c>
      <c r="H17" s="112" t="str">
        <f>IF(preDEL!$AG17,IFERROR(0/0,""),preDEL!H17)</f>
        <v/>
      </c>
      <c r="I17" s="105" t="str">
        <f>IF(preDEL!$AG17,IFERROR(0/0,""),preDEL!I17)</f>
        <v/>
      </c>
      <c r="J17" s="105" t="str">
        <f>IF(preDEL!$AG17,IFERROR(0/0,""),preDEL!J17)</f>
        <v/>
      </c>
      <c r="K17" s="105" t="str">
        <f>IF(preDEL!$AG17,IFERROR(0/0,""),preDEL!K17)</f>
        <v/>
      </c>
      <c r="L17" s="170" t="str">
        <f>IF(preDEL!$AG17,IFERROR(0/0,""),preDEL!L17)</f>
        <v/>
      </c>
      <c r="M17" s="171" t="str">
        <f>IF(preDEL!$AG17,IFERROR(0/0,""),preDEL!M17)</f>
        <v/>
      </c>
      <c r="N17" s="112" t="str">
        <f>IF(preDEL!$AG17,IFERROR(0/0,""),preDEL!N17)</f>
        <v/>
      </c>
      <c r="O17" s="112" t="str">
        <f>IF(preDEL!$AG17,IFERROR(0/0,""),preDEL!O17)</f>
        <v/>
      </c>
      <c r="P17" s="110" t="str">
        <f>IF(preDEL!$AG17,IFERROR(0/0,""),preDEL!P17)</f>
        <v/>
      </c>
      <c r="Q17" s="110" t="str">
        <f>IF(preDEL!$AG17,IFERROR(0/0,""),preDEL!Q17)</f>
        <v/>
      </c>
      <c r="R17" s="104" t="str">
        <f>IF(preDEL!$AG17,IFERROR(0/0,""),preDEL!R17)</f>
        <v/>
      </c>
      <c r="S17" s="104" t="str">
        <f>IF(preDEL!$AG17,IFERROR(0/0,""),preDEL!S17)</f>
        <v/>
      </c>
      <c r="T17" s="110" t="str">
        <f>IF(preDEL!$AG17,IFERROR(0/0,""),preDEL!T17)</f>
        <v/>
      </c>
      <c r="U17" s="112" t="str">
        <f>IF(preDEL!$AG17,IFERROR(0/0,""),preDEL!U17)</f>
        <v/>
      </c>
      <c r="V17" s="105" t="str">
        <f>IF(preDEL!$AG17,IFERROR(0/0,""),preDEL!V17)</f>
        <v/>
      </c>
      <c r="W17" s="112" t="str">
        <f>IF(preDEL!$AG17,IFERROR(0/0,""),preDEL!W17)</f>
        <v/>
      </c>
      <c r="X17" s="104" t="str">
        <f>IF(preDEL!$AG17,IFERROR(0/0,""),preDEL!X17)</f>
        <v/>
      </c>
      <c r="Y17" s="110" t="str">
        <f>IF(preDEL!$AG17,IFERROR(0/0,""),preDEL!Y17)</f>
        <v/>
      </c>
      <c r="Z17" s="105" t="str">
        <f>IF(preDEL!$AG17,IFERROR(0/0,""),preDEL!Z17)</f>
        <v/>
      </c>
      <c r="AA17" s="110" t="str">
        <f>IF(preDEL!$AG17,IFERROR(0/0,""),preDEL!AA17)</f>
        <v/>
      </c>
      <c r="AB17" s="110" t="str">
        <f>IF(preDEL!$AG17,IFERROR(0/0,""),preDEL!AB17)</f>
        <v/>
      </c>
      <c r="AC17" s="172" t="str">
        <f>IF(preDEL!$AG17,IFERROR(0/0,""),preDEL!AC17)</f>
        <v/>
      </c>
      <c r="AD17" s="104" t="str">
        <f>IF(preDEL!$AG17,IFERROR(0/0,""),preDEL!AD17)</f>
        <v/>
      </c>
      <c r="AE17" s="173" t="str">
        <f>IF(preDEL!$AG17,IFERROR(0/0,""),preDEL!AE17)</f>
        <v/>
      </c>
      <c r="AF17" s="110" t="str">
        <f>IF(preDEL!$AG17,IFERROR(0/0,""),preDEL!AF17)</f>
        <v/>
      </c>
      <c r="AG17" s="110" t="str">
        <f>IF(preDEL!$AG17,IFERROR(0/0,""),preDEL!AG17)</f>
        <v/>
      </c>
      <c r="AH17" s="104" t="str">
        <f>IF(preDEL!$AG17,IFERROR(0/0,""),preDEL!AH17)</f>
        <v/>
      </c>
      <c r="AI17" s="105" t="str">
        <f>IF(preDEL!$AG17,IFERROR(0/0,""),preDEL!AI17)</f>
        <v/>
      </c>
      <c r="AJ17" s="112" t="str">
        <f>IF(preDEL!$AG17,IFERROR(0/0,""),preDEL!AJ17)</f>
        <v/>
      </c>
      <c r="AK17" s="105" t="str">
        <f>IF(preDEL!$AG17,IFERROR(0/0,""),preDEL!AK17)</f>
        <v/>
      </c>
      <c r="AL17" s="112" t="str">
        <f>IF(preDEL!$AG17,IFERROR(0/0,""),preDEL!AL17)</f>
        <v/>
      </c>
      <c r="AM17" s="112" t="str">
        <f>IF(preDEL!$AG17,IFERROR(0/0,""),preDEL!AM17)</f>
        <v/>
      </c>
      <c r="AN17" s="112" t="str">
        <f>IF(preDEL!$AG17,IFERROR(0/0,""),preDEL!AN17)</f>
        <v/>
      </c>
      <c r="AO17" s="112" t="str">
        <f>IF(preDEL!$AG17,IFERROR(0/0,""),preDEL!AO17)</f>
        <v/>
      </c>
      <c r="AP17" s="112" t="str">
        <f>IF(preDEL!$AG17,IFERROR(0/0,""),preDEL!AP17)</f>
        <v/>
      </c>
      <c r="AQ17" s="112" t="str">
        <f>IF(preDEL!$AG17,IFERROR(0/0,""),preDEL!AQ17)</f>
        <v/>
      </c>
      <c r="AR17" s="112" t="str">
        <f>IF(preDEL!$AG17,IFERROR(0/0,""),preDEL!AR17)</f>
        <v/>
      </c>
      <c r="AS17" s="112" t="str">
        <f>IF(preDEL!$AG17,IFERROR(0/0,""),preDEL!AS17)</f>
        <v/>
      </c>
      <c r="AT17" s="112" t="str">
        <f>IF(preDEL!$AG17,IFERROR(0/0,""),preDEL!AT17)</f>
        <v/>
      </c>
      <c r="AU17" s="112" t="str">
        <f>IF(preDEL!$AG17,IFERROR(0/0,""),preDEL!AU17)</f>
        <v/>
      </c>
      <c r="AV17" s="112" t="str">
        <f>IF(preDEL!$AG17,IFERROR(0/0,""),preDEL!AV17)</f>
        <v/>
      </c>
      <c r="AW17" s="112" t="str">
        <f>IF(preDEL!$AG17,IFERROR(0/0,""),preDEL!AW17)</f>
        <v/>
      </c>
      <c r="AX17" s="112" t="str">
        <f>IF(preDEL!$AG17,IFERROR(0/0,""),preDEL!AX17)</f>
        <v/>
      </c>
      <c r="AY17" s="112" t="str">
        <f>IF(preDEL!$AG17,IFERROR(0/0,""),preDEL!AY17)</f>
        <v/>
      </c>
      <c r="AZ17" s="174"/>
      <c r="BA17" s="174"/>
      <c r="BB17" s="174"/>
      <c r="BC17" s="174"/>
      <c r="BD17" s="174"/>
      <c r="BE17" s="174"/>
      <c r="BF17" s="174"/>
      <c r="BG17" s="174"/>
      <c r="BH17" s="174"/>
      <c r="BI17" s="174"/>
      <c r="BJ17" s="174"/>
      <c r="BK17" s="174"/>
      <c r="BL17" s="174"/>
      <c r="BM17" s="174"/>
      <c r="BN17" s="174"/>
      <c r="BO17" s="174"/>
      <c r="BP17" s="174"/>
      <c r="BQ17" s="174"/>
      <c r="BR17" s="174"/>
      <c r="BS17" s="174"/>
      <c r="BT17" s="174"/>
      <c r="BU17" s="174"/>
      <c r="BV17" s="174"/>
      <c r="BW17" s="174"/>
      <c r="BX17" s="174"/>
      <c r="BY17" s="174"/>
      <c r="BZ17" s="174"/>
      <c r="CA17" s="174"/>
      <c r="CB17" s="174"/>
      <c r="CC17" s="174"/>
      <c r="CD17" s="174"/>
    </row>
    <row r="18">
      <c r="A18" s="105" t="str">
        <f>IF(preDEL!$AG18,IFERROR(0/0,""),preDEL!A18)</f>
        <v>MAX70</v>
      </c>
      <c r="B18" s="170">
        <f>IF(preDEL!$AG18,IFERROR(0/0,""),preDEL!B18)</f>
        <v>44543</v>
      </c>
      <c r="C18" s="171">
        <f>IF(preDEL!$AG18,IFERROR(0/0,""),preDEL!C18)</f>
        <v>0.4924074074</v>
      </c>
      <c r="D18" s="105" t="str">
        <f>IF(preDEL!$AG18,IFERROR(0/0,""),preDEL!D18)</f>
        <v/>
      </c>
      <c r="E18" s="105" t="str">
        <f>IF(preDEL!$AG18,IFERROR(0/0,""),preDEL!E18)</f>
        <v/>
      </c>
      <c r="F18" s="112" t="str">
        <f>IF(preDEL!$AG18,IFERROR(0/0,""),preDEL!F18)</f>
        <v/>
      </c>
      <c r="G18" s="112" t="str">
        <f>IF(preDEL!$AG18,IFERROR(0/0,""),preDEL!G18)</f>
        <v/>
      </c>
      <c r="H18" s="112" t="str">
        <f>IF(preDEL!$AG18,IFERROR(0/0,""),preDEL!H18)</f>
        <v/>
      </c>
      <c r="I18" s="105" t="str">
        <f>IF(preDEL!$AG18,IFERROR(0/0,""),preDEL!I18)</f>
        <v/>
      </c>
      <c r="J18" s="105" t="str">
        <f>IF(preDEL!$AG18,IFERROR(0/0,""),preDEL!J18)</f>
        <v/>
      </c>
      <c r="K18" s="105" t="str">
        <f>IF(preDEL!$AG18,IFERROR(0/0,""),preDEL!K18)</f>
        <v>Negative</v>
      </c>
      <c r="L18" s="170">
        <f>IF(preDEL!$AG18,IFERROR(0/0,""),preDEL!L18)</f>
        <v>44543</v>
      </c>
      <c r="M18" s="171">
        <f>IF(preDEL!$AG18,IFERROR(0/0,""),preDEL!M18)</f>
        <v>0.7849884259</v>
      </c>
      <c r="N18" s="112" t="str">
        <f>IF(preDEL!$AG18,IFERROR(0/0,""),preDEL!N18)</f>
        <v/>
      </c>
      <c r="O18" s="112" t="str">
        <f>IF(preDEL!$AG18,IFERROR(0/0,""),preDEL!O18)</f>
        <v/>
      </c>
      <c r="P18" s="110" t="b">
        <f>IF(preDEL!$AG18,IFERROR(0/0,""),preDEL!P18)</f>
        <v>0</v>
      </c>
      <c r="Q18" s="110" t="str">
        <f>IF(preDEL!$AG18,IFERROR(0/0,""),preDEL!Q18)</f>
        <v>Result</v>
      </c>
      <c r="R18" s="104" t="b">
        <f>IF(preDEL!$AG18,IFERROR(0/0,""),preDEL!R18)</f>
        <v>1</v>
      </c>
      <c r="S18" s="104">
        <f>IF(preDEL!$AG18,IFERROR(0/0,""),preDEL!S18)</f>
        <v>1</v>
      </c>
      <c r="T18" s="110" t="str">
        <f>IF(preDEL!$AG18,IFERROR(0/0,""),preDEL!T18)</f>
        <v/>
      </c>
      <c r="U18" s="112" t="str">
        <f>IF(preDEL!$AG18,IFERROR(0/0,""),preDEL!U18)</f>
        <v/>
      </c>
      <c r="V18" s="105" t="str">
        <f>IF(preDEL!$AG18,IFERROR(0/0,""),preDEL!V18)</f>
        <v/>
      </c>
      <c r="W18" s="112" t="str">
        <f>IF(preDEL!$AG18,IFERROR(0/0,""),preDEL!W18)</f>
        <v/>
      </c>
      <c r="X18" s="104" t="b">
        <f>IF(preDEL!$AG18,IFERROR(0/0,""),preDEL!X18)</f>
        <v>0</v>
      </c>
      <c r="Y18" s="110" t="b">
        <f>IF(preDEL!$AG18,IFERROR(0/0,""),preDEL!Y18)</f>
        <v>0</v>
      </c>
      <c r="Z18" s="105" t="str">
        <f>IF(preDEL!$AG18,IFERROR(0/0,""),preDEL!Z18)</f>
        <v/>
      </c>
      <c r="AA18" s="110" t="b">
        <f>IF(preDEL!$AG18,IFERROR(0/0,""),preDEL!AA18)</f>
        <v>0</v>
      </c>
      <c r="AB18" s="110" t="b">
        <f>IF(preDEL!$AG18,IFERROR(0/0,""),preDEL!AB18)</f>
        <v>0</v>
      </c>
      <c r="AC18" s="172">
        <f>IF(preDEL!$AG18,IFERROR(0/0,""),preDEL!AC18)</f>
        <v>771</v>
      </c>
      <c r="AD18" s="104" t="b">
        <f>IF(preDEL!$AG18,IFERROR(0/0,""),preDEL!AD18)</f>
        <v>0</v>
      </c>
      <c r="AE18" s="173">
        <f>IF(preDEL!$AG18,IFERROR(0/0,""),preDEL!AE18)</f>
        <v>421.3166667</v>
      </c>
      <c r="AF18" s="110" t="b">
        <f>IF(preDEL!$AG18,IFERROR(0/0,""),preDEL!AF18)</f>
        <v>0</v>
      </c>
      <c r="AG18" s="110" t="b">
        <f>IF(preDEL!$AG18,IFERROR(0/0,""),preDEL!AG18)</f>
        <v>0</v>
      </c>
      <c r="AH18" s="104" t="str">
        <f>IF(preDEL!$AG18,IFERROR(0/0,""),preDEL!AH18)</f>
        <v/>
      </c>
      <c r="AI18" s="105" t="str">
        <f>IF(preDEL!$AG18,IFERROR(0/0,""),preDEL!AI18)</f>
        <v/>
      </c>
      <c r="AJ18" s="112" t="str">
        <f>IF(preDEL!$AG18,IFERROR(0/0,""),preDEL!AJ18)</f>
        <v/>
      </c>
      <c r="AK18" s="105" t="str">
        <f>IF(preDEL!$AG18,IFERROR(0/0,""),preDEL!AK18)</f>
        <v>Negative</v>
      </c>
      <c r="AL18" s="112" t="str">
        <f>IF(preDEL!$AG18,IFERROR(0/0,""),preDEL!AL18)</f>
        <v/>
      </c>
      <c r="AM18" s="112" t="str">
        <f>IF(preDEL!$AG18,IFERROR(0/0,""),preDEL!AM18)</f>
        <v>SpBEND825522</v>
      </c>
      <c r="AN18" s="112" t="str">
        <f>IF(preDEL!$AG18,IFERROR(0/0,""),preDEL!AN18)</f>
        <v>BEND140857</v>
      </c>
      <c r="AO18" s="112" t="str">
        <f>IF(preDEL!$AG18,IFERROR(0/0,""),preDEL!AO18)</f>
        <v/>
      </c>
      <c r="AP18" s="112" t="str">
        <f>IF(preDEL!$AG18,IFERROR(0/0,""),preDEL!AP18)</f>
        <v/>
      </c>
      <c r="AQ18" s="112" t="str">
        <f>IF(preDEL!$AG18,IFERROR(0/0,""),preDEL!AQ18)</f>
        <v/>
      </c>
      <c r="AR18" s="112" t="str">
        <f>IF(preDEL!$AG18,IFERROR(0/0,""),preDEL!AR18)</f>
        <v/>
      </c>
      <c r="AS18" s="112" t="str">
        <f>IF(preDEL!$AG18,IFERROR(0/0,""),preDEL!AS18)</f>
        <v/>
      </c>
      <c r="AT18" s="112" t="b">
        <f>IF(preDEL!$AG18,IFERROR(0/0,""),preDEL!AT18)</f>
        <v>0</v>
      </c>
      <c r="AU18" s="112" t="str">
        <f>IF(preDEL!$AG18,IFERROR(0/0,""),preDEL!AU18)</f>
        <v/>
      </c>
      <c r="AV18" s="112" t="str">
        <f>IF(preDEL!$AG18,IFERROR(0/0,""),preDEL!AV18)</f>
        <v/>
      </c>
      <c r="AW18" s="112" t="str">
        <f>IF(preDEL!$AG18,IFERROR(0/0,""),preDEL!AW18)</f>
        <v/>
      </c>
      <c r="AX18" s="112" t="str">
        <f>IF(preDEL!$AG18,IFERROR(0/0,""),preDEL!AX18)</f>
        <v/>
      </c>
      <c r="AY18" s="112" t="str">
        <f>IF(preDEL!$AG18,IFERROR(0/0,""),preDEL!AY18)</f>
        <v/>
      </c>
      <c r="AZ18" s="174"/>
      <c r="BA18" s="174"/>
      <c r="BB18" s="174"/>
      <c r="BC18" s="174"/>
      <c r="BD18" s="174"/>
      <c r="BE18" s="174"/>
      <c r="BF18" s="174"/>
      <c r="BG18" s="174"/>
      <c r="BH18" s="174"/>
      <c r="BI18" s="174"/>
      <c r="BJ18" s="174"/>
      <c r="BK18" s="174"/>
      <c r="BL18" s="174"/>
      <c r="BM18" s="174"/>
      <c r="BN18" s="174"/>
      <c r="BO18" s="174"/>
      <c r="BP18" s="174"/>
      <c r="BQ18" s="174"/>
      <c r="BR18" s="174"/>
      <c r="BS18" s="174"/>
      <c r="BT18" s="174"/>
      <c r="BU18" s="174"/>
      <c r="BV18" s="174"/>
      <c r="BW18" s="174"/>
      <c r="BX18" s="174"/>
      <c r="BY18" s="174"/>
      <c r="BZ18" s="174"/>
      <c r="CA18" s="174"/>
      <c r="CB18" s="174"/>
      <c r="CC18" s="174"/>
      <c r="CD18" s="174"/>
    </row>
    <row r="19">
      <c r="A19" s="105" t="str">
        <f>IF(preDEL!$AG19,IFERROR(0/0,""),preDEL!A19)</f>
        <v>MAX111</v>
      </c>
      <c r="B19" s="170">
        <f>IF(preDEL!$AG19,IFERROR(0/0,""),preDEL!B19)</f>
        <v>44543</v>
      </c>
      <c r="C19" s="171">
        <f>IF(preDEL!$AG19,IFERROR(0/0,""),preDEL!C19)</f>
        <v>0.5629166667</v>
      </c>
      <c r="D19" s="105" t="str">
        <f>IF(preDEL!$AG19,IFERROR(0/0,""),preDEL!D19)</f>
        <v/>
      </c>
      <c r="E19" s="105" t="str">
        <f>IF(preDEL!$AG19,IFERROR(0/0,""),preDEL!E19)</f>
        <v/>
      </c>
      <c r="F19" s="112" t="str">
        <f>IF(preDEL!$AG19,IFERROR(0/0,""),preDEL!F19)</f>
        <v/>
      </c>
      <c r="G19" s="112" t="str">
        <f>IF(preDEL!$AG19,IFERROR(0/0,""),preDEL!G19)</f>
        <v/>
      </c>
      <c r="H19" s="112" t="str">
        <f>IF(preDEL!$AG19,IFERROR(0/0,""),preDEL!H19)</f>
        <v/>
      </c>
      <c r="I19" s="105" t="str">
        <f>IF(preDEL!$AG19,IFERROR(0/0,""),preDEL!I19)</f>
        <v/>
      </c>
      <c r="J19" s="105" t="str">
        <f>IF(preDEL!$AG19,IFERROR(0/0,""),preDEL!J19)</f>
        <v/>
      </c>
      <c r="K19" s="105" t="str">
        <f>IF(preDEL!$AG19,IFERROR(0/0,""),preDEL!K19)</f>
        <v>Negative</v>
      </c>
      <c r="L19" s="170">
        <f>IF(preDEL!$AG19,IFERROR(0/0,""),preDEL!L19)</f>
        <v>44543</v>
      </c>
      <c r="M19" s="171">
        <f>IF(preDEL!$AG19,IFERROR(0/0,""),preDEL!M19)</f>
        <v>0.7849884259</v>
      </c>
      <c r="N19" s="112" t="str">
        <f>IF(preDEL!$AG19,IFERROR(0/0,""),preDEL!N19)</f>
        <v/>
      </c>
      <c r="O19" s="112" t="str">
        <f>IF(preDEL!$AG19,IFERROR(0/0,""),preDEL!O19)</f>
        <v/>
      </c>
      <c r="P19" s="110" t="b">
        <f>IF(preDEL!$AG19,IFERROR(0/0,""),preDEL!P19)</f>
        <v>0</v>
      </c>
      <c r="Q19" s="110" t="str">
        <f>IF(preDEL!$AG19,IFERROR(0/0,""),preDEL!Q19)</f>
        <v>Result</v>
      </c>
      <c r="R19" s="104" t="b">
        <f>IF(preDEL!$AG19,IFERROR(0/0,""),preDEL!R19)</f>
        <v>1</v>
      </c>
      <c r="S19" s="104">
        <f>IF(preDEL!$AG19,IFERROR(0/0,""),preDEL!S19)</f>
        <v>1</v>
      </c>
      <c r="T19" s="110" t="str">
        <f>IF(preDEL!$AG19,IFERROR(0/0,""),preDEL!T19)</f>
        <v/>
      </c>
      <c r="U19" s="112" t="str">
        <f>IF(preDEL!$AG19,IFERROR(0/0,""),preDEL!U19)</f>
        <v/>
      </c>
      <c r="V19" s="105" t="str">
        <f>IF(preDEL!$AG19,IFERROR(0/0,""),preDEL!V19)</f>
        <v/>
      </c>
      <c r="W19" s="112" t="str">
        <f>IF(preDEL!$AG19,IFERROR(0/0,""),preDEL!W19)</f>
        <v/>
      </c>
      <c r="X19" s="104" t="b">
        <f>IF(preDEL!$AG19,IFERROR(0/0,""),preDEL!X19)</f>
        <v>0</v>
      </c>
      <c r="Y19" s="110" t="b">
        <f>IF(preDEL!$AG19,IFERROR(0/0,""),preDEL!Y19)</f>
        <v>0</v>
      </c>
      <c r="Z19" s="105" t="str">
        <f>IF(preDEL!$AG19,IFERROR(0/0,""),preDEL!Z19)</f>
        <v/>
      </c>
      <c r="AA19" s="110" t="b">
        <f>IF(preDEL!$AG19,IFERROR(0/0,""),preDEL!AA19)</f>
        <v>0</v>
      </c>
      <c r="AB19" s="110" t="b">
        <f>IF(preDEL!$AG19,IFERROR(0/0,""),preDEL!AB19)</f>
        <v>0</v>
      </c>
      <c r="AC19" s="172">
        <f>IF(preDEL!$AG19,IFERROR(0/0,""),preDEL!AC19)</f>
        <v>770</v>
      </c>
      <c r="AD19" s="104" t="b">
        <f>IF(preDEL!$AG19,IFERROR(0/0,""),preDEL!AD19)</f>
        <v>0</v>
      </c>
      <c r="AE19" s="173">
        <f>IF(preDEL!$AG19,IFERROR(0/0,""),preDEL!AE19)</f>
        <v>319.7833333</v>
      </c>
      <c r="AF19" s="110" t="b">
        <f>IF(preDEL!$AG19,IFERROR(0/0,""),preDEL!AF19)</f>
        <v>0</v>
      </c>
      <c r="AG19" s="110" t="b">
        <f>IF(preDEL!$AG19,IFERROR(0/0,""),preDEL!AG19)</f>
        <v>0</v>
      </c>
      <c r="AH19" s="104" t="str">
        <f>IF(preDEL!$AG19,IFERROR(0/0,""),preDEL!AH19)</f>
        <v/>
      </c>
      <c r="AI19" s="105" t="str">
        <f>IF(preDEL!$AG19,IFERROR(0/0,""),preDEL!AI19)</f>
        <v/>
      </c>
      <c r="AJ19" s="112" t="str">
        <f>IF(preDEL!$AG19,IFERROR(0/0,""),preDEL!AJ19)</f>
        <v/>
      </c>
      <c r="AK19" s="105" t="str">
        <f>IF(preDEL!$AG19,IFERROR(0/0,""),preDEL!AK19)</f>
        <v>Negative</v>
      </c>
      <c r="AL19" s="112" t="str">
        <f>IF(preDEL!$AG19,IFERROR(0/0,""),preDEL!AL19)</f>
        <v/>
      </c>
      <c r="AM19" s="112" t="str">
        <f>IF(preDEL!$AG19,IFERROR(0/0,""),preDEL!AM19)</f>
        <v>SpBEND541174</v>
      </c>
      <c r="AN19" s="112" t="str">
        <f>IF(preDEL!$AG19,IFERROR(0/0,""),preDEL!AN19)</f>
        <v>BEND785384</v>
      </c>
      <c r="AO19" s="112" t="str">
        <f>IF(preDEL!$AG19,IFERROR(0/0,""),preDEL!AO19)</f>
        <v/>
      </c>
      <c r="AP19" s="112" t="str">
        <f>IF(preDEL!$AG19,IFERROR(0/0,""),preDEL!AP19)</f>
        <v/>
      </c>
      <c r="AQ19" s="112" t="str">
        <f>IF(preDEL!$AG19,IFERROR(0/0,""),preDEL!AQ19)</f>
        <v/>
      </c>
      <c r="AR19" s="112" t="str">
        <f>IF(preDEL!$AG19,IFERROR(0/0,""),preDEL!AR19)</f>
        <v/>
      </c>
      <c r="AS19" s="112" t="str">
        <f>IF(preDEL!$AG19,IFERROR(0/0,""),preDEL!AS19)</f>
        <v/>
      </c>
      <c r="AT19" s="112" t="b">
        <f>IF(preDEL!$AG19,IFERROR(0/0,""),preDEL!AT19)</f>
        <v>0</v>
      </c>
      <c r="AU19" s="112" t="str">
        <f>IF(preDEL!$AG19,IFERROR(0/0,""),preDEL!AU19)</f>
        <v/>
      </c>
      <c r="AV19" s="112" t="str">
        <f>IF(preDEL!$AG19,IFERROR(0/0,""),preDEL!AV19)</f>
        <v/>
      </c>
      <c r="AW19" s="112" t="str">
        <f>IF(preDEL!$AG19,IFERROR(0/0,""),preDEL!AW19)</f>
        <v/>
      </c>
      <c r="AX19" s="112" t="str">
        <f>IF(preDEL!$AG19,IFERROR(0/0,""),preDEL!AX19)</f>
        <v/>
      </c>
      <c r="AY19" s="112" t="str">
        <f>IF(preDEL!$AG19,IFERROR(0/0,""),preDEL!AY19)</f>
        <v/>
      </c>
      <c r="AZ19" s="174"/>
      <c r="BA19" s="174"/>
      <c r="BB19" s="174"/>
      <c r="BC19" s="174"/>
      <c r="BD19" s="174"/>
      <c r="BE19" s="174"/>
      <c r="BF19" s="174"/>
      <c r="BG19" s="174"/>
      <c r="BH19" s="174"/>
      <c r="BI19" s="174"/>
      <c r="BJ19" s="174"/>
      <c r="BK19" s="174"/>
      <c r="BL19" s="174"/>
      <c r="BM19" s="174"/>
      <c r="BN19" s="174"/>
      <c r="BO19" s="174"/>
      <c r="BP19" s="174"/>
      <c r="BQ19" s="174"/>
      <c r="BR19" s="174"/>
      <c r="BS19" s="174"/>
      <c r="BT19" s="174"/>
      <c r="BU19" s="174"/>
      <c r="BV19" s="174"/>
      <c r="BW19" s="174"/>
      <c r="BX19" s="174"/>
      <c r="BY19" s="174"/>
      <c r="BZ19" s="174"/>
      <c r="CA19" s="174"/>
      <c r="CB19" s="174"/>
      <c r="CC19" s="174"/>
      <c r="CD19" s="174"/>
    </row>
    <row r="20">
      <c r="A20" s="105" t="str">
        <f>IF(preDEL!$AG20,IFERROR(0/0,""),preDEL!A20)</f>
        <v>MAX113</v>
      </c>
      <c r="B20" s="170">
        <f>IF(preDEL!$AG20,IFERROR(0/0,""),preDEL!B20)</f>
        <v>44543</v>
      </c>
      <c r="C20" s="171">
        <f>IF(preDEL!$AG20,IFERROR(0/0,""),preDEL!C20)</f>
        <v>0.5630208333</v>
      </c>
      <c r="D20" s="105" t="str">
        <f>IF(preDEL!$AG20,IFERROR(0/0,""),preDEL!D20)</f>
        <v/>
      </c>
      <c r="E20" s="105" t="str">
        <f>IF(preDEL!$AG20,IFERROR(0/0,""),preDEL!E20)</f>
        <v/>
      </c>
      <c r="F20" s="112" t="str">
        <f>IF(preDEL!$AG20,IFERROR(0/0,""),preDEL!F20)</f>
        <v/>
      </c>
      <c r="G20" s="112" t="str">
        <f>IF(preDEL!$AG20,IFERROR(0/0,""),preDEL!G20)</f>
        <v/>
      </c>
      <c r="H20" s="112" t="str">
        <f>IF(preDEL!$AG20,IFERROR(0/0,""),preDEL!H20)</f>
        <v/>
      </c>
      <c r="I20" s="105" t="str">
        <f>IF(preDEL!$AG20,IFERROR(0/0,""),preDEL!I20)</f>
        <v/>
      </c>
      <c r="J20" s="105" t="str">
        <f>IF(preDEL!$AG20,IFERROR(0/0,""),preDEL!J20)</f>
        <v/>
      </c>
      <c r="K20" s="105" t="str">
        <f>IF(preDEL!$AG20,IFERROR(0/0,""),preDEL!K20)</f>
        <v>Negative</v>
      </c>
      <c r="L20" s="170">
        <f>IF(preDEL!$AG20,IFERROR(0/0,""),preDEL!L20)</f>
        <v>44543</v>
      </c>
      <c r="M20" s="171">
        <f>IF(preDEL!$AG20,IFERROR(0/0,""),preDEL!M20)</f>
        <v>0.7849884259</v>
      </c>
      <c r="N20" s="112" t="str">
        <f>IF(preDEL!$AG20,IFERROR(0/0,""),preDEL!N20)</f>
        <v/>
      </c>
      <c r="O20" s="112" t="str">
        <f>IF(preDEL!$AG20,IFERROR(0/0,""),preDEL!O20)</f>
        <v/>
      </c>
      <c r="P20" s="110" t="b">
        <f>IF(preDEL!$AG20,IFERROR(0/0,""),preDEL!P20)</f>
        <v>0</v>
      </c>
      <c r="Q20" s="110" t="str">
        <f>IF(preDEL!$AG20,IFERROR(0/0,""),preDEL!Q20)</f>
        <v>Result</v>
      </c>
      <c r="R20" s="104" t="b">
        <f>IF(preDEL!$AG20,IFERROR(0/0,""),preDEL!R20)</f>
        <v>1</v>
      </c>
      <c r="S20" s="104">
        <f>IF(preDEL!$AG20,IFERROR(0/0,""),preDEL!S20)</f>
        <v>1</v>
      </c>
      <c r="T20" s="110" t="str">
        <f>IF(preDEL!$AG20,IFERROR(0/0,""),preDEL!T20)</f>
        <v/>
      </c>
      <c r="U20" s="112" t="str">
        <f>IF(preDEL!$AG20,IFERROR(0/0,""),preDEL!U20)</f>
        <v/>
      </c>
      <c r="V20" s="105" t="str">
        <f>IF(preDEL!$AG20,IFERROR(0/0,""),preDEL!V20)</f>
        <v/>
      </c>
      <c r="W20" s="112" t="str">
        <f>IF(preDEL!$AG20,IFERROR(0/0,""),preDEL!W20)</f>
        <v/>
      </c>
      <c r="X20" s="104" t="b">
        <f>IF(preDEL!$AG20,IFERROR(0/0,""),preDEL!X20)</f>
        <v>0</v>
      </c>
      <c r="Y20" s="110" t="b">
        <f>IF(preDEL!$AG20,IFERROR(0/0,""),preDEL!Y20)</f>
        <v>0</v>
      </c>
      <c r="Z20" s="105" t="str">
        <f>IF(preDEL!$AG20,IFERROR(0/0,""),preDEL!Z20)</f>
        <v/>
      </c>
      <c r="AA20" s="110" t="b">
        <f>IF(preDEL!$AG20,IFERROR(0/0,""),preDEL!AA20)</f>
        <v>0</v>
      </c>
      <c r="AB20" s="110" t="b">
        <f>IF(preDEL!$AG20,IFERROR(0/0,""),preDEL!AB20)</f>
        <v>0</v>
      </c>
      <c r="AC20" s="172">
        <f>IF(preDEL!$AG20,IFERROR(0/0,""),preDEL!AC20)</f>
        <v>769</v>
      </c>
      <c r="AD20" s="104" t="b">
        <f>IF(preDEL!$AG20,IFERROR(0/0,""),preDEL!AD20)</f>
        <v>0</v>
      </c>
      <c r="AE20" s="173">
        <f>IF(preDEL!$AG20,IFERROR(0/0,""),preDEL!AE20)</f>
        <v>319.6333333</v>
      </c>
      <c r="AF20" s="110" t="b">
        <f>IF(preDEL!$AG20,IFERROR(0/0,""),preDEL!AF20)</f>
        <v>0</v>
      </c>
      <c r="AG20" s="110" t="b">
        <f>IF(preDEL!$AG20,IFERROR(0/0,""),preDEL!AG20)</f>
        <v>0</v>
      </c>
      <c r="AH20" s="104" t="str">
        <f>IF(preDEL!$AG20,IFERROR(0/0,""),preDEL!AH20)</f>
        <v/>
      </c>
      <c r="AI20" s="105" t="str">
        <f>IF(preDEL!$AG20,IFERROR(0/0,""),preDEL!AI20)</f>
        <v/>
      </c>
      <c r="AJ20" s="112" t="str">
        <f>IF(preDEL!$AG20,IFERROR(0/0,""),preDEL!AJ20)</f>
        <v/>
      </c>
      <c r="AK20" s="105" t="str">
        <f>IF(preDEL!$AG20,IFERROR(0/0,""),preDEL!AK20)</f>
        <v>Negative</v>
      </c>
      <c r="AL20" s="112" t="str">
        <f>IF(preDEL!$AG20,IFERROR(0/0,""),preDEL!AL20)</f>
        <v/>
      </c>
      <c r="AM20" s="112" t="str">
        <f>IF(preDEL!$AG20,IFERROR(0/0,""),preDEL!AM20)</f>
        <v>SpBEND492052</v>
      </c>
      <c r="AN20" s="112" t="str">
        <f>IF(preDEL!$AG20,IFERROR(0/0,""),preDEL!AN20)</f>
        <v>BEND350325</v>
      </c>
      <c r="AO20" s="112" t="str">
        <f>IF(preDEL!$AG20,IFERROR(0/0,""),preDEL!AO20)</f>
        <v/>
      </c>
      <c r="AP20" s="112" t="str">
        <f>IF(preDEL!$AG20,IFERROR(0/0,""),preDEL!AP20)</f>
        <v/>
      </c>
      <c r="AQ20" s="112" t="str">
        <f>IF(preDEL!$AG20,IFERROR(0/0,""),preDEL!AQ20)</f>
        <v/>
      </c>
      <c r="AR20" s="112" t="str">
        <f>IF(preDEL!$AG20,IFERROR(0/0,""),preDEL!AR20)</f>
        <v/>
      </c>
      <c r="AS20" s="112" t="str">
        <f>IF(preDEL!$AG20,IFERROR(0/0,""),preDEL!AS20)</f>
        <v/>
      </c>
      <c r="AT20" s="112" t="b">
        <f>IF(preDEL!$AG20,IFERROR(0/0,""),preDEL!AT20)</f>
        <v>0</v>
      </c>
      <c r="AU20" s="112" t="str">
        <f>IF(preDEL!$AG20,IFERROR(0/0,""),preDEL!AU20)</f>
        <v/>
      </c>
      <c r="AV20" s="112" t="str">
        <f>IF(preDEL!$AG20,IFERROR(0/0,""),preDEL!AV20)</f>
        <v/>
      </c>
      <c r="AW20" s="112" t="str">
        <f>IF(preDEL!$AG20,IFERROR(0/0,""),preDEL!AW20)</f>
        <v/>
      </c>
      <c r="AX20" s="112" t="str">
        <f>IF(preDEL!$AG20,IFERROR(0/0,""),preDEL!AX20)</f>
        <v/>
      </c>
      <c r="AY20" s="112" t="str">
        <f>IF(preDEL!$AG20,IFERROR(0/0,""),preDEL!AY20)</f>
        <v/>
      </c>
      <c r="AZ20" s="174"/>
      <c r="BA20" s="174"/>
      <c r="BB20" s="174"/>
      <c r="BC20" s="174"/>
      <c r="BD20" s="174"/>
      <c r="BE20" s="174"/>
      <c r="BF20" s="174"/>
      <c r="BG20" s="174"/>
      <c r="BH20" s="174"/>
      <c r="BI20" s="174"/>
      <c r="BJ20" s="174"/>
      <c r="BK20" s="174"/>
      <c r="BL20" s="174"/>
      <c r="BM20" s="174"/>
      <c r="BN20" s="174"/>
      <c r="BO20" s="174"/>
      <c r="BP20" s="174"/>
      <c r="BQ20" s="174"/>
      <c r="BR20" s="174"/>
      <c r="BS20" s="174"/>
      <c r="BT20" s="174"/>
      <c r="BU20" s="174"/>
      <c r="BV20" s="174"/>
      <c r="BW20" s="174"/>
      <c r="BX20" s="174"/>
      <c r="BY20" s="174"/>
      <c r="BZ20" s="174"/>
      <c r="CA20" s="174"/>
      <c r="CB20" s="174"/>
      <c r="CC20" s="174"/>
      <c r="CD20" s="174"/>
    </row>
    <row r="21">
      <c r="A21" s="105" t="str">
        <f>IF(preDEL!$AG21,IFERROR(0/0,""),preDEL!A21)</f>
        <v>MAX122</v>
      </c>
      <c r="B21" s="170">
        <f>IF(preDEL!$AG21,IFERROR(0/0,""),preDEL!B21)</f>
        <v>44543</v>
      </c>
      <c r="C21" s="171">
        <f>IF(preDEL!$AG21,IFERROR(0/0,""),preDEL!C21)</f>
        <v>0.5931712963</v>
      </c>
      <c r="D21" s="105" t="str">
        <f>IF(preDEL!$AG21,IFERROR(0/0,""),preDEL!D21)</f>
        <v/>
      </c>
      <c r="E21" s="105" t="str">
        <f>IF(preDEL!$AG21,IFERROR(0/0,""),preDEL!E21)</f>
        <v/>
      </c>
      <c r="F21" s="112" t="str">
        <f>IF(preDEL!$AG21,IFERROR(0/0,""),preDEL!F21)</f>
        <v/>
      </c>
      <c r="G21" s="112" t="str">
        <f>IF(preDEL!$AG21,IFERROR(0/0,""),preDEL!G21)</f>
        <v/>
      </c>
      <c r="H21" s="112" t="str">
        <f>IF(preDEL!$AG21,IFERROR(0/0,""),preDEL!H21)</f>
        <v/>
      </c>
      <c r="I21" s="105" t="str">
        <f>IF(preDEL!$AG21,IFERROR(0/0,""),preDEL!I21)</f>
        <v/>
      </c>
      <c r="J21" s="105" t="str">
        <f>IF(preDEL!$AG21,IFERROR(0/0,""),preDEL!J21)</f>
        <v/>
      </c>
      <c r="K21" s="105" t="str">
        <f>IF(preDEL!$AG21,IFERROR(0/0,""),preDEL!K21)</f>
        <v>Negative</v>
      </c>
      <c r="L21" s="170">
        <f>IF(preDEL!$AG21,IFERROR(0/0,""),preDEL!L21)</f>
        <v>44543</v>
      </c>
      <c r="M21" s="171">
        <f>IF(preDEL!$AG21,IFERROR(0/0,""),preDEL!M21)</f>
        <v>0.7849884259</v>
      </c>
      <c r="N21" s="112" t="str">
        <f>IF(preDEL!$AG21,IFERROR(0/0,""),preDEL!N21)</f>
        <v/>
      </c>
      <c r="O21" s="112" t="str">
        <f>IF(preDEL!$AG21,IFERROR(0/0,""),preDEL!O21)</f>
        <v/>
      </c>
      <c r="P21" s="110" t="b">
        <f>IF(preDEL!$AG21,IFERROR(0/0,""),preDEL!P21)</f>
        <v>0</v>
      </c>
      <c r="Q21" s="110" t="str">
        <f>IF(preDEL!$AG21,IFERROR(0/0,""),preDEL!Q21)</f>
        <v>Result</v>
      </c>
      <c r="R21" s="104" t="b">
        <f>IF(preDEL!$AG21,IFERROR(0/0,""),preDEL!R21)</f>
        <v>1</v>
      </c>
      <c r="S21" s="104">
        <f>IF(preDEL!$AG21,IFERROR(0/0,""),preDEL!S21)</f>
        <v>1</v>
      </c>
      <c r="T21" s="110" t="str">
        <f>IF(preDEL!$AG21,IFERROR(0/0,""),preDEL!T21)</f>
        <v/>
      </c>
      <c r="U21" s="112" t="str">
        <f>IF(preDEL!$AG21,IFERROR(0/0,""),preDEL!U21)</f>
        <v/>
      </c>
      <c r="V21" s="105" t="str">
        <f>IF(preDEL!$AG21,IFERROR(0/0,""),preDEL!V21)</f>
        <v/>
      </c>
      <c r="W21" s="112" t="str">
        <f>IF(preDEL!$AG21,IFERROR(0/0,""),preDEL!W21)</f>
        <v/>
      </c>
      <c r="X21" s="104" t="b">
        <f>IF(preDEL!$AG21,IFERROR(0/0,""),preDEL!X21)</f>
        <v>0</v>
      </c>
      <c r="Y21" s="110" t="b">
        <f>IF(preDEL!$AG21,IFERROR(0/0,""),preDEL!Y21)</f>
        <v>0</v>
      </c>
      <c r="Z21" s="105" t="str">
        <f>IF(preDEL!$AG21,IFERROR(0/0,""),preDEL!Z21)</f>
        <v/>
      </c>
      <c r="AA21" s="110" t="b">
        <f>IF(preDEL!$AG21,IFERROR(0/0,""),preDEL!AA21)</f>
        <v>0</v>
      </c>
      <c r="AB21" s="110" t="b">
        <f>IF(preDEL!$AG21,IFERROR(0/0,""),preDEL!AB21)</f>
        <v>0</v>
      </c>
      <c r="AC21" s="172">
        <f>IF(preDEL!$AG21,IFERROR(0/0,""),preDEL!AC21)</f>
        <v>768</v>
      </c>
      <c r="AD21" s="104" t="b">
        <f>IF(preDEL!$AG21,IFERROR(0/0,""),preDEL!AD21)</f>
        <v>0</v>
      </c>
      <c r="AE21" s="173">
        <f>IF(preDEL!$AG21,IFERROR(0/0,""),preDEL!AE21)</f>
        <v>276.2166667</v>
      </c>
      <c r="AF21" s="110" t="b">
        <f>IF(preDEL!$AG21,IFERROR(0/0,""),preDEL!AF21)</f>
        <v>0</v>
      </c>
      <c r="AG21" s="110" t="b">
        <f>IF(preDEL!$AG21,IFERROR(0/0,""),preDEL!AG21)</f>
        <v>0</v>
      </c>
      <c r="AH21" s="104" t="str">
        <f>IF(preDEL!$AG21,IFERROR(0/0,""),preDEL!AH21)</f>
        <v/>
      </c>
      <c r="AI21" s="105" t="str">
        <f>IF(preDEL!$AG21,IFERROR(0/0,""),preDEL!AI21)</f>
        <v/>
      </c>
      <c r="AJ21" s="112" t="str">
        <f>IF(preDEL!$AG21,IFERROR(0/0,""),preDEL!AJ21)</f>
        <v/>
      </c>
      <c r="AK21" s="105" t="str">
        <f>IF(preDEL!$AG21,IFERROR(0/0,""),preDEL!AK21)</f>
        <v>Negative</v>
      </c>
      <c r="AL21" s="112" t="str">
        <f>IF(preDEL!$AG21,IFERROR(0/0,""),preDEL!AL21)</f>
        <v/>
      </c>
      <c r="AM21" s="112" t="str">
        <f>IF(preDEL!$AG21,IFERROR(0/0,""),preDEL!AM21)</f>
        <v>SpBEND349435</v>
      </c>
      <c r="AN21" s="112" t="str">
        <f>IF(preDEL!$AG21,IFERROR(0/0,""),preDEL!AN21)</f>
        <v>BEND759602</v>
      </c>
      <c r="AO21" s="112" t="str">
        <f>IF(preDEL!$AG21,IFERROR(0/0,""),preDEL!AO21)</f>
        <v/>
      </c>
      <c r="AP21" s="112" t="str">
        <f>IF(preDEL!$AG21,IFERROR(0/0,""),preDEL!AP21)</f>
        <v/>
      </c>
      <c r="AQ21" s="112" t="str">
        <f>IF(preDEL!$AG21,IFERROR(0/0,""),preDEL!AQ21)</f>
        <v/>
      </c>
      <c r="AR21" s="112" t="str">
        <f>IF(preDEL!$AG21,IFERROR(0/0,""),preDEL!AR21)</f>
        <v/>
      </c>
      <c r="AS21" s="112" t="str">
        <f>IF(preDEL!$AG21,IFERROR(0/0,""),preDEL!AS21)</f>
        <v/>
      </c>
      <c r="AT21" s="112" t="b">
        <f>IF(preDEL!$AG21,IFERROR(0/0,""),preDEL!AT21)</f>
        <v>0</v>
      </c>
      <c r="AU21" s="112" t="str">
        <f>IF(preDEL!$AG21,IFERROR(0/0,""),preDEL!AU21)</f>
        <v/>
      </c>
      <c r="AV21" s="112" t="str">
        <f>IF(preDEL!$AG21,IFERROR(0/0,""),preDEL!AV21)</f>
        <v/>
      </c>
      <c r="AW21" s="112" t="str">
        <f>IF(preDEL!$AG21,IFERROR(0/0,""),preDEL!AW21)</f>
        <v/>
      </c>
      <c r="AX21" s="112" t="str">
        <f>IF(preDEL!$AG21,IFERROR(0/0,""),preDEL!AX21)</f>
        <v/>
      </c>
      <c r="AY21" s="112" t="str">
        <f>IF(preDEL!$AG21,IFERROR(0/0,""),preDEL!AY21)</f>
        <v/>
      </c>
      <c r="AZ21" s="174"/>
      <c r="BA21" s="174"/>
      <c r="BB21" s="174"/>
      <c r="BC21" s="174"/>
      <c r="BD21" s="174"/>
      <c r="BE21" s="174"/>
      <c r="BF21" s="174"/>
      <c r="BG21" s="174"/>
      <c r="BH21" s="174"/>
      <c r="BI21" s="174"/>
      <c r="BJ21" s="174"/>
      <c r="BK21" s="174"/>
      <c r="BL21" s="174"/>
      <c r="BM21" s="174"/>
      <c r="BN21" s="174"/>
      <c r="BO21" s="174"/>
      <c r="BP21" s="174"/>
      <c r="BQ21" s="174"/>
      <c r="BR21" s="174"/>
      <c r="BS21" s="174"/>
      <c r="BT21" s="174"/>
      <c r="BU21" s="174"/>
      <c r="BV21" s="174"/>
      <c r="BW21" s="174"/>
      <c r="BX21" s="174"/>
      <c r="BY21" s="174"/>
      <c r="BZ21" s="174"/>
      <c r="CA21" s="174"/>
      <c r="CB21" s="174"/>
      <c r="CC21" s="174"/>
      <c r="CD21" s="174"/>
    </row>
    <row r="22">
      <c r="A22" s="105" t="str">
        <f>IF(preDEL!$AG22,IFERROR(0/0,""),preDEL!A22)</f>
        <v>MAX94</v>
      </c>
      <c r="B22" s="170">
        <f>IF(preDEL!$AG22,IFERROR(0/0,""),preDEL!B22)</f>
        <v>44543</v>
      </c>
      <c r="C22" s="171">
        <f>IF(preDEL!$AG22,IFERROR(0/0,""),preDEL!C22)</f>
        <v>0.5967476852</v>
      </c>
      <c r="D22" s="105" t="str">
        <f>IF(preDEL!$AG22,IFERROR(0/0,""),preDEL!D22)</f>
        <v/>
      </c>
      <c r="E22" s="105" t="str">
        <f>IF(preDEL!$AG22,IFERROR(0/0,""),preDEL!E22)</f>
        <v/>
      </c>
      <c r="F22" s="112" t="str">
        <f>IF(preDEL!$AG22,IFERROR(0/0,""),preDEL!F22)</f>
        <v/>
      </c>
      <c r="G22" s="112" t="str">
        <f>IF(preDEL!$AG22,IFERROR(0/0,""),preDEL!G22)</f>
        <v/>
      </c>
      <c r="H22" s="112" t="str">
        <f>IF(preDEL!$AG22,IFERROR(0/0,""),preDEL!H22)</f>
        <v/>
      </c>
      <c r="I22" s="105" t="str">
        <f>IF(preDEL!$AG22,IFERROR(0/0,""),preDEL!I22)</f>
        <v/>
      </c>
      <c r="J22" s="105" t="str">
        <f>IF(preDEL!$AG22,IFERROR(0/0,""),preDEL!J22)</f>
        <v/>
      </c>
      <c r="K22" s="105" t="str">
        <f>IF(preDEL!$AG22,IFERROR(0/0,""),preDEL!K22)</f>
        <v>Negative</v>
      </c>
      <c r="L22" s="170">
        <f>IF(preDEL!$AG22,IFERROR(0/0,""),preDEL!L22)</f>
        <v>44543</v>
      </c>
      <c r="M22" s="171">
        <f>IF(preDEL!$AG22,IFERROR(0/0,""),preDEL!M22)</f>
        <v>0.7849884259</v>
      </c>
      <c r="N22" s="112" t="str">
        <f>IF(preDEL!$AG22,IFERROR(0/0,""),preDEL!N22)</f>
        <v/>
      </c>
      <c r="O22" s="112" t="str">
        <f>IF(preDEL!$AG22,IFERROR(0/0,""),preDEL!O22)</f>
        <v/>
      </c>
      <c r="P22" s="110" t="b">
        <f>IF(preDEL!$AG22,IFERROR(0/0,""),preDEL!P22)</f>
        <v>0</v>
      </c>
      <c r="Q22" s="110" t="str">
        <f>IF(preDEL!$AG22,IFERROR(0/0,""),preDEL!Q22)</f>
        <v>Result</v>
      </c>
      <c r="R22" s="104" t="b">
        <f>IF(preDEL!$AG22,IFERROR(0/0,""),preDEL!R22)</f>
        <v>1</v>
      </c>
      <c r="S22" s="104">
        <f>IF(preDEL!$AG22,IFERROR(0/0,""),preDEL!S22)</f>
        <v>1</v>
      </c>
      <c r="T22" s="110" t="str">
        <f>IF(preDEL!$AG22,IFERROR(0/0,""),preDEL!T22)</f>
        <v/>
      </c>
      <c r="U22" s="112" t="str">
        <f>IF(preDEL!$AG22,IFERROR(0/0,""),preDEL!U22)</f>
        <v/>
      </c>
      <c r="V22" s="105" t="str">
        <f>IF(preDEL!$AG22,IFERROR(0/0,""),preDEL!V22)</f>
        <v/>
      </c>
      <c r="W22" s="112" t="str">
        <f>IF(preDEL!$AG22,IFERROR(0/0,""),preDEL!W22)</f>
        <v/>
      </c>
      <c r="X22" s="104" t="b">
        <f>IF(preDEL!$AG22,IFERROR(0/0,""),preDEL!X22)</f>
        <v>0</v>
      </c>
      <c r="Y22" s="110" t="b">
        <f>IF(preDEL!$AG22,IFERROR(0/0,""),preDEL!Y22)</f>
        <v>0</v>
      </c>
      <c r="Z22" s="105" t="str">
        <f>IF(preDEL!$AG22,IFERROR(0/0,""),preDEL!Z22)</f>
        <v/>
      </c>
      <c r="AA22" s="110" t="b">
        <f>IF(preDEL!$AG22,IFERROR(0/0,""),preDEL!AA22)</f>
        <v>0</v>
      </c>
      <c r="AB22" s="110" t="b">
        <f>IF(preDEL!$AG22,IFERROR(0/0,""),preDEL!AB22)</f>
        <v>0</v>
      </c>
      <c r="AC22" s="172">
        <f>IF(preDEL!$AG22,IFERROR(0/0,""),preDEL!AC22)</f>
        <v>767</v>
      </c>
      <c r="AD22" s="104" t="b">
        <f>IF(preDEL!$AG22,IFERROR(0/0,""),preDEL!AD22)</f>
        <v>0</v>
      </c>
      <c r="AE22" s="173">
        <f>IF(preDEL!$AG22,IFERROR(0/0,""),preDEL!AE22)</f>
        <v>271.0666667</v>
      </c>
      <c r="AF22" s="110" t="b">
        <f>IF(preDEL!$AG22,IFERROR(0/0,""),preDEL!AF22)</f>
        <v>0</v>
      </c>
      <c r="AG22" s="110" t="b">
        <f>IF(preDEL!$AG22,IFERROR(0/0,""),preDEL!AG22)</f>
        <v>0</v>
      </c>
      <c r="AH22" s="104" t="str">
        <f>IF(preDEL!$AG22,IFERROR(0/0,""),preDEL!AH22)</f>
        <v/>
      </c>
      <c r="AI22" s="105" t="str">
        <f>IF(preDEL!$AG22,IFERROR(0/0,""),preDEL!AI22)</f>
        <v/>
      </c>
      <c r="AJ22" s="112" t="str">
        <f>IF(preDEL!$AG22,IFERROR(0/0,""),preDEL!AJ22)</f>
        <v/>
      </c>
      <c r="AK22" s="105" t="str">
        <f>IF(preDEL!$AG22,IFERROR(0/0,""),preDEL!AK22)</f>
        <v>Negative</v>
      </c>
      <c r="AL22" s="112" t="str">
        <f>IF(preDEL!$AG22,IFERROR(0/0,""),preDEL!AL22)</f>
        <v/>
      </c>
      <c r="AM22" s="112" t="str">
        <f>IF(preDEL!$AG22,IFERROR(0/0,""),preDEL!AM22)</f>
        <v>SpBEND768497</v>
      </c>
      <c r="AN22" s="112" t="str">
        <f>IF(preDEL!$AG22,IFERROR(0/0,""),preDEL!AN22)</f>
        <v>BEND900381</v>
      </c>
      <c r="AO22" s="112" t="str">
        <f>IF(preDEL!$AG22,IFERROR(0/0,""),preDEL!AO22)</f>
        <v/>
      </c>
      <c r="AP22" s="112" t="str">
        <f>IF(preDEL!$AG22,IFERROR(0/0,""),preDEL!AP22)</f>
        <v/>
      </c>
      <c r="AQ22" s="112" t="str">
        <f>IF(preDEL!$AG22,IFERROR(0/0,""),preDEL!AQ22)</f>
        <v/>
      </c>
      <c r="AR22" s="112" t="str">
        <f>IF(preDEL!$AG22,IFERROR(0/0,""),preDEL!AR22)</f>
        <v/>
      </c>
      <c r="AS22" s="112" t="str">
        <f>IF(preDEL!$AG22,IFERROR(0/0,""),preDEL!AS22)</f>
        <v/>
      </c>
      <c r="AT22" s="112" t="b">
        <f>IF(preDEL!$AG22,IFERROR(0/0,""),preDEL!AT22)</f>
        <v>0</v>
      </c>
      <c r="AU22" s="112" t="str">
        <f>IF(preDEL!$AG22,IFERROR(0/0,""),preDEL!AU22)</f>
        <v/>
      </c>
      <c r="AV22" s="112" t="str">
        <f>IF(preDEL!$AG22,IFERROR(0/0,""),preDEL!AV22)</f>
        <v/>
      </c>
      <c r="AW22" s="112" t="str">
        <f>IF(preDEL!$AG22,IFERROR(0/0,""),preDEL!AW22)</f>
        <v/>
      </c>
      <c r="AX22" s="112" t="str">
        <f>IF(preDEL!$AG22,IFERROR(0/0,""),preDEL!AX22)</f>
        <v/>
      </c>
      <c r="AY22" s="112" t="str">
        <f>IF(preDEL!$AG22,IFERROR(0/0,""),preDEL!AY22)</f>
        <v/>
      </c>
      <c r="AZ22" s="174"/>
      <c r="BA22" s="174"/>
      <c r="BB22" s="174"/>
      <c r="BC22" s="174"/>
      <c r="BD22" s="174"/>
      <c r="BE22" s="174"/>
      <c r="BF22" s="174"/>
      <c r="BG22" s="174"/>
      <c r="BH22" s="174"/>
      <c r="BI22" s="174"/>
      <c r="BJ22" s="174"/>
      <c r="BK22" s="174"/>
      <c r="BL22" s="174"/>
      <c r="BM22" s="174"/>
      <c r="BN22" s="174"/>
      <c r="BO22" s="174"/>
      <c r="BP22" s="174"/>
      <c r="BQ22" s="174"/>
      <c r="BR22" s="174"/>
      <c r="BS22" s="174"/>
      <c r="BT22" s="174"/>
      <c r="BU22" s="174"/>
      <c r="BV22" s="174"/>
      <c r="BW22" s="174"/>
      <c r="BX22" s="174"/>
      <c r="BY22" s="174"/>
      <c r="BZ22" s="174"/>
      <c r="CA22" s="174"/>
      <c r="CB22" s="174"/>
      <c r="CC22" s="174"/>
      <c r="CD22" s="174"/>
    </row>
    <row r="23">
      <c r="A23" s="105" t="str">
        <f>IF(preDEL!$AG23,IFERROR(0/0,""),preDEL!A23)</f>
        <v>MAX28</v>
      </c>
      <c r="B23" s="170">
        <f>IF(preDEL!$AG23,IFERROR(0/0,""),preDEL!B23)</f>
        <v>44543</v>
      </c>
      <c r="C23" s="171">
        <f>IF(preDEL!$AG23,IFERROR(0/0,""),preDEL!C23)</f>
        <v>0.5984027778</v>
      </c>
      <c r="D23" s="105" t="str">
        <f>IF(preDEL!$AG23,IFERROR(0/0,""),preDEL!D23)</f>
        <v/>
      </c>
      <c r="E23" s="105" t="str">
        <f>IF(preDEL!$AG23,IFERROR(0/0,""),preDEL!E23)</f>
        <v/>
      </c>
      <c r="F23" s="112" t="str">
        <f>IF(preDEL!$AG23,IFERROR(0/0,""),preDEL!F23)</f>
        <v/>
      </c>
      <c r="G23" s="112" t="str">
        <f>IF(preDEL!$AG23,IFERROR(0/0,""),preDEL!G23)</f>
        <v/>
      </c>
      <c r="H23" s="112" t="str">
        <f>IF(preDEL!$AG23,IFERROR(0/0,""),preDEL!H23)</f>
        <v/>
      </c>
      <c r="I23" s="105" t="str">
        <f>IF(preDEL!$AG23,IFERROR(0/0,""),preDEL!I23)</f>
        <v/>
      </c>
      <c r="J23" s="105" t="str">
        <f>IF(preDEL!$AG23,IFERROR(0/0,""),preDEL!J23)</f>
        <v/>
      </c>
      <c r="K23" s="105" t="str">
        <f>IF(preDEL!$AG23,IFERROR(0/0,""),preDEL!K23)</f>
        <v>Negative</v>
      </c>
      <c r="L23" s="170">
        <f>IF(preDEL!$AG23,IFERROR(0/0,""),preDEL!L23)</f>
        <v>44543</v>
      </c>
      <c r="M23" s="171">
        <f>IF(preDEL!$AG23,IFERROR(0/0,""),preDEL!M23)</f>
        <v>0.7849884259</v>
      </c>
      <c r="N23" s="112" t="str">
        <f>IF(preDEL!$AG23,IFERROR(0/0,""),preDEL!N23)</f>
        <v/>
      </c>
      <c r="O23" s="112" t="str">
        <f>IF(preDEL!$AG23,IFERROR(0/0,""),preDEL!O23)</f>
        <v/>
      </c>
      <c r="P23" s="110" t="b">
        <f>IF(preDEL!$AG23,IFERROR(0/0,""),preDEL!P23)</f>
        <v>0</v>
      </c>
      <c r="Q23" s="110" t="str">
        <f>IF(preDEL!$AG23,IFERROR(0/0,""),preDEL!Q23)</f>
        <v>Result</v>
      </c>
      <c r="R23" s="104" t="b">
        <f>IF(preDEL!$AG23,IFERROR(0/0,""),preDEL!R23)</f>
        <v>1</v>
      </c>
      <c r="S23" s="104">
        <f>IF(preDEL!$AG23,IFERROR(0/0,""),preDEL!S23)</f>
        <v>1</v>
      </c>
      <c r="T23" s="110" t="str">
        <f>IF(preDEL!$AG23,IFERROR(0/0,""),preDEL!T23)</f>
        <v/>
      </c>
      <c r="U23" s="112" t="str">
        <f>IF(preDEL!$AG23,IFERROR(0/0,""),preDEL!U23)</f>
        <v/>
      </c>
      <c r="V23" s="105" t="str">
        <f>IF(preDEL!$AG23,IFERROR(0/0,""),preDEL!V23)</f>
        <v/>
      </c>
      <c r="W23" s="112" t="str">
        <f>IF(preDEL!$AG23,IFERROR(0/0,""),preDEL!W23)</f>
        <v/>
      </c>
      <c r="X23" s="104" t="b">
        <f>IF(preDEL!$AG23,IFERROR(0/0,""),preDEL!X23)</f>
        <v>0</v>
      </c>
      <c r="Y23" s="110" t="b">
        <f>IF(preDEL!$AG23,IFERROR(0/0,""),preDEL!Y23)</f>
        <v>0</v>
      </c>
      <c r="Z23" s="105" t="str">
        <f>IF(preDEL!$AG23,IFERROR(0/0,""),preDEL!Z23)</f>
        <v/>
      </c>
      <c r="AA23" s="110" t="b">
        <f>IF(preDEL!$AG23,IFERROR(0/0,""),preDEL!AA23)</f>
        <v>0</v>
      </c>
      <c r="AB23" s="110" t="b">
        <f>IF(preDEL!$AG23,IFERROR(0/0,""),preDEL!AB23)</f>
        <v>0</v>
      </c>
      <c r="AC23" s="172">
        <f>IF(preDEL!$AG23,IFERROR(0/0,""),preDEL!AC23)</f>
        <v>766</v>
      </c>
      <c r="AD23" s="104" t="b">
        <f>IF(preDEL!$AG23,IFERROR(0/0,""),preDEL!AD23)</f>
        <v>0</v>
      </c>
      <c r="AE23" s="173">
        <f>IF(preDEL!$AG23,IFERROR(0/0,""),preDEL!AE23)</f>
        <v>268.6833333</v>
      </c>
      <c r="AF23" s="110" t="b">
        <f>IF(preDEL!$AG23,IFERROR(0/0,""),preDEL!AF23)</f>
        <v>0</v>
      </c>
      <c r="AG23" s="110" t="b">
        <f>IF(preDEL!$AG23,IFERROR(0/0,""),preDEL!AG23)</f>
        <v>0</v>
      </c>
      <c r="AH23" s="104" t="str">
        <f>IF(preDEL!$AG23,IFERROR(0/0,""),preDEL!AH23)</f>
        <v/>
      </c>
      <c r="AI23" s="105" t="str">
        <f>IF(preDEL!$AG23,IFERROR(0/0,""),preDEL!AI23)</f>
        <v/>
      </c>
      <c r="AJ23" s="112" t="str">
        <f>IF(preDEL!$AG23,IFERROR(0/0,""),preDEL!AJ23)</f>
        <v/>
      </c>
      <c r="AK23" s="105" t="str">
        <f>IF(preDEL!$AG23,IFERROR(0/0,""),preDEL!AK23)</f>
        <v>Negative</v>
      </c>
      <c r="AL23" s="112" t="str">
        <f>IF(preDEL!$AG23,IFERROR(0/0,""),preDEL!AL23)</f>
        <v/>
      </c>
      <c r="AM23" s="112" t="str">
        <f>IF(preDEL!$AG23,IFERROR(0/0,""),preDEL!AM23)</f>
        <v>SpBEND643855</v>
      </c>
      <c r="AN23" s="112" t="str">
        <f>IF(preDEL!$AG23,IFERROR(0/0,""),preDEL!AN23)</f>
        <v>BEND364074</v>
      </c>
      <c r="AO23" s="112" t="str">
        <f>IF(preDEL!$AG23,IFERROR(0/0,""),preDEL!AO23)</f>
        <v/>
      </c>
      <c r="AP23" s="112" t="str">
        <f>IF(preDEL!$AG23,IFERROR(0/0,""),preDEL!AP23)</f>
        <v/>
      </c>
      <c r="AQ23" s="112" t="str">
        <f>IF(preDEL!$AG23,IFERROR(0/0,""),preDEL!AQ23)</f>
        <v/>
      </c>
      <c r="AR23" s="112" t="str">
        <f>IF(preDEL!$AG23,IFERROR(0/0,""),preDEL!AR23)</f>
        <v/>
      </c>
      <c r="AS23" s="112" t="str">
        <f>IF(preDEL!$AG23,IFERROR(0/0,""),preDEL!AS23)</f>
        <v/>
      </c>
      <c r="AT23" s="112" t="b">
        <f>IF(preDEL!$AG23,IFERROR(0/0,""),preDEL!AT23)</f>
        <v>0</v>
      </c>
      <c r="AU23" s="112" t="str">
        <f>IF(preDEL!$AG23,IFERROR(0/0,""),preDEL!AU23)</f>
        <v/>
      </c>
      <c r="AV23" s="112" t="str">
        <f>IF(preDEL!$AG23,IFERROR(0/0,""),preDEL!AV23)</f>
        <v/>
      </c>
      <c r="AW23" s="112" t="str">
        <f>IF(preDEL!$AG23,IFERROR(0/0,""),preDEL!AW23)</f>
        <v/>
      </c>
      <c r="AX23" s="112" t="str">
        <f>IF(preDEL!$AG23,IFERROR(0/0,""),preDEL!AX23)</f>
        <v/>
      </c>
      <c r="AY23" s="112" t="str">
        <f>IF(preDEL!$AG23,IFERROR(0/0,""),preDEL!AY23)</f>
        <v/>
      </c>
      <c r="AZ23" s="174"/>
      <c r="BA23" s="174"/>
      <c r="BB23" s="174"/>
      <c r="BC23" s="174"/>
      <c r="BD23" s="174"/>
      <c r="BE23" s="174"/>
      <c r="BF23" s="174"/>
      <c r="BG23" s="174"/>
      <c r="BH23" s="174"/>
      <c r="BI23" s="174"/>
      <c r="BJ23" s="174"/>
      <c r="BK23" s="174"/>
      <c r="BL23" s="174"/>
      <c r="BM23" s="174"/>
      <c r="BN23" s="174"/>
      <c r="BO23" s="174"/>
      <c r="BP23" s="174"/>
      <c r="BQ23" s="174"/>
      <c r="BR23" s="174"/>
      <c r="BS23" s="174"/>
      <c r="BT23" s="174"/>
      <c r="BU23" s="174"/>
      <c r="BV23" s="174"/>
      <c r="BW23" s="174"/>
      <c r="BX23" s="174"/>
      <c r="BY23" s="174"/>
      <c r="BZ23" s="174"/>
      <c r="CA23" s="174"/>
      <c r="CB23" s="174"/>
      <c r="CC23" s="174"/>
      <c r="CD23" s="174"/>
    </row>
    <row r="24">
      <c r="A24" s="105" t="str">
        <f>IF(preDEL!$AG24,IFERROR(0/0,""),preDEL!A24)</f>
        <v>MAX63</v>
      </c>
      <c r="B24" s="170">
        <f>IF(preDEL!$AG24,IFERROR(0/0,""),preDEL!B24)</f>
        <v>44543</v>
      </c>
      <c r="C24" s="171">
        <f>IF(preDEL!$AG24,IFERROR(0/0,""),preDEL!C24)</f>
        <v>0.6040740741</v>
      </c>
      <c r="D24" s="105" t="str">
        <f>IF(preDEL!$AG24,IFERROR(0/0,""),preDEL!D24)</f>
        <v/>
      </c>
      <c r="E24" s="105" t="str">
        <f>IF(preDEL!$AG24,IFERROR(0/0,""),preDEL!E24)</f>
        <v/>
      </c>
      <c r="F24" s="112" t="str">
        <f>IF(preDEL!$AG24,IFERROR(0/0,""),preDEL!F24)</f>
        <v/>
      </c>
      <c r="G24" s="112" t="str">
        <f>IF(preDEL!$AG24,IFERROR(0/0,""),preDEL!G24)</f>
        <v/>
      </c>
      <c r="H24" s="112" t="str">
        <f>IF(preDEL!$AG24,IFERROR(0/0,""),preDEL!H24)</f>
        <v/>
      </c>
      <c r="I24" s="105" t="str">
        <f>IF(preDEL!$AG24,IFERROR(0/0,""),preDEL!I24)</f>
        <v/>
      </c>
      <c r="J24" s="105" t="str">
        <f>IF(preDEL!$AG24,IFERROR(0/0,""),preDEL!J24)</f>
        <v/>
      </c>
      <c r="K24" s="105" t="str">
        <f>IF(preDEL!$AG24,IFERROR(0/0,""),preDEL!K24)</f>
        <v>Negative</v>
      </c>
      <c r="L24" s="170">
        <f>IF(preDEL!$AG24,IFERROR(0/0,""),preDEL!L24)</f>
        <v>44543</v>
      </c>
      <c r="M24" s="171">
        <f>IF(preDEL!$AG24,IFERROR(0/0,""),preDEL!M24)</f>
        <v>0.7849884259</v>
      </c>
      <c r="N24" s="112" t="str">
        <f>IF(preDEL!$AG24,IFERROR(0/0,""),preDEL!N24)</f>
        <v/>
      </c>
      <c r="O24" s="112" t="str">
        <f>IF(preDEL!$AG24,IFERROR(0/0,""),preDEL!O24)</f>
        <v/>
      </c>
      <c r="P24" s="110" t="b">
        <f>IF(preDEL!$AG24,IFERROR(0/0,""),preDEL!P24)</f>
        <v>0</v>
      </c>
      <c r="Q24" s="110" t="str">
        <f>IF(preDEL!$AG24,IFERROR(0/0,""),preDEL!Q24)</f>
        <v>Result</v>
      </c>
      <c r="R24" s="104" t="b">
        <f>IF(preDEL!$AG24,IFERROR(0/0,""),preDEL!R24)</f>
        <v>1</v>
      </c>
      <c r="S24" s="104">
        <f>IF(preDEL!$AG24,IFERROR(0/0,""),preDEL!S24)</f>
        <v>1</v>
      </c>
      <c r="T24" s="110" t="str">
        <f>IF(preDEL!$AG24,IFERROR(0/0,""),preDEL!T24)</f>
        <v/>
      </c>
      <c r="U24" s="112" t="str">
        <f>IF(preDEL!$AG24,IFERROR(0/0,""),preDEL!U24)</f>
        <v/>
      </c>
      <c r="V24" s="105" t="str">
        <f>IF(preDEL!$AG24,IFERROR(0/0,""),preDEL!V24)</f>
        <v/>
      </c>
      <c r="W24" s="112" t="str">
        <f>IF(preDEL!$AG24,IFERROR(0/0,""),preDEL!W24)</f>
        <v/>
      </c>
      <c r="X24" s="104" t="b">
        <f>IF(preDEL!$AG24,IFERROR(0/0,""),preDEL!X24)</f>
        <v>0</v>
      </c>
      <c r="Y24" s="110" t="b">
        <f>IF(preDEL!$AG24,IFERROR(0/0,""),preDEL!Y24)</f>
        <v>0</v>
      </c>
      <c r="Z24" s="105" t="str">
        <f>IF(preDEL!$AG24,IFERROR(0/0,""),preDEL!Z24)</f>
        <v/>
      </c>
      <c r="AA24" s="110" t="b">
        <f>IF(preDEL!$AG24,IFERROR(0/0,""),preDEL!AA24)</f>
        <v>0</v>
      </c>
      <c r="AB24" s="110" t="b">
        <f>IF(preDEL!$AG24,IFERROR(0/0,""),preDEL!AB24)</f>
        <v>0</v>
      </c>
      <c r="AC24" s="172">
        <f>IF(preDEL!$AG24,IFERROR(0/0,""),preDEL!AC24)</f>
        <v>765</v>
      </c>
      <c r="AD24" s="104" t="b">
        <f>IF(preDEL!$AG24,IFERROR(0/0,""),preDEL!AD24)</f>
        <v>0</v>
      </c>
      <c r="AE24" s="173">
        <f>IF(preDEL!$AG24,IFERROR(0/0,""),preDEL!AE24)</f>
        <v>260.5166667</v>
      </c>
      <c r="AF24" s="110" t="b">
        <f>IF(preDEL!$AG24,IFERROR(0/0,""),preDEL!AF24)</f>
        <v>0</v>
      </c>
      <c r="AG24" s="110" t="b">
        <f>IF(preDEL!$AG24,IFERROR(0/0,""),preDEL!AG24)</f>
        <v>0</v>
      </c>
      <c r="AH24" s="104" t="str">
        <f>IF(preDEL!$AG24,IFERROR(0/0,""),preDEL!AH24)</f>
        <v/>
      </c>
      <c r="AI24" s="105" t="str">
        <f>IF(preDEL!$AG24,IFERROR(0/0,""),preDEL!AI24)</f>
        <v/>
      </c>
      <c r="AJ24" s="112" t="str">
        <f>IF(preDEL!$AG24,IFERROR(0/0,""),preDEL!AJ24)</f>
        <v/>
      </c>
      <c r="AK24" s="105" t="str">
        <f>IF(preDEL!$AG24,IFERROR(0/0,""),preDEL!AK24)</f>
        <v>Negative</v>
      </c>
      <c r="AL24" s="112" t="str">
        <f>IF(preDEL!$AG24,IFERROR(0/0,""),preDEL!AL24)</f>
        <v/>
      </c>
      <c r="AM24" s="112" t="str">
        <f>IF(preDEL!$AG24,IFERROR(0/0,""),preDEL!AM24)</f>
        <v>SpBEND214692</v>
      </c>
      <c r="AN24" s="112" t="str">
        <f>IF(preDEL!$AG24,IFERROR(0/0,""),preDEL!AN24)</f>
        <v>BEND886978</v>
      </c>
      <c r="AO24" s="112" t="str">
        <f>IF(preDEL!$AG24,IFERROR(0/0,""),preDEL!AO24)</f>
        <v/>
      </c>
      <c r="AP24" s="112" t="str">
        <f>IF(preDEL!$AG24,IFERROR(0/0,""),preDEL!AP24)</f>
        <v/>
      </c>
      <c r="AQ24" s="112" t="str">
        <f>IF(preDEL!$AG24,IFERROR(0/0,""),preDEL!AQ24)</f>
        <v/>
      </c>
      <c r="AR24" s="112" t="str">
        <f>IF(preDEL!$AG24,IFERROR(0/0,""),preDEL!AR24)</f>
        <v/>
      </c>
      <c r="AS24" s="112" t="str">
        <f>IF(preDEL!$AG24,IFERROR(0/0,""),preDEL!AS24)</f>
        <v/>
      </c>
      <c r="AT24" s="112" t="b">
        <f>IF(preDEL!$AG24,IFERROR(0/0,""),preDEL!AT24)</f>
        <v>0</v>
      </c>
      <c r="AU24" s="112" t="str">
        <f>IF(preDEL!$AG24,IFERROR(0/0,""),preDEL!AU24)</f>
        <v/>
      </c>
      <c r="AV24" s="112" t="str">
        <f>IF(preDEL!$AG24,IFERROR(0/0,""),preDEL!AV24)</f>
        <v/>
      </c>
      <c r="AW24" s="112" t="str">
        <f>IF(preDEL!$AG24,IFERROR(0/0,""),preDEL!AW24)</f>
        <v/>
      </c>
      <c r="AX24" s="112" t="str">
        <f>IF(preDEL!$AG24,IFERROR(0/0,""),preDEL!AX24)</f>
        <v/>
      </c>
      <c r="AY24" s="112" t="str">
        <f>IF(preDEL!$AG24,IFERROR(0/0,""),preDEL!AY24)</f>
        <v/>
      </c>
      <c r="AZ24" s="174"/>
      <c r="BA24" s="174"/>
      <c r="BB24" s="174"/>
      <c r="BC24" s="174"/>
      <c r="BD24" s="174"/>
      <c r="BE24" s="174"/>
      <c r="BF24" s="174"/>
      <c r="BG24" s="174"/>
      <c r="BH24" s="174"/>
      <c r="BI24" s="174"/>
      <c r="BJ24" s="174"/>
      <c r="BK24" s="174"/>
      <c r="BL24" s="174"/>
      <c r="BM24" s="174"/>
      <c r="BN24" s="174"/>
      <c r="BO24" s="174"/>
      <c r="BP24" s="174"/>
      <c r="BQ24" s="174"/>
      <c r="BR24" s="174"/>
      <c r="BS24" s="174"/>
      <c r="BT24" s="174"/>
      <c r="BU24" s="174"/>
      <c r="BV24" s="174"/>
      <c r="BW24" s="174"/>
      <c r="BX24" s="174"/>
      <c r="BY24" s="174"/>
      <c r="BZ24" s="174"/>
      <c r="CA24" s="174"/>
      <c r="CB24" s="174"/>
      <c r="CC24" s="174"/>
      <c r="CD24" s="174"/>
    </row>
    <row r="25">
      <c r="A25" s="105" t="str">
        <f>IF(preDEL!$AG25,IFERROR(0/0,""),preDEL!A25)</f>
        <v>MA1255</v>
      </c>
      <c r="B25" s="170">
        <f>IF(preDEL!$AG25,IFERROR(0/0,""),preDEL!B25)</f>
        <v>44545</v>
      </c>
      <c r="C25" s="171">
        <f>IF(preDEL!$AG25,IFERROR(0/0,""),preDEL!C25)</f>
        <v>0.5749768519</v>
      </c>
      <c r="D25" s="105" t="str">
        <f>IF(preDEL!$AG25,IFERROR(0/0,""),preDEL!D25)</f>
        <v/>
      </c>
      <c r="E25" s="105" t="str">
        <f>IF(preDEL!$AG25,IFERROR(0/0,""),preDEL!E25)</f>
        <v/>
      </c>
      <c r="F25" s="112" t="str">
        <f>IF(preDEL!$AG25,IFERROR(0/0,""),preDEL!F25)</f>
        <v/>
      </c>
      <c r="G25" s="112" t="str">
        <f>IF(preDEL!$AG25,IFERROR(0/0,""),preDEL!G25)</f>
        <v/>
      </c>
      <c r="H25" s="112" t="str">
        <f>IF(preDEL!$AG25,IFERROR(0/0,""),preDEL!H25)</f>
        <v/>
      </c>
      <c r="I25" s="105" t="str">
        <f>IF(preDEL!$AG25,IFERROR(0/0,""),preDEL!I25)</f>
        <v/>
      </c>
      <c r="J25" s="105" t="str">
        <f>IF(preDEL!$AG25,IFERROR(0/0,""),preDEL!J25)</f>
        <v/>
      </c>
      <c r="K25" s="105" t="str">
        <f>IF(preDEL!$AG25,IFERROR(0/0,""),preDEL!K25)</f>
        <v>Negative</v>
      </c>
      <c r="L25" s="170">
        <f>IF(preDEL!$AG25,IFERROR(0/0,""),preDEL!L25)</f>
        <v>44545</v>
      </c>
      <c r="M25" s="171">
        <f>IF(preDEL!$AG25,IFERROR(0/0,""),preDEL!M25)</f>
        <v>0.7641550926</v>
      </c>
      <c r="N25" s="112" t="str">
        <f>IF(preDEL!$AG25,IFERROR(0/0,""),preDEL!N25)</f>
        <v/>
      </c>
      <c r="O25" s="112" t="str">
        <f>IF(preDEL!$AG25,IFERROR(0/0,""),preDEL!O25)</f>
        <v/>
      </c>
      <c r="P25" s="110" t="b">
        <f>IF(preDEL!$AG25,IFERROR(0/0,""),preDEL!P25)</f>
        <v>0</v>
      </c>
      <c r="Q25" s="110" t="str">
        <f>IF(preDEL!$AG25,IFERROR(0/0,""),preDEL!Q25)</f>
        <v>Result</v>
      </c>
      <c r="R25" s="104" t="b">
        <f>IF(preDEL!$AG25,IFERROR(0/0,""),preDEL!R25)</f>
        <v>1</v>
      </c>
      <c r="S25" s="104">
        <f>IF(preDEL!$AG25,IFERROR(0/0,""),preDEL!S25)</f>
        <v>1</v>
      </c>
      <c r="T25" s="110" t="str">
        <f>IF(preDEL!$AG25,IFERROR(0/0,""),preDEL!T25)</f>
        <v/>
      </c>
      <c r="U25" s="112" t="str">
        <f>IF(preDEL!$AG25,IFERROR(0/0,""),preDEL!U25)</f>
        <v/>
      </c>
      <c r="V25" s="105" t="str">
        <f>IF(preDEL!$AG25,IFERROR(0/0,""),preDEL!V25)</f>
        <v/>
      </c>
      <c r="W25" s="112" t="str">
        <f>IF(preDEL!$AG25,IFERROR(0/0,""),preDEL!W25)</f>
        <v/>
      </c>
      <c r="X25" s="104" t="b">
        <f>IF(preDEL!$AG25,IFERROR(0/0,""),preDEL!X25)</f>
        <v>0</v>
      </c>
      <c r="Y25" s="110" t="b">
        <f>IF(preDEL!$AG25,IFERROR(0/0,""),preDEL!Y25)</f>
        <v>0</v>
      </c>
      <c r="Z25" s="105" t="str">
        <f>IF(preDEL!$AG25,IFERROR(0/0,""),preDEL!Z25)</f>
        <v/>
      </c>
      <c r="AA25" s="110" t="b">
        <f>IF(preDEL!$AG25,IFERROR(0/0,""),preDEL!AA25)</f>
        <v>0</v>
      </c>
      <c r="AB25" s="110" t="b">
        <f>IF(preDEL!$AG25,IFERROR(0/0,""),preDEL!AB25)</f>
        <v>0</v>
      </c>
      <c r="AC25" s="172">
        <f>IF(preDEL!$AG25,IFERROR(0/0,""),preDEL!AC25)</f>
        <v>764</v>
      </c>
      <c r="AD25" s="104" t="b">
        <f>IF(preDEL!$AG25,IFERROR(0/0,""),preDEL!AD25)</f>
        <v>0</v>
      </c>
      <c r="AE25" s="173">
        <f>IF(preDEL!$AG25,IFERROR(0/0,""),preDEL!AE25)</f>
        <v>272.4166667</v>
      </c>
      <c r="AF25" s="110" t="b">
        <f>IF(preDEL!$AG25,IFERROR(0/0,""),preDEL!AF25)</f>
        <v>0</v>
      </c>
      <c r="AG25" s="110" t="b">
        <f>IF(preDEL!$AG25,IFERROR(0/0,""),preDEL!AG25)</f>
        <v>0</v>
      </c>
      <c r="AH25" s="104" t="str">
        <f>IF(preDEL!$AG25,IFERROR(0/0,""),preDEL!AH25)</f>
        <v/>
      </c>
      <c r="AI25" s="105" t="str">
        <f>IF(preDEL!$AG25,IFERROR(0/0,""),preDEL!AI25)</f>
        <v/>
      </c>
      <c r="AJ25" s="112" t="str">
        <f>IF(preDEL!$AG25,IFERROR(0/0,""),preDEL!AJ25)</f>
        <v/>
      </c>
      <c r="AK25" s="105" t="str">
        <f>IF(preDEL!$AG25,IFERROR(0/0,""),preDEL!AK25)</f>
        <v>Negative</v>
      </c>
      <c r="AL25" s="112" t="str">
        <f>IF(preDEL!$AG25,IFERROR(0/0,""),preDEL!AL25)</f>
        <v/>
      </c>
      <c r="AM25" s="112" t="str">
        <f>IF(preDEL!$AG25,IFERROR(0/0,""),preDEL!AM25)</f>
        <v>SpBEND767550</v>
      </c>
      <c r="AN25" s="112" t="str">
        <f>IF(preDEL!$AG25,IFERROR(0/0,""),preDEL!AN25)</f>
        <v>BEND245933</v>
      </c>
      <c r="AO25" s="112" t="str">
        <f>IF(preDEL!$AG25,IFERROR(0/0,""),preDEL!AO25)</f>
        <v/>
      </c>
      <c r="AP25" s="112" t="str">
        <f>IF(preDEL!$AG25,IFERROR(0/0,""),preDEL!AP25)</f>
        <v/>
      </c>
      <c r="AQ25" s="112" t="str">
        <f>IF(preDEL!$AG25,IFERROR(0/0,""),preDEL!AQ25)</f>
        <v/>
      </c>
      <c r="AR25" s="112" t="str">
        <f>IF(preDEL!$AG25,IFERROR(0/0,""),preDEL!AR25)</f>
        <v/>
      </c>
      <c r="AS25" s="112" t="str">
        <f>IF(preDEL!$AG25,IFERROR(0/0,""),preDEL!AS25)</f>
        <v/>
      </c>
      <c r="AT25" s="112" t="b">
        <f>IF(preDEL!$AG25,IFERROR(0/0,""),preDEL!AT25)</f>
        <v>0</v>
      </c>
      <c r="AU25" s="112" t="str">
        <f>IF(preDEL!$AG25,IFERROR(0/0,""),preDEL!AU25)</f>
        <v/>
      </c>
      <c r="AV25" s="112" t="str">
        <f>IF(preDEL!$AG25,IFERROR(0/0,""),preDEL!AV25)</f>
        <v/>
      </c>
      <c r="AW25" s="112" t="str">
        <f>IF(preDEL!$AG25,IFERROR(0/0,""),preDEL!AW25)</f>
        <v/>
      </c>
      <c r="AX25" s="112" t="str">
        <f>IF(preDEL!$AG25,IFERROR(0/0,""),preDEL!AX25)</f>
        <v/>
      </c>
      <c r="AY25" s="112" t="str">
        <f>IF(preDEL!$AG25,IFERROR(0/0,""),preDEL!AY25)</f>
        <v/>
      </c>
      <c r="AZ25" s="174"/>
      <c r="BA25" s="174"/>
      <c r="BB25" s="174"/>
      <c r="BC25" s="174"/>
      <c r="BD25" s="174"/>
      <c r="BE25" s="174"/>
      <c r="BF25" s="174"/>
      <c r="BG25" s="174"/>
      <c r="BH25" s="174"/>
      <c r="BI25" s="174"/>
      <c r="BJ25" s="174"/>
      <c r="BK25" s="174"/>
      <c r="BL25" s="174"/>
      <c r="BM25" s="174"/>
      <c r="BN25" s="174"/>
      <c r="BO25" s="174"/>
      <c r="BP25" s="174"/>
      <c r="BQ25" s="174"/>
      <c r="BR25" s="174"/>
      <c r="BS25" s="174"/>
      <c r="BT25" s="174"/>
      <c r="BU25" s="174"/>
      <c r="BV25" s="174"/>
      <c r="BW25" s="174"/>
      <c r="BX25" s="174"/>
      <c r="BY25" s="174"/>
      <c r="BZ25" s="174"/>
      <c r="CA25" s="174"/>
      <c r="CB25" s="174"/>
      <c r="CC25" s="174"/>
      <c r="CD25" s="174"/>
    </row>
    <row r="26">
      <c r="A26" s="105" t="str">
        <f>IF(preDEL!$AG26,IFERROR(0/0,""),preDEL!A26)</f>
        <v>MA327</v>
      </c>
      <c r="B26" s="170">
        <f>IF(preDEL!$AG26,IFERROR(0/0,""),preDEL!B26)</f>
        <v>44545</v>
      </c>
      <c r="C26" s="171">
        <f>IF(preDEL!$AG26,IFERROR(0/0,""),preDEL!C26)</f>
        <v>0.5862152778</v>
      </c>
      <c r="D26" s="105" t="str">
        <f>IF(preDEL!$AG26,IFERROR(0/0,""),preDEL!D26)</f>
        <v/>
      </c>
      <c r="E26" s="105" t="str">
        <f>IF(preDEL!$AG26,IFERROR(0/0,""),preDEL!E26)</f>
        <v/>
      </c>
      <c r="F26" s="112" t="str">
        <f>IF(preDEL!$AG26,IFERROR(0/0,""),preDEL!F26)</f>
        <v/>
      </c>
      <c r="G26" s="112" t="str">
        <f>IF(preDEL!$AG26,IFERROR(0/0,""),preDEL!G26)</f>
        <v/>
      </c>
      <c r="H26" s="112" t="str">
        <f>IF(preDEL!$AG26,IFERROR(0/0,""),preDEL!H26)</f>
        <v/>
      </c>
      <c r="I26" s="105" t="str">
        <f>IF(preDEL!$AG26,IFERROR(0/0,""),preDEL!I26)</f>
        <v/>
      </c>
      <c r="J26" s="105" t="str">
        <f>IF(preDEL!$AG26,IFERROR(0/0,""),preDEL!J26)</f>
        <v/>
      </c>
      <c r="K26" s="105" t="str">
        <f>IF(preDEL!$AG26,IFERROR(0/0,""),preDEL!K26)</f>
        <v>Negative</v>
      </c>
      <c r="L26" s="170">
        <f>IF(preDEL!$AG26,IFERROR(0/0,""),preDEL!L26)</f>
        <v>44545</v>
      </c>
      <c r="M26" s="171">
        <f>IF(preDEL!$AG26,IFERROR(0/0,""),preDEL!M26)</f>
        <v>0.7641550926</v>
      </c>
      <c r="N26" s="112" t="str">
        <f>IF(preDEL!$AG26,IFERROR(0/0,""),preDEL!N26)</f>
        <v/>
      </c>
      <c r="O26" s="112" t="str">
        <f>IF(preDEL!$AG26,IFERROR(0/0,""),preDEL!O26)</f>
        <v/>
      </c>
      <c r="P26" s="110" t="b">
        <f>IF(preDEL!$AG26,IFERROR(0/0,""),preDEL!P26)</f>
        <v>0</v>
      </c>
      <c r="Q26" s="110" t="str">
        <f>IF(preDEL!$AG26,IFERROR(0/0,""),preDEL!Q26)</f>
        <v>Result</v>
      </c>
      <c r="R26" s="104" t="b">
        <f>IF(preDEL!$AG26,IFERROR(0/0,""),preDEL!R26)</f>
        <v>1</v>
      </c>
      <c r="S26" s="104">
        <f>IF(preDEL!$AG26,IFERROR(0/0,""),preDEL!S26)</f>
        <v>1</v>
      </c>
      <c r="T26" s="110" t="str">
        <f>IF(preDEL!$AG26,IFERROR(0/0,""),preDEL!T26)</f>
        <v/>
      </c>
      <c r="U26" s="112" t="str">
        <f>IF(preDEL!$AG26,IFERROR(0/0,""),preDEL!U26)</f>
        <v/>
      </c>
      <c r="V26" s="105" t="str">
        <f>IF(preDEL!$AG26,IFERROR(0/0,""),preDEL!V26)</f>
        <v/>
      </c>
      <c r="W26" s="112" t="str">
        <f>IF(preDEL!$AG26,IFERROR(0/0,""),preDEL!W26)</f>
        <v/>
      </c>
      <c r="X26" s="104" t="b">
        <f>IF(preDEL!$AG26,IFERROR(0/0,""),preDEL!X26)</f>
        <v>0</v>
      </c>
      <c r="Y26" s="110" t="b">
        <f>IF(preDEL!$AG26,IFERROR(0/0,""),preDEL!Y26)</f>
        <v>0</v>
      </c>
      <c r="Z26" s="105" t="str">
        <f>IF(preDEL!$AG26,IFERROR(0/0,""),preDEL!Z26)</f>
        <v/>
      </c>
      <c r="AA26" s="110" t="b">
        <f>IF(preDEL!$AG26,IFERROR(0/0,""),preDEL!AA26)</f>
        <v>0</v>
      </c>
      <c r="AB26" s="110" t="b">
        <f>IF(preDEL!$AG26,IFERROR(0/0,""),preDEL!AB26)</f>
        <v>0</v>
      </c>
      <c r="AC26" s="172">
        <f>IF(preDEL!$AG26,IFERROR(0/0,""),preDEL!AC26)</f>
        <v>763</v>
      </c>
      <c r="AD26" s="104" t="b">
        <f>IF(preDEL!$AG26,IFERROR(0/0,""),preDEL!AD26)</f>
        <v>0</v>
      </c>
      <c r="AE26" s="173">
        <f>IF(preDEL!$AG26,IFERROR(0/0,""),preDEL!AE26)</f>
        <v>256.2333333</v>
      </c>
      <c r="AF26" s="110" t="b">
        <f>IF(preDEL!$AG26,IFERROR(0/0,""),preDEL!AF26)</f>
        <v>0</v>
      </c>
      <c r="AG26" s="110" t="b">
        <f>IF(preDEL!$AG26,IFERROR(0/0,""),preDEL!AG26)</f>
        <v>0</v>
      </c>
      <c r="AH26" s="104" t="str">
        <f>IF(preDEL!$AG26,IFERROR(0/0,""),preDEL!AH26)</f>
        <v/>
      </c>
      <c r="AI26" s="105" t="str">
        <f>IF(preDEL!$AG26,IFERROR(0/0,""),preDEL!AI26)</f>
        <v/>
      </c>
      <c r="AJ26" s="112" t="str">
        <f>IF(preDEL!$AG26,IFERROR(0/0,""),preDEL!AJ26)</f>
        <v/>
      </c>
      <c r="AK26" s="105" t="str">
        <f>IF(preDEL!$AG26,IFERROR(0/0,""),preDEL!AK26)</f>
        <v>Negative</v>
      </c>
      <c r="AL26" s="112" t="str">
        <f>IF(preDEL!$AG26,IFERROR(0/0,""),preDEL!AL26)</f>
        <v/>
      </c>
      <c r="AM26" s="112" t="str">
        <f>IF(preDEL!$AG26,IFERROR(0/0,""),preDEL!AM26)</f>
        <v>SpBEND721986</v>
      </c>
      <c r="AN26" s="112" t="str">
        <f>IF(preDEL!$AG26,IFERROR(0/0,""),preDEL!AN26)</f>
        <v>BEND127889</v>
      </c>
      <c r="AO26" s="112" t="str">
        <f>IF(preDEL!$AG26,IFERROR(0/0,""),preDEL!AO26)</f>
        <v/>
      </c>
      <c r="AP26" s="112" t="str">
        <f>IF(preDEL!$AG26,IFERROR(0/0,""),preDEL!AP26)</f>
        <v/>
      </c>
      <c r="AQ26" s="112" t="str">
        <f>IF(preDEL!$AG26,IFERROR(0/0,""),preDEL!AQ26)</f>
        <v/>
      </c>
      <c r="AR26" s="112" t="str">
        <f>IF(preDEL!$AG26,IFERROR(0/0,""),preDEL!AR26)</f>
        <v/>
      </c>
      <c r="AS26" s="112" t="str">
        <f>IF(preDEL!$AG26,IFERROR(0/0,""),preDEL!AS26)</f>
        <v/>
      </c>
      <c r="AT26" s="112" t="b">
        <f>IF(preDEL!$AG26,IFERROR(0/0,""),preDEL!AT26)</f>
        <v>0</v>
      </c>
      <c r="AU26" s="112" t="str">
        <f>IF(preDEL!$AG26,IFERROR(0/0,""),preDEL!AU26)</f>
        <v/>
      </c>
      <c r="AV26" s="112" t="str">
        <f>IF(preDEL!$AG26,IFERROR(0/0,""),preDEL!AV26)</f>
        <v/>
      </c>
      <c r="AW26" s="112" t="str">
        <f>IF(preDEL!$AG26,IFERROR(0/0,""),preDEL!AW26)</f>
        <v/>
      </c>
      <c r="AX26" s="112" t="str">
        <f>IF(preDEL!$AG26,IFERROR(0/0,""),preDEL!AX26)</f>
        <v/>
      </c>
      <c r="AY26" s="112" t="str">
        <f>IF(preDEL!$AG26,IFERROR(0/0,""),preDEL!AY26)</f>
        <v/>
      </c>
      <c r="AZ26" s="174"/>
      <c r="BA26" s="174"/>
      <c r="BB26" s="174"/>
      <c r="BC26" s="174"/>
      <c r="BD26" s="174"/>
      <c r="BE26" s="174"/>
      <c r="BF26" s="174"/>
      <c r="BG26" s="174"/>
      <c r="BH26" s="174"/>
      <c r="BI26" s="174"/>
      <c r="BJ26" s="174"/>
      <c r="BK26" s="174"/>
      <c r="BL26" s="174"/>
      <c r="BM26" s="174"/>
      <c r="BN26" s="174"/>
      <c r="BO26" s="174"/>
      <c r="BP26" s="174"/>
      <c r="BQ26" s="174"/>
      <c r="BR26" s="174"/>
      <c r="BS26" s="174"/>
      <c r="BT26" s="174"/>
      <c r="BU26" s="174"/>
      <c r="BV26" s="174"/>
      <c r="BW26" s="174"/>
      <c r="BX26" s="174"/>
      <c r="BY26" s="174"/>
      <c r="BZ26" s="174"/>
      <c r="CA26" s="174"/>
      <c r="CB26" s="174"/>
      <c r="CC26" s="174"/>
      <c r="CD26" s="174"/>
    </row>
    <row r="27">
      <c r="A27" s="105" t="str">
        <f>IF(preDEL!$AG27,IFERROR(0/0,""),preDEL!A27)</f>
        <v>MA460</v>
      </c>
      <c r="B27" s="170">
        <f>IF(preDEL!$AG27,IFERROR(0/0,""),preDEL!B27)</f>
        <v>44545</v>
      </c>
      <c r="C27" s="171">
        <f>IF(preDEL!$AG27,IFERROR(0/0,""),preDEL!C27)</f>
        <v>0.6131944444</v>
      </c>
      <c r="D27" s="105" t="str">
        <f>IF(preDEL!$AG27,IFERROR(0/0,""),preDEL!D27)</f>
        <v/>
      </c>
      <c r="E27" s="105" t="str">
        <f>IF(preDEL!$AG27,IFERROR(0/0,""),preDEL!E27)</f>
        <v/>
      </c>
      <c r="F27" s="112" t="str">
        <f>IF(preDEL!$AG27,IFERROR(0/0,""),preDEL!F27)</f>
        <v/>
      </c>
      <c r="G27" s="112" t="str">
        <f>IF(preDEL!$AG27,IFERROR(0/0,""),preDEL!G27)</f>
        <v/>
      </c>
      <c r="H27" s="112" t="str">
        <f>IF(preDEL!$AG27,IFERROR(0/0,""),preDEL!H27)</f>
        <v/>
      </c>
      <c r="I27" s="105" t="str">
        <f>IF(preDEL!$AG27,IFERROR(0/0,""),preDEL!I27)</f>
        <v/>
      </c>
      <c r="J27" s="105" t="str">
        <f>IF(preDEL!$AG27,IFERROR(0/0,""),preDEL!J27)</f>
        <v/>
      </c>
      <c r="K27" s="105" t="str">
        <f>IF(preDEL!$AG27,IFERROR(0/0,""),preDEL!K27)</f>
        <v>Negative</v>
      </c>
      <c r="L27" s="170">
        <f>IF(preDEL!$AG27,IFERROR(0/0,""),preDEL!L27)</f>
        <v>44545</v>
      </c>
      <c r="M27" s="171">
        <f>IF(preDEL!$AG27,IFERROR(0/0,""),preDEL!M27)</f>
        <v>0.7641550926</v>
      </c>
      <c r="N27" s="112" t="str">
        <f>IF(preDEL!$AG27,IFERROR(0/0,""),preDEL!N27)</f>
        <v/>
      </c>
      <c r="O27" s="112" t="str">
        <f>IF(preDEL!$AG27,IFERROR(0/0,""),preDEL!O27)</f>
        <v/>
      </c>
      <c r="P27" s="110" t="b">
        <f>IF(preDEL!$AG27,IFERROR(0/0,""),preDEL!P27)</f>
        <v>1</v>
      </c>
      <c r="Q27" s="110" t="str">
        <f>IF(preDEL!$AG27,IFERROR(0/0,""),preDEL!Q27)</f>
        <v>ER - REPS IN APT</v>
      </c>
      <c r="R27" s="104" t="b">
        <f>IF(preDEL!$AG27,IFERROR(0/0,""),preDEL!R27)</f>
        <v>1</v>
      </c>
      <c r="S27" s="104">
        <f>IF(preDEL!$AG27,IFERROR(0/0,""),preDEL!S27)</f>
        <v>1</v>
      </c>
      <c r="T27" s="110" t="str">
        <f>IF(preDEL!$AG27,IFERROR(0/0,""),preDEL!T27)</f>
        <v/>
      </c>
      <c r="U27" s="112" t="str">
        <f>IF(preDEL!$AG27,IFERROR(0/0,""),preDEL!U27)</f>
        <v/>
      </c>
      <c r="V27" s="105" t="str">
        <f>IF(preDEL!$AG27,IFERROR(0/0,""),preDEL!V27)</f>
        <v/>
      </c>
      <c r="W27" s="112" t="str">
        <f>IF(preDEL!$AG27,IFERROR(0/0,""),preDEL!W27)</f>
        <v/>
      </c>
      <c r="X27" s="104" t="b">
        <f>IF(preDEL!$AG27,IFERROR(0/0,""),preDEL!X27)</f>
        <v>0</v>
      </c>
      <c r="Y27" s="110" t="b">
        <f>IF(preDEL!$AG27,IFERROR(0/0,""),preDEL!Y27)</f>
        <v>0</v>
      </c>
      <c r="Z27" s="105" t="str">
        <f>IF(preDEL!$AG27,IFERROR(0/0,""),preDEL!Z27)</f>
        <v/>
      </c>
      <c r="AA27" s="110" t="b">
        <f>IF(preDEL!$AG27,IFERROR(0/0,""),preDEL!AA27)</f>
        <v>0</v>
      </c>
      <c r="AB27" s="110" t="b">
        <f>IF(preDEL!$AG27,IFERROR(0/0,""),preDEL!AB27)</f>
        <v>0</v>
      </c>
      <c r="AC27" s="172">
        <f>IF(preDEL!$AG27,IFERROR(0/0,""),preDEL!AC27)</f>
        <v>760</v>
      </c>
      <c r="AD27" s="104" t="b">
        <f>IF(preDEL!$AG27,IFERROR(0/0,""),preDEL!AD27)</f>
        <v>0</v>
      </c>
      <c r="AE27" s="173">
        <f>IF(preDEL!$AG27,IFERROR(0/0,""),preDEL!AE27)</f>
        <v>217.3833333</v>
      </c>
      <c r="AF27" s="110" t="b">
        <f>IF(preDEL!$AG27,IFERROR(0/0,""),preDEL!AF27)</f>
        <v>0</v>
      </c>
      <c r="AG27" s="110" t="b">
        <f>IF(preDEL!$AG27,IFERROR(0/0,""),preDEL!AG27)</f>
        <v>0</v>
      </c>
      <c r="AH27" s="104" t="str">
        <f>IF(preDEL!$AG27,IFERROR(0/0,""),preDEL!AH27)</f>
        <v/>
      </c>
      <c r="AI27" s="105">
        <f>IF(preDEL!$AG27,IFERROR(0/0,""),preDEL!AI27)</f>
        <v>4</v>
      </c>
      <c r="AJ27" s="112" t="str">
        <f>IF(preDEL!$AG27,IFERROR(0/0,""),preDEL!AJ27)</f>
        <v/>
      </c>
      <c r="AK27" s="105" t="str">
        <f>IF(preDEL!$AG27,IFERROR(0/0,""),preDEL!AK27)</f>
        <v>Negative</v>
      </c>
      <c r="AL27" s="112" t="str">
        <f>IF(preDEL!$AG27,IFERROR(0/0,""),preDEL!AL27)</f>
        <v/>
      </c>
      <c r="AM27" s="112" t="str">
        <f>IF(preDEL!$AG27,IFERROR(0/0,""),preDEL!AM27)</f>
        <v>SpBEND139600</v>
      </c>
      <c r="AN27" s="112" t="str">
        <f>IF(preDEL!$AG27,IFERROR(0/0,""),preDEL!AN27)</f>
        <v>BEND133778</v>
      </c>
      <c r="AO27" s="112" t="str">
        <f>IF(preDEL!$AG27,IFERROR(0/0,""),preDEL!AO27)</f>
        <v/>
      </c>
      <c r="AP27" s="112" t="str">
        <f>IF(preDEL!$AG27,IFERROR(0/0,""),preDEL!AP27)</f>
        <v/>
      </c>
      <c r="AQ27" s="112" t="str">
        <f>IF(preDEL!$AG27,IFERROR(0/0,""),preDEL!AQ27)</f>
        <v/>
      </c>
      <c r="AR27" s="112" t="str">
        <f>IF(preDEL!$AG27,IFERROR(0/0,""),preDEL!AR27)</f>
        <v/>
      </c>
      <c r="AS27" s="112" t="str">
        <f>IF(preDEL!$AG27,IFERROR(0/0,""),preDEL!AS27)</f>
        <v/>
      </c>
      <c r="AT27" s="112" t="b">
        <f>IF(preDEL!$AG27,IFERROR(0/0,""),preDEL!AT27)</f>
        <v>0</v>
      </c>
      <c r="AU27" s="112" t="str">
        <f>IF(preDEL!$AG27,IFERROR(0/0,""),preDEL!AU27)</f>
        <v/>
      </c>
      <c r="AV27" s="112" t="str">
        <f>IF(preDEL!$AG27,IFERROR(0/0,""),preDEL!AV27)</f>
        <v/>
      </c>
      <c r="AW27" s="112" t="str">
        <f>IF(preDEL!$AG27,IFERROR(0/0,""),preDEL!AW27)</f>
        <v/>
      </c>
      <c r="AX27" s="112" t="str">
        <f>IF(preDEL!$AG27,IFERROR(0/0,""),preDEL!AX27)</f>
        <v/>
      </c>
      <c r="AY27" s="112" t="str">
        <f>IF(preDEL!$AG27,IFERROR(0/0,""),preDEL!AY27)</f>
        <v/>
      </c>
      <c r="AZ27" s="174"/>
      <c r="BA27" s="174"/>
      <c r="BB27" s="174"/>
      <c r="BC27" s="174"/>
      <c r="BD27" s="174"/>
      <c r="BE27" s="174"/>
      <c r="BF27" s="174"/>
      <c r="BG27" s="174"/>
      <c r="BH27" s="174"/>
      <c r="BI27" s="174"/>
      <c r="BJ27" s="174"/>
      <c r="BK27" s="174"/>
      <c r="BL27" s="174"/>
      <c r="BM27" s="174"/>
      <c r="BN27" s="174"/>
      <c r="BO27" s="174"/>
      <c r="BP27" s="174"/>
      <c r="BQ27" s="174"/>
      <c r="BR27" s="174"/>
      <c r="BS27" s="174"/>
      <c r="BT27" s="174"/>
      <c r="BU27" s="174"/>
      <c r="BV27" s="174"/>
      <c r="BW27" s="174"/>
      <c r="BX27" s="174"/>
      <c r="BY27" s="174"/>
      <c r="BZ27" s="174"/>
      <c r="CA27" s="174"/>
      <c r="CB27" s="174"/>
      <c r="CC27" s="174"/>
      <c r="CD27" s="174"/>
    </row>
    <row r="28">
      <c r="A28" s="105" t="str">
        <f>IF(preDEL!$AG28,IFERROR(0/0,""),preDEL!A28)</f>
        <v/>
      </c>
      <c r="B28" s="170" t="str">
        <f>IF(preDEL!$AG28,IFERROR(0/0,""),preDEL!B28)</f>
        <v/>
      </c>
      <c r="C28" s="171" t="str">
        <f>IF(preDEL!$AG28,IFERROR(0/0,""),preDEL!C28)</f>
        <v/>
      </c>
      <c r="D28" s="105" t="str">
        <f>IF(preDEL!$AG28,IFERROR(0/0,""),preDEL!D28)</f>
        <v/>
      </c>
      <c r="E28" s="105" t="str">
        <f>IF(preDEL!$AG28,IFERROR(0/0,""),preDEL!E28)</f>
        <v/>
      </c>
      <c r="F28" s="112" t="str">
        <f>IF(preDEL!$AG28,IFERROR(0/0,""),preDEL!F28)</f>
        <v/>
      </c>
      <c r="G28" s="112" t="str">
        <f>IF(preDEL!$AG28,IFERROR(0/0,""),preDEL!G28)</f>
        <v/>
      </c>
      <c r="H28" s="112" t="str">
        <f>IF(preDEL!$AG28,IFERROR(0/0,""),preDEL!H28)</f>
        <v/>
      </c>
      <c r="I28" s="105" t="str">
        <f>IF(preDEL!$AG28,IFERROR(0/0,""),preDEL!I28)</f>
        <v/>
      </c>
      <c r="J28" s="105" t="str">
        <f>IF(preDEL!$AG28,IFERROR(0/0,""),preDEL!J28)</f>
        <v/>
      </c>
      <c r="K28" s="105" t="str">
        <f>IF(preDEL!$AG28,IFERROR(0/0,""),preDEL!K28)</f>
        <v/>
      </c>
      <c r="L28" s="170" t="str">
        <f>IF(preDEL!$AG28,IFERROR(0/0,""),preDEL!L28)</f>
        <v/>
      </c>
      <c r="M28" s="171" t="str">
        <f>IF(preDEL!$AG28,IFERROR(0/0,""),preDEL!M28)</f>
        <v/>
      </c>
      <c r="N28" s="112" t="str">
        <f>IF(preDEL!$AG28,IFERROR(0/0,""),preDEL!N28)</f>
        <v/>
      </c>
      <c r="O28" s="112" t="str">
        <f>IF(preDEL!$AG28,IFERROR(0/0,""),preDEL!O28)</f>
        <v/>
      </c>
      <c r="P28" s="110" t="str">
        <f>IF(preDEL!$AG28,IFERROR(0/0,""),preDEL!P28)</f>
        <v/>
      </c>
      <c r="Q28" s="110" t="str">
        <f>IF(preDEL!$AG28,IFERROR(0/0,""),preDEL!Q28)</f>
        <v/>
      </c>
      <c r="R28" s="104" t="str">
        <f>IF(preDEL!$AG28,IFERROR(0/0,""),preDEL!R28)</f>
        <v/>
      </c>
      <c r="S28" s="104" t="str">
        <f>IF(preDEL!$AG28,IFERROR(0/0,""),preDEL!S28)</f>
        <v/>
      </c>
      <c r="T28" s="110" t="str">
        <f>IF(preDEL!$AG28,IFERROR(0/0,""),preDEL!T28)</f>
        <v/>
      </c>
      <c r="U28" s="112" t="str">
        <f>IF(preDEL!$AG28,IFERROR(0/0,""),preDEL!U28)</f>
        <v/>
      </c>
      <c r="V28" s="105" t="str">
        <f>IF(preDEL!$AG28,IFERROR(0/0,""),preDEL!V28)</f>
        <v/>
      </c>
      <c r="W28" s="112" t="str">
        <f>IF(preDEL!$AG28,IFERROR(0/0,""),preDEL!W28)</f>
        <v/>
      </c>
      <c r="X28" s="104" t="str">
        <f>IF(preDEL!$AG28,IFERROR(0/0,""),preDEL!X28)</f>
        <v/>
      </c>
      <c r="Y28" s="110" t="str">
        <f>IF(preDEL!$AG28,IFERROR(0/0,""),preDEL!Y28)</f>
        <v/>
      </c>
      <c r="Z28" s="105" t="str">
        <f>IF(preDEL!$AG28,IFERROR(0/0,""),preDEL!Z28)</f>
        <v/>
      </c>
      <c r="AA28" s="110" t="str">
        <f>IF(preDEL!$AG28,IFERROR(0/0,""),preDEL!AA28)</f>
        <v/>
      </c>
      <c r="AB28" s="110" t="str">
        <f>IF(preDEL!$AG28,IFERROR(0/0,""),preDEL!AB28)</f>
        <v/>
      </c>
      <c r="AC28" s="172" t="str">
        <f>IF(preDEL!$AG28,IFERROR(0/0,""),preDEL!AC28)</f>
        <v/>
      </c>
      <c r="AD28" s="104" t="str">
        <f>IF(preDEL!$AG28,IFERROR(0/0,""),preDEL!AD28)</f>
        <v/>
      </c>
      <c r="AE28" s="173" t="str">
        <f>IF(preDEL!$AG28,IFERROR(0/0,""),preDEL!AE28)</f>
        <v/>
      </c>
      <c r="AF28" s="110" t="str">
        <f>IF(preDEL!$AG28,IFERROR(0/0,""),preDEL!AF28)</f>
        <v/>
      </c>
      <c r="AG28" s="110" t="str">
        <f>IF(preDEL!$AG28,IFERROR(0/0,""),preDEL!AG28)</f>
        <v/>
      </c>
      <c r="AH28" s="104" t="str">
        <f>IF(preDEL!$AG28,IFERROR(0/0,""),preDEL!AH28)</f>
        <v/>
      </c>
      <c r="AI28" s="105" t="str">
        <f>IF(preDEL!$AG28,IFERROR(0/0,""),preDEL!AI28)</f>
        <v/>
      </c>
      <c r="AJ28" s="112" t="str">
        <f>IF(preDEL!$AG28,IFERROR(0/0,""),preDEL!AJ28)</f>
        <v/>
      </c>
      <c r="AK28" s="105" t="str">
        <f>IF(preDEL!$AG28,IFERROR(0/0,""),preDEL!AK28)</f>
        <v/>
      </c>
      <c r="AL28" s="112" t="str">
        <f>IF(preDEL!$AG28,IFERROR(0/0,""),preDEL!AL28)</f>
        <v/>
      </c>
      <c r="AM28" s="112" t="str">
        <f>IF(preDEL!$AG28,IFERROR(0/0,""),preDEL!AM28)</f>
        <v/>
      </c>
      <c r="AN28" s="112" t="str">
        <f>IF(preDEL!$AG28,IFERROR(0/0,""),preDEL!AN28)</f>
        <v/>
      </c>
      <c r="AO28" s="112" t="str">
        <f>IF(preDEL!$AG28,IFERROR(0/0,""),preDEL!AO28)</f>
        <v/>
      </c>
      <c r="AP28" s="112" t="str">
        <f>IF(preDEL!$AG28,IFERROR(0/0,""),preDEL!AP28)</f>
        <v/>
      </c>
      <c r="AQ28" s="112" t="str">
        <f>IF(preDEL!$AG28,IFERROR(0/0,""),preDEL!AQ28)</f>
        <v/>
      </c>
      <c r="AR28" s="112" t="str">
        <f>IF(preDEL!$AG28,IFERROR(0/0,""),preDEL!AR28)</f>
        <v/>
      </c>
      <c r="AS28" s="112" t="str">
        <f>IF(preDEL!$AG28,IFERROR(0/0,""),preDEL!AS28)</f>
        <v/>
      </c>
      <c r="AT28" s="112" t="str">
        <f>IF(preDEL!$AG28,IFERROR(0/0,""),preDEL!AT28)</f>
        <v/>
      </c>
      <c r="AU28" s="112" t="str">
        <f>IF(preDEL!$AG28,IFERROR(0/0,""),preDEL!AU28)</f>
        <v/>
      </c>
      <c r="AV28" s="112" t="str">
        <f>IF(preDEL!$AG28,IFERROR(0/0,""),preDEL!AV28)</f>
        <v/>
      </c>
      <c r="AW28" s="112" t="str">
        <f>IF(preDEL!$AG28,IFERROR(0/0,""),preDEL!AW28)</f>
        <v/>
      </c>
      <c r="AX28" s="112" t="str">
        <f>IF(preDEL!$AG28,IFERROR(0/0,""),preDEL!AX28)</f>
        <v/>
      </c>
      <c r="AY28" s="112" t="str">
        <f>IF(preDEL!$AG28,IFERROR(0/0,""),preDEL!AY28)</f>
        <v/>
      </c>
      <c r="AZ28" s="174"/>
      <c r="BA28" s="174"/>
      <c r="BB28" s="174"/>
      <c r="BC28" s="174"/>
      <c r="BD28" s="174"/>
      <c r="BE28" s="174"/>
      <c r="BF28" s="174"/>
      <c r="BG28" s="174"/>
      <c r="BH28" s="174"/>
      <c r="BI28" s="174"/>
      <c r="BJ28" s="174"/>
      <c r="BK28" s="174"/>
      <c r="BL28" s="174"/>
      <c r="BM28" s="174"/>
      <c r="BN28" s="174"/>
      <c r="BO28" s="174"/>
      <c r="BP28" s="174"/>
      <c r="BQ28" s="174"/>
      <c r="BR28" s="174"/>
      <c r="BS28" s="174"/>
      <c r="BT28" s="174"/>
      <c r="BU28" s="174"/>
      <c r="BV28" s="174"/>
      <c r="BW28" s="174"/>
      <c r="BX28" s="174"/>
      <c r="BY28" s="174"/>
      <c r="BZ28" s="174"/>
      <c r="CA28" s="174"/>
      <c r="CB28" s="174"/>
      <c r="CC28" s="174"/>
      <c r="CD28" s="174"/>
    </row>
    <row r="29">
      <c r="A29" s="105" t="str">
        <f>IF(preDEL!$AG29,IFERROR(0/0,""),preDEL!A29)</f>
        <v>MA1155</v>
      </c>
      <c r="B29" s="170">
        <f>IF(preDEL!$AG29,IFERROR(0/0,""),preDEL!B29)</f>
        <v>44545</v>
      </c>
      <c r="C29" s="171">
        <f>IF(preDEL!$AG29,IFERROR(0/0,""),preDEL!C29)</f>
        <v>0.6686805556</v>
      </c>
      <c r="D29" s="105" t="str">
        <f>IF(preDEL!$AG29,IFERROR(0/0,""),preDEL!D29)</f>
        <v/>
      </c>
      <c r="E29" s="105" t="str">
        <f>IF(preDEL!$AG29,IFERROR(0/0,""),preDEL!E29)</f>
        <v/>
      </c>
      <c r="F29" s="112" t="str">
        <f>IF(preDEL!$AG29,IFERROR(0/0,""),preDEL!F29)</f>
        <v/>
      </c>
      <c r="G29" s="112" t="str">
        <f>IF(preDEL!$AG29,IFERROR(0/0,""),preDEL!G29)</f>
        <v/>
      </c>
      <c r="H29" s="112" t="str">
        <f>IF(preDEL!$AG29,IFERROR(0/0,""),preDEL!H29)</f>
        <v/>
      </c>
      <c r="I29" s="105" t="str">
        <f>IF(preDEL!$AG29,IFERROR(0/0,""),preDEL!I29)</f>
        <v/>
      </c>
      <c r="J29" s="105" t="str">
        <f>IF(preDEL!$AG29,IFERROR(0/0,""),preDEL!J29)</f>
        <v/>
      </c>
      <c r="K29" s="105" t="str">
        <f>IF(preDEL!$AG29,IFERROR(0/0,""),preDEL!K29)</f>
        <v>Negative</v>
      </c>
      <c r="L29" s="170">
        <f>IF(preDEL!$AG29,IFERROR(0/0,""),preDEL!L29)</f>
        <v>44550</v>
      </c>
      <c r="M29" s="171">
        <f>IF(preDEL!$AG29,IFERROR(0/0,""),preDEL!M29)</f>
        <v>0.4883449074</v>
      </c>
      <c r="N29" s="112" t="str">
        <f>IF(preDEL!$AG29,IFERROR(0/0,""),preDEL!N29)</f>
        <v/>
      </c>
      <c r="O29" s="112" t="str">
        <f>IF(preDEL!$AG29,IFERROR(0/0,""),preDEL!O29)</f>
        <v/>
      </c>
      <c r="P29" s="110" t="b">
        <f>IF(preDEL!$AG29,IFERROR(0/0,""),preDEL!P29)</f>
        <v>0</v>
      </c>
      <c r="Q29" s="110" t="str">
        <f>IF(preDEL!$AG29,IFERROR(0/0,""),preDEL!Q29)</f>
        <v>Result</v>
      </c>
      <c r="R29" s="104" t="b">
        <f>IF(preDEL!$AG29,IFERROR(0/0,""),preDEL!R29)</f>
        <v>1</v>
      </c>
      <c r="S29" s="104">
        <f>IF(preDEL!$AG29,IFERROR(0/0,""),preDEL!S29)</f>
        <v>1</v>
      </c>
      <c r="T29" s="110" t="str">
        <f>IF(preDEL!$AG29,IFERROR(0/0,""),preDEL!T29)</f>
        <v/>
      </c>
      <c r="U29" s="112" t="str">
        <f>IF(preDEL!$AG29,IFERROR(0/0,""),preDEL!U29)</f>
        <v/>
      </c>
      <c r="V29" s="105" t="str">
        <f>IF(preDEL!$AG29,IFERROR(0/0,""),preDEL!V29)</f>
        <v/>
      </c>
      <c r="W29" s="112" t="str">
        <f>IF(preDEL!$AG29,IFERROR(0/0,""),preDEL!W29)</f>
        <v/>
      </c>
      <c r="X29" s="104" t="b">
        <f>IF(preDEL!$AG29,IFERROR(0/0,""),preDEL!X29)</f>
        <v>0</v>
      </c>
      <c r="Y29" s="110" t="b">
        <f>IF(preDEL!$AG29,IFERROR(0/0,""),preDEL!Y29)</f>
        <v>0</v>
      </c>
      <c r="Z29" s="105" t="str">
        <f>IF(preDEL!$AG29,IFERROR(0/0,""),preDEL!Z29)</f>
        <v/>
      </c>
      <c r="AA29" s="110" t="b">
        <f>IF(preDEL!$AG29,IFERROR(0/0,""),preDEL!AA29)</f>
        <v>0</v>
      </c>
      <c r="AB29" s="110" t="b">
        <f>IF(preDEL!$AG29,IFERROR(0/0,""),preDEL!AB29)</f>
        <v>0</v>
      </c>
      <c r="AC29" s="172">
        <f>IF(preDEL!$AG29,IFERROR(0/0,""),preDEL!AC29)</f>
        <v>761</v>
      </c>
      <c r="AD29" s="104" t="b">
        <f>IF(preDEL!$AG29,IFERROR(0/0,""),preDEL!AD29)</f>
        <v>0</v>
      </c>
      <c r="AE29" s="173" t="str">
        <f>IF(preDEL!$AG29,IFERROR(0/0,""),preDEL!AE29)</f>
        <v/>
      </c>
      <c r="AF29" s="110" t="b">
        <f>IF(preDEL!$AG29,IFERROR(0/0,""),preDEL!AF29)</f>
        <v>0</v>
      </c>
      <c r="AG29" s="110" t="b">
        <f>IF(preDEL!$AG29,IFERROR(0/0,""),preDEL!AG29)</f>
        <v>0</v>
      </c>
      <c r="AH29" s="104" t="str">
        <f>IF(preDEL!$AG29,IFERROR(0/0,""),preDEL!AH29)</f>
        <v/>
      </c>
      <c r="AI29" s="105" t="str">
        <f>IF(preDEL!$AG29,IFERROR(0/0,""),preDEL!AI29)</f>
        <v/>
      </c>
      <c r="AJ29" s="112" t="str">
        <f>IF(preDEL!$AG29,IFERROR(0/0,""),preDEL!AJ29)</f>
        <v/>
      </c>
      <c r="AK29" s="105" t="str">
        <f>IF(preDEL!$AG29,IFERROR(0/0,""),preDEL!AK29)</f>
        <v>Negative</v>
      </c>
      <c r="AL29" s="112" t="str">
        <f>IF(preDEL!$AG29,IFERROR(0/0,""),preDEL!AL29)</f>
        <v/>
      </c>
      <c r="AM29" s="112" t="str">
        <f>IF(preDEL!$AG29,IFERROR(0/0,""),preDEL!AM29)</f>
        <v>SpBEND548976</v>
      </c>
      <c r="AN29" s="112" t="str">
        <f>IF(preDEL!$AG29,IFERROR(0/0,""),preDEL!AN29)</f>
        <v>BEND704851</v>
      </c>
      <c r="AO29" s="112" t="str">
        <f>IF(preDEL!$AG29,IFERROR(0/0,""),preDEL!AO29)</f>
        <v/>
      </c>
      <c r="AP29" s="112" t="str">
        <f>IF(preDEL!$AG29,IFERROR(0/0,""),preDEL!AP29)</f>
        <v/>
      </c>
      <c r="AQ29" s="112" t="str">
        <f>IF(preDEL!$AG29,IFERROR(0/0,""),preDEL!AQ29)</f>
        <v/>
      </c>
      <c r="AR29" s="112" t="str">
        <f>IF(preDEL!$AG29,IFERROR(0/0,""),preDEL!AR29)</f>
        <v/>
      </c>
      <c r="AS29" s="112" t="str">
        <f>IF(preDEL!$AG29,IFERROR(0/0,""),preDEL!AS29)</f>
        <v/>
      </c>
      <c r="AT29" s="112" t="b">
        <f>IF(preDEL!$AG29,IFERROR(0/0,""),preDEL!AT29)</f>
        <v>0</v>
      </c>
      <c r="AU29" s="112" t="str">
        <f>IF(preDEL!$AG29,IFERROR(0/0,""),preDEL!AU29)</f>
        <v/>
      </c>
      <c r="AV29" s="112" t="str">
        <f>IF(preDEL!$AG29,IFERROR(0/0,""),preDEL!AV29)</f>
        <v/>
      </c>
      <c r="AW29" s="112" t="str">
        <f>IF(preDEL!$AG29,IFERROR(0/0,""),preDEL!AW29)</f>
        <v/>
      </c>
      <c r="AX29" s="112" t="str">
        <f>IF(preDEL!$AG29,IFERROR(0/0,""),preDEL!AX29)</f>
        <v/>
      </c>
      <c r="AY29" s="112" t="str">
        <f>IF(preDEL!$AG29,IFERROR(0/0,""),preDEL!AY29)</f>
        <v/>
      </c>
      <c r="AZ29" s="174"/>
      <c r="BA29" s="174"/>
      <c r="BB29" s="174"/>
      <c r="BC29" s="174"/>
      <c r="BD29" s="174"/>
      <c r="BE29" s="174"/>
      <c r="BF29" s="174"/>
      <c r="BG29" s="174"/>
      <c r="BH29" s="174"/>
      <c r="BI29" s="174"/>
      <c r="BJ29" s="174"/>
      <c r="BK29" s="174"/>
      <c r="BL29" s="174"/>
      <c r="BM29" s="174"/>
      <c r="BN29" s="174"/>
      <c r="BO29" s="174"/>
      <c r="BP29" s="174"/>
      <c r="BQ29" s="174"/>
      <c r="BR29" s="174"/>
      <c r="BS29" s="174"/>
      <c r="BT29" s="174"/>
      <c r="BU29" s="174"/>
      <c r="BV29" s="174"/>
      <c r="BW29" s="174"/>
      <c r="BX29" s="174"/>
      <c r="BY29" s="174"/>
      <c r="BZ29" s="174"/>
      <c r="CA29" s="174"/>
      <c r="CB29" s="174"/>
      <c r="CC29" s="174"/>
      <c r="CD29" s="174"/>
    </row>
    <row r="30">
      <c r="A30" s="105" t="str">
        <f>IF(preDEL!$AG30,IFERROR(0/0,""),preDEL!A30)</f>
        <v>MA1043</v>
      </c>
      <c r="B30" s="170">
        <f>IF(preDEL!$AG30,IFERROR(0/0,""),preDEL!B30)</f>
        <v>44547</v>
      </c>
      <c r="C30" s="171">
        <f>IF(preDEL!$AG30,IFERROR(0/0,""),preDEL!C30)</f>
        <v>0.3417824074</v>
      </c>
      <c r="D30" s="105" t="str">
        <f>IF(preDEL!$AG30,IFERROR(0/0,""),preDEL!D30)</f>
        <v/>
      </c>
      <c r="E30" s="105" t="str">
        <f>IF(preDEL!$AG30,IFERROR(0/0,""),preDEL!E30)</f>
        <v/>
      </c>
      <c r="F30" s="112" t="str">
        <f>IF(preDEL!$AG30,IFERROR(0/0,""),preDEL!F30)</f>
        <v/>
      </c>
      <c r="G30" s="112" t="str">
        <f>IF(preDEL!$AG30,IFERROR(0/0,""),preDEL!G30)</f>
        <v/>
      </c>
      <c r="H30" s="112" t="str">
        <f>IF(preDEL!$AG30,IFERROR(0/0,""),preDEL!H30)</f>
        <v/>
      </c>
      <c r="I30" s="105" t="str">
        <f>IF(preDEL!$AG30,IFERROR(0/0,""),preDEL!I30)</f>
        <v/>
      </c>
      <c r="J30" s="105" t="str">
        <f>IF(preDEL!$AG30,IFERROR(0/0,""),preDEL!J30)</f>
        <v/>
      </c>
      <c r="K30" s="105" t="str">
        <f>IF(preDEL!$AG30,IFERROR(0/0,""),preDEL!K30)</f>
        <v>Positive</v>
      </c>
      <c r="L30" s="170">
        <f>IF(preDEL!$AG30,IFERROR(0/0,""),preDEL!L30)</f>
        <v>44547</v>
      </c>
      <c r="M30" s="171">
        <f>IF(preDEL!$AG30,IFERROR(0/0,""),preDEL!M30)</f>
        <v>0.5028472222</v>
      </c>
      <c r="N30" s="112" t="str">
        <f>IF(preDEL!$AG30,IFERROR(0/0,""),preDEL!N30)</f>
        <v/>
      </c>
      <c r="O30" s="112" t="str">
        <f>IF(preDEL!$AG30,IFERROR(0/0,""),preDEL!O30)</f>
        <v/>
      </c>
      <c r="P30" s="110" t="b">
        <f>IF(preDEL!$AG30,IFERROR(0/0,""),preDEL!P30)</f>
        <v>1</v>
      </c>
      <c r="Q30" s="110" t="str">
        <f>IF(preDEL!$AG30,IFERROR(0/0,""),preDEL!Q30)</f>
        <v>ER - REPS IN APT</v>
      </c>
      <c r="R30" s="104" t="b">
        <f>IF(preDEL!$AG30,IFERROR(0/0,""),preDEL!R30)</f>
        <v>1</v>
      </c>
      <c r="S30" s="104">
        <f>IF(preDEL!$AG30,IFERROR(0/0,""),preDEL!S30)</f>
        <v>1</v>
      </c>
      <c r="T30" s="110" t="str">
        <f>IF(preDEL!$AG30,IFERROR(0/0,""),preDEL!T30)</f>
        <v/>
      </c>
      <c r="U30" s="112" t="str">
        <f>IF(preDEL!$AG30,IFERROR(0/0,""),preDEL!U30)</f>
        <v/>
      </c>
      <c r="V30" s="105" t="str">
        <f>IF(preDEL!$AG30,IFERROR(0/0,""),preDEL!V30)</f>
        <v/>
      </c>
      <c r="W30" s="112" t="str">
        <f>IF(preDEL!$AG30,IFERROR(0/0,""),preDEL!W30)</f>
        <v/>
      </c>
      <c r="X30" s="104" t="b">
        <f>IF(preDEL!$AG30,IFERROR(0/0,""),preDEL!X30)</f>
        <v>0</v>
      </c>
      <c r="Y30" s="110" t="b">
        <f>IF(preDEL!$AG30,IFERROR(0/0,""),preDEL!Y30)</f>
        <v>0</v>
      </c>
      <c r="Z30" s="105" t="str">
        <f>IF(preDEL!$AG30,IFERROR(0/0,""),preDEL!Z30)</f>
        <v/>
      </c>
      <c r="AA30" s="110" t="b">
        <f>IF(preDEL!$AG30,IFERROR(0/0,""),preDEL!AA30)</f>
        <v>0</v>
      </c>
      <c r="AB30" s="110" t="b">
        <f>IF(preDEL!$AG30,IFERROR(0/0,""),preDEL!AB30)</f>
        <v>0</v>
      </c>
      <c r="AC30" s="172">
        <f>IF(preDEL!$AG30,IFERROR(0/0,""),preDEL!AC30)</f>
        <v>757</v>
      </c>
      <c r="AD30" s="104" t="b">
        <f>IF(preDEL!$AG30,IFERROR(0/0,""),preDEL!AD30)</f>
        <v>0</v>
      </c>
      <c r="AE30" s="173">
        <f>IF(preDEL!$AG30,IFERROR(0/0,""),preDEL!AE30)</f>
        <v>231.9333333</v>
      </c>
      <c r="AF30" s="110" t="b">
        <f>IF(preDEL!$AG30,IFERROR(0/0,""),preDEL!AF30)</f>
        <v>0</v>
      </c>
      <c r="AG30" s="110" t="b">
        <f>IF(preDEL!$AG30,IFERROR(0/0,""),preDEL!AG30)</f>
        <v>0</v>
      </c>
      <c r="AH30" s="104" t="str">
        <f>IF(preDEL!$AG30,IFERROR(0/0,""),preDEL!AH30)</f>
        <v/>
      </c>
      <c r="AI30" s="105">
        <f>IF(preDEL!$AG30,IFERROR(0/0,""),preDEL!AI30)</f>
        <v>4</v>
      </c>
      <c r="AJ30" s="112" t="str">
        <f>IF(preDEL!$AG30,IFERROR(0/0,""),preDEL!AJ30)</f>
        <v/>
      </c>
      <c r="AK30" s="105" t="str">
        <f>IF(preDEL!$AG30,IFERROR(0/0,""),preDEL!AK30)</f>
        <v>Positive</v>
      </c>
      <c r="AL30" s="112" t="str">
        <f>IF(preDEL!$AG30,IFERROR(0/0,""),preDEL!AL30)</f>
        <v/>
      </c>
      <c r="AM30" s="112" t="str">
        <f>IF(preDEL!$AG30,IFERROR(0/0,""),preDEL!AM30)</f>
        <v>SpBEND548976</v>
      </c>
      <c r="AN30" s="112" t="str">
        <f>IF(preDEL!$AG30,IFERROR(0/0,""),preDEL!AN30)</f>
        <v>BEND704851</v>
      </c>
      <c r="AO30" s="112" t="str">
        <f>IF(preDEL!$AG30,IFERROR(0/0,""),preDEL!AO30)</f>
        <v/>
      </c>
      <c r="AP30" s="112" t="str">
        <f>IF(preDEL!$AG30,IFERROR(0/0,""),preDEL!AP30)</f>
        <v/>
      </c>
      <c r="AQ30" s="112" t="str">
        <f>IF(preDEL!$AG30,IFERROR(0/0,""),preDEL!AQ30)</f>
        <v/>
      </c>
      <c r="AR30" s="112" t="str">
        <f>IF(preDEL!$AG30,IFERROR(0/0,""),preDEL!AR30)</f>
        <v/>
      </c>
      <c r="AS30" s="112" t="str">
        <f>IF(preDEL!$AG30,IFERROR(0/0,""),preDEL!AS30)</f>
        <v/>
      </c>
      <c r="AT30" s="112" t="b">
        <f>IF(preDEL!$AG30,IFERROR(0/0,""),preDEL!AT30)</f>
        <v>0</v>
      </c>
      <c r="AU30" s="112" t="str">
        <f>IF(preDEL!$AG30,IFERROR(0/0,""),preDEL!AU30)</f>
        <v/>
      </c>
      <c r="AV30" s="112" t="str">
        <f>IF(preDEL!$AG30,IFERROR(0/0,""),preDEL!AV30)</f>
        <v/>
      </c>
      <c r="AW30" s="112" t="str">
        <f>IF(preDEL!$AG30,IFERROR(0/0,""),preDEL!AW30)</f>
        <v/>
      </c>
      <c r="AX30" s="112" t="str">
        <f>IF(preDEL!$AG30,IFERROR(0/0,""),preDEL!AX30)</f>
        <v/>
      </c>
      <c r="AY30" s="112" t="str">
        <f>IF(preDEL!$AG30,IFERROR(0/0,""),preDEL!AY30)</f>
        <v/>
      </c>
      <c r="AZ30" s="174"/>
      <c r="BA30" s="174"/>
      <c r="BB30" s="174"/>
      <c r="BC30" s="174"/>
      <c r="BD30" s="174"/>
      <c r="BE30" s="174"/>
      <c r="BF30" s="174"/>
      <c r="BG30" s="174"/>
      <c r="BH30" s="174"/>
      <c r="BI30" s="174"/>
      <c r="BJ30" s="174"/>
      <c r="BK30" s="174"/>
      <c r="BL30" s="174"/>
      <c r="BM30" s="174"/>
      <c r="BN30" s="174"/>
      <c r="BO30" s="174"/>
      <c r="BP30" s="174"/>
      <c r="BQ30" s="174"/>
      <c r="BR30" s="174"/>
      <c r="BS30" s="174"/>
      <c r="BT30" s="174"/>
      <c r="BU30" s="174"/>
      <c r="BV30" s="174"/>
      <c r="BW30" s="174"/>
      <c r="BX30" s="174"/>
      <c r="BY30" s="174"/>
      <c r="BZ30" s="174"/>
      <c r="CA30" s="174"/>
      <c r="CB30" s="174"/>
      <c r="CC30" s="174"/>
      <c r="CD30" s="174"/>
    </row>
    <row r="31">
      <c r="A31" s="105" t="str">
        <f>IF(preDEL!$AG31,IFERROR(0/0,""),preDEL!A31)</f>
        <v/>
      </c>
      <c r="B31" s="170" t="str">
        <f>IF(preDEL!$AG31,IFERROR(0/0,""),preDEL!B31)</f>
        <v/>
      </c>
      <c r="C31" s="171" t="str">
        <f>IF(preDEL!$AG31,IFERROR(0/0,""),preDEL!C31)</f>
        <v/>
      </c>
      <c r="D31" s="105" t="str">
        <f>IF(preDEL!$AG31,IFERROR(0/0,""),preDEL!D31)</f>
        <v/>
      </c>
      <c r="E31" s="105" t="str">
        <f>IF(preDEL!$AG31,IFERROR(0/0,""),preDEL!E31)</f>
        <v/>
      </c>
      <c r="F31" s="112" t="str">
        <f>IF(preDEL!$AG31,IFERROR(0/0,""),preDEL!F31)</f>
        <v/>
      </c>
      <c r="G31" s="112" t="str">
        <f>IF(preDEL!$AG31,IFERROR(0/0,""),preDEL!G31)</f>
        <v/>
      </c>
      <c r="H31" s="112" t="str">
        <f>IF(preDEL!$AG31,IFERROR(0/0,""),preDEL!H31)</f>
        <v/>
      </c>
      <c r="I31" s="105" t="str">
        <f>IF(preDEL!$AG31,IFERROR(0/0,""),preDEL!I31)</f>
        <v/>
      </c>
      <c r="J31" s="105" t="str">
        <f>IF(preDEL!$AG31,IFERROR(0/0,""),preDEL!J31)</f>
        <v/>
      </c>
      <c r="K31" s="105" t="str">
        <f>IF(preDEL!$AG31,IFERROR(0/0,""),preDEL!K31)</f>
        <v/>
      </c>
      <c r="L31" s="170" t="str">
        <f>IF(preDEL!$AG31,IFERROR(0/0,""),preDEL!L31)</f>
        <v/>
      </c>
      <c r="M31" s="171" t="str">
        <f>IF(preDEL!$AG31,IFERROR(0/0,""),preDEL!M31)</f>
        <v/>
      </c>
      <c r="N31" s="112" t="str">
        <f>IF(preDEL!$AG31,IFERROR(0/0,""),preDEL!N31)</f>
        <v/>
      </c>
      <c r="O31" s="112" t="str">
        <f>IF(preDEL!$AG31,IFERROR(0/0,""),preDEL!O31)</f>
        <v/>
      </c>
      <c r="P31" s="110" t="str">
        <f>IF(preDEL!$AG31,IFERROR(0/0,""),preDEL!P31)</f>
        <v/>
      </c>
      <c r="Q31" s="110" t="str">
        <f>IF(preDEL!$AG31,IFERROR(0/0,""),preDEL!Q31)</f>
        <v/>
      </c>
      <c r="R31" s="104" t="str">
        <f>IF(preDEL!$AG31,IFERROR(0/0,""),preDEL!R31)</f>
        <v/>
      </c>
      <c r="S31" s="104" t="str">
        <f>IF(preDEL!$AG31,IFERROR(0/0,""),preDEL!S31)</f>
        <v/>
      </c>
      <c r="T31" s="110" t="str">
        <f>IF(preDEL!$AG31,IFERROR(0/0,""),preDEL!T31)</f>
        <v/>
      </c>
      <c r="U31" s="112" t="str">
        <f>IF(preDEL!$AG31,IFERROR(0/0,""),preDEL!U31)</f>
        <v/>
      </c>
      <c r="V31" s="105" t="str">
        <f>IF(preDEL!$AG31,IFERROR(0/0,""),preDEL!V31)</f>
        <v/>
      </c>
      <c r="W31" s="112" t="str">
        <f>IF(preDEL!$AG31,IFERROR(0/0,""),preDEL!W31)</f>
        <v/>
      </c>
      <c r="X31" s="104" t="str">
        <f>IF(preDEL!$AG31,IFERROR(0/0,""),preDEL!X31)</f>
        <v/>
      </c>
      <c r="Y31" s="110" t="str">
        <f>IF(preDEL!$AG31,IFERROR(0/0,""),preDEL!Y31)</f>
        <v/>
      </c>
      <c r="Z31" s="105" t="str">
        <f>IF(preDEL!$AG31,IFERROR(0/0,""),preDEL!Z31)</f>
        <v/>
      </c>
      <c r="AA31" s="110" t="str">
        <f>IF(preDEL!$AG31,IFERROR(0/0,""),preDEL!AA31)</f>
        <v/>
      </c>
      <c r="AB31" s="110" t="str">
        <f>IF(preDEL!$AG31,IFERROR(0/0,""),preDEL!AB31)</f>
        <v/>
      </c>
      <c r="AC31" s="172" t="str">
        <f>IF(preDEL!$AG31,IFERROR(0/0,""),preDEL!AC31)</f>
        <v/>
      </c>
      <c r="AD31" s="104" t="str">
        <f>IF(preDEL!$AG31,IFERROR(0/0,""),preDEL!AD31)</f>
        <v/>
      </c>
      <c r="AE31" s="173" t="str">
        <f>IF(preDEL!$AG31,IFERROR(0/0,""),preDEL!AE31)</f>
        <v/>
      </c>
      <c r="AF31" s="110" t="str">
        <f>IF(preDEL!$AG31,IFERROR(0/0,""),preDEL!AF31)</f>
        <v/>
      </c>
      <c r="AG31" s="110" t="str">
        <f>IF(preDEL!$AG31,IFERROR(0/0,""),preDEL!AG31)</f>
        <v/>
      </c>
      <c r="AH31" s="104" t="str">
        <f>IF(preDEL!$AG31,IFERROR(0/0,""),preDEL!AH31)</f>
        <v/>
      </c>
      <c r="AI31" s="105" t="str">
        <f>IF(preDEL!$AG31,IFERROR(0/0,""),preDEL!AI31)</f>
        <v/>
      </c>
      <c r="AJ31" s="112" t="str">
        <f>IF(preDEL!$AG31,IFERROR(0/0,""),preDEL!AJ31)</f>
        <v/>
      </c>
      <c r="AK31" s="105" t="str">
        <f>IF(preDEL!$AG31,IFERROR(0/0,""),preDEL!AK31)</f>
        <v/>
      </c>
      <c r="AL31" s="112" t="str">
        <f>IF(preDEL!$AG31,IFERROR(0/0,""),preDEL!AL31)</f>
        <v/>
      </c>
      <c r="AM31" s="112" t="str">
        <f>IF(preDEL!$AG31,IFERROR(0/0,""),preDEL!AM31)</f>
        <v/>
      </c>
      <c r="AN31" s="112" t="str">
        <f>IF(preDEL!$AG31,IFERROR(0/0,""),preDEL!AN31)</f>
        <v/>
      </c>
      <c r="AO31" s="112" t="str">
        <f>IF(preDEL!$AG31,IFERROR(0/0,""),preDEL!AO31)</f>
        <v/>
      </c>
      <c r="AP31" s="112" t="str">
        <f>IF(preDEL!$AG31,IFERROR(0/0,""),preDEL!AP31)</f>
        <v/>
      </c>
      <c r="AQ31" s="112" t="str">
        <f>IF(preDEL!$AG31,IFERROR(0/0,""),preDEL!AQ31)</f>
        <v/>
      </c>
      <c r="AR31" s="112" t="str">
        <f>IF(preDEL!$AG31,IFERROR(0/0,""),preDEL!AR31)</f>
        <v/>
      </c>
      <c r="AS31" s="112" t="str">
        <f>IF(preDEL!$AG31,IFERROR(0/0,""),preDEL!AS31)</f>
        <v/>
      </c>
      <c r="AT31" s="112" t="str">
        <f>IF(preDEL!$AG31,IFERROR(0/0,""),preDEL!AT31)</f>
        <v/>
      </c>
      <c r="AU31" s="112" t="str">
        <f>IF(preDEL!$AG31,IFERROR(0/0,""),preDEL!AU31)</f>
        <v/>
      </c>
      <c r="AV31" s="112" t="str">
        <f>IF(preDEL!$AG31,IFERROR(0/0,""),preDEL!AV31)</f>
        <v/>
      </c>
      <c r="AW31" s="112" t="str">
        <f>IF(preDEL!$AG31,IFERROR(0/0,""),preDEL!AW31)</f>
        <v/>
      </c>
      <c r="AX31" s="112" t="str">
        <f>IF(preDEL!$AG31,IFERROR(0/0,""),preDEL!AX31)</f>
        <v/>
      </c>
      <c r="AY31" s="112" t="str">
        <f>IF(preDEL!$AG31,IFERROR(0/0,""),preDEL!AY31)</f>
        <v/>
      </c>
      <c r="AZ31" s="174"/>
      <c r="BA31" s="174"/>
      <c r="BB31" s="174"/>
      <c r="BC31" s="174"/>
      <c r="BD31" s="174"/>
      <c r="BE31" s="174"/>
      <c r="BF31" s="174"/>
      <c r="BG31" s="174"/>
      <c r="BH31" s="174"/>
      <c r="BI31" s="174"/>
      <c r="BJ31" s="174"/>
      <c r="BK31" s="174"/>
      <c r="BL31" s="174"/>
      <c r="BM31" s="174"/>
      <c r="BN31" s="174"/>
      <c r="BO31" s="174"/>
      <c r="BP31" s="174"/>
      <c r="BQ31" s="174"/>
      <c r="BR31" s="174"/>
      <c r="BS31" s="174"/>
      <c r="BT31" s="174"/>
      <c r="BU31" s="174"/>
      <c r="BV31" s="174"/>
      <c r="BW31" s="174"/>
      <c r="BX31" s="174"/>
      <c r="BY31" s="174"/>
      <c r="BZ31" s="174"/>
      <c r="CA31" s="174"/>
      <c r="CB31" s="174"/>
      <c r="CC31" s="174"/>
      <c r="CD31" s="174"/>
    </row>
    <row r="32">
      <c r="A32" s="105" t="str">
        <f>IF(preDEL!$AG32,IFERROR(0/0,""),preDEL!A32)</f>
        <v>MA1036</v>
      </c>
      <c r="B32" s="170">
        <f>IF(preDEL!$AG32,IFERROR(0/0,""),preDEL!B32)</f>
        <v>44547</v>
      </c>
      <c r="C32" s="171">
        <f>IF(preDEL!$AG32,IFERROR(0/0,""),preDEL!C32)</f>
        <v>0.3711805556</v>
      </c>
      <c r="D32" s="105" t="str">
        <f>IF(preDEL!$AG32,IFERROR(0/0,""),preDEL!D32)</f>
        <v/>
      </c>
      <c r="E32" s="105" t="str">
        <f>IF(preDEL!$AG32,IFERROR(0/0,""),preDEL!E32)</f>
        <v/>
      </c>
      <c r="F32" s="112" t="str">
        <f>IF(preDEL!$AG32,IFERROR(0/0,""),preDEL!F32)</f>
        <v/>
      </c>
      <c r="G32" s="112" t="str">
        <f>IF(preDEL!$AG32,IFERROR(0/0,""),preDEL!G32)</f>
        <v/>
      </c>
      <c r="H32" s="112" t="str">
        <f>IF(preDEL!$AG32,IFERROR(0/0,""),preDEL!H32)</f>
        <v/>
      </c>
      <c r="I32" s="105" t="str">
        <f>IF(preDEL!$AG32,IFERROR(0/0,""),preDEL!I32)</f>
        <v/>
      </c>
      <c r="J32" s="105" t="str">
        <f>IF(preDEL!$AG32,IFERROR(0/0,""),preDEL!J32)</f>
        <v/>
      </c>
      <c r="K32" s="105" t="str">
        <f>IF(preDEL!$AG32,IFERROR(0/0,""),preDEL!K32)</f>
        <v>Negative</v>
      </c>
      <c r="L32" s="170">
        <f>IF(preDEL!$AG32,IFERROR(0/0,""),preDEL!L32)</f>
        <v>44547</v>
      </c>
      <c r="M32" s="171">
        <f>IF(preDEL!$AG32,IFERROR(0/0,""),preDEL!M32)</f>
        <v>0.4143402778</v>
      </c>
      <c r="N32" s="112" t="str">
        <f>IF(preDEL!$AG32,IFERROR(0/0,""),preDEL!N32)</f>
        <v/>
      </c>
      <c r="O32" s="112" t="str">
        <f>IF(preDEL!$AG32,IFERROR(0/0,""),preDEL!O32)</f>
        <v/>
      </c>
      <c r="P32" s="110" t="b">
        <f>IF(preDEL!$AG32,IFERROR(0/0,""),preDEL!P32)</f>
        <v>0</v>
      </c>
      <c r="Q32" s="110" t="str">
        <f>IF(preDEL!$AG32,IFERROR(0/0,""),preDEL!Q32)</f>
        <v>Result</v>
      </c>
      <c r="R32" s="104" t="b">
        <f>IF(preDEL!$AG32,IFERROR(0/0,""),preDEL!R32)</f>
        <v>1</v>
      </c>
      <c r="S32" s="104">
        <f>IF(preDEL!$AG32,IFERROR(0/0,""),preDEL!S32)</f>
        <v>1</v>
      </c>
      <c r="T32" s="110" t="str">
        <f>IF(preDEL!$AG32,IFERROR(0/0,""),preDEL!T32)</f>
        <v/>
      </c>
      <c r="U32" s="112" t="str">
        <f>IF(preDEL!$AG32,IFERROR(0/0,""),preDEL!U32)</f>
        <v/>
      </c>
      <c r="V32" s="105" t="str">
        <f>IF(preDEL!$AG32,IFERROR(0/0,""),preDEL!V32)</f>
        <v/>
      </c>
      <c r="W32" s="112" t="str">
        <f>IF(preDEL!$AG32,IFERROR(0/0,""),preDEL!W32)</f>
        <v/>
      </c>
      <c r="X32" s="104" t="b">
        <f>IF(preDEL!$AG32,IFERROR(0/0,""),preDEL!X32)</f>
        <v>0</v>
      </c>
      <c r="Y32" s="110" t="b">
        <f>IF(preDEL!$AG32,IFERROR(0/0,""),preDEL!Y32)</f>
        <v>0</v>
      </c>
      <c r="Z32" s="105" t="str">
        <f>IF(preDEL!$AG32,IFERROR(0/0,""),preDEL!Z32)</f>
        <v/>
      </c>
      <c r="AA32" s="110" t="b">
        <f>IF(preDEL!$AG32,IFERROR(0/0,""),preDEL!AA32)</f>
        <v>0</v>
      </c>
      <c r="AB32" s="110" t="b">
        <f>IF(preDEL!$AG32,IFERROR(0/0,""),preDEL!AB32)</f>
        <v>0</v>
      </c>
      <c r="AC32" s="172">
        <f>IF(preDEL!$AG32,IFERROR(0/0,""),preDEL!AC32)</f>
        <v>758</v>
      </c>
      <c r="AD32" s="104" t="b">
        <f>IF(preDEL!$AG32,IFERROR(0/0,""),preDEL!AD32)</f>
        <v>0</v>
      </c>
      <c r="AE32" s="173">
        <f>IF(preDEL!$AG32,IFERROR(0/0,""),preDEL!AE32)</f>
        <v>62.15</v>
      </c>
      <c r="AF32" s="110" t="b">
        <f>IF(preDEL!$AG32,IFERROR(0/0,""),preDEL!AF32)</f>
        <v>0</v>
      </c>
      <c r="AG32" s="110" t="b">
        <f>IF(preDEL!$AG32,IFERROR(0/0,""),preDEL!AG32)</f>
        <v>0</v>
      </c>
      <c r="AH32" s="104" t="str">
        <f>IF(preDEL!$AG32,IFERROR(0/0,""),preDEL!AH32)</f>
        <v/>
      </c>
      <c r="AI32" s="105" t="str">
        <f>IF(preDEL!$AG32,IFERROR(0/0,""),preDEL!AI32)</f>
        <v/>
      </c>
      <c r="AJ32" s="112" t="str">
        <f>IF(preDEL!$AG32,IFERROR(0/0,""),preDEL!AJ32)</f>
        <v/>
      </c>
      <c r="AK32" s="105" t="str">
        <f>IF(preDEL!$AG32,IFERROR(0/0,""),preDEL!AK32)</f>
        <v>Negative</v>
      </c>
      <c r="AL32" s="112" t="str">
        <f>IF(preDEL!$AG32,IFERROR(0/0,""),preDEL!AL32)</f>
        <v/>
      </c>
      <c r="AM32" s="112" t="str">
        <f>IF(preDEL!$AG32,IFERROR(0/0,""),preDEL!AM32)</f>
        <v>SpBEND394154</v>
      </c>
      <c r="AN32" s="112" t="str">
        <f>IF(preDEL!$AG32,IFERROR(0/0,""),preDEL!AN32)</f>
        <v>BEND326601</v>
      </c>
      <c r="AO32" s="112" t="str">
        <f>IF(preDEL!$AG32,IFERROR(0/0,""),preDEL!AO32)</f>
        <v/>
      </c>
      <c r="AP32" s="112" t="str">
        <f>IF(preDEL!$AG32,IFERROR(0/0,""),preDEL!AP32)</f>
        <v/>
      </c>
      <c r="AQ32" s="112" t="str">
        <f>IF(preDEL!$AG32,IFERROR(0/0,""),preDEL!AQ32)</f>
        <v/>
      </c>
      <c r="AR32" s="112" t="str">
        <f>IF(preDEL!$AG32,IFERROR(0/0,""),preDEL!AR32)</f>
        <v/>
      </c>
      <c r="AS32" s="112" t="str">
        <f>IF(preDEL!$AG32,IFERROR(0/0,""),preDEL!AS32)</f>
        <v/>
      </c>
      <c r="AT32" s="112" t="b">
        <f>IF(preDEL!$AG32,IFERROR(0/0,""),preDEL!AT32)</f>
        <v>0</v>
      </c>
      <c r="AU32" s="112" t="str">
        <f>IF(preDEL!$AG32,IFERROR(0/0,""),preDEL!AU32)</f>
        <v/>
      </c>
      <c r="AV32" s="112" t="str">
        <f>IF(preDEL!$AG32,IFERROR(0/0,""),preDEL!AV32)</f>
        <v/>
      </c>
      <c r="AW32" s="112" t="str">
        <f>IF(preDEL!$AG32,IFERROR(0/0,""),preDEL!AW32)</f>
        <v/>
      </c>
      <c r="AX32" s="112" t="str">
        <f>IF(preDEL!$AG32,IFERROR(0/0,""),preDEL!AX32)</f>
        <v/>
      </c>
      <c r="AY32" s="112" t="str">
        <f>IF(preDEL!$AG32,IFERROR(0/0,""),preDEL!AY32)</f>
        <v/>
      </c>
      <c r="AZ32" s="174"/>
      <c r="BA32" s="174"/>
      <c r="BB32" s="174"/>
      <c r="BC32" s="174"/>
      <c r="BD32" s="174"/>
      <c r="BE32" s="174"/>
      <c r="BF32" s="174"/>
      <c r="BG32" s="174"/>
      <c r="BH32" s="174"/>
      <c r="BI32" s="174"/>
      <c r="BJ32" s="174"/>
      <c r="BK32" s="174"/>
      <c r="BL32" s="174"/>
      <c r="BM32" s="174"/>
      <c r="BN32" s="174"/>
      <c r="BO32" s="174"/>
      <c r="BP32" s="174"/>
      <c r="BQ32" s="174"/>
      <c r="BR32" s="174"/>
      <c r="BS32" s="174"/>
      <c r="BT32" s="174"/>
      <c r="BU32" s="174"/>
      <c r="BV32" s="174"/>
      <c r="BW32" s="174"/>
      <c r="BX32" s="174"/>
      <c r="BY32" s="174"/>
      <c r="BZ32" s="174"/>
      <c r="CA32" s="174"/>
      <c r="CB32" s="174"/>
      <c r="CC32" s="174"/>
      <c r="CD32" s="174"/>
    </row>
    <row r="33">
      <c r="A33" s="105" t="str">
        <f>IF(preDEL!$AG33,IFERROR(0/0,""),preDEL!A33)</f>
        <v/>
      </c>
      <c r="B33" s="170" t="str">
        <f>IF(preDEL!$AG33,IFERROR(0/0,""),preDEL!B33)</f>
        <v/>
      </c>
      <c r="C33" s="171" t="str">
        <f>IF(preDEL!$AG33,IFERROR(0/0,""),preDEL!C33)</f>
        <v/>
      </c>
      <c r="D33" s="105" t="str">
        <f>IF(preDEL!$AG33,IFERROR(0/0,""),preDEL!D33)</f>
        <v/>
      </c>
      <c r="E33" s="105" t="str">
        <f>IF(preDEL!$AG33,IFERROR(0/0,""),preDEL!E33)</f>
        <v/>
      </c>
      <c r="F33" s="112" t="str">
        <f>IF(preDEL!$AG33,IFERROR(0/0,""),preDEL!F33)</f>
        <v/>
      </c>
      <c r="G33" s="112" t="str">
        <f>IF(preDEL!$AG33,IFERROR(0/0,""),preDEL!G33)</f>
        <v/>
      </c>
      <c r="H33" s="112" t="str">
        <f>IF(preDEL!$AG33,IFERROR(0/0,""),preDEL!H33)</f>
        <v/>
      </c>
      <c r="I33" s="105" t="str">
        <f>IF(preDEL!$AG33,IFERROR(0/0,""),preDEL!I33)</f>
        <v/>
      </c>
      <c r="J33" s="105" t="str">
        <f>IF(preDEL!$AG33,IFERROR(0/0,""),preDEL!J33)</f>
        <v/>
      </c>
      <c r="K33" s="105" t="str">
        <f>IF(preDEL!$AG33,IFERROR(0/0,""),preDEL!K33)</f>
        <v/>
      </c>
      <c r="L33" s="170" t="str">
        <f>IF(preDEL!$AG33,IFERROR(0/0,""),preDEL!L33)</f>
        <v/>
      </c>
      <c r="M33" s="171" t="str">
        <f>IF(preDEL!$AG33,IFERROR(0/0,""),preDEL!M33)</f>
        <v/>
      </c>
      <c r="N33" s="112" t="str">
        <f>IF(preDEL!$AG33,IFERROR(0/0,""),preDEL!N33)</f>
        <v/>
      </c>
      <c r="O33" s="112" t="str">
        <f>IF(preDEL!$AG33,IFERROR(0/0,""),preDEL!O33)</f>
        <v/>
      </c>
      <c r="P33" s="110" t="str">
        <f>IF(preDEL!$AG33,IFERROR(0/0,""),preDEL!P33)</f>
        <v/>
      </c>
      <c r="Q33" s="110" t="str">
        <f>IF(preDEL!$AG33,IFERROR(0/0,""),preDEL!Q33)</f>
        <v/>
      </c>
      <c r="R33" s="104" t="str">
        <f>IF(preDEL!$AG33,IFERROR(0/0,""),preDEL!R33)</f>
        <v/>
      </c>
      <c r="S33" s="104" t="str">
        <f>IF(preDEL!$AG33,IFERROR(0/0,""),preDEL!S33)</f>
        <v/>
      </c>
      <c r="T33" s="110" t="str">
        <f>IF(preDEL!$AG33,IFERROR(0/0,""),preDEL!T33)</f>
        <v/>
      </c>
      <c r="U33" s="112" t="str">
        <f>IF(preDEL!$AG33,IFERROR(0/0,""),preDEL!U33)</f>
        <v/>
      </c>
      <c r="V33" s="105" t="str">
        <f>IF(preDEL!$AG33,IFERROR(0/0,""),preDEL!V33)</f>
        <v/>
      </c>
      <c r="W33" s="112" t="str">
        <f>IF(preDEL!$AG33,IFERROR(0/0,""),preDEL!W33)</f>
        <v/>
      </c>
      <c r="X33" s="104" t="str">
        <f>IF(preDEL!$AG33,IFERROR(0/0,""),preDEL!X33)</f>
        <v/>
      </c>
      <c r="Y33" s="110" t="str">
        <f>IF(preDEL!$AG33,IFERROR(0/0,""),preDEL!Y33)</f>
        <v/>
      </c>
      <c r="Z33" s="105" t="str">
        <f>IF(preDEL!$AG33,IFERROR(0/0,""),preDEL!Z33)</f>
        <v/>
      </c>
      <c r="AA33" s="110" t="str">
        <f>IF(preDEL!$AG33,IFERROR(0/0,""),preDEL!AA33)</f>
        <v/>
      </c>
      <c r="AB33" s="110" t="str">
        <f>IF(preDEL!$AG33,IFERROR(0/0,""),preDEL!AB33)</f>
        <v/>
      </c>
      <c r="AC33" s="172" t="str">
        <f>IF(preDEL!$AG33,IFERROR(0/0,""),preDEL!AC33)</f>
        <v/>
      </c>
      <c r="AD33" s="104" t="str">
        <f>IF(preDEL!$AG33,IFERROR(0/0,""),preDEL!AD33)</f>
        <v/>
      </c>
      <c r="AE33" s="173" t="str">
        <f>IF(preDEL!$AG33,IFERROR(0/0,""),preDEL!AE33)</f>
        <v/>
      </c>
      <c r="AF33" s="110" t="str">
        <f>IF(preDEL!$AG33,IFERROR(0/0,""),preDEL!AF33)</f>
        <v/>
      </c>
      <c r="AG33" s="110" t="str">
        <f>IF(preDEL!$AG33,IFERROR(0/0,""),preDEL!AG33)</f>
        <v/>
      </c>
      <c r="AH33" s="104" t="str">
        <f>IF(preDEL!$AG33,IFERROR(0/0,""),preDEL!AH33)</f>
        <v/>
      </c>
      <c r="AI33" s="105" t="str">
        <f>IF(preDEL!$AG33,IFERROR(0/0,""),preDEL!AI33)</f>
        <v/>
      </c>
      <c r="AJ33" s="112" t="str">
        <f>IF(preDEL!$AG33,IFERROR(0/0,""),preDEL!AJ33)</f>
        <v/>
      </c>
      <c r="AK33" s="105" t="str">
        <f>IF(preDEL!$AG33,IFERROR(0/0,""),preDEL!AK33)</f>
        <v/>
      </c>
      <c r="AL33" s="112" t="str">
        <f>IF(preDEL!$AG33,IFERROR(0/0,""),preDEL!AL33)</f>
        <v/>
      </c>
      <c r="AM33" s="112" t="str">
        <f>IF(preDEL!$AG33,IFERROR(0/0,""),preDEL!AM33)</f>
        <v/>
      </c>
      <c r="AN33" s="112" t="str">
        <f>IF(preDEL!$AG33,IFERROR(0/0,""),preDEL!AN33)</f>
        <v/>
      </c>
      <c r="AO33" s="112" t="str">
        <f>IF(preDEL!$AG33,IFERROR(0/0,""),preDEL!AO33)</f>
        <v/>
      </c>
      <c r="AP33" s="112" t="str">
        <f>IF(preDEL!$AG33,IFERROR(0/0,""),preDEL!AP33)</f>
        <v/>
      </c>
      <c r="AQ33" s="112" t="str">
        <f>IF(preDEL!$AG33,IFERROR(0/0,""),preDEL!AQ33)</f>
        <v/>
      </c>
      <c r="AR33" s="112" t="str">
        <f>IF(preDEL!$AG33,IFERROR(0/0,""),preDEL!AR33)</f>
        <v/>
      </c>
      <c r="AS33" s="112" t="str">
        <f>IF(preDEL!$AG33,IFERROR(0/0,""),preDEL!AS33)</f>
        <v/>
      </c>
      <c r="AT33" s="112" t="str">
        <f>IF(preDEL!$AG33,IFERROR(0/0,""),preDEL!AT33)</f>
        <v/>
      </c>
      <c r="AU33" s="112" t="str">
        <f>IF(preDEL!$AG33,IFERROR(0/0,""),preDEL!AU33)</f>
        <v/>
      </c>
      <c r="AV33" s="112" t="str">
        <f>IF(preDEL!$AG33,IFERROR(0/0,""),preDEL!AV33)</f>
        <v/>
      </c>
      <c r="AW33" s="112" t="str">
        <f>IF(preDEL!$AG33,IFERROR(0/0,""),preDEL!AW33)</f>
        <v/>
      </c>
      <c r="AX33" s="112" t="str">
        <f>IF(preDEL!$AG33,IFERROR(0/0,""),preDEL!AX33)</f>
        <v/>
      </c>
      <c r="AY33" s="112" t="str">
        <f>IF(preDEL!$AG33,IFERROR(0/0,""),preDEL!AY33)</f>
        <v/>
      </c>
      <c r="AZ33" s="174"/>
      <c r="BA33" s="174"/>
      <c r="BB33" s="174"/>
      <c r="BC33" s="174"/>
      <c r="BD33" s="174"/>
      <c r="BE33" s="174"/>
      <c r="BF33" s="174"/>
      <c r="BG33" s="174"/>
      <c r="BH33" s="174"/>
      <c r="BI33" s="174"/>
      <c r="BJ33" s="174"/>
      <c r="BK33" s="174"/>
      <c r="BL33" s="174"/>
      <c r="BM33" s="174"/>
      <c r="BN33" s="174"/>
      <c r="BO33" s="174"/>
      <c r="BP33" s="174"/>
      <c r="BQ33" s="174"/>
      <c r="BR33" s="174"/>
      <c r="BS33" s="174"/>
      <c r="BT33" s="174"/>
      <c r="BU33" s="174"/>
      <c r="BV33" s="174"/>
      <c r="BW33" s="174"/>
      <c r="BX33" s="174"/>
      <c r="BY33" s="174"/>
      <c r="BZ33" s="174"/>
      <c r="CA33" s="174"/>
      <c r="CB33" s="174"/>
      <c r="CC33" s="174"/>
      <c r="CD33" s="174"/>
    </row>
    <row r="34">
      <c r="A34" s="105" t="str">
        <f>IF(preDEL!$AG34,IFERROR(0/0,""),preDEL!A34)</f>
        <v/>
      </c>
      <c r="B34" s="170" t="str">
        <f>IF(preDEL!$AG34,IFERROR(0/0,""),preDEL!B34)</f>
        <v/>
      </c>
      <c r="C34" s="171" t="str">
        <f>IF(preDEL!$AG34,IFERROR(0/0,""),preDEL!C34)</f>
        <v/>
      </c>
      <c r="D34" s="105" t="str">
        <f>IF(preDEL!$AG34,IFERROR(0/0,""),preDEL!D34)</f>
        <v/>
      </c>
      <c r="E34" s="105" t="str">
        <f>IF(preDEL!$AG34,IFERROR(0/0,""),preDEL!E34)</f>
        <v/>
      </c>
      <c r="F34" s="112" t="str">
        <f>IF(preDEL!$AG34,IFERROR(0/0,""),preDEL!F34)</f>
        <v/>
      </c>
      <c r="G34" s="112" t="str">
        <f>IF(preDEL!$AG34,IFERROR(0/0,""),preDEL!G34)</f>
        <v/>
      </c>
      <c r="H34" s="112" t="str">
        <f>IF(preDEL!$AG34,IFERROR(0/0,""),preDEL!H34)</f>
        <v/>
      </c>
      <c r="I34" s="105" t="str">
        <f>IF(preDEL!$AG34,IFERROR(0/0,""),preDEL!I34)</f>
        <v/>
      </c>
      <c r="J34" s="105" t="str">
        <f>IF(preDEL!$AG34,IFERROR(0/0,""),preDEL!J34)</f>
        <v/>
      </c>
      <c r="K34" s="105" t="str">
        <f>IF(preDEL!$AG34,IFERROR(0/0,""),preDEL!K34)</f>
        <v/>
      </c>
      <c r="L34" s="170" t="str">
        <f>IF(preDEL!$AG34,IFERROR(0/0,""),preDEL!L34)</f>
        <v/>
      </c>
      <c r="M34" s="171" t="str">
        <f>IF(preDEL!$AG34,IFERROR(0/0,""),preDEL!M34)</f>
        <v/>
      </c>
      <c r="N34" s="112" t="str">
        <f>IF(preDEL!$AG34,IFERROR(0/0,""),preDEL!N34)</f>
        <v/>
      </c>
      <c r="O34" s="112" t="str">
        <f>IF(preDEL!$AG34,IFERROR(0/0,""),preDEL!O34)</f>
        <v/>
      </c>
      <c r="P34" s="110" t="str">
        <f>IF(preDEL!$AG34,IFERROR(0/0,""),preDEL!P34)</f>
        <v/>
      </c>
      <c r="Q34" s="110" t="str">
        <f>IF(preDEL!$AG34,IFERROR(0/0,""),preDEL!Q34)</f>
        <v/>
      </c>
      <c r="R34" s="104" t="str">
        <f>IF(preDEL!$AG34,IFERROR(0/0,""),preDEL!R34)</f>
        <v/>
      </c>
      <c r="S34" s="104" t="str">
        <f>IF(preDEL!$AG34,IFERROR(0/0,""),preDEL!S34)</f>
        <v/>
      </c>
      <c r="T34" s="110" t="str">
        <f>IF(preDEL!$AG34,IFERROR(0/0,""),preDEL!T34)</f>
        <v/>
      </c>
      <c r="U34" s="112" t="str">
        <f>IF(preDEL!$AG34,IFERROR(0/0,""),preDEL!U34)</f>
        <v/>
      </c>
      <c r="V34" s="105" t="str">
        <f>IF(preDEL!$AG34,IFERROR(0/0,""),preDEL!V34)</f>
        <v/>
      </c>
      <c r="W34" s="112" t="str">
        <f>IF(preDEL!$AG34,IFERROR(0/0,""),preDEL!W34)</f>
        <v/>
      </c>
      <c r="X34" s="104" t="str">
        <f>IF(preDEL!$AG34,IFERROR(0/0,""),preDEL!X34)</f>
        <v/>
      </c>
      <c r="Y34" s="110" t="str">
        <f>IF(preDEL!$AG34,IFERROR(0/0,""),preDEL!Y34)</f>
        <v/>
      </c>
      <c r="Z34" s="105" t="str">
        <f>IF(preDEL!$AG34,IFERROR(0/0,""),preDEL!Z34)</f>
        <v/>
      </c>
      <c r="AA34" s="110" t="str">
        <f>IF(preDEL!$AG34,IFERROR(0/0,""),preDEL!AA34)</f>
        <v/>
      </c>
      <c r="AB34" s="110" t="str">
        <f>IF(preDEL!$AG34,IFERROR(0/0,""),preDEL!AB34)</f>
        <v/>
      </c>
      <c r="AC34" s="172" t="str">
        <f>IF(preDEL!$AG34,IFERROR(0/0,""),preDEL!AC34)</f>
        <v/>
      </c>
      <c r="AD34" s="104" t="str">
        <f>IF(preDEL!$AG34,IFERROR(0/0,""),preDEL!AD34)</f>
        <v/>
      </c>
      <c r="AE34" s="173" t="str">
        <f>IF(preDEL!$AG34,IFERROR(0/0,""),preDEL!AE34)</f>
        <v/>
      </c>
      <c r="AF34" s="110" t="str">
        <f>IF(preDEL!$AG34,IFERROR(0/0,""),preDEL!AF34)</f>
        <v/>
      </c>
      <c r="AG34" s="110" t="str">
        <f>IF(preDEL!$AG34,IFERROR(0/0,""),preDEL!AG34)</f>
        <v/>
      </c>
      <c r="AH34" s="104" t="str">
        <f>IF(preDEL!$AG34,IFERROR(0/0,""),preDEL!AH34)</f>
        <v/>
      </c>
      <c r="AI34" s="105" t="str">
        <f>IF(preDEL!$AG34,IFERROR(0/0,""),preDEL!AI34)</f>
        <v/>
      </c>
      <c r="AJ34" s="112" t="str">
        <f>IF(preDEL!$AG34,IFERROR(0/0,""),preDEL!AJ34)</f>
        <v/>
      </c>
      <c r="AK34" s="105" t="str">
        <f>IF(preDEL!$AG34,IFERROR(0/0,""),preDEL!AK34)</f>
        <v/>
      </c>
      <c r="AL34" s="112" t="str">
        <f>IF(preDEL!$AG34,IFERROR(0/0,""),preDEL!AL34)</f>
        <v/>
      </c>
      <c r="AM34" s="112" t="str">
        <f>IF(preDEL!$AG34,IFERROR(0/0,""),preDEL!AM34)</f>
        <v/>
      </c>
      <c r="AN34" s="112" t="str">
        <f>IF(preDEL!$AG34,IFERROR(0/0,""),preDEL!AN34)</f>
        <v/>
      </c>
      <c r="AO34" s="112" t="str">
        <f>IF(preDEL!$AG34,IFERROR(0/0,""),preDEL!AO34)</f>
        <v/>
      </c>
      <c r="AP34" s="112" t="str">
        <f>IF(preDEL!$AG34,IFERROR(0/0,""),preDEL!AP34)</f>
        <v/>
      </c>
      <c r="AQ34" s="112" t="str">
        <f>IF(preDEL!$AG34,IFERROR(0/0,""),preDEL!AQ34)</f>
        <v/>
      </c>
      <c r="AR34" s="112" t="str">
        <f>IF(preDEL!$AG34,IFERROR(0/0,""),preDEL!AR34)</f>
        <v/>
      </c>
      <c r="AS34" s="112" t="str">
        <f>IF(preDEL!$AG34,IFERROR(0/0,""),preDEL!AS34)</f>
        <v/>
      </c>
      <c r="AT34" s="112" t="str">
        <f>IF(preDEL!$AG34,IFERROR(0/0,""),preDEL!AT34)</f>
        <v/>
      </c>
      <c r="AU34" s="112" t="str">
        <f>IF(preDEL!$AG34,IFERROR(0/0,""),preDEL!AU34)</f>
        <v/>
      </c>
      <c r="AV34" s="112" t="str">
        <f>IF(preDEL!$AG34,IFERROR(0/0,""),preDEL!AV34)</f>
        <v/>
      </c>
      <c r="AW34" s="112" t="str">
        <f>IF(preDEL!$AG34,IFERROR(0/0,""),preDEL!AW34)</f>
        <v/>
      </c>
      <c r="AX34" s="112" t="str">
        <f>IF(preDEL!$AG34,IFERROR(0/0,""),preDEL!AX34)</f>
        <v/>
      </c>
      <c r="AY34" s="112" t="str">
        <f>IF(preDEL!$AG34,IFERROR(0/0,""),preDEL!AY34)</f>
        <v/>
      </c>
      <c r="AZ34" s="174"/>
      <c r="BA34" s="174"/>
      <c r="BB34" s="174"/>
      <c r="BC34" s="174"/>
      <c r="BD34" s="174"/>
      <c r="BE34" s="174"/>
      <c r="BF34" s="174"/>
      <c r="BG34" s="174"/>
      <c r="BH34" s="174"/>
      <c r="BI34" s="174"/>
      <c r="BJ34" s="174"/>
      <c r="BK34" s="174"/>
      <c r="BL34" s="174"/>
      <c r="BM34" s="174"/>
      <c r="BN34" s="174"/>
      <c r="BO34" s="174"/>
      <c r="BP34" s="174"/>
      <c r="BQ34" s="174"/>
      <c r="BR34" s="174"/>
      <c r="BS34" s="174"/>
      <c r="BT34" s="174"/>
      <c r="BU34" s="174"/>
      <c r="BV34" s="174"/>
      <c r="BW34" s="174"/>
      <c r="BX34" s="174"/>
      <c r="BY34" s="174"/>
      <c r="BZ34" s="174"/>
      <c r="CA34" s="174"/>
      <c r="CB34" s="174"/>
      <c r="CC34" s="174"/>
      <c r="CD34" s="174"/>
    </row>
    <row r="35">
      <c r="A35" s="105" t="str">
        <f>IF(preDEL!$AG35,IFERROR(0/0,""),preDEL!A35)</f>
        <v/>
      </c>
      <c r="B35" s="170" t="str">
        <f>IF(preDEL!$AG35,IFERROR(0/0,""),preDEL!B35)</f>
        <v/>
      </c>
      <c r="C35" s="171" t="str">
        <f>IF(preDEL!$AG35,IFERROR(0/0,""),preDEL!C35)</f>
        <v/>
      </c>
      <c r="D35" s="105" t="str">
        <f>IF(preDEL!$AG35,IFERROR(0/0,""),preDEL!D35)</f>
        <v/>
      </c>
      <c r="E35" s="105" t="str">
        <f>IF(preDEL!$AG35,IFERROR(0/0,""),preDEL!E35)</f>
        <v/>
      </c>
      <c r="F35" s="112" t="str">
        <f>IF(preDEL!$AG35,IFERROR(0/0,""),preDEL!F35)</f>
        <v/>
      </c>
      <c r="G35" s="112" t="str">
        <f>IF(preDEL!$AG35,IFERROR(0/0,""),preDEL!G35)</f>
        <v/>
      </c>
      <c r="H35" s="112" t="str">
        <f>IF(preDEL!$AG35,IFERROR(0/0,""),preDEL!H35)</f>
        <v/>
      </c>
      <c r="I35" s="105" t="str">
        <f>IF(preDEL!$AG35,IFERROR(0/0,""),preDEL!I35)</f>
        <v/>
      </c>
      <c r="J35" s="105" t="str">
        <f>IF(preDEL!$AG35,IFERROR(0/0,""),preDEL!J35)</f>
        <v/>
      </c>
      <c r="K35" s="105" t="str">
        <f>IF(preDEL!$AG35,IFERROR(0/0,""),preDEL!K35)</f>
        <v/>
      </c>
      <c r="L35" s="170" t="str">
        <f>IF(preDEL!$AG35,IFERROR(0/0,""),preDEL!L35)</f>
        <v/>
      </c>
      <c r="M35" s="171" t="str">
        <f>IF(preDEL!$AG35,IFERROR(0/0,""),preDEL!M35)</f>
        <v/>
      </c>
      <c r="N35" s="112" t="str">
        <f>IF(preDEL!$AG35,IFERROR(0/0,""),preDEL!N35)</f>
        <v/>
      </c>
      <c r="O35" s="112" t="str">
        <f>IF(preDEL!$AG35,IFERROR(0/0,""),preDEL!O35)</f>
        <v/>
      </c>
      <c r="P35" s="110" t="str">
        <f>IF(preDEL!$AG35,IFERROR(0/0,""),preDEL!P35)</f>
        <v/>
      </c>
      <c r="Q35" s="110" t="str">
        <f>IF(preDEL!$AG35,IFERROR(0/0,""),preDEL!Q35)</f>
        <v/>
      </c>
      <c r="R35" s="104" t="str">
        <f>IF(preDEL!$AG35,IFERROR(0/0,""),preDEL!R35)</f>
        <v/>
      </c>
      <c r="S35" s="104" t="str">
        <f>IF(preDEL!$AG35,IFERROR(0/0,""),preDEL!S35)</f>
        <v/>
      </c>
      <c r="T35" s="110" t="str">
        <f>IF(preDEL!$AG35,IFERROR(0/0,""),preDEL!T35)</f>
        <v/>
      </c>
      <c r="U35" s="112" t="str">
        <f>IF(preDEL!$AG35,IFERROR(0/0,""),preDEL!U35)</f>
        <v/>
      </c>
      <c r="V35" s="105" t="str">
        <f>IF(preDEL!$AG35,IFERROR(0/0,""),preDEL!V35)</f>
        <v/>
      </c>
      <c r="W35" s="112" t="str">
        <f>IF(preDEL!$AG35,IFERROR(0/0,""),preDEL!W35)</f>
        <v/>
      </c>
      <c r="X35" s="104" t="str">
        <f>IF(preDEL!$AG35,IFERROR(0/0,""),preDEL!X35)</f>
        <v/>
      </c>
      <c r="Y35" s="110" t="str">
        <f>IF(preDEL!$AG35,IFERROR(0/0,""),preDEL!Y35)</f>
        <v/>
      </c>
      <c r="Z35" s="105" t="str">
        <f>IF(preDEL!$AG35,IFERROR(0/0,""),preDEL!Z35)</f>
        <v/>
      </c>
      <c r="AA35" s="110" t="str">
        <f>IF(preDEL!$AG35,IFERROR(0/0,""),preDEL!AA35)</f>
        <v/>
      </c>
      <c r="AB35" s="110" t="str">
        <f>IF(preDEL!$AG35,IFERROR(0/0,""),preDEL!AB35)</f>
        <v/>
      </c>
      <c r="AC35" s="172" t="str">
        <f>IF(preDEL!$AG35,IFERROR(0/0,""),preDEL!AC35)</f>
        <v/>
      </c>
      <c r="AD35" s="104" t="str">
        <f>IF(preDEL!$AG35,IFERROR(0/0,""),preDEL!AD35)</f>
        <v/>
      </c>
      <c r="AE35" s="173" t="str">
        <f>IF(preDEL!$AG35,IFERROR(0/0,""),preDEL!AE35)</f>
        <v/>
      </c>
      <c r="AF35" s="110" t="str">
        <f>IF(preDEL!$AG35,IFERROR(0/0,""),preDEL!AF35)</f>
        <v/>
      </c>
      <c r="AG35" s="110" t="str">
        <f>IF(preDEL!$AG35,IFERROR(0/0,""),preDEL!AG35)</f>
        <v/>
      </c>
      <c r="AH35" s="104" t="str">
        <f>IF(preDEL!$AG35,IFERROR(0/0,""),preDEL!AH35)</f>
        <v/>
      </c>
      <c r="AI35" s="105" t="str">
        <f>IF(preDEL!$AG35,IFERROR(0/0,""),preDEL!AI35)</f>
        <v/>
      </c>
      <c r="AJ35" s="112" t="str">
        <f>IF(preDEL!$AG35,IFERROR(0/0,""),preDEL!AJ35)</f>
        <v/>
      </c>
      <c r="AK35" s="105" t="str">
        <f>IF(preDEL!$AG35,IFERROR(0/0,""),preDEL!AK35)</f>
        <v/>
      </c>
      <c r="AL35" s="112" t="str">
        <f>IF(preDEL!$AG35,IFERROR(0/0,""),preDEL!AL35)</f>
        <v/>
      </c>
      <c r="AM35" s="112" t="str">
        <f>IF(preDEL!$AG35,IFERROR(0/0,""),preDEL!AM35)</f>
        <v/>
      </c>
      <c r="AN35" s="112" t="str">
        <f>IF(preDEL!$AG35,IFERROR(0/0,""),preDEL!AN35)</f>
        <v/>
      </c>
      <c r="AO35" s="112" t="str">
        <f>IF(preDEL!$AG35,IFERROR(0/0,""),preDEL!AO35)</f>
        <v/>
      </c>
      <c r="AP35" s="112" t="str">
        <f>IF(preDEL!$AG35,IFERROR(0/0,""),preDEL!AP35)</f>
        <v/>
      </c>
      <c r="AQ35" s="112" t="str">
        <f>IF(preDEL!$AG35,IFERROR(0/0,""),preDEL!AQ35)</f>
        <v/>
      </c>
      <c r="AR35" s="112" t="str">
        <f>IF(preDEL!$AG35,IFERROR(0/0,""),preDEL!AR35)</f>
        <v/>
      </c>
      <c r="AS35" s="112" t="str">
        <f>IF(preDEL!$AG35,IFERROR(0/0,""),preDEL!AS35)</f>
        <v/>
      </c>
      <c r="AT35" s="112" t="str">
        <f>IF(preDEL!$AG35,IFERROR(0/0,""),preDEL!AT35)</f>
        <v/>
      </c>
      <c r="AU35" s="112" t="str">
        <f>IF(preDEL!$AG35,IFERROR(0/0,""),preDEL!AU35)</f>
        <v/>
      </c>
      <c r="AV35" s="112" t="str">
        <f>IF(preDEL!$AG35,IFERROR(0/0,""),preDEL!AV35)</f>
        <v/>
      </c>
      <c r="AW35" s="112" t="str">
        <f>IF(preDEL!$AG35,IFERROR(0/0,""),preDEL!AW35)</f>
        <v/>
      </c>
      <c r="AX35" s="112" t="str">
        <f>IF(preDEL!$AG35,IFERROR(0/0,""),preDEL!AX35)</f>
        <v/>
      </c>
      <c r="AY35" s="112" t="str">
        <f>IF(preDEL!$AG35,IFERROR(0/0,""),preDEL!AY35)</f>
        <v/>
      </c>
      <c r="AZ35" s="174"/>
      <c r="BA35" s="174"/>
      <c r="BB35" s="174"/>
      <c r="BC35" s="174"/>
      <c r="BD35" s="174"/>
      <c r="BE35" s="174"/>
      <c r="BF35" s="174"/>
      <c r="BG35" s="174"/>
      <c r="BH35" s="174"/>
      <c r="BI35" s="174"/>
      <c r="BJ35" s="174"/>
      <c r="BK35" s="174"/>
      <c r="BL35" s="174"/>
      <c r="BM35" s="174"/>
      <c r="BN35" s="174"/>
      <c r="BO35" s="174"/>
      <c r="BP35" s="174"/>
      <c r="BQ35" s="174"/>
      <c r="BR35" s="174"/>
      <c r="BS35" s="174"/>
      <c r="BT35" s="174"/>
      <c r="BU35" s="174"/>
      <c r="BV35" s="174"/>
      <c r="BW35" s="174"/>
      <c r="BX35" s="174"/>
      <c r="BY35" s="174"/>
      <c r="BZ35" s="174"/>
      <c r="CA35" s="174"/>
      <c r="CB35" s="174"/>
      <c r="CC35" s="174"/>
      <c r="CD35" s="174"/>
    </row>
    <row r="36">
      <c r="A36" s="105" t="str">
        <f>IF(preDEL!$AG36,IFERROR(0/0,""),preDEL!A36)</f>
        <v>MA705</v>
      </c>
      <c r="B36" s="170">
        <f>IF(preDEL!$AG36,IFERROR(0/0,""),preDEL!B36)</f>
        <v>44549</v>
      </c>
      <c r="C36" s="171">
        <f>IF(preDEL!$AG36,IFERROR(0/0,""),preDEL!C36)</f>
        <v>0.8899537037</v>
      </c>
      <c r="D36" s="105" t="str">
        <f>IF(preDEL!$AG36,IFERROR(0/0,""),preDEL!D36)</f>
        <v/>
      </c>
      <c r="E36" s="105" t="str">
        <f>IF(preDEL!$AG36,IFERROR(0/0,""),preDEL!E36)</f>
        <v/>
      </c>
      <c r="F36" s="112" t="str">
        <f>IF(preDEL!$AG36,IFERROR(0/0,""),preDEL!F36)</f>
        <v/>
      </c>
      <c r="G36" s="112" t="str">
        <f>IF(preDEL!$AG36,IFERROR(0/0,""),preDEL!G36)</f>
        <v/>
      </c>
      <c r="H36" s="112" t="str">
        <f>IF(preDEL!$AG36,IFERROR(0/0,""),preDEL!H36)</f>
        <v/>
      </c>
      <c r="I36" s="105" t="str">
        <f>IF(preDEL!$AG36,IFERROR(0/0,""),preDEL!I36)</f>
        <v/>
      </c>
      <c r="J36" s="105" t="str">
        <f>IF(preDEL!$AG36,IFERROR(0/0,""),preDEL!J36)</f>
        <v/>
      </c>
      <c r="K36" s="105" t="str">
        <f>IF(preDEL!$AG36,IFERROR(0/0,""),preDEL!K36)</f>
        <v>Negative</v>
      </c>
      <c r="L36" s="170">
        <f>IF(preDEL!$AG36,IFERROR(0/0,""),preDEL!L36)</f>
        <v>44550</v>
      </c>
      <c r="M36" s="171">
        <f>IF(preDEL!$AG36,IFERROR(0/0,""),preDEL!M36)</f>
        <v>0.4883449074</v>
      </c>
      <c r="N36" s="112" t="str">
        <f>IF(preDEL!$AG36,IFERROR(0/0,""),preDEL!N36)</f>
        <v/>
      </c>
      <c r="O36" s="112" t="str">
        <f>IF(preDEL!$AG36,IFERROR(0/0,""),preDEL!O36)</f>
        <v/>
      </c>
      <c r="P36" s="110" t="b">
        <f>IF(preDEL!$AG36,IFERROR(0/0,""),preDEL!P36)</f>
        <v>0</v>
      </c>
      <c r="Q36" s="110" t="str">
        <f>IF(preDEL!$AG36,IFERROR(0/0,""),preDEL!Q36)</f>
        <v>Result</v>
      </c>
      <c r="R36" s="104" t="b">
        <f>IF(preDEL!$AG36,IFERROR(0/0,""),preDEL!R36)</f>
        <v>1</v>
      </c>
      <c r="S36" s="104">
        <f>IF(preDEL!$AG36,IFERROR(0/0,""),preDEL!S36)</f>
        <v>1</v>
      </c>
      <c r="T36" s="110" t="str">
        <f>IF(preDEL!$AG36,IFERROR(0/0,""),preDEL!T36)</f>
        <v/>
      </c>
      <c r="U36" s="112" t="str">
        <f>IF(preDEL!$AG36,IFERROR(0/0,""),preDEL!U36)</f>
        <v/>
      </c>
      <c r="V36" s="105" t="str">
        <f>IF(preDEL!$AG36,IFERROR(0/0,""),preDEL!V36)</f>
        <v/>
      </c>
      <c r="W36" s="112" t="str">
        <f>IF(preDEL!$AG36,IFERROR(0/0,""),preDEL!W36)</f>
        <v/>
      </c>
      <c r="X36" s="104" t="b">
        <f>IF(preDEL!$AG36,IFERROR(0/0,""),preDEL!X36)</f>
        <v>0</v>
      </c>
      <c r="Y36" s="110" t="b">
        <f>IF(preDEL!$AG36,IFERROR(0/0,""),preDEL!Y36)</f>
        <v>0</v>
      </c>
      <c r="Z36" s="105" t="str">
        <f>IF(preDEL!$AG36,IFERROR(0/0,""),preDEL!Z36)</f>
        <v/>
      </c>
      <c r="AA36" s="110" t="b">
        <f>IF(preDEL!$AG36,IFERROR(0/0,""),preDEL!AA36)</f>
        <v>0</v>
      </c>
      <c r="AB36" s="110" t="b">
        <f>IF(preDEL!$AG36,IFERROR(0/0,""),preDEL!AB36)</f>
        <v>0</v>
      </c>
      <c r="AC36" s="172">
        <f>IF(preDEL!$AG36,IFERROR(0/0,""),preDEL!AC36)</f>
        <v>753</v>
      </c>
      <c r="AD36" s="104" t="b">
        <f>IF(preDEL!$AG36,IFERROR(0/0,""),preDEL!AD36)</f>
        <v>0</v>
      </c>
      <c r="AE36" s="173" t="str">
        <f>IF(preDEL!$AG36,IFERROR(0/0,""),preDEL!AE36)</f>
        <v/>
      </c>
      <c r="AF36" s="110" t="b">
        <f>IF(preDEL!$AG36,IFERROR(0/0,""),preDEL!AF36)</f>
        <v>0</v>
      </c>
      <c r="AG36" s="110" t="b">
        <f>IF(preDEL!$AG36,IFERROR(0/0,""),preDEL!AG36)</f>
        <v>0</v>
      </c>
      <c r="AH36" s="104" t="str">
        <f>IF(preDEL!$AG36,IFERROR(0/0,""),preDEL!AH36)</f>
        <v/>
      </c>
      <c r="AI36" s="105" t="str">
        <f>IF(preDEL!$AG36,IFERROR(0/0,""),preDEL!AI36)</f>
        <v/>
      </c>
      <c r="AJ36" s="112" t="str">
        <f>IF(preDEL!$AG36,IFERROR(0/0,""),preDEL!AJ36)</f>
        <v/>
      </c>
      <c r="AK36" s="105" t="str">
        <f>IF(preDEL!$AG36,IFERROR(0/0,""),preDEL!AK36)</f>
        <v>Negative</v>
      </c>
      <c r="AL36" s="112" t="str">
        <f>IF(preDEL!$AG36,IFERROR(0/0,""),preDEL!AL36)</f>
        <v/>
      </c>
      <c r="AM36" s="112" t="str">
        <f>IF(preDEL!$AG36,IFERROR(0/0,""),preDEL!AM36)</f>
        <v>SpBEND541174</v>
      </c>
      <c r="AN36" s="112" t="str">
        <f>IF(preDEL!$AG36,IFERROR(0/0,""),preDEL!AN36)</f>
        <v>BEND785384</v>
      </c>
      <c r="AO36" s="112" t="str">
        <f>IF(preDEL!$AG36,IFERROR(0/0,""),preDEL!AO36)</f>
        <v/>
      </c>
      <c r="AP36" s="112" t="str">
        <f>IF(preDEL!$AG36,IFERROR(0/0,""),preDEL!AP36)</f>
        <v/>
      </c>
      <c r="AQ36" s="112" t="str">
        <f>IF(preDEL!$AG36,IFERROR(0/0,""),preDEL!AQ36)</f>
        <v/>
      </c>
      <c r="AR36" s="112" t="str">
        <f>IF(preDEL!$AG36,IFERROR(0/0,""),preDEL!AR36)</f>
        <v/>
      </c>
      <c r="AS36" s="112" t="str">
        <f>IF(preDEL!$AG36,IFERROR(0/0,""),preDEL!AS36)</f>
        <v/>
      </c>
      <c r="AT36" s="112" t="b">
        <f>IF(preDEL!$AG36,IFERROR(0/0,""),preDEL!AT36)</f>
        <v>0</v>
      </c>
      <c r="AU36" s="112" t="str">
        <f>IF(preDEL!$AG36,IFERROR(0/0,""),preDEL!AU36)</f>
        <v/>
      </c>
      <c r="AV36" s="112" t="str">
        <f>IF(preDEL!$AG36,IFERROR(0/0,""),preDEL!AV36)</f>
        <v/>
      </c>
      <c r="AW36" s="112" t="str">
        <f>IF(preDEL!$AG36,IFERROR(0/0,""),preDEL!AW36)</f>
        <v/>
      </c>
      <c r="AX36" s="112" t="str">
        <f>IF(preDEL!$AG36,IFERROR(0/0,""),preDEL!AX36)</f>
        <v/>
      </c>
      <c r="AY36" s="112" t="str">
        <f>IF(preDEL!$AG36,IFERROR(0/0,""),preDEL!AY36)</f>
        <v/>
      </c>
      <c r="AZ36" s="174"/>
      <c r="BA36" s="174"/>
      <c r="BB36" s="174"/>
      <c r="BC36" s="174"/>
      <c r="BD36" s="174"/>
      <c r="BE36" s="174"/>
      <c r="BF36" s="174"/>
      <c r="BG36" s="174"/>
      <c r="BH36" s="174"/>
      <c r="BI36" s="174"/>
      <c r="BJ36" s="174"/>
      <c r="BK36" s="174"/>
      <c r="BL36" s="174"/>
      <c r="BM36" s="174"/>
      <c r="BN36" s="174"/>
      <c r="BO36" s="174"/>
      <c r="BP36" s="174"/>
      <c r="BQ36" s="174"/>
      <c r="BR36" s="174"/>
      <c r="BS36" s="174"/>
      <c r="BT36" s="174"/>
      <c r="BU36" s="174"/>
      <c r="BV36" s="174"/>
      <c r="BW36" s="174"/>
      <c r="BX36" s="174"/>
      <c r="BY36" s="174"/>
      <c r="BZ36" s="174"/>
      <c r="CA36" s="174"/>
      <c r="CB36" s="174"/>
      <c r="CC36" s="174"/>
      <c r="CD36" s="174"/>
    </row>
    <row r="37">
      <c r="A37" s="105" t="str">
        <f>IF(preDEL!$AG37,IFERROR(0/0,""),preDEL!A37)</f>
        <v>MA1091</v>
      </c>
      <c r="B37" s="170">
        <f>IF(preDEL!$AG37,IFERROR(0/0,""),preDEL!B37)</f>
        <v>44550</v>
      </c>
      <c r="C37" s="171">
        <f>IF(preDEL!$AG37,IFERROR(0/0,""),preDEL!C37)</f>
        <v>0.317349537</v>
      </c>
      <c r="D37" s="105" t="str">
        <f>IF(preDEL!$AG37,IFERROR(0/0,""),preDEL!D37)</f>
        <v/>
      </c>
      <c r="E37" s="105" t="str">
        <f>IF(preDEL!$AG37,IFERROR(0/0,""),preDEL!E37)</f>
        <v/>
      </c>
      <c r="F37" s="112" t="str">
        <f>IF(preDEL!$AG37,IFERROR(0/0,""),preDEL!F37)</f>
        <v/>
      </c>
      <c r="G37" s="112" t="str">
        <f>IF(preDEL!$AG37,IFERROR(0/0,""),preDEL!G37)</f>
        <v/>
      </c>
      <c r="H37" s="112" t="str">
        <f>IF(preDEL!$AG37,IFERROR(0/0,""),preDEL!H37)</f>
        <v/>
      </c>
      <c r="I37" s="105" t="str">
        <f>IF(preDEL!$AG37,IFERROR(0/0,""),preDEL!I37)</f>
        <v/>
      </c>
      <c r="J37" s="105" t="str">
        <f>IF(preDEL!$AG37,IFERROR(0/0,""),preDEL!J37)</f>
        <v/>
      </c>
      <c r="K37" s="105" t="str">
        <f>IF(preDEL!$AG37,IFERROR(0/0,""),preDEL!K37)</f>
        <v>Negative</v>
      </c>
      <c r="L37" s="170">
        <f>IF(preDEL!$AG37,IFERROR(0/0,""),preDEL!L37)</f>
        <v>44550</v>
      </c>
      <c r="M37" s="171">
        <f>IF(preDEL!$AG37,IFERROR(0/0,""),preDEL!M37)</f>
        <v>0.4883449074</v>
      </c>
      <c r="N37" s="112" t="str">
        <f>IF(preDEL!$AG37,IFERROR(0/0,""),preDEL!N37)</f>
        <v/>
      </c>
      <c r="O37" s="112" t="str">
        <f>IF(preDEL!$AG37,IFERROR(0/0,""),preDEL!O37)</f>
        <v/>
      </c>
      <c r="P37" s="110" t="b">
        <f>IF(preDEL!$AG37,IFERROR(0/0,""),preDEL!P37)</f>
        <v>0</v>
      </c>
      <c r="Q37" s="110" t="str">
        <f>IF(preDEL!$AG37,IFERROR(0/0,""),preDEL!Q37)</f>
        <v>Result</v>
      </c>
      <c r="R37" s="104" t="b">
        <f>IF(preDEL!$AG37,IFERROR(0/0,""),preDEL!R37)</f>
        <v>1</v>
      </c>
      <c r="S37" s="104">
        <f>IF(preDEL!$AG37,IFERROR(0/0,""),preDEL!S37)</f>
        <v>1</v>
      </c>
      <c r="T37" s="110" t="str">
        <f>IF(preDEL!$AG37,IFERROR(0/0,""),preDEL!T37)</f>
        <v/>
      </c>
      <c r="U37" s="112" t="str">
        <f>IF(preDEL!$AG37,IFERROR(0/0,""),preDEL!U37)</f>
        <v/>
      </c>
      <c r="V37" s="105" t="str">
        <f>IF(preDEL!$AG37,IFERROR(0/0,""),preDEL!V37)</f>
        <v/>
      </c>
      <c r="W37" s="112" t="str">
        <f>IF(preDEL!$AG37,IFERROR(0/0,""),preDEL!W37)</f>
        <v/>
      </c>
      <c r="X37" s="104" t="b">
        <f>IF(preDEL!$AG37,IFERROR(0/0,""),preDEL!X37)</f>
        <v>0</v>
      </c>
      <c r="Y37" s="110" t="b">
        <f>IF(preDEL!$AG37,IFERROR(0/0,""),preDEL!Y37)</f>
        <v>0</v>
      </c>
      <c r="Z37" s="105" t="str">
        <f>IF(preDEL!$AG37,IFERROR(0/0,""),preDEL!Z37)</f>
        <v/>
      </c>
      <c r="AA37" s="110" t="b">
        <f>IF(preDEL!$AG37,IFERROR(0/0,""),preDEL!AA37)</f>
        <v>0</v>
      </c>
      <c r="AB37" s="110" t="b">
        <f>IF(preDEL!$AG37,IFERROR(0/0,""),preDEL!AB37)</f>
        <v>0</v>
      </c>
      <c r="AC37" s="172">
        <f>IF(preDEL!$AG37,IFERROR(0/0,""),preDEL!AC37)</f>
        <v>752</v>
      </c>
      <c r="AD37" s="104" t="b">
        <f>IF(preDEL!$AG37,IFERROR(0/0,""),preDEL!AD37)</f>
        <v>0</v>
      </c>
      <c r="AE37" s="173">
        <f>IF(preDEL!$AG37,IFERROR(0/0,""),preDEL!AE37)</f>
        <v>246.2333333</v>
      </c>
      <c r="AF37" s="110" t="b">
        <f>IF(preDEL!$AG37,IFERROR(0/0,""),preDEL!AF37)</f>
        <v>0</v>
      </c>
      <c r="AG37" s="110" t="b">
        <f>IF(preDEL!$AG37,IFERROR(0/0,""),preDEL!AG37)</f>
        <v>0</v>
      </c>
      <c r="AH37" s="104" t="str">
        <f>IF(preDEL!$AG37,IFERROR(0/0,""),preDEL!AH37)</f>
        <v/>
      </c>
      <c r="AI37" s="105" t="str">
        <f>IF(preDEL!$AG37,IFERROR(0/0,""),preDEL!AI37)</f>
        <v/>
      </c>
      <c r="AJ37" s="112" t="str">
        <f>IF(preDEL!$AG37,IFERROR(0/0,""),preDEL!AJ37)</f>
        <v/>
      </c>
      <c r="AK37" s="105" t="str">
        <f>IF(preDEL!$AG37,IFERROR(0/0,""),preDEL!AK37)</f>
        <v>Negative</v>
      </c>
      <c r="AL37" s="112" t="str">
        <f>IF(preDEL!$AG37,IFERROR(0/0,""),preDEL!AL37)</f>
        <v/>
      </c>
      <c r="AM37" s="112" t="str">
        <f>IF(preDEL!$AG37,IFERROR(0/0,""),preDEL!AM37)</f>
        <v>SpBEND825522</v>
      </c>
      <c r="AN37" s="112" t="str">
        <f>IF(preDEL!$AG37,IFERROR(0/0,""),preDEL!AN37)</f>
        <v>BEND140857</v>
      </c>
      <c r="AO37" s="112" t="str">
        <f>IF(preDEL!$AG37,IFERROR(0/0,""),preDEL!AO37)</f>
        <v/>
      </c>
      <c r="AP37" s="112" t="str">
        <f>IF(preDEL!$AG37,IFERROR(0/0,""),preDEL!AP37)</f>
        <v/>
      </c>
      <c r="AQ37" s="112" t="str">
        <f>IF(preDEL!$AG37,IFERROR(0/0,""),preDEL!AQ37)</f>
        <v/>
      </c>
      <c r="AR37" s="112" t="str">
        <f>IF(preDEL!$AG37,IFERROR(0/0,""),preDEL!AR37)</f>
        <v/>
      </c>
      <c r="AS37" s="112" t="str">
        <f>IF(preDEL!$AG37,IFERROR(0/0,""),preDEL!AS37)</f>
        <v/>
      </c>
      <c r="AT37" s="112" t="b">
        <f>IF(preDEL!$AG37,IFERROR(0/0,""),preDEL!AT37)</f>
        <v>0</v>
      </c>
      <c r="AU37" s="112" t="str">
        <f>IF(preDEL!$AG37,IFERROR(0/0,""),preDEL!AU37)</f>
        <v/>
      </c>
      <c r="AV37" s="112" t="str">
        <f>IF(preDEL!$AG37,IFERROR(0/0,""),preDEL!AV37)</f>
        <v/>
      </c>
      <c r="AW37" s="112" t="str">
        <f>IF(preDEL!$AG37,IFERROR(0/0,""),preDEL!AW37)</f>
        <v/>
      </c>
      <c r="AX37" s="112" t="str">
        <f>IF(preDEL!$AG37,IFERROR(0/0,""),preDEL!AX37)</f>
        <v/>
      </c>
      <c r="AY37" s="112" t="str">
        <f>IF(preDEL!$AG37,IFERROR(0/0,""),preDEL!AY37)</f>
        <v/>
      </c>
      <c r="AZ37" s="174"/>
      <c r="BA37" s="174"/>
      <c r="BB37" s="174"/>
      <c r="BC37" s="174"/>
      <c r="BD37" s="174"/>
      <c r="BE37" s="174"/>
      <c r="BF37" s="174"/>
      <c r="BG37" s="174"/>
      <c r="BH37" s="174"/>
      <c r="BI37" s="174"/>
      <c r="BJ37" s="174"/>
      <c r="BK37" s="174"/>
      <c r="BL37" s="174"/>
      <c r="BM37" s="174"/>
      <c r="BN37" s="174"/>
      <c r="BO37" s="174"/>
      <c r="BP37" s="174"/>
      <c r="BQ37" s="174"/>
      <c r="BR37" s="174"/>
      <c r="BS37" s="174"/>
      <c r="BT37" s="174"/>
      <c r="BU37" s="174"/>
      <c r="BV37" s="174"/>
      <c r="BW37" s="174"/>
      <c r="BX37" s="174"/>
      <c r="BY37" s="174"/>
      <c r="BZ37" s="174"/>
      <c r="CA37" s="174"/>
      <c r="CB37" s="174"/>
      <c r="CC37" s="174"/>
      <c r="CD37" s="174"/>
    </row>
    <row r="38">
      <c r="A38" s="105" t="str">
        <f>IF(preDEL!$AG38,IFERROR(0/0,""),preDEL!A38)</f>
        <v>MA1160</v>
      </c>
      <c r="B38" s="170">
        <f>IF(preDEL!$AG38,IFERROR(0/0,""),preDEL!B38)</f>
        <v>44550</v>
      </c>
      <c r="C38" s="171">
        <f>IF(preDEL!$AG38,IFERROR(0/0,""),preDEL!C38)</f>
        <v>0.3354166667</v>
      </c>
      <c r="D38" s="105" t="str">
        <f>IF(preDEL!$AG38,IFERROR(0/0,""),preDEL!D38)</f>
        <v/>
      </c>
      <c r="E38" s="105" t="str">
        <f>IF(preDEL!$AG38,IFERROR(0/0,""),preDEL!E38)</f>
        <v/>
      </c>
      <c r="F38" s="112" t="str">
        <f>IF(preDEL!$AG38,IFERROR(0/0,""),preDEL!F38)</f>
        <v/>
      </c>
      <c r="G38" s="112" t="str">
        <f>IF(preDEL!$AG38,IFERROR(0/0,""),preDEL!G38)</f>
        <v/>
      </c>
      <c r="H38" s="112" t="str">
        <f>IF(preDEL!$AG38,IFERROR(0/0,""),preDEL!H38)</f>
        <v/>
      </c>
      <c r="I38" s="105" t="str">
        <f>IF(preDEL!$AG38,IFERROR(0/0,""),preDEL!I38)</f>
        <v/>
      </c>
      <c r="J38" s="105" t="str">
        <f>IF(preDEL!$AG38,IFERROR(0/0,""),preDEL!J38)</f>
        <v/>
      </c>
      <c r="K38" s="105" t="str">
        <f>IF(preDEL!$AG38,IFERROR(0/0,""),preDEL!K38)</f>
        <v>Negative</v>
      </c>
      <c r="L38" s="170">
        <f>IF(preDEL!$AG38,IFERROR(0/0,""),preDEL!L38)</f>
        <v>44550</v>
      </c>
      <c r="M38" s="171">
        <f>IF(preDEL!$AG38,IFERROR(0/0,""),preDEL!M38)</f>
        <v>0.4883449074</v>
      </c>
      <c r="N38" s="112" t="str">
        <f>IF(preDEL!$AG38,IFERROR(0/0,""),preDEL!N38)</f>
        <v/>
      </c>
      <c r="O38" s="112" t="str">
        <f>IF(preDEL!$AG38,IFERROR(0/0,""),preDEL!O38)</f>
        <v/>
      </c>
      <c r="P38" s="110" t="b">
        <f>IF(preDEL!$AG38,IFERROR(0/0,""),preDEL!P38)</f>
        <v>0</v>
      </c>
      <c r="Q38" s="110" t="str">
        <f>IF(preDEL!$AG38,IFERROR(0/0,""),preDEL!Q38)</f>
        <v>Result</v>
      </c>
      <c r="R38" s="104" t="b">
        <f>IF(preDEL!$AG38,IFERROR(0/0,""),preDEL!R38)</f>
        <v>1</v>
      </c>
      <c r="S38" s="104">
        <f>IF(preDEL!$AG38,IFERROR(0/0,""),preDEL!S38)</f>
        <v>1</v>
      </c>
      <c r="T38" s="110" t="str">
        <f>IF(preDEL!$AG38,IFERROR(0/0,""),preDEL!T38)</f>
        <v/>
      </c>
      <c r="U38" s="112" t="str">
        <f>IF(preDEL!$AG38,IFERROR(0/0,""),preDEL!U38)</f>
        <v/>
      </c>
      <c r="V38" s="105" t="str">
        <f>IF(preDEL!$AG38,IFERROR(0/0,""),preDEL!V38)</f>
        <v/>
      </c>
      <c r="W38" s="112" t="str">
        <f>IF(preDEL!$AG38,IFERROR(0/0,""),preDEL!W38)</f>
        <v/>
      </c>
      <c r="X38" s="104" t="b">
        <f>IF(preDEL!$AG38,IFERROR(0/0,""),preDEL!X38)</f>
        <v>0</v>
      </c>
      <c r="Y38" s="110" t="b">
        <f>IF(preDEL!$AG38,IFERROR(0/0,""),preDEL!Y38)</f>
        <v>0</v>
      </c>
      <c r="Z38" s="105" t="str">
        <f>IF(preDEL!$AG38,IFERROR(0/0,""),preDEL!Z38)</f>
        <v/>
      </c>
      <c r="AA38" s="110" t="b">
        <f>IF(preDEL!$AG38,IFERROR(0/0,""),preDEL!AA38)</f>
        <v>0</v>
      </c>
      <c r="AB38" s="110" t="b">
        <f>IF(preDEL!$AG38,IFERROR(0/0,""),preDEL!AB38)</f>
        <v>0</v>
      </c>
      <c r="AC38" s="172">
        <f>IF(preDEL!$AG38,IFERROR(0/0,""),preDEL!AC38)</f>
        <v>751</v>
      </c>
      <c r="AD38" s="104" t="b">
        <f>IF(preDEL!$AG38,IFERROR(0/0,""),preDEL!AD38)</f>
        <v>0</v>
      </c>
      <c r="AE38" s="173">
        <f>IF(preDEL!$AG38,IFERROR(0/0,""),preDEL!AE38)</f>
        <v>220.2166667</v>
      </c>
      <c r="AF38" s="110" t="b">
        <f>IF(preDEL!$AG38,IFERROR(0/0,""),preDEL!AF38)</f>
        <v>0</v>
      </c>
      <c r="AG38" s="110" t="b">
        <f>IF(preDEL!$AG38,IFERROR(0/0,""),preDEL!AG38)</f>
        <v>0</v>
      </c>
      <c r="AH38" s="104" t="str">
        <f>IF(preDEL!$AG38,IFERROR(0/0,""),preDEL!AH38)</f>
        <v/>
      </c>
      <c r="AI38" s="105" t="str">
        <f>IF(preDEL!$AG38,IFERROR(0/0,""),preDEL!AI38)</f>
        <v/>
      </c>
      <c r="AJ38" s="112" t="str">
        <f>IF(preDEL!$AG38,IFERROR(0/0,""),preDEL!AJ38)</f>
        <v/>
      </c>
      <c r="AK38" s="105" t="str">
        <f>IF(preDEL!$AG38,IFERROR(0/0,""),preDEL!AK38)</f>
        <v>Negative</v>
      </c>
      <c r="AL38" s="112" t="str">
        <f>IF(preDEL!$AG38,IFERROR(0/0,""),preDEL!AL38)</f>
        <v/>
      </c>
      <c r="AM38" s="112" t="str">
        <f>IF(preDEL!$AG38,IFERROR(0/0,""),preDEL!AM38)</f>
        <v>SpBEND492052</v>
      </c>
      <c r="AN38" s="112" t="str">
        <f>IF(preDEL!$AG38,IFERROR(0/0,""),preDEL!AN38)</f>
        <v>BEND350325</v>
      </c>
      <c r="AO38" s="112" t="str">
        <f>IF(preDEL!$AG38,IFERROR(0/0,""),preDEL!AO38)</f>
        <v/>
      </c>
      <c r="AP38" s="112" t="str">
        <f>IF(preDEL!$AG38,IFERROR(0/0,""),preDEL!AP38)</f>
        <v/>
      </c>
      <c r="AQ38" s="112" t="str">
        <f>IF(preDEL!$AG38,IFERROR(0/0,""),preDEL!AQ38)</f>
        <v/>
      </c>
      <c r="AR38" s="112" t="str">
        <f>IF(preDEL!$AG38,IFERROR(0/0,""),preDEL!AR38)</f>
        <v/>
      </c>
      <c r="AS38" s="112" t="str">
        <f>IF(preDEL!$AG38,IFERROR(0/0,""),preDEL!AS38)</f>
        <v/>
      </c>
      <c r="AT38" s="112" t="b">
        <f>IF(preDEL!$AG38,IFERROR(0/0,""),preDEL!AT38)</f>
        <v>0</v>
      </c>
      <c r="AU38" s="112" t="str">
        <f>IF(preDEL!$AG38,IFERROR(0/0,""),preDEL!AU38)</f>
        <v/>
      </c>
      <c r="AV38" s="112" t="str">
        <f>IF(preDEL!$AG38,IFERROR(0/0,""),preDEL!AV38)</f>
        <v/>
      </c>
      <c r="AW38" s="112" t="str">
        <f>IF(preDEL!$AG38,IFERROR(0/0,""),preDEL!AW38)</f>
        <v/>
      </c>
      <c r="AX38" s="112" t="str">
        <f>IF(preDEL!$AG38,IFERROR(0/0,""),preDEL!AX38)</f>
        <v/>
      </c>
      <c r="AY38" s="112" t="str">
        <f>IF(preDEL!$AG38,IFERROR(0/0,""),preDEL!AY38)</f>
        <v/>
      </c>
      <c r="AZ38" s="174"/>
      <c r="BA38" s="174"/>
      <c r="BB38" s="174"/>
      <c r="BC38" s="174"/>
      <c r="BD38" s="174"/>
      <c r="BE38" s="174"/>
      <c r="BF38" s="174"/>
      <c r="BG38" s="174"/>
      <c r="BH38" s="174"/>
      <c r="BI38" s="174"/>
      <c r="BJ38" s="174"/>
      <c r="BK38" s="174"/>
      <c r="BL38" s="174"/>
      <c r="BM38" s="174"/>
      <c r="BN38" s="174"/>
      <c r="BO38" s="174"/>
      <c r="BP38" s="174"/>
      <c r="BQ38" s="174"/>
      <c r="BR38" s="174"/>
      <c r="BS38" s="174"/>
      <c r="BT38" s="174"/>
      <c r="BU38" s="174"/>
      <c r="BV38" s="174"/>
      <c r="BW38" s="174"/>
      <c r="BX38" s="174"/>
      <c r="BY38" s="174"/>
      <c r="BZ38" s="174"/>
      <c r="CA38" s="174"/>
      <c r="CB38" s="174"/>
      <c r="CC38" s="174"/>
      <c r="CD38" s="174"/>
    </row>
    <row r="39">
      <c r="A39" s="105" t="str">
        <f>IF(preDEL!$AG39,IFERROR(0/0,""),preDEL!A39)</f>
        <v/>
      </c>
      <c r="B39" s="170" t="str">
        <f>IF(preDEL!$AG39,IFERROR(0/0,""),preDEL!B39)</f>
        <v/>
      </c>
      <c r="C39" s="171" t="str">
        <f>IF(preDEL!$AG39,IFERROR(0/0,""),preDEL!C39)</f>
        <v/>
      </c>
      <c r="D39" s="105" t="str">
        <f>IF(preDEL!$AG39,IFERROR(0/0,""),preDEL!D39)</f>
        <v/>
      </c>
      <c r="E39" s="105" t="str">
        <f>IF(preDEL!$AG39,IFERROR(0/0,""),preDEL!E39)</f>
        <v/>
      </c>
      <c r="F39" s="112" t="str">
        <f>IF(preDEL!$AG39,IFERROR(0/0,""),preDEL!F39)</f>
        <v/>
      </c>
      <c r="G39" s="112" t="str">
        <f>IF(preDEL!$AG39,IFERROR(0/0,""),preDEL!G39)</f>
        <v/>
      </c>
      <c r="H39" s="112" t="str">
        <f>IF(preDEL!$AG39,IFERROR(0/0,""),preDEL!H39)</f>
        <v/>
      </c>
      <c r="I39" s="105" t="str">
        <f>IF(preDEL!$AG39,IFERROR(0/0,""),preDEL!I39)</f>
        <v/>
      </c>
      <c r="J39" s="105" t="str">
        <f>IF(preDEL!$AG39,IFERROR(0/0,""),preDEL!J39)</f>
        <v/>
      </c>
      <c r="K39" s="105" t="str">
        <f>IF(preDEL!$AG39,IFERROR(0/0,""),preDEL!K39)</f>
        <v/>
      </c>
      <c r="L39" s="170" t="str">
        <f>IF(preDEL!$AG39,IFERROR(0/0,""),preDEL!L39)</f>
        <v/>
      </c>
      <c r="M39" s="171" t="str">
        <f>IF(preDEL!$AG39,IFERROR(0/0,""),preDEL!M39)</f>
        <v/>
      </c>
      <c r="N39" s="112" t="str">
        <f>IF(preDEL!$AG39,IFERROR(0/0,""),preDEL!N39)</f>
        <v/>
      </c>
      <c r="O39" s="112" t="str">
        <f>IF(preDEL!$AG39,IFERROR(0/0,""),preDEL!O39)</f>
        <v/>
      </c>
      <c r="P39" s="110" t="str">
        <f>IF(preDEL!$AG39,IFERROR(0/0,""),preDEL!P39)</f>
        <v/>
      </c>
      <c r="Q39" s="110" t="str">
        <f>IF(preDEL!$AG39,IFERROR(0/0,""),preDEL!Q39)</f>
        <v/>
      </c>
      <c r="R39" s="104" t="str">
        <f>IF(preDEL!$AG39,IFERROR(0/0,""),preDEL!R39)</f>
        <v/>
      </c>
      <c r="S39" s="104" t="str">
        <f>IF(preDEL!$AG39,IFERROR(0/0,""),preDEL!S39)</f>
        <v/>
      </c>
      <c r="T39" s="110" t="str">
        <f>IF(preDEL!$AG39,IFERROR(0/0,""),preDEL!T39)</f>
        <v/>
      </c>
      <c r="U39" s="112" t="str">
        <f>IF(preDEL!$AG39,IFERROR(0/0,""),preDEL!U39)</f>
        <v/>
      </c>
      <c r="V39" s="105" t="str">
        <f>IF(preDEL!$AG39,IFERROR(0/0,""),preDEL!V39)</f>
        <v/>
      </c>
      <c r="W39" s="112" t="str">
        <f>IF(preDEL!$AG39,IFERROR(0/0,""),preDEL!W39)</f>
        <v/>
      </c>
      <c r="X39" s="104" t="str">
        <f>IF(preDEL!$AG39,IFERROR(0/0,""),preDEL!X39)</f>
        <v/>
      </c>
      <c r="Y39" s="110" t="str">
        <f>IF(preDEL!$AG39,IFERROR(0/0,""),preDEL!Y39)</f>
        <v/>
      </c>
      <c r="Z39" s="105" t="str">
        <f>IF(preDEL!$AG39,IFERROR(0/0,""),preDEL!Z39)</f>
        <v/>
      </c>
      <c r="AA39" s="110" t="str">
        <f>IF(preDEL!$AG39,IFERROR(0/0,""),preDEL!AA39)</f>
        <v/>
      </c>
      <c r="AB39" s="110" t="str">
        <f>IF(preDEL!$AG39,IFERROR(0/0,""),preDEL!AB39)</f>
        <v/>
      </c>
      <c r="AC39" s="172" t="str">
        <f>IF(preDEL!$AG39,IFERROR(0/0,""),preDEL!AC39)</f>
        <v/>
      </c>
      <c r="AD39" s="104" t="str">
        <f>IF(preDEL!$AG39,IFERROR(0/0,""),preDEL!AD39)</f>
        <v/>
      </c>
      <c r="AE39" s="173" t="str">
        <f>IF(preDEL!$AG39,IFERROR(0/0,""),preDEL!AE39)</f>
        <v/>
      </c>
      <c r="AF39" s="110" t="str">
        <f>IF(preDEL!$AG39,IFERROR(0/0,""),preDEL!AF39)</f>
        <v/>
      </c>
      <c r="AG39" s="110" t="str">
        <f>IF(preDEL!$AG39,IFERROR(0/0,""),preDEL!AG39)</f>
        <v/>
      </c>
      <c r="AH39" s="104" t="str">
        <f>IF(preDEL!$AG39,IFERROR(0/0,""),preDEL!AH39)</f>
        <v/>
      </c>
      <c r="AI39" s="105" t="str">
        <f>IF(preDEL!$AG39,IFERROR(0/0,""),preDEL!AI39)</f>
        <v/>
      </c>
      <c r="AJ39" s="112" t="str">
        <f>IF(preDEL!$AG39,IFERROR(0/0,""),preDEL!AJ39)</f>
        <v/>
      </c>
      <c r="AK39" s="105" t="str">
        <f>IF(preDEL!$AG39,IFERROR(0/0,""),preDEL!AK39)</f>
        <v/>
      </c>
      <c r="AL39" s="112" t="str">
        <f>IF(preDEL!$AG39,IFERROR(0/0,""),preDEL!AL39)</f>
        <v/>
      </c>
      <c r="AM39" s="112" t="str">
        <f>IF(preDEL!$AG39,IFERROR(0/0,""),preDEL!AM39)</f>
        <v/>
      </c>
      <c r="AN39" s="112" t="str">
        <f>IF(preDEL!$AG39,IFERROR(0/0,""),preDEL!AN39)</f>
        <v/>
      </c>
      <c r="AO39" s="112" t="str">
        <f>IF(preDEL!$AG39,IFERROR(0/0,""),preDEL!AO39)</f>
        <v/>
      </c>
      <c r="AP39" s="112" t="str">
        <f>IF(preDEL!$AG39,IFERROR(0/0,""),preDEL!AP39)</f>
        <v/>
      </c>
      <c r="AQ39" s="112" t="str">
        <f>IF(preDEL!$AG39,IFERROR(0/0,""),preDEL!AQ39)</f>
        <v/>
      </c>
      <c r="AR39" s="112" t="str">
        <f>IF(preDEL!$AG39,IFERROR(0/0,""),preDEL!AR39)</f>
        <v/>
      </c>
      <c r="AS39" s="112" t="str">
        <f>IF(preDEL!$AG39,IFERROR(0/0,""),preDEL!AS39)</f>
        <v/>
      </c>
      <c r="AT39" s="112" t="str">
        <f>IF(preDEL!$AG39,IFERROR(0/0,""),preDEL!AT39)</f>
        <v/>
      </c>
      <c r="AU39" s="112" t="str">
        <f>IF(preDEL!$AG39,IFERROR(0/0,""),preDEL!AU39)</f>
        <v/>
      </c>
      <c r="AV39" s="112" t="str">
        <f>IF(preDEL!$AG39,IFERROR(0/0,""),preDEL!AV39)</f>
        <v/>
      </c>
      <c r="AW39" s="112" t="str">
        <f>IF(preDEL!$AG39,IFERROR(0/0,""),preDEL!AW39)</f>
        <v/>
      </c>
      <c r="AX39" s="112" t="str">
        <f>IF(preDEL!$AG39,IFERROR(0/0,""),preDEL!AX39)</f>
        <v/>
      </c>
      <c r="AY39" s="112" t="str">
        <f>IF(preDEL!$AG39,IFERROR(0/0,""),preDEL!AY39)</f>
        <v/>
      </c>
      <c r="AZ39" s="174"/>
      <c r="BA39" s="174"/>
      <c r="BB39" s="174"/>
      <c r="BC39" s="174"/>
      <c r="BD39" s="174"/>
      <c r="BE39" s="174"/>
      <c r="BF39" s="174"/>
      <c r="BG39" s="174"/>
      <c r="BH39" s="174"/>
      <c r="BI39" s="174"/>
      <c r="BJ39" s="174"/>
      <c r="BK39" s="174"/>
      <c r="BL39" s="174"/>
      <c r="BM39" s="174"/>
      <c r="BN39" s="174"/>
      <c r="BO39" s="174"/>
      <c r="BP39" s="174"/>
      <c r="BQ39" s="174"/>
      <c r="BR39" s="174"/>
      <c r="BS39" s="174"/>
      <c r="BT39" s="174"/>
      <c r="BU39" s="174"/>
      <c r="BV39" s="174"/>
      <c r="BW39" s="174"/>
      <c r="BX39" s="174"/>
      <c r="BY39" s="174"/>
      <c r="BZ39" s="174"/>
      <c r="CA39" s="174"/>
      <c r="CB39" s="174"/>
      <c r="CC39" s="174"/>
      <c r="CD39" s="174"/>
    </row>
    <row r="40">
      <c r="A40" s="105" t="str">
        <f>IF(preDEL!$AG40,IFERROR(0/0,""),preDEL!A40)</f>
        <v>MA542</v>
      </c>
      <c r="B40" s="170">
        <f>IF(preDEL!$AG40,IFERROR(0/0,""),preDEL!B40)</f>
        <v>44550</v>
      </c>
      <c r="C40" s="171">
        <f>IF(preDEL!$AG40,IFERROR(0/0,""),preDEL!C40)</f>
        <v>0.3432986111</v>
      </c>
      <c r="D40" s="105" t="str">
        <f>IF(preDEL!$AG40,IFERROR(0/0,""),preDEL!D40)</f>
        <v/>
      </c>
      <c r="E40" s="105" t="str">
        <f>IF(preDEL!$AG40,IFERROR(0/0,""),preDEL!E40)</f>
        <v/>
      </c>
      <c r="F40" s="112" t="str">
        <f>IF(preDEL!$AG40,IFERROR(0/0,""),preDEL!F40)</f>
        <v/>
      </c>
      <c r="G40" s="112" t="str">
        <f>IF(preDEL!$AG40,IFERROR(0/0,""),preDEL!G40)</f>
        <v/>
      </c>
      <c r="H40" s="112" t="str">
        <f>IF(preDEL!$AG40,IFERROR(0/0,""),preDEL!H40)</f>
        <v/>
      </c>
      <c r="I40" s="105" t="str">
        <f>IF(preDEL!$AG40,IFERROR(0/0,""),preDEL!I40)</f>
        <v/>
      </c>
      <c r="J40" s="105" t="str">
        <f>IF(preDEL!$AG40,IFERROR(0/0,""),preDEL!J40)</f>
        <v/>
      </c>
      <c r="K40" s="105" t="str">
        <f>IF(preDEL!$AG40,IFERROR(0/0,""),preDEL!K40)</f>
        <v>Negative</v>
      </c>
      <c r="L40" s="170">
        <f>IF(preDEL!$AG40,IFERROR(0/0,""),preDEL!L40)</f>
        <v>44550</v>
      </c>
      <c r="M40" s="171">
        <f>IF(preDEL!$AG40,IFERROR(0/0,""),preDEL!M40)</f>
        <v>0.4883449074</v>
      </c>
      <c r="N40" s="112" t="str">
        <f>IF(preDEL!$AG40,IFERROR(0/0,""),preDEL!N40)</f>
        <v/>
      </c>
      <c r="O40" s="112" t="str">
        <f>IF(preDEL!$AG40,IFERROR(0/0,""),preDEL!O40)</f>
        <v/>
      </c>
      <c r="P40" s="110" t="b">
        <f>IF(preDEL!$AG40,IFERROR(0/0,""),preDEL!P40)</f>
        <v>0</v>
      </c>
      <c r="Q40" s="110" t="str">
        <f>IF(preDEL!$AG40,IFERROR(0/0,""),preDEL!Q40)</f>
        <v>Result</v>
      </c>
      <c r="R40" s="104" t="b">
        <f>IF(preDEL!$AG40,IFERROR(0/0,""),preDEL!R40)</f>
        <v>1</v>
      </c>
      <c r="S40" s="104">
        <f>IF(preDEL!$AG40,IFERROR(0/0,""),preDEL!S40)</f>
        <v>1</v>
      </c>
      <c r="T40" s="110" t="str">
        <f>IF(preDEL!$AG40,IFERROR(0/0,""),preDEL!T40)</f>
        <v/>
      </c>
      <c r="U40" s="112" t="str">
        <f>IF(preDEL!$AG40,IFERROR(0/0,""),preDEL!U40)</f>
        <v/>
      </c>
      <c r="V40" s="105" t="str">
        <f>IF(preDEL!$AG40,IFERROR(0/0,""),preDEL!V40)</f>
        <v/>
      </c>
      <c r="W40" s="112" t="str">
        <f>IF(preDEL!$AG40,IFERROR(0/0,""),preDEL!W40)</f>
        <v/>
      </c>
      <c r="X40" s="104" t="b">
        <f>IF(preDEL!$AG40,IFERROR(0/0,""),preDEL!X40)</f>
        <v>0</v>
      </c>
      <c r="Y40" s="110" t="b">
        <f>IF(preDEL!$AG40,IFERROR(0/0,""),preDEL!Y40)</f>
        <v>0</v>
      </c>
      <c r="Z40" s="105" t="str">
        <f>IF(preDEL!$AG40,IFERROR(0/0,""),preDEL!Z40)</f>
        <v/>
      </c>
      <c r="AA40" s="110" t="b">
        <f>IF(preDEL!$AG40,IFERROR(0/0,""),preDEL!AA40)</f>
        <v>0</v>
      </c>
      <c r="AB40" s="110" t="b">
        <f>IF(preDEL!$AG40,IFERROR(0/0,""),preDEL!AB40)</f>
        <v>0</v>
      </c>
      <c r="AC40" s="172">
        <f>IF(preDEL!$AG40,IFERROR(0/0,""),preDEL!AC40)</f>
        <v>749</v>
      </c>
      <c r="AD40" s="104" t="b">
        <f>IF(preDEL!$AG40,IFERROR(0/0,""),preDEL!AD40)</f>
        <v>0</v>
      </c>
      <c r="AE40" s="173">
        <f>IF(preDEL!$AG40,IFERROR(0/0,""),preDEL!AE40)</f>
        <v>208.8666667</v>
      </c>
      <c r="AF40" s="110" t="b">
        <f>IF(preDEL!$AG40,IFERROR(0/0,""),preDEL!AF40)</f>
        <v>0</v>
      </c>
      <c r="AG40" s="110" t="b">
        <f>IF(preDEL!$AG40,IFERROR(0/0,""),preDEL!AG40)</f>
        <v>0</v>
      </c>
      <c r="AH40" s="104" t="str">
        <f>IF(preDEL!$AG40,IFERROR(0/0,""),preDEL!AH40)</f>
        <v/>
      </c>
      <c r="AI40" s="105" t="str">
        <f>IF(preDEL!$AG40,IFERROR(0/0,""),preDEL!AI40)</f>
        <v/>
      </c>
      <c r="AJ40" s="112" t="str">
        <f>IF(preDEL!$AG40,IFERROR(0/0,""),preDEL!AJ40)</f>
        <v/>
      </c>
      <c r="AK40" s="105" t="str">
        <f>IF(preDEL!$AG40,IFERROR(0/0,""),preDEL!AK40)</f>
        <v>Negative</v>
      </c>
      <c r="AL40" s="112" t="str">
        <f>IF(preDEL!$AG40,IFERROR(0/0,""),preDEL!AL40)</f>
        <v/>
      </c>
      <c r="AM40" s="112" t="str">
        <f>IF(preDEL!$AG40,IFERROR(0/0,""),preDEL!AM40)</f>
        <v>SpBEND214692</v>
      </c>
      <c r="AN40" s="112" t="str">
        <f>IF(preDEL!$AG40,IFERROR(0/0,""),preDEL!AN40)</f>
        <v>BEND886978</v>
      </c>
      <c r="AO40" s="112" t="str">
        <f>IF(preDEL!$AG40,IFERROR(0/0,""),preDEL!AO40)</f>
        <v/>
      </c>
      <c r="AP40" s="112" t="str">
        <f>IF(preDEL!$AG40,IFERROR(0/0,""),preDEL!AP40)</f>
        <v/>
      </c>
      <c r="AQ40" s="112" t="str">
        <f>IF(preDEL!$AG40,IFERROR(0/0,""),preDEL!AQ40)</f>
        <v/>
      </c>
      <c r="AR40" s="112" t="str">
        <f>IF(preDEL!$AG40,IFERROR(0/0,""),preDEL!AR40)</f>
        <v/>
      </c>
      <c r="AS40" s="112" t="str">
        <f>IF(preDEL!$AG40,IFERROR(0/0,""),preDEL!AS40)</f>
        <v/>
      </c>
      <c r="AT40" s="112" t="b">
        <f>IF(preDEL!$AG40,IFERROR(0/0,""),preDEL!AT40)</f>
        <v>0</v>
      </c>
      <c r="AU40" s="112" t="str">
        <f>IF(preDEL!$AG40,IFERROR(0/0,""),preDEL!AU40)</f>
        <v/>
      </c>
      <c r="AV40" s="112" t="str">
        <f>IF(preDEL!$AG40,IFERROR(0/0,""),preDEL!AV40)</f>
        <v/>
      </c>
      <c r="AW40" s="112" t="str">
        <f>IF(preDEL!$AG40,IFERROR(0/0,""),preDEL!AW40)</f>
        <v/>
      </c>
      <c r="AX40" s="112" t="str">
        <f>IF(preDEL!$AG40,IFERROR(0/0,""),preDEL!AX40)</f>
        <v/>
      </c>
      <c r="AY40" s="112" t="str">
        <f>IF(preDEL!$AG40,IFERROR(0/0,""),preDEL!AY40)</f>
        <v/>
      </c>
      <c r="AZ40" s="174"/>
      <c r="BA40" s="174"/>
      <c r="BB40" s="174"/>
      <c r="BC40" s="174"/>
      <c r="BD40" s="174"/>
      <c r="BE40" s="174"/>
      <c r="BF40" s="174"/>
      <c r="BG40" s="174"/>
      <c r="BH40" s="174"/>
      <c r="BI40" s="174"/>
      <c r="BJ40" s="174"/>
      <c r="BK40" s="174"/>
      <c r="BL40" s="174"/>
      <c r="BM40" s="174"/>
      <c r="BN40" s="174"/>
      <c r="BO40" s="174"/>
      <c r="BP40" s="174"/>
      <c r="BQ40" s="174"/>
      <c r="BR40" s="174"/>
      <c r="BS40" s="174"/>
      <c r="BT40" s="174"/>
      <c r="BU40" s="174"/>
      <c r="BV40" s="174"/>
      <c r="BW40" s="174"/>
      <c r="BX40" s="174"/>
      <c r="BY40" s="174"/>
      <c r="BZ40" s="174"/>
      <c r="CA40" s="174"/>
      <c r="CB40" s="174"/>
      <c r="CC40" s="174"/>
      <c r="CD40" s="174"/>
    </row>
    <row r="41">
      <c r="A41" s="105" t="str">
        <f>IF(preDEL!$AG41,IFERROR(0/0,""),preDEL!A41)</f>
        <v>MA197</v>
      </c>
      <c r="B41" s="170">
        <f>IF(preDEL!$AG41,IFERROR(0/0,""),preDEL!B41)</f>
        <v>44550</v>
      </c>
      <c r="C41" s="171">
        <f>IF(preDEL!$AG41,IFERROR(0/0,""),preDEL!C41)</f>
        <v>0.4013541667</v>
      </c>
      <c r="D41" s="105" t="str">
        <f>IF(preDEL!$AG41,IFERROR(0/0,""),preDEL!D41)</f>
        <v/>
      </c>
      <c r="E41" s="105" t="str">
        <f>IF(preDEL!$AG41,IFERROR(0/0,""),preDEL!E41)</f>
        <v/>
      </c>
      <c r="F41" s="112" t="str">
        <f>IF(preDEL!$AG41,IFERROR(0/0,""),preDEL!F41)</f>
        <v/>
      </c>
      <c r="G41" s="112" t="str">
        <f>IF(preDEL!$AG41,IFERROR(0/0,""),preDEL!G41)</f>
        <v/>
      </c>
      <c r="H41" s="112" t="str">
        <f>IF(preDEL!$AG41,IFERROR(0/0,""),preDEL!H41)</f>
        <v/>
      </c>
      <c r="I41" s="105" t="str">
        <f>IF(preDEL!$AG41,IFERROR(0/0,""),preDEL!I41)</f>
        <v/>
      </c>
      <c r="J41" s="105" t="str">
        <f>IF(preDEL!$AG41,IFERROR(0/0,""),preDEL!J41)</f>
        <v/>
      </c>
      <c r="K41" s="105" t="str">
        <f>IF(preDEL!$AG41,IFERROR(0/0,""),preDEL!K41)</f>
        <v>Negative</v>
      </c>
      <c r="L41" s="170">
        <f>IF(preDEL!$AG41,IFERROR(0/0,""),preDEL!L41)</f>
        <v>44550</v>
      </c>
      <c r="M41" s="171">
        <f>IF(preDEL!$AG41,IFERROR(0/0,""),preDEL!M41)</f>
        <v>0.4883449074</v>
      </c>
      <c r="N41" s="112" t="str">
        <f>IF(preDEL!$AG41,IFERROR(0/0,""),preDEL!N41)</f>
        <v/>
      </c>
      <c r="O41" s="112" t="str">
        <f>IF(preDEL!$AG41,IFERROR(0/0,""),preDEL!O41)</f>
        <v/>
      </c>
      <c r="P41" s="110" t="b">
        <f>IF(preDEL!$AG41,IFERROR(0/0,""),preDEL!P41)</f>
        <v>1</v>
      </c>
      <c r="Q41" s="110" t="str">
        <f>IF(preDEL!$AG41,IFERROR(0/0,""),preDEL!Q41)</f>
        <v>ER - REPS IN APT</v>
      </c>
      <c r="R41" s="104" t="b">
        <f>IF(preDEL!$AG41,IFERROR(0/0,""),preDEL!R41)</f>
        <v>1</v>
      </c>
      <c r="S41" s="104">
        <f>IF(preDEL!$AG41,IFERROR(0/0,""),preDEL!S41)</f>
        <v>1</v>
      </c>
      <c r="T41" s="110" t="str">
        <f>IF(preDEL!$AG41,IFERROR(0/0,""),preDEL!T41)</f>
        <v/>
      </c>
      <c r="U41" s="112" t="str">
        <f>IF(preDEL!$AG41,IFERROR(0/0,""),preDEL!U41)</f>
        <v/>
      </c>
      <c r="V41" s="105" t="str">
        <f>IF(preDEL!$AG41,IFERROR(0/0,""),preDEL!V41)</f>
        <v/>
      </c>
      <c r="W41" s="112" t="str">
        <f>IF(preDEL!$AG41,IFERROR(0/0,""),preDEL!W41)</f>
        <v/>
      </c>
      <c r="X41" s="104" t="b">
        <f>IF(preDEL!$AG41,IFERROR(0/0,""),preDEL!X41)</f>
        <v>0</v>
      </c>
      <c r="Y41" s="110" t="b">
        <f>IF(preDEL!$AG41,IFERROR(0/0,""),preDEL!Y41)</f>
        <v>0</v>
      </c>
      <c r="Z41" s="105" t="str">
        <f>IF(preDEL!$AG41,IFERROR(0/0,""),preDEL!Z41)</f>
        <v/>
      </c>
      <c r="AA41" s="110" t="b">
        <f>IF(preDEL!$AG41,IFERROR(0/0,""),preDEL!AA41)</f>
        <v>0</v>
      </c>
      <c r="AB41" s="110" t="b">
        <f>IF(preDEL!$AG41,IFERROR(0/0,""),preDEL!AB41)</f>
        <v>0</v>
      </c>
      <c r="AC41" s="172">
        <f>IF(preDEL!$AG41,IFERROR(0/0,""),preDEL!AC41)</f>
        <v>745</v>
      </c>
      <c r="AD41" s="104" t="b">
        <f>IF(preDEL!$AG41,IFERROR(0/0,""),preDEL!AD41)</f>
        <v>0</v>
      </c>
      <c r="AE41" s="173">
        <f>IF(preDEL!$AG41,IFERROR(0/0,""),preDEL!AE41)</f>
        <v>125.2666667</v>
      </c>
      <c r="AF41" s="110" t="b">
        <f>IF(preDEL!$AG41,IFERROR(0/0,""),preDEL!AF41)</f>
        <v>0</v>
      </c>
      <c r="AG41" s="110" t="b">
        <f>IF(preDEL!$AG41,IFERROR(0/0,""),preDEL!AG41)</f>
        <v>0</v>
      </c>
      <c r="AH41" s="104" t="str">
        <f>IF(preDEL!$AG41,IFERROR(0/0,""),preDEL!AH41)</f>
        <v/>
      </c>
      <c r="AI41" s="105">
        <f>IF(preDEL!$AG41,IFERROR(0/0,""),preDEL!AI41)</f>
        <v>4</v>
      </c>
      <c r="AJ41" s="112" t="str">
        <f>IF(preDEL!$AG41,IFERROR(0/0,""),preDEL!AJ41)</f>
        <v/>
      </c>
      <c r="AK41" s="105" t="str">
        <f>IF(preDEL!$AG41,IFERROR(0/0,""),preDEL!AK41)</f>
        <v>Negative</v>
      </c>
      <c r="AL41" s="112" t="str">
        <f>IF(preDEL!$AG41,IFERROR(0/0,""),preDEL!AL41)</f>
        <v/>
      </c>
      <c r="AM41" s="112" t="str">
        <f>IF(preDEL!$AG41,IFERROR(0/0,""),preDEL!AM41)</f>
        <v>SpBEND953422</v>
      </c>
      <c r="AN41" s="112" t="str">
        <f>IF(preDEL!$AG41,IFERROR(0/0,""),preDEL!AN41)</f>
        <v>BEND782925</v>
      </c>
      <c r="AO41" s="112" t="str">
        <f>IF(preDEL!$AG41,IFERROR(0/0,""),preDEL!AO41)</f>
        <v/>
      </c>
      <c r="AP41" s="112" t="str">
        <f>IF(preDEL!$AG41,IFERROR(0/0,""),preDEL!AP41)</f>
        <v/>
      </c>
      <c r="AQ41" s="112" t="str">
        <f>IF(preDEL!$AG41,IFERROR(0/0,""),preDEL!AQ41)</f>
        <v/>
      </c>
      <c r="AR41" s="112" t="str">
        <f>IF(preDEL!$AG41,IFERROR(0/0,""),preDEL!AR41)</f>
        <v/>
      </c>
      <c r="AS41" s="112" t="str">
        <f>IF(preDEL!$AG41,IFERROR(0/0,""),preDEL!AS41)</f>
        <v/>
      </c>
      <c r="AT41" s="112" t="b">
        <f>IF(preDEL!$AG41,IFERROR(0/0,""),preDEL!AT41)</f>
        <v>0</v>
      </c>
      <c r="AU41" s="112" t="str">
        <f>IF(preDEL!$AG41,IFERROR(0/0,""),preDEL!AU41)</f>
        <v/>
      </c>
      <c r="AV41" s="112" t="str">
        <f>IF(preDEL!$AG41,IFERROR(0/0,""),preDEL!AV41)</f>
        <v/>
      </c>
      <c r="AW41" s="112" t="str">
        <f>IF(preDEL!$AG41,IFERROR(0/0,""),preDEL!AW41)</f>
        <v/>
      </c>
      <c r="AX41" s="112" t="str">
        <f>IF(preDEL!$AG41,IFERROR(0/0,""),preDEL!AX41)</f>
        <v/>
      </c>
      <c r="AY41" s="112" t="str">
        <f>IF(preDEL!$AG41,IFERROR(0/0,""),preDEL!AY41)</f>
        <v/>
      </c>
      <c r="AZ41" s="174"/>
      <c r="BA41" s="174"/>
      <c r="BB41" s="174"/>
      <c r="BC41" s="174"/>
      <c r="BD41" s="174"/>
      <c r="BE41" s="174"/>
      <c r="BF41" s="174"/>
      <c r="BG41" s="174"/>
      <c r="BH41" s="174"/>
      <c r="BI41" s="174"/>
      <c r="BJ41" s="174"/>
      <c r="BK41" s="174"/>
      <c r="BL41" s="174"/>
      <c r="BM41" s="174"/>
      <c r="BN41" s="174"/>
      <c r="BO41" s="174"/>
      <c r="BP41" s="174"/>
      <c r="BQ41" s="174"/>
      <c r="BR41" s="174"/>
      <c r="BS41" s="174"/>
      <c r="BT41" s="174"/>
      <c r="BU41" s="174"/>
      <c r="BV41" s="174"/>
      <c r="BW41" s="174"/>
      <c r="BX41" s="174"/>
      <c r="BY41" s="174"/>
      <c r="BZ41" s="174"/>
      <c r="CA41" s="174"/>
      <c r="CB41" s="174"/>
      <c r="CC41" s="174"/>
      <c r="CD41" s="174"/>
    </row>
    <row r="42">
      <c r="A42" s="105" t="str">
        <f>IF(preDEL!$AG42,IFERROR(0/0,""),preDEL!A42)</f>
        <v/>
      </c>
      <c r="B42" s="170" t="str">
        <f>IF(preDEL!$AG42,IFERROR(0/0,""),preDEL!B42)</f>
        <v/>
      </c>
      <c r="C42" s="171" t="str">
        <f>IF(preDEL!$AG42,IFERROR(0/0,""),preDEL!C42)</f>
        <v/>
      </c>
      <c r="D42" s="105" t="str">
        <f>IF(preDEL!$AG42,IFERROR(0/0,""),preDEL!D42)</f>
        <v/>
      </c>
      <c r="E42" s="105" t="str">
        <f>IF(preDEL!$AG42,IFERROR(0/0,""),preDEL!E42)</f>
        <v/>
      </c>
      <c r="F42" s="112" t="str">
        <f>IF(preDEL!$AG42,IFERROR(0/0,""),preDEL!F42)</f>
        <v/>
      </c>
      <c r="G42" s="112" t="str">
        <f>IF(preDEL!$AG42,IFERROR(0/0,""),preDEL!G42)</f>
        <v/>
      </c>
      <c r="H42" s="112" t="str">
        <f>IF(preDEL!$AG42,IFERROR(0/0,""),preDEL!H42)</f>
        <v/>
      </c>
      <c r="I42" s="105" t="str">
        <f>IF(preDEL!$AG42,IFERROR(0/0,""),preDEL!I42)</f>
        <v/>
      </c>
      <c r="J42" s="105" t="str">
        <f>IF(preDEL!$AG42,IFERROR(0/0,""),preDEL!J42)</f>
        <v/>
      </c>
      <c r="K42" s="105" t="str">
        <f>IF(preDEL!$AG42,IFERROR(0/0,""),preDEL!K42)</f>
        <v/>
      </c>
      <c r="L42" s="170" t="str">
        <f>IF(preDEL!$AG42,IFERROR(0/0,""),preDEL!L42)</f>
        <v/>
      </c>
      <c r="M42" s="171" t="str">
        <f>IF(preDEL!$AG42,IFERROR(0/0,""),preDEL!M42)</f>
        <v/>
      </c>
      <c r="N42" s="112" t="str">
        <f>IF(preDEL!$AG42,IFERROR(0/0,""),preDEL!N42)</f>
        <v/>
      </c>
      <c r="O42" s="112" t="str">
        <f>IF(preDEL!$AG42,IFERROR(0/0,""),preDEL!O42)</f>
        <v/>
      </c>
      <c r="P42" s="110" t="str">
        <f>IF(preDEL!$AG42,IFERROR(0/0,""),preDEL!P42)</f>
        <v/>
      </c>
      <c r="Q42" s="110" t="str">
        <f>IF(preDEL!$AG42,IFERROR(0/0,""),preDEL!Q42)</f>
        <v/>
      </c>
      <c r="R42" s="104" t="str">
        <f>IF(preDEL!$AG42,IFERROR(0/0,""),preDEL!R42)</f>
        <v/>
      </c>
      <c r="S42" s="104" t="str">
        <f>IF(preDEL!$AG42,IFERROR(0/0,""),preDEL!S42)</f>
        <v/>
      </c>
      <c r="T42" s="110" t="str">
        <f>IF(preDEL!$AG42,IFERROR(0/0,""),preDEL!T42)</f>
        <v/>
      </c>
      <c r="U42" s="112" t="str">
        <f>IF(preDEL!$AG42,IFERROR(0/0,""),preDEL!U42)</f>
        <v/>
      </c>
      <c r="V42" s="105" t="str">
        <f>IF(preDEL!$AG42,IFERROR(0/0,""),preDEL!V42)</f>
        <v/>
      </c>
      <c r="W42" s="112" t="str">
        <f>IF(preDEL!$AG42,IFERROR(0/0,""),preDEL!W42)</f>
        <v/>
      </c>
      <c r="X42" s="104" t="str">
        <f>IF(preDEL!$AG42,IFERROR(0/0,""),preDEL!X42)</f>
        <v/>
      </c>
      <c r="Y42" s="110" t="str">
        <f>IF(preDEL!$AG42,IFERROR(0/0,""),preDEL!Y42)</f>
        <v/>
      </c>
      <c r="Z42" s="105" t="str">
        <f>IF(preDEL!$AG42,IFERROR(0/0,""),preDEL!Z42)</f>
        <v/>
      </c>
      <c r="AA42" s="110" t="str">
        <f>IF(preDEL!$AG42,IFERROR(0/0,""),preDEL!AA42)</f>
        <v/>
      </c>
      <c r="AB42" s="110" t="str">
        <f>IF(preDEL!$AG42,IFERROR(0/0,""),preDEL!AB42)</f>
        <v/>
      </c>
      <c r="AC42" s="172" t="str">
        <f>IF(preDEL!$AG42,IFERROR(0/0,""),preDEL!AC42)</f>
        <v/>
      </c>
      <c r="AD42" s="104" t="str">
        <f>IF(preDEL!$AG42,IFERROR(0/0,""),preDEL!AD42)</f>
        <v/>
      </c>
      <c r="AE42" s="173" t="str">
        <f>IF(preDEL!$AG42,IFERROR(0/0,""),preDEL!AE42)</f>
        <v/>
      </c>
      <c r="AF42" s="110" t="str">
        <f>IF(preDEL!$AG42,IFERROR(0/0,""),preDEL!AF42)</f>
        <v/>
      </c>
      <c r="AG42" s="110" t="str">
        <f>IF(preDEL!$AG42,IFERROR(0/0,""),preDEL!AG42)</f>
        <v/>
      </c>
      <c r="AH42" s="104" t="str">
        <f>IF(preDEL!$AG42,IFERROR(0/0,""),preDEL!AH42)</f>
        <v/>
      </c>
      <c r="AI42" s="105" t="str">
        <f>IF(preDEL!$AG42,IFERROR(0/0,""),preDEL!AI42)</f>
        <v/>
      </c>
      <c r="AJ42" s="112" t="str">
        <f>IF(preDEL!$AG42,IFERROR(0/0,""),preDEL!AJ42)</f>
        <v/>
      </c>
      <c r="AK42" s="105" t="str">
        <f>IF(preDEL!$AG42,IFERROR(0/0,""),preDEL!AK42)</f>
        <v/>
      </c>
      <c r="AL42" s="112" t="str">
        <f>IF(preDEL!$AG42,IFERROR(0/0,""),preDEL!AL42)</f>
        <v/>
      </c>
      <c r="AM42" s="112" t="str">
        <f>IF(preDEL!$AG42,IFERROR(0/0,""),preDEL!AM42)</f>
        <v/>
      </c>
      <c r="AN42" s="112" t="str">
        <f>IF(preDEL!$AG42,IFERROR(0/0,""),preDEL!AN42)</f>
        <v/>
      </c>
      <c r="AO42" s="112" t="str">
        <f>IF(preDEL!$AG42,IFERROR(0/0,""),preDEL!AO42)</f>
        <v/>
      </c>
      <c r="AP42" s="112" t="str">
        <f>IF(preDEL!$AG42,IFERROR(0/0,""),preDEL!AP42)</f>
        <v/>
      </c>
      <c r="AQ42" s="112" t="str">
        <f>IF(preDEL!$AG42,IFERROR(0/0,""),preDEL!AQ42)</f>
        <v/>
      </c>
      <c r="AR42" s="112" t="str">
        <f>IF(preDEL!$AG42,IFERROR(0/0,""),preDEL!AR42)</f>
        <v/>
      </c>
      <c r="AS42" s="112" t="str">
        <f>IF(preDEL!$AG42,IFERROR(0/0,""),preDEL!AS42)</f>
        <v/>
      </c>
      <c r="AT42" s="112" t="str">
        <f>IF(preDEL!$AG42,IFERROR(0/0,""),preDEL!AT42)</f>
        <v/>
      </c>
      <c r="AU42" s="112" t="str">
        <f>IF(preDEL!$AG42,IFERROR(0/0,""),preDEL!AU42)</f>
        <v/>
      </c>
      <c r="AV42" s="112" t="str">
        <f>IF(preDEL!$AG42,IFERROR(0/0,""),preDEL!AV42)</f>
        <v/>
      </c>
      <c r="AW42" s="112" t="str">
        <f>IF(preDEL!$AG42,IFERROR(0/0,""),preDEL!AW42)</f>
        <v/>
      </c>
      <c r="AX42" s="112" t="str">
        <f>IF(preDEL!$AG42,IFERROR(0/0,""),preDEL!AX42)</f>
        <v/>
      </c>
      <c r="AY42" s="112" t="str">
        <f>IF(preDEL!$AG42,IFERROR(0/0,""),preDEL!AY42)</f>
        <v/>
      </c>
      <c r="AZ42" s="174"/>
      <c r="BA42" s="174"/>
      <c r="BB42" s="174"/>
      <c r="BC42" s="174"/>
      <c r="BD42" s="174"/>
      <c r="BE42" s="174"/>
      <c r="BF42" s="174"/>
      <c r="BG42" s="174"/>
      <c r="BH42" s="174"/>
      <c r="BI42" s="174"/>
      <c r="BJ42" s="174"/>
      <c r="BK42" s="174"/>
      <c r="BL42" s="174"/>
      <c r="BM42" s="174"/>
      <c r="BN42" s="174"/>
      <c r="BO42" s="174"/>
      <c r="BP42" s="174"/>
      <c r="BQ42" s="174"/>
      <c r="BR42" s="174"/>
      <c r="BS42" s="174"/>
      <c r="BT42" s="174"/>
      <c r="BU42" s="174"/>
      <c r="BV42" s="174"/>
      <c r="BW42" s="174"/>
      <c r="BX42" s="174"/>
      <c r="BY42" s="174"/>
      <c r="BZ42" s="174"/>
      <c r="CA42" s="174"/>
      <c r="CB42" s="174"/>
      <c r="CC42" s="174"/>
      <c r="CD42" s="174"/>
    </row>
    <row r="43">
      <c r="A43" s="105" t="str">
        <f>IF(preDEL!$AG43,IFERROR(0/0,""),preDEL!A43)</f>
        <v>MA269</v>
      </c>
      <c r="B43" s="170">
        <f>IF(preDEL!$AG43,IFERROR(0/0,""),preDEL!B43)</f>
        <v>44550</v>
      </c>
      <c r="C43" s="171">
        <f>IF(preDEL!$AG43,IFERROR(0/0,""),preDEL!C43)</f>
        <v>0.401875</v>
      </c>
      <c r="D43" s="105" t="str">
        <f>IF(preDEL!$AG43,IFERROR(0/0,""),preDEL!D43)</f>
        <v/>
      </c>
      <c r="E43" s="105" t="str">
        <f>IF(preDEL!$AG43,IFERROR(0/0,""),preDEL!E43)</f>
        <v/>
      </c>
      <c r="F43" s="112" t="str">
        <f>IF(preDEL!$AG43,IFERROR(0/0,""),preDEL!F43)</f>
        <v/>
      </c>
      <c r="G43" s="112" t="str">
        <f>IF(preDEL!$AG43,IFERROR(0/0,""),preDEL!G43)</f>
        <v/>
      </c>
      <c r="H43" s="112" t="str">
        <f>IF(preDEL!$AG43,IFERROR(0/0,""),preDEL!H43)</f>
        <v/>
      </c>
      <c r="I43" s="105" t="str">
        <f>IF(preDEL!$AG43,IFERROR(0/0,""),preDEL!I43)</f>
        <v/>
      </c>
      <c r="J43" s="105" t="str">
        <f>IF(preDEL!$AG43,IFERROR(0/0,""),preDEL!J43)</f>
        <v/>
      </c>
      <c r="K43" s="105" t="str">
        <f>IF(preDEL!$AG43,IFERROR(0/0,""),preDEL!K43)</f>
        <v>Negative</v>
      </c>
      <c r="L43" s="170">
        <f>IF(preDEL!$AG43,IFERROR(0/0,""),preDEL!L43)</f>
        <v>44550</v>
      </c>
      <c r="M43" s="171">
        <f>IF(preDEL!$AG43,IFERROR(0/0,""),preDEL!M43)</f>
        <v>0.4883449074</v>
      </c>
      <c r="N43" s="112" t="str">
        <f>IF(preDEL!$AG43,IFERROR(0/0,""),preDEL!N43)</f>
        <v/>
      </c>
      <c r="O43" s="112" t="str">
        <f>IF(preDEL!$AG43,IFERROR(0/0,""),preDEL!O43)</f>
        <v/>
      </c>
      <c r="P43" s="110" t="b">
        <f>IF(preDEL!$AG43,IFERROR(0/0,""),preDEL!P43)</f>
        <v>1</v>
      </c>
      <c r="Q43" s="110" t="str">
        <f>IF(preDEL!$AG43,IFERROR(0/0,""),preDEL!Q43)</f>
        <v>ER - REPS IN APT</v>
      </c>
      <c r="R43" s="104" t="b">
        <f>IF(preDEL!$AG43,IFERROR(0/0,""),preDEL!R43)</f>
        <v>1</v>
      </c>
      <c r="S43" s="104">
        <f>IF(preDEL!$AG43,IFERROR(0/0,""),preDEL!S43)</f>
        <v>1</v>
      </c>
      <c r="T43" s="110" t="str">
        <f>IF(preDEL!$AG43,IFERROR(0/0,""),preDEL!T43)</f>
        <v/>
      </c>
      <c r="U43" s="112" t="str">
        <f>IF(preDEL!$AG43,IFERROR(0/0,""),preDEL!U43)</f>
        <v/>
      </c>
      <c r="V43" s="105" t="str">
        <f>IF(preDEL!$AG43,IFERROR(0/0,""),preDEL!V43)</f>
        <v/>
      </c>
      <c r="W43" s="112" t="str">
        <f>IF(preDEL!$AG43,IFERROR(0/0,""),preDEL!W43)</f>
        <v/>
      </c>
      <c r="X43" s="104" t="b">
        <f>IF(preDEL!$AG43,IFERROR(0/0,""),preDEL!X43)</f>
        <v>0</v>
      </c>
      <c r="Y43" s="110" t="b">
        <f>IF(preDEL!$AG43,IFERROR(0/0,""),preDEL!Y43)</f>
        <v>0</v>
      </c>
      <c r="Z43" s="105" t="str">
        <f>IF(preDEL!$AG43,IFERROR(0/0,""),preDEL!Z43)</f>
        <v/>
      </c>
      <c r="AA43" s="110" t="b">
        <f>IF(preDEL!$AG43,IFERROR(0/0,""),preDEL!AA43)</f>
        <v>0</v>
      </c>
      <c r="AB43" s="110" t="b">
        <f>IF(preDEL!$AG43,IFERROR(0/0,""),preDEL!AB43)</f>
        <v>0</v>
      </c>
      <c r="AC43" s="172">
        <f>IF(preDEL!$AG43,IFERROR(0/0,""),preDEL!AC43)</f>
        <v>744</v>
      </c>
      <c r="AD43" s="104" t="b">
        <f>IF(preDEL!$AG43,IFERROR(0/0,""),preDEL!AD43)</f>
        <v>0</v>
      </c>
      <c r="AE43" s="173">
        <f>IF(preDEL!$AG43,IFERROR(0/0,""),preDEL!AE43)</f>
        <v>124.5166667</v>
      </c>
      <c r="AF43" s="110" t="b">
        <f>IF(preDEL!$AG43,IFERROR(0/0,""),preDEL!AF43)</f>
        <v>0</v>
      </c>
      <c r="AG43" s="110" t="b">
        <f>IF(preDEL!$AG43,IFERROR(0/0,""),preDEL!AG43)</f>
        <v>0</v>
      </c>
      <c r="AH43" s="104" t="str">
        <f>IF(preDEL!$AG43,IFERROR(0/0,""),preDEL!AH43)</f>
        <v/>
      </c>
      <c r="AI43" s="105">
        <f>IF(preDEL!$AG43,IFERROR(0/0,""),preDEL!AI43)</f>
        <v>4</v>
      </c>
      <c r="AJ43" s="112" t="str">
        <f>IF(preDEL!$AG43,IFERROR(0/0,""),preDEL!AJ43)</f>
        <v/>
      </c>
      <c r="AK43" s="105" t="str">
        <f>IF(preDEL!$AG43,IFERROR(0/0,""),preDEL!AK43)</f>
        <v>Negative</v>
      </c>
      <c r="AL43" s="112" t="str">
        <f>IF(preDEL!$AG43,IFERROR(0/0,""),preDEL!AL43)</f>
        <v/>
      </c>
      <c r="AM43" s="112" t="str">
        <f>IF(preDEL!$AG43,IFERROR(0/0,""),preDEL!AM43)</f>
        <v>SpBEND305944</v>
      </c>
      <c r="AN43" s="112" t="str">
        <f>IF(preDEL!$AG43,IFERROR(0/0,""),preDEL!AN43)</f>
        <v>BEND538986</v>
      </c>
      <c r="AO43" s="112" t="str">
        <f>IF(preDEL!$AG43,IFERROR(0/0,""),preDEL!AO43)</f>
        <v/>
      </c>
      <c r="AP43" s="112" t="str">
        <f>IF(preDEL!$AG43,IFERROR(0/0,""),preDEL!AP43)</f>
        <v/>
      </c>
      <c r="AQ43" s="112" t="str">
        <f>IF(preDEL!$AG43,IFERROR(0/0,""),preDEL!AQ43)</f>
        <v/>
      </c>
      <c r="AR43" s="112" t="str">
        <f>IF(preDEL!$AG43,IFERROR(0/0,""),preDEL!AR43)</f>
        <v/>
      </c>
      <c r="AS43" s="112" t="str">
        <f>IF(preDEL!$AG43,IFERROR(0/0,""),preDEL!AS43)</f>
        <v/>
      </c>
      <c r="AT43" s="112" t="b">
        <f>IF(preDEL!$AG43,IFERROR(0/0,""),preDEL!AT43)</f>
        <v>0</v>
      </c>
      <c r="AU43" s="112" t="str">
        <f>IF(preDEL!$AG43,IFERROR(0/0,""),preDEL!AU43)</f>
        <v/>
      </c>
      <c r="AV43" s="112" t="str">
        <f>IF(preDEL!$AG43,IFERROR(0/0,""),preDEL!AV43)</f>
        <v/>
      </c>
      <c r="AW43" s="112" t="str">
        <f>IF(preDEL!$AG43,IFERROR(0/0,""),preDEL!AW43)</f>
        <v/>
      </c>
      <c r="AX43" s="112" t="str">
        <f>IF(preDEL!$AG43,IFERROR(0/0,""),preDEL!AX43)</f>
        <v/>
      </c>
      <c r="AY43" s="112" t="str">
        <f>IF(preDEL!$AG43,IFERROR(0/0,""),preDEL!AY43)</f>
        <v/>
      </c>
      <c r="AZ43" s="174"/>
      <c r="BA43" s="174"/>
      <c r="BB43" s="174"/>
      <c r="BC43" s="174"/>
      <c r="BD43" s="174"/>
      <c r="BE43" s="174"/>
      <c r="BF43" s="174"/>
      <c r="BG43" s="174"/>
      <c r="BH43" s="174"/>
      <c r="BI43" s="174"/>
      <c r="BJ43" s="174"/>
      <c r="BK43" s="174"/>
      <c r="BL43" s="174"/>
      <c r="BM43" s="174"/>
      <c r="BN43" s="174"/>
      <c r="BO43" s="174"/>
      <c r="BP43" s="174"/>
      <c r="BQ43" s="174"/>
      <c r="BR43" s="174"/>
      <c r="BS43" s="174"/>
      <c r="BT43" s="174"/>
      <c r="BU43" s="174"/>
      <c r="BV43" s="174"/>
      <c r="BW43" s="174"/>
      <c r="BX43" s="174"/>
      <c r="BY43" s="174"/>
      <c r="BZ43" s="174"/>
      <c r="CA43" s="174"/>
      <c r="CB43" s="174"/>
      <c r="CC43" s="174"/>
      <c r="CD43" s="174"/>
    </row>
    <row r="44">
      <c r="A44" s="105" t="str">
        <f>IF(preDEL!$AG44,IFERROR(0/0,""),preDEL!A44)</f>
        <v/>
      </c>
      <c r="B44" s="170" t="str">
        <f>IF(preDEL!$AG44,IFERROR(0/0,""),preDEL!B44)</f>
        <v/>
      </c>
      <c r="C44" s="171" t="str">
        <f>IF(preDEL!$AG44,IFERROR(0/0,""),preDEL!C44)</f>
        <v/>
      </c>
      <c r="D44" s="105" t="str">
        <f>IF(preDEL!$AG44,IFERROR(0/0,""),preDEL!D44)</f>
        <v/>
      </c>
      <c r="E44" s="105" t="str">
        <f>IF(preDEL!$AG44,IFERROR(0/0,""),preDEL!E44)</f>
        <v/>
      </c>
      <c r="F44" s="112" t="str">
        <f>IF(preDEL!$AG44,IFERROR(0/0,""),preDEL!F44)</f>
        <v/>
      </c>
      <c r="G44" s="112" t="str">
        <f>IF(preDEL!$AG44,IFERROR(0/0,""),preDEL!G44)</f>
        <v/>
      </c>
      <c r="H44" s="112" t="str">
        <f>IF(preDEL!$AG44,IFERROR(0/0,""),preDEL!H44)</f>
        <v/>
      </c>
      <c r="I44" s="105" t="str">
        <f>IF(preDEL!$AG44,IFERROR(0/0,""),preDEL!I44)</f>
        <v/>
      </c>
      <c r="J44" s="105" t="str">
        <f>IF(preDEL!$AG44,IFERROR(0/0,""),preDEL!J44)</f>
        <v/>
      </c>
      <c r="K44" s="105" t="str">
        <f>IF(preDEL!$AG44,IFERROR(0/0,""),preDEL!K44)</f>
        <v/>
      </c>
      <c r="L44" s="170" t="str">
        <f>IF(preDEL!$AG44,IFERROR(0/0,""),preDEL!L44)</f>
        <v/>
      </c>
      <c r="M44" s="171" t="str">
        <f>IF(preDEL!$AG44,IFERROR(0/0,""),preDEL!M44)</f>
        <v/>
      </c>
      <c r="N44" s="112" t="str">
        <f>IF(preDEL!$AG44,IFERROR(0/0,""),preDEL!N44)</f>
        <v/>
      </c>
      <c r="O44" s="112" t="str">
        <f>IF(preDEL!$AG44,IFERROR(0/0,""),preDEL!O44)</f>
        <v/>
      </c>
      <c r="P44" s="110" t="str">
        <f>IF(preDEL!$AG44,IFERROR(0/0,""),preDEL!P44)</f>
        <v/>
      </c>
      <c r="Q44" s="110" t="str">
        <f>IF(preDEL!$AG44,IFERROR(0/0,""),preDEL!Q44)</f>
        <v/>
      </c>
      <c r="R44" s="104" t="str">
        <f>IF(preDEL!$AG44,IFERROR(0/0,""),preDEL!R44)</f>
        <v/>
      </c>
      <c r="S44" s="104" t="str">
        <f>IF(preDEL!$AG44,IFERROR(0/0,""),preDEL!S44)</f>
        <v/>
      </c>
      <c r="T44" s="110" t="str">
        <f>IF(preDEL!$AG44,IFERROR(0/0,""),preDEL!T44)</f>
        <v/>
      </c>
      <c r="U44" s="112" t="str">
        <f>IF(preDEL!$AG44,IFERROR(0/0,""),preDEL!U44)</f>
        <v/>
      </c>
      <c r="V44" s="105" t="str">
        <f>IF(preDEL!$AG44,IFERROR(0/0,""),preDEL!V44)</f>
        <v/>
      </c>
      <c r="W44" s="112" t="str">
        <f>IF(preDEL!$AG44,IFERROR(0/0,""),preDEL!W44)</f>
        <v/>
      </c>
      <c r="X44" s="104" t="str">
        <f>IF(preDEL!$AG44,IFERROR(0/0,""),preDEL!X44)</f>
        <v/>
      </c>
      <c r="Y44" s="110" t="str">
        <f>IF(preDEL!$AG44,IFERROR(0/0,""),preDEL!Y44)</f>
        <v/>
      </c>
      <c r="Z44" s="105" t="str">
        <f>IF(preDEL!$AG44,IFERROR(0/0,""),preDEL!Z44)</f>
        <v/>
      </c>
      <c r="AA44" s="110" t="str">
        <f>IF(preDEL!$AG44,IFERROR(0/0,""),preDEL!AA44)</f>
        <v/>
      </c>
      <c r="AB44" s="110" t="str">
        <f>IF(preDEL!$AG44,IFERROR(0/0,""),preDEL!AB44)</f>
        <v/>
      </c>
      <c r="AC44" s="172" t="str">
        <f>IF(preDEL!$AG44,IFERROR(0/0,""),preDEL!AC44)</f>
        <v/>
      </c>
      <c r="AD44" s="104" t="str">
        <f>IF(preDEL!$AG44,IFERROR(0/0,""),preDEL!AD44)</f>
        <v/>
      </c>
      <c r="AE44" s="173" t="str">
        <f>IF(preDEL!$AG44,IFERROR(0/0,""),preDEL!AE44)</f>
        <v/>
      </c>
      <c r="AF44" s="110" t="str">
        <f>IF(preDEL!$AG44,IFERROR(0/0,""),preDEL!AF44)</f>
        <v/>
      </c>
      <c r="AG44" s="110" t="str">
        <f>IF(preDEL!$AG44,IFERROR(0/0,""),preDEL!AG44)</f>
        <v/>
      </c>
      <c r="AH44" s="104" t="str">
        <f>IF(preDEL!$AG44,IFERROR(0/0,""),preDEL!AH44)</f>
        <v/>
      </c>
      <c r="AI44" s="105" t="str">
        <f>IF(preDEL!$AG44,IFERROR(0/0,""),preDEL!AI44)</f>
        <v/>
      </c>
      <c r="AJ44" s="112" t="str">
        <f>IF(preDEL!$AG44,IFERROR(0/0,""),preDEL!AJ44)</f>
        <v/>
      </c>
      <c r="AK44" s="105" t="str">
        <f>IF(preDEL!$AG44,IFERROR(0/0,""),preDEL!AK44)</f>
        <v/>
      </c>
      <c r="AL44" s="112" t="str">
        <f>IF(preDEL!$AG44,IFERROR(0/0,""),preDEL!AL44)</f>
        <v/>
      </c>
      <c r="AM44" s="112" t="str">
        <f>IF(preDEL!$AG44,IFERROR(0/0,""),preDEL!AM44)</f>
        <v/>
      </c>
      <c r="AN44" s="112" t="str">
        <f>IF(preDEL!$AG44,IFERROR(0/0,""),preDEL!AN44)</f>
        <v/>
      </c>
      <c r="AO44" s="112" t="str">
        <f>IF(preDEL!$AG44,IFERROR(0/0,""),preDEL!AO44)</f>
        <v/>
      </c>
      <c r="AP44" s="112" t="str">
        <f>IF(preDEL!$AG44,IFERROR(0/0,""),preDEL!AP44)</f>
        <v/>
      </c>
      <c r="AQ44" s="112" t="str">
        <f>IF(preDEL!$AG44,IFERROR(0/0,""),preDEL!AQ44)</f>
        <v/>
      </c>
      <c r="AR44" s="112" t="str">
        <f>IF(preDEL!$AG44,IFERROR(0/0,""),preDEL!AR44)</f>
        <v/>
      </c>
      <c r="AS44" s="112" t="str">
        <f>IF(preDEL!$AG44,IFERROR(0/0,""),preDEL!AS44)</f>
        <v/>
      </c>
      <c r="AT44" s="112" t="str">
        <f>IF(preDEL!$AG44,IFERROR(0/0,""),preDEL!AT44)</f>
        <v/>
      </c>
      <c r="AU44" s="112" t="str">
        <f>IF(preDEL!$AG44,IFERROR(0/0,""),preDEL!AU44)</f>
        <v/>
      </c>
      <c r="AV44" s="112" t="str">
        <f>IF(preDEL!$AG44,IFERROR(0/0,""),preDEL!AV44)</f>
        <v/>
      </c>
      <c r="AW44" s="112" t="str">
        <f>IF(preDEL!$AG44,IFERROR(0/0,""),preDEL!AW44)</f>
        <v/>
      </c>
      <c r="AX44" s="112" t="str">
        <f>IF(preDEL!$AG44,IFERROR(0/0,""),preDEL!AX44)</f>
        <v/>
      </c>
      <c r="AY44" s="112" t="str">
        <f>IF(preDEL!$AG44,IFERROR(0/0,""),preDEL!AY44)</f>
        <v/>
      </c>
      <c r="AZ44" s="174"/>
      <c r="BA44" s="174"/>
      <c r="BB44" s="174"/>
      <c r="BC44" s="174"/>
      <c r="BD44" s="174"/>
      <c r="BE44" s="174"/>
      <c r="BF44" s="174"/>
      <c r="BG44" s="174"/>
      <c r="BH44" s="174"/>
      <c r="BI44" s="174"/>
      <c r="BJ44" s="174"/>
      <c r="BK44" s="174"/>
      <c r="BL44" s="174"/>
      <c r="BM44" s="174"/>
      <c r="BN44" s="174"/>
      <c r="BO44" s="174"/>
      <c r="BP44" s="174"/>
      <c r="BQ44" s="174"/>
      <c r="BR44" s="174"/>
      <c r="BS44" s="174"/>
      <c r="BT44" s="174"/>
      <c r="BU44" s="174"/>
      <c r="BV44" s="174"/>
      <c r="BW44" s="174"/>
      <c r="BX44" s="174"/>
      <c r="BY44" s="174"/>
      <c r="BZ44" s="174"/>
      <c r="CA44" s="174"/>
      <c r="CB44" s="174"/>
      <c r="CC44" s="174"/>
      <c r="CD44" s="174"/>
    </row>
    <row r="45">
      <c r="A45" s="105" t="str">
        <f>IF(preDEL!$AG45,IFERROR(0/0,""),preDEL!A45)</f>
        <v>MA1080</v>
      </c>
      <c r="B45" s="170">
        <f>IF(preDEL!$AG45,IFERROR(0/0,""),preDEL!B45)</f>
        <v>44550</v>
      </c>
      <c r="C45" s="171">
        <f>IF(preDEL!$AG45,IFERROR(0/0,""),preDEL!C45)</f>
        <v>0.4363425926</v>
      </c>
      <c r="D45" s="105" t="str">
        <f>IF(preDEL!$AG45,IFERROR(0/0,""),preDEL!D45)</f>
        <v/>
      </c>
      <c r="E45" s="105" t="str">
        <f>IF(preDEL!$AG45,IFERROR(0/0,""),preDEL!E45)</f>
        <v/>
      </c>
      <c r="F45" s="112" t="str">
        <f>IF(preDEL!$AG45,IFERROR(0/0,""),preDEL!F45)</f>
        <v/>
      </c>
      <c r="G45" s="112" t="str">
        <f>IF(preDEL!$AG45,IFERROR(0/0,""),preDEL!G45)</f>
        <v/>
      </c>
      <c r="H45" s="112" t="str">
        <f>IF(preDEL!$AG45,IFERROR(0/0,""),preDEL!H45)</f>
        <v/>
      </c>
      <c r="I45" s="105" t="str">
        <f>IF(preDEL!$AG45,IFERROR(0/0,""),preDEL!I45)</f>
        <v/>
      </c>
      <c r="J45" s="105" t="str">
        <f>IF(preDEL!$AG45,IFERROR(0/0,""),preDEL!J45)</f>
        <v/>
      </c>
      <c r="K45" s="105" t="str">
        <f>IF(preDEL!$AG45,IFERROR(0/0,""),preDEL!K45)</f>
        <v>Negative</v>
      </c>
      <c r="L45" s="170">
        <f>IF(preDEL!$AG45,IFERROR(0/0,""),preDEL!L45)</f>
        <v>44550</v>
      </c>
      <c r="M45" s="171">
        <f>IF(preDEL!$AG45,IFERROR(0/0,""),preDEL!M45)</f>
        <v>0.4883449074</v>
      </c>
      <c r="N45" s="112" t="str">
        <f>IF(preDEL!$AG45,IFERROR(0/0,""),preDEL!N45)</f>
        <v/>
      </c>
      <c r="O45" s="112" t="str">
        <f>IF(preDEL!$AG45,IFERROR(0/0,""),preDEL!O45)</f>
        <v/>
      </c>
      <c r="P45" s="110" t="b">
        <f>IF(preDEL!$AG45,IFERROR(0/0,""),preDEL!P45)</f>
        <v>0</v>
      </c>
      <c r="Q45" s="110" t="str">
        <f>IF(preDEL!$AG45,IFERROR(0/0,""),preDEL!Q45)</f>
        <v>Result</v>
      </c>
      <c r="R45" s="104" t="b">
        <f>IF(preDEL!$AG45,IFERROR(0/0,""),preDEL!R45)</f>
        <v>1</v>
      </c>
      <c r="S45" s="104">
        <f>IF(preDEL!$AG45,IFERROR(0/0,""),preDEL!S45)</f>
        <v>1</v>
      </c>
      <c r="T45" s="110" t="str">
        <f>IF(preDEL!$AG45,IFERROR(0/0,""),preDEL!T45)</f>
        <v/>
      </c>
      <c r="U45" s="112" t="str">
        <f>IF(preDEL!$AG45,IFERROR(0/0,""),preDEL!U45)</f>
        <v/>
      </c>
      <c r="V45" s="105" t="str">
        <f>IF(preDEL!$AG45,IFERROR(0/0,""),preDEL!V45)</f>
        <v/>
      </c>
      <c r="W45" s="112" t="str">
        <f>IF(preDEL!$AG45,IFERROR(0/0,""),preDEL!W45)</f>
        <v/>
      </c>
      <c r="X45" s="104" t="b">
        <f>IF(preDEL!$AG45,IFERROR(0/0,""),preDEL!X45)</f>
        <v>0</v>
      </c>
      <c r="Y45" s="110" t="b">
        <f>IF(preDEL!$AG45,IFERROR(0/0,""),preDEL!Y45)</f>
        <v>0</v>
      </c>
      <c r="Z45" s="105" t="str">
        <f>IF(preDEL!$AG45,IFERROR(0/0,""),preDEL!Z45)</f>
        <v/>
      </c>
      <c r="AA45" s="110" t="b">
        <f>IF(preDEL!$AG45,IFERROR(0/0,""),preDEL!AA45)</f>
        <v>0</v>
      </c>
      <c r="AB45" s="110" t="b">
        <f>IF(preDEL!$AG45,IFERROR(0/0,""),preDEL!AB45)</f>
        <v>0</v>
      </c>
      <c r="AC45" s="172">
        <f>IF(preDEL!$AG45,IFERROR(0/0,""),preDEL!AC45)</f>
        <v>746</v>
      </c>
      <c r="AD45" s="104" t="b">
        <f>IF(preDEL!$AG45,IFERROR(0/0,""),preDEL!AD45)</f>
        <v>0</v>
      </c>
      <c r="AE45" s="173">
        <f>IF(preDEL!$AG45,IFERROR(0/0,""),preDEL!AE45)</f>
        <v>74.88333333</v>
      </c>
      <c r="AF45" s="110" t="b">
        <f>IF(preDEL!$AG45,IFERROR(0/0,""),preDEL!AF45)</f>
        <v>0</v>
      </c>
      <c r="AG45" s="110" t="b">
        <f>IF(preDEL!$AG45,IFERROR(0/0,""),preDEL!AG45)</f>
        <v>0</v>
      </c>
      <c r="AH45" s="104" t="str">
        <f>IF(preDEL!$AG45,IFERROR(0/0,""),preDEL!AH45)</f>
        <v/>
      </c>
      <c r="AI45" s="105" t="str">
        <f>IF(preDEL!$AG45,IFERROR(0/0,""),preDEL!AI45)</f>
        <v/>
      </c>
      <c r="AJ45" s="112" t="str">
        <f>IF(preDEL!$AG45,IFERROR(0/0,""),preDEL!AJ45)</f>
        <v/>
      </c>
      <c r="AK45" s="105" t="str">
        <f>IF(preDEL!$AG45,IFERROR(0/0,""),preDEL!AK45)</f>
        <v>Negative</v>
      </c>
      <c r="AL45" s="112" t="str">
        <f>IF(preDEL!$AG45,IFERROR(0/0,""),preDEL!AL45)</f>
        <v/>
      </c>
      <c r="AM45" s="112" t="str">
        <f>IF(preDEL!$AG45,IFERROR(0/0,""),preDEL!AM45)</f>
        <v>SpBEND548976</v>
      </c>
      <c r="AN45" s="112" t="str">
        <f>IF(preDEL!$AG45,IFERROR(0/0,""),preDEL!AN45)</f>
        <v>BEND704851</v>
      </c>
      <c r="AO45" s="112" t="str">
        <f>IF(preDEL!$AG45,IFERROR(0/0,""),preDEL!AO45)</f>
        <v/>
      </c>
      <c r="AP45" s="112" t="str">
        <f>IF(preDEL!$AG45,IFERROR(0/0,""),preDEL!AP45)</f>
        <v/>
      </c>
      <c r="AQ45" s="112" t="str">
        <f>IF(preDEL!$AG45,IFERROR(0/0,""),preDEL!AQ45)</f>
        <v/>
      </c>
      <c r="AR45" s="112" t="str">
        <f>IF(preDEL!$AG45,IFERROR(0/0,""),preDEL!AR45)</f>
        <v/>
      </c>
      <c r="AS45" s="112" t="str">
        <f>IF(preDEL!$AG45,IFERROR(0/0,""),preDEL!AS45)</f>
        <v/>
      </c>
      <c r="AT45" s="112" t="b">
        <f>IF(preDEL!$AG45,IFERROR(0/0,""),preDEL!AT45)</f>
        <v>0</v>
      </c>
      <c r="AU45" s="112" t="str">
        <f>IF(preDEL!$AG45,IFERROR(0/0,""),preDEL!AU45)</f>
        <v/>
      </c>
      <c r="AV45" s="112" t="str">
        <f>IF(preDEL!$AG45,IFERROR(0/0,""),preDEL!AV45)</f>
        <v/>
      </c>
      <c r="AW45" s="112" t="str">
        <f>IF(preDEL!$AG45,IFERROR(0/0,""),preDEL!AW45)</f>
        <v/>
      </c>
      <c r="AX45" s="112" t="str">
        <f>IF(preDEL!$AG45,IFERROR(0/0,""),preDEL!AX45)</f>
        <v/>
      </c>
      <c r="AY45" s="112" t="str">
        <f>IF(preDEL!$AG45,IFERROR(0/0,""),preDEL!AY45)</f>
        <v/>
      </c>
      <c r="AZ45" s="174"/>
      <c r="BA45" s="174"/>
      <c r="BB45" s="174"/>
      <c r="BC45" s="174"/>
      <c r="BD45" s="174"/>
      <c r="BE45" s="174"/>
      <c r="BF45" s="174"/>
      <c r="BG45" s="174"/>
      <c r="BH45" s="174"/>
      <c r="BI45" s="174"/>
      <c r="BJ45" s="174"/>
      <c r="BK45" s="174"/>
      <c r="BL45" s="174"/>
      <c r="BM45" s="174"/>
      <c r="BN45" s="174"/>
      <c r="BO45" s="174"/>
      <c r="BP45" s="174"/>
      <c r="BQ45" s="174"/>
      <c r="BR45" s="174"/>
      <c r="BS45" s="174"/>
      <c r="BT45" s="174"/>
      <c r="BU45" s="174"/>
      <c r="BV45" s="174"/>
      <c r="BW45" s="174"/>
      <c r="BX45" s="174"/>
      <c r="BY45" s="174"/>
      <c r="BZ45" s="174"/>
      <c r="CA45" s="174"/>
      <c r="CB45" s="174"/>
      <c r="CC45" s="174"/>
      <c r="CD45" s="174"/>
    </row>
    <row r="46">
      <c r="A46" s="105" t="str">
        <f>IF(preDEL!$AG46,IFERROR(0/0,""),preDEL!A46)</f>
        <v>MA1030</v>
      </c>
      <c r="B46" s="170">
        <f>IF(preDEL!$AG46,IFERROR(0/0,""),preDEL!B46)</f>
        <v>44551</v>
      </c>
      <c r="C46" s="171">
        <f>IF(preDEL!$AG46,IFERROR(0/0,""),preDEL!C46)</f>
        <v>0.1881018519</v>
      </c>
      <c r="D46" s="105" t="str">
        <f>IF(preDEL!$AG46,IFERROR(0/0,""),preDEL!D46)</f>
        <v/>
      </c>
      <c r="E46" s="105" t="str">
        <f>IF(preDEL!$AG46,IFERROR(0/0,""),preDEL!E46)</f>
        <v/>
      </c>
      <c r="F46" s="112" t="str">
        <f>IF(preDEL!$AG46,IFERROR(0/0,""),preDEL!F46)</f>
        <v/>
      </c>
      <c r="G46" s="112" t="str">
        <f>IF(preDEL!$AG46,IFERROR(0/0,""),preDEL!G46)</f>
        <v/>
      </c>
      <c r="H46" s="112" t="str">
        <f>IF(preDEL!$AG46,IFERROR(0/0,""),preDEL!H46)</f>
        <v/>
      </c>
      <c r="I46" s="105" t="str">
        <f>IF(preDEL!$AG46,IFERROR(0/0,""),preDEL!I46)</f>
        <v/>
      </c>
      <c r="J46" s="105" t="str">
        <f>IF(preDEL!$AG46,IFERROR(0/0,""),preDEL!J46)</f>
        <v/>
      </c>
      <c r="K46" s="105" t="str">
        <f>IF(preDEL!$AG46,IFERROR(0/0,""),preDEL!K46)</f>
        <v>Negative</v>
      </c>
      <c r="L46" s="170">
        <f>IF(preDEL!$AG46,IFERROR(0/0,""),preDEL!L46)</f>
        <v>44552</v>
      </c>
      <c r="M46" s="171">
        <f>IF(preDEL!$AG46,IFERROR(0/0,""),preDEL!M46)</f>
        <v>0.4200462963</v>
      </c>
      <c r="N46" s="112" t="str">
        <f>IF(preDEL!$AG46,IFERROR(0/0,""),preDEL!N46)</f>
        <v/>
      </c>
      <c r="O46" s="112" t="str">
        <f>IF(preDEL!$AG46,IFERROR(0/0,""),preDEL!O46)</f>
        <v/>
      </c>
      <c r="P46" s="110" t="b">
        <f>IF(preDEL!$AG46,IFERROR(0/0,""),preDEL!P46)</f>
        <v>0</v>
      </c>
      <c r="Q46" s="110" t="str">
        <f>IF(preDEL!$AG46,IFERROR(0/0,""),preDEL!Q46)</f>
        <v>Result</v>
      </c>
      <c r="R46" s="104" t="b">
        <f>IF(preDEL!$AG46,IFERROR(0/0,""),preDEL!R46)</f>
        <v>1</v>
      </c>
      <c r="S46" s="104">
        <f>IF(preDEL!$AG46,IFERROR(0/0,""),preDEL!S46)</f>
        <v>1</v>
      </c>
      <c r="T46" s="110" t="str">
        <f>IF(preDEL!$AG46,IFERROR(0/0,""),preDEL!T46)</f>
        <v/>
      </c>
      <c r="U46" s="112" t="str">
        <f>IF(preDEL!$AG46,IFERROR(0/0,""),preDEL!U46)</f>
        <v/>
      </c>
      <c r="V46" s="105" t="str">
        <f>IF(preDEL!$AG46,IFERROR(0/0,""),preDEL!V46)</f>
        <v/>
      </c>
      <c r="W46" s="112" t="str">
        <f>IF(preDEL!$AG46,IFERROR(0/0,""),preDEL!W46)</f>
        <v/>
      </c>
      <c r="X46" s="104" t="b">
        <f>IF(preDEL!$AG46,IFERROR(0/0,""),preDEL!X46)</f>
        <v>0</v>
      </c>
      <c r="Y46" s="110" t="b">
        <f>IF(preDEL!$AG46,IFERROR(0/0,""),preDEL!Y46)</f>
        <v>0</v>
      </c>
      <c r="Z46" s="105" t="str">
        <f>IF(preDEL!$AG46,IFERROR(0/0,""),preDEL!Z46)</f>
        <v/>
      </c>
      <c r="AA46" s="110" t="b">
        <f>IF(preDEL!$AG46,IFERROR(0/0,""),preDEL!AA46)</f>
        <v>0</v>
      </c>
      <c r="AB46" s="110" t="b">
        <f>IF(preDEL!$AG46,IFERROR(0/0,""),preDEL!AB46)</f>
        <v>0</v>
      </c>
      <c r="AC46" s="172">
        <f>IF(preDEL!$AG46,IFERROR(0/0,""),preDEL!AC46)</f>
        <v>743</v>
      </c>
      <c r="AD46" s="104" t="b">
        <f>IF(preDEL!$AG46,IFERROR(0/0,""),preDEL!AD46)</f>
        <v>0</v>
      </c>
      <c r="AE46" s="173" t="str">
        <f>IF(preDEL!$AG46,IFERROR(0/0,""),preDEL!AE46)</f>
        <v/>
      </c>
      <c r="AF46" s="110" t="b">
        <f>IF(preDEL!$AG46,IFERROR(0/0,""),preDEL!AF46)</f>
        <v>0</v>
      </c>
      <c r="AG46" s="110" t="b">
        <f>IF(preDEL!$AG46,IFERROR(0/0,""),preDEL!AG46)</f>
        <v>0</v>
      </c>
      <c r="AH46" s="104" t="str">
        <f>IF(preDEL!$AG46,IFERROR(0/0,""),preDEL!AH46)</f>
        <v/>
      </c>
      <c r="AI46" s="105" t="str">
        <f>IF(preDEL!$AG46,IFERROR(0/0,""),preDEL!AI46)</f>
        <v/>
      </c>
      <c r="AJ46" s="112" t="str">
        <f>IF(preDEL!$AG46,IFERROR(0/0,""),preDEL!AJ46)</f>
        <v/>
      </c>
      <c r="AK46" s="105" t="str">
        <f>IF(preDEL!$AG46,IFERROR(0/0,""),preDEL!AK46)</f>
        <v>Negative</v>
      </c>
      <c r="AL46" s="112" t="str">
        <f>IF(preDEL!$AG46,IFERROR(0/0,""),preDEL!AL46)</f>
        <v/>
      </c>
      <c r="AM46" s="112" t="str">
        <f>IF(preDEL!$AG46,IFERROR(0/0,""),preDEL!AM46)</f>
        <v>SpBEND825522</v>
      </c>
      <c r="AN46" s="112" t="str">
        <f>IF(preDEL!$AG46,IFERROR(0/0,""),preDEL!AN46)</f>
        <v>BEND140857</v>
      </c>
      <c r="AO46" s="112" t="str">
        <f>IF(preDEL!$AG46,IFERROR(0/0,""),preDEL!AO46)</f>
        <v/>
      </c>
      <c r="AP46" s="112" t="str">
        <f>IF(preDEL!$AG46,IFERROR(0/0,""),preDEL!AP46)</f>
        <v/>
      </c>
      <c r="AQ46" s="112" t="str">
        <f>IF(preDEL!$AG46,IFERROR(0/0,""),preDEL!AQ46)</f>
        <v/>
      </c>
      <c r="AR46" s="112" t="str">
        <f>IF(preDEL!$AG46,IFERROR(0/0,""),preDEL!AR46)</f>
        <v/>
      </c>
      <c r="AS46" s="112" t="str">
        <f>IF(preDEL!$AG46,IFERROR(0/0,""),preDEL!AS46)</f>
        <v/>
      </c>
      <c r="AT46" s="112" t="b">
        <f>IF(preDEL!$AG46,IFERROR(0/0,""),preDEL!AT46)</f>
        <v>0</v>
      </c>
      <c r="AU46" s="112" t="str">
        <f>IF(preDEL!$AG46,IFERROR(0/0,""),preDEL!AU46)</f>
        <v/>
      </c>
      <c r="AV46" s="112" t="str">
        <f>IF(preDEL!$AG46,IFERROR(0/0,""),preDEL!AV46)</f>
        <v/>
      </c>
      <c r="AW46" s="112" t="str">
        <f>IF(preDEL!$AG46,IFERROR(0/0,""),preDEL!AW46)</f>
        <v/>
      </c>
      <c r="AX46" s="112" t="str">
        <f>IF(preDEL!$AG46,IFERROR(0/0,""),preDEL!AX46)</f>
        <v/>
      </c>
      <c r="AY46" s="112" t="str">
        <f>IF(preDEL!$AG46,IFERROR(0/0,""),preDEL!AY46)</f>
        <v/>
      </c>
      <c r="AZ46" s="174"/>
      <c r="BA46" s="174"/>
      <c r="BB46" s="174"/>
      <c r="BC46" s="174"/>
      <c r="BD46" s="174"/>
      <c r="BE46" s="174"/>
      <c r="BF46" s="174"/>
      <c r="BG46" s="174"/>
      <c r="BH46" s="174"/>
      <c r="BI46" s="174"/>
      <c r="BJ46" s="174"/>
      <c r="BK46" s="174"/>
      <c r="BL46" s="174"/>
      <c r="BM46" s="174"/>
      <c r="BN46" s="174"/>
      <c r="BO46" s="174"/>
      <c r="BP46" s="174"/>
      <c r="BQ46" s="174"/>
      <c r="BR46" s="174"/>
      <c r="BS46" s="174"/>
      <c r="BT46" s="174"/>
      <c r="BU46" s="174"/>
      <c r="BV46" s="174"/>
      <c r="BW46" s="174"/>
      <c r="BX46" s="174"/>
      <c r="BY46" s="174"/>
      <c r="BZ46" s="174"/>
      <c r="CA46" s="174"/>
      <c r="CB46" s="174"/>
      <c r="CC46" s="174"/>
      <c r="CD46" s="174"/>
    </row>
    <row r="47">
      <c r="A47" s="105" t="str">
        <f>IF(preDEL!$AG47,IFERROR(0/0,""),preDEL!A47)</f>
        <v>MA1315</v>
      </c>
      <c r="B47" s="170">
        <f>IF(preDEL!$AG47,IFERROR(0/0,""),preDEL!B47)</f>
        <v>44551</v>
      </c>
      <c r="C47" s="171">
        <f>IF(preDEL!$AG47,IFERROR(0/0,""),preDEL!C47)</f>
        <v>0.4705439815</v>
      </c>
      <c r="D47" s="105" t="str">
        <f>IF(preDEL!$AG47,IFERROR(0/0,""),preDEL!D47)</f>
        <v/>
      </c>
      <c r="E47" s="105" t="str">
        <f>IF(preDEL!$AG47,IFERROR(0/0,""),preDEL!E47)</f>
        <v/>
      </c>
      <c r="F47" s="112" t="str">
        <f>IF(preDEL!$AG47,IFERROR(0/0,""),preDEL!F47)</f>
        <v/>
      </c>
      <c r="G47" s="112" t="str">
        <f>IF(preDEL!$AG47,IFERROR(0/0,""),preDEL!G47)</f>
        <v/>
      </c>
      <c r="H47" s="112" t="str">
        <f>IF(preDEL!$AG47,IFERROR(0/0,""),preDEL!H47)</f>
        <v/>
      </c>
      <c r="I47" s="105" t="str">
        <f>IF(preDEL!$AG47,IFERROR(0/0,""),preDEL!I47)</f>
        <v/>
      </c>
      <c r="J47" s="105" t="str">
        <f>IF(preDEL!$AG47,IFERROR(0/0,""),preDEL!J47)</f>
        <v/>
      </c>
      <c r="K47" s="105" t="str">
        <f>IF(preDEL!$AG47,IFERROR(0/0,""),preDEL!K47)</f>
        <v>Negative</v>
      </c>
      <c r="L47" s="170">
        <f>IF(preDEL!$AG47,IFERROR(0/0,""),preDEL!L47)</f>
        <v>44552</v>
      </c>
      <c r="M47" s="171">
        <f>IF(preDEL!$AG47,IFERROR(0/0,""),preDEL!M47)</f>
        <v>0.4200462963</v>
      </c>
      <c r="N47" s="112" t="str">
        <f>IF(preDEL!$AG47,IFERROR(0/0,""),preDEL!N47)</f>
        <v/>
      </c>
      <c r="O47" s="112" t="str">
        <f>IF(preDEL!$AG47,IFERROR(0/0,""),preDEL!O47)</f>
        <v/>
      </c>
      <c r="P47" s="110" t="b">
        <f>IF(preDEL!$AG47,IFERROR(0/0,""),preDEL!P47)</f>
        <v>0</v>
      </c>
      <c r="Q47" s="110" t="str">
        <f>IF(preDEL!$AG47,IFERROR(0/0,""),preDEL!Q47)</f>
        <v>Result</v>
      </c>
      <c r="R47" s="104" t="b">
        <f>IF(preDEL!$AG47,IFERROR(0/0,""),preDEL!R47)</f>
        <v>1</v>
      </c>
      <c r="S47" s="104">
        <f>IF(preDEL!$AG47,IFERROR(0/0,""),preDEL!S47)</f>
        <v>1</v>
      </c>
      <c r="T47" s="110" t="str">
        <f>IF(preDEL!$AG47,IFERROR(0/0,""),preDEL!T47)</f>
        <v/>
      </c>
      <c r="U47" s="112" t="str">
        <f>IF(preDEL!$AG47,IFERROR(0/0,""),preDEL!U47)</f>
        <v/>
      </c>
      <c r="V47" s="105" t="str">
        <f>IF(preDEL!$AG47,IFERROR(0/0,""),preDEL!V47)</f>
        <v/>
      </c>
      <c r="W47" s="112" t="str">
        <f>IF(preDEL!$AG47,IFERROR(0/0,""),preDEL!W47)</f>
        <v/>
      </c>
      <c r="X47" s="104" t="b">
        <f>IF(preDEL!$AG47,IFERROR(0/0,""),preDEL!X47)</f>
        <v>0</v>
      </c>
      <c r="Y47" s="110" t="b">
        <f>IF(preDEL!$AG47,IFERROR(0/0,""),preDEL!Y47)</f>
        <v>0</v>
      </c>
      <c r="Z47" s="105" t="str">
        <f>IF(preDEL!$AG47,IFERROR(0/0,""),preDEL!Z47)</f>
        <v/>
      </c>
      <c r="AA47" s="110" t="b">
        <f>IF(preDEL!$AG47,IFERROR(0/0,""),preDEL!AA47)</f>
        <v>0</v>
      </c>
      <c r="AB47" s="110" t="b">
        <f>IF(preDEL!$AG47,IFERROR(0/0,""),preDEL!AB47)</f>
        <v>0</v>
      </c>
      <c r="AC47" s="172">
        <f>IF(preDEL!$AG47,IFERROR(0/0,""),preDEL!AC47)</f>
        <v>742</v>
      </c>
      <c r="AD47" s="104" t="b">
        <f>IF(preDEL!$AG47,IFERROR(0/0,""),preDEL!AD47)</f>
        <v>0</v>
      </c>
      <c r="AE47" s="173" t="str">
        <f>IF(preDEL!$AG47,IFERROR(0/0,""),preDEL!AE47)</f>
        <v/>
      </c>
      <c r="AF47" s="110" t="b">
        <f>IF(preDEL!$AG47,IFERROR(0/0,""),preDEL!AF47)</f>
        <v>0</v>
      </c>
      <c r="AG47" s="110" t="b">
        <f>IF(preDEL!$AG47,IFERROR(0/0,""),preDEL!AG47)</f>
        <v>0</v>
      </c>
      <c r="AH47" s="104" t="str">
        <f>IF(preDEL!$AG47,IFERROR(0/0,""),preDEL!AH47)</f>
        <v/>
      </c>
      <c r="AI47" s="105" t="str">
        <f>IF(preDEL!$AG47,IFERROR(0/0,""),preDEL!AI47)</f>
        <v/>
      </c>
      <c r="AJ47" s="112" t="str">
        <f>IF(preDEL!$AG47,IFERROR(0/0,""),preDEL!AJ47)</f>
        <v/>
      </c>
      <c r="AK47" s="105" t="str">
        <f>IF(preDEL!$AG47,IFERROR(0/0,""),preDEL!AK47)</f>
        <v>Negative</v>
      </c>
      <c r="AL47" s="112" t="str">
        <f>IF(preDEL!$AG47,IFERROR(0/0,""),preDEL!AL47)</f>
        <v/>
      </c>
      <c r="AM47" s="112" t="str">
        <f>IF(preDEL!$AG47,IFERROR(0/0,""),preDEL!AM47)</f>
        <v>SpBEND767550</v>
      </c>
      <c r="AN47" s="112" t="str">
        <f>IF(preDEL!$AG47,IFERROR(0/0,""),preDEL!AN47)</f>
        <v>BEND245933</v>
      </c>
      <c r="AO47" s="112" t="str">
        <f>IF(preDEL!$AG47,IFERROR(0/0,""),preDEL!AO47)</f>
        <v/>
      </c>
      <c r="AP47" s="112" t="str">
        <f>IF(preDEL!$AG47,IFERROR(0/0,""),preDEL!AP47)</f>
        <v/>
      </c>
      <c r="AQ47" s="112" t="str">
        <f>IF(preDEL!$AG47,IFERROR(0/0,""),preDEL!AQ47)</f>
        <v/>
      </c>
      <c r="AR47" s="112" t="str">
        <f>IF(preDEL!$AG47,IFERROR(0/0,""),preDEL!AR47)</f>
        <v/>
      </c>
      <c r="AS47" s="112" t="str">
        <f>IF(preDEL!$AG47,IFERROR(0/0,""),preDEL!AS47)</f>
        <v/>
      </c>
      <c r="AT47" s="112" t="b">
        <f>IF(preDEL!$AG47,IFERROR(0/0,""),preDEL!AT47)</f>
        <v>0</v>
      </c>
      <c r="AU47" s="112" t="str">
        <f>IF(preDEL!$AG47,IFERROR(0/0,""),preDEL!AU47)</f>
        <v/>
      </c>
      <c r="AV47" s="112" t="str">
        <f>IF(preDEL!$AG47,IFERROR(0/0,""),preDEL!AV47)</f>
        <v/>
      </c>
      <c r="AW47" s="112" t="str">
        <f>IF(preDEL!$AG47,IFERROR(0/0,""),preDEL!AW47)</f>
        <v/>
      </c>
      <c r="AX47" s="112" t="str">
        <f>IF(preDEL!$AG47,IFERROR(0/0,""),preDEL!AX47)</f>
        <v/>
      </c>
      <c r="AY47" s="112" t="str">
        <f>IF(preDEL!$AG47,IFERROR(0/0,""),preDEL!AY47)</f>
        <v/>
      </c>
      <c r="AZ47" s="174"/>
      <c r="BA47" s="174"/>
      <c r="BB47" s="174"/>
      <c r="BC47" s="174"/>
      <c r="BD47" s="174"/>
      <c r="BE47" s="174"/>
      <c r="BF47" s="174"/>
      <c r="BG47" s="174"/>
      <c r="BH47" s="174"/>
      <c r="BI47" s="174"/>
      <c r="BJ47" s="174"/>
      <c r="BK47" s="174"/>
      <c r="BL47" s="174"/>
      <c r="BM47" s="174"/>
      <c r="BN47" s="174"/>
      <c r="BO47" s="174"/>
      <c r="BP47" s="174"/>
      <c r="BQ47" s="174"/>
      <c r="BR47" s="174"/>
      <c r="BS47" s="174"/>
      <c r="BT47" s="174"/>
      <c r="BU47" s="174"/>
      <c r="BV47" s="174"/>
      <c r="BW47" s="174"/>
      <c r="BX47" s="174"/>
      <c r="BY47" s="174"/>
      <c r="BZ47" s="174"/>
      <c r="CA47" s="174"/>
      <c r="CB47" s="174"/>
      <c r="CC47" s="174"/>
      <c r="CD47" s="174"/>
    </row>
    <row r="48">
      <c r="A48" s="105" t="str">
        <f>IF(preDEL!$AG48,IFERROR(0/0,""),preDEL!A48)</f>
        <v>MA1203</v>
      </c>
      <c r="B48" s="170">
        <f>IF(preDEL!$AG48,IFERROR(0/0,""),preDEL!B48)</f>
        <v>44552</v>
      </c>
      <c r="C48" s="171">
        <f>IF(preDEL!$AG48,IFERROR(0/0,""),preDEL!C48)</f>
        <v>0.3487962963</v>
      </c>
      <c r="D48" s="105" t="str">
        <f>IF(preDEL!$AG48,IFERROR(0/0,""),preDEL!D48)</f>
        <v/>
      </c>
      <c r="E48" s="105" t="str">
        <f>IF(preDEL!$AG48,IFERROR(0/0,""),preDEL!E48)</f>
        <v/>
      </c>
      <c r="F48" s="112" t="str">
        <f>IF(preDEL!$AG48,IFERROR(0/0,""),preDEL!F48)</f>
        <v/>
      </c>
      <c r="G48" s="112" t="str">
        <f>IF(preDEL!$AG48,IFERROR(0/0,""),preDEL!G48)</f>
        <v/>
      </c>
      <c r="H48" s="112" t="str">
        <f>IF(preDEL!$AG48,IFERROR(0/0,""),preDEL!H48)</f>
        <v/>
      </c>
      <c r="I48" s="105" t="str">
        <f>IF(preDEL!$AG48,IFERROR(0/0,""),preDEL!I48)</f>
        <v/>
      </c>
      <c r="J48" s="105" t="str">
        <f>IF(preDEL!$AG48,IFERROR(0/0,""),preDEL!J48)</f>
        <v/>
      </c>
      <c r="K48" s="105" t="str">
        <f>IF(preDEL!$AG48,IFERROR(0/0,""),preDEL!K48)</f>
        <v>Null</v>
      </c>
      <c r="L48" s="170" t="str">
        <f>IF(preDEL!$AG48,IFERROR(0/0,""),preDEL!L48)</f>
        <v/>
      </c>
      <c r="M48" s="171" t="str">
        <f>IF(preDEL!$AG48,IFERROR(0/0,""),preDEL!M48)</f>
        <v/>
      </c>
      <c r="N48" s="112" t="str">
        <f>IF(preDEL!$AG48,IFERROR(0/0,""),preDEL!N48)</f>
        <v/>
      </c>
      <c r="O48" s="112" t="str">
        <f>IF(preDEL!$AG48,IFERROR(0/0,""),preDEL!O48)</f>
        <v/>
      </c>
      <c r="P48" s="110" t="b">
        <f>IF(preDEL!$AG48,IFERROR(0/0,""),preDEL!P48)</f>
        <v>0</v>
      </c>
      <c r="Q48" s="110" t="str">
        <f>IF(preDEL!$AG48,IFERROR(0/0,""),preDEL!Q48)</f>
        <v>ER - NOT IN APT</v>
      </c>
      <c r="R48" s="104" t="b">
        <f>IF(preDEL!$AG48,IFERROR(0/0,""),preDEL!R48)</f>
        <v>1</v>
      </c>
      <c r="S48" s="104">
        <f>IF(preDEL!$AG48,IFERROR(0/0,""),preDEL!S48)</f>
        <v>1</v>
      </c>
      <c r="T48" s="110" t="str">
        <f>IF(preDEL!$AG48,IFERROR(0/0,""),preDEL!T48)</f>
        <v/>
      </c>
      <c r="U48" s="112" t="str">
        <f>IF(preDEL!$AG48,IFERROR(0/0,""),preDEL!U48)</f>
        <v/>
      </c>
      <c r="V48" s="105" t="str">
        <f>IF(preDEL!$AG48,IFERROR(0/0,""),preDEL!V48)</f>
        <v/>
      </c>
      <c r="W48" s="112" t="str">
        <f>IF(preDEL!$AG48,IFERROR(0/0,""),preDEL!W48)</f>
        <v/>
      </c>
      <c r="X48" s="104" t="b">
        <f>IF(preDEL!$AG48,IFERROR(0/0,""),preDEL!X48)</f>
        <v>0</v>
      </c>
      <c r="Y48" s="110" t="b">
        <f>IF(preDEL!$AG48,IFERROR(0/0,""),preDEL!Y48)</f>
        <v>0</v>
      </c>
      <c r="Z48" s="105" t="str">
        <f>IF(preDEL!$AG48,IFERROR(0/0,""),preDEL!Z48)</f>
        <v/>
      </c>
      <c r="AA48" s="110" t="b">
        <f>IF(preDEL!$AG48,IFERROR(0/0,""),preDEL!AA48)</f>
        <v>0</v>
      </c>
      <c r="AB48" s="110" t="b">
        <f>IF(preDEL!$AG48,IFERROR(0/0,""),preDEL!AB48)</f>
        <v>0</v>
      </c>
      <c r="AC48" s="172">
        <f>IF(preDEL!$AG48,IFERROR(0/0,""),preDEL!AC48)</f>
        <v>741</v>
      </c>
      <c r="AD48" s="104" t="b">
        <f>IF(preDEL!$AG48,IFERROR(0/0,""),preDEL!AD48)</f>
        <v>0</v>
      </c>
      <c r="AE48" s="173" t="str">
        <f>IF(preDEL!$AG48,IFERROR(0/0,""),preDEL!AE48)</f>
        <v/>
      </c>
      <c r="AF48" s="110" t="b">
        <f>IF(preDEL!$AG48,IFERROR(0/0,""),preDEL!AF48)</f>
        <v>0</v>
      </c>
      <c r="AG48" s="110" t="b">
        <f>IF(preDEL!$AG48,IFERROR(0/0,""),preDEL!AG48)</f>
        <v>0</v>
      </c>
      <c r="AH48" s="104" t="str">
        <f>IF(preDEL!$AG48,IFERROR(0/0,""),preDEL!AH48)</f>
        <v/>
      </c>
      <c r="AI48" s="105">
        <f>IF(preDEL!$AG48,IFERROR(0/0,""),preDEL!AI48)</f>
        <v>4.2</v>
      </c>
      <c r="AJ48" s="112">
        <f>IF(preDEL!$AG48,IFERROR(0/0,""),preDEL!AJ48)</f>
        <v>2</v>
      </c>
      <c r="AK48" s="105" t="str">
        <f>IF(preDEL!$AG48,IFERROR(0/0,""),preDEL!AK48)</f>
        <v>Negative</v>
      </c>
      <c r="AL48" s="112" t="str">
        <f>IF(preDEL!$AG48,IFERROR(0/0,""),preDEL!AL48)</f>
        <v/>
      </c>
      <c r="AM48" s="112" t="str">
        <f>IF(preDEL!$AG48,IFERROR(0/0,""),preDEL!AM48)</f>
        <v>SpBEND394154</v>
      </c>
      <c r="AN48" s="112" t="str">
        <f>IF(preDEL!$AG48,IFERROR(0/0,""),preDEL!AN48)</f>
        <v>BEND273237</v>
      </c>
      <c r="AO48" s="112" t="str">
        <f>IF(preDEL!$AG48,IFERROR(0/0,""),preDEL!AO48)</f>
        <v/>
      </c>
      <c r="AP48" s="112" t="str">
        <f>IF(preDEL!$AG48,IFERROR(0/0,""),preDEL!AP48)</f>
        <v/>
      </c>
      <c r="AQ48" s="112" t="str">
        <f>IF(preDEL!$AG48,IFERROR(0/0,""),preDEL!AQ48)</f>
        <v/>
      </c>
      <c r="AR48" s="112" t="str">
        <f>IF(preDEL!$AG48,IFERROR(0/0,""),preDEL!AR48)</f>
        <v/>
      </c>
      <c r="AS48" s="112" t="str">
        <f>IF(preDEL!$AG48,IFERROR(0/0,""),preDEL!AS48)</f>
        <v/>
      </c>
      <c r="AT48" s="112" t="b">
        <f>IF(preDEL!$AG48,IFERROR(0/0,""),preDEL!AT48)</f>
        <v>0</v>
      </c>
      <c r="AU48" s="112" t="str">
        <f>IF(preDEL!$AG48,IFERROR(0/0,""),preDEL!AU48)</f>
        <v/>
      </c>
      <c r="AV48" s="112" t="str">
        <f>IF(preDEL!$AG48,IFERROR(0/0,""),preDEL!AV48)</f>
        <v/>
      </c>
      <c r="AW48" s="112" t="str">
        <f>IF(preDEL!$AG48,IFERROR(0/0,""),preDEL!AW48)</f>
        <v/>
      </c>
      <c r="AX48" s="112" t="str">
        <f>IF(preDEL!$AG48,IFERROR(0/0,""),preDEL!AX48)</f>
        <v/>
      </c>
      <c r="AY48" s="112" t="str">
        <f>IF(preDEL!$AG48,IFERROR(0/0,""),preDEL!AY48)</f>
        <v/>
      </c>
      <c r="AZ48" s="174"/>
      <c r="BA48" s="174"/>
      <c r="BB48" s="174"/>
      <c r="BC48" s="174"/>
      <c r="BD48" s="174"/>
      <c r="BE48" s="174"/>
      <c r="BF48" s="174"/>
      <c r="BG48" s="174"/>
      <c r="BH48" s="174"/>
      <c r="BI48" s="174"/>
      <c r="BJ48" s="174"/>
      <c r="BK48" s="174"/>
      <c r="BL48" s="174"/>
      <c r="BM48" s="174"/>
      <c r="BN48" s="174"/>
      <c r="BO48" s="174"/>
      <c r="BP48" s="174"/>
      <c r="BQ48" s="174"/>
      <c r="BR48" s="174"/>
      <c r="BS48" s="174"/>
      <c r="BT48" s="174"/>
      <c r="BU48" s="174"/>
      <c r="BV48" s="174"/>
      <c r="BW48" s="174"/>
      <c r="BX48" s="174"/>
      <c r="BY48" s="174"/>
      <c r="BZ48" s="174"/>
      <c r="CA48" s="174"/>
      <c r="CB48" s="174"/>
      <c r="CC48" s="174"/>
      <c r="CD48" s="174"/>
    </row>
    <row r="49">
      <c r="A49" s="105" t="str">
        <f>IF(preDEL!$AG49,IFERROR(0/0,""),preDEL!A49)</f>
        <v>MA1088</v>
      </c>
      <c r="B49" s="170">
        <f>IF(preDEL!$AG49,IFERROR(0/0,""),preDEL!B49)</f>
        <v>44552</v>
      </c>
      <c r="C49" s="171">
        <f>IF(preDEL!$AG49,IFERROR(0/0,""),preDEL!C49)</f>
        <v>0.3587731481</v>
      </c>
      <c r="D49" s="105" t="str">
        <f>IF(preDEL!$AG49,IFERROR(0/0,""),preDEL!D49)</f>
        <v/>
      </c>
      <c r="E49" s="105" t="str">
        <f>IF(preDEL!$AG49,IFERROR(0/0,""),preDEL!E49)</f>
        <v/>
      </c>
      <c r="F49" s="112" t="str">
        <f>IF(preDEL!$AG49,IFERROR(0/0,""),preDEL!F49)</f>
        <v/>
      </c>
      <c r="G49" s="112" t="str">
        <f>IF(preDEL!$AG49,IFERROR(0/0,""),preDEL!G49)</f>
        <v/>
      </c>
      <c r="H49" s="112" t="str">
        <f>IF(preDEL!$AG49,IFERROR(0/0,""),preDEL!H49)</f>
        <v/>
      </c>
      <c r="I49" s="105" t="str">
        <f>IF(preDEL!$AG49,IFERROR(0/0,""),preDEL!I49)</f>
        <v/>
      </c>
      <c r="J49" s="105" t="str">
        <f>IF(preDEL!$AG49,IFERROR(0/0,""),preDEL!J49)</f>
        <v/>
      </c>
      <c r="K49" s="105" t="str">
        <f>IF(preDEL!$AG49,IFERROR(0/0,""),preDEL!K49)</f>
        <v>Negative</v>
      </c>
      <c r="L49" s="170">
        <f>IF(preDEL!$AG49,IFERROR(0/0,""),preDEL!L49)</f>
        <v>44552</v>
      </c>
      <c r="M49" s="171">
        <f>IF(preDEL!$AG49,IFERROR(0/0,""),preDEL!M49)</f>
        <v>0.4200462963</v>
      </c>
      <c r="N49" s="112" t="str">
        <f>IF(preDEL!$AG49,IFERROR(0/0,""),preDEL!N49)</f>
        <v/>
      </c>
      <c r="O49" s="112" t="str">
        <f>IF(preDEL!$AG49,IFERROR(0/0,""),preDEL!O49)</f>
        <v/>
      </c>
      <c r="P49" s="110" t="b">
        <f>IF(preDEL!$AG49,IFERROR(0/0,""),preDEL!P49)</f>
        <v>0</v>
      </c>
      <c r="Q49" s="110" t="str">
        <f>IF(preDEL!$AG49,IFERROR(0/0,""),preDEL!Q49)</f>
        <v>ER - NOT IN APT</v>
      </c>
      <c r="R49" s="104" t="b">
        <f>IF(preDEL!$AG49,IFERROR(0/0,""),preDEL!R49)</f>
        <v>1</v>
      </c>
      <c r="S49" s="104">
        <f>IF(preDEL!$AG49,IFERROR(0/0,""),preDEL!S49)</f>
        <v>1</v>
      </c>
      <c r="T49" s="110" t="str">
        <f>IF(preDEL!$AG49,IFERROR(0/0,""),preDEL!T49)</f>
        <v/>
      </c>
      <c r="U49" s="112" t="str">
        <f>IF(preDEL!$AG49,IFERROR(0/0,""),preDEL!U49)</f>
        <v/>
      </c>
      <c r="V49" s="105" t="str">
        <f>IF(preDEL!$AG49,IFERROR(0/0,""),preDEL!V49)</f>
        <v/>
      </c>
      <c r="W49" s="112" t="str">
        <f>IF(preDEL!$AG49,IFERROR(0/0,""),preDEL!W49)</f>
        <v/>
      </c>
      <c r="X49" s="104" t="b">
        <f>IF(preDEL!$AG49,IFERROR(0/0,""),preDEL!X49)</f>
        <v>0</v>
      </c>
      <c r="Y49" s="110" t="b">
        <f>IF(preDEL!$AG49,IFERROR(0/0,""),preDEL!Y49)</f>
        <v>0</v>
      </c>
      <c r="Z49" s="105" t="str">
        <f>IF(preDEL!$AG49,IFERROR(0/0,""),preDEL!Z49)</f>
        <v/>
      </c>
      <c r="AA49" s="110" t="b">
        <f>IF(preDEL!$AG49,IFERROR(0/0,""),preDEL!AA49)</f>
        <v>0</v>
      </c>
      <c r="AB49" s="110" t="b">
        <f>IF(preDEL!$AG49,IFERROR(0/0,""),preDEL!AB49)</f>
        <v>0</v>
      </c>
      <c r="AC49" s="172">
        <f>IF(preDEL!$AG49,IFERROR(0/0,""),preDEL!AC49)</f>
        <v>740</v>
      </c>
      <c r="AD49" s="104" t="b">
        <f>IF(preDEL!$AG49,IFERROR(0/0,""),preDEL!AD49)</f>
        <v>0</v>
      </c>
      <c r="AE49" s="173">
        <f>IF(preDEL!$AG49,IFERROR(0/0,""),preDEL!AE49)</f>
        <v>88.23333333</v>
      </c>
      <c r="AF49" s="110" t="b">
        <f>IF(preDEL!$AG49,IFERROR(0/0,""),preDEL!AF49)</f>
        <v>0</v>
      </c>
      <c r="AG49" s="110" t="b">
        <f>IF(preDEL!$AG49,IFERROR(0/0,""),preDEL!AG49)</f>
        <v>0</v>
      </c>
      <c r="AH49" s="104" t="str">
        <f>IF(preDEL!$AG49,IFERROR(0/0,""),preDEL!AH49)</f>
        <v/>
      </c>
      <c r="AI49" s="105">
        <f>IF(preDEL!$AG49,IFERROR(0/0,""),preDEL!AI49)</f>
        <v>4.2</v>
      </c>
      <c r="AJ49" s="112" t="str">
        <f>IF(preDEL!$AG49,IFERROR(0/0,""),preDEL!AJ49)</f>
        <v/>
      </c>
      <c r="AK49" s="105" t="str">
        <f>IF(preDEL!$AG49,IFERROR(0/0,""),preDEL!AK49)</f>
        <v>Negative</v>
      </c>
      <c r="AL49" s="112" t="str">
        <f>IF(preDEL!$AG49,IFERROR(0/0,""),preDEL!AL49)</f>
        <v/>
      </c>
      <c r="AM49" s="112" t="str">
        <f>IF(preDEL!$AG49,IFERROR(0/0,""),preDEL!AM49)</f>
        <v>SpBEND394154</v>
      </c>
      <c r="AN49" s="112" t="str">
        <f>IF(preDEL!$AG49,IFERROR(0/0,""),preDEL!AN49)</f>
        <v>BEND200214</v>
      </c>
      <c r="AO49" s="112" t="str">
        <f>IF(preDEL!$AG49,IFERROR(0/0,""),preDEL!AO49)</f>
        <v/>
      </c>
      <c r="AP49" s="112" t="str">
        <f>IF(preDEL!$AG49,IFERROR(0/0,""),preDEL!AP49)</f>
        <v/>
      </c>
      <c r="AQ49" s="112" t="str">
        <f>IF(preDEL!$AG49,IFERROR(0/0,""),preDEL!AQ49)</f>
        <v/>
      </c>
      <c r="AR49" s="112" t="str">
        <f>IF(preDEL!$AG49,IFERROR(0/0,""),preDEL!AR49)</f>
        <v/>
      </c>
      <c r="AS49" s="112" t="str">
        <f>IF(preDEL!$AG49,IFERROR(0/0,""),preDEL!AS49)</f>
        <v/>
      </c>
      <c r="AT49" s="112" t="b">
        <f>IF(preDEL!$AG49,IFERROR(0/0,""),preDEL!AT49)</f>
        <v>0</v>
      </c>
      <c r="AU49" s="112" t="str">
        <f>IF(preDEL!$AG49,IFERROR(0/0,""),preDEL!AU49)</f>
        <v/>
      </c>
      <c r="AV49" s="112" t="str">
        <f>IF(preDEL!$AG49,IFERROR(0/0,""),preDEL!AV49)</f>
        <v/>
      </c>
      <c r="AW49" s="112" t="str">
        <f>IF(preDEL!$AG49,IFERROR(0/0,""),preDEL!AW49)</f>
        <v/>
      </c>
      <c r="AX49" s="112" t="str">
        <f>IF(preDEL!$AG49,IFERROR(0/0,""),preDEL!AX49)</f>
        <v/>
      </c>
      <c r="AY49" s="112" t="str">
        <f>IF(preDEL!$AG49,IFERROR(0/0,""),preDEL!AY49)</f>
        <v/>
      </c>
      <c r="AZ49" s="174"/>
      <c r="BA49" s="174"/>
      <c r="BB49" s="174"/>
      <c r="BC49" s="174"/>
      <c r="BD49" s="174"/>
      <c r="BE49" s="174"/>
      <c r="BF49" s="174"/>
      <c r="BG49" s="174"/>
      <c r="BH49" s="174"/>
      <c r="BI49" s="174"/>
      <c r="BJ49" s="174"/>
      <c r="BK49" s="174"/>
      <c r="BL49" s="174"/>
      <c r="BM49" s="174"/>
      <c r="BN49" s="174"/>
      <c r="BO49" s="174"/>
      <c r="BP49" s="174"/>
      <c r="BQ49" s="174"/>
      <c r="BR49" s="174"/>
      <c r="BS49" s="174"/>
      <c r="BT49" s="174"/>
      <c r="BU49" s="174"/>
      <c r="BV49" s="174"/>
      <c r="BW49" s="174"/>
      <c r="BX49" s="174"/>
      <c r="BY49" s="174"/>
      <c r="BZ49" s="174"/>
      <c r="CA49" s="174"/>
      <c r="CB49" s="174"/>
      <c r="CC49" s="174"/>
      <c r="CD49" s="174"/>
    </row>
    <row r="50">
      <c r="A50" s="105" t="str">
        <f>IF(preDEL!$AG50,IFERROR(0/0,""),preDEL!A50)</f>
        <v>MA1057</v>
      </c>
      <c r="B50" s="170">
        <f>IF(preDEL!$AG50,IFERROR(0/0,""),preDEL!B50)</f>
        <v>44552</v>
      </c>
      <c r="C50" s="171">
        <f>IF(preDEL!$AG50,IFERROR(0/0,""),preDEL!C50)</f>
        <v>0.3660185185</v>
      </c>
      <c r="D50" s="105" t="str">
        <f>IF(preDEL!$AG50,IFERROR(0/0,""),preDEL!D50)</f>
        <v/>
      </c>
      <c r="E50" s="105" t="str">
        <f>IF(preDEL!$AG50,IFERROR(0/0,""),preDEL!E50)</f>
        <v/>
      </c>
      <c r="F50" s="112" t="str">
        <f>IF(preDEL!$AG50,IFERROR(0/0,""),preDEL!F50)</f>
        <v/>
      </c>
      <c r="G50" s="112" t="str">
        <f>IF(preDEL!$AG50,IFERROR(0/0,""),preDEL!G50)</f>
        <v/>
      </c>
      <c r="H50" s="112" t="str">
        <f>IF(preDEL!$AG50,IFERROR(0/0,""),preDEL!H50)</f>
        <v/>
      </c>
      <c r="I50" s="105" t="str">
        <f>IF(preDEL!$AG50,IFERROR(0/0,""),preDEL!I50)</f>
        <v/>
      </c>
      <c r="J50" s="105" t="str">
        <f>IF(preDEL!$AG50,IFERROR(0/0,""),preDEL!J50)</f>
        <v/>
      </c>
      <c r="K50" s="105" t="str">
        <f>IF(preDEL!$AG50,IFERROR(0/0,""),preDEL!K50)</f>
        <v>Negative</v>
      </c>
      <c r="L50" s="170">
        <f>IF(preDEL!$AG50,IFERROR(0/0,""),preDEL!L50)</f>
        <v>44552</v>
      </c>
      <c r="M50" s="171">
        <f>IF(preDEL!$AG50,IFERROR(0/0,""),preDEL!M50)</f>
        <v>0.4200462963</v>
      </c>
      <c r="N50" s="112" t="str">
        <f>IF(preDEL!$AG50,IFERROR(0/0,""),preDEL!N50)</f>
        <v/>
      </c>
      <c r="O50" s="112" t="str">
        <f>IF(preDEL!$AG50,IFERROR(0/0,""),preDEL!O50)</f>
        <v/>
      </c>
      <c r="P50" s="110" t="b">
        <f>IF(preDEL!$AG50,IFERROR(0/0,""),preDEL!P50)</f>
        <v>0</v>
      </c>
      <c r="Q50" s="110" t="str">
        <f>IF(preDEL!$AG50,IFERROR(0/0,""),preDEL!Q50)</f>
        <v>ER - NOT IN APT</v>
      </c>
      <c r="R50" s="104" t="b">
        <f>IF(preDEL!$AG50,IFERROR(0/0,""),preDEL!R50)</f>
        <v>1</v>
      </c>
      <c r="S50" s="104">
        <f>IF(preDEL!$AG50,IFERROR(0/0,""),preDEL!S50)</f>
        <v>1</v>
      </c>
      <c r="T50" s="110" t="str">
        <f>IF(preDEL!$AG50,IFERROR(0/0,""),preDEL!T50)</f>
        <v/>
      </c>
      <c r="U50" s="112" t="str">
        <f>IF(preDEL!$AG50,IFERROR(0/0,""),preDEL!U50)</f>
        <v/>
      </c>
      <c r="V50" s="105" t="str">
        <f>IF(preDEL!$AG50,IFERROR(0/0,""),preDEL!V50)</f>
        <v/>
      </c>
      <c r="W50" s="112" t="str">
        <f>IF(preDEL!$AG50,IFERROR(0/0,""),preDEL!W50)</f>
        <v/>
      </c>
      <c r="X50" s="104" t="b">
        <f>IF(preDEL!$AG50,IFERROR(0/0,""),preDEL!X50)</f>
        <v>0</v>
      </c>
      <c r="Y50" s="110" t="b">
        <f>IF(preDEL!$AG50,IFERROR(0/0,""),preDEL!Y50)</f>
        <v>0</v>
      </c>
      <c r="Z50" s="105" t="str">
        <f>IF(preDEL!$AG50,IFERROR(0/0,""),preDEL!Z50)</f>
        <v/>
      </c>
      <c r="AA50" s="110" t="b">
        <f>IF(preDEL!$AG50,IFERROR(0/0,""),preDEL!AA50)</f>
        <v>0</v>
      </c>
      <c r="AB50" s="110" t="b">
        <f>IF(preDEL!$AG50,IFERROR(0/0,""),preDEL!AB50)</f>
        <v>0</v>
      </c>
      <c r="AC50" s="172">
        <f>IF(preDEL!$AG50,IFERROR(0/0,""),preDEL!AC50)</f>
        <v>739</v>
      </c>
      <c r="AD50" s="104" t="b">
        <f>IF(preDEL!$AG50,IFERROR(0/0,""),preDEL!AD50)</f>
        <v>0</v>
      </c>
      <c r="AE50" s="173">
        <f>IF(preDEL!$AG50,IFERROR(0/0,""),preDEL!AE50)</f>
        <v>77.8</v>
      </c>
      <c r="AF50" s="110" t="b">
        <f>IF(preDEL!$AG50,IFERROR(0/0,""),preDEL!AF50)</f>
        <v>0</v>
      </c>
      <c r="AG50" s="110" t="b">
        <f>IF(preDEL!$AG50,IFERROR(0/0,""),preDEL!AG50)</f>
        <v>0</v>
      </c>
      <c r="AH50" s="104" t="str">
        <f>IF(preDEL!$AG50,IFERROR(0/0,""),preDEL!AH50)</f>
        <v/>
      </c>
      <c r="AI50" s="105">
        <f>IF(preDEL!$AG50,IFERROR(0/0,""),preDEL!AI50)</f>
        <v>4.2</v>
      </c>
      <c r="AJ50" s="112" t="str">
        <f>IF(preDEL!$AG50,IFERROR(0/0,""),preDEL!AJ50)</f>
        <v/>
      </c>
      <c r="AK50" s="105" t="str">
        <f>IF(preDEL!$AG50,IFERROR(0/0,""),preDEL!AK50)</f>
        <v>Negative</v>
      </c>
      <c r="AL50" s="112" t="str">
        <f>IF(preDEL!$AG50,IFERROR(0/0,""),preDEL!AL50)</f>
        <v/>
      </c>
      <c r="AM50" s="112" t="str">
        <f>IF(preDEL!$AG50,IFERROR(0/0,""),preDEL!AM50)</f>
        <v>SpBEND394154</v>
      </c>
      <c r="AN50" s="112" t="str">
        <f>IF(preDEL!$AG50,IFERROR(0/0,""),preDEL!AN50)</f>
        <v>BEND273237</v>
      </c>
      <c r="AO50" s="112" t="str">
        <f>IF(preDEL!$AG50,IFERROR(0/0,""),preDEL!AO50)</f>
        <v/>
      </c>
      <c r="AP50" s="112" t="str">
        <f>IF(preDEL!$AG50,IFERROR(0/0,""),preDEL!AP50)</f>
        <v/>
      </c>
      <c r="AQ50" s="112" t="str">
        <f>IF(preDEL!$AG50,IFERROR(0/0,""),preDEL!AQ50)</f>
        <v/>
      </c>
      <c r="AR50" s="112" t="str">
        <f>IF(preDEL!$AG50,IFERROR(0/0,""),preDEL!AR50)</f>
        <v/>
      </c>
      <c r="AS50" s="112" t="str">
        <f>IF(preDEL!$AG50,IFERROR(0/0,""),preDEL!AS50)</f>
        <v/>
      </c>
      <c r="AT50" s="112" t="b">
        <f>IF(preDEL!$AG50,IFERROR(0/0,""),preDEL!AT50)</f>
        <v>0</v>
      </c>
      <c r="AU50" s="112" t="str">
        <f>IF(preDEL!$AG50,IFERROR(0/0,""),preDEL!AU50)</f>
        <v/>
      </c>
      <c r="AV50" s="112" t="str">
        <f>IF(preDEL!$AG50,IFERROR(0/0,""),preDEL!AV50)</f>
        <v/>
      </c>
      <c r="AW50" s="112" t="str">
        <f>IF(preDEL!$AG50,IFERROR(0/0,""),preDEL!AW50)</f>
        <v/>
      </c>
      <c r="AX50" s="112" t="str">
        <f>IF(preDEL!$AG50,IFERROR(0/0,""),preDEL!AX50)</f>
        <v/>
      </c>
      <c r="AY50" s="112" t="str">
        <f>IF(preDEL!$AG50,IFERROR(0/0,""),preDEL!AY50)</f>
        <v/>
      </c>
      <c r="AZ50" s="174"/>
      <c r="BA50" s="174"/>
      <c r="BB50" s="174"/>
      <c r="BC50" s="174"/>
      <c r="BD50" s="174"/>
      <c r="BE50" s="174"/>
      <c r="BF50" s="174"/>
      <c r="BG50" s="174"/>
      <c r="BH50" s="174"/>
      <c r="BI50" s="174"/>
      <c r="BJ50" s="174"/>
      <c r="BK50" s="174"/>
      <c r="BL50" s="174"/>
      <c r="BM50" s="174"/>
      <c r="BN50" s="174"/>
      <c r="BO50" s="174"/>
      <c r="BP50" s="174"/>
      <c r="BQ50" s="174"/>
      <c r="BR50" s="174"/>
      <c r="BS50" s="174"/>
      <c r="BT50" s="174"/>
      <c r="BU50" s="174"/>
      <c r="BV50" s="174"/>
      <c r="BW50" s="174"/>
      <c r="BX50" s="174"/>
      <c r="BY50" s="174"/>
      <c r="BZ50" s="174"/>
      <c r="CA50" s="174"/>
      <c r="CB50" s="174"/>
      <c r="CC50" s="174"/>
      <c r="CD50" s="174"/>
    </row>
    <row r="51">
      <c r="A51" s="105" t="str">
        <f>IF(preDEL!$AG51,IFERROR(0/0,""),preDEL!A51)</f>
        <v>MA447</v>
      </c>
      <c r="B51" s="170">
        <f>IF(preDEL!$AG51,IFERROR(0/0,""),preDEL!B51)</f>
        <v>44556</v>
      </c>
      <c r="C51" s="171">
        <f>IF(preDEL!$AG51,IFERROR(0/0,""),preDEL!C51)</f>
        <v>0.6234837963</v>
      </c>
      <c r="D51" s="105" t="str">
        <f>IF(preDEL!$AG51,IFERROR(0/0,""),preDEL!D51)</f>
        <v/>
      </c>
      <c r="E51" s="105" t="str">
        <f>IF(preDEL!$AG51,IFERROR(0/0,""),preDEL!E51)</f>
        <v/>
      </c>
      <c r="F51" s="112" t="str">
        <f>IF(preDEL!$AG51,IFERROR(0/0,""),preDEL!F51)</f>
        <v/>
      </c>
      <c r="G51" s="112" t="str">
        <f>IF(preDEL!$AG51,IFERROR(0/0,""),preDEL!G51)</f>
        <v/>
      </c>
      <c r="H51" s="112" t="str">
        <f>IF(preDEL!$AG51,IFERROR(0/0,""),preDEL!H51)</f>
        <v/>
      </c>
      <c r="I51" s="105" t="str">
        <f>IF(preDEL!$AG51,IFERROR(0/0,""),preDEL!I51)</f>
        <v/>
      </c>
      <c r="J51" s="105" t="str">
        <f>IF(preDEL!$AG51,IFERROR(0/0,""),preDEL!J51)</f>
        <v/>
      </c>
      <c r="K51" s="105" t="str">
        <f>IF(preDEL!$AG51,IFERROR(0/0,""),preDEL!K51)</f>
        <v>Negative</v>
      </c>
      <c r="L51" s="170">
        <f>IF(preDEL!$AG51,IFERROR(0/0,""),preDEL!L51)</f>
        <v>44557</v>
      </c>
      <c r="M51" s="171">
        <f>IF(preDEL!$AG51,IFERROR(0/0,""),preDEL!M51)</f>
        <v>0.4870949074</v>
      </c>
      <c r="N51" s="112" t="str">
        <f>IF(preDEL!$AG51,IFERROR(0/0,""),preDEL!N51)</f>
        <v/>
      </c>
      <c r="O51" s="112" t="str">
        <f>IF(preDEL!$AG51,IFERROR(0/0,""),preDEL!O51)</f>
        <v/>
      </c>
      <c r="P51" s="110" t="b">
        <f>IF(preDEL!$AG51,IFERROR(0/0,""),preDEL!P51)</f>
        <v>0</v>
      </c>
      <c r="Q51" s="110" t="str">
        <f>IF(preDEL!$AG51,IFERROR(0/0,""),preDEL!Q51)</f>
        <v>Result</v>
      </c>
      <c r="R51" s="104" t="b">
        <f>IF(preDEL!$AG51,IFERROR(0/0,""),preDEL!R51)</f>
        <v>1</v>
      </c>
      <c r="S51" s="104">
        <f>IF(preDEL!$AG51,IFERROR(0/0,""),preDEL!S51)</f>
        <v>1</v>
      </c>
      <c r="T51" s="110" t="str">
        <f>IF(preDEL!$AG51,IFERROR(0/0,""),preDEL!T51)</f>
        <v/>
      </c>
      <c r="U51" s="112" t="str">
        <f>IF(preDEL!$AG51,IFERROR(0/0,""),preDEL!U51)</f>
        <v/>
      </c>
      <c r="V51" s="105" t="str">
        <f>IF(preDEL!$AG51,IFERROR(0/0,""),preDEL!V51)</f>
        <v/>
      </c>
      <c r="W51" s="112" t="str">
        <f>IF(preDEL!$AG51,IFERROR(0/0,""),preDEL!W51)</f>
        <v/>
      </c>
      <c r="X51" s="104" t="b">
        <f>IF(preDEL!$AG51,IFERROR(0/0,""),preDEL!X51)</f>
        <v>0</v>
      </c>
      <c r="Y51" s="110" t="b">
        <f>IF(preDEL!$AG51,IFERROR(0/0,""),preDEL!Y51)</f>
        <v>0</v>
      </c>
      <c r="Z51" s="105" t="str">
        <f>IF(preDEL!$AG51,IFERROR(0/0,""),preDEL!Z51)</f>
        <v/>
      </c>
      <c r="AA51" s="110" t="b">
        <f>IF(preDEL!$AG51,IFERROR(0/0,""),preDEL!AA51)</f>
        <v>0</v>
      </c>
      <c r="AB51" s="110" t="b">
        <f>IF(preDEL!$AG51,IFERROR(0/0,""),preDEL!AB51)</f>
        <v>0</v>
      </c>
      <c r="AC51" s="172">
        <f>IF(preDEL!$AG51,IFERROR(0/0,""),preDEL!AC51)</f>
        <v>738</v>
      </c>
      <c r="AD51" s="104" t="b">
        <f>IF(preDEL!$AG51,IFERROR(0/0,""),preDEL!AD51)</f>
        <v>0</v>
      </c>
      <c r="AE51" s="173" t="str">
        <f>IF(preDEL!$AG51,IFERROR(0/0,""),preDEL!AE51)</f>
        <v/>
      </c>
      <c r="AF51" s="110" t="b">
        <f>IF(preDEL!$AG51,IFERROR(0/0,""),preDEL!AF51)</f>
        <v>0</v>
      </c>
      <c r="AG51" s="110" t="b">
        <f>IF(preDEL!$AG51,IFERROR(0/0,""),preDEL!AG51)</f>
        <v>0</v>
      </c>
      <c r="AH51" s="104" t="str">
        <f>IF(preDEL!$AG51,IFERROR(0/0,""),preDEL!AH51)</f>
        <v/>
      </c>
      <c r="AI51" s="105" t="str">
        <f>IF(preDEL!$AG51,IFERROR(0/0,""),preDEL!AI51)</f>
        <v/>
      </c>
      <c r="AJ51" s="112" t="str">
        <f>IF(preDEL!$AG51,IFERROR(0/0,""),preDEL!AJ51)</f>
        <v/>
      </c>
      <c r="AK51" s="105" t="str">
        <f>IF(preDEL!$AG51,IFERROR(0/0,""),preDEL!AK51)</f>
        <v>Negative</v>
      </c>
      <c r="AL51" s="112" t="str">
        <f>IF(preDEL!$AG51,IFERROR(0/0,""),preDEL!AL51)</f>
        <v/>
      </c>
      <c r="AM51" s="112" t="str">
        <f>IF(preDEL!$AG51,IFERROR(0/0,""),preDEL!AM51)</f>
        <v>SpBEND768497</v>
      </c>
      <c r="AN51" s="112" t="str">
        <f>IF(preDEL!$AG51,IFERROR(0/0,""),preDEL!AN51)</f>
        <v>BEND900381</v>
      </c>
      <c r="AO51" s="112" t="str">
        <f>IF(preDEL!$AG51,IFERROR(0/0,""),preDEL!AO51)</f>
        <v/>
      </c>
      <c r="AP51" s="112" t="str">
        <f>IF(preDEL!$AG51,IFERROR(0/0,""),preDEL!AP51)</f>
        <v/>
      </c>
      <c r="AQ51" s="112" t="str">
        <f>IF(preDEL!$AG51,IFERROR(0/0,""),preDEL!AQ51)</f>
        <v/>
      </c>
      <c r="AR51" s="112" t="str">
        <f>IF(preDEL!$AG51,IFERROR(0/0,""),preDEL!AR51)</f>
        <v/>
      </c>
      <c r="AS51" s="112" t="str">
        <f>IF(preDEL!$AG51,IFERROR(0/0,""),preDEL!AS51)</f>
        <v/>
      </c>
      <c r="AT51" s="112" t="b">
        <f>IF(preDEL!$AG51,IFERROR(0/0,""),preDEL!AT51)</f>
        <v>0</v>
      </c>
      <c r="AU51" s="112" t="str">
        <f>IF(preDEL!$AG51,IFERROR(0/0,""),preDEL!AU51)</f>
        <v/>
      </c>
      <c r="AV51" s="112" t="str">
        <f>IF(preDEL!$AG51,IFERROR(0/0,""),preDEL!AV51)</f>
        <v/>
      </c>
      <c r="AW51" s="112" t="str">
        <f>IF(preDEL!$AG51,IFERROR(0/0,""),preDEL!AW51)</f>
        <v/>
      </c>
      <c r="AX51" s="112" t="str">
        <f>IF(preDEL!$AG51,IFERROR(0/0,""),preDEL!AX51)</f>
        <v/>
      </c>
      <c r="AY51" s="112" t="str">
        <f>IF(preDEL!$AG51,IFERROR(0/0,""),preDEL!AY51)</f>
        <v/>
      </c>
      <c r="AZ51" s="174"/>
      <c r="BA51" s="174"/>
      <c r="BB51" s="174"/>
      <c r="BC51" s="174"/>
      <c r="BD51" s="174"/>
      <c r="BE51" s="174"/>
      <c r="BF51" s="174"/>
      <c r="BG51" s="174"/>
      <c r="BH51" s="174"/>
      <c r="BI51" s="174"/>
      <c r="BJ51" s="174"/>
      <c r="BK51" s="174"/>
      <c r="BL51" s="174"/>
      <c r="BM51" s="174"/>
      <c r="BN51" s="174"/>
      <c r="BO51" s="174"/>
      <c r="BP51" s="174"/>
      <c r="BQ51" s="174"/>
      <c r="BR51" s="174"/>
      <c r="BS51" s="174"/>
      <c r="BT51" s="174"/>
      <c r="BU51" s="174"/>
      <c r="BV51" s="174"/>
      <c r="BW51" s="174"/>
      <c r="BX51" s="174"/>
      <c r="BY51" s="174"/>
      <c r="BZ51" s="174"/>
      <c r="CA51" s="174"/>
      <c r="CB51" s="174"/>
      <c r="CC51" s="174"/>
      <c r="CD51" s="174"/>
    </row>
    <row r="52">
      <c r="A52" s="105" t="str">
        <f>IF(preDEL!$AG52,IFERROR(0/0,""),preDEL!A52)</f>
        <v>MA1179</v>
      </c>
      <c r="B52" s="170">
        <f>IF(preDEL!$AG52,IFERROR(0/0,""),preDEL!B52)</f>
        <v>44557</v>
      </c>
      <c r="C52" s="171">
        <f>IF(preDEL!$AG52,IFERROR(0/0,""),preDEL!C52)</f>
        <v>0.3123148148</v>
      </c>
      <c r="D52" s="105" t="str">
        <f>IF(preDEL!$AG52,IFERROR(0/0,""),preDEL!D52)</f>
        <v/>
      </c>
      <c r="E52" s="105" t="str">
        <f>IF(preDEL!$AG52,IFERROR(0/0,""),preDEL!E52)</f>
        <v/>
      </c>
      <c r="F52" s="112" t="str">
        <f>IF(preDEL!$AG52,IFERROR(0/0,""),preDEL!F52)</f>
        <v/>
      </c>
      <c r="G52" s="112" t="str">
        <f>IF(preDEL!$AG52,IFERROR(0/0,""),preDEL!G52)</f>
        <v/>
      </c>
      <c r="H52" s="112" t="str">
        <f>IF(preDEL!$AG52,IFERROR(0/0,""),preDEL!H52)</f>
        <v/>
      </c>
      <c r="I52" s="105" t="str">
        <f>IF(preDEL!$AG52,IFERROR(0/0,""),preDEL!I52)</f>
        <v/>
      </c>
      <c r="J52" s="105" t="str">
        <f>IF(preDEL!$AG52,IFERROR(0/0,""),preDEL!J52)</f>
        <v/>
      </c>
      <c r="K52" s="105" t="str">
        <f>IF(preDEL!$AG52,IFERROR(0/0,""),preDEL!K52)</f>
        <v>Negative</v>
      </c>
      <c r="L52" s="170">
        <f>IF(preDEL!$AG52,IFERROR(0/0,""),preDEL!L52)</f>
        <v>44557</v>
      </c>
      <c r="M52" s="171">
        <f>IF(preDEL!$AG52,IFERROR(0/0,""),preDEL!M52)</f>
        <v>0.4870949074</v>
      </c>
      <c r="N52" s="112" t="str">
        <f>IF(preDEL!$AG52,IFERROR(0/0,""),preDEL!N52)</f>
        <v/>
      </c>
      <c r="O52" s="112" t="str">
        <f>IF(preDEL!$AG52,IFERROR(0/0,""),preDEL!O52)</f>
        <v/>
      </c>
      <c r="P52" s="110" t="b">
        <f>IF(preDEL!$AG52,IFERROR(0/0,""),preDEL!P52)</f>
        <v>0</v>
      </c>
      <c r="Q52" s="110" t="str">
        <f>IF(preDEL!$AG52,IFERROR(0/0,""),preDEL!Q52)</f>
        <v>Result</v>
      </c>
      <c r="R52" s="104" t="b">
        <f>IF(preDEL!$AG52,IFERROR(0/0,""),preDEL!R52)</f>
        <v>1</v>
      </c>
      <c r="S52" s="104">
        <f>IF(preDEL!$AG52,IFERROR(0/0,""),preDEL!S52)</f>
        <v>1</v>
      </c>
      <c r="T52" s="110" t="str">
        <f>IF(preDEL!$AG52,IFERROR(0/0,""),preDEL!T52)</f>
        <v/>
      </c>
      <c r="U52" s="112" t="str">
        <f>IF(preDEL!$AG52,IFERROR(0/0,""),preDEL!U52)</f>
        <v/>
      </c>
      <c r="V52" s="105" t="str">
        <f>IF(preDEL!$AG52,IFERROR(0/0,""),preDEL!V52)</f>
        <v/>
      </c>
      <c r="W52" s="112" t="str">
        <f>IF(preDEL!$AG52,IFERROR(0/0,""),preDEL!W52)</f>
        <v/>
      </c>
      <c r="X52" s="104" t="b">
        <f>IF(preDEL!$AG52,IFERROR(0/0,""),preDEL!X52)</f>
        <v>0</v>
      </c>
      <c r="Y52" s="110" t="b">
        <f>IF(preDEL!$AG52,IFERROR(0/0,""),preDEL!Y52)</f>
        <v>0</v>
      </c>
      <c r="Z52" s="105" t="str">
        <f>IF(preDEL!$AG52,IFERROR(0/0,""),preDEL!Z52)</f>
        <v/>
      </c>
      <c r="AA52" s="110" t="b">
        <f>IF(preDEL!$AG52,IFERROR(0/0,""),preDEL!AA52)</f>
        <v>0</v>
      </c>
      <c r="AB52" s="110" t="b">
        <f>IF(preDEL!$AG52,IFERROR(0/0,""),preDEL!AB52)</f>
        <v>0</v>
      </c>
      <c r="AC52" s="172">
        <f>IF(preDEL!$AG52,IFERROR(0/0,""),preDEL!AC52)</f>
        <v>737</v>
      </c>
      <c r="AD52" s="104" t="b">
        <f>IF(preDEL!$AG52,IFERROR(0/0,""),preDEL!AD52)</f>
        <v>0</v>
      </c>
      <c r="AE52" s="173">
        <f>IF(preDEL!$AG52,IFERROR(0/0,""),preDEL!AE52)</f>
        <v>251.6833333</v>
      </c>
      <c r="AF52" s="110" t="b">
        <f>IF(preDEL!$AG52,IFERROR(0/0,""),preDEL!AF52)</f>
        <v>0</v>
      </c>
      <c r="AG52" s="110" t="b">
        <f>IF(preDEL!$AG52,IFERROR(0/0,""),preDEL!AG52)</f>
        <v>0</v>
      </c>
      <c r="AH52" s="104" t="str">
        <f>IF(preDEL!$AG52,IFERROR(0/0,""),preDEL!AH52)</f>
        <v/>
      </c>
      <c r="AI52" s="105" t="str">
        <f>IF(preDEL!$AG52,IFERROR(0/0,""),preDEL!AI52)</f>
        <v/>
      </c>
      <c r="AJ52" s="112" t="str">
        <f>IF(preDEL!$AG52,IFERROR(0/0,""),preDEL!AJ52)</f>
        <v/>
      </c>
      <c r="AK52" s="105" t="str">
        <f>IF(preDEL!$AG52,IFERROR(0/0,""),preDEL!AK52)</f>
        <v>Negative</v>
      </c>
      <c r="AL52" s="112" t="str">
        <f>IF(preDEL!$AG52,IFERROR(0/0,""),preDEL!AL52)</f>
        <v/>
      </c>
      <c r="AM52" s="112" t="str">
        <f>IF(preDEL!$AG52,IFERROR(0/0,""),preDEL!AM52)</f>
        <v>SpBEND541174</v>
      </c>
      <c r="AN52" s="112" t="str">
        <f>IF(preDEL!$AG52,IFERROR(0/0,""),preDEL!AN52)</f>
        <v>BEND785384</v>
      </c>
      <c r="AO52" s="112" t="str">
        <f>IF(preDEL!$AG52,IFERROR(0/0,""),preDEL!AO52)</f>
        <v/>
      </c>
      <c r="AP52" s="112" t="str">
        <f>IF(preDEL!$AG52,IFERROR(0/0,""),preDEL!AP52)</f>
        <v/>
      </c>
      <c r="AQ52" s="112" t="str">
        <f>IF(preDEL!$AG52,IFERROR(0/0,""),preDEL!AQ52)</f>
        <v/>
      </c>
      <c r="AR52" s="112" t="str">
        <f>IF(preDEL!$AG52,IFERROR(0/0,""),preDEL!AR52)</f>
        <v/>
      </c>
      <c r="AS52" s="112" t="str">
        <f>IF(preDEL!$AG52,IFERROR(0/0,""),preDEL!AS52)</f>
        <v/>
      </c>
      <c r="AT52" s="112" t="b">
        <f>IF(preDEL!$AG52,IFERROR(0/0,""),preDEL!AT52)</f>
        <v>0</v>
      </c>
      <c r="AU52" s="112" t="str">
        <f>IF(preDEL!$AG52,IFERROR(0/0,""),preDEL!AU52)</f>
        <v/>
      </c>
      <c r="AV52" s="112" t="str">
        <f>IF(preDEL!$AG52,IFERROR(0/0,""),preDEL!AV52)</f>
        <v/>
      </c>
      <c r="AW52" s="112" t="str">
        <f>IF(preDEL!$AG52,IFERROR(0/0,""),preDEL!AW52)</f>
        <v/>
      </c>
      <c r="AX52" s="112" t="str">
        <f>IF(preDEL!$AG52,IFERROR(0/0,""),preDEL!AX52)</f>
        <v/>
      </c>
      <c r="AY52" s="112" t="str">
        <f>IF(preDEL!$AG52,IFERROR(0/0,""),preDEL!AY52)</f>
        <v/>
      </c>
      <c r="AZ52" s="174"/>
      <c r="BA52" s="174"/>
      <c r="BB52" s="174"/>
      <c r="BC52" s="174"/>
      <c r="BD52" s="174"/>
      <c r="BE52" s="174"/>
      <c r="BF52" s="174"/>
      <c r="BG52" s="174"/>
      <c r="BH52" s="174"/>
      <c r="BI52" s="174"/>
      <c r="BJ52" s="174"/>
      <c r="BK52" s="174"/>
      <c r="BL52" s="174"/>
      <c r="BM52" s="174"/>
      <c r="BN52" s="174"/>
      <c r="BO52" s="174"/>
      <c r="BP52" s="174"/>
      <c r="BQ52" s="174"/>
      <c r="BR52" s="174"/>
      <c r="BS52" s="174"/>
      <c r="BT52" s="174"/>
      <c r="BU52" s="174"/>
      <c r="BV52" s="174"/>
      <c r="BW52" s="174"/>
      <c r="BX52" s="174"/>
      <c r="BY52" s="174"/>
      <c r="BZ52" s="174"/>
      <c r="CA52" s="174"/>
      <c r="CB52" s="174"/>
      <c r="CC52" s="174"/>
      <c r="CD52" s="174"/>
    </row>
    <row r="53">
      <c r="A53" s="105" t="str">
        <f>IF(preDEL!$AG53,IFERROR(0/0,""),preDEL!A53)</f>
        <v>MA690</v>
      </c>
      <c r="B53" s="170">
        <f>IF(preDEL!$AG53,IFERROR(0/0,""),preDEL!B53)</f>
        <v>44557</v>
      </c>
      <c r="C53" s="171">
        <f>IF(preDEL!$AG53,IFERROR(0/0,""),preDEL!C53)</f>
        <v>0.312662037</v>
      </c>
      <c r="D53" s="105" t="str">
        <f>IF(preDEL!$AG53,IFERROR(0/0,""),preDEL!D53)</f>
        <v/>
      </c>
      <c r="E53" s="105" t="str">
        <f>IF(preDEL!$AG53,IFERROR(0/0,""),preDEL!E53)</f>
        <v/>
      </c>
      <c r="F53" s="112" t="str">
        <f>IF(preDEL!$AG53,IFERROR(0/0,""),preDEL!F53)</f>
        <v/>
      </c>
      <c r="G53" s="112" t="str">
        <f>IF(preDEL!$AG53,IFERROR(0/0,""),preDEL!G53)</f>
        <v/>
      </c>
      <c r="H53" s="112" t="str">
        <f>IF(preDEL!$AG53,IFERROR(0/0,""),preDEL!H53)</f>
        <v/>
      </c>
      <c r="I53" s="105" t="str">
        <f>IF(preDEL!$AG53,IFERROR(0/0,""),preDEL!I53)</f>
        <v/>
      </c>
      <c r="J53" s="105" t="str">
        <f>IF(preDEL!$AG53,IFERROR(0/0,""),preDEL!J53)</f>
        <v/>
      </c>
      <c r="K53" s="105" t="str">
        <f>IF(preDEL!$AG53,IFERROR(0/0,""),preDEL!K53)</f>
        <v>Negative</v>
      </c>
      <c r="L53" s="170">
        <f>IF(preDEL!$AG53,IFERROR(0/0,""),preDEL!L53)</f>
        <v>44557</v>
      </c>
      <c r="M53" s="171">
        <f>IF(preDEL!$AG53,IFERROR(0/0,""),preDEL!M53)</f>
        <v>0.4870949074</v>
      </c>
      <c r="N53" s="112" t="str">
        <f>IF(preDEL!$AG53,IFERROR(0/0,""),preDEL!N53)</f>
        <v/>
      </c>
      <c r="O53" s="112" t="str">
        <f>IF(preDEL!$AG53,IFERROR(0/0,""),preDEL!O53)</f>
        <v/>
      </c>
      <c r="P53" s="110" t="b">
        <f>IF(preDEL!$AG53,IFERROR(0/0,""),preDEL!P53)</f>
        <v>0</v>
      </c>
      <c r="Q53" s="110" t="str">
        <f>IF(preDEL!$AG53,IFERROR(0/0,""),preDEL!Q53)</f>
        <v>Result</v>
      </c>
      <c r="R53" s="104" t="b">
        <f>IF(preDEL!$AG53,IFERROR(0/0,""),preDEL!R53)</f>
        <v>1</v>
      </c>
      <c r="S53" s="104">
        <f>IF(preDEL!$AG53,IFERROR(0/0,""),preDEL!S53)</f>
        <v>1</v>
      </c>
      <c r="T53" s="110" t="str">
        <f>IF(preDEL!$AG53,IFERROR(0/0,""),preDEL!T53)</f>
        <v/>
      </c>
      <c r="U53" s="112" t="str">
        <f>IF(preDEL!$AG53,IFERROR(0/0,""),preDEL!U53)</f>
        <v/>
      </c>
      <c r="V53" s="105" t="str">
        <f>IF(preDEL!$AG53,IFERROR(0/0,""),preDEL!V53)</f>
        <v/>
      </c>
      <c r="W53" s="112" t="str">
        <f>IF(preDEL!$AG53,IFERROR(0/0,""),preDEL!W53)</f>
        <v/>
      </c>
      <c r="X53" s="104" t="b">
        <f>IF(preDEL!$AG53,IFERROR(0/0,""),preDEL!X53)</f>
        <v>0</v>
      </c>
      <c r="Y53" s="110" t="b">
        <f>IF(preDEL!$AG53,IFERROR(0/0,""),preDEL!Y53)</f>
        <v>0</v>
      </c>
      <c r="Z53" s="105" t="str">
        <f>IF(preDEL!$AG53,IFERROR(0/0,""),preDEL!Z53)</f>
        <v/>
      </c>
      <c r="AA53" s="110" t="b">
        <f>IF(preDEL!$AG53,IFERROR(0/0,""),preDEL!AA53)</f>
        <v>0</v>
      </c>
      <c r="AB53" s="110" t="b">
        <f>IF(preDEL!$AG53,IFERROR(0/0,""),preDEL!AB53)</f>
        <v>0</v>
      </c>
      <c r="AC53" s="172">
        <f>IF(preDEL!$AG53,IFERROR(0/0,""),preDEL!AC53)</f>
        <v>736</v>
      </c>
      <c r="AD53" s="104" t="b">
        <f>IF(preDEL!$AG53,IFERROR(0/0,""),preDEL!AD53)</f>
        <v>0</v>
      </c>
      <c r="AE53" s="173">
        <f>IF(preDEL!$AG53,IFERROR(0/0,""),preDEL!AE53)</f>
        <v>251.1833333</v>
      </c>
      <c r="AF53" s="110" t="b">
        <f>IF(preDEL!$AG53,IFERROR(0/0,""),preDEL!AF53)</f>
        <v>0</v>
      </c>
      <c r="AG53" s="110" t="b">
        <f>IF(preDEL!$AG53,IFERROR(0/0,""),preDEL!AG53)</f>
        <v>0</v>
      </c>
      <c r="AH53" s="104" t="str">
        <f>IF(preDEL!$AG53,IFERROR(0/0,""),preDEL!AH53)</f>
        <v/>
      </c>
      <c r="AI53" s="105" t="str">
        <f>IF(preDEL!$AG53,IFERROR(0/0,""),preDEL!AI53)</f>
        <v/>
      </c>
      <c r="AJ53" s="112" t="str">
        <f>IF(preDEL!$AG53,IFERROR(0/0,""),preDEL!AJ53)</f>
        <v/>
      </c>
      <c r="AK53" s="105" t="str">
        <f>IF(preDEL!$AG53,IFERROR(0/0,""),preDEL!AK53)</f>
        <v>Negative</v>
      </c>
      <c r="AL53" s="112" t="str">
        <f>IF(preDEL!$AG53,IFERROR(0/0,""),preDEL!AL53)</f>
        <v/>
      </c>
      <c r="AM53" s="112" t="str">
        <f>IF(preDEL!$AG53,IFERROR(0/0,""),preDEL!AM53)</f>
        <v>SpBEND214692</v>
      </c>
      <c r="AN53" s="112" t="str">
        <f>IF(preDEL!$AG53,IFERROR(0/0,""),preDEL!AN53)</f>
        <v>BEND886978</v>
      </c>
      <c r="AO53" s="112" t="str">
        <f>IF(preDEL!$AG53,IFERROR(0/0,""),preDEL!AO53)</f>
        <v/>
      </c>
      <c r="AP53" s="112" t="str">
        <f>IF(preDEL!$AG53,IFERROR(0/0,""),preDEL!AP53)</f>
        <v/>
      </c>
      <c r="AQ53" s="112" t="str">
        <f>IF(preDEL!$AG53,IFERROR(0/0,""),preDEL!AQ53)</f>
        <v/>
      </c>
      <c r="AR53" s="112" t="str">
        <f>IF(preDEL!$AG53,IFERROR(0/0,""),preDEL!AR53)</f>
        <v/>
      </c>
      <c r="AS53" s="112" t="str">
        <f>IF(preDEL!$AG53,IFERROR(0/0,""),preDEL!AS53)</f>
        <v/>
      </c>
      <c r="AT53" s="112" t="b">
        <f>IF(preDEL!$AG53,IFERROR(0/0,""),preDEL!AT53)</f>
        <v>0</v>
      </c>
      <c r="AU53" s="112" t="str">
        <f>IF(preDEL!$AG53,IFERROR(0/0,""),preDEL!AU53)</f>
        <v/>
      </c>
      <c r="AV53" s="112" t="str">
        <f>IF(preDEL!$AG53,IFERROR(0/0,""),preDEL!AV53)</f>
        <v/>
      </c>
      <c r="AW53" s="112" t="str">
        <f>IF(preDEL!$AG53,IFERROR(0/0,""),preDEL!AW53)</f>
        <v/>
      </c>
      <c r="AX53" s="112" t="str">
        <f>IF(preDEL!$AG53,IFERROR(0/0,""),preDEL!AX53)</f>
        <v/>
      </c>
      <c r="AY53" s="112" t="str">
        <f>IF(preDEL!$AG53,IFERROR(0/0,""),preDEL!AY53)</f>
        <v/>
      </c>
      <c r="AZ53" s="174"/>
      <c r="BA53" s="174"/>
      <c r="BB53" s="174"/>
      <c r="BC53" s="174"/>
      <c r="BD53" s="174"/>
      <c r="BE53" s="174"/>
      <c r="BF53" s="174"/>
      <c r="BG53" s="174"/>
      <c r="BH53" s="174"/>
      <c r="BI53" s="174"/>
      <c r="BJ53" s="174"/>
      <c r="BK53" s="174"/>
      <c r="BL53" s="174"/>
      <c r="BM53" s="174"/>
      <c r="BN53" s="174"/>
      <c r="BO53" s="174"/>
      <c r="BP53" s="174"/>
      <c r="BQ53" s="174"/>
      <c r="BR53" s="174"/>
      <c r="BS53" s="174"/>
      <c r="BT53" s="174"/>
      <c r="BU53" s="174"/>
      <c r="BV53" s="174"/>
      <c r="BW53" s="174"/>
      <c r="BX53" s="174"/>
      <c r="BY53" s="174"/>
      <c r="BZ53" s="174"/>
      <c r="CA53" s="174"/>
      <c r="CB53" s="174"/>
      <c r="CC53" s="174"/>
      <c r="CD53" s="174"/>
    </row>
    <row r="54">
      <c r="A54" s="105" t="str">
        <f>IF(preDEL!$AG54,IFERROR(0/0,""),preDEL!A54)</f>
        <v>MA707</v>
      </c>
      <c r="B54" s="170">
        <f>IF(preDEL!$AG54,IFERROR(0/0,""),preDEL!B54)</f>
        <v>44557</v>
      </c>
      <c r="C54" s="171">
        <f>IF(preDEL!$AG54,IFERROR(0/0,""),preDEL!C54)</f>
        <v>0.3275462963</v>
      </c>
      <c r="D54" s="105" t="str">
        <f>IF(preDEL!$AG54,IFERROR(0/0,""),preDEL!D54)</f>
        <v/>
      </c>
      <c r="E54" s="105" t="str">
        <f>IF(preDEL!$AG54,IFERROR(0/0,""),preDEL!E54)</f>
        <v/>
      </c>
      <c r="F54" s="112" t="str">
        <f>IF(preDEL!$AG54,IFERROR(0/0,""),preDEL!F54)</f>
        <v/>
      </c>
      <c r="G54" s="112" t="str">
        <f>IF(preDEL!$AG54,IFERROR(0/0,""),preDEL!G54)</f>
        <v/>
      </c>
      <c r="H54" s="112" t="str">
        <f>IF(preDEL!$AG54,IFERROR(0/0,""),preDEL!H54)</f>
        <v/>
      </c>
      <c r="I54" s="105" t="str">
        <f>IF(preDEL!$AG54,IFERROR(0/0,""),preDEL!I54)</f>
        <v/>
      </c>
      <c r="J54" s="105" t="str">
        <f>IF(preDEL!$AG54,IFERROR(0/0,""),preDEL!J54)</f>
        <v/>
      </c>
      <c r="K54" s="105" t="str">
        <f>IF(preDEL!$AG54,IFERROR(0/0,""),preDEL!K54)</f>
        <v>Negative</v>
      </c>
      <c r="L54" s="170">
        <f>IF(preDEL!$AG54,IFERROR(0/0,""),preDEL!L54)</f>
        <v>44557</v>
      </c>
      <c r="M54" s="171">
        <f>IF(preDEL!$AG54,IFERROR(0/0,""),preDEL!M54)</f>
        <v>0.4870949074</v>
      </c>
      <c r="N54" s="112" t="str">
        <f>IF(preDEL!$AG54,IFERROR(0/0,""),preDEL!N54)</f>
        <v/>
      </c>
      <c r="O54" s="112" t="str">
        <f>IF(preDEL!$AG54,IFERROR(0/0,""),preDEL!O54)</f>
        <v/>
      </c>
      <c r="P54" s="110" t="b">
        <f>IF(preDEL!$AG54,IFERROR(0/0,""),preDEL!P54)</f>
        <v>0</v>
      </c>
      <c r="Q54" s="110" t="str">
        <f>IF(preDEL!$AG54,IFERROR(0/0,""),preDEL!Q54)</f>
        <v>Result</v>
      </c>
      <c r="R54" s="104" t="b">
        <f>IF(preDEL!$AG54,IFERROR(0/0,""),preDEL!R54)</f>
        <v>1</v>
      </c>
      <c r="S54" s="104">
        <f>IF(preDEL!$AG54,IFERROR(0/0,""),preDEL!S54)</f>
        <v>1</v>
      </c>
      <c r="T54" s="110" t="str">
        <f>IF(preDEL!$AG54,IFERROR(0/0,""),preDEL!T54)</f>
        <v/>
      </c>
      <c r="U54" s="112" t="str">
        <f>IF(preDEL!$AG54,IFERROR(0/0,""),preDEL!U54)</f>
        <v/>
      </c>
      <c r="V54" s="105" t="str">
        <f>IF(preDEL!$AG54,IFERROR(0/0,""),preDEL!V54)</f>
        <v/>
      </c>
      <c r="W54" s="112" t="str">
        <f>IF(preDEL!$AG54,IFERROR(0/0,""),preDEL!W54)</f>
        <v/>
      </c>
      <c r="X54" s="104" t="b">
        <f>IF(preDEL!$AG54,IFERROR(0/0,""),preDEL!X54)</f>
        <v>0</v>
      </c>
      <c r="Y54" s="110" t="b">
        <f>IF(preDEL!$AG54,IFERROR(0/0,""),preDEL!Y54)</f>
        <v>0</v>
      </c>
      <c r="Z54" s="105" t="str">
        <f>IF(preDEL!$AG54,IFERROR(0/0,""),preDEL!Z54)</f>
        <v/>
      </c>
      <c r="AA54" s="110" t="b">
        <f>IF(preDEL!$AG54,IFERROR(0/0,""),preDEL!AA54)</f>
        <v>0</v>
      </c>
      <c r="AB54" s="110" t="b">
        <f>IF(preDEL!$AG54,IFERROR(0/0,""),preDEL!AB54)</f>
        <v>0</v>
      </c>
      <c r="AC54" s="172">
        <f>IF(preDEL!$AG54,IFERROR(0/0,""),preDEL!AC54)</f>
        <v>735</v>
      </c>
      <c r="AD54" s="104" t="b">
        <f>IF(preDEL!$AG54,IFERROR(0/0,""),preDEL!AD54)</f>
        <v>0</v>
      </c>
      <c r="AE54" s="173">
        <f>IF(preDEL!$AG54,IFERROR(0/0,""),preDEL!AE54)</f>
        <v>229.75</v>
      </c>
      <c r="AF54" s="110" t="b">
        <f>IF(preDEL!$AG54,IFERROR(0/0,""),preDEL!AF54)</f>
        <v>0</v>
      </c>
      <c r="AG54" s="110" t="b">
        <f>IF(preDEL!$AG54,IFERROR(0/0,""),preDEL!AG54)</f>
        <v>0</v>
      </c>
      <c r="AH54" s="104" t="str">
        <f>IF(preDEL!$AG54,IFERROR(0/0,""),preDEL!AH54)</f>
        <v/>
      </c>
      <c r="AI54" s="105" t="str">
        <f>IF(preDEL!$AG54,IFERROR(0/0,""),preDEL!AI54)</f>
        <v/>
      </c>
      <c r="AJ54" s="112" t="str">
        <f>IF(preDEL!$AG54,IFERROR(0/0,""),preDEL!AJ54)</f>
        <v/>
      </c>
      <c r="AK54" s="105" t="str">
        <f>IF(preDEL!$AG54,IFERROR(0/0,""),preDEL!AK54)</f>
        <v>Negative</v>
      </c>
      <c r="AL54" s="112" t="str">
        <f>IF(preDEL!$AG54,IFERROR(0/0,""),preDEL!AL54)</f>
        <v/>
      </c>
      <c r="AM54" s="112" t="str">
        <f>IF(preDEL!$AG54,IFERROR(0/0,""),preDEL!AM54)</f>
        <v>SpBEND767550</v>
      </c>
      <c r="AN54" s="112" t="str">
        <f>IF(preDEL!$AG54,IFERROR(0/0,""),preDEL!AN54)</f>
        <v>BEND245933</v>
      </c>
      <c r="AO54" s="112" t="str">
        <f>IF(preDEL!$AG54,IFERROR(0/0,""),preDEL!AO54)</f>
        <v/>
      </c>
      <c r="AP54" s="112" t="str">
        <f>IF(preDEL!$AG54,IFERROR(0/0,""),preDEL!AP54)</f>
        <v/>
      </c>
      <c r="AQ54" s="112" t="str">
        <f>IF(preDEL!$AG54,IFERROR(0/0,""),preDEL!AQ54)</f>
        <v/>
      </c>
      <c r="AR54" s="112" t="str">
        <f>IF(preDEL!$AG54,IFERROR(0/0,""),preDEL!AR54)</f>
        <v/>
      </c>
      <c r="AS54" s="112" t="str">
        <f>IF(preDEL!$AG54,IFERROR(0/0,""),preDEL!AS54)</f>
        <v/>
      </c>
      <c r="AT54" s="112" t="b">
        <f>IF(preDEL!$AG54,IFERROR(0/0,""),preDEL!AT54)</f>
        <v>0</v>
      </c>
      <c r="AU54" s="112" t="str">
        <f>IF(preDEL!$AG54,IFERROR(0/0,""),preDEL!AU54)</f>
        <v/>
      </c>
      <c r="AV54" s="112" t="str">
        <f>IF(preDEL!$AG54,IFERROR(0/0,""),preDEL!AV54)</f>
        <v/>
      </c>
      <c r="AW54" s="112" t="str">
        <f>IF(preDEL!$AG54,IFERROR(0/0,""),preDEL!AW54)</f>
        <v/>
      </c>
      <c r="AX54" s="112" t="str">
        <f>IF(preDEL!$AG54,IFERROR(0/0,""),preDEL!AX54)</f>
        <v/>
      </c>
      <c r="AY54" s="112" t="str">
        <f>IF(preDEL!$AG54,IFERROR(0/0,""),preDEL!AY54)</f>
        <v/>
      </c>
      <c r="AZ54" s="174"/>
      <c r="BA54" s="174"/>
      <c r="BB54" s="174"/>
      <c r="BC54" s="174"/>
      <c r="BD54" s="174"/>
      <c r="BE54" s="174"/>
      <c r="BF54" s="174"/>
      <c r="BG54" s="174"/>
      <c r="BH54" s="174"/>
      <c r="BI54" s="174"/>
      <c r="BJ54" s="174"/>
      <c r="BK54" s="174"/>
      <c r="BL54" s="174"/>
      <c r="BM54" s="174"/>
      <c r="BN54" s="174"/>
      <c r="BO54" s="174"/>
      <c r="BP54" s="174"/>
      <c r="BQ54" s="174"/>
      <c r="BR54" s="174"/>
      <c r="BS54" s="174"/>
      <c r="BT54" s="174"/>
      <c r="BU54" s="174"/>
      <c r="BV54" s="174"/>
      <c r="BW54" s="174"/>
      <c r="BX54" s="174"/>
      <c r="BY54" s="174"/>
      <c r="BZ54" s="174"/>
      <c r="CA54" s="174"/>
      <c r="CB54" s="174"/>
      <c r="CC54" s="174"/>
      <c r="CD54" s="174"/>
    </row>
    <row r="55">
      <c r="A55" s="105" t="str">
        <f>IF(preDEL!$AG55,IFERROR(0/0,""),preDEL!A55)</f>
        <v>MA307</v>
      </c>
      <c r="B55" s="170">
        <f>IF(preDEL!$AG55,IFERROR(0/0,""),preDEL!B55)</f>
        <v>44557</v>
      </c>
      <c r="C55" s="171">
        <f>IF(preDEL!$AG55,IFERROR(0/0,""),preDEL!C55)</f>
        <v>0.3289351852</v>
      </c>
      <c r="D55" s="105" t="str">
        <f>IF(preDEL!$AG55,IFERROR(0/0,""),preDEL!D55)</f>
        <v/>
      </c>
      <c r="E55" s="105" t="str">
        <f>IF(preDEL!$AG55,IFERROR(0/0,""),preDEL!E55)</f>
        <v/>
      </c>
      <c r="F55" s="112" t="str">
        <f>IF(preDEL!$AG55,IFERROR(0/0,""),preDEL!F55)</f>
        <v/>
      </c>
      <c r="G55" s="112" t="str">
        <f>IF(preDEL!$AG55,IFERROR(0/0,""),preDEL!G55)</f>
        <v/>
      </c>
      <c r="H55" s="112" t="str">
        <f>IF(preDEL!$AG55,IFERROR(0/0,""),preDEL!H55)</f>
        <v/>
      </c>
      <c r="I55" s="105" t="str">
        <f>IF(preDEL!$AG55,IFERROR(0/0,""),preDEL!I55)</f>
        <v/>
      </c>
      <c r="J55" s="105" t="str">
        <f>IF(preDEL!$AG55,IFERROR(0/0,""),preDEL!J55)</f>
        <v/>
      </c>
      <c r="K55" s="105" t="str">
        <f>IF(preDEL!$AG55,IFERROR(0/0,""),preDEL!K55)</f>
        <v>Negative</v>
      </c>
      <c r="L55" s="170">
        <f>IF(preDEL!$AG55,IFERROR(0/0,""),preDEL!L55)</f>
        <v>44557</v>
      </c>
      <c r="M55" s="171">
        <f>IF(preDEL!$AG55,IFERROR(0/0,""),preDEL!M55)</f>
        <v>0.4870949074</v>
      </c>
      <c r="N55" s="112" t="str">
        <f>IF(preDEL!$AG55,IFERROR(0/0,""),preDEL!N55)</f>
        <v/>
      </c>
      <c r="O55" s="112" t="str">
        <f>IF(preDEL!$AG55,IFERROR(0/0,""),preDEL!O55)</f>
        <v/>
      </c>
      <c r="P55" s="110" t="b">
        <f>IF(preDEL!$AG55,IFERROR(0/0,""),preDEL!P55)</f>
        <v>0</v>
      </c>
      <c r="Q55" s="110" t="str">
        <f>IF(preDEL!$AG55,IFERROR(0/0,""),preDEL!Q55)</f>
        <v>Result</v>
      </c>
      <c r="R55" s="104" t="b">
        <f>IF(preDEL!$AG55,IFERROR(0/0,""),preDEL!R55)</f>
        <v>1</v>
      </c>
      <c r="S55" s="104">
        <f>IF(preDEL!$AG55,IFERROR(0/0,""),preDEL!S55)</f>
        <v>1</v>
      </c>
      <c r="T55" s="110" t="str">
        <f>IF(preDEL!$AG55,IFERROR(0/0,""),preDEL!T55)</f>
        <v/>
      </c>
      <c r="U55" s="112" t="str">
        <f>IF(preDEL!$AG55,IFERROR(0/0,""),preDEL!U55)</f>
        <v/>
      </c>
      <c r="V55" s="105" t="str">
        <f>IF(preDEL!$AG55,IFERROR(0/0,""),preDEL!V55)</f>
        <v/>
      </c>
      <c r="W55" s="112" t="str">
        <f>IF(preDEL!$AG55,IFERROR(0/0,""),preDEL!W55)</f>
        <v/>
      </c>
      <c r="X55" s="104" t="b">
        <f>IF(preDEL!$AG55,IFERROR(0/0,""),preDEL!X55)</f>
        <v>0</v>
      </c>
      <c r="Y55" s="110" t="b">
        <f>IF(preDEL!$AG55,IFERROR(0/0,""),preDEL!Y55)</f>
        <v>0</v>
      </c>
      <c r="Z55" s="105" t="str">
        <f>IF(preDEL!$AG55,IFERROR(0/0,""),preDEL!Z55)</f>
        <v/>
      </c>
      <c r="AA55" s="110" t="b">
        <f>IF(preDEL!$AG55,IFERROR(0/0,""),preDEL!AA55)</f>
        <v>0</v>
      </c>
      <c r="AB55" s="110" t="b">
        <f>IF(preDEL!$AG55,IFERROR(0/0,""),preDEL!AB55)</f>
        <v>0</v>
      </c>
      <c r="AC55" s="172">
        <f>IF(preDEL!$AG55,IFERROR(0/0,""),preDEL!AC55)</f>
        <v>734</v>
      </c>
      <c r="AD55" s="104" t="b">
        <f>IF(preDEL!$AG55,IFERROR(0/0,""),preDEL!AD55)</f>
        <v>0</v>
      </c>
      <c r="AE55" s="173">
        <f>IF(preDEL!$AG55,IFERROR(0/0,""),preDEL!AE55)</f>
        <v>227.75</v>
      </c>
      <c r="AF55" s="110" t="b">
        <f>IF(preDEL!$AG55,IFERROR(0/0,""),preDEL!AF55)</f>
        <v>0</v>
      </c>
      <c r="AG55" s="110" t="b">
        <f>IF(preDEL!$AG55,IFERROR(0/0,""),preDEL!AG55)</f>
        <v>0</v>
      </c>
      <c r="AH55" s="104" t="str">
        <f>IF(preDEL!$AG55,IFERROR(0/0,""),preDEL!AH55)</f>
        <v/>
      </c>
      <c r="AI55" s="105" t="str">
        <f>IF(preDEL!$AG55,IFERROR(0/0,""),preDEL!AI55)</f>
        <v/>
      </c>
      <c r="AJ55" s="112" t="str">
        <f>IF(preDEL!$AG55,IFERROR(0/0,""),preDEL!AJ55)</f>
        <v/>
      </c>
      <c r="AK55" s="105" t="str">
        <f>IF(preDEL!$AG55,IFERROR(0/0,""),preDEL!AK55)</f>
        <v>Negative</v>
      </c>
      <c r="AL55" s="112" t="str">
        <f>IF(preDEL!$AG55,IFERROR(0/0,""),preDEL!AL55)</f>
        <v/>
      </c>
      <c r="AM55" s="112" t="str">
        <f>IF(preDEL!$AG55,IFERROR(0/0,""),preDEL!AM55)</f>
        <v>SpBEND982195</v>
      </c>
      <c r="AN55" s="112" t="str">
        <f>IF(preDEL!$AG55,IFERROR(0/0,""),preDEL!AN55)</f>
        <v>BEND601742</v>
      </c>
      <c r="AO55" s="112" t="str">
        <f>IF(preDEL!$AG55,IFERROR(0/0,""),preDEL!AO55)</f>
        <v/>
      </c>
      <c r="AP55" s="112" t="str">
        <f>IF(preDEL!$AG55,IFERROR(0/0,""),preDEL!AP55)</f>
        <v/>
      </c>
      <c r="AQ55" s="112" t="str">
        <f>IF(preDEL!$AG55,IFERROR(0/0,""),preDEL!AQ55)</f>
        <v/>
      </c>
      <c r="AR55" s="112" t="str">
        <f>IF(preDEL!$AG55,IFERROR(0/0,""),preDEL!AR55)</f>
        <v/>
      </c>
      <c r="AS55" s="112" t="str">
        <f>IF(preDEL!$AG55,IFERROR(0/0,""),preDEL!AS55)</f>
        <v/>
      </c>
      <c r="AT55" s="112" t="b">
        <f>IF(preDEL!$AG55,IFERROR(0/0,""),preDEL!AT55)</f>
        <v>0</v>
      </c>
      <c r="AU55" s="112" t="str">
        <f>IF(preDEL!$AG55,IFERROR(0/0,""),preDEL!AU55)</f>
        <v/>
      </c>
      <c r="AV55" s="112" t="str">
        <f>IF(preDEL!$AG55,IFERROR(0/0,""),preDEL!AV55)</f>
        <v/>
      </c>
      <c r="AW55" s="112" t="str">
        <f>IF(preDEL!$AG55,IFERROR(0/0,""),preDEL!AW55)</f>
        <v/>
      </c>
      <c r="AX55" s="112" t="str">
        <f>IF(preDEL!$AG55,IFERROR(0/0,""),preDEL!AX55)</f>
        <v/>
      </c>
      <c r="AY55" s="112" t="str">
        <f>IF(preDEL!$AG55,IFERROR(0/0,""),preDEL!AY55)</f>
        <v/>
      </c>
      <c r="AZ55" s="174"/>
      <c r="BA55" s="174"/>
      <c r="BB55" s="174"/>
      <c r="BC55" s="174"/>
      <c r="BD55" s="174"/>
      <c r="BE55" s="174"/>
      <c r="BF55" s="174"/>
      <c r="BG55" s="174"/>
      <c r="BH55" s="174"/>
      <c r="BI55" s="174"/>
      <c r="BJ55" s="174"/>
      <c r="BK55" s="174"/>
      <c r="BL55" s="174"/>
      <c r="BM55" s="174"/>
      <c r="BN55" s="174"/>
      <c r="BO55" s="174"/>
      <c r="BP55" s="174"/>
      <c r="BQ55" s="174"/>
      <c r="BR55" s="174"/>
      <c r="BS55" s="174"/>
      <c r="BT55" s="174"/>
      <c r="BU55" s="174"/>
      <c r="BV55" s="174"/>
      <c r="BW55" s="174"/>
      <c r="BX55" s="174"/>
      <c r="BY55" s="174"/>
      <c r="BZ55" s="174"/>
      <c r="CA55" s="174"/>
      <c r="CB55" s="174"/>
      <c r="CC55" s="174"/>
      <c r="CD55" s="174"/>
    </row>
    <row r="56">
      <c r="A56" s="105" t="str">
        <f>IF(preDEL!$AG56,IFERROR(0/0,""),preDEL!A56)</f>
        <v>MA609</v>
      </c>
      <c r="B56" s="170">
        <f>IF(preDEL!$AG56,IFERROR(0/0,""),preDEL!B56)</f>
        <v>44557</v>
      </c>
      <c r="C56" s="171">
        <f>IF(preDEL!$AG56,IFERROR(0/0,""),preDEL!C56)</f>
        <v>0.3337037037</v>
      </c>
      <c r="D56" s="105" t="str">
        <f>IF(preDEL!$AG56,IFERROR(0/0,""),preDEL!D56)</f>
        <v/>
      </c>
      <c r="E56" s="105" t="str">
        <f>IF(preDEL!$AG56,IFERROR(0/0,""),preDEL!E56)</f>
        <v/>
      </c>
      <c r="F56" s="112" t="str">
        <f>IF(preDEL!$AG56,IFERROR(0/0,""),preDEL!F56)</f>
        <v/>
      </c>
      <c r="G56" s="112" t="str">
        <f>IF(preDEL!$AG56,IFERROR(0/0,""),preDEL!G56)</f>
        <v/>
      </c>
      <c r="H56" s="112" t="str">
        <f>IF(preDEL!$AG56,IFERROR(0/0,""),preDEL!H56)</f>
        <v/>
      </c>
      <c r="I56" s="105" t="str">
        <f>IF(preDEL!$AG56,IFERROR(0/0,""),preDEL!I56)</f>
        <v/>
      </c>
      <c r="J56" s="105" t="str">
        <f>IF(preDEL!$AG56,IFERROR(0/0,""),preDEL!J56)</f>
        <v/>
      </c>
      <c r="K56" s="105" t="str">
        <f>IF(preDEL!$AG56,IFERROR(0/0,""),preDEL!K56)</f>
        <v>Negative</v>
      </c>
      <c r="L56" s="170">
        <f>IF(preDEL!$AG56,IFERROR(0/0,""),preDEL!L56)</f>
        <v>44557</v>
      </c>
      <c r="M56" s="171">
        <f>IF(preDEL!$AG56,IFERROR(0/0,""),preDEL!M56)</f>
        <v>0.4870949074</v>
      </c>
      <c r="N56" s="112" t="str">
        <f>IF(preDEL!$AG56,IFERROR(0/0,""),preDEL!N56)</f>
        <v/>
      </c>
      <c r="O56" s="112" t="str">
        <f>IF(preDEL!$AG56,IFERROR(0/0,""),preDEL!O56)</f>
        <v/>
      </c>
      <c r="P56" s="110" t="b">
        <f>IF(preDEL!$AG56,IFERROR(0/0,""),preDEL!P56)</f>
        <v>0</v>
      </c>
      <c r="Q56" s="110" t="str">
        <f>IF(preDEL!$AG56,IFERROR(0/0,""),preDEL!Q56)</f>
        <v>Result</v>
      </c>
      <c r="R56" s="104" t="b">
        <f>IF(preDEL!$AG56,IFERROR(0/0,""),preDEL!R56)</f>
        <v>1</v>
      </c>
      <c r="S56" s="104">
        <f>IF(preDEL!$AG56,IFERROR(0/0,""),preDEL!S56)</f>
        <v>1</v>
      </c>
      <c r="T56" s="110" t="str">
        <f>IF(preDEL!$AG56,IFERROR(0/0,""),preDEL!T56)</f>
        <v/>
      </c>
      <c r="U56" s="112" t="str">
        <f>IF(preDEL!$AG56,IFERROR(0/0,""),preDEL!U56)</f>
        <v/>
      </c>
      <c r="V56" s="105" t="str">
        <f>IF(preDEL!$AG56,IFERROR(0/0,""),preDEL!V56)</f>
        <v/>
      </c>
      <c r="W56" s="112" t="str">
        <f>IF(preDEL!$AG56,IFERROR(0/0,""),preDEL!W56)</f>
        <v/>
      </c>
      <c r="X56" s="104" t="b">
        <f>IF(preDEL!$AG56,IFERROR(0/0,""),preDEL!X56)</f>
        <v>0</v>
      </c>
      <c r="Y56" s="110" t="b">
        <f>IF(preDEL!$AG56,IFERROR(0/0,""),preDEL!Y56)</f>
        <v>0</v>
      </c>
      <c r="Z56" s="105" t="str">
        <f>IF(preDEL!$AG56,IFERROR(0/0,""),preDEL!Z56)</f>
        <v/>
      </c>
      <c r="AA56" s="110" t="b">
        <f>IF(preDEL!$AG56,IFERROR(0/0,""),preDEL!AA56)</f>
        <v>0</v>
      </c>
      <c r="AB56" s="110" t="b">
        <f>IF(preDEL!$AG56,IFERROR(0/0,""),preDEL!AB56)</f>
        <v>0</v>
      </c>
      <c r="AC56" s="172">
        <f>IF(preDEL!$AG56,IFERROR(0/0,""),preDEL!AC56)</f>
        <v>733</v>
      </c>
      <c r="AD56" s="104" t="b">
        <f>IF(preDEL!$AG56,IFERROR(0/0,""),preDEL!AD56)</f>
        <v>0</v>
      </c>
      <c r="AE56" s="173">
        <f>IF(preDEL!$AG56,IFERROR(0/0,""),preDEL!AE56)</f>
        <v>220.8833333</v>
      </c>
      <c r="AF56" s="110" t="b">
        <f>IF(preDEL!$AG56,IFERROR(0/0,""),preDEL!AF56)</f>
        <v>0</v>
      </c>
      <c r="AG56" s="110" t="b">
        <f>IF(preDEL!$AG56,IFERROR(0/0,""),preDEL!AG56)</f>
        <v>0</v>
      </c>
      <c r="AH56" s="104" t="str">
        <f>IF(preDEL!$AG56,IFERROR(0/0,""),preDEL!AH56)</f>
        <v/>
      </c>
      <c r="AI56" s="105" t="str">
        <f>IF(preDEL!$AG56,IFERROR(0/0,""),preDEL!AI56)</f>
        <v/>
      </c>
      <c r="AJ56" s="112" t="str">
        <f>IF(preDEL!$AG56,IFERROR(0/0,""),preDEL!AJ56)</f>
        <v/>
      </c>
      <c r="AK56" s="105" t="str">
        <f>IF(preDEL!$AG56,IFERROR(0/0,""),preDEL!AK56)</f>
        <v>Negative</v>
      </c>
      <c r="AL56" s="112" t="str">
        <f>IF(preDEL!$AG56,IFERROR(0/0,""),preDEL!AL56)</f>
        <v/>
      </c>
      <c r="AM56" s="112" t="str">
        <f>IF(preDEL!$AG56,IFERROR(0/0,""),preDEL!AM56)</f>
        <v>SpBEND643855</v>
      </c>
      <c r="AN56" s="112" t="str">
        <f>IF(preDEL!$AG56,IFERROR(0/0,""),preDEL!AN56)</f>
        <v>BEND364074</v>
      </c>
      <c r="AO56" s="112" t="str">
        <f>IF(preDEL!$AG56,IFERROR(0/0,""),preDEL!AO56)</f>
        <v/>
      </c>
      <c r="AP56" s="112" t="str">
        <f>IF(preDEL!$AG56,IFERROR(0/0,""),preDEL!AP56)</f>
        <v/>
      </c>
      <c r="AQ56" s="112" t="str">
        <f>IF(preDEL!$AG56,IFERROR(0/0,""),preDEL!AQ56)</f>
        <v/>
      </c>
      <c r="AR56" s="112" t="str">
        <f>IF(preDEL!$AG56,IFERROR(0/0,""),preDEL!AR56)</f>
        <v/>
      </c>
      <c r="AS56" s="112" t="str">
        <f>IF(preDEL!$AG56,IFERROR(0/0,""),preDEL!AS56)</f>
        <v/>
      </c>
      <c r="AT56" s="112" t="b">
        <f>IF(preDEL!$AG56,IFERROR(0/0,""),preDEL!AT56)</f>
        <v>0</v>
      </c>
      <c r="AU56" s="112" t="str">
        <f>IF(preDEL!$AG56,IFERROR(0/0,""),preDEL!AU56)</f>
        <v/>
      </c>
      <c r="AV56" s="112" t="str">
        <f>IF(preDEL!$AG56,IFERROR(0/0,""),preDEL!AV56)</f>
        <v/>
      </c>
      <c r="AW56" s="112" t="str">
        <f>IF(preDEL!$AG56,IFERROR(0/0,""),preDEL!AW56)</f>
        <v/>
      </c>
      <c r="AX56" s="112" t="str">
        <f>IF(preDEL!$AG56,IFERROR(0/0,""),preDEL!AX56)</f>
        <v/>
      </c>
      <c r="AY56" s="112" t="str">
        <f>IF(preDEL!$AG56,IFERROR(0/0,""),preDEL!AY56)</f>
        <v/>
      </c>
      <c r="AZ56" s="174"/>
      <c r="BA56" s="174"/>
      <c r="BB56" s="174"/>
      <c r="BC56" s="174"/>
      <c r="BD56" s="174"/>
      <c r="BE56" s="174"/>
      <c r="BF56" s="174"/>
      <c r="BG56" s="174"/>
      <c r="BH56" s="174"/>
      <c r="BI56" s="174"/>
      <c r="BJ56" s="174"/>
      <c r="BK56" s="174"/>
      <c r="BL56" s="174"/>
      <c r="BM56" s="174"/>
      <c r="BN56" s="174"/>
      <c r="BO56" s="174"/>
      <c r="BP56" s="174"/>
      <c r="BQ56" s="174"/>
      <c r="BR56" s="174"/>
      <c r="BS56" s="174"/>
      <c r="BT56" s="174"/>
      <c r="BU56" s="174"/>
      <c r="BV56" s="174"/>
      <c r="BW56" s="174"/>
      <c r="BX56" s="174"/>
      <c r="BY56" s="174"/>
      <c r="BZ56" s="174"/>
      <c r="CA56" s="174"/>
      <c r="CB56" s="174"/>
      <c r="CC56" s="174"/>
      <c r="CD56" s="174"/>
    </row>
    <row r="57">
      <c r="A57" s="105" t="str">
        <f>IF(preDEL!$AG57,IFERROR(0/0,""),preDEL!A57)</f>
        <v>MA603</v>
      </c>
      <c r="B57" s="170">
        <f>IF(preDEL!$AG57,IFERROR(0/0,""),preDEL!B57)</f>
        <v>44557</v>
      </c>
      <c r="C57" s="171">
        <f>IF(preDEL!$AG57,IFERROR(0/0,""),preDEL!C57)</f>
        <v>0.3368865741</v>
      </c>
      <c r="D57" s="105" t="str">
        <f>IF(preDEL!$AG57,IFERROR(0/0,""),preDEL!D57)</f>
        <v/>
      </c>
      <c r="E57" s="105" t="str">
        <f>IF(preDEL!$AG57,IFERROR(0/0,""),preDEL!E57)</f>
        <v/>
      </c>
      <c r="F57" s="112" t="str">
        <f>IF(preDEL!$AG57,IFERROR(0/0,""),preDEL!F57)</f>
        <v/>
      </c>
      <c r="G57" s="112" t="str">
        <f>IF(preDEL!$AG57,IFERROR(0/0,""),preDEL!G57)</f>
        <v/>
      </c>
      <c r="H57" s="112" t="str">
        <f>IF(preDEL!$AG57,IFERROR(0/0,""),preDEL!H57)</f>
        <v/>
      </c>
      <c r="I57" s="105" t="str">
        <f>IF(preDEL!$AG57,IFERROR(0/0,""),preDEL!I57)</f>
        <v/>
      </c>
      <c r="J57" s="105" t="str">
        <f>IF(preDEL!$AG57,IFERROR(0/0,""),preDEL!J57)</f>
        <v/>
      </c>
      <c r="K57" s="105" t="str">
        <f>IF(preDEL!$AG57,IFERROR(0/0,""),preDEL!K57)</f>
        <v>Negative</v>
      </c>
      <c r="L57" s="170">
        <f>IF(preDEL!$AG57,IFERROR(0/0,""),preDEL!L57)</f>
        <v>44557</v>
      </c>
      <c r="M57" s="171">
        <f>IF(preDEL!$AG57,IFERROR(0/0,""),preDEL!M57)</f>
        <v>0.4870949074</v>
      </c>
      <c r="N57" s="112" t="str">
        <f>IF(preDEL!$AG57,IFERROR(0/0,""),preDEL!N57)</f>
        <v/>
      </c>
      <c r="O57" s="112" t="str">
        <f>IF(preDEL!$AG57,IFERROR(0/0,""),preDEL!O57)</f>
        <v/>
      </c>
      <c r="P57" s="110" t="b">
        <f>IF(preDEL!$AG57,IFERROR(0/0,""),preDEL!P57)</f>
        <v>0</v>
      </c>
      <c r="Q57" s="110" t="str">
        <f>IF(preDEL!$AG57,IFERROR(0/0,""),preDEL!Q57)</f>
        <v>Result</v>
      </c>
      <c r="R57" s="104" t="b">
        <f>IF(preDEL!$AG57,IFERROR(0/0,""),preDEL!R57)</f>
        <v>1</v>
      </c>
      <c r="S57" s="104">
        <f>IF(preDEL!$AG57,IFERROR(0/0,""),preDEL!S57)</f>
        <v>1</v>
      </c>
      <c r="T57" s="110" t="str">
        <f>IF(preDEL!$AG57,IFERROR(0/0,""),preDEL!T57)</f>
        <v/>
      </c>
      <c r="U57" s="112" t="str">
        <f>IF(preDEL!$AG57,IFERROR(0/0,""),preDEL!U57)</f>
        <v/>
      </c>
      <c r="V57" s="105" t="str">
        <f>IF(preDEL!$AG57,IFERROR(0/0,""),preDEL!V57)</f>
        <v/>
      </c>
      <c r="W57" s="112" t="str">
        <f>IF(preDEL!$AG57,IFERROR(0/0,""),preDEL!W57)</f>
        <v/>
      </c>
      <c r="X57" s="104" t="b">
        <f>IF(preDEL!$AG57,IFERROR(0/0,""),preDEL!X57)</f>
        <v>0</v>
      </c>
      <c r="Y57" s="110" t="b">
        <f>IF(preDEL!$AG57,IFERROR(0/0,""),preDEL!Y57)</f>
        <v>0</v>
      </c>
      <c r="Z57" s="105" t="str">
        <f>IF(preDEL!$AG57,IFERROR(0/0,""),preDEL!Z57)</f>
        <v/>
      </c>
      <c r="AA57" s="110" t="b">
        <f>IF(preDEL!$AG57,IFERROR(0/0,""),preDEL!AA57)</f>
        <v>0</v>
      </c>
      <c r="AB57" s="110" t="b">
        <f>IF(preDEL!$AG57,IFERROR(0/0,""),preDEL!AB57)</f>
        <v>0</v>
      </c>
      <c r="AC57" s="172">
        <f>IF(preDEL!$AG57,IFERROR(0/0,""),preDEL!AC57)</f>
        <v>732</v>
      </c>
      <c r="AD57" s="104" t="b">
        <f>IF(preDEL!$AG57,IFERROR(0/0,""),preDEL!AD57)</f>
        <v>0</v>
      </c>
      <c r="AE57" s="173">
        <f>IF(preDEL!$AG57,IFERROR(0/0,""),preDEL!AE57)</f>
        <v>216.3</v>
      </c>
      <c r="AF57" s="110" t="b">
        <f>IF(preDEL!$AG57,IFERROR(0/0,""),preDEL!AF57)</f>
        <v>0</v>
      </c>
      <c r="AG57" s="110" t="b">
        <f>IF(preDEL!$AG57,IFERROR(0/0,""),preDEL!AG57)</f>
        <v>0</v>
      </c>
      <c r="AH57" s="104" t="str">
        <f>IF(preDEL!$AG57,IFERROR(0/0,""),preDEL!AH57)</f>
        <v/>
      </c>
      <c r="AI57" s="105" t="str">
        <f>IF(preDEL!$AG57,IFERROR(0/0,""),preDEL!AI57)</f>
        <v/>
      </c>
      <c r="AJ57" s="112" t="str">
        <f>IF(preDEL!$AG57,IFERROR(0/0,""),preDEL!AJ57)</f>
        <v/>
      </c>
      <c r="AK57" s="105" t="str">
        <f>IF(preDEL!$AG57,IFERROR(0/0,""),preDEL!AK57)</f>
        <v>Negative</v>
      </c>
      <c r="AL57" s="112" t="str">
        <f>IF(preDEL!$AG57,IFERROR(0/0,""),preDEL!AL57)</f>
        <v/>
      </c>
      <c r="AM57" s="112" t="str">
        <f>IF(preDEL!$AG57,IFERROR(0/0,""),preDEL!AM57)</f>
        <v>SpBEND139600</v>
      </c>
      <c r="AN57" s="112" t="str">
        <f>IF(preDEL!$AG57,IFERROR(0/0,""),preDEL!AN57)</f>
        <v>BEND133778</v>
      </c>
      <c r="AO57" s="112" t="str">
        <f>IF(preDEL!$AG57,IFERROR(0/0,""),preDEL!AO57)</f>
        <v/>
      </c>
      <c r="AP57" s="112" t="str">
        <f>IF(preDEL!$AG57,IFERROR(0/0,""),preDEL!AP57)</f>
        <v/>
      </c>
      <c r="AQ57" s="112" t="str">
        <f>IF(preDEL!$AG57,IFERROR(0/0,""),preDEL!AQ57)</f>
        <v/>
      </c>
      <c r="AR57" s="112" t="str">
        <f>IF(preDEL!$AG57,IFERROR(0/0,""),preDEL!AR57)</f>
        <v/>
      </c>
      <c r="AS57" s="112" t="str">
        <f>IF(preDEL!$AG57,IFERROR(0/0,""),preDEL!AS57)</f>
        <v/>
      </c>
      <c r="AT57" s="112" t="b">
        <f>IF(preDEL!$AG57,IFERROR(0/0,""),preDEL!AT57)</f>
        <v>0</v>
      </c>
      <c r="AU57" s="112" t="str">
        <f>IF(preDEL!$AG57,IFERROR(0/0,""),preDEL!AU57)</f>
        <v/>
      </c>
      <c r="AV57" s="112" t="str">
        <f>IF(preDEL!$AG57,IFERROR(0/0,""),preDEL!AV57)</f>
        <v/>
      </c>
      <c r="AW57" s="112" t="str">
        <f>IF(preDEL!$AG57,IFERROR(0/0,""),preDEL!AW57)</f>
        <v/>
      </c>
      <c r="AX57" s="112" t="str">
        <f>IF(preDEL!$AG57,IFERROR(0/0,""),preDEL!AX57)</f>
        <v/>
      </c>
      <c r="AY57" s="112" t="str">
        <f>IF(preDEL!$AG57,IFERROR(0/0,""),preDEL!AY57)</f>
        <v/>
      </c>
      <c r="AZ57" s="174"/>
      <c r="BA57" s="174"/>
      <c r="BB57" s="174"/>
      <c r="BC57" s="174"/>
      <c r="BD57" s="174"/>
      <c r="BE57" s="174"/>
      <c r="BF57" s="174"/>
      <c r="BG57" s="174"/>
      <c r="BH57" s="174"/>
      <c r="BI57" s="174"/>
      <c r="BJ57" s="174"/>
      <c r="BK57" s="174"/>
      <c r="BL57" s="174"/>
      <c r="BM57" s="174"/>
      <c r="BN57" s="174"/>
      <c r="BO57" s="174"/>
      <c r="BP57" s="174"/>
      <c r="BQ57" s="174"/>
      <c r="BR57" s="174"/>
      <c r="BS57" s="174"/>
      <c r="BT57" s="174"/>
      <c r="BU57" s="174"/>
      <c r="BV57" s="174"/>
      <c r="BW57" s="174"/>
      <c r="BX57" s="174"/>
      <c r="BY57" s="174"/>
      <c r="BZ57" s="174"/>
      <c r="CA57" s="174"/>
      <c r="CB57" s="174"/>
      <c r="CC57" s="174"/>
      <c r="CD57" s="174"/>
    </row>
    <row r="58">
      <c r="A58" s="105" t="str">
        <f>IF(preDEL!$AG58,IFERROR(0/0,""),preDEL!A58)</f>
        <v>MAX55</v>
      </c>
      <c r="B58" s="170">
        <f>IF(preDEL!$AG58,IFERROR(0/0,""),preDEL!B58)</f>
        <v>44557</v>
      </c>
      <c r="C58" s="171">
        <f>IF(preDEL!$AG58,IFERROR(0/0,""),preDEL!C58)</f>
        <v>0.3406828704</v>
      </c>
      <c r="D58" s="105" t="str">
        <f>IF(preDEL!$AG58,IFERROR(0/0,""),preDEL!D58)</f>
        <v/>
      </c>
      <c r="E58" s="105" t="str">
        <f>IF(preDEL!$AG58,IFERROR(0/0,""),preDEL!E58)</f>
        <v/>
      </c>
      <c r="F58" s="112" t="str">
        <f>IF(preDEL!$AG58,IFERROR(0/0,""),preDEL!F58)</f>
        <v/>
      </c>
      <c r="G58" s="112" t="str">
        <f>IF(preDEL!$AG58,IFERROR(0/0,""),preDEL!G58)</f>
        <v/>
      </c>
      <c r="H58" s="112" t="str">
        <f>IF(preDEL!$AG58,IFERROR(0/0,""),preDEL!H58)</f>
        <v/>
      </c>
      <c r="I58" s="105" t="str">
        <f>IF(preDEL!$AG58,IFERROR(0/0,""),preDEL!I58)</f>
        <v/>
      </c>
      <c r="J58" s="105" t="str">
        <f>IF(preDEL!$AG58,IFERROR(0/0,""),preDEL!J58)</f>
        <v/>
      </c>
      <c r="K58" s="105" t="str">
        <f>IF(preDEL!$AG58,IFERROR(0/0,""),preDEL!K58)</f>
        <v>Negative</v>
      </c>
      <c r="L58" s="170">
        <f>IF(preDEL!$AG58,IFERROR(0/0,""),preDEL!L58)</f>
        <v>44557</v>
      </c>
      <c r="M58" s="171">
        <f>IF(preDEL!$AG58,IFERROR(0/0,""),preDEL!M58)</f>
        <v>0.4870949074</v>
      </c>
      <c r="N58" s="112" t="str">
        <f>IF(preDEL!$AG58,IFERROR(0/0,""),preDEL!N58)</f>
        <v/>
      </c>
      <c r="O58" s="112" t="str">
        <f>IF(preDEL!$AG58,IFERROR(0/0,""),preDEL!O58)</f>
        <v/>
      </c>
      <c r="P58" s="110" t="b">
        <f>IF(preDEL!$AG58,IFERROR(0/0,""),preDEL!P58)</f>
        <v>0</v>
      </c>
      <c r="Q58" s="110" t="str">
        <f>IF(preDEL!$AG58,IFERROR(0/0,""),preDEL!Q58)</f>
        <v>Result</v>
      </c>
      <c r="R58" s="104" t="b">
        <f>IF(preDEL!$AG58,IFERROR(0/0,""),preDEL!R58)</f>
        <v>1</v>
      </c>
      <c r="S58" s="104">
        <f>IF(preDEL!$AG58,IFERROR(0/0,""),preDEL!S58)</f>
        <v>1</v>
      </c>
      <c r="T58" s="110" t="str">
        <f>IF(preDEL!$AG58,IFERROR(0/0,""),preDEL!T58)</f>
        <v/>
      </c>
      <c r="U58" s="112" t="str">
        <f>IF(preDEL!$AG58,IFERROR(0/0,""),preDEL!U58)</f>
        <v/>
      </c>
      <c r="V58" s="105" t="str">
        <f>IF(preDEL!$AG58,IFERROR(0/0,""),preDEL!V58)</f>
        <v/>
      </c>
      <c r="W58" s="112" t="str">
        <f>IF(preDEL!$AG58,IFERROR(0/0,""),preDEL!W58)</f>
        <v/>
      </c>
      <c r="X58" s="104" t="b">
        <f>IF(preDEL!$AG58,IFERROR(0/0,""),preDEL!X58)</f>
        <v>0</v>
      </c>
      <c r="Y58" s="110" t="b">
        <f>IF(preDEL!$AG58,IFERROR(0/0,""),preDEL!Y58)</f>
        <v>0</v>
      </c>
      <c r="Z58" s="105" t="str">
        <f>IF(preDEL!$AG58,IFERROR(0/0,""),preDEL!Z58)</f>
        <v/>
      </c>
      <c r="AA58" s="110" t="b">
        <f>IF(preDEL!$AG58,IFERROR(0/0,""),preDEL!AA58)</f>
        <v>0</v>
      </c>
      <c r="AB58" s="110" t="b">
        <f>IF(preDEL!$AG58,IFERROR(0/0,""),preDEL!AB58)</f>
        <v>0</v>
      </c>
      <c r="AC58" s="172">
        <f>IF(preDEL!$AG58,IFERROR(0/0,""),preDEL!AC58)</f>
        <v>731</v>
      </c>
      <c r="AD58" s="104" t="b">
        <f>IF(preDEL!$AG58,IFERROR(0/0,""),preDEL!AD58)</f>
        <v>0</v>
      </c>
      <c r="AE58" s="173">
        <f>IF(preDEL!$AG58,IFERROR(0/0,""),preDEL!AE58)</f>
        <v>210.8333333</v>
      </c>
      <c r="AF58" s="110" t="b">
        <f>IF(preDEL!$AG58,IFERROR(0/0,""),preDEL!AF58)</f>
        <v>0</v>
      </c>
      <c r="AG58" s="110" t="b">
        <f>IF(preDEL!$AG58,IFERROR(0/0,""),preDEL!AG58)</f>
        <v>0</v>
      </c>
      <c r="AH58" s="104" t="str">
        <f>IF(preDEL!$AG58,IFERROR(0/0,""),preDEL!AH58)</f>
        <v/>
      </c>
      <c r="AI58" s="105" t="str">
        <f>IF(preDEL!$AG58,IFERROR(0/0,""),preDEL!AI58)</f>
        <v/>
      </c>
      <c r="AJ58" s="112" t="str">
        <f>IF(preDEL!$AG58,IFERROR(0/0,""),preDEL!AJ58)</f>
        <v/>
      </c>
      <c r="AK58" s="105" t="str">
        <f>IF(preDEL!$AG58,IFERROR(0/0,""),preDEL!AK58)</f>
        <v>Negative</v>
      </c>
      <c r="AL58" s="112" t="str">
        <f>IF(preDEL!$AG58,IFERROR(0/0,""),preDEL!AL58)</f>
        <v/>
      </c>
      <c r="AM58" s="112" t="str">
        <f>IF(preDEL!$AG58,IFERROR(0/0,""),preDEL!AM58)</f>
        <v>SpBEND642175</v>
      </c>
      <c r="AN58" s="112" t="str">
        <f>IF(preDEL!$AG58,IFERROR(0/0,""),preDEL!AN58)</f>
        <v>BEND883134</v>
      </c>
      <c r="AO58" s="112" t="str">
        <f>IF(preDEL!$AG58,IFERROR(0/0,""),preDEL!AO58)</f>
        <v/>
      </c>
      <c r="AP58" s="112" t="str">
        <f>IF(preDEL!$AG58,IFERROR(0/0,""),preDEL!AP58)</f>
        <v/>
      </c>
      <c r="AQ58" s="112" t="str">
        <f>IF(preDEL!$AG58,IFERROR(0/0,""),preDEL!AQ58)</f>
        <v/>
      </c>
      <c r="AR58" s="112" t="str">
        <f>IF(preDEL!$AG58,IFERROR(0/0,""),preDEL!AR58)</f>
        <v/>
      </c>
      <c r="AS58" s="112" t="str">
        <f>IF(preDEL!$AG58,IFERROR(0/0,""),preDEL!AS58)</f>
        <v/>
      </c>
      <c r="AT58" s="112" t="b">
        <f>IF(preDEL!$AG58,IFERROR(0/0,""),preDEL!AT58)</f>
        <v>0</v>
      </c>
      <c r="AU58" s="112" t="str">
        <f>IF(preDEL!$AG58,IFERROR(0/0,""),preDEL!AU58)</f>
        <v/>
      </c>
      <c r="AV58" s="112" t="str">
        <f>IF(preDEL!$AG58,IFERROR(0/0,""),preDEL!AV58)</f>
        <v/>
      </c>
      <c r="AW58" s="112" t="str">
        <f>IF(preDEL!$AG58,IFERROR(0/0,""),preDEL!AW58)</f>
        <v/>
      </c>
      <c r="AX58" s="112" t="str">
        <f>IF(preDEL!$AG58,IFERROR(0/0,""),preDEL!AX58)</f>
        <v/>
      </c>
      <c r="AY58" s="112" t="str">
        <f>IF(preDEL!$AG58,IFERROR(0/0,""),preDEL!AY58)</f>
        <v/>
      </c>
      <c r="AZ58" s="174"/>
      <c r="BA58" s="174"/>
      <c r="BB58" s="174"/>
      <c r="BC58" s="174"/>
      <c r="BD58" s="174"/>
      <c r="BE58" s="174"/>
      <c r="BF58" s="174"/>
      <c r="BG58" s="174"/>
      <c r="BH58" s="174"/>
      <c r="BI58" s="174"/>
      <c r="BJ58" s="174"/>
      <c r="BK58" s="174"/>
      <c r="BL58" s="174"/>
      <c r="BM58" s="174"/>
      <c r="BN58" s="174"/>
      <c r="BO58" s="174"/>
      <c r="BP58" s="174"/>
      <c r="BQ58" s="174"/>
      <c r="BR58" s="174"/>
      <c r="BS58" s="174"/>
      <c r="BT58" s="174"/>
      <c r="BU58" s="174"/>
      <c r="BV58" s="174"/>
      <c r="BW58" s="174"/>
      <c r="BX58" s="174"/>
      <c r="BY58" s="174"/>
      <c r="BZ58" s="174"/>
      <c r="CA58" s="174"/>
      <c r="CB58" s="174"/>
      <c r="CC58" s="174"/>
      <c r="CD58" s="174"/>
    </row>
    <row r="59">
      <c r="A59" s="105" t="str">
        <f>IF(preDEL!$AG59,IFERROR(0/0,""),preDEL!A59)</f>
        <v>MA343</v>
      </c>
      <c r="B59" s="170">
        <f>IF(preDEL!$AG59,IFERROR(0/0,""),preDEL!B59)</f>
        <v>44557</v>
      </c>
      <c r="C59" s="171">
        <f>IF(preDEL!$AG59,IFERROR(0/0,""),preDEL!C59)</f>
        <v>0.3411805556</v>
      </c>
      <c r="D59" s="105" t="str">
        <f>IF(preDEL!$AG59,IFERROR(0/0,""),preDEL!D59)</f>
        <v/>
      </c>
      <c r="E59" s="105" t="str">
        <f>IF(preDEL!$AG59,IFERROR(0/0,""),preDEL!E59)</f>
        <v/>
      </c>
      <c r="F59" s="112" t="str">
        <f>IF(preDEL!$AG59,IFERROR(0/0,""),preDEL!F59)</f>
        <v/>
      </c>
      <c r="G59" s="112" t="str">
        <f>IF(preDEL!$AG59,IFERROR(0/0,""),preDEL!G59)</f>
        <v/>
      </c>
      <c r="H59" s="112" t="str">
        <f>IF(preDEL!$AG59,IFERROR(0/0,""),preDEL!H59)</f>
        <v/>
      </c>
      <c r="I59" s="105" t="str">
        <f>IF(preDEL!$AG59,IFERROR(0/0,""),preDEL!I59)</f>
        <v/>
      </c>
      <c r="J59" s="105" t="str">
        <f>IF(preDEL!$AG59,IFERROR(0/0,""),preDEL!J59)</f>
        <v/>
      </c>
      <c r="K59" s="105" t="str">
        <f>IF(preDEL!$AG59,IFERROR(0/0,""),preDEL!K59)</f>
        <v>Negative</v>
      </c>
      <c r="L59" s="170">
        <f>IF(preDEL!$AG59,IFERROR(0/0,""),preDEL!L59)</f>
        <v>44557</v>
      </c>
      <c r="M59" s="171">
        <f>IF(preDEL!$AG59,IFERROR(0/0,""),preDEL!M59)</f>
        <v>0.4870949074</v>
      </c>
      <c r="N59" s="112" t="str">
        <f>IF(preDEL!$AG59,IFERROR(0/0,""),preDEL!N59)</f>
        <v/>
      </c>
      <c r="O59" s="112" t="str">
        <f>IF(preDEL!$AG59,IFERROR(0/0,""),preDEL!O59)</f>
        <v/>
      </c>
      <c r="P59" s="110" t="b">
        <f>IF(preDEL!$AG59,IFERROR(0/0,""),preDEL!P59)</f>
        <v>0</v>
      </c>
      <c r="Q59" s="110" t="str">
        <f>IF(preDEL!$AG59,IFERROR(0/0,""),preDEL!Q59)</f>
        <v>Result</v>
      </c>
      <c r="R59" s="104" t="b">
        <f>IF(preDEL!$AG59,IFERROR(0/0,""),preDEL!R59)</f>
        <v>1</v>
      </c>
      <c r="S59" s="104">
        <f>IF(preDEL!$AG59,IFERROR(0/0,""),preDEL!S59)</f>
        <v>1</v>
      </c>
      <c r="T59" s="110" t="str">
        <f>IF(preDEL!$AG59,IFERROR(0/0,""),preDEL!T59)</f>
        <v/>
      </c>
      <c r="U59" s="112" t="str">
        <f>IF(preDEL!$AG59,IFERROR(0/0,""),preDEL!U59)</f>
        <v/>
      </c>
      <c r="V59" s="105" t="str">
        <f>IF(preDEL!$AG59,IFERROR(0/0,""),preDEL!V59)</f>
        <v/>
      </c>
      <c r="W59" s="112" t="str">
        <f>IF(preDEL!$AG59,IFERROR(0/0,""),preDEL!W59)</f>
        <v/>
      </c>
      <c r="X59" s="104" t="b">
        <f>IF(preDEL!$AG59,IFERROR(0/0,""),preDEL!X59)</f>
        <v>0</v>
      </c>
      <c r="Y59" s="110" t="b">
        <f>IF(preDEL!$AG59,IFERROR(0/0,""),preDEL!Y59)</f>
        <v>0</v>
      </c>
      <c r="Z59" s="105" t="str">
        <f>IF(preDEL!$AG59,IFERROR(0/0,""),preDEL!Z59)</f>
        <v/>
      </c>
      <c r="AA59" s="110" t="b">
        <f>IF(preDEL!$AG59,IFERROR(0/0,""),preDEL!AA59)</f>
        <v>0</v>
      </c>
      <c r="AB59" s="110" t="b">
        <f>IF(preDEL!$AG59,IFERROR(0/0,""),preDEL!AB59)</f>
        <v>0</v>
      </c>
      <c r="AC59" s="172">
        <f>IF(preDEL!$AG59,IFERROR(0/0,""),preDEL!AC59)</f>
        <v>730</v>
      </c>
      <c r="AD59" s="104" t="b">
        <f>IF(preDEL!$AG59,IFERROR(0/0,""),preDEL!AD59)</f>
        <v>0</v>
      </c>
      <c r="AE59" s="173">
        <f>IF(preDEL!$AG59,IFERROR(0/0,""),preDEL!AE59)</f>
        <v>210.1166667</v>
      </c>
      <c r="AF59" s="110" t="b">
        <f>IF(preDEL!$AG59,IFERROR(0/0,""),preDEL!AF59)</f>
        <v>0</v>
      </c>
      <c r="AG59" s="110" t="b">
        <f>IF(preDEL!$AG59,IFERROR(0/0,""),preDEL!AG59)</f>
        <v>0</v>
      </c>
      <c r="AH59" s="104" t="str">
        <f>IF(preDEL!$AG59,IFERROR(0/0,""),preDEL!AH59)</f>
        <v/>
      </c>
      <c r="AI59" s="105" t="str">
        <f>IF(preDEL!$AG59,IFERROR(0/0,""),preDEL!AI59)</f>
        <v/>
      </c>
      <c r="AJ59" s="112" t="str">
        <f>IF(preDEL!$AG59,IFERROR(0/0,""),preDEL!AJ59)</f>
        <v/>
      </c>
      <c r="AK59" s="105" t="str">
        <f>IF(preDEL!$AG59,IFERROR(0/0,""),preDEL!AK59)</f>
        <v>Negative</v>
      </c>
      <c r="AL59" s="112" t="str">
        <f>IF(preDEL!$AG59,IFERROR(0/0,""),preDEL!AL59)</f>
        <v/>
      </c>
      <c r="AM59" s="112" t="str">
        <f>IF(preDEL!$AG59,IFERROR(0/0,""),preDEL!AM59)</f>
        <v>SpBEND721986</v>
      </c>
      <c r="AN59" s="112" t="str">
        <f>IF(preDEL!$AG59,IFERROR(0/0,""),preDEL!AN59)</f>
        <v>BEND127889</v>
      </c>
      <c r="AO59" s="112" t="str">
        <f>IF(preDEL!$AG59,IFERROR(0/0,""),preDEL!AO59)</f>
        <v/>
      </c>
      <c r="AP59" s="112" t="str">
        <f>IF(preDEL!$AG59,IFERROR(0/0,""),preDEL!AP59)</f>
        <v/>
      </c>
      <c r="AQ59" s="112" t="str">
        <f>IF(preDEL!$AG59,IFERROR(0/0,""),preDEL!AQ59)</f>
        <v/>
      </c>
      <c r="AR59" s="112" t="str">
        <f>IF(preDEL!$AG59,IFERROR(0/0,""),preDEL!AR59)</f>
        <v/>
      </c>
      <c r="AS59" s="112" t="str">
        <f>IF(preDEL!$AG59,IFERROR(0/0,""),preDEL!AS59)</f>
        <v/>
      </c>
      <c r="AT59" s="112" t="b">
        <f>IF(preDEL!$AG59,IFERROR(0/0,""),preDEL!AT59)</f>
        <v>0</v>
      </c>
      <c r="AU59" s="112" t="str">
        <f>IF(preDEL!$AG59,IFERROR(0/0,""),preDEL!AU59)</f>
        <v/>
      </c>
      <c r="AV59" s="112" t="str">
        <f>IF(preDEL!$AG59,IFERROR(0/0,""),preDEL!AV59)</f>
        <v/>
      </c>
      <c r="AW59" s="112" t="str">
        <f>IF(preDEL!$AG59,IFERROR(0/0,""),preDEL!AW59)</f>
        <v/>
      </c>
      <c r="AX59" s="112" t="str">
        <f>IF(preDEL!$AG59,IFERROR(0/0,""),preDEL!AX59)</f>
        <v/>
      </c>
      <c r="AY59" s="112" t="str">
        <f>IF(preDEL!$AG59,IFERROR(0/0,""),preDEL!AY59)</f>
        <v/>
      </c>
      <c r="AZ59" s="174"/>
      <c r="BA59" s="174"/>
      <c r="BB59" s="174"/>
      <c r="BC59" s="174"/>
      <c r="BD59" s="174"/>
      <c r="BE59" s="174"/>
      <c r="BF59" s="174"/>
      <c r="BG59" s="174"/>
      <c r="BH59" s="174"/>
      <c r="BI59" s="174"/>
      <c r="BJ59" s="174"/>
      <c r="BK59" s="174"/>
      <c r="BL59" s="174"/>
      <c r="BM59" s="174"/>
      <c r="BN59" s="174"/>
      <c r="BO59" s="174"/>
      <c r="BP59" s="174"/>
      <c r="BQ59" s="174"/>
      <c r="BR59" s="174"/>
      <c r="BS59" s="174"/>
      <c r="BT59" s="174"/>
      <c r="BU59" s="174"/>
      <c r="BV59" s="174"/>
      <c r="BW59" s="174"/>
      <c r="BX59" s="174"/>
      <c r="BY59" s="174"/>
      <c r="BZ59" s="174"/>
      <c r="CA59" s="174"/>
      <c r="CB59" s="174"/>
      <c r="CC59" s="174"/>
      <c r="CD59" s="174"/>
    </row>
    <row r="60">
      <c r="A60" s="105" t="str">
        <f>IF(preDEL!$AG60,IFERROR(0/0,""),preDEL!A60)</f>
        <v>MA371</v>
      </c>
      <c r="B60" s="170">
        <f>IF(preDEL!$AG60,IFERROR(0/0,""),preDEL!B60)</f>
        <v>44557</v>
      </c>
      <c r="C60" s="171">
        <f>IF(preDEL!$AG60,IFERROR(0/0,""),preDEL!C60)</f>
        <v>0.3544560185</v>
      </c>
      <c r="D60" s="105" t="str">
        <f>IF(preDEL!$AG60,IFERROR(0/0,""),preDEL!D60)</f>
        <v/>
      </c>
      <c r="E60" s="105" t="str">
        <f>IF(preDEL!$AG60,IFERROR(0/0,""),preDEL!E60)</f>
        <v/>
      </c>
      <c r="F60" s="112" t="str">
        <f>IF(preDEL!$AG60,IFERROR(0/0,""),preDEL!F60)</f>
        <v/>
      </c>
      <c r="G60" s="112" t="str">
        <f>IF(preDEL!$AG60,IFERROR(0/0,""),preDEL!G60)</f>
        <v/>
      </c>
      <c r="H60" s="112" t="str">
        <f>IF(preDEL!$AG60,IFERROR(0/0,""),preDEL!H60)</f>
        <v/>
      </c>
      <c r="I60" s="105" t="str">
        <f>IF(preDEL!$AG60,IFERROR(0/0,""),preDEL!I60)</f>
        <v/>
      </c>
      <c r="J60" s="105" t="str">
        <f>IF(preDEL!$AG60,IFERROR(0/0,""),preDEL!J60)</f>
        <v/>
      </c>
      <c r="K60" s="105" t="str">
        <f>IF(preDEL!$AG60,IFERROR(0/0,""),preDEL!K60)</f>
        <v>Negative</v>
      </c>
      <c r="L60" s="170">
        <f>IF(preDEL!$AG60,IFERROR(0/0,""),preDEL!L60)</f>
        <v>44557</v>
      </c>
      <c r="M60" s="171">
        <f>IF(preDEL!$AG60,IFERROR(0/0,""),preDEL!M60)</f>
        <v>0.4870949074</v>
      </c>
      <c r="N60" s="112" t="str">
        <f>IF(preDEL!$AG60,IFERROR(0/0,""),preDEL!N60)</f>
        <v/>
      </c>
      <c r="O60" s="112" t="str">
        <f>IF(preDEL!$AG60,IFERROR(0/0,""),preDEL!O60)</f>
        <v/>
      </c>
      <c r="P60" s="110" t="b">
        <f>IF(preDEL!$AG60,IFERROR(0/0,""),preDEL!P60)</f>
        <v>0</v>
      </c>
      <c r="Q60" s="110" t="str">
        <f>IF(preDEL!$AG60,IFERROR(0/0,""),preDEL!Q60)</f>
        <v>Result</v>
      </c>
      <c r="R60" s="104" t="b">
        <f>IF(preDEL!$AG60,IFERROR(0/0,""),preDEL!R60)</f>
        <v>1</v>
      </c>
      <c r="S60" s="104">
        <f>IF(preDEL!$AG60,IFERROR(0/0,""),preDEL!S60)</f>
        <v>1</v>
      </c>
      <c r="T60" s="110" t="str">
        <f>IF(preDEL!$AG60,IFERROR(0/0,""),preDEL!T60)</f>
        <v/>
      </c>
      <c r="U60" s="112" t="str">
        <f>IF(preDEL!$AG60,IFERROR(0/0,""),preDEL!U60)</f>
        <v/>
      </c>
      <c r="V60" s="105" t="str">
        <f>IF(preDEL!$AG60,IFERROR(0/0,""),preDEL!V60)</f>
        <v/>
      </c>
      <c r="W60" s="112" t="str">
        <f>IF(preDEL!$AG60,IFERROR(0/0,""),preDEL!W60)</f>
        <v/>
      </c>
      <c r="X60" s="104" t="b">
        <f>IF(preDEL!$AG60,IFERROR(0/0,""),preDEL!X60)</f>
        <v>0</v>
      </c>
      <c r="Y60" s="110" t="b">
        <f>IF(preDEL!$AG60,IFERROR(0/0,""),preDEL!Y60)</f>
        <v>0</v>
      </c>
      <c r="Z60" s="105" t="str">
        <f>IF(preDEL!$AG60,IFERROR(0/0,""),preDEL!Z60)</f>
        <v/>
      </c>
      <c r="AA60" s="110" t="b">
        <f>IF(preDEL!$AG60,IFERROR(0/0,""),preDEL!AA60)</f>
        <v>0</v>
      </c>
      <c r="AB60" s="110" t="b">
        <f>IF(preDEL!$AG60,IFERROR(0/0,""),preDEL!AB60)</f>
        <v>0</v>
      </c>
      <c r="AC60" s="172">
        <f>IF(preDEL!$AG60,IFERROR(0/0,""),preDEL!AC60)</f>
        <v>729</v>
      </c>
      <c r="AD60" s="104" t="b">
        <f>IF(preDEL!$AG60,IFERROR(0/0,""),preDEL!AD60)</f>
        <v>0</v>
      </c>
      <c r="AE60" s="173">
        <f>IF(preDEL!$AG60,IFERROR(0/0,""),preDEL!AE60)</f>
        <v>191</v>
      </c>
      <c r="AF60" s="110" t="b">
        <f>IF(preDEL!$AG60,IFERROR(0/0,""),preDEL!AF60)</f>
        <v>0</v>
      </c>
      <c r="AG60" s="110" t="b">
        <f>IF(preDEL!$AG60,IFERROR(0/0,""),preDEL!AG60)</f>
        <v>0</v>
      </c>
      <c r="AH60" s="104" t="str">
        <f>IF(preDEL!$AG60,IFERROR(0/0,""),preDEL!AH60)</f>
        <v/>
      </c>
      <c r="AI60" s="105" t="str">
        <f>IF(preDEL!$AG60,IFERROR(0/0,""),preDEL!AI60)</f>
        <v/>
      </c>
      <c r="AJ60" s="112" t="str">
        <f>IF(preDEL!$AG60,IFERROR(0/0,""),preDEL!AJ60)</f>
        <v/>
      </c>
      <c r="AK60" s="105" t="str">
        <f>IF(preDEL!$AG60,IFERROR(0/0,""),preDEL!AK60)</f>
        <v>Negative</v>
      </c>
      <c r="AL60" s="112" t="str">
        <f>IF(preDEL!$AG60,IFERROR(0/0,""),preDEL!AL60)</f>
        <v/>
      </c>
      <c r="AM60" s="112" t="str">
        <f>IF(preDEL!$AG60,IFERROR(0/0,""),preDEL!AM60)</f>
        <v>SpBEND953422</v>
      </c>
      <c r="AN60" s="112" t="str">
        <f>IF(preDEL!$AG60,IFERROR(0/0,""),preDEL!AN60)</f>
        <v>BEND782925</v>
      </c>
      <c r="AO60" s="112" t="str">
        <f>IF(preDEL!$AG60,IFERROR(0/0,""),preDEL!AO60)</f>
        <v/>
      </c>
      <c r="AP60" s="112" t="str">
        <f>IF(preDEL!$AG60,IFERROR(0/0,""),preDEL!AP60)</f>
        <v/>
      </c>
      <c r="AQ60" s="112" t="str">
        <f>IF(preDEL!$AG60,IFERROR(0/0,""),preDEL!AQ60)</f>
        <v/>
      </c>
      <c r="AR60" s="112" t="str">
        <f>IF(preDEL!$AG60,IFERROR(0/0,""),preDEL!AR60)</f>
        <v/>
      </c>
      <c r="AS60" s="112" t="str">
        <f>IF(preDEL!$AG60,IFERROR(0/0,""),preDEL!AS60)</f>
        <v/>
      </c>
      <c r="AT60" s="112" t="b">
        <f>IF(preDEL!$AG60,IFERROR(0/0,""),preDEL!AT60)</f>
        <v>0</v>
      </c>
      <c r="AU60" s="112" t="str">
        <f>IF(preDEL!$AG60,IFERROR(0/0,""),preDEL!AU60)</f>
        <v/>
      </c>
      <c r="AV60" s="112" t="str">
        <f>IF(preDEL!$AG60,IFERROR(0/0,""),preDEL!AV60)</f>
        <v/>
      </c>
      <c r="AW60" s="112" t="str">
        <f>IF(preDEL!$AG60,IFERROR(0/0,""),preDEL!AW60)</f>
        <v/>
      </c>
      <c r="AX60" s="112" t="str">
        <f>IF(preDEL!$AG60,IFERROR(0/0,""),preDEL!AX60)</f>
        <v/>
      </c>
      <c r="AY60" s="112" t="str">
        <f>IF(preDEL!$AG60,IFERROR(0/0,""),preDEL!AY60)</f>
        <v/>
      </c>
      <c r="AZ60" s="174"/>
      <c r="BA60" s="174"/>
      <c r="BB60" s="174"/>
      <c r="BC60" s="174"/>
      <c r="BD60" s="174"/>
      <c r="BE60" s="174"/>
      <c r="BF60" s="174"/>
      <c r="BG60" s="174"/>
      <c r="BH60" s="174"/>
      <c r="BI60" s="174"/>
      <c r="BJ60" s="174"/>
      <c r="BK60" s="174"/>
      <c r="BL60" s="174"/>
      <c r="BM60" s="174"/>
      <c r="BN60" s="174"/>
      <c r="BO60" s="174"/>
      <c r="BP60" s="174"/>
      <c r="BQ60" s="174"/>
      <c r="BR60" s="174"/>
      <c r="BS60" s="174"/>
      <c r="BT60" s="174"/>
      <c r="BU60" s="174"/>
      <c r="BV60" s="174"/>
      <c r="BW60" s="174"/>
      <c r="BX60" s="174"/>
      <c r="BY60" s="174"/>
      <c r="BZ60" s="174"/>
      <c r="CA60" s="174"/>
      <c r="CB60" s="174"/>
      <c r="CC60" s="174"/>
      <c r="CD60" s="174"/>
    </row>
    <row r="61">
      <c r="A61" s="105" t="str">
        <f>IF(preDEL!$AG61,IFERROR(0/0,""),preDEL!A61)</f>
        <v>MA1099</v>
      </c>
      <c r="B61" s="170">
        <f>IF(preDEL!$AG61,IFERROR(0/0,""),preDEL!B61)</f>
        <v>44557</v>
      </c>
      <c r="C61" s="171">
        <f>IF(preDEL!$AG61,IFERROR(0/0,""),preDEL!C61)</f>
        <v>0.3607291667</v>
      </c>
      <c r="D61" s="105" t="str">
        <f>IF(preDEL!$AG61,IFERROR(0/0,""),preDEL!D61)</f>
        <v/>
      </c>
      <c r="E61" s="105" t="str">
        <f>IF(preDEL!$AG61,IFERROR(0/0,""),preDEL!E61)</f>
        <v/>
      </c>
      <c r="F61" s="112" t="str">
        <f>IF(preDEL!$AG61,IFERROR(0/0,""),preDEL!F61)</f>
        <v/>
      </c>
      <c r="G61" s="112" t="str">
        <f>IF(preDEL!$AG61,IFERROR(0/0,""),preDEL!G61)</f>
        <v/>
      </c>
      <c r="H61" s="112" t="str">
        <f>IF(preDEL!$AG61,IFERROR(0/0,""),preDEL!H61)</f>
        <v/>
      </c>
      <c r="I61" s="105" t="str">
        <f>IF(preDEL!$AG61,IFERROR(0/0,""),preDEL!I61)</f>
        <v/>
      </c>
      <c r="J61" s="105" t="str">
        <f>IF(preDEL!$AG61,IFERROR(0/0,""),preDEL!J61)</f>
        <v/>
      </c>
      <c r="K61" s="105" t="str">
        <f>IF(preDEL!$AG61,IFERROR(0/0,""),preDEL!K61)</f>
        <v>Negative</v>
      </c>
      <c r="L61" s="170">
        <f>IF(preDEL!$AG61,IFERROR(0/0,""),preDEL!L61)</f>
        <v>44557</v>
      </c>
      <c r="M61" s="171">
        <f>IF(preDEL!$AG61,IFERROR(0/0,""),preDEL!M61)</f>
        <v>0.4870949074</v>
      </c>
      <c r="N61" s="112" t="str">
        <f>IF(preDEL!$AG61,IFERROR(0/0,""),preDEL!N61)</f>
        <v/>
      </c>
      <c r="O61" s="112" t="str">
        <f>IF(preDEL!$AG61,IFERROR(0/0,""),preDEL!O61)</f>
        <v/>
      </c>
      <c r="P61" s="110" t="b">
        <f>IF(preDEL!$AG61,IFERROR(0/0,""),preDEL!P61)</f>
        <v>0</v>
      </c>
      <c r="Q61" s="110" t="str">
        <f>IF(preDEL!$AG61,IFERROR(0/0,""),preDEL!Q61)</f>
        <v>Result</v>
      </c>
      <c r="R61" s="104" t="b">
        <f>IF(preDEL!$AG61,IFERROR(0/0,""),preDEL!R61)</f>
        <v>1</v>
      </c>
      <c r="S61" s="104">
        <f>IF(preDEL!$AG61,IFERROR(0/0,""),preDEL!S61)</f>
        <v>1</v>
      </c>
      <c r="T61" s="110" t="str">
        <f>IF(preDEL!$AG61,IFERROR(0/0,""),preDEL!T61)</f>
        <v/>
      </c>
      <c r="U61" s="112" t="str">
        <f>IF(preDEL!$AG61,IFERROR(0/0,""),preDEL!U61)</f>
        <v/>
      </c>
      <c r="V61" s="105" t="str">
        <f>IF(preDEL!$AG61,IFERROR(0/0,""),preDEL!V61)</f>
        <v/>
      </c>
      <c r="W61" s="112" t="str">
        <f>IF(preDEL!$AG61,IFERROR(0/0,""),preDEL!W61)</f>
        <v/>
      </c>
      <c r="X61" s="104" t="b">
        <f>IF(preDEL!$AG61,IFERROR(0/0,""),preDEL!X61)</f>
        <v>0</v>
      </c>
      <c r="Y61" s="110" t="b">
        <f>IF(preDEL!$AG61,IFERROR(0/0,""),preDEL!Y61)</f>
        <v>0</v>
      </c>
      <c r="Z61" s="105" t="str">
        <f>IF(preDEL!$AG61,IFERROR(0/0,""),preDEL!Z61)</f>
        <v/>
      </c>
      <c r="AA61" s="110" t="b">
        <f>IF(preDEL!$AG61,IFERROR(0/0,""),preDEL!AA61)</f>
        <v>0</v>
      </c>
      <c r="AB61" s="110" t="b">
        <f>IF(preDEL!$AG61,IFERROR(0/0,""),preDEL!AB61)</f>
        <v>0</v>
      </c>
      <c r="AC61" s="172">
        <f>IF(preDEL!$AG61,IFERROR(0/0,""),preDEL!AC61)</f>
        <v>728</v>
      </c>
      <c r="AD61" s="104" t="b">
        <f>IF(preDEL!$AG61,IFERROR(0/0,""),preDEL!AD61)</f>
        <v>0</v>
      </c>
      <c r="AE61" s="173">
        <f>IF(preDEL!$AG61,IFERROR(0/0,""),preDEL!AE61)</f>
        <v>181.9666667</v>
      </c>
      <c r="AF61" s="110" t="b">
        <f>IF(preDEL!$AG61,IFERROR(0/0,""),preDEL!AF61)</f>
        <v>0</v>
      </c>
      <c r="AG61" s="110" t="b">
        <f>IF(preDEL!$AG61,IFERROR(0/0,""),preDEL!AG61)</f>
        <v>0</v>
      </c>
      <c r="AH61" s="104" t="str">
        <f>IF(preDEL!$AG61,IFERROR(0/0,""),preDEL!AH61)</f>
        <v/>
      </c>
      <c r="AI61" s="105" t="str">
        <f>IF(preDEL!$AG61,IFERROR(0/0,""),preDEL!AI61)</f>
        <v/>
      </c>
      <c r="AJ61" s="112" t="str">
        <f>IF(preDEL!$AG61,IFERROR(0/0,""),preDEL!AJ61)</f>
        <v/>
      </c>
      <c r="AK61" s="105" t="str">
        <f>IF(preDEL!$AG61,IFERROR(0/0,""),preDEL!AK61)</f>
        <v>Negative</v>
      </c>
      <c r="AL61" s="112" t="str">
        <f>IF(preDEL!$AG61,IFERROR(0/0,""),preDEL!AL61)</f>
        <v/>
      </c>
      <c r="AM61" s="112" t="str">
        <f>IF(preDEL!$AG61,IFERROR(0/0,""),preDEL!AM61)</f>
        <v>SpBEND708976</v>
      </c>
      <c r="AN61" s="112" t="str">
        <f>IF(preDEL!$AG61,IFERROR(0/0,""),preDEL!AN61)</f>
        <v>BEND525784</v>
      </c>
      <c r="AO61" s="112" t="str">
        <f>IF(preDEL!$AG61,IFERROR(0/0,""),preDEL!AO61)</f>
        <v/>
      </c>
      <c r="AP61" s="112" t="str">
        <f>IF(preDEL!$AG61,IFERROR(0/0,""),preDEL!AP61)</f>
        <v/>
      </c>
      <c r="AQ61" s="112" t="str">
        <f>IF(preDEL!$AG61,IFERROR(0/0,""),preDEL!AQ61)</f>
        <v/>
      </c>
      <c r="AR61" s="112" t="str">
        <f>IF(preDEL!$AG61,IFERROR(0/0,""),preDEL!AR61)</f>
        <v/>
      </c>
      <c r="AS61" s="112" t="str">
        <f>IF(preDEL!$AG61,IFERROR(0/0,""),preDEL!AS61)</f>
        <v/>
      </c>
      <c r="AT61" s="112" t="b">
        <f>IF(preDEL!$AG61,IFERROR(0/0,""),preDEL!AT61)</f>
        <v>0</v>
      </c>
      <c r="AU61" s="112" t="str">
        <f>IF(preDEL!$AG61,IFERROR(0/0,""),preDEL!AU61)</f>
        <v/>
      </c>
      <c r="AV61" s="112" t="str">
        <f>IF(preDEL!$AG61,IFERROR(0/0,""),preDEL!AV61)</f>
        <v/>
      </c>
      <c r="AW61" s="112" t="str">
        <f>IF(preDEL!$AG61,IFERROR(0/0,""),preDEL!AW61)</f>
        <v/>
      </c>
      <c r="AX61" s="112" t="str">
        <f>IF(preDEL!$AG61,IFERROR(0/0,""),preDEL!AX61)</f>
        <v/>
      </c>
      <c r="AY61" s="112" t="str">
        <f>IF(preDEL!$AG61,IFERROR(0/0,""),preDEL!AY61)</f>
        <v/>
      </c>
      <c r="AZ61" s="174"/>
      <c r="BA61" s="174"/>
      <c r="BB61" s="174"/>
      <c r="BC61" s="174"/>
      <c r="BD61" s="174"/>
      <c r="BE61" s="174"/>
      <c r="BF61" s="174"/>
      <c r="BG61" s="174"/>
      <c r="BH61" s="174"/>
      <c r="BI61" s="174"/>
      <c r="BJ61" s="174"/>
      <c r="BK61" s="174"/>
      <c r="BL61" s="174"/>
      <c r="BM61" s="174"/>
      <c r="BN61" s="174"/>
      <c r="BO61" s="174"/>
      <c r="BP61" s="174"/>
      <c r="BQ61" s="174"/>
      <c r="BR61" s="174"/>
      <c r="BS61" s="174"/>
      <c r="BT61" s="174"/>
      <c r="BU61" s="174"/>
      <c r="BV61" s="174"/>
      <c r="BW61" s="174"/>
      <c r="BX61" s="174"/>
      <c r="BY61" s="174"/>
      <c r="BZ61" s="174"/>
      <c r="CA61" s="174"/>
      <c r="CB61" s="174"/>
      <c r="CC61" s="174"/>
      <c r="CD61" s="174"/>
    </row>
    <row r="62">
      <c r="A62" s="105" t="str">
        <f>IF(preDEL!$AG62,IFERROR(0/0,""),preDEL!A62)</f>
        <v>MA257</v>
      </c>
      <c r="B62" s="170">
        <f>IF(preDEL!$AG62,IFERROR(0/0,""),preDEL!B62)</f>
        <v>44557</v>
      </c>
      <c r="C62" s="171">
        <f>IF(preDEL!$AG62,IFERROR(0/0,""),preDEL!C62)</f>
        <v>0.3777546296</v>
      </c>
      <c r="D62" s="105" t="str">
        <f>IF(preDEL!$AG62,IFERROR(0/0,""),preDEL!D62)</f>
        <v/>
      </c>
      <c r="E62" s="105" t="str">
        <f>IF(preDEL!$AG62,IFERROR(0/0,""),preDEL!E62)</f>
        <v/>
      </c>
      <c r="F62" s="112" t="str">
        <f>IF(preDEL!$AG62,IFERROR(0/0,""),preDEL!F62)</f>
        <v/>
      </c>
      <c r="G62" s="112" t="str">
        <f>IF(preDEL!$AG62,IFERROR(0/0,""),preDEL!G62)</f>
        <v/>
      </c>
      <c r="H62" s="112" t="str">
        <f>IF(preDEL!$AG62,IFERROR(0/0,""),preDEL!H62)</f>
        <v/>
      </c>
      <c r="I62" s="105" t="str">
        <f>IF(preDEL!$AG62,IFERROR(0/0,""),preDEL!I62)</f>
        <v/>
      </c>
      <c r="J62" s="105" t="str">
        <f>IF(preDEL!$AG62,IFERROR(0/0,""),preDEL!J62)</f>
        <v/>
      </c>
      <c r="K62" s="105" t="str">
        <f>IF(preDEL!$AG62,IFERROR(0/0,""),preDEL!K62)</f>
        <v>Negative</v>
      </c>
      <c r="L62" s="170">
        <f>IF(preDEL!$AG62,IFERROR(0/0,""),preDEL!L62)</f>
        <v>44557</v>
      </c>
      <c r="M62" s="171">
        <f>IF(preDEL!$AG62,IFERROR(0/0,""),preDEL!M62)</f>
        <v>0.4870949074</v>
      </c>
      <c r="N62" s="112" t="str">
        <f>IF(preDEL!$AG62,IFERROR(0/0,""),preDEL!N62)</f>
        <v/>
      </c>
      <c r="O62" s="112" t="str">
        <f>IF(preDEL!$AG62,IFERROR(0/0,""),preDEL!O62)</f>
        <v/>
      </c>
      <c r="P62" s="110" t="b">
        <f>IF(preDEL!$AG62,IFERROR(0/0,""),preDEL!P62)</f>
        <v>0</v>
      </c>
      <c r="Q62" s="110" t="str">
        <f>IF(preDEL!$AG62,IFERROR(0/0,""),preDEL!Q62)</f>
        <v>Result</v>
      </c>
      <c r="R62" s="104" t="b">
        <f>IF(preDEL!$AG62,IFERROR(0/0,""),preDEL!R62)</f>
        <v>1</v>
      </c>
      <c r="S62" s="104">
        <f>IF(preDEL!$AG62,IFERROR(0/0,""),preDEL!S62)</f>
        <v>1</v>
      </c>
      <c r="T62" s="110" t="str">
        <f>IF(preDEL!$AG62,IFERROR(0/0,""),preDEL!T62)</f>
        <v/>
      </c>
      <c r="U62" s="112" t="str">
        <f>IF(preDEL!$AG62,IFERROR(0/0,""),preDEL!U62)</f>
        <v/>
      </c>
      <c r="V62" s="105" t="str">
        <f>IF(preDEL!$AG62,IFERROR(0/0,""),preDEL!V62)</f>
        <v/>
      </c>
      <c r="W62" s="112" t="str">
        <f>IF(preDEL!$AG62,IFERROR(0/0,""),preDEL!W62)</f>
        <v/>
      </c>
      <c r="X62" s="104" t="b">
        <f>IF(preDEL!$AG62,IFERROR(0/0,""),preDEL!X62)</f>
        <v>0</v>
      </c>
      <c r="Y62" s="110" t="b">
        <f>IF(preDEL!$AG62,IFERROR(0/0,""),preDEL!Y62)</f>
        <v>0</v>
      </c>
      <c r="Z62" s="105" t="str">
        <f>IF(preDEL!$AG62,IFERROR(0/0,""),preDEL!Z62)</f>
        <v/>
      </c>
      <c r="AA62" s="110" t="b">
        <f>IF(preDEL!$AG62,IFERROR(0/0,""),preDEL!AA62)</f>
        <v>0</v>
      </c>
      <c r="AB62" s="110" t="b">
        <f>IF(preDEL!$AG62,IFERROR(0/0,""),preDEL!AB62)</f>
        <v>0</v>
      </c>
      <c r="AC62" s="172">
        <f>IF(preDEL!$AG62,IFERROR(0/0,""),preDEL!AC62)</f>
        <v>727</v>
      </c>
      <c r="AD62" s="104" t="b">
        <f>IF(preDEL!$AG62,IFERROR(0/0,""),preDEL!AD62)</f>
        <v>0</v>
      </c>
      <c r="AE62" s="173">
        <f>IF(preDEL!$AG62,IFERROR(0/0,""),preDEL!AE62)</f>
        <v>157.45</v>
      </c>
      <c r="AF62" s="110" t="b">
        <f>IF(preDEL!$AG62,IFERROR(0/0,""),preDEL!AF62)</f>
        <v>0</v>
      </c>
      <c r="AG62" s="110" t="b">
        <f>IF(preDEL!$AG62,IFERROR(0/0,""),preDEL!AG62)</f>
        <v>0</v>
      </c>
      <c r="AH62" s="104" t="str">
        <f>IF(preDEL!$AG62,IFERROR(0/0,""),preDEL!AH62)</f>
        <v/>
      </c>
      <c r="AI62" s="105" t="str">
        <f>IF(preDEL!$AG62,IFERROR(0/0,""),preDEL!AI62)</f>
        <v/>
      </c>
      <c r="AJ62" s="112" t="str">
        <f>IF(preDEL!$AG62,IFERROR(0/0,""),preDEL!AJ62)</f>
        <v/>
      </c>
      <c r="AK62" s="105" t="str">
        <f>IF(preDEL!$AG62,IFERROR(0/0,""),preDEL!AK62)</f>
        <v>Negative</v>
      </c>
      <c r="AL62" s="112" t="str">
        <f>IF(preDEL!$AG62,IFERROR(0/0,""),preDEL!AL62)</f>
        <v/>
      </c>
      <c r="AM62" s="112" t="str">
        <f>IF(preDEL!$AG62,IFERROR(0/0,""),preDEL!AM62)</f>
        <v>SpBEND319298</v>
      </c>
      <c r="AN62" s="112" t="str">
        <f>IF(preDEL!$AG62,IFERROR(0/0,""),preDEL!AN62)</f>
        <v>BEND966643</v>
      </c>
      <c r="AO62" s="112" t="str">
        <f>IF(preDEL!$AG62,IFERROR(0/0,""),preDEL!AO62)</f>
        <v/>
      </c>
      <c r="AP62" s="112" t="str">
        <f>IF(preDEL!$AG62,IFERROR(0/0,""),preDEL!AP62)</f>
        <v/>
      </c>
      <c r="AQ62" s="112" t="str">
        <f>IF(preDEL!$AG62,IFERROR(0/0,""),preDEL!AQ62)</f>
        <v/>
      </c>
      <c r="AR62" s="112" t="str">
        <f>IF(preDEL!$AG62,IFERROR(0/0,""),preDEL!AR62)</f>
        <v/>
      </c>
      <c r="AS62" s="112" t="str">
        <f>IF(preDEL!$AG62,IFERROR(0/0,""),preDEL!AS62)</f>
        <v/>
      </c>
      <c r="AT62" s="112" t="b">
        <f>IF(preDEL!$AG62,IFERROR(0/0,""),preDEL!AT62)</f>
        <v>0</v>
      </c>
      <c r="AU62" s="112" t="str">
        <f>IF(preDEL!$AG62,IFERROR(0/0,""),preDEL!AU62)</f>
        <v/>
      </c>
      <c r="AV62" s="112" t="str">
        <f>IF(preDEL!$AG62,IFERROR(0/0,""),preDEL!AV62)</f>
        <v/>
      </c>
      <c r="AW62" s="112" t="str">
        <f>IF(preDEL!$AG62,IFERROR(0/0,""),preDEL!AW62)</f>
        <v/>
      </c>
      <c r="AX62" s="112" t="str">
        <f>IF(preDEL!$AG62,IFERROR(0/0,""),preDEL!AX62)</f>
        <v/>
      </c>
      <c r="AY62" s="112" t="str">
        <f>IF(preDEL!$AG62,IFERROR(0/0,""),preDEL!AY62)</f>
        <v/>
      </c>
      <c r="AZ62" s="174"/>
      <c r="BA62" s="174"/>
      <c r="BB62" s="174"/>
      <c r="BC62" s="174"/>
      <c r="BD62" s="174"/>
      <c r="BE62" s="174"/>
      <c r="BF62" s="174"/>
      <c r="BG62" s="174"/>
      <c r="BH62" s="174"/>
      <c r="BI62" s="174"/>
      <c r="BJ62" s="174"/>
      <c r="BK62" s="174"/>
      <c r="BL62" s="174"/>
      <c r="BM62" s="174"/>
      <c r="BN62" s="174"/>
      <c r="BO62" s="174"/>
      <c r="BP62" s="174"/>
      <c r="BQ62" s="174"/>
      <c r="BR62" s="174"/>
      <c r="BS62" s="174"/>
      <c r="BT62" s="174"/>
      <c r="BU62" s="174"/>
      <c r="BV62" s="174"/>
      <c r="BW62" s="174"/>
      <c r="BX62" s="174"/>
      <c r="BY62" s="174"/>
      <c r="BZ62" s="174"/>
      <c r="CA62" s="174"/>
      <c r="CB62" s="174"/>
      <c r="CC62" s="174"/>
      <c r="CD62" s="174"/>
    </row>
    <row r="63">
      <c r="A63" s="105" t="str">
        <f>IF(preDEL!$AG63,IFERROR(0/0,""),preDEL!A63)</f>
        <v>MA624</v>
      </c>
      <c r="B63" s="170">
        <f>IF(preDEL!$AG63,IFERROR(0/0,""),preDEL!B63)</f>
        <v>44557</v>
      </c>
      <c r="C63" s="171">
        <f>IF(preDEL!$AG63,IFERROR(0/0,""),preDEL!C63)</f>
        <v>0.3893287037</v>
      </c>
      <c r="D63" s="105" t="str">
        <f>IF(preDEL!$AG63,IFERROR(0/0,""),preDEL!D63)</f>
        <v/>
      </c>
      <c r="E63" s="105" t="str">
        <f>IF(preDEL!$AG63,IFERROR(0/0,""),preDEL!E63)</f>
        <v/>
      </c>
      <c r="F63" s="112" t="str">
        <f>IF(preDEL!$AG63,IFERROR(0/0,""),preDEL!F63)</f>
        <v/>
      </c>
      <c r="G63" s="112" t="str">
        <f>IF(preDEL!$AG63,IFERROR(0/0,""),preDEL!G63)</f>
        <v/>
      </c>
      <c r="H63" s="112" t="str">
        <f>IF(preDEL!$AG63,IFERROR(0/0,""),preDEL!H63)</f>
        <v/>
      </c>
      <c r="I63" s="105" t="str">
        <f>IF(preDEL!$AG63,IFERROR(0/0,""),preDEL!I63)</f>
        <v/>
      </c>
      <c r="J63" s="105" t="str">
        <f>IF(preDEL!$AG63,IFERROR(0/0,""),preDEL!J63)</f>
        <v/>
      </c>
      <c r="K63" s="105" t="str">
        <f>IF(preDEL!$AG63,IFERROR(0/0,""),preDEL!K63)</f>
        <v>Negative</v>
      </c>
      <c r="L63" s="170">
        <f>IF(preDEL!$AG63,IFERROR(0/0,""),preDEL!L63)</f>
        <v>44557</v>
      </c>
      <c r="M63" s="171">
        <f>IF(preDEL!$AG63,IFERROR(0/0,""),preDEL!M63)</f>
        <v>0.4870949074</v>
      </c>
      <c r="N63" s="112" t="str">
        <f>IF(preDEL!$AG63,IFERROR(0/0,""),preDEL!N63)</f>
        <v/>
      </c>
      <c r="O63" s="112" t="str">
        <f>IF(preDEL!$AG63,IFERROR(0/0,""),preDEL!O63)</f>
        <v/>
      </c>
      <c r="P63" s="110" t="b">
        <f>IF(preDEL!$AG63,IFERROR(0/0,""),preDEL!P63)</f>
        <v>0</v>
      </c>
      <c r="Q63" s="110" t="str">
        <f>IF(preDEL!$AG63,IFERROR(0/0,""),preDEL!Q63)</f>
        <v>Result</v>
      </c>
      <c r="R63" s="104" t="b">
        <f>IF(preDEL!$AG63,IFERROR(0/0,""),preDEL!R63)</f>
        <v>1</v>
      </c>
      <c r="S63" s="104">
        <f>IF(preDEL!$AG63,IFERROR(0/0,""),preDEL!S63)</f>
        <v>1</v>
      </c>
      <c r="T63" s="110" t="str">
        <f>IF(preDEL!$AG63,IFERROR(0/0,""),preDEL!T63)</f>
        <v/>
      </c>
      <c r="U63" s="112" t="str">
        <f>IF(preDEL!$AG63,IFERROR(0/0,""),preDEL!U63)</f>
        <v/>
      </c>
      <c r="V63" s="105" t="str">
        <f>IF(preDEL!$AG63,IFERROR(0/0,""),preDEL!V63)</f>
        <v/>
      </c>
      <c r="W63" s="112" t="str">
        <f>IF(preDEL!$AG63,IFERROR(0/0,""),preDEL!W63)</f>
        <v/>
      </c>
      <c r="X63" s="104" t="b">
        <f>IF(preDEL!$AG63,IFERROR(0/0,""),preDEL!X63)</f>
        <v>0</v>
      </c>
      <c r="Y63" s="110" t="b">
        <f>IF(preDEL!$AG63,IFERROR(0/0,""),preDEL!Y63)</f>
        <v>0</v>
      </c>
      <c r="Z63" s="105" t="str">
        <f>IF(preDEL!$AG63,IFERROR(0/0,""),preDEL!Z63)</f>
        <v/>
      </c>
      <c r="AA63" s="110" t="b">
        <f>IF(preDEL!$AG63,IFERROR(0/0,""),preDEL!AA63)</f>
        <v>0</v>
      </c>
      <c r="AB63" s="110" t="b">
        <f>IF(preDEL!$AG63,IFERROR(0/0,""),preDEL!AB63)</f>
        <v>0</v>
      </c>
      <c r="AC63" s="172">
        <f>IF(preDEL!$AG63,IFERROR(0/0,""),preDEL!AC63)</f>
        <v>726</v>
      </c>
      <c r="AD63" s="104" t="b">
        <f>IF(preDEL!$AG63,IFERROR(0/0,""),preDEL!AD63)</f>
        <v>0</v>
      </c>
      <c r="AE63" s="173">
        <f>IF(preDEL!$AG63,IFERROR(0/0,""),preDEL!AE63)</f>
        <v>140.7833333</v>
      </c>
      <c r="AF63" s="110" t="b">
        <f>IF(preDEL!$AG63,IFERROR(0/0,""),preDEL!AF63)</f>
        <v>0</v>
      </c>
      <c r="AG63" s="110" t="b">
        <f>IF(preDEL!$AG63,IFERROR(0/0,""),preDEL!AG63)</f>
        <v>0</v>
      </c>
      <c r="AH63" s="104" t="str">
        <f>IF(preDEL!$AG63,IFERROR(0/0,""),preDEL!AH63)</f>
        <v/>
      </c>
      <c r="AI63" s="105" t="str">
        <f>IF(preDEL!$AG63,IFERROR(0/0,""),preDEL!AI63)</f>
        <v/>
      </c>
      <c r="AJ63" s="112" t="str">
        <f>IF(preDEL!$AG63,IFERROR(0/0,""),preDEL!AJ63)</f>
        <v/>
      </c>
      <c r="AK63" s="105" t="str">
        <f>IF(preDEL!$AG63,IFERROR(0/0,""),preDEL!AK63)</f>
        <v>Negative</v>
      </c>
      <c r="AL63" s="112" t="str">
        <f>IF(preDEL!$AG63,IFERROR(0/0,""),preDEL!AL63)</f>
        <v/>
      </c>
      <c r="AM63" s="112" t="str">
        <f>IF(preDEL!$AG63,IFERROR(0/0,""),preDEL!AM63)</f>
        <v>SpBEND548976</v>
      </c>
      <c r="AN63" s="112" t="str">
        <f>IF(preDEL!$AG63,IFERROR(0/0,""),preDEL!AN63)</f>
        <v>BEND704851</v>
      </c>
      <c r="AO63" s="112" t="str">
        <f>IF(preDEL!$AG63,IFERROR(0/0,""),preDEL!AO63)</f>
        <v/>
      </c>
      <c r="AP63" s="112" t="str">
        <f>IF(preDEL!$AG63,IFERROR(0/0,""),preDEL!AP63)</f>
        <v/>
      </c>
      <c r="AQ63" s="112" t="str">
        <f>IF(preDEL!$AG63,IFERROR(0/0,""),preDEL!AQ63)</f>
        <v/>
      </c>
      <c r="AR63" s="112" t="str">
        <f>IF(preDEL!$AG63,IFERROR(0/0,""),preDEL!AR63)</f>
        <v/>
      </c>
      <c r="AS63" s="112" t="str">
        <f>IF(preDEL!$AG63,IFERROR(0/0,""),preDEL!AS63)</f>
        <v/>
      </c>
      <c r="AT63" s="112" t="b">
        <f>IF(preDEL!$AG63,IFERROR(0/0,""),preDEL!AT63)</f>
        <v>0</v>
      </c>
      <c r="AU63" s="112" t="str">
        <f>IF(preDEL!$AG63,IFERROR(0/0,""),preDEL!AU63)</f>
        <v/>
      </c>
      <c r="AV63" s="112" t="str">
        <f>IF(preDEL!$AG63,IFERROR(0/0,""),preDEL!AV63)</f>
        <v/>
      </c>
      <c r="AW63" s="112" t="str">
        <f>IF(preDEL!$AG63,IFERROR(0/0,""),preDEL!AW63)</f>
        <v/>
      </c>
      <c r="AX63" s="112" t="str">
        <f>IF(preDEL!$AG63,IFERROR(0/0,""),preDEL!AX63)</f>
        <v/>
      </c>
      <c r="AY63" s="112" t="str">
        <f>IF(preDEL!$AG63,IFERROR(0/0,""),preDEL!AY63)</f>
        <v/>
      </c>
      <c r="AZ63" s="174"/>
      <c r="BA63" s="174"/>
      <c r="BB63" s="174"/>
      <c r="BC63" s="174"/>
      <c r="BD63" s="174"/>
      <c r="BE63" s="174"/>
      <c r="BF63" s="174"/>
      <c r="BG63" s="174"/>
      <c r="BH63" s="174"/>
      <c r="BI63" s="174"/>
      <c r="BJ63" s="174"/>
      <c r="BK63" s="174"/>
      <c r="BL63" s="174"/>
      <c r="BM63" s="174"/>
      <c r="BN63" s="174"/>
      <c r="BO63" s="174"/>
      <c r="BP63" s="174"/>
      <c r="BQ63" s="174"/>
      <c r="BR63" s="174"/>
      <c r="BS63" s="174"/>
      <c r="BT63" s="174"/>
      <c r="BU63" s="174"/>
      <c r="BV63" s="174"/>
      <c r="BW63" s="174"/>
      <c r="BX63" s="174"/>
      <c r="BY63" s="174"/>
      <c r="BZ63" s="174"/>
      <c r="CA63" s="174"/>
      <c r="CB63" s="174"/>
      <c r="CC63" s="174"/>
      <c r="CD63" s="174"/>
    </row>
    <row r="64">
      <c r="A64" s="105" t="str">
        <f>IF(preDEL!$AG64,IFERROR(0/0,""),preDEL!A64)</f>
        <v>MAX139</v>
      </c>
      <c r="B64" s="170">
        <f>IF(preDEL!$AG64,IFERROR(0/0,""),preDEL!B64)</f>
        <v>44557</v>
      </c>
      <c r="C64" s="171">
        <f>IF(preDEL!$AG64,IFERROR(0/0,""),preDEL!C64)</f>
        <v>0.4255902778</v>
      </c>
      <c r="D64" s="105" t="str">
        <f>IF(preDEL!$AG64,IFERROR(0/0,""),preDEL!D64)</f>
        <v/>
      </c>
      <c r="E64" s="105" t="str">
        <f>IF(preDEL!$AG64,IFERROR(0/0,""),preDEL!E64)</f>
        <v/>
      </c>
      <c r="F64" s="112" t="str">
        <f>IF(preDEL!$AG64,IFERROR(0/0,""),preDEL!F64)</f>
        <v/>
      </c>
      <c r="G64" s="112" t="str">
        <f>IF(preDEL!$AG64,IFERROR(0/0,""),preDEL!G64)</f>
        <v/>
      </c>
      <c r="H64" s="112" t="str">
        <f>IF(preDEL!$AG64,IFERROR(0/0,""),preDEL!H64)</f>
        <v/>
      </c>
      <c r="I64" s="105" t="str">
        <f>IF(preDEL!$AG64,IFERROR(0/0,""),preDEL!I64)</f>
        <v/>
      </c>
      <c r="J64" s="105" t="str">
        <f>IF(preDEL!$AG64,IFERROR(0/0,""),preDEL!J64)</f>
        <v/>
      </c>
      <c r="K64" s="105" t="str">
        <f>IF(preDEL!$AG64,IFERROR(0/0,""),preDEL!K64)</f>
        <v>Negative</v>
      </c>
      <c r="L64" s="170">
        <f>IF(preDEL!$AG64,IFERROR(0/0,""),preDEL!L64)</f>
        <v>44557</v>
      </c>
      <c r="M64" s="171">
        <f>IF(preDEL!$AG64,IFERROR(0/0,""),preDEL!M64)</f>
        <v>0.4871064815</v>
      </c>
      <c r="N64" s="112" t="str">
        <f>IF(preDEL!$AG64,IFERROR(0/0,""),preDEL!N64)</f>
        <v/>
      </c>
      <c r="O64" s="112" t="str">
        <f>IF(preDEL!$AG64,IFERROR(0/0,""),preDEL!O64)</f>
        <v/>
      </c>
      <c r="P64" s="110" t="b">
        <f>IF(preDEL!$AG64,IFERROR(0/0,""),preDEL!P64)</f>
        <v>0</v>
      </c>
      <c r="Q64" s="110" t="str">
        <f>IF(preDEL!$AG64,IFERROR(0/0,""),preDEL!Q64)</f>
        <v>Result</v>
      </c>
      <c r="R64" s="104" t="b">
        <f>IF(preDEL!$AG64,IFERROR(0/0,""),preDEL!R64)</f>
        <v>1</v>
      </c>
      <c r="S64" s="104">
        <f>IF(preDEL!$AG64,IFERROR(0/0,""),preDEL!S64)</f>
        <v>1</v>
      </c>
      <c r="T64" s="110" t="str">
        <f>IF(preDEL!$AG64,IFERROR(0/0,""),preDEL!T64)</f>
        <v/>
      </c>
      <c r="U64" s="112" t="str">
        <f>IF(preDEL!$AG64,IFERROR(0/0,""),preDEL!U64)</f>
        <v/>
      </c>
      <c r="V64" s="105" t="str">
        <f>IF(preDEL!$AG64,IFERROR(0/0,""),preDEL!V64)</f>
        <v/>
      </c>
      <c r="W64" s="112" t="str">
        <f>IF(preDEL!$AG64,IFERROR(0/0,""),preDEL!W64)</f>
        <v/>
      </c>
      <c r="X64" s="104" t="b">
        <f>IF(preDEL!$AG64,IFERROR(0/0,""),preDEL!X64)</f>
        <v>0</v>
      </c>
      <c r="Y64" s="110" t="b">
        <f>IF(preDEL!$AG64,IFERROR(0/0,""),preDEL!Y64)</f>
        <v>0</v>
      </c>
      <c r="Z64" s="105" t="str">
        <f>IF(preDEL!$AG64,IFERROR(0/0,""),preDEL!Z64)</f>
        <v/>
      </c>
      <c r="AA64" s="110" t="b">
        <f>IF(preDEL!$AG64,IFERROR(0/0,""),preDEL!AA64)</f>
        <v>0</v>
      </c>
      <c r="AB64" s="110" t="b">
        <f>IF(preDEL!$AG64,IFERROR(0/0,""),preDEL!AB64)</f>
        <v>0</v>
      </c>
      <c r="AC64" s="172">
        <f>IF(preDEL!$AG64,IFERROR(0/0,""),preDEL!AC64)</f>
        <v>725</v>
      </c>
      <c r="AD64" s="104" t="b">
        <f>IF(preDEL!$AG64,IFERROR(0/0,""),preDEL!AD64)</f>
        <v>0</v>
      </c>
      <c r="AE64" s="173">
        <f>IF(preDEL!$AG64,IFERROR(0/0,""),preDEL!AE64)</f>
        <v>88.58333333</v>
      </c>
      <c r="AF64" s="110" t="b">
        <f>IF(preDEL!$AG64,IFERROR(0/0,""),preDEL!AF64)</f>
        <v>0</v>
      </c>
      <c r="AG64" s="110" t="b">
        <f>IF(preDEL!$AG64,IFERROR(0/0,""),preDEL!AG64)</f>
        <v>0</v>
      </c>
      <c r="AH64" s="104" t="str">
        <f>IF(preDEL!$AG64,IFERROR(0/0,""),preDEL!AH64)</f>
        <v/>
      </c>
      <c r="AI64" s="105" t="str">
        <f>IF(preDEL!$AG64,IFERROR(0/0,""),preDEL!AI64)</f>
        <v/>
      </c>
      <c r="AJ64" s="112" t="str">
        <f>IF(preDEL!$AG64,IFERROR(0/0,""),preDEL!AJ64)</f>
        <v/>
      </c>
      <c r="AK64" s="105" t="str">
        <f>IF(preDEL!$AG64,IFERROR(0/0,""),preDEL!AK64)</f>
        <v>Negative</v>
      </c>
      <c r="AL64" s="112" t="str">
        <f>IF(preDEL!$AG64,IFERROR(0/0,""),preDEL!AL64)</f>
        <v/>
      </c>
      <c r="AM64" s="112" t="str">
        <f>IF(preDEL!$AG64,IFERROR(0/0,""),preDEL!AM64)</f>
        <v>SpBEND350015</v>
      </c>
      <c r="AN64" s="112" t="str">
        <f>IF(preDEL!$AG64,IFERROR(0/0,""),preDEL!AN64)</f>
        <v>BEND670149</v>
      </c>
      <c r="AO64" s="112" t="str">
        <f>IF(preDEL!$AG64,IFERROR(0/0,""),preDEL!AO64)</f>
        <v/>
      </c>
      <c r="AP64" s="112" t="str">
        <f>IF(preDEL!$AG64,IFERROR(0/0,""),preDEL!AP64)</f>
        <v/>
      </c>
      <c r="AQ64" s="112" t="str">
        <f>IF(preDEL!$AG64,IFERROR(0/0,""),preDEL!AQ64)</f>
        <v/>
      </c>
      <c r="AR64" s="112" t="str">
        <f>IF(preDEL!$AG64,IFERROR(0/0,""),preDEL!AR64)</f>
        <v/>
      </c>
      <c r="AS64" s="112" t="str">
        <f>IF(preDEL!$AG64,IFERROR(0/0,""),preDEL!AS64)</f>
        <v/>
      </c>
      <c r="AT64" s="112" t="b">
        <f>IF(preDEL!$AG64,IFERROR(0/0,""),preDEL!AT64)</f>
        <v>0</v>
      </c>
      <c r="AU64" s="112" t="str">
        <f>IF(preDEL!$AG64,IFERROR(0/0,""),preDEL!AU64)</f>
        <v/>
      </c>
      <c r="AV64" s="112" t="str">
        <f>IF(preDEL!$AG64,IFERROR(0/0,""),preDEL!AV64)</f>
        <v/>
      </c>
      <c r="AW64" s="112" t="str">
        <f>IF(preDEL!$AG64,IFERROR(0/0,""),preDEL!AW64)</f>
        <v/>
      </c>
      <c r="AX64" s="112" t="str">
        <f>IF(preDEL!$AG64,IFERROR(0/0,""),preDEL!AX64)</f>
        <v/>
      </c>
      <c r="AY64" s="112" t="str">
        <f>IF(preDEL!$AG64,IFERROR(0/0,""),preDEL!AY64)</f>
        <v/>
      </c>
      <c r="AZ64" s="174"/>
      <c r="BA64" s="174"/>
      <c r="BB64" s="174"/>
      <c r="BC64" s="174"/>
      <c r="BD64" s="174"/>
      <c r="BE64" s="174"/>
      <c r="BF64" s="174"/>
      <c r="BG64" s="174"/>
      <c r="BH64" s="174"/>
      <c r="BI64" s="174"/>
      <c r="BJ64" s="174"/>
      <c r="BK64" s="174"/>
      <c r="BL64" s="174"/>
      <c r="BM64" s="174"/>
      <c r="BN64" s="174"/>
      <c r="BO64" s="174"/>
      <c r="BP64" s="174"/>
      <c r="BQ64" s="174"/>
      <c r="BR64" s="174"/>
      <c r="BS64" s="174"/>
      <c r="BT64" s="174"/>
      <c r="BU64" s="174"/>
      <c r="BV64" s="174"/>
      <c r="BW64" s="174"/>
      <c r="BX64" s="174"/>
      <c r="BY64" s="174"/>
      <c r="BZ64" s="174"/>
      <c r="CA64" s="174"/>
      <c r="CB64" s="174"/>
      <c r="CC64" s="174"/>
      <c r="CD64" s="174"/>
    </row>
    <row r="65">
      <c r="A65" s="105" t="str">
        <f>IF(preDEL!$AG65,IFERROR(0/0,""),preDEL!A65)</f>
        <v>MA1183</v>
      </c>
      <c r="B65" s="170">
        <f>IF(preDEL!$AG65,IFERROR(0/0,""),preDEL!B65)</f>
        <v>44557</v>
      </c>
      <c r="C65" s="171">
        <f>IF(preDEL!$AG65,IFERROR(0/0,""),preDEL!C65)</f>
        <v>0.4258796296</v>
      </c>
      <c r="D65" s="105" t="str">
        <f>IF(preDEL!$AG65,IFERROR(0/0,""),preDEL!D65)</f>
        <v/>
      </c>
      <c r="E65" s="105" t="str">
        <f>IF(preDEL!$AG65,IFERROR(0/0,""),preDEL!E65)</f>
        <v/>
      </c>
      <c r="F65" s="112" t="str">
        <f>IF(preDEL!$AG65,IFERROR(0/0,""),preDEL!F65)</f>
        <v/>
      </c>
      <c r="G65" s="112" t="str">
        <f>IF(preDEL!$AG65,IFERROR(0/0,""),preDEL!G65)</f>
        <v/>
      </c>
      <c r="H65" s="112" t="str">
        <f>IF(preDEL!$AG65,IFERROR(0/0,""),preDEL!H65)</f>
        <v/>
      </c>
      <c r="I65" s="105" t="str">
        <f>IF(preDEL!$AG65,IFERROR(0/0,""),preDEL!I65)</f>
        <v/>
      </c>
      <c r="J65" s="105" t="str">
        <f>IF(preDEL!$AG65,IFERROR(0/0,""),preDEL!J65)</f>
        <v/>
      </c>
      <c r="K65" s="105" t="str">
        <f>IF(preDEL!$AG65,IFERROR(0/0,""),preDEL!K65)</f>
        <v>Negative</v>
      </c>
      <c r="L65" s="170">
        <f>IF(preDEL!$AG65,IFERROR(0/0,""),preDEL!L65)</f>
        <v>44557</v>
      </c>
      <c r="M65" s="171">
        <f>IF(preDEL!$AG65,IFERROR(0/0,""),preDEL!M65)</f>
        <v>0.4871064815</v>
      </c>
      <c r="N65" s="112" t="str">
        <f>IF(preDEL!$AG65,IFERROR(0/0,""),preDEL!N65)</f>
        <v/>
      </c>
      <c r="O65" s="112" t="str">
        <f>IF(preDEL!$AG65,IFERROR(0/0,""),preDEL!O65)</f>
        <v/>
      </c>
      <c r="P65" s="110" t="b">
        <f>IF(preDEL!$AG65,IFERROR(0/0,""),preDEL!P65)</f>
        <v>0</v>
      </c>
      <c r="Q65" s="110" t="str">
        <f>IF(preDEL!$AG65,IFERROR(0/0,""),preDEL!Q65)</f>
        <v>Result</v>
      </c>
      <c r="R65" s="104" t="b">
        <f>IF(preDEL!$AG65,IFERROR(0/0,""),preDEL!R65)</f>
        <v>1</v>
      </c>
      <c r="S65" s="104">
        <f>IF(preDEL!$AG65,IFERROR(0/0,""),preDEL!S65)</f>
        <v>1</v>
      </c>
      <c r="T65" s="110" t="str">
        <f>IF(preDEL!$AG65,IFERROR(0/0,""),preDEL!T65)</f>
        <v/>
      </c>
      <c r="U65" s="112" t="str">
        <f>IF(preDEL!$AG65,IFERROR(0/0,""),preDEL!U65)</f>
        <v/>
      </c>
      <c r="V65" s="105" t="str">
        <f>IF(preDEL!$AG65,IFERROR(0/0,""),preDEL!V65)</f>
        <v/>
      </c>
      <c r="W65" s="112" t="str">
        <f>IF(preDEL!$AG65,IFERROR(0/0,""),preDEL!W65)</f>
        <v/>
      </c>
      <c r="X65" s="104" t="b">
        <f>IF(preDEL!$AG65,IFERROR(0/0,""),preDEL!X65)</f>
        <v>0</v>
      </c>
      <c r="Y65" s="110" t="b">
        <f>IF(preDEL!$AG65,IFERROR(0/0,""),preDEL!Y65)</f>
        <v>0</v>
      </c>
      <c r="Z65" s="105" t="str">
        <f>IF(preDEL!$AG65,IFERROR(0/0,""),preDEL!Z65)</f>
        <v/>
      </c>
      <c r="AA65" s="110" t="b">
        <f>IF(preDEL!$AG65,IFERROR(0/0,""),preDEL!AA65)</f>
        <v>0</v>
      </c>
      <c r="AB65" s="110" t="b">
        <f>IF(preDEL!$AG65,IFERROR(0/0,""),preDEL!AB65)</f>
        <v>0</v>
      </c>
      <c r="AC65" s="172">
        <f>IF(preDEL!$AG65,IFERROR(0/0,""),preDEL!AC65)</f>
        <v>724</v>
      </c>
      <c r="AD65" s="104" t="b">
        <f>IF(preDEL!$AG65,IFERROR(0/0,""),preDEL!AD65)</f>
        <v>0</v>
      </c>
      <c r="AE65" s="173">
        <f>IF(preDEL!$AG65,IFERROR(0/0,""),preDEL!AE65)</f>
        <v>88.16666667</v>
      </c>
      <c r="AF65" s="110" t="b">
        <f>IF(preDEL!$AG65,IFERROR(0/0,""),preDEL!AF65)</f>
        <v>0</v>
      </c>
      <c r="AG65" s="110" t="b">
        <f>IF(preDEL!$AG65,IFERROR(0/0,""),preDEL!AG65)</f>
        <v>0</v>
      </c>
      <c r="AH65" s="104" t="str">
        <f>IF(preDEL!$AG65,IFERROR(0/0,""),preDEL!AH65)</f>
        <v/>
      </c>
      <c r="AI65" s="105" t="str">
        <f>IF(preDEL!$AG65,IFERROR(0/0,""),preDEL!AI65)</f>
        <v/>
      </c>
      <c r="AJ65" s="112" t="str">
        <f>IF(preDEL!$AG65,IFERROR(0/0,""),preDEL!AJ65)</f>
        <v/>
      </c>
      <c r="AK65" s="105" t="str">
        <f>IF(preDEL!$AG65,IFERROR(0/0,""),preDEL!AK65)</f>
        <v>Negative</v>
      </c>
      <c r="AL65" s="112" t="str">
        <f>IF(preDEL!$AG65,IFERROR(0/0,""),preDEL!AL65)</f>
        <v/>
      </c>
      <c r="AM65" s="112" t="str">
        <f>IF(preDEL!$AG65,IFERROR(0/0,""),preDEL!AM65)</f>
        <v>SpBEND394154</v>
      </c>
      <c r="AN65" s="112" t="str">
        <f>IF(preDEL!$AG65,IFERROR(0/0,""),preDEL!AN65)</f>
        <v>BEND538986</v>
      </c>
      <c r="AO65" s="112" t="str">
        <f>IF(preDEL!$AG65,IFERROR(0/0,""),preDEL!AO65)</f>
        <v/>
      </c>
      <c r="AP65" s="112" t="str">
        <f>IF(preDEL!$AG65,IFERROR(0/0,""),preDEL!AP65)</f>
        <v/>
      </c>
      <c r="AQ65" s="112" t="str">
        <f>IF(preDEL!$AG65,IFERROR(0/0,""),preDEL!AQ65)</f>
        <v/>
      </c>
      <c r="AR65" s="112" t="str">
        <f>IF(preDEL!$AG65,IFERROR(0/0,""),preDEL!AR65)</f>
        <v/>
      </c>
      <c r="AS65" s="112" t="str">
        <f>IF(preDEL!$AG65,IFERROR(0/0,""),preDEL!AS65)</f>
        <v/>
      </c>
      <c r="AT65" s="112" t="b">
        <f>IF(preDEL!$AG65,IFERROR(0/0,""),preDEL!AT65)</f>
        <v>0</v>
      </c>
      <c r="AU65" s="112" t="str">
        <f>IF(preDEL!$AG65,IFERROR(0/0,""),preDEL!AU65)</f>
        <v/>
      </c>
      <c r="AV65" s="112" t="str">
        <f>IF(preDEL!$AG65,IFERROR(0/0,""),preDEL!AV65)</f>
        <v/>
      </c>
      <c r="AW65" s="112" t="str">
        <f>IF(preDEL!$AG65,IFERROR(0/0,""),preDEL!AW65)</f>
        <v/>
      </c>
      <c r="AX65" s="112" t="str">
        <f>IF(preDEL!$AG65,IFERROR(0/0,""),preDEL!AX65)</f>
        <v/>
      </c>
      <c r="AY65" s="112" t="str">
        <f>IF(preDEL!$AG65,IFERROR(0/0,""),preDEL!AY65)</f>
        <v/>
      </c>
      <c r="AZ65" s="174"/>
      <c r="BA65" s="174"/>
      <c r="BB65" s="174"/>
      <c r="BC65" s="174"/>
      <c r="BD65" s="174"/>
      <c r="BE65" s="174"/>
      <c r="BF65" s="174"/>
      <c r="BG65" s="174"/>
      <c r="BH65" s="174"/>
      <c r="BI65" s="174"/>
      <c r="BJ65" s="174"/>
      <c r="BK65" s="174"/>
      <c r="BL65" s="174"/>
      <c r="BM65" s="174"/>
      <c r="BN65" s="174"/>
      <c r="BO65" s="174"/>
      <c r="BP65" s="174"/>
      <c r="BQ65" s="174"/>
      <c r="BR65" s="174"/>
      <c r="BS65" s="174"/>
      <c r="BT65" s="174"/>
      <c r="BU65" s="174"/>
      <c r="BV65" s="174"/>
      <c r="BW65" s="174"/>
      <c r="BX65" s="174"/>
      <c r="BY65" s="174"/>
      <c r="BZ65" s="174"/>
      <c r="CA65" s="174"/>
      <c r="CB65" s="174"/>
      <c r="CC65" s="174"/>
      <c r="CD65" s="174"/>
    </row>
    <row r="66">
      <c r="A66" s="105" t="str">
        <f>IF(preDEL!$AG66,IFERROR(0/0,""),preDEL!A66)</f>
        <v>MA479</v>
      </c>
      <c r="B66" s="170">
        <f>IF(preDEL!$AG66,IFERROR(0/0,""),preDEL!B66)</f>
        <v>44559</v>
      </c>
      <c r="C66" s="171">
        <f>IF(preDEL!$AG66,IFERROR(0/0,""),preDEL!C66)</f>
        <v>0.2964467593</v>
      </c>
      <c r="D66" s="105" t="str">
        <f>IF(preDEL!$AG66,IFERROR(0/0,""),preDEL!D66)</f>
        <v/>
      </c>
      <c r="E66" s="105" t="str">
        <f>IF(preDEL!$AG66,IFERROR(0/0,""),preDEL!E66)</f>
        <v/>
      </c>
      <c r="F66" s="112" t="str">
        <f>IF(preDEL!$AG66,IFERROR(0/0,""),preDEL!F66)</f>
        <v/>
      </c>
      <c r="G66" s="112" t="str">
        <f>IF(preDEL!$AG66,IFERROR(0/0,""),preDEL!G66)</f>
        <v/>
      </c>
      <c r="H66" s="112" t="str">
        <f>IF(preDEL!$AG66,IFERROR(0/0,""),preDEL!H66)</f>
        <v/>
      </c>
      <c r="I66" s="105" t="str">
        <f>IF(preDEL!$AG66,IFERROR(0/0,""),preDEL!I66)</f>
        <v/>
      </c>
      <c r="J66" s="105" t="str">
        <f>IF(preDEL!$AG66,IFERROR(0/0,""),preDEL!J66)</f>
        <v/>
      </c>
      <c r="K66" s="105" t="str">
        <f>IF(preDEL!$AG66,IFERROR(0/0,""),preDEL!K66)</f>
        <v>Negative</v>
      </c>
      <c r="L66" s="170">
        <f>IF(preDEL!$AG66,IFERROR(0/0,""),preDEL!L66)</f>
        <v>44559</v>
      </c>
      <c r="M66" s="171">
        <f>IF(preDEL!$AG66,IFERROR(0/0,""),preDEL!M66)</f>
        <v>0.4366319444</v>
      </c>
      <c r="N66" s="112" t="str">
        <f>IF(preDEL!$AG66,IFERROR(0/0,""),preDEL!N66)</f>
        <v/>
      </c>
      <c r="O66" s="112" t="str">
        <f>IF(preDEL!$AG66,IFERROR(0/0,""),preDEL!O66)</f>
        <v/>
      </c>
      <c r="P66" s="110" t="b">
        <f>IF(preDEL!$AG66,IFERROR(0/0,""),preDEL!P66)</f>
        <v>0</v>
      </c>
      <c r="Q66" s="110" t="str">
        <f>IF(preDEL!$AG66,IFERROR(0/0,""),preDEL!Q66)</f>
        <v>Result</v>
      </c>
      <c r="R66" s="104" t="b">
        <f>IF(preDEL!$AG66,IFERROR(0/0,""),preDEL!R66)</f>
        <v>1</v>
      </c>
      <c r="S66" s="104">
        <f>IF(preDEL!$AG66,IFERROR(0/0,""),preDEL!S66)</f>
        <v>1</v>
      </c>
      <c r="T66" s="110" t="str">
        <f>IF(preDEL!$AG66,IFERROR(0/0,""),preDEL!T66)</f>
        <v/>
      </c>
      <c r="U66" s="112" t="str">
        <f>IF(preDEL!$AG66,IFERROR(0/0,""),preDEL!U66)</f>
        <v/>
      </c>
      <c r="V66" s="105" t="str">
        <f>IF(preDEL!$AG66,IFERROR(0/0,""),preDEL!V66)</f>
        <v/>
      </c>
      <c r="W66" s="112" t="str">
        <f>IF(preDEL!$AG66,IFERROR(0/0,""),preDEL!W66)</f>
        <v/>
      </c>
      <c r="X66" s="104" t="b">
        <f>IF(preDEL!$AG66,IFERROR(0/0,""),preDEL!X66)</f>
        <v>0</v>
      </c>
      <c r="Y66" s="110" t="b">
        <f>IF(preDEL!$AG66,IFERROR(0/0,""),preDEL!Y66)</f>
        <v>0</v>
      </c>
      <c r="Z66" s="105" t="str">
        <f>IF(preDEL!$AG66,IFERROR(0/0,""),preDEL!Z66)</f>
        <v/>
      </c>
      <c r="AA66" s="110" t="b">
        <f>IF(preDEL!$AG66,IFERROR(0/0,""),preDEL!AA66)</f>
        <v>0</v>
      </c>
      <c r="AB66" s="110" t="b">
        <f>IF(preDEL!$AG66,IFERROR(0/0,""),preDEL!AB66)</f>
        <v>0</v>
      </c>
      <c r="AC66" s="172">
        <f>IF(preDEL!$AG66,IFERROR(0/0,""),preDEL!AC66)</f>
        <v>723</v>
      </c>
      <c r="AD66" s="104" t="b">
        <f>IF(preDEL!$AG66,IFERROR(0/0,""),preDEL!AD66)</f>
        <v>0</v>
      </c>
      <c r="AE66" s="173">
        <f>IF(preDEL!$AG66,IFERROR(0/0,""),preDEL!AE66)</f>
        <v>201.8666667</v>
      </c>
      <c r="AF66" s="110" t="b">
        <f>IF(preDEL!$AG66,IFERROR(0/0,""),preDEL!AF66)</f>
        <v>0</v>
      </c>
      <c r="AG66" s="110" t="b">
        <f>IF(preDEL!$AG66,IFERROR(0/0,""),preDEL!AG66)</f>
        <v>0</v>
      </c>
      <c r="AH66" s="104" t="str">
        <f>IF(preDEL!$AG66,IFERROR(0/0,""),preDEL!AH66)</f>
        <v/>
      </c>
      <c r="AI66" s="105" t="str">
        <f>IF(preDEL!$AG66,IFERROR(0/0,""),preDEL!AI66)</f>
        <v/>
      </c>
      <c r="AJ66" s="112" t="str">
        <f>IF(preDEL!$AG66,IFERROR(0/0,""),preDEL!AJ66)</f>
        <v/>
      </c>
      <c r="AK66" s="105" t="str">
        <f>IF(preDEL!$AG66,IFERROR(0/0,""),preDEL!AK66)</f>
        <v>Negative</v>
      </c>
      <c r="AL66" s="112" t="str">
        <f>IF(preDEL!$AG66,IFERROR(0/0,""),preDEL!AL66)</f>
        <v/>
      </c>
      <c r="AM66" s="112" t="str">
        <f>IF(preDEL!$AG66,IFERROR(0/0,""),preDEL!AM66)</f>
        <v>SpBEND610784</v>
      </c>
      <c r="AN66" s="112" t="str">
        <f>IF(preDEL!$AG66,IFERROR(0/0,""),preDEL!AN66)</f>
        <v>BEND398577</v>
      </c>
      <c r="AO66" s="112" t="str">
        <f>IF(preDEL!$AG66,IFERROR(0/0,""),preDEL!AO66)</f>
        <v/>
      </c>
      <c r="AP66" s="112" t="str">
        <f>IF(preDEL!$AG66,IFERROR(0/0,""),preDEL!AP66)</f>
        <v/>
      </c>
      <c r="AQ66" s="112" t="str">
        <f>IF(preDEL!$AG66,IFERROR(0/0,""),preDEL!AQ66)</f>
        <v/>
      </c>
      <c r="AR66" s="112" t="str">
        <f>IF(preDEL!$AG66,IFERROR(0/0,""),preDEL!AR66)</f>
        <v/>
      </c>
      <c r="AS66" s="112" t="str">
        <f>IF(preDEL!$AG66,IFERROR(0/0,""),preDEL!AS66)</f>
        <v/>
      </c>
      <c r="AT66" s="112" t="b">
        <f>IF(preDEL!$AG66,IFERROR(0/0,""),preDEL!AT66)</f>
        <v>0</v>
      </c>
      <c r="AU66" s="112" t="str">
        <f>IF(preDEL!$AG66,IFERROR(0/0,""),preDEL!AU66)</f>
        <v/>
      </c>
      <c r="AV66" s="112" t="str">
        <f>IF(preDEL!$AG66,IFERROR(0/0,""),preDEL!AV66)</f>
        <v/>
      </c>
      <c r="AW66" s="112" t="str">
        <f>IF(preDEL!$AG66,IFERROR(0/0,""),preDEL!AW66)</f>
        <v/>
      </c>
      <c r="AX66" s="112" t="str">
        <f>IF(preDEL!$AG66,IFERROR(0/0,""),preDEL!AX66)</f>
        <v/>
      </c>
      <c r="AY66" s="112" t="str">
        <f>IF(preDEL!$AG66,IFERROR(0/0,""),preDEL!AY66)</f>
        <v/>
      </c>
      <c r="AZ66" s="174"/>
      <c r="BA66" s="174"/>
      <c r="BB66" s="174"/>
      <c r="BC66" s="174"/>
      <c r="BD66" s="174"/>
      <c r="BE66" s="174"/>
      <c r="BF66" s="174"/>
      <c r="BG66" s="174"/>
      <c r="BH66" s="174"/>
      <c r="BI66" s="174"/>
      <c r="BJ66" s="174"/>
      <c r="BK66" s="174"/>
      <c r="BL66" s="174"/>
      <c r="BM66" s="174"/>
      <c r="BN66" s="174"/>
      <c r="BO66" s="174"/>
      <c r="BP66" s="174"/>
      <c r="BQ66" s="174"/>
      <c r="BR66" s="174"/>
      <c r="BS66" s="174"/>
      <c r="BT66" s="174"/>
      <c r="BU66" s="174"/>
      <c r="BV66" s="174"/>
      <c r="BW66" s="174"/>
      <c r="BX66" s="174"/>
      <c r="BY66" s="174"/>
      <c r="BZ66" s="174"/>
      <c r="CA66" s="174"/>
      <c r="CB66" s="174"/>
      <c r="CC66" s="174"/>
      <c r="CD66" s="174"/>
    </row>
    <row r="67">
      <c r="A67" s="105" t="str">
        <f>IF(preDEL!$AG67,IFERROR(0/0,""),preDEL!A67)</f>
        <v>MA1299</v>
      </c>
      <c r="B67" s="170">
        <f>IF(preDEL!$AG67,IFERROR(0/0,""),preDEL!B67)</f>
        <v>44559</v>
      </c>
      <c r="C67" s="171">
        <f>IF(preDEL!$AG67,IFERROR(0/0,""),preDEL!C67)</f>
        <v>0.3565856481</v>
      </c>
      <c r="D67" s="105" t="str">
        <f>IF(preDEL!$AG67,IFERROR(0/0,""),preDEL!D67)</f>
        <v/>
      </c>
      <c r="E67" s="105" t="str">
        <f>IF(preDEL!$AG67,IFERROR(0/0,""),preDEL!E67)</f>
        <v/>
      </c>
      <c r="F67" s="112" t="str">
        <f>IF(preDEL!$AG67,IFERROR(0/0,""),preDEL!F67)</f>
        <v/>
      </c>
      <c r="G67" s="112" t="str">
        <f>IF(preDEL!$AG67,IFERROR(0/0,""),preDEL!G67)</f>
        <v/>
      </c>
      <c r="H67" s="112" t="str">
        <f>IF(preDEL!$AG67,IFERROR(0/0,""),preDEL!H67)</f>
        <v/>
      </c>
      <c r="I67" s="105" t="str">
        <f>IF(preDEL!$AG67,IFERROR(0/0,""),preDEL!I67)</f>
        <v/>
      </c>
      <c r="J67" s="105" t="str">
        <f>IF(preDEL!$AG67,IFERROR(0/0,""),preDEL!J67)</f>
        <v/>
      </c>
      <c r="K67" s="105" t="str">
        <f>IF(preDEL!$AG67,IFERROR(0/0,""),preDEL!K67)</f>
        <v>Negative</v>
      </c>
      <c r="L67" s="170">
        <f>IF(preDEL!$AG67,IFERROR(0/0,""),preDEL!L67)</f>
        <v>44559</v>
      </c>
      <c r="M67" s="171">
        <f>IF(preDEL!$AG67,IFERROR(0/0,""),preDEL!M67)</f>
        <v>0.4366319444</v>
      </c>
      <c r="N67" s="112" t="str">
        <f>IF(preDEL!$AG67,IFERROR(0/0,""),preDEL!N67)</f>
        <v/>
      </c>
      <c r="O67" s="112" t="str">
        <f>IF(preDEL!$AG67,IFERROR(0/0,""),preDEL!O67)</f>
        <v/>
      </c>
      <c r="P67" s="110" t="b">
        <f>IF(preDEL!$AG67,IFERROR(0/0,""),preDEL!P67)</f>
        <v>0</v>
      </c>
      <c r="Q67" s="110" t="str">
        <f>IF(preDEL!$AG67,IFERROR(0/0,""),preDEL!Q67)</f>
        <v>Result</v>
      </c>
      <c r="R67" s="104" t="b">
        <f>IF(preDEL!$AG67,IFERROR(0/0,""),preDEL!R67)</f>
        <v>1</v>
      </c>
      <c r="S67" s="104">
        <f>IF(preDEL!$AG67,IFERROR(0/0,""),preDEL!S67)</f>
        <v>1</v>
      </c>
      <c r="T67" s="110" t="str">
        <f>IF(preDEL!$AG67,IFERROR(0/0,""),preDEL!T67)</f>
        <v/>
      </c>
      <c r="U67" s="112" t="str">
        <f>IF(preDEL!$AG67,IFERROR(0/0,""),preDEL!U67)</f>
        <v/>
      </c>
      <c r="V67" s="105" t="str">
        <f>IF(preDEL!$AG67,IFERROR(0/0,""),preDEL!V67)</f>
        <v/>
      </c>
      <c r="W67" s="112" t="str">
        <f>IF(preDEL!$AG67,IFERROR(0/0,""),preDEL!W67)</f>
        <v/>
      </c>
      <c r="X67" s="104" t="b">
        <f>IF(preDEL!$AG67,IFERROR(0/0,""),preDEL!X67)</f>
        <v>0</v>
      </c>
      <c r="Y67" s="110" t="b">
        <f>IF(preDEL!$AG67,IFERROR(0/0,""),preDEL!Y67)</f>
        <v>0</v>
      </c>
      <c r="Z67" s="105" t="str">
        <f>IF(preDEL!$AG67,IFERROR(0/0,""),preDEL!Z67)</f>
        <v/>
      </c>
      <c r="AA67" s="110" t="b">
        <f>IF(preDEL!$AG67,IFERROR(0/0,""),preDEL!AA67)</f>
        <v>0</v>
      </c>
      <c r="AB67" s="110" t="b">
        <f>IF(preDEL!$AG67,IFERROR(0/0,""),preDEL!AB67)</f>
        <v>0</v>
      </c>
      <c r="AC67" s="172">
        <f>IF(preDEL!$AG67,IFERROR(0/0,""),preDEL!AC67)</f>
        <v>722</v>
      </c>
      <c r="AD67" s="104" t="b">
        <f>IF(preDEL!$AG67,IFERROR(0/0,""),preDEL!AD67)</f>
        <v>0</v>
      </c>
      <c r="AE67" s="173">
        <f>IF(preDEL!$AG67,IFERROR(0/0,""),preDEL!AE67)</f>
        <v>115.2666667</v>
      </c>
      <c r="AF67" s="110" t="b">
        <f>IF(preDEL!$AG67,IFERROR(0/0,""),preDEL!AF67)</f>
        <v>0</v>
      </c>
      <c r="AG67" s="110" t="b">
        <f>IF(preDEL!$AG67,IFERROR(0/0,""),preDEL!AG67)</f>
        <v>0</v>
      </c>
      <c r="AH67" s="104" t="str">
        <f>IF(preDEL!$AG67,IFERROR(0/0,""),preDEL!AH67)</f>
        <v/>
      </c>
      <c r="AI67" s="105" t="str">
        <f>IF(preDEL!$AG67,IFERROR(0/0,""),preDEL!AI67)</f>
        <v/>
      </c>
      <c r="AJ67" s="112" t="str">
        <f>IF(preDEL!$AG67,IFERROR(0/0,""),preDEL!AJ67)</f>
        <v/>
      </c>
      <c r="AK67" s="105" t="str">
        <f>IF(preDEL!$AG67,IFERROR(0/0,""),preDEL!AK67)</f>
        <v>Negative</v>
      </c>
      <c r="AL67" s="112" t="str">
        <f>IF(preDEL!$AG67,IFERROR(0/0,""),preDEL!AL67)</f>
        <v/>
      </c>
      <c r="AM67" s="112" t="str">
        <f>IF(preDEL!$AG67,IFERROR(0/0,""),preDEL!AM67)</f>
        <v>SpBEND708976</v>
      </c>
      <c r="AN67" s="112" t="str">
        <f>IF(preDEL!$AG67,IFERROR(0/0,""),preDEL!AN67)</f>
        <v>BEND525784</v>
      </c>
      <c r="AO67" s="112" t="str">
        <f>IF(preDEL!$AG67,IFERROR(0/0,""),preDEL!AO67)</f>
        <v/>
      </c>
      <c r="AP67" s="112" t="str">
        <f>IF(preDEL!$AG67,IFERROR(0/0,""),preDEL!AP67)</f>
        <v/>
      </c>
      <c r="AQ67" s="112" t="str">
        <f>IF(preDEL!$AG67,IFERROR(0/0,""),preDEL!AQ67)</f>
        <v/>
      </c>
      <c r="AR67" s="112" t="str">
        <f>IF(preDEL!$AG67,IFERROR(0/0,""),preDEL!AR67)</f>
        <v/>
      </c>
      <c r="AS67" s="112" t="str">
        <f>IF(preDEL!$AG67,IFERROR(0/0,""),preDEL!AS67)</f>
        <v/>
      </c>
      <c r="AT67" s="112" t="b">
        <f>IF(preDEL!$AG67,IFERROR(0/0,""),preDEL!AT67)</f>
        <v>0</v>
      </c>
      <c r="AU67" s="112" t="str">
        <f>IF(preDEL!$AG67,IFERROR(0/0,""),preDEL!AU67)</f>
        <v/>
      </c>
      <c r="AV67" s="112" t="str">
        <f>IF(preDEL!$AG67,IFERROR(0/0,""),preDEL!AV67)</f>
        <v/>
      </c>
      <c r="AW67" s="112" t="str">
        <f>IF(preDEL!$AG67,IFERROR(0/0,""),preDEL!AW67)</f>
        <v/>
      </c>
      <c r="AX67" s="112" t="str">
        <f>IF(preDEL!$AG67,IFERROR(0/0,""),preDEL!AX67)</f>
        <v/>
      </c>
      <c r="AY67" s="112" t="str">
        <f>IF(preDEL!$AG67,IFERROR(0/0,""),preDEL!AY67)</f>
        <v/>
      </c>
      <c r="AZ67" s="174"/>
      <c r="BA67" s="174"/>
      <c r="BB67" s="174"/>
      <c r="BC67" s="174"/>
      <c r="BD67" s="174"/>
      <c r="BE67" s="174"/>
      <c r="BF67" s="174"/>
      <c r="BG67" s="174"/>
      <c r="BH67" s="174"/>
      <c r="BI67" s="174"/>
      <c r="BJ67" s="174"/>
      <c r="BK67" s="174"/>
      <c r="BL67" s="174"/>
      <c r="BM67" s="174"/>
      <c r="BN67" s="174"/>
      <c r="BO67" s="174"/>
      <c r="BP67" s="174"/>
      <c r="BQ67" s="174"/>
      <c r="BR67" s="174"/>
      <c r="BS67" s="174"/>
      <c r="BT67" s="174"/>
      <c r="BU67" s="174"/>
      <c r="BV67" s="174"/>
      <c r="BW67" s="174"/>
      <c r="BX67" s="174"/>
      <c r="BY67" s="174"/>
      <c r="BZ67" s="174"/>
      <c r="CA67" s="174"/>
      <c r="CB67" s="174"/>
      <c r="CC67" s="174"/>
      <c r="CD67" s="174"/>
    </row>
    <row r="68">
      <c r="A68" s="105" t="str">
        <f>IF(preDEL!$AG68,IFERROR(0/0,""),preDEL!A68)</f>
        <v>MA404</v>
      </c>
      <c r="B68" s="170">
        <f>IF(preDEL!$AG68,IFERROR(0/0,""),preDEL!B68)</f>
        <v>44559</v>
      </c>
      <c r="C68" s="171">
        <f>IF(preDEL!$AG68,IFERROR(0/0,""),preDEL!C68)</f>
        <v>0.3973263889</v>
      </c>
      <c r="D68" s="105" t="str">
        <f>IF(preDEL!$AG68,IFERROR(0/0,""),preDEL!D68)</f>
        <v/>
      </c>
      <c r="E68" s="105" t="str">
        <f>IF(preDEL!$AG68,IFERROR(0/0,""),preDEL!E68)</f>
        <v/>
      </c>
      <c r="F68" s="112" t="str">
        <f>IF(preDEL!$AG68,IFERROR(0/0,""),preDEL!F68)</f>
        <v/>
      </c>
      <c r="G68" s="112" t="str">
        <f>IF(preDEL!$AG68,IFERROR(0/0,""),preDEL!G68)</f>
        <v/>
      </c>
      <c r="H68" s="112" t="str">
        <f>IF(preDEL!$AG68,IFERROR(0/0,""),preDEL!H68)</f>
        <v/>
      </c>
      <c r="I68" s="105" t="str">
        <f>IF(preDEL!$AG68,IFERROR(0/0,""),preDEL!I68)</f>
        <v/>
      </c>
      <c r="J68" s="105" t="str">
        <f>IF(preDEL!$AG68,IFERROR(0/0,""),preDEL!J68)</f>
        <v/>
      </c>
      <c r="K68" s="105" t="str">
        <f>IF(preDEL!$AG68,IFERROR(0/0,""),preDEL!K68)</f>
        <v>Negative</v>
      </c>
      <c r="L68" s="170">
        <f>IF(preDEL!$AG68,IFERROR(0/0,""),preDEL!L68)</f>
        <v>44559</v>
      </c>
      <c r="M68" s="171">
        <f>IF(preDEL!$AG68,IFERROR(0/0,""),preDEL!M68)</f>
        <v>0.4366319444</v>
      </c>
      <c r="N68" s="112" t="str">
        <f>IF(preDEL!$AG68,IFERROR(0/0,""),preDEL!N68)</f>
        <v/>
      </c>
      <c r="O68" s="112" t="str">
        <f>IF(preDEL!$AG68,IFERROR(0/0,""),preDEL!O68)</f>
        <v/>
      </c>
      <c r="P68" s="110" t="b">
        <f>IF(preDEL!$AG68,IFERROR(0/0,""),preDEL!P68)</f>
        <v>0</v>
      </c>
      <c r="Q68" s="110" t="str">
        <f>IF(preDEL!$AG68,IFERROR(0/0,""),preDEL!Q68)</f>
        <v>Result</v>
      </c>
      <c r="R68" s="104" t="b">
        <f>IF(preDEL!$AG68,IFERROR(0/0,""),preDEL!R68)</f>
        <v>1</v>
      </c>
      <c r="S68" s="104">
        <f>IF(preDEL!$AG68,IFERROR(0/0,""),preDEL!S68)</f>
        <v>1</v>
      </c>
      <c r="T68" s="110" t="str">
        <f>IF(preDEL!$AG68,IFERROR(0/0,""),preDEL!T68)</f>
        <v/>
      </c>
      <c r="U68" s="112" t="str">
        <f>IF(preDEL!$AG68,IFERROR(0/0,""),preDEL!U68)</f>
        <v/>
      </c>
      <c r="V68" s="105" t="str">
        <f>IF(preDEL!$AG68,IFERROR(0/0,""),preDEL!V68)</f>
        <v/>
      </c>
      <c r="W68" s="112" t="str">
        <f>IF(preDEL!$AG68,IFERROR(0/0,""),preDEL!W68)</f>
        <v/>
      </c>
      <c r="X68" s="104" t="b">
        <f>IF(preDEL!$AG68,IFERROR(0/0,""),preDEL!X68)</f>
        <v>0</v>
      </c>
      <c r="Y68" s="110" t="b">
        <f>IF(preDEL!$AG68,IFERROR(0/0,""),preDEL!Y68)</f>
        <v>0</v>
      </c>
      <c r="Z68" s="105" t="str">
        <f>IF(preDEL!$AG68,IFERROR(0/0,""),preDEL!Z68)</f>
        <v/>
      </c>
      <c r="AA68" s="110" t="b">
        <f>IF(preDEL!$AG68,IFERROR(0/0,""),preDEL!AA68)</f>
        <v>0</v>
      </c>
      <c r="AB68" s="110" t="b">
        <f>IF(preDEL!$AG68,IFERROR(0/0,""),preDEL!AB68)</f>
        <v>0</v>
      </c>
      <c r="AC68" s="172">
        <f>IF(preDEL!$AG68,IFERROR(0/0,""),preDEL!AC68)</f>
        <v>721</v>
      </c>
      <c r="AD68" s="104" t="b">
        <f>IF(preDEL!$AG68,IFERROR(0/0,""),preDEL!AD68)</f>
        <v>0</v>
      </c>
      <c r="AE68" s="173">
        <f>IF(preDEL!$AG68,IFERROR(0/0,""),preDEL!AE68)</f>
        <v>56.6</v>
      </c>
      <c r="AF68" s="110" t="b">
        <f>IF(preDEL!$AG68,IFERROR(0/0,""),preDEL!AF68)</f>
        <v>0</v>
      </c>
      <c r="AG68" s="110" t="b">
        <f>IF(preDEL!$AG68,IFERROR(0/0,""),preDEL!AG68)</f>
        <v>0</v>
      </c>
      <c r="AH68" s="104" t="str">
        <f>IF(preDEL!$AG68,IFERROR(0/0,""),preDEL!AH68)</f>
        <v/>
      </c>
      <c r="AI68" s="105" t="str">
        <f>IF(preDEL!$AG68,IFERROR(0/0,""),preDEL!AI68)</f>
        <v/>
      </c>
      <c r="AJ68" s="112" t="str">
        <f>IF(preDEL!$AG68,IFERROR(0/0,""),preDEL!AJ68)</f>
        <v/>
      </c>
      <c r="AK68" s="105" t="str">
        <f>IF(preDEL!$AG68,IFERROR(0/0,""),preDEL!AK68)</f>
        <v>Negative</v>
      </c>
      <c r="AL68" s="112" t="str">
        <f>IF(preDEL!$AG68,IFERROR(0/0,""),preDEL!AL68)</f>
        <v/>
      </c>
      <c r="AM68" s="112" t="str">
        <f>IF(preDEL!$AG68,IFERROR(0/0,""),preDEL!AM68)</f>
        <v>SpBEND110967</v>
      </c>
      <c r="AN68" s="112" t="str">
        <f>IF(preDEL!$AG68,IFERROR(0/0,""),preDEL!AN68)</f>
        <v>BEND797605</v>
      </c>
      <c r="AO68" s="112" t="str">
        <f>IF(preDEL!$AG68,IFERROR(0/0,""),preDEL!AO68)</f>
        <v/>
      </c>
      <c r="AP68" s="112" t="str">
        <f>IF(preDEL!$AG68,IFERROR(0/0,""),preDEL!AP68)</f>
        <v/>
      </c>
      <c r="AQ68" s="112" t="str">
        <f>IF(preDEL!$AG68,IFERROR(0/0,""),preDEL!AQ68)</f>
        <v/>
      </c>
      <c r="AR68" s="112" t="str">
        <f>IF(preDEL!$AG68,IFERROR(0/0,""),preDEL!AR68)</f>
        <v/>
      </c>
      <c r="AS68" s="112" t="str">
        <f>IF(preDEL!$AG68,IFERROR(0/0,""),preDEL!AS68)</f>
        <v/>
      </c>
      <c r="AT68" s="112" t="b">
        <f>IF(preDEL!$AG68,IFERROR(0/0,""),preDEL!AT68)</f>
        <v>0</v>
      </c>
      <c r="AU68" s="112" t="str">
        <f>IF(preDEL!$AG68,IFERROR(0/0,""),preDEL!AU68)</f>
        <v/>
      </c>
      <c r="AV68" s="112" t="str">
        <f>IF(preDEL!$AG68,IFERROR(0/0,""),preDEL!AV68)</f>
        <v/>
      </c>
      <c r="AW68" s="112" t="str">
        <f>IF(preDEL!$AG68,IFERROR(0/0,""),preDEL!AW68)</f>
        <v/>
      </c>
      <c r="AX68" s="112" t="str">
        <f>IF(preDEL!$AG68,IFERROR(0/0,""),preDEL!AX68)</f>
        <v/>
      </c>
      <c r="AY68" s="112" t="str">
        <f>IF(preDEL!$AG68,IFERROR(0/0,""),preDEL!AY68)</f>
        <v/>
      </c>
      <c r="AZ68" s="174"/>
      <c r="BA68" s="174"/>
      <c r="BB68" s="174"/>
      <c r="BC68" s="174"/>
      <c r="BD68" s="174"/>
      <c r="BE68" s="174"/>
      <c r="BF68" s="174"/>
      <c r="BG68" s="174"/>
      <c r="BH68" s="174"/>
      <c r="BI68" s="174"/>
      <c r="BJ68" s="174"/>
      <c r="BK68" s="174"/>
      <c r="BL68" s="174"/>
      <c r="BM68" s="174"/>
      <c r="BN68" s="174"/>
      <c r="BO68" s="174"/>
      <c r="BP68" s="174"/>
      <c r="BQ68" s="174"/>
      <c r="BR68" s="174"/>
      <c r="BS68" s="174"/>
      <c r="BT68" s="174"/>
      <c r="BU68" s="174"/>
      <c r="BV68" s="174"/>
      <c r="BW68" s="174"/>
      <c r="BX68" s="174"/>
      <c r="BY68" s="174"/>
      <c r="BZ68" s="174"/>
      <c r="CA68" s="174"/>
      <c r="CB68" s="174"/>
      <c r="CC68" s="174"/>
      <c r="CD68" s="174"/>
    </row>
    <row r="69">
      <c r="A69" s="105" t="str">
        <f>IF(preDEL!$AG69,IFERROR(0/0,""),preDEL!A69)</f>
        <v>MA1073</v>
      </c>
      <c r="B69" s="170">
        <f>IF(preDEL!$AG69,IFERROR(0/0,""),preDEL!B69)</f>
        <v>44559</v>
      </c>
      <c r="C69" s="171">
        <f>IF(preDEL!$AG69,IFERROR(0/0,""),preDEL!C69)</f>
        <v>0.3974421296</v>
      </c>
      <c r="D69" s="105" t="str">
        <f>IF(preDEL!$AG69,IFERROR(0/0,""),preDEL!D69)</f>
        <v/>
      </c>
      <c r="E69" s="105" t="str">
        <f>IF(preDEL!$AG69,IFERROR(0/0,""),preDEL!E69)</f>
        <v/>
      </c>
      <c r="F69" s="112" t="str">
        <f>IF(preDEL!$AG69,IFERROR(0/0,""),preDEL!F69)</f>
        <v/>
      </c>
      <c r="G69" s="112" t="str">
        <f>IF(preDEL!$AG69,IFERROR(0/0,""),preDEL!G69)</f>
        <v/>
      </c>
      <c r="H69" s="112" t="str">
        <f>IF(preDEL!$AG69,IFERROR(0/0,""),preDEL!H69)</f>
        <v/>
      </c>
      <c r="I69" s="105" t="str">
        <f>IF(preDEL!$AG69,IFERROR(0/0,""),preDEL!I69)</f>
        <v/>
      </c>
      <c r="J69" s="105" t="str">
        <f>IF(preDEL!$AG69,IFERROR(0/0,""),preDEL!J69)</f>
        <v/>
      </c>
      <c r="K69" s="105" t="str">
        <f>IF(preDEL!$AG69,IFERROR(0/0,""),preDEL!K69)</f>
        <v>Negative</v>
      </c>
      <c r="L69" s="170">
        <f>IF(preDEL!$AG69,IFERROR(0/0,""),preDEL!L69)</f>
        <v>44559</v>
      </c>
      <c r="M69" s="171">
        <f>IF(preDEL!$AG69,IFERROR(0/0,""),preDEL!M69)</f>
        <v>0.4366319444</v>
      </c>
      <c r="N69" s="112" t="str">
        <f>IF(preDEL!$AG69,IFERROR(0/0,""),preDEL!N69)</f>
        <v/>
      </c>
      <c r="O69" s="112" t="str">
        <f>IF(preDEL!$AG69,IFERROR(0/0,""),preDEL!O69)</f>
        <v/>
      </c>
      <c r="P69" s="110" t="b">
        <f>IF(preDEL!$AG69,IFERROR(0/0,""),preDEL!P69)</f>
        <v>0</v>
      </c>
      <c r="Q69" s="110" t="str">
        <f>IF(preDEL!$AG69,IFERROR(0/0,""),preDEL!Q69)</f>
        <v>Result</v>
      </c>
      <c r="R69" s="104" t="b">
        <f>IF(preDEL!$AG69,IFERROR(0/0,""),preDEL!R69)</f>
        <v>1</v>
      </c>
      <c r="S69" s="104">
        <f>IF(preDEL!$AG69,IFERROR(0/0,""),preDEL!S69)</f>
        <v>1</v>
      </c>
      <c r="T69" s="110" t="str">
        <f>IF(preDEL!$AG69,IFERROR(0/0,""),preDEL!T69)</f>
        <v/>
      </c>
      <c r="U69" s="112" t="str">
        <f>IF(preDEL!$AG69,IFERROR(0/0,""),preDEL!U69)</f>
        <v/>
      </c>
      <c r="V69" s="105" t="str">
        <f>IF(preDEL!$AG69,IFERROR(0/0,""),preDEL!V69)</f>
        <v/>
      </c>
      <c r="W69" s="112" t="str">
        <f>IF(preDEL!$AG69,IFERROR(0/0,""),preDEL!W69)</f>
        <v/>
      </c>
      <c r="X69" s="104" t="b">
        <f>IF(preDEL!$AG69,IFERROR(0/0,""),preDEL!X69)</f>
        <v>0</v>
      </c>
      <c r="Y69" s="110" t="b">
        <f>IF(preDEL!$AG69,IFERROR(0/0,""),preDEL!Y69)</f>
        <v>0</v>
      </c>
      <c r="Z69" s="105" t="str">
        <f>IF(preDEL!$AG69,IFERROR(0/0,""),preDEL!Z69)</f>
        <v/>
      </c>
      <c r="AA69" s="110" t="b">
        <f>IF(preDEL!$AG69,IFERROR(0/0,""),preDEL!AA69)</f>
        <v>0</v>
      </c>
      <c r="AB69" s="110" t="b">
        <f>IF(preDEL!$AG69,IFERROR(0/0,""),preDEL!AB69)</f>
        <v>0</v>
      </c>
      <c r="AC69" s="172">
        <f>IF(preDEL!$AG69,IFERROR(0/0,""),preDEL!AC69)</f>
        <v>720</v>
      </c>
      <c r="AD69" s="104" t="b">
        <f>IF(preDEL!$AG69,IFERROR(0/0,""),preDEL!AD69)</f>
        <v>0</v>
      </c>
      <c r="AE69" s="173">
        <f>IF(preDEL!$AG69,IFERROR(0/0,""),preDEL!AE69)</f>
        <v>56.43333333</v>
      </c>
      <c r="AF69" s="110" t="b">
        <f>IF(preDEL!$AG69,IFERROR(0/0,""),preDEL!AF69)</f>
        <v>0</v>
      </c>
      <c r="AG69" s="110" t="b">
        <f>IF(preDEL!$AG69,IFERROR(0/0,""),preDEL!AG69)</f>
        <v>0</v>
      </c>
      <c r="AH69" s="104" t="str">
        <f>IF(preDEL!$AG69,IFERROR(0/0,""),preDEL!AH69)</f>
        <v/>
      </c>
      <c r="AI69" s="105" t="str">
        <f>IF(preDEL!$AG69,IFERROR(0/0,""),preDEL!AI69)</f>
        <v/>
      </c>
      <c r="AJ69" s="112" t="str">
        <f>IF(preDEL!$AG69,IFERROR(0/0,""),preDEL!AJ69)</f>
        <v/>
      </c>
      <c r="AK69" s="105" t="str">
        <f>IF(preDEL!$AG69,IFERROR(0/0,""),preDEL!AK69)</f>
        <v>Negative</v>
      </c>
      <c r="AL69" s="112" t="str">
        <f>IF(preDEL!$AG69,IFERROR(0/0,""),preDEL!AL69)</f>
        <v/>
      </c>
      <c r="AM69" s="112" t="str">
        <f>IF(preDEL!$AG69,IFERROR(0/0,""),preDEL!AM69)</f>
        <v>SpBEND350015</v>
      </c>
      <c r="AN69" s="112" t="str">
        <f>IF(preDEL!$AG69,IFERROR(0/0,""),preDEL!AN69)</f>
        <v>BEND670149</v>
      </c>
      <c r="AO69" s="112" t="str">
        <f>IF(preDEL!$AG69,IFERROR(0/0,""),preDEL!AO69)</f>
        <v/>
      </c>
      <c r="AP69" s="112" t="str">
        <f>IF(preDEL!$AG69,IFERROR(0/0,""),preDEL!AP69)</f>
        <v/>
      </c>
      <c r="AQ69" s="112" t="str">
        <f>IF(preDEL!$AG69,IFERROR(0/0,""),preDEL!AQ69)</f>
        <v/>
      </c>
      <c r="AR69" s="112" t="str">
        <f>IF(preDEL!$AG69,IFERROR(0/0,""),preDEL!AR69)</f>
        <v/>
      </c>
      <c r="AS69" s="112" t="str">
        <f>IF(preDEL!$AG69,IFERROR(0/0,""),preDEL!AS69)</f>
        <v/>
      </c>
      <c r="AT69" s="112" t="b">
        <f>IF(preDEL!$AG69,IFERROR(0/0,""),preDEL!AT69)</f>
        <v>0</v>
      </c>
      <c r="AU69" s="112" t="str">
        <f>IF(preDEL!$AG69,IFERROR(0/0,""),preDEL!AU69)</f>
        <v/>
      </c>
      <c r="AV69" s="112" t="str">
        <f>IF(preDEL!$AG69,IFERROR(0/0,""),preDEL!AV69)</f>
        <v/>
      </c>
      <c r="AW69" s="112" t="str">
        <f>IF(preDEL!$AG69,IFERROR(0/0,""),preDEL!AW69)</f>
        <v/>
      </c>
      <c r="AX69" s="112" t="str">
        <f>IF(preDEL!$AG69,IFERROR(0/0,""),preDEL!AX69)</f>
        <v/>
      </c>
      <c r="AY69" s="112" t="str">
        <f>IF(preDEL!$AG69,IFERROR(0/0,""),preDEL!AY69)</f>
        <v/>
      </c>
      <c r="AZ69" s="174"/>
      <c r="BA69" s="174"/>
      <c r="BB69" s="174"/>
      <c r="BC69" s="174"/>
      <c r="BD69" s="174"/>
      <c r="BE69" s="174"/>
      <c r="BF69" s="174"/>
      <c r="BG69" s="174"/>
      <c r="BH69" s="174"/>
      <c r="BI69" s="174"/>
      <c r="BJ69" s="174"/>
      <c r="BK69" s="174"/>
      <c r="BL69" s="174"/>
      <c r="BM69" s="174"/>
      <c r="BN69" s="174"/>
      <c r="BO69" s="174"/>
      <c r="BP69" s="174"/>
      <c r="BQ69" s="174"/>
      <c r="BR69" s="174"/>
      <c r="BS69" s="174"/>
      <c r="BT69" s="174"/>
      <c r="BU69" s="174"/>
      <c r="BV69" s="174"/>
      <c r="BW69" s="174"/>
      <c r="BX69" s="174"/>
      <c r="BY69" s="174"/>
      <c r="BZ69" s="174"/>
      <c r="CA69" s="174"/>
      <c r="CB69" s="174"/>
      <c r="CC69" s="174"/>
      <c r="CD69" s="174"/>
    </row>
    <row r="70">
      <c r="A70" s="105" t="str">
        <f>IF(preDEL!$AG70,IFERROR(0/0,""),preDEL!A70)</f>
        <v>MA1081</v>
      </c>
      <c r="B70" s="170">
        <f>IF(preDEL!$AG70,IFERROR(0/0,""),preDEL!B70)</f>
        <v>44561</v>
      </c>
      <c r="C70" s="171">
        <f>IF(preDEL!$AG70,IFERROR(0/0,""),preDEL!C70)</f>
        <v>0.3053240741</v>
      </c>
      <c r="D70" s="105" t="str">
        <f>IF(preDEL!$AG70,IFERROR(0/0,""),preDEL!D70)</f>
        <v/>
      </c>
      <c r="E70" s="105" t="str">
        <f>IF(preDEL!$AG70,IFERROR(0/0,""),preDEL!E70)</f>
        <v/>
      </c>
      <c r="F70" s="112" t="str">
        <f>IF(preDEL!$AG70,IFERROR(0/0,""),preDEL!F70)</f>
        <v/>
      </c>
      <c r="G70" s="112" t="str">
        <f>IF(preDEL!$AG70,IFERROR(0/0,""),preDEL!G70)</f>
        <v/>
      </c>
      <c r="H70" s="112" t="str">
        <f>IF(preDEL!$AG70,IFERROR(0/0,""),preDEL!H70)</f>
        <v/>
      </c>
      <c r="I70" s="105" t="str">
        <f>IF(preDEL!$AG70,IFERROR(0/0,""),preDEL!I70)</f>
        <v/>
      </c>
      <c r="J70" s="105" t="str">
        <f>IF(preDEL!$AG70,IFERROR(0/0,""),preDEL!J70)</f>
        <v/>
      </c>
      <c r="K70" s="105" t="str">
        <f>IF(preDEL!$AG70,IFERROR(0/0,""),preDEL!K70)</f>
        <v>Positive</v>
      </c>
      <c r="L70" s="170">
        <f>IF(preDEL!$AG70,IFERROR(0/0,""),preDEL!L70)</f>
        <v>44561</v>
      </c>
      <c r="M70" s="171">
        <f>IF(preDEL!$AG70,IFERROR(0/0,""),preDEL!M70)</f>
        <v>0.4455902778</v>
      </c>
      <c r="N70" s="112" t="str">
        <f>IF(preDEL!$AG70,IFERROR(0/0,""),preDEL!N70)</f>
        <v/>
      </c>
      <c r="O70" s="112" t="str">
        <f>IF(preDEL!$AG70,IFERROR(0/0,""),preDEL!O70)</f>
        <v/>
      </c>
      <c r="P70" s="110" t="b">
        <f>IF(preDEL!$AG70,IFERROR(0/0,""),preDEL!P70)</f>
        <v>0</v>
      </c>
      <c r="Q70" s="110" t="str">
        <f>IF(preDEL!$AG70,IFERROR(0/0,""),preDEL!Q70)</f>
        <v>Result</v>
      </c>
      <c r="R70" s="104" t="b">
        <f>IF(preDEL!$AG70,IFERROR(0/0,""),preDEL!R70)</f>
        <v>1</v>
      </c>
      <c r="S70" s="104">
        <f>IF(preDEL!$AG70,IFERROR(0/0,""),preDEL!S70)</f>
        <v>1</v>
      </c>
      <c r="T70" s="110" t="str">
        <f>IF(preDEL!$AG70,IFERROR(0/0,""),preDEL!T70)</f>
        <v/>
      </c>
      <c r="U70" s="112" t="str">
        <f>IF(preDEL!$AG70,IFERROR(0/0,""),preDEL!U70)</f>
        <v/>
      </c>
      <c r="V70" s="105" t="str">
        <f>IF(preDEL!$AG70,IFERROR(0/0,""),preDEL!V70)</f>
        <v/>
      </c>
      <c r="W70" s="112" t="str">
        <f>IF(preDEL!$AG70,IFERROR(0/0,""),preDEL!W70)</f>
        <v/>
      </c>
      <c r="X70" s="104" t="b">
        <f>IF(preDEL!$AG70,IFERROR(0/0,""),preDEL!X70)</f>
        <v>0</v>
      </c>
      <c r="Y70" s="110" t="b">
        <f>IF(preDEL!$AG70,IFERROR(0/0,""),preDEL!Y70)</f>
        <v>0</v>
      </c>
      <c r="Z70" s="105" t="str">
        <f>IF(preDEL!$AG70,IFERROR(0/0,""),preDEL!Z70)</f>
        <v/>
      </c>
      <c r="AA70" s="110" t="b">
        <f>IF(preDEL!$AG70,IFERROR(0/0,""),preDEL!AA70)</f>
        <v>0</v>
      </c>
      <c r="AB70" s="110" t="b">
        <f>IF(preDEL!$AG70,IFERROR(0/0,""),preDEL!AB70)</f>
        <v>0</v>
      </c>
      <c r="AC70" s="172">
        <f>IF(preDEL!$AG70,IFERROR(0/0,""),preDEL!AC70)</f>
        <v>719</v>
      </c>
      <c r="AD70" s="104" t="b">
        <f>IF(preDEL!$AG70,IFERROR(0/0,""),preDEL!AD70)</f>
        <v>0</v>
      </c>
      <c r="AE70" s="173">
        <f>IF(preDEL!$AG70,IFERROR(0/0,""),preDEL!AE70)</f>
        <v>201.9833333</v>
      </c>
      <c r="AF70" s="110" t="b">
        <f>IF(preDEL!$AG70,IFERROR(0/0,""),preDEL!AF70)</f>
        <v>0</v>
      </c>
      <c r="AG70" s="110" t="b">
        <f>IF(preDEL!$AG70,IFERROR(0/0,""),preDEL!AG70)</f>
        <v>0</v>
      </c>
      <c r="AH70" s="104" t="str">
        <f>IF(preDEL!$AG70,IFERROR(0/0,""),preDEL!AH70)</f>
        <v/>
      </c>
      <c r="AI70" s="105" t="str">
        <f>IF(preDEL!$AG70,IFERROR(0/0,""),preDEL!AI70)</f>
        <v/>
      </c>
      <c r="AJ70" s="112" t="str">
        <f>IF(preDEL!$AG70,IFERROR(0/0,""),preDEL!AJ70)</f>
        <v/>
      </c>
      <c r="AK70" s="105" t="str">
        <f>IF(preDEL!$AG70,IFERROR(0/0,""),preDEL!AK70)</f>
        <v>Positive</v>
      </c>
      <c r="AL70" s="112" t="str">
        <f>IF(preDEL!$AG70,IFERROR(0/0,""),preDEL!AL70)</f>
        <v/>
      </c>
      <c r="AM70" s="112" t="str">
        <f>IF(preDEL!$AG70,IFERROR(0/0,""),preDEL!AM70)</f>
        <v>SpBEND734943</v>
      </c>
      <c r="AN70" s="112" t="str">
        <f>IF(preDEL!$AG70,IFERROR(0/0,""),preDEL!AN70)</f>
        <v>BEND710690</v>
      </c>
      <c r="AO70" s="112" t="str">
        <f>IF(preDEL!$AG70,IFERROR(0/0,""),preDEL!AO70)</f>
        <v/>
      </c>
      <c r="AP70" s="112" t="str">
        <f>IF(preDEL!$AG70,IFERROR(0/0,""),preDEL!AP70)</f>
        <v/>
      </c>
      <c r="AQ70" s="112" t="str">
        <f>IF(preDEL!$AG70,IFERROR(0/0,""),preDEL!AQ70)</f>
        <v/>
      </c>
      <c r="AR70" s="112" t="str">
        <f>IF(preDEL!$AG70,IFERROR(0/0,""),preDEL!AR70)</f>
        <v/>
      </c>
      <c r="AS70" s="112" t="str">
        <f>IF(preDEL!$AG70,IFERROR(0/0,""),preDEL!AS70)</f>
        <v/>
      </c>
      <c r="AT70" s="112" t="b">
        <f>IF(preDEL!$AG70,IFERROR(0/0,""),preDEL!AT70)</f>
        <v>0</v>
      </c>
      <c r="AU70" s="112" t="str">
        <f>IF(preDEL!$AG70,IFERROR(0/0,""),preDEL!AU70)</f>
        <v/>
      </c>
      <c r="AV70" s="112" t="str">
        <f>IF(preDEL!$AG70,IFERROR(0/0,""),preDEL!AV70)</f>
        <v/>
      </c>
      <c r="AW70" s="112" t="str">
        <f>IF(preDEL!$AG70,IFERROR(0/0,""),preDEL!AW70)</f>
        <v/>
      </c>
      <c r="AX70" s="112" t="str">
        <f>IF(preDEL!$AG70,IFERROR(0/0,""),preDEL!AX70)</f>
        <v/>
      </c>
      <c r="AY70" s="112" t="str">
        <f>IF(preDEL!$AG70,IFERROR(0/0,""),preDEL!AY70)</f>
        <v/>
      </c>
      <c r="AZ70" s="174"/>
      <c r="BA70" s="174"/>
      <c r="BB70" s="174"/>
      <c r="BC70" s="174"/>
      <c r="BD70" s="174"/>
      <c r="BE70" s="174"/>
      <c r="BF70" s="174"/>
      <c r="BG70" s="174"/>
      <c r="BH70" s="174"/>
      <c r="BI70" s="174"/>
      <c r="BJ70" s="174"/>
      <c r="BK70" s="174"/>
      <c r="BL70" s="174"/>
      <c r="BM70" s="174"/>
      <c r="BN70" s="174"/>
      <c r="BO70" s="174"/>
      <c r="BP70" s="174"/>
      <c r="BQ70" s="174"/>
      <c r="BR70" s="174"/>
      <c r="BS70" s="174"/>
      <c r="BT70" s="174"/>
      <c r="BU70" s="174"/>
      <c r="BV70" s="174"/>
      <c r="BW70" s="174"/>
      <c r="BX70" s="174"/>
      <c r="BY70" s="174"/>
      <c r="BZ70" s="174"/>
      <c r="CA70" s="174"/>
      <c r="CB70" s="174"/>
      <c r="CC70" s="174"/>
      <c r="CD70" s="174"/>
    </row>
    <row r="71">
      <c r="A71" s="105" t="str">
        <f>IF(preDEL!$AG71,IFERROR(0/0,""),preDEL!A71)</f>
        <v>MA606</v>
      </c>
      <c r="B71" s="170">
        <f>IF(preDEL!$AG71,IFERROR(0/0,""),preDEL!B71)</f>
        <v>44561</v>
      </c>
      <c r="C71" s="171">
        <f>IF(preDEL!$AG71,IFERROR(0/0,""),preDEL!C71)</f>
        <v>0.3167361111</v>
      </c>
      <c r="D71" s="105" t="str">
        <f>IF(preDEL!$AG71,IFERROR(0/0,""),preDEL!D71)</f>
        <v/>
      </c>
      <c r="E71" s="105" t="str">
        <f>IF(preDEL!$AG71,IFERROR(0/0,""),preDEL!E71)</f>
        <v/>
      </c>
      <c r="F71" s="112" t="str">
        <f>IF(preDEL!$AG71,IFERROR(0/0,""),preDEL!F71)</f>
        <v/>
      </c>
      <c r="G71" s="112" t="str">
        <f>IF(preDEL!$AG71,IFERROR(0/0,""),preDEL!G71)</f>
        <v/>
      </c>
      <c r="H71" s="112" t="str">
        <f>IF(preDEL!$AG71,IFERROR(0/0,""),preDEL!H71)</f>
        <v/>
      </c>
      <c r="I71" s="105" t="str">
        <f>IF(preDEL!$AG71,IFERROR(0/0,""),preDEL!I71)</f>
        <v/>
      </c>
      <c r="J71" s="105" t="str">
        <f>IF(preDEL!$AG71,IFERROR(0/0,""),preDEL!J71)</f>
        <v/>
      </c>
      <c r="K71" s="105" t="str">
        <f>IF(preDEL!$AG71,IFERROR(0/0,""),preDEL!K71)</f>
        <v>Negative</v>
      </c>
      <c r="L71" s="170">
        <f>IF(preDEL!$AG71,IFERROR(0/0,""),preDEL!L71)</f>
        <v>44561</v>
      </c>
      <c r="M71" s="171">
        <f>IF(preDEL!$AG71,IFERROR(0/0,""),preDEL!M71)</f>
        <v>0.4449305556</v>
      </c>
      <c r="N71" s="112" t="str">
        <f>IF(preDEL!$AG71,IFERROR(0/0,""),preDEL!N71)</f>
        <v/>
      </c>
      <c r="O71" s="112" t="str">
        <f>IF(preDEL!$AG71,IFERROR(0/0,""),preDEL!O71)</f>
        <v/>
      </c>
      <c r="P71" s="110" t="b">
        <f>IF(preDEL!$AG71,IFERROR(0/0,""),preDEL!P71)</f>
        <v>0</v>
      </c>
      <c r="Q71" s="110" t="str">
        <f>IF(preDEL!$AG71,IFERROR(0/0,""),preDEL!Q71)</f>
        <v>Result</v>
      </c>
      <c r="R71" s="104" t="b">
        <f>IF(preDEL!$AG71,IFERROR(0/0,""),preDEL!R71)</f>
        <v>1</v>
      </c>
      <c r="S71" s="104">
        <f>IF(preDEL!$AG71,IFERROR(0/0,""),preDEL!S71)</f>
        <v>1</v>
      </c>
      <c r="T71" s="110" t="str">
        <f>IF(preDEL!$AG71,IFERROR(0/0,""),preDEL!T71)</f>
        <v/>
      </c>
      <c r="U71" s="112" t="str">
        <f>IF(preDEL!$AG71,IFERROR(0/0,""),preDEL!U71)</f>
        <v/>
      </c>
      <c r="V71" s="105" t="str">
        <f>IF(preDEL!$AG71,IFERROR(0/0,""),preDEL!V71)</f>
        <v/>
      </c>
      <c r="W71" s="112" t="str">
        <f>IF(preDEL!$AG71,IFERROR(0/0,""),preDEL!W71)</f>
        <v/>
      </c>
      <c r="X71" s="104" t="b">
        <f>IF(preDEL!$AG71,IFERROR(0/0,""),preDEL!X71)</f>
        <v>0</v>
      </c>
      <c r="Y71" s="110" t="b">
        <f>IF(preDEL!$AG71,IFERROR(0/0,""),preDEL!Y71)</f>
        <v>0</v>
      </c>
      <c r="Z71" s="105" t="str">
        <f>IF(preDEL!$AG71,IFERROR(0/0,""),preDEL!Z71)</f>
        <v/>
      </c>
      <c r="AA71" s="110" t="b">
        <f>IF(preDEL!$AG71,IFERROR(0/0,""),preDEL!AA71)</f>
        <v>0</v>
      </c>
      <c r="AB71" s="110" t="b">
        <f>IF(preDEL!$AG71,IFERROR(0/0,""),preDEL!AB71)</f>
        <v>0</v>
      </c>
      <c r="AC71" s="172">
        <f>IF(preDEL!$AG71,IFERROR(0/0,""),preDEL!AC71)</f>
        <v>718</v>
      </c>
      <c r="AD71" s="104" t="b">
        <f>IF(preDEL!$AG71,IFERROR(0/0,""),preDEL!AD71)</f>
        <v>0</v>
      </c>
      <c r="AE71" s="173">
        <f>IF(preDEL!$AG71,IFERROR(0/0,""),preDEL!AE71)</f>
        <v>184.6</v>
      </c>
      <c r="AF71" s="110" t="b">
        <f>IF(preDEL!$AG71,IFERROR(0/0,""),preDEL!AF71)</f>
        <v>0</v>
      </c>
      <c r="AG71" s="110" t="b">
        <f>IF(preDEL!$AG71,IFERROR(0/0,""),preDEL!AG71)</f>
        <v>0</v>
      </c>
      <c r="AH71" s="104" t="str">
        <f>IF(preDEL!$AG71,IFERROR(0/0,""),preDEL!AH71)</f>
        <v/>
      </c>
      <c r="AI71" s="105" t="str">
        <f>IF(preDEL!$AG71,IFERROR(0/0,""),preDEL!AI71)</f>
        <v/>
      </c>
      <c r="AJ71" s="112" t="str">
        <f>IF(preDEL!$AG71,IFERROR(0/0,""),preDEL!AJ71)</f>
        <v/>
      </c>
      <c r="AK71" s="105" t="str">
        <f>IF(preDEL!$AG71,IFERROR(0/0,""),preDEL!AK71)</f>
        <v>Negative</v>
      </c>
      <c r="AL71" s="112" t="str">
        <f>IF(preDEL!$AG71,IFERROR(0/0,""),preDEL!AL71)</f>
        <v/>
      </c>
      <c r="AM71" s="112" t="str">
        <f>IF(preDEL!$AG71,IFERROR(0/0,""),preDEL!AM71)</f>
        <v>SpBEND768497</v>
      </c>
      <c r="AN71" s="112" t="str">
        <f>IF(preDEL!$AG71,IFERROR(0/0,""),preDEL!AN71)</f>
        <v>BEND900381</v>
      </c>
      <c r="AO71" s="112" t="str">
        <f>IF(preDEL!$AG71,IFERROR(0/0,""),preDEL!AO71)</f>
        <v/>
      </c>
      <c r="AP71" s="112" t="str">
        <f>IF(preDEL!$AG71,IFERROR(0/0,""),preDEL!AP71)</f>
        <v/>
      </c>
      <c r="AQ71" s="112" t="str">
        <f>IF(preDEL!$AG71,IFERROR(0/0,""),preDEL!AQ71)</f>
        <v/>
      </c>
      <c r="AR71" s="112" t="str">
        <f>IF(preDEL!$AG71,IFERROR(0/0,""),preDEL!AR71)</f>
        <v/>
      </c>
      <c r="AS71" s="112" t="str">
        <f>IF(preDEL!$AG71,IFERROR(0/0,""),preDEL!AS71)</f>
        <v/>
      </c>
      <c r="AT71" s="112" t="b">
        <f>IF(preDEL!$AG71,IFERROR(0/0,""),preDEL!AT71)</f>
        <v>0</v>
      </c>
      <c r="AU71" s="112" t="str">
        <f>IF(preDEL!$AG71,IFERROR(0/0,""),preDEL!AU71)</f>
        <v/>
      </c>
      <c r="AV71" s="112" t="str">
        <f>IF(preDEL!$AG71,IFERROR(0/0,""),preDEL!AV71)</f>
        <v/>
      </c>
      <c r="AW71" s="112" t="str">
        <f>IF(preDEL!$AG71,IFERROR(0/0,""),preDEL!AW71)</f>
        <v/>
      </c>
      <c r="AX71" s="112" t="str">
        <f>IF(preDEL!$AG71,IFERROR(0/0,""),preDEL!AX71)</f>
        <v/>
      </c>
      <c r="AY71" s="112" t="str">
        <f>IF(preDEL!$AG71,IFERROR(0/0,""),preDEL!AY71)</f>
        <v/>
      </c>
      <c r="AZ71" s="174"/>
      <c r="BA71" s="174"/>
      <c r="BB71" s="174"/>
      <c r="BC71" s="174"/>
      <c r="BD71" s="174"/>
      <c r="BE71" s="174"/>
      <c r="BF71" s="174"/>
      <c r="BG71" s="174"/>
      <c r="BH71" s="174"/>
      <c r="BI71" s="174"/>
      <c r="BJ71" s="174"/>
      <c r="BK71" s="174"/>
      <c r="BL71" s="174"/>
      <c r="BM71" s="174"/>
      <c r="BN71" s="174"/>
      <c r="BO71" s="174"/>
      <c r="BP71" s="174"/>
      <c r="BQ71" s="174"/>
      <c r="BR71" s="174"/>
      <c r="BS71" s="174"/>
      <c r="BT71" s="174"/>
      <c r="BU71" s="174"/>
      <c r="BV71" s="174"/>
      <c r="BW71" s="174"/>
      <c r="BX71" s="174"/>
      <c r="BY71" s="174"/>
      <c r="BZ71" s="174"/>
      <c r="CA71" s="174"/>
      <c r="CB71" s="174"/>
      <c r="CC71" s="174"/>
      <c r="CD71" s="174"/>
    </row>
    <row r="72">
      <c r="A72" s="105" t="str">
        <f>IF(preDEL!$AG72,IFERROR(0/0,""),preDEL!A72)</f>
        <v>MA1236</v>
      </c>
      <c r="B72" s="170">
        <f>IF(preDEL!$AG72,IFERROR(0/0,""),preDEL!B72)</f>
        <v>44561</v>
      </c>
      <c r="C72" s="171">
        <f>IF(preDEL!$AG72,IFERROR(0/0,""),preDEL!C72)</f>
        <v>0.32125</v>
      </c>
      <c r="D72" s="105" t="str">
        <f>IF(preDEL!$AG72,IFERROR(0/0,""),preDEL!D72)</f>
        <v/>
      </c>
      <c r="E72" s="105" t="str">
        <f>IF(preDEL!$AG72,IFERROR(0/0,""),preDEL!E72)</f>
        <v/>
      </c>
      <c r="F72" s="112" t="str">
        <f>IF(preDEL!$AG72,IFERROR(0/0,""),preDEL!F72)</f>
        <v/>
      </c>
      <c r="G72" s="112" t="str">
        <f>IF(preDEL!$AG72,IFERROR(0/0,""),preDEL!G72)</f>
        <v/>
      </c>
      <c r="H72" s="112" t="str">
        <f>IF(preDEL!$AG72,IFERROR(0/0,""),preDEL!H72)</f>
        <v/>
      </c>
      <c r="I72" s="105" t="str">
        <f>IF(preDEL!$AG72,IFERROR(0/0,""),preDEL!I72)</f>
        <v/>
      </c>
      <c r="J72" s="105" t="str">
        <f>IF(preDEL!$AG72,IFERROR(0/0,""),preDEL!J72)</f>
        <v/>
      </c>
      <c r="K72" s="105" t="str">
        <f>IF(preDEL!$AG72,IFERROR(0/0,""),preDEL!K72)</f>
        <v>Negative</v>
      </c>
      <c r="L72" s="170">
        <f>IF(preDEL!$AG72,IFERROR(0/0,""),preDEL!L72)</f>
        <v>44561</v>
      </c>
      <c r="M72" s="171">
        <f>IF(preDEL!$AG72,IFERROR(0/0,""),preDEL!M72)</f>
        <v>0.4449305556</v>
      </c>
      <c r="N72" s="112" t="str">
        <f>IF(preDEL!$AG72,IFERROR(0/0,""),preDEL!N72)</f>
        <v/>
      </c>
      <c r="O72" s="112" t="str">
        <f>IF(preDEL!$AG72,IFERROR(0/0,""),preDEL!O72)</f>
        <v/>
      </c>
      <c r="P72" s="110" t="b">
        <f>IF(preDEL!$AG72,IFERROR(0/0,""),preDEL!P72)</f>
        <v>0</v>
      </c>
      <c r="Q72" s="110" t="str">
        <f>IF(preDEL!$AG72,IFERROR(0/0,""),preDEL!Q72)</f>
        <v>Result</v>
      </c>
      <c r="R72" s="104" t="b">
        <f>IF(preDEL!$AG72,IFERROR(0/0,""),preDEL!R72)</f>
        <v>1</v>
      </c>
      <c r="S72" s="104">
        <f>IF(preDEL!$AG72,IFERROR(0/0,""),preDEL!S72)</f>
        <v>1</v>
      </c>
      <c r="T72" s="110" t="str">
        <f>IF(preDEL!$AG72,IFERROR(0/0,""),preDEL!T72)</f>
        <v/>
      </c>
      <c r="U72" s="112" t="str">
        <f>IF(preDEL!$AG72,IFERROR(0/0,""),preDEL!U72)</f>
        <v/>
      </c>
      <c r="V72" s="105" t="str">
        <f>IF(preDEL!$AG72,IFERROR(0/0,""),preDEL!V72)</f>
        <v/>
      </c>
      <c r="W72" s="112" t="str">
        <f>IF(preDEL!$AG72,IFERROR(0/0,""),preDEL!W72)</f>
        <v/>
      </c>
      <c r="X72" s="104" t="b">
        <f>IF(preDEL!$AG72,IFERROR(0/0,""),preDEL!X72)</f>
        <v>0</v>
      </c>
      <c r="Y72" s="110" t="b">
        <f>IF(preDEL!$AG72,IFERROR(0/0,""),preDEL!Y72)</f>
        <v>0</v>
      </c>
      <c r="Z72" s="105" t="str">
        <f>IF(preDEL!$AG72,IFERROR(0/0,""),preDEL!Z72)</f>
        <v/>
      </c>
      <c r="AA72" s="110" t="b">
        <f>IF(preDEL!$AG72,IFERROR(0/0,""),preDEL!AA72)</f>
        <v>0</v>
      </c>
      <c r="AB72" s="110" t="b">
        <f>IF(preDEL!$AG72,IFERROR(0/0,""),preDEL!AB72)</f>
        <v>0</v>
      </c>
      <c r="AC72" s="172">
        <f>IF(preDEL!$AG72,IFERROR(0/0,""),preDEL!AC72)</f>
        <v>717</v>
      </c>
      <c r="AD72" s="104" t="b">
        <f>IF(preDEL!$AG72,IFERROR(0/0,""),preDEL!AD72)</f>
        <v>0</v>
      </c>
      <c r="AE72" s="173">
        <f>IF(preDEL!$AG72,IFERROR(0/0,""),preDEL!AE72)</f>
        <v>178.1</v>
      </c>
      <c r="AF72" s="110" t="b">
        <f>IF(preDEL!$AG72,IFERROR(0/0,""),preDEL!AF72)</f>
        <v>0</v>
      </c>
      <c r="AG72" s="110" t="b">
        <f>IF(preDEL!$AG72,IFERROR(0/0,""),preDEL!AG72)</f>
        <v>0</v>
      </c>
      <c r="AH72" s="104" t="str">
        <f>IF(preDEL!$AG72,IFERROR(0/0,""),preDEL!AH72)</f>
        <v/>
      </c>
      <c r="AI72" s="105" t="str">
        <f>IF(preDEL!$AG72,IFERROR(0/0,""),preDEL!AI72)</f>
        <v/>
      </c>
      <c r="AJ72" s="112" t="str">
        <f>IF(preDEL!$AG72,IFERROR(0/0,""),preDEL!AJ72)</f>
        <v/>
      </c>
      <c r="AK72" s="105" t="str">
        <f>IF(preDEL!$AG72,IFERROR(0/0,""),preDEL!AK72)</f>
        <v>Negative</v>
      </c>
      <c r="AL72" s="112" t="str">
        <f>IF(preDEL!$AG72,IFERROR(0/0,""),preDEL!AL72)</f>
        <v/>
      </c>
      <c r="AM72" s="112" t="str">
        <f>IF(preDEL!$AG72,IFERROR(0/0,""),preDEL!AM72)</f>
        <v>SpBEND372845</v>
      </c>
      <c r="AN72" s="112" t="str">
        <f>IF(preDEL!$AG72,IFERROR(0/0,""),preDEL!AN72)</f>
        <v>BEND940774</v>
      </c>
      <c r="AO72" s="112" t="str">
        <f>IF(preDEL!$AG72,IFERROR(0/0,""),preDEL!AO72)</f>
        <v/>
      </c>
      <c r="AP72" s="112" t="str">
        <f>IF(preDEL!$AG72,IFERROR(0/0,""),preDEL!AP72)</f>
        <v/>
      </c>
      <c r="AQ72" s="112" t="str">
        <f>IF(preDEL!$AG72,IFERROR(0/0,""),preDEL!AQ72)</f>
        <v/>
      </c>
      <c r="AR72" s="112" t="str">
        <f>IF(preDEL!$AG72,IFERROR(0/0,""),preDEL!AR72)</f>
        <v/>
      </c>
      <c r="AS72" s="112" t="str">
        <f>IF(preDEL!$AG72,IFERROR(0/0,""),preDEL!AS72)</f>
        <v/>
      </c>
      <c r="AT72" s="112" t="b">
        <f>IF(preDEL!$AG72,IFERROR(0/0,""),preDEL!AT72)</f>
        <v>0</v>
      </c>
      <c r="AU72" s="112" t="str">
        <f>IF(preDEL!$AG72,IFERROR(0/0,""),preDEL!AU72)</f>
        <v/>
      </c>
      <c r="AV72" s="112" t="str">
        <f>IF(preDEL!$AG72,IFERROR(0/0,""),preDEL!AV72)</f>
        <v/>
      </c>
      <c r="AW72" s="112" t="str">
        <f>IF(preDEL!$AG72,IFERROR(0/0,""),preDEL!AW72)</f>
        <v/>
      </c>
      <c r="AX72" s="112" t="str">
        <f>IF(preDEL!$AG72,IFERROR(0/0,""),preDEL!AX72)</f>
        <v/>
      </c>
      <c r="AY72" s="112" t="str">
        <f>IF(preDEL!$AG72,IFERROR(0/0,""),preDEL!AY72)</f>
        <v/>
      </c>
      <c r="AZ72" s="174"/>
      <c r="BA72" s="174"/>
      <c r="BB72" s="174"/>
      <c r="BC72" s="174"/>
      <c r="BD72" s="174"/>
      <c r="BE72" s="174"/>
      <c r="BF72" s="174"/>
      <c r="BG72" s="174"/>
      <c r="BH72" s="174"/>
      <c r="BI72" s="174"/>
      <c r="BJ72" s="174"/>
      <c r="BK72" s="174"/>
      <c r="BL72" s="174"/>
      <c r="BM72" s="174"/>
      <c r="BN72" s="174"/>
      <c r="BO72" s="174"/>
      <c r="BP72" s="174"/>
      <c r="BQ72" s="174"/>
      <c r="BR72" s="174"/>
      <c r="BS72" s="174"/>
      <c r="BT72" s="174"/>
      <c r="BU72" s="174"/>
      <c r="BV72" s="174"/>
      <c r="BW72" s="174"/>
      <c r="BX72" s="174"/>
      <c r="BY72" s="174"/>
      <c r="BZ72" s="174"/>
      <c r="CA72" s="174"/>
      <c r="CB72" s="174"/>
      <c r="CC72" s="174"/>
      <c r="CD72" s="174"/>
    </row>
    <row r="73">
      <c r="A73" s="105" t="str">
        <f>IF(preDEL!$AG73,IFERROR(0/0,""),preDEL!A73)</f>
        <v>MA1153</v>
      </c>
      <c r="B73" s="170">
        <f>IF(preDEL!$AG73,IFERROR(0/0,""),preDEL!B73)</f>
        <v>44561</v>
      </c>
      <c r="C73" s="171">
        <f>IF(preDEL!$AG73,IFERROR(0/0,""),preDEL!C73)</f>
        <v>0.3271990741</v>
      </c>
      <c r="D73" s="105" t="str">
        <f>IF(preDEL!$AG73,IFERROR(0/0,""),preDEL!D73)</f>
        <v/>
      </c>
      <c r="E73" s="105" t="str">
        <f>IF(preDEL!$AG73,IFERROR(0/0,""),preDEL!E73)</f>
        <v/>
      </c>
      <c r="F73" s="112" t="str">
        <f>IF(preDEL!$AG73,IFERROR(0/0,""),preDEL!F73)</f>
        <v/>
      </c>
      <c r="G73" s="112" t="str">
        <f>IF(preDEL!$AG73,IFERROR(0/0,""),preDEL!G73)</f>
        <v/>
      </c>
      <c r="H73" s="112" t="str">
        <f>IF(preDEL!$AG73,IFERROR(0/0,""),preDEL!H73)</f>
        <v/>
      </c>
      <c r="I73" s="105" t="str">
        <f>IF(preDEL!$AG73,IFERROR(0/0,""),preDEL!I73)</f>
        <v/>
      </c>
      <c r="J73" s="105" t="str">
        <f>IF(preDEL!$AG73,IFERROR(0/0,""),preDEL!J73)</f>
        <v/>
      </c>
      <c r="K73" s="105" t="str">
        <f>IF(preDEL!$AG73,IFERROR(0/0,""),preDEL!K73)</f>
        <v>Negative</v>
      </c>
      <c r="L73" s="170">
        <f>IF(preDEL!$AG73,IFERROR(0/0,""),preDEL!L73)</f>
        <v>44561</v>
      </c>
      <c r="M73" s="171">
        <f>IF(preDEL!$AG73,IFERROR(0/0,""),preDEL!M73)</f>
        <v>0.4449305556</v>
      </c>
      <c r="N73" s="112" t="str">
        <f>IF(preDEL!$AG73,IFERROR(0/0,""),preDEL!N73)</f>
        <v/>
      </c>
      <c r="O73" s="112" t="str">
        <f>IF(preDEL!$AG73,IFERROR(0/0,""),preDEL!O73)</f>
        <v/>
      </c>
      <c r="P73" s="110" t="b">
        <f>IF(preDEL!$AG73,IFERROR(0/0,""),preDEL!P73)</f>
        <v>0</v>
      </c>
      <c r="Q73" s="110" t="str">
        <f>IF(preDEL!$AG73,IFERROR(0/0,""),preDEL!Q73)</f>
        <v>Result</v>
      </c>
      <c r="R73" s="104" t="b">
        <f>IF(preDEL!$AG73,IFERROR(0/0,""),preDEL!R73)</f>
        <v>1</v>
      </c>
      <c r="S73" s="104">
        <f>IF(preDEL!$AG73,IFERROR(0/0,""),preDEL!S73)</f>
        <v>1</v>
      </c>
      <c r="T73" s="110" t="str">
        <f>IF(preDEL!$AG73,IFERROR(0/0,""),preDEL!T73)</f>
        <v/>
      </c>
      <c r="U73" s="112" t="str">
        <f>IF(preDEL!$AG73,IFERROR(0/0,""),preDEL!U73)</f>
        <v/>
      </c>
      <c r="V73" s="105" t="str">
        <f>IF(preDEL!$AG73,IFERROR(0/0,""),preDEL!V73)</f>
        <v/>
      </c>
      <c r="W73" s="112" t="str">
        <f>IF(preDEL!$AG73,IFERROR(0/0,""),preDEL!W73)</f>
        <v/>
      </c>
      <c r="X73" s="104" t="b">
        <f>IF(preDEL!$AG73,IFERROR(0/0,""),preDEL!X73)</f>
        <v>0</v>
      </c>
      <c r="Y73" s="110" t="b">
        <f>IF(preDEL!$AG73,IFERROR(0/0,""),preDEL!Y73)</f>
        <v>0</v>
      </c>
      <c r="Z73" s="105" t="str">
        <f>IF(preDEL!$AG73,IFERROR(0/0,""),preDEL!Z73)</f>
        <v/>
      </c>
      <c r="AA73" s="110" t="b">
        <f>IF(preDEL!$AG73,IFERROR(0/0,""),preDEL!AA73)</f>
        <v>0</v>
      </c>
      <c r="AB73" s="110" t="b">
        <f>IF(preDEL!$AG73,IFERROR(0/0,""),preDEL!AB73)</f>
        <v>0</v>
      </c>
      <c r="AC73" s="172">
        <f>IF(preDEL!$AG73,IFERROR(0/0,""),preDEL!AC73)</f>
        <v>716</v>
      </c>
      <c r="AD73" s="104" t="b">
        <f>IF(preDEL!$AG73,IFERROR(0/0,""),preDEL!AD73)</f>
        <v>0</v>
      </c>
      <c r="AE73" s="173">
        <f>IF(preDEL!$AG73,IFERROR(0/0,""),preDEL!AE73)</f>
        <v>169.5333333</v>
      </c>
      <c r="AF73" s="110" t="b">
        <f>IF(preDEL!$AG73,IFERROR(0/0,""),preDEL!AF73)</f>
        <v>0</v>
      </c>
      <c r="AG73" s="110" t="b">
        <f>IF(preDEL!$AG73,IFERROR(0/0,""),preDEL!AG73)</f>
        <v>0</v>
      </c>
      <c r="AH73" s="104" t="str">
        <f>IF(preDEL!$AG73,IFERROR(0/0,""),preDEL!AH73)</f>
        <v/>
      </c>
      <c r="AI73" s="105" t="str">
        <f>IF(preDEL!$AG73,IFERROR(0/0,""),preDEL!AI73)</f>
        <v/>
      </c>
      <c r="AJ73" s="112" t="str">
        <f>IF(preDEL!$AG73,IFERROR(0/0,""),preDEL!AJ73)</f>
        <v/>
      </c>
      <c r="AK73" s="105" t="str">
        <f>IF(preDEL!$AG73,IFERROR(0/0,""),preDEL!AK73)</f>
        <v>Negative</v>
      </c>
      <c r="AL73" s="112" t="str">
        <f>IF(preDEL!$AG73,IFERROR(0/0,""),preDEL!AL73)</f>
        <v/>
      </c>
      <c r="AM73" s="112" t="str">
        <f>IF(preDEL!$AG73,IFERROR(0/0,""),preDEL!AM73)</f>
        <v>SpBEND214692</v>
      </c>
      <c r="AN73" s="112" t="str">
        <f>IF(preDEL!$AG73,IFERROR(0/0,""),preDEL!AN73)</f>
        <v>BEND886978</v>
      </c>
      <c r="AO73" s="112" t="str">
        <f>IF(preDEL!$AG73,IFERROR(0/0,""),preDEL!AO73)</f>
        <v/>
      </c>
      <c r="AP73" s="112" t="str">
        <f>IF(preDEL!$AG73,IFERROR(0/0,""),preDEL!AP73)</f>
        <v/>
      </c>
      <c r="AQ73" s="112" t="str">
        <f>IF(preDEL!$AG73,IFERROR(0/0,""),preDEL!AQ73)</f>
        <v/>
      </c>
      <c r="AR73" s="112" t="str">
        <f>IF(preDEL!$AG73,IFERROR(0/0,""),preDEL!AR73)</f>
        <v/>
      </c>
      <c r="AS73" s="112" t="str">
        <f>IF(preDEL!$AG73,IFERROR(0/0,""),preDEL!AS73)</f>
        <v/>
      </c>
      <c r="AT73" s="112" t="b">
        <f>IF(preDEL!$AG73,IFERROR(0/0,""),preDEL!AT73)</f>
        <v>0</v>
      </c>
      <c r="AU73" s="112" t="str">
        <f>IF(preDEL!$AG73,IFERROR(0/0,""),preDEL!AU73)</f>
        <v/>
      </c>
      <c r="AV73" s="112" t="str">
        <f>IF(preDEL!$AG73,IFERROR(0/0,""),preDEL!AV73)</f>
        <v/>
      </c>
      <c r="AW73" s="112" t="str">
        <f>IF(preDEL!$AG73,IFERROR(0/0,""),preDEL!AW73)</f>
        <v/>
      </c>
      <c r="AX73" s="112" t="str">
        <f>IF(preDEL!$AG73,IFERROR(0/0,""),preDEL!AX73)</f>
        <v/>
      </c>
      <c r="AY73" s="112" t="str">
        <f>IF(preDEL!$AG73,IFERROR(0/0,""),preDEL!AY73)</f>
        <v/>
      </c>
      <c r="AZ73" s="174"/>
      <c r="BA73" s="174"/>
      <c r="BB73" s="174"/>
      <c r="BC73" s="174"/>
      <c r="BD73" s="174"/>
      <c r="BE73" s="174"/>
      <c r="BF73" s="174"/>
      <c r="BG73" s="174"/>
      <c r="BH73" s="174"/>
      <c r="BI73" s="174"/>
      <c r="BJ73" s="174"/>
      <c r="BK73" s="174"/>
      <c r="BL73" s="174"/>
      <c r="BM73" s="174"/>
      <c r="BN73" s="174"/>
      <c r="BO73" s="174"/>
      <c r="BP73" s="174"/>
      <c r="BQ73" s="174"/>
      <c r="BR73" s="174"/>
      <c r="BS73" s="174"/>
      <c r="BT73" s="174"/>
      <c r="BU73" s="174"/>
      <c r="BV73" s="174"/>
      <c r="BW73" s="174"/>
      <c r="BX73" s="174"/>
      <c r="BY73" s="174"/>
      <c r="BZ73" s="174"/>
      <c r="CA73" s="174"/>
      <c r="CB73" s="174"/>
      <c r="CC73" s="174"/>
      <c r="CD73" s="174"/>
    </row>
    <row r="74">
      <c r="A74" s="105" t="str">
        <f>IF(preDEL!$AG74,IFERROR(0/0,""),preDEL!A74)</f>
        <v>MA1131</v>
      </c>
      <c r="B74" s="170">
        <f>IF(preDEL!$AG74,IFERROR(0/0,""),preDEL!B74)</f>
        <v>44561</v>
      </c>
      <c r="C74" s="171">
        <f>IF(preDEL!$AG74,IFERROR(0/0,""),preDEL!C74)</f>
        <v>0.3364467593</v>
      </c>
      <c r="D74" s="105" t="str">
        <f>IF(preDEL!$AG74,IFERROR(0/0,""),preDEL!D74)</f>
        <v/>
      </c>
      <c r="E74" s="105" t="str">
        <f>IF(preDEL!$AG74,IFERROR(0/0,""),preDEL!E74)</f>
        <v/>
      </c>
      <c r="F74" s="112" t="str">
        <f>IF(preDEL!$AG74,IFERROR(0/0,""),preDEL!F74)</f>
        <v/>
      </c>
      <c r="G74" s="112" t="str">
        <f>IF(preDEL!$AG74,IFERROR(0/0,""),preDEL!G74)</f>
        <v/>
      </c>
      <c r="H74" s="112" t="str">
        <f>IF(preDEL!$AG74,IFERROR(0/0,""),preDEL!H74)</f>
        <v/>
      </c>
      <c r="I74" s="105" t="str">
        <f>IF(preDEL!$AG74,IFERROR(0/0,""),preDEL!I74)</f>
        <v/>
      </c>
      <c r="J74" s="105" t="str">
        <f>IF(preDEL!$AG74,IFERROR(0/0,""),preDEL!J74)</f>
        <v/>
      </c>
      <c r="K74" s="105" t="str">
        <f>IF(preDEL!$AG74,IFERROR(0/0,""),preDEL!K74)</f>
        <v>Negative</v>
      </c>
      <c r="L74" s="170">
        <f>IF(preDEL!$AG74,IFERROR(0/0,""),preDEL!L74)</f>
        <v>44561</v>
      </c>
      <c r="M74" s="171">
        <f>IF(preDEL!$AG74,IFERROR(0/0,""),preDEL!M74)</f>
        <v>0.4449305556</v>
      </c>
      <c r="N74" s="112" t="str">
        <f>IF(preDEL!$AG74,IFERROR(0/0,""),preDEL!N74)</f>
        <v/>
      </c>
      <c r="O74" s="112" t="str">
        <f>IF(preDEL!$AG74,IFERROR(0/0,""),preDEL!O74)</f>
        <v/>
      </c>
      <c r="P74" s="110" t="b">
        <f>IF(preDEL!$AG74,IFERROR(0/0,""),preDEL!P74)</f>
        <v>0</v>
      </c>
      <c r="Q74" s="110" t="str">
        <f>IF(preDEL!$AG74,IFERROR(0/0,""),preDEL!Q74)</f>
        <v>Result</v>
      </c>
      <c r="R74" s="104" t="b">
        <f>IF(preDEL!$AG74,IFERROR(0/0,""),preDEL!R74)</f>
        <v>1</v>
      </c>
      <c r="S74" s="104">
        <f>IF(preDEL!$AG74,IFERROR(0/0,""),preDEL!S74)</f>
        <v>1</v>
      </c>
      <c r="T74" s="110" t="str">
        <f>IF(preDEL!$AG74,IFERROR(0/0,""),preDEL!T74)</f>
        <v/>
      </c>
      <c r="U74" s="112" t="str">
        <f>IF(preDEL!$AG74,IFERROR(0/0,""),preDEL!U74)</f>
        <v/>
      </c>
      <c r="V74" s="105" t="str">
        <f>IF(preDEL!$AG74,IFERROR(0/0,""),preDEL!V74)</f>
        <v/>
      </c>
      <c r="W74" s="112" t="str">
        <f>IF(preDEL!$AG74,IFERROR(0/0,""),preDEL!W74)</f>
        <v/>
      </c>
      <c r="X74" s="104" t="b">
        <f>IF(preDEL!$AG74,IFERROR(0/0,""),preDEL!X74)</f>
        <v>0</v>
      </c>
      <c r="Y74" s="110" t="b">
        <f>IF(preDEL!$AG74,IFERROR(0/0,""),preDEL!Y74)</f>
        <v>0</v>
      </c>
      <c r="Z74" s="105" t="str">
        <f>IF(preDEL!$AG74,IFERROR(0/0,""),preDEL!Z74)</f>
        <v/>
      </c>
      <c r="AA74" s="110" t="b">
        <f>IF(preDEL!$AG74,IFERROR(0/0,""),preDEL!AA74)</f>
        <v>0</v>
      </c>
      <c r="AB74" s="110" t="b">
        <f>IF(preDEL!$AG74,IFERROR(0/0,""),preDEL!AB74)</f>
        <v>0</v>
      </c>
      <c r="AC74" s="172">
        <f>IF(preDEL!$AG74,IFERROR(0/0,""),preDEL!AC74)</f>
        <v>715</v>
      </c>
      <c r="AD74" s="104" t="b">
        <f>IF(preDEL!$AG74,IFERROR(0/0,""),preDEL!AD74)</f>
        <v>0</v>
      </c>
      <c r="AE74" s="173">
        <f>IF(preDEL!$AG74,IFERROR(0/0,""),preDEL!AE74)</f>
        <v>156.2166667</v>
      </c>
      <c r="AF74" s="110" t="b">
        <f>IF(preDEL!$AG74,IFERROR(0/0,""),preDEL!AF74)</f>
        <v>0</v>
      </c>
      <c r="AG74" s="110" t="b">
        <f>IF(preDEL!$AG74,IFERROR(0/0,""),preDEL!AG74)</f>
        <v>0</v>
      </c>
      <c r="AH74" s="104" t="str">
        <f>IF(preDEL!$AG74,IFERROR(0/0,""),preDEL!AH74)</f>
        <v/>
      </c>
      <c r="AI74" s="105" t="str">
        <f>IF(preDEL!$AG74,IFERROR(0/0,""),preDEL!AI74)</f>
        <v/>
      </c>
      <c r="AJ74" s="112" t="str">
        <f>IF(preDEL!$AG74,IFERROR(0/0,""),preDEL!AJ74)</f>
        <v/>
      </c>
      <c r="AK74" s="105" t="str">
        <f>IF(preDEL!$AG74,IFERROR(0/0,""),preDEL!AK74)</f>
        <v>Negative</v>
      </c>
      <c r="AL74" s="112" t="str">
        <f>IF(preDEL!$AG74,IFERROR(0/0,""),preDEL!AL74)</f>
        <v/>
      </c>
      <c r="AM74" s="112" t="str">
        <f>IF(preDEL!$AG74,IFERROR(0/0,""),preDEL!AM74)</f>
        <v>SpBEND825522</v>
      </c>
      <c r="AN74" s="112" t="str">
        <f>IF(preDEL!$AG74,IFERROR(0/0,""),preDEL!AN74)</f>
        <v>BEND140857</v>
      </c>
      <c r="AO74" s="112" t="str">
        <f>IF(preDEL!$AG74,IFERROR(0/0,""),preDEL!AO74)</f>
        <v/>
      </c>
      <c r="AP74" s="112" t="str">
        <f>IF(preDEL!$AG74,IFERROR(0/0,""),preDEL!AP74)</f>
        <v/>
      </c>
      <c r="AQ74" s="112" t="str">
        <f>IF(preDEL!$AG74,IFERROR(0/0,""),preDEL!AQ74)</f>
        <v/>
      </c>
      <c r="AR74" s="112" t="str">
        <f>IF(preDEL!$AG74,IFERROR(0/0,""),preDEL!AR74)</f>
        <v/>
      </c>
      <c r="AS74" s="112" t="str">
        <f>IF(preDEL!$AG74,IFERROR(0/0,""),preDEL!AS74)</f>
        <v/>
      </c>
      <c r="AT74" s="112" t="b">
        <f>IF(preDEL!$AG74,IFERROR(0/0,""),preDEL!AT74)</f>
        <v>0</v>
      </c>
      <c r="AU74" s="112" t="str">
        <f>IF(preDEL!$AG74,IFERROR(0/0,""),preDEL!AU74)</f>
        <v/>
      </c>
      <c r="AV74" s="112" t="str">
        <f>IF(preDEL!$AG74,IFERROR(0/0,""),preDEL!AV74)</f>
        <v/>
      </c>
      <c r="AW74" s="112" t="str">
        <f>IF(preDEL!$AG74,IFERROR(0/0,""),preDEL!AW74)</f>
        <v/>
      </c>
      <c r="AX74" s="112" t="str">
        <f>IF(preDEL!$AG74,IFERROR(0/0,""),preDEL!AX74)</f>
        <v/>
      </c>
      <c r="AY74" s="112" t="str">
        <f>IF(preDEL!$AG74,IFERROR(0/0,""),preDEL!AY74)</f>
        <v/>
      </c>
      <c r="AZ74" s="174"/>
      <c r="BA74" s="174"/>
      <c r="BB74" s="174"/>
      <c r="BC74" s="174"/>
      <c r="BD74" s="174"/>
      <c r="BE74" s="174"/>
      <c r="BF74" s="174"/>
      <c r="BG74" s="174"/>
      <c r="BH74" s="174"/>
      <c r="BI74" s="174"/>
      <c r="BJ74" s="174"/>
      <c r="BK74" s="174"/>
      <c r="BL74" s="174"/>
      <c r="BM74" s="174"/>
      <c r="BN74" s="174"/>
      <c r="BO74" s="174"/>
      <c r="BP74" s="174"/>
      <c r="BQ74" s="174"/>
      <c r="BR74" s="174"/>
      <c r="BS74" s="174"/>
      <c r="BT74" s="174"/>
      <c r="BU74" s="174"/>
      <c r="BV74" s="174"/>
      <c r="BW74" s="174"/>
      <c r="BX74" s="174"/>
      <c r="BY74" s="174"/>
      <c r="BZ74" s="174"/>
      <c r="CA74" s="174"/>
      <c r="CB74" s="174"/>
      <c r="CC74" s="174"/>
      <c r="CD74" s="174"/>
    </row>
    <row r="75">
      <c r="A75" s="105" t="str">
        <f>IF(preDEL!$AG75,IFERROR(0/0,""),preDEL!A75)</f>
        <v>MA1084</v>
      </c>
      <c r="B75" s="170">
        <f>IF(preDEL!$AG75,IFERROR(0/0,""),preDEL!B75)</f>
        <v>44561</v>
      </c>
      <c r="C75" s="171">
        <f>IF(preDEL!$AG75,IFERROR(0/0,""),preDEL!C75)</f>
        <v>0.3366898148</v>
      </c>
      <c r="D75" s="105" t="str">
        <f>IF(preDEL!$AG75,IFERROR(0/0,""),preDEL!D75)</f>
        <v/>
      </c>
      <c r="E75" s="105" t="str">
        <f>IF(preDEL!$AG75,IFERROR(0/0,""),preDEL!E75)</f>
        <v/>
      </c>
      <c r="F75" s="112" t="str">
        <f>IF(preDEL!$AG75,IFERROR(0/0,""),preDEL!F75)</f>
        <v/>
      </c>
      <c r="G75" s="112" t="str">
        <f>IF(preDEL!$AG75,IFERROR(0/0,""),preDEL!G75)</f>
        <v/>
      </c>
      <c r="H75" s="112" t="str">
        <f>IF(preDEL!$AG75,IFERROR(0/0,""),preDEL!H75)</f>
        <v/>
      </c>
      <c r="I75" s="105" t="str">
        <f>IF(preDEL!$AG75,IFERROR(0/0,""),preDEL!I75)</f>
        <v/>
      </c>
      <c r="J75" s="105" t="str">
        <f>IF(preDEL!$AG75,IFERROR(0/0,""),preDEL!J75)</f>
        <v/>
      </c>
      <c r="K75" s="105" t="str">
        <f>IF(preDEL!$AG75,IFERROR(0/0,""),preDEL!K75)</f>
        <v>Negative</v>
      </c>
      <c r="L75" s="170">
        <f>IF(preDEL!$AG75,IFERROR(0/0,""),preDEL!L75)</f>
        <v>44561</v>
      </c>
      <c r="M75" s="171">
        <f>IF(preDEL!$AG75,IFERROR(0/0,""),preDEL!M75)</f>
        <v>0.4449305556</v>
      </c>
      <c r="N75" s="112" t="str">
        <f>IF(preDEL!$AG75,IFERROR(0/0,""),preDEL!N75)</f>
        <v/>
      </c>
      <c r="O75" s="112" t="str">
        <f>IF(preDEL!$AG75,IFERROR(0/0,""),preDEL!O75)</f>
        <v/>
      </c>
      <c r="P75" s="110" t="b">
        <f>IF(preDEL!$AG75,IFERROR(0/0,""),preDEL!P75)</f>
        <v>0</v>
      </c>
      <c r="Q75" s="110" t="str">
        <f>IF(preDEL!$AG75,IFERROR(0/0,""),preDEL!Q75)</f>
        <v>Result</v>
      </c>
      <c r="R75" s="104" t="b">
        <f>IF(preDEL!$AG75,IFERROR(0/0,""),preDEL!R75)</f>
        <v>1</v>
      </c>
      <c r="S75" s="104">
        <f>IF(preDEL!$AG75,IFERROR(0/0,""),preDEL!S75)</f>
        <v>1</v>
      </c>
      <c r="T75" s="110" t="str">
        <f>IF(preDEL!$AG75,IFERROR(0/0,""),preDEL!T75)</f>
        <v/>
      </c>
      <c r="U75" s="112" t="str">
        <f>IF(preDEL!$AG75,IFERROR(0/0,""),preDEL!U75)</f>
        <v/>
      </c>
      <c r="V75" s="105" t="str">
        <f>IF(preDEL!$AG75,IFERROR(0/0,""),preDEL!V75)</f>
        <v/>
      </c>
      <c r="W75" s="112" t="str">
        <f>IF(preDEL!$AG75,IFERROR(0/0,""),preDEL!W75)</f>
        <v/>
      </c>
      <c r="X75" s="104" t="b">
        <f>IF(preDEL!$AG75,IFERROR(0/0,""),preDEL!X75)</f>
        <v>0</v>
      </c>
      <c r="Y75" s="110" t="b">
        <f>IF(preDEL!$AG75,IFERROR(0/0,""),preDEL!Y75)</f>
        <v>0</v>
      </c>
      <c r="Z75" s="105" t="str">
        <f>IF(preDEL!$AG75,IFERROR(0/0,""),preDEL!Z75)</f>
        <v/>
      </c>
      <c r="AA75" s="110" t="b">
        <f>IF(preDEL!$AG75,IFERROR(0/0,""),preDEL!AA75)</f>
        <v>0</v>
      </c>
      <c r="AB75" s="110" t="b">
        <f>IF(preDEL!$AG75,IFERROR(0/0,""),preDEL!AB75)</f>
        <v>0</v>
      </c>
      <c r="AC75" s="172">
        <f>IF(preDEL!$AG75,IFERROR(0/0,""),preDEL!AC75)</f>
        <v>714</v>
      </c>
      <c r="AD75" s="104" t="b">
        <f>IF(preDEL!$AG75,IFERROR(0/0,""),preDEL!AD75)</f>
        <v>0</v>
      </c>
      <c r="AE75" s="173">
        <f>IF(preDEL!$AG75,IFERROR(0/0,""),preDEL!AE75)</f>
        <v>155.8666667</v>
      </c>
      <c r="AF75" s="110" t="b">
        <f>IF(preDEL!$AG75,IFERROR(0/0,""),preDEL!AF75)</f>
        <v>0</v>
      </c>
      <c r="AG75" s="110" t="b">
        <f>IF(preDEL!$AG75,IFERROR(0/0,""),preDEL!AG75)</f>
        <v>0</v>
      </c>
      <c r="AH75" s="104" t="str">
        <f>IF(preDEL!$AG75,IFERROR(0/0,""),preDEL!AH75)</f>
        <v/>
      </c>
      <c r="AI75" s="105" t="str">
        <f>IF(preDEL!$AG75,IFERROR(0/0,""),preDEL!AI75)</f>
        <v/>
      </c>
      <c r="AJ75" s="112" t="str">
        <f>IF(preDEL!$AG75,IFERROR(0/0,""),preDEL!AJ75)</f>
        <v/>
      </c>
      <c r="AK75" s="105" t="str">
        <f>IF(preDEL!$AG75,IFERROR(0/0,""),preDEL!AK75)</f>
        <v>Negative</v>
      </c>
      <c r="AL75" s="112" t="str">
        <f>IF(preDEL!$AG75,IFERROR(0/0,""),preDEL!AL75)</f>
        <v/>
      </c>
      <c r="AM75" s="112" t="str">
        <f>IF(preDEL!$AG75,IFERROR(0/0,""),preDEL!AM75)</f>
        <v>SpBEND953422</v>
      </c>
      <c r="AN75" s="112" t="str">
        <f>IF(preDEL!$AG75,IFERROR(0/0,""),preDEL!AN75)</f>
        <v>BEND782925</v>
      </c>
      <c r="AO75" s="112" t="str">
        <f>IF(preDEL!$AG75,IFERROR(0/0,""),preDEL!AO75)</f>
        <v/>
      </c>
      <c r="AP75" s="112" t="str">
        <f>IF(preDEL!$AG75,IFERROR(0/0,""),preDEL!AP75)</f>
        <v/>
      </c>
      <c r="AQ75" s="112" t="str">
        <f>IF(preDEL!$AG75,IFERROR(0/0,""),preDEL!AQ75)</f>
        <v/>
      </c>
      <c r="AR75" s="112" t="str">
        <f>IF(preDEL!$AG75,IFERROR(0/0,""),preDEL!AR75)</f>
        <v/>
      </c>
      <c r="AS75" s="112" t="str">
        <f>IF(preDEL!$AG75,IFERROR(0/0,""),preDEL!AS75)</f>
        <v/>
      </c>
      <c r="AT75" s="112" t="b">
        <f>IF(preDEL!$AG75,IFERROR(0/0,""),preDEL!AT75)</f>
        <v>0</v>
      </c>
      <c r="AU75" s="112" t="str">
        <f>IF(preDEL!$AG75,IFERROR(0/0,""),preDEL!AU75)</f>
        <v/>
      </c>
      <c r="AV75" s="112" t="str">
        <f>IF(preDEL!$AG75,IFERROR(0/0,""),preDEL!AV75)</f>
        <v/>
      </c>
      <c r="AW75" s="112" t="str">
        <f>IF(preDEL!$AG75,IFERROR(0/0,""),preDEL!AW75)</f>
        <v/>
      </c>
      <c r="AX75" s="112" t="str">
        <f>IF(preDEL!$AG75,IFERROR(0/0,""),preDEL!AX75)</f>
        <v/>
      </c>
      <c r="AY75" s="112" t="str">
        <f>IF(preDEL!$AG75,IFERROR(0/0,""),preDEL!AY75)</f>
        <v/>
      </c>
      <c r="AZ75" s="174"/>
      <c r="BA75" s="174"/>
      <c r="BB75" s="174"/>
      <c r="BC75" s="174"/>
      <c r="BD75" s="174"/>
      <c r="BE75" s="174"/>
      <c r="BF75" s="174"/>
      <c r="BG75" s="174"/>
      <c r="BH75" s="174"/>
      <c r="BI75" s="174"/>
      <c r="BJ75" s="174"/>
      <c r="BK75" s="174"/>
      <c r="BL75" s="174"/>
      <c r="BM75" s="174"/>
      <c r="BN75" s="174"/>
      <c r="BO75" s="174"/>
      <c r="BP75" s="174"/>
      <c r="BQ75" s="174"/>
      <c r="BR75" s="174"/>
      <c r="BS75" s="174"/>
      <c r="BT75" s="174"/>
      <c r="BU75" s="174"/>
      <c r="BV75" s="174"/>
      <c r="BW75" s="174"/>
      <c r="BX75" s="174"/>
      <c r="BY75" s="174"/>
      <c r="BZ75" s="174"/>
      <c r="CA75" s="174"/>
      <c r="CB75" s="174"/>
      <c r="CC75" s="174"/>
      <c r="CD75" s="174"/>
    </row>
    <row r="76">
      <c r="A76" s="105" t="str">
        <f>IF(preDEL!$AG76,IFERROR(0/0,""),preDEL!A76)</f>
        <v>MA1280</v>
      </c>
      <c r="B76" s="170">
        <f>IF(preDEL!$AG76,IFERROR(0/0,""),preDEL!B76)</f>
        <v>44561</v>
      </c>
      <c r="C76" s="171">
        <f>IF(preDEL!$AG76,IFERROR(0/0,""),preDEL!C76)</f>
        <v>0.3527777778</v>
      </c>
      <c r="D76" s="105" t="str">
        <f>IF(preDEL!$AG76,IFERROR(0/0,""),preDEL!D76)</f>
        <v/>
      </c>
      <c r="E76" s="105" t="str">
        <f>IF(preDEL!$AG76,IFERROR(0/0,""),preDEL!E76)</f>
        <v/>
      </c>
      <c r="F76" s="112" t="str">
        <f>IF(preDEL!$AG76,IFERROR(0/0,""),preDEL!F76)</f>
        <v/>
      </c>
      <c r="G76" s="112" t="str">
        <f>IF(preDEL!$AG76,IFERROR(0/0,""),preDEL!G76)</f>
        <v/>
      </c>
      <c r="H76" s="112" t="str">
        <f>IF(preDEL!$AG76,IFERROR(0/0,""),preDEL!H76)</f>
        <v/>
      </c>
      <c r="I76" s="105" t="str">
        <f>IF(preDEL!$AG76,IFERROR(0/0,""),preDEL!I76)</f>
        <v/>
      </c>
      <c r="J76" s="105" t="str">
        <f>IF(preDEL!$AG76,IFERROR(0/0,""),preDEL!J76)</f>
        <v/>
      </c>
      <c r="K76" s="105" t="str">
        <f>IF(preDEL!$AG76,IFERROR(0/0,""),preDEL!K76)</f>
        <v>Negative</v>
      </c>
      <c r="L76" s="170">
        <f>IF(preDEL!$AG76,IFERROR(0/0,""),preDEL!L76)</f>
        <v>44561</v>
      </c>
      <c r="M76" s="171">
        <f>IF(preDEL!$AG76,IFERROR(0/0,""),preDEL!M76)</f>
        <v>0.4449305556</v>
      </c>
      <c r="N76" s="112" t="str">
        <f>IF(preDEL!$AG76,IFERROR(0/0,""),preDEL!N76)</f>
        <v/>
      </c>
      <c r="O76" s="112" t="str">
        <f>IF(preDEL!$AG76,IFERROR(0/0,""),preDEL!O76)</f>
        <v/>
      </c>
      <c r="P76" s="110" t="b">
        <f>IF(preDEL!$AG76,IFERROR(0/0,""),preDEL!P76)</f>
        <v>0</v>
      </c>
      <c r="Q76" s="110" t="str">
        <f>IF(preDEL!$AG76,IFERROR(0/0,""),preDEL!Q76)</f>
        <v>Result</v>
      </c>
      <c r="R76" s="104" t="b">
        <f>IF(preDEL!$AG76,IFERROR(0/0,""),preDEL!R76)</f>
        <v>1</v>
      </c>
      <c r="S76" s="104">
        <f>IF(preDEL!$AG76,IFERROR(0/0,""),preDEL!S76)</f>
        <v>1</v>
      </c>
      <c r="T76" s="110" t="str">
        <f>IF(preDEL!$AG76,IFERROR(0/0,""),preDEL!T76)</f>
        <v/>
      </c>
      <c r="U76" s="112" t="str">
        <f>IF(preDEL!$AG76,IFERROR(0/0,""),preDEL!U76)</f>
        <v/>
      </c>
      <c r="V76" s="105" t="str">
        <f>IF(preDEL!$AG76,IFERROR(0/0,""),preDEL!V76)</f>
        <v/>
      </c>
      <c r="W76" s="112" t="str">
        <f>IF(preDEL!$AG76,IFERROR(0/0,""),preDEL!W76)</f>
        <v/>
      </c>
      <c r="X76" s="104" t="b">
        <f>IF(preDEL!$AG76,IFERROR(0/0,""),preDEL!X76)</f>
        <v>0</v>
      </c>
      <c r="Y76" s="110" t="b">
        <f>IF(preDEL!$AG76,IFERROR(0/0,""),preDEL!Y76)</f>
        <v>0</v>
      </c>
      <c r="Z76" s="105" t="str">
        <f>IF(preDEL!$AG76,IFERROR(0/0,""),preDEL!Z76)</f>
        <v/>
      </c>
      <c r="AA76" s="110" t="b">
        <f>IF(preDEL!$AG76,IFERROR(0/0,""),preDEL!AA76)</f>
        <v>0</v>
      </c>
      <c r="AB76" s="110" t="b">
        <f>IF(preDEL!$AG76,IFERROR(0/0,""),preDEL!AB76)</f>
        <v>0</v>
      </c>
      <c r="AC76" s="172">
        <f>IF(preDEL!$AG76,IFERROR(0/0,""),preDEL!AC76)</f>
        <v>713</v>
      </c>
      <c r="AD76" s="104" t="b">
        <f>IF(preDEL!$AG76,IFERROR(0/0,""),preDEL!AD76)</f>
        <v>0</v>
      </c>
      <c r="AE76" s="173">
        <f>IF(preDEL!$AG76,IFERROR(0/0,""),preDEL!AE76)</f>
        <v>132.7</v>
      </c>
      <c r="AF76" s="110" t="b">
        <f>IF(preDEL!$AG76,IFERROR(0/0,""),preDEL!AF76)</f>
        <v>0</v>
      </c>
      <c r="AG76" s="110" t="b">
        <f>IF(preDEL!$AG76,IFERROR(0/0,""),preDEL!AG76)</f>
        <v>0</v>
      </c>
      <c r="AH76" s="104" t="str">
        <f>IF(preDEL!$AG76,IFERROR(0/0,""),preDEL!AH76)</f>
        <v/>
      </c>
      <c r="AI76" s="105" t="str">
        <f>IF(preDEL!$AG76,IFERROR(0/0,""),preDEL!AI76)</f>
        <v/>
      </c>
      <c r="AJ76" s="112" t="str">
        <f>IF(preDEL!$AG76,IFERROR(0/0,""),preDEL!AJ76)</f>
        <v/>
      </c>
      <c r="AK76" s="105" t="str">
        <f>IF(preDEL!$AG76,IFERROR(0/0,""),preDEL!AK76)</f>
        <v>Negative</v>
      </c>
      <c r="AL76" s="112" t="str">
        <f>IF(preDEL!$AG76,IFERROR(0/0,""),preDEL!AL76)</f>
        <v/>
      </c>
      <c r="AM76" s="112" t="str">
        <f>IF(preDEL!$AG76,IFERROR(0/0,""),preDEL!AM76)</f>
        <v>SpBEND708976</v>
      </c>
      <c r="AN76" s="112" t="str">
        <f>IF(preDEL!$AG76,IFERROR(0/0,""),preDEL!AN76)</f>
        <v>BEND525784</v>
      </c>
      <c r="AO76" s="112" t="str">
        <f>IF(preDEL!$AG76,IFERROR(0/0,""),preDEL!AO76)</f>
        <v/>
      </c>
      <c r="AP76" s="112" t="str">
        <f>IF(preDEL!$AG76,IFERROR(0/0,""),preDEL!AP76)</f>
        <v/>
      </c>
      <c r="AQ76" s="112" t="str">
        <f>IF(preDEL!$AG76,IFERROR(0/0,""),preDEL!AQ76)</f>
        <v/>
      </c>
      <c r="AR76" s="112" t="str">
        <f>IF(preDEL!$AG76,IFERROR(0/0,""),preDEL!AR76)</f>
        <v/>
      </c>
      <c r="AS76" s="112" t="str">
        <f>IF(preDEL!$AG76,IFERROR(0/0,""),preDEL!AS76)</f>
        <v/>
      </c>
      <c r="AT76" s="112" t="b">
        <f>IF(preDEL!$AG76,IFERROR(0/0,""),preDEL!AT76)</f>
        <v>0</v>
      </c>
      <c r="AU76" s="112" t="str">
        <f>IF(preDEL!$AG76,IFERROR(0/0,""),preDEL!AU76)</f>
        <v/>
      </c>
      <c r="AV76" s="112" t="str">
        <f>IF(preDEL!$AG76,IFERROR(0/0,""),preDEL!AV76)</f>
        <v/>
      </c>
      <c r="AW76" s="112" t="str">
        <f>IF(preDEL!$AG76,IFERROR(0/0,""),preDEL!AW76)</f>
        <v/>
      </c>
      <c r="AX76" s="112" t="str">
        <f>IF(preDEL!$AG76,IFERROR(0/0,""),preDEL!AX76)</f>
        <v/>
      </c>
      <c r="AY76" s="112" t="str">
        <f>IF(preDEL!$AG76,IFERROR(0/0,""),preDEL!AY76)</f>
        <v/>
      </c>
      <c r="AZ76" s="174"/>
      <c r="BA76" s="174"/>
      <c r="BB76" s="174"/>
      <c r="BC76" s="174"/>
      <c r="BD76" s="174"/>
      <c r="BE76" s="174"/>
      <c r="BF76" s="174"/>
      <c r="BG76" s="174"/>
      <c r="BH76" s="174"/>
      <c r="BI76" s="174"/>
      <c r="BJ76" s="174"/>
      <c r="BK76" s="174"/>
      <c r="BL76" s="174"/>
      <c r="BM76" s="174"/>
      <c r="BN76" s="174"/>
      <c r="BO76" s="174"/>
      <c r="BP76" s="174"/>
      <c r="BQ76" s="174"/>
      <c r="BR76" s="174"/>
      <c r="BS76" s="174"/>
      <c r="BT76" s="174"/>
      <c r="BU76" s="174"/>
      <c r="BV76" s="174"/>
      <c r="BW76" s="174"/>
      <c r="BX76" s="174"/>
      <c r="BY76" s="174"/>
      <c r="BZ76" s="174"/>
      <c r="CA76" s="174"/>
      <c r="CB76" s="174"/>
      <c r="CC76" s="174"/>
      <c r="CD76" s="174"/>
    </row>
    <row r="77">
      <c r="A77" s="105" t="str">
        <f>IF(preDEL!$AG77,IFERROR(0/0,""),preDEL!A77)</f>
        <v/>
      </c>
      <c r="B77" s="170" t="str">
        <f>IF(preDEL!$AG77,IFERROR(0/0,""),preDEL!B77)</f>
        <v/>
      </c>
      <c r="C77" s="171" t="str">
        <f>IF(preDEL!$AG77,IFERROR(0/0,""),preDEL!C77)</f>
        <v/>
      </c>
      <c r="D77" s="105" t="str">
        <f>IF(preDEL!$AG77,IFERROR(0/0,""),preDEL!D77)</f>
        <v/>
      </c>
      <c r="E77" s="105" t="str">
        <f>IF(preDEL!$AG77,IFERROR(0/0,""),preDEL!E77)</f>
        <v/>
      </c>
      <c r="F77" s="112" t="str">
        <f>IF(preDEL!$AG77,IFERROR(0/0,""),preDEL!F77)</f>
        <v/>
      </c>
      <c r="G77" s="112" t="str">
        <f>IF(preDEL!$AG77,IFERROR(0/0,""),preDEL!G77)</f>
        <v/>
      </c>
      <c r="H77" s="112" t="str">
        <f>IF(preDEL!$AG77,IFERROR(0/0,""),preDEL!H77)</f>
        <v/>
      </c>
      <c r="I77" s="105" t="str">
        <f>IF(preDEL!$AG77,IFERROR(0/0,""),preDEL!I77)</f>
        <v/>
      </c>
      <c r="J77" s="105" t="str">
        <f>IF(preDEL!$AG77,IFERROR(0/0,""),preDEL!J77)</f>
        <v/>
      </c>
      <c r="K77" s="105" t="str">
        <f>IF(preDEL!$AG77,IFERROR(0/0,""),preDEL!K77)</f>
        <v/>
      </c>
      <c r="L77" s="170" t="str">
        <f>IF(preDEL!$AG77,IFERROR(0/0,""),preDEL!L77)</f>
        <v/>
      </c>
      <c r="M77" s="171" t="str">
        <f>IF(preDEL!$AG77,IFERROR(0/0,""),preDEL!M77)</f>
        <v/>
      </c>
      <c r="N77" s="112" t="str">
        <f>IF(preDEL!$AG77,IFERROR(0/0,""),preDEL!N77)</f>
        <v/>
      </c>
      <c r="O77" s="112" t="str">
        <f>IF(preDEL!$AG77,IFERROR(0/0,""),preDEL!O77)</f>
        <v/>
      </c>
      <c r="P77" s="110" t="str">
        <f>IF(preDEL!$AG77,IFERROR(0/0,""),preDEL!P77)</f>
        <v/>
      </c>
      <c r="Q77" s="110" t="str">
        <f>IF(preDEL!$AG77,IFERROR(0/0,""),preDEL!Q77)</f>
        <v/>
      </c>
      <c r="R77" s="104" t="str">
        <f>IF(preDEL!$AG77,IFERROR(0/0,""),preDEL!R77)</f>
        <v/>
      </c>
      <c r="S77" s="104" t="str">
        <f>IF(preDEL!$AG77,IFERROR(0/0,""),preDEL!S77)</f>
        <v/>
      </c>
      <c r="T77" s="110" t="str">
        <f>IF(preDEL!$AG77,IFERROR(0/0,""),preDEL!T77)</f>
        <v/>
      </c>
      <c r="U77" s="112" t="str">
        <f>IF(preDEL!$AG77,IFERROR(0/0,""),preDEL!U77)</f>
        <v/>
      </c>
      <c r="V77" s="105" t="str">
        <f>IF(preDEL!$AG77,IFERROR(0/0,""),preDEL!V77)</f>
        <v/>
      </c>
      <c r="W77" s="112" t="str">
        <f>IF(preDEL!$AG77,IFERROR(0/0,""),preDEL!W77)</f>
        <v/>
      </c>
      <c r="X77" s="104" t="str">
        <f>IF(preDEL!$AG77,IFERROR(0/0,""),preDEL!X77)</f>
        <v/>
      </c>
      <c r="Y77" s="110" t="str">
        <f>IF(preDEL!$AG77,IFERROR(0/0,""),preDEL!Y77)</f>
        <v/>
      </c>
      <c r="Z77" s="105" t="str">
        <f>IF(preDEL!$AG77,IFERROR(0/0,""),preDEL!Z77)</f>
        <v/>
      </c>
      <c r="AA77" s="110" t="str">
        <f>IF(preDEL!$AG77,IFERROR(0/0,""),preDEL!AA77)</f>
        <v/>
      </c>
      <c r="AB77" s="110" t="str">
        <f>IF(preDEL!$AG77,IFERROR(0/0,""),preDEL!AB77)</f>
        <v/>
      </c>
      <c r="AC77" s="172" t="str">
        <f>IF(preDEL!$AG77,IFERROR(0/0,""),preDEL!AC77)</f>
        <v/>
      </c>
      <c r="AD77" s="104" t="str">
        <f>IF(preDEL!$AG77,IFERROR(0/0,""),preDEL!AD77)</f>
        <v/>
      </c>
      <c r="AE77" s="173" t="str">
        <f>IF(preDEL!$AG77,IFERROR(0/0,""),preDEL!AE77)</f>
        <v/>
      </c>
      <c r="AF77" s="110" t="str">
        <f>IF(preDEL!$AG77,IFERROR(0/0,""),preDEL!AF77)</f>
        <v/>
      </c>
      <c r="AG77" s="110" t="str">
        <f>IF(preDEL!$AG77,IFERROR(0/0,""),preDEL!AG77)</f>
        <v/>
      </c>
      <c r="AH77" s="104" t="str">
        <f>IF(preDEL!$AG77,IFERROR(0/0,""),preDEL!AH77)</f>
        <v/>
      </c>
      <c r="AI77" s="105" t="str">
        <f>IF(preDEL!$AG77,IFERROR(0/0,""),preDEL!AI77)</f>
        <v/>
      </c>
      <c r="AJ77" s="112" t="str">
        <f>IF(preDEL!$AG77,IFERROR(0/0,""),preDEL!AJ77)</f>
        <v/>
      </c>
      <c r="AK77" s="105" t="str">
        <f>IF(preDEL!$AG77,IFERROR(0/0,""),preDEL!AK77)</f>
        <v/>
      </c>
      <c r="AL77" s="112" t="str">
        <f>IF(preDEL!$AG77,IFERROR(0/0,""),preDEL!AL77)</f>
        <v/>
      </c>
      <c r="AM77" s="112" t="str">
        <f>IF(preDEL!$AG77,IFERROR(0/0,""),preDEL!AM77)</f>
        <v/>
      </c>
      <c r="AN77" s="112" t="str">
        <f>IF(preDEL!$AG77,IFERROR(0/0,""),preDEL!AN77)</f>
        <v/>
      </c>
      <c r="AO77" s="112" t="str">
        <f>IF(preDEL!$AG77,IFERROR(0/0,""),preDEL!AO77)</f>
        <v/>
      </c>
      <c r="AP77" s="112" t="str">
        <f>IF(preDEL!$AG77,IFERROR(0/0,""),preDEL!AP77)</f>
        <v/>
      </c>
      <c r="AQ77" s="112" t="str">
        <f>IF(preDEL!$AG77,IFERROR(0/0,""),preDEL!AQ77)</f>
        <v/>
      </c>
      <c r="AR77" s="112" t="str">
        <f>IF(preDEL!$AG77,IFERROR(0/0,""),preDEL!AR77)</f>
        <v/>
      </c>
      <c r="AS77" s="112" t="str">
        <f>IF(preDEL!$AG77,IFERROR(0/0,""),preDEL!AS77)</f>
        <v/>
      </c>
      <c r="AT77" s="112" t="str">
        <f>IF(preDEL!$AG77,IFERROR(0/0,""),preDEL!AT77)</f>
        <v/>
      </c>
      <c r="AU77" s="112" t="str">
        <f>IF(preDEL!$AG77,IFERROR(0/0,""),preDEL!AU77)</f>
        <v/>
      </c>
      <c r="AV77" s="112" t="str">
        <f>IF(preDEL!$AG77,IFERROR(0/0,""),preDEL!AV77)</f>
        <v/>
      </c>
      <c r="AW77" s="112" t="str">
        <f>IF(preDEL!$AG77,IFERROR(0/0,""),preDEL!AW77)</f>
        <v/>
      </c>
      <c r="AX77" s="112" t="str">
        <f>IF(preDEL!$AG77,IFERROR(0/0,""),preDEL!AX77)</f>
        <v/>
      </c>
      <c r="AY77" s="112" t="str">
        <f>IF(preDEL!$AG77,IFERROR(0/0,""),preDEL!AY77)</f>
        <v/>
      </c>
      <c r="AZ77" s="174"/>
      <c r="BA77" s="174"/>
      <c r="BB77" s="174"/>
      <c r="BC77" s="174"/>
      <c r="BD77" s="174"/>
      <c r="BE77" s="174"/>
      <c r="BF77" s="174"/>
      <c r="BG77" s="174"/>
      <c r="BH77" s="174"/>
      <c r="BI77" s="174"/>
      <c r="BJ77" s="174"/>
      <c r="BK77" s="174"/>
      <c r="BL77" s="174"/>
      <c r="BM77" s="174"/>
      <c r="BN77" s="174"/>
      <c r="BO77" s="174"/>
      <c r="BP77" s="174"/>
      <c r="BQ77" s="174"/>
      <c r="BR77" s="174"/>
      <c r="BS77" s="174"/>
      <c r="BT77" s="174"/>
      <c r="BU77" s="174"/>
      <c r="BV77" s="174"/>
      <c r="BW77" s="174"/>
      <c r="BX77" s="174"/>
      <c r="BY77" s="174"/>
      <c r="BZ77" s="174"/>
      <c r="CA77" s="174"/>
      <c r="CB77" s="174"/>
      <c r="CC77" s="174"/>
      <c r="CD77" s="174"/>
    </row>
    <row r="78">
      <c r="A78" s="105" t="str">
        <f>IF(preDEL!$AG78,IFERROR(0/0,""),preDEL!A78)</f>
        <v>MA316</v>
      </c>
      <c r="B78" s="170">
        <f>IF(preDEL!$AG78,IFERROR(0/0,""),preDEL!B78)</f>
        <v>44561</v>
      </c>
      <c r="C78" s="171">
        <f>IF(preDEL!$AG78,IFERROR(0/0,""),preDEL!C78)</f>
        <v>0.4004282407</v>
      </c>
      <c r="D78" s="105" t="str">
        <f>IF(preDEL!$AG78,IFERROR(0/0,""),preDEL!D78)</f>
        <v/>
      </c>
      <c r="E78" s="105" t="str">
        <f>IF(preDEL!$AG78,IFERROR(0/0,""),preDEL!E78)</f>
        <v/>
      </c>
      <c r="F78" s="112" t="str">
        <f>IF(preDEL!$AG78,IFERROR(0/0,""),preDEL!F78)</f>
        <v/>
      </c>
      <c r="G78" s="112" t="str">
        <f>IF(preDEL!$AG78,IFERROR(0/0,""),preDEL!G78)</f>
        <v/>
      </c>
      <c r="H78" s="112" t="str">
        <f>IF(preDEL!$AG78,IFERROR(0/0,""),preDEL!H78)</f>
        <v/>
      </c>
      <c r="I78" s="105" t="str">
        <f>IF(preDEL!$AG78,IFERROR(0/0,""),preDEL!I78)</f>
        <v/>
      </c>
      <c r="J78" s="105" t="str">
        <f>IF(preDEL!$AG78,IFERROR(0/0,""),preDEL!J78)</f>
        <v/>
      </c>
      <c r="K78" s="105" t="str">
        <f>IF(preDEL!$AG78,IFERROR(0/0,""),preDEL!K78)</f>
        <v>Positive</v>
      </c>
      <c r="L78" s="170">
        <f>IF(preDEL!$AG78,IFERROR(0/0,""),preDEL!L78)</f>
        <v>44561</v>
      </c>
      <c r="M78" s="171">
        <f>IF(preDEL!$AG78,IFERROR(0/0,""),preDEL!M78)</f>
        <v>0.4455902778</v>
      </c>
      <c r="N78" s="112" t="str">
        <f>IF(preDEL!$AG78,IFERROR(0/0,""),preDEL!N78)</f>
        <v/>
      </c>
      <c r="O78" s="112" t="str">
        <f>IF(preDEL!$AG78,IFERROR(0/0,""),preDEL!O78)</f>
        <v/>
      </c>
      <c r="P78" s="110" t="b">
        <f>IF(preDEL!$AG78,IFERROR(0/0,""),preDEL!P78)</f>
        <v>0</v>
      </c>
      <c r="Q78" s="110" t="str">
        <f>IF(preDEL!$AG78,IFERROR(0/0,""),preDEL!Q78)</f>
        <v>Result</v>
      </c>
      <c r="R78" s="104" t="b">
        <f>IF(preDEL!$AG78,IFERROR(0/0,""),preDEL!R78)</f>
        <v>1</v>
      </c>
      <c r="S78" s="104">
        <f>IF(preDEL!$AG78,IFERROR(0/0,""),preDEL!S78)</f>
        <v>1</v>
      </c>
      <c r="T78" s="110" t="str">
        <f>IF(preDEL!$AG78,IFERROR(0/0,""),preDEL!T78)</f>
        <v/>
      </c>
      <c r="U78" s="112" t="str">
        <f>IF(preDEL!$AG78,IFERROR(0/0,""),preDEL!U78)</f>
        <v/>
      </c>
      <c r="V78" s="105" t="str">
        <f>IF(preDEL!$AG78,IFERROR(0/0,""),preDEL!V78)</f>
        <v/>
      </c>
      <c r="W78" s="112" t="str">
        <f>IF(preDEL!$AG78,IFERROR(0/0,""),preDEL!W78)</f>
        <v/>
      </c>
      <c r="X78" s="104" t="b">
        <f>IF(preDEL!$AG78,IFERROR(0/0,""),preDEL!X78)</f>
        <v>0</v>
      </c>
      <c r="Y78" s="110" t="b">
        <f>IF(preDEL!$AG78,IFERROR(0/0,""),preDEL!Y78)</f>
        <v>0</v>
      </c>
      <c r="Z78" s="105" t="str">
        <f>IF(preDEL!$AG78,IFERROR(0/0,""),preDEL!Z78)</f>
        <v/>
      </c>
      <c r="AA78" s="110" t="b">
        <f>IF(preDEL!$AG78,IFERROR(0/0,""),preDEL!AA78)</f>
        <v>0</v>
      </c>
      <c r="AB78" s="110" t="b">
        <f>IF(preDEL!$AG78,IFERROR(0/0,""),preDEL!AB78)</f>
        <v>0</v>
      </c>
      <c r="AC78" s="172">
        <f>IF(preDEL!$AG78,IFERROR(0/0,""),preDEL!AC78)</f>
        <v>711</v>
      </c>
      <c r="AD78" s="104" t="b">
        <f>IF(preDEL!$AG78,IFERROR(0/0,""),preDEL!AD78)</f>
        <v>0</v>
      </c>
      <c r="AE78" s="173">
        <f>IF(preDEL!$AG78,IFERROR(0/0,""),preDEL!AE78)</f>
        <v>65.03333333</v>
      </c>
      <c r="AF78" s="110" t="b">
        <f>IF(preDEL!$AG78,IFERROR(0/0,""),preDEL!AF78)</f>
        <v>0</v>
      </c>
      <c r="AG78" s="110" t="b">
        <f>IF(preDEL!$AG78,IFERROR(0/0,""),preDEL!AG78)</f>
        <v>0</v>
      </c>
      <c r="AH78" s="104" t="str">
        <f>IF(preDEL!$AG78,IFERROR(0/0,""),preDEL!AH78)</f>
        <v/>
      </c>
      <c r="AI78" s="105" t="str">
        <f>IF(preDEL!$AG78,IFERROR(0/0,""),preDEL!AI78)</f>
        <v/>
      </c>
      <c r="AJ78" s="112" t="str">
        <f>IF(preDEL!$AG78,IFERROR(0/0,""),preDEL!AJ78)</f>
        <v/>
      </c>
      <c r="AK78" s="105" t="str">
        <f>IF(preDEL!$AG78,IFERROR(0/0,""),preDEL!AK78)</f>
        <v>Positive</v>
      </c>
      <c r="AL78" s="112" t="str">
        <f>IF(preDEL!$AG78,IFERROR(0/0,""),preDEL!AL78)</f>
        <v/>
      </c>
      <c r="AM78" s="112" t="str">
        <f>IF(preDEL!$AG78,IFERROR(0/0,""),preDEL!AM78)</f>
        <v>SpBEND394154</v>
      </c>
      <c r="AN78" s="112" t="str">
        <f>IF(preDEL!$AG78,IFERROR(0/0,""),preDEL!AN78)</f>
        <v>BEND796718</v>
      </c>
      <c r="AO78" s="112" t="str">
        <f>IF(preDEL!$AG78,IFERROR(0/0,""),preDEL!AO78)</f>
        <v/>
      </c>
      <c r="AP78" s="112" t="str">
        <f>IF(preDEL!$AG78,IFERROR(0/0,""),preDEL!AP78)</f>
        <v/>
      </c>
      <c r="AQ78" s="112" t="str">
        <f>IF(preDEL!$AG78,IFERROR(0/0,""),preDEL!AQ78)</f>
        <v/>
      </c>
      <c r="AR78" s="112" t="str">
        <f>IF(preDEL!$AG78,IFERROR(0/0,""),preDEL!AR78)</f>
        <v/>
      </c>
      <c r="AS78" s="112" t="str">
        <f>IF(preDEL!$AG78,IFERROR(0/0,""),preDEL!AS78)</f>
        <v/>
      </c>
      <c r="AT78" s="112" t="b">
        <f>IF(preDEL!$AG78,IFERROR(0/0,""),preDEL!AT78)</f>
        <v>0</v>
      </c>
      <c r="AU78" s="112" t="str">
        <f>IF(preDEL!$AG78,IFERROR(0/0,""),preDEL!AU78)</f>
        <v/>
      </c>
      <c r="AV78" s="112" t="str">
        <f>IF(preDEL!$AG78,IFERROR(0/0,""),preDEL!AV78)</f>
        <v/>
      </c>
      <c r="AW78" s="112" t="str">
        <f>IF(preDEL!$AG78,IFERROR(0/0,""),preDEL!AW78)</f>
        <v/>
      </c>
      <c r="AX78" s="112" t="str">
        <f>IF(preDEL!$AG78,IFERROR(0/0,""),preDEL!AX78)</f>
        <v/>
      </c>
      <c r="AY78" s="112" t="str">
        <f>IF(preDEL!$AG78,IFERROR(0/0,""),preDEL!AY78)</f>
        <v/>
      </c>
      <c r="AZ78" s="174"/>
      <c r="BA78" s="174"/>
      <c r="BB78" s="174"/>
      <c r="BC78" s="174"/>
      <c r="BD78" s="174"/>
      <c r="BE78" s="174"/>
      <c r="BF78" s="174"/>
      <c r="BG78" s="174"/>
      <c r="BH78" s="174"/>
      <c r="BI78" s="174"/>
      <c r="BJ78" s="174"/>
      <c r="BK78" s="174"/>
      <c r="BL78" s="174"/>
      <c r="BM78" s="174"/>
      <c r="BN78" s="174"/>
      <c r="BO78" s="174"/>
      <c r="BP78" s="174"/>
      <c r="BQ78" s="174"/>
      <c r="BR78" s="174"/>
      <c r="BS78" s="174"/>
      <c r="BT78" s="174"/>
      <c r="BU78" s="174"/>
      <c r="BV78" s="174"/>
      <c r="BW78" s="174"/>
      <c r="BX78" s="174"/>
      <c r="BY78" s="174"/>
      <c r="BZ78" s="174"/>
      <c r="CA78" s="174"/>
      <c r="CB78" s="174"/>
      <c r="CC78" s="174"/>
      <c r="CD78" s="174"/>
    </row>
    <row r="79">
      <c r="A79" s="105" t="str">
        <f>IF(preDEL!$AG79,IFERROR(0/0,""),preDEL!A79)</f>
        <v/>
      </c>
      <c r="B79" s="170" t="str">
        <f>IF(preDEL!$AG79,IFERROR(0/0,""),preDEL!B79)</f>
        <v/>
      </c>
      <c r="C79" s="171" t="str">
        <f>IF(preDEL!$AG79,IFERROR(0/0,""),preDEL!C79)</f>
        <v/>
      </c>
      <c r="D79" s="105" t="str">
        <f>IF(preDEL!$AG79,IFERROR(0/0,""),preDEL!D79)</f>
        <v/>
      </c>
      <c r="E79" s="105" t="str">
        <f>IF(preDEL!$AG79,IFERROR(0/0,""),preDEL!E79)</f>
        <v/>
      </c>
      <c r="F79" s="112" t="str">
        <f>IF(preDEL!$AG79,IFERROR(0/0,""),preDEL!F79)</f>
        <v/>
      </c>
      <c r="G79" s="112" t="str">
        <f>IF(preDEL!$AG79,IFERROR(0/0,""),preDEL!G79)</f>
        <v/>
      </c>
      <c r="H79" s="112" t="str">
        <f>IF(preDEL!$AG79,IFERROR(0/0,""),preDEL!H79)</f>
        <v/>
      </c>
      <c r="I79" s="105" t="str">
        <f>IF(preDEL!$AG79,IFERROR(0/0,""),preDEL!I79)</f>
        <v/>
      </c>
      <c r="J79" s="105" t="str">
        <f>IF(preDEL!$AG79,IFERROR(0/0,""),preDEL!J79)</f>
        <v/>
      </c>
      <c r="K79" s="105" t="str">
        <f>IF(preDEL!$AG79,IFERROR(0/0,""),preDEL!K79)</f>
        <v/>
      </c>
      <c r="L79" s="170" t="str">
        <f>IF(preDEL!$AG79,IFERROR(0/0,""),preDEL!L79)</f>
        <v/>
      </c>
      <c r="M79" s="171" t="str">
        <f>IF(preDEL!$AG79,IFERROR(0/0,""),preDEL!M79)</f>
        <v/>
      </c>
      <c r="N79" s="112" t="str">
        <f>IF(preDEL!$AG79,IFERROR(0/0,""),preDEL!N79)</f>
        <v/>
      </c>
      <c r="O79" s="112" t="str">
        <f>IF(preDEL!$AG79,IFERROR(0/0,""),preDEL!O79)</f>
        <v/>
      </c>
      <c r="P79" s="110" t="str">
        <f>IF(preDEL!$AG79,IFERROR(0/0,""),preDEL!P79)</f>
        <v/>
      </c>
      <c r="Q79" s="110" t="str">
        <f>IF(preDEL!$AG79,IFERROR(0/0,""),preDEL!Q79)</f>
        <v/>
      </c>
      <c r="R79" s="104" t="str">
        <f>IF(preDEL!$AG79,IFERROR(0/0,""),preDEL!R79)</f>
        <v/>
      </c>
      <c r="S79" s="104" t="str">
        <f>IF(preDEL!$AG79,IFERROR(0/0,""),preDEL!S79)</f>
        <v/>
      </c>
      <c r="T79" s="110" t="str">
        <f>IF(preDEL!$AG79,IFERROR(0/0,""),preDEL!T79)</f>
        <v/>
      </c>
      <c r="U79" s="112" t="str">
        <f>IF(preDEL!$AG79,IFERROR(0/0,""),preDEL!U79)</f>
        <v/>
      </c>
      <c r="V79" s="105" t="str">
        <f>IF(preDEL!$AG79,IFERROR(0/0,""),preDEL!V79)</f>
        <v/>
      </c>
      <c r="W79" s="112" t="str">
        <f>IF(preDEL!$AG79,IFERROR(0/0,""),preDEL!W79)</f>
        <v/>
      </c>
      <c r="X79" s="104" t="str">
        <f>IF(preDEL!$AG79,IFERROR(0/0,""),preDEL!X79)</f>
        <v/>
      </c>
      <c r="Y79" s="110" t="str">
        <f>IF(preDEL!$AG79,IFERROR(0/0,""),preDEL!Y79)</f>
        <v/>
      </c>
      <c r="Z79" s="105" t="str">
        <f>IF(preDEL!$AG79,IFERROR(0/0,""),preDEL!Z79)</f>
        <v/>
      </c>
      <c r="AA79" s="110" t="str">
        <f>IF(preDEL!$AG79,IFERROR(0/0,""),preDEL!AA79)</f>
        <v/>
      </c>
      <c r="AB79" s="110" t="str">
        <f>IF(preDEL!$AG79,IFERROR(0/0,""),preDEL!AB79)</f>
        <v/>
      </c>
      <c r="AC79" s="172" t="str">
        <f>IF(preDEL!$AG79,IFERROR(0/0,""),preDEL!AC79)</f>
        <v/>
      </c>
      <c r="AD79" s="104" t="str">
        <f>IF(preDEL!$AG79,IFERROR(0/0,""),preDEL!AD79)</f>
        <v/>
      </c>
      <c r="AE79" s="173" t="str">
        <f>IF(preDEL!$AG79,IFERROR(0/0,""),preDEL!AE79)</f>
        <v/>
      </c>
      <c r="AF79" s="110" t="str">
        <f>IF(preDEL!$AG79,IFERROR(0/0,""),preDEL!AF79)</f>
        <v/>
      </c>
      <c r="AG79" s="110" t="str">
        <f>IF(preDEL!$AG79,IFERROR(0/0,""),preDEL!AG79)</f>
        <v/>
      </c>
      <c r="AH79" s="104" t="str">
        <f>IF(preDEL!$AG79,IFERROR(0/0,""),preDEL!AH79)</f>
        <v/>
      </c>
      <c r="AI79" s="105" t="str">
        <f>IF(preDEL!$AG79,IFERROR(0/0,""),preDEL!AI79)</f>
        <v/>
      </c>
      <c r="AJ79" s="112" t="str">
        <f>IF(preDEL!$AG79,IFERROR(0/0,""),preDEL!AJ79)</f>
        <v/>
      </c>
      <c r="AK79" s="105" t="str">
        <f>IF(preDEL!$AG79,IFERROR(0/0,""),preDEL!AK79)</f>
        <v/>
      </c>
      <c r="AL79" s="112" t="str">
        <f>IF(preDEL!$AG79,IFERROR(0/0,""),preDEL!AL79)</f>
        <v/>
      </c>
      <c r="AM79" s="112" t="str">
        <f>IF(preDEL!$AG79,IFERROR(0/0,""),preDEL!AM79)</f>
        <v/>
      </c>
      <c r="AN79" s="112" t="str">
        <f>IF(preDEL!$AG79,IFERROR(0/0,""),preDEL!AN79)</f>
        <v/>
      </c>
      <c r="AO79" s="112" t="str">
        <f>IF(preDEL!$AG79,IFERROR(0/0,""),preDEL!AO79)</f>
        <v/>
      </c>
      <c r="AP79" s="112" t="str">
        <f>IF(preDEL!$AG79,IFERROR(0/0,""),preDEL!AP79)</f>
        <v/>
      </c>
      <c r="AQ79" s="112" t="str">
        <f>IF(preDEL!$AG79,IFERROR(0/0,""),preDEL!AQ79)</f>
        <v/>
      </c>
      <c r="AR79" s="112" t="str">
        <f>IF(preDEL!$AG79,IFERROR(0/0,""),preDEL!AR79)</f>
        <v/>
      </c>
      <c r="AS79" s="112" t="str">
        <f>IF(preDEL!$AG79,IFERROR(0/0,""),preDEL!AS79)</f>
        <v/>
      </c>
      <c r="AT79" s="112" t="str">
        <f>IF(preDEL!$AG79,IFERROR(0/0,""),preDEL!AT79)</f>
        <v/>
      </c>
      <c r="AU79" s="112" t="str">
        <f>IF(preDEL!$AG79,IFERROR(0/0,""),preDEL!AU79)</f>
        <v/>
      </c>
      <c r="AV79" s="112" t="str">
        <f>IF(preDEL!$AG79,IFERROR(0/0,""),preDEL!AV79)</f>
        <v/>
      </c>
      <c r="AW79" s="112" t="str">
        <f>IF(preDEL!$AG79,IFERROR(0/0,""),preDEL!AW79)</f>
        <v/>
      </c>
      <c r="AX79" s="112" t="str">
        <f>IF(preDEL!$AG79,IFERROR(0/0,""),preDEL!AX79)</f>
        <v/>
      </c>
      <c r="AY79" s="112" t="str">
        <f>IF(preDEL!$AG79,IFERROR(0/0,""),preDEL!AY79)</f>
        <v/>
      </c>
      <c r="AZ79" s="174"/>
      <c r="BA79" s="174"/>
      <c r="BB79" s="174"/>
      <c r="BC79" s="174"/>
      <c r="BD79" s="174"/>
      <c r="BE79" s="174"/>
      <c r="BF79" s="174"/>
      <c r="BG79" s="174"/>
      <c r="BH79" s="174"/>
      <c r="BI79" s="174"/>
      <c r="BJ79" s="174"/>
      <c r="BK79" s="174"/>
      <c r="BL79" s="174"/>
      <c r="BM79" s="174"/>
      <c r="BN79" s="174"/>
      <c r="BO79" s="174"/>
      <c r="BP79" s="174"/>
      <c r="BQ79" s="174"/>
      <c r="BR79" s="174"/>
      <c r="BS79" s="174"/>
      <c r="BT79" s="174"/>
      <c r="BU79" s="174"/>
      <c r="BV79" s="174"/>
      <c r="BW79" s="174"/>
      <c r="BX79" s="174"/>
      <c r="BY79" s="174"/>
      <c r="BZ79" s="174"/>
      <c r="CA79" s="174"/>
      <c r="CB79" s="174"/>
      <c r="CC79" s="174"/>
      <c r="CD79" s="174"/>
    </row>
    <row r="80">
      <c r="A80" s="105" t="str">
        <f>IF(preDEL!$AG80,IFERROR(0/0,""),preDEL!A80)</f>
        <v>MA207</v>
      </c>
      <c r="B80" s="170">
        <f>IF(preDEL!$AG80,IFERROR(0/0,""),preDEL!B80)</f>
        <v>44564</v>
      </c>
      <c r="C80" s="171">
        <f>IF(preDEL!$AG80,IFERROR(0/0,""),preDEL!C80)</f>
        <v>0.2034837963</v>
      </c>
      <c r="D80" s="105" t="str">
        <f>IF(preDEL!$AG80,IFERROR(0/0,""),preDEL!D80)</f>
        <v/>
      </c>
      <c r="E80" s="105" t="str">
        <f>IF(preDEL!$AG80,IFERROR(0/0,""),preDEL!E80)</f>
        <v/>
      </c>
      <c r="F80" s="112" t="str">
        <f>IF(preDEL!$AG80,IFERROR(0/0,""),preDEL!F80)</f>
        <v/>
      </c>
      <c r="G80" s="112" t="str">
        <f>IF(preDEL!$AG80,IFERROR(0/0,""),preDEL!G80)</f>
        <v/>
      </c>
      <c r="H80" s="112" t="str">
        <f>IF(preDEL!$AG80,IFERROR(0/0,""),preDEL!H80)</f>
        <v/>
      </c>
      <c r="I80" s="105" t="str">
        <f>IF(preDEL!$AG80,IFERROR(0/0,""),preDEL!I80)</f>
        <v/>
      </c>
      <c r="J80" s="105" t="str">
        <f>IF(preDEL!$AG80,IFERROR(0/0,""),preDEL!J80)</f>
        <v/>
      </c>
      <c r="K80" s="105" t="str">
        <f>IF(preDEL!$AG80,IFERROR(0/0,""),preDEL!K80)</f>
        <v>Negative</v>
      </c>
      <c r="L80" s="170">
        <f>IF(preDEL!$AG80,IFERROR(0/0,""),preDEL!L80)</f>
        <v>44564</v>
      </c>
      <c r="M80" s="171">
        <f>IF(preDEL!$AG80,IFERROR(0/0,""),preDEL!M80)</f>
        <v>0.5280439815</v>
      </c>
      <c r="N80" s="112" t="str">
        <f>IF(preDEL!$AG80,IFERROR(0/0,""),preDEL!N80)</f>
        <v/>
      </c>
      <c r="O80" s="112" t="str">
        <f>IF(preDEL!$AG80,IFERROR(0/0,""),preDEL!O80)</f>
        <v/>
      </c>
      <c r="P80" s="110" t="b">
        <f>IF(preDEL!$AG80,IFERROR(0/0,""),preDEL!P80)</f>
        <v>0</v>
      </c>
      <c r="Q80" s="110" t="str">
        <f>IF(preDEL!$AG80,IFERROR(0/0,""),preDEL!Q80)</f>
        <v>Result</v>
      </c>
      <c r="R80" s="104" t="b">
        <f>IF(preDEL!$AG80,IFERROR(0/0,""),preDEL!R80)</f>
        <v>1</v>
      </c>
      <c r="S80" s="104">
        <f>IF(preDEL!$AG80,IFERROR(0/0,""),preDEL!S80)</f>
        <v>1</v>
      </c>
      <c r="T80" s="110" t="str">
        <f>IF(preDEL!$AG80,IFERROR(0/0,""),preDEL!T80)</f>
        <v/>
      </c>
      <c r="U80" s="112" t="str">
        <f>IF(preDEL!$AG80,IFERROR(0/0,""),preDEL!U80)</f>
        <v/>
      </c>
      <c r="V80" s="105" t="str">
        <f>IF(preDEL!$AG80,IFERROR(0/0,""),preDEL!V80)</f>
        <v/>
      </c>
      <c r="W80" s="112" t="str">
        <f>IF(preDEL!$AG80,IFERROR(0/0,""),preDEL!W80)</f>
        <v/>
      </c>
      <c r="X80" s="104" t="b">
        <f>IF(preDEL!$AG80,IFERROR(0/0,""),preDEL!X80)</f>
        <v>0</v>
      </c>
      <c r="Y80" s="110" t="b">
        <f>IF(preDEL!$AG80,IFERROR(0/0,""),preDEL!Y80)</f>
        <v>0</v>
      </c>
      <c r="Z80" s="105" t="str">
        <f>IF(preDEL!$AG80,IFERROR(0/0,""),preDEL!Z80)</f>
        <v/>
      </c>
      <c r="AA80" s="110" t="b">
        <f>IF(preDEL!$AG80,IFERROR(0/0,""),preDEL!AA80)</f>
        <v>0</v>
      </c>
      <c r="AB80" s="110" t="b">
        <f>IF(preDEL!$AG80,IFERROR(0/0,""),preDEL!AB80)</f>
        <v>0</v>
      </c>
      <c r="AC80" s="172">
        <f>IF(preDEL!$AG80,IFERROR(0/0,""),preDEL!AC80)</f>
        <v>709</v>
      </c>
      <c r="AD80" s="104" t="b">
        <f>IF(preDEL!$AG80,IFERROR(0/0,""),preDEL!AD80)</f>
        <v>0</v>
      </c>
      <c r="AE80" s="173">
        <f>IF(preDEL!$AG80,IFERROR(0/0,""),preDEL!AE80)</f>
        <v>467.3666667</v>
      </c>
      <c r="AF80" s="110" t="b">
        <f>IF(preDEL!$AG80,IFERROR(0/0,""),preDEL!AF80)</f>
        <v>0</v>
      </c>
      <c r="AG80" s="110" t="b">
        <f>IF(preDEL!$AG80,IFERROR(0/0,""),preDEL!AG80)</f>
        <v>0</v>
      </c>
      <c r="AH80" s="104" t="str">
        <f>IF(preDEL!$AG80,IFERROR(0/0,""),preDEL!AH80)</f>
        <v/>
      </c>
      <c r="AI80" s="105" t="str">
        <f>IF(preDEL!$AG80,IFERROR(0/0,""),preDEL!AI80)</f>
        <v/>
      </c>
      <c r="AJ80" s="112" t="str">
        <f>IF(preDEL!$AG80,IFERROR(0/0,""),preDEL!AJ80)</f>
        <v/>
      </c>
      <c r="AK80" s="105" t="str">
        <f>IF(preDEL!$AG80,IFERROR(0/0,""),preDEL!AK80)</f>
        <v>Negative</v>
      </c>
      <c r="AL80" s="112" t="str">
        <f>IF(preDEL!$AG80,IFERROR(0/0,""),preDEL!AL80)</f>
        <v/>
      </c>
      <c r="AM80" s="112" t="str">
        <f>IF(preDEL!$AG80,IFERROR(0/0,""),preDEL!AM80)</f>
        <v>SpBEND767550</v>
      </c>
      <c r="AN80" s="112" t="str">
        <f>IF(preDEL!$AG80,IFERROR(0/0,""),preDEL!AN80)</f>
        <v>BEND245933</v>
      </c>
      <c r="AO80" s="112" t="str">
        <f>IF(preDEL!$AG80,IFERROR(0/0,""),preDEL!AO80)</f>
        <v/>
      </c>
      <c r="AP80" s="112" t="str">
        <f>IF(preDEL!$AG80,IFERROR(0/0,""),preDEL!AP80)</f>
        <v/>
      </c>
      <c r="AQ80" s="112" t="str">
        <f>IF(preDEL!$AG80,IFERROR(0/0,""),preDEL!AQ80)</f>
        <v/>
      </c>
      <c r="AR80" s="112" t="str">
        <f>IF(preDEL!$AG80,IFERROR(0/0,""),preDEL!AR80)</f>
        <v/>
      </c>
      <c r="AS80" s="112" t="str">
        <f>IF(preDEL!$AG80,IFERROR(0/0,""),preDEL!AS80)</f>
        <v/>
      </c>
      <c r="AT80" s="112" t="b">
        <f>IF(preDEL!$AG80,IFERROR(0/0,""),preDEL!AT80)</f>
        <v>0</v>
      </c>
      <c r="AU80" s="112" t="str">
        <f>IF(preDEL!$AG80,IFERROR(0/0,""),preDEL!AU80)</f>
        <v/>
      </c>
      <c r="AV80" s="112" t="str">
        <f>IF(preDEL!$AG80,IFERROR(0/0,""),preDEL!AV80)</f>
        <v/>
      </c>
      <c r="AW80" s="112" t="str">
        <f>IF(preDEL!$AG80,IFERROR(0/0,""),preDEL!AW80)</f>
        <v/>
      </c>
      <c r="AX80" s="112" t="str">
        <f>IF(preDEL!$AG80,IFERROR(0/0,""),preDEL!AX80)</f>
        <v/>
      </c>
      <c r="AY80" s="112" t="str">
        <f>IF(preDEL!$AG80,IFERROR(0/0,""),preDEL!AY80)</f>
        <v/>
      </c>
      <c r="AZ80" s="174"/>
      <c r="BA80" s="174"/>
      <c r="BB80" s="174"/>
      <c r="BC80" s="174"/>
      <c r="BD80" s="174"/>
      <c r="BE80" s="174"/>
      <c r="BF80" s="174"/>
      <c r="BG80" s="174"/>
      <c r="BH80" s="174"/>
      <c r="BI80" s="174"/>
      <c r="BJ80" s="174"/>
      <c r="BK80" s="174"/>
      <c r="BL80" s="174"/>
      <c r="BM80" s="174"/>
      <c r="BN80" s="174"/>
      <c r="BO80" s="174"/>
      <c r="BP80" s="174"/>
      <c r="BQ80" s="174"/>
      <c r="BR80" s="174"/>
      <c r="BS80" s="174"/>
      <c r="BT80" s="174"/>
      <c r="BU80" s="174"/>
      <c r="BV80" s="174"/>
      <c r="BW80" s="174"/>
      <c r="BX80" s="174"/>
      <c r="BY80" s="174"/>
      <c r="BZ80" s="174"/>
      <c r="CA80" s="174"/>
      <c r="CB80" s="174"/>
      <c r="CC80" s="174"/>
      <c r="CD80" s="174"/>
    </row>
    <row r="81">
      <c r="A81" s="105" t="str">
        <f>IF(preDEL!$AG81,IFERROR(0/0,""),preDEL!A81)</f>
        <v>MA639</v>
      </c>
      <c r="B81" s="170">
        <f>IF(preDEL!$AG81,IFERROR(0/0,""),preDEL!B81)</f>
        <v>44564</v>
      </c>
      <c r="C81" s="171">
        <f>IF(preDEL!$AG81,IFERROR(0/0,""),preDEL!C81)</f>
        <v>0.3048032407</v>
      </c>
      <c r="D81" s="105" t="str">
        <f>IF(preDEL!$AG81,IFERROR(0/0,""),preDEL!D81)</f>
        <v/>
      </c>
      <c r="E81" s="105" t="str">
        <f>IF(preDEL!$AG81,IFERROR(0/0,""),preDEL!E81)</f>
        <v/>
      </c>
      <c r="F81" s="112" t="str">
        <f>IF(preDEL!$AG81,IFERROR(0/0,""),preDEL!F81)</f>
        <v/>
      </c>
      <c r="G81" s="112" t="str">
        <f>IF(preDEL!$AG81,IFERROR(0/0,""),preDEL!G81)</f>
        <v/>
      </c>
      <c r="H81" s="112" t="str">
        <f>IF(preDEL!$AG81,IFERROR(0/0,""),preDEL!H81)</f>
        <v/>
      </c>
      <c r="I81" s="105" t="str">
        <f>IF(preDEL!$AG81,IFERROR(0/0,""),preDEL!I81)</f>
        <v/>
      </c>
      <c r="J81" s="105" t="str">
        <f>IF(preDEL!$AG81,IFERROR(0/0,""),preDEL!J81)</f>
        <v/>
      </c>
      <c r="K81" s="105" t="str">
        <f>IF(preDEL!$AG81,IFERROR(0/0,""),preDEL!K81)</f>
        <v>Positive</v>
      </c>
      <c r="L81" s="170">
        <f>IF(preDEL!$AG81,IFERROR(0/0,""),preDEL!L81)</f>
        <v>44564</v>
      </c>
      <c r="M81" s="171">
        <f>IF(preDEL!$AG81,IFERROR(0/0,""),preDEL!M81)</f>
        <v>0.5280439815</v>
      </c>
      <c r="N81" s="112" t="str">
        <f>IF(preDEL!$AG81,IFERROR(0/0,""),preDEL!N81)</f>
        <v/>
      </c>
      <c r="O81" s="112" t="str">
        <f>IF(preDEL!$AG81,IFERROR(0/0,""),preDEL!O81)</f>
        <v/>
      </c>
      <c r="P81" s="110" t="b">
        <f>IF(preDEL!$AG81,IFERROR(0/0,""),preDEL!P81)</f>
        <v>0</v>
      </c>
      <c r="Q81" s="110" t="str">
        <f>IF(preDEL!$AG81,IFERROR(0/0,""),preDEL!Q81)</f>
        <v>Result</v>
      </c>
      <c r="R81" s="104" t="b">
        <f>IF(preDEL!$AG81,IFERROR(0/0,""),preDEL!R81)</f>
        <v>1</v>
      </c>
      <c r="S81" s="104">
        <f>IF(preDEL!$AG81,IFERROR(0/0,""),preDEL!S81)</f>
        <v>1</v>
      </c>
      <c r="T81" s="110" t="str">
        <f>IF(preDEL!$AG81,IFERROR(0/0,""),preDEL!T81)</f>
        <v/>
      </c>
      <c r="U81" s="112" t="str">
        <f>IF(preDEL!$AG81,IFERROR(0/0,""),preDEL!U81)</f>
        <v/>
      </c>
      <c r="V81" s="105" t="str">
        <f>IF(preDEL!$AG81,IFERROR(0/0,""),preDEL!V81)</f>
        <v/>
      </c>
      <c r="W81" s="112" t="str">
        <f>IF(preDEL!$AG81,IFERROR(0/0,""),preDEL!W81)</f>
        <v/>
      </c>
      <c r="X81" s="104" t="b">
        <f>IF(preDEL!$AG81,IFERROR(0/0,""),preDEL!X81)</f>
        <v>0</v>
      </c>
      <c r="Y81" s="110" t="b">
        <f>IF(preDEL!$AG81,IFERROR(0/0,""),preDEL!Y81)</f>
        <v>0</v>
      </c>
      <c r="Z81" s="105" t="str">
        <f>IF(preDEL!$AG81,IFERROR(0/0,""),preDEL!Z81)</f>
        <v/>
      </c>
      <c r="AA81" s="110" t="b">
        <f>IF(preDEL!$AG81,IFERROR(0/0,""),preDEL!AA81)</f>
        <v>0</v>
      </c>
      <c r="AB81" s="110" t="b">
        <f>IF(preDEL!$AG81,IFERROR(0/0,""),preDEL!AB81)</f>
        <v>0</v>
      </c>
      <c r="AC81" s="172">
        <f>IF(preDEL!$AG81,IFERROR(0/0,""),preDEL!AC81)</f>
        <v>708</v>
      </c>
      <c r="AD81" s="104" t="b">
        <f>IF(preDEL!$AG81,IFERROR(0/0,""),preDEL!AD81)</f>
        <v>0</v>
      </c>
      <c r="AE81" s="173">
        <f>IF(preDEL!$AG81,IFERROR(0/0,""),preDEL!AE81)</f>
        <v>321.4666667</v>
      </c>
      <c r="AF81" s="110" t="b">
        <f>IF(preDEL!$AG81,IFERROR(0/0,""),preDEL!AF81)</f>
        <v>0</v>
      </c>
      <c r="AG81" s="110" t="b">
        <f>IF(preDEL!$AG81,IFERROR(0/0,""),preDEL!AG81)</f>
        <v>0</v>
      </c>
      <c r="AH81" s="104" t="str">
        <f>IF(preDEL!$AG81,IFERROR(0/0,""),preDEL!AH81)</f>
        <v/>
      </c>
      <c r="AI81" s="105" t="str">
        <f>IF(preDEL!$AG81,IFERROR(0/0,""),preDEL!AI81)</f>
        <v/>
      </c>
      <c r="AJ81" s="112" t="str">
        <f>IF(preDEL!$AG81,IFERROR(0/0,""),preDEL!AJ81)</f>
        <v/>
      </c>
      <c r="AK81" s="105" t="str">
        <f>IF(preDEL!$AG81,IFERROR(0/0,""),preDEL!AK81)</f>
        <v>Positive</v>
      </c>
      <c r="AL81" s="112" t="str">
        <f>IF(preDEL!$AG81,IFERROR(0/0,""),preDEL!AL81)</f>
        <v/>
      </c>
      <c r="AM81" s="112" t="str">
        <f>IF(preDEL!$AG81,IFERROR(0/0,""),preDEL!AM81)</f>
        <v>SpBEND899578</v>
      </c>
      <c r="AN81" s="112" t="str">
        <f>IF(preDEL!$AG81,IFERROR(0/0,""),preDEL!AN81)</f>
        <v>BEND949070</v>
      </c>
      <c r="AO81" s="112" t="str">
        <f>IF(preDEL!$AG81,IFERROR(0/0,""),preDEL!AO81)</f>
        <v/>
      </c>
      <c r="AP81" s="112" t="str">
        <f>IF(preDEL!$AG81,IFERROR(0/0,""),preDEL!AP81)</f>
        <v/>
      </c>
      <c r="AQ81" s="112" t="str">
        <f>IF(preDEL!$AG81,IFERROR(0/0,""),preDEL!AQ81)</f>
        <v/>
      </c>
      <c r="AR81" s="112" t="str">
        <f>IF(preDEL!$AG81,IFERROR(0/0,""),preDEL!AR81)</f>
        <v/>
      </c>
      <c r="AS81" s="112" t="str">
        <f>IF(preDEL!$AG81,IFERROR(0/0,""),preDEL!AS81)</f>
        <v/>
      </c>
      <c r="AT81" s="112" t="b">
        <f>IF(preDEL!$AG81,IFERROR(0/0,""),preDEL!AT81)</f>
        <v>0</v>
      </c>
      <c r="AU81" s="112" t="str">
        <f>IF(preDEL!$AG81,IFERROR(0/0,""),preDEL!AU81)</f>
        <v/>
      </c>
      <c r="AV81" s="112" t="str">
        <f>IF(preDEL!$AG81,IFERROR(0/0,""),preDEL!AV81)</f>
        <v/>
      </c>
      <c r="AW81" s="112" t="str">
        <f>IF(preDEL!$AG81,IFERROR(0/0,""),preDEL!AW81)</f>
        <v/>
      </c>
      <c r="AX81" s="112" t="str">
        <f>IF(preDEL!$AG81,IFERROR(0/0,""),preDEL!AX81)</f>
        <v/>
      </c>
      <c r="AY81" s="112" t="str">
        <f>IF(preDEL!$AG81,IFERROR(0/0,""),preDEL!AY81)</f>
        <v/>
      </c>
      <c r="AZ81" s="174"/>
      <c r="BA81" s="174"/>
      <c r="BB81" s="174"/>
      <c r="BC81" s="174"/>
      <c r="BD81" s="174"/>
      <c r="BE81" s="174"/>
      <c r="BF81" s="174"/>
      <c r="BG81" s="174"/>
      <c r="BH81" s="174"/>
      <c r="BI81" s="174"/>
      <c r="BJ81" s="174"/>
      <c r="BK81" s="174"/>
      <c r="BL81" s="174"/>
      <c r="BM81" s="174"/>
      <c r="BN81" s="174"/>
      <c r="BO81" s="174"/>
      <c r="BP81" s="174"/>
      <c r="BQ81" s="174"/>
      <c r="BR81" s="174"/>
      <c r="BS81" s="174"/>
      <c r="BT81" s="174"/>
      <c r="BU81" s="174"/>
      <c r="BV81" s="174"/>
      <c r="BW81" s="174"/>
      <c r="BX81" s="174"/>
      <c r="BY81" s="174"/>
      <c r="BZ81" s="174"/>
      <c r="CA81" s="174"/>
      <c r="CB81" s="174"/>
      <c r="CC81" s="174"/>
      <c r="CD81" s="174"/>
    </row>
    <row r="82">
      <c r="A82" s="105" t="str">
        <f>IF(preDEL!$AG82,IFERROR(0/0,""),preDEL!A82)</f>
        <v>MA1052</v>
      </c>
      <c r="B82" s="170">
        <f>IF(preDEL!$AG82,IFERROR(0/0,""),preDEL!B82)</f>
        <v>44564</v>
      </c>
      <c r="C82" s="171">
        <f>IF(preDEL!$AG82,IFERROR(0/0,""),preDEL!C82)</f>
        <v>0.3175462963</v>
      </c>
      <c r="D82" s="105" t="str">
        <f>IF(preDEL!$AG82,IFERROR(0/0,""),preDEL!D82)</f>
        <v/>
      </c>
      <c r="E82" s="105" t="str">
        <f>IF(preDEL!$AG82,IFERROR(0/0,""),preDEL!E82)</f>
        <v/>
      </c>
      <c r="F82" s="112" t="str">
        <f>IF(preDEL!$AG82,IFERROR(0/0,""),preDEL!F82)</f>
        <v/>
      </c>
      <c r="G82" s="112" t="str">
        <f>IF(preDEL!$AG82,IFERROR(0/0,""),preDEL!G82)</f>
        <v/>
      </c>
      <c r="H82" s="112" t="str">
        <f>IF(preDEL!$AG82,IFERROR(0/0,""),preDEL!H82)</f>
        <v/>
      </c>
      <c r="I82" s="105" t="str">
        <f>IF(preDEL!$AG82,IFERROR(0/0,""),preDEL!I82)</f>
        <v/>
      </c>
      <c r="J82" s="105" t="str">
        <f>IF(preDEL!$AG82,IFERROR(0/0,""),preDEL!J82)</f>
        <v/>
      </c>
      <c r="K82" s="105" t="str">
        <f>IF(preDEL!$AG82,IFERROR(0/0,""),preDEL!K82)</f>
        <v>Negative</v>
      </c>
      <c r="L82" s="170">
        <f>IF(preDEL!$AG82,IFERROR(0/0,""),preDEL!L82)</f>
        <v>44564</v>
      </c>
      <c r="M82" s="171">
        <f>IF(preDEL!$AG82,IFERROR(0/0,""),preDEL!M82)</f>
        <v>0.5280439815</v>
      </c>
      <c r="N82" s="112" t="str">
        <f>IF(preDEL!$AG82,IFERROR(0/0,""),preDEL!N82)</f>
        <v/>
      </c>
      <c r="O82" s="112" t="str">
        <f>IF(preDEL!$AG82,IFERROR(0/0,""),preDEL!O82)</f>
        <v/>
      </c>
      <c r="P82" s="110" t="b">
        <f>IF(preDEL!$AG82,IFERROR(0/0,""),preDEL!P82)</f>
        <v>0</v>
      </c>
      <c r="Q82" s="110" t="str">
        <f>IF(preDEL!$AG82,IFERROR(0/0,""),preDEL!Q82)</f>
        <v>Result</v>
      </c>
      <c r="R82" s="104" t="b">
        <f>IF(preDEL!$AG82,IFERROR(0/0,""),preDEL!R82)</f>
        <v>1</v>
      </c>
      <c r="S82" s="104">
        <f>IF(preDEL!$AG82,IFERROR(0/0,""),preDEL!S82)</f>
        <v>1</v>
      </c>
      <c r="T82" s="110" t="str">
        <f>IF(preDEL!$AG82,IFERROR(0/0,""),preDEL!T82)</f>
        <v/>
      </c>
      <c r="U82" s="112" t="str">
        <f>IF(preDEL!$AG82,IFERROR(0/0,""),preDEL!U82)</f>
        <v/>
      </c>
      <c r="V82" s="105" t="str">
        <f>IF(preDEL!$AG82,IFERROR(0/0,""),preDEL!V82)</f>
        <v/>
      </c>
      <c r="W82" s="112" t="str">
        <f>IF(preDEL!$AG82,IFERROR(0/0,""),preDEL!W82)</f>
        <v/>
      </c>
      <c r="X82" s="104" t="b">
        <f>IF(preDEL!$AG82,IFERROR(0/0,""),preDEL!X82)</f>
        <v>0</v>
      </c>
      <c r="Y82" s="110" t="b">
        <f>IF(preDEL!$AG82,IFERROR(0/0,""),preDEL!Y82)</f>
        <v>0</v>
      </c>
      <c r="Z82" s="105" t="str">
        <f>IF(preDEL!$AG82,IFERROR(0/0,""),preDEL!Z82)</f>
        <v/>
      </c>
      <c r="AA82" s="110" t="b">
        <f>IF(preDEL!$AG82,IFERROR(0/0,""),preDEL!AA82)</f>
        <v>0</v>
      </c>
      <c r="AB82" s="110" t="b">
        <f>IF(preDEL!$AG82,IFERROR(0/0,""),preDEL!AB82)</f>
        <v>0</v>
      </c>
      <c r="AC82" s="172">
        <f>IF(preDEL!$AG82,IFERROR(0/0,""),preDEL!AC82)</f>
        <v>707</v>
      </c>
      <c r="AD82" s="104" t="b">
        <f>IF(preDEL!$AG82,IFERROR(0/0,""),preDEL!AD82)</f>
        <v>0</v>
      </c>
      <c r="AE82" s="173">
        <f>IF(preDEL!$AG82,IFERROR(0/0,""),preDEL!AE82)</f>
        <v>303.1166667</v>
      </c>
      <c r="AF82" s="110" t="b">
        <f>IF(preDEL!$AG82,IFERROR(0/0,""),preDEL!AF82)</f>
        <v>0</v>
      </c>
      <c r="AG82" s="110" t="b">
        <f>IF(preDEL!$AG82,IFERROR(0/0,""),preDEL!AG82)</f>
        <v>0</v>
      </c>
      <c r="AH82" s="104" t="str">
        <f>IF(preDEL!$AG82,IFERROR(0/0,""),preDEL!AH82)</f>
        <v/>
      </c>
      <c r="AI82" s="105" t="str">
        <f>IF(preDEL!$AG82,IFERROR(0/0,""),preDEL!AI82)</f>
        <v/>
      </c>
      <c r="AJ82" s="112" t="str">
        <f>IF(preDEL!$AG82,IFERROR(0/0,""),preDEL!AJ82)</f>
        <v/>
      </c>
      <c r="AK82" s="105" t="str">
        <f>IF(preDEL!$AG82,IFERROR(0/0,""),preDEL!AK82)</f>
        <v>Negative</v>
      </c>
      <c r="AL82" s="112" t="str">
        <f>IF(preDEL!$AG82,IFERROR(0/0,""),preDEL!AL82)</f>
        <v/>
      </c>
      <c r="AM82" s="112" t="str">
        <f>IF(preDEL!$AG82,IFERROR(0/0,""),preDEL!AM82)</f>
        <v>SpBEND548976</v>
      </c>
      <c r="AN82" s="112" t="str">
        <f>IF(preDEL!$AG82,IFERROR(0/0,""),preDEL!AN82)</f>
        <v>BEND704851</v>
      </c>
      <c r="AO82" s="112" t="str">
        <f>IF(preDEL!$AG82,IFERROR(0/0,""),preDEL!AO82)</f>
        <v/>
      </c>
      <c r="AP82" s="112" t="str">
        <f>IF(preDEL!$AG82,IFERROR(0/0,""),preDEL!AP82)</f>
        <v/>
      </c>
      <c r="AQ82" s="112" t="str">
        <f>IF(preDEL!$AG82,IFERROR(0/0,""),preDEL!AQ82)</f>
        <v/>
      </c>
      <c r="AR82" s="112" t="str">
        <f>IF(preDEL!$AG82,IFERROR(0/0,""),preDEL!AR82)</f>
        <v/>
      </c>
      <c r="AS82" s="112" t="str">
        <f>IF(preDEL!$AG82,IFERROR(0/0,""),preDEL!AS82)</f>
        <v/>
      </c>
      <c r="AT82" s="112" t="b">
        <f>IF(preDEL!$AG82,IFERROR(0/0,""),preDEL!AT82)</f>
        <v>0</v>
      </c>
      <c r="AU82" s="112" t="str">
        <f>IF(preDEL!$AG82,IFERROR(0/0,""),preDEL!AU82)</f>
        <v/>
      </c>
      <c r="AV82" s="112" t="str">
        <f>IF(preDEL!$AG82,IFERROR(0/0,""),preDEL!AV82)</f>
        <v/>
      </c>
      <c r="AW82" s="112" t="str">
        <f>IF(preDEL!$AG82,IFERROR(0/0,""),preDEL!AW82)</f>
        <v/>
      </c>
      <c r="AX82" s="112" t="str">
        <f>IF(preDEL!$AG82,IFERROR(0/0,""),preDEL!AX82)</f>
        <v/>
      </c>
      <c r="AY82" s="112" t="str">
        <f>IF(preDEL!$AG82,IFERROR(0/0,""),preDEL!AY82)</f>
        <v/>
      </c>
      <c r="AZ82" s="174"/>
      <c r="BA82" s="174"/>
      <c r="BB82" s="174"/>
      <c r="BC82" s="174"/>
      <c r="BD82" s="174"/>
      <c r="BE82" s="174"/>
      <c r="BF82" s="174"/>
      <c r="BG82" s="174"/>
      <c r="BH82" s="174"/>
      <c r="BI82" s="174"/>
      <c r="BJ82" s="174"/>
      <c r="BK82" s="174"/>
      <c r="BL82" s="174"/>
      <c r="BM82" s="174"/>
      <c r="BN82" s="174"/>
      <c r="BO82" s="174"/>
      <c r="BP82" s="174"/>
      <c r="BQ82" s="174"/>
      <c r="BR82" s="174"/>
      <c r="BS82" s="174"/>
      <c r="BT82" s="174"/>
      <c r="BU82" s="174"/>
      <c r="BV82" s="174"/>
      <c r="BW82" s="174"/>
      <c r="BX82" s="174"/>
      <c r="BY82" s="174"/>
      <c r="BZ82" s="174"/>
      <c r="CA82" s="174"/>
      <c r="CB82" s="174"/>
      <c r="CC82" s="174"/>
      <c r="CD82" s="174"/>
    </row>
    <row r="83">
      <c r="A83" s="105" t="str">
        <f>IF(preDEL!$AG83,IFERROR(0/0,""),preDEL!A83)</f>
        <v>MA326</v>
      </c>
      <c r="B83" s="170">
        <f>IF(preDEL!$AG83,IFERROR(0/0,""),preDEL!B83)</f>
        <v>44564</v>
      </c>
      <c r="C83" s="171">
        <f>IF(preDEL!$AG83,IFERROR(0/0,""),preDEL!C83)</f>
        <v>0.3253819444</v>
      </c>
      <c r="D83" s="105" t="str">
        <f>IF(preDEL!$AG83,IFERROR(0/0,""),preDEL!D83)</f>
        <v/>
      </c>
      <c r="E83" s="105" t="str">
        <f>IF(preDEL!$AG83,IFERROR(0/0,""),preDEL!E83)</f>
        <v/>
      </c>
      <c r="F83" s="112" t="str">
        <f>IF(preDEL!$AG83,IFERROR(0/0,""),preDEL!F83)</f>
        <v/>
      </c>
      <c r="G83" s="112" t="str">
        <f>IF(preDEL!$AG83,IFERROR(0/0,""),preDEL!G83)</f>
        <v/>
      </c>
      <c r="H83" s="112" t="str">
        <f>IF(preDEL!$AG83,IFERROR(0/0,""),preDEL!H83)</f>
        <v/>
      </c>
      <c r="I83" s="105" t="str">
        <f>IF(preDEL!$AG83,IFERROR(0/0,""),preDEL!I83)</f>
        <v/>
      </c>
      <c r="J83" s="105" t="str">
        <f>IF(preDEL!$AG83,IFERROR(0/0,""),preDEL!J83)</f>
        <v/>
      </c>
      <c r="K83" s="105" t="str">
        <f>IF(preDEL!$AG83,IFERROR(0/0,""),preDEL!K83)</f>
        <v>Negative</v>
      </c>
      <c r="L83" s="170">
        <f>IF(preDEL!$AG83,IFERROR(0/0,""),preDEL!L83)</f>
        <v>44564</v>
      </c>
      <c r="M83" s="171">
        <f>IF(preDEL!$AG83,IFERROR(0/0,""),preDEL!M83)</f>
        <v>0.5280439815</v>
      </c>
      <c r="N83" s="112" t="str">
        <f>IF(preDEL!$AG83,IFERROR(0/0,""),preDEL!N83)</f>
        <v/>
      </c>
      <c r="O83" s="112" t="str">
        <f>IF(preDEL!$AG83,IFERROR(0/0,""),preDEL!O83)</f>
        <v/>
      </c>
      <c r="P83" s="110" t="b">
        <f>IF(preDEL!$AG83,IFERROR(0/0,""),preDEL!P83)</f>
        <v>0</v>
      </c>
      <c r="Q83" s="110" t="str">
        <f>IF(preDEL!$AG83,IFERROR(0/0,""),preDEL!Q83)</f>
        <v>Result</v>
      </c>
      <c r="R83" s="104" t="b">
        <f>IF(preDEL!$AG83,IFERROR(0/0,""),preDEL!R83)</f>
        <v>1</v>
      </c>
      <c r="S83" s="104">
        <f>IF(preDEL!$AG83,IFERROR(0/0,""),preDEL!S83)</f>
        <v>1</v>
      </c>
      <c r="T83" s="110" t="str">
        <f>IF(preDEL!$AG83,IFERROR(0/0,""),preDEL!T83)</f>
        <v/>
      </c>
      <c r="U83" s="112" t="str">
        <f>IF(preDEL!$AG83,IFERROR(0/0,""),preDEL!U83)</f>
        <v/>
      </c>
      <c r="V83" s="105" t="str">
        <f>IF(preDEL!$AG83,IFERROR(0/0,""),preDEL!V83)</f>
        <v/>
      </c>
      <c r="W83" s="112" t="str">
        <f>IF(preDEL!$AG83,IFERROR(0/0,""),preDEL!W83)</f>
        <v/>
      </c>
      <c r="X83" s="104" t="b">
        <f>IF(preDEL!$AG83,IFERROR(0/0,""),preDEL!X83)</f>
        <v>0</v>
      </c>
      <c r="Y83" s="110" t="b">
        <f>IF(preDEL!$AG83,IFERROR(0/0,""),preDEL!Y83)</f>
        <v>0</v>
      </c>
      <c r="Z83" s="105" t="str">
        <f>IF(preDEL!$AG83,IFERROR(0/0,""),preDEL!Z83)</f>
        <v/>
      </c>
      <c r="AA83" s="110" t="b">
        <f>IF(preDEL!$AG83,IFERROR(0/0,""),preDEL!AA83)</f>
        <v>0</v>
      </c>
      <c r="AB83" s="110" t="b">
        <f>IF(preDEL!$AG83,IFERROR(0/0,""),preDEL!AB83)</f>
        <v>0</v>
      </c>
      <c r="AC83" s="172">
        <f>IF(preDEL!$AG83,IFERROR(0/0,""),preDEL!AC83)</f>
        <v>706</v>
      </c>
      <c r="AD83" s="104" t="b">
        <f>IF(preDEL!$AG83,IFERROR(0/0,""),preDEL!AD83)</f>
        <v>0</v>
      </c>
      <c r="AE83" s="173">
        <f>IF(preDEL!$AG83,IFERROR(0/0,""),preDEL!AE83)</f>
        <v>291.8333333</v>
      </c>
      <c r="AF83" s="110" t="b">
        <f>IF(preDEL!$AG83,IFERROR(0/0,""),preDEL!AF83)</f>
        <v>0</v>
      </c>
      <c r="AG83" s="110" t="b">
        <f>IF(preDEL!$AG83,IFERROR(0/0,""),preDEL!AG83)</f>
        <v>0</v>
      </c>
      <c r="AH83" s="104" t="str">
        <f>IF(preDEL!$AG83,IFERROR(0/0,""),preDEL!AH83)</f>
        <v/>
      </c>
      <c r="AI83" s="105" t="str">
        <f>IF(preDEL!$AG83,IFERROR(0/0,""),preDEL!AI83)</f>
        <v/>
      </c>
      <c r="AJ83" s="112" t="str">
        <f>IF(preDEL!$AG83,IFERROR(0/0,""),preDEL!AJ83)</f>
        <v/>
      </c>
      <c r="AK83" s="105" t="str">
        <f>IF(preDEL!$AG83,IFERROR(0/0,""),preDEL!AK83)</f>
        <v>Negative</v>
      </c>
      <c r="AL83" s="112" t="str">
        <f>IF(preDEL!$AG83,IFERROR(0/0,""),preDEL!AL83)</f>
        <v/>
      </c>
      <c r="AM83" s="112" t="str">
        <f>IF(preDEL!$AG83,IFERROR(0/0,""),preDEL!AM83)</f>
        <v>SpBEND721986</v>
      </c>
      <c r="AN83" s="112" t="str">
        <f>IF(preDEL!$AG83,IFERROR(0/0,""),preDEL!AN83)</f>
        <v>BEND127889</v>
      </c>
      <c r="AO83" s="112" t="str">
        <f>IF(preDEL!$AG83,IFERROR(0/0,""),preDEL!AO83)</f>
        <v/>
      </c>
      <c r="AP83" s="112" t="str">
        <f>IF(preDEL!$AG83,IFERROR(0/0,""),preDEL!AP83)</f>
        <v/>
      </c>
      <c r="AQ83" s="112" t="str">
        <f>IF(preDEL!$AG83,IFERROR(0/0,""),preDEL!AQ83)</f>
        <v/>
      </c>
      <c r="AR83" s="112" t="str">
        <f>IF(preDEL!$AG83,IFERROR(0/0,""),preDEL!AR83)</f>
        <v/>
      </c>
      <c r="AS83" s="112" t="str">
        <f>IF(preDEL!$AG83,IFERROR(0/0,""),preDEL!AS83)</f>
        <v/>
      </c>
      <c r="AT83" s="112" t="b">
        <f>IF(preDEL!$AG83,IFERROR(0/0,""),preDEL!AT83)</f>
        <v>0</v>
      </c>
      <c r="AU83" s="112" t="str">
        <f>IF(preDEL!$AG83,IFERROR(0/0,""),preDEL!AU83)</f>
        <v/>
      </c>
      <c r="AV83" s="112" t="str">
        <f>IF(preDEL!$AG83,IFERROR(0/0,""),preDEL!AV83)</f>
        <v/>
      </c>
      <c r="AW83" s="112" t="str">
        <f>IF(preDEL!$AG83,IFERROR(0/0,""),preDEL!AW83)</f>
        <v/>
      </c>
      <c r="AX83" s="112" t="str">
        <f>IF(preDEL!$AG83,IFERROR(0/0,""),preDEL!AX83)</f>
        <v/>
      </c>
      <c r="AY83" s="112" t="str">
        <f>IF(preDEL!$AG83,IFERROR(0/0,""),preDEL!AY83)</f>
        <v/>
      </c>
      <c r="AZ83" s="174"/>
      <c r="BA83" s="174"/>
      <c r="BB83" s="174"/>
      <c r="BC83" s="174"/>
      <c r="BD83" s="174"/>
      <c r="BE83" s="174"/>
      <c r="BF83" s="174"/>
      <c r="BG83" s="174"/>
      <c r="BH83" s="174"/>
      <c r="BI83" s="174"/>
      <c r="BJ83" s="174"/>
      <c r="BK83" s="174"/>
      <c r="BL83" s="174"/>
      <c r="BM83" s="174"/>
      <c r="BN83" s="174"/>
      <c r="BO83" s="174"/>
      <c r="BP83" s="174"/>
      <c r="BQ83" s="174"/>
      <c r="BR83" s="174"/>
      <c r="BS83" s="174"/>
      <c r="BT83" s="174"/>
      <c r="BU83" s="174"/>
      <c r="BV83" s="174"/>
      <c r="BW83" s="174"/>
      <c r="BX83" s="174"/>
      <c r="BY83" s="174"/>
      <c r="BZ83" s="174"/>
      <c r="CA83" s="174"/>
      <c r="CB83" s="174"/>
      <c r="CC83" s="174"/>
      <c r="CD83" s="174"/>
    </row>
    <row r="84">
      <c r="A84" s="105" t="str">
        <f>IF(preDEL!$AG84,IFERROR(0/0,""),preDEL!A84)</f>
        <v>MA323</v>
      </c>
      <c r="B84" s="170">
        <f>IF(preDEL!$AG84,IFERROR(0/0,""),preDEL!B84)</f>
        <v>44564</v>
      </c>
      <c r="C84" s="171">
        <f>IF(preDEL!$AG84,IFERROR(0/0,""),preDEL!C84)</f>
        <v>0.3261574074</v>
      </c>
      <c r="D84" s="105" t="str">
        <f>IF(preDEL!$AG84,IFERROR(0/0,""),preDEL!D84)</f>
        <v/>
      </c>
      <c r="E84" s="105" t="str">
        <f>IF(preDEL!$AG84,IFERROR(0/0,""),preDEL!E84)</f>
        <v/>
      </c>
      <c r="F84" s="112" t="str">
        <f>IF(preDEL!$AG84,IFERROR(0/0,""),preDEL!F84)</f>
        <v/>
      </c>
      <c r="G84" s="112" t="str">
        <f>IF(preDEL!$AG84,IFERROR(0/0,""),preDEL!G84)</f>
        <v/>
      </c>
      <c r="H84" s="112" t="str">
        <f>IF(preDEL!$AG84,IFERROR(0/0,""),preDEL!H84)</f>
        <v/>
      </c>
      <c r="I84" s="105" t="str">
        <f>IF(preDEL!$AG84,IFERROR(0/0,""),preDEL!I84)</f>
        <v/>
      </c>
      <c r="J84" s="105" t="str">
        <f>IF(preDEL!$AG84,IFERROR(0/0,""),preDEL!J84)</f>
        <v/>
      </c>
      <c r="K84" s="105" t="str">
        <f>IF(preDEL!$AG84,IFERROR(0/0,""),preDEL!K84)</f>
        <v>Negative</v>
      </c>
      <c r="L84" s="170">
        <f>IF(preDEL!$AG84,IFERROR(0/0,""),preDEL!L84)</f>
        <v>44564</v>
      </c>
      <c r="M84" s="171">
        <f>IF(preDEL!$AG84,IFERROR(0/0,""),preDEL!M84)</f>
        <v>0.5280439815</v>
      </c>
      <c r="N84" s="112" t="str">
        <f>IF(preDEL!$AG84,IFERROR(0/0,""),preDEL!N84)</f>
        <v/>
      </c>
      <c r="O84" s="112" t="str">
        <f>IF(preDEL!$AG84,IFERROR(0/0,""),preDEL!O84)</f>
        <v/>
      </c>
      <c r="P84" s="110" t="b">
        <f>IF(preDEL!$AG84,IFERROR(0/0,""),preDEL!P84)</f>
        <v>0</v>
      </c>
      <c r="Q84" s="110" t="str">
        <f>IF(preDEL!$AG84,IFERROR(0/0,""),preDEL!Q84)</f>
        <v>Result</v>
      </c>
      <c r="R84" s="104" t="b">
        <f>IF(preDEL!$AG84,IFERROR(0/0,""),preDEL!R84)</f>
        <v>1</v>
      </c>
      <c r="S84" s="104">
        <f>IF(preDEL!$AG84,IFERROR(0/0,""),preDEL!S84)</f>
        <v>1</v>
      </c>
      <c r="T84" s="110" t="str">
        <f>IF(preDEL!$AG84,IFERROR(0/0,""),preDEL!T84)</f>
        <v/>
      </c>
      <c r="U84" s="112" t="str">
        <f>IF(preDEL!$AG84,IFERROR(0/0,""),preDEL!U84)</f>
        <v/>
      </c>
      <c r="V84" s="105" t="str">
        <f>IF(preDEL!$AG84,IFERROR(0/0,""),preDEL!V84)</f>
        <v/>
      </c>
      <c r="W84" s="112" t="str">
        <f>IF(preDEL!$AG84,IFERROR(0/0,""),preDEL!W84)</f>
        <v/>
      </c>
      <c r="X84" s="104" t="b">
        <f>IF(preDEL!$AG84,IFERROR(0/0,""),preDEL!X84)</f>
        <v>0</v>
      </c>
      <c r="Y84" s="110" t="b">
        <f>IF(preDEL!$AG84,IFERROR(0/0,""),preDEL!Y84)</f>
        <v>0</v>
      </c>
      <c r="Z84" s="105" t="str">
        <f>IF(preDEL!$AG84,IFERROR(0/0,""),preDEL!Z84)</f>
        <v/>
      </c>
      <c r="AA84" s="110" t="b">
        <f>IF(preDEL!$AG84,IFERROR(0/0,""),preDEL!AA84)</f>
        <v>0</v>
      </c>
      <c r="AB84" s="110" t="b">
        <f>IF(preDEL!$AG84,IFERROR(0/0,""),preDEL!AB84)</f>
        <v>0</v>
      </c>
      <c r="AC84" s="172">
        <f>IF(preDEL!$AG84,IFERROR(0/0,""),preDEL!AC84)</f>
        <v>705</v>
      </c>
      <c r="AD84" s="104" t="b">
        <f>IF(preDEL!$AG84,IFERROR(0/0,""),preDEL!AD84)</f>
        <v>0</v>
      </c>
      <c r="AE84" s="173">
        <f>IF(preDEL!$AG84,IFERROR(0/0,""),preDEL!AE84)</f>
        <v>290.7166667</v>
      </c>
      <c r="AF84" s="110" t="b">
        <f>IF(preDEL!$AG84,IFERROR(0/0,""),preDEL!AF84)</f>
        <v>0</v>
      </c>
      <c r="AG84" s="110" t="b">
        <f>IF(preDEL!$AG84,IFERROR(0/0,""),preDEL!AG84)</f>
        <v>0</v>
      </c>
      <c r="AH84" s="104" t="str">
        <f>IF(preDEL!$AG84,IFERROR(0/0,""),preDEL!AH84)</f>
        <v/>
      </c>
      <c r="AI84" s="105" t="str">
        <f>IF(preDEL!$AG84,IFERROR(0/0,""),preDEL!AI84)</f>
        <v/>
      </c>
      <c r="AJ84" s="112" t="str">
        <f>IF(preDEL!$AG84,IFERROR(0/0,""),preDEL!AJ84)</f>
        <v/>
      </c>
      <c r="AK84" s="105" t="str">
        <f>IF(preDEL!$AG84,IFERROR(0/0,""),preDEL!AK84)</f>
        <v>Negative</v>
      </c>
      <c r="AL84" s="112" t="str">
        <f>IF(preDEL!$AG84,IFERROR(0/0,""),preDEL!AL84)</f>
        <v/>
      </c>
      <c r="AM84" s="112" t="str">
        <f>IF(preDEL!$AG84,IFERROR(0/0,""),preDEL!AM84)</f>
        <v>SpBEND672680</v>
      </c>
      <c r="AN84" s="112" t="str">
        <f>IF(preDEL!$AG84,IFERROR(0/0,""),preDEL!AN84)</f>
        <v>BEND955524</v>
      </c>
      <c r="AO84" s="112" t="str">
        <f>IF(preDEL!$AG84,IFERROR(0/0,""),preDEL!AO84)</f>
        <v/>
      </c>
      <c r="AP84" s="112" t="str">
        <f>IF(preDEL!$AG84,IFERROR(0/0,""),preDEL!AP84)</f>
        <v/>
      </c>
      <c r="AQ84" s="112" t="str">
        <f>IF(preDEL!$AG84,IFERROR(0/0,""),preDEL!AQ84)</f>
        <v/>
      </c>
      <c r="AR84" s="112" t="str">
        <f>IF(preDEL!$AG84,IFERROR(0/0,""),preDEL!AR84)</f>
        <v/>
      </c>
      <c r="AS84" s="112" t="str">
        <f>IF(preDEL!$AG84,IFERROR(0/0,""),preDEL!AS84)</f>
        <v/>
      </c>
      <c r="AT84" s="112" t="b">
        <f>IF(preDEL!$AG84,IFERROR(0/0,""),preDEL!AT84)</f>
        <v>0</v>
      </c>
      <c r="AU84" s="112" t="str">
        <f>IF(preDEL!$AG84,IFERROR(0/0,""),preDEL!AU84)</f>
        <v/>
      </c>
      <c r="AV84" s="112" t="str">
        <f>IF(preDEL!$AG84,IFERROR(0/0,""),preDEL!AV84)</f>
        <v/>
      </c>
      <c r="AW84" s="112" t="str">
        <f>IF(preDEL!$AG84,IFERROR(0/0,""),preDEL!AW84)</f>
        <v/>
      </c>
      <c r="AX84" s="112" t="str">
        <f>IF(preDEL!$AG84,IFERROR(0/0,""),preDEL!AX84)</f>
        <v/>
      </c>
      <c r="AY84" s="112" t="str">
        <f>IF(preDEL!$AG84,IFERROR(0/0,""),preDEL!AY84)</f>
        <v/>
      </c>
      <c r="AZ84" s="174"/>
      <c r="BA84" s="174"/>
      <c r="BB84" s="174"/>
      <c r="BC84" s="174"/>
      <c r="BD84" s="174"/>
      <c r="BE84" s="174"/>
      <c r="BF84" s="174"/>
      <c r="BG84" s="174"/>
      <c r="BH84" s="174"/>
      <c r="BI84" s="174"/>
      <c r="BJ84" s="174"/>
      <c r="BK84" s="174"/>
      <c r="BL84" s="174"/>
      <c r="BM84" s="174"/>
      <c r="BN84" s="174"/>
      <c r="BO84" s="174"/>
      <c r="BP84" s="174"/>
      <c r="BQ84" s="174"/>
      <c r="BR84" s="174"/>
      <c r="BS84" s="174"/>
      <c r="BT84" s="174"/>
      <c r="BU84" s="174"/>
      <c r="BV84" s="174"/>
      <c r="BW84" s="174"/>
      <c r="BX84" s="174"/>
      <c r="BY84" s="174"/>
      <c r="BZ84" s="174"/>
      <c r="CA84" s="174"/>
      <c r="CB84" s="174"/>
      <c r="CC84" s="174"/>
      <c r="CD84" s="174"/>
    </row>
    <row r="85">
      <c r="A85" s="105" t="str">
        <f>IF(preDEL!$AG85,IFERROR(0/0,""),preDEL!A85)</f>
        <v>MA448</v>
      </c>
      <c r="B85" s="170">
        <f>IF(preDEL!$AG85,IFERROR(0/0,""),preDEL!B85)</f>
        <v>44564</v>
      </c>
      <c r="C85" s="171">
        <f>IF(preDEL!$AG85,IFERROR(0/0,""),preDEL!C85)</f>
        <v>0.3377546296</v>
      </c>
      <c r="D85" s="105" t="str">
        <f>IF(preDEL!$AG85,IFERROR(0/0,""),preDEL!D85)</f>
        <v/>
      </c>
      <c r="E85" s="105" t="str">
        <f>IF(preDEL!$AG85,IFERROR(0/0,""),preDEL!E85)</f>
        <v/>
      </c>
      <c r="F85" s="112" t="str">
        <f>IF(preDEL!$AG85,IFERROR(0/0,""),preDEL!F85)</f>
        <v/>
      </c>
      <c r="G85" s="112" t="str">
        <f>IF(preDEL!$AG85,IFERROR(0/0,""),preDEL!G85)</f>
        <v/>
      </c>
      <c r="H85" s="112" t="str">
        <f>IF(preDEL!$AG85,IFERROR(0/0,""),preDEL!H85)</f>
        <v/>
      </c>
      <c r="I85" s="105" t="str">
        <f>IF(preDEL!$AG85,IFERROR(0/0,""),preDEL!I85)</f>
        <v/>
      </c>
      <c r="J85" s="105" t="str">
        <f>IF(preDEL!$AG85,IFERROR(0/0,""),preDEL!J85)</f>
        <v/>
      </c>
      <c r="K85" s="105" t="str">
        <f>IF(preDEL!$AG85,IFERROR(0/0,""),preDEL!K85)</f>
        <v>Positive</v>
      </c>
      <c r="L85" s="170">
        <f>IF(preDEL!$AG85,IFERROR(0/0,""),preDEL!L85)</f>
        <v>44564</v>
      </c>
      <c r="M85" s="171">
        <f>IF(preDEL!$AG85,IFERROR(0/0,""),preDEL!M85)</f>
        <v>0.5280439815</v>
      </c>
      <c r="N85" s="112" t="str">
        <f>IF(preDEL!$AG85,IFERROR(0/0,""),preDEL!N85)</f>
        <v/>
      </c>
      <c r="O85" s="112" t="str">
        <f>IF(preDEL!$AG85,IFERROR(0/0,""),preDEL!O85)</f>
        <v/>
      </c>
      <c r="P85" s="110" t="b">
        <f>IF(preDEL!$AG85,IFERROR(0/0,""),preDEL!P85)</f>
        <v>0</v>
      </c>
      <c r="Q85" s="110" t="str">
        <f>IF(preDEL!$AG85,IFERROR(0/0,""),preDEL!Q85)</f>
        <v>Result</v>
      </c>
      <c r="R85" s="104" t="b">
        <f>IF(preDEL!$AG85,IFERROR(0/0,""),preDEL!R85)</f>
        <v>1</v>
      </c>
      <c r="S85" s="104">
        <f>IF(preDEL!$AG85,IFERROR(0/0,""),preDEL!S85)</f>
        <v>1</v>
      </c>
      <c r="T85" s="110" t="str">
        <f>IF(preDEL!$AG85,IFERROR(0/0,""),preDEL!T85)</f>
        <v/>
      </c>
      <c r="U85" s="112" t="str">
        <f>IF(preDEL!$AG85,IFERROR(0/0,""),preDEL!U85)</f>
        <v/>
      </c>
      <c r="V85" s="105" t="str">
        <f>IF(preDEL!$AG85,IFERROR(0/0,""),preDEL!V85)</f>
        <v/>
      </c>
      <c r="W85" s="112" t="str">
        <f>IF(preDEL!$AG85,IFERROR(0/0,""),preDEL!W85)</f>
        <v/>
      </c>
      <c r="X85" s="104" t="b">
        <f>IF(preDEL!$AG85,IFERROR(0/0,""),preDEL!X85)</f>
        <v>0</v>
      </c>
      <c r="Y85" s="110" t="b">
        <f>IF(preDEL!$AG85,IFERROR(0/0,""),preDEL!Y85)</f>
        <v>0</v>
      </c>
      <c r="Z85" s="105" t="str">
        <f>IF(preDEL!$AG85,IFERROR(0/0,""),preDEL!Z85)</f>
        <v/>
      </c>
      <c r="AA85" s="110" t="b">
        <f>IF(preDEL!$AG85,IFERROR(0/0,""),preDEL!AA85)</f>
        <v>0</v>
      </c>
      <c r="AB85" s="110" t="b">
        <f>IF(preDEL!$AG85,IFERROR(0/0,""),preDEL!AB85)</f>
        <v>0</v>
      </c>
      <c r="AC85" s="172">
        <f>IF(preDEL!$AG85,IFERROR(0/0,""),preDEL!AC85)</f>
        <v>704</v>
      </c>
      <c r="AD85" s="104" t="b">
        <f>IF(preDEL!$AG85,IFERROR(0/0,""),preDEL!AD85)</f>
        <v>0</v>
      </c>
      <c r="AE85" s="173">
        <f>IF(preDEL!$AG85,IFERROR(0/0,""),preDEL!AE85)</f>
        <v>274.0166667</v>
      </c>
      <c r="AF85" s="110" t="b">
        <f>IF(preDEL!$AG85,IFERROR(0/0,""),preDEL!AF85)</f>
        <v>0</v>
      </c>
      <c r="AG85" s="110" t="b">
        <f>IF(preDEL!$AG85,IFERROR(0/0,""),preDEL!AG85)</f>
        <v>0</v>
      </c>
      <c r="AH85" s="104" t="str">
        <f>IF(preDEL!$AG85,IFERROR(0/0,""),preDEL!AH85)</f>
        <v/>
      </c>
      <c r="AI85" s="105" t="str">
        <f>IF(preDEL!$AG85,IFERROR(0/0,""),preDEL!AI85)</f>
        <v/>
      </c>
      <c r="AJ85" s="112" t="str">
        <f>IF(preDEL!$AG85,IFERROR(0/0,""),preDEL!AJ85)</f>
        <v/>
      </c>
      <c r="AK85" s="105" t="str">
        <f>IF(preDEL!$AG85,IFERROR(0/0,""),preDEL!AK85)</f>
        <v>Positive</v>
      </c>
      <c r="AL85" s="112" t="str">
        <f>IF(preDEL!$AG85,IFERROR(0/0,""),preDEL!AL85)</f>
        <v/>
      </c>
      <c r="AM85" s="112" t="str">
        <f>IF(preDEL!$AG85,IFERROR(0/0,""),preDEL!AM85)</f>
        <v>SpBEND139600</v>
      </c>
      <c r="AN85" s="112" t="str">
        <f>IF(preDEL!$AG85,IFERROR(0/0,""),preDEL!AN85)</f>
        <v>BEND133778</v>
      </c>
      <c r="AO85" s="112" t="str">
        <f>IF(preDEL!$AG85,IFERROR(0/0,""),preDEL!AO85)</f>
        <v/>
      </c>
      <c r="AP85" s="112" t="str">
        <f>IF(preDEL!$AG85,IFERROR(0/0,""),preDEL!AP85)</f>
        <v/>
      </c>
      <c r="AQ85" s="112" t="str">
        <f>IF(preDEL!$AG85,IFERROR(0/0,""),preDEL!AQ85)</f>
        <v/>
      </c>
      <c r="AR85" s="112" t="str">
        <f>IF(preDEL!$AG85,IFERROR(0/0,""),preDEL!AR85)</f>
        <v/>
      </c>
      <c r="AS85" s="112" t="str">
        <f>IF(preDEL!$AG85,IFERROR(0/0,""),preDEL!AS85)</f>
        <v/>
      </c>
      <c r="AT85" s="112" t="b">
        <f>IF(preDEL!$AG85,IFERROR(0/0,""),preDEL!AT85)</f>
        <v>0</v>
      </c>
      <c r="AU85" s="112" t="str">
        <f>IF(preDEL!$AG85,IFERROR(0/0,""),preDEL!AU85)</f>
        <v/>
      </c>
      <c r="AV85" s="112" t="str">
        <f>IF(preDEL!$AG85,IFERROR(0/0,""),preDEL!AV85)</f>
        <v/>
      </c>
      <c r="AW85" s="112" t="str">
        <f>IF(preDEL!$AG85,IFERROR(0/0,""),preDEL!AW85)</f>
        <v/>
      </c>
      <c r="AX85" s="112" t="str">
        <f>IF(preDEL!$AG85,IFERROR(0/0,""),preDEL!AX85)</f>
        <v/>
      </c>
      <c r="AY85" s="112" t="str">
        <f>IF(preDEL!$AG85,IFERROR(0/0,""),preDEL!AY85)</f>
        <v/>
      </c>
      <c r="AZ85" s="174"/>
      <c r="BA85" s="174"/>
      <c r="BB85" s="174"/>
      <c r="BC85" s="174"/>
      <c r="BD85" s="174"/>
      <c r="BE85" s="174"/>
      <c r="BF85" s="174"/>
      <c r="BG85" s="174"/>
      <c r="BH85" s="174"/>
      <c r="BI85" s="174"/>
      <c r="BJ85" s="174"/>
      <c r="BK85" s="174"/>
      <c r="BL85" s="174"/>
      <c r="BM85" s="174"/>
      <c r="BN85" s="174"/>
      <c r="BO85" s="174"/>
      <c r="BP85" s="174"/>
      <c r="BQ85" s="174"/>
      <c r="BR85" s="174"/>
      <c r="BS85" s="174"/>
      <c r="BT85" s="174"/>
      <c r="BU85" s="174"/>
      <c r="BV85" s="174"/>
      <c r="BW85" s="174"/>
      <c r="BX85" s="174"/>
      <c r="BY85" s="174"/>
      <c r="BZ85" s="174"/>
      <c r="CA85" s="174"/>
      <c r="CB85" s="174"/>
      <c r="CC85" s="174"/>
      <c r="CD85" s="174"/>
    </row>
    <row r="86">
      <c r="A86" s="105" t="str">
        <f>IF(preDEL!$AG86,IFERROR(0/0,""),preDEL!A86)</f>
        <v>MA1049</v>
      </c>
      <c r="B86" s="170">
        <f>IF(preDEL!$AG86,IFERROR(0/0,""),preDEL!B86)</f>
        <v>44564</v>
      </c>
      <c r="C86" s="171">
        <f>IF(preDEL!$AG86,IFERROR(0/0,""),preDEL!C86)</f>
        <v>0.3424074074</v>
      </c>
      <c r="D86" s="105" t="str">
        <f>IF(preDEL!$AG86,IFERROR(0/0,""),preDEL!D86)</f>
        <v/>
      </c>
      <c r="E86" s="105" t="str">
        <f>IF(preDEL!$AG86,IFERROR(0/0,""),preDEL!E86)</f>
        <v/>
      </c>
      <c r="F86" s="112" t="str">
        <f>IF(preDEL!$AG86,IFERROR(0/0,""),preDEL!F86)</f>
        <v/>
      </c>
      <c r="G86" s="112" t="str">
        <f>IF(preDEL!$AG86,IFERROR(0/0,""),preDEL!G86)</f>
        <v/>
      </c>
      <c r="H86" s="112" t="str">
        <f>IF(preDEL!$AG86,IFERROR(0/0,""),preDEL!H86)</f>
        <v/>
      </c>
      <c r="I86" s="105" t="str">
        <f>IF(preDEL!$AG86,IFERROR(0/0,""),preDEL!I86)</f>
        <v/>
      </c>
      <c r="J86" s="105" t="str">
        <f>IF(preDEL!$AG86,IFERROR(0/0,""),preDEL!J86)</f>
        <v/>
      </c>
      <c r="K86" s="105" t="str">
        <f>IF(preDEL!$AG86,IFERROR(0/0,""),preDEL!K86)</f>
        <v>Negative</v>
      </c>
      <c r="L86" s="170">
        <f>IF(preDEL!$AG86,IFERROR(0/0,""),preDEL!L86)</f>
        <v>44564</v>
      </c>
      <c r="M86" s="171">
        <f>IF(preDEL!$AG86,IFERROR(0/0,""),preDEL!M86)</f>
        <v>0.5280439815</v>
      </c>
      <c r="N86" s="112" t="str">
        <f>IF(preDEL!$AG86,IFERROR(0/0,""),preDEL!N86)</f>
        <v/>
      </c>
      <c r="O86" s="112" t="str">
        <f>IF(preDEL!$AG86,IFERROR(0/0,""),preDEL!O86)</f>
        <v/>
      </c>
      <c r="P86" s="110" t="b">
        <f>IF(preDEL!$AG86,IFERROR(0/0,""),preDEL!P86)</f>
        <v>0</v>
      </c>
      <c r="Q86" s="110" t="str">
        <f>IF(preDEL!$AG86,IFERROR(0/0,""),preDEL!Q86)</f>
        <v>Result</v>
      </c>
      <c r="R86" s="104" t="b">
        <f>IF(preDEL!$AG86,IFERROR(0/0,""),preDEL!R86)</f>
        <v>1</v>
      </c>
      <c r="S86" s="104">
        <f>IF(preDEL!$AG86,IFERROR(0/0,""),preDEL!S86)</f>
        <v>1</v>
      </c>
      <c r="T86" s="110" t="str">
        <f>IF(preDEL!$AG86,IFERROR(0/0,""),preDEL!T86)</f>
        <v/>
      </c>
      <c r="U86" s="112" t="str">
        <f>IF(preDEL!$AG86,IFERROR(0/0,""),preDEL!U86)</f>
        <v/>
      </c>
      <c r="V86" s="105" t="str">
        <f>IF(preDEL!$AG86,IFERROR(0/0,""),preDEL!V86)</f>
        <v/>
      </c>
      <c r="W86" s="112" t="str">
        <f>IF(preDEL!$AG86,IFERROR(0/0,""),preDEL!W86)</f>
        <v/>
      </c>
      <c r="X86" s="104" t="b">
        <f>IF(preDEL!$AG86,IFERROR(0/0,""),preDEL!X86)</f>
        <v>0</v>
      </c>
      <c r="Y86" s="110" t="b">
        <f>IF(preDEL!$AG86,IFERROR(0/0,""),preDEL!Y86)</f>
        <v>0</v>
      </c>
      <c r="Z86" s="105" t="str">
        <f>IF(preDEL!$AG86,IFERROR(0/0,""),preDEL!Z86)</f>
        <v/>
      </c>
      <c r="AA86" s="110" t="b">
        <f>IF(preDEL!$AG86,IFERROR(0/0,""),preDEL!AA86)</f>
        <v>0</v>
      </c>
      <c r="AB86" s="110" t="b">
        <f>IF(preDEL!$AG86,IFERROR(0/0,""),preDEL!AB86)</f>
        <v>0</v>
      </c>
      <c r="AC86" s="172">
        <f>IF(preDEL!$AG86,IFERROR(0/0,""),preDEL!AC86)</f>
        <v>703</v>
      </c>
      <c r="AD86" s="104" t="b">
        <f>IF(preDEL!$AG86,IFERROR(0/0,""),preDEL!AD86)</f>
        <v>0</v>
      </c>
      <c r="AE86" s="173">
        <f>IF(preDEL!$AG86,IFERROR(0/0,""),preDEL!AE86)</f>
        <v>267.3166667</v>
      </c>
      <c r="AF86" s="110" t="b">
        <f>IF(preDEL!$AG86,IFERROR(0/0,""),preDEL!AF86)</f>
        <v>0</v>
      </c>
      <c r="AG86" s="110" t="b">
        <f>IF(preDEL!$AG86,IFERROR(0/0,""),preDEL!AG86)</f>
        <v>0</v>
      </c>
      <c r="AH86" s="104" t="str">
        <f>IF(preDEL!$AG86,IFERROR(0/0,""),preDEL!AH86)</f>
        <v/>
      </c>
      <c r="AI86" s="105" t="str">
        <f>IF(preDEL!$AG86,IFERROR(0/0,""),preDEL!AI86)</f>
        <v/>
      </c>
      <c r="AJ86" s="112" t="str">
        <f>IF(preDEL!$AG86,IFERROR(0/0,""),preDEL!AJ86)</f>
        <v/>
      </c>
      <c r="AK86" s="105" t="str">
        <f>IF(preDEL!$AG86,IFERROR(0/0,""),preDEL!AK86)</f>
        <v>Negative</v>
      </c>
      <c r="AL86" s="112" t="str">
        <f>IF(preDEL!$AG86,IFERROR(0/0,""),preDEL!AL86)</f>
        <v/>
      </c>
      <c r="AM86" s="112" t="str">
        <f>IF(preDEL!$AG86,IFERROR(0/0,""),preDEL!AM86)</f>
        <v>SpBEND139816</v>
      </c>
      <c r="AN86" s="112" t="str">
        <f>IF(preDEL!$AG86,IFERROR(0/0,""),preDEL!AN86)</f>
        <v>BEND492855</v>
      </c>
      <c r="AO86" s="112" t="str">
        <f>IF(preDEL!$AG86,IFERROR(0/0,""),preDEL!AO86)</f>
        <v/>
      </c>
      <c r="AP86" s="112" t="str">
        <f>IF(preDEL!$AG86,IFERROR(0/0,""),preDEL!AP86)</f>
        <v/>
      </c>
      <c r="AQ86" s="112" t="str">
        <f>IF(preDEL!$AG86,IFERROR(0/0,""),preDEL!AQ86)</f>
        <v/>
      </c>
      <c r="AR86" s="112" t="str">
        <f>IF(preDEL!$AG86,IFERROR(0/0,""),preDEL!AR86)</f>
        <v/>
      </c>
      <c r="AS86" s="112" t="str">
        <f>IF(preDEL!$AG86,IFERROR(0/0,""),preDEL!AS86)</f>
        <v/>
      </c>
      <c r="AT86" s="112" t="b">
        <f>IF(preDEL!$AG86,IFERROR(0/0,""),preDEL!AT86)</f>
        <v>0</v>
      </c>
      <c r="AU86" s="112" t="str">
        <f>IF(preDEL!$AG86,IFERROR(0/0,""),preDEL!AU86)</f>
        <v/>
      </c>
      <c r="AV86" s="112" t="str">
        <f>IF(preDEL!$AG86,IFERROR(0/0,""),preDEL!AV86)</f>
        <v/>
      </c>
      <c r="AW86" s="112" t="str">
        <f>IF(preDEL!$AG86,IFERROR(0/0,""),preDEL!AW86)</f>
        <v/>
      </c>
      <c r="AX86" s="112" t="str">
        <f>IF(preDEL!$AG86,IFERROR(0/0,""),preDEL!AX86)</f>
        <v/>
      </c>
      <c r="AY86" s="112" t="str">
        <f>IF(preDEL!$AG86,IFERROR(0/0,""),preDEL!AY86)</f>
        <v/>
      </c>
      <c r="AZ86" s="174"/>
      <c r="BA86" s="174"/>
      <c r="BB86" s="174"/>
      <c r="BC86" s="174"/>
      <c r="BD86" s="174"/>
      <c r="BE86" s="174"/>
      <c r="BF86" s="174"/>
      <c r="BG86" s="174"/>
      <c r="BH86" s="174"/>
      <c r="BI86" s="174"/>
      <c r="BJ86" s="174"/>
      <c r="BK86" s="174"/>
      <c r="BL86" s="174"/>
      <c r="BM86" s="174"/>
      <c r="BN86" s="174"/>
      <c r="BO86" s="174"/>
      <c r="BP86" s="174"/>
      <c r="BQ86" s="174"/>
      <c r="BR86" s="174"/>
      <c r="BS86" s="174"/>
      <c r="BT86" s="174"/>
      <c r="BU86" s="174"/>
      <c r="BV86" s="174"/>
      <c r="BW86" s="174"/>
      <c r="BX86" s="174"/>
      <c r="BY86" s="174"/>
      <c r="BZ86" s="174"/>
      <c r="CA86" s="174"/>
      <c r="CB86" s="174"/>
      <c r="CC86" s="174"/>
      <c r="CD86" s="174"/>
    </row>
    <row r="87">
      <c r="A87" s="105" t="str">
        <f>IF(preDEL!$AG87,IFERROR(0/0,""),preDEL!A87)</f>
        <v>MA1082</v>
      </c>
      <c r="B87" s="170">
        <f>IF(preDEL!$AG87,IFERROR(0/0,""),preDEL!B87)</f>
        <v>44564</v>
      </c>
      <c r="C87" s="171">
        <f>IF(preDEL!$AG87,IFERROR(0/0,""),preDEL!C87)</f>
        <v>0.3515509259</v>
      </c>
      <c r="D87" s="105" t="str">
        <f>IF(preDEL!$AG87,IFERROR(0/0,""),preDEL!D87)</f>
        <v/>
      </c>
      <c r="E87" s="105" t="str">
        <f>IF(preDEL!$AG87,IFERROR(0/0,""),preDEL!E87)</f>
        <v/>
      </c>
      <c r="F87" s="112" t="str">
        <f>IF(preDEL!$AG87,IFERROR(0/0,""),preDEL!F87)</f>
        <v/>
      </c>
      <c r="G87" s="112" t="str">
        <f>IF(preDEL!$AG87,IFERROR(0/0,""),preDEL!G87)</f>
        <v/>
      </c>
      <c r="H87" s="112" t="str">
        <f>IF(preDEL!$AG87,IFERROR(0/0,""),preDEL!H87)</f>
        <v/>
      </c>
      <c r="I87" s="105" t="str">
        <f>IF(preDEL!$AG87,IFERROR(0/0,""),preDEL!I87)</f>
        <v/>
      </c>
      <c r="J87" s="105" t="str">
        <f>IF(preDEL!$AG87,IFERROR(0/0,""),preDEL!J87)</f>
        <v/>
      </c>
      <c r="K87" s="105" t="str">
        <f>IF(preDEL!$AG87,IFERROR(0/0,""),preDEL!K87)</f>
        <v>Negative</v>
      </c>
      <c r="L87" s="170">
        <f>IF(preDEL!$AG87,IFERROR(0/0,""),preDEL!L87)</f>
        <v>44564</v>
      </c>
      <c r="M87" s="171">
        <f>IF(preDEL!$AG87,IFERROR(0/0,""),preDEL!M87)</f>
        <v>0.5280439815</v>
      </c>
      <c r="N87" s="112" t="str">
        <f>IF(preDEL!$AG87,IFERROR(0/0,""),preDEL!N87)</f>
        <v/>
      </c>
      <c r="O87" s="112" t="str">
        <f>IF(preDEL!$AG87,IFERROR(0/0,""),preDEL!O87)</f>
        <v/>
      </c>
      <c r="P87" s="110" t="b">
        <f>IF(preDEL!$AG87,IFERROR(0/0,""),preDEL!P87)</f>
        <v>0</v>
      </c>
      <c r="Q87" s="110" t="str">
        <f>IF(preDEL!$AG87,IFERROR(0/0,""),preDEL!Q87)</f>
        <v>Result</v>
      </c>
      <c r="R87" s="104" t="b">
        <f>IF(preDEL!$AG87,IFERROR(0/0,""),preDEL!R87)</f>
        <v>1</v>
      </c>
      <c r="S87" s="104">
        <f>IF(preDEL!$AG87,IFERROR(0/0,""),preDEL!S87)</f>
        <v>1</v>
      </c>
      <c r="T87" s="110" t="str">
        <f>IF(preDEL!$AG87,IFERROR(0/0,""),preDEL!T87)</f>
        <v/>
      </c>
      <c r="U87" s="112" t="str">
        <f>IF(preDEL!$AG87,IFERROR(0/0,""),preDEL!U87)</f>
        <v/>
      </c>
      <c r="V87" s="105" t="str">
        <f>IF(preDEL!$AG87,IFERROR(0/0,""),preDEL!V87)</f>
        <v/>
      </c>
      <c r="W87" s="112" t="str">
        <f>IF(preDEL!$AG87,IFERROR(0/0,""),preDEL!W87)</f>
        <v/>
      </c>
      <c r="X87" s="104" t="b">
        <f>IF(preDEL!$AG87,IFERROR(0/0,""),preDEL!X87)</f>
        <v>0</v>
      </c>
      <c r="Y87" s="110" t="b">
        <f>IF(preDEL!$AG87,IFERROR(0/0,""),preDEL!Y87)</f>
        <v>0</v>
      </c>
      <c r="Z87" s="105" t="str">
        <f>IF(preDEL!$AG87,IFERROR(0/0,""),preDEL!Z87)</f>
        <v/>
      </c>
      <c r="AA87" s="110" t="b">
        <f>IF(preDEL!$AG87,IFERROR(0/0,""),preDEL!AA87)</f>
        <v>0</v>
      </c>
      <c r="AB87" s="110" t="b">
        <f>IF(preDEL!$AG87,IFERROR(0/0,""),preDEL!AB87)</f>
        <v>0</v>
      </c>
      <c r="AC87" s="172">
        <f>IF(preDEL!$AG87,IFERROR(0/0,""),preDEL!AC87)</f>
        <v>702</v>
      </c>
      <c r="AD87" s="104" t="b">
        <f>IF(preDEL!$AG87,IFERROR(0/0,""),preDEL!AD87)</f>
        <v>0</v>
      </c>
      <c r="AE87" s="173">
        <f>IF(preDEL!$AG87,IFERROR(0/0,""),preDEL!AE87)</f>
        <v>254.15</v>
      </c>
      <c r="AF87" s="110" t="b">
        <f>IF(preDEL!$AG87,IFERROR(0/0,""),preDEL!AF87)</f>
        <v>0</v>
      </c>
      <c r="AG87" s="110" t="b">
        <f>IF(preDEL!$AG87,IFERROR(0/0,""),preDEL!AG87)</f>
        <v>0</v>
      </c>
      <c r="AH87" s="104" t="str">
        <f>IF(preDEL!$AG87,IFERROR(0/0,""),preDEL!AH87)</f>
        <v/>
      </c>
      <c r="AI87" s="105" t="str">
        <f>IF(preDEL!$AG87,IFERROR(0/0,""),preDEL!AI87)</f>
        <v/>
      </c>
      <c r="AJ87" s="112" t="str">
        <f>IF(preDEL!$AG87,IFERROR(0/0,""),preDEL!AJ87)</f>
        <v/>
      </c>
      <c r="AK87" s="105" t="str">
        <f>IF(preDEL!$AG87,IFERROR(0/0,""),preDEL!AK87)</f>
        <v>Negative</v>
      </c>
      <c r="AL87" s="112" t="str">
        <f>IF(preDEL!$AG87,IFERROR(0/0,""),preDEL!AL87)</f>
        <v/>
      </c>
      <c r="AM87" s="112" t="str">
        <f>IF(preDEL!$AG87,IFERROR(0/0,""),preDEL!AM87)</f>
        <v>SpBEND642175</v>
      </c>
      <c r="AN87" s="112" t="str">
        <f>IF(preDEL!$AG87,IFERROR(0/0,""),preDEL!AN87)</f>
        <v>BEND883134</v>
      </c>
      <c r="AO87" s="112" t="str">
        <f>IF(preDEL!$AG87,IFERROR(0/0,""),preDEL!AO87)</f>
        <v/>
      </c>
      <c r="AP87" s="112" t="str">
        <f>IF(preDEL!$AG87,IFERROR(0/0,""),preDEL!AP87)</f>
        <v/>
      </c>
      <c r="AQ87" s="112" t="str">
        <f>IF(preDEL!$AG87,IFERROR(0/0,""),preDEL!AQ87)</f>
        <v/>
      </c>
      <c r="AR87" s="112" t="str">
        <f>IF(preDEL!$AG87,IFERROR(0/0,""),preDEL!AR87)</f>
        <v/>
      </c>
      <c r="AS87" s="112" t="str">
        <f>IF(preDEL!$AG87,IFERROR(0/0,""),preDEL!AS87)</f>
        <v/>
      </c>
      <c r="AT87" s="112" t="b">
        <f>IF(preDEL!$AG87,IFERROR(0/0,""),preDEL!AT87)</f>
        <v>0</v>
      </c>
      <c r="AU87" s="112" t="str">
        <f>IF(preDEL!$AG87,IFERROR(0/0,""),preDEL!AU87)</f>
        <v/>
      </c>
      <c r="AV87" s="112" t="str">
        <f>IF(preDEL!$AG87,IFERROR(0/0,""),preDEL!AV87)</f>
        <v/>
      </c>
      <c r="AW87" s="112" t="str">
        <f>IF(preDEL!$AG87,IFERROR(0/0,""),preDEL!AW87)</f>
        <v/>
      </c>
      <c r="AX87" s="112" t="str">
        <f>IF(preDEL!$AG87,IFERROR(0/0,""),preDEL!AX87)</f>
        <v/>
      </c>
      <c r="AY87" s="112" t="str">
        <f>IF(preDEL!$AG87,IFERROR(0/0,""),preDEL!AY87)</f>
        <v/>
      </c>
      <c r="AZ87" s="174"/>
      <c r="BA87" s="174"/>
      <c r="BB87" s="174"/>
      <c r="BC87" s="174"/>
      <c r="BD87" s="174"/>
      <c r="BE87" s="174"/>
      <c r="BF87" s="174"/>
      <c r="BG87" s="174"/>
      <c r="BH87" s="174"/>
      <c r="BI87" s="174"/>
      <c r="BJ87" s="174"/>
      <c r="BK87" s="174"/>
      <c r="BL87" s="174"/>
      <c r="BM87" s="174"/>
      <c r="BN87" s="174"/>
      <c r="BO87" s="174"/>
      <c r="BP87" s="174"/>
      <c r="BQ87" s="174"/>
      <c r="BR87" s="174"/>
      <c r="BS87" s="174"/>
      <c r="BT87" s="174"/>
      <c r="BU87" s="174"/>
      <c r="BV87" s="174"/>
      <c r="BW87" s="174"/>
      <c r="BX87" s="174"/>
      <c r="BY87" s="174"/>
      <c r="BZ87" s="174"/>
      <c r="CA87" s="174"/>
      <c r="CB87" s="174"/>
      <c r="CC87" s="174"/>
      <c r="CD87" s="174"/>
    </row>
    <row r="88">
      <c r="A88" s="105" t="str">
        <f>IF(preDEL!$AG88,IFERROR(0/0,""),preDEL!A88)</f>
        <v>MA287</v>
      </c>
      <c r="B88" s="170">
        <f>IF(preDEL!$AG88,IFERROR(0/0,""),preDEL!B88)</f>
        <v>44564</v>
      </c>
      <c r="C88" s="171">
        <f>IF(preDEL!$AG88,IFERROR(0/0,""),preDEL!C88)</f>
        <v>0.3596527778</v>
      </c>
      <c r="D88" s="105" t="str">
        <f>IF(preDEL!$AG88,IFERROR(0/0,""),preDEL!D88)</f>
        <v/>
      </c>
      <c r="E88" s="105" t="str">
        <f>IF(preDEL!$AG88,IFERROR(0/0,""),preDEL!E88)</f>
        <v/>
      </c>
      <c r="F88" s="112" t="str">
        <f>IF(preDEL!$AG88,IFERROR(0/0,""),preDEL!F88)</f>
        <v/>
      </c>
      <c r="G88" s="112" t="str">
        <f>IF(preDEL!$AG88,IFERROR(0/0,""),preDEL!G88)</f>
        <v/>
      </c>
      <c r="H88" s="112" t="str">
        <f>IF(preDEL!$AG88,IFERROR(0/0,""),preDEL!H88)</f>
        <v/>
      </c>
      <c r="I88" s="105" t="str">
        <f>IF(preDEL!$AG88,IFERROR(0/0,""),preDEL!I88)</f>
        <v/>
      </c>
      <c r="J88" s="105" t="str">
        <f>IF(preDEL!$AG88,IFERROR(0/0,""),preDEL!J88)</f>
        <v/>
      </c>
      <c r="K88" s="105" t="str">
        <f>IF(preDEL!$AG88,IFERROR(0/0,""),preDEL!K88)</f>
        <v>Positive</v>
      </c>
      <c r="L88" s="170">
        <f>IF(preDEL!$AG88,IFERROR(0/0,""),preDEL!L88)</f>
        <v>44564</v>
      </c>
      <c r="M88" s="171">
        <f>IF(preDEL!$AG88,IFERROR(0/0,""),preDEL!M88)</f>
        <v>0.5280439815</v>
      </c>
      <c r="N88" s="112" t="str">
        <f>IF(preDEL!$AG88,IFERROR(0/0,""),preDEL!N88)</f>
        <v/>
      </c>
      <c r="O88" s="112" t="str">
        <f>IF(preDEL!$AG88,IFERROR(0/0,""),preDEL!O88)</f>
        <v/>
      </c>
      <c r="P88" s="110" t="b">
        <f>IF(preDEL!$AG88,IFERROR(0/0,""),preDEL!P88)</f>
        <v>0</v>
      </c>
      <c r="Q88" s="110" t="str">
        <f>IF(preDEL!$AG88,IFERROR(0/0,""),preDEL!Q88)</f>
        <v>Result</v>
      </c>
      <c r="R88" s="104" t="b">
        <f>IF(preDEL!$AG88,IFERROR(0/0,""),preDEL!R88)</f>
        <v>1</v>
      </c>
      <c r="S88" s="104">
        <f>IF(preDEL!$AG88,IFERROR(0/0,""),preDEL!S88)</f>
        <v>1</v>
      </c>
      <c r="T88" s="110" t="str">
        <f>IF(preDEL!$AG88,IFERROR(0/0,""),preDEL!T88)</f>
        <v/>
      </c>
      <c r="U88" s="112" t="str">
        <f>IF(preDEL!$AG88,IFERROR(0/0,""),preDEL!U88)</f>
        <v/>
      </c>
      <c r="V88" s="105" t="str">
        <f>IF(preDEL!$AG88,IFERROR(0/0,""),preDEL!V88)</f>
        <v/>
      </c>
      <c r="W88" s="112" t="str">
        <f>IF(preDEL!$AG88,IFERROR(0/0,""),preDEL!W88)</f>
        <v/>
      </c>
      <c r="X88" s="104" t="b">
        <f>IF(preDEL!$AG88,IFERROR(0/0,""),preDEL!X88)</f>
        <v>0</v>
      </c>
      <c r="Y88" s="110" t="b">
        <f>IF(preDEL!$AG88,IFERROR(0/0,""),preDEL!Y88)</f>
        <v>0</v>
      </c>
      <c r="Z88" s="105" t="str">
        <f>IF(preDEL!$AG88,IFERROR(0/0,""),preDEL!Z88)</f>
        <v/>
      </c>
      <c r="AA88" s="110" t="b">
        <f>IF(preDEL!$AG88,IFERROR(0/0,""),preDEL!AA88)</f>
        <v>0</v>
      </c>
      <c r="AB88" s="110" t="b">
        <f>IF(preDEL!$AG88,IFERROR(0/0,""),preDEL!AB88)</f>
        <v>0</v>
      </c>
      <c r="AC88" s="172">
        <f>IF(preDEL!$AG88,IFERROR(0/0,""),preDEL!AC88)</f>
        <v>701</v>
      </c>
      <c r="AD88" s="104" t="b">
        <f>IF(preDEL!$AG88,IFERROR(0/0,""),preDEL!AD88)</f>
        <v>0</v>
      </c>
      <c r="AE88" s="173">
        <f>IF(preDEL!$AG88,IFERROR(0/0,""),preDEL!AE88)</f>
        <v>242.4833333</v>
      </c>
      <c r="AF88" s="110" t="b">
        <f>IF(preDEL!$AG88,IFERROR(0/0,""),preDEL!AF88)</f>
        <v>0</v>
      </c>
      <c r="AG88" s="110" t="b">
        <f>IF(preDEL!$AG88,IFERROR(0/0,""),preDEL!AG88)</f>
        <v>0</v>
      </c>
      <c r="AH88" s="104" t="str">
        <f>IF(preDEL!$AG88,IFERROR(0/0,""),preDEL!AH88)</f>
        <v/>
      </c>
      <c r="AI88" s="105" t="str">
        <f>IF(preDEL!$AG88,IFERROR(0/0,""),preDEL!AI88)</f>
        <v/>
      </c>
      <c r="AJ88" s="112" t="str">
        <f>IF(preDEL!$AG88,IFERROR(0/0,""),preDEL!AJ88)</f>
        <v/>
      </c>
      <c r="AK88" s="105" t="str">
        <f>IF(preDEL!$AG88,IFERROR(0/0,""),preDEL!AK88)</f>
        <v>Positive</v>
      </c>
      <c r="AL88" s="112" t="str">
        <f>IF(preDEL!$AG88,IFERROR(0/0,""),preDEL!AL88)</f>
        <v/>
      </c>
      <c r="AM88" s="112" t="str">
        <f>IF(preDEL!$AG88,IFERROR(0/0,""),preDEL!AM88)</f>
        <v>SpBEND387532</v>
      </c>
      <c r="AN88" s="112" t="str">
        <f>IF(preDEL!$AG88,IFERROR(0/0,""),preDEL!AN88)</f>
        <v>BEND796718</v>
      </c>
      <c r="AO88" s="112" t="str">
        <f>IF(preDEL!$AG88,IFERROR(0/0,""),preDEL!AO88)</f>
        <v/>
      </c>
      <c r="AP88" s="112" t="str">
        <f>IF(preDEL!$AG88,IFERROR(0/0,""),preDEL!AP88)</f>
        <v/>
      </c>
      <c r="AQ88" s="112" t="str">
        <f>IF(preDEL!$AG88,IFERROR(0/0,""),preDEL!AQ88)</f>
        <v/>
      </c>
      <c r="AR88" s="112" t="str">
        <f>IF(preDEL!$AG88,IFERROR(0/0,""),preDEL!AR88)</f>
        <v/>
      </c>
      <c r="AS88" s="112" t="str">
        <f>IF(preDEL!$AG88,IFERROR(0/0,""),preDEL!AS88)</f>
        <v/>
      </c>
      <c r="AT88" s="112" t="b">
        <f>IF(preDEL!$AG88,IFERROR(0/0,""),preDEL!AT88)</f>
        <v>0</v>
      </c>
      <c r="AU88" s="112" t="str">
        <f>IF(preDEL!$AG88,IFERROR(0/0,""),preDEL!AU88)</f>
        <v/>
      </c>
      <c r="AV88" s="112" t="str">
        <f>IF(preDEL!$AG88,IFERROR(0/0,""),preDEL!AV88)</f>
        <v/>
      </c>
      <c r="AW88" s="112" t="str">
        <f>IF(preDEL!$AG88,IFERROR(0/0,""),preDEL!AW88)</f>
        <v/>
      </c>
      <c r="AX88" s="112" t="str">
        <f>IF(preDEL!$AG88,IFERROR(0/0,""),preDEL!AX88)</f>
        <v/>
      </c>
      <c r="AY88" s="112" t="str">
        <f>IF(preDEL!$AG88,IFERROR(0/0,""),preDEL!AY88)</f>
        <v/>
      </c>
      <c r="AZ88" s="174"/>
      <c r="BA88" s="174"/>
      <c r="BB88" s="174"/>
      <c r="BC88" s="174"/>
      <c r="BD88" s="174"/>
      <c r="BE88" s="174"/>
      <c r="BF88" s="174"/>
      <c r="BG88" s="174"/>
      <c r="BH88" s="174"/>
      <c r="BI88" s="174"/>
      <c r="BJ88" s="174"/>
      <c r="BK88" s="174"/>
      <c r="BL88" s="174"/>
      <c r="BM88" s="174"/>
      <c r="BN88" s="174"/>
      <c r="BO88" s="174"/>
      <c r="BP88" s="174"/>
      <c r="BQ88" s="174"/>
      <c r="BR88" s="174"/>
      <c r="BS88" s="174"/>
      <c r="BT88" s="174"/>
      <c r="BU88" s="174"/>
      <c r="BV88" s="174"/>
      <c r="BW88" s="174"/>
      <c r="BX88" s="174"/>
      <c r="BY88" s="174"/>
      <c r="BZ88" s="174"/>
      <c r="CA88" s="174"/>
      <c r="CB88" s="174"/>
      <c r="CC88" s="174"/>
      <c r="CD88" s="174"/>
    </row>
    <row r="89">
      <c r="A89" s="105" t="str">
        <f>IF(preDEL!$AG89,IFERROR(0/0,""),preDEL!A89)</f>
        <v>MA473</v>
      </c>
      <c r="B89" s="170">
        <f>IF(preDEL!$AG89,IFERROR(0/0,""),preDEL!B89)</f>
        <v>44564</v>
      </c>
      <c r="C89" s="171">
        <f>IF(preDEL!$AG89,IFERROR(0/0,""),preDEL!C89)</f>
        <v>0.3654513889</v>
      </c>
      <c r="D89" s="105" t="str">
        <f>IF(preDEL!$AG89,IFERROR(0/0,""),preDEL!D89)</f>
        <v/>
      </c>
      <c r="E89" s="105" t="str">
        <f>IF(preDEL!$AG89,IFERROR(0/0,""),preDEL!E89)</f>
        <v/>
      </c>
      <c r="F89" s="112" t="str">
        <f>IF(preDEL!$AG89,IFERROR(0/0,""),preDEL!F89)</f>
        <v/>
      </c>
      <c r="G89" s="112" t="str">
        <f>IF(preDEL!$AG89,IFERROR(0/0,""),preDEL!G89)</f>
        <v/>
      </c>
      <c r="H89" s="112" t="str">
        <f>IF(preDEL!$AG89,IFERROR(0/0,""),preDEL!H89)</f>
        <v/>
      </c>
      <c r="I89" s="105" t="str">
        <f>IF(preDEL!$AG89,IFERROR(0/0,""),preDEL!I89)</f>
        <v/>
      </c>
      <c r="J89" s="105" t="str">
        <f>IF(preDEL!$AG89,IFERROR(0/0,""),preDEL!J89)</f>
        <v/>
      </c>
      <c r="K89" s="105" t="str">
        <f>IF(preDEL!$AG89,IFERROR(0/0,""),preDEL!K89)</f>
        <v>Positive</v>
      </c>
      <c r="L89" s="170">
        <f>IF(preDEL!$AG89,IFERROR(0/0,""),preDEL!L89)</f>
        <v>44564</v>
      </c>
      <c r="M89" s="171">
        <f>IF(preDEL!$AG89,IFERROR(0/0,""),preDEL!M89)</f>
        <v>0.5280439815</v>
      </c>
      <c r="N89" s="112" t="str">
        <f>IF(preDEL!$AG89,IFERROR(0/0,""),preDEL!N89)</f>
        <v/>
      </c>
      <c r="O89" s="112" t="str">
        <f>IF(preDEL!$AG89,IFERROR(0/0,""),preDEL!O89)</f>
        <v/>
      </c>
      <c r="P89" s="110" t="b">
        <f>IF(preDEL!$AG89,IFERROR(0/0,""),preDEL!P89)</f>
        <v>0</v>
      </c>
      <c r="Q89" s="110" t="str">
        <f>IF(preDEL!$AG89,IFERROR(0/0,""),preDEL!Q89)</f>
        <v>Result</v>
      </c>
      <c r="R89" s="104" t="b">
        <f>IF(preDEL!$AG89,IFERROR(0/0,""),preDEL!R89)</f>
        <v>1</v>
      </c>
      <c r="S89" s="104">
        <f>IF(preDEL!$AG89,IFERROR(0/0,""),preDEL!S89)</f>
        <v>1</v>
      </c>
      <c r="T89" s="110" t="str">
        <f>IF(preDEL!$AG89,IFERROR(0/0,""),preDEL!T89)</f>
        <v/>
      </c>
      <c r="U89" s="112" t="str">
        <f>IF(preDEL!$AG89,IFERROR(0/0,""),preDEL!U89)</f>
        <v/>
      </c>
      <c r="V89" s="105" t="str">
        <f>IF(preDEL!$AG89,IFERROR(0/0,""),preDEL!V89)</f>
        <v/>
      </c>
      <c r="W89" s="112" t="str">
        <f>IF(preDEL!$AG89,IFERROR(0/0,""),preDEL!W89)</f>
        <v/>
      </c>
      <c r="X89" s="104" t="b">
        <f>IF(preDEL!$AG89,IFERROR(0/0,""),preDEL!X89)</f>
        <v>0</v>
      </c>
      <c r="Y89" s="110" t="b">
        <f>IF(preDEL!$AG89,IFERROR(0/0,""),preDEL!Y89)</f>
        <v>0</v>
      </c>
      <c r="Z89" s="105" t="str">
        <f>IF(preDEL!$AG89,IFERROR(0/0,""),preDEL!Z89)</f>
        <v/>
      </c>
      <c r="AA89" s="110" t="b">
        <f>IF(preDEL!$AG89,IFERROR(0/0,""),preDEL!AA89)</f>
        <v>0</v>
      </c>
      <c r="AB89" s="110" t="b">
        <f>IF(preDEL!$AG89,IFERROR(0/0,""),preDEL!AB89)</f>
        <v>0</v>
      </c>
      <c r="AC89" s="172">
        <f>IF(preDEL!$AG89,IFERROR(0/0,""),preDEL!AC89)</f>
        <v>700</v>
      </c>
      <c r="AD89" s="104" t="b">
        <f>IF(preDEL!$AG89,IFERROR(0/0,""),preDEL!AD89)</f>
        <v>0</v>
      </c>
      <c r="AE89" s="173">
        <f>IF(preDEL!$AG89,IFERROR(0/0,""),preDEL!AE89)</f>
        <v>234.1333333</v>
      </c>
      <c r="AF89" s="110" t="b">
        <f>IF(preDEL!$AG89,IFERROR(0/0,""),preDEL!AF89)</f>
        <v>0</v>
      </c>
      <c r="AG89" s="110" t="b">
        <f>IF(preDEL!$AG89,IFERROR(0/0,""),preDEL!AG89)</f>
        <v>0</v>
      </c>
      <c r="AH89" s="104" t="str">
        <f>IF(preDEL!$AG89,IFERROR(0/0,""),preDEL!AH89)</f>
        <v/>
      </c>
      <c r="AI89" s="105" t="str">
        <f>IF(preDEL!$AG89,IFERROR(0/0,""),preDEL!AI89)</f>
        <v/>
      </c>
      <c r="AJ89" s="112" t="str">
        <f>IF(preDEL!$AG89,IFERROR(0/0,""),preDEL!AJ89)</f>
        <v/>
      </c>
      <c r="AK89" s="105" t="str">
        <f>IF(preDEL!$AG89,IFERROR(0/0,""),preDEL!AK89)</f>
        <v>Positive</v>
      </c>
      <c r="AL89" s="112" t="str">
        <f>IF(preDEL!$AG89,IFERROR(0/0,""),preDEL!AL89)</f>
        <v/>
      </c>
      <c r="AM89" s="112" t="str">
        <f>IF(preDEL!$AG89,IFERROR(0/0,""),preDEL!AM89)</f>
        <v>SpBEND394154</v>
      </c>
      <c r="AN89" s="112" t="str">
        <f>IF(preDEL!$AG89,IFERROR(0/0,""),preDEL!AN89)</f>
        <v>BEND927956</v>
      </c>
      <c r="AO89" s="112" t="str">
        <f>IF(preDEL!$AG89,IFERROR(0/0,""),preDEL!AO89)</f>
        <v/>
      </c>
      <c r="AP89" s="112" t="str">
        <f>IF(preDEL!$AG89,IFERROR(0/0,""),preDEL!AP89)</f>
        <v/>
      </c>
      <c r="AQ89" s="112" t="str">
        <f>IF(preDEL!$AG89,IFERROR(0/0,""),preDEL!AQ89)</f>
        <v/>
      </c>
      <c r="AR89" s="112" t="str">
        <f>IF(preDEL!$AG89,IFERROR(0/0,""),preDEL!AR89)</f>
        <v/>
      </c>
      <c r="AS89" s="112" t="str">
        <f>IF(preDEL!$AG89,IFERROR(0/0,""),preDEL!AS89)</f>
        <v/>
      </c>
      <c r="AT89" s="112" t="b">
        <f>IF(preDEL!$AG89,IFERROR(0/0,""),preDEL!AT89)</f>
        <v>0</v>
      </c>
      <c r="AU89" s="112" t="str">
        <f>IF(preDEL!$AG89,IFERROR(0/0,""),preDEL!AU89)</f>
        <v/>
      </c>
      <c r="AV89" s="112" t="str">
        <f>IF(preDEL!$AG89,IFERROR(0/0,""),preDEL!AV89)</f>
        <v/>
      </c>
      <c r="AW89" s="112" t="str">
        <f>IF(preDEL!$AG89,IFERROR(0/0,""),preDEL!AW89)</f>
        <v/>
      </c>
      <c r="AX89" s="112" t="str">
        <f>IF(preDEL!$AG89,IFERROR(0/0,""),preDEL!AX89)</f>
        <v/>
      </c>
      <c r="AY89" s="112" t="str">
        <f>IF(preDEL!$AG89,IFERROR(0/0,""),preDEL!AY89)</f>
        <v/>
      </c>
      <c r="AZ89" s="174"/>
      <c r="BA89" s="174"/>
      <c r="BB89" s="174"/>
      <c r="BC89" s="174"/>
      <c r="BD89" s="174"/>
      <c r="BE89" s="174"/>
      <c r="BF89" s="174"/>
      <c r="BG89" s="174"/>
      <c r="BH89" s="174"/>
      <c r="BI89" s="174"/>
      <c r="BJ89" s="174"/>
      <c r="BK89" s="174"/>
      <c r="BL89" s="174"/>
      <c r="BM89" s="174"/>
      <c r="BN89" s="174"/>
      <c r="BO89" s="174"/>
      <c r="BP89" s="174"/>
      <c r="BQ89" s="174"/>
      <c r="BR89" s="174"/>
      <c r="BS89" s="174"/>
      <c r="BT89" s="174"/>
      <c r="BU89" s="174"/>
      <c r="BV89" s="174"/>
      <c r="BW89" s="174"/>
      <c r="BX89" s="174"/>
      <c r="BY89" s="174"/>
      <c r="BZ89" s="174"/>
      <c r="CA89" s="174"/>
      <c r="CB89" s="174"/>
      <c r="CC89" s="174"/>
      <c r="CD89" s="174"/>
    </row>
    <row r="90">
      <c r="A90" s="105" t="str">
        <f>IF(preDEL!$AG90,IFERROR(0/0,""),preDEL!A90)</f>
        <v>MA1022</v>
      </c>
      <c r="B90" s="170">
        <f>IF(preDEL!$AG90,IFERROR(0/0,""),preDEL!B90)</f>
        <v>44564</v>
      </c>
      <c r="C90" s="171">
        <f>IF(preDEL!$AG90,IFERROR(0/0,""),preDEL!C90)</f>
        <v>0.3696296296</v>
      </c>
      <c r="D90" s="105" t="str">
        <f>IF(preDEL!$AG90,IFERROR(0/0,""),preDEL!D90)</f>
        <v/>
      </c>
      <c r="E90" s="105" t="str">
        <f>IF(preDEL!$AG90,IFERROR(0/0,""),preDEL!E90)</f>
        <v/>
      </c>
      <c r="F90" s="112" t="str">
        <f>IF(preDEL!$AG90,IFERROR(0/0,""),preDEL!F90)</f>
        <v/>
      </c>
      <c r="G90" s="112" t="str">
        <f>IF(preDEL!$AG90,IFERROR(0/0,""),preDEL!G90)</f>
        <v/>
      </c>
      <c r="H90" s="112" t="str">
        <f>IF(preDEL!$AG90,IFERROR(0/0,""),preDEL!H90)</f>
        <v/>
      </c>
      <c r="I90" s="105" t="str">
        <f>IF(preDEL!$AG90,IFERROR(0/0,""),preDEL!I90)</f>
        <v/>
      </c>
      <c r="J90" s="105" t="str">
        <f>IF(preDEL!$AG90,IFERROR(0/0,""),preDEL!J90)</f>
        <v/>
      </c>
      <c r="K90" s="105" t="str">
        <f>IF(preDEL!$AG90,IFERROR(0/0,""),preDEL!K90)</f>
        <v>Negative</v>
      </c>
      <c r="L90" s="170">
        <f>IF(preDEL!$AG90,IFERROR(0/0,""),preDEL!L90)</f>
        <v>44564</v>
      </c>
      <c r="M90" s="171">
        <f>IF(preDEL!$AG90,IFERROR(0/0,""),preDEL!M90)</f>
        <v>0.5280439815</v>
      </c>
      <c r="N90" s="112" t="str">
        <f>IF(preDEL!$AG90,IFERROR(0/0,""),preDEL!N90)</f>
        <v/>
      </c>
      <c r="O90" s="112" t="str">
        <f>IF(preDEL!$AG90,IFERROR(0/0,""),preDEL!O90)</f>
        <v/>
      </c>
      <c r="P90" s="110" t="b">
        <f>IF(preDEL!$AG90,IFERROR(0/0,""),preDEL!P90)</f>
        <v>0</v>
      </c>
      <c r="Q90" s="110" t="str">
        <f>IF(preDEL!$AG90,IFERROR(0/0,""),preDEL!Q90)</f>
        <v>Result</v>
      </c>
      <c r="R90" s="104" t="b">
        <f>IF(preDEL!$AG90,IFERROR(0/0,""),preDEL!R90)</f>
        <v>1</v>
      </c>
      <c r="S90" s="104">
        <f>IF(preDEL!$AG90,IFERROR(0/0,""),preDEL!S90)</f>
        <v>1</v>
      </c>
      <c r="T90" s="110" t="str">
        <f>IF(preDEL!$AG90,IFERROR(0/0,""),preDEL!T90)</f>
        <v/>
      </c>
      <c r="U90" s="112" t="str">
        <f>IF(preDEL!$AG90,IFERROR(0/0,""),preDEL!U90)</f>
        <v/>
      </c>
      <c r="V90" s="105" t="str">
        <f>IF(preDEL!$AG90,IFERROR(0/0,""),preDEL!V90)</f>
        <v/>
      </c>
      <c r="W90" s="112" t="str">
        <f>IF(preDEL!$AG90,IFERROR(0/0,""),preDEL!W90)</f>
        <v/>
      </c>
      <c r="X90" s="104" t="b">
        <f>IF(preDEL!$AG90,IFERROR(0/0,""),preDEL!X90)</f>
        <v>0</v>
      </c>
      <c r="Y90" s="110" t="b">
        <f>IF(preDEL!$AG90,IFERROR(0/0,""),preDEL!Y90)</f>
        <v>0</v>
      </c>
      <c r="Z90" s="105" t="str">
        <f>IF(preDEL!$AG90,IFERROR(0/0,""),preDEL!Z90)</f>
        <v/>
      </c>
      <c r="AA90" s="110" t="b">
        <f>IF(preDEL!$AG90,IFERROR(0/0,""),preDEL!AA90)</f>
        <v>0</v>
      </c>
      <c r="AB90" s="110" t="b">
        <f>IF(preDEL!$AG90,IFERROR(0/0,""),preDEL!AB90)</f>
        <v>0</v>
      </c>
      <c r="AC90" s="172">
        <f>IF(preDEL!$AG90,IFERROR(0/0,""),preDEL!AC90)</f>
        <v>699</v>
      </c>
      <c r="AD90" s="104" t="b">
        <f>IF(preDEL!$AG90,IFERROR(0/0,""),preDEL!AD90)</f>
        <v>0</v>
      </c>
      <c r="AE90" s="173">
        <f>IF(preDEL!$AG90,IFERROR(0/0,""),preDEL!AE90)</f>
        <v>228.1166667</v>
      </c>
      <c r="AF90" s="110" t="b">
        <f>IF(preDEL!$AG90,IFERROR(0/0,""),preDEL!AF90)</f>
        <v>0</v>
      </c>
      <c r="AG90" s="110" t="b">
        <f>IF(preDEL!$AG90,IFERROR(0/0,""),preDEL!AG90)</f>
        <v>0</v>
      </c>
      <c r="AH90" s="104" t="str">
        <f>IF(preDEL!$AG90,IFERROR(0/0,""),preDEL!AH90)</f>
        <v/>
      </c>
      <c r="AI90" s="105" t="str">
        <f>IF(preDEL!$AG90,IFERROR(0/0,""),preDEL!AI90)</f>
        <v/>
      </c>
      <c r="AJ90" s="112" t="str">
        <f>IF(preDEL!$AG90,IFERROR(0/0,""),preDEL!AJ90)</f>
        <v/>
      </c>
      <c r="AK90" s="105" t="str">
        <f>IF(preDEL!$AG90,IFERROR(0/0,""),preDEL!AK90)</f>
        <v>Negative</v>
      </c>
      <c r="AL90" s="112" t="str">
        <f>IF(preDEL!$AG90,IFERROR(0/0,""),preDEL!AL90)</f>
        <v/>
      </c>
      <c r="AM90" s="112" t="str">
        <f>IF(preDEL!$AG90,IFERROR(0/0,""),preDEL!AM90)</f>
        <v>SpBEND372845</v>
      </c>
      <c r="AN90" s="112" t="str">
        <f>IF(preDEL!$AG90,IFERROR(0/0,""),preDEL!AN90)</f>
        <v>BEND940774</v>
      </c>
      <c r="AO90" s="112" t="str">
        <f>IF(preDEL!$AG90,IFERROR(0/0,""),preDEL!AO90)</f>
        <v/>
      </c>
      <c r="AP90" s="112" t="str">
        <f>IF(preDEL!$AG90,IFERROR(0/0,""),preDEL!AP90)</f>
        <v/>
      </c>
      <c r="AQ90" s="112" t="str">
        <f>IF(preDEL!$AG90,IFERROR(0/0,""),preDEL!AQ90)</f>
        <v/>
      </c>
      <c r="AR90" s="112" t="str">
        <f>IF(preDEL!$AG90,IFERROR(0/0,""),preDEL!AR90)</f>
        <v/>
      </c>
      <c r="AS90" s="112" t="str">
        <f>IF(preDEL!$AG90,IFERROR(0/0,""),preDEL!AS90)</f>
        <v/>
      </c>
      <c r="AT90" s="112" t="b">
        <f>IF(preDEL!$AG90,IFERROR(0/0,""),preDEL!AT90)</f>
        <v>0</v>
      </c>
      <c r="AU90" s="112" t="str">
        <f>IF(preDEL!$AG90,IFERROR(0/0,""),preDEL!AU90)</f>
        <v/>
      </c>
      <c r="AV90" s="112" t="str">
        <f>IF(preDEL!$AG90,IFERROR(0/0,""),preDEL!AV90)</f>
        <v/>
      </c>
      <c r="AW90" s="112" t="str">
        <f>IF(preDEL!$AG90,IFERROR(0/0,""),preDEL!AW90)</f>
        <v/>
      </c>
      <c r="AX90" s="112" t="str">
        <f>IF(preDEL!$AG90,IFERROR(0/0,""),preDEL!AX90)</f>
        <v/>
      </c>
      <c r="AY90" s="112" t="str">
        <f>IF(preDEL!$AG90,IFERROR(0/0,""),preDEL!AY90)</f>
        <v/>
      </c>
      <c r="AZ90" s="174"/>
      <c r="BA90" s="174"/>
      <c r="BB90" s="174"/>
      <c r="BC90" s="174"/>
      <c r="BD90" s="174"/>
      <c r="BE90" s="174"/>
      <c r="BF90" s="174"/>
      <c r="BG90" s="174"/>
      <c r="BH90" s="174"/>
      <c r="BI90" s="174"/>
      <c r="BJ90" s="174"/>
      <c r="BK90" s="174"/>
      <c r="BL90" s="174"/>
      <c r="BM90" s="174"/>
      <c r="BN90" s="174"/>
      <c r="BO90" s="174"/>
      <c r="BP90" s="174"/>
      <c r="BQ90" s="174"/>
      <c r="BR90" s="174"/>
      <c r="BS90" s="174"/>
      <c r="BT90" s="174"/>
      <c r="BU90" s="174"/>
      <c r="BV90" s="174"/>
      <c r="BW90" s="174"/>
      <c r="BX90" s="174"/>
      <c r="BY90" s="174"/>
      <c r="BZ90" s="174"/>
      <c r="CA90" s="174"/>
      <c r="CB90" s="174"/>
      <c r="CC90" s="174"/>
      <c r="CD90" s="174"/>
    </row>
    <row r="91">
      <c r="A91" s="105" t="str">
        <f>IF(preDEL!$AG91,IFERROR(0/0,""),preDEL!A91)</f>
        <v>MA644</v>
      </c>
      <c r="B91" s="170">
        <f>IF(preDEL!$AG91,IFERROR(0/0,""),preDEL!B91)</f>
        <v>44564</v>
      </c>
      <c r="C91" s="171">
        <f>IF(preDEL!$AG91,IFERROR(0/0,""),preDEL!C91)</f>
        <v>0.3841319444</v>
      </c>
      <c r="D91" s="105" t="str">
        <f>IF(preDEL!$AG91,IFERROR(0/0,""),preDEL!D91)</f>
        <v/>
      </c>
      <c r="E91" s="105" t="str">
        <f>IF(preDEL!$AG91,IFERROR(0/0,""),preDEL!E91)</f>
        <v/>
      </c>
      <c r="F91" s="112" t="str">
        <f>IF(preDEL!$AG91,IFERROR(0/0,""),preDEL!F91)</f>
        <v/>
      </c>
      <c r="G91" s="112" t="str">
        <f>IF(preDEL!$AG91,IFERROR(0/0,""),preDEL!G91)</f>
        <v/>
      </c>
      <c r="H91" s="112" t="str">
        <f>IF(preDEL!$AG91,IFERROR(0/0,""),preDEL!H91)</f>
        <v/>
      </c>
      <c r="I91" s="105" t="str">
        <f>IF(preDEL!$AG91,IFERROR(0/0,""),preDEL!I91)</f>
        <v/>
      </c>
      <c r="J91" s="105" t="str">
        <f>IF(preDEL!$AG91,IFERROR(0/0,""),preDEL!J91)</f>
        <v/>
      </c>
      <c r="K91" s="105" t="str">
        <f>IF(preDEL!$AG91,IFERROR(0/0,""),preDEL!K91)</f>
        <v>Negative</v>
      </c>
      <c r="L91" s="170">
        <f>IF(preDEL!$AG91,IFERROR(0/0,""),preDEL!L91)</f>
        <v>44564</v>
      </c>
      <c r="M91" s="171">
        <f>IF(preDEL!$AG91,IFERROR(0/0,""),preDEL!M91)</f>
        <v>0.5280439815</v>
      </c>
      <c r="N91" s="112" t="str">
        <f>IF(preDEL!$AG91,IFERROR(0/0,""),preDEL!N91)</f>
        <v/>
      </c>
      <c r="O91" s="112" t="str">
        <f>IF(preDEL!$AG91,IFERROR(0/0,""),preDEL!O91)</f>
        <v/>
      </c>
      <c r="P91" s="110" t="b">
        <f>IF(preDEL!$AG91,IFERROR(0/0,""),preDEL!P91)</f>
        <v>0</v>
      </c>
      <c r="Q91" s="110" t="str">
        <f>IF(preDEL!$AG91,IFERROR(0/0,""),preDEL!Q91)</f>
        <v>Result</v>
      </c>
      <c r="R91" s="104" t="b">
        <f>IF(preDEL!$AG91,IFERROR(0/0,""),preDEL!R91)</f>
        <v>1</v>
      </c>
      <c r="S91" s="104">
        <f>IF(preDEL!$AG91,IFERROR(0/0,""),preDEL!S91)</f>
        <v>1</v>
      </c>
      <c r="T91" s="110" t="str">
        <f>IF(preDEL!$AG91,IFERROR(0/0,""),preDEL!T91)</f>
        <v/>
      </c>
      <c r="U91" s="112" t="str">
        <f>IF(preDEL!$AG91,IFERROR(0/0,""),preDEL!U91)</f>
        <v/>
      </c>
      <c r="V91" s="105" t="str">
        <f>IF(preDEL!$AG91,IFERROR(0/0,""),preDEL!V91)</f>
        <v/>
      </c>
      <c r="W91" s="112" t="str">
        <f>IF(preDEL!$AG91,IFERROR(0/0,""),preDEL!W91)</f>
        <v/>
      </c>
      <c r="X91" s="104" t="b">
        <f>IF(preDEL!$AG91,IFERROR(0/0,""),preDEL!X91)</f>
        <v>0</v>
      </c>
      <c r="Y91" s="110" t="b">
        <f>IF(preDEL!$AG91,IFERROR(0/0,""),preDEL!Y91)</f>
        <v>0</v>
      </c>
      <c r="Z91" s="105" t="str">
        <f>IF(preDEL!$AG91,IFERROR(0/0,""),preDEL!Z91)</f>
        <v/>
      </c>
      <c r="AA91" s="110" t="b">
        <f>IF(preDEL!$AG91,IFERROR(0/0,""),preDEL!AA91)</f>
        <v>0</v>
      </c>
      <c r="AB91" s="110" t="b">
        <f>IF(preDEL!$AG91,IFERROR(0/0,""),preDEL!AB91)</f>
        <v>0</v>
      </c>
      <c r="AC91" s="172">
        <f>IF(preDEL!$AG91,IFERROR(0/0,""),preDEL!AC91)</f>
        <v>698</v>
      </c>
      <c r="AD91" s="104" t="b">
        <f>IF(preDEL!$AG91,IFERROR(0/0,""),preDEL!AD91)</f>
        <v>0</v>
      </c>
      <c r="AE91" s="173">
        <f>IF(preDEL!$AG91,IFERROR(0/0,""),preDEL!AE91)</f>
        <v>207.2333333</v>
      </c>
      <c r="AF91" s="110" t="b">
        <f>IF(preDEL!$AG91,IFERROR(0/0,""),preDEL!AF91)</f>
        <v>0</v>
      </c>
      <c r="AG91" s="110" t="b">
        <f>IF(preDEL!$AG91,IFERROR(0/0,""),preDEL!AG91)</f>
        <v>0</v>
      </c>
      <c r="AH91" s="104" t="str">
        <f>IF(preDEL!$AG91,IFERROR(0/0,""),preDEL!AH91)</f>
        <v/>
      </c>
      <c r="AI91" s="105" t="str">
        <f>IF(preDEL!$AG91,IFERROR(0/0,""),preDEL!AI91)</f>
        <v/>
      </c>
      <c r="AJ91" s="112" t="str">
        <f>IF(preDEL!$AG91,IFERROR(0/0,""),preDEL!AJ91)</f>
        <v/>
      </c>
      <c r="AK91" s="105" t="str">
        <f>IF(preDEL!$AG91,IFERROR(0/0,""),preDEL!AK91)</f>
        <v>Negative</v>
      </c>
      <c r="AL91" s="112" t="str">
        <f>IF(preDEL!$AG91,IFERROR(0/0,""),preDEL!AL91)</f>
        <v/>
      </c>
      <c r="AM91" s="112" t="str">
        <f>IF(preDEL!$AG91,IFERROR(0/0,""),preDEL!AM91)</f>
        <v>SpBEND643855</v>
      </c>
      <c r="AN91" s="112" t="str">
        <f>IF(preDEL!$AG91,IFERROR(0/0,""),preDEL!AN91)</f>
        <v>BEND364074</v>
      </c>
      <c r="AO91" s="112" t="str">
        <f>IF(preDEL!$AG91,IFERROR(0/0,""),preDEL!AO91)</f>
        <v/>
      </c>
      <c r="AP91" s="112" t="str">
        <f>IF(preDEL!$AG91,IFERROR(0/0,""),preDEL!AP91)</f>
        <v/>
      </c>
      <c r="AQ91" s="112" t="str">
        <f>IF(preDEL!$AG91,IFERROR(0/0,""),preDEL!AQ91)</f>
        <v/>
      </c>
      <c r="AR91" s="112" t="str">
        <f>IF(preDEL!$AG91,IFERROR(0/0,""),preDEL!AR91)</f>
        <v/>
      </c>
      <c r="AS91" s="112" t="str">
        <f>IF(preDEL!$AG91,IFERROR(0/0,""),preDEL!AS91)</f>
        <v/>
      </c>
      <c r="AT91" s="112" t="b">
        <f>IF(preDEL!$AG91,IFERROR(0/0,""),preDEL!AT91)</f>
        <v>0</v>
      </c>
      <c r="AU91" s="112" t="str">
        <f>IF(preDEL!$AG91,IFERROR(0/0,""),preDEL!AU91)</f>
        <v/>
      </c>
      <c r="AV91" s="112" t="str">
        <f>IF(preDEL!$AG91,IFERROR(0/0,""),preDEL!AV91)</f>
        <v/>
      </c>
      <c r="AW91" s="112" t="str">
        <f>IF(preDEL!$AG91,IFERROR(0/0,""),preDEL!AW91)</f>
        <v/>
      </c>
      <c r="AX91" s="112" t="str">
        <f>IF(preDEL!$AG91,IFERROR(0/0,""),preDEL!AX91)</f>
        <v/>
      </c>
      <c r="AY91" s="112" t="str">
        <f>IF(preDEL!$AG91,IFERROR(0/0,""),preDEL!AY91)</f>
        <v/>
      </c>
      <c r="AZ91" s="174"/>
      <c r="BA91" s="174"/>
      <c r="BB91" s="174"/>
      <c r="BC91" s="174"/>
      <c r="BD91" s="174"/>
      <c r="BE91" s="174"/>
      <c r="BF91" s="174"/>
      <c r="BG91" s="174"/>
      <c r="BH91" s="174"/>
      <c r="BI91" s="174"/>
      <c r="BJ91" s="174"/>
      <c r="BK91" s="174"/>
      <c r="BL91" s="174"/>
      <c r="BM91" s="174"/>
      <c r="BN91" s="174"/>
      <c r="BO91" s="174"/>
      <c r="BP91" s="174"/>
      <c r="BQ91" s="174"/>
      <c r="BR91" s="174"/>
      <c r="BS91" s="174"/>
      <c r="BT91" s="174"/>
      <c r="BU91" s="174"/>
      <c r="BV91" s="174"/>
      <c r="BW91" s="174"/>
      <c r="BX91" s="174"/>
      <c r="BY91" s="174"/>
      <c r="BZ91" s="174"/>
      <c r="CA91" s="174"/>
      <c r="CB91" s="174"/>
      <c r="CC91" s="174"/>
      <c r="CD91" s="174"/>
    </row>
    <row r="92">
      <c r="A92" s="105" t="str">
        <f>IF(preDEL!$AG92,IFERROR(0/0,""),preDEL!A92)</f>
        <v>MA248</v>
      </c>
      <c r="B92" s="170">
        <f>IF(preDEL!$AG92,IFERROR(0/0,""),preDEL!B92)</f>
        <v>44564</v>
      </c>
      <c r="C92" s="171">
        <f>IF(preDEL!$AG92,IFERROR(0/0,""),preDEL!C92)</f>
        <v>0.3976273148</v>
      </c>
      <c r="D92" s="105" t="str">
        <f>IF(preDEL!$AG92,IFERROR(0/0,""),preDEL!D92)</f>
        <v/>
      </c>
      <c r="E92" s="105" t="str">
        <f>IF(preDEL!$AG92,IFERROR(0/0,""),preDEL!E92)</f>
        <v/>
      </c>
      <c r="F92" s="112" t="str">
        <f>IF(preDEL!$AG92,IFERROR(0/0,""),preDEL!F92)</f>
        <v/>
      </c>
      <c r="G92" s="112" t="str">
        <f>IF(preDEL!$AG92,IFERROR(0/0,""),preDEL!G92)</f>
        <v/>
      </c>
      <c r="H92" s="112" t="str">
        <f>IF(preDEL!$AG92,IFERROR(0/0,""),preDEL!H92)</f>
        <v/>
      </c>
      <c r="I92" s="105" t="str">
        <f>IF(preDEL!$AG92,IFERROR(0/0,""),preDEL!I92)</f>
        <v/>
      </c>
      <c r="J92" s="105" t="str">
        <f>IF(preDEL!$AG92,IFERROR(0/0,""),preDEL!J92)</f>
        <v/>
      </c>
      <c r="K92" s="105" t="str">
        <f>IF(preDEL!$AG92,IFERROR(0/0,""),preDEL!K92)</f>
        <v>Negative</v>
      </c>
      <c r="L92" s="170">
        <f>IF(preDEL!$AG92,IFERROR(0/0,""),preDEL!L92)</f>
        <v>44564</v>
      </c>
      <c r="M92" s="171">
        <f>IF(preDEL!$AG92,IFERROR(0/0,""),preDEL!M92)</f>
        <v>0.5280439815</v>
      </c>
      <c r="N92" s="112" t="str">
        <f>IF(preDEL!$AG92,IFERROR(0/0,""),preDEL!N92)</f>
        <v/>
      </c>
      <c r="O92" s="112" t="str">
        <f>IF(preDEL!$AG92,IFERROR(0/0,""),preDEL!O92)</f>
        <v/>
      </c>
      <c r="P92" s="110" t="b">
        <f>IF(preDEL!$AG92,IFERROR(0/0,""),preDEL!P92)</f>
        <v>0</v>
      </c>
      <c r="Q92" s="110" t="str">
        <f>IF(preDEL!$AG92,IFERROR(0/0,""),preDEL!Q92)</f>
        <v>Result</v>
      </c>
      <c r="R92" s="104" t="b">
        <f>IF(preDEL!$AG92,IFERROR(0/0,""),preDEL!R92)</f>
        <v>1</v>
      </c>
      <c r="S92" s="104">
        <f>IF(preDEL!$AG92,IFERROR(0/0,""),preDEL!S92)</f>
        <v>1</v>
      </c>
      <c r="T92" s="110" t="str">
        <f>IF(preDEL!$AG92,IFERROR(0/0,""),preDEL!T92)</f>
        <v/>
      </c>
      <c r="U92" s="112" t="str">
        <f>IF(preDEL!$AG92,IFERROR(0/0,""),preDEL!U92)</f>
        <v/>
      </c>
      <c r="V92" s="105" t="str">
        <f>IF(preDEL!$AG92,IFERROR(0/0,""),preDEL!V92)</f>
        <v/>
      </c>
      <c r="W92" s="112" t="str">
        <f>IF(preDEL!$AG92,IFERROR(0/0,""),preDEL!W92)</f>
        <v/>
      </c>
      <c r="X92" s="104" t="b">
        <f>IF(preDEL!$AG92,IFERROR(0/0,""),preDEL!X92)</f>
        <v>0</v>
      </c>
      <c r="Y92" s="110" t="b">
        <f>IF(preDEL!$AG92,IFERROR(0/0,""),preDEL!Y92)</f>
        <v>0</v>
      </c>
      <c r="Z92" s="105" t="str">
        <f>IF(preDEL!$AG92,IFERROR(0/0,""),preDEL!Z92)</f>
        <v/>
      </c>
      <c r="AA92" s="110" t="b">
        <f>IF(preDEL!$AG92,IFERROR(0/0,""),preDEL!AA92)</f>
        <v>0</v>
      </c>
      <c r="AB92" s="110" t="b">
        <f>IF(preDEL!$AG92,IFERROR(0/0,""),preDEL!AB92)</f>
        <v>0</v>
      </c>
      <c r="AC92" s="172">
        <f>IF(preDEL!$AG92,IFERROR(0/0,""),preDEL!AC92)</f>
        <v>697</v>
      </c>
      <c r="AD92" s="104" t="b">
        <f>IF(preDEL!$AG92,IFERROR(0/0,""),preDEL!AD92)</f>
        <v>0</v>
      </c>
      <c r="AE92" s="173">
        <f>IF(preDEL!$AG92,IFERROR(0/0,""),preDEL!AE92)</f>
        <v>187.8</v>
      </c>
      <c r="AF92" s="110" t="b">
        <f>IF(preDEL!$AG92,IFERROR(0/0,""),preDEL!AF92)</f>
        <v>0</v>
      </c>
      <c r="AG92" s="110" t="b">
        <f>IF(preDEL!$AG92,IFERROR(0/0,""),preDEL!AG92)</f>
        <v>0</v>
      </c>
      <c r="AH92" s="104" t="str">
        <f>IF(preDEL!$AG92,IFERROR(0/0,""),preDEL!AH92)</f>
        <v/>
      </c>
      <c r="AI92" s="105" t="str">
        <f>IF(preDEL!$AG92,IFERROR(0/0,""),preDEL!AI92)</f>
        <v/>
      </c>
      <c r="AJ92" s="112" t="str">
        <f>IF(preDEL!$AG92,IFERROR(0/0,""),preDEL!AJ92)</f>
        <v/>
      </c>
      <c r="AK92" s="105" t="str">
        <f>IF(preDEL!$AG92,IFERROR(0/0,""),preDEL!AK92)</f>
        <v>Negative</v>
      </c>
      <c r="AL92" s="112" t="str">
        <f>IF(preDEL!$AG92,IFERROR(0/0,""),preDEL!AL92)</f>
        <v/>
      </c>
      <c r="AM92" s="112" t="str">
        <f>IF(preDEL!$AG92,IFERROR(0/0,""),preDEL!AM92)</f>
        <v>SpBEND305944</v>
      </c>
      <c r="AN92" s="112" t="str">
        <f>IF(preDEL!$AG92,IFERROR(0/0,""),preDEL!AN92)</f>
        <v>BEND538986</v>
      </c>
      <c r="AO92" s="112" t="str">
        <f>IF(preDEL!$AG92,IFERROR(0/0,""),preDEL!AO92)</f>
        <v/>
      </c>
      <c r="AP92" s="112" t="str">
        <f>IF(preDEL!$AG92,IFERROR(0/0,""),preDEL!AP92)</f>
        <v/>
      </c>
      <c r="AQ92" s="112" t="str">
        <f>IF(preDEL!$AG92,IFERROR(0/0,""),preDEL!AQ92)</f>
        <v/>
      </c>
      <c r="AR92" s="112" t="str">
        <f>IF(preDEL!$AG92,IFERROR(0/0,""),preDEL!AR92)</f>
        <v/>
      </c>
      <c r="AS92" s="112" t="str">
        <f>IF(preDEL!$AG92,IFERROR(0/0,""),preDEL!AS92)</f>
        <v/>
      </c>
      <c r="AT92" s="112" t="b">
        <f>IF(preDEL!$AG92,IFERROR(0/0,""),preDEL!AT92)</f>
        <v>0</v>
      </c>
      <c r="AU92" s="112" t="str">
        <f>IF(preDEL!$AG92,IFERROR(0/0,""),preDEL!AU92)</f>
        <v/>
      </c>
      <c r="AV92" s="112" t="str">
        <f>IF(preDEL!$AG92,IFERROR(0/0,""),preDEL!AV92)</f>
        <v/>
      </c>
      <c r="AW92" s="112" t="str">
        <f>IF(preDEL!$AG92,IFERROR(0/0,""),preDEL!AW92)</f>
        <v/>
      </c>
      <c r="AX92" s="112" t="str">
        <f>IF(preDEL!$AG92,IFERROR(0/0,""),preDEL!AX92)</f>
        <v/>
      </c>
      <c r="AY92" s="112" t="str">
        <f>IF(preDEL!$AG92,IFERROR(0/0,""),preDEL!AY92)</f>
        <v/>
      </c>
      <c r="AZ92" s="174"/>
      <c r="BA92" s="174"/>
      <c r="BB92" s="174"/>
      <c r="BC92" s="174"/>
      <c r="BD92" s="174"/>
      <c r="BE92" s="174"/>
      <c r="BF92" s="174"/>
      <c r="BG92" s="174"/>
      <c r="BH92" s="174"/>
      <c r="BI92" s="174"/>
      <c r="BJ92" s="174"/>
      <c r="BK92" s="174"/>
      <c r="BL92" s="174"/>
      <c r="BM92" s="174"/>
      <c r="BN92" s="174"/>
      <c r="BO92" s="174"/>
      <c r="BP92" s="174"/>
      <c r="BQ92" s="174"/>
      <c r="BR92" s="174"/>
      <c r="BS92" s="174"/>
      <c r="BT92" s="174"/>
      <c r="BU92" s="174"/>
      <c r="BV92" s="174"/>
      <c r="BW92" s="174"/>
      <c r="BX92" s="174"/>
      <c r="BY92" s="174"/>
      <c r="BZ92" s="174"/>
      <c r="CA92" s="174"/>
      <c r="CB92" s="174"/>
      <c r="CC92" s="174"/>
      <c r="CD92" s="174"/>
    </row>
    <row r="93">
      <c r="A93" s="105" t="str">
        <f>IF(preDEL!$AG93,IFERROR(0/0,""),preDEL!A93)</f>
        <v>MA282</v>
      </c>
      <c r="B93" s="170">
        <f>IF(preDEL!$AG93,IFERROR(0/0,""),preDEL!B93)</f>
        <v>44564</v>
      </c>
      <c r="C93" s="171">
        <f>IF(preDEL!$AG93,IFERROR(0/0,""),preDEL!C93)</f>
        <v>0.4022916667</v>
      </c>
      <c r="D93" s="105" t="str">
        <f>IF(preDEL!$AG93,IFERROR(0/0,""),preDEL!D93)</f>
        <v/>
      </c>
      <c r="E93" s="105" t="str">
        <f>IF(preDEL!$AG93,IFERROR(0/0,""),preDEL!E93)</f>
        <v/>
      </c>
      <c r="F93" s="112" t="str">
        <f>IF(preDEL!$AG93,IFERROR(0/0,""),preDEL!F93)</f>
        <v/>
      </c>
      <c r="G93" s="112" t="str">
        <f>IF(preDEL!$AG93,IFERROR(0/0,""),preDEL!G93)</f>
        <v/>
      </c>
      <c r="H93" s="112" t="str">
        <f>IF(preDEL!$AG93,IFERROR(0/0,""),preDEL!H93)</f>
        <v/>
      </c>
      <c r="I93" s="105" t="str">
        <f>IF(preDEL!$AG93,IFERROR(0/0,""),preDEL!I93)</f>
        <v/>
      </c>
      <c r="J93" s="105" t="str">
        <f>IF(preDEL!$AG93,IFERROR(0/0,""),preDEL!J93)</f>
        <v/>
      </c>
      <c r="K93" s="105" t="str">
        <f>IF(preDEL!$AG93,IFERROR(0/0,""),preDEL!K93)</f>
        <v>Negative</v>
      </c>
      <c r="L93" s="170">
        <f>IF(preDEL!$AG93,IFERROR(0/0,""),preDEL!L93)</f>
        <v>44564</v>
      </c>
      <c r="M93" s="171">
        <f>IF(preDEL!$AG93,IFERROR(0/0,""),preDEL!M93)</f>
        <v>0.5280439815</v>
      </c>
      <c r="N93" s="112" t="str">
        <f>IF(preDEL!$AG93,IFERROR(0/0,""),preDEL!N93)</f>
        <v/>
      </c>
      <c r="O93" s="112" t="str">
        <f>IF(preDEL!$AG93,IFERROR(0/0,""),preDEL!O93)</f>
        <v/>
      </c>
      <c r="P93" s="110" t="b">
        <f>IF(preDEL!$AG93,IFERROR(0/0,""),preDEL!P93)</f>
        <v>0</v>
      </c>
      <c r="Q93" s="110" t="str">
        <f>IF(preDEL!$AG93,IFERROR(0/0,""),preDEL!Q93)</f>
        <v>Result</v>
      </c>
      <c r="R93" s="104" t="b">
        <f>IF(preDEL!$AG93,IFERROR(0/0,""),preDEL!R93)</f>
        <v>1</v>
      </c>
      <c r="S93" s="104">
        <f>IF(preDEL!$AG93,IFERROR(0/0,""),preDEL!S93)</f>
        <v>1</v>
      </c>
      <c r="T93" s="110" t="str">
        <f>IF(preDEL!$AG93,IFERROR(0/0,""),preDEL!T93)</f>
        <v/>
      </c>
      <c r="U93" s="112" t="str">
        <f>IF(preDEL!$AG93,IFERROR(0/0,""),preDEL!U93)</f>
        <v/>
      </c>
      <c r="V93" s="105" t="str">
        <f>IF(preDEL!$AG93,IFERROR(0/0,""),preDEL!V93)</f>
        <v/>
      </c>
      <c r="W93" s="112" t="str">
        <f>IF(preDEL!$AG93,IFERROR(0/0,""),preDEL!W93)</f>
        <v/>
      </c>
      <c r="X93" s="104" t="b">
        <f>IF(preDEL!$AG93,IFERROR(0/0,""),preDEL!X93)</f>
        <v>0</v>
      </c>
      <c r="Y93" s="110" t="b">
        <f>IF(preDEL!$AG93,IFERROR(0/0,""),preDEL!Y93)</f>
        <v>0</v>
      </c>
      <c r="Z93" s="105" t="str">
        <f>IF(preDEL!$AG93,IFERROR(0/0,""),preDEL!Z93)</f>
        <v/>
      </c>
      <c r="AA93" s="110" t="b">
        <f>IF(preDEL!$AG93,IFERROR(0/0,""),preDEL!AA93)</f>
        <v>0</v>
      </c>
      <c r="AB93" s="110" t="b">
        <f>IF(preDEL!$AG93,IFERROR(0/0,""),preDEL!AB93)</f>
        <v>0</v>
      </c>
      <c r="AC93" s="172">
        <f>IF(preDEL!$AG93,IFERROR(0/0,""),preDEL!AC93)</f>
        <v>696</v>
      </c>
      <c r="AD93" s="104" t="b">
        <f>IF(preDEL!$AG93,IFERROR(0/0,""),preDEL!AD93)</f>
        <v>0</v>
      </c>
      <c r="AE93" s="173">
        <f>IF(preDEL!$AG93,IFERROR(0/0,""),preDEL!AE93)</f>
        <v>181.0833333</v>
      </c>
      <c r="AF93" s="110" t="b">
        <f>IF(preDEL!$AG93,IFERROR(0/0,""),preDEL!AF93)</f>
        <v>0</v>
      </c>
      <c r="AG93" s="110" t="b">
        <f>IF(preDEL!$AG93,IFERROR(0/0,""),preDEL!AG93)</f>
        <v>0</v>
      </c>
      <c r="AH93" s="104" t="str">
        <f>IF(preDEL!$AG93,IFERROR(0/0,""),preDEL!AH93)</f>
        <v/>
      </c>
      <c r="AI93" s="105" t="str">
        <f>IF(preDEL!$AG93,IFERROR(0/0,""),preDEL!AI93)</f>
        <v/>
      </c>
      <c r="AJ93" s="112" t="str">
        <f>IF(preDEL!$AG93,IFERROR(0/0,""),preDEL!AJ93)</f>
        <v/>
      </c>
      <c r="AK93" s="105" t="str">
        <f>IF(preDEL!$AG93,IFERROR(0/0,""),preDEL!AK93)</f>
        <v>Negative</v>
      </c>
      <c r="AL93" s="112" t="str">
        <f>IF(preDEL!$AG93,IFERROR(0/0,""),preDEL!AL93)</f>
        <v/>
      </c>
      <c r="AM93" s="112" t="str">
        <f>IF(preDEL!$AG93,IFERROR(0/0,""),preDEL!AM93)</f>
        <v>SpBEND708976</v>
      </c>
      <c r="AN93" s="112" t="str">
        <f>IF(preDEL!$AG93,IFERROR(0/0,""),preDEL!AN93)</f>
        <v>BEND525784</v>
      </c>
      <c r="AO93" s="112" t="str">
        <f>IF(preDEL!$AG93,IFERROR(0/0,""),preDEL!AO93)</f>
        <v/>
      </c>
      <c r="AP93" s="112" t="str">
        <f>IF(preDEL!$AG93,IFERROR(0/0,""),preDEL!AP93)</f>
        <v/>
      </c>
      <c r="AQ93" s="112" t="str">
        <f>IF(preDEL!$AG93,IFERROR(0/0,""),preDEL!AQ93)</f>
        <v/>
      </c>
      <c r="AR93" s="112" t="str">
        <f>IF(preDEL!$AG93,IFERROR(0/0,""),preDEL!AR93)</f>
        <v/>
      </c>
      <c r="AS93" s="112" t="str">
        <f>IF(preDEL!$AG93,IFERROR(0/0,""),preDEL!AS93)</f>
        <v/>
      </c>
      <c r="AT93" s="112" t="b">
        <f>IF(preDEL!$AG93,IFERROR(0/0,""),preDEL!AT93)</f>
        <v>0</v>
      </c>
      <c r="AU93" s="112" t="str">
        <f>IF(preDEL!$AG93,IFERROR(0/0,""),preDEL!AU93)</f>
        <v/>
      </c>
      <c r="AV93" s="112" t="str">
        <f>IF(preDEL!$AG93,IFERROR(0/0,""),preDEL!AV93)</f>
        <v/>
      </c>
      <c r="AW93" s="112" t="str">
        <f>IF(preDEL!$AG93,IFERROR(0/0,""),preDEL!AW93)</f>
        <v/>
      </c>
      <c r="AX93" s="112" t="str">
        <f>IF(preDEL!$AG93,IFERROR(0/0,""),preDEL!AX93)</f>
        <v/>
      </c>
      <c r="AY93" s="112" t="str">
        <f>IF(preDEL!$AG93,IFERROR(0/0,""),preDEL!AY93)</f>
        <v/>
      </c>
      <c r="AZ93" s="174"/>
      <c r="BA93" s="174"/>
      <c r="BB93" s="174"/>
      <c r="BC93" s="174"/>
      <c r="BD93" s="174"/>
      <c r="BE93" s="174"/>
      <c r="BF93" s="174"/>
      <c r="BG93" s="174"/>
      <c r="BH93" s="174"/>
      <c r="BI93" s="174"/>
      <c r="BJ93" s="174"/>
      <c r="BK93" s="174"/>
      <c r="BL93" s="174"/>
      <c r="BM93" s="174"/>
      <c r="BN93" s="174"/>
      <c r="BO93" s="174"/>
      <c r="BP93" s="174"/>
      <c r="BQ93" s="174"/>
      <c r="BR93" s="174"/>
      <c r="BS93" s="174"/>
      <c r="BT93" s="174"/>
      <c r="BU93" s="174"/>
      <c r="BV93" s="174"/>
      <c r="BW93" s="174"/>
      <c r="BX93" s="174"/>
      <c r="BY93" s="174"/>
      <c r="BZ93" s="174"/>
      <c r="CA93" s="174"/>
      <c r="CB93" s="174"/>
      <c r="CC93" s="174"/>
      <c r="CD93" s="174"/>
    </row>
    <row r="94">
      <c r="A94" s="105" t="str">
        <f>IF(preDEL!$AG94,IFERROR(0/0,""),preDEL!A94)</f>
        <v>MA660</v>
      </c>
      <c r="B94" s="170">
        <f>IF(preDEL!$AG94,IFERROR(0/0,""),preDEL!B94)</f>
        <v>44565</v>
      </c>
      <c r="C94" s="171">
        <f>IF(preDEL!$AG94,IFERROR(0/0,""),preDEL!C94)</f>
        <v>0.6911574074</v>
      </c>
      <c r="D94" s="105" t="str">
        <f>IF(preDEL!$AG94,IFERROR(0/0,""),preDEL!D94)</f>
        <v/>
      </c>
      <c r="E94" s="105" t="str">
        <f>IF(preDEL!$AG94,IFERROR(0/0,""),preDEL!E94)</f>
        <v/>
      </c>
      <c r="F94" s="112" t="str">
        <f>IF(preDEL!$AG94,IFERROR(0/0,""),preDEL!F94)</f>
        <v/>
      </c>
      <c r="G94" s="112" t="str">
        <f>IF(preDEL!$AG94,IFERROR(0/0,""),preDEL!G94)</f>
        <v/>
      </c>
      <c r="H94" s="112" t="str">
        <f>IF(preDEL!$AG94,IFERROR(0/0,""),preDEL!H94)</f>
        <v/>
      </c>
      <c r="I94" s="105" t="str">
        <f>IF(preDEL!$AG94,IFERROR(0/0,""),preDEL!I94)</f>
        <v/>
      </c>
      <c r="J94" s="105" t="str">
        <f>IF(preDEL!$AG94,IFERROR(0/0,""),preDEL!J94)</f>
        <v/>
      </c>
      <c r="K94" s="105" t="str">
        <f>IF(preDEL!$AG94,IFERROR(0/0,""),preDEL!K94)</f>
        <v>Negative</v>
      </c>
      <c r="L94" s="170">
        <f>IF(preDEL!$AG94,IFERROR(0/0,""),preDEL!L94)</f>
        <v>44566</v>
      </c>
      <c r="M94" s="171">
        <f>IF(preDEL!$AG94,IFERROR(0/0,""),preDEL!M94)</f>
        <v>0.4565625</v>
      </c>
      <c r="N94" s="112" t="str">
        <f>IF(preDEL!$AG94,IFERROR(0/0,""),preDEL!N94)</f>
        <v/>
      </c>
      <c r="O94" s="112" t="str">
        <f>IF(preDEL!$AG94,IFERROR(0/0,""),preDEL!O94)</f>
        <v/>
      </c>
      <c r="P94" s="110" t="b">
        <f>IF(preDEL!$AG94,IFERROR(0/0,""),preDEL!P94)</f>
        <v>0</v>
      </c>
      <c r="Q94" s="110" t="str">
        <f>IF(preDEL!$AG94,IFERROR(0/0,""),preDEL!Q94)</f>
        <v>Result</v>
      </c>
      <c r="R94" s="104" t="b">
        <f>IF(preDEL!$AG94,IFERROR(0/0,""),preDEL!R94)</f>
        <v>1</v>
      </c>
      <c r="S94" s="104">
        <f>IF(preDEL!$AG94,IFERROR(0/0,""),preDEL!S94)</f>
        <v>1</v>
      </c>
      <c r="T94" s="110">
        <f>IF(preDEL!$AG94,IFERROR(0/0,""),preDEL!T94)</f>
        <v>0</v>
      </c>
      <c r="U94" s="112" t="str">
        <f>IF(preDEL!$AG94,IFERROR(0/0,""),preDEL!U94)</f>
        <v/>
      </c>
      <c r="V94" s="105" t="str">
        <f>IF(preDEL!$AG94,IFERROR(0/0,""),preDEL!V94)</f>
        <v/>
      </c>
      <c r="W94" s="112" t="str">
        <f>IF(preDEL!$AG94,IFERROR(0/0,""),preDEL!W94)</f>
        <v/>
      </c>
      <c r="X94" s="104" t="b">
        <f>IF(preDEL!$AG94,IFERROR(0/0,""),preDEL!X94)</f>
        <v>0</v>
      </c>
      <c r="Y94" s="110" t="b">
        <f>IF(preDEL!$AG94,IFERROR(0/0,""),preDEL!Y94)</f>
        <v>0</v>
      </c>
      <c r="Z94" s="105" t="str">
        <f>IF(preDEL!$AG94,IFERROR(0/0,""),preDEL!Z94)</f>
        <v/>
      </c>
      <c r="AA94" s="110" t="b">
        <f>IF(preDEL!$AG94,IFERROR(0/0,""),preDEL!AA94)</f>
        <v>0</v>
      </c>
      <c r="AB94" s="110" t="b">
        <f>IF(preDEL!$AG94,IFERROR(0/0,""),preDEL!AB94)</f>
        <v>0</v>
      </c>
      <c r="AC94" s="172">
        <f>IF(preDEL!$AG94,IFERROR(0/0,""),preDEL!AC94)</f>
        <v>695</v>
      </c>
      <c r="AD94" s="104" t="b">
        <f>IF(preDEL!$AG94,IFERROR(0/0,""),preDEL!AD94)</f>
        <v>0</v>
      </c>
      <c r="AE94" s="173" t="str">
        <f>IF(preDEL!$AG94,IFERROR(0/0,""),preDEL!AE94)</f>
        <v/>
      </c>
      <c r="AF94" s="110" t="b">
        <f>IF(preDEL!$AG94,IFERROR(0/0,""),preDEL!AF94)</f>
        <v>0</v>
      </c>
      <c r="AG94" s="110" t="b">
        <f>IF(preDEL!$AG94,IFERROR(0/0,""),preDEL!AG94)</f>
        <v>0</v>
      </c>
      <c r="AH94" s="104" t="str">
        <f>IF(preDEL!$AG94,IFERROR(0/0,""),preDEL!AH94)</f>
        <v/>
      </c>
      <c r="AI94" s="105" t="str">
        <f>IF(preDEL!$AG94,IFERROR(0/0,""),preDEL!AI94)</f>
        <v/>
      </c>
      <c r="AJ94" s="112" t="str">
        <f>IF(preDEL!$AG94,IFERROR(0/0,""),preDEL!AJ94)</f>
        <v/>
      </c>
      <c r="AK94" s="105" t="str">
        <f>IF(preDEL!$AG94,IFERROR(0/0,""),preDEL!AK94)</f>
        <v>Negative</v>
      </c>
      <c r="AL94" s="112" t="str">
        <f>IF(preDEL!$AG94,IFERROR(0/0,""),preDEL!AL94)</f>
        <v/>
      </c>
      <c r="AM94" s="112" t="str">
        <f>IF(preDEL!$AG94,IFERROR(0/0,""),preDEL!AM94)</f>
        <v>SpBEND481988</v>
      </c>
      <c r="AN94" s="112" t="str">
        <f>IF(preDEL!$AG94,IFERROR(0/0,""),preDEL!AN94)</f>
        <v>BEND864200</v>
      </c>
      <c r="AO94" s="112" t="str">
        <f>IF(preDEL!$AG94,IFERROR(0/0,""),preDEL!AO94)</f>
        <v/>
      </c>
      <c r="AP94" s="112" t="str">
        <f>IF(preDEL!$AG94,IFERROR(0/0,""),preDEL!AP94)</f>
        <v/>
      </c>
      <c r="AQ94" s="112" t="str">
        <f>IF(preDEL!$AG94,IFERROR(0/0,""),preDEL!AQ94)</f>
        <v/>
      </c>
      <c r="AR94" s="112" t="str">
        <f>IF(preDEL!$AG94,IFERROR(0/0,""),preDEL!AR94)</f>
        <v/>
      </c>
      <c r="AS94" s="112" t="str">
        <f>IF(preDEL!$AG94,IFERROR(0/0,""),preDEL!AS94)</f>
        <v/>
      </c>
      <c r="AT94" s="112" t="b">
        <f>IF(preDEL!$AG94,IFERROR(0/0,""),preDEL!AT94)</f>
        <v>0</v>
      </c>
      <c r="AU94" s="112" t="str">
        <f>IF(preDEL!$AG94,IFERROR(0/0,""),preDEL!AU94)</f>
        <v/>
      </c>
      <c r="AV94" s="112" t="str">
        <f>IF(preDEL!$AG94,IFERROR(0/0,""),preDEL!AV94)</f>
        <v/>
      </c>
      <c r="AW94" s="112" t="str">
        <f>IF(preDEL!$AG94,IFERROR(0/0,""),preDEL!AW94)</f>
        <v/>
      </c>
      <c r="AX94" s="112" t="str">
        <f>IF(preDEL!$AG94,IFERROR(0/0,""),preDEL!AX94)</f>
        <v/>
      </c>
      <c r="AY94" s="112" t="str">
        <f>IF(preDEL!$AG94,IFERROR(0/0,""),preDEL!AY94)</f>
        <v/>
      </c>
      <c r="AZ94" s="174"/>
      <c r="BA94" s="174"/>
      <c r="BB94" s="174"/>
      <c r="BC94" s="174"/>
      <c r="BD94" s="174"/>
      <c r="BE94" s="174"/>
      <c r="BF94" s="174"/>
      <c r="BG94" s="174"/>
      <c r="BH94" s="174"/>
      <c r="BI94" s="174"/>
      <c r="BJ94" s="174"/>
      <c r="BK94" s="174"/>
      <c r="BL94" s="174"/>
      <c r="BM94" s="174"/>
      <c r="BN94" s="174"/>
      <c r="BO94" s="174"/>
      <c r="BP94" s="174"/>
      <c r="BQ94" s="174"/>
      <c r="BR94" s="174"/>
      <c r="BS94" s="174"/>
      <c r="BT94" s="174"/>
      <c r="BU94" s="174"/>
      <c r="BV94" s="174"/>
      <c r="BW94" s="174"/>
      <c r="BX94" s="174"/>
      <c r="BY94" s="174"/>
      <c r="BZ94" s="174"/>
      <c r="CA94" s="174"/>
      <c r="CB94" s="174"/>
      <c r="CC94" s="174"/>
      <c r="CD94" s="174"/>
    </row>
    <row r="95">
      <c r="A95" s="105" t="str">
        <f>IF(preDEL!$AG95,IFERROR(0/0,""),preDEL!A95)</f>
        <v>MA651</v>
      </c>
      <c r="B95" s="170">
        <f>IF(preDEL!$AG95,IFERROR(0/0,""),preDEL!B95)</f>
        <v>44565</v>
      </c>
      <c r="C95" s="171">
        <f>IF(preDEL!$AG95,IFERROR(0/0,""),preDEL!C95)</f>
        <v>0.716099537</v>
      </c>
      <c r="D95" s="105" t="str">
        <f>IF(preDEL!$AG95,IFERROR(0/0,""),preDEL!D95)</f>
        <v/>
      </c>
      <c r="E95" s="105" t="str">
        <f>IF(preDEL!$AG95,IFERROR(0/0,""),preDEL!E95)</f>
        <v/>
      </c>
      <c r="F95" s="112" t="str">
        <f>IF(preDEL!$AG95,IFERROR(0/0,""),preDEL!F95)</f>
        <v/>
      </c>
      <c r="G95" s="112" t="str">
        <f>IF(preDEL!$AG95,IFERROR(0/0,""),preDEL!G95)</f>
        <v/>
      </c>
      <c r="H95" s="112" t="str">
        <f>IF(preDEL!$AG95,IFERROR(0/0,""),preDEL!H95)</f>
        <v/>
      </c>
      <c r="I95" s="105" t="str">
        <f>IF(preDEL!$AG95,IFERROR(0/0,""),preDEL!I95)</f>
        <v/>
      </c>
      <c r="J95" s="105" t="str">
        <f>IF(preDEL!$AG95,IFERROR(0/0,""),preDEL!J95)</f>
        <v/>
      </c>
      <c r="K95" s="105" t="str">
        <f>IF(preDEL!$AG95,IFERROR(0/0,""),preDEL!K95)</f>
        <v>Negative</v>
      </c>
      <c r="L95" s="170">
        <f>IF(preDEL!$AG95,IFERROR(0/0,""),preDEL!L95)</f>
        <v>44566</v>
      </c>
      <c r="M95" s="171">
        <f>IF(preDEL!$AG95,IFERROR(0/0,""),preDEL!M95)</f>
        <v>0.4565625</v>
      </c>
      <c r="N95" s="112" t="str">
        <f>IF(preDEL!$AG95,IFERROR(0/0,""),preDEL!N95)</f>
        <v/>
      </c>
      <c r="O95" s="112" t="str">
        <f>IF(preDEL!$AG95,IFERROR(0/0,""),preDEL!O95)</f>
        <v/>
      </c>
      <c r="P95" s="110" t="b">
        <f>IF(preDEL!$AG95,IFERROR(0/0,""),preDEL!P95)</f>
        <v>0</v>
      </c>
      <c r="Q95" s="110" t="str">
        <f>IF(preDEL!$AG95,IFERROR(0/0,""),preDEL!Q95)</f>
        <v>Result</v>
      </c>
      <c r="R95" s="104" t="b">
        <f>IF(preDEL!$AG95,IFERROR(0/0,""),preDEL!R95)</f>
        <v>1</v>
      </c>
      <c r="S95" s="104">
        <f>IF(preDEL!$AG95,IFERROR(0/0,""),preDEL!S95)</f>
        <v>1</v>
      </c>
      <c r="T95" s="110" t="str">
        <f>IF(preDEL!$AG95,IFERROR(0/0,""),preDEL!T95)</f>
        <v/>
      </c>
      <c r="U95" s="112" t="str">
        <f>IF(preDEL!$AG95,IFERROR(0/0,""),preDEL!U95)</f>
        <v/>
      </c>
      <c r="V95" s="105" t="str">
        <f>IF(preDEL!$AG95,IFERROR(0/0,""),preDEL!V95)</f>
        <v/>
      </c>
      <c r="W95" s="112" t="str">
        <f>IF(preDEL!$AG95,IFERROR(0/0,""),preDEL!W95)</f>
        <v/>
      </c>
      <c r="X95" s="104" t="b">
        <f>IF(preDEL!$AG95,IFERROR(0/0,""),preDEL!X95)</f>
        <v>0</v>
      </c>
      <c r="Y95" s="110" t="b">
        <f>IF(preDEL!$AG95,IFERROR(0/0,""),preDEL!Y95)</f>
        <v>0</v>
      </c>
      <c r="Z95" s="105" t="str">
        <f>IF(preDEL!$AG95,IFERROR(0/0,""),preDEL!Z95)</f>
        <v/>
      </c>
      <c r="AA95" s="110" t="b">
        <f>IF(preDEL!$AG95,IFERROR(0/0,""),preDEL!AA95)</f>
        <v>0</v>
      </c>
      <c r="AB95" s="110" t="b">
        <f>IF(preDEL!$AG95,IFERROR(0/0,""),preDEL!AB95)</f>
        <v>0</v>
      </c>
      <c r="AC95" s="172">
        <f>IF(preDEL!$AG95,IFERROR(0/0,""),preDEL!AC95)</f>
        <v>694</v>
      </c>
      <c r="AD95" s="104" t="b">
        <f>IF(preDEL!$AG95,IFERROR(0/0,""),preDEL!AD95)</f>
        <v>0</v>
      </c>
      <c r="AE95" s="173" t="str">
        <f>IF(preDEL!$AG95,IFERROR(0/0,""),preDEL!AE95)</f>
        <v/>
      </c>
      <c r="AF95" s="110" t="b">
        <f>IF(preDEL!$AG95,IFERROR(0/0,""),preDEL!AF95)</f>
        <v>0</v>
      </c>
      <c r="AG95" s="110" t="b">
        <f>IF(preDEL!$AG95,IFERROR(0/0,""),preDEL!AG95)</f>
        <v>0</v>
      </c>
      <c r="AH95" s="104" t="str">
        <f>IF(preDEL!$AG95,IFERROR(0/0,""),preDEL!AH95)</f>
        <v/>
      </c>
      <c r="AI95" s="105" t="str">
        <f>IF(preDEL!$AG95,IFERROR(0/0,""),preDEL!AI95)</f>
        <v/>
      </c>
      <c r="AJ95" s="112" t="str">
        <f>IF(preDEL!$AG95,IFERROR(0/0,""),preDEL!AJ95)</f>
        <v/>
      </c>
      <c r="AK95" s="105" t="str">
        <f>IF(preDEL!$AG95,IFERROR(0/0,""),preDEL!AK95)</f>
        <v>Negative</v>
      </c>
      <c r="AL95" s="112" t="str">
        <f>IF(preDEL!$AG95,IFERROR(0/0,""),preDEL!AL95)</f>
        <v/>
      </c>
      <c r="AM95" s="112" t="str">
        <f>IF(preDEL!$AG95,IFERROR(0/0,""),preDEL!AM95)</f>
        <v>SpBEND481988</v>
      </c>
      <c r="AN95" s="112" t="str">
        <f>IF(preDEL!$AG95,IFERROR(0/0,""),preDEL!AN95)</f>
        <v>BEND223874</v>
      </c>
      <c r="AO95" s="112" t="str">
        <f>IF(preDEL!$AG95,IFERROR(0/0,""),preDEL!AO95)</f>
        <v/>
      </c>
      <c r="AP95" s="112" t="str">
        <f>IF(preDEL!$AG95,IFERROR(0/0,""),preDEL!AP95)</f>
        <v/>
      </c>
      <c r="AQ95" s="112" t="str">
        <f>IF(preDEL!$AG95,IFERROR(0/0,""),preDEL!AQ95)</f>
        <v/>
      </c>
      <c r="AR95" s="112" t="str">
        <f>IF(preDEL!$AG95,IFERROR(0/0,""),preDEL!AR95)</f>
        <v/>
      </c>
      <c r="AS95" s="112" t="str">
        <f>IF(preDEL!$AG95,IFERROR(0/0,""),preDEL!AS95)</f>
        <v/>
      </c>
      <c r="AT95" s="112" t="b">
        <f>IF(preDEL!$AG95,IFERROR(0/0,""),preDEL!AT95)</f>
        <v>0</v>
      </c>
      <c r="AU95" s="112" t="str">
        <f>IF(preDEL!$AG95,IFERROR(0/0,""),preDEL!AU95)</f>
        <v/>
      </c>
      <c r="AV95" s="112" t="str">
        <f>IF(preDEL!$AG95,IFERROR(0/0,""),preDEL!AV95)</f>
        <v/>
      </c>
      <c r="AW95" s="112" t="str">
        <f>IF(preDEL!$AG95,IFERROR(0/0,""),preDEL!AW95)</f>
        <v/>
      </c>
      <c r="AX95" s="112" t="str">
        <f>IF(preDEL!$AG95,IFERROR(0/0,""),preDEL!AX95)</f>
        <v/>
      </c>
      <c r="AY95" s="112" t="str">
        <f>IF(preDEL!$AG95,IFERROR(0/0,""),preDEL!AY95)</f>
        <v/>
      </c>
      <c r="AZ95" s="174"/>
      <c r="BA95" s="174"/>
      <c r="BB95" s="174"/>
      <c r="BC95" s="174"/>
      <c r="BD95" s="174"/>
      <c r="BE95" s="174"/>
      <c r="BF95" s="174"/>
      <c r="BG95" s="174"/>
      <c r="BH95" s="174"/>
      <c r="BI95" s="174"/>
      <c r="BJ95" s="174"/>
      <c r="BK95" s="174"/>
      <c r="BL95" s="174"/>
      <c r="BM95" s="174"/>
      <c r="BN95" s="174"/>
      <c r="BO95" s="174"/>
      <c r="BP95" s="174"/>
      <c r="BQ95" s="174"/>
      <c r="BR95" s="174"/>
      <c r="BS95" s="174"/>
      <c r="BT95" s="174"/>
      <c r="BU95" s="174"/>
      <c r="BV95" s="174"/>
      <c r="BW95" s="174"/>
      <c r="BX95" s="174"/>
      <c r="BY95" s="174"/>
      <c r="BZ95" s="174"/>
      <c r="CA95" s="174"/>
      <c r="CB95" s="174"/>
      <c r="CC95" s="174"/>
      <c r="CD95" s="174"/>
    </row>
    <row r="96">
      <c r="A96" s="105" t="str">
        <f>IF(preDEL!$AG96,IFERROR(0/0,""),preDEL!A96)</f>
        <v>MA366</v>
      </c>
      <c r="B96" s="170">
        <f>IF(preDEL!$AG96,IFERROR(0/0,""),preDEL!B96)</f>
        <v>44566</v>
      </c>
      <c r="C96" s="171">
        <f>IF(preDEL!$AG96,IFERROR(0/0,""),preDEL!C96)</f>
        <v>0.3058333333</v>
      </c>
      <c r="D96" s="105" t="str">
        <f>IF(preDEL!$AG96,IFERROR(0/0,""),preDEL!D96)</f>
        <v/>
      </c>
      <c r="E96" s="105" t="str">
        <f>IF(preDEL!$AG96,IFERROR(0/0,""),preDEL!E96)</f>
        <v/>
      </c>
      <c r="F96" s="112" t="str">
        <f>IF(preDEL!$AG96,IFERROR(0/0,""),preDEL!F96)</f>
        <v/>
      </c>
      <c r="G96" s="112" t="str">
        <f>IF(preDEL!$AG96,IFERROR(0/0,""),preDEL!G96)</f>
        <v/>
      </c>
      <c r="H96" s="112" t="str">
        <f>IF(preDEL!$AG96,IFERROR(0/0,""),preDEL!H96)</f>
        <v/>
      </c>
      <c r="I96" s="105" t="str">
        <f>IF(preDEL!$AG96,IFERROR(0/0,""),preDEL!I96)</f>
        <v/>
      </c>
      <c r="J96" s="105" t="str">
        <f>IF(preDEL!$AG96,IFERROR(0/0,""),preDEL!J96)</f>
        <v/>
      </c>
      <c r="K96" s="105" t="str">
        <f>IF(preDEL!$AG96,IFERROR(0/0,""),preDEL!K96)</f>
        <v>Negative</v>
      </c>
      <c r="L96" s="170">
        <f>IF(preDEL!$AG96,IFERROR(0/0,""),preDEL!L96)</f>
        <v>44566</v>
      </c>
      <c r="M96" s="171">
        <f>IF(preDEL!$AG96,IFERROR(0/0,""),preDEL!M96)</f>
        <v>0.4565625</v>
      </c>
      <c r="N96" s="112" t="str">
        <f>IF(preDEL!$AG96,IFERROR(0/0,""),preDEL!N96)</f>
        <v/>
      </c>
      <c r="O96" s="112" t="str">
        <f>IF(preDEL!$AG96,IFERROR(0/0,""),preDEL!O96)</f>
        <v/>
      </c>
      <c r="P96" s="110" t="b">
        <f>IF(preDEL!$AG96,IFERROR(0/0,""),preDEL!P96)</f>
        <v>0</v>
      </c>
      <c r="Q96" s="110" t="str">
        <f>IF(preDEL!$AG96,IFERROR(0/0,""),preDEL!Q96)</f>
        <v>Result</v>
      </c>
      <c r="R96" s="104" t="b">
        <f>IF(preDEL!$AG96,IFERROR(0/0,""),preDEL!R96)</f>
        <v>1</v>
      </c>
      <c r="S96" s="104">
        <f>IF(preDEL!$AG96,IFERROR(0/0,""),preDEL!S96)</f>
        <v>1</v>
      </c>
      <c r="T96" s="110" t="str">
        <f>IF(preDEL!$AG96,IFERROR(0/0,""),preDEL!T96)</f>
        <v/>
      </c>
      <c r="U96" s="112" t="str">
        <f>IF(preDEL!$AG96,IFERROR(0/0,""),preDEL!U96)</f>
        <v/>
      </c>
      <c r="V96" s="105" t="str">
        <f>IF(preDEL!$AG96,IFERROR(0/0,""),preDEL!V96)</f>
        <v/>
      </c>
      <c r="W96" s="112" t="str">
        <f>IF(preDEL!$AG96,IFERROR(0/0,""),preDEL!W96)</f>
        <v/>
      </c>
      <c r="X96" s="104" t="b">
        <f>IF(preDEL!$AG96,IFERROR(0/0,""),preDEL!X96)</f>
        <v>0</v>
      </c>
      <c r="Y96" s="110" t="b">
        <f>IF(preDEL!$AG96,IFERROR(0/0,""),preDEL!Y96)</f>
        <v>0</v>
      </c>
      <c r="Z96" s="105" t="str">
        <f>IF(preDEL!$AG96,IFERROR(0/0,""),preDEL!Z96)</f>
        <v/>
      </c>
      <c r="AA96" s="110" t="b">
        <f>IF(preDEL!$AG96,IFERROR(0/0,""),preDEL!AA96)</f>
        <v>0</v>
      </c>
      <c r="AB96" s="110" t="b">
        <f>IF(preDEL!$AG96,IFERROR(0/0,""),preDEL!AB96)</f>
        <v>0</v>
      </c>
      <c r="AC96" s="172">
        <f>IF(preDEL!$AG96,IFERROR(0/0,""),preDEL!AC96)</f>
        <v>693</v>
      </c>
      <c r="AD96" s="104" t="b">
        <f>IF(preDEL!$AG96,IFERROR(0/0,""),preDEL!AD96)</f>
        <v>0</v>
      </c>
      <c r="AE96" s="173">
        <f>IF(preDEL!$AG96,IFERROR(0/0,""),preDEL!AE96)</f>
        <v>217.05</v>
      </c>
      <c r="AF96" s="110" t="b">
        <f>IF(preDEL!$AG96,IFERROR(0/0,""),preDEL!AF96)</f>
        <v>0</v>
      </c>
      <c r="AG96" s="110" t="b">
        <f>IF(preDEL!$AG96,IFERROR(0/0,""),preDEL!AG96)</f>
        <v>0</v>
      </c>
      <c r="AH96" s="104" t="str">
        <f>IF(preDEL!$AG96,IFERROR(0/0,""),preDEL!AH96)</f>
        <v/>
      </c>
      <c r="AI96" s="105" t="str">
        <f>IF(preDEL!$AG96,IFERROR(0/0,""),preDEL!AI96)</f>
        <v/>
      </c>
      <c r="AJ96" s="112" t="str">
        <f>IF(preDEL!$AG96,IFERROR(0/0,""),preDEL!AJ96)</f>
        <v/>
      </c>
      <c r="AK96" s="105" t="str">
        <f>IF(preDEL!$AG96,IFERROR(0/0,""),preDEL!AK96)</f>
        <v>Negative</v>
      </c>
      <c r="AL96" s="112" t="str">
        <f>IF(preDEL!$AG96,IFERROR(0/0,""),preDEL!AL96)</f>
        <v/>
      </c>
      <c r="AM96" s="112" t="str">
        <f>IF(preDEL!$AG96,IFERROR(0/0,""),preDEL!AM96)</f>
        <v>SpBEND139816</v>
      </c>
      <c r="AN96" s="112" t="str">
        <f>IF(preDEL!$AG96,IFERROR(0/0,""),preDEL!AN96)</f>
        <v>BEND492855</v>
      </c>
      <c r="AO96" s="112" t="str">
        <f>IF(preDEL!$AG96,IFERROR(0/0,""),preDEL!AO96)</f>
        <v/>
      </c>
      <c r="AP96" s="112" t="str">
        <f>IF(preDEL!$AG96,IFERROR(0/0,""),preDEL!AP96)</f>
        <v/>
      </c>
      <c r="AQ96" s="112" t="str">
        <f>IF(preDEL!$AG96,IFERROR(0/0,""),preDEL!AQ96)</f>
        <v/>
      </c>
      <c r="AR96" s="112" t="str">
        <f>IF(preDEL!$AG96,IFERROR(0/0,""),preDEL!AR96)</f>
        <v/>
      </c>
      <c r="AS96" s="112" t="str">
        <f>IF(preDEL!$AG96,IFERROR(0/0,""),preDEL!AS96)</f>
        <v/>
      </c>
      <c r="AT96" s="112" t="b">
        <f>IF(preDEL!$AG96,IFERROR(0/0,""),preDEL!AT96)</f>
        <v>0</v>
      </c>
      <c r="AU96" s="112" t="str">
        <f>IF(preDEL!$AG96,IFERROR(0/0,""),preDEL!AU96)</f>
        <v/>
      </c>
      <c r="AV96" s="112" t="str">
        <f>IF(preDEL!$AG96,IFERROR(0/0,""),preDEL!AV96)</f>
        <v/>
      </c>
      <c r="AW96" s="112" t="str">
        <f>IF(preDEL!$AG96,IFERROR(0/0,""),preDEL!AW96)</f>
        <v/>
      </c>
      <c r="AX96" s="112" t="str">
        <f>IF(preDEL!$AG96,IFERROR(0/0,""),preDEL!AX96)</f>
        <v/>
      </c>
      <c r="AY96" s="112" t="str">
        <f>IF(preDEL!$AG96,IFERROR(0/0,""),preDEL!AY96)</f>
        <v/>
      </c>
      <c r="AZ96" s="174"/>
      <c r="BA96" s="174"/>
      <c r="BB96" s="174"/>
      <c r="BC96" s="174"/>
      <c r="BD96" s="174"/>
      <c r="BE96" s="174"/>
      <c r="BF96" s="174"/>
      <c r="BG96" s="174"/>
      <c r="BH96" s="174"/>
      <c r="BI96" s="174"/>
      <c r="BJ96" s="174"/>
      <c r="BK96" s="174"/>
      <c r="BL96" s="174"/>
      <c r="BM96" s="174"/>
      <c r="BN96" s="174"/>
      <c r="BO96" s="174"/>
      <c r="BP96" s="174"/>
      <c r="BQ96" s="174"/>
      <c r="BR96" s="174"/>
      <c r="BS96" s="174"/>
      <c r="BT96" s="174"/>
      <c r="BU96" s="174"/>
      <c r="BV96" s="174"/>
      <c r="BW96" s="174"/>
      <c r="BX96" s="174"/>
      <c r="BY96" s="174"/>
      <c r="BZ96" s="174"/>
      <c r="CA96" s="174"/>
      <c r="CB96" s="174"/>
      <c r="CC96" s="174"/>
      <c r="CD96" s="174"/>
    </row>
    <row r="97">
      <c r="A97" s="105" t="str">
        <f>IF(preDEL!$AG97,IFERROR(0/0,""),preDEL!A97)</f>
        <v>MA1173</v>
      </c>
      <c r="B97" s="170">
        <f>IF(preDEL!$AG97,IFERROR(0/0,""),preDEL!B97)</f>
        <v>44566</v>
      </c>
      <c r="C97" s="171">
        <f>IF(preDEL!$AG97,IFERROR(0/0,""),preDEL!C97)</f>
        <v>0.3086921296</v>
      </c>
      <c r="D97" s="105" t="str">
        <f>IF(preDEL!$AG97,IFERROR(0/0,""),preDEL!D97)</f>
        <v/>
      </c>
      <c r="E97" s="105" t="str">
        <f>IF(preDEL!$AG97,IFERROR(0/0,""),preDEL!E97)</f>
        <v/>
      </c>
      <c r="F97" s="112" t="str">
        <f>IF(preDEL!$AG97,IFERROR(0/0,""),preDEL!F97)</f>
        <v/>
      </c>
      <c r="G97" s="112" t="str">
        <f>IF(preDEL!$AG97,IFERROR(0/0,""),preDEL!G97)</f>
        <v/>
      </c>
      <c r="H97" s="112" t="str">
        <f>IF(preDEL!$AG97,IFERROR(0/0,""),preDEL!H97)</f>
        <v/>
      </c>
      <c r="I97" s="175" t="str">
        <f>IF(preDEL!$AG97,IFERROR(0/0,""),preDEL!I97)</f>
        <v/>
      </c>
      <c r="J97" s="105" t="str">
        <f>IF(preDEL!$AG97,IFERROR(0/0,""),preDEL!J97)</f>
        <v/>
      </c>
      <c r="K97" s="105" t="str">
        <f>IF(preDEL!$AG97,IFERROR(0/0,""),preDEL!K97)</f>
        <v>Negative</v>
      </c>
      <c r="L97" s="170">
        <f>IF(preDEL!$AG97,IFERROR(0/0,""),preDEL!L97)</f>
        <v>44566</v>
      </c>
      <c r="M97" s="171">
        <f>IF(preDEL!$AG97,IFERROR(0/0,""),preDEL!M97)</f>
        <v>0.4565625</v>
      </c>
      <c r="N97" s="112" t="str">
        <f>IF(preDEL!$AG97,IFERROR(0/0,""),preDEL!N97)</f>
        <v>Primary</v>
      </c>
      <c r="O97" s="112" t="str">
        <f>IF(preDEL!$AG97,IFERROR(0/0,""),preDEL!O97)</f>
        <v/>
      </c>
      <c r="P97" s="110" t="b">
        <f>IF(preDEL!$AG97,IFERROR(0/0,""),preDEL!P97)</f>
        <v>0</v>
      </c>
      <c r="Q97" s="110" t="str">
        <f>IF(preDEL!$AG97,IFERROR(0/0,""),preDEL!Q97)</f>
        <v>Result</v>
      </c>
      <c r="R97" s="104" t="b">
        <f>IF(preDEL!$AG97,IFERROR(0/0,""),preDEL!R97)</f>
        <v>1</v>
      </c>
      <c r="S97" s="104">
        <f>IF(preDEL!$AG97,IFERROR(0/0,""),preDEL!S97)</f>
        <v>1</v>
      </c>
      <c r="T97" s="110">
        <f>IF(preDEL!$AG97,IFERROR(0/0,""),preDEL!T97)</f>
        <v>0</v>
      </c>
      <c r="U97" s="112" t="str">
        <f>IF(preDEL!$AG97,IFERROR(0/0,""),preDEL!U97)</f>
        <v/>
      </c>
      <c r="V97" s="105" t="str">
        <f>IF(preDEL!$AG97,IFERROR(0/0,""),preDEL!V97)</f>
        <v/>
      </c>
      <c r="W97" s="112" t="str">
        <f>IF(preDEL!$AG97,IFERROR(0/0,""),preDEL!W97)</f>
        <v/>
      </c>
      <c r="X97" s="104" t="b">
        <f>IF(preDEL!$AG97,IFERROR(0/0,""),preDEL!X97)</f>
        <v>0</v>
      </c>
      <c r="Y97" s="110" t="b">
        <f>IF(preDEL!$AG97,IFERROR(0/0,""),preDEL!Y97)</f>
        <v>0</v>
      </c>
      <c r="Z97" s="105" t="str">
        <f>IF(preDEL!$AG97,IFERROR(0/0,""),preDEL!Z97)</f>
        <v/>
      </c>
      <c r="AA97" s="110" t="b">
        <f>IF(preDEL!$AG97,IFERROR(0/0,""),preDEL!AA97)</f>
        <v>0</v>
      </c>
      <c r="AB97" s="110" t="b">
        <f>IF(preDEL!$AG97,IFERROR(0/0,""),preDEL!AB97)</f>
        <v>0</v>
      </c>
      <c r="AC97" s="172">
        <f>IF(preDEL!$AG97,IFERROR(0/0,""),preDEL!AC97)</f>
        <v>794</v>
      </c>
      <c r="AD97" s="104" t="b">
        <f>IF(preDEL!$AG97,IFERROR(0/0,""),preDEL!AD97)</f>
        <v>1</v>
      </c>
      <c r="AE97" s="173">
        <f>IF(preDEL!$AG97,IFERROR(0/0,""),preDEL!AE97)</f>
        <v>212.9333333</v>
      </c>
      <c r="AF97" s="110" t="b">
        <f>IF(preDEL!$AG97,IFERROR(0/0,""),preDEL!AF97)</f>
        <v>0</v>
      </c>
      <c r="AG97" s="110" t="b">
        <f>IF(preDEL!$AG97,IFERROR(0/0,""),preDEL!AG97)</f>
        <v>0</v>
      </c>
      <c r="AH97" s="104" t="str">
        <f>IF(preDEL!$AG97,IFERROR(0/0,""),preDEL!AH97)</f>
        <v/>
      </c>
      <c r="AI97" s="105" t="str">
        <f>IF(preDEL!$AG97,IFERROR(0/0,""),preDEL!AI97)</f>
        <v/>
      </c>
      <c r="AJ97" s="112" t="str">
        <f>IF(preDEL!$AG97,IFERROR(0/0,""),preDEL!AJ97)</f>
        <v/>
      </c>
      <c r="AK97" s="105" t="str">
        <f>IF(preDEL!$AG97,IFERROR(0/0,""),preDEL!AK97)</f>
        <v>Negative</v>
      </c>
      <c r="AL97" s="112" t="str">
        <f>IF(preDEL!$AG97,IFERROR(0/0,""),preDEL!AL97)</f>
        <v/>
      </c>
      <c r="AM97" s="112" t="str">
        <f>IF(preDEL!$AG97,IFERROR(0/0,""),preDEL!AM97)</f>
        <v>SpBEND269695</v>
      </c>
      <c r="AN97" s="112" t="str">
        <f>IF(preDEL!$AG97,IFERROR(0/0,""),preDEL!AN97)</f>
        <v>BEND472796</v>
      </c>
      <c r="AO97" s="112" t="str">
        <f>IF(preDEL!$AG97,IFERROR(0/0,""),preDEL!AO97)</f>
        <v/>
      </c>
      <c r="AP97" s="112" t="str">
        <f>IF(preDEL!$AG97,IFERROR(0/0,""),preDEL!AP97)</f>
        <v/>
      </c>
      <c r="AQ97" s="112" t="str">
        <f>IF(preDEL!$AG97,IFERROR(0/0,""),preDEL!AQ97)</f>
        <v/>
      </c>
      <c r="AR97" s="112" t="str">
        <f>IF(preDEL!$AG97,IFERROR(0/0,""),preDEL!AR97)</f>
        <v/>
      </c>
      <c r="AS97" s="112" t="str">
        <f>IF(preDEL!$AG97,IFERROR(0/0,""),preDEL!AS97)</f>
        <v/>
      </c>
      <c r="AT97" s="112" t="b">
        <f>IF(preDEL!$AG97,IFERROR(0/0,""),preDEL!AT97)</f>
        <v>0</v>
      </c>
      <c r="AU97" s="112" t="str">
        <f>IF(preDEL!$AG97,IFERROR(0/0,""),preDEL!AU97)</f>
        <v/>
      </c>
      <c r="AV97" s="112" t="str">
        <f>IF(preDEL!$AG97,IFERROR(0/0,""),preDEL!AV97)</f>
        <v/>
      </c>
      <c r="AW97" s="112" t="str">
        <f>IF(preDEL!$AG97,IFERROR(0/0,""),preDEL!AW97)</f>
        <v/>
      </c>
      <c r="AX97" s="112" t="str">
        <f>IF(preDEL!$AG97,IFERROR(0/0,""),preDEL!AX97)</f>
        <v/>
      </c>
      <c r="AY97" s="112" t="str">
        <f>IF(preDEL!$AG97,IFERROR(0/0,""),preDEL!AY97)</f>
        <v/>
      </c>
      <c r="AZ97" s="174"/>
      <c r="BA97" s="174"/>
      <c r="BB97" s="174"/>
      <c r="BC97" s="174"/>
      <c r="BD97" s="174"/>
      <c r="BE97" s="174"/>
      <c r="BF97" s="174"/>
      <c r="BG97" s="174"/>
      <c r="BH97" s="174"/>
      <c r="BI97" s="174"/>
      <c r="BJ97" s="174"/>
      <c r="BK97" s="174"/>
      <c r="BL97" s="174"/>
      <c r="BM97" s="174"/>
      <c r="BN97" s="174"/>
      <c r="BO97" s="174"/>
      <c r="BP97" s="174"/>
      <c r="BQ97" s="174"/>
      <c r="BR97" s="174"/>
      <c r="BS97" s="174"/>
      <c r="BT97" s="174"/>
      <c r="BU97" s="174"/>
      <c r="BV97" s="174"/>
      <c r="BW97" s="174"/>
      <c r="BX97" s="174"/>
      <c r="BY97" s="174"/>
      <c r="BZ97" s="174"/>
      <c r="CA97" s="174"/>
      <c r="CB97" s="174"/>
      <c r="CC97" s="174"/>
      <c r="CD97" s="174"/>
    </row>
    <row r="98">
      <c r="A98" s="105" t="str">
        <f>IF(preDEL!$AG98,IFERROR(0/0,""),preDEL!A98)</f>
        <v>MA451</v>
      </c>
      <c r="B98" s="170">
        <f>IF(preDEL!$AG98,IFERROR(0/0,""),preDEL!B98)</f>
        <v>44566</v>
      </c>
      <c r="C98" s="171">
        <f>IF(preDEL!$AG98,IFERROR(0/0,""),preDEL!C98)</f>
        <v>0.3115277778</v>
      </c>
      <c r="D98" s="105" t="str">
        <f>IF(preDEL!$AG98,IFERROR(0/0,""),preDEL!D98)</f>
        <v/>
      </c>
      <c r="E98" s="105" t="str">
        <f>IF(preDEL!$AG98,IFERROR(0/0,""),preDEL!E98)</f>
        <v/>
      </c>
      <c r="F98" s="112" t="str">
        <f>IF(preDEL!$AG98,IFERROR(0/0,""),preDEL!F98)</f>
        <v/>
      </c>
      <c r="G98" s="112" t="str">
        <f>IF(preDEL!$AG98,IFERROR(0/0,""),preDEL!G98)</f>
        <v/>
      </c>
      <c r="H98" s="112" t="str">
        <f>IF(preDEL!$AG98,IFERROR(0/0,""),preDEL!H98)</f>
        <v/>
      </c>
      <c r="I98" s="105" t="str">
        <f>IF(preDEL!$AG98,IFERROR(0/0,""),preDEL!I98)</f>
        <v/>
      </c>
      <c r="J98" s="105" t="str">
        <f>IF(preDEL!$AG98,IFERROR(0/0,""),preDEL!J98)</f>
        <v/>
      </c>
      <c r="K98" s="105" t="str">
        <f>IF(preDEL!$AG98,IFERROR(0/0,""),preDEL!K98)</f>
        <v>Negative</v>
      </c>
      <c r="L98" s="170">
        <f>IF(preDEL!$AG98,IFERROR(0/0,""),preDEL!L98)</f>
        <v>44566</v>
      </c>
      <c r="M98" s="171">
        <f>IF(preDEL!$AG98,IFERROR(0/0,""),preDEL!M98)</f>
        <v>0.4565625</v>
      </c>
      <c r="N98" s="112" t="str">
        <f>IF(preDEL!$AG98,IFERROR(0/0,""),preDEL!N98)</f>
        <v/>
      </c>
      <c r="O98" s="112" t="str">
        <f>IF(preDEL!$AG98,IFERROR(0/0,""),preDEL!O98)</f>
        <v/>
      </c>
      <c r="P98" s="110" t="b">
        <f>IF(preDEL!$AG98,IFERROR(0/0,""),preDEL!P98)</f>
        <v>0</v>
      </c>
      <c r="Q98" s="110" t="str">
        <f>IF(preDEL!$AG98,IFERROR(0/0,""),preDEL!Q98)</f>
        <v>Result</v>
      </c>
      <c r="R98" s="104" t="b">
        <f>IF(preDEL!$AG98,IFERROR(0/0,""),preDEL!R98)</f>
        <v>1</v>
      </c>
      <c r="S98" s="104">
        <f>IF(preDEL!$AG98,IFERROR(0/0,""),preDEL!S98)</f>
        <v>1</v>
      </c>
      <c r="T98" s="110" t="str">
        <f>IF(preDEL!$AG98,IFERROR(0/0,""),preDEL!T98)</f>
        <v/>
      </c>
      <c r="U98" s="112" t="str">
        <f>IF(preDEL!$AG98,IFERROR(0/0,""),preDEL!U98)</f>
        <v/>
      </c>
      <c r="V98" s="105" t="str">
        <f>IF(preDEL!$AG98,IFERROR(0/0,""),preDEL!V98)</f>
        <v/>
      </c>
      <c r="W98" s="112" t="str">
        <f>IF(preDEL!$AG98,IFERROR(0/0,""),preDEL!W98)</f>
        <v/>
      </c>
      <c r="X98" s="104" t="b">
        <f>IF(preDEL!$AG98,IFERROR(0/0,""),preDEL!X98)</f>
        <v>0</v>
      </c>
      <c r="Y98" s="110" t="b">
        <f>IF(preDEL!$AG98,IFERROR(0/0,""),preDEL!Y98)</f>
        <v>0</v>
      </c>
      <c r="Z98" s="105" t="str">
        <f>IF(preDEL!$AG98,IFERROR(0/0,""),preDEL!Z98)</f>
        <v/>
      </c>
      <c r="AA98" s="110" t="b">
        <f>IF(preDEL!$AG98,IFERROR(0/0,""),preDEL!AA98)</f>
        <v>0</v>
      </c>
      <c r="AB98" s="110" t="b">
        <f>IF(preDEL!$AG98,IFERROR(0/0,""),preDEL!AB98)</f>
        <v>0</v>
      </c>
      <c r="AC98" s="172">
        <f>IF(preDEL!$AG98,IFERROR(0/0,""),preDEL!AC98)</f>
        <v>692</v>
      </c>
      <c r="AD98" s="104" t="b">
        <f>IF(preDEL!$AG98,IFERROR(0/0,""),preDEL!AD98)</f>
        <v>0</v>
      </c>
      <c r="AE98" s="173">
        <f>IF(preDEL!$AG98,IFERROR(0/0,""),preDEL!AE98)</f>
        <v>208.85</v>
      </c>
      <c r="AF98" s="110" t="b">
        <f>IF(preDEL!$AG98,IFERROR(0/0,""),preDEL!AF98)</f>
        <v>0</v>
      </c>
      <c r="AG98" s="110" t="b">
        <f>IF(preDEL!$AG98,IFERROR(0/0,""),preDEL!AG98)</f>
        <v>0</v>
      </c>
      <c r="AH98" s="104" t="str">
        <f>IF(preDEL!$AG98,IFERROR(0/0,""),preDEL!AH98)</f>
        <v/>
      </c>
      <c r="AI98" s="105" t="str">
        <f>IF(preDEL!$AG98,IFERROR(0/0,""),preDEL!AI98)</f>
        <v/>
      </c>
      <c r="AJ98" s="112" t="str">
        <f>IF(preDEL!$AG98,IFERROR(0/0,""),preDEL!AJ98)</f>
        <v/>
      </c>
      <c r="AK98" s="105" t="str">
        <f>IF(preDEL!$AG98,IFERROR(0/0,""),preDEL!AK98)</f>
        <v>Negative</v>
      </c>
      <c r="AL98" s="112" t="str">
        <f>IF(preDEL!$AG98,IFERROR(0/0,""),preDEL!AL98)</f>
        <v/>
      </c>
      <c r="AM98" s="112" t="str">
        <f>IF(preDEL!$AG98,IFERROR(0/0,""),preDEL!AM98)</f>
        <v>SpBEND136234</v>
      </c>
      <c r="AN98" s="112" t="str">
        <f>IF(preDEL!$AG98,IFERROR(0/0,""),preDEL!AN98)</f>
        <v>BEND350468</v>
      </c>
      <c r="AO98" s="112" t="str">
        <f>IF(preDEL!$AG98,IFERROR(0/0,""),preDEL!AO98)</f>
        <v/>
      </c>
      <c r="AP98" s="112" t="str">
        <f>IF(preDEL!$AG98,IFERROR(0/0,""),preDEL!AP98)</f>
        <v/>
      </c>
      <c r="AQ98" s="112" t="str">
        <f>IF(preDEL!$AG98,IFERROR(0/0,""),preDEL!AQ98)</f>
        <v/>
      </c>
      <c r="AR98" s="112" t="str">
        <f>IF(preDEL!$AG98,IFERROR(0/0,""),preDEL!AR98)</f>
        <v/>
      </c>
      <c r="AS98" s="112" t="str">
        <f>IF(preDEL!$AG98,IFERROR(0/0,""),preDEL!AS98)</f>
        <v/>
      </c>
      <c r="AT98" s="112" t="b">
        <f>IF(preDEL!$AG98,IFERROR(0/0,""),preDEL!AT98)</f>
        <v>0</v>
      </c>
      <c r="AU98" s="112" t="str">
        <f>IF(preDEL!$AG98,IFERROR(0/0,""),preDEL!AU98)</f>
        <v/>
      </c>
      <c r="AV98" s="112" t="str">
        <f>IF(preDEL!$AG98,IFERROR(0/0,""),preDEL!AV98)</f>
        <v/>
      </c>
      <c r="AW98" s="112" t="str">
        <f>IF(preDEL!$AG98,IFERROR(0/0,""),preDEL!AW98)</f>
        <v/>
      </c>
      <c r="AX98" s="112" t="str">
        <f>IF(preDEL!$AG98,IFERROR(0/0,""),preDEL!AX98)</f>
        <v/>
      </c>
      <c r="AY98" s="112" t="str">
        <f>IF(preDEL!$AG98,IFERROR(0/0,""),preDEL!AY98)</f>
        <v/>
      </c>
      <c r="AZ98" s="174"/>
      <c r="BA98" s="174"/>
      <c r="BB98" s="174"/>
      <c r="BC98" s="174"/>
      <c r="BD98" s="174"/>
      <c r="BE98" s="174"/>
      <c r="BF98" s="174"/>
      <c r="BG98" s="174"/>
      <c r="BH98" s="174"/>
      <c r="BI98" s="174"/>
      <c r="BJ98" s="174"/>
      <c r="BK98" s="174"/>
      <c r="BL98" s="174"/>
      <c r="BM98" s="174"/>
      <c r="BN98" s="174"/>
      <c r="BO98" s="174"/>
      <c r="BP98" s="174"/>
      <c r="BQ98" s="174"/>
      <c r="BR98" s="174"/>
      <c r="BS98" s="174"/>
      <c r="BT98" s="174"/>
      <c r="BU98" s="174"/>
      <c r="BV98" s="174"/>
      <c r="BW98" s="174"/>
      <c r="BX98" s="174"/>
      <c r="BY98" s="174"/>
      <c r="BZ98" s="174"/>
      <c r="CA98" s="174"/>
      <c r="CB98" s="174"/>
      <c r="CC98" s="174"/>
      <c r="CD98" s="174"/>
    </row>
    <row r="99">
      <c r="A99" s="105" t="str">
        <f>IF(preDEL!$AG99,IFERROR(0/0,""),preDEL!A99)</f>
        <v>MA356</v>
      </c>
      <c r="B99" s="170">
        <f>IF(preDEL!$AG99,IFERROR(0/0,""),preDEL!B99)</f>
        <v>44566</v>
      </c>
      <c r="C99" s="171">
        <f>IF(preDEL!$AG99,IFERROR(0/0,""),preDEL!C99)</f>
        <v>0.3210416667</v>
      </c>
      <c r="D99" s="105" t="str">
        <f>IF(preDEL!$AG99,IFERROR(0/0,""),preDEL!D99)</f>
        <v/>
      </c>
      <c r="E99" s="105" t="str">
        <f>IF(preDEL!$AG99,IFERROR(0/0,""),preDEL!E99)</f>
        <v/>
      </c>
      <c r="F99" s="112" t="str">
        <f>IF(preDEL!$AG99,IFERROR(0/0,""),preDEL!F99)</f>
        <v/>
      </c>
      <c r="G99" s="112" t="str">
        <f>IF(preDEL!$AG99,IFERROR(0/0,""),preDEL!G99)</f>
        <v/>
      </c>
      <c r="H99" s="112" t="str">
        <f>IF(preDEL!$AG99,IFERROR(0/0,""),preDEL!H99)</f>
        <v/>
      </c>
      <c r="I99" s="105" t="str">
        <f>IF(preDEL!$AG99,IFERROR(0/0,""),preDEL!I99)</f>
        <v/>
      </c>
      <c r="J99" s="105" t="str">
        <f>IF(preDEL!$AG99,IFERROR(0/0,""),preDEL!J99)</f>
        <v/>
      </c>
      <c r="K99" s="105" t="str">
        <f>IF(preDEL!$AG99,IFERROR(0/0,""),preDEL!K99)</f>
        <v>Negative</v>
      </c>
      <c r="L99" s="170">
        <f>IF(preDEL!$AG99,IFERROR(0/0,""),preDEL!L99)</f>
        <v>44566</v>
      </c>
      <c r="M99" s="171">
        <f>IF(preDEL!$AG99,IFERROR(0/0,""),preDEL!M99)</f>
        <v>0.4565625</v>
      </c>
      <c r="N99" s="112" t="str">
        <f>IF(preDEL!$AG99,IFERROR(0/0,""),preDEL!N99)</f>
        <v/>
      </c>
      <c r="O99" s="112" t="str">
        <f>IF(preDEL!$AG99,IFERROR(0/0,""),preDEL!O99)</f>
        <v/>
      </c>
      <c r="P99" s="110" t="b">
        <f>IF(preDEL!$AG99,IFERROR(0/0,""),preDEL!P99)</f>
        <v>0</v>
      </c>
      <c r="Q99" s="110" t="str">
        <f>IF(preDEL!$AG99,IFERROR(0/0,""),preDEL!Q99)</f>
        <v>Result</v>
      </c>
      <c r="R99" s="104" t="b">
        <f>IF(preDEL!$AG99,IFERROR(0/0,""),preDEL!R99)</f>
        <v>1</v>
      </c>
      <c r="S99" s="104">
        <f>IF(preDEL!$AG99,IFERROR(0/0,""),preDEL!S99)</f>
        <v>1</v>
      </c>
      <c r="T99" s="110">
        <f>IF(preDEL!$AG99,IFERROR(0/0,""),preDEL!T99)</f>
        <v>0</v>
      </c>
      <c r="U99" s="112" t="str">
        <f>IF(preDEL!$AG99,IFERROR(0/0,""),preDEL!U99)</f>
        <v/>
      </c>
      <c r="V99" s="105" t="str">
        <f>IF(preDEL!$AG99,IFERROR(0/0,""),preDEL!V99)</f>
        <v/>
      </c>
      <c r="W99" s="112" t="str">
        <f>IF(preDEL!$AG99,IFERROR(0/0,""),preDEL!W99)</f>
        <v/>
      </c>
      <c r="X99" s="104" t="b">
        <f>IF(preDEL!$AG99,IFERROR(0/0,""),preDEL!X99)</f>
        <v>0</v>
      </c>
      <c r="Y99" s="110" t="b">
        <f>IF(preDEL!$AG99,IFERROR(0/0,""),preDEL!Y99)</f>
        <v>0</v>
      </c>
      <c r="Z99" s="105" t="str">
        <f>IF(preDEL!$AG99,IFERROR(0/0,""),preDEL!Z99)</f>
        <v/>
      </c>
      <c r="AA99" s="110" t="b">
        <f>IF(preDEL!$AG99,IFERROR(0/0,""),preDEL!AA99)</f>
        <v>0</v>
      </c>
      <c r="AB99" s="110" t="b">
        <f>IF(preDEL!$AG99,IFERROR(0/0,""),preDEL!AB99)</f>
        <v>0</v>
      </c>
      <c r="AC99" s="172">
        <f>IF(preDEL!$AG99,IFERROR(0/0,""),preDEL!AC99)</f>
        <v>691</v>
      </c>
      <c r="AD99" s="104" t="b">
        <f>IF(preDEL!$AG99,IFERROR(0/0,""),preDEL!AD99)</f>
        <v>0</v>
      </c>
      <c r="AE99" s="173">
        <f>IF(preDEL!$AG99,IFERROR(0/0,""),preDEL!AE99)</f>
        <v>195.15</v>
      </c>
      <c r="AF99" s="110" t="b">
        <f>IF(preDEL!$AG99,IFERROR(0/0,""),preDEL!AF99)</f>
        <v>0</v>
      </c>
      <c r="AG99" s="110" t="b">
        <f>IF(preDEL!$AG99,IFERROR(0/0,""),preDEL!AG99)</f>
        <v>0</v>
      </c>
      <c r="AH99" s="104" t="str">
        <f>IF(preDEL!$AG99,IFERROR(0/0,""),preDEL!AH99)</f>
        <v/>
      </c>
      <c r="AI99" s="105" t="str">
        <f>IF(preDEL!$AG99,IFERROR(0/0,""),preDEL!AI99)</f>
        <v/>
      </c>
      <c r="AJ99" s="112" t="str">
        <f>IF(preDEL!$AG99,IFERROR(0/0,""),preDEL!AJ99)</f>
        <v/>
      </c>
      <c r="AK99" s="105" t="str">
        <f>IF(preDEL!$AG99,IFERROR(0/0,""),preDEL!AK99)</f>
        <v>Negative</v>
      </c>
      <c r="AL99" s="112" t="str">
        <f>IF(preDEL!$AG99,IFERROR(0/0,""),preDEL!AL99)</f>
        <v/>
      </c>
      <c r="AM99" s="112" t="str">
        <f>IF(preDEL!$AG99,IFERROR(0/0,""),preDEL!AM99)</f>
        <v>SpBEND445560</v>
      </c>
      <c r="AN99" s="112" t="str">
        <f>IF(preDEL!$AG99,IFERROR(0/0,""),preDEL!AN99)</f>
        <v>BEND747921</v>
      </c>
      <c r="AO99" s="112" t="str">
        <f>IF(preDEL!$AG99,IFERROR(0/0,""),preDEL!AO99)</f>
        <v/>
      </c>
      <c r="AP99" s="112" t="str">
        <f>IF(preDEL!$AG99,IFERROR(0/0,""),preDEL!AP99)</f>
        <v/>
      </c>
      <c r="AQ99" s="112" t="str">
        <f>IF(preDEL!$AG99,IFERROR(0/0,""),preDEL!AQ99)</f>
        <v/>
      </c>
      <c r="AR99" s="112" t="str">
        <f>IF(preDEL!$AG99,IFERROR(0/0,""),preDEL!AR99)</f>
        <v/>
      </c>
      <c r="AS99" s="112" t="str">
        <f>IF(preDEL!$AG99,IFERROR(0/0,""),preDEL!AS99)</f>
        <v/>
      </c>
      <c r="AT99" s="112" t="b">
        <f>IF(preDEL!$AG99,IFERROR(0/0,""),preDEL!AT99)</f>
        <v>0</v>
      </c>
      <c r="AU99" s="112" t="str">
        <f>IF(preDEL!$AG99,IFERROR(0/0,""),preDEL!AU99)</f>
        <v/>
      </c>
      <c r="AV99" s="112" t="str">
        <f>IF(preDEL!$AG99,IFERROR(0/0,""),preDEL!AV99)</f>
        <v/>
      </c>
      <c r="AW99" s="112" t="str">
        <f>IF(preDEL!$AG99,IFERROR(0/0,""),preDEL!AW99)</f>
        <v/>
      </c>
      <c r="AX99" s="112" t="str">
        <f>IF(preDEL!$AG99,IFERROR(0/0,""),preDEL!AX99)</f>
        <v/>
      </c>
      <c r="AY99" s="112" t="str">
        <f>IF(preDEL!$AG99,IFERROR(0/0,""),preDEL!AY99)</f>
        <v/>
      </c>
      <c r="AZ99" s="174"/>
      <c r="BA99" s="174"/>
      <c r="BB99" s="174"/>
      <c r="BC99" s="174"/>
      <c r="BD99" s="174"/>
      <c r="BE99" s="174"/>
      <c r="BF99" s="174"/>
      <c r="BG99" s="174"/>
      <c r="BH99" s="174"/>
      <c r="BI99" s="174"/>
      <c r="BJ99" s="174"/>
      <c r="BK99" s="174"/>
      <c r="BL99" s="174"/>
      <c r="BM99" s="174"/>
      <c r="BN99" s="174"/>
      <c r="BO99" s="174"/>
      <c r="BP99" s="174"/>
      <c r="BQ99" s="174"/>
      <c r="BR99" s="174"/>
      <c r="BS99" s="174"/>
      <c r="BT99" s="174"/>
      <c r="BU99" s="174"/>
      <c r="BV99" s="174"/>
      <c r="BW99" s="174"/>
      <c r="BX99" s="174"/>
      <c r="BY99" s="174"/>
      <c r="BZ99" s="174"/>
      <c r="CA99" s="174"/>
      <c r="CB99" s="174"/>
      <c r="CC99" s="174"/>
      <c r="CD99" s="174"/>
    </row>
    <row r="100">
      <c r="A100" s="105" t="str">
        <f>IF(preDEL!$AG100,IFERROR(0/0,""),preDEL!A100)</f>
        <v>MA263</v>
      </c>
      <c r="B100" s="170">
        <f>IF(preDEL!$AG100,IFERROR(0/0,""),preDEL!B100)</f>
        <v>44566</v>
      </c>
      <c r="C100" s="171">
        <f>IF(preDEL!$AG100,IFERROR(0/0,""),preDEL!C100)</f>
        <v>0.3297453704</v>
      </c>
      <c r="D100" s="105" t="str">
        <f>IF(preDEL!$AG100,IFERROR(0/0,""),preDEL!D100)</f>
        <v/>
      </c>
      <c r="E100" s="105" t="str">
        <f>IF(preDEL!$AG100,IFERROR(0/0,""),preDEL!E100)</f>
        <v/>
      </c>
      <c r="F100" s="112" t="str">
        <f>IF(preDEL!$AG100,IFERROR(0/0,""),preDEL!F100)</f>
        <v/>
      </c>
      <c r="G100" s="112" t="str">
        <f>IF(preDEL!$AG100,IFERROR(0/0,""),preDEL!G100)</f>
        <v/>
      </c>
      <c r="H100" s="112" t="str">
        <f>IF(preDEL!$AG100,IFERROR(0/0,""),preDEL!H100)</f>
        <v/>
      </c>
      <c r="I100" s="105" t="str">
        <f>IF(preDEL!$AG100,IFERROR(0/0,""),preDEL!I100)</f>
        <v/>
      </c>
      <c r="J100" s="105" t="str">
        <f>IF(preDEL!$AG100,IFERROR(0/0,""),preDEL!J100)</f>
        <v/>
      </c>
      <c r="K100" s="105" t="str">
        <f>IF(preDEL!$AG100,IFERROR(0/0,""),preDEL!K100)</f>
        <v>Positive</v>
      </c>
      <c r="L100" s="170">
        <f>IF(preDEL!$AG100,IFERROR(0/0,""),preDEL!L100)</f>
        <v>44568</v>
      </c>
      <c r="M100" s="171">
        <f>IF(preDEL!$AG100,IFERROR(0/0,""),preDEL!M100)</f>
        <v>0.508275463</v>
      </c>
      <c r="N100" s="112" t="str">
        <f>IF(preDEL!$AG100,IFERROR(0/0,""),preDEL!N100)</f>
        <v/>
      </c>
      <c r="O100" s="112" t="str">
        <f>IF(preDEL!$AG100,IFERROR(0/0,""),preDEL!O100)</f>
        <v/>
      </c>
      <c r="P100" s="110" t="b">
        <f>IF(preDEL!$AG100,IFERROR(0/0,""),preDEL!P100)</f>
        <v>0</v>
      </c>
      <c r="Q100" s="110" t="str">
        <f>IF(preDEL!$AG100,IFERROR(0/0,""),preDEL!Q100)</f>
        <v>Result</v>
      </c>
      <c r="R100" s="104" t="b">
        <f>IF(preDEL!$AG100,IFERROR(0/0,""),preDEL!R100)</f>
        <v>1</v>
      </c>
      <c r="S100" s="104">
        <f>IF(preDEL!$AG100,IFERROR(0/0,""),preDEL!S100)</f>
        <v>1</v>
      </c>
      <c r="T100" s="110" t="str">
        <f>IF(preDEL!$AG100,IFERROR(0/0,""),preDEL!T100)</f>
        <v/>
      </c>
      <c r="U100" s="112" t="str">
        <f>IF(preDEL!$AG100,IFERROR(0/0,""),preDEL!U100)</f>
        <v/>
      </c>
      <c r="V100" s="105" t="str">
        <f>IF(preDEL!$AG100,IFERROR(0/0,""),preDEL!V100)</f>
        <v/>
      </c>
      <c r="W100" s="112" t="str">
        <f>IF(preDEL!$AG100,IFERROR(0/0,""),preDEL!W100)</f>
        <v/>
      </c>
      <c r="X100" s="104" t="b">
        <f>IF(preDEL!$AG100,IFERROR(0/0,""),preDEL!X100)</f>
        <v>0</v>
      </c>
      <c r="Y100" s="110" t="b">
        <f>IF(preDEL!$AG100,IFERROR(0/0,""),preDEL!Y100)</f>
        <v>0</v>
      </c>
      <c r="Z100" s="105" t="str">
        <f>IF(preDEL!$AG100,IFERROR(0/0,""),preDEL!Z100)</f>
        <v/>
      </c>
      <c r="AA100" s="110" t="b">
        <f>IF(preDEL!$AG100,IFERROR(0/0,""),preDEL!AA100)</f>
        <v>0</v>
      </c>
      <c r="AB100" s="110" t="b">
        <f>IF(preDEL!$AG100,IFERROR(0/0,""),preDEL!AB100)</f>
        <v>0</v>
      </c>
      <c r="AC100" s="172">
        <f>IF(preDEL!$AG100,IFERROR(0/0,""),preDEL!AC100)</f>
        <v>690</v>
      </c>
      <c r="AD100" s="104" t="b">
        <f>IF(preDEL!$AG100,IFERROR(0/0,""),preDEL!AD100)</f>
        <v>0</v>
      </c>
      <c r="AE100" s="173" t="str">
        <f>IF(preDEL!$AG100,IFERROR(0/0,""),preDEL!AE100)</f>
        <v/>
      </c>
      <c r="AF100" s="110" t="b">
        <f>IF(preDEL!$AG100,IFERROR(0/0,""),preDEL!AF100)</f>
        <v>0</v>
      </c>
      <c r="AG100" s="110" t="b">
        <f>IF(preDEL!$AG100,IFERROR(0/0,""),preDEL!AG100)</f>
        <v>0</v>
      </c>
      <c r="AH100" s="104" t="str">
        <f>IF(preDEL!$AG100,IFERROR(0/0,""),preDEL!AH100)</f>
        <v/>
      </c>
      <c r="AI100" s="105" t="str">
        <f>IF(preDEL!$AG100,IFERROR(0/0,""),preDEL!AI100)</f>
        <v/>
      </c>
      <c r="AJ100" s="112" t="str">
        <f>IF(preDEL!$AG100,IFERROR(0/0,""),preDEL!AJ100)</f>
        <v/>
      </c>
      <c r="AK100" s="105" t="str">
        <f>IF(preDEL!$AG100,IFERROR(0/0,""),preDEL!AK100)</f>
        <v>Positive</v>
      </c>
      <c r="AL100" s="112" t="str">
        <f>IF(preDEL!$AG100,IFERROR(0/0,""),preDEL!AL100)</f>
        <v/>
      </c>
      <c r="AM100" s="112" t="str">
        <f>IF(preDEL!$AG100,IFERROR(0/0,""),preDEL!AM100)</f>
        <v>SpBEND944634</v>
      </c>
      <c r="AN100" s="112" t="str">
        <f>IF(preDEL!$AG100,IFERROR(0/0,""),preDEL!AN100)</f>
        <v>BEND626338</v>
      </c>
      <c r="AO100" s="112" t="str">
        <f>IF(preDEL!$AG100,IFERROR(0/0,""),preDEL!AO100)</f>
        <v/>
      </c>
      <c r="AP100" s="112" t="str">
        <f>IF(preDEL!$AG100,IFERROR(0/0,""),preDEL!AP100)</f>
        <v/>
      </c>
      <c r="AQ100" s="112" t="str">
        <f>IF(preDEL!$AG100,IFERROR(0/0,""),preDEL!AQ100)</f>
        <v/>
      </c>
      <c r="AR100" s="112" t="str">
        <f>IF(preDEL!$AG100,IFERROR(0/0,""),preDEL!AR100)</f>
        <v/>
      </c>
      <c r="AS100" s="112" t="str">
        <f>IF(preDEL!$AG100,IFERROR(0/0,""),preDEL!AS100)</f>
        <v/>
      </c>
      <c r="AT100" s="112" t="b">
        <f>IF(preDEL!$AG100,IFERROR(0/0,""),preDEL!AT100)</f>
        <v>0</v>
      </c>
      <c r="AU100" s="112" t="str">
        <f>IF(preDEL!$AG100,IFERROR(0/0,""),preDEL!AU100)</f>
        <v/>
      </c>
      <c r="AV100" s="112" t="str">
        <f>IF(preDEL!$AG100,IFERROR(0/0,""),preDEL!AV100)</f>
        <v/>
      </c>
      <c r="AW100" s="112" t="str">
        <f>IF(preDEL!$AG100,IFERROR(0/0,""),preDEL!AW100)</f>
        <v/>
      </c>
      <c r="AX100" s="112" t="str">
        <f>IF(preDEL!$AG100,IFERROR(0/0,""),preDEL!AX100)</f>
        <v/>
      </c>
      <c r="AY100" s="112" t="str">
        <f>IF(preDEL!$AG100,IFERROR(0/0,""),preDEL!AY100)</f>
        <v/>
      </c>
      <c r="AZ100" s="174"/>
      <c r="BA100" s="174"/>
      <c r="BB100" s="174"/>
      <c r="BC100" s="174"/>
      <c r="BD100" s="174"/>
      <c r="BE100" s="174"/>
      <c r="BF100" s="174"/>
      <c r="BG100" s="174"/>
      <c r="BH100" s="174"/>
      <c r="BI100" s="174"/>
      <c r="BJ100" s="174"/>
      <c r="BK100" s="174"/>
      <c r="BL100" s="174"/>
      <c r="BM100" s="174"/>
      <c r="BN100" s="174"/>
      <c r="BO100" s="174"/>
      <c r="BP100" s="174"/>
      <c r="BQ100" s="174"/>
      <c r="BR100" s="174"/>
      <c r="BS100" s="174"/>
      <c r="BT100" s="174"/>
      <c r="BU100" s="174"/>
      <c r="BV100" s="174"/>
      <c r="BW100" s="174"/>
      <c r="BX100" s="174"/>
      <c r="BY100" s="174"/>
      <c r="BZ100" s="174"/>
      <c r="CA100" s="174"/>
      <c r="CB100" s="174"/>
      <c r="CC100" s="174"/>
      <c r="CD100" s="174"/>
    </row>
    <row r="101">
      <c r="A101" s="105" t="str">
        <f>IF(preDEL!$AG101,IFERROR(0/0,""),preDEL!A101)</f>
        <v>MA218</v>
      </c>
      <c r="B101" s="170">
        <f>IF(preDEL!$AG101,IFERROR(0/0,""),preDEL!B101)</f>
        <v>44566</v>
      </c>
      <c r="C101" s="171">
        <f>IF(preDEL!$AG101,IFERROR(0/0,""),preDEL!C101)</f>
        <v>0.3307638889</v>
      </c>
      <c r="D101" s="105" t="str">
        <f>IF(preDEL!$AG101,IFERROR(0/0,""),preDEL!D101)</f>
        <v/>
      </c>
      <c r="E101" s="105" t="str">
        <f>IF(preDEL!$AG101,IFERROR(0/0,""),preDEL!E101)</f>
        <v/>
      </c>
      <c r="F101" s="112" t="str">
        <f>IF(preDEL!$AG101,IFERROR(0/0,""),preDEL!F101)</f>
        <v/>
      </c>
      <c r="G101" s="112" t="str">
        <f>IF(preDEL!$AG101,IFERROR(0/0,""),preDEL!G101)</f>
        <v/>
      </c>
      <c r="H101" s="112" t="str">
        <f>IF(preDEL!$AG101,IFERROR(0/0,""),preDEL!H101)</f>
        <v/>
      </c>
      <c r="I101" s="105" t="str">
        <f>IF(preDEL!$AG101,IFERROR(0/0,""),preDEL!I101)</f>
        <v/>
      </c>
      <c r="J101" s="105" t="str">
        <f>IF(preDEL!$AG101,IFERROR(0/0,""),preDEL!J101)</f>
        <v/>
      </c>
      <c r="K101" s="105" t="str">
        <f>IF(preDEL!$AG101,IFERROR(0/0,""),preDEL!K101)</f>
        <v>Positive</v>
      </c>
      <c r="L101" s="170">
        <f>IF(preDEL!$AG101,IFERROR(0/0,""),preDEL!L101)</f>
        <v>44568</v>
      </c>
      <c r="M101" s="171">
        <f>IF(preDEL!$AG101,IFERROR(0/0,""),preDEL!M101)</f>
        <v>0.508275463</v>
      </c>
      <c r="N101" s="112" t="str">
        <f>IF(preDEL!$AG101,IFERROR(0/0,""),preDEL!N101)</f>
        <v/>
      </c>
      <c r="O101" s="112" t="str">
        <f>IF(preDEL!$AG101,IFERROR(0/0,""),preDEL!O101)</f>
        <v/>
      </c>
      <c r="P101" s="110" t="b">
        <f>IF(preDEL!$AG101,IFERROR(0/0,""),preDEL!P101)</f>
        <v>0</v>
      </c>
      <c r="Q101" s="110" t="str">
        <f>IF(preDEL!$AG101,IFERROR(0/0,""),preDEL!Q101)</f>
        <v>Result</v>
      </c>
      <c r="R101" s="104" t="b">
        <f>IF(preDEL!$AG101,IFERROR(0/0,""),preDEL!R101)</f>
        <v>1</v>
      </c>
      <c r="S101" s="104">
        <f>IF(preDEL!$AG101,IFERROR(0/0,""),preDEL!S101)</f>
        <v>1</v>
      </c>
      <c r="T101" s="110" t="str">
        <f>IF(preDEL!$AG101,IFERROR(0/0,""),preDEL!T101)</f>
        <v/>
      </c>
      <c r="U101" s="112" t="str">
        <f>IF(preDEL!$AG101,IFERROR(0/0,""),preDEL!U101)</f>
        <v/>
      </c>
      <c r="V101" s="105" t="str">
        <f>IF(preDEL!$AG101,IFERROR(0/0,""),preDEL!V101)</f>
        <v/>
      </c>
      <c r="W101" s="112" t="str">
        <f>IF(preDEL!$AG101,IFERROR(0/0,""),preDEL!W101)</f>
        <v/>
      </c>
      <c r="X101" s="104" t="b">
        <f>IF(preDEL!$AG101,IFERROR(0/0,""),preDEL!X101)</f>
        <v>0</v>
      </c>
      <c r="Y101" s="110" t="b">
        <f>IF(preDEL!$AG101,IFERROR(0/0,""),preDEL!Y101)</f>
        <v>0</v>
      </c>
      <c r="Z101" s="105" t="str">
        <f>IF(preDEL!$AG101,IFERROR(0/0,""),preDEL!Z101)</f>
        <v/>
      </c>
      <c r="AA101" s="110" t="b">
        <f>IF(preDEL!$AG101,IFERROR(0/0,""),preDEL!AA101)</f>
        <v>0</v>
      </c>
      <c r="AB101" s="110" t="b">
        <f>IF(preDEL!$AG101,IFERROR(0/0,""),preDEL!AB101)</f>
        <v>0</v>
      </c>
      <c r="AC101" s="172">
        <f>IF(preDEL!$AG101,IFERROR(0/0,""),preDEL!AC101)</f>
        <v>689</v>
      </c>
      <c r="AD101" s="104" t="b">
        <f>IF(preDEL!$AG101,IFERROR(0/0,""),preDEL!AD101)</f>
        <v>0</v>
      </c>
      <c r="AE101" s="173" t="str">
        <f>IF(preDEL!$AG101,IFERROR(0/0,""),preDEL!AE101)</f>
        <v/>
      </c>
      <c r="AF101" s="110" t="b">
        <f>IF(preDEL!$AG101,IFERROR(0/0,""),preDEL!AF101)</f>
        <v>0</v>
      </c>
      <c r="AG101" s="110" t="b">
        <f>IF(preDEL!$AG101,IFERROR(0/0,""),preDEL!AG101)</f>
        <v>0</v>
      </c>
      <c r="AH101" s="104" t="str">
        <f>IF(preDEL!$AG101,IFERROR(0/0,""),preDEL!AH101)</f>
        <v/>
      </c>
      <c r="AI101" s="105" t="str">
        <f>IF(preDEL!$AG101,IFERROR(0/0,""),preDEL!AI101)</f>
        <v/>
      </c>
      <c r="AJ101" s="112" t="str">
        <f>IF(preDEL!$AG101,IFERROR(0/0,""),preDEL!AJ101)</f>
        <v/>
      </c>
      <c r="AK101" s="105" t="str">
        <f>IF(preDEL!$AG101,IFERROR(0/0,""),preDEL!AK101)</f>
        <v>Positive</v>
      </c>
      <c r="AL101" s="112" t="str">
        <f>IF(preDEL!$AG101,IFERROR(0/0,""),preDEL!AL101)</f>
        <v/>
      </c>
      <c r="AM101" s="112" t="str">
        <f>IF(preDEL!$AG101,IFERROR(0/0,""),preDEL!AM101)</f>
        <v>SpBEND387532</v>
      </c>
      <c r="AN101" s="112" t="str">
        <f>IF(preDEL!$AG101,IFERROR(0/0,""),preDEL!AN101)</f>
        <v>BEND796718</v>
      </c>
      <c r="AO101" s="112" t="str">
        <f>IF(preDEL!$AG101,IFERROR(0/0,""),preDEL!AO101)</f>
        <v/>
      </c>
      <c r="AP101" s="112" t="str">
        <f>IF(preDEL!$AG101,IFERROR(0/0,""),preDEL!AP101)</f>
        <v/>
      </c>
      <c r="AQ101" s="112" t="str">
        <f>IF(preDEL!$AG101,IFERROR(0/0,""),preDEL!AQ101)</f>
        <v/>
      </c>
      <c r="AR101" s="112" t="str">
        <f>IF(preDEL!$AG101,IFERROR(0/0,""),preDEL!AR101)</f>
        <v/>
      </c>
      <c r="AS101" s="112" t="str">
        <f>IF(preDEL!$AG101,IFERROR(0/0,""),preDEL!AS101)</f>
        <v/>
      </c>
      <c r="AT101" s="112" t="b">
        <f>IF(preDEL!$AG101,IFERROR(0/0,""),preDEL!AT101)</f>
        <v>0</v>
      </c>
      <c r="AU101" s="112" t="str">
        <f>IF(preDEL!$AG101,IFERROR(0/0,""),preDEL!AU101)</f>
        <v/>
      </c>
      <c r="AV101" s="112" t="str">
        <f>IF(preDEL!$AG101,IFERROR(0/0,""),preDEL!AV101)</f>
        <v/>
      </c>
      <c r="AW101" s="112" t="str">
        <f>IF(preDEL!$AG101,IFERROR(0/0,""),preDEL!AW101)</f>
        <v/>
      </c>
      <c r="AX101" s="112" t="str">
        <f>IF(preDEL!$AG101,IFERROR(0/0,""),preDEL!AX101)</f>
        <v/>
      </c>
      <c r="AY101" s="112" t="str">
        <f>IF(preDEL!$AG101,IFERROR(0/0,""),preDEL!AY101)</f>
        <v/>
      </c>
      <c r="AZ101" s="174"/>
      <c r="BA101" s="174"/>
      <c r="BB101" s="174"/>
      <c r="BC101" s="174"/>
      <c r="BD101" s="174"/>
      <c r="BE101" s="174"/>
      <c r="BF101" s="174"/>
      <c r="BG101" s="174"/>
      <c r="BH101" s="174"/>
      <c r="BI101" s="174"/>
      <c r="BJ101" s="174"/>
      <c r="BK101" s="174"/>
      <c r="BL101" s="174"/>
      <c r="BM101" s="174"/>
      <c r="BN101" s="174"/>
      <c r="BO101" s="174"/>
      <c r="BP101" s="174"/>
      <c r="BQ101" s="174"/>
      <c r="BR101" s="174"/>
      <c r="BS101" s="174"/>
      <c r="BT101" s="174"/>
      <c r="BU101" s="174"/>
      <c r="BV101" s="174"/>
      <c r="BW101" s="174"/>
      <c r="BX101" s="174"/>
      <c r="BY101" s="174"/>
      <c r="BZ101" s="174"/>
      <c r="CA101" s="174"/>
      <c r="CB101" s="174"/>
      <c r="CC101" s="174"/>
      <c r="CD101" s="174"/>
    </row>
    <row r="102">
      <c r="A102" s="105" t="str">
        <f>IF(preDEL!$AG102,IFERROR(0/0,""),preDEL!A102)</f>
        <v>MA654</v>
      </c>
      <c r="B102" s="170">
        <f>IF(preDEL!$AG102,IFERROR(0/0,""),preDEL!B102)</f>
        <v>44566</v>
      </c>
      <c r="C102" s="171">
        <f>IF(preDEL!$AG102,IFERROR(0/0,""),preDEL!C102)</f>
        <v>0.3373842593</v>
      </c>
      <c r="D102" s="105" t="str">
        <f>IF(preDEL!$AG102,IFERROR(0/0,""),preDEL!D102)</f>
        <v/>
      </c>
      <c r="E102" s="105" t="str">
        <f>IF(preDEL!$AG102,IFERROR(0/0,""),preDEL!E102)</f>
        <v/>
      </c>
      <c r="F102" s="112" t="str">
        <f>IF(preDEL!$AG102,IFERROR(0/0,""),preDEL!F102)</f>
        <v/>
      </c>
      <c r="G102" s="112" t="str">
        <f>IF(preDEL!$AG102,IFERROR(0/0,""),preDEL!G102)</f>
        <v/>
      </c>
      <c r="H102" s="112" t="str">
        <f>IF(preDEL!$AG102,IFERROR(0/0,""),preDEL!H102)</f>
        <v/>
      </c>
      <c r="I102" s="105" t="str">
        <f>IF(preDEL!$AG102,IFERROR(0/0,""),preDEL!I102)</f>
        <v/>
      </c>
      <c r="J102" s="105" t="str">
        <f>IF(preDEL!$AG102,IFERROR(0/0,""),preDEL!J102)</f>
        <v/>
      </c>
      <c r="K102" s="105" t="str">
        <f>IF(preDEL!$AG102,IFERROR(0/0,""),preDEL!K102)</f>
        <v>Negative</v>
      </c>
      <c r="L102" s="170">
        <f>IF(preDEL!$AG102,IFERROR(0/0,""),preDEL!L102)</f>
        <v>44566</v>
      </c>
      <c r="M102" s="171">
        <f>IF(preDEL!$AG102,IFERROR(0/0,""),preDEL!M102)</f>
        <v>0.4565625</v>
      </c>
      <c r="N102" s="112" t="str">
        <f>IF(preDEL!$AG102,IFERROR(0/0,""),preDEL!N102)</f>
        <v/>
      </c>
      <c r="O102" s="112" t="str">
        <f>IF(preDEL!$AG102,IFERROR(0/0,""),preDEL!O102)</f>
        <v/>
      </c>
      <c r="P102" s="110" t="b">
        <f>IF(preDEL!$AG102,IFERROR(0/0,""),preDEL!P102)</f>
        <v>0</v>
      </c>
      <c r="Q102" s="110" t="str">
        <f>IF(preDEL!$AG102,IFERROR(0/0,""),preDEL!Q102)</f>
        <v>Result</v>
      </c>
      <c r="R102" s="104" t="b">
        <f>IF(preDEL!$AG102,IFERROR(0/0,""),preDEL!R102)</f>
        <v>1</v>
      </c>
      <c r="S102" s="104">
        <f>IF(preDEL!$AG102,IFERROR(0/0,""),preDEL!S102)</f>
        <v>1</v>
      </c>
      <c r="T102" s="110" t="str">
        <f>IF(preDEL!$AG102,IFERROR(0/0,""),preDEL!T102)</f>
        <v/>
      </c>
      <c r="U102" s="112" t="str">
        <f>IF(preDEL!$AG102,IFERROR(0/0,""),preDEL!U102)</f>
        <v/>
      </c>
      <c r="V102" s="105" t="str">
        <f>IF(preDEL!$AG102,IFERROR(0/0,""),preDEL!V102)</f>
        <v/>
      </c>
      <c r="W102" s="112" t="str">
        <f>IF(preDEL!$AG102,IFERROR(0/0,""),preDEL!W102)</f>
        <v/>
      </c>
      <c r="X102" s="104" t="b">
        <f>IF(preDEL!$AG102,IFERROR(0/0,""),preDEL!X102)</f>
        <v>0</v>
      </c>
      <c r="Y102" s="110" t="b">
        <f>IF(preDEL!$AG102,IFERROR(0/0,""),preDEL!Y102)</f>
        <v>0</v>
      </c>
      <c r="Z102" s="105" t="str">
        <f>IF(preDEL!$AG102,IFERROR(0/0,""),preDEL!Z102)</f>
        <v/>
      </c>
      <c r="AA102" s="110" t="b">
        <f>IF(preDEL!$AG102,IFERROR(0/0,""),preDEL!AA102)</f>
        <v>0</v>
      </c>
      <c r="AB102" s="110" t="b">
        <f>IF(preDEL!$AG102,IFERROR(0/0,""),preDEL!AB102)</f>
        <v>0</v>
      </c>
      <c r="AC102" s="172">
        <f>IF(preDEL!$AG102,IFERROR(0/0,""),preDEL!AC102)</f>
        <v>688</v>
      </c>
      <c r="AD102" s="104" t="b">
        <f>IF(preDEL!$AG102,IFERROR(0/0,""),preDEL!AD102)</f>
        <v>0</v>
      </c>
      <c r="AE102" s="173">
        <f>IF(preDEL!$AG102,IFERROR(0/0,""),preDEL!AE102)</f>
        <v>171.6166667</v>
      </c>
      <c r="AF102" s="110" t="b">
        <f>IF(preDEL!$AG102,IFERROR(0/0,""),preDEL!AF102)</f>
        <v>0</v>
      </c>
      <c r="AG102" s="110" t="b">
        <f>IF(preDEL!$AG102,IFERROR(0/0,""),preDEL!AG102)</f>
        <v>0</v>
      </c>
      <c r="AH102" s="104" t="str">
        <f>IF(preDEL!$AG102,IFERROR(0/0,""),preDEL!AH102)</f>
        <v/>
      </c>
      <c r="AI102" s="105" t="str">
        <f>IF(preDEL!$AG102,IFERROR(0/0,""),preDEL!AI102)</f>
        <v/>
      </c>
      <c r="AJ102" s="112" t="str">
        <f>IF(preDEL!$AG102,IFERROR(0/0,""),preDEL!AJ102)</f>
        <v/>
      </c>
      <c r="AK102" s="105" t="str">
        <f>IF(preDEL!$AG102,IFERROR(0/0,""),preDEL!AK102)</f>
        <v>Negative</v>
      </c>
      <c r="AL102" s="112" t="str">
        <f>IF(preDEL!$AG102,IFERROR(0/0,""),preDEL!AL102)</f>
        <v/>
      </c>
      <c r="AM102" s="112" t="str">
        <f>IF(preDEL!$AG102,IFERROR(0/0,""),preDEL!AM102)</f>
        <v>SpBEND643855</v>
      </c>
      <c r="AN102" s="112" t="str">
        <f>IF(preDEL!$AG102,IFERROR(0/0,""),preDEL!AN102)</f>
        <v>BEND364074</v>
      </c>
      <c r="AO102" s="112" t="str">
        <f>IF(preDEL!$AG102,IFERROR(0/0,""),preDEL!AO102)</f>
        <v/>
      </c>
      <c r="AP102" s="112" t="str">
        <f>IF(preDEL!$AG102,IFERROR(0/0,""),preDEL!AP102)</f>
        <v/>
      </c>
      <c r="AQ102" s="112" t="str">
        <f>IF(preDEL!$AG102,IFERROR(0/0,""),preDEL!AQ102)</f>
        <v/>
      </c>
      <c r="AR102" s="112" t="str">
        <f>IF(preDEL!$AG102,IFERROR(0/0,""),preDEL!AR102)</f>
        <v/>
      </c>
      <c r="AS102" s="112" t="str">
        <f>IF(preDEL!$AG102,IFERROR(0/0,""),preDEL!AS102)</f>
        <v/>
      </c>
      <c r="AT102" s="112" t="b">
        <f>IF(preDEL!$AG102,IFERROR(0/0,""),preDEL!AT102)</f>
        <v>0</v>
      </c>
      <c r="AU102" s="112" t="str">
        <f>IF(preDEL!$AG102,IFERROR(0/0,""),preDEL!AU102)</f>
        <v/>
      </c>
      <c r="AV102" s="112" t="str">
        <f>IF(preDEL!$AG102,IFERROR(0/0,""),preDEL!AV102)</f>
        <v/>
      </c>
      <c r="AW102" s="112" t="str">
        <f>IF(preDEL!$AG102,IFERROR(0/0,""),preDEL!AW102)</f>
        <v/>
      </c>
      <c r="AX102" s="112" t="str">
        <f>IF(preDEL!$AG102,IFERROR(0/0,""),preDEL!AX102)</f>
        <v/>
      </c>
      <c r="AY102" s="112" t="str">
        <f>IF(preDEL!$AG102,IFERROR(0/0,""),preDEL!AY102)</f>
        <v/>
      </c>
      <c r="AZ102" s="174"/>
      <c r="BA102" s="174"/>
      <c r="BB102" s="174"/>
      <c r="BC102" s="174"/>
      <c r="BD102" s="174"/>
      <c r="BE102" s="174"/>
      <c r="BF102" s="174"/>
      <c r="BG102" s="174"/>
      <c r="BH102" s="174"/>
      <c r="BI102" s="174"/>
      <c r="BJ102" s="174"/>
      <c r="BK102" s="174"/>
      <c r="BL102" s="174"/>
      <c r="BM102" s="174"/>
      <c r="BN102" s="174"/>
      <c r="BO102" s="174"/>
      <c r="BP102" s="174"/>
      <c r="BQ102" s="174"/>
      <c r="BR102" s="174"/>
      <c r="BS102" s="174"/>
      <c r="BT102" s="174"/>
      <c r="BU102" s="174"/>
      <c r="BV102" s="174"/>
      <c r="BW102" s="174"/>
      <c r="BX102" s="174"/>
      <c r="BY102" s="174"/>
      <c r="BZ102" s="174"/>
      <c r="CA102" s="174"/>
      <c r="CB102" s="174"/>
      <c r="CC102" s="174"/>
      <c r="CD102" s="174"/>
    </row>
    <row r="103">
      <c r="A103" s="105" t="str">
        <f>IF(preDEL!$AG103,IFERROR(0/0,""),preDEL!A103)</f>
        <v>MA230</v>
      </c>
      <c r="B103" s="170">
        <f>IF(preDEL!$AG103,IFERROR(0/0,""),preDEL!B103)</f>
        <v>44566</v>
      </c>
      <c r="C103" s="171">
        <f>IF(preDEL!$AG103,IFERROR(0/0,""),preDEL!C103)</f>
        <v>0.3388888889</v>
      </c>
      <c r="D103" s="105" t="str">
        <f>IF(preDEL!$AG103,IFERROR(0/0,""),preDEL!D103)</f>
        <v/>
      </c>
      <c r="E103" s="105" t="str">
        <f>IF(preDEL!$AG103,IFERROR(0/0,""),preDEL!E103)</f>
        <v/>
      </c>
      <c r="F103" s="112" t="str">
        <f>IF(preDEL!$AG103,IFERROR(0/0,""),preDEL!F103)</f>
        <v/>
      </c>
      <c r="G103" s="112" t="str">
        <f>IF(preDEL!$AG103,IFERROR(0/0,""),preDEL!G103)</f>
        <v/>
      </c>
      <c r="H103" s="112" t="str">
        <f>IF(preDEL!$AG103,IFERROR(0/0,""),preDEL!H103)</f>
        <v/>
      </c>
      <c r="I103" s="105" t="str">
        <f>IF(preDEL!$AG103,IFERROR(0/0,""),preDEL!I103)</f>
        <v/>
      </c>
      <c r="J103" s="105" t="str">
        <f>IF(preDEL!$AG103,IFERROR(0/0,""),preDEL!J103)</f>
        <v/>
      </c>
      <c r="K103" s="105" t="str">
        <f>IF(preDEL!$AG103,IFERROR(0/0,""),preDEL!K103)</f>
        <v>Negative</v>
      </c>
      <c r="L103" s="170">
        <f>IF(preDEL!$AG103,IFERROR(0/0,""),preDEL!L103)</f>
        <v>44566</v>
      </c>
      <c r="M103" s="171">
        <f>IF(preDEL!$AG103,IFERROR(0/0,""),preDEL!M103)</f>
        <v>0.4565625</v>
      </c>
      <c r="N103" s="112" t="str">
        <f>IF(preDEL!$AG103,IFERROR(0/0,""),preDEL!N103)</f>
        <v/>
      </c>
      <c r="O103" s="112" t="str">
        <f>IF(preDEL!$AG103,IFERROR(0/0,""),preDEL!O103)</f>
        <v/>
      </c>
      <c r="P103" s="110" t="b">
        <f>IF(preDEL!$AG103,IFERROR(0/0,""),preDEL!P103)</f>
        <v>0</v>
      </c>
      <c r="Q103" s="110" t="str">
        <f>IF(preDEL!$AG103,IFERROR(0/0,""),preDEL!Q103)</f>
        <v>Result</v>
      </c>
      <c r="R103" s="104" t="b">
        <f>IF(preDEL!$AG103,IFERROR(0/0,""),preDEL!R103)</f>
        <v>1</v>
      </c>
      <c r="S103" s="104">
        <f>IF(preDEL!$AG103,IFERROR(0/0,""),preDEL!S103)</f>
        <v>1</v>
      </c>
      <c r="T103" s="110" t="str">
        <f>IF(preDEL!$AG103,IFERROR(0/0,""),preDEL!T103)</f>
        <v/>
      </c>
      <c r="U103" s="112" t="str">
        <f>IF(preDEL!$AG103,IFERROR(0/0,""),preDEL!U103)</f>
        <v/>
      </c>
      <c r="V103" s="105" t="str">
        <f>IF(preDEL!$AG103,IFERROR(0/0,""),preDEL!V103)</f>
        <v/>
      </c>
      <c r="W103" s="112" t="str">
        <f>IF(preDEL!$AG103,IFERROR(0/0,""),preDEL!W103)</f>
        <v/>
      </c>
      <c r="X103" s="104" t="b">
        <f>IF(preDEL!$AG103,IFERROR(0/0,""),preDEL!X103)</f>
        <v>0</v>
      </c>
      <c r="Y103" s="110" t="b">
        <f>IF(preDEL!$AG103,IFERROR(0/0,""),preDEL!Y103)</f>
        <v>0</v>
      </c>
      <c r="Z103" s="105" t="str">
        <f>IF(preDEL!$AG103,IFERROR(0/0,""),preDEL!Z103)</f>
        <v/>
      </c>
      <c r="AA103" s="110" t="b">
        <f>IF(preDEL!$AG103,IFERROR(0/0,""),preDEL!AA103)</f>
        <v>0</v>
      </c>
      <c r="AB103" s="110" t="b">
        <f>IF(preDEL!$AG103,IFERROR(0/0,""),preDEL!AB103)</f>
        <v>0</v>
      </c>
      <c r="AC103" s="172">
        <f>IF(preDEL!$AG103,IFERROR(0/0,""),preDEL!AC103)</f>
        <v>687</v>
      </c>
      <c r="AD103" s="104" t="b">
        <f>IF(preDEL!$AG103,IFERROR(0/0,""),preDEL!AD103)</f>
        <v>0</v>
      </c>
      <c r="AE103" s="173">
        <f>IF(preDEL!$AG103,IFERROR(0/0,""),preDEL!AE103)</f>
        <v>169.45</v>
      </c>
      <c r="AF103" s="110" t="b">
        <f>IF(preDEL!$AG103,IFERROR(0/0,""),preDEL!AF103)</f>
        <v>0</v>
      </c>
      <c r="AG103" s="110" t="b">
        <f>IF(preDEL!$AG103,IFERROR(0/0,""),preDEL!AG103)</f>
        <v>0</v>
      </c>
      <c r="AH103" s="104" t="str">
        <f>IF(preDEL!$AG103,IFERROR(0/0,""),preDEL!AH103)</f>
        <v/>
      </c>
      <c r="AI103" s="105" t="str">
        <f>IF(preDEL!$AG103,IFERROR(0/0,""),preDEL!AI103)</f>
        <v/>
      </c>
      <c r="AJ103" s="112" t="str">
        <f>IF(preDEL!$AG103,IFERROR(0/0,""),preDEL!AJ103)</f>
        <v/>
      </c>
      <c r="AK103" s="105" t="str">
        <f>IF(preDEL!$AG103,IFERROR(0/0,""),preDEL!AK103)</f>
        <v>Negative</v>
      </c>
      <c r="AL103" s="112" t="str">
        <f>IF(preDEL!$AG103,IFERROR(0/0,""),preDEL!AL103)</f>
        <v/>
      </c>
      <c r="AM103" s="112" t="str">
        <f>IF(preDEL!$AG103,IFERROR(0/0,""),preDEL!AM103)</f>
        <v>SpBEND454594</v>
      </c>
      <c r="AN103" s="112" t="str">
        <f>IF(preDEL!$AG103,IFERROR(0/0,""),preDEL!AN103)</f>
        <v>BEND584284</v>
      </c>
      <c r="AO103" s="112" t="str">
        <f>IF(preDEL!$AG103,IFERROR(0/0,""),preDEL!AO103)</f>
        <v/>
      </c>
      <c r="AP103" s="112" t="str">
        <f>IF(preDEL!$AG103,IFERROR(0/0,""),preDEL!AP103)</f>
        <v/>
      </c>
      <c r="AQ103" s="112" t="str">
        <f>IF(preDEL!$AG103,IFERROR(0/0,""),preDEL!AQ103)</f>
        <v/>
      </c>
      <c r="AR103" s="112" t="str">
        <f>IF(preDEL!$AG103,IFERROR(0/0,""),preDEL!AR103)</f>
        <v/>
      </c>
      <c r="AS103" s="112" t="str">
        <f>IF(preDEL!$AG103,IFERROR(0/0,""),preDEL!AS103)</f>
        <v/>
      </c>
      <c r="AT103" s="112" t="b">
        <f>IF(preDEL!$AG103,IFERROR(0/0,""),preDEL!AT103)</f>
        <v>0</v>
      </c>
      <c r="AU103" s="112" t="str">
        <f>IF(preDEL!$AG103,IFERROR(0/0,""),preDEL!AU103)</f>
        <v/>
      </c>
      <c r="AV103" s="112" t="str">
        <f>IF(preDEL!$AG103,IFERROR(0/0,""),preDEL!AV103)</f>
        <v/>
      </c>
      <c r="AW103" s="112" t="str">
        <f>IF(preDEL!$AG103,IFERROR(0/0,""),preDEL!AW103)</f>
        <v/>
      </c>
      <c r="AX103" s="112" t="str">
        <f>IF(preDEL!$AG103,IFERROR(0/0,""),preDEL!AX103)</f>
        <v/>
      </c>
      <c r="AY103" s="112" t="str">
        <f>IF(preDEL!$AG103,IFERROR(0/0,""),preDEL!AY103)</f>
        <v/>
      </c>
      <c r="AZ103" s="174"/>
      <c r="BA103" s="174"/>
      <c r="BB103" s="174"/>
      <c r="BC103" s="174"/>
      <c r="BD103" s="174"/>
      <c r="BE103" s="174"/>
      <c r="BF103" s="174"/>
      <c r="BG103" s="174"/>
      <c r="BH103" s="174"/>
      <c r="BI103" s="174"/>
      <c r="BJ103" s="174"/>
      <c r="BK103" s="174"/>
      <c r="BL103" s="174"/>
      <c r="BM103" s="174"/>
      <c r="BN103" s="174"/>
      <c r="BO103" s="174"/>
      <c r="BP103" s="174"/>
      <c r="BQ103" s="174"/>
      <c r="BR103" s="174"/>
      <c r="BS103" s="174"/>
      <c r="BT103" s="174"/>
      <c r="BU103" s="174"/>
      <c r="BV103" s="174"/>
      <c r="BW103" s="174"/>
      <c r="BX103" s="174"/>
      <c r="BY103" s="174"/>
      <c r="BZ103" s="174"/>
      <c r="CA103" s="174"/>
      <c r="CB103" s="174"/>
      <c r="CC103" s="174"/>
      <c r="CD103" s="174"/>
    </row>
    <row r="104">
      <c r="A104" s="105" t="str">
        <f>IF(preDEL!$AG104,IFERROR(0/0,""),preDEL!A104)</f>
        <v>MA636</v>
      </c>
      <c r="B104" s="170">
        <f>IF(preDEL!$AG104,IFERROR(0/0,""),preDEL!B104)</f>
        <v>44566</v>
      </c>
      <c r="C104" s="171">
        <f>IF(preDEL!$AG104,IFERROR(0/0,""),preDEL!C104)</f>
        <v>0.3511689815</v>
      </c>
      <c r="D104" s="105" t="str">
        <f>IF(preDEL!$AG104,IFERROR(0/0,""),preDEL!D104)</f>
        <v/>
      </c>
      <c r="E104" s="105" t="str">
        <f>IF(preDEL!$AG104,IFERROR(0/0,""),preDEL!E104)</f>
        <v/>
      </c>
      <c r="F104" s="112" t="str">
        <f>IF(preDEL!$AG104,IFERROR(0/0,""),preDEL!F104)</f>
        <v/>
      </c>
      <c r="G104" s="112" t="str">
        <f>IF(preDEL!$AG104,IFERROR(0/0,""),preDEL!G104)</f>
        <v/>
      </c>
      <c r="H104" s="112" t="str">
        <f>IF(preDEL!$AG104,IFERROR(0/0,""),preDEL!H104)</f>
        <v/>
      </c>
      <c r="I104" s="105" t="str">
        <f>IF(preDEL!$AG104,IFERROR(0/0,""),preDEL!I104)</f>
        <v/>
      </c>
      <c r="J104" s="105" t="str">
        <f>IF(preDEL!$AG104,IFERROR(0/0,""),preDEL!J104)</f>
        <v/>
      </c>
      <c r="K104" s="105" t="str">
        <f>IF(preDEL!$AG104,IFERROR(0/0,""),preDEL!K104)</f>
        <v>Negative</v>
      </c>
      <c r="L104" s="170">
        <f>IF(preDEL!$AG104,IFERROR(0/0,""),preDEL!L104)</f>
        <v>44566</v>
      </c>
      <c r="M104" s="171">
        <f>IF(preDEL!$AG104,IFERROR(0/0,""),preDEL!M104)</f>
        <v>0.4565625</v>
      </c>
      <c r="N104" s="112" t="str">
        <f>IF(preDEL!$AG104,IFERROR(0/0,""),preDEL!N104)</f>
        <v/>
      </c>
      <c r="O104" s="112" t="str">
        <f>IF(preDEL!$AG104,IFERROR(0/0,""),preDEL!O104)</f>
        <v/>
      </c>
      <c r="P104" s="110" t="b">
        <f>IF(preDEL!$AG104,IFERROR(0/0,""),preDEL!P104)</f>
        <v>0</v>
      </c>
      <c r="Q104" s="110" t="str">
        <f>IF(preDEL!$AG104,IFERROR(0/0,""),preDEL!Q104)</f>
        <v>Result</v>
      </c>
      <c r="R104" s="104" t="b">
        <f>IF(preDEL!$AG104,IFERROR(0/0,""),preDEL!R104)</f>
        <v>1</v>
      </c>
      <c r="S104" s="104">
        <f>IF(preDEL!$AG104,IFERROR(0/0,""),preDEL!S104)</f>
        <v>1</v>
      </c>
      <c r="T104" s="110" t="str">
        <f>IF(preDEL!$AG104,IFERROR(0/0,""),preDEL!T104)</f>
        <v/>
      </c>
      <c r="U104" s="112" t="str">
        <f>IF(preDEL!$AG104,IFERROR(0/0,""),preDEL!U104)</f>
        <v/>
      </c>
      <c r="V104" s="105" t="str">
        <f>IF(preDEL!$AG104,IFERROR(0/0,""),preDEL!V104)</f>
        <v/>
      </c>
      <c r="W104" s="112" t="str">
        <f>IF(preDEL!$AG104,IFERROR(0/0,""),preDEL!W104)</f>
        <v/>
      </c>
      <c r="X104" s="104" t="b">
        <f>IF(preDEL!$AG104,IFERROR(0/0,""),preDEL!X104)</f>
        <v>0</v>
      </c>
      <c r="Y104" s="110" t="b">
        <f>IF(preDEL!$AG104,IFERROR(0/0,""),preDEL!Y104)</f>
        <v>0</v>
      </c>
      <c r="Z104" s="105" t="str">
        <f>IF(preDEL!$AG104,IFERROR(0/0,""),preDEL!Z104)</f>
        <v/>
      </c>
      <c r="AA104" s="110" t="b">
        <f>IF(preDEL!$AG104,IFERROR(0/0,""),preDEL!AA104)</f>
        <v>0</v>
      </c>
      <c r="AB104" s="110" t="b">
        <f>IF(preDEL!$AG104,IFERROR(0/0,""),preDEL!AB104)</f>
        <v>0</v>
      </c>
      <c r="AC104" s="172">
        <f>IF(preDEL!$AG104,IFERROR(0/0,""),preDEL!AC104)</f>
        <v>686</v>
      </c>
      <c r="AD104" s="104" t="b">
        <f>IF(preDEL!$AG104,IFERROR(0/0,""),preDEL!AD104)</f>
        <v>0</v>
      </c>
      <c r="AE104" s="173">
        <f>IF(preDEL!$AG104,IFERROR(0/0,""),preDEL!AE104)</f>
        <v>151.7666667</v>
      </c>
      <c r="AF104" s="110" t="b">
        <f>IF(preDEL!$AG104,IFERROR(0/0,""),preDEL!AF104)</f>
        <v>0</v>
      </c>
      <c r="AG104" s="110" t="b">
        <f>IF(preDEL!$AG104,IFERROR(0/0,""),preDEL!AG104)</f>
        <v>0</v>
      </c>
      <c r="AH104" s="104" t="str">
        <f>IF(preDEL!$AG104,IFERROR(0/0,""),preDEL!AH104)</f>
        <v/>
      </c>
      <c r="AI104" s="105" t="str">
        <f>IF(preDEL!$AG104,IFERROR(0/0,""),preDEL!AI104)</f>
        <v/>
      </c>
      <c r="AJ104" s="112" t="str">
        <f>IF(preDEL!$AG104,IFERROR(0/0,""),preDEL!AJ104)</f>
        <v/>
      </c>
      <c r="AK104" s="105" t="str">
        <f>IF(preDEL!$AG104,IFERROR(0/0,""),preDEL!AK104)</f>
        <v>Negative</v>
      </c>
      <c r="AL104" s="112" t="str">
        <f>IF(preDEL!$AG104,IFERROR(0/0,""),preDEL!AL104)</f>
        <v/>
      </c>
      <c r="AM104" s="112" t="str">
        <f>IF(preDEL!$AG104,IFERROR(0/0,""),preDEL!AM104)</f>
        <v>SpBEND394154</v>
      </c>
      <c r="AN104" s="112" t="str">
        <f>IF(preDEL!$AG104,IFERROR(0/0,""),preDEL!AN104)</f>
        <v>BEND365993</v>
      </c>
      <c r="AO104" s="112" t="str">
        <f>IF(preDEL!$AG104,IFERROR(0/0,""),preDEL!AO104)</f>
        <v/>
      </c>
      <c r="AP104" s="112" t="str">
        <f>IF(preDEL!$AG104,IFERROR(0/0,""),preDEL!AP104)</f>
        <v/>
      </c>
      <c r="AQ104" s="112" t="str">
        <f>IF(preDEL!$AG104,IFERROR(0/0,""),preDEL!AQ104)</f>
        <v/>
      </c>
      <c r="AR104" s="112" t="str">
        <f>IF(preDEL!$AG104,IFERROR(0/0,""),preDEL!AR104)</f>
        <v/>
      </c>
      <c r="AS104" s="112" t="str">
        <f>IF(preDEL!$AG104,IFERROR(0/0,""),preDEL!AS104)</f>
        <v/>
      </c>
      <c r="AT104" s="112" t="b">
        <f>IF(preDEL!$AG104,IFERROR(0/0,""),preDEL!AT104)</f>
        <v>0</v>
      </c>
      <c r="AU104" s="112" t="str">
        <f>IF(preDEL!$AG104,IFERROR(0/0,""),preDEL!AU104)</f>
        <v/>
      </c>
      <c r="AV104" s="112" t="str">
        <f>IF(preDEL!$AG104,IFERROR(0/0,""),preDEL!AV104)</f>
        <v/>
      </c>
      <c r="AW104" s="112" t="str">
        <f>IF(preDEL!$AG104,IFERROR(0/0,""),preDEL!AW104)</f>
        <v/>
      </c>
      <c r="AX104" s="112" t="str">
        <f>IF(preDEL!$AG104,IFERROR(0/0,""),preDEL!AX104)</f>
        <v/>
      </c>
      <c r="AY104" s="112" t="str">
        <f>IF(preDEL!$AG104,IFERROR(0/0,""),preDEL!AY104)</f>
        <v/>
      </c>
      <c r="AZ104" s="174"/>
      <c r="BA104" s="174"/>
      <c r="BB104" s="174"/>
      <c r="BC104" s="174"/>
      <c r="BD104" s="174"/>
      <c r="BE104" s="174"/>
      <c r="BF104" s="174"/>
      <c r="BG104" s="174"/>
      <c r="BH104" s="174"/>
      <c r="BI104" s="174"/>
      <c r="BJ104" s="174"/>
      <c r="BK104" s="174"/>
      <c r="BL104" s="174"/>
      <c r="BM104" s="174"/>
      <c r="BN104" s="174"/>
      <c r="BO104" s="174"/>
      <c r="BP104" s="174"/>
      <c r="BQ104" s="174"/>
      <c r="BR104" s="174"/>
      <c r="BS104" s="174"/>
      <c r="BT104" s="174"/>
      <c r="BU104" s="174"/>
      <c r="BV104" s="174"/>
      <c r="BW104" s="174"/>
      <c r="BX104" s="174"/>
      <c r="BY104" s="174"/>
      <c r="BZ104" s="174"/>
      <c r="CA104" s="174"/>
      <c r="CB104" s="174"/>
      <c r="CC104" s="174"/>
      <c r="CD104" s="174"/>
    </row>
    <row r="105">
      <c r="A105" s="105" t="str">
        <f>IF(preDEL!$AG105,IFERROR(0/0,""),preDEL!A105)</f>
        <v>MAX65</v>
      </c>
      <c r="B105" s="170">
        <f>IF(preDEL!$AG105,IFERROR(0/0,""),preDEL!B105)</f>
        <v>44566</v>
      </c>
      <c r="C105" s="171">
        <f>IF(preDEL!$AG105,IFERROR(0/0,""),preDEL!C105)</f>
        <v>0.3789351852</v>
      </c>
      <c r="D105" s="105" t="str">
        <f>IF(preDEL!$AG105,IFERROR(0/0,""),preDEL!D105)</f>
        <v/>
      </c>
      <c r="E105" s="105" t="str">
        <f>IF(preDEL!$AG105,IFERROR(0/0,""),preDEL!E105)</f>
        <v/>
      </c>
      <c r="F105" s="112" t="str">
        <f>IF(preDEL!$AG105,IFERROR(0/0,""),preDEL!F105)</f>
        <v/>
      </c>
      <c r="G105" s="112" t="str">
        <f>IF(preDEL!$AG105,IFERROR(0/0,""),preDEL!G105)</f>
        <v/>
      </c>
      <c r="H105" s="112" t="str">
        <f>IF(preDEL!$AG105,IFERROR(0/0,""),preDEL!H105)</f>
        <v/>
      </c>
      <c r="I105" s="105" t="str">
        <f>IF(preDEL!$AG105,IFERROR(0/0,""),preDEL!I105)</f>
        <v/>
      </c>
      <c r="J105" s="105" t="str">
        <f>IF(preDEL!$AG105,IFERROR(0/0,""),preDEL!J105)</f>
        <v/>
      </c>
      <c r="K105" s="105" t="str">
        <f>IF(preDEL!$AG105,IFERROR(0/0,""),preDEL!K105)</f>
        <v>Negative</v>
      </c>
      <c r="L105" s="170">
        <f>IF(preDEL!$AG105,IFERROR(0/0,""),preDEL!L105)</f>
        <v>44566</v>
      </c>
      <c r="M105" s="171">
        <f>IF(preDEL!$AG105,IFERROR(0/0,""),preDEL!M105)</f>
        <v>0.4565625</v>
      </c>
      <c r="N105" s="112" t="str">
        <f>IF(preDEL!$AG105,IFERROR(0/0,""),preDEL!N105)</f>
        <v/>
      </c>
      <c r="O105" s="112" t="str">
        <f>IF(preDEL!$AG105,IFERROR(0/0,""),preDEL!O105)</f>
        <v/>
      </c>
      <c r="P105" s="110" t="b">
        <f>IF(preDEL!$AG105,IFERROR(0/0,""),preDEL!P105)</f>
        <v>0</v>
      </c>
      <c r="Q105" s="110" t="str">
        <f>IF(preDEL!$AG105,IFERROR(0/0,""),preDEL!Q105)</f>
        <v>Result</v>
      </c>
      <c r="R105" s="104" t="b">
        <f>IF(preDEL!$AG105,IFERROR(0/0,""),preDEL!R105)</f>
        <v>1</v>
      </c>
      <c r="S105" s="104">
        <f>IF(preDEL!$AG105,IFERROR(0/0,""),preDEL!S105)</f>
        <v>1</v>
      </c>
      <c r="T105" s="110" t="str">
        <f>IF(preDEL!$AG105,IFERROR(0/0,""),preDEL!T105)</f>
        <v/>
      </c>
      <c r="U105" s="112" t="str">
        <f>IF(preDEL!$AG105,IFERROR(0/0,""),preDEL!U105)</f>
        <v/>
      </c>
      <c r="V105" s="105" t="str">
        <f>IF(preDEL!$AG105,IFERROR(0/0,""),preDEL!V105)</f>
        <v/>
      </c>
      <c r="W105" s="112" t="str">
        <f>IF(preDEL!$AG105,IFERROR(0/0,""),preDEL!W105)</f>
        <v/>
      </c>
      <c r="X105" s="104" t="b">
        <f>IF(preDEL!$AG105,IFERROR(0/0,""),preDEL!X105)</f>
        <v>0</v>
      </c>
      <c r="Y105" s="110" t="b">
        <f>IF(preDEL!$AG105,IFERROR(0/0,""),preDEL!Y105)</f>
        <v>0</v>
      </c>
      <c r="Z105" s="105" t="str">
        <f>IF(preDEL!$AG105,IFERROR(0/0,""),preDEL!Z105)</f>
        <v/>
      </c>
      <c r="AA105" s="110" t="b">
        <f>IF(preDEL!$AG105,IFERROR(0/0,""),preDEL!AA105)</f>
        <v>0</v>
      </c>
      <c r="AB105" s="110" t="b">
        <f>IF(preDEL!$AG105,IFERROR(0/0,""),preDEL!AB105)</f>
        <v>0</v>
      </c>
      <c r="AC105" s="172">
        <f>IF(preDEL!$AG105,IFERROR(0/0,""),preDEL!AC105)</f>
        <v>685</v>
      </c>
      <c r="AD105" s="104" t="b">
        <f>IF(preDEL!$AG105,IFERROR(0/0,""),preDEL!AD105)</f>
        <v>0</v>
      </c>
      <c r="AE105" s="173">
        <f>IF(preDEL!$AG105,IFERROR(0/0,""),preDEL!AE105)</f>
        <v>111.7833333</v>
      </c>
      <c r="AF105" s="110" t="b">
        <f>IF(preDEL!$AG105,IFERROR(0/0,""),preDEL!AF105)</f>
        <v>0</v>
      </c>
      <c r="AG105" s="110" t="b">
        <f>IF(preDEL!$AG105,IFERROR(0/0,""),preDEL!AG105)</f>
        <v>0</v>
      </c>
      <c r="AH105" s="104" t="str">
        <f>IF(preDEL!$AG105,IFERROR(0/0,""),preDEL!AH105)</f>
        <v/>
      </c>
      <c r="AI105" s="105" t="str">
        <f>IF(preDEL!$AG105,IFERROR(0/0,""),preDEL!AI105)</f>
        <v/>
      </c>
      <c r="AJ105" s="112" t="str">
        <f>IF(preDEL!$AG105,IFERROR(0/0,""),preDEL!AJ105)</f>
        <v/>
      </c>
      <c r="AK105" s="105" t="str">
        <f>IF(preDEL!$AG105,IFERROR(0/0,""),preDEL!AK105)</f>
        <v>Negative</v>
      </c>
      <c r="AL105" s="112" t="str">
        <f>IF(preDEL!$AG105,IFERROR(0/0,""),preDEL!AL105)</f>
        <v/>
      </c>
      <c r="AM105" s="112" t="str">
        <f>IF(preDEL!$AG105,IFERROR(0/0,""),preDEL!AM105)</f>
        <v>SpBEND394154</v>
      </c>
      <c r="AN105" s="112" t="str">
        <f>IF(preDEL!$AG105,IFERROR(0/0,""),preDEL!AN105)</f>
        <v>BEND797605</v>
      </c>
      <c r="AO105" s="112" t="str">
        <f>IF(preDEL!$AG105,IFERROR(0/0,""),preDEL!AO105)</f>
        <v/>
      </c>
      <c r="AP105" s="112" t="str">
        <f>IF(preDEL!$AG105,IFERROR(0/0,""),preDEL!AP105)</f>
        <v/>
      </c>
      <c r="AQ105" s="112" t="str">
        <f>IF(preDEL!$AG105,IFERROR(0/0,""),preDEL!AQ105)</f>
        <v/>
      </c>
      <c r="AR105" s="112" t="str">
        <f>IF(preDEL!$AG105,IFERROR(0/0,""),preDEL!AR105)</f>
        <v/>
      </c>
      <c r="AS105" s="112" t="str">
        <f>IF(preDEL!$AG105,IFERROR(0/0,""),preDEL!AS105)</f>
        <v/>
      </c>
      <c r="AT105" s="112" t="b">
        <f>IF(preDEL!$AG105,IFERROR(0/0,""),preDEL!AT105)</f>
        <v>0</v>
      </c>
      <c r="AU105" s="112" t="str">
        <f>IF(preDEL!$AG105,IFERROR(0/0,""),preDEL!AU105)</f>
        <v/>
      </c>
      <c r="AV105" s="112" t="str">
        <f>IF(preDEL!$AG105,IFERROR(0/0,""),preDEL!AV105)</f>
        <v/>
      </c>
      <c r="AW105" s="112" t="str">
        <f>IF(preDEL!$AG105,IFERROR(0/0,""),preDEL!AW105)</f>
        <v/>
      </c>
      <c r="AX105" s="112" t="str">
        <f>IF(preDEL!$AG105,IFERROR(0/0,""),preDEL!AX105)</f>
        <v/>
      </c>
      <c r="AY105" s="112" t="str">
        <f>IF(preDEL!$AG105,IFERROR(0/0,""),preDEL!AY105)</f>
        <v/>
      </c>
      <c r="AZ105" s="174"/>
      <c r="BA105" s="174"/>
      <c r="BB105" s="174"/>
      <c r="BC105" s="174"/>
      <c r="BD105" s="174"/>
      <c r="BE105" s="174"/>
      <c r="BF105" s="174"/>
      <c r="BG105" s="174"/>
      <c r="BH105" s="174"/>
      <c r="BI105" s="174"/>
      <c r="BJ105" s="174"/>
      <c r="BK105" s="174"/>
      <c r="BL105" s="174"/>
      <c r="BM105" s="174"/>
      <c r="BN105" s="174"/>
      <c r="BO105" s="174"/>
      <c r="BP105" s="174"/>
      <c r="BQ105" s="174"/>
      <c r="BR105" s="174"/>
      <c r="BS105" s="174"/>
      <c r="BT105" s="174"/>
      <c r="BU105" s="174"/>
      <c r="BV105" s="174"/>
      <c r="BW105" s="174"/>
      <c r="BX105" s="174"/>
      <c r="BY105" s="174"/>
      <c r="BZ105" s="174"/>
      <c r="CA105" s="174"/>
      <c r="CB105" s="174"/>
      <c r="CC105" s="174"/>
      <c r="CD105" s="174"/>
    </row>
    <row r="106">
      <c r="A106" s="105" t="str">
        <f>IF(preDEL!$AG106,IFERROR(0/0,""),preDEL!A106)</f>
        <v>MA648</v>
      </c>
      <c r="B106" s="170">
        <f>IF(preDEL!$AG106,IFERROR(0/0,""),preDEL!B106)</f>
        <v>44566</v>
      </c>
      <c r="C106" s="171">
        <f>IF(preDEL!$AG106,IFERROR(0/0,""),preDEL!C106)</f>
        <v>0.3817824074</v>
      </c>
      <c r="D106" s="105" t="str">
        <f>IF(preDEL!$AG106,IFERROR(0/0,""),preDEL!D106)</f>
        <v/>
      </c>
      <c r="E106" s="105" t="str">
        <f>IF(preDEL!$AG106,IFERROR(0/0,""),preDEL!E106)</f>
        <v/>
      </c>
      <c r="F106" s="112" t="str">
        <f>IF(preDEL!$AG106,IFERROR(0/0,""),preDEL!F106)</f>
        <v/>
      </c>
      <c r="G106" s="112" t="str">
        <f>IF(preDEL!$AG106,IFERROR(0/0,""),preDEL!G106)</f>
        <v/>
      </c>
      <c r="H106" s="112" t="str">
        <f>IF(preDEL!$AG106,IFERROR(0/0,""),preDEL!H106)</f>
        <v/>
      </c>
      <c r="I106" s="105" t="str">
        <f>IF(preDEL!$AG106,IFERROR(0/0,""),preDEL!I106)</f>
        <v/>
      </c>
      <c r="J106" s="105" t="str">
        <f>IF(preDEL!$AG106,IFERROR(0/0,""),preDEL!J106)</f>
        <v/>
      </c>
      <c r="K106" s="105" t="str">
        <f>IF(preDEL!$AG106,IFERROR(0/0,""),preDEL!K106)</f>
        <v>Negative</v>
      </c>
      <c r="L106" s="170">
        <f>IF(preDEL!$AG106,IFERROR(0/0,""),preDEL!L106)</f>
        <v>44566</v>
      </c>
      <c r="M106" s="171">
        <f>IF(preDEL!$AG106,IFERROR(0/0,""),preDEL!M106)</f>
        <v>0.4565625</v>
      </c>
      <c r="N106" s="112" t="str">
        <f>IF(preDEL!$AG106,IFERROR(0/0,""),preDEL!N106)</f>
        <v/>
      </c>
      <c r="O106" s="112" t="str">
        <f>IF(preDEL!$AG106,IFERROR(0/0,""),preDEL!O106)</f>
        <v/>
      </c>
      <c r="P106" s="110" t="b">
        <f>IF(preDEL!$AG106,IFERROR(0/0,""),preDEL!P106)</f>
        <v>0</v>
      </c>
      <c r="Q106" s="110" t="str">
        <f>IF(preDEL!$AG106,IFERROR(0/0,""),preDEL!Q106)</f>
        <v>Result</v>
      </c>
      <c r="R106" s="104" t="b">
        <f>IF(preDEL!$AG106,IFERROR(0/0,""),preDEL!R106)</f>
        <v>1</v>
      </c>
      <c r="S106" s="104">
        <f>IF(preDEL!$AG106,IFERROR(0/0,""),preDEL!S106)</f>
        <v>1</v>
      </c>
      <c r="T106" s="110" t="str">
        <f>IF(preDEL!$AG106,IFERROR(0/0,""),preDEL!T106)</f>
        <v/>
      </c>
      <c r="U106" s="112" t="str">
        <f>IF(preDEL!$AG106,IFERROR(0/0,""),preDEL!U106)</f>
        <v/>
      </c>
      <c r="V106" s="105" t="str">
        <f>IF(preDEL!$AG106,IFERROR(0/0,""),preDEL!V106)</f>
        <v/>
      </c>
      <c r="W106" s="112" t="str">
        <f>IF(preDEL!$AG106,IFERROR(0/0,""),preDEL!W106)</f>
        <v/>
      </c>
      <c r="X106" s="104" t="b">
        <f>IF(preDEL!$AG106,IFERROR(0/0,""),preDEL!X106)</f>
        <v>0</v>
      </c>
      <c r="Y106" s="110" t="b">
        <f>IF(preDEL!$AG106,IFERROR(0/0,""),preDEL!Y106)</f>
        <v>0</v>
      </c>
      <c r="Z106" s="105" t="str">
        <f>IF(preDEL!$AG106,IFERROR(0/0,""),preDEL!Z106)</f>
        <v/>
      </c>
      <c r="AA106" s="110" t="b">
        <f>IF(preDEL!$AG106,IFERROR(0/0,""),preDEL!AA106)</f>
        <v>0</v>
      </c>
      <c r="AB106" s="110" t="b">
        <f>IF(preDEL!$AG106,IFERROR(0/0,""),preDEL!AB106)</f>
        <v>0</v>
      </c>
      <c r="AC106" s="172">
        <f>IF(preDEL!$AG106,IFERROR(0/0,""),preDEL!AC106)</f>
        <v>684</v>
      </c>
      <c r="AD106" s="104" t="b">
        <f>IF(preDEL!$AG106,IFERROR(0/0,""),preDEL!AD106)</f>
        <v>0</v>
      </c>
      <c r="AE106" s="173">
        <f>IF(preDEL!$AG106,IFERROR(0/0,""),preDEL!AE106)</f>
        <v>107.6833333</v>
      </c>
      <c r="AF106" s="110" t="b">
        <f>IF(preDEL!$AG106,IFERROR(0/0,""),preDEL!AF106)</f>
        <v>0</v>
      </c>
      <c r="AG106" s="110" t="b">
        <f>IF(preDEL!$AG106,IFERROR(0/0,""),preDEL!AG106)</f>
        <v>0</v>
      </c>
      <c r="AH106" s="104" t="str">
        <f>IF(preDEL!$AG106,IFERROR(0/0,""),preDEL!AH106)</f>
        <v/>
      </c>
      <c r="AI106" s="105" t="str">
        <f>IF(preDEL!$AG106,IFERROR(0/0,""),preDEL!AI106)</f>
        <v/>
      </c>
      <c r="AJ106" s="112" t="str">
        <f>IF(preDEL!$AG106,IFERROR(0/0,""),preDEL!AJ106)</f>
        <v/>
      </c>
      <c r="AK106" s="105" t="str">
        <f>IF(preDEL!$AG106,IFERROR(0/0,""),preDEL!AK106)</f>
        <v>Negative</v>
      </c>
      <c r="AL106" s="112" t="str">
        <f>IF(preDEL!$AG106,IFERROR(0/0,""),preDEL!AL106)</f>
        <v/>
      </c>
      <c r="AM106" s="112" t="str">
        <f>IF(preDEL!$AG106,IFERROR(0/0,""),preDEL!AM106)</f>
        <v>SpBEND394154</v>
      </c>
      <c r="AN106" s="112" t="str">
        <f>IF(preDEL!$AG106,IFERROR(0/0,""),preDEL!AN106)</f>
        <v>BEND949070</v>
      </c>
      <c r="AO106" s="112" t="str">
        <f>IF(preDEL!$AG106,IFERROR(0/0,""),preDEL!AO106)</f>
        <v/>
      </c>
      <c r="AP106" s="112" t="str">
        <f>IF(preDEL!$AG106,IFERROR(0/0,""),preDEL!AP106)</f>
        <v/>
      </c>
      <c r="AQ106" s="112" t="str">
        <f>IF(preDEL!$AG106,IFERROR(0/0,""),preDEL!AQ106)</f>
        <v/>
      </c>
      <c r="AR106" s="112" t="str">
        <f>IF(preDEL!$AG106,IFERROR(0/0,""),preDEL!AR106)</f>
        <v/>
      </c>
      <c r="AS106" s="112" t="str">
        <f>IF(preDEL!$AG106,IFERROR(0/0,""),preDEL!AS106)</f>
        <v/>
      </c>
      <c r="AT106" s="112" t="b">
        <f>IF(preDEL!$AG106,IFERROR(0/0,""),preDEL!AT106)</f>
        <v>0</v>
      </c>
      <c r="AU106" s="112" t="str">
        <f>IF(preDEL!$AG106,IFERROR(0/0,""),preDEL!AU106)</f>
        <v/>
      </c>
      <c r="AV106" s="112" t="str">
        <f>IF(preDEL!$AG106,IFERROR(0/0,""),preDEL!AV106)</f>
        <v/>
      </c>
      <c r="AW106" s="112" t="str">
        <f>IF(preDEL!$AG106,IFERROR(0/0,""),preDEL!AW106)</f>
        <v/>
      </c>
      <c r="AX106" s="112" t="str">
        <f>IF(preDEL!$AG106,IFERROR(0/0,""),preDEL!AX106)</f>
        <v/>
      </c>
      <c r="AY106" s="112" t="str">
        <f>IF(preDEL!$AG106,IFERROR(0/0,""),preDEL!AY106)</f>
        <v/>
      </c>
      <c r="AZ106" s="174"/>
      <c r="BA106" s="174"/>
      <c r="BB106" s="174"/>
      <c r="BC106" s="174"/>
      <c r="BD106" s="174"/>
      <c r="BE106" s="174"/>
      <c r="BF106" s="174"/>
      <c r="BG106" s="174"/>
      <c r="BH106" s="174"/>
      <c r="BI106" s="174"/>
      <c r="BJ106" s="174"/>
      <c r="BK106" s="174"/>
      <c r="BL106" s="174"/>
      <c r="BM106" s="174"/>
      <c r="BN106" s="174"/>
      <c r="BO106" s="174"/>
      <c r="BP106" s="174"/>
      <c r="BQ106" s="174"/>
      <c r="BR106" s="174"/>
      <c r="BS106" s="174"/>
      <c r="BT106" s="174"/>
      <c r="BU106" s="174"/>
      <c r="BV106" s="174"/>
      <c r="BW106" s="174"/>
      <c r="BX106" s="174"/>
      <c r="BY106" s="174"/>
      <c r="BZ106" s="174"/>
      <c r="CA106" s="174"/>
      <c r="CB106" s="174"/>
      <c r="CC106" s="174"/>
      <c r="CD106" s="174"/>
    </row>
    <row r="107">
      <c r="A107" s="105" t="str">
        <f>IF(preDEL!$AG107,IFERROR(0/0,""),preDEL!A107)</f>
        <v>MA643</v>
      </c>
      <c r="B107" s="170">
        <f>IF(preDEL!$AG107,IFERROR(0/0,""),preDEL!B107)</f>
        <v>44566</v>
      </c>
      <c r="C107" s="171">
        <f>IF(preDEL!$AG107,IFERROR(0/0,""),preDEL!C107)</f>
        <v>0.3824652778</v>
      </c>
      <c r="D107" s="105" t="str">
        <f>IF(preDEL!$AG107,IFERROR(0/0,""),preDEL!D107)</f>
        <v/>
      </c>
      <c r="E107" s="105" t="str">
        <f>IF(preDEL!$AG107,IFERROR(0/0,""),preDEL!E107)</f>
        <v/>
      </c>
      <c r="F107" s="112" t="str">
        <f>IF(preDEL!$AG107,IFERROR(0/0,""),preDEL!F107)</f>
        <v/>
      </c>
      <c r="G107" s="112" t="str">
        <f>IF(preDEL!$AG107,IFERROR(0/0,""),preDEL!G107)</f>
        <v/>
      </c>
      <c r="H107" s="112" t="str">
        <f>IF(preDEL!$AG107,IFERROR(0/0,""),preDEL!H107)</f>
        <v/>
      </c>
      <c r="I107" s="105" t="str">
        <f>IF(preDEL!$AG107,IFERROR(0/0,""),preDEL!I107)</f>
        <v/>
      </c>
      <c r="J107" s="105" t="str">
        <f>IF(preDEL!$AG107,IFERROR(0/0,""),preDEL!J107)</f>
        <v/>
      </c>
      <c r="K107" s="105" t="str">
        <f>IF(preDEL!$AG107,IFERROR(0/0,""),preDEL!K107)</f>
        <v>Negative</v>
      </c>
      <c r="L107" s="170">
        <f>IF(preDEL!$AG107,IFERROR(0/0,""),preDEL!L107)</f>
        <v>44566</v>
      </c>
      <c r="M107" s="171">
        <f>IF(preDEL!$AG107,IFERROR(0/0,""),preDEL!M107)</f>
        <v>0.4565625</v>
      </c>
      <c r="N107" s="112" t="str">
        <f>IF(preDEL!$AG107,IFERROR(0/0,""),preDEL!N107)</f>
        <v/>
      </c>
      <c r="O107" s="112" t="str">
        <f>IF(preDEL!$AG107,IFERROR(0/0,""),preDEL!O107)</f>
        <v/>
      </c>
      <c r="P107" s="110" t="b">
        <f>IF(preDEL!$AG107,IFERROR(0/0,""),preDEL!P107)</f>
        <v>0</v>
      </c>
      <c r="Q107" s="110" t="str">
        <f>IF(preDEL!$AG107,IFERROR(0/0,""),preDEL!Q107)</f>
        <v>Result</v>
      </c>
      <c r="R107" s="104" t="b">
        <f>IF(preDEL!$AG107,IFERROR(0/0,""),preDEL!R107)</f>
        <v>1</v>
      </c>
      <c r="S107" s="104">
        <f>IF(preDEL!$AG107,IFERROR(0/0,""),preDEL!S107)</f>
        <v>1</v>
      </c>
      <c r="T107" s="110">
        <f>IF(preDEL!$AG107,IFERROR(0/0,""),preDEL!T107)</f>
        <v>0</v>
      </c>
      <c r="U107" s="112" t="str">
        <f>IF(preDEL!$AG107,IFERROR(0/0,""),preDEL!U107)</f>
        <v/>
      </c>
      <c r="V107" s="105" t="str">
        <f>IF(preDEL!$AG107,IFERROR(0/0,""),preDEL!V107)</f>
        <v/>
      </c>
      <c r="W107" s="112" t="str">
        <f>IF(preDEL!$AG107,IFERROR(0/0,""),preDEL!W107)</f>
        <v/>
      </c>
      <c r="X107" s="104" t="b">
        <f>IF(preDEL!$AG107,IFERROR(0/0,""),preDEL!X107)</f>
        <v>0</v>
      </c>
      <c r="Y107" s="110" t="b">
        <f>IF(preDEL!$AG107,IFERROR(0/0,""),preDEL!Y107)</f>
        <v>0</v>
      </c>
      <c r="Z107" s="105" t="str">
        <f>IF(preDEL!$AG107,IFERROR(0/0,""),preDEL!Z107)</f>
        <v/>
      </c>
      <c r="AA107" s="110" t="b">
        <f>IF(preDEL!$AG107,IFERROR(0/0,""),preDEL!AA107)</f>
        <v>0</v>
      </c>
      <c r="AB107" s="110" t="b">
        <f>IF(preDEL!$AG107,IFERROR(0/0,""),preDEL!AB107)</f>
        <v>0</v>
      </c>
      <c r="AC107" s="172">
        <f>IF(preDEL!$AG107,IFERROR(0/0,""),preDEL!AC107)</f>
        <v>683</v>
      </c>
      <c r="AD107" s="104" t="b">
        <f>IF(preDEL!$AG107,IFERROR(0/0,""),preDEL!AD107)</f>
        <v>0</v>
      </c>
      <c r="AE107" s="173">
        <f>IF(preDEL!$AG107,IFERROR(0/0,""),preDEL!AE107)</f>
        <v>106.7</v>
      </c>
      <c r="AF107" s="110" t="b">
        <f>IF(preDEL!$AG107,IFERROR(0/0,""),preDEL!AF107)</f>
        <v>0</v>
      </c>
      <c r="AG107" s="110" t="b">
        <f>IF(preDEL!$AG107,IFERROR(0/0,""),preDEL!AG107)</f>
        <v>0</v>
      </c>
      <c r="AH107" s="104" t="str">
        <f>IF(preDEL!$AG107,IFERROR(0/0,""),preDEL!AH107)</f>
        <v/>
      </c>
      <c r="AI107" s="105">
        <f>IF(preDEL!$AG107,IFERROR(0/0,""),preDEL!AI107)</f>
        <v>9</v>
      </c>
      <c r="AJ107" s="112" t="str">
        <f>IF(preDEL!$AG107,IFERROR(0/0,""),preDEL!AJ107)</f>
        <v/>
      </c>
      <c r="AK107" s="105" t="str">
        <f>IF(preDEL!$AG107,IFERROR(0/0,""),preDEL!AK107)</f>
        <v>Negative</v>
      </c>
      <c r="AL107" s="112" t="str">
        <f>IF(preDEL!$AG107,IFERROR(0/0,""),preDEL!AL107)</f>
        <v/>
      </c>
      <c r="AM107" s="112" t="str">
        <f>IF(preDEL!$AG107,IFERROR(0/0,""),preDEL!AM107)</f>
        <v>SpBEND394154</v>
      </c>
      <c r="AN107" s="112" t="str">
        <f>IF(preDEL!$AG107,IFERROR(0/0,""),preDEL!AN107)</f>
        <v>BEND742097</v>
      </c>
      <c r="AO107" s="112" t="str">
        <f>IF(preDEL!$AG107,IFERROR(0/0,""),preDEL!AO107)</f>
        <v/>
      </c>
      <c r="AP107" s="112" t="str">
        <f>IF(preDEL!$AG107,IFERROR(0/0,""),preDEL!AP107)</f>
        <v/>
      </c>
      <c r="AQ107" s="112" t="str">
        <f>IF(preDEL!$AG107,IFERROR(0/0,""),preDEL!AQ107)</f>
        <v/>
      </c>
      <c r="AR107" s="112" t="str">
        <f>IF(preDEL!$AG107,IFERROR(0/0,""),preDEL!AR107)</f>
        <v/>
      </c>
      <c r="AS107" s="112" t="str">
        <f>IF(preDEL!$AG107,IFERROR(0/0,""),preDEL!AS107)</f>
        <v/>
      </c>
      <c r="AT107" s="112" t="b">
        <f>IF(preDEL!$AG107,IFERROR(0/0,""),preDEL!AT107)</f>
        <v>0</v>
      </c>
      <c r="AU107" s="112" t="str">
        <f>IF(preDEL!$AG107,IFERROR(0/0,""),preDEL!AU107)</f>
        <v/>
      </c>
      <c r="AV107" s="112" t="str">
        <f>IF(preDEL!$AG107,IFERROR(0/0,""),preDEL!AV107)</f>
        <v/>
      </c>
      <c r="AW107" s="112" t="str">
        <f>IF(preDEL!$AG107,IFERROR(0/0,""),preDEL!AW107)</f>
        <v/>
      </c>
      <c r="AX107" s="112" t="str">
        <f>IF(preDEL!$AG107,IFERROR(0/0,""),preDEL!AX107)</f>
        <v/>
      </c>
      <c r="AY107" s="112" t="str">
        <f>IF(preDEL!$AG107,IFERROR(0/0,""),preDEL!AY107)</f>
        <v/>
      </c>
      <c r="AZ107" s="174"/>
      <c r="BA107" s="174"/>
      <c r="BB107" s="174"/>
      <c r="BC107" s="174"/>
      <c r="BD107" s="174"/>
      <c r="BE107" s="174"/>
      <c r="BF107" s="174"/>
      <c r="BG107" s="174"/>
      <c r="BH107" s="174"/>
      <c r="BI107" s="174"/>
      <c r="BJ107" s="174"/>
      <c r="BK107" s="174"/>
      <c r="BL107" s="174"/>
      <c r="BM107" s="174"/>
      <c r="BN107" s="174"/>
      <c r="BO107" s="174"/>
      <c r="BP107" s="174"/>
      <c r="BQ107" s="174"/>
      <c r="BR107" s="174"/>
      <c r="BS107" s="174"/>
      <c r="BT107" s="174"/>
      <c r="BU107" s="174"/>
      <c r="BV107" s="174"/>
      <c r="BW107" s="174"/>
      <c r="BX107" s="174"/>
      <c r="BY107" s="174"/>
      <c r="BZ107" s="174"/>
      <c r="CA107" s="174"/>
      <c r="CB107" s="174"/>
      <c r="CC107" s="174"/>
      <c r="CD107" s="174"/>
    </row>
    <row r="108">
      <c r="A108" s="105" t="str">
        <f>IF(preDEL!$AG108,IFERROR(0/0,""),preDEL!A108)</f>
        <v>MA444</v>
      </c>
      <c r="B108" s="170">
        <f>IF(preDEL!$AG108,IFERROR(0/0,""),preDEL!B108)</f>
        <v>44566</v>
      </c>
      <c r="C108" s="171">
        <f>IF(preDEL!$AG108,IFERROR(0/0,""),preDEL!C108)</f>
        <v>0.4174305556</v>
      </c>
      <c r="D108" s="105" t="str">
        <f>IF(preDEL!$AG108,IFERROR(0/0,""),preDEL!D108)</f>
        <v/>
      </c>
      <c r="E108" s="105" t="str">
        <f>IF(preDEL!$AG108,IFERROR(0/0,""),preDEL!E108)</f>
        <v/>
      </c>
      <c r="F108" s="112" t="str">
        <f>IF(preDEL!$AG108,IFERROR(0/0,""),preDEL!F108)</f>
        <v/>
      </c>
      <c r="G108" s="112" t="str">
        <f>IF(preDEL!$AG108,IFERROR(0/0,""),preDEL!G108)</f>
        <v/>
      </c>
      <c r="H108" s="112" t="str">
        <f>IF(preDEL!$AG108,IFERROR(0/0,""),preDEL!H108)</f>
        <v/>
      </c>
      <c r="I108" s="175" t="str">
        <f>IF(preDEL!$AG108,IFERROR(0/0,""),preDEL!I108)</f>
        <v/>
      </c>
      <c r="J108" s="105" t="str">
        <f>IF(preDEL!$AG108,IFERROR(0/0,""),preDEL!J108)</f>
        <v/>
      </c>
      <c r="K108" s="105" t="str">
        <f>IF(preDEL!$AG108,IFERROR(0/0,""),preDEL!K108)</f>
        <v>Negative</v>
      </c>
      <c r="L108" s="170">
        <f>IF(preDEL!$AG108,IFERROR(0/0,""),preDEL!L108)</f>
        <v>44566</v>
      </c>
      <c r="M108" s="171">
        <f>IF(preDEL!$AG108,IFERROR(0/0,""),preDEL!M108)</f>
        <v>0.4565625</v>
      </c>
      <c r="N108" s="112" t="str">
        <f>IF(preDEL!$AG108,IFERROR(0/0,""),preDEL!N108)</f>
        <v>Primary</v>
      </c>
      <c r="O108" s="112" t="str">
        <f>IF(preDEL!$AG108,IFERROR(0/0,""),preDEL!O108)</f>
        <v/>
      </c>
      <c r="P108" s="110" t="b">
        <f>IF(preDEL!$AG108,IFERROR(0/0,""),preDEL!P108)</f>
        <v>0</v>
      </c>
      <c r="Q108" s="110" t="str">
        <f>IF(preDEL!$AG108,IFERROR(0/0,""),preDEL!Q108)</f>
        <v>Result</v>
      </c>
      <c r="R108" s="104" t="b">
        <f>IF(preDEL!$AG108,IFERROR(0/0,""),preDEL!R108)</f>
        <v>1</v>
      </c>
      <c r="S108" s="104">
        <f>IF(preDEL!$AG108,IFERROR(0/0,""),preDEL!S108)</f>
        <v>1</v>
      </c>
      <c r="T108" s="110">
        <f>IF(preDEL!$AG108,IFERROR(0/0,""),preDEL!T108)</f>
        <v>0</v>
      </c>
      <c r="U108" s="112" t="str">
        <f>IF(preDEL!$AG108,IFERROR(0/0,""),preDEL!U108)</f>
        <v/>
      </c>
      <c r="V108" s="105" t="str">
        <f>IF(preDEL!$AG108,IFERROR(0/0,""),preDEL!V108)</f>
        <v/>
      </c>
      <c r="W108" s="112" t="str">
        <f>IF(preDEL!$AG108,IFERROR(0/0,""),preDEL!W108)</f>
        <v/>
      </c>
      <c r="X108" s="104" t="b">
        <f>IF(preDEL!$AG108,IFERROR(0/0,""),preDEL!X108)</f>
        <v>0</v>
      </c>
      <c r="Y108" s="110" t="b">
        <f>IF(preDEL!$AG108,IFERROR(0/0,""),preDEL!Y108)</f>
        <v>0</v>
      </c>
      <c r="Z108" s="105" t="str">
        <f>IF(preDEL!$AG108,IFERROR(0/0,""),preDEL!Z108)</f>
        <v/>
      </c>
      <c r="AA108" s="110" t="b">
        <f>IF(preDEL!$AG108,IFERROR(0/0,""),preDEL!AA108)</f>
        <v>0</v>
      </c>
      <c r="AB108" s="110" t="b">
        <f>IF(preDEL!$AG108,IFERROR(0/0,""),preDEL!AB108)</f>
        <v>0</v>
      </c>
      <c r="AC108" s="172">
        <f>IF(preDEL!$AG108,IFERROR(0/0,""),preDEL!AC108)</f>
        <v>813</v>
      </c>
      <c r="AD108" s="104" t="b">
        <f>IF(preDEL!$AG108,IFERROR(0/0,""),preDEL!AD108)</f>
        <v>1</v>
      </c>
      <c r="AE108" s="173">
        <f>IF(preDEL!$AG108,IFERROR(0/0,""),preDEL!AE108)</f>
        <v>56.35</v>
      </c>
      <c r="AF108" s="110" t="b">
        <f>IF(preDEL!$AG108,IFERROR(0/0,""),preDEL!AF108)</f>
        <v>0</v>
      </c>
      <c r="AG108" s="110" t="b">
        <f>IF(preDEL!$AG108,IFERROR(0/0,""),preDEL!AG108)</f>
        <v>0</v>
      </c>
      <c r="AH108" s="104" t="str">
        <f>IF(preDEL!$AG108,IFERROR(0/0,""),preDEL!AH108)</f>
        <v/>
      </c>
      <c r="AI108" s="105" t="str">
        <f>IF(preDEL!$AG108,IFERROR(0/0,""),preDEL!AI108)</f>
        <v/>
      </c>
      <c r="AJ108" s="112" t="str">
        <f>IF(preDEL!$AG108,IFERROR(0/0,""),preDEL!AJ108)</f>
        <v/>
      </c>
      <c r="AK108" s="105" t="str">
        <f>IF(preDEL!$AG108,IFERROR(0/0,""),preDEL!AK108)</f>
        <v>Negative</v>
      </c>
      <c r="AL108" s="112" t="str">
        <f>IF(preDEL!$AG108,IFERROR(0/0,""),preDEL!AL108)</f>
        <v/>
      </c>
      <c r="AM108" s="112" t="str">
        <f>IF(preDEL!$AG108,IFERROR(0/0,""),preDEL!AM108)</f>
        <v>SpBEND110967</v>
      </c>
      <c r="AN108" s="112" t="str">
        <f>IF(preDEL!$AG108,IFERROR(0/0,""),preDEL!AN108)</f>
        <v>BEND732984</v>
      </c>
      <c r="AO108" s="112" t="str">
        <f>IF(preDEL!$AG108,IFERROR(0/0,""),preDEL!AO108)</f>
        <v/>
      </c>
      <c r="AP108" s="112" t="str">
        <f>IF(preDEL!$AG108,IFERROR(0/0,""),preDEL!AP108)</f>
        <v/>
      </c>
      <c r="AQ108" s="112" t="str">
        <f>IF(preDEL!$AG108,IFERROR(0/0,""),preDEL!AQ108)</f>
        <v/>
      </c>
      <c r="AR108" s="112" t="str">
        <f>IF(preDEL!$AG108,IFERROR(0/0,""),preDEL!AR108)</f>
        <v/>
      </c>
      <c r="AS108" s="112" t="str">
        <f>IF(preDEL!$AG108,IFERROR(0/0,""),preDEL!AS108)</f>
        <v/>
      </c>
      <c r="AT108" s="112" t="b">
        <f>IF(preDEL!$AG108,IFERROR(0/0,""),preDEL!AT108)</f>
        <v>0</v>
      </c>
      <c r="AU108" s="112" t="str">
        <f>IF(preDEL!$AG108,IFERROR(0/0,""),preDEL!AU108)</f>
        <v/>
      </c>
      <c r="AV108" s="112" t="str">
        <f>IF(preDEL!$AG108,IFERROR(0/0,""),preDEL!AV108)</f>
        <v/>
      </c>
      <c r="AW108" s="112" t="str">
        <f>IF(preDEL!$AG108,IFERROR(0/0,""),preDEL!AW108)</f>
        <v/>
      </c>
      <c r="AX108" s="112" t="str">
        <f>IF(preDEL!$AG108,IFERROR(0/0,""),preDEL!AX108)</f>
        <v/>
      </c>
      <c r="AY108" s="112" t="str">
        <f>IF(preDEL!$AG108,IFERROR(0/0,""),preDEL!AY108)</f>
        <v/>
      </c>
      <c r="AZ108" s="174"/>
      <c r="BA108" s="174"/>
      <c r="BB108" s="174"/>
      <c r="BC108" s="174"/>
      <c r="BD108" s="174"/>
      <c r="BE108" s="174"/>
      <c r="BF108" s="174"/>
      <c r="BG108" s="174"/>
      <c r="BH108" s="174"/>
      <c r="BI108" s="174"/>
      <c r="BJ108" s="174"/>
      <c r="BK108" s="174"/>
      <c r="BL108" s="174"/>
      <c r="BM108" s="174"/>
      <c r="BN108" s="174"/>
      <c r="BO108" s="174"/>
      <c r="BP108" s="174"/>
      <c r="BQ108" s="174"/>
      <c r="BR108" s="174"/>
      <c r="BS108" s="174"/>
      <c r="BT108" s="174"/>
      <c r="BU108" s="174"/>
      <c r="BV108" s="174"/>
      <c r="BW108" s="174"/>
      <c r="BX108" s="174"/>
      <c r="BY108" s="174"/>
      <c r="BZ108" s="174"/>
      <c r="CA108" s="174"/>
      <c r="CB108" s="174"/>
      <c r="CC108" s="174"/>
      <c r="CD108" s="174"/>
    </row>
    <row r="109">
      <c r="A109" s="105" t="str">
        <f>IF(preDEL!$AG109,IFERROR(0/0,""),preDEL!A109)</f>
        <v>MA453</v>
      </c>
      <c r="B109" s="170">
        <f>IF(preDEL!$AG109,IFERROR(0/0,""),preDEL!B109)</f>
        <v>44566</v>
      </c>
      <c r="C109" s="171">
        <f>IF(preDEL!$AG109,IFERROR(0/0,""),preDEL!C109)</f>
        <v>0.4181828704</v>
      </c>
      <c r="D109" s="105" t="str">
        <f>IF(preDEL!$AG109,IFERROR(0/0,""),preDEL!D109)</f>
        <v/>
      </c>
      <c r="E109" s="105" t="str">
        <f>IF(preDEL!$AG109,IFERROR(0/0,""),preDEL!E109)</f>
        <v/>
      </c>
      <c r="F109" s="112" t="str">
        <f>IF(preDEL!$AG109,IFERROR(0/0,""),preDEL!F109)</f>
        <v/>
      </c>
      <c r="G109" s="112" t="str">
        <f>IF(preDEL!$AG109,IFERROR(0/0,""),preDEL!G109)</f>
        <v/>
      </c>
      <c r="H109" s="112" t="str">
        <f>IF(preDEL!$AG109,IFERROR(0/0,""),preDEL!H109)</f>
        <v/>
      </c>
      <c r="I109" s="175" t="str">
        <f>IF(preDEL!$AG109,IFERROR(0/0,""),preDEL!I109)</f>
        <v/>
      </c>
      <c r="J109" s="105" t="str">
        <f>IF(preDEL!$AG109,IFERROR(0/0,""),preDEL!J109)</f>
        <v/>
      </c>
      <c r="K109" s="105" t="str">
        <f>IF(preDEL!$AG109,IFERROR(0/0,""),preDEL!K109)</f>
        <v>Negative</v>
      </c>
      <c r="L109" s="170">
        <f>IF(preDEL!$AG109,IFERROR(0/0,""),preDEL!L109)</f>
        <v>44566</v>
      </c>
      <c r="M109" s="171">
        <f>IF(preDEL!$AG109,IFERROR(0/0,""),preDEL!M109)</f>
        <v>0.4565625</v>
      </c>
      <c r="N109" s="112" t="str">
        <f>IF(preDEL!$AG109,IFERROR(0/0,""),preDEL!N109)</f>
        <v>Primary</v>
      </c>
      <c r="O109" s="112" t="str">
        <f>IF(preDEL!$AG109,IFERROR(0/0,""),preDEL!O109)</f>
        <v/>
      </c>
      <c r="P109" s="110" t="b">
        <f>IF(preDEL!$AG109,IFERROR(0/0,""),preDEL!P109)</f>
        <v>0</v>
      </c>
      <c r="Q109" s="110" t="str">
        <f>IF(preDEL!$AG109,IFERROR(0/0,""),preDEL!Q109)</f>
        <v>Result</v>
      </c>
      <c r="R109" s="104" t="b">
        <f>IF(preDEL!$AG109,IFERROR(0/0,""),preDEL!R109)</f>
        <v>1</v>
      </c>
      <c r="S109" s="104">
        <f>IF(preDEL!$AG109,IFERROR(0/0,""),preDEL!S109)</f>
        <v>1</v>
      </c>
      <c r="T109" s="110">
        <f>IF(preDEL!$AG109,IFERROR(0/0,""),preDEL!T109)</f>
        <v>0</v>
      </c>
      <c r="U109" s="112" t="str">
        <f>IF(preDEL!$AG109,IFERROR(0/0,""),preDEL!U109)</f>
        <v/>
      </c>
      <c r="V109" s="105" t="str">
        <f>IF(preDEL!$AG109,IFERROR(0/0,""),preDEL!V109)</f>
        <v/>
      </c>
      <c r="W109" s="112" t="str">
        <f>IF(preDEL!$AG109,IFERROR(0/0,""),preDEL!W109)</f>
        <v/>
      </c>
      <c r="X109" s="104" t="b">
        <f>IF(preDEL!$AG109,IFERROR(0/0,""),preDEL!X109)</f>
        <v>0</v>
      </c>
      <c r="Y109" s="110" t="b">
        <f>IF(preDEL!$AG109,IFERROR(0/0,""),preDEL!Y109)</f>
        <v>0</v>
      </c>
      <c r="Z109" s="105" t="str">
        <f>IF(preDEL!$AG109,IFERROR(0/0,""),preDEL!Z109)</f>
        <v/>
      </c>
      <c r="AA109" s="110" t="b">
        <f>IF(preDEL!$AG109,IFERROR(0/0,""),preDEL!AA109)</f>
        <v>0</v>
      </c>
      <c r="AB109" s="110" t="b">
        <f>IF(preDEL!$AG109,IFERROR(0/0,""),preDEL!AB109)</f>
        <v>0</v>
      </c>
      <c r="AC109" s="172">
        <f>IF(preDEL!$AG109,IFERROR(0/0,""),preDEL!AC109)</f>
        <v>814</v>
      </c>
      <c r="AD109" s="104" t="b">
        <f>IF(preDEL!$AG109,IFERROR(0/0,""),preDEL!AD109)</f>
        <v>1</v>
      </c>
      <c r="AE109" s="173">
        <f>IF(preDEL!$AG109,IFERROR(0/0,""),preDEL!AE109)</f>
        <v>55.26666667</v>
      </c>
      <c r="AF109" s="110" t="b">
        <f>IF(preDEL!$AG109,IFERROR(0/0,""),preDEL!AF109)</f>
        <v>0</v>
      </c>
      <c r="AG109" s="110" t="b">
        <f>IF(preDEL!$AG109,IFERROR(0/0,""),preDEL!AG109)</f>
        <v>0</v>
      </c>
      <c r="AH109" s="104" t="str">
        <f>IF(preDEL!$AG109,IFERROR(0/0,""),preDEL!AH109)</f>
        <v/>
      </c>
      <c r="AI109" s="105" t="str">
        <f>IF(preDEL!$AG109,IFERROR(0/0,""),preDEL!AI109)</f>
        <v/>
      </c>
      <c r="AJ109" s="112" t="str">
        <f>IF(preDEL!$AG109,IFERROR(0/0,""),preDEL!AJ109)</f>
        <v/>
      </c>
      <c r="AK109" s="105" t="str">
        <f>IF(preDEL!$AG109,IFERROR(0/0,""),preDEL!AK109)</f>
        <v>Negative</v>
      </c>
      <c r="AL109" s="112" t="str">
        <f>IF(preDEL!$AG109,IFERROR(0/0,""),preDEL!AL109)</f>
        <v/>
      </c>
      <c r="AM109" s="112" t="str">
        <f>IF(preDEL!$AG109,IFERROR(0/0,""),preDEL!AM109)</f>
        <v>SpBEND110967</v>
      </c>
      <c r="AN109" s="112" t="str">
        <f>IF(preDEL!$AG109,IFERROR(0/0,""),preDEL!AN109)</f>
        <v>BEND913575</v>
      </c>
      <c r="AO109" s="112" t="str">
        <f>IF(preDEL!$AG109,IFERROR(0/0,""),preDEL!AO109)</f>
        <v/>
      </c>
      <c r="AP109" s="112" t="str">
        <f>IF(preDEL!$AG109,IFERROR(0/0,""),preDEL!AP109)</f>
        <v/>
      </c>
      <c r="AQ109" s="112" t="str">
        <f>IF(preDEL!$AG109,IFERROR(0/0,""),preDEL!AQ109)</f>
        <v/>
      </c>
      <c r="AR109" s="112" t="str">
        <f>IF(preDEL!$AG109,IFERROR(0/0,""),preDEL!AR109)</f>
        <v/>
      </c>
      <c r="AS109" s="112" t="str">
        <f>IF(preDEL!$AG109,IFERROR(0/0,""),preDEL!AS109)</f>
        <v/>
      </c>
      <c r="AT109" s="112" t="b">
        <f>IF(preDEL!$AG109,IFERROR(0/0,""),preDEL!AT109)</f>
        <v>0</v>
      </c>
      <c r="AU109" s="112" t="str">
        <f>IF(preDEL!$AG109,IFERROR(0/0,""),preDEL!AU109)</f>
        <v/>
      </c>
      <c r="AV109" s="112" t="str">
        <f>IF(preDEL!$AG109,IFERROR(0/0,""),preDEL!AV109)</f>
        <v/>
      </c>
      <c r="AW109" s="112" t="str">
        <f>IF(preDEL!$AG109,IFERROR(0/0,""),preDEL!AW109)</f>
        <v/>
      </c>
      <c r="AX109" s="112" t="str">
        <f>IF(preDEL!$AG109,IFERROR(0/0,""),preDEL!AX109)</f>
        <v/>
      </c>
      <c r="AY109" s="112" t="str">
        <f>IF(preDEL!$AG109,IFERROR(0/0,""),preDEL!AY109)</f>
        <v/>
      </c>
      <c r="AZ109" s="174"/>
      <c r="BA109" s="174"/>
      <c r="BB109" s="174"/>
      <c r="BC109" s="174"/>
      <c r="BD109" s="174"/>
      <c r="BE109" s="174"/>
      <c r="BF109" s="174"/>
      <c r="BG109" s="174"/>
      <c r="BH109" s="174"/>
      <c r="BI109" s="174"/>
      <c r="BJ109" s="174"/>
      <c r="BK109" s="174"/>
      <c r="BL109" s="174"/>
      <c r="BM109" s="174"/>
      <c r="BN109" s="174"/>
      <c r="BO109" s="174"/>
      <c r="BP109" s="174"/>
      <c r="BQ109" s="174"/>
      <c r="BR109" s="174"/>
      <c r="BS109" s="174"/>
      <c r="BT109" s="174"/>
      <c r="BU109" s="174"/>
      <c r="BV109" s="174"/>
      <c r="BW109" s="174"/>
      <c r="BX109" s="174"/>
      <c r="BY109" s="174"/>
      <c r="BZ109" s="174"/>
      <c r="CA109" s="174"/>
      <c r="CB109" s="174"/>
      <c r="CC109" s="174"/>
      <c r="CD109" s="174"/>
    </row>
    <row r="110">
      <c r="A110" s="105" t="str">
        <f>IF(preDEL!$AG110,IFERROR(0/0,""),preDEL!A110)</f>
        <v>MA455</v>
      </c>
      <c r="B110" s="170">
        <f>IF(preDEL!$AG110,IFERROR(0/0,""),preDEL!B110)</f>
        <v>44566</v>
      </c>
      <c r="C110" s="171">
        <f>IF(preDEL!$AG110,IFERROR(0/0,""),preDEL!C110)</f>
        <v>0.4185416667</v>
      </c>
      <c r="D110" s="105" t="str">
        <f>IF(preDEL!$AG110,IFERROR(0/0,""),preDEL!D110)</f>
        <v/>
      </c>
      <c r="E110" s="105" t="str">
        <f>IF(preDEL!$AG110,IFERROR(0/0,""),preDEL!E110)</f>
        <v/>
      </c>
      <c r="F110" s="112" t="str">
        <f>IF(preDEL!$AG110,IFERROR(0/0,""),preDEL!F110)</f>
        <v/>
      </c>
      <c r="G110" s="112" t="str">
        <f>IF(preDEL!$AG110,IFERROR(0/0,""),preDEL!G110)</f>
        <v/>
      </c>
      <c r="H110" s="112" t="str">
        <f>IF(preDEL!$AG110,IFERROR(0/0,""),preDEL!H110)</f>
        <v/>
      </c>
      <c r="I110" s="175" t="str">
        <f>IF(preDEL!$AG110,IFERROR(0/0,""),preDEL!I110)</f>
        <v/>
      </c>
      <c r="J110" s="105" t="str">
        <f>IF(preDEL!$AG110,IFERROR(0/0,""),preDEL!J110)</f>
        <v/>
      </c>
      <c r="K110" s="105" t="str">
        <f>IF(preDEL!$AG110,IFERROR(0/0,""),preDEL!K110)</f>
        <v>Negative</v>
      </c>
      <c r="L110" s="170">
        <f>IF(preDEL!$AG110,IFERROR(0/0,""),preDEL!L110)</f>
        <v>44566</v>
      </c>
      <c r="M110" s="171">
        <f>IF(preDEL!$AG110,IFERROR(0/0,""),preDEL!M110)</f>
        <v>0.4565625</v>
      </c>
      <c r="N110" s="112" t="str">
        <f>IF(preDEL!$AG110,IFERROR(0/0,""),preDEL!N110)</f>
        <v>Primary</v>
      </c>
      <c r="O110" s="112" t="str">
        <f>IF(preDEL!$AG110,IFERROR(0/0,""),preDEL!O110)</f>
        <v/>
      </c>
      <c r="P110" s="110" t="b">
        <f>IF(preDEL!$AG110,IFERROR(0/0,""),preDEL!P110)</f>
        <v>0</v>
      </c>
      <c r="Q110" s="110" t="str">
        <f>IF(preDEL!$AG110,IFERROR(0/0,""),preDEL!Q110)</f>
        <v>Result</v>
      </c>
      <c r="R110" s="104" t="b">
        <f>IF(preDEL!$AG110,IFERROR(0/0,""),preDEL!R110)</f>
        <v>1</v>
      </c>
      <c r="S110" s="104">
        <f>IF(preDEL!$AG110,IFERROR(0/0,""),preDEL!S110)</f>
        <v>1</v>
      </c>
      <c r="T110" s="110">
        <f>IF(preDEL!$AG110,IFERROR(0/0,""),preDEL!T110)</f>
        <v>0</v>
      </c>
      <c r="U110" s="112" t="str">
        <f>IF(preDEL!$AG110,IFERROR(0/0,""),preDEL!U110)</f>
        <v/>
      </c>
      <c r="V110" s="105" t="str">
        <f>IF(preDEL!$AG110,IFERROR(0/0,""),preDEL!V110)</f>
        <v/>
      </c>
      <c r="W110" s="112" t="str">
        <f>IF(preDEL!$AG110,IFERROR(0/0,""),preDEL!W110)</f>
        <v/>
      </c>
      <c r="X110" s="104" t="b">
        <f>IF(preDEL!$AG110,IFERROR(0/0,""),preDEL!X110)</f>
        <v>0</v>
      </c>
      <c r="Y110" s="110" t="b">
        <f>IF(preDEL!$AG110,IFERROR(0/0,""),preDEL!Y110)</f>
        <v>0</v>
      </c>
      <c r="Z110" s="105" t="str">
        <f>IF(preDEL!$AG110,IFERROR(0/0,""),preDEL!Z110)</f>
        <v/>
      </c>
      <c r="AA110" s="110" t="b">
        <f>IF(preDEL!$AG110,IFERROR(0/0,""),preDEL!AA110)</f>
        <v>0</v>
      </c>
      <c r="AB110" s="110" t="b">
        <f>IF(preDEL!$AG110,IFERROR(0/0,""),preDEL!AB110)</f>
        <v>0</v>
      </c>
      <c r="AC110" s="172">
        <f>IF(preDEL!$AG110,IFERROR(0/0,""),preDEL!AC110)</f>
        <v>815</v>
      </c>
      <c r="AD110" s="104" t="b">
        <f>IF(preDEL!$AG110,IFERROR(0/0,""),preDEL!AD110)</f>
        <v>1</v>
      </c>
      <c r="AE110" s="173">
        <f>IF(preDEL!$AG110,IFERROR(0/0,""),preDEL!AE110)</f>
        <v>54.75</v>
      </c>
      <c r="AF110" s="110" t="b">
        <f>IF(preDEL!$AG110,IFERROR(0/0,""),preDEL!AF110)</f>
        <v>0</v>
      </c>
      <c r="AG110" s="110" t="b">
        <f>IF(preDEL!$AG110,IFERROR(0/0,""),preDEL!AG110)</f>
        <v>0</v>
      </c>
      <c r="AH110" s="104" t="str">
        <f>IF(preDEL!$AG110,IFERROR(0/0,""),preDEL!AH110)</f>
        <v/>
      </c>
      <c r="AI110" s="105" t="str">
        <f>IF(preDEL!$AG110,IFERROR(0/0,""),preDEL!AI110)</f>
        <v/>
      </c>
      <c r="AJ110" s="112" t="str">
        <f>IF(preDEL!$AG110,IFERROR(0/0,""),preDEL!AJ110)</f>
        <v/>
      </c>
      <c r="AK110" s="105" t="str">
        <f>IF(preDEL!$AG110,IFERROR(0/0,""),preDEL!AK110)</f>
        <v>Negative</v>
      </c>
      <c r="AL110" s="112" t="str">
        <f>IF(preDEL!$AG110,IFERROR(0/0,""),preDEL!AL110)</f>
        <v/>
      </c>
      <c r="AM110" s="112" t="str">
        <f>IF(preDEL!$AG110,IFERROR(0/0,""),preDEL!AM110)</f>
        <v>SpBEND110967</v>
      </c>
      <c r="AN110" s="112" t="str">
        <f>IF(preDEL!$AG110,IFERROR(0/0,""),preDEL!AN110)</f>
        <v>BEND295131</v>
      </c>
      <c r="AO110" s="112" t="str">
        <f>IF(preDEL!$AG110,IFERROR(0/0,""),preDEL!AO110)</f>
        <v/>
      </c>
      <c r="AP110" s="112" t="str">
        <f>IF(preDEL!$AG110,IFERROR(0/0,""),preDEL!AP110)</f>
        <v/>
      </c>
      <c r="AQ110" s="112" t="str">
        <f>IF(preDEL!$AG110,IFERROR(0/0,""),preDEL!AQ110)</f>
        <v/>
      </c>
      <c r="AR110" s="112" t="str">
        <f>IF(preDEL!$AG110,IFERROR(0/0,""),preDEL!AR110)</f>
        <v/>
      </c>
      <c r="AS110" s="112" t="str">
        <f>IF(preDEL!$AG110,IFERROR(0/0,""),preDEL!AS110)</f>
        <v/>
      </c>
      <c r="AT110" s="112" t="b">
        <f>IF(preDEL!$AG110,IFERROR(0/0,""),preDEL!AT110)</f>
        <v>0</v>
      </c>
      <c r="AU110" s="112" t="str">
        <f>IF(preDEL!$AG110,IFERROR(0/0,""),preDEL!AU110)</f>
        <v/>
      </c>
      <c r="AV110" s="112" t="str">
        <f>IF(preDEL!$AG110,IFERROR(0/0,""),preDEL!AV110)</f>
        <v/>
      </c>
      <c r="AW110" s="112" t="str">
        <f>IF(preDEL!$AG110,IFERROR(0/0,""),preDEL!AW110)</f>
        <v/>
      </c>
      <c r="AX110" s="112" t="str">
        <f>IF(preDEL!$AG110,IFERROR(0/0,""),preDEL!AX110)</f>
        <v/>
      </c>
      <c r="AY110" s="112" t="str">
        <f>IF(preDEL!$AG110,IFERROR(0/0,""),preDEL!AY110)</f>
        <v/>
      </c>
      <c r="AZ110" s="174"/>
      <c r="BA110" s="174"/>
      <c r="BB110" s="174"/>
      <c r="BC110" s="174"/>
      <c r="BD110" s="174"/>
      <c r="BE110" s="174"/>
      <c r="BF110" s="174"/>
      <c r="BG110" s="174"/>
      <c r="BH110" s="174"/>
      <c r="BI110" s="174"/>
      <c r="BJ110" s="174"/>
      <c r="BK110" s="174"/>
      <c r="BL110" s="174"/>
      <c r="BM110" s="174"/>
      <c r="BN110" s="174"/>
      <c r="BO110" s="174"/>
      <c r="BP110" s="174"/>
      <c r="BQ110" s="174"/>
      <c r="BR110" s="174"/>
      <c r="BS110" s="174"/>
      <c r="BT110" s="174"/>
      <c r="BU110" s="174"/>
      <c r="BV110" s="174"/>
      <c r="BW110" s="174"/>
      <c r="BX110" s="174"/>
      <c r="BY110" s="174"/>
      <c r="BZ110" s="174"/>
      <c r="CA110" s="174"/>
      <c r="CB110" s="174"/>
      <c r="CC110" s="174"/>
      <c r="CD110" s="174"/>
    </row>
    <row r="111">
      <c r="A111" s="105" t="str">
        <f>IF(preDEL!$AG111,IFERROR(0/0,""),preDEL!A111)</f>
        <v>MA464</v>
      </c>
      <c r="B111" s="170">
        <f>IF(preDEL!$AG111,IFERROR(0/0,""),preDEL!B111)</f>
        <v>44566</v>
      </c>
      <c r="C111" s="171">
        <f>IF(preDEL!$AG111,IFERROR(0/0,""),preDEL!C111)</f>
        <v>0.4192361111</v>
      </c>
      <c r="D111" s="105" t="str">
        <f>IF(preDEL!$AG111,IFERROR(0/0,""),preDEL!D111)</f>
        <v/>
      </c>
      <c r="E111" s="105" t="str">
        <f>IF(preDEL!$AG111,IFERROR(0/0,""),preDEL!E111)</f>
        <v/>
      </c>
      <c r="F111" s="112" t="str">
        <f>IF(preDEL!$AG111,IFERROR(0/0,""),preDEL!F111)</f>
        <v/>
      </c>
      <c r="G111" s="112" t="str">
        <f>IF(preDEL!$AG111,IFERROR(0/0,""),preDEL!G111)</f>
        <v/>
      </c>
      <c r="H111" s="112" t="str">
        <f>IF(preDEL!$AG111,IFERROR(0/0,""),preDEL!H111)</f>
        <v/>
      </c>
      <c r="I111" s="175" t="str">
        <f>IF(preDEL!$AG111,IFERROR(0/0,""),preDEL!I111)</f>
        <v/>
      </c>
      <c r="J111" s="105" t="str">
        <f>IF(preDEL!$AG111,IFERROR(0/0,""),preDEL!J111)</f>
        <v/>
      </c>
      <c r="K111" s="105" t="str">
        <f>IF(preDEL!$AG111,IFERROR(0/0,""),preDEL!K111)</f>
        <v>Negative</v>
      </c>
      <c r="L111" s="170">
        <f>IF(preDEL!$AG111,IFERROR(0/0,""),preDEL!L111)</f>
        <v>44566</v>
      </c>
      <c r="M111" s="171">
        <f>IF(preDEL!$AG111,IFERROR(0/0,""),preDEL!M111)</f>
        <v>0.4565625</v>
      </c>
      <c r="N111" s="112" t="str">
        <f>IF(preDEL!$AG111,IFERROR(0/0,""),preDEL!N111)</f>
        <v>Primary</v>
      </c>
      <c r="O111" s="112" t="str">
        <f>IF(preDEL!$AG111,IFERROR(0/0,""),preDEL!O111)</f>
        <v/>
      </c>
      <c r="P111" s="110" t="b">
        <f>IF(preDEL!$AG111,IFERROR(0/0,""),preDEL!P111)</f>
        <v>0</v>
      </c>
      <c r="Q111" s="110" t="str">
        <f>IF(preDEL!$AG111,IFERROR(0/0,""),preDEL!Q111)</f>
        <v>Result</v>
      </c>
      <c r="R111" s="104" t="b">
        <f>IF(preDEL!$AG111,IFERROR(0/0,""),preDEL!R111)</f>
        <v>1</v>
      </c>
      <c r="S111" s="104">
        <f>IF(preDEL!$AG111,IFERROR(0/0,""),preDEL!S111)</f>
        <v>1</v>
      </c>
      <c r="T111" s="110">
        <f>IF(preDEL!$AG111,IFERROR(0/0,""),preDEL!T111)</f>
        <v>0</v>
      </c>
      <c r="U111" s="112" t="str">
        <f>IF(preDEL!$AG111,IFERROR(0/0,""),preDEL!U111)</f>
        <v/>
      </c>
      <c r="V111" s="105" t="str">
        <f>IF(preDEL!$AG111,IFERROR(0/0,""),preDEL!V111)</f>
        <v/>
      </c>
      <c r="W111" s="112" t="str">
        <f>IF(preDEL!$AG111,IFERROR(0/0,""),preDEL!W111)</f>
        <v/>
      </c>
      <c r="X111" s="104" t="b">
        <f>IF(preDEL!$AG111,IFERROR(0/0,""),preDEL!X111)</f>
        <v>0</v>
      </c>
      <c r="Y111" s="110" t="b">
        <f>IF(preDEL!$AG111,IFERROR(0/0,""),preDEL!Y111)</f>
        <v>0</v>
      </c>
      <c r="Z111" s="105" t="str">
        <f>IF(preDEL!$AG111,IFERROR(0/0,""),preDEL!Z111)</f>
        <v/>
      </c>
      <c r="AA111" s="110" t="b">
        <f>IF(preDEL!$AG111,IFERROR(0/0,""),preDEL!AA111)</f>
        <v>0</v>
      </c>
      <c r="AB111" s="110" t="b">
        <f>IF(preDEL!$AG111,IFERROR(0/0,""),preDEL!AB111)</f>
        <v>0</v>
      </c>
      <c r="AC111" s="172">
        <f>IF(preDEL!$AG111,IFERROR(0/0,""),preDEL!AC111)</f>
        <v>816</v>
      </c>
      <c r="AD111" s="104" t="b">
        <f>IF(preDEL!$AG111,IFERROR(0/0,""),preDEL!AD111)</f>
        <v>1</v>
      </c>
      <c r="AE111" s="173">
        <f>IF(preDEL!$AG111,IFERROR(0/0,""),preDEL!AE111)</f>
        <v>53.75</v>
      </c>
      <c r="AF111" s="110" t="b">
        <f>IF(preDEL!$AG111,IFERROR(0/0,""),preDEL!AF111)</f>
        <v>0</v>
      </c>
      <c r="AG111" s="110" t="b">
        <f>IF(preDEL!$AG111,IFERROR(0/0,""),preDEL!AG111)</f>
        <v>0</v>
      </c>
      <c r="AH111" s="104" t="str">
        <f>IF(preDEL!$AG111,IFERROR(0/0,""),preDEL!AH111)</f>
        <v/>
      </c>
      <c r="AI111" s="105" t="str">
        <f>IF(preDEL!$AG111,IFERROR(0/0,""),preDEL!AI111)</f>
        <v/>
      </c>
      <c r="AJ111" s="112" t="str">
        <f>IF(preDEL!$AG111,IFERROR(0/0,""),preDEL!AJ111)</f>
        <v/>
      </c>
      <c r="AK111" s="105" t="str">
        <f>IF(preDEL!$AG111,IFERROR(0/0,""),preDEL!AK111)</f>
        <v>Negative</v>
      </c>
      <c r="AL111" s="112" t="str">
        <f>IF(preDEL!$AG111,IFERROR(0/0,""),preDEL!AL111)</f>
        <v/>
      </c>
      <c r="AM111" s="112" t="str">
        <f>IF(preDEL!$AG111,IFERROR(0/0,""),preDEL!AM111)</f>
        <v>SpBEND110967</v>
      </c>
      <c r="AN111" s="112" t="str">
        <f>IF(preDEL!$AG111,IFERROR(0/0,""),preDEL!AN111)</f>
        <v>BEND821009</v>
      </c>
      <c r="AO111" s="112" t="str">
        <f>IF(preDEL!$AG111,IFERROR(0/0,""),preDEL!AO111)</f>
        <v/>
      </c>
      <c r="AP111" s="112" t="str">
        <f>IF(preDEL!$AG111,IFERROR(0/0,""),preDEL!AP111)</f>
        <v/>
      </c>
      <c r="AQ111" s="112" t="str">
        <f>IF(preDEL!$AG111,IFERROR(0/0,""),preDEL!AQ111)</f>
        <v/>
      </c>
      <c r="AR111" s="112" t="str">
        <f>IF(preDEL!$AG111,IFERROR(0/0,""),preDEL!AR111)</f>
        <v/>
      </c>
      <c r="AS111" s="112" t="str">
        <f>IF(preDEL!$AG111,IFERROR(0/0,""),preDEL!AS111)</f>
        <v/>
      </c>
      <c r="AT111" s="112" t="b">
        <f>IF(preDEL!$AG111,IFERROR(0/0,""),preDEL!AT111)</f>
        <v>0</v>
      </c>
      <c r="AU111" s="112" t="str">
        <f>IF(preDEL!$AG111,IFERROR(0/0,""),preDEL!AU111)</f>
        <v/>
      </c>
      <c r="AV111" s="112" t="str">
        <f>IF(preDEL!$AG111,IFERROR(0/0,""),preDEL!AV111)</f>
        <v/>
      </c>
      <c r="AW111" s="112" t="str">
        <f>IF(preDEL!$AG111,IFERROR(0/0,""),preDEL!AW111)</f>
        <v/>
      </c>
      <c r="AX111" s="112" t="str">
        <f>IF(preDEL!$AG111,IFERROR(0/0,""),preDEL!AX111)</f>
        <v/>
      </c>
      <c r="AY111" s="112" t="str">
        <f>IF(preDEL!$AG111,IFERROR(0/0,""),preDEL!AY111)</f>
        <v/>
      </c>
      <c r="AZ111" s="174"/>
      <c r="BA111" s="174"/>
      <c r="BB111" s="174"/>
      <c r="BC111" s="174"/>
      <c r="BD111" s="174"/>
      <c r="BE111" s="174"/>
      <c r="BF111" s="174"/>
      <c r="BG111" s="174"/>
      <c r="BH111" s="174"/>
      <c r="BI111" s="174"/>
      <c r="BJ111" s="174"/>
      <c r="BK111" s="174"/>
      <c r="BL111" s="174"/>
      <c r="BM111" s="174"/>
      <c r="BN111" s="174"/>
      <c r="BO111" s="174"/>
      <c r="BP111" s="174"/>
      <c r="BQ111" s="174"/>
      <c r="BR111" s="174"/>
      <c r="BS111" s="174"/>
      <c r="BT111" s="174"/>
      <c r="BU111" s="174"/>
      <c r="BV111" s="174"/>
      <c r="BW111" s="174"/>
      <c r="BX111" s="174"/>
      <c r="BY111" s="174"/>
      <c r="BZ111" s="174"/>
      <c r="CA111" s="174"/>
      <c r="CB111" s="174"/>
      <c r="CC111" s="174"/>
      <c r="CD111" s="174"/>
    </row>
    <row r="112">
      <c r="A112" s="105" t="str">
        <f>IF(preDEL!$AG112,IFERROR(0/0,""),preDEL!A112)</f>
        <v>MA475</v>
      </c>
      <c r="B112" s="170">
        <f>IF(preDEL!$AG112,IFERROR(0/0,""),preDEL!B112)</f>
        <v>44566</v>
      </c>
      <c r="C112" s="171">
        <f>IF(preDEL!$AG112,IFERROR(0/0,""),preDEL!C112)</f>
        <v>0.4196180556</v>
      </c>
      <c r="D112" s="105" t="str">
        <f>IF(preDEL!$AG112,IFERROR(0/0,""),preDEL!D112)</f>
        <v/>
      </c>
      <c r="E112" s="105" t="str">
        <f>IF(preDEL!$AG112,IFERROR(0/0,""),preDEL!E112)</f>
        <v/>
      </c>
      <c r="F112" s="112" t="str">
        <f>IF(preDEL!$AG112,IFERROR(0/0,""),preDEL!F112)</f>
        <v/>
      </c>
      <c r="G112" s="112" t="str">
        <f>IF(preDEL!$AG112,IFERROR(0/0,""),preDEL!G112)</f>
        <v/>
      </c>
      <c r="H112" s="112" t="str">
        <f>IF(preDEL!$AG112,IFERROR(0/0,""),preDEL!H112)</f>
        <v/>
      </c>
      <c r="I112" s="175" t="str">
        <f>IF(preDEL!$AG112,IFERROR(0/0,""),preDEL!I112)</f>
        <v/>
      </c>
      <c r="J112" s="105" t="str">
        <f>IF(preDEL!$AG112,IFERROR(0/0,""),preDEL!J112)</f>
        <v/>
      </c>
      <c r="K112" s="105" t="str">
        <f>IF(preDEL!$AG112,IFERROR(0/0,""),preDEL!K112)</f>
        <v>Negative</v>
      </c>
      <c r="L112" s="170">
        <f>IF(preDEL!$AG112,IFERROR(0/0,""),preDEL!L112)</f>
        <v>44566</v>
      </c>
      <c r="M112" s="171">
        <f>IF(preDEL!$AG112,IFERROR(0/0,""),preDEL!M112)</f>
        <v>0.4565625</v>
      </c>
      <c r="N112" s="112" t="str">
        <f>IF(preDEL!$AG112,IFERROR(0/0,""),preDEL!N112)</f>
        <v>Primary</v>
      </c>
      <c r="O112" s="112" t="str">
        <f>IF(preDEL!$AG112,IFERROR(0/0,""),preDEL!O112)</f>
        <v/>
      </c>
      <c r="P112" s="110" t="b">
        <f>IF(preDEL!$AG112,IFERROR(0/0,""),preDEL!P112)</f>
        <v>0</v>
      </c>
      <c r="Q112" s="110" t="str">
        <f>IF(preDEL!$AG112,IFERROR(0/0,""),preDEL!Q112)</f>
        <v>Result</v>
      </c>
      <c r="R112" s="104" t="b">
        <f>IF(preDEL!$AG112,IFERROR(0/0,""),preDEL!R112)</f>
        <v>1</v>
      </c>
      <c r="S112" s="104">
        <f>IF(preDEL!$AG112,IFERROR(0/0,""),preDEL!S112)</f>
        <v>1</v>
      </c>
      <c r="T112" s="110">
        <f>IF(preDEL!$AG112,IFERROR(0/0,""),preDEL!T112)</f>
        <v>0</v>
      </c>
      <c r="U112" s="112" t="str">
        <f>IF(preDEL!$AG112,IFERROR(0/0,""),preDEL!U112)</f>
        <v/>
      </c>
      <c r="V112" s="105" t="str">
        <f>IF(preDEL!$AG112,IFERROR(0/0,""),preDEL!V112)</f>
        <v/>
      </c>
      <c r="W112" s="112" t="str">
        <f>IF(preDEL!$AG112,IFERROR(0/0,""),preDEL!W112)</f>
        <v/>
      </c>
      <c r="X112" s="104" t="b">
        <f>IF(preDEL!$AG112,IFERROR(0/0,""),preDEL!X112)</f>
        <v>0</v>
      </c>
      <c r="Y112" s="110" t="b">
        <f>IF(preDEL!$AG112,IFERROR(0/0,""),preDEL!Y112)</f>
        <v>0</v>
      </c>
      <c r="Z112" s="105" t="str">
        <f>IF(preDEL!$AG112,IFERROR(0/0,""),preDEL!Z112)</f>
        <v/>
      </c>
      <c r="AA112" s="110" t="b">
        <f>IF(preDEL!$AG112,IFERROR(0/0,""),preDEL!AA112)</f>
        <v>0</v>
      </c>
      <c r="AB112" s="110" t="b">
        <f>IF(preDEL!$AG112,IFERROR(0/0,""),preDEL!AB112)</f>
        <v>0</v>
      </c>
      <c r="AC112" s="172">
        <f>IF(preDEL!$AG112,IFERROR(0/0,""),preDEL!AC112)</f>
        <v>817</v>
      </c>
      <c r="AD112" s="104" t="b">
        <f>IF(preDEL!$AG112,IFERROR(0/0,""),preDEL!AD112)</f>
        <v>1</v>
      </c>
      <c r="AE112" s="173">
        <f>IF(preDEL!$AG112,IFERROR(0/0,""),preDEL!AE112)</f>
        <v>53.2</v>
      </c>
      <c r="AF112" s="110" t="b">
        <f>IF(preDEL!$AG112,IFERROR(0/0,""),preDEL!AF112)</f>
        <v>0</v>
      </c>
      <c r="AG112" s="110" t="b">
        <f>IF(preDEL!$AG112,IFERROR(0/0,""),preDEL!AG112)</f>
        <v>0</v>
      </c>
      <c r="AH112" s="104" t="str">
        <f>IF(preDEL!$AG112,IFERROR(0/0,""),preDEL!AH112)</f>
        <v/>
      </c>
      <c r="AI112" s="105" t="str">
        <f>IF(preDEL!$AG112,IFERROR(0/0,""),preDEL!AI112)</f>
        <v/>
      </c>
      <c r="AJ112" s="112" t="str">
        <f>IF(preDEL!$AG112,IFERROR(0/0,""),preDEL!AJ112)</f>
        <v/>
      </c>
      <c r="AK112" s="105" t="str">
        <f>IF(preDEL!$AG112,IFERROR(0/0,""),preDEL!AK112)</f>
        <v>Negative</v>
      </c>
      <c r="AL112" s="112" t="str">
        <f>IF(preDEL!$AG112,IFERROR(0/0,""),preDEL!AL112)</f>
        <v/>
      </c>
      <c r="AM112" s="112" t="str">
        <f>IF(preDEL!$AG112,IFERROR(0/0,""),preDEL!AM112)</f>
        <v>SpBEND110967</v>
      </c>
      <c r="AN112" s="112" t="str">
        <f>IF(preDEL!$AG112,IFERROR(0/0,""),preDEL!AN112)</f>
        <v>BEND949481</v>
      </c>
      <c r="AO112" s="112" t="str">
        <f>IF(preDEL!$AG112,IFERROR(0/0,""),preDEL!AO112)</f>
        <v/>
      </c>
      <c r="AP112" s="112" t="str">
        <f>IF(preDEL!$AG112,IFERROR(0/0,""),preDEL!AP112)</f>
        <v/>
      </c>
      <c r="AQ112" s="112" t="str">
        <f>IF(preDEL!$AG112,IFERROR(0/0,""),preDEL!AQ112)</f>
        <v/>
      </c>
      <c r="AR112" s="112" t="str">
        <f>IF(preDEL!$AG112,IFERROR(0/0,""),preDEL!AR112)</f>
        <v/>
      </c>
      <c r="AS112" s="112" t="str">
        <f>IF(preDEL!$AG112,IFERROR(0/0,""),preDEL!AS112)</f>
        <v/>
      </c>
      <c r="AT112" s="112" t="b">
        <f>IF(preDEL!$AG112,IFERROR(0/0,""),preDEL!AT112)</f>
        <v>0</v>
      </c>
      <c r="AU112" s="112" t="str">
        <f>IF(preDEL!$AG112,IFERROR(0/0,""),preDEL!AU112)</f>
        <v/>
      </c>
      <c r="AV112" s="112" t="str">
        <f>IF(preDEL!$AG112,IFERROR(0/0,""),preDEL!AV112)</f>
        <v/>
      </c>
      <c r="AW112" s="112" t="str">
        <f>IF(preDEL!$AG112,IFERROR(0/0,""),preDEL!AW112)</f>
        <v/>
      </c>
      <c r="AX112" s="112" t="str">
        <f>IF(preDEL!$AG112,IFERROR(0/0,""),preDEL!AX112)</f>
        <v/>
      </c>
      <c r="AY112" s="112" t="str">
        <f>IF(preDEL!$AG112,IFERROR(0/0,""),preDEL!AY112)</f>
        <v/>
      </c>
      <c r="AZ112" s="174"/>
      <c r="BA112" s="174"/>
      <c r="BB112" s="174"/>
      <c r="BC112" s="174"/>
      <c r="BD112" s="174"/>
      <c r="BE112" s="174"/>
      <c r="BF112" s="174"/>
      <c r="BG112" s="174"/>
      <c r="BH112" s="174"/>
      <c r="BI112" s="174"/>
      <c r="BJ112" s="174"/>
      <c r="BK112" s="174"/>
      <c r="BL112" s="174"/>
      <c r="BM112" s="174"/>
      <c r="BN112" s="174"/>
      <c r="BO112" s="174"/>
      <c r="BP112" s="174"/>
      <c r="BQ112" s="174"/>
      <c r="BR112" s="174"/>
      <c r="BS112" s="174"/>
      <c r="BT112" s="174"/>
      <c r="BU112" s="174"/>
      <c r="BV112" s="174"/>
      <c r="BW112" s="174"/>
      <c r="BX112" s="174"/>
      <c r="BY112" s="174"/>
      <c r="BZ112" s="174"/>
      <c r="CA112" s="174"/>
      <c r="CB112" s="174"/>
      <c r="CC112" s="174"/>
      <c r="CD112" s="174"/>
    </row>
    <row r="113">
      <c r="A113" s="105" t="str">
        <f>IF(preDEL!$AG113,IFERROR(0/0,""),preDEL!A113)</f>
        <v>MA605</v>
      </c>
      <c r="B113" s="170">
        <f>IF(preDEL!$AG113,IFERROR(0/0,""),preDEL!B113)</f>
        <v>44566</v>
      </c>
      <c r="C113" s="171">
        <f>IF(preDEL!$AG113,IFERROR(0/0,""),preDEL!C113)</f>
        <v>0.4199421296</v>
      </c>
      <c r="D113" s="105" t="str">
        <f>IF(preDEL!$AG113,IFERROR(0/0,""),preDEL!D113)</f>
        <v/>
      </c>
      <c r="E113" s="105" t="str">
        <f>IF(preDEL!$AG113,IFERROR(0/0,""),preDEL!E113)</f>
        <v/>
      </c>
      <c r="F113" s="112" t="str">
        <f>IF(preDEL!$AG113,IFERROR(0/0,""),preDEL!F113)</f>
        <v/>
      </c>
      <c r="G113" s="112" t="str">
        <f>IF(preDEL!$AG113,IFERROR(0/0,""),preDEL!G113)</f>
        <v/>
      </c>
      <c r="H113" s="112" t="str">
        <f>IF(preDEL!$AG113,IFERROR(0/0,""),preDEL!H113)</f>
        <v/>
      </c>
      <c r="I113" s="175" t="str">
        <f>IF(preDEL!$AG113,IFERROR(0/0,""),preDEL!I113)</f>
        <v/>
      </c>
      <c r="J113" s="105" t="str">
        <f>IF(preDEL!$AG113,IFERROR(0/0,""),preDEL!J113)</f>
        <v/>
      </c>
      <c r="K113" s="105" t="str">
        <f>IF(preDEL!$AG113,IFERROR(0/0,""),preDEL!K113)</f>
        <v>Positive</v>
      </c>
      <c r="L113" s="170">
        <f>IF(preDEL!$AG113,IFERROR(0/0,""),preDEL!L113)</f>
        <v>44568</v>
      </c>
      <c r="M113" s="171">
        <f>IF(preDEL!$AG113,IFERROR(0/0,""),preDEL!M113)</f>
        <v>0.508275463</v>
      </c>
      <c r="N113" s="112" t="str">
        <f>IF(preDEL!$AG113,IFERROR(0/0,""),preDEL!N113)</f>
        <v>Primary</v>
      </c>
      <c r="O113" s="112" t="str">
        <f>IF(preDEL!$AG113,IFERROR(0/0,""),preDEL!O113)</f>
        <v/>
      </c>
      <c r="P113" s="110" t="b">
        <f>IF(preDEL!$AG113,IFERROR(0/0,""),preDEL!P113)</f>
        <v>0</v>
      </c>
      <c r="Q113" s="110" t="str">
        <f>IF(preDEL!$AG113,IFERROR(0/0,""),preDEL!Q113)</f>
        <v>Result</v>
      </c>
      <c r="R113" s="104" t="b">
        <f>IF(preDEL!$AG113,IFERROR(0/0,""),preDEL!R113)</f>
        <v>1</v>
      </c>
      <c r="S113" s="104">
        <f>IF(preDEL!$AG113,IFERROR(0/0,""),preDEL!S113)</f>
        <v>1</v>
      </c>
      <c r="T113" s="110">
        <f>IF(preDEL!$AG113,IFERROR(0/0,""),preDEL!T113)</f>
        <v>0</v>
      </c>
      <c r="U113" s="112" t="str">
        <f>IF(preDEL!$AG113,IFERROR(0/0,""),preDEL!U113)</f>
        <v/>
      </c>
      <c r="V113" s="105" t="str">
        <f>IF(preDEL!$AG113,IFERROR(0/0,""),preDEL!V113)</f>
        <v/>
      </c>
      <c r="W113" s="112" t="str">
        <f>IF(preDEL!$AG113,IFERROR(0/0,""),preDEL!W113)</f>
        <v/>
      </c>
      <c r="X113" s="104" t="b">
        <f>IF(preDEL!$AG113,IFERROR(0/0,""),preDEL!X113)</f>
        <v>0</v>
      </c>
      <c r="Y113" s="110" t="b">
        <f>IF(preDEL!$AG113,IFERROR(0/0,""),preDEL!Y113)</f>
        <v>0</v>
      </c>
      <c r="Z113" s="105" t="str">
        <f>IF(preDEL!$AG113,IFERROR(0/0,""),preDEL!Z113)</f>
        <v/>
      </c>
      <c r="AA113" s="110" t="b">
        <f>IF(preDEL!$AG113,IFERROR(0/0,""),preDEL!AA113)</f>
        <v>0</v>
      </c>
      <c r="AB113" s="110" t="b">
        <f>IF(preDEL!$AG113,IFERROR(0/0,""),preDEL!AB113)</f>
        <v>0</v>
      </c>
      <c r="AC113" s="172">
        <f>IF(preDEL!$AG113,IFERROR(0/0,""),preDEL!AC113)</f>
        <v>818</v>
      </c>
      <c r="AD113" s="104" t="b">
        <f>IF(preDEL!$AG113,IFERROR(0/0,""),preDEL!AD113)</f>
        <v>1</v>
      </c>
      <c r="AE113" s="173" t="str">
        <f>IF(preDEL!$AG113,IFERROR(0/0,""),preDEL!AE113)</f>
        <v/>
      </c>
      <c r="AF113" s="110" t="b">
        <f>IF(preDEL!$AG113,IFERROR(0/0,""),preDEL!AF113)</f>
        <v>0</v>
      </c>
      <c r="AG113" s="110" t="b">
        <f>IF(preDEL!$AG113,IFERROR(0/0,""),preDEL!AG113)</f>
        <v>0</v>
      </c>
      <c r="AH113" s="104" t="str">
        <f>IF(preDEL!$AG113,IFERROR(0/0,""),preDEL!AH113)</f>
        <v/>
      </c>
      <c r="AI113" s="105" t="str">
        <f>IF(preDEL!$AG113,IFERROR(0/0,""),preDEL!AI113)</f>
        <v/>
      </c>
      <c r="AJ113" s="112" t="str">
        <f>IF(preDEL!$AG113,IFERROR(0/0,""),preDEL!AJ113)</f>
        <v/>
      </c>
      <c r="AK113" s="105" t="str">
        <f>IF(preDEL!$AG113,IFERROR(0/0,""),preDEL!AK113)</f>
        <v>Positive</v>
      </c>
      <c r="AL113" s="112" t="str">
        <f>IF(preDEL!$AG113,IFERROR(0/0,""),preDEL!AL113)</f>
        <v/>
      </c>
      <c r="AM113" s="112" t="str">
        <f>IF(preDEL!$AG113,IFERROR(0/0,""),preDEL!AM113)</f>
        <v>SpBEND110967</v>
      </c>
      <c r="AN113" s="112" t="str">
        <f>IF(preDEL!$AG113,IFERROR(0/0,""),preDEL!AN113)</f>
        <v>BEND202183</v>
      </c>
      <c r="AO113" s="112" t="str">
        <f>IF(preDEL!$AG113,IFERROR(0/0,""),preDEL!AO113)</f>
        <v/>
      </c>
      <c r="AP113" s="112" t="str">
        <f>IF(preDEL!$AG113,IFERROR(0/0,""),preDEL!AP113)</f>
        <v/>
      </c>
      <c r="AQ113" s="112" t="str">
        <f>IF(preDEL!$AG113,IFERROR(0/0,""),preDEL!AQ113)</f>
        <v/>
      </c>
      <c r="AR113" s="112" t="str">
        <f>IF(preDEL!$AG113,IFERROR(0/0,""),preDEL!AR113)</f>
        <v/>
      </c>
      <c r="AS113" s="112" t="str">
        <f>IF(preDEL!$AG113,IFERROR(0/0,""),preDEL!AS113)</f>
        <v/>
      </c>
      <c r="AT113" s="112" t="b">
        <f>IF(preDEL!$AG113,IFERROR(0/0,""),preDEL!AT113)</f>
        <v>0</v>
      </c>
      <c r="AU113" s="112" t="str">
        <f>IF(preDEL!$AG113,IFERROR(0/0,""),preDEL!AU113)</f>
        <v/>
      </c>
      <c r="AV113" s="112" t="str">
        <f>IF(preDEL!$AG113,IFERROR(0/0,""),preDEL!AV113)</f>
        <v/>
      </c>
      <c r="AW113" s="112" t="str">
        <f>IF(preDEL!$AG113,IFERROR(0/0,""),preDEL!AW113)</f>
        <v/>
      </c>
      <c r="AX113" s="112" t="str">
        <f>IF(preDEL!$AG113,IFERROR(0/0,""),preDEL!AX113)</f>
        <v/>
      </c>
      <c r="AY113" s="112" t="str">
        <f>IF(preDEL!$AG113,IFERROR(0/0,""),preDEL!AY113)</f>
        <v/>
      </c>
      <c r="AZ113" s="174"/>
      <c r="BA113" s="174"/>
      <c r="BB113" s="174"/>
      <c r="BC113" s="174"/>
      <c r="BD113" s="174"/>
      <c r="BE113" s="174"/>
      <c r="BF113" s="174"/>
      <c r="BG113" s="174"/>
      <c r="BH113" s="174"/>
      <c r="BI113" s="174"/>
      <c r="BJ113" s="174"/>
      <c r="BK113" s="174"/>
      <c r="BL113" s="174"/>
      <c r="BM113" s="174"/>
      <c r="BN113" s="174"/>
      <c r="BO113" s="174"/>
      <c r="BP113" s="174"/>
      <c r="BQ113" s="174"/>
      <c r="BR113" s="174"/>
      <c r="BS113" s="174"/>
      <c r="BT113" s="174"/>
      <c r="BU113" s="174"/>
      <c r="BV113" s="174"/>
      <c r="BW113" s="174"/>
      <c r="BX113" s="174"/>
      <c r="BY113" s="174"/>
      <c r="BZ113" s="174"/>
      <c r="CA113" s="174"/>
      <c r="CB113" s="174"/>
      <c r="CC113" s="174"/>
      <c r="CD113" s="174"/>
    </row>
    <row r="114">
      <c r="A114" s="105" t="str">
        <f>IF(preDEL!$AG114,IFERROR(0/0,""),preDEL!A114)</f>
        <v>MA457</v>
      </c>
      <c r="B114" s="170">
        <f>IF(preDEL!$AG114,IFERROR(0/0,""),preDEL!B114)</f>
        <v>44567</v>
      </c>
      <c r="C114" s="171">
        <f>IF(preDEL!$AG114,IFERROR(0/0,""),preDEL!C114)</f>
        <v>0.3232986111</v>
      </c>
      <c r="D114" s="105" t="str">
        <f>IF(preDEL!$AG114,IFERROR(0/0,""),preDEL!D114)</f>
        <v/>
      </c>
      <c r="E114" s="105" t="str">
        <f>IF(preDEL!$AG114,IFERROR(0/0,""),preDEL!E114)</f>
        <v/>
      </c>
      <c r="F114" s="112" t="str">
        <f>IF(preDEL!$AG114,IFERROR(0/0,""),preDEL!F114)</f>
        <v/>
      </c>
      <c r="G114" s="112" t="str">
        <f>IF(preDEL!$AG114,IFERROR(0/0,""),preDEL!G114)</f>
        <v/>
      </c>
      <c r="H114" s="112" t="str">
        <f>IF(preDEL!$AG114,IFERROR(0/0,""),preDEL!H114)</f>
        <v/>
      </c>
      <c r="I114" s="105" t="str">
        <f>IF(preDEL!$AG114,IFERROR(0/0,""),preDEL!I114)</f>
        <v/>
      </c>
      <c r="J114" s="105" t="str">
        <f>IF(preDEL!$AG114,IFERROR(0/0,""),preDEL!J114)</f>
        <v/>
      </c>
      <c r="K114" s="105" t="str">
        <f>IF(preDEL!$AG114,IFERROR(0/0,""),preDEL!K114)</f>
        <v>Negative</v>
      </c>
      <c r="L114" s="170">
        <f>IF(preDEL!$AG114,IFERROR(0/0,""),preDEL!L114)</f>
        <v>44568</v>
      </c>
      <c r="M114" s="171">
        <f>IF(preDEL!$AG114,IFERROR(0/0,""),preDEL!M114)</f>
        <v>0.5079050926</v>
      </c>
      <c r="N114" s="112" t="str">
        <f>IF(preDEL!$AG114,IFERROR(0/0,""),preDEL!N114)</f>
        <v/>
      </c>
      <c r="O114" s="112" t="str">
        <f>IF(preDEL!$AG114,IFERROR(0/0,""),preDEL!O114)</f>
        <v/>
      </c>
      <c r="P114" s="110" t="b">
        <f>IF(preDEL!$AG114,IFERROR(0/0,""),preDEL!P114)</f>
        <v>0</v>
      </c>
      <c r="Q114" s="110" t="str">
        <f>IF(preDEL!$AG114,IFERROR(0/0,""),preDEL!Q114)</f>
        <v>Result</v>
      </c>
      <c r="R114" s="104" t="b">
        <f>IF(preDEL!$AG114,IFERROR(0/0,""),preDEL!R114)</f>
        <v>1</v>
      </c>
      <c r="S114" s="104">
        <f>IF(preDEL!$AG114,IFERROR(0/0,""),preDEL!S114)</f>
        <v>1</v>
      </c>
      <c r="T114" s="110" t="str">
        <f>IF(preDEL!$AG114,IFERROR(0/0,""),preDEL!T114)</f>
        <v/>
      </c>
      <c r="U114" s="112" t="str">
        <f>IF(preDEL!$AG114,IFERROR(0/0,""),preDEL!U114)</f>
        <v/>
      </c>
      <c r="V114" s="105" t="str">
        <f>IF(preDEL!$AG114,IFERROR(0/0,""),preDEL!V114)</f>
        <v/>
      </c>
      <c r="W114" s="112" t="str">
        <f>IF(preDEL!$AG114,IFERROR(0/0,""),preDEL!W114)</f>
        <v/>
      </c>
      <c r="X114" s="104" t="b">
        <f>IF(preDEL!$AG114,IFERROR(0/0,""),preDEL!X114)</f>
        <v>0</v>
      </c>
      <c r="Y114" s="110" t="b">
        <f>IF(preDEL!$AG114,IFERROR(0/0,""),preDEL!Y114)</f>
        <v>0</v>
      </c>
      <c r="Z114" s="105" t="str">
        <f>IF(preDEL!$AG114,IFERROR(0/0,""),preDEL!Z114)</f>
        <v/>
      </c>
      <c r="AA114" s="110" t="b">
        <f>IF(preDEL!$AG114,IFERROR(0/0,""),preDEL!AA114)</f>
        <v>0</v>
      </c>
      <c r="AB114" s="110" t="b">
        <f>IF(preDEL!$AG114,IFERROR(0/0,""),preDEL!AB114)</f>
        <v>0</v>
      </c>
      <c r="AC114" s="172">
        <f>IF(preDEL!$AG114,IFERROR(0/0,""),preDEL!AC114)</f>
        <v>682</v>
      </c>
      <c r="AD114" s="104" t="b">
        <f>IF(preDEL!$AG114,IFERROR(0/0,""),preDEL!AD114)</f>
        <v>0</v>
      </c>
      <c r="AE114" s="173" t="str">
        <f>IF(preDEL!$AG114,IFERROR(0/0,""),preDEL!AE114)</f>
        <v/>
      </c>
      <c r="AF114" s="110" t="b">
        <f>IF(preDEL!$AG114,IFERROR(0/0,""),preDEL!AF114)</f>
        <v>0</v>
      </c>
      <c r="AG114" s="110" t="b">
        <f>IF(preDEL!$AG114,IFERROR(0/0,""),preDEL!AG114)</f>
        <v>0</v>
      </c>
      <c r="AH114" s="104" t="str">
        <f>IF(preDEL!$AG114,IFERROR(0/0,""),preDEL!AH114)</f>
        <v/>
      </c>
      <c r="AI114" s="105" t="str">
        <f>IF(preDEL!$AG114,IFERROR(0/0,""),preDEL!AI114)</f>
        <v/>
      </c>
      <c r="AJ114" s="112" t="str">
        <f>IF(preDEL!$AG114,IFERROR(0/0,""),preDEL!AJ114)</f>
        <v/>
      </c>
      <c r="AK114" s="105" t="str">
        <f>IF(preDEL!$AG114,IFERROR(0/0,""),preDEL!AK114)</f>
        <v>Negative</v>
      </c>
      <c r="AL114" s="112" t="str">
        <f>IF(preDEL!$AG114,IFERROR(0/0,""),preDEL!AL114)</f>
        <v/>
      </c>
      <c r="AM114" s="112" t="str">
        <f>IF(preDEL!$AG114,IFERROR(0/0,""),preDEL!AM114)</f>
        <v>SpBEND349435</v>
      </c>
      <c r="AN114" s="112" t="str">
        <f>IF(preDEL!$AG114,IFERROR(0/0,""),preDEL!AN114)</f>
        <v>BEND759602</v>
      </c>
      <c r="AO114" s="112" t="str">
        <f>IF(preDEL!$AG114,IFERROR(0/0,""),preDEL!AO114)</f>
        <v/>
      </c>
      <c r="AP114" s="112" t="str">
        <f>IF(preDEL!$AG114,IFERROR(0/0,""),preDEL!AP114)</f>
        <v/>
      </c>
      <c r="AQ114" s="112" t="str">
        <f>IF(preDEL!$AG114,IFERROR(0/0,""),preDEL!AQ114)</f>
        <v/>
      </c>
      <c r="AR114" s="112" t="str">
        <f>IF(preDEL!$AG114,IFERROR(0/0,""),preDEL!AR114)</f>
        <v/>
      </c>
      <c r="AS114" s="112" t="str">
        <f>IF(preDEL!$AG114,IFERROR(0/0,""),preDEL!AS114)</f>
        <v/>
      </c>
      <c r="AT114" s="112" t="b">
        <f>IF(preDEL!$AG114,IFERROR(0/0,""),preDEL!AT114)</f>
        <v>0</v>
      </c>
      <c r="AU114" s="112" t="str">
        <f>IF(preDEL!$AG114,IFERROR(0/0,""),preDEL!AU114)</f>
        <v/>
      </c>
      <c r="AV114" s="112" t="str">
        <f>IF(preDEL!$AG114,IFERROR(0/0,""),preDEL!AV114)</f>
        <v/>
      </c>
      <c r="AW114" s="112" t="str">
        <f>IF(preDEL!$AG114,IFERROR(0/0,""),preDEL!AW114)</f>
        <v/>
      </c>
      <c r="AX114" s="112" t="str">
        <f>IF(preDEL!$AG114,IFERROR(0/0,""),preDEL!AX114)</f>
        <v/>
      </c>
      <c r="AY114" s="112" t="str">
        <f>IF(preDEL!$AG114,IFERROR(0/0,""),preDEL!AY114)</f>
        <v/>
      </c>
      <c r="AZ114" s="174"/>
      <c r="BA114" s="174"/>
      <c r="BB114" s="174"/>
      <c r="BC114" s="174"/>
      <c r="BD114" s="174"/>
      <c r="BE114" s="174"/>
      <c r="BF114" s="174"/>
      <c r="BG114" s="174"/>
      <c r="BH114" s="174"/>
      <c r="BI114" s="174"/>
      <c r="BJ114" s="174"/>
      <c r="BK114" s="174"/>
      <c r="BL114" s="174"/>
      <c r="BM114" s="174"/>
      <c r="BN114" s="174"/>
      <c r="BO114" s="174"/>
      <c r="BP114" s="174"/>
      <c r="BQ114" s="174"/>
      <c r="BR114" s="174"/>
      <c r="BS114" s="174"/>
      <c r="BT114" s="174"/>
      <c r="BU114" s="174"/>
      <c r="BV114" s="174"/>
      <c r="BW114" s="174"/>
      <c r="BX114" s="174"/>
      <c r="BY114" s="174"/>
      <c r="BZ114" s="174"/>
      <c r="CA114" s="174"/>
      <c r="CB114" s="174"/>
      <c r="CC114" s="174"/>
      <c r="CD114" s="174"/>
    </row>
    <row r="115">
      <c r="A115" s="105" t="str">
        <f>IF(preDEL!$AG115,IFERROR(0/0,""),preDEL!A115)</f>
        <v>MA438</v>
      </c>
      <c r="B115" s="170">
        <f>IF(preDEL!$AG115,IFERROR(0/0,""),preDEL!B115)</f>
        <v>44567</v>
      </c>
      <c r="C115" s="171">
        <f>IF(preDEL!$AG115,IFERROR(0/0,""),preDEL!C115)</f>
        <v>0.3252662037</v>
      </c>
      <c r="D115" s="105" t="str">
        <f>IF(preDEL!$AG115,IFERROR(0/0,""),preDEL!D115)</f>
        <v/>
      </c>
      <c r="E115" s="105" t="str">
        <f>IF(preDEL!$AG115,IFERROR(0/0,""),preDEL!E115)</f>
        <v/>
      </c>
      <c r="F115" s="112" t="str">
        <f>IF(preDEL!$AG115,IFERROR(0/0,""),preDEL!F115)</f>
        <v/>
      </c>
      <c r="G115" s="112" t="str">
        <f>IF(preDEL!$AG115,IFERROR(0/0,""),preDEL!G115)</f>
        <v/>
      </c>
      <c r="H115" s="112" t="str">
        <f>IF(preDEL!$AG115,IFERROR(0/0,""),preDEL!H115)</f>
        <v/>
      </c>
      <c r="I115" s="105" t="str">
        <f>IF(preDEL!$AG115,IFERROR(0/0,""),preDEL!I115)</f>
        <v/>
      </c>
      <c r="J115" s="105" t="str">
        <f>IF(preDEL!$AG115,IFERROR(0/0,""),preDEL!J115)</f>
        <v/>
      </c>
      <c r="K115" s="105" t="str">
        <f>IF(preDEL!$AG115,IFERROR(0/0,""),preDEL!K115)</f>
        <v>Negative</v>
      </c>
      <c r="L115" s="170">
        <f>IF(preDEL!$AG115,IFERROR(0/0,""),preDEL!L115)</f>
        <v>44568</v>
      </c>
      <c r="M115" s="171">
        <f>IF(preDEL!$AG115,IFERROR(0/0,""),preDEL!M115)</f>
        <v>0.5079050926</v>
      </c>
      <c r="N115" s="112" t="str">
        <f>IF(preDEL!$AG115,IFERROR(0/0,""),preDEL!N115)</f>
        <v/>
      </c>
      <c r="O115" s="112" t="str">
        <f>IF(preDEL!$AG115,IFERROR(0/0,""),preDEL!O115)</f>
        <v/>
      </c>
      <c r="P115" s="110" t="b">
        <f>IF(preDEL!$AG115,IFERROR(0/0,""),preDEL!P115)</f>
        <v>0</v>
      </c>
      <c r="Q115" s="110" t="str">
        <f>IF(preDEL!$AG115,IFERROR(0/0,""),preDEL!Q115)</f>
        <v>Result</v>
      </c>
      <c r="R115" s="104" t="b">
        <f>IF(preDEL!$AG115,IFERROR(0/0,""),preDEL!R115)</f>
        <v>1</v>
      </c>
      <c r="S115" s="104">
        <f>IF(preDEL!$AG115,IFERROR(0/0,""),preDEL!S115)</f>
        <v>1</v>
      </c>
      <c r="T115" s="110" t="str">
        <f>IF(preDEL!$AG115,IFERROR(0/0,""),preDEL!T115)</f>
        <v/>
      </c>
      <c r="U115" s="112" t="str">
        <f>IF(preDEL!$AG115,IFERROR(0/0,""),preDEL!U115)</f>
        <v/>
      </c>
      <c r="V115" s="105" t="str">
        <f>IF(preDEL!$AG115,IFERROR(0/0,""),preDEL!V115)</f>
        <v/>
      </c>
      <c r="W115" s="112" t="str">
        <f>IF(preDEL!$AG115,IFERROR(0/0,""),preDEL!W115)</f>
        <v/>
      </c>
      <c r="X115" s="104" t="b">
        <f>IF(preDEL!$AG115,IFERROR(0/0,""),preDEL!X115)</f>
        <v>0</v>
      </c>
      <c r="Y115" s="110" t="b">
        <f>IF(preDEL!$AG115,IFERROR(0/0,""),preDEL!Y115)</f>
        <v>0</v>
      </c>
      <c r="Z115" s="105" t="str">
        <f>IF(preDEL!$AG115,IFERROR(0/0,""),preDEL!Z115)</f>
        <v/>
      </c>
      <c r="AA115" s="110" t="b">
        <f>IF(preDEL!$AG115,IFERROR(0/0,""),preDEL!AA115)</f>
        <v>0</v>
      </c>
      <c r="AB115" s="110" t="b">
        <f>IF(preDEL!$AG115,IFERROR(0/0,""),preDEL!AB115)</f>
        <v>0</v>
      </c>
      <c r="AC115" s="172">
        <f>IF(preDEL!$AG115,IFERROR(0/0,""),preDEL!AC115)</f>
        <v>681</v>
      </c>
      <c r="AD115" s="104" t="b">
        <f>IF(preDEL!$AG115,IFERROR(0/0,""),preDEL!AD115)</f>
        <v>0</v>
      </c>
      <c r="AE115" s="173" t="str">
        <f>IF(preDEL!$AG115,IFERROR(0/0,""),preDEL!AE115)</f>
        <v/>
      </c>
      <c r="AF115" s="110" t="b">
        <f>IF(preDEL!$AG115,IFERROR(0/0,""),preDEL!AF115)</f>
        <v>0</v>
      </c>
      <c r="AG115" s="110" t="b">
        <f>IF(preDEL!$AG115,IFERROR(0/0,""),preDEL!AG115)</f>
        <v>0</v>
      </c>
      <c r="AH115" s="104" t="str">
        <f>IF(preDEL!$AG115,IFERROR(0/0,""),preDEL!AH115)</f>
        <v/>
      </c>
      <c r="AI115" s="105" t="str">
        <f>IF(preDEL!$AG115,IFERROR(0/0,""),preDEL!AI115)</f>
        <v/>
      </c>
      <c r="AJ115" s="112" t="str">
        <f>IF(preDEL!$AG115,IFERROR(0/0,""),preDEL!AJ115)</f>
        <v/>
      </c>
      <c r="AK115" s="105" t="str">
        <f>IF(preDEL!$AG115,IFERROR(0/0,""),preDEL!AK115)</f>
        <v>Negative</v>
      </c>
      <c r="AL115" s="112" t="str">
        <f>IF(preDEL!$AG115,IFERROR(0/0,""),preDEL!AL115)</f>
        <v/>
      </c>
      <c r="AM115" s="112" t="str">
        <f>IF(preDEL!$AG115,IFERROR(0/0,""),preDEL!AM115)</f>
        <v>SpBEND768497</v>
      </c>
      <c r="AN115" s="112" t="str">
        <f>IF(preDEL!$AG115,IFERROR(0/0,""),preDEL!AN115)</f>
        <v>BEND900381</v>
      </c>
      <c r="AO115" s="112" t="str">
        <f>IF(preDEL!$AG115,IFERROR(0/0,""),preDEL!AO115)</f>
        <v/>
      </c>
      <c r="AP115" s="112" t="str">
        <f>IF(preDEL!$AG115,IFERROR(0/0,""),preDEL!AP115)</f>
        <v/>
      </c>
      <c r="AQ115" s="112" t="str">
        <f>IF(preDEL!$AG115,IFERROR(0/0,""),preDEL!AQ115)</f>
        <v/>
      </c>
      <c r="AR115" s="112" t="str">
        <f>IF(preDEL!$AG115,IFERROR(0/0,""),preDEL!AR115)</f>
        <v/>
      </c>
      <c r="AS115" s="112" t="str">
        <f>IF(preDEL!$AG115,IFERROR(0/0,""),preDEL!AS115)</f>
        <v/>
      </c>
      <c r="AT115" s="112" t="b">
        <f>IF(preDEL!$AG115,IFERROR(0/0,""),preDEL!AT115)</f>
        <v>0</v>
      </c>
      <c r="AU115" s="112" t="str">
        <f>IF(preDEL!$AG115,IFERROR(0/0,""),preDEL!AU115)</f>
        <v/>
      </c>
      <c r="AV115" s="112" t="str">
        <f>IF(preDEL!$AG115,IFERROR(0/0,""),preDEL!AV115)</f>
        <v/>
      </c>
      <c r="AW115" s="112" t="str">
        <f>IF(preDEL!$AG115,IFERROR(0/0,""),preDEL!AW115)</f>
        <v/>
      </c>
      <c r="AX115" s="112" t="str">
        <f>IF(preDEL!$AG115,IFERROR(0/0,""),preDEL!AX115)</f>
        <v/>
      </c>
      <c r="AY115" s="112" t="str">
        <f>IF(preDEL!$AG115,IFERROR(0/0,""),preDEL!AY115)</f>
        <v/>
      </c>
      <c r="AZ115" s="174"/>
      <c r="BA115" s="174"/>
      <c r="BB115" s="174"/>
      <c r="BC115" s="174"/>
      <c r="BD115" s="174"/>
      <c r="BE115" s="174"/>
      <c r="BF115" s="174"/>
      <c r="BG115" s="174"/>
      <c r="BH115" s="174"/>
      <c r="BI115" s="174"/>
      <c r="BJ115" s="174"/>
      <c r="BK115" s="174"/>
      <c r="BL115" s="174"/>
      <c r="BM115" s="174"/>
      <c r="BN115" s="174"/>
      <c r="BO115" s="174"/>
      <c r="BP115" s="174"/>
      <c r="BQ115" s="174"/>
      <c r="BR115" s="174"/>
      <c r="BS115" s="174"/>
      <c r="BT115" s="174"/>
      <c r="BU115" s="174"/>
      <c r="BV115" s="174"/>
      <c r="BW115" s="174"/>
      <c r="BX115" s="174"/>
      <c r="BY115" s="174"/>
      <c r="BZ115" s="174"/>
      <c r="CA115" s="174"/>
      <c r="CB115" s="174"/>
      <c r="CC115" s="174"/>
      <c r="CD115" s="174"/>
    </row>
    <row r="116">
      <c r="A116" s="105" t="str">
        <f>IF(preDEL!$AG116,IFERROR(0/0,""),preDEL!A116)</f>
        <v>MA556</v>
      </c>
      <c r="B116" s="170">
        <f>IF(preDEL!$AG116,IFERROR(0/0,""),preDEL!B116)</f>
        <v>44567</v>
      </c>
      <c r="C116" s="171">
        <f>IF(preDEL!$AG116,IFERROR(0/0,""),preDEL!C116)</f>
        <v>0.9539351852</v>
      </c>
      <c r="D116" s="105" t="str">
        <f>IF(preDEL!$AG116,IFERROR(0/0,""),preDEL!D116)</f>
        <v/>
      </c>
      <c r="E116" s="105" t="str">
        <f>IF(preDEL!$AG116,IFERROR(0/0,""),preDEL!E116)</f>
        <v/>
      </c>
      <c r="F116" s="112" t="str">
        <f>IF(preDEL!$AG116,IFERROR(0/0,""),preDEL!F116)</f>
        <v/>
      </c>
      <c r="G116" s="112" t="str">
        <f>IF(preDEL!$AG116,IFERROR(0/0,""),preDEL!G116)</f>
        <v/>
      </c>
      <c r="H116" s="112" t="str">
        <f>IF(preDEL!$AG116,IFERROR(0/0,""),preDEL!H116)</f>
        <v/>
      </c>
      <c r="I116" s="105" t="str">
        <f>IF(preDEL!$AG116,IFERROR(0/0,""),preDEL!I116)</f>
        <v/>
      </c>
      <c r="J116" s="105" t="str">
        <f>IF(preDEL!$AG116,IFERROR(0/0,""),preDEL!J116)</f>
        <v/>
      </c>
      <c r="K116" s="105" t="str">
        <f>IF(preDEL!$AG116,IFERROR(0/0,""),preDEL!K116)</f>
        <v>Negative</v>
      </c>
      <c r="L116" s="170">
        <f>IF(preDEL!$AG116,IFERROR(0/0,""),preDEL!L116)</f>
        <v>44568</v>
      </c>
      <c r="M116" s="171">
        <f>IF(preDEL!$AG116,IFERROR(0/0,""),preDEL!M116)</f>
        <v>0.5079050926</v>
      </c>
      <c r="N116" s="112" t="str">
        <f>IF(preDEL!$AG116,IFERROR(0/0,""),preDEL!N116)</f>
        <v/>
      </c>
      <c r="O116" s="112" t="str">
        <f>IF(preDEL!$AG116,IFERROR(0/0,""),preDEL!O116)</f>
        <v/>
      </c>
      <c r="P116" s="110" t="b">
        <f>IF(preDEL!$AG116,IFERROR(0/0,""),preDEL!P116)</f>
        <v>0</v>
      </c>
      <c r="Q116" s="110" t="str">
        <f>IF(preDEL!$AG116,IFERROR(0/0,""),preDEL!Q116)</f>
        <v>Result</v>
      </c>
      <c r="R116" s="104" t="b">
        <f>IF(preDEL!$AG116,IFERROR(0/0,""),preDEL!R116)</f>
        <v>1</v>
      </c>
      <c r="S116" s="104">
        <f>IF(preDEL!$AG116,IFERROR(0/0,""),preDEL!S116)</f>
        <v>1</v>
      </c>
      <c r="T116" s="110" t="str">
        <f>IF(preDEL!$AG116,IFERROR(0/0,""),preDEL!T116)</f>
        <v/>
      </c>
      <c r="U116" s="112" t="str">
        <f>IF(preDEL!$AG116,IFERROR(0/0,""),preDEL!U116)</f>
        <v/>
      </c>
      <c r="V116" s="105" t="str">
        <f>IF(preDEL!$AG116,IFERROR(0/0,""),preDEL!V116)</f>
        <v/>
      </c>
      <c r="W116" s="112" t="str">
        <f>IF(preDEL!$AG116,IFERROR(0/0,""),preDEL!W116)</f>
        <v/>
      </c>
      <c r="X116" s="104" t="b">
        <f>IF(preDEL!$AG116,IFERROR(0/0,""),preDEL!X116)</f>
        <v>0</v>
      </c>
      <c r="Y116" s="110" t="b">
        <f>IF(preDEL!$AG116,IFERROR(0/0,""),preDEL!Y116)</f>
        <v>0</v>
      </c>
      <c r="Z116" s="105" t="str">
        <f>IF(preDEL!$AG116,IFERROR(0/0,""),preDEL!Z116)</f>
        <v/>
      </c>
      <c r="AA116" s="110" t="b">
        <f>IF(preDEL!$AG116,IFERROR(0/0,""),preDEL!AA116)</f>
        <v>0</v>
      </c>
      <c r="AB116" s="110" t="b">
        <f>IF(preDEL!$AG116,IFERROR(0/0,""),preDEL!AB116)</f>
        <v>0</v>
      </c>
      <c r="AC116" s="172">
        <f>IF(preDEL!$AG116,IFERROR(0/0,""),preDEL!AC116)</f>
        <v>680</v>
      </c>
      <c r="AD116" s="104" t="b">
        <f>IF(preDEL!$AG116,IFERROR(0/0,""),preDEL!AD116)</f>
        <v>0</v>
      </c>
      <c r="AE116" s="173" t="str">
        <f>IF(preDEL!$AG116,IFERROR(0/0,""),preDEL!AE116)</f>
        <v/>
      </c>
      <c r="AF116" s="110" t="b">
        <f>IF(preDEL!$AG116,IFERROR(0/0,""),preDEL!AF116)</f>
        <v>0</v>
      </c>
      <c r="AG116" s="110" t="b">
        <f>IF(preDEL!$AG116,IFERROR(0/0,""),preDEL!AG116)</f>
        <v>0</v>
      </c>
      <c r="AH116" s="104" t="str">
        <f>IF(preDEL!$AG116,IFERROR(0/0,""),preDEL!AH116)</f>
        <v/>
      </c>
      <c r="AI116" s="105" t="str">
        <f>IF(preDEL!$AG116,IFERROR(0/0,""),preDEL!AI116)</f>
        <v/>
      </c>
      <c r="AJ116" s="112" t="str">
        <f>IF(preDEL!$AG116,IFERROR(0/0,""),preDEL!AJ116)</f>
        <v/>
      </c>
      <c r="AK116" s="105" t="str">
        <f>IF(preDEL!$AG116,IFERROR(0/0,""),preDEL!AK116)</f>
        <v>Negative</v>
      </c>
      <c r="AL116" s="112" t="str">
        <f>IF(preDEL!$AG116,IFERROR(0/0,""),preDEL!AL116)</f>
        <v/>
      </c>
      <c r="AM116" s="112" t="str">
        <f>IF(preDEL!$AG116,IFERROR(0/0,""),preDEL!AM116)</f>
        <v>SpBEND214692</v>
      </c>
      <c r="AN116" s="112" t="str">
        <f>IF(preDEL!$AG116,IFERROR(0/0,""),preDEL!AN116)</f>
        <v>BEND886978</v>
      </c>
      <c r="AO116" s="112" t="str">
        <f>IF(preDEL!$AG116,IFERROR(0/0,""),preDEL!AO116)</f>
        <v/>
      </c>
      <c r="AP116" s="112" t="str">
        <f>IF(preDEL!$AG116,IFERROR(0/0,""),preDEL!AP116)</f>
        <v/>
      </c>
      <c r="AQ116" s="112" t="str">
        <f>IF(preDEL!$AG116,IFERROR(0/0,""),preDEL!AQ116)</f>
        <v/>
      </c>
      <c r="AR116" s="112" t="str">
        <f>IF(preDEL!$AG116,IFERROR(0/0,""),preDEL!AR116)</f>
        <v/>
      </c>
      <c r="AS116" s="112" t="str">
        <f>IF(preDEL!$AG116,IFERROR(0/0,""),preDEL!AS116)</f>
        <v/>
      </c>
      <c r="AT116" s="112" t="b">
        <f>IF(preDEL!$AG116,IFERROR(0/0,""),preDEL!AT116)</f>
        <v>0</v>
      </c>
      <c r="AU116" s="112" t="str">
        <f>IF(preDEL!$AG116,IFERROR(0/0,""),preDEL!AU116)</f>
        <v/>
      </c>
      <c r="AV116" s="112" t="str">
        <f>IF(preDEL!$AG116,IFERROR(0/0,""),preDEL!AV116)</f>
        <v/>
      </c>
      <c r="AW116" s="112" t="str">
        <f>IF(preDEL!$AG116,IFERROR(0/0,""),preDEL!AW116)</f>
        <v/>
      </c>
      <c r="AX116" s="112" t="str">
        <f>IF(preDEL!$AG116,IFERROR(0/0,""),preDEL!AX116)</f>
        <v/>
      </c>
      <c r="AY116" s="112" t="str">
        <f>IF(preDEL!$AG116,IFERROR(0/0,""),preDEL!AY116)</f>
        <v/>
      </c>
      <c r="AZ116" s="174"/>
      <c r="BA116" s="174"/>
      <c r="BB116" s="174"/>
      <c r="BC116" s="174"/>
      <c r="BD116" s="174"/>
      <c r="BE116" s="174"/>
      <c r="BF116" s="174"/>
      <c r="BG116" s="174"/>
      <c r="BH116" s="174"/>
      <c r="BI116" s="174"/>
      <c r="BJ116" s="174"/>
      <c r="BK116" s="174"/>
      <c r="BL116" s="174"/>
      <c r="BM116" s="174"/>
      <c r="BN116" s="174"/>
      <c r="BO116" s="174"/>
      <c r="BP116" s="174"/>
      <c r="BQ116" s="174"/>
      <c r="BR116" s="174"/>
      <c r="BS116" s="174"/>
      <c r="BT116" s="174"/>
      <c r="BU116" s="174"/>
      <c r="BV116" s="174"/>
      <c r="BW116" s="174"/>
      <c r="BX116" s="174"/>
      <c r="BY116" s="174"/>
      <c r="BZ116" s="174"/>
      <c r="CA116" s="174"/>
      <c r="CB116" s="174"/>
      <c r="CC116" s="174"/>
      <c r="CD116" s="174"/>
    </row>
    <row r="117">
      <c r="A117" s="105" t="str">
        <f>IF(preDEL!$AG117,IFERROR(0/0,""),preDEL!A117)</f>
        <v>MA427</v>
      </c>
      <c r="B117" s="170">
        <f>IF(preDEL!$AG117,IFERROR(0/0,""),preDEL!B117)</f>
        <v>44567</v>
      </c>
      <c r="C117" s="171">
        <f>IF(preDEL!$AG117,IFERROR(0/0,""),preDEL!C117)</f>
        <v>0.9922800926</v>
      </c>
      <c r="D117" s="105" t="str">
        <f>IF(preDEL!$AG117,IFERROR(0/0,""),preDEL!D117)</f>
        <v/>
      </c>
      <c r="E117" s="105" t="str">
        <f>IF(preDEL!$AG117,IFERROR(0/0,""),preDEL!E117)</f>
        <v/>
      </c>
      <c r="F117" s="112" t="str">
        <f>IF(preDEL!$AG117,IFERROR(0/0,""),preDEL!F117)</f>
        <v/>
      </c>
      <c r="G117" s="112" t="str">
        <f>IF(preDEL!$AG117,IFERROR(0/0,""),preDEL!G117)</f>
        <v/>
      </c>
      <c r="H117" s="112" t="str">
        <f>IF(preDEL!$AG117,IFERROR(0/0,""),preDEL!H117)</f>
        <v/>
      </c>
      <c r="I117" s="105" t="str">
        <f>IF(preDEL!$AG117,IFERROR(0/0,""),preDEL!I117)</f>
        <v/>
      </c>
      <c r="J117" s="105" t="str">
        <f>IF(preDEL!$AG117,IFERROR(0/0,""),preDEL!J117)</f>
        <v/>
      </c>
      <c r="K117" s="105" t="str">
        <f>IF(preDEL!$AG117,IFERROR(0/0,""),preDEL!K117)</f>
        <v>Negative</v>
      </c>
      <c r="L117" s="170">
        <f>IF(preDEL!$AG117,IFERROR(0/0,""),preDEL!L117)</f>
        <v>44568</v>
      </c>
      <c r="M117" s="171">
        <f>IF(preDEL!$AG117,IFERROR(0/0,""),preDEL!M117)</f>
        <v>0.5079050926</v>
      </c>
      <c r="N117" s="112" t="str">
        <f>IF(preDEL!$AG117,IFERROR(0/0,""),preDEL!N117)</f>
        <v/>
      </c>
      <c r="O117" s="112" t="str">
        <f>IF(preDEL!$AG117,IFERROR(0/0,""),preDEL!O117)</f>
        <v/>
      </c>
      <c r="P117" s="110" t="b">
        <f>IF(preDEL!$AG117,IFERROR(0/0,""),preDEL!P117)</f>
        <v>0</v>
      </c>
      <c r="Q117" s="110" t="str">
        <f>IF(preDEL!$AG117,IFERROR(0/0,""),preDEL!Q117)</f>
        <v>Result</v>
      </c>
      <c r="R117" s="104" t="b">
        <f>IF(preDEL!$AG117,IFERROR(0/0,""),preDEL!R117)</f>
        <v>1</v>
      </c>
      <c r="S117" s="104">
        <f>IF(preDEL!$AG117,IFERROR(0/0,""),preDEL!S117)</f>
        <v>1</v>
      </c>
      <c r="T117" s="110" t="str">
        <f>IF(preDEL!$AG117,IFERROR(0/0,""),preDEL!T117)</f>
        <v/>
      </c>
      <c r="U117" s="112" t="str">
        <f>IF(preDEL!$AG117,IFERROR(0/0,""),preDEL!U117)</f>
        <v/>
      </c>
      <c r="V117" s="105" t="str">
        <f>IF(preDEL!$AG117,IFERROR(0/0,""),preDEL!V117)</f>
        <v/>
      </c>
      <c r="W117" s="112" t="str">
        <f>IF(preDEL!$AG117,IFERROR(0/0,""),preDEL!W117)</f>
        <v/>
      </c>
      <c r="X117" s="104" t="b">
        <f>IF(preDEL!$AG117,IFERROR(0/0,""),preDEL!X117)</f>
        <v>0</v>
      </c>
      <c r="Y117" s="110" t="b">
        <f>IF(preDEL!$AG117,IFERROR(0/0,""),preDEL!Y117)</f>
        <v>0</v>
      </c>
      <c r="Z117" s="105" t="str">
        <f>IF(preDEL!$AG117,IFERROR(0/0,""),preDEL!Z117)</f>
        <v/>
      </c>
      <c r="AA117" s="110" t="b">
        <f>IF(preDEL!$AG117,IFERROR(0/0,""),preDEL!AA117)</f>
        <v>0</v>
      </c>
      <c r="AB117" s="110" t="b">
        <f>IF(preDEL!$AG117,IFERROR(0/0,""),preDEL!AB117)</f>
        <v>0</v>
      </c>
      <c r="AC117" s="172">
        <f>IF(preDEL!$AG117,IFERROR(0/0,""),preDEL!AC117)</f>
        <v>679</v>
      </c>
      <c r="AD117" s="104" t="b">
        <f>IF(preDEL!$AG117,IFERROR(0/0,""),preDEL!AD117)</f>
        <v>0</v>
      </c>
      <c r="AE117" s="173" t="str">
        <f>IF(preDEL!$AG117,IFERROR(0/0,""),preDEL!AE117)</f>
        <v/>
      </c>
      <c r="AF117" s="110" t="b">
        <f>IF(preDEL!$AG117,IFERROR(0/0,""),preDEL!AF117)</f>
        <v>0</v>
      </c>
      <c r="AG117" s="110" t="b">
        <f>IF(preDEL!$AG117,IFERROR(0/0,""),preDEL!AG117)</f>
        <v>0</v>
      </c>
      <c r="AH117" s="104" t="str">
        <f>IF(preDEL!$AG117,IFERROR(0/0,""),preDEL!AH117)</f>
        <v/>
      </c>
      <c r="AI117" s="105" t="str">
        <f>IF(preDEL!$AG117,IFERROR(0/0,""),preDEL!AI117)</f>
        <v/>
      </c>
      <c r="AJ117" s="112" t="str">
        <f>IF(preDEL!$AG117,IFERROR(0/0,""),preDEL!AJ117)</f>
        <v/>
      </c>
      <c r="AK117" s="105" t="str">
        <f>IF(preDEL!$AG117,IFERROR(0/0,""),preDEL!AK117)</f>
        <v>Negative</v>
      </c>
      <c r="AL117" s="112" t="str">
        <f>IF(preDEL!$AG117,IFERROR(0/0,""),preDEL!AL117)</f>
        <v/>
      </c>
      <c r="AM117" s="112" t="str">
        <f>IF(preDEL!$AG117,IFERROR(0/0,""),preDEL!AM117)</f>
        <v>SpBEND492052</v>
      </c>
      <c r="AN117" s="112" t="str">
        <f>IF(preDEL!$AG117,IFERROR(0/0,""),preDEL!AN117)</f>
        <v>BEND350325</v>
      </c>
      <c r="AO117" s="112" t="str">
        <f>IF(preDEL!$AG117,IFERROR(0/0,""),preDEL!AO117)</f>
        <v/>
      </c>
      <c r="AP117" s="112" t="str">
        <f>IF(preDEL!$AG117,IFERROR(0/0,""),preDEL!AP117)</f>
        <v/>
      </c>
      <c r="AQ117" s="112" t="str">
        <f>IF(preDEL!$AG117,IFERROR(0/0,""),preDEL!AQ117)</f>
        <v/>
      </c>
      <c r="AR117" s="112" t="str">
        <f>IF(preDEL!$AG117,IFERROR(0/0,""),preDEL!AR117)</f>
        <v/>
      </c>
      <c r="AS117" s="112" t="str">
        <f>IF(preDEL!$AG117,IFERROR(0/0,""),preDEL!AS117)</f>
        <v/>
      </c>
      <c r="AT117" s="112" t="b">
        <f>IF(preDEL!$AG117,IFERROR(0/0,""),preDEL!AT117)</f>
        <v>0</v>
      </c>
      <c r="AU117" s="112" t="str">
        <f>IF(preDEL!$AG117,IFERROR(0/0,""),preDEL!AU117)</f>
        <v/>
      </c>
      <c r="AV117" s="112" t="str">
        <f>IF(preDEL!$AG117,IFERROR(0/0,""),preDEL!AV117)</f>
        <v/>
      </c>
      <c r="AW117" s="112" t="str">
        <f>IF(preDEL!$AG117,IFERROR(0/0,""),preDEL!AW117)</f>
        <v/>
      </c>
      <c r="AX117" s="112" t="str">
        <f>IF(preDEL!$AG117,IFERROR(0/0,""),preDEL!AX117)</f>
        <v/>
      </c>
      <c r="AY117" s="112" t="str">
        <f>IF(preDEL!$AG117,IFERROR(0/0,""),preDEL!AY117)</f>
        <v/>
      </c>
      <c r="AZ117" s="174"/>
      <c r="BA117" s="174"/>
      <c r="BB117" s="174"/>
      <c r="BC117" s="174"/>
      <c r="BD117" s="174"/>
      <c r="BE117" s="174"/>
      <c r="BF117" s="174"/>
      <c r="BG117" s="174"/>
      <c r="BH117" s="174"/>
      <c r="BI117" s="174"/>
      <c r="BJ117" s="174"/>
      <c r="BK117" s="174"/>
      <c r="BL117" s="174"/>
      <c r="BM117" s="174"/>
      <c r="BN117" s="174"/>
      <c r="BO117" s="174"/>
      <c r="BP117" s="174"/>
      <c r="BQ117" s="174"/>
      <c r="BR117" s="174"/>
      <c r="BS117" s="174"/>
      <c r="BT117" s="174"/>
      <c r="BU117" s="174"/>
      <c r="BV117" s="174"/>
      <c r="BW117" s="174"/>
      <c r="BX117" s="174"/>
      <c r="BY117" s="174"/>
      <c r="BZ117" s="174"/>
      <c r="CA117" s="174"/>
      <c r="CB117" s="174"/>
      <c r="CC117" s="174"/>
      <c r="CD117" s="174"/>
    </row>
    <row r="118">
      <c r="A118" s="105" t="str">
        <f>IF(preDEL!$AG118,IFERROR(0/0,""),preDEL!A118)</f>
        <v>MA1149</v>
      </c>
      <c r="B118" s="170">
        <f>IF(preDEL!$AG118,IFERROR(0/0,""),preDEL!B118)</f>
        <v>44568</v>
      </c>
      <c r="C118" s="171">
        <f>IF(preDEL!$AG118,IFERROR(0/0,""),preDEL!C118)</f>
        <v>0.02211805556</v>
      </c>
      <c r="D118" s="105" t="str">
        <f>IF(preDEL!$AG118,IFERROR(0/0,""),preDEL!D118)</f>
        <v/>
      </c>
      <c r="E118" s="105" t="str">
        <f>IF(preDEL!$AG118,IFERROR(0/0,""),preDEL!E118)</f>
        <v/>
      </c>
      <c r="F118" s="112" t="str">
        <f>IF(preDEL!$AG118,IFERROR(0/0,""),preDEL!F118)</f>
        <v/>
      </c>
      <c r="G118" s="112" t="str">
        <f>IF(preDEL!$AG118,IFERROR(0/0,""),preDEL!G118)</f>
        <v/>
      </c>
      <c r="H118" s="112" t="str">
        <f>IF(preDEL!$AG118,IFERROR(0/0,""),preDEL!H118)</f>
        <v/>
      </c>
      <c r="I118" s="105" t="str">
        <f>IF(preDEL!$AG118,IFERROR(0/0,""),preDEL!I118)</f>
        <v/>
      </c>
      <c r="J118" s="105" t="str">
        <f>IF(preDEL!$AG118,IFERROR(0/0,""),preDEL!J118)</f>
        <v/>
      </c>
      <c r="K118" s="105" t="str">
        <f>IF(preDEL!$AG118,IFERROR(0/0,""),preDEL!K118)</f>
        <v>Negative</v>
      </c>
      <c r="L118" s="170">
        <f>IF(preDEL!$AG118,IFERROR(0/0,""),preDEL!L118)</f>
        <v>44568</v>
      </c>
      <c r="M118" s="171">
        <f>IF(preDEL!$AG118,IFERROR(0/0,""),preDEL!M118)</f>
        <v>0.5079050926</v>
      </c>
      <c r="N118" s="112" t="str">
        <f>IF(preDEL!$AG118,IFERROR(0/0,""),preDEL!N118)</f>
        <v/>
      </c>
      <c r="O118" s="112" t="str">
        <f>IF(preDEL!$AG118,IFERROR(0/0,""),preDEL!O118)</f>
        <v/>
      </c>
      <c r="P118" s="110" t="b">
        <f>IF(preDEL!$AG118,IFERROR(0/0,""),preDEL!P118)</f>
        <v>0</v>
      </c>
      <c r="Q118" s="110" t="str">
        <f>IF(preDEL!$AG118,IFERROR(0/0,""),preDEL!Q118)</f>
        <v>Result</v>
      </c>
      <c r="R118" s="104" t="b">
        <f>IF(preDEL!$AG118,IFERROR(0/0,""),preDEL!R118)</f>
        <v>1</v>
      </c>
      <c r="S118" s="104">
        <f>IF(preDEL!$AG118,IFERROR(0/0,""),preDEL!S118)</f>
        <v>1</v>
      </c>
      <c r="T118" s="110" t="str">
        <f>IF(preDEL!$AG118,IFERROR(0/0,""),preDEL!T118)</f>
        <v/>
      </c>
      <c r="U118" s="112" t="str">
        <f>IF(preDEL!$AG118,IFERROR(0/0,""),preDEL!U118)</f>
        <v/>
      </c>
      <c r="V118" s="105" t="str">
        <f>IF(preDEL!$AG118,IFERROR(0/0,""),preDEL!V118)</f>
        <v/>
      </c>
      <c r="W118" s="112" t="str">
        <f>IF(preDEL!$AG118,IFERROR(0/0,""),preDEL!W118)</f>
        <v/>
      </c>
      <c r="X118" s="104" t="b">
        <f>IF(preDEL!$AG118,IFERROR(0/0,""),preDEL!X118)</f>
        <v>0</v>
      </c>
      <c r="Y118" s="110" t="b">
        <f>IF(preDEL!$AG118,IFERROR(0/0,""),preDEL!Y118)</f>
        <v>0</v>
      </c>
      <c r="Z118" s="105" t="str">
        <f>IF(preDEL!$AG118,IFERROR(0/0,""),preDEL!Z118)</f>
        <v/>
      </c>
      <c r="AA118" s="110" t="b">
        <f>IF(preDEL!$AG118,IFERROR(0/0,""),preDEL!AA118)</f>
        <v>0</v>
      </c>
      <c r="AB118" s="110" t="b">
        <f>IF(preDEL!$AG118,IFERROR(0/0,""),preDEL!AB118)</f>
        <v>0</v>
      </c>
      <c r="AC118" s="172">
        <f>IF(preDEL!$AG118,IFERROR(0/0,""),preDEL!AC118)</f>
        <v>678</v>
      </c>
      <c r="AD118" s="104" t="b">
        <f>IF(preDEL!$AG118,IFERROR(0/0,""),preDEL!AD118)</f>
        <v>0</v>
      </c>
      <c r="AE118" s="173">
        <f>IF(preDEL!$AG118,IFERROR(0/0,""),preDEL!AE118)</f>
        <v>699.5333333</v>
      </c>
      <c r="AF118" s="110" t="b">
        <f>IF(preDEL!$AG118,IFERROR(0/0,""),preDEL!AF118)</f>
        <v>0</v>
      </c>
      <c r="AG118" s="110" t="b">
        <f>IF(preDEL!$AG118,IFERROR(0/0,""),preDEL!AG118)</f>
        <v>0</v>
      </c>
      <c r="AH118" s="104" t="str">
        <f>IF(preDEL!$AG118,IFERROR(0/0,""),preDEL!AH118)</f>
        <v/>
      </c>
      <c r="AI118" s="105" t="str">
        <f>IF(preDEL!$AG118,IFERROR(0/0,""),preDEL!AI118)</f>
        <v/>
      </c>
      <c r="AJ118" s="112" t="str">
        <f>IF(preDEL!$AG118,IFERROR(0/0,""),preDEL!AJ118)</f>
        <v/>
      </c>
      <c r="AK118" s="105" t="str">
        <f>IF(preDEL!$AG118,IFERROR(0/0,""),preDEL!AK118)</f>
        <v>Negative</v>
      </c>
      <c r="AL118" s="112" t="str">
        <f>IF(preDEL!$AG118,IFERROR(0/0,""),preDEL!AL118)</f>
        <v/>
      </c>
      <c r="AM118" s="112" t="str">
        <f>IF(preDEL!$AG118,IFERROR(0/0,""),preDEL!AM118)</f>
        <v>SpBEND541174</v>
      </c>
      <c r="AN118" s="112" t="str">
        <f>IF(preDEL!$AG118,IFERROR(0/0,""),preDEL!AN118)</f>
        <v>BEND785384</v>
      </c>
      <c r="AO118" s="112" t="str">
        <f>IF(preDEL!$AG118,IFERROR(0/0,""),preDEL!AO118)</f>
        <v/>
      </c>
      <c r="AP118" s="112" t="str">
        <f>IF(preDEL!$AG118,IFERROR(0/0,""),preDEL!AP118)</f>
        <v/>
      </c>
      <c r="AQ118" s="112" t="str">
        <f>IF(preDEL!$AG118,IFERROR(0/0,""),preDEL!AQ118)</f>
        <v/>
      </c>
      <c r="AR118" s="112" t="str">
        <f>IF(preDEL!$AG118,IFERROR(0/0,""),preDEL!AR118)</f>
        <v/>
      </c>
      <c r="AS118" s="112" t="str">
        <f>IF(preDEL!$AG118,IFERROR(0/0,""),preDEL!AS118)</f>
        <v/>
      </c>
      <c r="AT118" s="112" t="b">
        <f>IF(preDEL!$AG118,IFERROR(0/0,""),preDEL!AT118)</f>
        <v>0</v>
      </c>
      <c r="AU118" s="112" t="str">
        <f>IF(preDEL!$AG118,IFERROR(0/0,""),preDEL!AU118)</f>
        <v/>
      </c>
      <c r="AV118" s="112" t="str">
        <f>IF(preDEL!$AG118,IFERROR(0/0,""),preDEL!AV118)</f>
        <v/>
      </c>
      <c r="AW118" s="112" t="str">
        <f>IF(preDEL!$AG118,IFERROR(0/0,""),preDEL!AW118)</f>
        <v/>
      </c>
      <c r="AX118" s="112" t="str">
        <f>IF(preDEL!$AG118,IFERROR(0/0,""),preDEL!AX118)</f>
        <v/>
      </c>
      <c r="AY118" s="112" t="str">
        <f>IF(preDEL!$AG118,IFERROR(0/0,""),preDEL!AY118)</f>
        <v/>
      </c>
      <c r="AZ118" s="174"/>
      <c r="BA118" s="174"/>
      <c r="BB118" s="174"/>
      <c r="BC118" s="174"/>
      <c r="BD118" s="174"/>
      <c r="BE118" s="174"/>
      <c r="BF118" s="174"/>
      <c r="BG118" s="174"/>
      <c r="BH118" s="174"/>
      <c r="BI118" s="174"/>
      <c r="BJ118" s="174"/>
      <c r="BK118" s="174"/>
      <c r="BL118" s="174"/>
      <c r="BM118" s="174"/>
      <c r="BN118" s="174"/>
      <c r="BO118" s="174"/>
      <c r="BP118" s="174"/>
      <c r="BQ118" s="174"/>
      <c r="BR118" s="174"/>
      <c r="BS118" s="174"/>
      <c r="BT118" s="174"/>
      <c r="BU118" s="174"/>
      <c r="BV118" s="174"/>
      <c r="BW118" s="174"/>
      <c r="BX118" s="174"/>
      <c r="BY118" s="174"/>
      <c r="BZ118" s="174"/>
      <c r="CA118" s="174"/>
      <c r="CB118" s="174"/>
      <c r="CC118" s="174"/>
      <c r="CD118" s="174"/>
    </row>
    <row r="119">
      <c r="A119" s="105" t="str">
        <f>IF(preDEL!$AG119,IFERROR(0/0,""),preDEL!A119)</f>
        <v>MA1228</v>
      </c>
      <c r="B119" s="170">
        <f>IF(preDEL!$AG119,IFERROR(0/0,""),preDEL!B119)</f>
        <v>44568</v>
      </c>
      <c r="C119" s="171">
        <f>IF(preDEL!$AG119,IFERROR(0/0,""),preDEL!C119)</f>
        <v>0.2975578704</v>
      </c>
      <c r="D119" s="105" t="str">
        <f>IF(preDEL!$AG119,IFERROR(0/0,""),preDEL!D119)</f>
        <v/>
      </c>
      <c r="E119" s="105" t="str">
        <f>IF(preDEL!$AG119,IFERROR(0/0,""),preDEL!E119)</f>
        <v/>
      </c>
      <c r="F119" s="112" t="str">
        <f>IF(preDEL!$AG119,IFERROR(0/0,""),preDEL!F119)</f>
        <v/>
      </c>
      <c r="G119" s="112" t="str">
        <f>IF(preDEL!$AG119,IFERROR(0/0,""),preDEL!G119)</f>
        <v/>
      </c>
      <c r="H119" s="112" t="str">
        <f>IF(preDEL!$AG119,IFERROR(0/0,""),preDEL!H119)</f>
        <v/>
      </c>
      <c r="I119" s="175" t="str">
        <f>IF(preDEL!$AG119,IFERROR(0/0,""),preDEL!I119)</f>
        <v/>
      </c>
      <c r="J119" s="105" t="str">
        <f>IF(preDEL!$AG119,IFERROR(0/0,""),preDEL!J119)</f>
        <v/>
      </c>
      <c r="K119" s="105" t="str">
        <f>IF(preDEL!$AG119,IFERROR(0/0,""),preDEL!K119)</f>
        <v>Negative</v>
      </c>
      <c r="L119" s="170">
        <f>IF(preDEL!$AG119,IFERROR(0/0,""),preDEL!L119)</f>
        <v>44568</v>
      </c>
      <c r="M119" s="171">
        <f>IF(preDEL!$AG119,IFERROR(0/0,""),preDEL!M119)</f>
        <v>0.5079050926</v>
      </c>
      <c r="N119" s="112" t="str">
        <f>IF(preDEL!$AG119,IFERROR(0/0,""),preDEL!N119)</f>
        <v>Primary</v>
      </c>
      <c r="O119" s="112" t="str">
        <f>IF(preDEL!$AG119,IFERROR(0/0,""),preDEL!O119)</f>
        <v/>
      </c>
      <c r="P119" s="110" t="b">
        <f>IF(preDEL!$AG119,IFERROR(0/0,""),preDEL!P119)</f>
        <v>0</v>
      </c>
      <c r="Q119" s="110" t="str">
        <f>IF(preDEL!$AG119,IFERROR(0/0,""),preDEL!Q119)</f>
        <v>Result</v>
      </c>
      <c r="R119" s="104" t="b">
        <f>IF(preDEL!$AG119,IFERROR(0/0,""),preDEL!R119)</f>
        <v>1</v>
      </c>
      <c r="S119" s="104">
        <f>IF(preDEL!$AG119,IFERROR(0/0,""),preDEL!S119)</f>
        <v>1</v>
      </c>
      <c r="T119" s="110">
        <f>IF(preDEL!$AG119,IFERROR(0/0,""),preDEL!T119)</f>
        <v>0</v>
      </c>
      <c r="U119" s="112" t="str">
        <f>IF(preDEL!$AG119,IFERROR(0/0,""),preDEL!U119)</f>
        <v/>
      </c>
      <c r="V119" s="105" t="str">
        <f>IF(preDEL!$AG119,IFERROR(0/0,""),preDEL!V119)</f>
        <v/>
      </c>
      <c r="W119" s="112" t="str">
        <f>IF(preDEL!$AG119,IFERROR(0/0,""),preDEL!W119)</f>
        <v/>
      </c>
      <c r="X119" s="104" t="b">
        <f>IF(preDEL!$AG119,IFERROR(0/0,""),preDEL!X119)</f>
        <v>0</v>
      </c>
      <c r="Y119" s="110" t="b">
        <f>IF(preDEL!$AG119,IFERROR(0/0,""),preDEL!Y119)</f>
        <v>0</v>
      </c>
      <c r="Z119" s="105" t="str">
        <f>IF(preDEL!$AG119,IFERROR(0/0,""),preDEL!Z119)</f>
        <v/>
      </c>
      <c r="AA119" s="110" t="b">
        <f>IF(preDEL!$AG119,IFERROR(0/0,""),preDEL!AA119)</f>
        <v>0</v>
      </c>
      <c r="AB119" s="110" t="b">
        <f>IF(preDEL!$AG119,IFERROR(0/0,""),preDEL!AB119)</f>
        <v>0</v>
      </c>
      <c r="AC119" s="172">
        <f>IF(preDEL!$AG119,IFERROR(0/0,""),preDEL!AC119)</f>
        <v>799</v>
      </c>
      <c r="AD119" s="104" t="b">
        <f>IF(preDEL!$AG119,IFERROR(0/0,""),preDEL!AD119)</f>
        <v>1</v>
      </c>
      <c r="AE119" s="173">
        <f>IF(preDEL!$AG119,IFERROR(0/0,""),preDEL!AE119)</f>
        <v>302.9</v>
      </c>
      <c r="AF119" s="110" t="b">
        <f>IF(preDEL!$AG119,IFERROR(0/0,""),preDEL!AF119)</f>
        <v>0</v>
      </c>
      <c r="AG119" s="110" t="b">
        <f>IF(preDEL!$AG119,IFERROR(0/0,""),preDEL!AG119)</f>
        <v>0</v>
      </c>
      <c r="AH119" s="104" t="str">
        <f>IF(preDEL!$AG119,IFERROR(0/0,""),preDEL!AH119)</f>
        <v/>
      </c>
      <c r="AI119" s="105" t="str">
        <f>IF(preDEL!$AG119,IFERROR(0/0,""),preDEL!AI119)</f>
        <v/>
      </c>
      <c r="AJ119" s="112" t="str">
        <f>IF(preDEL!$AG119,IFERROR(0/0,""),preDEL!AJ119)</f>
        <v/>
      </c>
      <c r="AK119" s="105" t="str">
        <f>IF(preDEL!$AG119,IFERROR(0/0,""),preDEL!AK119)</f>
        <v>Negative</v>
      </c>
      <c r="AL119" s="112" t="str">
        <f>IF(preDEL!$AG119,IFERROR(0/0,""),preDEL!AL119)</f>
        <v/>
      </c>
      <c r="AM119" s="112" t="str">
        <f>IF(preDEL!$AG119,IFERROR(0/0,""),preDEL!AM119)</f>
        <v>SpBEND269695</v>
      </c>
      <c r="AN119" s="112" t="str">
        <f>IF(preDEL!$AG119,IFERROR(0/0,""),preDEL!AN119)</f>
        <v>BEND200214</v>
      </c>
      <c r="AO119" s="112" t="str">
        <f>IF(preDEL!$AG119,IFERROR(0/0,""),preDEL!AO119)</f>
        <v/>
      </c>
      <c r="AP119" s="112" t="str">
        <f>IF(preDEL!$AG119,IFERROR(0/0,""),preDEL!AP119)</f>
        <v/>
      </c>
      <c r="AQ119" s="112" t="str">
        <f>IF(preDEL!$AG119,IFERROR(0/0,""),preDEL!AQ119)</f>
        <v/>
      </c>
      <c r="AR119" s="112" t="str">
        <f>IF(preDEL!$AG119,IFERROR(0/0,""),preDEL!AR119)</f>
        <v/>
      </c>
      <c r="AS119" s="112" t="str">
        <f>IF(preDEL!$AG119,IFERROR(0/0,""),preDEL!AS119)</f>
        <v/>
      </c>
      <c r="AT119" s="112" t="b">
        <f>IF(preDEL!$AG119,IFERROR(0/0,""),preDEL!AT119)</f>
        <v>0</v>
      </c>
      <c r="AU119" s="112" t="str">
        <f>IF(preDEL!$AG119,IFERROR(0/0,""),preDEL!AU119)</f>
        <v/>
      </c>
      <c r="AV119" s="112" t="str">
        <f>IF(preDEL!$AG119,IFERROR(0/0,""),preDEL!AV119)</f>
        <v/>
      </c>
      <c r="AW119" s="112" t="str">
        <f>IF(preDEL!$AG119,IFERROR(0/0,""),preDEL!AW119)</f>
        <v/>
      </c>
      <c r="AX119" s="112" t="str">
        <f>IF(preDEL!$AG119,IFERROR(0/0,""),preDEL!AX119)</f>
        <v/>
      </c>
      <c r="AY119" s="112" t="str">
        <f>IF(preDEL!$AG119,IFERROR(0/0,""),preDEL!AY119)</f>
        <v/>
      </c>
      <c r="AZ119" s="174"/>
      <c r="BA119" s="174"/>
      <c r="BB119" s="174"/>
      <c r="BC119" s="174"/>
      <c r="BD119" s="174"/>
      <c r="BE119" s="174"/>
      <c r="BF119" s="174"/>
      <c r="BG119" s="174"/>
      <c r="BH119" s="174"/>
      <c r="BI119" s="174"/>
      <c r="BJ119" s="174"/>
      <c r="BK119" s="174"/>
      <c r="BL119" s="174"/>
      <c r="BM119" s="174"/>
      <c r="BN119" s="174"/>
      <c r="BO119" s="174"/>
      <c r="BP119" s="174"/>
      <c r="BQ119" s="174"/>
      <c r="BR119" s="174"/>
      <c r="BS119" s="174"/>
      <c r="BT119" s="174"/>
      <c r="BU119" s="174"/>
      <c r="BV119" s="174"/>
      <c r="BW119" s="174"/>
      <c r="BX119" s="174"/>
      <c r="BY119" s="174"/>
      <c r="BZ119" s="174"/>
      <c r="CA119" s="174"/>
      <c r="CB119" s="174"/>
      <c r="CC119" s="174"/>
      <c r="CD119" s="174"/>
    </row>
    <row r="120">
      <c r="A120" s="105" t="str">
        <f>IF(preDEL!$AG120,IFERROR(0/0,""),preDEL!A120)</f>
        <v>MA1177</v>
      </c>
      <c r="B120" s="170">
        <f>IF(preDEL!$AG120,IFERROR(0/0,""),preDEL!B120)</f>
        <v>44568</v>
      </c>
      <c r="C120" s="171">
        <f>IF(preDEL!$AG120,IFERROR(0/0,""),preDEL!C120)</f>
        <v>0.2981828704</v>
      </c>
      <c r="D120" s="105" t="str">
        <f>IF(preDEL!$AG120,IFERROR(0/0,""),preDEL!D120)</f>
        <v/>
      </c>
      <c r="E120" s="105" t="str">
        <f>IF(preDEL!$AG120,IFERROR(0/0,""),preDEL!E120)</f>
        <v/>
      </c>
      <c r="F120" s="112" t="str">
        <f>IF(preDEL!$AG120,IFERROR(0/0,""),preDEL!F120)</f>
        <v/>
      </c>
      <c r="G120" s="112" t="str">
        <f>IF(preDEL!$AG120,IFERROR(0/0,""),preDEL!G120)</f>
        <v/>
      </c>
      <c r="H120" s="176" t="str">
        <f>IF(preDEL!$AG120,IFERROR(0/0,""),preDEL!H120)</f>
        <v/>
      </c>
      <c r="I120" s="175" t="str">
        <f>IF(preDEL!$AG120,IFERROR(0/0,""),preDEL!I120)</f>
        <v/>
      </c>
      <c r="J120" s="105" t="str">
        <f>IF(preDEL!$AG120,IFERROR(0/0,""),preDEL!J120)</f>
        <v/>
      </c>
      <c r="K120" s="105" t="str">
        <f>IF(preDEL!$AG120,IFERROR(0/0,""),preDEL!K120)</f>
        <v>Negative</v>
      </c>
      <c r="L120" s="170">
        <f>IF(preDEL!$AG120,IFERROR(0/0,""),preDEL!L120)</f>
        <v>44568</v>
      </c>
      <c r="M120" s="171">
        <f>IF(preDEL!$AG120,IFERROR(0/0,""),preDEL!M120)</f>
        <v>0.5079050926</v>
      </c>
      <c r="N120" s="112" t="str">
        <f>IF(preDEL!$AG120,IFERROR(0/0,""),preDEL!N120)</f>
        <v>Primary</v>
      </c>
      <c r="O120" s="112" t="str">
        <f>IF(preDEL!$AG120,IFERROR(0/0,""),preDEL!O120)</f>
        <v/>
      </c>
      <c r="P120" s="110" t="b">
        <f>IF(preDEL!$AG120,IFERROR(0/0,""),preDEL!P120)</f>
        <v>0</v>
      </c>
      <c r="Q120" s="110" t="str">
        <f>IF(preDEL!$AG120,IFERROR(0/0,""),preDEL!Q120)</f>
        <v>Result</v>
      </c>
      <c r="R120" s="104" t="b">
        <f>IF(preDEL!$AG120,IFERROR(0/0,""),preDEL!R120)</f>
        <v>1</v>
      </c>
      <c r="S120" s="104">
        <f>IF(preDEL!$AG120,IFERROR(0/0,""),preDEL!S120)</f>
        <v>1</v>
      </c>
      <c r="T120" s="110">
        <f>IF(preDEL!$AG120,IFERROR(0/0,""),preDEL!T120)</f>
        <v>0</v>
      </c>
      <c r="U120" s="112" t="str">
        <f>IF(preDEL!$AG120,IFERROR(0/0,""),preDEL!U120)</f>
        <v/>
      </c>
      <c r="V120" s="105" t="str">
        <f>IF(preDEL!$AG120,IFERROR(0/0,""),preDEL!V120)</f>
        <v/>
      </c>
      <c r="W120" s="112" t="str">
        <f>IF(preDEL!$AG120,IFERROR(0/0,""),preDEL!W120)</f>
        <v/>
      </c>
      <c r="X120" s="104" t="b">
        <f>IF(preDEL!$AG120,IFERROR(0/0,""),preDEL!X120)</f>
        <v>0</v>
      </c>
      <c r="Y120" s="110" t="b">
        <f>IF(preDEL!$AG120,IFERROR(0/0,""),preDEL!Y120)</f>
        <v>0</v>
      </c>
      <c r="Z120" s="105" t="str">
        <f>IF(preDEL!$AG120,IFERROR(0/0,""),preDEL!Z120)</f>
        <v/>
      </c>
      <c r="AA120" s="110" t="b">
        <f>IF(preDEL!$AG120,IFERROR(0/0,""),preDEL!AA120)</f>
        <v>0</v>
      </c>
      <c r="AB120" s="110" t="b">
        <f>IF(preDEL!$AG120,IFERROR(0/0,""),preDEL!AB120)</f>
        <v>0</v>
      </c>
      <c r="AC120" s="172">
        <f>IF(preDEL!$AG120,IFERROR(0/0,""),preDEL!AC120)</f>
        <v>795</v>
      </c>
      <c r="AD120" s="104" t="b">
        <f>IF(preDEL!$AG120,IFERROR(0/0,""),preDEL!AD120)</f>
        <v>1</v>
      </c>
      <c r="AE120" s="173">
        <f>IF(preDEL!$AG120,IFERROR(0/0,""),preDEL!AE120)</f>
        <v>302</v>
      </c>
      <c r="AF120" s="110" t="b">
        <f>IF(preDEL!$AG120,IFERROR(0/0,""),preDEL!AF120)</f>
        <v>0</v>
      </c>
      <c r="AG120" s="110" t="b">
        <f>IF(preDEL!$AG120,IFERROR(0/0,""),preDEL!AG120)</f>
        <v>0</v>
      </c>
      <c r="AH120" s="104" t="str">
        <f>IF(preDEL!$AG120,IFERROR(0/0,""),preDEL!AH120)</f>
        <v/>
      </c>
      <c r="AI120" s="105" t="str">
        <f>IF(preDEL!$AG120,IFERROR(0/0,""),preDEL!AI120)</f>
        <v/>
      </c>
      <c r="AJ120" s="112" t="str">
        <f>IF(preDEL!$AG120,IFERROR(0/0,""),preDEL!AJ120)</f>
        <v/>
      </c>
      <c r="AK120" s="105" t="str">
        <f>IF(preDEL!$AG120,IFERROR(0/0,""),preDEL!AK120)</f>
        <v>Negative</v>
      </c>
      <c r="AL120" s="112" t="str">
        <f>IF(preDEL!$AG120,IFERROR(0/0,""),preDEL!AL120)</f>
        <v/>
      </c>
      <c r="AM120" s="112" t="str">
        <f>IF(preDEL!$AG120,IFERROR(0/0,""),preDEL!AM120)</f>
        <v>SpBEND269695</v>
      </c>
      <c r="AN120" s="112" t="str">
        <f>IF(preDEL!$AG120,IFERROR(0/0,""),preDEL!AN120)</f>
        <v>BEND501720</v>
      </c>
      <c r="AO120" s="112" t="str">
        <f>IF(preDEL!$AG120,IFERROR(0/0,""),preDEL!AO120)</f>
        <v/>
      </c>
      <c r="AP120" s="112" t="str">
        <f>IF(preDEL!$AG120,IFERROR(0/0,""),preDEL!AP120)</f>
        <v/>
      </c>
      <c r="AQ120" s="112" t="str">
        <f>IF(preDEL!$AG120,IFERROR(0/0,""),preDEL!AQ120)</f>
        <v/>
      </c>
      <c r="AR120" s="112" t="str">
        <f>IF(preDEL!$AG120,IFERROR(0/0,""),preDEL!AR120)</f>
        <v/>
      </c>
      <c r="AS120" s="112" t="str">
        <f>IF(preDEL!$AG120,IFERROR(0/0,""),preDEL!AS120)</f>
        <v/>
      </c>
      <c r="AT120" s="112" t="b">
        <f>IF(preDEL!$AG120,IFERROR(0/0,""),preDEL!AT120)</f>
        <v>0</v>
      </c>
      <c r="AU120" s="112" t="str">
        <f>IF(preDEL!$AG120,IFERROR(0/0,""),preDEL!AU120)</f>
        <v/>
      </c>
      <c r="AV120" s="112" t="str">
        <f>IF(preDEL!$AG120,IFERROR(0/0,""),preDEL!AV120)</f>
        <v/>
      </c>
      <c r="AW120" s="112" t="str">
        <f>IF(preDEL!$AG120,IFERROR(0/0,""),preDEL!AW120)</f>
        <v/>
      </c>
      <c r="AX120" s="112" t="str">
        <f>IF(preDEL!$AG120,IFERROR(0/0,""),preDEL!AX120)</f>
        <v/>
      </c>
      <c r="AY120" s="112" t="str">
        <f>IF(preDEL!$AG120,IFERROR(0/0,""),preDEL!AY120)</f>
        <v/>
      </c>
      <c r="AZ120" s="174"/>
      <c r="BA120" s="174"/>
      <c r="BB120" s="174"/>
      <c r="BC120" s="174"/>
      <c r="BD120" s="174"/>
      <c r="BE120" s="174"/>
      <c r="BF120" s="174"/>
      <c r="BG120" s="174"/>
      <c r="BH120" s="174"/>
      <c r="BI120" s="174"/>
      <c r="BJ120" s="174"/>
      <c r="BK120" s="174"/>
      <c r="BL120" s="174"/>
      <c r="BM120" s="174"/>
      <c r="BN120" s="174"/>
      <c r="BO120" s="174"/>
      <c r="BP120" s="174"/>
      <c r="BQ120" s="174"/>
      <c r="BR120" s="174"/>
      <c r="BS120" s="174"/>
      <c r="BT120" s="174"/>
      <c r="BU120" s="174"/>
      <c r="BV120" s="174"/>
      <c r="BW120" s="174"/>
      <c r="BX120" s="174"/>
      <c r="BY120" s="174"/>
      <c r="BZ120" s="174"/>
      <c r="CA120" s="174"/>
      <c r="CB120" s="174"/>
      <c r="CC120" s="174"/>
      <c r="CD120" s="174"/>
    </row>
    <row r="121">
      <c r="A121" s="105" t="str">
        <f>IF(preDEL!$AG121,IFERROR(0/0,""),preDEL!A121)</f>
        <v>MA1224</v>
      </c>
      <c r="B121" s="170">
        <f>IF(preDEL!$AG121,IFERROR(0/0,""),preDEL!B121)</f>
        <v>44568</v>
      </c>
      <c r="C121" s="171">
        <f>IF(preDEL!$AG121,IFERROR(0/0,""),preDEL!C121)</f>
        <v>0.2986342593</v>
      </c>
      <c r="D121" s="105" t="str">
        <f>IF(preDEL!$AG121,IFERROR(0/0,""),preDEL!D121)</f>
        <v/>
      </c>
      <c r="E121" s="105" t="str">
        <f>IF(preDEL!$AG121,IFERROR(0/0,""),preDEL!E121)</f>
        <v/>
      </c>
      <c r="F121" s="112" t="str">
        <f>IF(preDEL!$AG121,IFERROR(0/0,""),preDEL!F121)</f>
        <v/>
      </c>
      <c r="G121" s="112" t="str">
        <f>IF(preDEL!$AG121,IFERROR(0/0,""),preDEL!G121)</f>
        <v/>
      </c>
      <c r="H121" s="112" t="str">
        <f>IF(preDEL!$AG121,IFERROR(0/0,""),preDEL!H121)</f>
        <v/>
      </c>
      <c r="I121" s="175" t="str">
        <f>IF(preDEL!$AG121,IFERROR(0/0,""),preDEL!I121)</f>
        <v/>
      </c>
      <c r="J121" s="105" t="str">
        <f>IF(preDEL!$AG121,IFERROR(0/0,""),preDEL!J121)</f>
        <v/>
      </c>
      <c r="K121" s="105" t="str">
        <f>IF(preDEL!$AG121,IFERROR(0/0,""),preDEL!K121)</f>
        <v>Negative</v>
      </c>
      <c r="L121" s="170">
        <f>IF(preDEL!$AG121,IFERROR(0/0,""),preDEL!L121)</f>
        <v>44568</v>
      </c>
      <c r="M121" s="171">
        <f>IF(preDEL!$AG121,IFERROR(0/0,""),preDEL!M121)</f>
        <v>0.5079050926</v>
      </c>
      <c r="N121" s="112" t="str">
        <f>IF(preDEL!$AG121,IFERROR(0/0,""),preDEL!N121)</f>
        <v>Primary</v>
      </c>
      <c r="O121" s="112" t="str">
        <f>IF(preDEL!$AG121,IFERROR(0/0,""),preDEL!O121)</f>
        <v/>
      </c>
      <c r="P121" s="110" t="b">
        <f>IF(preDEL!$AG121,IFERROR(0/0,""),preDEL!P121)</f>
        <v>0</v>
      </c>
      <c r="Q121" s="110" t="str">
        <f>IF(preDEL!$AG121,IFERROR(0/0,""),preDEL!Q121)</f>
        <v>Result</v>
      </c>
      <c r="R121" s="104" t="b">
        <f>IF(preDEL!$AG121,IFERROR(0/0,""),preDEL!R121)</f>
        <v>1</v>
      </c>
      <c r="S121" s="104">
        <f>IF(preDEL!$AG121,IFERROR(0/0,""),preDEL!S121)</f>
        <v>1</v>
      </c>
      <c r="T121" s="110">
        <f>IF(preDEL!$AG121,IFERROR(0/0,""),preDEL!T121)</f>
        <v>0</v>
      </c>
      <c r="U121" s="112" t="str">
        <f>IF(preDEL!$AG121,IFERROR(0/0,""),preDEL!U121)</f>
        <v/>
      </c>
      <c r="V121" s="105" t="str">
        <f>IF(preDEL!$AG121,IFERROR(0/0,""),preDEL!V121)</f>
        <v/>
      </c>
      <c r="W121" s="112" t="str">
        <f>IF(preDEL!$AG121,IFERROR(0/0,""),preDEL!W121)</f>
        <v/>
      </c>
      <c r="X121" s="104" t="b">
        <f>IF(preDEL!$AG121,IFERROR(0/0,""),preDEL!X121)</f>
        <v>0</v>
      </c>
      <c r="Y121" s="110" t="b">
        <f>IF(preDEL!$AG121,IFERROR(0/0,""),preDEL!Y121)</f>
        <v>0</v>
      </c>
      <c r="Z121" s="105" t="str">
        <f>IF(preDEL!$AG121,IFERROR(0/0,""),preDEL!Z121)</f>
        <v/>
      </c>
      <c r="AA121" s="110" t="b">
        <f>IF(preDEL!$AG121,IFERROR(0/0,""),preDEL!AA121)</f>
        <v>0</v>
      </c>
      <c r="AB121" s="110" t="b">
        <f>IF(preDEL!$AG121,IFERROR(0/0,""),preDEL!AB121)</f>
        <v>0</v>
      </c>
      <c r="AC121" s="172">
        <f>IF(preDEL!$AG121,IFERROR(0/0,""),preDEL!AC121)</f>
        <v>797</v>
      </c>
      <c r="AD121" s="104" t="b">
        <f>IF(preDEL!$AG121,IFERROR(0/0,""),preDEL!AD121)</f>
        <v>1</v>
      </c>
      <c r="AE121" s="173">
        <f>IF(preDEL!$AG121,IFERROR(0/0,""),preDEL!AE121)</f>
        <v>301.35</v>
      </c>
      <c r="AF121" s="110" t="b">
        <f>IF(preDEL!$AG121,IFERROR(0/0,""),preDEL!AF121)</f>
        <v>0</v>
      </c>
      <c r="AG121" s="110" t="b">
        <f>IF(preDEL!$AG121,IFERROR(0/0,""),preDEL!AG121)</f>
        <v>0</v>
      </c>
      <c r="AH121" s="104" t="str">
        <f>IF(preDEL!$AG121,IFERROR(0/0,""),preDEL!AH121)</f>
        <v/>
      </c>
      <c r="AI121" s="105" t="str">
        <f>IF(preDEL!$AG121,IFERROR(0/0,""),preDEL!AI121)</f>
        <v/>
      </c>
      <c r="AJ121" s="112" t="str">
        <f>IF(preDEL!$AG121,IFERROR(0/0,""),preDEL!AJ121)</f>
        <v/>
      </c>
      <c r="AK121" s="105" t="str">
        <f>IF(preDEL!$AG121,IFERROR(0/0,""),preDEL!AK121)</f>
        <v>Negative</v>
      </c>
      <c r="AL121" s="112" t="str">
        <f>IF(preDEL!$AG121,IFERROR(0/0,""),preDEL!AL121)</f>
        <v/>
      </c>
      <c r="AM121" s="112" t="str">
        <f>IF(preDEL!$AG121,IFERROR(0/0,""),preDEL!AM121)</f>
        <v>SpBEND269695</v>
      </c>
      <c r="AN121" s="112" t="str">
        <f>IF(preDEL!$AG121,IFERROR(0/0,""),preDEL!AN121)</f>
        <v>BEND417561</v>
      </c>
      <c r="AO121" s="112" t="str">
        <f>IF(preDEL!$AG121,IFERROR(0/0,""),preDEL!AO121)</f>
        <v/>
      </c>
      <c r="AP121" s="112" t="str">
        <f>IF(preDEL!$AG121,IFERROR(0/0,""),preDEL!AP121)</f>
        <v/>
      </c>
      <c r="AQ121" s="112" t="str">
        <f>IF(preDEL!$AG121,IFERROR(0/0,""),preDEL!AQ121)</f>
        <v/>
      </c>
      <c r="AR121" s="112" t="str">
        <f>IF(preDEL!$AG121,IFERROR(0/0,""),preDEL!AR121)</f>
        <v/>
      </c>
      <c r="AS121" s="112" t="str">
        <f>IF(preDEL!$AG121,IFERROR(0/0,""),preDEL!AS121)</f>
        <v/>
      </c>
      <c r="AT121" s="112" t="b">
        <f>IF(preDEL!$AG121,IFERROR(0/0,""),preDEL!AT121)</f>
        <v>0</v>
      </c>
      <c r="AU121" s="112" t="str">
        <f>IF(preDEL!$AG121,IFERROR(0/0,""),preDEL!AU121)</f>
        <v/>
      </c>
      <c r="AV121" s="112" t="str">
        <f>IF(preDEL!$AG121,IFERROR(0/0,""),preDEL!AV121)</f>
        <v/>
      </c>
      <c r="AW121" s="112" t="str">
        <f>IF(preDEL!$AG121,IFERROR(0/0,""),preDEL!AW121)</f>
        <v/>
      </c>
      <c r="AX121" s="112" t="str">
        <f>IF(preDEL!$AG121,IFERROR(0/0,""),preDEL!AX121)</f>
        <v/>
      </c>
      <c r="AY121" s="112" t="str">
        <f>IF(preDEL!$AG121,IFERROR(0/0,""),preDEL!AY121)</f>
        <v/>
      </c>
      <c r="AZ121" s="174"/>
      <c r="BA121" s="174"/>
      <c r="BB121" s="174"/>
      <c r="BC121" s="174"/>
      <c r="BD121" s="174"/>
      <c r="BE121" s="174"/>
      <c r="BF121" s="174"/>
      <c r="BG121" s="174"/>
      <c r="BH121" s="174"/>
      <c r="BI121" s="174"/>
      <c r="BJ121" s="174"/>
      <c r="BK121" s="174"/>
      <c r="BL121" s="174"/>
      <c r="BM121" s="174"/>
      <c r="BN121" s="174"/>
      <c r="BO121" s="174"/>
      <c r="BP121" s="174"/>
      <c r="BQ121" s="174"/>
      <c r="BR121" s="174"/>
      <c r="BS121" s="174"/>
      <c r="BT121" s="174"/>
      <c r="BU121" s="174"/>
      <c r="BV121" s="174"/>
      <c r="BW121" s="174"/>
      <c r="BX121" s="174"/>
      <c r="BY121" s="174"/>
      <c r="BZ121" s="174"/>
      <c r="CA121" s="174"/>
      <c r="CB121" s="174"/>
      <c r="CC121" s="174"/>
      <c r="CD121" s="174"/>
    </row>
    <row r="122">
      <c r="A122" s="105" t="str">
        <f>IF(preDEL!$AG122,IFERROR(0/0,""),preDEL!A122)</f>
        <v>MA1143</v>
      </c>
      <c r="B122" s="170">
        <f>IF(preDEL!$AG122,IFERROR(0/0,""),preDEL!B122)</f>
        <v>44568</v>
      </c>
      <c r="C122" s="171">
        <f>IF(preDEL!$AG122,IFERROR(0/0,""),preDEL!C122)</f>
        <v>0.3139351852</v>
      </c>
      <c r="D122" s="105" t="str">
        <f>IF(preDEL!$AG122,IFERROR(0/0,""),preDEL!D122)</f>
        <v/>
      </c>
      <c r="E122" s="105" t="str">
        <f>IF(preDEL!$AG122,IFERROR(0/0,""),preDEL!E122)</f>
        <v/>
      </c>
      <c r="F122" s="112" t="str">
        <f>IF(preDEL!$AG122,IFERROR(0/0,""),preDEL!F122)</f>
        <v/>
      </c>
      <c r="G122" s="112" t="str">
        <f>IF(preDEL!$AG122,IFERROR(0/0,""),preDEL!G122)</f>
        <v/>
      </c>
      <c r="H122" s="112" t="str">
        <f>IF(preDEL!$AG122,IFERROR(0/0,""),preDEL!H122)</f>
        <v/>
      </c>
      <c r="I122" s="105" t="str">
        <f>IF(preDEL!$AG122,IFERROR(0/0,""),preDEL!I122)</f>
        <v/>
      </c>
      <c r="J122" s="105" t="str">
        <f>IF(preDEL!$AG122,IFERROR(0/0,""),preDEL!J122)</f>
        <v/>
      </c>
      <c r="K122" s="105" t="str">
        <f>IF(preDEL!$AG122,IFERROR(0/0,""),preDEL!K122)</f>
        <v>Negative</v>
      </c>
      <c r="L122" s="170">
        <f>IF(preDEL!$AG122,IFERROR(0/0,""),preDEL!L122)</f>
        <v>44568</v>
      </c>
      <c r="M122" s="171">
        <f>IF(preDEL!$AG122,IFERROR(0/0,""),preDEL!M122)</f>
        <v>0.5079050926</v>
      </c>
      <c r="N122" s="112" t="str">
        <f>IF(preDEL!$AG122,IFERROR(0/0,""),preDEL!N122)</f>
        <v/>
      </c>
      <c r="O122" s="112" t="str">
        <f>IF(preDEL!$AG122,IFERROR(0/0,""),preDEL!O122)</f>
        <v/>
      </c>
      <c r="P122" s="110" t="b">
        <f>IF(preDEL!$AG122,IFERROR(0/0,""),preDEL!P122)</f>
        <v>0</v>
      </c>
      <c r="Q122" s="110" t="str">
        <f>IF(preDEL!$AG122,IFERROR(0/0,""),preDEL!Q122)</f>
        <v>Result</v>
      </c>
      <c r="R122" s="104" t="b">
        <f>IF(preDEL!$AG122,IFERROR(0/0,""),preDEL!R122)</f>
        <v>1</v>
      </c>
      <c r="S122" s="104">
        <f>IF(preDEL!$AG122,IFERROR(0/0,""),preDEL!S122)</f>
        <v>1</v>
      </c>
      <c r="T122" s="110" t="str">
        <f>IF(preDEL!$AG122,IFERROR(0/0,""),preDEL!T122)</f>
        <v/>
      </c>
      <c r="U122" s="112" t="str">
        <f>IF(preDEL!$AG122,IFERROR(0/0,""),preDEL!U122)</f>
        <v/>
      </c>
      <c r="V122" s="105" t="str">
        <f>IF(preDEL!$AG122,IFERROR(0/0,""),preDEL!V122)</f>
        <v/>
      </c>
      <c r="W122" s="112" t="str">
        <f>IF(preDEL!$AG122,IFERROR(0/0,""),preDEL!W122)</f>
        <v/>
      </c>
      <c r="X122" s="104" t="b">
        <f>IF(preDEL!$AG122,IFERROR(0/0,""),preDEL!X122)</f>
        <v>0</v>
      </c>
      <c r="Y122" s="110" t="b">
        <f>IF(preDEL!$AG122,IFERROR(0/0,""),preDEL!Y122)</f>
        <v>0</v>
      </c>
      <c r="Z122" s="105" t="str">
        <f>IF(preDEL!$AG122,IFERROR(0/0,""),preDEL!Z122)</f>
        <v/>
      </c>
      <c r="AA122" s="110" t="b">
        <f>IF(preDEL!$AG122,IFERROR(0/0,""),preDEL!AA122)</f>
        <v>0</v>
      </c>
      <c r="AB122" s="110" t="b">
        <f>IF(preDEL!$AG122,IFERROR(0/0,""),preDEL!AB122)</f>
        <v>0</v>
      </c>
      <c r="AC122" s="172">
        <f>IF(preDEL!$AG122,IFERROR(0/0,""),preDEL!AC122)</f>
        <v>677</v>
      </c>
      <c r="AD122" s="104" t="b">
        <f>IF(preDEL!$AG122,IFERROR(0/0,""),preDEL!AD122)</f>
        <v>0</v>
      </c>
      <c r="AE122" s="173">
        <f>IF(preDEL!$AG122,IFERROR(0/0,""),preDEL!AE122)</f>
        <v>279.3166667</v>
      </c>
      <c r="AF122" s="110" t="b">
        <f>IF(preDEL!$AG122,IFERROR(0/0,""),preDEL!AF122)</f>
        <v>0</v>
      </c>
      <c r="AG122" s="110" t="b">
        <f>IF(preDEL!$AG122,IFERROR(0/0,""),preDEL!AG122)</f>
        <v>0</v>
      </c>
      <c r="AH122" s="104" t="str">
        <f>IF(preDEL!$AG122,IFERROR(0/0,""),preDEL!AH122)</f>
        <v/>
      </c>
      <c r="AI122" s="105" t="str">
        <f>IF(preDEL!$AG122,IFERROR(0/0,""),preDEL!AI122)</f>
        <v/>
      </c>
      <c r="AJ122" s="112" t="str">
        <f>IF(preDEL!$AG122,IFERROR(0/0,""),preDEL!AJ122)</f>
        <v/>
      </c>
      <c r="AK122" s="105" t="str">
        <f>IF(preDEL!$AG122,IFERROR(0/0,""),preDEL!AK122)</f>
        <v>Negative</v>
      </c>
      <c r="AL122" s="112" t="str">
        <f>IF(preDEL!$AG122,IFERROR(0/0,""),preDEL!AL122)</f>
        <v/>
      </c>
      <c r="AM122" s="112" t="str">
        <f>IF(preDEL!$AG122,IFERROR(0/0,""),preDEL!AM122)</f>
        <v>SpBEND953422</v>
      </c>
      <c r="AN122" s="112" t="str">
        <f>IF(preDEL!$AG122,IFERROR(0/0,""),preDEL!AN122)</f>
        <v>BEND782925</v>
      </c>
      <c r="AO122" s="112" t="str">
        <f>IF(preDEL!$AG122,IFERROR(0/0,""),preDEL!AO122)</f>
        <v/>
      </c>
      <c r="AP122" s="112" t="str">
        <f>IF(preDEL!$AG122,IFERROR(0/0,""),preDEL!AP122)</f>
        <v/>
      </c>
      <c r="AQ122" s="112" t="str">
        <f>IF(preDEL!$AG122,IFERROR(0/0,""),preDEL!AQ122)</f>
        <v/>
      </c>
      <c r="AR122" s="112" t="str">
        <f>IF(preDEL!$AG122,IFERROR(0/0,""),preDEL!AR122)</f>
        <v/>
      </c>
      <c r="AS122" s="112" t="str">
        <f>IF(preDEL!$AG122,IFERROR(0/0,""),preDEL!AS122)</f>
        <v/>
      </c>
      <c r="AT122" s="112" t="b">
        <f>IF(preDEL!$AG122,IFERROR(0/0,""),preDEL!AT122)</f>
        <v>0</v>
      </c>
      <c r="AU122" s="112" t="str">
        <f>IF(preDEL!$AG122,IFERROR(0/0,""),preDEL!AU122)</f>
        <v/>
      </c>
      <c r="AV122" s="112" t="str">
        <f>IF(preDEL!$AG122,IFERROR(0/0,""),preDEL!AV122)</f>
        <v/>
      </c>
      <c r="AW122" s="112" t="str">
        <f>IF(preDEL!$AG122,IFERROR(0/0,""),preDEL!AW122)</f>
        <v/>
      </c>
      <c r="AX122" s="112" t="str">
        <f>IF(preDEL!$AG122,IFERROR(0/0,""),preDEL!AX122)</f>
        <v/>
      </c>
      <c r="AY122" s="112" t="str">
        <f>IF(preDEL!$AG122,IFERROR(0/0,""),preDEL!AY122)</f>
        <v/>
      </c>
      <c r="AZ122" s="174"/>
      <c r="BA122" s="174"/>
      <c r="BB122" s="174"/>
      <c r="BC122" s="174"/>
      <c r="BD122" s="174"/>
      <c r="BE122" s="174"/>
      <c r="BF122" s="174"/>
      <c r="BG122" s="174"/>
      <c r="BH122" s="174"/>
      <c r="BI122" s="174"/>
      <c r="BJ122" s="174"/>
      <c r="BK122" s="174"/>
      <c r="BL122" s="174"/>
      <c r="BM122" s="174"/>
      <c r="BN122" s="174"/>
      <c r="BO122" s="174"/>
      <c r="BP122" s="174"/>
      <c r="BQ122" s="174"/>
      <c r="BR122" s="174"/>
      <c r="BS122" s="174"/>
      <c r="BT122" s="174"/>
      <c r="BU122" s="174"/>
      <c r="BV122" s="174"/>
      <c r="BW122" s="174"/>
      <c r="BX122" s="174"/>
      <c r="BY122" s="174"/>
      <c r="BZ122" s="174"/>
      <c r="CA122" s="174"/>
      <c r="CB122" s="174"/>
      <c r="CC122" s="174"/>
      <c r="CD122" s="174"/>
    </row>
    <row r="123">
      <c r="A123" s="105" t="str">
        <f>IF(preDEL!$AG123,IFERROR(0/0,""),preDEL!A123)</f>
        <v>MA1051</v>
      </c>
      <c r="B123" s="170">
        <f>IF(preDEL!$AG123,IFERROR(0/0,""),preDEL!B123)</f>
        <v>44568</v>
      </c>
      <c r="C123" s="171">
        <f>IF(preDEL!$AG123,IFERROR(0/0,""),preDEL!C123)</f>
        <v>0.3292824074</v>
      </c>
      <c r="D123" s="105" t="str">
        <f>IF(preDEL!$AG123,IFERROR(0/0,""),preDEL!D123)</f>
        <v/>
      </c>
      <c r="E123" s="105" t="str">
        <f>IF(preDEL!$AG123,IFERROR(0/0,""),preDEL!E123)</f>
        <v/>
      </c>
      <c r="F123" s="112" t="str">
        <f>IF(preDEL!$AG123,IFERROR(0/0,""),preDEL!F123)</f>
        <v/>
      </c>
      <c r="G123" s="112" t="str">
        <f>IF(preDEL!$AG123,IFERROR(0/0,""),preDEL!G123)</f>
        <v/>
      </c>
      <c r="H123" s="112" t="str">
        <f>IF(preDEL!$AG123,IFERROR(0/0,""),preDEL!H123)</f>
        <v/>
      </c>
      <c r="I123" s="105" t="str">
        <f>IF(preDEL!$AG123,IFERROR(0/0,""),preDEL!I123)</f>
        <v/>
      </c>
      <c r="J123" s="105" t="str">
        <f>IF(preDEL!$AG123,IFERROR(0/0,""),preDEL!J123)</f>
        <v/>
      </c>
      <c r="K123" s="105" t="str">
        <f>IF(preDEL!$AG123,IFERROR(0/0,""),preDEL!K123)</f>
        <v>Negative</v>
      </c>
      <c r="L123" s="170">
        <f>IF(preDEL!$AG123,IFERROR(0/0,""),preDEL!L123)</f>
        <v>44568</v>
      </c>
      <c r="M123" s="171">
        <f>IF(preDEL!$AG123,IFERROR(0/0,""),preDEL!M123)</f>
        <v>0.5079050926</v>
      </c>
      <c r="N123" s="112" t="str">
        <f>IF(preDEL!$AG123,IFERROR(0/0,""),preDEL!N123)</f>
        <v/>
      </c>
      <c r="O123" s="112" t="str">
        <f>IF(preDEL!$AG123,IFERROR(0/0,""),preDEL!O123)</f>
        <v/>
      </c>
      <c r="P123" s="110" t="b">
        <f>IF(preDEL!$AG123,IFERROR(0/0,""),preDEL!P123)</f>
        <v>0</v>
      </c>
      <c r="Q123" s="110" t="str">
        <f>IF(preDEL!$AG123,IFERROR(0/0,""),preDEL!Q123)</f>
        <v>Result</v>
      </c>
      <c r="R123" s="104" t="b">
        <f>IF(preDEL!$AG123,IFERROR(0/0,""),preDEL!R123)</f>
        <v>1</v>
      </c>
      <c r="S123" s="104">
        <f>IF(preDEL!$AG123,IFERROR(0/0,""),preDEL!S123)</f>
        <v>1</v>
      </c>
      <c r="T123" s="110" t="str">
        <f>IF(preDEL!$AG123,IFERROR(0/0,""),preDEL!T123)</f>
        <v/>
      </c>
      <c r="U123" s="112" t="str">
        <f>IF(preDEL!$AG123,IFERROR(0/0,""),preDEL!U123)</f>
        <v/>
      </c>
      <c r="V123" s="105" t="str">
        <f>IF(preDEL!$AG123,IFERROR(0/0,""),preDEL!V123)</f>
        <v/>
      </c>
      <c r="W123" s="112" t="str">
        <f>IF(preDEL!$AG123,IFERROR(0/0,""),preDEL!W123)</f>
        <v/>
      </c>
      <c r="X123" s="104" t="b">
        <f>IF(preDEL!$AG123,IFERROR(0/0,""),preDEL!X123)</f>
        <v>0</v>
      </c>
      <c r="Y123" s="110" t="b">
        <f>IF(preDEL!$AG123,IFERROR(0/0,""),preDEL!Y123)</f>
        <v>0</v>
      </c>
      <c r="Z123" s="105" t="str">
        <f>IF(preDEL!$AG123,IFERROR(0/0,""),preDEL!Z123)</f>
        <v/>
      </c>
      <c r="AA123" s="110" t="b">
        <f>IF(preDEL!$AG123,IFERROR(0/0,""),preDEL!AA123)</f>
        <v>0</v>
      </c>
      <c r="AB123" s="110" t="b">
        <f>IF(preDEL!$AG123,IFERROR(0/0,""),preDEL!AB123)</f>
        <v>0</v>
      </c>
      <c r="AC123" s="172">
        <f>IF(preDEL!$AG123,IFERROR(0/0,""),preDEL!AC123)</f>
        <v>676</v>
      </c>
      <c r="AD123" s="104" t="b">
        <f>IF(preDEL!$AG123,IFERROR(0/0,""),preDEL!AD123)</f>
        <v>0</v>
      </c>
      <c r="AE123" s="173">
        <f>IF(preDEL!$AG123,IFERROR(0/0,""),preDEL!AE123)</f>
        <v>257.2166667</v>
      </c>
      <c r="AF123" s="110" t="b">
        <f>IF(preDEL!$AG123,IFERROR(0/0,""),preDEL!AF123)</f>
        <v>0</v>
      </c>
      <c r="AG123" s="110" t="b">
        <f>IF(preDEL!$AG123,IFERROR(0/0,""),preDEL!AG123)</f>
        <v>0</v>
      </c>
      <c r="AH123" s="104" t="str">
        <f>IF(preDEL!$AG123,IFERROR(0/0,""),preDEL!AH123)</f>
        <v/>
      </c>
      <c r="AI123" s="105" t="str">
        <f>IF(preDEL!$AG123,IFERROR(0/0,""),preDEL!AI123)</f>
        <v/>
      </c>
      <c r="AJ123" s="112" t="str">
        <f>IF(preDEL!$AG123,IFERROR(0/0,""),preDEL!AJ123)</f>
        <v/>
      </c>
      <c r="AK123" s="105" t="str">
        <f>IF(preDEL!$AG123,IFERROR(0/0,""),preDEL!AK123)</f>
        <v>Negative</v>
      </c>
      <c r="AL123" s="112" t="str">
        <f>IF(preDEL!$AG123,IFERROR(0/0,""),preDEL!AL123)</f>
        <v/>
      </c>
      <c r="AM123" s="112" t="str">
        <f>IF(preDEL!$AG123,IFERROR(0/0,""),preDEL!AM123)</f>
        <v>SpBEND825522</v>
      </c>
      <c r="AN123" s="112" t="str">
        <f>IF(preDEL!$AG123,IFERROR(0/0,""),preDEL!AN123)</f>
        <v>BEND140857</v>
      </c>
      <c r="AO123" s="112" t="str">
        <f>IF(preDEL!$AG123,IFERROR(0/0,""),preDEL!AO123)</f>
        <v/>
      </c>
      <c r="AP123" s="112" t="str">
        <f>IF(preDEL!$AG123,IFERROR(0/0,""),preDEL!AP123)</f>
        <v/>
      </c>
      <c r="AQ123" s="112" t="str">
        <f>IF(preDEL!$AG123,IFERROR(0/0,""),preDEL!AQ123)</f>
        <v/>
      </c>
      <c r="AR123" s="112" t="str">
        <f>IF(preDEL!$AG123,IFERROR(0/0,""),preDEL!AR123)</f>
        <v/>
      </c>
      <c r="AS123" s="112" t="str">
        <f>IF(preDEL!$AG123,IFERROR(0/0,""),preDEL!AS123)</f>
        <v/>
      </c>
      <c r="AT123" s="112" t="b">
        <f>IF(preDEL!$AG123,IFERROR(0/0,""),preDEL!AT123)</f>
        <v>0</v>
      </c>
      <c r="AU123" s="112" t="str">
        <f>IF(preDEL!$AG123,IFERROR(0/0,""),preDEL!AU123)</f>
        <v/>
      </c>
      <c r="AV123" s="112" t="str">
        <f>IF(preDEL!$AG123,IFERROR(0/0,""),preDEL!AV123)</f>
        <v/>
      </c>
      <c r="AW123" s="112" t="str">
        <f>IF(preDEL!$AG123,IFERROR(0/0,""),preDEL!AW123)</f>
        <v/>
      </c>
      <c r="AX123" s="112" t="str">
        <f>IF(preDEL!$AG123,IFERROR(0/0,""),preDEL!AX123)</f>
        <v/>
      </c>
      <c r="AY123" s="112" t="str">
        <f>IF(preDEL!$AG123,IFERROR(0/0,""),preDEL!AY123)</f>
        <v/>
      </c>
      <c r="AZ123" s="174"/>
      <c r="BA123" s="174"/>
      <c r="BB123" s="174"/>
      <c r="BC123" s="174"/>
      <c r="BD123" s="174"/>
      <c r="BE123" s="174"/>
      <c r="BF123" s="174"/>
      <c r="BG123" s="174"/>
      <c r="BH123" s="174"/>
      <c r="BI123" s="174"/>
      <c r="BJ123" s="174"/>
      <c r="BK123" s="174"/>
      <c r="BL123" s="174"/>
      <c r="BM123" s="174"/>
      <c r="BN123" s="174"/>
      <c r="BO123" s="174"/>
      <c r="BP123" s="174"/>
      <c r="BQ123" s="174"/>
      <c r="BR123" s="174"/>
      <c r="BS123" s="174"/>
      <c r="BT123" s="174"/>
      <c r="BU123" s="174"/>
      <c r="BV123" s="174"/>
      <c r="BW123" s="174"/>
      <c r="BX123" s="174"/>
      <c r="BY123" s="174"/>
      <c r="BZ123" s="174"/>
      <c r="CA123" s="174"/>
      <c r="CB123" s="174"/>
      <c r="CC123" s="174"/>
      <c r="CD123" s="174"/>
    </row>
    <row r="124">
      <c r="A124" s="105" t="str">
        <f>IF(preDEL!$AG124,IFERROR(0/0,""),preDEL!A124)</f>
        <v>MA462</v>
      </c>
      <c r="B124" s="170">
        <f>IF(preDEL!$AG124,IFERROR(0/0,""),preDEL!B124)</f>
        <v>44568</v>
      </c>
      <c r="C124" s="171">
        <f>IF(preDEL!$AG124,IFERROR(0/0,""),preDEL!C124)</f>
        <v>0.3309490741</v>
      </c>
      <c r="D124" s="105" t="str">
        <f>IF(preDEL!$AG124,IFERROR(0/0,""),preDEL!D124)</f>
        <v/>
      </c>
      <c r="E124" s="105" t="str">
        <f>IF(preDEL!$AG124,IFERROR(0/0,""),preDEL!E124)</f>
        <v/>
      </c>
      <c r="F124" s="112" t="str">
        <f>IF(preDEL!$AG124,IFERROR(0/0,""),preDEL!F124)</f>
        <v/>
      </c>
      <c r="G124" s="112" t="str">
        <f>IF(preDEL!$AG124,IFERROR(0/0,""),preDEL!G124)</f>
        <v/>
      </c>
      <c r="H124" s="112" t="str">
        <f>IF(preDEL!$AG124,IFERROR(0/0,""),preDEL!H124)</f>
        <v/>
      </c>
      <c r="I124" s="105" t="str">
        <f>IF(preDEL!$AG124,IFERROR(0/0,""),preDEL!I124)</f>
        <v/>
      </c>
      <c r="J124" s="105" t="str">
        <f>IF(preDEL!$AG124,IFERROR(0/0,""),preDEL!J124)</f>
        <v/>
      </c>
      <c r="K124" s="105" t="str">
        <f>IF(preDEL!$AG124,IFERROR(0/0,""),preDEL!K124)</f>
        <v>Negative</v>
      </c>
      <c r="L124" s="170">
        <f>IF(preDEL!$AG124,IFERROR(0/0,""),preDEL!L124)</f>
        <v>44568</v>
      </c>
      <c r="M124" s="171">
        <f>IF(preDEL!$AG124,IFERROR(0/0,""),preDEL!M124)</f>
        <v>0.5079050926</v>
      </c>
      <c r="N124" s="112" t="str">
        <f>IF(preDEL!$AG124,IFERROR(0/0,""),preDEL!N124)</f>
        <v/>
      </c>
      <c r="O124" s="112" t="str">
        <f>IF(preDEL!$AG124,IFERROR(0/0,""),preDEL!O124)</f>
        <v/>
      </c>
      <c r="P124" s="110" t="b">
        <f>IF(preDEL!$AG124,IFERROR(0/0,""),preDEL!P124)</f>
        <v>0</v>
      </c>
      <c r="Q124" s="110" t="str">
        <f>IF(preDEL!$AG124,IFERROR(0/0,""),preDEL!Q124)</f>
        <v>Result</v>
      </c>
      <c r="R124" s="104" t="b">
        <f>IF(preDEL!$AG124,IFERROR(0/0,""),preDEL!R124)</f>
        <v>1</v>
      </c>
      <c r="S124" s="104">
        <f>IF(preDEL!$AG124,IFERROR(0/0,""),preDEL!S124)</f>
        <v>1</v>
      </c>
      <c r="T124" s="110" t="str">
        <f>IF(preDEL!$AG124,IFERROR(0/0,""),preDEL!T124)</f>
        <v/>
      </c>
      <c r="U124" s="112" t="str">
        <f>IF(preDEL!$AG124,IFERROR(0/0,""),preDEL!U124)</f>
        <v/>
      </c>
      <c r="V124" s="105" t="str">
        <f>IF(preDEL!$AG124,IFERROR(0/0,""),preDEL!V124)</f>
        <v/>
      </c>
      <c r="W124" s="112" t="str">
        <f>IF(preDEL!$AG124,IFERROR(0/0,""),preDEL!W124)</f>
        <v/>
      </c>
      <c r="X124" s="104" t="b">
        <f>IF(preDEL!$AG124,IFERROR(0/0,""),preDEL!X124)</f>
        <v>0</v>
      </c>
      <c r="Y124" s="110" t="b">
        <f>IF(preDEL!$AG124,IFERROR(0/0,""),preDEL!Y124)</f>
        <v>0</v>
      </c>
      <c r="Z124" s="105" t="str">
        <f>IF(preDEL!$AG124,IFERROR(0/0,""),preDEL!Z124)</f>
        <v/>
      </c>
      <c r="AA124" s="110" t="b">
        <f>IF(preDEL!$AG124,IFERROR(0/0,""),preDEL!AA124)</f>
        <v>0</v>
      </c>
      <c r="AB124" s="110" t="b">
        <f>IF(preDEL!$AG124,IFERROR(0/0,""),preDEL!AB124)</f>
        <v>0</v>
      </c>
      <c r="AC124" s="172">
        <f>IF(preDEL!$AG124,IFERROR(0/0,""),preDEL!AC124)</f>
        <v>675</v>
      </c>
      <c r="AD124" s="104" t="b">
        <f>IF(preDEL!$AG124,IFERROR(0/0,""),preDEL!AD124)</f>
        <v>0</v>
      </c>
      <c r="AE124" s="173">
        <f>IF(preDEL!$AG124,IFERROR(0/0,""),preDEL!AE124)</f>
        <v>254.8166667</v>
      </c>
      <c r="AF124" s="110" t="b">
        <f>IF(preDEL!$AG124,IFERROR(0/0,""),preDEL!AF124)</f>
        <v>0</v>
      </c>
      <c r="AG124" s="110" t="b">
        <f>IF(preDEL!$AG124,IFERROR(0/0,""),preDEL!AG124)</f>
        <v>0</v>
      </c>
      <c r="AH124" s="104" t="str">
        <f>IF(preDEL!$AG124,IFERROR(0/0,""),preDEL!AH124)</f>
        <v/>
      </c>
      <c r="AI124" s="105" t="str">
        <f>IF(preDEL!$AG124,IFERROR(0/0,""),preDEL!AI124)</f>
        <v/>
      </c>
      <c r="AJ124" s="112" t="str">
        <f>IF(preDEL!$AG124,IFERROR(0/0,""),preDEL!AJ124)</f>
        <v/>
      </c>
      <c r="AK124" s="105" t="str">
        <f>IF(preDEL!$AG124,IFERROR(0/0,""),preDEL!AK124)</f>
        <v>Negative</v>
      </c>
      <c r="AL124" s="112" t="str">
        <f>IF(preDEL!$AG124,IFERROR(0/0,""),preDEL!AL124)</f>
        <v/>
      </c>
      <c r="AM124" s="112" t="str">
        <f>IF(preDEL!$AG124,IFERROR(0/0,""),preDEL!AM124)</f>
        <v>SpBEND996809</v>
      </c>
      <c r="AN124" s="112" t="str">
        <f>IF(preDEL!$AG124,IFERROR(0/0,""),preDEL!AN124)</f>
        <v>BEND637711</v>
      </c>
      <c r="AO124" s="112" t="str">
        <f>IF(preDEL!$AG124,IFERROR(0/0,""),preDEL!AO124)</f>
        <v/>
      </c>
      <c r="AP124" s="112" t="str">
        <f>IF(preDEL!$AG124,IFERROR(0/0,""),preDEL!AP124)</f>
        <v/>
      </c>
      <c r="AQ124" s="112" t="str">
        <f>IF(preDEL!$AG124,IFERROR(0/0,""),preDEL!AQ124)</f>
        <v/>
      </c>
      <c r="AR124" s="112" t="str">
        <f>IF(preDEL!$AG124,IFERROR(0/0,""),preDEL!AR124)</f>
        <v/>
      </c>
      <c r="AS124" s="112" t="str">
        <f>IF(preDEL!$AG124,IFERROR(0/0,""),preDEL!AS124)</f>
        <v/>
      </c>
      <c r="AT124" s="112" t="b">
        <f>IF(preDEL!$AG124,IFERROR(0/0,""),preDEL!AT124)</f>
        <v>0</v>
      </c>
      <c r="AU124" s="112" t="str">
        <f>IF(preDEL!$AG124,IFERROR(0/0,""),preDEL!AU124)</f>
        <v/>
      </c>
      <c r="AV124" s="112" t="str">
        <f>IF(preDEL!$AG124,IFERROR(0/0,""),preDEL!AV124)</f>
        <v/>
      </c>
      <c r="AW124" s="112" t="str">
        <f>IF(preDEL!$AG124,IFERROR(0/0,""),preDEL!AW124)</f>
        <v/>
      </c>
      <c r="AX124" s="112" t="str">
        <f>IF(preDEL!$AG124,IFERROR(0/0,""),preDEL!AX124)</f>
        <v/>
      </c>
      <c r="AY124" s="112" t="str">
        <f>IF(preDEL!$AG124,IFERROR(0/0,""),preDEL!AY124)</f>
        <v/>
      </c>
      <c r="AZ124" s="174"/>
      <c r="BA124" s="174"/>
      <c r="BB124" s="174"/>
      <c r="BC124" s="174"/>
      <c r="BD124" s="174"/>
      <c r="BE124" s="174"/>
      <c r="BF124" s="174"/>
      <c r="BG124" s="174"/>
      <c r="BH124" s="174"/>
      <c r="BI124" s="174"/>
      <c r="BJ124" s="174"/>
      <c r="BK124" s="174"/>
      <c r="BL124" s="174"/>
      <c r="BM124" s="174"/>
      <c r="BN124" s="174"/>
      <c r="BO124" s="174"/>
      <c r="BP124" s="174"/>
      <c r="BQ124" s="174"/>
      <c r="BR124" s="174"/>
      <c r="BS124" s="174"/>
      <c r="BT124" s="174"/>
      <c r="BU124" s="174"/>
      <c r="BV124" s="174"/>
      <c r="BW124" s="174"/>
      <c r="BX124" s="174"/>
      <c r="BY124" s="174"/>
      <c r="BZ124" s="174"/>
      <c r="CA124" s="174"/>
      <c r="CB124" s="174"/>
      <c r="CC124" s="174"/>
      <c r="CD124" s="174"/>
    </row>
    <row r="125">
      <c r="A125" s="105" t="str">
        <f>IF(preDEL!$AG125,IFERROR(0/0,""),preDEL!A125)</f>
        <v>MA254</v>
      </c>
      <c r="B125" s="170">
        <f>IF(preDEL!$AG125,IFERROR(0/0,""),preDEL!B125)</f>
        <v>44568</v>
      </c>
      <c r="C125" s="171">
        <f>IF(preDEL!$AG125,IFERROR(0/0,""),preDEL!C125)</f>
        <v>0.3361689815</v>
      </c>
      <c r="D125" s="105" t="str">
        <f>IF(preDEL!$AG125,IFERROR(0/0,""),preDEL!D125)</f>
        <v/>
      </c>
      <c r="E125" s="105" t="str">
        <f>IF(preDEL!$AG125,IFERROR(0/0,""),preDEL!E125)</f>
        <v/>
      </c>
      <c r="F125" s="112" t="str">
        <f>IF(preDEL!$AG125,IFERROR(0/0,""),preDEL!F125)</f>
        <v/>
      </c>
      <c r="G125" s="112" t="str">
        <f>IF(preDEL!$AG125,IFERROR(0/0,""),preDEL!G125)</f>
        <v/>
      </c>
      <c r="H125" s="112" t="str">
        <f>IF(preDEL!$AG125,IFERROR(0/0,""),preDEL!H125)</f>
        <v/>
      </c>
      <c r="I125" s="105" t="str">
        <f>IF(preDEL!$AG125,IFERROR(0/0,""),preDEL!I125)</f>
        <v/>
      </c>
      <c r="J125" s="105" t="str">
        <f>IF(preDEL!$AG125,IFERROR(0/0,""),preDEL!J125)</f>
        <v/>
      </c>
      <c r="K125" s="105" t="str">
        <f>IF(preDEL!$AG125,IFERROR(0/0,""),preDEL!K125)</f>
        <v>Negative</v>
      </c>
      <c r="L125" s="170">
        <f>IF(preDEL!$AG125,IFERROR(0/0,""),preDEL!L125)</f>
        <v>44568</v>
      </c>
      <c r="M125" s="171">
        <f>IF(preDEL!$AG125,IFERROR(0/0,""),preDEL!M125)</f>
        <v>0.5079050926</v>
      </c>
      <c r="N125" s="112" t="str">
        <f>IF(preDEL!$AG125,IFERROR(0/0,""),preDEL!N125)</f>
        <v/>
      </c>
      <c r="O125" s="112" t="str">
        <f>IF(preDEL!$AG125,IFERROR(0/0,""),preDEL!O125)</f>
        <v/>
      </c>
      <c r="P125" s="110" t="b">
        <f>IF(preDEL!$AG125,IFERROR(0/0,""),preDEL!P125)</f>
        <v>0</v>
      </c>
      <c r="Q125" s="110" t="str">
        <f>IF(preDEL!$AG125,IFERROR(0/0,""),preDEL!Q125)</f>
        <v>Result</v>
      </c>
      <c r="R125" s="104" t="b">
        <f>IF(preDEL!$AG125,IFERROR(0/0,""),preDEL!R125)</f>
        <v>1</v>
      </c>
      <c r="S125" s="104">
        <f>IF(preDEL!$AG125,IFERROR(0/0,""),preDEL!S125)</f>
        <v>1</v>
      </c>
      <c r="T125" s="110" t="str">
        <f>IF(preDEL!$AG125,IFERROR(0/0,""),preDEL!T125)</f>
        <v/>
      </c>
      <c r="U125" s="112" t="str">
        <f>IF(preDEL!$AG125,IFERROR(0/0,""),preDEL!U125)</f>
        <v/>
      </c>
      <c r="V125" s="105" t="str">
        <f>IF(preDEL!$AG125,IFERROR(0/0,""),preDEL!V125)</f>
        <v/>
      </c>
      <c r="W125" s="112" t="str">
        <f>IF(preDEL!$AG125,IFERROR(0/0,""),preDEL!W125)</f>
        <v/>
      </c>
      <c r="X125" s="104" t="b">
        <f>IF(preDEL!$AG125,IFERROR(0/0,""),preDEL!X125)</f>
        <v>0</v>
      </c>
      <c r="Y125" s="110" t="b">
        <f>IF(preDEL!$AG125,IFERROR(0/0,""),preDEL!Y125)</f>
        <v>0</v>
      </c>
      <c r="Z125" s="105" t="str">
        <f>IF(preDEL!$AG125,IFERROR(0/0,""),preDEL!Z125)</f>
        <v/>
      </c>
      <c r="AA125" s="110" t="b">
        <f>IF(preDEL!$AG125,IFERROR(0/0,""),preDEL!AA125)</f>
        <v>0</v>
      </c>
      <c r="AB125" s="110" t="b">
        <f>IF(preDEL!$AG125,IFERROR(0/0,""),preDEL!AB125)</f>
        <v>0</v>
      </c>
      <c r="AC125" s="172">
        <f>IF(preDEL!$AG125,IFERROR(0/0,""),preDEL!AC125)</f>
        <v>674</v>
      </c>
      <c r="AD125" s="104" t="b">
        <f>IF(preDEL!$AG125,IFERROR(0/0,""),preDEL!AD125)</f>
        <v>0</v>
      </c>
      <c r="AE125" s="173">
        <f>IF(preDEL!$AG125,IFERROR(0/0,""),preDEL!AE125)</f>
        <v>247.3</v>
      </c>
      <c r="AF125" s="110" t="b">
        <f>IF(preDEL!$AG125,IFERROR(0/0,""),preDEL!AF125)</f>
        <v>0</v>
      </c>
      <c r="AG125" s="110" t="b">
        <f>IF(preDEL!$AG125,IFERROR(0/0,""),preDEL!AG125)</f>
        <v>0</v>
      </c>
      <c r="AH125" s="104" t="str">
        <f>IF(preDEL!$AG125,IFERROR(0/0,""),preDEL!AH125)</f>
        <v/>
      </c>
      <c r="AI125" s="105" t="str">
        <f>IF(preDEL!$AG125,IFERROR(0/0,""),preDEL!AI125)</f>
        <v/>
      </c>
      <c r="AJ125" s="112" t="str">
        <f>IF(preDEL!$AG125,IFERROR(0/0,""),preDEL!AJ125)</f>
        <v/>
      </c>
      <c r="AK125" s="105" t="str">
        <f>IF(preDEL!$AG125,IFERROR(0/0,""),preDEL!AK125)</f>
        <v>Negative</v>
      </c>
      <c r="AL125" s="112" t="str">
        <f>IF(preDEL!$AG125,IFERROR(0/0,""),preDEL!AL125)</f>
        <v/>
      </c>
      <c r="AM125" s="112" t="str">
        <f>IF(preDEL!$AG125,IFERROR(0/0,""),preDEL!AM125)</f>
        <v>SpBEND387578</v>
      </c>
      <c r="AN125" s="112" t="str">
        <f>IF(preDEL!$AG125,IFERROR(0/0,""),preDEL!AN125)</f>
        <v>BEND375164</v>
      </c>
      <c r="AO125" s="112" t="str">
        <f>IF(preDEL!$AG125,IFERROR(0/0,""),preDEL!AO125)</f>
        <v/>
      </c>
      <c r="AP125" s="112" t="str">
        <f>IF(preDEL!$AG125,IFERROR(0/0,""),preDEL!AP125)</f>
        <v/>
      </c>
      <c r="AQ125" s="112" t="str">
        <f>IF(preDEL!$AG125,IFERROR(0/0,""),preDEL!AQ125)</f>
        <v/>
      </c>
      <c r="AR125" s="112" t="str">
        <f>IF(preDEL!$AG125,IFERROR(0/0,""),preDEL!AR125)</f>
        <v/>
      </c>
      <c r="AS125" s="112" t="str">
        <f>IF(preDEL!$AG125,IFERROR(0/0,""),preDEL!AS125)</f>
        <v/>
      </c>
      <c r="AT125" s="112" t="b">
        <f>IF(preDEL!$AG125,IFERROR(0/0,""),preDEL!AT125)</f>
        <v>0</v>
      </c>
      <c r="AU125" s="112" t="str">
        <f>IF(preDEL!$AG125,IFERROR(0/0,""),preDEL!AU125)</f>
        <v/>
      </c>
      <c r="AV125" s="112" t="str">
        <f>IF(preDEL!$AG125,IFERROR(0/0,""),preDEL!AV125)</f>
        <v/>
      </c>
      <c r="AW125" s="112" t="str">
        <f>IF(preDEL!$AG125,IFERROR(0/0,""),preDEL!AW125)</f>
        <v/>
      </c>
      <c r="AX125" s="112" t="str">
        <f>IF(preDEL!$AG125,IFERROR(0/0,""),preDEL!AX125)</f>
        <v/>
      </c>
      <c r="AY125" s="112" t="str">
        <f>IF(preDEL!$AG125,IFERROR(0/0,""),preDEL!AY125)</f>
        <v/>
      </c>
      <c r="AZ125" s="174"/>
      <c r="BA125" s="174"/>
      <c r="BB125" s="174"/>
      <c r="BC125" s="174"/>
      <c r="BD125" s="174"/>
      <c r="BE125" s="174"/>
      <c r="BF125" s="174"/>
      <c r="BG125" s="174"/>
      <c r="BH125" s="174"/>
      <c r="BI125" s="174"/>
      <c r="BJ125" s="174"/>
      <c r="BK125" s="174"/>
      <c r="BL125" s="174"/>
      <c r="BM125" s="174"/>
      <c r="BN125" s="174"/>
      <c r="BO125" s="174"/>
      <c r="BP125" s="174"/>
      <c r="BQ125" s="174"/>
      <c r="BR125" s="174"/>
      <c r="BS125" s="174"/>
      <c r="BT125" s="174"/>
      <c r="BU125" s="174"/>
      <c r="BV125" s="174"/>
      <c r="BW125" s="174"/>
      <c r="BX125" s="174"/>
      <c r="BY125" s="174"/>
      <c r="BZ125" s="174"/>
      <c r="CA125" s="174"/>
      <c r="CB125" s="174"/>
      <c r="CC125" s="174"/>
      <c r="CD125" s="174"/>
    </row>
    <row r="126">
      <c r="A126" s="105" t="str">
        <f>IF(preDEL!$AG126,IFERROR(0/0,""),preDEL!A126)</f>
        <v>MA1188</v>
      </c>
      <c r="B126" s="170">
        <f>IF(preDEL!$AG126,IFERROR(0/0,""),preDEL!B126)</f>
        <v>44568</v>
      </c>
      <c r="C126" s="171">
        <f>IF(preDEL!$AG126,IFERROR(0/0,""),preDEL!C126)</f>
        <v>0.3409722222</v>
      </c>
      <c r="D126" s="105" t="str">
        <f>IF(preDEL!$AG126,IFERROR(0/0,""),preDEL!D126)</f>
        <v/>
      </c>
      <c r="E126" s="105" t="str">
        <f>IF(preDEL!$AG126,IFERROR(0/0,""),preDEL!E126)</f>
        <v/>
      </c>
      <c r="F126" s="112" t="str">
        <f>IF(preDEL!$AG126,IFERROR(0/0,""),preDEL!F126)</f>
        <v/>
      </c>
      <c r="G126" s="112" t="str">
        <f>IF(preDEL!$AG126,IFERROR(0/0,""),preDEL!G126)</f>
        <v/>
      </c>
      <c r="H126" s="112" t="str">
        <f>IF(preDEL!$AG126,IFERROR(0/0,""),preDEL!H126)</f>
        <v/>
      </c>
      <c r="I126" s="105" t="str">
        <f>IF(preDEL!$AG126,IFERROR(0/0,""),preDEL!I126)</f>
        <v/>
      </c>
      <c r="J126" s="105" t="str">
        <f>IF(preDEL!$AG126,IFERROR(0/0,""),preDEL!J126)</f>
        <v/>
      </c>
      <c r="K126" s="105" t="str">
        <f>IF(preDEL!$AG126,IFERROR(0/0,""),preDEL!K126)</f>
        <v>Positive</v>
      </c>
      <c r="L126" s="170">
        <f>IF(preDEL!$AG126,IFERROR(0/0,""),preDEL!L126)</f>
        <v>44568</v>
      </c>
      <c r="M126" s="171">
        <f>IF(preDEL!$AG126,IFERROR(0/0,""),preDEL!M126)</f>
        <v>0.5079050926</v>
      </c>
      <c r="N126" s="112" t="str">
        <f>IF(preDEL!$AG126,IFERROR(0/0,""),preDEL!N126)</f>
        <v/>
      </c>
      <c r="O126" s="112" t="str">
        <f>IF(preDEL!$AG126,IFERROR(0/0,""),preDEL!O126)</f>
        <v/>
      </c>
      <c r="P126" s="110" t="b">
        <f>IF(preDEL!$AG126,IFERROR(0/0,""),preDEL!P126)</f>
        <v>0</v>
      </c>
      <c r="Q126" s="110" t="str">
        <f>IF(preDEL!$AG126,IFERROR(0/0,""),preDEL!Q126)</f>
        <v>Result</v>
      </c>
      <c r="R126" s="104" t="b">
        <f>IF(preDEL!$AG126,IFERROR(0/0,""),preDEL!R126)</f>
        <v>1</v>
      </c>
      <c r="S126" s="104">
        <f>IF(preDEL!$AG126,IFERROR(0/0,""),preDEL!S126)</f>
        <v>1</v>
      </c>
      <c r="T126" s="110" t="str">
        <f>IF(preDEL!$AG126,IFERROR(0/0,""),preDEL!T126)</f>
        <v/>
      </c>
      <c r="U126" s="112" t="str">
        <f>IF(preDEL!$AG126,IFERROR(0/0,""),preDEL!U126)</f>
        <v/>
      </c>
      <c r="V126" s="105" t="str">
        <f>IF(preDEL!$AG126,IFERROR(0/0,""),preDEL!V126)</f>
        <v/>
      </c>
      <c r="W126" s="112" t="str">
        <f>IF(preDEL!$AG126,IFERROR(0/0,""),preDEL!W126)</f>
        <v/>
      </c>
      <c r="X126" s="104" t="b">
        <f>IF(preDEL!$AG126,IFERROR(0/0,""),preDEL!X126)</f>
        <v>0</v>
      </c>
      <c r="Y126" s="110" t="b">
        <f>IF(preDEL!$AG126,IFERROR(0/0,""),preDEL!Y126)</f>
        <v>0</v>
      </c>
      <c r="Z126" s="105" t="str">
        <f>IF(preDEL!$AG126,IFERROR(0/0,""),preDEL!Z126)</f>
        <v/>
      </c>
      <c r="AA126" s="110" t="b">
        <f>IF(preDEL!$AG126,IFERROR(0/0,""),preDEL!AA126)</f>
        <v>0</v>
      </c>
      <c r="AB126" s="110" t="b">
        <f>IF(preDEL!$AG126,IFERROR(0/0,""),preDEL!AB126)</f>
        <v>0</v>
      </c>
      <c r="AC126" s="172">
        <f>IF(preDEL!$AG126,IFERROR(0/0,""),preDEL!AC126)</f>
        <v>673</v>
      </c>
      <c r="AD126" s="104" t="b">
        <f>IF(preDEL!$AG126,IFERROR(0/0,""),preDEL!AD126)</f>
        <v>0</v>
      </c>
      <c r="AE126" s="173">
        <f>IF(preDEL!$AG126,IFERROR(0/0,""),preDEL!AE126)</f>
        <v>240.3833333</v>
      </c>
      <c r="AF126" s="110" t="b">
        <f>IF(preDEL!$AG126,IFERROR(0/0,""),preDEL!AF126)</f>
        <v>0</v>
      </c>
      <c r="AG126" s="110" t="b">
        <f>IF(preDEL!$AG126,IFERROR(0/0,""),preDEL!AG126)</f>
        <v>0</v>
      </c>
      <c r="AH126" s="104" t="str">
        <f>IF(preDEL!$AG126,IFERROR(0/0,""),preDEL!AH126)</f>
        <v/>
      </c>
      <c r="AI126" s="105" t="str">
        <f>IF(preDEL!$AG126,IFERROR(0/0,""),preDEL!AI126)</f>
        <v/>
      </c>
      <c r="AJ126" s="112" t="str">
        <f>IF(preDEL!$AG126,IFERROR(0/0,""),preDEL!AJ126)</f>
        <v/>
      </c>
      <c r="AK126" s="105" t="str">
        <f>IF(preDEL!$AG126,IFERROR(0/0,""),preDEL!AK126)</f>
        <v>Positive</v>
      </c>
      <c r="AL126" s="112" t="str">
        <f>IF(preDEL!$AG126,IFERROR(0/0,""),preDEL!AL126)</f>
        <v/>
      </c>
      <c r="AM126" s="112" t="str">
        <f>IF(preDEL!$AG126,IFERROR(0/0,""),preDEL!AM126)</f>
        <v>SpBEND387532</v>
      </c>
      <c r="AN126" s="112" t="str">
        <f>IF(preDEL!$AG126,IFERROR(0/0,""),preDEL!AN126)</f>
        <v>BEND796718</v>
      </c>
      <c r="AO126" s="112" t="str">
        <f>IF(preDEL!$AG126,IFERROR(0/0,""),preDEL!AO126)</f>
        <v/>
      </c>
      <c r="AP126" s="112" t="str">
        <f>IF(preDEL!$AG126,IFERROR(0/0,""),preDEL!AP126)</f>
        <v/>
      </c>
      <c r="AQ126" s="112" t="str">
        <f>IF(preDEL!$AG126,IFERROR(0/0,""),preDEL!AQ126)</f>
        <v/>
      </c>
      <c r="AR126" s="112" t="str">
        <f>IF(preDEL!$AG126,IFERROR(0/0,""),preDEL!AR126)</f>
        <v/>
      </c>
      <c r="AS126" s="112" t="str">
        <f>IF(preDEL!$AG126,IFERROR(0/0,""),preDEL!AS126)</f>
        <v/>
      </c>
      <c r="AT126" s="112" t="b">
        <f>IF(preDEL!$AG126,IFERROR(0/0,""),preDEL!AT126)</f>
        <v>0</v>
      </c>
      <c r="AU126" s="112" t="str">
        <f>IF(preDEL!$AG126,IFERROR(0/0,""),preDEL!AU126)</f>
        <v/>
      </c>
      <c r="AV126" s="112" t="str">
        <f>IF(preDEL!$AG126,IFERROR(0/0,""),preDEL!AV126)</f>
        <v/>
      </c>
      <c r="AW126" s="112" t="str">
        <f>IF(preDEL!$AG126,IFERROR(0/0,""),preDEL!AW126)</f>
        <v/>
      </c>
      <c r="AX126" s="112" t="str">
        <f>IF(preDEL!$AG126,IFERROR(0/0,""),preDEL!AX126)</f>
        <v/>
      </c>
      <c r="AY126" s="112" t="str">
        <f>IF(preDEL!$AG126,IFERROR(0/0,""),preDEL!AY126)</f>
        <v/>
      </c>
      <c r="AZ126" s="174"/>
      <c r="BA126" s="174"/>
      <c r="BB126" s="174"/>
      <c r="BC126" s="174"/>
      <c r="BD126" s="174"/>
      <c r="BE126" s="174"/>
      <c r="BF126" s="174"/>
      <c r="BG126" s="174"/>
      <c r="BH126" s="174"/>
      <c r="BI126" s="174"/>
      <c r="BJ126" s="174"/>
      <c r="BK126" s="174"/>
      <c r="BL126" s="174"/>
      <c r="BM126" s="174"/>
      <c r="BN126" s="174"/>
      <c r="BO126" s="174"/>
      <c r="BP126" s="174"/>
      <c r="BQ126" s="174"/>
      <c r="BR126" s="174"/>
      <c r="BS126" s="174"/>
      <c r="BT126" s="174"/>
      <c r="BU126" s="174"/>
      <c r="BV126" s="174"/>
      <c r="BW126" s="174"/>
      <c r="BX126" s="174"/>
      <c r="BY126" s="174"/>
      <c r="BZ126" s="174"/>
      <c r="CA126" s="174"/>
      <c r="CB126" s="174"/>
      <c r="CC126" s="174"/>
      <c r="CD126" s="174"/>
    </row>
    <row r="127">
      <c r="A127" s="105" t="str">
        <f>IF(preDEL!$AG127,IFERROR(0/0,""),preDEL!A127)</f>
        <v>MA347</v>
      </c>
      <c r="B127" s="170">
        <f>IF(preDEL!$AG127,IFERROR(0/0,""),preDEL!B127)</f>
        <v>44568</v>
      </c>
      <c r="C127" s="171">
        <f>IF(preDEL!$AG127,IFERROR(0/0,""),preDEL!C127)</f>
        <v>0.3420601852</v>
      </c>
      <c r="D127" s="105" t="str">
        <f>IF(preDEL!$AG127,IFERROR(0/0,""),preDEL!D127)</f>
        <v/>
      </c>
      <c r="E127" s="105" t="str">
        <f>IF(preDEL!$AG127,IFERROR(0/0,""),preDEL!E127)</f>
        <v/>
      </c>
      <c r="F127" s="112" t="str">
        <f>IF(preDEL!$AG127,IFERROR(0/0,""),preDEL!F127)</f>
        <v/>
      </c>
      <c r="G127" s="112" t="str">
        <f>IF(preDEL!$AG127,IFERROR(0/0,""),preDEL!G127)</f>
        <v/>
      </c>
      <c r="H127" s="112" t="str">
        <f>IF(preDEL!$AG127,IFERROR(0/0,""),preDEL!H127)</f>
        <v/>
      </c>
      <c r="I127" s="105" t="str">
        <f>IF(preDEL!$AG127,IFERROR(0/0,""),preDEL!I127)</f>
        <v/>
      </c>
      <c r="J127" s="105" t="str">
        <f>IF(preDEL!$AG127,IFERROR(0/0,""),preDEL!J127)</f>
        <v/>
      </c>
      <c r="K127" s="105" t="str">
        <f>IF(preDEL!$AG127,IFERROR(0/0,""),preDEL!K127)</f>
        <v>Inconclusive</v>
      </c>
      <c r="L127" s="170">
        <f>IF(preDEL!$AG127,IFERROR(0/0,""),preDEL!L127)</f>
        <v>44568</v>
      </c>
      <c r="M127" s="171">
        <f>IF(preDEL!$AG127,IFERROR(0/0,""),preDEL!M127)</f>
        <v>0.5079050926</v>
      </c>
      <c r="N127" s="112" t="str">
        <f>IF(preDEL!$AG127,IFERROR(0/0,""),preDEL!N127)</f>
        <v/>
      </c>
      <c r="O127" s="112" t="str">
        <f>IF(preDEL!$AG127,IFERROR(0/0,""),preDEL!O127)</f>
        <v/>
      </c>
      <c r="P127" s="110" t="b">
        <f>IF(preDEL!$AG127,IFERROR(0/0,""),preDEL!P127)</f>
        <v>0</v>
      </c>
      <c r="Q127" s="110" t="str">
        <f>IF(preDEL!$AG127,IFERROR(0/0,""),preDEL!Q127)</f>
        <v>Result</v>
      </c>
      <c r="R127" s="104" t="b">
        <f>IF(preDEL!$AG127,IFERROR(0/0,""),preDEL!R127)</f>
        <v>1</v>
      </c>
      <c r="S127" s="104">
        <f>IF(preDEL!$AG127,IFERROR(0/0,""),preDEL!S127)</f>
        <v>1</v>
      </c>
      <c r="T127" s="110" t="str">
        <f>IF(preDEL!$AG127,IFERROR(0/0,""),preDEL!T127)</f>
        <v/>
      </c>
      <c r="U127" s="112" t="str">
        <f>IF(preDEL!$AG127,IFERROR(0/0,""),preDEL!U127)</f>
        <v/>
      </c>
      <c r="V127" s="105" t="str">
        <f>IF(preDEL!$AG127,IFERROR(0/0,""),preDEL!V127)</f>
        <v/>
      </c>
      <c r="W127" s="112" t="str">
        <f>IF(preDEL!$AG127,IFERROR(0/0,""),preDEL!W127)</f>
        <v/>
      </c>
      <c r="X127" s="104" t="b">
        <f>IF(preDEL!$AG127,IFERROR(0/0,""),preDEL!X127)</f>
        <v>0</v>
      </c>
      <c r="Y127" s="110" t="b">
        <f>IF(preDEL!$AG127,IFERROR(0/0,""),preDEL!Y127)</f>
        <v>0</v>
      </c>
      <c r="Z127" s="105" t="str">
        <f>IF(preDEL!$AG127,IFERROR(0/0,""),preDEL!Z127)</f>
        <v/>
      </c>
      <c r="AA127" s="110" t="b">
        <f>IF(preDEL!$AG127,IFERROR(0/0,""),preDEL!AA127)</f>
        <v>0</v>
      </c>
      <c r="AB127" s="110" t="b">
        <f>IF(preDEL!$AG127,IFERROR(0/0,""),preDEL!AB127)</f>
        <v>0</v>
      </c>
      <c r="AC127" s="172">
        <f>IF(preDEL!$AG127,IFERROR(0/0,""),preDEL!AC127)</f>
        <v>671</v>
      </c>
      <c r="AD127" s="104" t="b">
        <f>IF(preDEL!$AG127,IFERROR(0/0,""),preDEL!AD127)</f>
        <v>0</v>
      </c>
      <c r="AE127" s="173">
        <f>IF(preDEL!$AG127,IFERROR(0/0,""),preDEL!AE127)</f>
        <v>238.8166667</v>
      </c>
      <c r="AF127" s="110" t="b">
        <f>IF(preDEL!$AG127,IFERROR(0/0,""),preDEL!AF127)</f>
        <v>0</v>
      </c>
      <c r="AG127" s="110" t="b">
        <f>IF(preDEL!$AG127,IFERROR(0/0,""),preDEL!AG127)</f>
        <v>0</v>
      </c>
      <c r="AH127" s="104" t="str">
        <f>IF(preDEL!$AG127,IFERROR(0/0,""),preDEL!AH127)</f>
        <v/>
      </c>
      <c r="AI127" s="105" t="str">
        <f>IF(preDEL!$AG127,IFERROR(0/0,""),preDEL!AI127)</f>
        <v/>
      </c>
      <c r="AJ127" s="112" t="str">
        <f>IF(preDEL!$AG127,IFERROR(0/0,""),preDEL!AJ127)</f>
        <v/>
      </c>
      <c r="AK127" s="105" t="str">
        <f>IF(preDEL!$AG127,IFERROR(0/0,""),preDEL!AK127)</f>
        <v>Inconclusive</v>
      </c>
      <c r="AL127" s="112" t="str">
        <f>IF(preDEL!$AG127,IFERROR(0/0,""),preDEL!AL127)</f>
        <v/>
      </c>
      <c r="AM127" s="112" t="str">
        <f>IF(preDEL!$AG127,IFERROR(0/0,""),preDEL!AM127)</f>
        <v>SpBEND845509</v>
      </c>
      <c r="AN127" s="112" t="str">
        <f>IF(preDEL!$AG127,IFERROR(0/0,""),preDEL!AN127)</f>
        <v>BEND935806</v>
      </c>
      <c r="AO127" s="112" t="str">
        <f>IF(preDEL!$AG127,IFERROR(0/0,""),preDEL!AO127)</f>
        <v/>
      </c>
      <c r="AP127" s="112" t="str">
        <f>IF(preDEL!$AG127,IFERROR(0/0,""),preDEL!AP127)</f>
        <v/>
      </c>
      <c r="AQ127" s="112" t="str">
        <f>IF(preDEL!$AG127,IFERROR(0/0,""),preDEL!AQ127)</f>
        <v/>
      </c>
      <c r="AR127" s="112" t="str">
        <f>IF(preDEL!$AG127,IFERROR(0/0,""),preDEL!AR127)</f>
        <v/>
      </c>
      <c r="AS127" s="112" t="str">
        <f>IF(preDEL!$AG127,IFERROR(0/0,""),preDEL!AS127)</f>
        <v/>
      </c>
      <c r="AT127" s="112" t="b">
        <f>IF(preDEL!$AG127,IFERROR(0/0,""),preDEL!AT127)</f>
        <v>0</v>
      </c>
      <c r="AU127" s="112" t="str">
        <f>IF(preDEL!$AG127,IFERROR(0/0,""),preDEL!AU127)</f>
        <v/>
      </c>
      <c r="AV127" s="112" t="str">
        <f>IF(preDEL!$AG127,IFERROR(0/0,""),preDEL!AV127)</f>
        <v/>
      </c>
      <c r="AW127" s="112" t="str">
        <f>IF(preDEL!$AG127,IFERROR(0/0,""),preDEL!AW127)</f>
        <v/>
      </c>
      <c r="AX127" s="112" t="str">
        <f>IF(preDEL!$AG127,IFERROR(0/0,""),preDEL!AX127)</f>
        <v/>
      </c>
      <c r="AY127" s="112" t="str">
        <f>IF(preDEL!$AG127,IFERROR(0/0,""),preDEL!AY127)</f>
        <v/>
      </c>
      <c r="AZ127" s="174"/>
      <c r="BA127" s="174"/>
      <c r="BB127" s="174"/>
      <c r="BC127" s="174"/>
      <c r="BD127" s="174"/>
      <c r="BE127" s="174"/>
      <c r="BF127" s="174"/>
      <c r="BG127" s="174"/>
      <c r="BH127" s="174"/>
      <c r="BI127" s="174"/>
      <c r="BJ127" s="174"/>
      <c r="BK127" s="174"/>
      <c r="BL127" s="174"/>
      <c r="BM127" s="174"/>
      <c r="BN127" s="174"/>
      <c r="BO127" s="174"/>
      <c r="BP127" s="174"/>
      <c r="BQ127" s="174"/>
      <c r="BR127" s="174"/>
      <c r="BS127" s="174"/>
      <c r="BT127" s="174"/>
      <c r="BU127" s="174"/>
      <c r="BV127" s="174"/>
      <c r="BW127" s="174"/>
      <c r="BX127" s="174"/>
      <c r="BY127" s="174"/>
      <c r="BZ127" s="174"/>
      <c r="CA127" s="174"/>
      <c r="CB127" s="174"/>
      <c r="CC127" s="174"/>
      <c r="CD127" s="174"/>
    </row>
    <row r="128">
      <c r="A128" s="105" t="str">
        <f>IF(preDEL!$AG128,IFERROR(0/0,""),preDEL!A128)</f>
        <v>MA461</v>
      </c>
      <c r="B128" s="170">
        <f>IF(preDEL!$AG128,IFERROR(0/0,""),preDEL!B128)</f>
        <v>44568</v>
      </c>
      <c r="C128" s="171">
        <f>IF(preDEL!$AG128,IFERROR(0/0,""),preDEL!C128)</f>
        <v>0.3421064815</v>
      </c>
      <c r="D128" s="105" t="str">
        <f>IF(preDEL!$AG128,IFERROR(0/0,""),preDEL!D128)</f>
        <v/>
      </c>
      <c r="E128" s="105" t="str">
        <f>IF(preDEL!$AG128,IFERROR(0/0,""),preDEL!E128)</f>
        <v/>
      </c>
      <c r="F128" s="112" t="str">
        <f>IF(preDEL!$AG128,IFERROR(0/0,""),preDEL!F128)</f>
        <v/>
      </c>
      <c r="G128" s="112" t="str">
        <f>IF(preDEL!$AG128,IFERROR(0/0,""),preDEL!G128)</f>
        <v/>
      </c>
      <c r="H128" s="112" t="str">
        <f>IF(preDEL!$AG128,IFERROR(0/0,""),preDEL!H128)</f>
        <v/>
      </c>
      <c r="I128" s="105" t="str">
        <f>IF(preDEL!$AG128,IFERROR(0/0,""),preDEL!I128)</f>
        <v/>
      </c>
      <c r="J128" s="105" t="str">
        <f>IF(preDEL!$AG128,IFERROR(0/0,""),preDEL!J128)</f>
        <v/>
      </c>
      <c r="K128" s="105" t="str">
        <f>IF(preDEL!$AG128,IFERROR(0/0,""),preDEL!K128)</f>
        <v>Negative</v>
      </c>
      <c r="L128" s="170">
        <f>IF(preDEL!$AG128,IFERROR(0/0,""),preDEL!L128)</f>
        <v>44568</v>
      </c>
      <c r="M128" s="171">
        <f>IF(preDEL!$AG128,IFERROR(0/0,""),preDEL!M128)</f>
        <v>0.5079050926</v>
      </c>
      <c r="N128" s="112" t="str">
        <f>IF(preDEL!$AG128,IFERROR(0/0,""),preDEL!N128)</f>
        <v/>
      </c>
      <c r="O128" s="112" t="str">
        <f>IF(preDEL!$AG128,IFERROR(0/0,""),preDEL!O128)</f>
        <v/>
      </c>
      <c r="P128" s="110" t="b">
        <f>IF(preDEL!$AG128,IFERROR(0/0,""),preDEL!P128)</f>
        <v>0</v>
      </c>
      <c r="Q128" s="110" t="str">
        <f>IF(preDEL!$AG128,IFERROR(0/0,""),preDEL!Q128)</f>
        <v>Result</v>
      </c>
      <c r="R128" s="104" t="b">
        <f>IF(preDEL!$AG128,IFERROR(0/0,""),preDEL!R128)</f>
        <v>1</v>
      </c>
      <c r="S128" s="104">
        <f>IF(preDEL!$AG128,IFERROR(0/0,""),preDEL!S128)</f>
        <v>1</v>
      </c>
      <c r="T128" s="110" t="str">
        <f>IF(preDEL!$AG128,IFERROR(0/0,""),preDEL!T128)</f>
        <v/>
      </c>
      <c r="U128" s="112" t="str">
        <f>IF(preDEL!$AG128,IFERROR(0/0,""),preDEL!U128)</f>
        <v/>
      </c>
      <c r="V128" s="105" t="str">
        <f>IF(preDEL!$AG128,IFERROR(0/0,""),preDEL!V128)</f>
        <v/>
      </c>
      <c r="W128" s="112" t="str">
        <f>IF(preDEL!$AG128,IFERROR(0/0,""),preDEL!W128)</f>
        <v/>
      </c>
      <c r="X128" s="104" t="b">
        <f>IF(preDEL!$AG128,IFERROR(0/0,""),preDEL!X128)</f>
        <v>0</v>
      </c>
      <c r="Y128" s="110" t="b">
        <f>IF(preDEL!$AG128,IFERROR(0/0,""),preDEL!Y128)</f>
        <v>0</v>
      </c>
      <c r="Z128" s="105" t="str">
        <f>IF(preDEL!$AG128,IFERROR(0/0,""),preDEL!Z128)</f>
        <v/>
      </c>
      <c r="AA128" s="110" t="b">
        <f>IF(preDEL!$AG128,IFERROR(0/0,""),preDEL!AA128)</f>
        <v>0</v>
      </c>
      <c r="AB128" s="110" t="b">
        <f>IF(preDEL!$AG128,IFERROR(0/0,""),preDEL!AB128)</f>
        <v>0</v>
      </c>
      <c r="AC128" s="172">
        <f>IF(preDEL!$AG128,IFERROR(0/0,""),preDEL!AC128)</f>
        <v>672</v>
      </c>
      <c r="AD128" s="104" t="b">
        <f>IF(preDEL!$AG128,IFERROR(0/0,""),preDEL!AD128)</f>
        <v>0</v>
      </c>
      <c r="AE128" s="173">
        <f>IF(preDEL!$AG128,IFERROR(0/0,""),preDEL!AE128)</f>
        <v>238.75</v>
      </c>
      <c r="AF128" s="110" t="b">
        <f>IF(preDEL!$AG128,IFERROR(0/0,""),preDEL!AF128)</f>
        <v>0</v>
      </c>
      <c r="AG128" s="110" t="b">
        <f>IF(preDEL!$AG128,IFERROR(0/0,""),preDEL!AG128)</f>
        <v>0</v>
      </c>
      <c r="AH128" s="104" t="str">
        <f>IF(preDEL!$AG128,IFERROR(0/0,""),preDEL!AH128)</f>
        <v/>
      </c>
      <c r="AI128" s="105" t="str">
        <f>IF(preDEL!$AG128,IFERROR(0/0,""),preDEL!AI128)</f>
        <v/>
      </c>
      <c r="AJ128" s="112" t="str">
        <f>IF(preDEL!$AG128,IFERROR(0/0,""),preDEL!AJ128)</f>
        <v/>
      </c>
      <c r="AK128" s="105" t="str">
        <f>IF(preDEL!$AG128,IFERROR(0/0,""),preDEL!AK128)</f>
        <v>Negative</v>
      </c>
      <c r="AL128" s="112" t="str">
        <f>IF(preDEL!$AG128,IFERROR(0/0,""),preDEL!AL128)</f>
        <v/>
      </c>
      <c r="AM128" s="112" t="str">
        <f>IF(preDEL!$AG128,IFERROR(0/0,""),preDEL!AM128)</f>
        <v>SpBEND551372</v>
      </c>
      <c r="AN128" s="112" t="str">
        <f>IF(preDEL!$AG128,IFERROR(0/0,""),preDEL!AN128)</f>
        <v>BEND475899</v>
      </c>
      <c r="AO128" s="112" t="str">
        <f>IF(preDEL!$AG128,IFERROR(0/0,""),preDEL!AO128)</f>
        <v/>
      </c>
      <c r="AP128" s="112" t="str">
        <f>IF(preDEL!$AG128,IFERROR(0/0,""),preDEL!AP128)</f>
        <v/>
      </c>
      <c r="AQ128" s="112" t="str">
        <f>IF(preDEL!$AG128,IFERROR(0/0,""),preDEL!AQ128)</f>
        <v/>
      </c>
      <c r="AR128" s="112" t="str">
        <f>IF(preDEL!$AG128,IFERROR(0/0,""),preDEL!AR128)</f>
        <v/>
      </c>
      <c r="AS128" s="112" t="str">
        <f>IF(preDEL!$AG128,IFERROR(0/0,""),preDEL!AS128)</f>
        <v/>
      </c>
      <c r="AT128" s="112" t="b">
        <f>IF(preDEL!$AG128,IFERROR(0/0,""),preDEL!AT128)</f>
        <v>0</v>
      </c>
      <c r="AU128" s="112" t="str">
        <f>IF(preDEL!$AG128,IFERROR(0/0,""),preDEL!AU128)</f>
        <v/>
      </c>
      <c r="AV128" s="112" t="str">
        <f>IF(preDEL!$AG128,IFERROR(0/0,""),preDEL!AV128)</f>
        <v/>
      </c>
      <c r="AW128" s="112" t="str">
        <f>IF(preDEL!$AG128,IFERROR(0/0,""),preDEL!AW128)</f>
        <v/>
      </c>
      <c r="AX128" s="112" t="str">
        <f>IF(preDEL!$AG128,IFERROR(0/0,""),preDEL!AX128)</f>
        <v/>
      </c>
      <c r="AY128" s="112" t="str">
        <f>IF(preDEL!$AG128,IFERROR(0/0,""),preDEL!AY128)</f>
        <v/>
      </c>
      <c r="AZ128" s="174"/>
      <c r="BA128" s="174"/>
      <c r="BB128" s="174"/>
      <c r="BC128" s="174"/>
      <c r="BD128" s="174"/>
      <c r="BE128" s="174"/>
      <c r="BF128" s="174"/>
      <c r="BG128" s="174"/>
      <c r="BH128" s="174"/>
      <c r="BI128" s="174"/>
      <c r="BJ128" s="174"/>
      <c r="BK128" s="174"/>
      <c r="BL128" s="174"/>
      <c r="BM128" s="174"/>
      <c r="BN128" s="174"/>
      <c r="BO128" s="174"/>
      <c r="BP128" s="174"/>
      <c r="BQ128" s="174"/>
      <c r="BR128" s="174"/>
      <c r="BS128" s="174"/>
      <c r="BT128" s="174"/>
      <c r="BU128" s="174"/>
      <c r="BV128" s="174"/>
      <c r="BW128" s="174"/>
      <c r="BX128" s="174"/>
      <c r="BY128" s="174"/>
      <c r="BZ128" s="174"/>
      <c r="CA128" s="174"/>
      <c r="CB128" s="174"/>
      <c r="CC128" s="174"/>
      <c r="CD128" s="174"/>
    </row>
    <row r="129">
      <c r="A129" s="105" t="str">
        <f>IF(preDEL!$AG129,IFERROR(0/0,""),preDEL!A129)</f>
        <v>MA238</v>
      </c>
      <c r="B129" s="170">
        <f>IF(preDEL!$AG129,IFERROR(0/0,""),preDEL!B129)</f>
        <v>44568</v>
      </c>
      <c r="C129" s="171">
        <f>IF(preDEL!$AG129,IFERROR(0/0,""),preDEL!C129)</f>
        <v>0.3471643519</v>
      </c>
      <c r="D129" s="105" t="str">
        <f>IF(preDEL!$AG129,IFERROR(0/0,""),preDEL!D129)</f>
        <v/>
      </c>
      <c r="E129" s="105" t="str">
        <f>IF(preDEL!$AG129,IFERROR(0/0,""),preDEL!E129)</f>
        <v/>
      </c>
      <c r="F129" s="112" t="str">
        <f>IF(preDEL!$AG129,IFERROR(0/0,""),preDEL!F129)</f>
        <v/>
      </c>
      <c r="G129" s="112" t="str">
        <f>IF(preDEL!$AG129,IFERROR(0/0,""),preDEL!G129)</f>
        <v/>
      </c>
      <c r="H129" s="112" t="str">
        <f>IF(preDEL!$AG129,IFERROR(0/0,""),preDEL!H129)</f>
        <v/>
      </c>
      <c r="I129" s="105" t="str">
        <f>IF(preDEL!$AG129,IFERROR(0/0,""),preDEL!I129)</f>
        <v/>
      </c>
      <c r="J129" s="105" t="str">
        <f>IF(preDEL!$AG129,IFERROR(0/0,""),preDEL!J129)</f>
        <v/>
      </c>
      <c r="K129" s="105" t="str">
        <f>IF(preDEL!$AG129,IFERROR(0/0,""),preDEL!K129)</f>
        <v>Negative</v>
      </c>
      <c r="L129" s="170">
        <f>IF(preDEL!$AG129,IFERROR(0/0,""),preDEL!L129)</f>
        <v>44568</v>
      </c>
      <c r="M129" s="171">
        <f>IF(preDEL!$AG129,IFERROR(0/0,""),preDEL!M129)</f>
        <v>0.5079166667</v>
      </c>
      <c r="N129" s="112" t="str">
        <f>IF(preDEL!$AG129,IFERROR(0/0,""),preDEL!N129)</f>
        <v/>
      </c>
      <c r="O129" s="112" t="str">
        <f>IF(preDEL!$AG129,IFERROR(0/0,""),preDEL!O129)</f>
        <v/>
      </c>
      <c r="P129" s="110" t="b">
        <f>IF(preDEL!$AG129,IFERROR(0/0,""),preDEL!P129)</f>
        <v>0</v>
      </c>
      <c r="Q129" s="110" t="str">
        <f>IF(preDEL!$AG129,IFERROR(0/0,""),preDEL!Q129)</f>
        <v>Result</v>
      </c>
      <c r="R129" s="104" t="b">
        <f>IF(preDEL!$AG129,IFERROR(0/0,""),preDEL!R129)</f>
        <v>1</v>
      </c>
      <c r="S129" s="104">
        <f>IF(preDEL!$AG129,IFERROR(0/0,""),preDEL!S129)</f>
        <v>1</v>
      </c>
      <c r="T129" s="110" t="str">
        <f>IF(preDEL!$AG129,IFERROR(0/0,""),preDEL!T129)</f>
        <v/>
      </c>
      <c r="U129" s="112" t="str">
        <f>IF(preDEL!$AG129,IFERROR(0/0,""),preDEL!U129)</f>
        <v/>
      </c>
      <c r="V129" s="105" t="str">
        <f>IF(preDEL!$AG129,IFERROR(0/0,""),preDEL!V129)</f>
        <v/>
      </c>
      <c r="W129" s="112" t="str">
        <f>IF(preDEL!$AG129,IFERROR(0/0,""),preDEL!W129)</f>
        <v/>
      </c>
      <c r="X129" s="104" t="b">
        <f>IF(preDEL!$AG129,IFERROR(0/0,""),preDEL!X129)</f>
        <v>0</v>
      </c>
      <c r="Y129" s="110" t="b">
        <f>IF(preDEL!$AG129,IFERROR(0/0,""),preDEL!Y129)</f>
        <v>0</v>
      </c>
      <c r="Z129" s="105" t="str">
        <f>IF(preDEL!$AG129,IFERROR(0/0,""),preDEL!Z129)</f>
        <v/>
      </c>
      <c r="AA129" s="110" t="b">
        <f>IF(preDEL!$AG129,IFERROR(0/0,""),preDEL!AA129)</f>
        <v>0</v>
      </c>
      <c r="AB129" s="110" t="b">
        <f>IF(preDEL!$AG129,IFERROR(0/0,""),preDEL!AB129)</f>
        <v>0</v>
      </c>
      <c r="AC129" s="172">
        <f>IF(preDEL!$AG129,IFERROR(0/0,""),preDEL!AC129)</f>
        <v>670</v>
      </c>
      <c r="AD129" s="104" t="b">
        <f>IF(preDEL!$AG129,IFERROR(0/0,""),preDEL!AD129)</f>
        <v>0</v>
      </c>
      <c r="AE129" s="173">
        <f>IF(preDEL!$AG129,IFERROR(0/0,""),preDEL!AE129)</f>
        <v>231.4833333</v>
      </c>
      <c r="AF129" s="110" t="b">
        <f>IF(preDEL!$AG129,IFERROR(0/0,""),preDEL!AF129)</f>
        <v>0</v>
      </c>
      <c r="AG129" s="110" t="b">
        <f>IF(preDEL!$AG129,IFERROR(0/0,""),preDEL!AG129)</f>
        <v>0</v>
      </c>
      <c r="AH129" s="104" t="str">
        <f>IF(preDEL!$AG129,IFERROR(0/0,""),preDEL!AH129)</f>
        <v/>
      </c>
      <c r="AI129" s="105" t="str">
        <f>IF(preDEL!$AG129,IFERROR(0/0,""),preDEL!AI129)</f>
        <v/>
      </c>
      <c r="AJ129" s="112" t="str">
        <f>IF(preDEL!$AG129,IFERROR(0/0,""),preDEL!AJ129)</f>
        <v/>
      </c>
      <c r="AK129" s="105" t="str">
        <f>IF(preDEL!$AG129,IFERROR(0/0,""),preDEL!AK129)</f>
        <v>Negative</v>
      </c>
      <c r="AL129" s="112" t="str">
        <f>IF(preDEL!$AG129,IFERROR(0/0,""),preDEL!AL129)</f>
        <v/>
      </c>
      <c r="AM129" s="112" t="str">
        <f>IF(preDEL!$AG129,IFERROR(0/0,""),preDEL!AM129)</f>
        <v>SpBEND454594</v>
      </c>
      <c r="AN129" s="112" t="str">
        <f>IF(preDEL!$AG129,IFERROR(0/0,""),preDEL!AN129)</f>
        <v>BEND584284</v>
      </c>
      <c r="AO129" s="112" t="str">
        <f>IF(preDEL!$AG129,IFERROR(0/0,""),preDEL!AO129)</f>
        <v/>
      </c>
      <c r="AP129" s="112" t="str">
        <f>IF(preDEL!$AG129,IFERROR(0/0,""),preDEL!AP129)</f>
        <v/>
      </c>
      <c r="AQ129" s="112" t="str">
        <f>IF(preDEL!$AG129,IFERROR(0/0,""),preDEL!AQ129)</f>
        <v/>
      </c>
      <c r="AR129" s="112" t="str">
        <f>IF(preDEL!$AG129,IFERROR(0/0,""),preDEL!AR129)</f>
        <v/>
      </c>
      <c r="AS129" s="112" t="str">
        <f>IF(preDEL!$AG129,IFERROR(0/0,""),preDEL!AS129)</f>
        <v/>
      </c>
      <c r="AT129" s="112" t="b">
        <f>IF(preDEL!$AG129,IFERROR(0/0,""),preDEL!AT129)</f>
        <v>0</v>
      </c>
      <c r="AU129" s="112" t="str">
        <f>IF(preDEL!$AG129,IFERROR(0/0,""),preDEL!AU129)</f>
        <v/>
      </c>
      <c r="AV129" s="112" t="str">
        <f>IF(preDEL!$AG129,IFERROR(0/0,""),preDEL!AV129)</f>
        <v/>
      </c>
      <c r="AW129" s="112" t="str">
        <f>IF(preDEL!$AG129,IFERROR(0/0,""),preDEL!AW129)</f>
        <v/>
      </c>
      <c r="AX129" s="112" t="str">
        <f>IF(preDEL!$AG129,IFERROR(0/0,""),preDEL!AX129)</f>
        <v/>
      </c>
      <c r="AY129" s="112" t="str">
        <f>IF(preDEL!$AG129,IFERROR(0/0,""),preDEL!AY129)</f>
        <v/>
      </c>
      <c r="AZ129" s="174"/>
      <c r="BA129" s="174"/>
      <c r="BB129" s="174"/>
      <c r="BC129" s="174"/>
      <c r="BD129" s="174"/>
      <c r="BE129" s="174"/>
      <c r="BF129" s="174"/>
      <c r="BG129" s="174"/>
      <c r="BH129" s="174"/>
      <c r="BI129" s="174"/>
      <c r="BJ129" s="174"/>
      <c r="BK129" s="174"/>
      <c r="BL129" s="174"/>
      <c r="BM129" s="174"/>
      <c r="BN129" s="174"/>
      <c r="BO129" s="174"/>
      <c r="BP129" s="174"/>
      <c r="BQ129" s="174"/>
      <c r="BR129" s="174"/>
      <c r="BS129" s="174"/>
      <c r="BT129" s="174"/>
      <c r="BU129" s="174"/>
      <c r="BV129" s="174"/>
      <c r="BW129" s="174"/>
      <c r="BX129" s="174"/>
      <c r="BY129" s="174"/>
      <c r="BZ129" s="174"/>
      <c r="CA129" s="174"/>
      <c r="CB129" s="174"/>
      <c r="CC129" s="174"/>
      <c r="CD129" s="174"/>
    </row>
    <row r="130">
      <c r="A130" s="105" t="str">
        <f>IF(preDEL!$AG130,IFERROR(0/0,""),preDEL!A130)</f>
        <v>MA1078</v>
      </c>
      <c r="B130" s="170">
        <f>IF(preDEL!$AG130,IFERROR(0/0,""),preDEL!B130)</f>
        <v>44568</v>
      </c>
      <c r="C130" s="171">
        <f>IF(preDEL!$AG130,IFERROR(0/0,""),preDEL!C130)</f>
        <v>0.3471759259</v>
      </c>
      <c r="D130" s="105" t="str">
        <f>IF(preDEL!$AG130,IFERROR(0/0,""),preDEL!D130)</f>
        <v/>
      </c>
      <c r="E130" s="105" t="str">
        <f>IF(preDEL!$AG130,IFERROR(0/0,""),preDEL!E130)</f>
        <v/>
      </c>
      <c r="F130" s="112" t="str">
        <f>IF(preDEL!$AG130,IFERROR(0/0,""),preDEL!F130)</f>
        <v/>
      </c>
      <c r="G130" s="112" t="str">
        <f>IF(preDEL!$AG130,IFERROR(0/0,""),preDEL!G130)</f>
        <v/>
      </c>
      <c r="H130" s="112" t="str">
        <f>IF(preDEL!$AG130,IFERROR(0/0,""),preDEL!H130)</f>
        <v/>
      </c>
      <c r="I130" s="105" t="str">
        <f>IF(preDEL!$AG130,IFERROR(0/0,""),preDEL!I130)</f>
        <v/>
      </c>
      <c r="J130" s="105" t="str">
        <f>IF(preDEL!$AG130,IFERROR(0/0,""),preDEL!J130)</f>
        <v/>
      </c>
      <c r="K130" s="105" t="str">
        <f>IF(preDEL!$AG130,IFERROR(0/0,""),preDEL!K130)</f>
        <v>Positive</v>
      </c>
      <c r="L130" s="170">
        <f>IF(preDEL!$AG130,IFERROR(0/0,""),preDEL!L130)</f>
        <v>44568</v>
      </c>
      <c r="M130" s="171">
        <f>IF(preDEL!$AG130,IFERROR(0/0,""),preDEL!M130)</f>
        <v>0.5079050926</v>
      </c>
      <c r="N130" s="112" t="str">
        <f>IF(preDEL!$AG130,IFERROR(0/0,""),preDEL!N130)</f>
        <v/>
      </c>
      <c r="O130" s="112" t="str">
        <f>IF(preDEL!$AG130,IFERROR(0/0,""),preDEL!O130)</f>
        <v/>
      </c>
      <c r="P130" s="110" t="b">
        <f>IF(preDEL!$AG130,IFERROR(0/0,""),preDEL!P130)</f>
        <v>0</v>
      </c>
      <c r="Q130" s="110" t="str">
        <f>IF(preDEL!$AG130,IFERROR(0/0,""),preDEL!Q130)</f>
        <v>Result</v>
      </c>
      <c r="R130" s="104" t="b">
        <f>IF(preDEL!$AG130,IFERROR(0/0,""),preDEL!R130)</f>
        <v>1</v>
      </c>
      <c r="S130" s="104">
        <f>IF(preDEL!$AG130,IFERROR(0/0,""),preDEL!S130)</f>
        <v>1</v>
      </c>
      <c r="T130" s="110" t="str">
        <f>IF(preDEL!$AG130,IFERROR(0/0,""),preDEL!T130)</f>
        <v/>
      </c>
      <c r="U130" s="112" t="str">
        <f>IF(preDEL!$AG130,IFERROR(0/0,""),preDEL!U130)</f>
        <v/>
      </c>
      <c r="V130" s="105" t="str">
        <f>IF(preDEL!$AG130,IFERROR(0/0,""),preDEL!V130)</f>
        <v/>
      </c>
      <c r="W130" s="112" t="str">
        <f>IF(preDEL!$AG130,IFERROR(0/0,""),preDEL!W130)</f>
        <v/>
      </c>
      <c r="X130" s="104" t="b">
        <f>IF(preDEL!$AG130,IFERROR(0/0,""),preDEL!X130)</f>
        <v>0</v>
      </c>
      <c r="Y130" s="110" t="b">
        <f>IF(preDEL!$AG130,IFERROR(0/0,""),preDEL!Y130)</f>
        <v>0</v>
      </c>
      <c r="Z130" s="105" t="str">
        <f>IF(preDEL!$AG130,IFERROR(0/0,""),preDEL!Z130)</f>
        <v/>
      </c>
      <c r="AA130" s="110" t="b">
        <f>IF(preDEL!$AG130,IFERROR(0/0,""),preDEL!AA130)</f>
        <v>0</v>
      </c>
      <c r="AB130" s="110" t="b">
        <f>IF(preDEL!$AG130,IFERROR(0/0,""),preDEL!AB130)</f>
        <v>0</v>
      </c>
      <c r="AC130" s="172">
        <f>IF(preDEL!$AG130,IFERROR(0/0,""),preDEL!AC130)</f>
        <v>669</v>
      </c>
      <c r="AD130" s="104" t="b">
        <f>IF(preDEL!$AG130,IFERROR(0/0,""),preDEL!AD130)</f>
        <v>0</v>
      </c>
      <c r="AE130" s="173">
        <f>IF(preDEL!$AG130,IFERROR(0/0,""),preDEL!AE130)</f>
        <v>231.45</v>
      </c>
      <c r="AF130" s="110" t="b">
        <f>IF(preDEL!$AG130,IFERROR(0/0,""),preDEL!AF130)</f>
        <v>0</v>
      </c>
      <c r="AG130" s="110" t="b">
        <f>IF(preDEL!$AG130,IFERROR(0/0,""),preDEL!AG130)</f>
        <v>0</v>
      </c>
      <c r="AH130" s="104" t="str">
        <f>IF(preDEL!$AG130,IFERROR(0/0,""),preDEL!AH130)</f>
        <v/>
      </c>
      <c r="AI130" s="105" t="str">
        <f>IF(preDEL!$AG130,IFERROR(0/0,""),preDEL!AI130)</f>
        <v/>
      </c>
      <c r="AJ130" s="112" t="str">
        <f>IF(preDEL!$AG130,IFERROR(0/0,""),preDEL!AJ130)</f>
        <v/>
      </c>
      <c r="AK130" s="105" t="str">
        <f>IF(preDEL!$AG130,IFERROR(0/0,""),preDEL!AK130)</f>
        <v>Positive</v>
      </c>
      <c r="AL130" s="112" t="str">
        <f>IF(preDEL!$AG130,IFERROR(0/0,""),preDEL!AL130)</f>
        <v/>
      </c>
      <c r="AM130" s="112" t="str">
        <f>IF(preDEL!$AG130,IFERROR(0/0,""),preDEL!AM130)</f>
        <v>SpBEND652059</v>
      </c>
      <c r="AN130" s="112" t="str">
        <f>IF(preDEL!$AG130,IFERROR(0/0,""),preDEL!AN130)</f>
        <v>BEND520608</v>
      </c>
      <c r="AO130" s="112" t="str">
        <f>IF(preDEL!$AG130,IFERROR(0/0,""),preDEL!AO130)</f>
        <v/>
      </c>
      <c r="AP130" s="112" t="str">
        <f>IF(preDEL!$AG130,IFERROR(0/0,""),preDEL!AP130)</f>
        <v/>
      </c>
      <c r="AQ130" s="112" t="str">
        <f>IF(preDEL!$AG130,IFERROR(0/0,""),preDEL!AQ130)</f>
        <v/>
      </c>
      <c r="AR130" s="112" t="str">
        <f>IF(preDEL!$AG130,IFERROR(0/0,""),preDEL!AR130)</f>
        <v/>
      </c>
      <c r="AS130" s="112" t="str">
        <f>IF(preDEL!$AG130,IFERROR(0/0,""),preDEL!AS130)</f>
        <v/>
      </c>
      <c r="AT130" s="112" t="b">
        <f>IF(preDEL!$AG130,IFERROR(0/0,""),preDEL!AT130)</f>
        <v>0</v>
      </c>
      <c r="AU130" s="112" t="str">
        <f>IF(preDEL!$AG130,IFERROR(0/0,""),preDEL!AU130)</f>
        <v/>
      </c>
      <c r="AV130" s="112" t="str">
        <f>IF(preDEL!$AG130,IFERROR(0/0,""),preDEL!AV130)</f>
        <v/>
      </c>
      <c r="AW130" s="112" t="str">
        <f>IF(preDEL!$AG130,IFERROR(0/0,""),preDEL!AW130)</f>
        <v/>
      </c>
      <c r="AX130" s="112" t="str">
        <f>IF(preDEL!$AG130,IFERROR(0/0,""),preDEL!AX130)</f>
        <v/>
      </c>
      <c r="AY130" s="112" t="str">
        <f>IF(preDEL!$AG130,IFERROR(0/0,""),preDEL!AY130)</f>
        <v/>
      </c>
      <c r="AZ130" s="174"/>
      <c r="BA130" s="174"/>
      <c r="BB130" s="174"/>
      <c r="BC130" s="174"/>
      <c r="BD130" s="174"/>
      <c r="BE130" s="174"/>
      <c r="BF130" s="174"/>
      <c r="BG130" s="174"/>
      <c r="BH130" s="174"/>
      <c r="BI130" s="174"/>
      <c r="BJ130" s="174"/>
      <c r="BK130" s="174"/>
      <c r="BL130" s="174"/>
      <c r="BM130" s="174"/>
      <c r="BN130" s="174"/>
      <c r="BO130" s="174"/>
      <c r="BP130" s="174"/>
      <c r="BQ130" s="174"/>
      <c r="BR130" s="174"/>
      <c r="BS130" s="174"/>
      <c r="BT130" s="174"/>
      <c r="BU130" s="174"/>
      <c r="BV130" s="174"/>
      <c r="BW130" s="174"/>
      <c r="BX130" s="174"/>
      <c r="BY130" s="174"/>
      <c r="BZ130" s="174"/>
      <c r="CA130" s="174"/>
      <c r="CB130" s="174"/>
      <c r="CC130" s="174"/>
      <c r="CD130" s="174"/>
    </row>
    <row r="131">
      <c r="A131" s="105" t="str">
        <f>IF(preDEL!$AG131,IFERROR(0/0,""),preDEL!A131)</f>
        <v>MAX125</v>
      </c>
      <c r="B131" s="170">
        <f>IF(preDEL!$AG131,IFERROR(0/0,""),preDEL!B131)</f>
        <v>44568</v>
      </c>
      <c r="C131" s="171">
        <f>IF(preDEL!$AG131,IFERROR(0/0,""),preDEL!C131)</f>
        <v>0.3556134259</v>
      </c>
      <c r="D131" s="105" t="str">
        <f>IF(preDEL!$AG131,IFERROR(0/0,""),preDEL!D131)</f>
        <v/>
      </c>
      <c r="E131" s="105" t="str">
        <f>IF(preDEL!$AG131,IFERROR(0/0,""),preDEL!E131)</f>
        <v/>
      </c>
      <c r="F131" s="112" t="str">
        <f>IF(preDEL!$AG131,IFERROR(0/0,""),preDEL!F131)</f>
        <v/>
      </c>
      <c r="G131" s="112" t="str">
        <f>IF(preDEL!$AG131,IFERROR(0/0,""),preDEL!G131)</f>
        <v/>
      </c>
      <c r="H131" s="112" t="str">
        <f>IF(preDEL!$AG131,IFERROR(0/0,""),preDEL!H131)</f>
        <v/>
      </c>
      <c r="I131" s="105" t="str">
        <f>IF(preDEL!$AG131,IFERROR(0/0,""),preDEL!I131)</f>
        <v/>
      </c>
      <c r="J131" s="105" t="str">
        <f>IF(preDEL!$AG131,IFERROR(0/0,""),preDEL!J131)</f>
        <v/>
      </c>
      <c r="K131" s="105" t="str">
        <f>IF(preDEL!$AG131,IFERROR(0/0,""),preDEL!K131)</f>
        <v>Negative</v>
      </c>
      <c r="L131" s="170">
        <f>IF(preDEL!$AG131,IFERROR(0/0,""),preDEL!L131)</f>
        <v>44568</v>
      </c>
      <c r="M131" s="171">
        <f>IF(preDEL!$AG131,IFERROR(0/0,""),preDEL!M131)</f>
        <v>0.5079166667</v>
      </c>
      <c r="N131" s="112" t="str">
        <f>IF(preDEL!$AG131,IFERROR(0/0,""),preDEL!N131)</f>
        <v/>
      </c>
      <c r="O131" s="112" t="str">
        <f>IF(preDEL!$AG131,IFERROR(0/0,""),preDEL!O131)</f>
        <v/>
      </c>
      <c r="P131" s="110" t="b">
        <f>IF(preDEL!$AG131,IFERROR(0/0,""),preDEL!P131)</f>
        <v>0</v>
      </c>
      <c r="Q131" s="110" t="str">
        <f>IF(preDEL!$AG131,IFERROR(0/0,""),preDEL!Q131)</f>
        <v>Result</v>
      </c>
      <c r="R131" s="104" t="b">
        <f>IF(preDEL!$AG131,IFERROR(0/0,""),preDEL!R131)</f>
        <v>1</v>
      </c>
      <c r="S131" s="104">
        <f>IF(preDEL!$AG131,IFERROR(0/0,""),preDEL!S131)</f>
        <v>1</v>
      </c>
      <c r="T131" s="110" t="str">
        <f>IF(preDEL!$AG131,IFERROR(0/0,""),preDEL!T131)</f>
        <v/>
      </c>
      <c r="U131" s="112" t="str">
        <f>IF(preDEL!$AG131,IFERROR(0/0,""),preDEL!U131)</f>
        <v/>
      </c>
      <c r="V131" s="105" t="str">
        <f>IF(preDEL!$AG131,IFERROR(0/0,""),preDEL!V131)</f>
        <v/>
      </c>
      <c r="W131" s="112" t="str">
        <f>IF(preDEL!$AG131,IFERROR(0/0,""),preDEL!W131)</f>
        <v/>
      </c>
      <c r="X131" s="104" t="b">
        <f>IF(preDEL!$AG131,IFERROR(0/0,""),preDEL!X131)</f>
        <v>0</v>
      </c>
      <c r="Y131" s="110" t="b">
        <f>IF(preDEL!$AG131,IFERROR(0/0,""),preDEL!Y131)</f>
        <v>0</v>
      </c>
      <c r="Z131" s="105" t="str">
        <f>IF(preDEL!$AG131,IFERROR(0/0,""),preDEL!Z131)</f>
        <v/>
      </c>
      <c r="AA131" s="110" t="b">
        <f>IF(preDEL!$AG131,IFERROR(0/0,""),preDEL!AA131)</f>
        <v>0</v>
      </c>
      <c r="AB131" s="110" t="b">
        <f>IF(preDEL!$AG131,IFERROR(0/0,""),preDEL!AB131)</f>
        <v>0</v>
      </c>
      <c r="AC131" s="172">
        <f>IF(preDEL!$AG131,IFERROR(0/0,""),preDEL!AC131)</f>
        <v>668</v>
      </c>
      <c r="AD131" s="104" t="b">
        <f>IF(preDEL!$AG131,IFERROR(0/0,""),preDEL!AD131)</f>
        <v>0</v>
      </c>
      <c r="AE131" s="173">
        <f>IF(preDEL!$AG131,IFERROR(0/0,""),preDEL!AE131)</f>
        <v>219.3166667</v>
      </c>
      <c r="AF131" s="110" t="b">
        <f>IF(preDEL!$AG131,IFERROR(0/0,""),preDEL!AF131)</f>
        <v>0</v>
      </c>
      <c r="AG131" s="110" t="b">
        <f>IF(preDEL!$AG131,IFERROR(0/0,""),preDEL!AG131)</f>
        <v>0</v>
      </c>
      <c r="AH131" s="104" t="str">
        <f>IF(preDEL!$AG131,IFERROR(0/0,""),preDEL!AH131)</f>
        <v/>
      </c>
      <c r="AI131" s="105" t="str">
        <f>IF(preDEL!$AG131,IFERROR(0/0,""),preDEL!AI131)</f>
        <v/>
      </c>
      <c r="AJ131" s="112" t="str">
        <f>IF(preDEL!$AG131,IFERROR(0/0,""),preDEL!AJ131)</f>
        <v/>
      </c>
      <c r="AK131" s="105" t="str">
        <f>IF(preDEL!$AG131,IFERROR(0/0,""),preDEL!AK131)</f>
        <v>Negative</v>
      </c>
      <c r="AL131" s="112" t="str">
        <f>IF(preDEL!$AG131,IFERROR(0/0,""),preDEL!AL131)</f>
        <v/>
      </c>
      <c r="AM131" s="112" t="str">
        <f>IF(preDEL!$AG131,IFERROR(0/0,""),preDEL!AM131)</f>
        <v>SpBEND394154</v>
      </c>
      <c r="AN131" s="112" t="str">
        <f>IF(preDEL!$AG131,IFERROR(0/0,""),preDEL!AN131)</f>
        <v>BEND219153</v>
      </c>
      <c r="AO131" s="112" t="str">
        <f>IF(preDEL!$AG131,IFERROR(0/0,""),preDEL!AO131)</f>
        <v/>
      </c>
      <c r="AP131" s="112" t="str">
        <f>IF(preDEL!$AG131,IFERROR(0/0,""),preDEL!AP131)</f>
        <v/>
      </c>
      <c r="AQ131" s="112" t="str">
        <f>IF(preDEL!$AG131,IFERROR(0/0,""),preDEL!AQ131)</f>
        <v/>
      </c>
      <c r="AR131" s="112" t="str">
        <f>IF(preDEL!$AG131,IFERROR(0/0,""),preDEL!AR131)</f>
        <v/>
      </c>
      <c r="AS131" s="112" t="str">
        <f>IF(preDEL!$AG131,IFERROR(0/0,""),preDEL!AS131)</f>
        <v/>
      </c>
      <c r="AT131" s="112" t="b">
        <f>IF(preDEL!$AG131,IFERROR(0/0,""),preDEL!AT131)</f>
        <v>0</v>
      </c>
      <c r="AU131" s="112" t="str">
        <f>IF(preDEL!$AG131,IFERROR(0/0,""),preDEL!AU131)</f>
        <v/>
      </c>
      <c r="AV131" s="112" t="str">
        <f>IF(preDEL!$AG131,IFERROR(0/0,""),preDEL!AV131)</f>
        <v/>
      </c>
      <c r="AW131" s="112" t="str">
        <f>IF(preDEL!$AG131,IFERROR(0/0,""),preDEL!AW131)</f>
        <v/>
      </c>
      <c r="AX131" s="112" t="str">
        <f>IF(preDEL!$AG131,IFERROR(0/0,""),preDEL!AX131)</f>
        <v/>
      </c>
      <c r="AY131" s="112" t="str">
        <f>IF(preDEL!$AG131,IFERROR(0/0,""),preDEL!AY131)</f>
        <v/>
      </c>
      <c r="AZ131" s="174"/>
      <c r="BA131" s="174"/>
      <c r="BB131" s="174"/>
      <c r="BC131" s="174"/>
      <c r="BD131" s="174"/>
      <c r="BE131" s="174"/>
      <c r="BF131" s="174"/>
      <c r="BG131" s="174"/>
      <c r="BH131" s="174"/>
      <c r="BI131" s="174"/>
      <c r="BJ131" s="174"/>
      <c r="BK131" s="174"/>
      <c r="BL131" s="174"/>
      <c r="BM131" s="174"/>
      <c r="BN131" s="174"/>
      <c r="BO131" s="174"/>
      <c r="BP131" s="174"/>
      <c r="BQ131" s="174"/>
      <c r="BR131" s="174"/>
      <c r="BS131" s="174"/>
      <c r="BT131" s="174"/>
      <c r="BU131" s="174"/>
      <c r="BV131" s="174"/>
      <c r="BW131" s="174"/>
      <c r="BX131" s="174"/>
      <c r="BY131" s="174"/>
      <c r="BZ131" s="174"/>
      <c r="CA131" s="174"/>
      <c r="CB131" s="174"/>
      <c r="CC131" s="174"/>
      <c r="CD131" s="174"/>
    </row>
    <row r="132">
      <c r="A132" s="105" t="str">
        <f>IF(preDEL!$AG132,IFERROR(0/0,""),preDEL!A132)</f>
        <v>MAX74</v>
      </c>
      <c r="B132" s="170">
        <f>IF(preDEL!$AG132,IFERROR(0/0,""),preDEL!B132)</f>
        <v>44568</v>
      </c>
      <c r="C132" s="171">
        <f>IF(preDEL!$AG132,IFERROR(0/0,""),preDEL!C132)</f>
        <v>0.3647800926</v>
      </c>
      <c r="D132" s="105" t="str">
        <f>IF(preDEL!$AG132,IFERROR(0/0,""),preDEL!D132)</f>
        <v/>
      </c>
      <c r="E132" s="105" t="str">
        <f>IF(preDEL!$AG132,IFERROR(0/0,""),preDEL!E132)</f>
        <v/>
      </c>
      <c r="F132" s="112" t="str">
        <f>IF(preDEL!$AG132,IFERROR(0/0,""),preDEL!F132)</f>
        <v/>
      </c>
      <c r="G132" s="112" t="str">
        <f>IF(preDEL!$AG132,IFERROR(0/0,""),preDEL!G132)</f>
        <v/>
      </c>
      <c r="H132" s="112" t="str">
        <f>IF(preDEL!$AG132,IFERROR(0/0,""),preDEL!H132)</f>
        <v/>
      </c>
      <c r="I132" s="105" t="str">
        <f>IF(preDEL!$AG132,IFERROR(0/0,""),preDEL!I132)</f>
        <v/>
      </c>
      <c r="J132" s="105" t="str">
        <f>IF(preDEL!$AG132,IFERROR(0/0,""),preDEL!J132)</f>
        <v/>
      </c>
      <c r="K132" s="105" t="str">
        <f>IF(preDEL!$AG132,IFERROR(0/0,""),preDEL!K132)</f>
        <v>Positive</v>
      </c>
      <c r="L132" s="170">
        <f>IF(preDEL!$AG132,IFERROR(0/0,""),preDEL!L132)</f>
        <v>44568</v>
      </c>
      <c r="M132" s="171">
        <f>IF(preDEL!$AG132,IFERROR(0/0,""),preDEL!M132)</f>
        <v>0.508275463</v>
      </c>
      <c r="N132" s="112" t="str">
        <f>IF(preDEL!$AG132,IFERROR(0/0,""),preDEL!N132)</f>
        <v/>
      </c>
      <c r="O132" s="112" t="str">
        <f>IF(preDEL!$AG132,IFERROR(0/0,""),preDEL!O132)</f>
        <v/>
      </c>
      <c r="P132" s="110" t="b">
        <f>IF(preDEL!$AG132,IFERROR(0/0,""),preDEL!P132)</f>
        <v>0</v>
      </c>
      <c r="Q132" s="110" t="str">
        <f>IF(preDEL!$AG132,IFERROR(0/0,""),preDEL!Q132)</f>
        <v>Result</v>
      </c>
      <c r="R132" s="104" t="b">
        <f>IF(preDEL!$AG132,IFERROR(0/0,""),preDEL!R132)</f>
        <v>1</v>
      </c>
      <c r="S132" s="104">
        <f>IF(preDEL!$AG132,IFERROR(0/0,""),preDEL!S132)</f>
        <v>1</v>
      </c>
      <c r="T132" s="110" t="str">
        <f>IF(preDEL!$AG132,IFERROR(0/0,""),preDEL!T132)</f>
        <v/>
      </c>
      <c r="U132" s="112" t="str">
        <f>IF(preDEL!$AG132,IFERROR(0/0,""),preDEL!U132)</f>
        <v/>
      </c>
      <c r="V132" s="105" t="str">
        <f>IF(preDEL!$AG132,IFERROR(0/0,""),preDEL!V132)</f>
        <v/>
      </c>
      <c r="W132" s="112" t="str">
        <f>IF(preDEL!$AG132,IFERROR(0/0,""),preDEL!W132)</f>
        <v/>
      </c>
      <c r="X132" s="104" t="b">
        <f>IF(preDEL!$AG132,IFERROR(0/0,""),preDEL!X132)</f>
        <v>0</v>
      </c>
      <c r="Y132" s="110" t="b">
        <f>IF(preDEL!$AG132,IFERROR(0/0,""),preDEL!Y132)</f>
        <v>0</v>
      </c>
      <c r="Z132" s="105" t="str">
        <f>IF(preDEL!$AG132,IFERROR(0/0,""),preDEL!Z132)</f>
        <v/>
      </c>
      <c r="AA132" s="110" t="b">
        <f>IF(preDEL!$AG132,IFERROR(0/0,""),preDEL!AA132)</f>
        <v>0</v>
      </c>
      <c r="AB132" s="110" t="b">
        <f>IF(preDEL!$AG132,IFERROR(0/0,""),preDEL!AB132)</f>
        <v>0</v>
      </c>
      <c r="AC132" s="172">
        <f>IF(preDEL!$AG132,IFERROR(0/0,""),preDEL!AC132)</f>
        <v>667</v>
      </c>
      <c r="AD132" s="104" t="b">
        <f>IF(preDEL!$AG132,IFERROR(0/0,""),preDEL!AD132)</f>
        <v>0</v>
      </c>
      <c r="AE132" s="173">
        <f>IF(preDEL!$AG132,IFERROR(0/0,""),preDEL!AE132)</f>
        <v>206.6333333</v>
      </c>
      <c r="AF132" s="110" t="b">
        <f>IF(preDEL!$AG132,IFERROR(0/0,""),preDEL!AF132)</f>
        <v>0</v>
      </c>
      <c r="AG132" s="110" t="b">
        <f>IF(preDEL!$AG132,IFERROR(0/0,""),preDEL!AG132)</f>
        <v>0</v>
      </c>
      <c r="AH132" s="104" t="str">
        <f>IF(preDEL!$AG132,IFERROR(0/0,""),preDEL!AH132)</f>
        <v/>
      </c>
      <c r="AI132" s="105" t="str">
        <f>IF(preDEL!$AG132,IFERROR(0/0,""),preDEL!AI132)</f>
        <v/>
      </c>
      <c r="AJ132" s="112" t="str">
        <f>IF(preDEL!$AG132,IFERROR(0/0,""),preDEL!AJ132)</f>
        <v/>
      </c>
      <c r="AK132" s="105" t="str">
        <f>IF(preDEL!$AG132,IFERROR(0/0,""),preDEL!AK132)</f>
        <v>Positive</v>
      </c>
      <c r="AL132" s="112" t="str">
        <f>IF(preDEL!$AG132,IFERROR(0/0,""),preDEL!AL132)</f>
        <v/>
      </c>
      <c r="AM132" s="112" t="str">
        <f>IF(preDEL!$AG132,IFERROR(0/0,""),preDEL!AM132)</f>
        <v>SpBEND642175</v>
      </c>
      <c r="AN132" s="112" t="str">
        <f>IF(preDEL!$AG132,IFERROR(0/0,""),preDEL!AN132)</f>
        <v>BEND883134</v>
      </c>
      <c r="AO132" s="112" t="str">
        <f>IF(preDEL!$AG132,IFERROR(0/0,""),preDEL!AO132)</f>
        <v/>
      </c>
      <c r="AP132" s="112" t="str">
        <f>IF(preDEL!$AG132,IFERROR(0/0,""),preDEL!AP132)</f>
        <v/>
      </c>
      <c r="AQ132" s="112" t="str">
        <f>IF(preDEL!$AG132,IFERROR(0/0,""),preDEL!AQ132)</f>
        <v/>
      </c>
      <c r="AR132" s="112" t="str">
        <f>IF(preDEL!$AG132,IFERROR(0/0,""),preDEL!AR132)</f>
        <v/>
      </c>
      <c r="AS132" s="112" t="str">
        <f>IF(preDEL!$AG132,IFERROR(0/0,""),preDEL!AS132)</f>
        <v/>
      </c>
      <c r="AT132" s="112" t="b">
        <f>IF(preDEL!$AG132,IFERROR(0/0,""),preDEL!AT132)</f>
        <v>0</v>
      </c>
      <c r="AU132" s="112" t="str">
        <f>IF(preDEL!$AG132,IFERROR(0/0,""),preDEL!AU132)</f>
        <v/>
      </c>
      <c r="AV132" s="112" t="str">
        <f>IF(preDEL!$AG132,IFERROR(0/0,""),preDEL!AV132)</f>
        <v/>
      </c>
      <c r="AW132" s="112" t="str">
        <f>IF(preDEL!$AG132,IFERROR(0/0,""),preDEL!AW132)</f>
        <v/>
      </c>
      <c r="AX132" s="112" t="str">
        <f>IF(preDEL!$AG132,IFERROR(0/0,""),preDEL!AX132)</f>
        <v/>
      </c>
      <c r="AY132" s="112" t="str">
        <f>IF(preDEL!$AG132,IFERROR(0/0,""),preDEL!AY132)</f>
        <v/>
      </c>
      <c r="AZ132" s="174"/>
      <c r="BA132" s="174"/>
      <c r="BB132" s="174"/>
      <c r="BC132" s="174"/>
      <c r="BD132" s="174"/>
      <c r="BE132" s="174"/>
      <c r="BF132" s="174"/>
      <c r="BG132" s="174"/>
      <c r="BH132" s="174"/>
      <c r="BI132" s="174"/>
      <c r="BJ132" s="174"/>
      <c r="BK132" s="174"/>
      <c r="BL132" s="174"/>
      <c r="BM132" s="174"/>
      <c r="BN132" s="174"/>
      <c r="BO132" s="174"/>
      <c r="BP132" s="174"/>
      <c r="BQ132" s="174"/>
      <c r="BR132" s="174"/>
      <c r="BS132" s="174"/>
      <c r="BT132" s="174"/>
      <c r="BU132" s="174"/>
      <c r="BV132" s="174"/>
      <c r="BW132" s="174"/>
      <c r="BX132" s="174"/>
      <c r="BY132" s="174"/>
      <c r="BZ132" s="174"/>
      <c r="CA132" s="174"/>
      <c r="CB132" s="174"/>
      <c r="CC132" s="174"/>
      <c r="CD132" s="174"/>
    </row>
    <row r="133">
      <c r="A133" s="105" t="str">
        <f>IF(preDEL!$AG133,IFERROR(0/0,""),preDEL!A133)</f>
        <v>MA617</v>
      </c>
      <c r="B133" s="170">
        <f>IF(preDEL!$AG133,IFERROR(0/0,""),preDEL!B133)</f>
        <v>44568</v>
      </c>
      <c r="C133" s="171">
        <f>IF(preDEL!$AG133,IFERROR(0/0,""),preDEL!C133)</f>
        <v>0.4141782407</v>
      </c>
      <c r="D133" s="105" t="str">
        <f>IF(preDEL!$AG133,IFERROR(0/0,""),preDEL!D133)</f>
        <v/>
      </c>
      <c r="E133" s="105" t="str">
        <f>IF(preDEL!$AG133,IFERROR(0/0,""),preDEL!E133)</f>
        <v/>
      </c>
      <c r="F133" s="112" t="str">
        <f>IF(preDEL!$AG133,IFERROR(0/0,""),preDEL!F133)</f>
        <v/>
      </c>
      <c r="G133" s="112" t="str">
        <f>IF(preDEL!$AG133,IFERROR(0/0,""),preDEL!G133)</f>
        <v/>
      </c>
      <c r="H133" s="112" t="str">
        <f>IF(preDEL!$AG133,IFERROR(0/0,""),preDEL!H133)</f>
        <v/>
      </c>
      <c r="I133" s="105" t="str">
        <f>IF(preDEL!$AG133,IFERROR(0/0,""),preDEL!I133)</f>
        <v/>
      </c>
      <c r="J133" s="105" t="str">
        <f>IF(preDEL!$AG133,IFERROR(0/0,""),preDEL!J133)</f>
        <v/>
      </c>
      <c r="K133" s="105" t="str">
        <f>IF(preDEL!$AG133,IFERROR(0/0,""),preDEL!K133)</f>
        <v>Negative</v>
      </c>
      <c r="L133" s="170">
        <f>IF(preDEL!$AG133,IFERROR(0/0,""),preDEL!L133)</f>
        <v>44568</v>
      </c>
      <c r="M133" s="171">
        <f>IF(preDEL!$AG133,IFERROR(0/0,""),preDEL!M133)</f>
        <v>0.5079166667</v>
      </c>
      <c r="N133" s="112" t="str">
        <f>IF(preDEL!$AG133,IFERROR(0/0,""),preDEL!N133)</f>
        <v/>
      </c>
      <c r="O133" s="112" t="str">
        <f>IF(preDEL!$AG133,IFERROR(0/0,""),preDEL!O133)</f>
        <v/>
      </c>
      <c r="P133" s="110" t="b">
        <f>IF(preDEL!$AG133,IFERROR(0/0,""),preDEL!P133)</f>
        <v>0</v>
      </c>
      <c r="Q133" s="110" t="str">
        <f>IF(preDEL!$AG133,IFERROR(0/0,""),preDEL!Q133)</f>
        <v>Result</v>
      </c>
      <c r="R133" s="104" t="b">
        <f>IF(preDEL!$AG133,IFERROR(0/0,""),preDEL!R133)</f>
        <v>1</v>
      </c>
      <c r="S133" s="104">
        <f>IF(preDEL!$AG133,IFERROR(0/0,""),preDEL!S133)</f>
        <v>1</v>
      </c>
      <c r="T133" s="110" t="str">
        <f>IF(preDEL!$AG133,IFERROR(0/0,""),preDEL!T133)</f>
        <v/>
      </c>
      <c r="U133" s="112" t="str">
        <f>IF(preDEL!$AG133,IFERROR(0/0,""),preDEL!U133)</f>
        <v/>
      </c>
      <c r="V133" s="105" t="str">
        <f>IF(preDEL!$AG133,IFERROR(0/0,""),preDEL!V133)</f>
        <v/>
      </c>
      <c r="W133" s="112" t="str">
        <f>IF(preDEL!$AG133,IFERROR(0/0,""),preDEL!W133)</f>
        <v/>
      </c>
      <c r="X133" s="104" t="b">
        <f>IF(preDEL!$AG133,IFERROR(0/0,""),preDEL!X133)</f>
        <v>0</v>
      </c>
      <c r="Y133" s="110" t="b">
        <f>IF(preDEL!$AG133,IFERROR(0/0,""),preDEL!Y133)</f>
        <v>0</v>
      </c>
      <c r="Z133" s="105" t="str">
        <f>IF(preDEL!$AG133,IFERROR(0/0,""),preDEL!Z133)</f>
        <v/>
      </c>
      <c r="AA133" s="110" t="b">
        <f>IF(preDEL!$AG133,IFERROR(0/0,""),preDEL!AA133)</f>
        <v>0</v>
      </c>
      <c r="AB133" s="110" t="b">
        <f>IF(preDEL!$AG133,IFERROR(0/0,""),preDEL!AB133)</f>
        <v>0</v>
      </c>
      <c r="AC133" s="172">
        <f>IF(preDEL!$AG133,IFERROR(0/0,""),preDEL!AC133)</f>
        <v>666</v>
      </c>
      <c r="AD133" s="104" t="b">
        <f>IF(preDEL!$AG133,IFERROR(0/0,""),preDEL!AD133)</f>
        <v>0</v>
      </c>
      <c r="AE133" s="173">
        <f>IF(preDEL!$AG133,IFERROR(0/0,""),preDEL!AE133)</f>
        <v>134.9833333</v>
      </c>
      <c r="AF133" s="110" t="b">
        <f>IF(preDEL!$AG133,IFERROR(0/0,""),preDEL!AF133)</f>
        <v>0</v>
      </c>
      <c r="AG133" s="110" t="b">
        <f>IF(preDEL!$AG133,IFERROR(0/0,""),preDEL!AG133)</f>
        <v>0</v>
      </c>
      <c r="AH133" s="104" t="str">
        <f>IF(preDEL!$AG133,IFERROR(0/0,""),preDEL!AH133)</f>
        <v/>
      </c>
      <c r="AI133" s="105" t="str">
        <f>IF(preDEL!$AG133,IFERROR(0/0,""),preDEL!AI133)</f>
        <v/>
      </c>
      <c r="AJ133" s="112" t="str">
        <f>IF(preDEL!$AG133,IFERROR(0/0,""),preDEL!AJ133)</f>
        <v/>
      </c>
      <c r="AK133" s="105" t="str">
        <f>IF(preDEL!$AG133,IFERROR(0/0,""),preDEL!AK133)</f>
        <v>Negative</v>
      </c>
      <c r="AL133" s="112" t="str">
        <f>IF(preDEL!$AG133,IFERROR(0/0,""),preDEL!AL133)</f>
        <v/>
      </c>
      <c r="AM133" s="112" t="str">
        <f>IF(preDEL!$AG133,IFERROR(0/0,""),preDEL!AM133)</f>
        <v>SpBEND394154</v>
      </c>
      <c r="AN133" s="112" t="str">
        <f>IF(preDEL!$AG133,IFERROR(0/0,""),preDEL!AN133)</f>
        <v>BEND949070</v>
      </c>
      <c r="AO133" s="112" t="str">
        <f>IF(preDEL!$AG133,IFERROR(0/0,""),preDEL!AO133)</f>
        <v/>
      </c>
      <c r="AP133" s="112" t="str">
        <f>IF(preDEL!$AG133,IFERROR(0/0,""),preDEL!AP133)</f>
        <v/>
      </c>
      <c r="AQ133" s="112" t="str">
        <f>IF(preDEL!$AG133,IFERROR(0/0,""),preDEL!AQ133)</f>
        <v/>
      </c>
      <c r="AR133" s="112" t="str">
        <f>IF(preDEL!$AG133,IFERROR(0/0,""),preDEL!AR133)</f>
        <v/>
      </c>
      <c r="AS133" s="112" t="str">
        <f>IF(preDEL!$AG133,IFERROR(0/0,""),preDEL!AS133)</f>
        <v/>
      </c>
      <c r="AT133" s="112" t="b">
        <f>IF(preDEL!$AG133,IFERROR(0/0,""),preDEL!AT133)</f>
        <v>0</v>
      </c>
      <c r="AU133" s="112" t="str">
        <f>IF(preDEL!$AG133,IFERROR(0/0,""),preDEL!AU133)</f>
        <v/>
      </c>
      <c r="AV133" s="112" t="str">
        <f>IF(preDEL!$AG133,IFERROR(0/0,""),preDEL!AV133)</f>
        <v/>
      </c>
      <c r="AW133" s="112" t="str">
        <f>IF(preDEL!$AG133,IFERROR(0/0,""),preDEL!AW133)</f>
        <v/>
      </c>
      <c r="AX133" s="112" t="str">
        <f>IF(preDEL!$AG133,IFERROR(0/0,""),preDEL!AX133)</f>
        <v/>
      </c>
      <c r="AY133" s="112" t="str">
        <f>IF(preDEL!$AG133,IFERROR(0/0,""),preDEL!AY133)</f>
        <v/>
      </c>
      <c r="AZ133" s="174"/>
      <c r="BA133" s="174"/>
      <c r="BB133" s="174"/>
      <c r="BC133" s="174"/>
      <c r="BD133" s="174"/>
      <c r="BE133" s="174"/>
      <c r="BF133" s="174"/>
      <c r="BG133" s="174"/>
      <c r="BH133" s="174"/>
      <c r="BI133" s="174"/>
      <c r="BJ133" s="174"/>
      <c r="BK133" s="174"/>
      <c r="BL133" s="174"/>
      <c r="BM133" s="174"/>
      <c r="BN133" s="174"/>
      <c r="BO133" s="174"/>
      <c r="BP133" s="174"/>
      <c r="BQ133" s="174"/>
      <c r="BR133" s="174"/>
      <c r="BS133" s="174"/>
      <c r="BT133" s="174"/>
      <c r="BU133" s="174"/>
      <c r="BV133" s="174"/>
      <c r="BW133" s="174"/>
      <c r="BX133" s="174"/>
      <c r="BY133" s="174"/>
      <c r="BZ133" s="174"/>
      <c r="CA133" s="174"/>
      <c r="CB133" s="174"/>
      <c r="CC133" s="174"/>
      <c r="CD133" s="174"/>
    </row>
    <row r="134">
      <c r="A134" s="105" t="str">
        <f>IF(preDEL!$AG134,IFERROR(0/0,""),preDEL!A134)</f>
        <v/>
      </c>
      <c r="B134" s="170" t="str">
        <f>IF(preDEL!$AG134,IFERROR(0/0,""),preDEL!B134)</f>
        <v/>
      </c>
      <c r="C134" s="171" t="str">
        <f>IF(preDEL!$AG134,IFERROR(0/0,""),preDEL!C134)</f>
        <v/>
      </c>
      <c r="D134" s="105" t="str">
        <f>IF(preDEL!$AG134,IFERROR(0/0,""),preDEL!D134)</f>
        <v/>
      </c>
      <c r="E134" s="105" t="str">
        <f>IF(preDEL!$AG134,IFERROR(0/0,""),preDEL!E134)</f>
        <v/>
      </c>
      <c r="F134" s="112" t="str">
        <f>IF(preDEL!$AG134,IFERROR(0/0,""),preDEL!F134)</f>
        <v/>
      </c>
      <c r="G134" s="112" t="str">
        <f>IF(preDEL!$AG134,IFERROR(0/0,""),preDEL!G134)</f>
        <v/>
      </c>
      <c r="H134" s="112" t="str">
        <f>IF(preDEL!$AG134,IFERROR(0/0,""),preDEL!H134)</f>
        <v/>
      </c>
      <c r="I134" s="105" t="str">
        <f>IF(preDEL!$AG134,IFERROR(0/0,""),preDEL!I134)</f>
        <v/>
      </c>
      <c r="J134" s="105" t="str">
        <f>IF(preDEL!$AG134,IFERROR(0/0,""),preDEL!J134)</f>
        <v/>
      </c>
      <c r="K134" s="105" t="str">
        <f>IF(preDEL!$AG134,IFERROR(0/0,""),preDEL!K134)</f>
        <v/>
      </c>
      <c r="L134" s="170" t="str">
        <f>IF(preDEL!$AG134,IFERROR(0/0,""),preDEL!L134)</f>
        <v/>
      </c>
      <c r="M134" s="171" t="str">
        <f>IF(preDEL!$AG134,IFERROR(0/0,""),preDEL!M134)</f>
        <v/>
      </c>
      <c r="N134" s="112" t="str">
        <f>IF(preDEL!$AG134,IFERROR(0/0,""),preDEL!N134)</f>
        <v/>
      </c>
      <c r="O134" s="112" t="str">
        <f>IF(preDEL!$AG134,IFERROR(0/0,""),preDEL!O134)</f>
        <v/>
      </c>
      <c r="P134" s="110" t="str">
        <f>IF(preDEL!$AG134,IFERROR(0/0,""),preDEL!P134)</f>
        <v/>
      </c>
      <c r="Q134" s="110" t="str">
        <f>IF(preDEL!$AG134,IFERROR(0/0,""),preDEL!Q134)</f>
        <v/>
      </c>
      <c r="R134" s="104" t="str">
        <f>IF(preDEL!$AG134,IFERROR(0/0,""),preDEL!R134)</f>
        <v/>
      </c>
      <c r="S134" s="104" t="str">
        <f>IF(preDEL!$AG134,IFERROR(0/0,""),preDEL!S134)</f>
        <v/>
      </c>
      <c r="T134" s="110" t="str">
        <f>IF(preDEL!$AG134,IFERROR(0/0,""),preDEL!T134)</f>
        <v/>
      </c>
      <c r="U134" s="112" t="str">
        <f>IF(preDEL!$AG134,IFERROR(0/0,""),preDEL!U134)</f>
        <v/>
      </c>
      <c r="V134" s="105" t="str">
        <f>IF(preDEL!$AG134,IFERROR(0/0,""),preDEL!V134)</f>
        <v/>
      </c>
      <c r="W134" s="112" t="str">
        <f>IF(preDEL!$AG134,IFERROR(0/0,""),preDEL!W134)</f>
        <v/>
      </c>
      <c r="X134" s="104" t="str">
        <f>IF(preDEL!$AG134,IFERROR(0/0,""),preDEL!X134)</f>
        <v/>
      </c>
      <c r="Y134" s="110" t="str">
        <f>IF(preDEL!$AG134,IFERROR(0/0,""),preDEL!Y134)</f>
        <v/>
      </c>
      <c r="Z134" s="105" t="str">
        <f>IF(preDEL!$AG134,IFERROR(0/0,""),preDEL!Z134)</f>
        <v/>
      </c>
      <c r="AA134" s="110" t="str">
        <f>IF(preDEL!$AG134,IFERROR(0/0,""),preDEL!AA134)</f>
        <v/>
      </c>
      <c r="AB134" s="110" t="str">
        <f>IF(preDEL!$AG134,IFERROR(0/0,""),preDEL!AB134)</f>
        <v/>
      </c>
      <c r="AC134" s="172" t="str">
        <f>IF(preDEL!$AG134,IFERROR(0/0,""),preDEL!AC134)</f>
        <v/>
      </c>
      <c r="AD134" s="104" t="str">
        <f>IF(preDEL!$AG134,IFERROR(0/0,""),preDEL!AD134)</f>
        <v/>
      </c>
      <c r="AE134" s="173" t="str">
        <f>IF(preDEL!$AG134,IFERROR(0/0,""),preDEL!AE134)</f>
        <v/>
      </c>
      <c r="AF134" s="110" t="str">
        <f>IF(preDEL!$AG134,IFERROR(0/0,""),preDEL!AF134)</f>
        <v/>
      </c>
      <c r="AG134" s="110" t="str">
        <f>IF(preDEL!$AG134,IFERROR(0/0,""),preDEL!AG134)</f>
        <v/>
      </c>
      <c r="AH134" s="104" t="str">
        <f>IF(preDEL!$AG134,IFERROR(0/0,""),preDEL!AH134)</f>
        <v/>
      </c>
      <c r="AI134" s="105" t="str">
        <f>IF(preDEL!$AG134,IFERROR(0/0,""),preDEL!AI134)</f>
        <v/>
      </c>
      <c r="AJ134" s="112" t="str">
        <f>IF(preDEL!$AG134,IFERROR(0/0,""),preDEL!AJ134)</f>
        <v/>
      </c>
      <c r="AK134" s="105" t="str">
        <f>IF(preDEL!$AG134,IFERROR(0/0,""),preDEL!AK134)</f>
        <v/>
      </c>
      <c r="AL134" s="112" t="str">
        <f>IF(preDEL!$AG134,IFERROR(0/0,""),preDEL!AL134)</f>
        <v/>
      </c>
      <c r="AM134" s="112" t="str">
        <f>IF(preDEL!$AG134,IFERROR(0/0,""),preDEL!AM134)</f>
        <v/>
      </c>
      <c r="AN134" s="112" t="str">
        <f>IF(preDEL!$AG134,IFERROR(0/0,""),preDEL!AN134)</f>
        <v/>
      </c>
      <c r="AO134" s="112" t="str">
        <f>IF(preDEL!$AG134,IFERROR(0/0,""),preDEL!AO134)</f>
        <v/>
      </c>
      <c r="AP134" s="112" t="str">
        <f>IF(preDEL!$AG134,IFERROR(0/0,""),preDEL!AP134)</f>
        <v/>
      </c>
      <c r="AQ134" s="112" t="str">
        <f>IF(preDEL!$AG134,IFERROR(0/0,""),preDEL!AQ134)</f>
        <v/>
      </c>
      <c r="AR134" s="112" t="str">
        <f>IF(preDEL!$AG134,IFERROR(0/0,""),preDEL!AR134)</f>
        <v/>
      </c>
      <c r="AS134" s="112" t="str">
        <f>IF(preDEL!$AG134,IFERROR(0/0,""),preDEL!AS134)</f>
        <v/>
      </c>
      <c r="AT134" s="112" t="str">
        <f>IF(preDEL!$AG134,IFERROR(0/0,""),preDEL!AT134)</f>
        <v/>
      </c>
      <c r="AU134" s="112" t="str">
        <f>IF(preDEL!$AG134,IFERROR(0/0,""),preDEL!AU134)</f>
        <v/>
      </c>
      <c r="AV134" s="112" t="str">
        <f>IF(preDEL!$AG134,IFERROR(0/0,""),preDEL!AV134)</f>
        <v/>
      </c>
      <c r="AW134" s="112" t="str">
        <f>IF(preDEL!$AG134,IFERROR(0/0,""),preDEL!AW134)</f>
        <v/>
      </c>
      <c r="AX134" s="112" t="str">
        <f>IF(preDEL!$AG134,IFERROR(0/0,""),preDEL!AX134)</f>
        <v/>
      </c>
      <c r="AY134" s="112" t="str">
        <f>IF(preDEL!$AG134,IFERROR(0/0,""),preDEL!AY134)</f>
        <v/>
      </c>
      <c r="AZ134" s="174"/>
      <c r="BA134" s="174"/>
      <c r="BB134" s="174"/>
      <c r="BC134" s="174"/>
      <c r="BD134" s="174"/>
      <c r="BE134" s="174"/>
      <c r="BF134" s="174"/>
      <c r="BG134" s="174"/>
      <c r="BH134" s="174"/>
      <c r="BI134" s="174"/>
      <c r="BJ134" s="174"/>
      <c r="BK134" s="174"/>
      <c r="BL134" s="174"/>
      <c r="BM134" s="174"/>
      <c r="BN134" s="174"/>
      <c r="BO134" s="174"/>
      <c r="BP134" s="174"/>
      <c r="BQ134" s="174"/>
      <c r="BR134" s="174"/>
      <c r="BS134" s="174"/>
      <c r="BT134" s="174"/>
      <c r="BU134" s="174"/>
      <c r="BV134" s="174"/>
      <c r="BW134" s="174"/>
      <c r="BX134" s="174"/>
      <c r="BY134" s="174"/>
      <c r="BZ134" s="174"/>
      <c r="CA134" s="174"/>
      <c r="CB134" s="174"/>
      <c r="CC134" s="174"/>
      <c r="CD134" s="174"/>
    </row>
    <row r="135">
      <c r="A135" s="105" t="str">
        <f>IF(preDEL!$AG135,IFERROR(0/0,""),preDEL!A135)</f>
        <v/>
      </c>
      <c r="B135" s="170" t="str">
        <f>IF(preDEL!$AG135,IFERROR(0/0,""),preDEL!B135)</f>
        <v/>
      </c>
      <c r="C135" s="171" t="str">
        <f>IF(preDEL!$AG135,IFERROR(0/0,""),preDEL!C135)</f>
        <v/>
      </c>
      <c r="D135" s="105" t="str">
        <f>IF(preDEL!$AG135,IFERROR(0/0,""),preDEL!D135)</f>
        <v/>
      </c>
      <c r="E135" s="105" t="str">
        <f>IF(preDEL!$AG135,IFERROR(0/0,""),preDEL!E135)</f>
        <v/>
      </c>
      <c r="F135" s="112" t="str">
        <f>IF(preDEL!$AG135,IFERROR(0/0,""),preDEL!F135)</f>
        <v/>
      </c>
      <c r="G135" s="112" t="str">
        <f>IF(preDEL!$AG135,IFERROR(0/0,""),preDEL!G135)</f>
        <v/>
      </c>
      <c r="H135" s="112" t="str">
        <f>IF(preDEL!$AG135,IFERROR(0/0,""),preDEL!H135)</f>
        <v/>
      </c>
      <c r="I135" s="105" t="str">
        <f>IF(preDEL!$AG135,IFERROR(0/0,""),preDEL!I135)</f>
        <v/>
      </c>
      <c r="J135" s="105" t="str">
        <f>IF(preDEL!$AG135,IFERROR(0/0,""),preDEL!J135)</f>
        <v/>
      </c>
      <c r="K135" s="105" t="str">
        <f>IF(preDEL!$AG135,IFERROR(0/0,""),preDEL!K135)</f>
        <v/>
      </c>
      <c r="L135" s="170" t="str">
        <f>IF(preDEL!$AG135,IFERROR(0/0,""),preDEL!L135)</f>
        <v/>
      </c>
      <c r="M135" s="171" t="str">
        <f>IF(preDEL!$AG135,IFERROR(0/0,""),preDEL!M135)</f>
        <v/>
      </c>
      <c r="N135" s="112" t="str">
        <f>IF(preDEL!$AG135,IFERROR(0/0,""),preDEL!N135)</f>
        <v/>
      </c>
      <c r="O135" s="112" t="str">
        <f>IF(preDEL!$AG135,IFERROR(0/0,""),preDEL!O135)</f>
        <v/>
      </c>
      <c r="P135" s="110" t="str">
        <f>IF(preDEL!$AG135,IFERROR(0/0,""),preDEL!P135)</f>
        <v/>
      </c>
      <c r="Q135" s="110" t="str">
        <f>IF(preDEL!$AG135,IFERROR(0/0,""),preDEL!Q135)</f>
        <v/>
      </c>
      <c r="R135" s="104" t="str">
        <f>IF(preDEL!$AG135,IFERROR(0/0,""),preDEL!R135)</f>
        <v/>
      </c>
      <c r="S135" s="104" t="str">
        <f>IF(preDEL!$AG135,IFERROR(0/0,""),preDEL!S135)</f>
        <v/>
      </c>
      <c r="T135" s="110" t="str">
        <f>IF(preDEL!$AG135,IFERROR(0/0,""),preDEL!T135)</f>
        <v/>
      </c>
      <c r="U135" s="112" t="str">
        <f>IF(preDEL!$AG135,IFERROR(0/0,""),preDEL!U135)</f>
        <v/>
      </c>
      <c r="V135" s="105" t="str">
        <f>IF(preDEL!$AG135,IFERROR(0/0,""),preDEL!V135)</f>
        <v/>
      </c>
      <c r="W135" s="112" t="str">
        <f>IF(preDEL!$AG135,IFERROR(0/0,""),preDEL!W135)</f>
        <v/>
      </c>
      <c r="X135" s="104" t="str">
        <f>IF(preDEL!$AG135,IFERROR(0/0,""),preDEL!X135)</f>
        <v/>
      </c>
      <c r="Y135" s="110" t="str">
        <f>IF(preDEL!$AG135,IFERROR(0/0,""),preDEL!Y135)</f>
        <v/>
      </c>
      <c r="Z135" s="105" t="str">
        <f>IF(preDEL!$AG135,IFERROR(0/0,""),preDEL!Z135)</f>
        <v/>
      </c>
      <c r="AA135" s="110" t="str">
        <f>IF(preDEL!$AG135,IFERROR(0/0,""),preDEL!AA135)</f>
        <v/>
      </c>
      <c r="AB135" s="110" t="str">
        <f>IF(preDEL!$AG135,IFERROR(0/0,""),preDEL!AB135)</f>
        <v/>
      </c>
      <c r="AC135" s="172" t="str">
        <f>IF(preDEL!$AG135,IFERROR(0/0,""),preDEL!AC135)</f>
        <v/>
      </c>
      <c r="AD135" s="104" t="str">
        <f>IF(preDEL!$AG135,IFERROR(0/0,""),preDEL!AD135)</f>
        <v/>
      </c>
      <c r="AE135" s="173" t="str">
        <f>IF(preDEL!$AG135,IFERROR(0/0,""),preDEL!AE135)</f>
        <v/>
      </c>
      <c r="AF135" s="110" t="str">
        <f>IF(preDEL!$AG135,IFERROR(0/0,""),preDEL!AF135)</f>
        <v/>
      </c>
      <c r="AG135" s="110" t="str">
        <f>IF(preDEL!$AG135,IFERROR(0/0,""),preDEL!AG135)</f>
        <v/>
      </c>
      <c r="AH135" s="104" t="str">
        <f>IF(preDEL!$AG135,IFERROR(0/0,""),preDEL!AH135)</f>
        <v/>
      </c>
      <c r="AI135" s="105" t="str">
        <f>IF(preDEL!$AG135,IFERROR(0/0,""),preDEL!AI135)</f>
        <v/>
      </c>
      <c r="AJ135" s="112" t="str">
        <f>IF(preDEL!$AG135,IFERROR(0/0,""),preDEL!AJ135)</f>
        <v/>
      </c>
      <c r="AK135" s="105" t="str">
        <f>IF(preDEL!$AG135,IFERROR(0/0,""),preDEL!AK135)</f>
        <v/>
      </c>
      <c r="AL135" s="112" t="str">
        <f>IF(preDEL!$AG135,IFERROR(0/0,""),preDEL!AL135)</f>
        <v/>
      </c>
      <c r="AM135" s="112" t="str">
        <f>IF(preDEL!$AG135,IFERROR(0/0,""),preDEL!AM135)</f>
        <v/>
      </c>
      <c r="AN135" s="112" t="str">
        <f>IF(preDEL!$AG135,IFERROR(0/0,""),preDEL!AN135)</f>
        <v/>
      </c>
      <c r="AO135" s="112" t="str">
        <f>IF(preDEL!$AG135,IFERROR(0/0,""),preDEL!AO135)</f>
        <v/>
      </c>
      <c r="AP135" s="112" t="str">
        <f>IF(preDEL!$AG135,IFERROR(0/0,""),preDEL!AP135)</f>
        <v/>
      </c>
      <c r="AQ135" s="112" t="str">
        <f>IF(preDEL!$AG135,IFERROR(0/0,""),preDEL!AQ135)</f>
        <v/>
      </c>
      <c r="AR135" s="112" t="str">
        <f>IF(preDEL!$AG135,IFERROR(0/0,""),preDEL!AR135)</f>
        <v/>
      </c>
      <c r="AS135" s="112" t="str">
        <f>IF(preDEL!$AG135,IFERROR(0/0,""),preDEL!AS135)</f>
        <v/>
      </c>
      <c r="AT135" s="112" t="str">
        <f>IF(preDEL!$AG135,IFERROR(0/0,""),preDEL!AT135)</f>
        <v/>
      </c>
      <c r="AU135" s="112" t="str">
        <f>IF(preDEL!$AG135,IFERROR(0/0,""),preDEL!AU135)</f>
        <v/>
      </c>
      <c r="AV135" s="112" t="str">
        <f>IF(preDEL!$AG135,IFERROR(0/0,""),preDEL!AV135)</f>
        <v/>
      </c>
      <c r="AW135" s="112" t="str">
        <f>IF(preDEL!$AG135,IFERROR(0/0,""),preDEL!AW135)</f>
        <v/>
      </c>
      <c r="AX135" s="112" t="str">
        <f>IF(preDEL!$AG135,IFERROR(0/0,""),preDEL!AX135)</f>
        <v/>
      </c>
      <c r="AY135" s="112" t="str">
        <f>IF(preDEL!$AG135,IFERROR(0/0,""),preDEL!AY135)</f>
        <v/>
      </c>
      <c r="AZ135" s="174"/>
      <c r="BA135" s="174"/>
      <c r="BB135" s="174"/>
      <c r="BC135" s="174"/>
      <c r="BD135" s="174"/>
      <c r="BE135" s="174"/>
      <c r="BF135" s="174"/>
      <c r="BG135" s="174"/>
      <c r="BH135" s="174"/>
      <c r="BI135" s="174"/>
      <c r="BJ135" s="174"/>
      <c r="BK135" s="174"/>
      <c r="BL135" s="174"/>
      <c r="BM135" s="174"/>
      <c r="BN135" s="174"/>
      <c r="BO135" s="174"/>
      <c r="BP135" s="174"/>
      <c r="BQ135" s="174"/>
      <c r="BR135" s="174"/>
      <c r="BS135" s="174"/>
      <c r="BT135" s="174"/>
      <c r="BU135" s="174"/>
      <c r="BV135" s="174"/>
      <c r="BW135" s="174"/>
      <c r="BX135" s="174"/>
      <c r="BY135" s="174"/>
      <c r="BZ135" s="174"/>
      <c r="CA135" s="174"/>
      <c r="CB135" s="174"/>
      <c r="CC135" s="174"/>
      <c r="CD135" s="174"/>
    </row>
    <row r="136">
      <c r="A136" s="105" t="str">
        <f>IF(preDEL!$AG136,IFERROR(0/0,""),preDEL!A136)</f>
        <v/>
      </c>
      <c r="B136" s="170" t="str">
        <f>IF(preDEL!$AG136,IFERROR(0/0,""),preDEL!B136)</f>
        <v/>
      </c>
      <c r="C136" s="171" t="str">
        <f>IF(preDEL!$AG136,IFERROR(0/0,""),preDEL!C136)</f>
        <v/>
      </c>
      <c r="D136" s="105" t="str">
        <f>IF(preDEL!$AG136,IFERROR(0/0,""),preDEL!D136)</f>
        <v/>
      </c>
      <c r="E136" s="105" t="str">
        <f>IF(preDEL!$AG136,IFERROR(0/0,""),preDEL!E136)</f>
        <v/>
      </c>
      <c r="F136" s="112" t="str">
        <f>IF(preDEL!$AG136,IFERROR(0/0,""),preDEL!F136)</f>
        <v/>
      </c>
      <c r="G136" s="112" t="str">
        <f>IF(preDEL!$AG136,IFERROR(0/0,""),preDEL!G136)</f>
        <v/>
      </c>
      <c r="H136" s="112" t="str">
        <f>IF(preDEL!$AG136,IFERROR(0/0,""),preDEL!H136)</f>
        <v/>
      </c>
      <c r="I136" s="105" t="str">
        <f>IF(preDEL!$AG136,IFERROR(0/0,""),preDEL!I136)</f>
        <v/>
      </c>
      <c r="J136" s="105" t="str">
        <f>IF(preDEL!$AG136,IFERROR(0/0,""),preDEL!J136)</f>
        <v/>
      </c>
      <c r="K136" s="105" t="str">
        <f>IF(preDEL!$AG136,IFERROR(0/0,""),preDEL!K136)</f>
        <v/>
      </c>
      <c r="L136" s="170" t="str">
        <f>IF(preDEL!$AG136,IFERROR(0/0,""),preDEL!L136)</f>
        <v/>
      </c>
      <c r="M136" s="171" t="str">
        <f>IF(preDEL!$AG136,IFERROR(0/0,""),preDEL!M136)</f>
        <v/>
      </c>
      <c r="N136" s="112" t="str">
        <f>IF(preDEL!$AG136,IFERROR(0/0,""),preDEL!N136)</f>
        <v/>
      </c>
      <c r="O136" s="112" t="str">
        <f>IF(preDEL!$AG136,IFERROR(0/0,""),preDEL!O136)</f>
        <v/>
      </c>
      <c r="P136" s="110" t="str">
        <f>IF(preDEL!$AG136,IFERROR(0/0,""),preDEL!P136)</f>
        <v/>
      </c>
      <c r="Q136" s="110" t="str">
        <f>IF(preDEL!$AG136,IFERROR(0/0,""),preDEL!Q136)</f>
        <v/>
      </c>
      <c r="R136" s="104" t="str">
        <f>IF(preDEL!$AG136,IFERROR(0/0,""),preDEL!R136)</f>
        <v/>
      </c>
      <c r="S136" s="104" t="str">
        <f>IF(preDEL!$AG136,IFERROR(0/0,""),preDEL!S136)</f>
        <v/>
      </c>
      <c r="T136" s="110" t="str">
        <f>IF(preDEL!$AG136,IFERROR(0/0,""),preDEL!T136)</f>
        <v/>
      </c>
      <c r="U136" s="112" t="str">
        <f>IF(preDEL!$AG136,IFERROR(0/0,""),preDEL!U136)</f>
        <v/>
      </c>
      <c r="V136" s="105" t="str">
        <f>IF(preDEL!$AG136,IFERROR(0/0,""),preDEL!V136)</f>
        <v/>
      </c>
      <c r="W136" s="112" t="str">
        <f>IF(preDEL!$AG136,IFERROR(0/0,""),preDEL!W136)</f>
        <v/>
      </c>
      <c r="X136" s="104" t="str">
        <f>IF(preDEL!$AG136,IFERROR(0/0,""),preDEL!X136)</f>
        <v/>
      </c>
      <c r="Y136" s="110" t="str">
        <f>IF(preDEL!$AG136,IFERROR(0/0,""),preDEL!Y136)</f>
        <v/>
      </c>
      <c r="Z136" s="105" t="str">
        <f>IF(preDEL!$AG136,IFERROR(0/0,""),preDEL!Z136)</f>
        <v/>
      </c>
      <c r="AA136" s="110" t="str">
        <f>IF(preDEL!$AG136,IFERROR(0/0,""),preDEL!AA136)</f>
        <v/>
      </c>
      <c r="AB136" s="110" t="str">
        <f>IF(preDEL!$AG136,IFERROR(0/0,""),preDEL!AB136)</f>
        <v/>
      </c>
      <c r="AC136" s="172" t="str">
        <f>IF(preDEL!$AG136,IFERROR(0/0,""),preDEL!AC136)</f>
        <v/>
      </c>
      <c r="AD136" s="104" t="str">
        <f>IF(preDEL!$AG136,IFERROR(0/0,""),preDEL!AD136)</f>
        <v/>
      </c>
      <c r="AE136" s="173" t="str">
        <f>IF(preDEL!$AG136,IFERROR(0/0,""),preDEL!AE136)</f>
        <v/>
      </c>
      <c r="AF136" s="110" t="str">
        <f>IF(preDEL!$AG136,IFERROR(0/0,""),preDEL!AF136)</f>
        <v/>
      </c>
      <c r="AG136" s="110" t="str">
        <f>IF(preDEL!$AG136,IFERROR(0/0,""),preDEL!AG136)</f>
        <v/>
      </c>
      <c r="AH136" s="104" t="str">
        <f>IF(preDEL!$AG136,IFERROR(0/0,""),preDEL!AH136)</f>
        <v/>
      </c>
      <c r="AI136" s="105" t="str">
        <f>IF(preDEL!$AG136,IFERROR(0/0,""),preDEL!AI136)</f>
        <v/>
      </c>
      <c r="AJ136" s="112" t="str">
        <f>IF(preDEL!$AG136,IFERROR(0/0,""),preDEL!AJ136)</f>
        <v/>
      </c>
      <c r="AK136" s="105" t="str">
        <f>IF(preDEL!$AG136,IFERROR(0/0,""),preDEL!AK136)</f>
        <v/>
      </c>
      <c r="AL136" s="112" t="str">
        <f>IF(preDEL!$AG136,IFERROR(0/0,""),preDEL!AL136)</f>
        <v/>
      </c>
      <c r="AM136" s="112" t="str">
        <f>IF(preDEL!$AG136,IFERROR(0/0,""),preDEL!AM136)</f>
        <v/>
      </c>
      <c r="AN136" s="112" t="str">
        <f>IF(preDEL!$AG136,IFERROR(0/0,""),preDEL!AN136)</f>
        <v/>
      </c>
      <c r="AO136" s="112" t="str">
        <f>IF(preDEL!$AG136,IFERROR(0/0,""),preDEL!AO136)</f>
        <v/>
      </c>
      <c r="AP136" s="112" t="str">
        <f>IF(preDEL!$AG136,IFERROR(0/0,""),preDEL!AP136)</f>
        <v/>
      </c>
      <c r="AQ136" s="112" t="str">
        <f>IF(preDEL!$AG136,IFERROR(0/0,""),preDEL!AQ136)</f>
        <v/>
      </c>
      <c r="AR136" s="112" t="str">
        <f>IF(preDEL!$AG136,IFERROR(0/0,""),preDEL!AR136)</f>
        <v/>
      </c>
      <c r="AS136" s="112" t="str">
        <f>IF(preDEL!$AG136,IFERROR(0/0,""),preDEL!AS136)</f>
        <v/>
      </c>
      <c r="AT136" s="112" t="str">
        <f>IF(preDEL!$AG136,IFERROR(0/0,""),preDEL!AT136)</f>
        <v/>
      </c>
      <c r="AU136" s="112" t="str">
        <f>IF(preDEL!$AG136,IFERROR(0/0,""),preDEL!AU136)</f>
        <v/>
      </c>
      <c r="AV136" s="112" t="str">
        <f>IF(preDEL!$AG136,IFERROR(0/0,""),preDEL!AV136)</f>
        <v/>
      </c>
      <c r="AW136" s="112" t="str">
        <f>IF(preDEL!$AG136,IFERROR(0/0,""),preDEL!AW136)</f>
        <v/>
      </c>
      <c r="AX136" s="112" t="str">
        <f>IF(preDEL!$AG136,IFERROR(0/0,""),preDEL!AX136)</f>
        <v/>
      </c>
      <c r="AY136" s="112" t="str">
        <f>IF(preDEL!$AG136,IFERROR(0/0,""),preDEL!AY136)</f>
        <v/>
      </c>
      <c r="AZ136" s="174"/>
      <c r="BA136" s="174"/>
      <c r="BB136" s="174"/>
      <c r="BC136" s="174"/>
      <c r="BD136" s="174"/>
      <c r="BE136" s="174"/>
      <c r="BF136" s="174"/>
      <c r="BG136" s="174"/>
      <c r="BH136" s="174"/>
      <c r="BI136" s="174"/>
      <c r="BJ136" s="174"/>
      <c r="BK136" s="174"/>
      <c r="BL136" s="174"/>
      <c r="BM136" s="174"/>
      <c r="BN136" s="174"/>
      <c r="BO136" s="174"/>
      <c r="BP136" s="174"/>
      <c r="BQ136" s="174"/>
      <c r="BR136" s="174"/>
      <c r="BS136" s="174"/>
      <c r="BT136" s="174"/>
      <c r="BU136" s="174"/>
      <c r="BV136" s="174"/>
      <c r="BW136" s="174"/>
      <c r="BX136" s="174"/>
      <c r="BY136" s="174"/>
      <c r="BZ136" s="174"/>
      <c r="CA136" s="174"/>
      <c r="CB136" s="174"/>
      <c r="CC136" s="174"/>
      <c r="CD136" s="174"/>
    </row>
    <row r="137">
      <c r="A137" s="105" t="str">
        <f>IF(preDEL!$AG137,IFERROR(0/0,""),preDEL!A137)</f>
        <v>MA335</v>
      </c>
      <c r="B137" s="170">
        <f>IF(preDEL!$AG137,IFERROR(0/0,""),preDEL!B137)</f>
        <v>44571</v>
      </c>
      <c r="C137" s="171">
        <f>IF(preDEL!$AG137,IFERROR(0/0,""),preDEL!C137)</f>
        <v>0.2715856481</v>
      </c>
      <c r="D137" s="105" t="str">
        <f>IF(preDEL!$AG137,IFERROR(0/0,""),preDEL!D137)</f>
        <v/>
      </c>
      <c r="E137" s="105" t="str">
        <f>IF(preDEL!$AG137,IFERROR(0/0,""),preDEL!E137)</f>
        <v/>
      </c>
      <c r="F137" s="112" t="str">
        <f>IF(preDEL!$AG137,IFERROR(0/0,""),preDEL!F137)</f>
        <v/>
      </c>
      <c r="G137" s="112" t="str">
        <f>IF(preDEL!$AG137,IFERROR(0/0,""),preDEL!G137)</f>
        <v/>
      </c>
      <c r="H137" s="112" t="str">
        <f>IF(preDEL!$AG137,IFERROR(0/0,""),preDEL!H137)</f>
        <v/>
      </c>
      <c r="I137" s="105" t="str">
        <f>IF(preDEL!$AG137,IFERROR(0/0,""),preDEL!I137)</f>
        <v/>
      </c>
      <c r="J137" s="105" t="str">
        <f>IF(preDEL!$AG137,IFERROR(0/0,""),preDEL!J137)</f>
        <v/>
      </c>
      <c r="K137" s="105" t="str">
        <f>IF(preDEL!$AG137,IFERROR(0/0,""),preDEL!K137)</f>
        <v>Negative</v>
      </c>
      <c r="L137" s="170">
        <f>IF(preDEL!$AG137,IFERROR(0/0,""),preDEL!L137)</f>
        <v>44571</v>
      </c>
      <c r="M137" s="171">
        <f>IF(preDEL!$AG137,IFERROR(0/0,""),preDEL!M137)</f>
        <v>0.4659837963</v>
      </c>
      <c r="N137" s="112" t="str">
        <f>IF(preDEL!$AG137,IFERROR(0/0,""),preDEL!N137)</f>
        <v/>
      </c>
      <c r="O137" s="112" t="str">
        <f>IF(preDEL!$AG137,IFERROR(0/0,""),preDEL!O137)</f>
        <v/>
      </c>
      <c r="P137" s="110" t="b">
        <f>IF(preDEL!$AG137,IFERROR(0/0,""),preDEL!P137)</f>
        <v>0</v>
      </c>
      <c r="Q137" s="110" t="str">
        <f>IF(preDEL!$AG137,IFERROR(0/0,""),preDEL!Q137)</f>
        <v>Result</v>
      </c>
      <c r="R137" s="104" t="b">
        <f>IF(preDEL!$AG137,IFERROR(0/0,""),preDEL!R137)</f>
        <v>1</v>
      </c>
      <c r="S137" s="104">
        <f>IF(preDEL!$AG137,IFERROR(0/0,""),preDEL!S137)</f>
        <v>1</v>
      </c>
      <c r="T137" s="110" t="str">
        <f>IF(preDEL!$AG137,IFERROR(0/0,""),preDEL!T137)</f>
        <v/>
      </c>
      <c r="U137" s="112" t="str">
        <f>IF(preDEL!$AG137,IFERROR(0/0,""),preDEL!U137)</f>
        <v/>
      </c>
      <c r="V137" s="105" t="str">
        <f>IF(preDEL!$AG137,IFERROR(0/0,""),preDEL!V137)</f>
        <v/>
      </c>
      <c r="W137" s="112" t="str">
        <f>IF(preDEL!$AG137,IFERROR(0/0,""),preDEL!W137)</f>
        <v/>
      </c>
      <c r="X137" s="104" t="b">
        <f>IF(preDEL!$AG137,IFERROR(0/0,""),preDEL!X137)</f>
        <v>0</v>
      </c>
      <c r="Y137" s="110" t="b">
        <f>IF(preDEL!$AG137,IFERROR(0/0,""),preDEL!Y137)</f>
        <v>0</v>
      </c>
      <c r="Z137" s="105" t="str">
        <f>IF(preDEL!$AG137,IFERROR(0/0,""),preDEL!Z137)</f>
        <v/>
      </c>
      <c r="AA137" s="110" t="b">
        <f>IF(preDEL!$AG137,IFERROR(0/0,""),preDEL!AA137)</f>
        <v>0</v>
      </c>
      <c r="AB137" s="110" t="b">
        <f>IF(preDEL!$AG137,IFERROR(0/0,""),preDEL!AB137)</f>
        <v>0</v>
      </c>
      <c r="AC137" s="172">
        <f>IF(preDEL!$AG137,IFERROR(0/0,""),preDEL!AC137)</f>
        <v>662</v>
      </c>
      <c r="AD137" s="104" t="b">
        <f>IF(preDEL!$AG137,IFERROR(0/0,""),preDEL!AD137)</f>
        <v>0</v>
      </c>
      <c r="AE137" s="173">
        <f>IF(preDEL!$AG137,IFERROR(0/0,""),preDEL!AE137)</f>
        <v>279.9333333</v>
      </c>
      <c r="AF137" s="110" t="b">
        <f>IF(preDEL!$AG137,IFERROR(0/0,""),preDEL!AF137)</f>
        <v>0</v>
      </c>
      <c r="AG137" s="110" t="b">
        <f>IF(preDEL!$AG137,IFERROR(0/0,""),preDEL!AG137)</f>
        <v>0</v>
      </c>
      <c r="AH137" s="104" t="str">
        <f>IF(preDEL!$AG137,IFERROR(0/0,""),preDEL!AH137)</f>
        <v/>
      </c>
      <c r="AI137" s="105" t="str">
        <f>IF(preDEL!$AG137,IFERROR(0/0,""),preDEL!AI137)</f>
        <v/>
      </c>
      <c r="AJ137" s="112" t="str">
        <f>IF(preDEL!$AG137,IFERROR(0/0,""),preDEL!AJ137)</f>
        <v/>
      </c>
      <c r="AK137" s="105" t="str">
        <f>IF(preDEL!$AG137,IFERROR(0/0,""),preDEL!AK137)</f>
        <v>Negative</v>
      </c>
      <c r="AL137" s="112" t="str">
        <f>IF(preDEL!$AG137,IFERROR(0/0,""),preDEL!AL137)</f>
        <v/>
      </c>
      <c r="AM137" s="112" t="str">
        <f>IF(preDEL!$AG137,IFERROR(0/0,""),preDEL!AM137)</f>
        <v>SpBEND947055</v>
      </c>
      <c r="AN137" s="112" t="str">
        <f>IF(preDEL!$AG137,IFERROR(0/0,""),preDEL!AN137)</f>
        <v>BEND371889</v>
      </c>
      <c r="AO137" s="112" t="str">
        <f>IF(preDEL!$AG137,IFERROR(0/0,""),preDEL!AO137)</f>
        <v/>
      </c>
      <c r="AP137" s="112" t="str">
        <f>IF(preDEL!$AG137,IFERROR(0/0,""),preDEL!AP137)</f>
        <v/>
      </c>
      <c r="AQ137" s="112" t="str">
        <f>IF(preDEL!$AG137,IFERROR(0/0,""),preDEL!AQ137)</f>
        <v/>
      </c>
      <c r="AR137" s="112" t="str">
        <f>IF(preDEL!$AG137,IFERROR(0/0,""),preDEL!AR137)</f>
        <v/>
      </c>
      <c r="AS137" s="112" t="str">
        <f>IF(preDEL!$AG137,IFERROR(0/0,""),preDEL!AS137)</f>
        <v/>
      </c>
      <c r="AT137" s="112" t="b">
        <f>IF(preDEL!$AG137,IFERROR(0/0,""),preDEL!AT137)</f>
        <v>0</v>
      </c>
      <c r="AU137" s="112" t="str">
        <f>IF(preDEL!$AG137,IFERROR(0/0,""),preDEL!AU137)</f>
        <v/>
      </c>
      <c r="AV137" s="112" t="str">
        <f>IF(preDEL!$AG137,IFERROR(0/0,""),preDEL!AV137)</f>
        <v/>
      </c>
      <c r="AW137" s="112" t="str">
        <f>IF(preDEL!$AG137,IFERROR(0/0,""),preDEL!AW137)</f>
        <v/>
      </c>
      <c r="AX137" s="112" t="str">
        <f>IF(preDEL!$AG137,IFERROR(0/0,""),preDEL!AX137)</f>
        <v/>
      </c>
      <c r="AY137" s="112" t="str">
        <f>IF(preDEL!$AG137,IFERROR(0/0,""),preDEL!AY137)</f>
        <v/>
      </c>
      <c r="AZ137" s="174"/>
      <c r="BA137" s="174"/>
      <c r="BB137" s="174"/>
      <c r="BC137" s="174"/>
      <c r="BD137" s="174"/>
      <c r="BE137" s="174"/>
      <c r="BF137" s="174"/>
      <c r="BG137" s="174"/>
      <c r="BH137" s="174"/>
      <c r="BI137" s="174"/>
      <c r="BJ137" s="174"/>
      <c r="BK137" s="174"/>
      <c r="BL137" s="174"/>
      <c r="BM137" s="174"/>
      <c r="BN137" s="174"/>
      <c r="BO137" s="174"/>
      <c r="BP137" s="174"/>
      <c r="BQ137" s="174"/>
      <c r="BR137" s="174"/>
      <c r="BS137" s="174"/>
      <c r="BT137" s="174"/>
      <c r="BU137" s="174"/>
      <c r="BV137" s="174"/>
      <c r="BW137" s="174"/>
      <c r="BX137" s="174"/>
      <c r="BY137" s="174"/>
      <c r="BZ137" s="174"/>
      <c r="CA137" s="174"/>
      <c r="CB137" s="174"/>
      <c r="CC137" s="174"/>
      <c r="CD137" s="174"/>
    </row>
    <row r="138">
      <c r="A138" s="105" t="str">
        <f>IF(preDEL!$AG138,IFERROR(0/0,""),preDEL!A138)</f>
        <v>MA241</v>
      </c>
      <c r="B138" s="170">
        <f>IF(preDEL!$AG138,IFERROR(0/0,""),preDEL!B138)</f>
        <v>44571</v>
      </c>
      <c r="C138" s="171">
        <f>IF(preDEL!$AG138,IFERROR(0/0,""),preDEL!C138)</f>
        <v>0.2969212963</v>
      </c>
      <c r="D138" s="105" t="str">
        <f>IF(preDEL!$AG138,IFERROR(0/0,""),preDEL!D138)</f>
        <v/>
      </c>
      <c r="E138" s="105" t="str">
        <f>IF(preDEL!$AG138,IFERROR(0/0,""),preDEL!E138)</f>
        <v/>
      </c>
      <c r="F138" s="112" t="str">
        <f>IF(preDEL!$AG138,IFERROR(0/0,""),preDEL!F138)</f>
        <v/>
      </c>
      <c r="G138" s="112" t="str">
        <f>IF(preDEL!$AG138,IFERROR(0/0,""),preDEL!G138)</f>
        <v/>
      </c>
      <c r="H138" s="112" t="str">
        <f>IF(preDEL!$AG138,IFERROR(0/0,""),preDEL!H138)</f>
        <v/>
      </c>
      <c r="I138" s="105" t="str">
        <f>IF(preDEL!$AG138,IFERROR(0/0,""),preDEL!I138)</f>
        <v/>
      </c>
      <c r="J138" s="105" t="str">
        <f>IF(preDEL!$AG138,IFERROR(0/0,""),preDEL!J138)</f>
        <v/>
      </c>
      <c r="K138" s="105" t="str">
        <f>IF(preDEL!$AG138,IFERROR(0/0,""),preDEL!K138)</f>
        <v>Negative</v>
      </c>
      <c r="L138" s="170">
        <f>IF(preDEL!$AG138,IFERROR(0/0,""),preDEL!L138)</f>
        <v>44571</v>
      </c>
      <c r="M138" s="171">
        <f>IF(preDEL!$AG138,IFERROR(0/0,""),preDEL!M138)</f>
        <v>0.4659837963</v>
      </c>
      <c r="N138" s="112" t="str">
        <f>IF(preDEL!$AG138,IFERROR(0/0,""),preDEL!N138)</f>
        <v/>
      </c>
      <c r="O138" s="112" t="str">
        <f>IF(preDEL!$AG138,IFERROR(0/0,""),preDEL!O138)</f>
        <v/>
      </c>
      <c r="P138" s="110" t="b">
        <f>IF(preDEL!$AG138,IFERROR(0/0,""),preDEL!P138)</f>
        <v>0</v>
      </c>
      <c r="Q138" s="110" t="str">
        <f>IF(preDEL!$AG138,IFERROR(0/0,""),preDEL!Q138)</f>
        <v>Result</v>
      </c>
      <c r="R138" s="104" t="b">
        <f>IF(preDEL!$AG138,IFERROR(0/0,""),preDEL!R138)</f>
        <v>1</v>
      </c>
      <c r="S138" s="104">
        <f>IF(preDEL!$AG138,IFERROR(0/0,""),preDEL!S138)</f>
        <v>1</v>
      </c>
      <c r="T138" s="110" t="str">
        <f>IF(preDEL!$AG138,IFERROR(0/0,""),preDEL!T138)</f>
        <v/>
      </c>
      <c r="U138" s="112" t="str">
        <f>IF(preDEL!$AG138,IFERROR(0/0,""),preDEL!U138)</f>
        <v/>
      </c>
      <c r="V138" s="105" t="str">
        <f>IF(preDEL!$AG138,IFERROR(0/0,""),preDEL!V138)</f>
        <v/>
      </c>
      <c r="W138" s="112" t="str">
        <f>IF(preDEL!$AG138,IFERROR(0/0,""),preDEL!W138)</f>
        <v/>
      </c>
      <c r="X138" s="104" t="b">
        <f>IF(preDEL!$AG138,IFERROR(0/0,""),preDEL!X138)</f>
        <v>0</v>
      </c>
      <c r="Y138" s="110" t="b">
        <f>IF(preDEL!$AG138,IFERROR(0/0,""),preDEL!Y138)</f>
        <v>0</v>
      </c>
      <c r="Z138" s="105" t="str">
        <f>IF(preDEL!$AG138,IFERROR(0/0,""),preDEL!Z138)</f>
        <v/>
      </c>
      <c r="AA138" s="110" t="b">
        <f>IF(preDEL!$AG138,IFERROR(0/0,""),preDEL!AA138)</f>
        <v>0</v>
      </c>
      <c r="AB138" s="110" t="b">
        <f>IF(preDEL!$AG138,IFERROR(0/0,""),preDEL!AB138)</f>
        <v>0</v>
      </c>
      <c r="AC138" s="172">
        <f>IF(preDEL!$AG138,IFERROR(0/0,""),preDEL!AC138)</f>
        <v>661</v>
      </c>
      <c r="AD138" s="104" t="b">
        <f>IF(preDEL!$AG138,IFERROR(0/0,""),preDEL!AD138)</f>
        <v>0</v>
      </c>
      <c r="AE138" s="173">
        <f>IF(preDEL!$AG138,IFERROR(0/0,""),preDEL!AE138)</f>
        <v>243.45</v>
      </c>
      <c r="AF138" s="110" t="b">
        <f>IF(preDEL!$AG138,IFERROR(0/0,""),preDEL!AF138)</f>
        <v>0</v>
      </c>
      <c r="AG138" s="110" t="b">
        <f>IF(preDEL!$AG138,IFERROR(0/0,""),preDEL!AG138)</f>
        <v>0</v>
      </c>
      <c r="AH138" s="104" t="str">
        <f>IF(preDEL!$AG138,IFERROR(0/0,""),preDEL!AH138)</f>
        <v/>
      </c>
      <c r="AI138" s="105" t="str">
        <f>IF(preDEL!$AG138,IFERROR(0/0,""),preDEL!AI138)</f>
        <v/>
      </c>
      <c r="AJ138" s="112" t="str">
        <f>IF(preDEL!$AG138,IFERROR(0/0,""),preDEL!AJ138)</f>
        <v/>
      </c>
      <c r="AK138" s="105" t="str">
        <f>IF(preDEL!$AG138,IFERROR(0/0,""),preDEL!AK138)</f>
        <v>Negative</v>
      </c>
      <c r="AL138" s="112" t="str">
        <f>IF(preDEL!$AG138,IFERROR(0/0,""),preDEL!AL138)</f>
        <v/>
      </c>
      <c r="AM138" s="112" t="str">
        <f>IF(preDEL!$AG138,IFERROR(0/0,""),preDEL!AM138)</f>
        <v>SpBEND767550</v>
      </c>
      <c r="AN138" s="112" t="str">
        <f>IF(preDEL!$AG138,IFERROR(0/0,""),preDEL!AN138)</f>
        <v>BEND245933</v>
      </c>
      <c r="AO138" s="112" t="str">
        <f>IF(preDEL!$AG138,IFERROR(0/0,""),preDEL!AO138)</f>
        <v/>
      </c>
      <c r="AP138" s="112" t="str">
        <f>IF(preDEL!$AG138,IFERROR(0/0,""),preDEL!AP138)</f>
        <v/>
      </c>
      <c r="AQ138" s="112" t="str">
        <f>IF(preDEL!$AG138,IFERROR(0/0,""),preDEL!AQ138)</f>
        <v/>
      </c>
      <c r="AR138" s="112" t="str">
        <f>IF(preDEL!$AG138,IFERROR(0/0,""),preDEL!AR138)</f>
        <v/>
      </c>
      <c r="AS138" s="112" t="str">
        <f>IF(preDEL!$AG138,IFERROR(0/0,""),preDEL!AS138)</f>
        <v/>
      </c>
      <c r="AT138" s="112" t="b">
        <f>IF(preDEL!$AG138,IFERROR(0/0,""),preDEL!AT138)</f>
        <v>0</v>
      </c>
      <c r="AU138" s="112" t="str">
        <f>IF(preDEL!$AG138,IFERROR(0/0,""),preDEL!AU138)</f>
        <v/>
      </c>
      <c r="AV138" s="112" t="str">
        <f>IF(preDEL!$AG138,IFERROR(0/0,""),preDEL!AV138)</f>
        <v/>
      </c>
      <c r="AW138" s="112" t="str">
        <f>IF(preDEL!$AG138,IFERROR(0/0,""),preDEL!AW138)</f>
        <v/>
      </c>
      <c r="AX138" s="112" t="str">
        <f>IF(preDEL!$AG138,IFERROR(0/0,""),preDEL!AX138)</f>
        <v/>
      </c>
      <c r="AY138" s="112" t="str">
        <f>IF(preDEL!$AG138,IFERROR(0/0,""),preDEL!AY138)</f>
        <v/>
      </c>
      <c r="AZ138" s="174"/>
      <c r="BA138" s="174"/>
      <c r="BB138" s="174"/>
      <c r="BC138" s="174"/>
      <c r="BD138" s="174"/>
      <c r="BE138" s="174"/>
      <c r="BF138" s="174"/>
      <c r="BG138" s="174"/>
      <c r="BH138" s="174"/>
      <c r="BI138" s="174"/>
      <c r="BJ138" s="174"/>
      <c r="BK138" s="174"/>
      <c r="BL138" s="174"/>
      <c r="BM138" s="174"/>
      <c r="BN138" s="174"/>
      <c r="BO138" s="174"/>
      <c r="BP138" s="174"/>
      <c r="BQ138" s="174"/>
      <c r="BR138" s="174"/>
      <c r="BS138" s="174"/>
      <c r="BT138" s="174"/>
      <c r="BU138" s="174"/>
      <c r="BV138" s="174"/>
      <c r="BW138" s="174"/>
      <c r="BX138" s="174"/>
      <c r="BY138" s="174"/>
      <c r="BZ138" s="174"/>
      <c r="CA138" s="174"/>
      <c r="CB138" s="174"/>
      <c r="CC138" s="174"/>
      <c r="CD138" s="174"/>
    </row>
    <row r="139">
      <c r="A139" s="105" t="str">
        <f>IF(preDEL!$AG139,IFERROR(0/0,""),preDEL!A139)</f>
        <v>MA1175</v>
      </c>
      <c r="B139" s="170">
        <f>IF(preDEL!$AG139,IFERROR(0/0,""),preDEL!B139)</f>
        <v>44571</v>
      </c>
      <c r="C139" s="171">
        <f>IF(preDEL!$AG139,IFERROR(0/0,""),preDEL!C139)</f>
        <v>0.3116782407</v>
      </c>
      <c r="D139" s="105" t="str">
        <f>IF(preDEL!$AG139,IFERROR(0/0,""),preDEL!D139)</f>
        <v/>
      </c>
      <c r="E139" s="105" t="str">
        <f>IF(preDEL!$AG139,IFERROR(0/0,""),preDEL!E139)</f>
        <v/>
      </c>
      <c r="F139" s="112" t="str">
        <f>IF(preDEL!$AG139,IFERROR(0/0,""),preDEL!F139)</f>
        <v/>
      </c>
      <c r="G139" s="112" t="str">
        <f>IF(preDEL!$AG139,IFERROR(0/0,""),preDEL!G139)</f>
        <v/>
      </c>
      <c r="H139" s="112" t="str">
        <f>IF(preDEL!$AG139,IFERROR(0/0,""),preDEL!H139)</f>
        <v/>
      </c>
      <c r="I139" s="105" t="str">
        <f>IF(preDEL!$AG139,IFERROR(0/0,""),preDEL!I139)</f>
        <v/>
      </c>
      <c r="J139" s="105" t="str">
        <f>IF(preDEL!$AG139,IFERROR(0/0,""),preDEL!J139)</f>
        <v/>
      </c>
      <c r="K139" s="105" t="str">
        <f>IF(preDEL!$AG139,IFERROR(0/0,""),preDEL!K139)</f>
        <v>Negative</v>
      </c>
      <c r="L139" s="170">
        <f>IF(preDEL!$AG139,IFERROR(0/0,""),preDEL!L139)</f>
        <v>44571</v>
      </c>
      <c r="M139" s="171">
        <f>IF(preDEL!$AG139,IFERROR(0/0,""),preDEL!M139)</f>
        <v>0.4659837963</v>
      </c>
      <c r="N139" s="112" t="str">
        <f>IF(preDEL!$AG139,IFERROR(0/0,""),preDEL!N139)</f>
        <v/>
      </c>
      <c r="O139" s="112" t="str">
        <f>IF(preDEL!$AG139,IFERROR(0/0,""),preDEL!O139)</f>
        <v/>
      </c>
      <c r="P139" s="110" t="b">
        <f>IF(preDEL!$AG139,IFERROR(0/0,""),preDEL!P139)</f>
        <v>0</v>
      </c>
      <c r="Q139" s="110" t="str">
        <f>IF(preDEL!$AG139,IFERROR(0/0,""),preDEL!Q139)</f>
        <v>Result</v>
      </c>
      <c r="R139" s="104" t="b">
        <f>IF(preDEL!$AG139,IFERROR(0/0,""),preDEL!R139)</f>
        <v>1</v>
      </c>
      <c r="S139" s="104">
        <f>IF(preDEL!$AG139,IFERROR(0/0,""),preDEL!S139)</f>
        <v>1</v>
      </c>
      <c r="T139" s="110" t="str">
        <f>IF(preDEL!$AG139,IFERROR(0/0,""),preDEL!T139)</f>
        <v/>
      </c>
      <c r="U139" s="112" t="str">
        <f>IF(preDEL!$AG139,IFERROR(0/0,""),preDEL!U139)</f>
        <v/>
      </c>
      <c r="V139" s="105" t="str">
        <f>IF(preDEL!$AG139,IFERROR(0/0,""),preDEL!V139)</f>
        <v/>
      </c>
      <c r="W139" s="112" t="str">
        <f>IF(preDEL!$AG139,IFERROR(0/0,""),preDEL!W139)</f>
        <v/>
      </c>
      <c r="X139" s="104" t="b">
        <f>IF(preDEL!$AG139,IFERROR(0/0,""),preDEL!X139)</f>
        <v>0</v>
      </c>
      <c r="Y139" s="110" t="b">
        <f>IF(preDEL!$AG139,IFERROR(0/0,""),preDEL!Y139)</f>
        <v>0</v>
      </c>
      <c r="Z139" s="105" t="str">
        <f>IF(preDEL!$AG139,IFERROR(0/0,""),preDEL!Z139)</f>
        <v/>
      </c>
      <c r="AA139" s="110" t="b">
        <f>IF(preDEL!$AG139,IFERROR(0/0,""),preDEL!AA139)</f>
        <v>0</v>
      </c>
      <c r="AB139" s="110" t="b">
        <f>IF(preDEL!$AG139,IFERROR(0/0,""),preDEL!AB139)</f>
        <v>0</v>
      </c>
      <c r="AC139" s="172">
        <f>IF(preDEL!$AG139,IFERROR(0/0,""),preDEL!AC139)</f>
        <v>660</v>
      </c>
      <c r="AD139" s="104" t="b">
        <f>IF(preDEL!$AG139,IFERROR(0/0,""),preDEL!AD139)</f>
        <v>0</v>
      </c>
      <c r="AE139" s="173">
        <f>IF(preDEL!$AG139,IFERROR(0/0,""),preDEL!AE139)</f>
        <v>222.2</v>
      </c>
      <c r="AF139" s="110" t="b">
        <f>IF(preDEL!$AG139,IFERROR(0/0,""),preDEL!AF139)</f>
        <v>0</v>
      </c>
      <c r="AG139" s="110" t="b">
        <f>IF(preDEL!$AG139,IFERROR(0/0,""),preDEL!AG139)</f>
        <v>0</v>
      </c>
      <c r="AH139" s="104" t="str">
        <f>IF(preDEL!$AG139,IFERROR(0/0,""),preDEL!AH139)</f>
        <v/>
      </c>
      <c r="AI139" s="105" t="str">
        <f>IF(preDEL!$AG139,IFERROR(0/0,""),preDEL!AI139)</f>
        <v/>
      </c>
      <c r="AJ139" s="112" t="str">
        <f>IF(preDEL!$AG139,IFERROR(0/0,""),preDEL!AJ139)</f>
        <v/>
      </c>
      <c r="AK139" s="105" t="str">
        <f>IF(preDEL!$AG139,IFERROR(0/0,""),preDEL!AK139)</f>
        <v>Negative</v>
      </c>
      <c r="AL139" s="112" t="str">
        <f>IF(preDEL!$AG139,IFERROR(0/0,""),preDEL!AL139)</f>
        <v/>
      </c>
      <c r="AM139" s="112" t="str">
        <f>IF(preDEL!$AG139,IFERROR(0/0,""),preDEL!AM139)</f>
        <v>SpBEND816435</v>
      </c>
      <c r="AN139" s="112" t="str">
        <f>IF(preDEL!$AG139,IFERROR(0/0,""),preDEL!AN139)</f>
        <v>BEND139093</v>
      </c>
      <c r="AO139" s="112" t="str">
        <f>IF(preDEL!$AG139,IFERROR(0/0,""),preDEL!AO139)</f>
        <v/>
      </c>
      <c r="AP139" s="112" t="str">
        <f>IF(preDEL!$AG139,IFERROR(0/0,""),preDEL!AP139)</f>
        <v/>
      </c>
      <c r="AQ139" s="112" t="str">
        <f>IF(preDEL!$AG139,IFERROR(0/0,""),preDEL!AQ139)</f>
        <v/>
      </c>
      <c r="AR139" s="112" t="str">
        <f>IF(preDEL!$AG139,IFERROR(0/0,""),preDEL!AR139)</f>
        <v/>
      </c>
      <c r="AS139" s="112" t="str">
        <f>IF(preDEL!$AG139,IFERROR(0/0,""),preDEL!AS139)</f>
        <v/>
      </c>
      <c r="AT139" s="112" t="b">
        <f>IF(preDEL!$AG139,IFERROR(0/0,""),preDEL!AT139)</f>
        <v>0</v>
      </c>
      <c r="AU139" s="112" t="str">
        <f>IF(preDEL!$AG139,IFERROR(0/0,""),preDEL!AU139)</f>
        <v/>
      </c>
      <c r="AV139" s="112" t="str">
        <f>IF(preDEL!$AG139,IFERROR(0/0,""),preDEL!AV139)</f>
        <v/>
      </c>
      <c r="AW139" s="112" t="str">
        <f>IF(preDEL!$AG139,IFERROR(0/0,""),preDEL!AW139)</f>
        <v/>
      </c>
      <c r="AX139" s="112" t="str">
        <f>IF(preDEL!$AG139,IFERROR(0/0,""),preDEL!AX139)</f>
        <v/>
      </c>
      <c r="AY139" s="112" t="str">
        <f>IF(preDEL!$AG139,IFERROR(0/0,""),preDEL!AY139)</f>
        <v/>
      </c>
      <c r="AZ139" s="174"/>
      <c r="BA139" s="174"/>
      <c r="BB139" s="174"/>
      <c r="BC139" s="174"/>
      <c r="BD139" s="174"/>
      <c r="BE139" s="174"/>
      <c r="BF139" s="174"/>
      <c r="BG139" s="174"/>
      <c r="BH139" s="174"/>
      <c r="BI139" s="174"/>
      <c r="BJ139" s="174"/>
      <c r="BK139" s="174"/>
      <c r="BL139" s="174"/>
      <c r="BM139" s="174"/>
      <c r="BN139" s="174"/>
      <c r="BO139" s="174"/>
      <c r="BP139" s="174"/>
      <c r="BQ139" s="174"/>
      <c r="BR139" s="174"/>
      <c r="BS139" s="174"/>
      <c r="BT139" s="174"/>
      <c r="BU139" s="174"/>
      <c r="BV139" s="174"/>
      <c r="BW139" s="174"/>
      <c r="BX139" s="174"/>
      <c r="BY139" s="174"/>
      <c r="BZ139" s="174"/>
      <c r="CA139" s="174"/>
      <c r="CB139" s="174"/>
      <c r="CC139" s="174"/>
      <c r="CD139" s="174"/>
    </row>
    <row r="140">
      <c r="A140" s="105" t="str">
        <f>IF(preDEL!$AG140,IFERROR(0/0,""),preDEL!A140)</f>
        <v>MA478</v>
      </c>
      <c r="B140" s="170">
        <f>IF(preDEL!$AG140,IFERROR(0/0,""),preDEL!B140)</f>
        <v>44571</v>
      </c>
      <c r="C140" s="171">
        <f>IF(preDEL!$AG140,IFERROR(0/0,""),preDEL!C140)</f>
        <v>0.313125</v>
      </c>
      <c r="D140" s="105" t="str">
        <f>IF(preDEL!$AG140,IFERROR(0/0,""),preDEL!D140)</f>
        <v/>
      </c>
      <c r="E140" s="105" t="str">
        <f>IF(preDEL!$AG140,IFERROR(0/0,""),preDEL!E140)</f>
        <v/>
      </c>
      <c r="F140" s="112" t="str">
        <f>IF(preDEL!$AG140,IFERROR(0/0,""),preDEL!F140)</f>
        <v/>
      </c>
      <c r="G140" s="112" t="str">
        <f>IF(preDEL!$AG140,IFERROR(0/0,""),preDEL!G140)</f>
        <v/>
      </c>
      <c r="H140" s="112" t="str">
        <f>IF(preDEL!$AG140,IFERROR(0/0,""),preDEL!H140)</f>
        <v/>
      </c>
      <c r="I140" s="105" t="str">
        <f>IF(preDEL!$AG140,IFERROR(0/0,""),preDEL!I140)</f>
        <v/>
      </c>
      <c r="J140" s="105" t="str">
        <f>IF(preDEL!$AG140,IFERROR(0/0,""),preDEL!J140)</f>
        <v/>
      </c>
      <c r="K140" s="105" t="str">
        <f>IF(preDEL!$AG140,IFERROR(0/0,""),preDEL!K140)</f>
        <v>Negative</v>
      </c>
      <c r="L140" s="170">
        <f>IF(preDEL!$AG140,IFERROR(0/0,""),preDEL!L140)</f>
        <v>44571</v>
      </c>
      <c r="M140" s="171">
        <f>IF(preDEL!$AG140,IFERROR(0/0,""),preDEL!M140)</f>
        <v>0.4659837963</v>
      </c>
      <c r="N140" s="112" t="str">
        <f>IF(preDEL!$AG140,IFERROR(0/0,""),preDEL!N140)</f>
        <v/>
      </c>
      <c r="O140" s="112" t="str">
        <f>IF(preDEL!$AG140,IFERROR(0/0,""),preDEL!O140)</f>
        <v/>
      </c>
      <c r="P140" s="110" t="b">
        <f>IF(preDEL!$AG140,IFERROR(0/0,""),preDEL!P140)</f>
        <v>0</v>
      </c>
      <c r="Q140" s="110" t="str">
        <f>IF(preDEL!$AG140,IFERROR(0/0,""),preDEL!Q140)</f>
        <v>Result</v>
      </c>
      <c r="R140" s="104" t="b">
        <f>IF(preDEL!$AG140,IFERROR(0/0,""),preDEL!R140)</f>
        <v>1</v>
      </c>
      <c r="S140" s="104">
        <f>IF(preDEL!$AG140,IFERROR(0/0,""),preDEL!S140)</f>
        <v>1</v>
      </c>
      <c r="T140" s="110" t="str">
        <f>IF(preDEL!$AG140,IFERROR(0/0,""),preDEL!T140)</f>
        <v/>
      </c>
      <c r="U140" s="112" t="str">
        <f>IF(preDEL!$AG140,IFERROR(0/0,""),preDEL!U140)</f>
        <v/>
      </c>
      <c r="V140" s="105" t="str">
        <f>IF(preDEL!$AG140,IFERROR(0/0,""),preDEL!V140)</f>
        <v/>
      </c>
      <c r="W140" s="112" t="str">
        <f>IF(preDEL!$AG140,IFERROR(0/0,""),preDEL!W140)</f>
        <v/>
      </c>
      <c r="X140" s="104" t="b">
        <f>IF(preDEL!$AG140,IFERROR(0/0,""),preDEL!X140)</f>
        <v>0</v>
      </c>
      <c r="Y140" s="110" t="b">
        <f>IF(preDEL!$AG140,IFERROR(0/0,""),preDEL!Y140)</f>
        <v>0</v>
      </c>
      <c r="Z140" s="105" t="str">
        <f>IF(preDEL!$AG140,IFERROR(0/0,""),preDEL!Z140)</f>
        <v/>
      </c>
      <c r="AA140" s="110" t="b">
        <f>IF(preDEL!$AG140,IFERROR(0/0,""),preDEL!AA140)</f>
        <v>0</v>
      </c>
      <c r="AB140" s="110" t="b">
        <f>IF(preDEL!$AG140,IFERROR(0/0,""),preDEL!AB140)</f>
        <v>0</v>
      </c>
      <c r="AC140" s="172">
        <f>IF(preDEL!$AG140,IFERROR(0/0,""),preDEL!AC140)</f>
        <v>659</v>
      </c>
      <c r="AD140" s="104" t="b">
        <f>IF(preDEL!$AG140,IFERROR(0/0,""),preDEL!AD140)</f>
        <v>0</v>
      </c>
      <c r="AE140" s="173">
        <f>IF(preDEL!$AG140,IFERROR(0/0,""),preDEL!AE140)</f>
        <v>220.1166667</v>
      </c>
      <c r="AF140" s="110" t="b">
        <f>IF(preDEL!$AG140,IFERROR(0/0,""),preDEL!AF140)</f>
        <v>0</v>
      </c>
      <c r="AG140" s="110" t="b">
        <f>IF(preDEL!$AG140,IFERROR(0/0,""),preDEL!AG140)</f>
        <v>0</v>
      </c>
      <c r="AH140" s="104" t="str">
        <f>IF(preDEL!$AG140,IFERROR(0/0,""),preDEL!AH140)</f>
        <v/>
      </c>
      <c r="AI140" s="105" t="str">
        <f>IF(preDEL!$AG140,IFERROR(0/0,""),preDEL!AI140)</f>
        <v/>
      </c>
      <c r="AJ140" s="112" t="str">
        <f>IF(preDEL!$AG140,IFERROR(0/0,""),preDEL!AJ140)</f>
        <v/>
      </c>
      <c r="AK140" s="105" t="str">
        <f>IF(preDEL!$AG140,IFERROR(0/0,""),preDEL!AK140)</f>
        <v>Negative</v>
      </c>
      <c r="AL140" s="112" t="str">
        <f>IF(preDEL!$AG140,IFERROR(0/0,""),preDEL!AL140)</f>
        <v/>
      </c>
      <c r="AM140" s="112" t="str">
        <f>IF(preDEL!$AG140,IFERROR(0/0,""),preDEL!AM140)</f>
        <v>SpBEND643855</v>
      </c>
      <c r="AN140" s="112" t="str">
        <f>IF(preDEL!$AG140,IFERROR(0/0,""),preDEL!AN140)</f>
        <v>BEND364074</v>
      </c>
      <c r="AO140" s="112" t="str">
        <f>IF(preDEL!$AG140,IFERROR(0/0,""),preDEL!AO140)</f>
        <v/>
      </c>
      <c r="AP140" s="112" t="str">
        <f>IF(preDEL!$AG140,IFERROR(0/0,""),preDEL!AP140)</f>
        <v/>
      </c>
      <c r="AQ140" s="112" t="str">
        <f>IF(preDEL!$AG140,IFERROR(0/0,""),preDEL!AQ140)</f>
        <v/>
      </c>
      <c r="AR140" s="112" t="str">
        <f>IF(preDEL!$AG140,IFERROR(0/0,""),preDEL!AR140)</f>
        <v/>
      </c>
      <c r="AS140" s="112" t="str">
        <f>IF(preDEL!$AG140,IFERROR(0/0,""),preDEL!AS140)</f>
        <v/>
      </c>
      <c r="AT140" s="112" t="b">
        <f>IF(preDEL!$AG140,IFERROR(0/0,""),preDEL!AT140)</f>
        <v>0</v>
      </c>
      <c r="AU140" s="112" t="str">
        <f>IF(preDEL!$AG140,IFERROR(0/0,""),preDEL!AU140)</f>
        <v/>
      </c>
      <c r="AV140" s="112" t="str">
        <f>IF(preDEL!$AG140,IFERROR(0/0,""),preDEL!AV140)</f>
        <v/>
      </c>
      <c r="AW140" s="112" t="str">
        <f>IF(preDEL!$AG140,IFERROR(0/0,""),preDEL!AW140)</f>
        <v/>
      </c>
      <c r="AX140" s="112" t="str">
        <f>IF(preDEL!$AG140,IFERROR(0/0,""),preDEL!AX140)</f>
        <v/>
      </c>
      <c r="AY140" s="112" t="str">
        <f>IF(preDEL!$AG140,IFERROR(0/0,""),preDEL!AY140)</f>
        <v/>
      </c>
      <c r="AZ140" s="174"/>
      <c r="BA140" s="174"/>
      <c r="BB140" s="174"/>
      <c r="BC140" s="174"/>
      <c r="BD140" s="174"/>
      <c r="BE140" s="174"/>
      <c r="BF140" s="174"/>
      <c r="BG140" s="174"/>
      <c r="BH140" s="174"/>
      <c r="BI140" s="174"/>
      <c r="BJ140" s="174"/>
      <c r="BK140" s="174"/>
      <c r="BL140" s="174"/>
      <c r="BM140" s="174"/>
      <c r="BN140" s="174"/>
      <c r="BO140" s="174"/>
      <c r="BP140" s="174"/>
      <c r="BQ140" s="174"/>
      <c r="BR140" s="174"/>
      <c r="BS140" s="174"/>
      <c r="BT140" s="174"/>
      <c r="BU140" s="174"/>
      <c r="BV140" s="174"/>
      <c r="BW140" s="174"/>
      <c r="BX140" s="174"/>
      <c r="BY140" s="174"/>
      <c r="BZ140" s="174"/>
      <c r="CA140" s="174"/>
      <c r="CB140" s="174"/>
      <c r="CC140" s="174"/>
      <c r="CD140" s="174"/>
    </row>
    <row r="141">
      <c r="A141" s="105" t="str">
        <f>IF(preDEL!$AG141,IFERROR(0/0,""),preDEL!A141)</f>
        <v>MA1159</v>
      </c>
      <c r="B141" s="170">
        <f>IF(preDEL!$AG141,IFERROR(0/0,""),preDEL!B141)</f>
        <v>44571</v>
      </c>
      <c r="C141" s="171">
        <f>IF(preDEL!$AG141,IFERROR(0/0,""),preDEL!C141)</f>
        <v>0.3181365741</v>
      </c>
      <c r="D141" s="105" t="str">
        <f>IF(preDEL!$AG141,IFERROR(0/0,""),preDEL!D141)</f>
        <v/>
      </c>
      <c r="E141" s="105" t="str">
        <f>IF(preDEL!$AG141,IFERROR(0/0,""),preDEL!E141)</f>
        <v/>
      </c>
      <c r="F141" s="112" t="str">
        <f>IF(preDEL!$AG141,IFERROR(0/0,""),preDEL!F141)</f>
        <v/>
      </c>
      <c r="G141" s="112" t="str">
        <f>IF(preDEL!$AG141,IFERROR(0/0,""),preDEL!G141)</f>
        <v/>
      </c>
      <c r="H141" s="112" t="str">
        <f>IF(preDEL!$AG141,IFERROR(0/0,""),preDEL!H141)</f>
        <v/>
      </c>
      <c r="I141" s="105" t="str">
        <f>IF(preDEL!$AG141,IFERROR(0/0,""),preDEL!I141)</f>
        <v/>
      </c>
      <c r="J141" s="105" t="str">
        <f>IF(preDEL!$AG141,IFERROR(0/0,""),preDEL!J141)</f>
        <v/>
      </c>
      <c r="K141" s="105" t="str">
        <f>IF(preDEL!$AG141,IFERROR(0/0,""),preDEL!K141)</f>
        <v>Negative</v>
      </c>
      <c r="L141" s="170">
        <f>IF(preDEL!$AG141,IFERROR(0/0,""),preDEL!L141)</f>
        <v>44571</v>
      </c>
      <c r="M141" s="171">
        <f>IF(preDEL!$AG141,IFERROR(0/0,""),preDEL!M141)</f>
        <v>0.4659837963</v>
      </c>
      <c r="N141" s="112" t="str">
        <f>IF(preDEL!$AG141,IFERROR(0/0,""),preDEL!N141)</f>
        <v/>
      </c>
      <c r="O141" s="112" t="str">
        <f>IF(preDEL!$AG141,IFERROR(0/0,""),preDEL!O141)</f>
        <v/>
      </c>
      <c r="P141" s="110" t="b">
        <f>IF(preDEL!$AG141,IFERROR(0/0,""),preDEL!P141)</f>
        <v>0</v>
      </c>
      <c r="Q141" s="110" t="str">
        <f>IF(preDEL!$AG141,IFERROR(0/0,""),preDEL!Q141)</f>
        <v>Result</v>
      </c>
      <c r="R141" s="104" t="b">
        <f>IF(preDEL!$AG141,IFERROR(0/0,""),preDEL!R141)</f>
        <v>1</v>
      </c>
      <c r="S141" s="104">
        <f>IF(preDEL!$AG141,IFERROR(0/0,""),preDEL!S141)</f>
        <v>1</v>
      </c>
      <c r="T141" s="110" t="str">
        <f>IF(preDEL!$AG141,IFERROR(0/0,""),preDEL!T141)</f>
        <v/>
      </c>
      <c r="U141" s="112" t="str">
        <f>IF(preDEL!$AG141,IFERROR(0/0,""),preDEL!U141)</f>
        <v/>
      </c>
      <c r="V141" s="105" t="str">
        <f>IF(preDEL!$AG141,IFERROR(0/0,""),preDEL!V141)</f>
        <v/>
      </c>
      <c r="W141" s="112" t="str">
        <f>IF(preDEL!$AG141,IFERROR(0/0,""),preDEL!W141)</f>
        <v/>
      </c>
      <c r="X141" s="104" t="b">
        <f>IF(preDEL!$AG141,IFERROR(0/0,""),preDEL!X141)</f>
        <v>0</v>
      </c>
      <c r="Y141" s="110" t="b">
        <f>IF(preDEL!$AG141,IFERROR(0/0,""),preDEL!Y141)</f>
        <v>0</v>
      </c>
      <c r="Z141" s="105" t="str">
        <f>IF(preDEL!$AG141,IFERROR(0/0,""),preDEL!Z141)</f>
        <v/>
      </c>
      <c r="AA141" s="110" t="b">
        <f>IF(preDEL!$AG141,IFERROR(0/0,""),preDEL!AA141)</f>
        <v>0</v>
      </c>
      <c r="AB141" s="110" t="b">
        <f>IF(preDEL!$AG141,IFERROR(0/0,""),preDEL!AB141)</f>
        <v>0</v>
      </c>
      <c r="AC141" s="172">
        <f>IF(preDEL!$AG141,IFERROR(0/0,""),preDEL!AC141)</f>
        <v>658</v>
      </c>
      <c r="AD141" s="104" t="b">
        <f>IF(preDEL!$AG141,IFERROR(0/0,""),preDEL!AD141)</f>
        <v>0</v>
      </c>
      <c r="AE141" s="173">
        <f>IF(preDEL!$AG141,IFERROR(0/0,""),preDEL!AE141)</f>
        <v>212.9</v>
      </c>
      <c r="AF141" s="110" t="b">
        <f>IF(preDEL!$AG141,IFERROR(0/0,""),preDEL!AF141)</f>
        <v>0</v>
      </c>
      <c r="AG141" s="110" t="b">
        <f>IF(preDEL!$AG141,IFERROR(0/0,""),preDEL!AG141)</f>
        <v>0</v>
      </c>
      <c r="AH141" s="104" t="str">
        <f>IF(preDEL!$AG141,IFERROR(0/0,""),preDEL!AH141)</f>
        <v/>
      </c>
      <c r="AI141" s="105" t="str">
        <f>IF(preDEL!$AG141,IFERROR(0/0,""),preDEL!AI141)</f>
        <v/>
      </c>
      <c r="AJ141" s="112" t="str">
        <f>IF(preDEL!$AG141,IFERROR(0/0,""),preDEL!AJ141)</f>
        <v/>
      </c>
      <c r="AK141" s="105" t="str">
        <f>IF(preDEL!$AG141,IFERROR(0/0,""),preDEL!AK141)</f>
        <v>Negative</v>
      </c>
      <c r="AL141" s="112" t="str">
        <f>IF(preDEL!$AG141,IFERROR(0/0,""),preDEL!AL141)</f>
        <v/>
      </c>
      <c r="AM141" s="112" t="str">
        <f>IF(preDEL!$AG141,IFERROR(0/0,""),preDEL!AM141)</f>
        <v>SpBEND757435</v>
      </c>
      <c r="AN141" s="112" t="str">
        <f>IF(preDEL!$AG141,IFERROR(0/0,""),preDEL!AN141)</f>
        <v>BEND281843</v>
      </c>
      <c r="AO141" s="112" t="str">
        <f>IF(preDEL!$AG141,IFERROR(0/0,""),preDEL!AO141)</f>
        <v/>
      </c>
      <c r="AP141" s="112" t="str">
        <f>IF(preDEL!$AG141,IFERROR(0/0,""),preDEL!AP141)</f>
        <v/>
      </c>
      <c r="AQ141" s="112" t="str">
        <f>IF(preDEL!$AG141,IFERROR(0/0,""),preDEL!AQ141)</f>
        <v/>
      </c>
      <c r="AR141" s="112" t="str">
        <f>IF(preDEL!$AG141,IFERROR(0/0,""),preDEL!AR141)</f>
        <v/>
      </c>
      <c r="AS141" s="112" t="str">
        <f>IF(preDEL!$AG141,IFERROR(0/0,""),preDEL!AS141)</f>
        <v/>
      </c>
      <c r="AT141" s="112" t="b">
        <f>IF(preDEL!$AG141,IFERROR(0/0,""),preDEL!AT141)</f>
        <v>0</v>
      </c>
      <c r="AU141" s="112" t="str">
        <f>IF(preDEL!$AG141,IFERROR(0/0,""),preDEL!AU141)</f>
        <v/>
      </c>
      <c r="AV141" s="112" t="str">
        <f>IF(preDEL!$AG141,IFERROR(0/0,""),preDEL!AV141)</f>
        <v/>
      </c>
      <c r="AW141" s="112" t="str">
        <f>IF(preDEL!$AG141,IFERROR(0/0,""),preDEL!AW141)</f>
        <v/>
      </c>
      <c r="AX141" s="112" t="str">
        <f>IF(preDEL!$AG141,IFERROR(0/0,""),preDEL!AX141)</f>
        <v/>
      </c>
      <c r="AY141" s="112" t="str">
        <f>IF(preDEL!$AG141,IFERROR(0/0,""),preDEL!AY141)</f>
        <v/>
      </c>
      <c r="AZ141" s="174"/>
      <c r="BA141" s="174"/>
      <c r="BB141" s="174"/>
      <c r="BC141" s="174"/>
      <c r="BD141" s="174"/>
      <c r="BE141" s="174"/>
      <c r="BF141" s="174"/>
      <c r="BG141" s="174"/>
      <c r="BH141" s="174"/>
      <c r="BI141" s="174"/>
      <c r="BJ141" s="174"/>
      <c r="BK141" s="174"/>
      <c r="BL141" s="174"/>
      <c r="BM141" s="174"/>
      <c r="BN141" s="174"/>
      <c r="BO141" s="174"/>
      <c r="BP141" s="174"/>
      <c r="BQ141" s="174"/>
      <c r="BR141" s="174"/>
      <c r="BS141" s="174"/>
      <c r="BT141" s="174"/>
      <c r="BU141" s="174"/>
      <c r="BV141" s="174"/>
      <c r="BW141" s="174"/>
      <c r="BX141" s="174"/>
      <c r="BY141" s="174"/>
      <c r="BZ141" s="174"/>
      <c r="CA141" s="174"/>
      <c r="CB141" s="174"/>
      <c r="CC141" s="174"/>
      <c r="CD141" s="174"/>
    </row>
    <row r="142">
      <c r="A142" s="105" t="str">
        <f>IF(preDEL!$AG142,IFERROR(0/0,""),preDEL!A142)</f>
        <v>MA233</v>
      </c>
      <c r="B142" s="170">
        <f>IF(preDEL!$AG142,IFERROR(0/0,""),preDEL!B142)</f>
        <v>44571</v>
      </c>
      <c r="C142" s="171">
        <f>IF(preDEL!$AG142,IFERROR(0/0,""),preDEL!C142)</f>
        <v>0.3261689815</v>
      </c>
      <c r="D142" s="105" t="str">
        <f>IF(preDEL!$AG142,IFERROR(0/0,""),preDEL!D142)</f>
        <v/>
      </c>
      <c r="E142" s="105" t="str">
        <f>IF(preDEL!$AG142,IFERROR(0/0,""),preDEL!E142)</f>
        <v/>
      </c>
      <c r="F142" s="112" t="str">
        <f>IF(preDEL!$AG142,IFERROR(0/0,""),preDEL!F142)</f>
        <v/>
      </c>
      <c r="G142" s="112" t="str">
        <f>IF(preDEL!$AG142,IFERROR(0/0,""),preDEL!G142)</f>
        <v/>
      </c>
      <c r="H142" s="112" t="str">
        <f>IF(preDEL!$AG142,IFERROR(0/0,""),preDEL!H142)</f>
        <v/>
      </c>
      <c r="I142" s="175" t="str">
        <f>IF(preDEL!$AG142,IFERROR(0/0,""),preDEL!I142)</f>
        <v/>
      </c>
      <c r="J142" s="105" t="str">
        <f>IF(preDEL!$AG142,IFERROR(0/0,""),preDEL!J142)</f>
        <v/>
      </c>
      <c r="K142" s="105" t="str">
        <f>IF(preDEL!$AG142,IFERROR(0/0,""),preDEL!K142)</f>
        <v>Negative</v>
      </c>
      <c r="L142" s="170">
        <f>IF(preDEL!$AG142,IFERROR(0/0,""),preDEL!L142)</f>
        <v>44571</v>
      </c>
      <c r="M142" s="171">
        <f>IF(preDEL!$AG142,IFERROR(0/0,""),preDEL!M142)</f>
        <v>0.4659837963</v>
      </c>
      <c r="N142" s="112" t="str">
        <f>IF(preDEL!$AG142,IFERROR(0/0,""),preDEL!N142)</f>
        <v>Primary</v>
      </c>
      <c r="O142" s="112" t="str">
        <f>IF(preDEL!$AG142,IFERROR(0/0,""),preDEL!O142)</f>
        <v/>
      </c>
      <c r="P142" s="110" t="b">
        <f>IF(preDEL!$AG142,IFERROR(0/0,""),preDEL!P142)</f>
        <v>0</v>
      </c>
      <c r="Q142" s="110" t="str">
        <f>IF(preDEL!$AG142,IFERROR(0/0,""),preDEL!Q142)</f>
        <v>Result</v>
      </c>
      <c r="R142" s="104" t="b">
        <f>IF(preDEL!$AG142,IFERROR(0/0,""),preDEL!R142)</f>
        <v>1</v>
      </c>
      <c r="S142" s="104">
        <f>IF(preDEL!$AG142,IFERROR(0/0,""),preDEL!S142)</f>
        <v>1</v>
      </c>
      <c r="T142" s="110">
        <f>IF(preDEL!$AG142,IFERROR(0/0,""),preDEL!T142)</f>
        <v>0</v>
      </c>
      <c r="U142" s="112" t="str">
        <f>IF(preDEL!$AG142,IFERROR(0/0,""),preDEL!U142)</f>
        <v/>
      </c>
      <c r="V142" s="105" t="str">
        <f>IF(preDEL!$AG142,IFERROR(0/0,""),preDEL!V142)</f>
        <v/>
      </c>
      <c r="W142" s="112" t="str">
        <f>IF(preDEL!$AG142,IFERROR(0/0,""),preDEL!W142)</f>
        <v/>
      </c>
      <c r="X142" s="104" t="b">
        <f>IF(preDEL!$AG142,IFERROR(0/0,""),preDEL!X142)</f>
        <v>0</v>
      </c>
      <c r="Y142" s="110" t="b">
        <f>IF(preDEL!$AG142,IFERROR(0/0,""),preDEL!Y142)</f>
        <v>0</v>
      </c>
      <c r="Z142" s="105" t="str">
        <f>IF(preDEL!$AG142,IFERROR(0/0,""),preDEL!Z142)</f>
        <v/>
      </c>
      <c r="AA142" s="110" t="b">
        <f>IF(preDEL!$AG142,IFERROR(0/0,""),preDEL!AA142)</f>
        <v>0</v>
      </c>
      <c r="AB142" s="110" t="b">
        <f>IF(preDEL!$AG142,IFERROR(0/0,""),preDEL!AB142)</f>
        <v>0</v>
      </c>
      <c r="AC142" s="172">
        <f>IF(preDEL!$AG142,IFERROR(0/0,""),preDEL!AC142)</f>
        <v>811</v>
      </c>
      <c r="AD142" s="104" t="b">
        <f>IF(preDEL!$AG142,IFERROR(0/0,""),preDEL!AD142)</f>
        <v>1</v>
      </c>
      <c r="AE142" s="173">
        <f>IF(preDEL!$AG142,IFERROR(0/0,""),preDEL!AE142)</f>
        <v>201.3333333</v>
      </c>
      <c r="AF142" s="110" t="b">
        <f>IF(preDEL!$AG142,IFERROR(0/0,""),preDEL!AF142)</f>
        <v>0</v>
      </c>
      <c r="AG142" s="110" t="b">
        <f>IF(preDEL!$AG142,IFERROR(0/0,""),preDEL!AG142)</f>
        <v>0</v>
      </c>
      <c r="AH142" s="104" t="str">
        <f>IF(preDEL!$AG142,IFERROR(0/0,""),preDEL!AH142)</f>
        <v/>
      </c>
      <c r="AI142" s="105" t="str">
        <f>IF(preDEL!$AG142,IFERROR(0/0,""),preDEL!AI142)</f>
        <v/>
      </c>
      <c r="AJ142" s="112" t="str">
        <f>IF(preDEL!$AG142,IFERROR(0/0,""),preDEL!AJ142)</f>
        <v/>
      </c>
      <c r="AK142" s="105" t="str">
        <f>IF(preDEL!$AG142,IFERROR(0/0,""),preDEL!AK142)</f>
        <v>Negative</v>
      </c>
      <c r="AL142" s="112" t="str">
        <f>IF(preDEL!$AG142,IFERROR(0/0,""),preDEL!AL142)</f>
        <v/>
      </c>
      <c r="AM142" s="112" t="str">
        <f>IF(preDEL!$AG142,IFERROR(0/0,""),preDEL!AM142)</f>
        <v>SpBEND110967</v>
      </c>
      <c r="AN142" s="112" t="str">
        <f>IF(preDEL!$AG142,IFERROR(0/0,""),preDEL!AN142)</f>
        <v>BEND717891</v>
      </c>
      <c r="AO142" s="112" t="str">
        <f>IF(preDEL!$AG142,IFERROR(0/0,""),preDEL!AO142)</f>
        <v/>
      </c>
      <c r="AP142" s="112" t="str">
        <f>IF(preDEL!$AG142,IFERROR(0/0,""),preDEL!AP142)</f>
        <v/>
      </c>
      <c r="AQ142" s="112" t="str">
        <f>IF(preDEL!$AG142,IFERROR(0/0,""),preDEL!AQ142)</f>
        <v/>
      </c>
      <c r="AR142" s="112" t="str">
        <f>IF(preDEL!$AG142,IFERROR(0/0,""),preDEL!AR142)</f>
        <v/>
      </c>
      <c r="AS142" s="112" t="str">
        <f>IF(preDEL!$AG142,IFERROR(0/0,""),preDEL!AS142)</f>
        <v/>
      </c>
      <c r="AT142" s="112" t="b">
        <f>IF(preDEL!$AG142,IFERROR(0/0,""),preDEL!AT142)</f>
        <v>0</v>
      </c>
      <c r="AU142" s="112" t="str">
        <f>IF(preDEL!$AG142,IFERROR(0/0,""),preDEL!AU142)</f>
        <v/>
      </c>
      <c r="AV142" s="112" t="str">
        <f>IF(preDEL!$AG142,IFERROR(0/0,""),preDEL!AV142)</f>
        <v/>
      </c>
      <c r="AW142" s="112" t="str">
        <f>IF(preDEL!$AG142,IFERROR(0/0,""),preDEL!AW142)</f>
        <v/>
      </c>
      <c r="AX142" s="112" t="str">
        <f>IF(preDEL!$AG142,IFERROR(0/0,""),preDEL!AX142)</f>
        <v/>
      </c>
      <c r="AY142" s="112" t="str">
        <f>IF(preDEL!$AG142,IFERROR(0/0,""),preDEL!AY142)</f>
        <v/>
      </c>
      <c r="AZ142" s="174"/>
      <c r="BA142" s="174"/>
      <c r="BB142" s="174"/>
      <c r="BC142" s="174"/>
      <c r="BD142" s="174"/>
      <c r="BE142" s="174"/>
      <c r="BF142" s="174"/>
      <c r="BG142" s="174"/>
      <c r="BH142" s="174"/>
      <c r="BI142" s="174"/>
      <c r="BJ142" s="174"/>
      <c r="BK142" s="174"/>
      <c r="BL142" s="174"/>
      <c r="BM142" s="174"/>
      <c r="BN142" s="174"/>
      <c r="BO142" s="174"/>
      <c r="BP142" s="174"/>
      <c r="BQ142" s="174"/>
      <c r="BR142" s="174"/>
      <c r="BS142" s="174"/>
      <c r="BT142" s="174"/>
      <c r="BU142" s="174"/>
      <c r="BV142" s="174"/>
      <c r="BW142" s="174"/>
      <c r="BX142" s="174"/>
      <c r="BY142" s="174"/>
      <c r="BZ142" s="174"/>
      <c r="CA142" s="174"/>
      <c r="CB142" s="174"/>
      <c r="CC142" s="174"/>
      <c r="CD142" s="174"/>
    </row>
    <row r="143">
      <c r="A143" s="105" t="str">
        <f>IF(preDEL!$AG143,IFERROR(0/0,""),preDEL!A143)</f>
        <v>MA977</v>
      </c>
      <c r="B143" s="170">
        <f>IF(preDEL!$AG143,IFERROR(0/0,""),preDEL!B143)</f>
        <v>44571</v>
      </c>
      <c r="C143" s="171">
        <f>IF(preDEL!$AG143,IFERROR(0/0,""),preDEL!C143)</f>
        <v>0.3288541667</v>
      </c>
      <c r="D143" s="105" t="str">
        <f>IF(preDEL!$AG143,IFERROR(0/0,""),preDEL!D143)</f>
        <v/>
      </c>
      <c r="E143" s="105" t="str">
        <f>IF(preDEL!$AG143,IFERROR(0/0,""),preDEL!E143)</f>
        <v/>
      </c>
      <c r="F143" s="112" t="str">
        <f>IF(preDEL!$AG143,IFERROR(0/0,""),preDEL!F143)</f>
        <v/>
      </c>
      <c r="G143" s="112" t="str">
        <f>IF(preDEL!$AG143,IFERROR(0/0,""),preDEL!G143)</f>
        <v/>
      </c>
      <c r="H143" s="112" t="str">
        <f>IF(preDEL!$AG143,IFERROR(0/0,""),preDEL!H143)</f>
        <v/>
      </c>
      <c r="I143" s="105" t="str">
        <f>IF(preDEL!$AG143,IFERROR(0/0,""),preDEL!I143)</f>
        <v/>
      </c>
      <c r="J143" s="105" t="str">
        <f>IF(preDEL!$AG143,IFERROR(0/0,""),preDEL!J143)</f>
        <v/>
      </c>
      <c r="K143" s="105" t="str">
        <f>IF(preDEL!$AG143,IFERROR(0/0,""),preDEL!K143)</f>
        <v>Negative</v>
      </c>
      <c r="L143" s="170">
        <f>IF(preDEL!$AG143,IFERROR(0/0,""),preDEL!L143)</f>
        <v>44571</v>
      </c>
      <c r="M143" s="171">
        <f>IF(preDEL!$AG143,IFERROR(0/0,""),preDEL!M143)</f>
        <v>0.4659837963</v>
      </c>
      <c r="N143" s="112" t="str">
        <f>IF(preDEL!$AG143,IFERROR(0/0,""),preDEL!N143)</f>
        <v/>
      </c>
      <c r="O143" s="112" t="str">
        <f>IF(preDEL!$AG143,IFERROR(0/0,""),preDEL!O143)</f>
        <v/>
      </c>
      <c r="P143" s="110" t="b">
        <f>IF(preDEL!$AG143,IFERROR(0/0,""),preDEL!P143)</f>
        <v>0</v>
      </c>
      <c r="Q143" s="110" t="str">
        <f>IF(preDEL!$AG143,IFERROR(0/0,""),preDEL!Q143)</f>
        <v>Result</v>
      </c>
      <c r="R143" s="104" t="b">
        <f>IF(preDEL!$AG143,IFERROR(0/0,""),preDEL!R143)</f>
        <v>1</v>
      </c>
      <c r="S143" s="104">
        <f>IF(preDEL!$AG143,IFERROR(0/0,""),preDEL!S143)</f>
        <v>1</v>
      </c>
      <c r="T143" s="110" t="str">
        <f>IF(preDEL!$AG143,IFERROR(0/0,""),preDEL!T143)</f>
        <v/>
      </c>
      <c r="U143" s="112" t="str">
        <f>IF(preDEL!$AG143,IFERROR(0/0,""),preDEL!U143)</f>
        <v/>
      </c>
      <c r="V143" s="105" t="str">
        <f>IF(preDEL!$AG143,IFERROR(0/0,""),preDEL!V143)</f>
        <v/>
      </c>
      <c r="W143" s="112" t="str">
        <f>IF(preDEL!$AG143,IFERROR(0/0,""),preDEL!W143)</f>
        <v/>
      </c>
      <c r="X143" s="104" t="b">
        <f>IF(preDEL!$AG143,IFERROR(0/0,""),preDEL!X143)</f>
        <v>0</v>
      </c>
      <c r="Y143" s="110" t="b">
        <f>IF(preDEL!$AG143,IFERROR(0/0,""),preDEL!Y143)</f>
        <v>0</v>
      </c>
      <c r="Z143" s="105" t="str">
        <f>IF(preDEL!$AG143,IFERROR(0/0,""),preDEL!Z143)</f>
        <v/>
      </c>
      <c r="AA143" s="110" t="b">
        <f>IF(preDEL!$AG143,IFERROR(0/0,""),preDEL!AA143)</f>
        <v>0</v>
      </c>
      <c r="AB143" s="110" t="b">
        <f>IF(preDEL!$AG143,IFERROR(0/0,""),preDEL!AB143)</f>
        <v>0</v>
      </c>
      <c r="AC143" s="172">
        <f>IF(preDEL!$AG143,IFERROR(0/0,""),preDEL!AC143)</f>
        <v>657</v>
      </c>
      <c r="AD143" s="104" t="b">
        <f>IF(preDEL!$AG143,IFERROR(0/0,""),preDEL!AD143)</f>
        <v>0</v>
      </c>
      <c r="AE143" s="173">
        <f>IF(preDEL!$AG143,IFERROR(0/0,""),preDEL!AE143)</f>
        <v>197.4666667</v>
      </c>
      <c r="AF143" s="110" t="b">
        <f>IF(preDEL!$AG143,IFERROR(0/0,""),preDEL!AF143)</f>
        <v>0</v>
      </c>
      <c r="AG143" s="110" t="b">
        <f>IF(preDEL!$AG143,IFERROR(0/0,""),preDEL!AG143)</f>
        <v>0</v>
      </c>
      <c r="AH143" s="104" t="str">
        <f>IF(preDEL!$AG143,IFERROR(0/0,""),preDEL!AH143)</f>
        <v/>
      </c>
      <c r="AI143" s="105" t="str">
        <f>IF(preDEL!$AG143,IFERROR(0/0,""),preDEL!AI143)</f>
        <v/>
      </c>
      <c r="AJ143" s="112" t="str">
        <f>IF(preDEL!$AG143,IFERROR(0/0,""),preDEL!AJ143)</f>
        <v/>
      </c>
      <c r="AK143" s="105" t="str">
        <f>IF(preDEL!$AG143,IFERROR(0/0,""),preDEL!AK143)</f>
        <v>Negative</v>
      </c>
      <c r="AL143" s="112" t="str">
        <f>IF(preDEL!$AG143,IFERROR(0/0,""),preDEL!AL143)</f>
        <v/>
      </c>
      <c r="AM143" s="112" t="str">
        <f>IF(preDEL!$AG143,IFERROR(0/0,""),preDEL!AM143)</f>
        <v>SpBEND551372</v>
      </c>
      <c r="AN143" s="112" t="str">
        <f>IF(preDEL!$AG143,IFERROR(0/0,""),preDEL!AN143)</f>
        <v>BEND475899</v>
      </c>
      <c r="AO143" s="112" t="str">
        <f>IF(preDEL!$AG143,IFERROR(0/0,""),preDEL!AO143)</f>
        <v/>
      </c>
      <c r="AP143" s="112" t="str">
        <f>IF(preDEL!$AG143,IFERROR(0/0,""),preDEL!AP143)</f>
        <v/>
      </c>
      <c r="AQ143" s="112" t="str">
        <f>IF(preDEL!$AG143,IFERROR(0/0,""),preDEL!AQ143)</f>
        <v/>
      </c>
      <c r="AR143" s="112" t="str">
        <f>IF(preDEL!$AG143,IFERROR(0/0,""),preDEL!AR143)</f>
        <v/>
      </c>
      <c r="AS143" s="112" t="str">
        <f>IF(preDEL!$AG143,IFERROR(0/0,""),preDEL!AS143)</f>
        <v/>
      </c>
      <c r="AT143" s="112" t="b">
        <f>IF(preDEL!$AG143,IFERROR(0/0,""),preDEL!AT143)</f>
        <v>0</v>
      </c>
      <c r="AU143" s="112" t="str">
        <f>IF(preDEL!$AG143,IFERROR(0/0,""),preDEL!AU143)</f>
        <v/>
      </c>
      <c r="AV143" s="112" t="str">
        <f>IF(preDEL!$AG143,IFERROR(0/0,""),preDEL!AV143)</f>
        <v/>
      </c>
      <c r="AW143" s="112" t="str">
        <f>IF(preDEL!$AG143,IFERROR(0/0,""),preDEL!AW143)</f>
        <v/>
      </c>
      <c r="AX143" s="112" t="str">
        <f>IF(preDEL!$AG143,IFERROR(0/0,""),preDEL!AX143)</f>
        <v/>
      </c>
      <c r="AY143" s="112" t="str">
        <f>IF(preDEL!$AG143,IFERROR(0/0,""),preDEL!AY143)</f>
        <v/>
      </c>
      <c r="AZ143" s="174"/>
      <c r="BA143" s="174"/>
      <c r="BB143" s="174"/>
      <c r="BC143" s="174"/>
      <c r="BD143" s="174"/>
      <c r="BE143" s="174"/>
      <c r="BF143" s="174"/>
      <c r="BG143" s="174"/>
      <c r="BH143" s="174"/>
      <c r="BI143" s="174"/>
      <c r="BJ143" s="174"/>
      <c r="BK143" s="174"/>
      <c r="BL143" s="174"/>
      <c r="BM143" s="174"/>
      <c r="BN143" s="174"/>
      <c r="BO143" s="174"/>
      <c r="BP143" s="174"/>
      <c r="BQ143" s="174"/>
      <c r="BR143" s="174"/>
      <c r="BS143" s="174"/>
      <c r="BT143" s="174"/>
      <c r="BU143" s="174"/>
      <c r="BV143" s="174"/>
      <c r="BW143" s="174"/>
      <c r="BX143" s="174"/>
      <c r="BY143" s="174"/>
      <c r="BZ143" s="174"/>
      <c r="CA143" s="174"/>
      <c r="CB143" s="174"/>
      <c r="CC143" s="174"/>
      <c r="CD143" s="174"/>
    </row>
    <row r="144">
      <c r="A144" s="105" t="str">
        <f>IF(preDEL!$AG144,IFERROR(0/0,""),preDEL!A144)</f>
        <v>MA466</v>
      </c>
      <c r="B144" s="170">
        <f>IF(preDEL!$AG144,IFERROR(0/0,""),preDEL!B144)</f>
        <v>44571</v>
      </c>
      <c r="C144" s="171">
        <f>IF(preDEL!$AG144,IFERROR(0/0,""),preDEL!C144)</f>
        <v>0.3333101852</v>
      </c>
      <c r="D144" s="105" t="str">
        <f>IF(preDEL!$AG144,IFERROR(0/0,""),preDEL!D144)</f>
        <v/>
      </c>
      <c r="E144" s="105" t="str">
        <f>IF(preDEL!$AG144,IFERROR(0/0,""),preDEL!E144)</f>
        <v/>
      </c>
      <c r="F144" s="112" t="str">
        <f>IF(preDEL!$AG144,IFERROR(0/0,""),preDEL!F144)</f>
        <v/>
      </c>
      <c r="G144" s="112" t="str">
        <f>IF(preDEL!$AG144,IFERROR(0/0,""),preDEL!G144)</f>
        <v/>
      </c>
      <c r="H144" s="112" t="str">
        <f>IF(preDEL!$AG144,IFERROR(0/0,""),preDEL!H144)</f>
        <v/>
      </c>
      <c r="I144" s="105" t="str">
        <f>IF(preDEL!$AG144,IFERROR(0/0,""),preDEL!I144)</f>
        <v/>
      </c>
      <c r="J144" s="105" t="str">
        <f>IF(preDEL!$AG144,IFERROR(0/0,""),preDEL!J144)</f>
        <v/>
      </c>
      <c r="K144" s="105" t="str">
        <f>IF(preDEL!$AG144,IFERROR(0/0,""),preDEL!K144)</f>
        <v>Negative</v>
      </c>
      <c r="L144" s="170">
        <f>IF(preDEL!$AG144,IFERROR(0/0,""),preDEL!L144)</f>
        <v>44571</v>
      </c>
      <c r="M144" s="171">
        <f>IF(preDEL!$AG144,IFERROR(0/0,""),preDEL!M144)</f>
        <v>0.4659837963</v>
      </c>
      <c r="N144" s="112" t="str">
        <f>IF(preDEL!$AG144,IFERROR(0/0,""),preDEL!N144)</f>
        <v/>
      </c>
      <c r="O144" s="112" t="str">
        <f>IF(preDEL!$AG144,IFERROR(0/0,""),preDEL!O144)</f>
        <v/>
      </c>
      <c r="P144" s="110" t="b">
        <f>IF(preDEL!$AG144,IFERROR(0/0,""),preDEL!P144)</f>
        <v>0</v>
      </c>
      <c r="Q144" s="110" t="str">
        <f>IF(preDEL!$AG144,IFERROR(0/0,""),preDEL!Q144)</f>
        <v>Result</v>
      </c>
      <c r="R144" s="104" t="b">
        <f>IF(preDEL!$AG144,IFERROR(0/0,""),preDEL!R144)</f>
        <v>1</v>
      </c>
      <c r="S144" s="104">
        <f>IF(preDEL!$AG144,IFERROR(0/0,""),preDEL!S144)</f>
        <v>1</v>
      </c>
      <c r="T144" s="110" t="str">
        <f>IF(preDEL!$AG144,IFERROR(0/0,""),preDEL!T144)</f>
        <v/>
      </c>
      <c r="U144" s="112" t="str">
        <f>IF(preDEL!$AG144,IFERROR(0/0,""),preDEL!U144)</f>
        <v/>
      </c>
      <c r="V144" s="105" t="str">
        <f>IF(preDEL!$AG144,IFERROR(0/0,""),preDEL!V144)</f>
        <v/>
      </c>
      <c r="W144" s="112" t="str">
        <f>IF(preDEL!$AG144,IFERROR(0/0,""),preDEL!W144)</f>
        <v/>
      </c>
      <c r="X144" s="104" t="b">
        <f>IF(preDEL!$AG144,IFERROR(0/0,""),preDEL!X144)</f>
        <v>0</v>
      </c>
      <c r="Y144" s="110" t="b">
        <f>IF(preDEL!$AG144,IFERROR(0/0,""),preDEL!Y144)</f>
        <v>0</v>
      </c>
      <c r="Z144" s="105" t="str">
        <f>IF(preDEL!$AG144,IFERROR(0/0,""),preDEL!Z144)</f>
        <v/>
      </c>
      <c r="AA144" s="110" t="b">
        <f>IF(preDEL!$AG144,IFERROR(0/0,""),preDEL!AA144)</f>
        <v>0</v>
      </c>
      <c r="AB144" s="110" t="b">
        <f>IF(preDEL!$AG144,IFERROR(0/0,""),preDEL!AB144)</f>
        <v>0</v>
      </c>
      <c r="AC144" s="172">
        <f>IF(preDEL!$AG144,IFERROR(0/0,""),preDEL!AC144)</f>
        <v>656</v>
      </c>
      <c r="AD144" s="104" t="b">
        <f>IF(preDEL!$AG144,IFERROR(0/0,""),preDEL!AD144)</f>
        <v>0</v>
      </c>
      <c r="AE144" s="173">
        <f>IF(preDEL!$AG144,IFERROR(0/0,""),preDEL!AE144)</f>
        <v>191.05</v>
      </c>
      <c r="AF144" s="110" t="b">
        <f>IF(preDEL!$AG144,IFERROR(0/0,""),preDEL!AF144)</f>
        <v>0</v>
      </c>
      <c r="AG144" s="110" t="b">
        <f>IF(preDEL!$AG144,IFERROR(0/0,""),preDEL!AG144)</f>
        <v>0</v>
      </c>
      <c r="AH144" s="104" t="str">
        <f>IF(preDEL!$AG144,IFERROR(0/0,""),preDEL!AH144)</f>
        <v/>
      </c>
      <c r="AI144" s="105" t="str">
        <f>IF(preDEL!$AG144,IFERROR(0/0,""),preDEL!AI144)</f>
        <v/>
      </c>
      <c r="AJ144" s="112" t="str">
        <f>IF(preDEL!$AG144,IFERROR(0/0,""),preDEL!AJ144)</f>
        <v/>
      </c>
      <c r="AK144" s="105" t="str">
        <f>IF(preDEL!$AG144,IFERROR(0/0,""),preDEL!AK144)</f>
        <v>Negative</v>
      </c>
      <c r="AL144" s="112" t="str">
        <f>IF(preDEL!$AG144,IFERROR(0/0,""),preDEL!AL144)</f>
        <v/>
      </c>
      <c r="AM144" s="112" t="str">
        <f>IF(preDEL!$AG144,IFERROR(0/0,""),preDEL!AM144)</f>
        <v>SpBEND385421</v>
      </c>
      <c r="AN144" s="112" t="str">
        <f>IF(preDEL!$AG144,IFERROR(0/0,""),preDEL!AN144)</f>
        <v>BEND440747</v>
      </c>
      <c r="AO144" s="112" t="str">
        <f>IF(preDEL!$AG144,IFERROR(0/0,""),preDEL!AO144)</f>
        <v/>
      </c>
      <c r="AP144" s="112" t="str">
        <f>IF(preDEL!$AG144,IFERROR(0/0,""),preDEL!AP144)</f>
        <v/>
      </c>
      <c r="AQ144" s="112" t="str">
        <f>IF(preDEL!$AG144,IFERROR(0/0,""),preDEL!AQ144)</f>
        <v/>
      </c>
      <c r="AR144" s="112" t="str">
        <f>IF(preDEL!$AG144,IFERROR(0/0,""),preDEL!AR144)</f>
        <v/>
      </c>
      <c r="AS144" s="112" t="str">
        <f>IF(preDEL!$AG144,IFERROR(0/0,""),preDEL!AS144)</f>
        <v/>
      </c>
      <c r="AT144" s="112" t="b">
        <f>IF(preDEL!$AG144,IFERROR(0/0,""),preDEL!AT144)</f>
        <v>0</v>
      </c>
      <c r="AU144" s="112" t="str">
        <f>IF(preDEL!$AG144,IFERROR(0/0,""),preDEL!AU144)</f>
        <v/>
      </c>
      <c r="AV144" s="112" t="str">
        <f>IF(preDEL!$AG144,IFERROR(0/0,""),preDEL!AV144)</f>
        <v/>
      </c>
      <c r="AW144" s="112" t="str">
        <f>IF(preDEL!$AG144,IFERROR(0/0,""),preDEL!AW144)</f>
        <v/>
      </c>
      <c r="AX144" s="112" t="str">
        <f>IF(preDEL!$AG144,IFERROR(0/0,""),preDEL!AX144)</f>
        <v/>
      </c>
      <c r="AY144" s="112" t="str">
        <f>IF(preDEL!$AG144,IFERROR(0/0,""),preDEL!AY144)</f>
        <v/>
      </c>
      <c r="AZ144" s="174"/>
      <c r="BA144" s="174"/>
      <c r="BB144" s="174"/>
      <c r="BC144" s="174"/>
      <c r="BD144" s="174"/>
      <c r="BE144" s="174"/>
      <c r="BF144" s="174"/>
      <c r="BG144" s="174"/>
      <c r="BH144" s="174"/>
      <c r="BI144" s="174"/>
      <c r="BJ144" s="174"/>
      <c r="BK144" s="174"/>
      <c r="BL144" s="174"/>
      <c r="BM144" s="174"/>
      <c r="BN144" s="174"/>
      <c r="BO144" s="174"/>
      <c r="BP144" s="174"/>
      <c r="BQ144" s="174"/>
      <c r="BR144" s="174"/>
      <c r="BS144" s="174"/>
      <c r="BT144" s="174"/>
      <c r="BU144" s="174"/>
      <c r="BV144" s="174"/>
      <c r="BW144" s="174"/>
      <c r="BX144" s="174"/>
      <c r="BY144" s="174"/>
      <c r="BZ144" s="174"/>
      <c r="CA144" s="174"/>
      <c r="CB144" s="174"/>
      <c r="CC144" s="174"/>
      <c r="CD144" s="174"/>
    </row>
    <row r="145">
      <c r="A145" s="105" t="str">
        <f>IF(preDEL!$AG145,IFERROR(0/0,""),preDEL!A145)</f>
        <v>MA623</v>
      </c>
      <c r="B145" s="170">
        <f>IF(preDEL!$AG145,IFERROR(0/0,""),preDEL!B145)</f>
        <v>44571</v>
      </c>
      <c r="C145" s="171">
        <f>IF(preDEL!$AG145,IFERROR(0/0,""),preDEL!C145)</f>
        <v>0.3333912037</v>
      </c>
      <c r="D145" s="105" t="str">
        <f>IF(preDEL!$AG145,IFERROR(0/0,""),preDEL!D145)</f>
        <v/>
      </c>
      <c r="E145" s="105" t="str">
        <f>IF(preDEL!$AG145,IFERROR(0/0,""),preDEL!E145)</f>
        <v/>
      </c>
      <c r="F145" s="112" t="str">
        <f>IF(preDEL!$AG145,IFERROR(0/0,""),preDEL!F145)</f>
        <v/>
      </c>
      <c r="G145" s="112" t="str">
        <f>IF(preDEL!$AG145,IFERROR(0/0,""),preDEL!G145)</f>
        <v/>
      </c>
      <c r="H145" s="112" t="str">
        <f>IF(preDEL!$AG145,IFERROR(0/0,""),preDEL!H145)</f>
        <v/>
      </c>
      <c r="I145" s="105" t="str">
        <f>IF(preDEL!$AG145,IFERROR(0/0,""),preDEL!I145)</f>
        <v/>
      </c>
      <c r="J145" s="105" t="str">
        <f>IF(preDEL!$AG145,IFERROR(0/0,""),preDEL!J145)</f>
        <v/>
      </c>
      <c r="K145" s="105" t="str">
        <f>IF(preDEL!$AG145,IFERROR(0/0,""),preDEL!K145)</f>
        <v>Negative</v>
      </c>
      <c r="L145" s="170">
        <f>IF(preDEL!$AG145,IFERROR(0/0,""),preDEL!L145)</f>
        <v>44571</v>
      </c>
      <c r="M145" s="171">
        <f>IF(preDEL!$AG145,IFERROR(0/0,""),preDEL!M145)</f>
        <v>0.4659837963</v>
      </c>
      <c r="N145" s="112" t="str">
        <f>IF(preDEL!$AG145,IFERROR(0/0,""),preDEL!N145)</f>
        <v/>
      </c>
      <c r="O145" s="112" t="str">
        <f>IF(preDEL!$AG145,IFERROR(0/0,""),preDEL!O145)</f>
        <v/>
      </c>
      <c r="P145" s="110" t="b">
        <f>IF(preDEL!$AG145,IFERROR(0/0,""),preDEL!P145)</f>
        <v>0</v>
      </c>
      <c r="Q145" s="110" t="str">
        <f>IF(preDEL!$AG145,IFERROR(0/0,""),preDEL!Q145)</f>
        <v>Result</v>
      </c>
      <c r="R145" s="104" t="b">
        <f>IF(preDEL!$AG145,IFERROR(0/0,""),preDEL!R145)</f>
        <v>1</v>
      </c>
      <c r="S145" s="104">
        <f>IF(preDEL!$AG145,IFERROR(0/0,""),preDEL!S145)</f>
        <v>1</v>
      </c>
      <c r="T145" s="110" t="str">
        <f>IF(preDEL!$AG145,IFERROR(0/0,""),preDEL!T145)</f>
        <v/>
      </c>
      <c r="U145" s="112" t="str">
        <f>IF(preDEL!$AG145,IFERROR(0/0,""),preDEL!U145)</f>
        <v/>
      </c>
      <c r="V145" s="105" t="str">
        <f>IF(preDEL!$AG145,IFERROR(0/0,""),preDEL!V145)</f>
        <v/>
      </c>
      <c r="W145" s="112" t="str">
        <f>IF(preDEL!$AG145,IFERROR(0/0,""),preDEL!W145)</f>
        <v/>
      </c>
      <c r="X145" s="104" t="b">
        <f>IF(preDEL!$AG145,IFERROR(0/0,""),preDEL!X145)</f>
        <v>0</v>
      </c>
      <c r="Y145" s="110" t="b">
        <f>IF(preDEL!$AG145,IFERROR(0/0,""),preDEL!Y145)</f>
        <v>0</v>
      </c>
      <c r="Z145" s="105" t="str">
        <f>IF(preDEL!$AG145,IFERROR(0/0,""),preDEL!Z145)</f>
        <v/>
      </c>
      <c r="AA145" s="110" t="b">
        <f>IF(preDEL!$AG145,IFERROR(0/0,""),preDEL!AA145)</f>
        <v>0</v>
      </c>
      <c r="AB145" s="110" t="b">
        <f>IF(preDEL!$AG145,IFERROR(0/0,""),preDEL!AB145)</f>
        <v>0</v>
      </c>
      <c r="AC145" s="172">
        <f>IF(preDEL!$AG145,IFERROR(0/0,""),preDEL!AC145)</f>
        <v>655</v>
      </c>
      <c r="AD145" s="104" t="b">
        <f>IF(preDEL!$AG145,IFERROR(0/0,""),preDEL!AD145)</f>
        <v>0</v>
      </c>
      <c r="AE145" s="173">
        <f>IF(preDEL!$AG145,IFERROR(0/0,""),preDEL!AE145)</f>
        <v>190.9333333</v>
      </c>
      <c r="AF145" s="110" t="b">
        <f>IF(preDEL!$AG145,IFERROR(0/0,""),preDEL!AF145)</f>
        <v>0</v>
      </c>
      <c r="AG145" s="110" t="b">
        <f>IF(preDEL!$AG145,IFERROR(0/0,""),preDEL!AG145)</f>
        <v>0</v>
      </c>
      <c r="AH145" s="104" t="str">
        <f>IF(preDEL!$AG145,IFERROR(0/0,""),preDEL!AH145)</f>
        <v/>
      </c>
      <c r="AI145" s="105" t="str">
        <f>IF(preDEL!$AG145,IFERROR(0/0,""),preDEL!AI145)</f>
        <v/>
      </c>
      <c r="AJ145" s="112" t="str">
        <f>IF(preDEL!$AG145,IFERROR(0/0,""),preDEL!AJ145)</f>
        <v/>
      </c>
      <c r="AK145" s="105" t="str">
        <f>IF(preDEL!$AG145,IFERROR(0/0,""),preDEL!AK145)</f>
        <v>Negative</v>
      </c>
      <c r="AL145" s="112" t="str">
        <f>IF(preDEL!$AG145,IFERROR(0/0,""),preDEL!AL145)</f>
        <v/>
      </c>
      <c r="AM145" s="112" t="str">
        <f>IF(preDEL!$AG145,IFERROR(0/0,""),preDEL!AM145)</f>
        <v>SpBEND768497</v>
      </c>
      <c r="AN145" s="112" t="str">
        <f>IF(preDEL!$AG145,IFERROR(0/0,""),preDEL!AN145)</f>
        <v>BEND900381</v>
      </c>
      <c r="AO145" s="112" t="str">
        <f>IF(preDEL!$AG145,IFERROR(0/0,""),preDEL!AO145)</f>
        <v/>
      </c>
      <c r="AP145" s="112" t="str">
        <f>IF(preDEL!$AG145,IFERROR(0/0,""),preDEL!AP145)</f>
        <v/>
      </c>
      <c r="AQ145" s="112" t="str">
        <f>IF(preDEL!$AG145,IFERROR(0/0,""),preDEL!AQ145)</f>
        <v/>
      </c>
      <c r="AR145" s="112" t="str">
        <f>IF(preDEL!$AG145,IFERROR(0/0,""),preDEL!AR145)</f>
        <v/>
      </c>
      <c r="AS145" s="112" t="str">
        <f>IF(preDEL!$AG145,IFERROR(0/0,""),preDEL!AS145)</f>
        <v/>
      </c>
      <c r="AT145" s="112" t="b">
        <f>IF(preDEL!$AG145,IFERROR(0/0,""),preDEL!AT145)</f>
        <v>0</v>
      </c>
      <c r="AU145" s="112" t="str">
        <f>IF(preDEL!$AG145,IFERROR(0/0,""),preDEL!AU145)</f>
        <v/>
      </c>
      <c r="AV145" s="112" t="str">
        <f>IF(preDEL!$AG145,IFERROR(0/0,""),preDEL!AV145)</f>
        <v/>
      </c>
      <c r="AW145" s="112" t="str">
        <f>IF(preDEL!$AG145,IFERROR(0/0,""),preDEL!AW145)</f>
        <v/>
      </c>
      <c r="AX145" s="112" t="str">
        <f>IF(preDEL!$AG145,IFERROR(0/0,""),preDEL!AX145)</f>
        <v/>
      </c>
      <c r="AY145" s="112" t="str">
        <f>IF(preDEL!$AG145,IFERROR(0/0,""),preDEL!AY145)</f>
        <v/>
      </c>
      <c r="AZ145" s="174"/>
      <c r="BA145" s="174"/>
      <c r="BB145" s="174"/>
      <c r="BC145" s="174"/>
      <c r="BD145" s="174"/>
      <c r="BE145" s="174"/>
      <c r="BF145" s="174"/>
      <c r="BG145" s="174"/>
      <c r="BH145" s="174"/>
      <c r="BI145" s="174"/>
      <c r="BJ145" s="174"/>
      <c r="BK145" s="174"/>
      <c r="BL145" s="174"/>
      <c r="BM145" s="174"/>
      <c r="BN145" s="174"/>
      <c r="BO145" s="174"/>
      <c r="BP145" s="174"/>
      <c r="BQ145" s="174"/>
      <c r="BR145" s="174"/>
      <c r="BS145" s="174"/>
      <c r="BT145" s="174"/>
      <c r="BU145" s="174"/>
      <c r="BV145" s="174"/>
      <c r="BW145" s="174"/>
      <c r="BX145" s="174"/>
      <c r="BY145" s="174"/>
      <c r="BZ145" s="174"/>
      <c r="CA145" s="174"/>
      <c r="CB145" s="174"/>
      <c r="CC145" s="174"/>
      <c r="CD145" s="174"/>
    </row>
    <row r="146">
      <c r="A146" s="105" t="str">
        <f>IF(preDEL!$AG146,IFERROR(0/0,""),preDEL!A146)</f>
        <v>MA433</v>
      </c>
      <c r="B146" s="170">
        <f>IF(preDEL!$AG146,IFERROR(0/0,""),preDEL!B146)</f>
        <v>44571</v>
      </c>
      <c r="C146" s="171">
        <f>IF(preDEL!$AG146,IFERROR(0/0,""),preDEL!C146)</f>
        <v>0.3337731481</v>
      </c>
      <c r="D146" s="105" t="str">
        <f>IF(preDEL!$AG146,IFERROR(0/0,""),preDEL!D146)</f>
        <v/>
      </c>
      <c r="E146" s="105" t="str">
        <f>IF(preDEL!$AG146,IFERROR(0/0,""),preDEL!E146)</f>
        <v/>
      </c>
      <c r="F146" s="112" t="str">
        <f>IF(preDEL!$AG146,IFERROR(0/0,""),preDEL!F146)</f>
        <v/>
      </c>
      <c r="G146" s="112" t="str">
        <f>IF(preDEL!$AG146,IFERROR(0/0,""),preDEL!G146)</f>
        <v/>
      </c>
      <c r="H146" s="112" t="str">
        <f>IF(preDEL!$AG146,IFERROR(0/0,""),preDEL!H146)</f>
        <v/>
      </c>
      <c r="I146" s="105" t="str">
        <f>IF(preDEL!$AG146,IFERROR(0/0,""),preDEL!I146)</f>
        <v/>
      </c>
      <c r="J146" s="105" t="str">
        <f>IF(preDEL!$AG146,IFERROR(0/0,""),preDEL!J146)</f>
        <v/>
      </c>
      <c r="K146" s="105" t="str">
        <f>IF(preDEL!$AG146,IFERROR(0/0,""),preDEL!K146)</f>
        <v>Negative</v>
      </c>
      <c r="L146" s="170">
        <f>IF(preDEL!$AG146,IFERROR(0/0,""),preDEL!L146)</f>
        <v>44571</v>
      </c>
      <c r="M146" s="171">
        <f>IF(preDEL!$AG146,IFERROR(0/0,""),preDEL!M146)</f>
        <v>0.4659837963</v>
      </c>
      <c r="N146" s="112" t="str">
        <f>IF(preDEL!$AG146,IFERROR(0/0,""),preDEL!N146)</f>
        <v/>
      </c>
      <c r="O146" s="112" t="str">
        <f>IF(preDEL!$AG146,IFERROR(0/0,""),preDEL!O146)</f>
        <v/>
      </c>
      <c r="P146" s="110" t="b">
        <f>IF(preDEL!$AG146,IFERROR(0/0,""),preDEL!P146)</f>
        <v>0</v>
      </c>
      <c r="Q146" s="110" t="str">
        <f>IF(preDEL!$AG146,IFERROR(0/0,""),preDEL!Q146)</f>
        <v>Result</v>
      </c>
      <c r="R146" s="104" t="b">
        <f>IF(preDEL!$AG146,IFERROR(0/0,""),preDEL!R146)</f>
        <v>1</v>
      </c>
      <c r="S146" s="104">
        <f>IF(preDEL!$AG146,IFERROR(0/0,""),preDEL!S146)</f>
        <v>1</v>
      </c>
      <c r="T146" s="110" t="str">
        <f>IF(preDEL!$AG146,IFERROR(0/0,""),preDEL!T146)</f>
        <v/>
      </c>
      <c r="U146" s="112" t="str">
        <f>IF(preDEL!$AG146,IFERROR(0/0,""),preDEL!U146)</f>
        <v/>
      </c>
      <c r="V146" s="105" t="str">
        <f>IF(preDEL!$AG146,IFERROR(0/0,""),preDEL!V146)</f>
        <v/>
      </c>
      <c r="W146" s="112" t="str">
        <f>IF(preDEL!$AG146,IFERROR(0/0,""),preDEL!W146)</f>
        <v/>
      </c>
      <c r="X146" s="104" t="b">
        <f>IF(preDEL!$AG146,IFERROR(0/0,""),preDEL!X146)</f>
        <v>0</v>
      </c>
      <c r="Y146" s="110" t="b">
        <f>IF(preDEL!$AG146,IFERROR(0/0,""),preDEL!Y146)</f>
        <v>0</v>
      </c>
      <c r="Z146" s="105" t="str">
        <f>IF(preDEL!$AG146,IFERROR(0/0,""),preDEL!Z146)</f>
        <v/>
      </c>
      <c r="AA146" s="110" t="b">
        <f>IF(preDEL!$AG146,IFERROR(0/0,""),preDEL!AA146)</f>
        <v>0</v>
      </c>
      <c r="AB146" s="110" t="b">
        <f>IF(preDEL!$AG146,IFERROR(0/0,""),preDEL!AB146)</f>
        <v>0</v>
      </c>
      <c r="AC146" s="172">
        <f>IF(preDEL!$AG146,IFERROR(0/0,""),preDEL!AC146)</f>
        <v>654</v>
      </c>
      <c r="AD146" s="104" t="b">
        <f>IF(preDEL!$AG146,IFERROR(0/0,""),preDEL!AD146)</f>
        <v>0</v>
      </c>
      <c r="AE146" s="173">
        <f>IF(preDEL!$AG146,IFERROR(0/0,""),preDEL!AE146)</f>
        <v>190.3833333</v>
      </c>
      <c r="AF146" s="110" t="b">
        <f>IF(preDEL!$AG146,IFERROR(0/0,""),preDEL!AF146)</f>
        <v>0</v>
      </c>
      <c r="AG146" s="110" t="b">
        <f>IF(preDEL!$AG146,IFERROR(0/0,""),preDEL!AG146)</f>
        <v>0</v>
      </c>
      <c r="AH146" s="104" t="str">
        <f>IF(preDEL!$AG146,IFERROR(0/0,""),preDEL!AH146)</f>
        <v/>
      </c>
      <c r="AI146" s="105" t="str">
        <f>IF(preDEL!$AG146,IFERROR(0/0,""),preDEL!AI146)</f>
        <v/>
      </c>
      <c r="AJ146" s="112" t="str">
        <f>IF(preDEL!$AG146,IFERROR(0/0,""),preDEL!AJ146)</f>
        <v/>
      </c>
      <c r="AK146" s="105" t="str">
        <f>IF(preDEL!$AG146,IFERROR(0/0,""),preDEL!AK146)</f>
        <v>Negative</v>
      </c>
      <c r="AL146" s="112" t="str">
        <f>IF(preDEL!$AG146,IFERROR(0/0,""),preDEL!AL146)</f>
        <v/>
      </c>
      <c r="AM146" s="112" t="str">
        <f>IF(preDEL!$AG146,IFERROR(0/0,""),preDEL!AM146)</f>
        <v>SpBEND528248</v>
      </c>
      <c r="AN146" s="112" t="str">
        <f>IF(preDEL!$AG146,IFERROR(0/0,""),preDEL!AN146)</f>
        <v>BEND229530</v>
      </c>
      <c r="AO146" s="112" t="str">
        <f>IF(preDEL!$AG146,IFERROR(0/0,""),preDEL!AO146)</f>
        <v/>
      </c>
      <c r="AP146" s="112" t="str">
        <f>IF(preDEL!$AG146,IFERROR(0/0,""),preDEL!AP146)</f>
        <v/>
      </c>
      <c r="AQ146" s="112" t="str">
        <f>IF(preDEL!$AG146,IFERROR(0/0,""),preDEL!AQ146)</f>
        <v/>
      </c>
      <c r="AR146" s="112" t="str">
        <f>IF(preDEL!$AG146,IFERROR(0/0,""),preDEL!AR146)</f>
        <v/>
      </c>
      <c r="AS146" s="112" t="str">
        <f>IF(preDEL!$AG146,IFERROR(0/0,""),preDEL!AS146)</f>
        <v/>
      </c>
      <c r="AT146" s="112" t="b">
        <f>IF(preDEL!$AG146,IFERROR(0/0,""),preDEL!AT146)</f>
        <v>0</v>
      </c>
      <c r="AU146" s="112" t="str">
        <f>IF(preDEL!$AG146,IFERROR(0/0,""),preDEL!AU146)</f>
        <v/>
      </c>
      <c r="AV146" s="112" t="str">
        <f>IF(preDEL!$AG146,IFERROR(0/0,""),preDEL!AV146)</f>
        <v/>
      </c>
      <c r="AW146" s="112" t="str">
        <f>IF(preDEL!$AG146,IFERROR(0/0,""),preDEL!AW146)</f>
        <v/>
      </c>
      <c r="AX146" s="112" t="str">
        <f>IF(preDEL!$AG146,IFERROR(0/0,""),preDEL!AX146)</f>
        <v/>
      </c>
      <c r="AY146" s="112" t="str">
        <f>IF(preDEL!$AG146,IFERROR(0/0,""),preDEL!AY146)</f>
        <v/>
      </c>
      <c r="AZ146" s="174"/>
      <c r="BA146" s="174"/>
      <c r="BB146" s="174"/>
      <c r="BC146" s="174"/>
      <c r="BD146" s="174"/>
      <c r="BE146" s="174"/>
      <c r="BF146" s="174"/>
      <c r="BG146" s="174"/>
      <c r="BH146" s="174"/>
      <c r="BI146" s="174"/>
      <c r="BJ146" s="174"/>
      <c r="BK146" s="174"/>
      <c r="BL146" s="174"/>
      <c r="BM146" s="174"/>
      <c r="BN146" s="174"/>
      <c r="BO146" s="174"/>
      <c r="BP146" s="174"/>
      <c r="BQ146" s="174"/>
      <c r="BR146" s="174"/>
      <c r="BS146" s="174"/>
      <c r="BT146" s="174"/>
      <c r="BU146" s="174"/>
      <c r="BV146" s="174"/>
      <c r="BW146" s="174"/>
      <c r="BX146" s="174"/>
      <c r="BY146" s="174"/>
      <c r="BZ146" s="174"/>
      <c r="CA146" s="174"/>
      <c r="CB146" s="174"/>
      <c r="CC146" s="174"/>
      <c r="CD146" s="174"/>
    </row>
    <row r="147">
      <c r="A147" s="105" t="str">
        <f>IF(preDEL!$AG147,IFERROR(0/0,""),preDEL!A147)</f>
        <v>MA649</v>
      </c>
      <c r="B147" s="170">
        <f>IF(preDEL!$AG147,IFERROR(0/0,""),preDEL!B147)</f>
        <v>44571</v>
      </c>
      <c r="C147" s="171">
        <f>IF(preDEL!$AG147,IFERROR(0/0,""),preDEL!C147)</f>
        <v>0.3345138889</v>
      </c>
      <c r="D147" s="105" t="str">
        <f>IF(preDEL!$AG147,IFERROR(0/0,""),preDEL!D147)</f>
        <v/>
      </c>
      <c r="E147" s="105" t="str">
        <f>IF(preDEL!$AG147,IFERROR(0/0,""),preDEL!E147)</f>
        <v/>
      </c>
      <c r="F147" s="112" t="str">
        <f>IF(preDEL!$AG147,IFERROR(0/0,""),preDEL!F147)</f>
        <v/>
      </c>
      <c r="G147" s="112" t="str">
        <f>IF(preDEL!$AG147,IFERROR(0/0,""),preDEL!G147)</f>
        <v/>
      </c>
      <c r="H147" s="112" t="str">
        <f>IF(preDEL!$AG147,IFERROR(0/0,""),preDEL!H147)</f>
        <v/>
      </c>
      <c r="I147" s="105" t="str">
        <f>IF(preDEL!$AG147,IFERROR(0/0,""),preDEL!I147)</f>
        <v/>
      </c>
      <c r="J147" s="105" t="str">
        <f>IF(preDEL!$AG147,IFERROR(0/0,""),preDEL!J147)</f>
        <v/>
      </c>
      <c r="K147" s="105" t="str">
        <f>IF(preDEL!$AG147,IFERROR(0/0,""),preDEL!K147)</f>
        <v>Negative</v>
      </c>
      <c r="L147" s="170">
        <f>IF(preDEL!$AG147,IFERROR(0/0,""),preDEL!L147)</f>
        <v>44571</v>
      </c>
      <c r="M147" s="171">
        <f>IF(preDEL!$AG147,IFERROR(0/0,""),preDEL!M147)</f>
        <v>0.4659837963</v>
      </c>
      <c r="N147" s="112" t="str">
        <f>IF(preDEL!$AG147,IFERROR(0/0,""),preDEL!N147)</f>
        <v/>
      </c>
      <c r="O147" s="112" t="str">
        <f>IF(preDEL!$AG147,IFERROR(0/0,""),preDEL!O147)</f>
        <v/>
      </c>
      <c r="P147" s="110" t="b">
        <f>IF(preDEL!$AG147,IFERROR(0/0,""),preDEL!P147)</f>
        <v>0</v>
      </c>
      <c r="Q147" s="110" t="str">
        <f>IF(preDEL!$AG147,IFERROR(0/0,""),preDEL!Q147)</f>
        <v>Result</v>
      </c>
      <c r="R147" s="104" t="b">
        <f>IF(preDEL!$AG147,IFERROR(0/0,""),preDEL!R147)</f>
        <v>1</v>
      </c>
      <c r="S147" s="104">
        <f>IF(preDEL!$AG147,IFERROR(0/0,""),preDEL!S147)</f>
        <v>1</v>
      </c>
      <c r="T147" s="110" t="str">
        <f>IF(preDEL!$AG147,IFERROR(0/0,""),preDEL!T147)</f>
        <v/>
      </c>
      <c r="U147" s="112" t="str">
        <f>IF(preDEL!$AG147,IFERROR(0/0,""),preDEL!U147)</f>
        <v/>
      </c>
      <c r="V147" s="105" t="str">
        <f>IF(preDEL!$AG147,IFERROR(0/0,""),preDEL!V147)</f>
        <v/>
      </c>
      <c r="W147" s="112" t="str">
        <f>IF(preDEL!$AG147,IFERROR(0/0,""),preDEL!W147)</f>
        <v/>
      </c>
      <c r="X147" s="104" t="b">
        <f>IF(preDEL!$AG147,IFERROR(0/0,""),preDEL!X147)</f>
        <v>0</v>
      </c>
      <c r="Y147" s="110" t="b">
        <f>IF(preDEL!$AG147,IFERROR(0/0,""),preDEL!Y147)</f>
        <v>0</v>
      </c>
      <c r="Z147" s="105" t="str">
        <f>IF(preDEL!$AG147,IFERROR(0/0,""),preDEL!Z147)</f>
        <v/>
      </c>
      <c r="AA147" s="110" t="b">
        <f>IF(preDEL!$AG147,IFERROR(0/0,""),preDEL!AA147)</f>
        <v>0</v>
      </c>
      <c r="AB147" s="110" t="b">
        <f>IF(preDEL!$AG147,IFERROR(0/0,""),preDEL!AB147)</f>
        <v>0</v>
      </c>
      <c r="AC147" s="172">
        <f>IF(preDEL!$AG147,IFERROR(0/0,""),preDEL!AC147)</f>
        <v>653</v>
      </c>
      <c r="AD147" s="104" t="b">
        <f>IF(preDEL!$AG147,IFERROR(0/0,""),preDEL!AD147)</f>
        <v>0</v>
      </c>
      <c r="AE147" s="173">
        <f>IF(preDEL!$AG147,IFERROR(0/0,""),preDEL!AE147)</f>
        <v>189.3166667</v>
      </c>
      <c r="AF147" s="110" t="b">
        <f>IF(preDEL!$AG147,IFERROR(0/0,""),preDEL!AF147)</f>
        <v>0</v>
      </c>
      <c r="AG147" s="110" t="b">
        <f>IF(preDEL!$AG147,IFERROR(0/0,""),preDEL!AG147)</f>
        <v>0</v>
      </c>
      <c r="AH147" s="104" t="str">
        <f>IF(preDEL!$AG147,IFERROR(0/0,""),preDEL!AH147)</f>
        <v/>
      </c>
      <c r="AI147" s="105" t="str">
        <f>IF(preDEL!$AG147,IFERROR(0/0,""),preDEL!AI147)</f>
        <v/>
      </c>
      <c r="AJ147" s="112" t="str">
        <f>IF(preDEL!$AG147,IFERROR(0/0,""),preDEL!AJ147)</f>
        <v/>
      </c>
      <c r="AK147" s="105" t="str">
        <f>IF(preDEL!$AG147,IFERROR(0/0,""),preDEL!AK147)</f>
        <v>Negative</v>
      </c>
      <c r="AL147" s="112" t="str">
        <f>IF(preDEL!$AG147,IFERROR(0/0,""),preDEL!AL147)</f>
        <v/>
      </c>
      <c r="AM147" s="112" t="str">
        <f>IF(preDEL!$AG147,IFERROR(0/0,""),preDEL!AM147)</f>
        <v>SpBEND136234</v>
      </c>
      <c r="AN147" s="112" t="str">
        <f>IF(preDEL!$AG147,IFERROR(0/0,""),preDEL!AN147)</f>
        <v>BEND350468</v>
      </c>
      <c r="AO147" s="112" t="str">
        <f>IF(preDEL!$AG147,IFERROR(0/0,""),preDEL!AO147)</f>
        <v/>
      </c>
      <c r="AP147" s="112" t="str">
        <f>IF(preDEL!$AG147,IFERROR(0/0,""),preDEL!AP147)</f>
        <v/>
      </c>
      <c r="AQ147" s="112" t="str">
        <f>IF(preDEL!$AG147,IFERROR(0/0,""),preDEL!AQ147)</f>
        <v/>
      </c>
      <c r="AR147" s="112" t="str">
        <f>IF(preDEL!$AG147,IFERROR(0/0,""),preDEL!AR147)</f>
        <v/>
      </c>
      <c r="AS147" s="112" t="str">
        <f>IF(preDEL!$AG147,IFERROR(0/0,""),preDEL!AS147)</f>
        <v/>
      </c>
      <c r="AT147" s="112" t="b">
        <f>IF(preDEL!$AG147,IFERROR(0/0,""),preDEL!AT147)</f>
        <v>0</v>
      </c>
      <c r="AU147" s="112" t="str">
        <f>IF(preDEL!$AG147,IFERROR(0/0,""),preDEL!AU147)</f>
        <v/>
      </c>
      <c r="AV147" s="112" t="str">
        <f>IF(preDEL!$AG147,IFERROR(0/0,""),preDEL!AV147)</f>
        <v/>
      </c>
      <c r="AW147" s="112" t="str">
        <f>IF(preDEL!$AG147,IFERROR(0/0,""),preDEL!AW147)</f>
        <v/>
      </c>
      <c r="AX147" s="112" t="str">
        <f>IF(preDEL!$AG147,IFERROR(0/0,""),preDEL!AX147)</f>
        <v/>
      </c>
      <c r="AY147" s="112" t="str">
        <f>IF(preDEL!$AG147,IFERROR(0/0,""),preDEL!AY147)</f>
        <v/>
      </c>
      <c r="AZ147" s="174"/>
      <c r="BA147" s="174"/>
      <c r="BB147" s="174"/>
      <c r="BC147" s="174"/>
      <c r="BD147" s="174"/>
      <c r="BE147" s="174"/>
      <c r="BF147" s="174"/>
      <c r="BG147" s="174"/>
      <c r="BH147" s="174"/>
      <c r="BI147" s="174"/>
      <c r="BJ147" s="174"/>
      <c r="BK147" s="174"/>
      <c r="BL147" s="174"/>
      <c r="BM147" s="174"/>
      <c r="BN147" s="174"/>
      <c r="BO147" s="174"/>
      <c r="BP147" s="174"/>
      <c r="BQ147" s="174"/>
      <c r="BR147" s="174"/>
      <c r="BS147" s="174"/>
      <c r="BT147" s="174"/>
      <c r="BU147" s="174"/>
      <c r="BV147" s="174"/>
      <c r="BW147" s="174"/>
      <c r="BX147" s="174"/>
      <c r="BY147" s="174"/>
      <c r="BZ147" s="174"/>
      <c r="CA147" s="174"/>
      <c r="CB147" s="174"/>
      <c r="CC147" s="174"/>
      <c r="CD147" s="174"/>
    </row>
    <row r="148">
      <c r="A148" s="105" t="str">
        <f>IF(preDEL!$AG148,IFERROR(0/0,""),preDEL!A148)</f>
        <v>MA647</v>
      </c>
      <c r="B148" s="170">
        <f>IF(preDEL!$AG148,IFERROR(0/0,""),preDEL!B148)</f>
        <v>44571</v>
      </c>
      <c r="C148" s="171">
        <f>IF(preDEL!$AG148,IFERROR(0/0,""),preDEL!C148)</f>
        <v>0.3371412037</v>
      </c>
      <c r="D148" s="105" t="str">
        <f>IF(preDEL!$AG148,IFERROR(0/0,""),preDEL!D148)</f>
        <v/>
      </c>
      <c r="E148" s="105" t="str">
        <f>IF(preDEL!$AG148,IFERROR(0/0,""),preDEL!E148)</f>
        <v/>
      </c>
      <c r="F148" s="112" t="str">
        <f>IF(preDEL!$AG148,IFERROR(0/0,""),preDEL!F148)</f>
        <v/>
      </c>
      <c r="G148" s="112" t="str">
        <f>IF(preDEL!$AG148,IFERROR(0/0,""),preDEL!G148)</f>
        <v/>
      </c>
      <c r="H148" s="112" t="str">
        <f>IF(preDEL!$AG148,IFERROR(0/0,""),preDEL!H148)</f>
        <v/>
      </c>
      <c r="I148" s="105" t="str">
        <f>IF(preDEL!$AG148,IFERROR(0/0,""),preDEL!I148)</f>
        <v/>
      </c>
      <c r="J148" s="105" t="str">
        <f>IF(preDEL!$AG148,IFERROR(0/0,""),preDEL!J148)</f>
        <v/>
      </c>
      <c r="K148" s="105" t="str">
        <f>IF(preDEL!$AG148,IFERROR(0/0,""),preDEL!K148)</f>
        <v>Negative</v>
      </c>
      <c r="L148" s="170">
        <f>IF(preDEL!$AG148,IFERROR(0/0,""),preDEL!L148)</f>
        <v>44571</v>
      </c>
      <c r="M148" s="171">
        <f>IF(preDEL!$AG148,IFERROR(0/0,""),preDEL!M148)</f>
        <v>0.4659837963</v>
      </c>
      <c r="N148" s="112" t="str">
        <f>IF(preDEL!$AG148,IFERROR(0/0,""),preDEL!N148)</f>
        <v/>
      </c>
      <c r="O148" s="112" t="str">
        <f>IF(preDEL!$AG148,IFERROR(0/0,""),preDEL!O148)</f>
        <v/>
      </c>
      <c r="P148" s="110" t="b">
        <f>IF(preDEL!$AG148,IFERROR(0/0,""),preDEL!P148)</f>
        <v>0</v>
      </c>
      <c r="Q148" s="110" t="str">
        <f>IF(preDEL!$AG148,IFERROR(0/0,""),preDEL!Q148)</f>
        <v>Result</v>
      </c>
      <c r="R148" s="104" t="b">
        <f>IF(preDEL!$AG148,IFERROR(0/0,""),preDEL!R148)</f>
        <v>1</v>
      </c>
      <c r="S148" s="104">
        <f>IF(preDEL!$AG148,IFERROR(0/0,""),preDEL!S148)</f>
        <v>1</v>
      </c>
      <c r="T148" s="110" t="str">
        <f>IF(preDEL!$AG148,IFERROR(0/0,""),preDEL!T148)</f>
        <v/>
      </c>
      <c r="U148" s="112" t="str">
        <f>IF(preDEL!$AG148,IFERROR(0/0,""),preDEL!U148)</f>
        <v/>
      </c>
      <c r="V148" s="105" t="str">
        <f>IF(preDEL!$AG148,IFERROR(0/0,""),preDEL!V148)</f>
        <v/>
      </c>
      <c r="W148" s="112" t="str">
        <f>IF(preDEL!$AG148,IFERROR(0/0,""),preDEL!W148)</f>
        <v/>
      </c>
      <c r="X148" s="104" t="b">
        <f>IF(preDEL!$AG148,IFERROR(0/0,""),preDEL!X148)</f>
        <v>0</v>
      </c>
      <c r="Y148" s="110" t="b">
        <f>IF(preDEL!$AG148,IFERROR(0/0,""),preDEL!Y148)</f>
        <v>0</v>
      </c>
      <c r="Z148" s="105" t="str">
        <f>IF(preDEL!$AG148,IFERROR(0/0,""),preDEL!Z148)</f>
        <v/>
      </c>
      <c r="AA148" s="110" t="b">
        <f>IF(preDEL!$AG148,IFERROR(0/0,""),preDEL!AA148)</f>
        <v>0</v>
      </c>
      <c r="AB148" s="110" t="b">
        <f>IF(preDEL!$AG148,IFERROR(0/0,""),preDEL!AB148)</f>
        <v>0</v>
      </c>
      <c r="AC148" s="172">
        <f>IF(preDEL!$AG148,IFERROR(0/0,""),preDEL!AC148)</f>
        <v>652</v>
      </c>
      <c r="AD148" s="104" t="b">
        <f>IF(preDEL!$AG148,IFERROR(0/0,""),preDEL!AD148)</f>
        <v>0</v>
      </c>
      <c r="AE148" s="173">
        <f>IF(preDEL!$AG148,IFERROR(0/0,""),preDEL!AE148)</f>
        <v>185.5333333</v>
      </c>
      <c r="AF148" s="110" t="b">
        <f>IF(preDEL!$AG148,IFERROR(0/0,""),preDEL!AF148)</f>
        <v>0</v>
      </c>
      <c r="AG148" s="110" t="b">
        <f>IF(preDEL!$AG148,IFERROR(0/0,""),preDEL!AG148)</f>
        <v>0</v>
      </c>
      <c r="AH148" s="104" t="str">
        <f>IF(preDEL!$AG148,IFERROR(0/0,""),preDEL!AH148)</f>
        <v/>
      </c>
      <c r="AI148" s="105" t="str">
        <f>IF(preDEL!$AG148,IFERROR(0/0,""),preDEL!AI148)</f>
        <v/>
      </c>
      <c r="AJ148" s="112" t="str">
        <f>IF(preDEL!$AG148,IFERROR(0/0,""),preDEL!AJ148)</f>
        <v/>
      </c>
      <c r="AK148" s="105" t="str">
        <f>IF(preDEL!$AG148,IFERROR(0/0,""),preDEL!AK148)</f>
        <v>Negative</v>
      </c>
      <c r="AL148" s="112" t="str">
        <f>IF(preDEL!$AG148,IFERROR(0/0,""),preDEL!AL148)</f>
        <v/>
      </c>
      <c r="AM148" s="112" t="str">
        <f>IF(preDEL!$AG148,IFERROR(0/0,""),preDEL!AM148)</f>
        <v>SpBEND481988</v>
      </c>
      <c r="AN148" s="112" t="str">
        <f>IF(preDEL!$AG148,IFERROR(0/0,""),preDEL!AN148)</f>
        <v>BEND223874</v>
      </c>
      <c r="AO148" s="112" t="str">
        <f>IF(preDEL!$AG148,IFERROR(0/0,""),preDEL!AO148)</f>
        <v/>
      </c>
      <c r="AP148" s="112" t="str">
        <f>IF(preDEL!$AG148,IFERROR(0/0,""),preDEL!AP148)</f>
        <v/>
      </c>
      <c r="AQ148" s="112" t="str">
        <f>IF(preDEL!$AG148,IFERROR(0/0,""),preDEL!AQ148)</f>
        <v/>
      </c>
      <c r="AR148" s="112" t="str">
        <f>IF(preDEL!$AG148,IFERROR(0/0,""),preDEL!AR148)</f>
        <v/>
      </c>
      <c r="AS148" s="112" t="str">
        <f>IF(preDEL!$AG148,IFERROR(0/0,""),preDEL!AS148)</f>
        <v/>
      </c>
      <c r="AT148" s="112" t="b">
        <f>IF(preDEL!$AG148,IFERROR(0/0,""),preDEL!AT148)</f>
        <v>0</v>
      </c>
      <c r="AU148" s="112" t="str">
        <f>IF(preDEL!$AG148,IFERROR(0/0,""),preDEL!AU148)</f>
        <v/>
      </c>
      <c r="AV148" s="112" t="str">
        <f>IF(preDEL!$AG148,IFERROR(0/0,""),preDEL!AV148)</f>
        <v/>
      </c>
      <c r="AW148" s="112" t="str">
        <f>IF(preDEL!$AG148,IFERROR(0/0,""),preDEL!AW148)</f>
        <v/>
      </c>
      <c r="AX148" s="112" t="str">
        <f>IF(preDEL!$AG148,IFERROR(0/0,""),preDEL!AX148)</f>
        <v/>
      </c>
      <c r="AY148" s="112" t="str">
        <f>IF(preDEL!$AG148,IFERROR(0/0,""),preDEL!AY148)</f>
        <v/>
      </c>
      <c r="AZ148" s="174"/>
      <c r="BA148" s="174"/>
      <c r="BB148" s="174"/>
      <c r="BC148" s="174"/>
      <c r="BD148" s="174"/>
      <c r="BE148" s="174"/>
      <c r="BF148" s="174"/>
      <c r="BG148" s="174"/>
      <c r="BH148" s="174"/>
      <c r="BI148" s="174"/>
      <c r="BJ148" s="174"/>
      <c r="BK148" s="174"/>
      <c r="BL148" s="174"/>
      <c r="BM148" s="174"/>
      <c r="BN148" s="174"/>
      <c r="BO148" s="174"/>
      <c r="BP148" s="174"/>
      <c r="BQ148" s="174"/>
      <c r="BR148" s="174"/>
      <c r="BS148" s="174"/>
      <c r="BT148" s="174"/>
      <c r="BU148" s="174"/>
      <c r="BV148" s="174"/>
      <c r="BW148" s="174"/>
      <c r="BX148" s="174"/>
      <c r="BY148" s="174"/>
      <c r="BZ148" s="174"/>
      <c r="CA148" s="174"/>
      <c r="CB148" s="174"/>
      <c r="CC148" s="174"/>
      <c r="CD148" s="174"/>
    </row>
    <row r="149">
      <c r="A149" s="105" t="str">
        <f>IF(preDEL!$AG149,IFERROR(0/0,""),preDEL!A149)</f>
        <v>MAX59</v>
      </c>
      <c r="B149" s="170">
        <f>IF(preDEL!$AG149,IFERROR(0/0,""),preDEL!B149)</f>
        <v>44571</v>
      </c>
      <c r="C149" s="171">
        <f>IF(preDEL!$AG149,IFERROR(0/0,""),preDEL!C149)</f>
        <v>0.3444212963</v>
      </c>
      <c r="D149" s="105" t="str">
        <f>IF(preDEL!$AG149,IFERROR(0/0,""),preDEL!D149)</f>
        <v/>
      </c>
      <c r="E149" s="105" t="str">
        <f>IF(preDEL!$AG149,IFERROR(0/0,""),preDEL!E149)</f>
        <v/>
      </c>
      <c r="F149" s="112" t="str">
        <f>IF(preDEL!$AG149,IFERROR(0/0,""),preDEL!F149)</f>
        <v/>
      </c>
      <c r="G149" s="112" t="str">
        <f>IF(preDEL!$AG149,IFERROR(0/0,""),preDEL!G149)</f>
        <v/>
      </c>
      <c r="H149" s="112" t="str">
        <f>IF(preDEL!$AG149,IFERROR(0/0,""),preDEL!H149)</f>
        <v/>
      </c>
      <c r="I149" s="175" t="str">
        <f>IF(preDEL!$AG149,IFERROR(0/0,""),preDEL!I149)</f>
        <v/>
      </c>
      <c r="J149" s="105" t="str">
        <f>IF(preDEL!$AG149,IFERROR(0/0,""),preDEL!J149)</f>
        <v/>
      </c>
      <c r="K149" s="105" t="str">
        <f>IF(preDEL!$AG149,IFERROR(0/0,""),preDEL!K149)</f>
        <v>Negative</v>
      </c>
      <c r="L149" s="170">
        <f>IF(preDEL!$AG149,IFERROR(0/0,""),preDEL!L149)</f>
        <v>44571</v>
      </c>
      <c r="M149" s="171">
        <f>IF(preDEL!$AG149,IFERROR(0/0,""),preDEL!M149)</f>
        <v>0.4659837963</v>
      </c>
      <c r="N149" s="112" t="str">
        <f>IF(preDEL!$AG149,IFERROR(0/0,""),preDEL!N149)</f>
        <v>Primary</v>
      </c>
      <c r="O149" s="112" t="str">
        <f>IF(preDEL!$AG149,IFERROR(0/0,""),preDEL!O149)</f>
        <v/>
      </c>
      <c r="P149" s="110" t="b">
        <f>IF(preDEL!$AG149,IFERROR(0/0,""),preDEL!P149)</f>
        <v>0</v>
      </c>
      <c r="Q149" s="110" t="str">
        <f>IF(preDEL!$AG149,IFERROR(0/0,""),preDEL!Q149)</f>
        <v>Result</v>
      </c>
      <c r="R149" s="104" t="b">
        <f>IF(preDEL!$AG149,IFERROR(0/0,""),preDEL!R149)</f>
        <v>1</v>
      </c>
      <c r="S149" s="104">
        <f>IF(preDEL!$AG149,IFERROR(0/0,""),preDEL!S149)</f>
        <v>1</v>
      </c>
      <c r="T149" s="110">
        <f>IF(preDEL!$AG149,IFERROR(0/0,""),preDEL!T149)</f>
        <v>0</v>
      </c>
      <c r="U149" s="112" t="str">
        <f>IF(preDEL!$AG149,IFERROR(0/0,""),preDEL!U149)</f>
        <v/>
      </c>
      <c r="V149" s="105" t="str">
        <f>IF(preDEL!$AG149,IFERROR(0/0,""),preDEL!V149)</f>
        <v/>
      </c>
      <c r="W149" s="112" t="str">
        <f>IF(preDEL!$AG149,IFERROR(0/0,""),preDEL!W149)</f>
        <v/>
      </c>
      <c r="X149" s="104" t="b">
        <f>IF(preDEL!$AG149,IFERROR(0/0,""),preDEL!X149)</f>
        <v>0</v>
      </c>
      <c r="Y149" s="110" t="b">
        <f>IF(preDEL!$AG149,IFERROR(0/0,""),preDEL!Y149)</f>
        <v>0</v>
      </c>
      <c r="Z149" s="105" t="str">
        <f>IF(preDEL!$AG149,IFERROR(0/0,""),preDEL!Z149)</f>
        <v/>
      </c>
      <c r="AA149" s="110" t="b">
        <f>IF(preDEL!$AG149,IFERROR(0/0,""),preDEL!AA149)</f>
        <v>0</v>
      </c>
      <c r="AB149" s="110" t="b">
        <f>IF(preDEL!$AG149,IFERROR(0/0,""),preDEL!AB149)</f>
        <v>0</v>
      </c>
      <c r="AC149" s="172">
        <f>IF(preDEL!$AG149,IFERROR(0/0,""),preDEL!AC149)</f>
        <v>820</v>
      </c>
      <c r="AD149" s="104" t="b">
        <f>IF(preDEL!$AG149,IFERROR(0/0,""),preDEL!AD149)</f>
        <v>1</v>
      </c>
      <c r="AE149" s="173">
        <f>IF(preDEL!$AG149,IFERROR(0/0,""),preDEL!AE149)</f>
        <v>175.05</v>
      </c>
      <c r="AF149" s="110" t="b">
        <f>IF(preDEL!$AG149,IFERROR(0/0,""),preDEL!AF149)</f>
        <v>0</v>
      </c>
      <c r="AG149" s="110" t="b">
        <f>IF(preDEL!$AG149,IFERROR(0/0,""),preDEL!AG149)</f>
        <v>0</v>
      </c>
      <c r="AH149" s="104" t="str">
        <f>IF(preDEL!$AG149,IFERROR(0/0,""),preDEL!AH149)</f>
        <v/>
      </c>
      <c r="AI149" s="105" t="str">
        <f>IF(preDEL!$AG149,IFERROR(0/0,""),preDEL!AI149)</f>
        <v/>
      </c>
      <c r="AJ149" s="112" t="str">
        <f>IF(preDEL!$AG149,IFERROR(0/0,""),preDEL!AJ149)</f>
        <v/>
      </c>
      <c r="AK149" s="105" t="str">
        <f>IF(preDEL!$AG149,IFERROR(0/0,""),preDEL!AK149)</f>
        <v>Negative</v>
      </c>
      <c r="AL149" s="112" t="str">
        <f>IF(preDEL!$AG149,IFERROR(0/0,""),preDEL!AL149)</f>
        <v/>
      </c>
      <c r="AM149" s="112" t="str">
        <f>IF(preDEL!$AG149,IFERROR(0/0,""),preDEL!AM149)</f>
        <v>SpBEND269695</v>
      </c>
      <c r="AN149" s="112" t="str">
        <f>IF(preDEL!$AG149,IFERROR(0/0,""),preDEL!AN149)</f>
        <v>BEND200214</v>
      </c>
      <c r="AO149" s="112" t="str">
        <f>IF(preDEL!$AG149,IFERROR(0/0,""),preDEL!AO149)</f>
        <v/>
      </c>
      <c r="AP149" s="112" t="str">
        <f>IF(preDEL!$AG149,IFERROR(0/0,""),preDEL!AP149)</f>
        <v/>
      </c>
      <c r="AQ149" s="112" t="str">
        <f>IF(preDEL!$AG149,IFERROR(0/0,""),preDEL!AQ149)</f>
        <v/>
      </c>
      <c r="AR149" s="112" t="str">
        <f>IF(preDEL!$AG149,IFERROR(0/0,""),preDEL!AR149)</f>
        <v/>
      </c>
      <c r="AS149" s="112" t="str">
        <f>IF(preDEL!$AG149,IFERROR(0/0,""),preDEL!AS149)</f>
        <v/>
      </c>
      <c r="AT149" s="112" t="b">
        <f>IF(preDEL!$AG149,IFERROR(0/0,""),preDEL!AT149)</f>
        <v>0</v>
      </c>
      <c r="AU149" s="112" t="str">
        <f>IF(preDEL!$AG149,IFERROR(0/0,""),preDEL!AU149)</f>
        <v/>
      </c>
      <c r="AV149" s="112" t="str">
        <f>IF(preDEL!$AG149,IFERROR(0/0,""),preDEL!AV149)</f>
        <v/>
      </c>
      <c r="AW149" s="112" t="str">
        <f>IF(preDEL!$AG149,IFERROR(0/0,""),preDEL!AW149)</f>
        <v/>
      </c>
      <c r="AX149" s="112" t="str">
        <f>IF(preDEL!$AG149,IFERROR(0/0,""),preDEL!AX149)</f>
        <v/>
      </c>
      <c r="AY149" s="112" t="str">
        <f>IF(preDEL!$AG149,IFERROR(0/0,""),preDEL!AY149)</f>
        <v/>
      </c>
      <c r="AZ149" s="174"/>
      <c r="BA149" s="174"/>
      <c r="BB149" s="174"/>
      <c r="BC149" s="174"/>
      <c r="BD149" s="174"/>
      <c r="BE149" s="174"/>
      <c r="BF149" s="174"/>
      <c r="BG149" s="174"/>
      <c r="BH149" s="174"/>
      <c r="BI149" s="174"/>
      <c r="BJ149" s="174"/>
      <c r="BK149" s="174"/>
      <c r="BL149" s="174"/>
      <c r="BM149" s="174"/>
      <c r="BN149" s="174"/>
      <c r="BO149" s="174"/>
      <c r="BP149" s="174"/>
      <c r="BQ149" s="174"/>
      <c r="BR149" s="174"/>
      <c r="BS149" s="174"/>
      <c r="BT149" s="174"/>
      <c r="BU149" s="174"/>
      <c r="BV149" s="174"/>
      <c r="BW149" s="174"/>
      <c r="BX149" s="174"/>
      <c r="BY149" s="174"/>
      <c r="BZ149" s="174"/>
      <c r="CA149" s="174"/>
      <c r="CB149" s="174"/>
      <c r="CC149" s="174"/>
      <c r="CD149" s="174"/>
    </row>
    <row r="150">
      <c r="A150" s="105" t="str">
        <f>IF(preDEL!$AG150,IFERROR(0/0,""),preDEL!A150)</f>
        <v>MA1035</v>
      </c>
      <c r="B150" s="170">
        <f>IF(preDEL!$AG150,IFERROR(0/0,""),preDEL!B150)</f>
        <v>44571</v>
      </c>
      <c r="C150" s="171">
        <f>IF(preDEL!$AG150,IFERROR(0/0,""),preDEL!C150)</f>
        <v>0.3492013889</v>
      </c>
      <c r="D150" s="105" t="str">
        <f>IF(preDEL!$AG150,IFERROR(0/0,""),preDEL!D150)</f>
        <v/>
      </c>
      <c r="E150" s="105" t="str">
        <f>IF(preDEL!$AG150,IFERROR(0/0,""),preDEL!E150)</f>
        <v/>
      </c>
      <c r="F150" s="112" t="str">
        <f>IF(preDEL!$AG150,IFERROR(0/0,""),preDEL!F150)</f>
        <v/>
      </c>
      <c r="G150" s="112" t="str">
        <f>IF(preDEL!$AG150,IFERROR(0/0,""),preDEL!G150)</f>
        <v/>
      </c>
      <c r="H150" s="112" t="str">
        <f>IF(preDEL!$AG150,IFERROR(0/0,""),preDEL!H150)</f>
        <v/>
      </c>
      <c r="I150" s="105" t="str">
        <f>IF(preDEL!$AG150,IFERROR(0/0,""),preDEL!I150)</f>
        <v/>
      </c>
      <c r="J150" s="105" t="str">
        <f>IF(preDEL!$AG150,IFERROR(0/0,""),preDEL!J150)</f>
        <v/>
      </c>
      <c r="K150" s="105" t="str">
        <f>IF(preDEL!$AG150,IFERROR(0/0,""),preDEL!K150)</f>
        <v>Negative</v>
      </c>
      <c r="L150" s="170">
        <f>IF(preDEL!$AG150,IFERROR(0/0,""),preDEL!L150)</f>
        <v>44571</v>
      </c>
      <c r="M150" s="171">
        <f>IF(preDEL!$AG150,IFERROR(0/0,""),preDEL!M150)</f>
        <v>0.4659837963</v>
      </c>
      <c r="N150" s="112" t="str">
        <f>IF(preDEL!$AG150,IFERROR(0/0,""),preDEL!N150)</f>
        <v/>
      </c>
      <c r="O150" s="112" t="str">
        <f>IF(preDEL!$AG150,IFERROR(0/0,""),preDEL!O150)</f>
        <v/>
      </c>
      <c r="P150" s="110" t="b">
        <f>IF(preDEL!$AG150,IFERROR(0/0,""),preDEL!P150)</f>
        <v>0</v>
      </c>
      <c r="Q150" s="110" t="str">
        <f>IF(preDEL!$AG150,IFERROR(0/0,""),preDEL!Q150)</f>
        <v>Result</v>
      </c>
      <c r="R150" s="104" t="b">
        <f>IF(preDEL!$AG150,IFERROR(0/0,""),preDEL!R150)</f>
        <v>1</v>
      </c>
      <c r="S150" s="104">
        <f>IF(preDEL!$AG150,IFERROR(0/0,""),preDEL!S150)</f>
        <v>1</v>
      </c>
      <c r="T150" s="110" t="str">
        <f>IF(preDEL!$AG150,IFERROR(0/0,""),preDEL!T150)</f>
        <v/>
      </c>
      <c r="U150" s="112" t="str">
        <f>IF(preDEL!$AG150,IFERROR(0/0,""),preDEL!U150)</f>
        <v/>
      </c>
      <c r="V150" s="105" t="str">
        <f>IF(preDEL!$AG150,IFERROR(0/0,""),preDEL!V150)</f>
        <v/>
      </c>
      <c r="W150" s="112" t="str">
        <f>IF(preDEL!$AG150,IFERROR(0/0,""),preDEL!W150)</f>
        <v/>
      </c>
      <c r="X150" s="104" t="b">
        <f>IF(preDEL!$AG150,IFERROR(0/0,""),preDEL!X150)</f>
        <v>0</v>
      </c>
      <c r="Y150" s="110" t="b">
        <f>IF(preDEL!$AG150,IFERROR(0/0,""),preDEL!Y150)</f>
        <v>0</v>
      </c>
      <c r="Z150" s="105" t="str">
        <f>IF(preDEL!$AG150,IFERROR(0/0,""),preDEL!Z150)</f>
        <v/>
      </c>
      <c r="AA150" s="110" t="b">
        <f>IF(preDEL!$AG150,IFERROR(0/0,""),preDEL!AA150)</f>
        <v>0</v>
      </c>
      <c r="AB150" s="110" t="b">
        <f>IF(preDEL!$AG150,IFERROR(0/0,""),preDEL!AB150)</f>
        <v>0</v>
      </c>
      <c r="AC150" s="172">
        <f>IF(preDEL!$AG150,IFERROR(0/0,""),preDEL!AC150)</f>
        <v>651</v>
      </c>
      <c r="AD150" s="104" t="b">
        <f>IF(preDEL!$AG150,IFERROR(0/0,""),preDEL!AD150)</f>
        <v>0</v>
      </c>
      <c r="AE150" s="173">
        <f>IF(preDEL!$AG150,IFERROR(0/0,""),preDEL!AE150)</f>
        <v>168.1666667</v>
      </c>
      <c r="AF150" s="110" t="b">
        <f>IF(preDEL!$AG150,IFERROR(0/0,""),preDEL!AF150)</f>
        <v>0</v>
      </c>
      <c r="AG150" s="110" t="b">
        <f>IF(preDEL!$AG150,IFERROR(0/0,""),preDEL!AG150)</f>
        <v>0</v>
      </c>
      <c r="AH150" s="104" t="str">
        <f>IF(preDEL!$AG150,IFERROR(0/0,""),preDEL!AH150)</f>
        <v/>
      </c>
      <c r="AI150" s="105" t="str">
        <f>IF(preDEL!$AG150,IFERROR(0/0,""),preDEL!AI150)</f>
        <v/>
      </c>
      <c r="AJ150" s="112" t="str">
        <f>IF(preDEL!$AG150,IFERROR(0/0,""),preDEL!AJ150)</f>
        <v/>
      </c>
      <c r="AK150" s="105" t="str">
        <f>IF(preDEL!$AG150,IFERROR(0/0,""),preDEL!AK150)</f>
        <v>Negative</v>
      </c>
      <c r="AL150" s="112" t="str">
        <f>IF(preDEL!$AG150,IFERROR(0/0,""),preDEL!AL150)</f>
        <v/>
      </c>
      <c r="AM150" s="112" t="str">
        <f>IF(preDEL!$AG150,IFERROR(0/0,""),preDEL!AM150)</f>
        <v>SpBEND985296</v>
      </c>
      <c r="AN150" s="112" t="str">
        <f>IF(preDEL!$AG150,IFERROR(0/0,""),preDEL!AN150)</f>
        <v>BEND326601</v>
      </c>
      <c r="AO150" s="112" t="str">
        <f>IF(preDEL!$AG150,IFERROR(0/0,""),preDEL!AO150)</f>
        <v/>
      </c>
      <c r="AP150" s="112" t="str">
        <f>IF(preDEL!$AG150,IFERROR(0/0,""),preDEL!AP150)</f>
        <v/>
      </c>
      <c r="AQ150" s="112" t="str">
        <f>IF(preDEL!$AG150,IFERROR(0/0,""),preDEL!AQ150)</f>
        <v/>
      </c>
      <c r="AR150" s="112" t="str">
        <f>IF(preDEL!$AG150,IFERROR(0/0,""),preDEL!AR150)</f>
        <v/>
      </c>
      <c r="AS150" s="112" t="str">
        <f>IF(preDEL!$AG150,IFERROR(0/0,""),preDEL!AS150)</f>
        <v/>
      </c>
      <c r="AT150" s="112" t="b">
        <f>IF(preDEL!$AG150,IFERROR(0/0,""),preDEL!AT150)</f>
        <v>0</v>
      </c>
      <c r="AU150" s="112" t="str">
        <f>IF(preDEL!$AG150,IFERROR(0/0,""),preDEL!AU150)</f>
        <v/>
      </c>
      <c r="AV150" s="112" t="str">
        <f>IF(preDEL!$AG150,IFERROR(0/0,""),preDEL!AV150)</f>
        <v/>
      </c>
      <c r="AW150" s="112" t="str">
        <f>IF(preDEL!$AG150,IFERROR(0/0,""),preDEL!AW150)</f>
        <v/>
      </c>
      <c r="AX150" s="112" t="str">
        <f>IF(preDEL!$AG150,IFERROR(0/0,""),preDEL!AX150)</f>
        <v/>
      </c>
      <c r="AY150" s="112" t="str">
        <f>IF(preDEL!$AG150,IFERROR(0/0,""),preDEL!AY150)</f>
        <v/>
      </c>
      <c r="AZ150" s="174"/>
      <c r="BA150" s="174"/>
      <c r="BB150" s="174"/>
      <c r="BC150" s="174"/>
      <c r="BD150" s="174"/>
      <c r="BE150" s="174"/>
      <c r="BF150" s="174"/>
      <c r="BG150" s="174"/>
      <c r="BH150" s="174"/>
      <c r="BI150" s="174"/>
      <c r="BJ150" s="174"/>
      <c r="BK150" s="174"/>
      <c r="BL150" s="174"/>
      <c r="BM150" s="174"/>
      <c r="BN150" s="174"/>
      <c r="BO150" s="174"/>
      <c r="BP150" s="174"/>
      <c r="BQ150" s="174"/>
      <c r="BR150" s="174"/>
      <c r="BS150" s="174"/>
      <c r="BT150" s="174"/>
      <c r="BU150" s="174"/>
      <c r="BV150" s="174"/>
      <c r="BW150" s="174"/>
      <c r="BX150" s="174"/>
      <c r="BY150" s="174"/>
      <c r="BZ150" s="174"/>
      <c r="CA150" s="174"/>
      <c r="CB150" s="174"/>
      <c r="CC150" s="174"/>
      <c r="CD150" s="174"/>
    </row>
    <row r="151">
      <c r="A151" s="105" t="str">
        <f>IF(preDEL!$AG151,IFERROR(0/0,""),preDEL!A151)</f>
        <v>MA1024</v>
      </c>
      <c r="B151" s="170">
        <f>IF(preDEL!$AG151,IFERROR(0/0,""),preDEL!B151)</f>
        <v>44571</v>
      </c>
      <c r="C151" s="171">
        <f>IF(preDEL!$AG151,IFERROR(0/0,""),preDEL!C151)</f>
        <v>0.3511921296</v>
      </c>
      <c r="D151" s="105" t="str">
        <f>IF(preDEL!$AG151,IFERROR(0/0,""),preDEL!D151)</f>
        <v/>
      </c>
      <c r="E151" s="105" t="str">
        <f>IF(preDEL!$AG151,IFERROR(0/0,""),preDEL!E151)</f>
        <v/>
      </c>
      <c r="F151" s="112" t="str">
        <f>IF(preDEL!$AG151,IFERROR(0/0,""),preDEL!F151)</f>
        <v/>
      </c>
      <c r="G151" s="112" t="str">
        <f>IF(preDEL!$AG151,IFERROR(0/0,""),preDEL!G151)</f>
        <v/>
      </c>
      <c r="H151" s="112" t="str">
        <f>IF(preDEL!$AG151,IFERROR(0/0,""),preDEL!H151)</f>
        <v/>
      </c>
      <c r="I151" s="105" t="str">
        <f>IF(preDEL!$AG151,IFERROR(0/0,""),preDEL!I151)</f>
        <v/>
      </c>
      <c r="J151" s="105" t="str">
        <f>IF(preDEL!$AG151,IFERROR(0/0,""),preDEL!J151)</f>
        <v/>
      </c>
      <c r="K151" s="105" t="str">
        <f>IF(preDEL!$AG151,IFERROR(0/0,""),preDEL!K151)</f>
        <v>Positive</v>
      </c>
      <c r="L151" s="170">
        <f>IF(preDEL!$AG151,IFERROR(0/0,""),preDEL!L151)</f>
        <v>44579</v>
      </c>
      <c r="M151" s="171">
        <f>IF(preDEL!$AG151,IFERROR(0/0,""),preDEL!M151)</f>
        <v>0.5015740741</v>
      </c>
      <c r="N151" s="112" t="str">
        <f>IF(preDEL!$AG151,IFERROR(0/0,""),preDEL!N151)</f>
        <v/>
      </c>
      <c r="O151" s="112" t="str">
        <f>IF(preDEL!$AG151,IFERROR(0/0,""),preDEL!O151)</f>
        <v/>
      </c>
      <c r="P151" s="110" t="b">
        <f>IF(preDEL!$AG151,IFERROR(0/0,""),preDEL!P151)</f>
        <v>0</v>
      </c>
      <c r="Q151" s="110" t="str">
        <f>IF(preDEL!$AG151,IFERROR(0/0,""),preDEL!Q151)</f>
        <v>Result</v>
      </c>
      <c r="R151" s="104" t="b">
        <f>IF(preDEL!$AG151,IFERROR(0/0,""),preDEL!R151)</f>
        <v>1</v>
      </c>
      <c r="S151" s="104">
        <f>IF(preDEL!$AG151,IFERROR(0/0,""),preDEL!S151)</f>
        <v>1</v>
      </c>
      <c r="T151" s="110">
        <f>IF(preDEL!$AG151,IFERROR(0/0,""),preDEL!T151)</f>
        <v>0</v>
      </c>
      <c r="U151" s="112" t="str">
        <f>IF(preDEL!$AG151,IFERROR(0/0,""),preDEL!U151)</f>
        <v/>
      </c>
      <c r="V151" s="105" t="str">
        <f>IF(preDEL!$AG151,IFERROR(0/0,""),preDEL!V151)</f>
        <v/>
      </c>
      <c r="W151" s="112" t="str">
        <f>IF(preDEL!$AG151,IFERROR(0/0,""),preDEL!W151)</f>
        <v/>
      </c>
      <c r="X151" s="104" t="b">
        <f>IF(preDEL!$AG151,IFERROR(0/0,""),preDEL!X151)</f>
        <v>0</v>
      </c>
      <c r="Y151" s="110" t="b">
        <f>IF(preDEL!$AG151,IFERROR(0/0,""),preDEL!Y151)</f>
        <v>0</v>
      </c>
      <c r="Z151" s="105" t="str">
        <f>IF(preDEL!$AG151,IFERROR(0/0,""),preDEL!Z151)</f>
        <v/>
      </c>
      <c r="AA151" s="110" t="b">
        <f>IF(preDEL!$AG151,IFERROR(0/0,""),preDEL!AA151)</f>
        <v>0</v>
      </c>
      <c r="AB151" s="110" t="b">
        <f>IF(preDEL!$AG151,IFERROR(0/0,""),preDEL!AB151)</f>
        <v>0</v>
      </c>
      <c r="AC151" s="172">
        <f>IF(preDEL!$AG151,IFERROR(0/0,""),preDEL!AC151)</f>
        <v>650</v>
      </c>
      <c r="AD151" s="104" t="b">
        <f>IF(preDEL!$AG151,IFERROR(0/0,""),preDEL!AD151)</f>
        <v>0</v>
      </c>
      <c r="AE151" s="173" t="str">
        <f>IF(preDEL!$AG151,IFERROR(0/0,""),preDEL!AE151)</f>
        <v/>
      </c>
      <c r="AF151" s="110" t="b">
        <f>IF(preDEL!$AG151,IFERROR(0/0,""),preDEL!AF151)</f>
        <v>0</v>
      </c>
      <c r="AG151" s="110" t="b">
        <f>IF(preDEL!$AG151,IFERROR(0/0,""),preDEL!AG151)</f>
        <v>0</v>
      </c>
      <c r="AH151" s="104" t="str">
        <f>IF(preDEL!$AG151,IFERROR(0/0,""),preDEL!AH151)</f>
        <v/>
      </c>
      <c r="AI151" s="105" t="str">
        <f>IF(preDEL!$AG151,IFERROR(0/0,""),preDEL!AI151)</f>
        <v/>
      </c>
      <c r="AJ151" s="112" t="str">
        <f>IF(preDEL!$AG151,IFERROR(0/0,""),preDEL!AJ151)</f>
        <v/>
      </c>
      <c r="AK151" s="105" t="str">
        <f>IF(preDEL!$AG151,IFERROR(0/0,""),preDEL!AK151)</f>
        <v>Positive</v>
      </c>
      <c r="AL151" s="112" t="str">
        <f>IF(preDEL!$AG151,IFERROR(0/0,""),preDEL!AL151)</f>
        <v/>
      </c>
      <c r="AM151" s="112" t="str">
        <f>IF(preDEL!$AG151,IFERROR(0/0,""),preDEL!AM151)</f>
        <v>SpBEND652059</v>
      </c>
      <c r="AN151" s="112" t="str">
        <f>IF(preDEL!$AG151,IFERROR(0/0,""),preDEL!AN151)</f>
        <v>BEND305148</v>
      </c>
      <c r="AO151" s="112" t="str">
        <f>IF(preDEL!$AG151,IFERROR(0/0,""),preDEL!AO151)</f>
        <v/>
      </c>
      <c r="AP151" s="112" t="str">
        <f>IF(preDEL!$AG151,IFERROR(0/0,""),preDEL!AP151)</f>
        <v/>
      </c>
      <c r="AQ151" s="112" t="str">
        <f>IF(preDEL!$AG151,IFERROR(0/0,""),preDEL!AQ151)</f>
        <v/>
      </c>
      <c r="AR151" s="112" t="str">
        <f>IF(preDEL!$AG151,IFERROR(0/0,""),preDEL!AR151)</f>
        <v/>
      </c>
      <c r="AS151" s="112" t="str">
        <f>IF(preDEL!$AG151,IFERROR(0/0,""),preDEL!AS151)</f>
        <v/>
      </c>
      <c r="AT151" s="112" t="b">
        <f>IF(preDEL!$AG151,IFERROR(0/0,""),preDEL!AT151)</f>
        <v>0</v>
      </c>
      <c r="AU151" s="112" t="str">
        <f>IF(preDEL!$AG151,IFERROR(0/0,""),preDEL!AU151)</f>
        <v/>
      </c>
      <c r="AV151" s="112" t="str">
        <f>IF(preDEL!$AG151,IFERROR(0/0,""),preDEL!AV151)</f>
        <v/>
      </c>
      <c r="AW151" s="112" t="str">
        <f>IF(preDEL!$AG151,IFERROR(0/0,""),preDEL!AW151)</f>
        <v/>
      </c>
      <c r="AX151" s="112" t="str">
        <f>IF(preDEL!$AG151,IFERROR(0/0,""),preDEL!AX151)</f>
        <v/>
      </c>
      <c r="AY151" s="112" t="str">
        <f>IF(preDEL!$AG151,IFERROR(0/0,""),preDEL!AY151)</f>
        <v/>
      </c>
      <c r="AZ151" s="174"/>
      <c r="BA151" s="174"/>
      <c r="BB151" s="174"/>
      <c r="BC151" s="174"/>
      <c r="BD151" s="174"/>
      <c r="BE151" s="174"/>
      <c r="BF151" s="174"/>
      <c r="BG151" s="174"/>
      <c r="BH151" s="174"/>
      <c r="BI151" s="174"/>
      <c r="BJ151" s="174"/>
      <c r="BK151" s="174"/>
      <c r="BL151" s="174"/>
      <c r="BM151" s="174"/>
      <c r="BN151" s="174"/>
      <c r="BO151" s="174"/>
      <c r="BP151" s="174"/>
      <c r="BQ151" s="174"/>
      <c r="BR151" s="174"/>
      <c r="BS151" s="174"/>
      <c r="BT151" s="174"/>
      <c r="BU151" s="174"/>
      <c r="BV151" s="174"/>
      <c r="BW151" s="174"/>
      <c r="BX151" s="174"/>
      <c r="BY151" s="174"/>
      <c r="BZ151" s="174"/>
      <c r="CA151" s="174"/>
      <c r="CB151" s="174"/>
      <c r="CC151" s="174"/>
      <c r="CD151" s="174"/>
    </row>
    <row r="152">
      <c r="A152" s="105" t="str">
        <f>IF(preDEL!$AG152,IFERROR(0/0,""),preDEL!A152)</f>
        <v>MA1147</v>
      </c>
      <c r="B152" s="170">
        <f>IF(preDEL!$AG152,IFERROR(0/0,""),preDEL!B152)</f>
        <v>44571</v>
      </c>
      <c r="C152" s="171">
        <f>IF(preDEL!$AG152,IFERROR(0/0,""),preDEL!C152)</f>
        <v>0.3558796296</v>
      </c>
      <c r="D152" s="105" t="str">
        <f>IF(preDEL!$AG152,IFERROR(0/0,""),preDEL!D152)</f>
        <v/>
      </c>
      <c r="E152" s="105" t="str">
        <f>IF(preDEL!$AG152,IFERROR(0/0,""),preDEL!E152)</f>
        <v/>
      </c>
      <c r="F152" s="112" t="str">
        <f>IF(preDEL!$AG152,IFERROR(0/0,""),preDEL!F152)</f>
        <v/>
      </c>
      <c r="G152" s="112" t="str">
        <f>IF(preDEL!$AG152,IFERROR(0/0,""),preDEL!G152)</f>
        <v/>
      </c>
      <c r="H152" s="112" t="str">
        <f>IF(preDEL!$AG152,IFERROR(0/0,""),preDEL!H152)</f>
        <v/>
      </c>
      <c r="I152" s="105" t="str">
        <f>IF(preDEL!$AG152,IFERROR(0/0,""),preDEL!I152)</f>
        <v/>
      </c>
      <c r="J152" s="105" t="str">
        <f>IF(preDEL!$AG152,IFERROR(0/0,""),preDEL!J152)</f>
        <v/>
      </c>
      <c r="K152" s="105" t="str">
        <f>IF(preDEL!$AG152,IFERROR(0/0,""),preDEL!K152)</f>
        <v>Negative</v>
      </c>
      <c r="L152" s="170">
        <f>IF(preDEL!$AG152,IFERROR(0/0,""),preDEL!L152)</f>
        <v>44571</v>
      </c>
      <c r="M152" s="171">
        <f>IF(preDEL!$AG152,IFERROR(0/0,""),preDEL!M152)</f>
        <v>0.4659837963</v>
      </c>
      <c r="N152" s="112" t="str">
        <f>IF(preDEL!$AG152,IFERROR(0/0,""),preDEL!N152)</f>
        <v/>
      </c>
      <c r="O152" s="112" t="str">
        <f>IF(preDEL!$AG152,IFERROR(0/0,""),preDEL!O152)</f>
        <v/>
      </c>
      <c r="P152" s="110" t="b">
        <f>IF(preDEL!$AG152,IFERROR(0/0,""),preDEL!P152)</f>
        <v>0</v>
      </c>
      <c r="Q152" s="110" t="str">
        <f>IF(preDEL!$AG152,IFERROR(0/0,""),preDEL!Q152)</f>
        <v>Result</v>
      </c>
      <c r="R152" s="104" t="b">
        <f>IF(preDEL!$AG152,IFERROR(0/0,""),preDEL!R152)</f>
        <v>1</v>
      </c>
      <c r="S152" s="104">
        <f>IF(preDEL!$AG152,IFERROR(0/0,""),preDEL!S152)</f>
        <v>1</v>
      </c>
      <c r="T152" s="110" t="str">
        <f>IF(preDEL!$AG152,IFERROR(0/0,""),preDEL!T152)</f>
        <v/>
      </c>
      <c r="U152" s="112" t="str">
        <f>IF(preDEL!$AG152,IFERROR(0/0,""),preDEL!U152)</f>
        <v/>
      </c>
      <c r="V152" s="105" t="str">
        <f>IF(preDEL!$AG152,IFERROR(0/0,""),preDEL!V152)</f>
        <v/>
      </c>
      <c r="W152" s="112" t="str">
        <f>IF(preDEL!$AG152,IFERROR(0/0,""),preDEL!W152)</f>
        <v/>
      </c>
      <c r="X152" s="104" t="b">
        <f>IF(preDEL!$AG152,IFERROR(0/0,""),preDEL!X152)</f>
        <v>0</v>
      </c>
      <c r="Y152" s="110" t="b">
        <f>IF(preDEL!$AG152,IFERROR(0/0,""),preDEL!Y152)</f>
        <v>0</v>
      </c>
      <c r="Z152" s="105" t="str">
        <f>IF(preDEL!$AG152,IFERROR(0/0,""),preDEL!Z152)</f>
        <v/>
      </c>
      <c r="AA152" s="110" t="b">
        <f>IF(preDEL!$AG152,IFERROR(0/0,""),preDEL!AA152)</f>
        <v>0</v>
      </c>
      <c r="AB152" s="110" t="b">
        <f>IF(preDEL!$AG152,IFERROR(0/0,""),preDEL!AB152)</f>
        <v>0</v>
      </c>
      <c r="AC152" s="172">
        <f>IF(preDEL!$AG152,IFERROR(0/0,""),preDEL!AC152)</f>
        <v>649</v>
      </c>
      <c r="AD152" s="104" t="b">
        <f>IF(preDEL!$AG152,IFERROR(0/0,""),preDEL!AD152)</f>
        <v>0</v>
      </c>
      <c r="AE152" s="173">
        <f>IF(preDEL!$AG152,IFERROR(0/0,""),preDEL!AE152)</f>
        <v>158.55</v>
      </c>
      <c r="AF152" s="110" t="b">
        <f>IF(preDEL!$AG152,IFERROR(0/0,""),preDEL!AF152)</f>
        <v>0</v>
      </c>
      <c r="AG152" s="110" t="b">
        <f>IF(preDEL!$AG152,IFERROR(0/0,""),preDEL!AG152)</f>
        <v>0</v>
      </c>
      <c r="AH152" s="104" t="str">
        <f>IF(preDEL!$AG152,IFERROR(0/0,""),preDEL!AH152)</f>
        <v/>
      </c>
      <c r="AI152" s="105" t="str">
        <f>IF(preDEL!$AG152,IFERROR(0/0,""),preDEL!AI152)</f>
        <v/>
      </c>
      <c r="AJ152" s="112" t="str">
        <f>IF(preDEL!$AG152,IFERROR(0/0,""),preDEL!AJ152)</f>
        <v/>
      </c>
      <c r="AK152" s="105" t="str">
        <f>IF(preDEL!$AG152,IFERROR(0/0,""),preDEL!AK152)</f>
        <v>Negative</v>
      </c>
      <c r="AL152" s="112" t="str">
        <f>IF(preDEL!$AG152,IFERROR(0/0,""),preDEL!AL152)</f>
        <v/>
      </c>
      <c r="AM152" s="112" t="str">
        <f>IF(preDEL!$AG152,IFERROR(0/0,""),preDEL!AM152)</f>
        <v>SpBEND110967</v>
      </c>
      <c r="AN152" s="112" t="str">
        <f>IF(preDEL!$AG152,IFERROR(0/0,""),preDEL!AN152)</f>
        <v>BEND230018</v>
      </c>
      <c r="AO152" s="112" t="str">
        <f>IF(preDEL!$AG152,IFERROR(0/0,""),preDEL!AO152)</f>
        <v/>
      </c>
      <c r="AP152" s="112" t="str">
        <f>IF(preDEL!$AG152,IFERROR(0/0,""),preDEL!AP152)</f>
        <v/>
      </c>
      <c r="AQ152" s="112" t="str">
        <f>IF(preDEL!$AG152,IFERROR(0/0,""),preDEL!AQ152)</f>
        <v/>
      </c>
      <c r="AR152" s="112" t="str">
        <f>IF(preDEL!$AG152,IFERROR(0/0,""),preDEL!AR152)</f>
        <v/>
      </c>
      <c r="AS152" s="112" t="str">
        <f>IF(preDEL!$AG152,IFERROR(0/0,""),preDEL!AS152)</f>
        <v/>
      </c>
      <c r="AT152" s="112" t="b">
        <f>IF(preDEL!$AG152,IFERROR(0/0,""),preDEL!AT152)</f>
        <v>0</v>
      </c>
      <c r="AU152" s="112" t="str">
        <f>IF(preDEL!$AG152,IFERROR(0/0,""),preDEL!AU152)</f>
        <v/>
      </c>
      <c r="AV152" s="112" t="str">
        <f>IF(preDEL!$AG152,IFERROR(0/0,""),preDEL!AV152)</f>
        <v/>
      </c>
      <c r="AW152" s="112" t="str">
        <f>IF(preDEL!$AG152,IFERROR(0/0,""),preDEL!AW152)</f>
        <v/>
      </c>
      <c r="AX152" s="112" t="str">
        <f>IF(preDEL!$AG152,IFERROR(0/0,""),preDEL!AX152)</f>
        <v/>
      </c>
      <c r="AY152" s="112" t="str">
        <f>IF(preDEL!$AG152,IFERROR(0/0,""),preDEL!AY152)</f>
        <v/>
      </c>
      <c r="AZ152" s="174"/>
      <c r="BA152" s="174"/>
      <c r="BB152" s="174"/>
      <c r="BC152" s="174"/>
      <c r="BD152" s="174"/>
      <c r="BE152" s="174"/>
      <c r="BF152" s="174"/>
      <c r="BG152" s="174"/>
      <c r="BH152" s="174"/>
      <c r="BI152" s="174"/>
      <c r="BJ152" s="174"/>
      <c r="BK152" s="174"/>
      <c r="BL152" s="174"/>
      <c r="BM152" s="174"/>
      <c r="BN152" s="174"/>
      <c r="BO152" s="174"/>
      <c r="BP152" s="174"/>
      <c r="BQ152" s="174"/>
      <c r="BR152" s="174"/>
      <c r="BS152" s="174"/>
      <c r="BT152" s="174"/>
      <c r="BU152" s="174"/>
      <c r="BV152" s="174"/>
      <c r="BW152" s="174"/>
      <c r="BX152" s="174"/>
      <c r="BY152" s="174"/>
      <c r="BZ152" s="174"/>
      <c r="CA152" s="174"/>
      <c r="CB152" s="174"/>
      <c r="CC152" s="174"/>
      <c r="CD152" s="174"/>
    </row>
    <row r="153">
      <c r="A153" s="105" t="str">
        <f>IF(preDEL!$AG153,IFERROR(0/0,""),preDEL!A153)</f>
        <v>MA463</v>
      </c>
      <c r="B153" s="170">
        <f>IF(preDEL!$AG153,IFERROR(0/0,""),preDEL!B153)</f>
        <v>44571</v>
      </c>
      <c r="C153" s="171">
        <f>IF(preDEL!$AG153,IFERROR(0/0,""),preDEL!C153)</f>
        <v>0.3882638889</v>
      </c>
      <c r="D153" s="105" t="str">
        <f>IF(preDEL!$AG153,IFERROR(0/0,""),preDEL!D153)</f>
        <v/>
      </c>
      <c r="E153" s="105" t="str">
        <f>IF(preDEL!$AG153,IFERROR(0/0,""),preDEL!E153)</f>
        <v/>
      </c>
      <c r="F153" s="112" t="str">
        <f>IF(preDEL!$AG153,IFERROR(0/0,""),preDEL!F153)</f>
        <v/>
      </c>
      <c r="G153" s="112" t="str">
        <f>IF(preDEL!$AG153,IFERROR(0/0,""),preDEL!G153)</f>
        <v/>
      </c>
      <c r="H153" s="112" t="str">
        <f>IF(preDEL!$AG153,IFERROR(0/0,""),preDEL!H153)</f>
        <v/>
      </c>
      <c r="I153" s="105" t="str">
        <f>IF(preDEL!$AG153,IFERROR(0/0,""),preDEL!I153)</f>
        <v/>
      </c>
      <c r="J153" s="105" t="str">
        <f>IF(preDEL!$AG153,IFERROR(0/0,""),preDEL!J153)</f>
        <v/>
      </c>
      <c r="K153" s="105" t="str">
        <f>IF(preDEL!$AG153,IFERROR(0/0,""),preDEL!K153)</f>
        <v>Positive</v>
      </c>
      <c r="L153" s="170">
        <f>IF(preDEL!$AG153,IFERROR(0/0,""),preDEL!L153)</f>
        <v>44579</v>
      </c>
      <c r="M153" s="171">
        <f>IF(preDEL!$AG153,IFERROR(0/0,""),preDEL!M153)</f>
        <v>0.5015740741</v>
      </c>
      <c r="N153" s="112" t="str">
        <f>IF(preDEL!$AG153,IFERROR(0/0,""),preDEL!N153)</f>
        <v/>
      </c>
      <c r="O153" s="112" t="str">
        <f>IF(preDEL!$AG153,IFERROR(0/0,""),preDEL!O153)</f>
        <v/>
      </c>
      <c r="P153" s="110" t="b">
        <f>IF(preDEL!$AG153,IFERROR(0/0,""),preDEL!P153)</f>
        <v>0</v>
      </c>
      <c r="Q153" s="110" t="str">
        <f>IF(preDEL!$AG153,IFERROR(0/0,""),preDEL!Q153)</f>
        <v>Result</v>
      </c>
      <c r="R153" s="104" t="b">
        <f>IF(preDEL!$AG153,IFERROR(0/0,""),preDEL!R153)</f>
        <v>1</v>
      </c>
      <c r="S153" s="104">
        <f>IF(preDEL!$AG153,IFERROR(0/0,""),preDEL!S153)</f>
        <v>1</v>
      </c>
      <c r="T153" s="110">
        <f>IF(preDEL!$AG153,IFERROR(0/0,""),preDEL!T153)</f>
        <v>1</v>
      </c>
      <c r="U153" s="112" t="str">
        <f>IF(preDEL!$AG153,IFERROR(0/0,""),preDEL!U153)</f>
        <v/>
      </c>
      <c r="V153" s="105" t="str">
        <f>IF(preDEL!$AG153,IFERROR(0/0,""),preDEL!V153)</f>
        <v/>
      </c>
      <c r="W153" s="112" t="str">
        <f>IF(preDEL!$AG153,IFERROR(0/0,""),preDEL!W153)</f>
        <v/>
      </c>
      <c r="X153" s="104" t="b">
        <f>IF(preDEL!$AG153,IFERROR(0/0,""),preDEL!X153)</f>
        <v>0</v>
      </c>
      <c r="Y153" s="110" t="b">
        <f>IF(preDEL!$AG153,IFERROR(0/0,""),preDEL!Y153)</f>
        <v>0</v>
      </c>
      <c r="Z153" s="105" t="str">
        <f>IF(preDEL!$AG153,IFERROR(0/0,""),preDEL!Z153)</f>
        <v/>
      </c>
      <c r="AA153" s="110" t="b">
        <f>IF(preDEL!$AG153,IFERROR(0/0,""),preDEL!AA153)</f>
        <v>0</v>
      </c>
      <c r="AB153" s="110" t="b">
        <f>IF(preDEL!$AG153,IFERROR(0/0,""),preDEL!AB153)</f>
        <v>0</v>
      </c>
      <c r="AC153" s="172">
        <f>IF(preDEL!$AG153,IFERROR(0/0,""),preDEL!AC153)</f>
        <v>648</v>
      </c>
      <c r="AD153" s="104" t="b">
        <f>IF(preDEL!$AG153,IFERROR(0/0,""),preDEL!AD153)</f>
        <v>0</v>
      </c>
      <c r="AE153" s="173" t="str">
        <f>IF(preDEL!$AG153,IFERROR(0/0,""),preDEL!AE153)</f>
        <v/>
      </c>
      <c r="AF153" s="110" t="b">
        <f>IF(preDEL!$AG153,IFERROR(0/0,""),preDEL!AF153)</f>
        <v>0</v>
      </c>
      <c r="AG153" s="110" t="b">
        <f>IF(preDEL!$AG153,IFERROR(0/0,""),preDEL!AG153)</f>
        <v>0</v>
      </c>
      <c r="AH153" s="104" t="str">
        <f>IF(preDEL!$AG153,IFERROR(0/0,""),preDEL!AH153)</f>
        <v/>
      </c>
      <c r="AI153" s="105" t="str">
        <f>IF(preDEL!$AG153,IFERROR(0/0,""),preDEL!AI153)</f>
        <v/>
      </c>
      <c r="AJ153" s="112" t="str">
        <f>IF(preDEL!$AG153,IFERROR(0/0,""),preDEL!AJ153)</f>
        <v/>
      </c>
      <c r="AK153" s="105" t="str">
        <f>IF(preDEL!$AG153,IFERROR(0/0,""),preDEL!AK153)</f>
        <v>Positive</v>
      </c>
      <c r="AL153" s="112" t="str">
        <f>IF(preDEL!$AG153,IFERROR(0/0,""),preDEL!AL153)</f>
        <v/>
      </c>
      <c r="AM153" s="112" t="str">
        <f>IF(preDEL!$AG153,IFERROR(0/0,""),preDEL!AM153)</f>
        <v>SpBEND394154</v>
      </c>
      <c r="AN153" s="112" t="str">
        <f>IF(preDEL!$AG153,IFERROR(0/0,""),preDEL!AN153)</f>
        <v>BEND319589</v>
      </c>
      <c r="AO153" s="112" t="str">
        <f>IF(preDEL!$AG153,IFERROR(0/0,""),preDEL!AO153)</f>
        <v/>
      </c>
      <c r="AP153" s="112" t="str">
        <f>IF(preDEL!$AG153,IFERROR(0/0,""),preDEL!AP153)</f>
        <v/>
      </c>
      <c r="AQ153" s="112" t="str">
        <f>IF(preDEL!$AG153,IFERROR(0/0,""),preDEL!AQ153)</f>
        <v/>
      </c>
      <c r="AR153" s="112" t="str">
        <f>IF(preDEL!$AG153,IFERROR(0/0,""),preDEL!AR153)</f>
        <v/>
      </c>
      <c r="AS153" s="112" t="str">
        <f>IF(preDEL!$AG153,IFERROR(0/0,""),preDEL!AS153)</f>
        <v/>
      </c>
      <c r="AT153" s="112" t="b">
        <f>IF(preDEL!$AG153,IFERROR(0/0,""),preDEL!AT153)</f>
        <v>0</v>
      </c>
      <c r="AU153" s="112" t="str">
        <f>IF(preDEL!$AG153,IFERROR(0/0,""),preDEL!AU153)</f>
        <v/>
      </c>
      <c r="AV153" s="112" t="str">
        <f>IF(preDEL!$AG153,IFERROR(0/0,""),preDEL!AV153)</f>
        <v/>
      </c>
      <c r="AW153" s="112" t="str">
        <f>IF(preDEL!$AG153,IFERROR(0/0,""),preDEL!AW153)</f>
        <v/>
      </c>
      <c r="AX153" s="112" t="str">
        <f>IF(preDEL!$AG153,IFERROR(0/0,""),preDEL!AX153)</f>
        <v/>
      </c>
      <c r="AY153" s="112" t="str">
        <f>IF(preDEL!$AG153,IFERROR(0/0,""),preDEL!AY153)</f>
        <v/>
      </c>
      <c r="AZ153" s="174"/>
      <c r="BA153" s="174"/>
      <c r="BB153" s="174"/>
      <c r="BC153" s="174"/>
      <c r="BD153" s="174"/>
      <c r="BE153" s="174"/>
      <c r="BF153" s="174"/>
      <c r="BG153" s="174"/>
      <c r="BH153" s="174"/>
      <c r="BI153" s="174"/>
      <c r="BJ153" s="174"/>
      <c r="BK153" s="174"/>
      <c r="BL153" s="174"/>
      <c r="BM153" s="174"/>
      <c r="BN153" s="174"/>
      <c r="BO153" s="174"/>
      <c r="BP153" s="174"/>
      <c r="BQ153" s="174"/>
      <c r="BR153" s="174"/>
      <c r="BS153" s="174"/>
      <c r="BT153" s="174"/>
      <c r="BU153" s="174"/>
      <c r="BV153" s="174"/>
      <c r="BW153" s="174"/>
      <c r="BX153" s="174"/>
      <c r="BY153" s="174"/>
      <c r="BZ153" s="174"/>
      <c r="CA153" s="174"/>
      <c r="CB153" s="174"/>
      <c r="CC153" s="174"/>
      <c r="CD153" s="174"/>
    </row>
    <row r="154">
      <c r="A154" s="105" t="str">
        <f>IF(preDEL!$AG154,IFERROR(0/0,""),preDEL!A154)</f>
        <v/>
      </c>
      <c r="B154" s="170" t="str">
        <f>IF(preDEL!$AG154,IFERROR(0/0,""),preDEL!B154)</f>
        <v/>
      </c>
      <c r="C154" s="171" t="str">
        <f>IF(preDEL!$AG154,IFERROR(0/0,""),preDEL!C154)</f>
        <v/>
      </c>
      <c r="D154" s="105" t="str">
        <f>IF(preDEL!$AG154,IFERROR(0/0,""),preDEL!D154)</f>
        <v/>
      </c>
      <c r="E154" s="105" t="str">
        <f>IF(preDEL!$AG154,IFERROR(0/0,""),preDEL!E154)</f>
        <v/>
      </c>
      <c r="F154" s="112" t="str">
        <f>IF(preDEL!$AG154,IFERROR(0/0,""),preDEL!F154)</f>
        <v/>
      </c>
      <c r="G154" s="112" t="str">
        <f>IF(preDEL!$AG154,IFERROR(0/0,""),preDEL!G154)</f>
        <v/>
      </c>
      <c r="H154" s="112" t="str">
        <f>IF(preDEL!$AG154,IFERROR(0/0,""),preDEL!H154)</f>
        <v/>
      </c>
      <c r="I154" s="105" t="str">
        <f>IF(preDEL!$AG154,IFERROR(0/0,""),preDEL!I154)</f>
        <v/>
      </c>
      <c r="J154" s="105" t="str">
        <f>IF(preDEL!$AG154,IFERROR(0/0,""),preDEL!J154)</f>
        <v/>
      </c>
      <c r="K154" s="105" t="str">
        <f>IF(preDEL!$AG154,IFERROR(0/0,""),preDEL!K154)</f>
        <v/>
      </c>
      <c r="L154" s="170" t="str">
        <f>IF(preDEL!$AG154,IFERROR(0/0,""),preDEL!L154)</f>
        <v/>
      </c>
      <c r="M154" s="171" t="str">
        <f>IF(preDEL!$AG154,IFERROR(0/0,""),preDEL!M154)</f>
        <v/>
      </c>
      <c r="N154" s="112" t="str">
        <f>IF(preDEL!$AG154,IFERROR(0/0,""),preDEL!N154)</f>
        <v/>
      </c>
      <c r="O154" s="112" t="str">
        <f>IF(preDEL!$AG154,IFERROR(0/0,""),preDEL!O154)</f>
        <v/>
      </c>
      <c r="P154" s="110" t="str">
        <f>IF(preDEL!$AG154,IFERROR(0/0,""),preDEL!P154)</f>
        <v/>
      </c>
      <c r="Q154" s="110" t="str">
        <f>IF(preDEL!$AG154,IFERROR(0/0,""),preDEL!Q154)</f>
        <v/>
      </c>
      <c r="R154" s="104" t="str">
        <f>IF(preDEL!$AG154,IFERROR(0/0,""),preDEL!R154)</f>
        <v/>
      </c>
      <c r="S154" s="104" t="str">
        <f>IF(preDEL!$AG154,IFERROR(0/0,""),preDEL!S154)</f>
        <v/>
      </c>
      <c r="T154" s="110" t="str">
        <f>IF(preDEL!$AG154,IFERROR(0/0,""),preDEL!T154)</f>
        <v/>
      </c>
      <c r="U154" s="112" t="str">
        <f>IF(preDEL!$AG154,IFERROR(0/0,""),preDEL!U154)</f>
        <v/>
      </c>
      <c r="V154" s="105" t="str">
        <f>IF(preDEL!$AG154,IFERROR(0/0,""),preDEL!V154)</f>
        <v/>
      </c>
      <c r="W154" s="112" t="str">
        <f>IF(preDEL!$AG154,IFERROR(0/0,""),preDEL!W154)</f>
        <v/>
      </c>
      <c r="X154" s="104" t="str">
        <f>IF(preDEL!$AG154,IFERROR(0/0,""),preDEL!X154)</f>
        <v/>
      </c>
      <c r="Y154" s="110" t="str">
        <f>IF(preDEL!$AG154,IFERROR(0/0,""),preDEL!Y154)</f>
        <v/>
      </c>
      <c r="Z154" s="105" t="str">
        <f>IF(preDEL!$AG154,IFERROR(0/0,""),preDEL!Z154)</f>
        <v/>
      </c>
      <c r="AA154" s="110" t="str">
        <f>IF(preDEL!$AG154,IFERROR(0/0,""),preDEL!AA154)</f>
        <v/>
      </c>
      <c r="AB154" s="110" t="str">
        <f>IF(preDEL!$AG154,IFERROR(0/0,""),preDEL!AB154)</f>
        <v/>
      </c>
      <c r="AC154" s="172" t="str">
        <f>IF(preDEL!$AG154,IFERROR(0/0,""),preDEL!AC154)</f>
        <v/>
      </c>
      <c r="AD154" s="104" t="str">
        <f>IF(preDEL!$AG154,IFERROR(0/0,""),preDEL!AD154)</f>
        <v/>
      </c>
      <c r="AE154" s="173" t="str">
        <f>IF(preDEL!$AG154,IFERROR(0/0,""),preDEL!AE154)</f>
        <v/>
      </c>
      <c r="AF154" s="110" t="str">
        <f>IF(preDEL!$AG154,IFERROR(0/0,""),preDEL!AF154)</f>
        <v/>
      </c>
      <c r="AG154" s="110" t="str">
        <f>IF(preDEL!$AG154,IFERROR(0/0,""),preDEL!AG154)</f>
        <v/>
      </c>
      <c r="AH154" s="104" t="str">
        <f>IF(preDEL!$AG154,IFERROR(0/0,""),preDEL!AH154)</f>
        <v/>
      </c>
      <c r="AI154" s="105" t="str">
        <f>IF(preDEL!$AG154,IFERROR(0/0,""),preDEL!AI154)</f>
        <v/>
      </c>
      <c r="AJ154" s="112" t="str">
        <f>IF(preDEL!$AG154,IFERROR(0/0,""),preDEL!AJ154)</f>
        <v/>
      </c>
      <c r="AK154" s="105" t="str">
        <f>IF(preDEL!$AG154,IFERROR(0/0,""),preDEL!AK154)</f>
        <v/>
      </c>
      <c r="AL154" s="112" t="str">
        <f>IF(preDEL!$AG154,IFERROR(0/0,""),preDEL!AL154)</f>
        <v/>
      </c>
      <c r="AM154" s="112" t="str">
        <f>IF(preDEL!$AG154,IFERROR(0/0,""),preDEL!AM154)</f>
        <v/>
      </c>
      <c r="AN154" s="112" t="str">
        <f>IF(preDEL!$AG154,IFERROR(0/0,""),preDEL!AN154)</f>
        <v/>
      </c>
      <c r="AO154" s="112" t="str">
        <f>IF(preDEL!$AG154,IFERROR(0/0,""),preDEL!AO154)</f>
        <v/>
      </c>
      <c r="AP154" s="112" t="str">
        <f>IF(preDEL!$AG154,IFERROR(0/0,""),preDEL!AP154)</f>
        <v/>
      </c>
      <c r="AQ154" s="112" t="str">
        <f>IF(preDEL!$AG154,IFERROR(0/0,""),preDEL!AQ154)</f>
        <v/>
      </c>
      <c r="AR154" s="112" t="str">
        <f>IF(preDEL!$AG154,IFERROR(0/0,""),preDEL!AR154)</f>
        <v/>
      </c>
      <c r="AS154" s="112" t="str">
        <f>IF(preDEL!$AG154,IFERROR(0/0,""),preDEL!AS154)</f>
        <v/>
      </c>
      <c r="AT154" s="112" t="str">
        <f>IF(preDEL!$AG154,IFERROR(0/0,""),preDEL!AT154)</f>
        <v/>
      </c>
      <c r="AU154" s="112" t="str">
        <f>IF(preDEL!$AG154,IFERROR(0/0,""),preDEL!AU154)</f>
        <v/>
      </c>
      <c r="AV154" s="112" t="str">
        <f>IF(preDEL!$AG154,IFERROR(0/0,""),preDEL!AV154)</f>
        <v/>
      </c>
      <c r="AW154" s="112" t="str">
        <f>IF(preDEL!$AG154,IFERROR(0/0,""),preDEL!AW154)</f>
        <v/>
      </c>
      <c r="AX154" s="112" t="str">
        <f>IF(preDEL!$AG154,IFERROR(0/0,""),preDEL!AX154)</f>
        <v/>
      </c>
      <c r="AY154" s="112" t="str">
        <f>IF(preDEL!$AG154,IFERROR(0/0,""),preDEL!AY154)</f>
        <v/>
      </c>
      <c r="AZ154" s="174"/>
      <c r="BA154" s="174"/>
      <c r="BB154" s="174"/>
      <c r="BC154" s="174"/>
      <c r="BD154" s="174"/>
      <c r="BE154" s="174"/>
      <c r="BF154" s="174"/>
      <c r="BG154" s="174"/>
      <c r="BH154" s="174"/>
      <c r="BI154" s="174"/>
      <c r="BJ154" s="174"/>
      <c r="BK154" s="174"/>
      <c r="BL154" s="174"/>
      <c r="BM154" s="174"/>
      <c r="BN154" s="174"/>
      <c r="BO154" s="174"/>
      <c r="BP154" s="174"/>
      <c r="BQ154" s="174"/>
      <c r="BR154" s="174"/>
      <c r="BS154" s="174"/>
      <c r="BT154" s="174"/>
      <c r="BU154" s="174"/>
      <c r="BV154" s="174"/>
      <c r="BW154" s="174"/>
      <c r="BX154" s="174"/>
      <c r="BY154" s="174"/>
      <c r="BZ154" s="174"/>
      <c r="CA154" s="174"/>
      <c r="CB154" s="174"/>
      <c r="CC154" s="174"/>
      <c r="CD154" s="174"/>
    </row>
    <row r="155">
      <c r="A155" s="105" t="str">
        <f>IF(preDEL!$AG155,IFERROR(0/0,""),preDEL!A155)</f>
        <v>MAX51</v>
      </c>
      <c r="B155" s="170">
        <f>IF(preDEL!$AG155,IFERROR(0/0,""),preDEL!B155)</f>
        <v>44571</v>
      </c>
      <c r="C155" s="171">
        <f>IF(preDEL!$AG155,IFERROR(0/0,""),preDEL!C155)</f>
        <v>0.3888078704</v>
      </c>
      <c r="D155" s="105" t="str">
        <f>IF(preDEL!$AG155,IFERROR(0/0,""),preDEL!D155)</f>
        <v/>
      </c>
      <c r="E155" s="105" t="str">
        <f>IF(preDEL!$AG155,IFERROR(0/0,""),preDEL!E155)</f>
        <v/>
      </c>
      <c r="F155" s="112" t="str">
        <f>IF(preDEL!$AG155,IFERROR(0/0,""),preDEL!F155)</f>
        <v/>
      </c>
      <c r="G155" s="112" t="str">
        <f>IF(preDEL!$AG155,IFERROR(0/0,""),preDEL!G155)</f>
        <v/>
      </c>
      <c r="H155" s="112" t="str">
        <f>IF(preDEL!$AG155,IFERROR(0/0,""),preDEL!H155)</f>
        <v/>
      </c>
      <c r="I155" s="105" t="str">
        <f>IF(preDEL!$AG155,IFERROR(0/0,""),preDEL!I155)</f>
        <v/>
      </c>
      <c r="J155" s="105" t="str">
        <f>IF(preDEL!$AG155,IFERROR(0/0,""),preDEL!J155)</f>
        <v/>
      </c>
      <c r="K155" s="105" t="str">
        <f>IF(preDEL!$AG155,IFERROR(0/0,""),preDEL!K155)</f>
        <v>Positive</v>
      </c>
      <c r="L155" s="170">
        <f>IF(preDEL!$AG155,IFERROR(0/0,""),preDEL!L155)</f>
        <v>44579</v>
      </c>
      <c r="M155" s="171">
        <f>IF(preDEL!$AG155,IFERROR(0/0,""),preDEL!M155)</f>
        <v>0.5015740741</v>
      </c>
      <c r="N155" s="112" t="str">
        <f>IF(preDEL!$AG155,IFERROR(0/0,""),preDEL!N155)</f>
        <v/>
      </c>
      <c r="O155" s="112" t="str">
        <f>IF(preDEL!$AG155,IFERROR(0/0,""),preDEL!O155)</f>
        <v/>
      </c>
      <c r="P155" s="110" t="b">
        <f>IF(preDEL!$AG155,IFERROR(0/0,""),preDEL!P155)</f>
        <v>0</v>
      </c>
      <c r="Q155" s="110" t="str">
        <f>IF(preDEL!$AG155,IFERROR(0/0,""),preDEL!Q155)</f>
        <v>Result</v>
      </c>
      <c r="R155" s="104" t="b">
        <f>IF(preDEL!$AG155,IFERROR(0/0,""),preDEL!R155)</f>
        <v>1</v>
      </c>
      <c r="S155" s="104">
        <f>IF(preDEL!$AG155,IFERROR(0/0,""),preDEL!S155)</f>
        <v>1</v>
      </c>
      <c r="T155" s="110" t="str">
        <f>IF(preDEL!$AG155,IFERROR(0/0,""),preDEL!T155)</f>
        <v/>
      </c>
      <c r="U155" s="112" t="str">
        <f>IF(preDEL!$AG155,IFERROR(0/0,""),preDEL!U155)</f>
        <v/>
      </c>
      <c r="V155" s="105" t="str">
        <f>IF(preDEL!$AG155,IFERROR(0/0,""),preDEL!V155)</f>
        <v/>
      </c>
      <c r="W155" s="112" t="str">
        <f>IF(preDEL!$AG155,IFERROR(0/0,""),preDEL!W155)</f>
        <v/>
      </c>
      <c r="X155" s="104" t="b">
        <f>IF(preDEL!$AG155,IFERROR(0/0,""),preDEL!X155)</f>
        <v>0</v>
      </c>
      <c r="Y155" s="110" t="b">
        <f>IF(preDEL!$AG155,IFERROR(0/0,""),preDEL!Y155)</f>
        <v>0</v>
      </c>
      <c r="Z155" s="105" t="str">
        <f>IF(preDEL!$AG155,IFERROR(0/0,""),preDEL!Z155)</f>
        <v/>
      </c>
      <c r="AA155" s="110" t="b">
        <f>IF(preDEL!$AG155,IFERROR(0/0,""),preDEL!AA155)</f>
        <v>0</v>
      </c>
      <c r="AB155" s="110" t="b">
        <f>IF(preDEL!$AG155,IFERROR(0/0,""),preDEL!AB155)</f>
        <v>0</v>
      </c>
      <c r="AC155" s="172">
        <f>IF(preDEL!$AG155,IFERROR(0/0,""),preDEL!AC155)</f>
        <v>647</v>
      </c>
      <c r="AD155" s="104" t="b">
        <f>IF(preDEL!$AG155,IFERROR(0/0,""),preDEL!AD155)</f>
        <v>0</v>
      </c>
      <c r="AE155" s="173" t="str">
        <f>IF(preDEL!$AG155,IFERROR(0/0,""),preDEL!AE155)</f>
        <v/>
      </c>
      <c r="AF155" s="110" t="b">
        <f>IF(preDEL!$AG155,IFERROR(0/0,""),preDEL!AF155)</f>
        <v>0</v>
      </c>
      <c r="AG155" s="110" t="b">
        <f>IF(preDEL!$AG155,IFERROR(0/0,""),preDEL!AG155)</f>
        <v>0</v>
      </c>
      <c r="AH155" s="104" t="str">
        <f>IF(preDEL!$AG155,IFERROR(0/0,""),preDEL!AH155)</f>
        <v/>
      </c>
      <c r="AI155" s="105" t="str">
        <f>IF(preDEL!$AG155,IFERROR(0/0,""),preDEL!AI155)</f>
        <v/>
      </c>
      <c r="AJ155" s="112" t="str">
        <f>IF(preDEL!$AG155,IFERROR(0/0,""),preDEL!AJ155)</f>
        <v/>
      </c>
      <c r="AK155" s="105" t="str">
        <f>IF(preDEL!$AG155,IFERROR(0/0,""),preDEL!AK155)</f>
        <v>Positive</v>
      </c>
      <c r="AL155" s="112" t="str">
        <f>IF(preDEL!$AG155,IFERROR(0/0,""),preDEL!AL155)</f>
        <v/>
      </c>
      <c r="AM155" s="112" t="str">
        <f>IF(preDEL!$AG155,IFERROR(0/0,""),preDEL!AM155)</f>
        <v>SpBEND394154</v>
      </c>
      <c r="AN155" s="112" t="str">
        <f>IF(preDEL!$AG155,IFERROR(0/0,""),preDEL!AN155)</f>
        <v>BEND219153</v>
      </c>
      <c r="AO155" s="112" t="str">
        <f>IF(preDEL!$AG155,IFERROR(0/0,""),preDEL!AO155)</f>
        <v/>
      </c>
      <c r="AP155" s="112" t="str">
        <f>IF(preDEL!$AG155,IFERROR(0/0,""),preDEL!AP155)</f>
        <v/>
      </c>
      <c r="AQ155" s="112" t="str">
        <f>IF(preDEL!$AG155,IFERROR(0/0,""),preDEL!AQ155)</f>
        <v/>
      </c>
      <c r="AR155" s="112" t="str">
        <f>IF(preDEL!$AG155,IFERROR(0/0,""),preDEL!AR155)</f>
        <v/>
      </c>
      <c r="AS155" s="112" t="str">
        <f>IF(preDEL!$AG155,IFERROR(0/0,""),preDEL!AS155)</f>
        <v/>
      </c>
      <c r="AT155" s="112" t="b">
        <f>IF(preDEL!$AG155,IFERROR(0/0,""),preDEL!AT155)</f>
        <v>0</v>
      </c>
      <c r="AU155" s="112" t="str">
        <f>IF(preDEL!$AG155,IFERROR(0/0,""),preDEL!AU155)</f>
        <v/>
      </c>
      <c r="AV155" s="112" t="str">
        <f>IF(preDEL!$AG155,IFERROR(0/0,""),preDEL!AV155)</f>
        <v/>
      </c>
      <c r="AW155" s="112" t="str">
        <f>IF(preDEL!$AG155,IFERROR(0/0,""),preDEL!AW155)</f>
        <v/>
      </c>
      <c r="AX155" s="112" t="str">
        <f>IF(preDEL!$AG155,IFERROR(0/0,""),preDEL!AX155)</f>
        <v/>
      </c>
      <c r="AY155" s="112" t="str">
        <f>IF(preDEL!$AG155,IFERROR(0/0,""),preDEL!AY155)</f>
        <v/>
      </c>
      <c r="AZ155" s="174"/>
      <c r="BA155" s="174"/>
      <c r="BB155" s="174"/>
      <c r="BC155" s="174"/>
      <c r="BD155" s="174"/>
      <c r="BE155" s="174"/>
      <c r="BF155" s="174"/>
      <c r="BG155" s="174"/>
      <c r="BH155" s="174"/>
      <c r="BI155" s="174"/>
      <c r="BJ155" s="174"/>
      <c r="BK155" s="174"/>
      <c r="BL155" s="174"/>
      <c r="BM155" s="174"/>
      <c r="BN155" s="174"/>
      <c r="BO155" s="174"/>
      <c r="BP155" s="174"/>
      <c r="BQ155" s="174"/>
      <c r="BR155" s="174"/>
      <c r="BS155" s="174"/>
      <c r="BT155" s="174"/>
      <c r="BU155" s="174"/>
      <c r="BV155" s="174"/>
      <c r="BW155" s="174"/>
      <c r="BX155" s="174"/>
      <c r="BY155" s="174"/>
      <c r="BZ155" s="174"/>
      <c r="CA155" s="174"/>
      <c r="CB155" s="174"/>
      <c r="CC155" s="174"/>
      <c r="CD155" s="174"/>
    </row>
    <row r="156">
      <c r="A156" s="105" t="str">
        <f>IF(preDEL!$AG156,IFERROR(0/0,""),preDEL!A156)</f>
        <v>MAX95</v>
      </c>
      <c r="B156" s="170">
        <f>IF(preDEL!$AG156,IFERROR(0/0,""),preDEL!B156)</f>
        <v>44571</v>
      </c>
      <c r="C156" s="171">
        <f>IF(preDEL!$AG156,IFERROR(0/0,""),preDEL!C156)</f>
        <v>0.3893634259</v>
      </c>
      <c r="D156" s="105" t="str">
        <f>IF(preDEL!$AG156,IFERROR(0/0,""),preDEL!D156)</f>
        <v/>
      </c>
      <c r="E156" s="105" t="str">
        <f>IF(preDEL!$AG156,IFERROR(0/0,""),preDEL!E156)</f>
        <v/>
      </c>
      <c r="F156" s="112" t="str">
        <f>IF(preDEL!$AG156,IFERROR(0/0,""),preDEL!F156)</f>
        <v/>
      </c>
      <c r="G156" s="112" t="str">
        <f>IF(preDEL!$AG156,IFERROR(0/0,""),preDEL!G156)</f>
        <v/>
      </c>
      <c r="H156" s="112" t="str">
        <f>IF(preDEL!$AG156,IFERROR(0/0,""),preDEL!H156)</f>
        <v/>
      </c>
      <c r="I156" s="105" t="str">
        <f>IF(preDEL!$AG156,IFERROR(0/0,""),preDEL!I156)</f>
        <v/>
      </c>
      <c r="J156" s="105" t="str">
        <f>IF(preDEL!$AG156,IFERROR(0/0,""),preDEL!J156)</f>
        <v/>
      </c>
      <c r="K156" s="105" t="str">
        <f>IF(preDEL!$AG156,IFERROR(0/0,""),preDEL!K156)</f>
        <v>Positive</v>
      </c>
      <c r="L156" s="170">
        <f>IF(preDEL!$AG156,IFERROR(0/0,""),preDEL!L156)</f>
        <v>44579</v>
      </c>
      <c r="M156" s="171">
        <f>IF(preDEL!$AG156,IFERROR(0/0,""),preDEL!M156)</f>
        <v>0.5015740741</v>
      </c>
      <c r="N156" s="112" t="str">
        <f>IF(preDEL!$AG156,IFERROR(0/0,""),preDEL!N156)</f>
        <v/>
      </c>
      <c r="O156" s="112" t="str">
        <f>IF(preDEL!$AG156,IFERROR(0/0,""),preDEL!O156)</f>
        <v/>
      </c>
      <c r="P156" s="110" t="b">
        <f>IF(preDEL!$AG156,IFERROR(0/0,""),preDEL!P156)</f>
        <v>0</v>
      </c>
      <c r="Q156" s="110" t="str">
        <f>IF(preDEL!$AG156,IFERROR(0/0,""),preDEL!Q156)</f>
        <v>Result</v>
      </c>
      <c r="R156" s="104" t="b">
        <f>IF(preDEL!$AG156,IFERROR(0/0,""),preDEL!R156)</f>
        <v>1</v>
      </c>
      <c r="S156" s="104">
        <f>IF(preDEL!$AG156,IFERROR(0/0,""),preDEL!S156)</f>
        <v>1</v>
      </c>
      <c r="T156" s="110">
        <f>IF(preDEL!$AG156,IFERROR(0/0,""),preDEL!T156)</f>
        <v>0</v>
      </c>
      <c r="U156" s="112" t="str">
        <f>IF(preDEL!$AG156,IFERROR(0/0,""),preDEL!U156)</f>
        <v/>
      </c>
      <c r="V156" s="105" t="str">
        <f>IF(preDEL!$AG156,IFERROR(0/0,""),preDEL!V156)</f>
        <v/>
      </c>
      <c r="W156" s="112" t="str">
        <f>IF(preDEL!$AG156,IFERROR(0/0,""),preDEL!W156)</f>
        <v/>
      </c>
      <c r="X156" s="104" t="b">
        <f>IF(preDEL!$AG156,IFERROR(0/0,""),preDEL!X156)</f>
        <v>0</v>
      </c>
      <c r="Y156" s="110" t="b">
        <f>IF(preDEL!$AG156,IFERROR(0/0,""),preDEL!Y156)</f>
        <v>0</v>
      </c>
      <c r="Z156" s="105" t="str">
        <f>IF(preDEL!$AG156,IFERROR(0/0,""),preDEL!Z156)</f>
        <v/>
      </c>
      <c r="AA156" s="110" t="b">
        <f>IF(preDEL!$AG156,IFERROR(0/0,""),preDEL!AA156)</f>
        <v>0</v>
      </c>
      <c r="AB156" s="110" t="b">
        <f>IF(preDEL!$AG156,IFERROR(0/0,""),preDEL!AB156)</f>
        <v>0</v>
      </c>
      <c r="AC156" s="172">
        <f>IF(preDEL!$AG156,IFERROR(0/0,""),preDEL!AC156)</f>
        <v>646</v>
      </c>
      <c r="AD156" s="104" t="b">
        <f>IF(preDEL!$AG156,IFERROR(0/0,""),preDEL!AD156)</f>
        <v>0</v>
      </c>
      <c r="AE156" s="173" t="str">
        <f>IF(preDEL!$AG156,IFERROR(0/0,""),preDEL!AE156)</f>
        <v/>
      </c>
      <c r="AF156" s="110" t="b">
        <f>IF(preDEL!$AG156,IFERROR(0/0,""),preDEL!AF156)</f>
        <v>0</v>
      </c>
      <c r="AG156" s="110" t="b">
        <f>IF(preDEL!$AG156,IFERROR(0/0,""),preDEL!AG156)</f>
        <v>0</v>
      </c>
      <c r="AH156" s="104" t="str">
        <f>IF(preDEL!$AG156,IFERROR(0/0,""),preDEL!AH156)</f>
        <v/>
      </c>
      <c r="AI156" s="105" t="str">
        <f>IF(preDEL!$AG156,IFERROR(0/0,""),preDEL!AI156)</f>
        <v/>
      </c>
      <c r="AJ156" s="112" t="str">
        <f>IF(preDEL!$AG156,IFERROR(0/0,""),preDEL!AJ156)</f>
        <v/>
      </c>
      <c r="AK156" s="105" t="str">
        <f>IF(preDEL!$AG156,IFERROR(0/0,""),preDEL!AK156)</f>
        <v>Positive</v>
      </c>
      <c r="AL156" s="112" t="str">
        <f>IF(preDEL!$AG156,IFERROR(0/0,""),preDEL!AL156)</f>
        <v/>
      </c>
      <c r="AM156" s="112" t="str">
        <f>IF(preDEL!$AG156,IFERROR(0/0,""),preDEL!AM156)</f>
        <v>SpBEND394154</v>
      </c>
      <c r="AN156" s="112" t="str">
        <f>IF(preDEL!$AG156,IFERROR(0/0,""),preDEL!AN156)</f>
        <v>BEND421116</v>
      </c>
      <c r="AO156" s="112" t="str">
        <f>IF(preDEL!$AG156,IFERROR(0/0,""),preDEL!AO156)</f>
        <v/>
      </c>
      <c r="AP156" s="112" t="str">
        <f>IF(preDEL!$AG156,IFERROR(0/0,""),preDEL!AP156)</f>
        <v/>
      </c>
      <c r="AQ156" s="112" t="str">
        <f>IF(preDEL!$AG156,IFERROR(0/0,""),preDEL!AQ156)</f>
        <v/>
      </c>
      <c r="AR156" s="112" t="str">
        <f>IF(preDEL!$AG156,IFERROR(0/0,""),preDEL!AR156)</f>
        <v/>
      </c>
      <c r="AS156" s="112" t="str">
        <f>IF(preDEL!$AG156,IFERROR(0/0,""),preDEL!AS156)</f>
        <v/>
      </c>
      <c r="AT156" s="112" t="b">
        <f>IF(preDEL!$AG156,IFERROR(0/0,""),preDEL!AT156)</f>
        <v>0</v>
      </c>
      <c r="AU156" s="112" t="str">
        <f>IF(preDEL!$AG156,IFERROR(0/0,""),preDEL!AU156)</f>
        <v/>
      </c>
      <c r="AV156" s="112" t="str">
        <f>IF(preDEL!$AG156,IFERROR(0/0,""),preDEL!AV156)</f>
        <v/>
      </c>
      <c r="AW156" s="112" t="str">
        <f>IF(preDEL!$AG156,IFERROR(0/0,""),preDEL!AW156)</f>
        <v/>
      </c>
      <c r="AX156" s="112" t="str">
        <f>IF(preDEL!$AG156,IFERROR(0/0,""),preDEL!AX156)</f>
        <v/>
      </c>
      <c r="AY156" s="112" t="str">
        <f>IF(preDEL!$AG156,IFERROR(0/0,""),preDEL!AY156)</f>
        <v/>
      </c>
      <c r="AZ156" s="174"/>
      <c r="BA156" s="174"/>
      <c r="BB156" s="174"/>
      <c r="BC156" s="174"/>
      <c r="BD156" s="174"/>
      <c r="BE156" s="174"/>
      <c r="BF156" s="174"/>
      <c r="BG156" s="174"/>
      <c r="BH156" s="174"/>
      <c r="BI156" s="174"/>
      <c r="BJ156" s="174"/>
      <c r="BK156" s="174"/>
      <c r="BL156" s="174"/>
      <c r="BM156" s="174"/>
      <c r="BN156" s="174"/>
      <c r="BO156" s="174"/>
      <c r="BP156" s="174"/>
      <c r="BQ156" s="174"/>
      <c r="BR156" s="174"/>
      <c r="BS156" s="174"/>
      <c r="BT156" s="174"/>
      <c r="BU156" s="174"/>
      <c r="BV156" s="174"/>
      <c r="BW156" s="174"/>
      <c r="BX156" s="174"/>
      <c r="BY156" s="174"/>
      <c r="BZ156" s="174"/>
      <c r="CA156" s="174"/>
      <c r="CB156" s="174"/>
      <c r="CC156" s="174"/>
      <c r="CD156" s="174"/>
    </row>
    <row r="157">
      <c r="A157" s="105" t="str">
        <f>IF(preDEL!$AG157,IFERROR(0/0,""),preDEL!A157)</f>
        <v>MAX69</v>
      </c>
      <c r="B157" s="170">
        <f>IF(preDEL!$AG157,IFERROR(0/0,""),preDEL!B157)</f>
        <v>44571</v>
      </c>
      <c r="C157" s="171">
        <f>IF(preDEL!$AG157,IFERROR(0/0,""),preDEL!C157)</f>
        <v>0.3899768519</v>
      </c>
      <c r="D157" s="105" t="str">
        <f>IF(preDEL!$AG157,IFERROR(0/0,""),preDEL!D157)</f>
        <v/>
      </c>
      <c r="E157" s="105" t="str">
        <f>IF(preDEL!$AG157,IFERROR(0/0,""),preDEL!E157)</f>
        <v/>
      </c>
      <c r="F157" s="112" t="str">
        <f>IF(preDEL!$AG157,IFERROR(0/0,""),preDEL!F157)</f>
        <v/>
      </c>
      <c r="G157" s="112" t="str">
        <f>IF(preDEL!$AG157,IFERROR(0/0,""),preDEL!G157)</f>
        <v/>
      </c>
      <c r="H157" s="112" t="str">
        <f>IF(preDEL!$AG157,IFERROR(0/0,""),preDEL!H157)</f>
        <v/>
      </c>
      <c r="I157" s="105" t="str">
        <f>IF(preDEL!$AG157,IFERROR(0/0,""),preDEL!I157)</f>
        <v/>
      </c>
      <c r="J157" s="105" t="str">
        <f>IF(preDEL!$AG157,IFERROR(0/0,""),preDEL!J157)</f>
        <v/>
      </c>
      <c r="K157" s="105" t="str">
        <f>IF(preDEL!$AG157,IFERROR(0/0,""),preDEL!K157)</f>
        <v>Positive</v>
      </c>
      <c r="L157" s="170">
        <f>IF(preDEL!$AG157,IFERROR(0/0,""),preDEL!L157)</f>
        <v>44579</v>
      </c>
      <c r="M157" s="171">
        <f>IF(preDEL!$AG157,IFERROR(0/0,""),preDEL!M157)</f>
        <v>0.5015740741</v>
      </c>
      <c r="N157" s="112" t="str">
        <f>IF(preDEL!$AG157,IFERROR(0/0,""),preDEL!N157)</f>
        <v/>
      </c>
      <c r="O157" s="112" t="str">
        <f>IF(preDEL!$AG157,IFERROR(0/0,""),preDEL!O157)</f>
        <v/>
      </c>
      <c r="P157" s="110" t="b">
        <f>IF(preDEL!$AG157,IFERROR(0/0,""),preDEL!P157)</f>
        <v>0</v>
      </c>
      <c r="Q157" s="110" t="str">
        <f>IF(preDEL!$AG157,IFERROR(0/0,""),preDEL!Q157)</f>
        <v>Result</v>
      </c>
      <c r="R157" s="104" t="b">
        <f>IF(preDEL!$AG157,IFERROR(0/0,""),preDEL!R157)</f>
        <v>1</v>
      </c>
      <c r="S157" s="104">
        <f>IF(preDEL!$AG157,IFERROR(0/0,""),preDEL!S157)</f>
        <v>1</v>
      </c>
      <c r="T157" s="110">
        <f>IF(preDEL!$AG157,IFERROR(0/0,""),preDEL!T157)</f>
        <v>0</v>
      </c>
      <c r="U157" s="112" t="str">
        <f>IF(preDEL!$AG157,IFERROR(0/0,""),preDEL!U157)</f>
        <v/>
      </c>
      <c r="V157" s="105" t="str">
        <f>IF(preDEL!$AG157,IFERROR(0/0,""),preDEL!V157)</f>
        <v/>
      </c>
      <c r="W157" s="112" t="str">
        <f>IF(preDEL!$AG157,IFERROR(0/0,""),preDEL!W157)</f>
        <v/>
      </c>
      <c r="X157" s="104" t="b">
        <f>IF(preDEL!$AG157,IFERROR(0/0,""),preDEL!X157)</f>
        <v>0</v>
      </c>
      <c r="Y157" s="110" t="b">
        <f>IF(preDEL!$AG157,IFERROR(0/0,""),preDEL!Y157)</f>
        <v>0</v>
      </c>
      <c r="Z157" s="105" t="str">
        <f>IF(preDEL!$AG157,IFERROR(0/0,""),preDEL!Z157)</f>
        <v/>
      </c>
      <c r="AA157" s="110" t="b">
        <f>IF(preDEL!$AG157,IFERROR(0/0,""),preDEL!AA157)</f>
        <v>0</v>
      </c>
      <c r="AB157" s="110" t="b">
        <f>IF(preDEL!$AG157,IFERROR(0/0,""),preDEL!AB157)</f>
        <v>0</v>
      </c>
      <c r="AC157" s="172">
        <f>IF(preDEL!$AG157,IFERROR(0/0,""),preDEL!AC157)</f>
        <v>645</v>
      </c>
      <c r="AD157" s="104" t="b">
        <f>IF(preDEL!$AG157,IFERROR(0/0,""),preDEL!AD157)</f>
        <v>0</v>
      </c>
      <c r="AE157" s="173" t="str">
        <f>IF(preDEL!$AG157,IFERROR(0/0,""),preDEL!AE157)</f>
        <v/>
      </c>
      <c r="AF157" s="110" t="b">
        <f>IF(preDEL!$AG157,IFERROR(0/0,""),preDEL!AF157)</f>
        <v>0</v>
      </c>
      <c r="AG157" s="110" t="b">
        <f>IF(preDEL!$AG157,IFERROR(0/0,""),preDEL!AG157)</f>
        <v>0</v>
      </c>
      <c r="AH157" s="104" t="str">
        <f>IF(preDEL!$AG157,IFERROR(0/0,""),preDEL!AH157)</f>
        <v/>
      </c>
      <c r="AI157" s="105" t="str">
        <f>IF(preDEL!$AG157,IFERROR(0/0,""),preDEL!AI157)</f>
        <v/>
      </c>
      <c r="AJ157" s="112" t="str">
        <f>IF(preDEL!$AG157,IFERROR(0/0,""),preDEL!AJ157)</f>
        <v/>
      </c>
      <c r="AK157" s="105" t="str">
        <f>IF(preDEL!$AG157,IFERROR(0/0,""),preDEL!AK157)</f>
        <v>Positive</v>
      </c>
      <c r="AL157" s="112" t="str">
        <f>IF(preDEL!$AG157,IFERROR(0/0,""),preDEL!AL157)</f>
        <v/>
      </c>
      <c r="AM157" s="112" t="str">
        <f>IF(preDEL!$AG157,IFERROR(0/0,""),preDEL!AM157)</f>
        <v>SpBEND394154</v>
      </c>
      <c r="AN157" s="112" t="str">
        <f>IF(preDEL!$AG157,IFERROR(0/0,""),preDEL!AN157)</f>
        <v>BEND530620</v>
      </c>
      <c r="AO157" s="112" t="str">
        <f>IF(preDEL!$AG157,IFERROR(0/0,""),preDEL!AO157)</f>
        <v/>
      </c>
      <c r="AP157" s="112" t="str">
        <f>IF(preDEL!$AG157,IFERROR(0/0,""),preDEL!AP157)</f>
        <v/>
      </c>
      <c r="AQ157" s="112" t="str">
        <f>IF(preDEL!$AG157,IFERROR(0/0,""),preDEL!AQ157)</f>
        <v/>
      </c>
      <c r="AR157" s="112" t="str">
        <f>IF(preDEL!$AG157,IFERROR(0/0,""),preDEL!AR157)</f>
        <v/>
      </c>
      <c r="AS157" s="112" t="str">
        <f>IF(preDEL!$AG157,IFERROR(0/0,""),preDEL!AS157)</f>
        <v/>
      </c>
      <c r="AT157" s="112" t="b">
        <f>IF(preDEL!$AG157,IFERROR(0/0,""),preDEL!AT157)</f>
        <v>0</v>
      </c>
      <c r="AU157" s="112" t="str">
        <f>IF(preDEL!$AG157,IFERROR(0/0,""),preDEL!AU157)</f>
        <v/>
      </c>
      <c r="AV157" s="112" t="str">
        <f>IF(preDEL!$AG157,IFERROR(0/0,""),preDEL!AV157)</f>
        <v/>
      </c>
      <c r="AW157" s="112" t="str">
        <f>IF(preDEL!$AG157,IFERROR(0/0,""),preDEL!AW157)</f>
        <v/>
      </c>
      <c r="AX157" s="112" t="str">
        <f>IF(preDEL!$AG157,IFERROR(0/0,""),preDEL!AX157)</f>
        <v/>
      </c>
      <c r="AY157" s="112" t="str">
        <f>IF(preDEL!$AG157,IFERROR(0/0,""),preDEL!AY157)</f>
        <v/>
      </c>
      <c r="AZ157" s="174"/>
      <c r="BA157" s="174"/>
      <c r="BB157" s="174"/>
      <c r="BC157" s="174"/>
      <c r="BD157" s="174"/>
      <c r="BE157" s="174"/>
      <c r="BF157" s="174"/>
      <c r="BG157" s="174"/>
      <c r="BH157" s="174"/>
      <c r="BI157" s="174"/>
      <c r="BJ157" s="174"/>
      <c r="BK157" s="174"/>
      <c r="BL157" s="174"/>
      <c r="BM157" s="174"/>
      <c r="BN157" s="174"/>
      <c r="BO157" s="174"/>
      <c r="BP157" s="174"/>
      <c r="BQ157" s="174"/>
      <c r="BR157" s="174"/>
      <c r="BS157" s="174"/>
      <c r="BT157" s="174"/>
      <c r="BU157" s="174"/>
      <c r="BV157" s="174"/>
      <c r="BW157" s="174"/>
      <c r="BX157" s="174"/>
      <c r="BY157" s="174"/>
      <c r="BZ157" s="174"/>
      <c r="CA157" s="174"/>
      <c r="CB157" s="174"/>
      <c r="CC157" s="174"/>
      <c r="CD157" s="174"/>
    </row>
    <row r="158">
      <c r="A158" s="105" t="str">
        <f>IF(preDEL!$AG158,IFERROR(0/0,""),preDEL!A158)</f>
        <v>MAX119</v>
      </c>
      <c r="B158" s="170">
        <f>IF(preDEL!$AG158,IFERROR(0/0,""),preDEL!B158)</f>
        <v>44571</v>
      </c>
      <c r="C158" s="171">
        <f>IF(preDEL!$AG158,IFERROR(0/0,""),preDEL!C158)</f>
        <v>0.3904398148</v>
      </c>
      <c r="D158" s="105" t="str">
        <f>IF(preDEL!$AG158,IFERROR(0/0,""),preDEL!D158)</f>
        <v/>
      </c>
      <c r="E158" s="105" t="str">
        <f>IF(preDEL!$AG158,IFERROR(0/0,""),preDEL!E158)</f>
        <v/>
      </c>
      <c r="F158" s="112" t="str">
        <f>IF(preDEL!$AG158,IFERROR(0/0,""),preDEL!F158)</f>
        <v/>
      </c>
      <c r="G158" s="112" t="str">
        <f>IF(preDEL!$AG158,IFERROR(0/0,""),preDEL!G158)</f>
        <v/>
      </c>
      <c r="H158" s="112" t="str">
        <f>IF(preDEL!$AG158,IFERROR(0/0,""),preDEL!H158)</f>
        <v/>
      </c>
      <c r="I158" s="105" t="str">
        <f>IF(preDEL!$AG158,IFERROR(0/0,""),preDEL!I158)</f>
        <v/>
      </c>
      <c r="J158" s="105" t="str">
        <f>IF(preDEL!$AG158,IFERROR(0/0,""),preDEL!J158)</f>
        <v/>
      </c>
      <c r="K158" s="105" t="str">
        <f>IF(preDEL!$AG158,IFERROR(0/0,""),preDEL!K158)</f>
        <v>Negative</v>
      </c>
      <c r="L158" s="170">
        <f>IF(preDEL!$AG158,IFERROR(0/0,""),preDEL!L158)</f>
        <v>44571</v>
      </c>
      <c r="M158" s="171">
        <f>IF(preDEL!$AG158,IFERROR(0/0,""),preDEL!M158)</f>
        <v>0.4659837963</v>
      </c>
      <c r="N158" s="112" t="str">
        <f>IF(preDEL!$AG158,IFERROR(0/0,""),preDEL!N158)</f>
        <v/>
      </c>
      <c r="O158" s="112" t="str">
        <f>IF(preDEL!$AG158,IFERROR(0/0,""),preDEL!O158)</f>
        <v/>
      </c>
      <c r="P158" s="110" t="b">
        <f>IF(preDEL!$AG158,IFERROR(0/0,""),preDEL!P158)</f>
        <v>0</v>
      </c>
      <c r="Q158" s="110" t="str">
        <f>IF(preDEL!$AG158,IFERROR(0/0,""),preDEL!Q158)</f>
        <v>Result</v>
      </c>
      <c r="R158" s="104" t="b">
        <f>IF(preDEL!$AG158,IFERROR(0/0,""),preDEL!R158)</f>
        <v>1</v>
      </c>
      <c r="S158" s="104">
        <f>IF(preDEL!$AG158,IFERROR(0/0,""),preDEL!S158)</f>
        <v>1</v>
      </c>
      <c r="T158" s="110">
        <f>IF(preDEL!$AG158,IFERROR(0/0,""),preDEL!T158)</f>
        <v>0</v>
      </c>
      <c r="U158" s="112" t="str">
        <f>IF(preDEL!$AG158,IFERROR(0/0,""),preDEL!U158)</f>
        <v/>
      </c>
      <c r="V158" s="105" t="str">
        <f>IF(preDEL!$AG158,IFERROR(0/0,""),preDEL!V158)</f>
        <v/>
      </c>
      <c r="W158" s="112" t="str">
        <f>IF(preDEL!$AG158,IFERROR(0/0,""),preDEL!W158)</f>
        <v/>
      </c>
      <c r="X158" s="104" t="b">
        <f>IF(preDEL!$AG158,IFERROR(0/0,""),preDEL!X158)</f>
        <v>0</v>
      </c>
      <c r="Y158" s="110" t="b">
        <f>IF(preDEL!$AG158,IFERROR(0/0,""),preDEL!Y158)</f>
        <v>0</v>
      </c>
      <c r="Z158" s="105" t="str">
        <f>IF(preDEL!$AG158,IFERROR(0/0,""),preDEL!Z158)</f>
        <v/>
      </c>
      <c r="AA158" s="110" t="b">
        <f>IF(preDEL!$AG158,IFERROR(0/0,""),preDEL!AA158)</f>
        <v>0</v>
      </c>
      <c r="AB158" s="110" t="b">
        <f>IF(preDEL!$AG158,IFERROR(0/0,""),preDEL!AB158)</f>
        <v>0</v>
      </c>
      <c r="AC158" s="172">
        <f>IF(preDEL!$AG158,IFERROR(0/0,""),preDEL!AC158)</f>
        <v>644</v>
      </c>
      <c r="AD158" s="104" t="b">
        <f>IF(preDEL!$AG158,IFERROR(0/0,""),preDEL!AD158)</f>
        <v>0</v>
      </c>
      <c r="AE158" s="173">
        <f>IF(preDEL!$AG158,IFERROR(0/0,""),preDEL!AE158)</f>
        <v>108.7833333</v>
      </c>
      <c r="AF158" s="110" t="b">
        <f>IF(preDEL!$AG158,IFERROR(0/0,""),preDEL!AF158)</f>
        <v>0</v>
      </c>
      <c r="AG158" s="110" t="b">
        <f>IF(preDEL!$AG158,IFERROR(0/0,""),preDEL!AG158)</f>
        <v>0</v>
      </c>
      <c r="AH158" s="104" t="str">
        <f>IF(preDEL!$AG158,IFERROR(0/0,""),preDEL!AH158)</f>
        <v/>
      </c>
      <c r="AI158" s="105" t="str">
        <f>IF(preDEL!$AG158,IFERROR(0/0,""),preDEL!AI158)</f>
        <v/>
      </c>
      <c r="AJ158" s="112" t="str">
        <f>IF(preDEL!$AG158,IFERROR(0/0,""),preDEL!AJ158)</f>
        <v/>
      </c>
      <c r="AK158" s="105" t="str">
        <f>IF(preDEL!$AG158,IFERROR(0/0,""),preDEL!AK158)</f>
        <v>Negative</v>
      </c>
      <c r="AL158" s="112" t="str">
        <f>IF(preDEL!$AG158,IFERROR(0/0,""),preDEL!AL158)</f>
        <v/>
      </c>
      <c r="AM158" s="112" t="str">
        <f>IF(preDEL!$AG158,IFERROR(0/0,""),preDEL!AM158)</f>
        <v>SpBEND394154</v>
      </c>
      <c r="AN158" s="112" t="str">
        <f>IF(preDEL!$AG158,IFERROR(0/0,""),preDEL!AN158)</f>
        <v>BEND525824</v>
      </c>
      <c r="AO158" s="112" t="str">
        <f>IF(preDEL!$AG158,IFERROR(0/0,""),preDEL!AO158)</f>
        <v/>
      </c>
      <c r="AP158" s="112" t="str">
        <f>IF(preDEL!$AG158,IFERROR(0/0,""),preDEL!AP158)</f>
        <v/>
      </c>
      <c r="AQ158" s="112" t="str">
        <f>IF(preDEL!$AG158,IFERROR(0/0,""),preDEL!AQ158)</f>
        <v/>
      </c>
      <c r="AR158" s="112" t="str">
        <f>IF(preDEL!$AG158,IFERROR(0/0,""),preDEL!AR158)</f>
        <v/>
      </c>
      <c r="AS158" s="112" t="str">
        <f>IF(preDEL!$AG158,IFERROR(0/0,""),preDEL!AS158)</f>
        <v/>
      </c>
      <c r="AT158" s="112" t="b">
        <f>IF(preDEL!$AG158,IFERROR(0/0,""),preDEL!AT158)</f>
        <v>0</v>
      </c>
      <c r="AU158" s="112" t="str">
        <f>IF(preDEL!$AG158,IFERROR(0/0,""),preDEL!AU158)</f>
        <v/>
      </c>
      <c r="AV158" s="112" t="str">
        <f>IF(preDEL!$AG158,IFERROR(0/0,""),preDEL!AV158)</f>
        <v/>
      </c>
      <c r="AW158" s="112" t="str">
        <f>IF(preDEL!$AG158,IFERROR(0/0,""),preDEL!AW158)</f>
        <v/>
      </c>
      <c r="AX158" s="112" t="str">
        <f>IF(preDEL!$AG158,IFERROR(0/0,""),preDEL!AX158)</f>
        <v/>
      </c>
      <c r="AY158" s="112" t="str">
        <f>IF(preDEL!$AG158,IFERROR(0/0,""),preDEL!AY158)</f>
        <v/>
      </c>
      <c r="AZ158" s="174"/>
      <c r="BA158" s="174"/>
      <c r="BB158" s="174"/>
      <c r="BC158" s="174"/>
      <c r="BD158" s="174"/>
      <c r="BE158" s="174"/>
      <c r="BF158" s="174"/>
      <c r="BG158" s="174"/>
      <c r="BH158" s="174"/>
      <c r="BI158" s="174"/>
      <c r="BJ158" s="174"/>
      <c r="BK158" s="174"/>
      <c r="BL158" s="174"/>
      <c r="BM158" s="174"/>
      <c r="BN158" s="174"/>
      <c r="BO158" s="174"/>
      <c r="BP158" s="174"/>
      <c r="BQ158" s="174"/>
      <c r="BR158" s="174"/>
      <c r="BS158" s="174"/>
      <c r="BT158" s="174"/>
      <c r="BU158" s="174"/>
      <c r="BV158" s="174"/>
      <c r="BW158" s="174"/>
      <c r="BX158" s="174"/>
      <c r="BY158" s="174"/>
      <c r="BZ158" s="174"/>
      <c r="CA158" s="174"/>
      <c r="CB158" s="174"/>
      <c r="CC158" s="174"/>
      <c r="CD158" s="174"/>
    </row>
    <row r="159">
      <c r="A159" s="105" t="str">
        <f>IF(preDEL!$AG159,IFERROR(0/0,""),preDEL!A159)</f>
        <v>MA384</v>
      </c>
      <c r="B159" s="170">
        <f>IF(preDEL!$AG159,IFERROR(0/0,""),preDEL!B159)</f>
        <v>44571</v>
      </c>
      <c r="C159" s="171">
        <f>IF(preDEL!$AG159,IFERROR(0/0,""),preDEL!C159)</f>
        <v>0.391412037</v>
      </c>
      <c r="D159" s="105" t="str">
        <f>IF(preDEL!$AG159,IFERROR(0/0,""),preDEL!D159)</f>
        <v/>
      </c>
      <c r="E159" s="105" t="str">
        <f>IF(preDEL!$AG159,IFERROR(0/0,""),preDEL!E159)</f>
        <v/>
      </c>
      <c r="F159" s="112" t="str">
        <f>IF(preDEL!$AG159,IFERROR(0/0,""),preDEL!F159)</f>
        <v/>
      </c>
      <c r="G159" s="112" t="str">
        <f>IF(preDEL!$AG159,IFERROR(0/0,""),preDEL!G159)</f>
        <v/>
      </c>
      <c r="H159" s="112" t="str">
        <f>IF(preDEL!$AG159,IFERROR(0/0,""),preDEL!H159)</f>
        <v/>
      </c>
      <c r="I159" s="105" t="str">
        <f>IF(preDEL!$AG159,IFERROR(0/0,""),preDEL!I159)</f>
        <v/>
      </c>
      <c r="J159" s="105" t="str">
        <f>IF(preDEL!$AG159,IFERROR(0/0,""),preDEL!J159)</f>
        <v/>
      </c>
      <c r="K159" s="105" t="str">
        <f>IF(preDEL!$AG159,IFERROR(0/0,""),preDEL!K159)</f>
        <v>Negative</v>
      </c>
      <c r="L159" s="170">
        <f>IF(preDEL!$AG159,IFERROR(0/0,""),preDEL!L159)</f>
        <v>44571</v>
      </c>
      <c r="M159" s="171">
        <f>IF(preDEL!$AG159,IFERROR(0/0,""),preDEL!M159)</f>
        <v>0.4659837963</v>
      </c>
      <c r="N159" s="112" t="str">
        <f>IF(preDEL!$AG159,IFERROR(0/0,""),preDEL!N159)</f>
        <v/>
      </c>
      <c r="O159" s="112" t="str">
        <f>IF(preDEL!$AG159,IFERROR(0/0,""),preDEL!O159)</f>
        <v/>
      </c>
      <c r="P159" s="110" t="b">
        <f>IF(preDEL!$AG159,IFERROR(0/0,""),preDEL!P159)</f>
        <v>0</v>
      </c>
      <c r="Q159" s="110" t="str">
        <f>IF(preDEL!$AG159,IFERROR(0/0,""),preDEL!Q159)</f>
        <v>Result</v>
      </c>
      <c r="R159" s="104" t="b">
        <f>IF(preDEL!$AG159,IFERROR(0/0,""),preDEL!R159)</f>
        <v>1</v>
      </c>
      <c r="S159" s="104">
        <f>IF(preDEL!$AG159,IFERROR(0/0,""),preDEL!S159)</f>
        <v>1</v>
      </c>
      <c r="T159" s="110" t="str">
        <f>IF(preDEL!$AG159,IFERROR(0/0,""),preDEL!T159)</f>
        <v/>
      </c>
      <c r="U159" s="112" t="str">
        <f>IF(preDEL!$AG159,IFERROR(0/0,""),preDEL!U159)</f>
        <v/>
      </c>
      <c r="V159" s="105" t="str">
        <f>IF(preDEL!$AG159,IFERROR(0/0,""),preDEL!V159)</f>
        <v/>
      </c>
      <c r="W159" s="112" t="str">
        <f>IF(preDEL!$AG159,IFERROR(0/0,""),preDEL!W159)</f>
        <v/>
      </c>
      <c r="X159" s="104" t="b">
        <f>IF(preDEL!$AG159,IFERROR(0/0,""),preDEL!X159)</f>
        <v>0</v>
      </c>
      <c r="Y159" s="110" t="b">
        <f>IF(preDEL!$AG159,IFERROR(0/0,""),preDEL!Y159)</f>
        <v>0</v>
      </c>
      <c r="Z159" s="105" t="str">
        <f>IF(preDEL!$AG159,IFERROR(0/0,""),preDEL!Z159)</f>
        <v/>
      </c>
      <c r="AA159" s="110" t="b">
        <f>IF(preDEL!$AG159,IFERROR(0/0,""),preDEL!AA159)</f>
        <v>0</v>
      </c>
      <c r="AB159" s="110" t="b">
        <f>IF(preDEL!$AG159,IFERROR(0/0,""),preDEL!AB159)</f>
        <v>0</v>
      </c>
      <c r="AC159" s="172">
        <f>IF(preDEL!$AG159,IFERROR(0/0,""),preDEL!AC159)</f>
        <v>643</v>
      </c>
      <c r="AD159" s="104" t="b">
        <f>IF(preDEL!$AG159,IFERROR(0/0,""),preDEL!AD159)</f>
        <v>0</v>
      </c>
      <c r="AE159" s="173">
        <f>IF(preDEL!$AG159,IFERROR(0/0,""),preDEL!AE159)</f>
        <v>107.3833333</v>
      </c>
      <c r="AF159" s="110" t="b">
        <f>IF(preDEL!$AG159,IFERROR(0/0,""),preDEL!AF159)</f>
        <v>0</v>
      </c>
      <c r="AG159" s="110" t="b">
        <f>IF(preDEL!$AG159,IFERROR(0/0,""),preDEL!AG159)</f>
        <v>0</v>
      </c>
      <c r="AH159" s="104" t="str">
        <f>IF(preDEL!$AG159,IFERROR(0/0,""),preDEL!AH159)</f>
        <v/>
      </c>
      <c r="AI159" s="105" t="str">
        <f>IF(preDEL!$AG159,IFERROR(0/0,""),preDEL!AI159)</f>
        <v/>
      </c>
      <c r="AJ159" s="112" t="str">
        <f>IF(preDEL!$AG159,IFERROR(0/0,""),preDEL!AJ159)</f>
        <v/>
      </c>
      <c r="AK159" s="105" t="str">
        <f>IF(preDEL!$AG159,IFERROR(0/0,""),preDEL!AK159)</f>
        <v>Negative</v>
      </c>
      <c r="AL159" s="112" t="str">
        <f>IF(preDEL!$AG159,IFERROR(0/0,""),preDEL!AL159)</f>
        <v/>
      </c>
      <c r="AM159" s="112" t="str">
        <f>IF(preDEL!$AG159,IFERROR(0/0,""),preDEL!AM159)</f>
        <v>SpBEND394154</v>
      </c>
      <c r="AN159" s="112" t="str">
        <f>IF(preDEL!$AG159,IFERROR(0/0,""),preDEL!AN159)</f>
        <v>BEND304589</v>
      </c>
      <c r="AO159" s="112" t="str">
        <f>IF(preDEL!$AG159,IFERROR(0/0,""),preDEL!AO159)</f>
        <v/>
      </c>
      <c r="AP159" s="112" t="str">
        <f>IF(preDEL!$AG159,IFERROR(0/0,""),preDEL!AP159)</f>
        <v/>
      </c>
      <c r="AQ159" s="112" t="str">
        <f>IF(preDEL!$AG159,IFERROR(0/0,""),preDEL!AQ159)</f>
        <v/>
      </c>
      <c r="AR159" s="112" t="str">
        <f>IF(preDEL!$AG159,IFERROR(0/0,""),preDEL!AR159)</f>
        <v/>
      </c>
      <c r="AS159" s="112" t="str">
        <f>IF(preDEL!$AG159,IFERROR(0/0,""),preDEL!AS159)</f>
        <v/>
      </c>
      <c r="AT159" s="112" t="b">
        <f>IF(preDEL!$AG159,IFERROR(0/0,""),preDEL!AT159)</f>
        <v>0</v>
      </c>
      <c r="AU159" s="112" t="str">
        <f>IF(preDEL!$AG159,IFERROR(0/0,""),preDEL!AU159)</f>
        <v/>
      </c>
      <c r="AV159" s="112" t="str">
        <f>IF(preDEL!$AG159,IFERROR(0/0,""),preDEL!AV159)</f>
        <v/>
      </c>
      <c r="AW159" s="112" t="str">
        <f>IF(preDEL!$AG159,IFERROR(0/0,""),preDEL!AW159)</f>
        <v/>
      </c>
      <c r="AX159" s="112" t="str">
        <f>IF(preDEL!$AG159,IFERROR(0/0,""),preDEL!AX159)</f>
        <v/>
      </c>
      <c r="AY159" s="112" t="str">
        <f>IF(preDEL!$AG159,IFERROR(0/0,""),preDEL!AY159)</f>
        <v/>
      </c>
      <c r="AZ159" s="174"/>
      <c r="BA159" s="174"/>
      <c r="BB159" s="174"/>
      <c r="BC159" s="174"/>
      <c r="BD159" s="174"/>
      <c r="BE159" s="174"/>
      <c r="BF159" s="174"/>
      <c r="BG159" s="174"/>
      <c r="BH159" s="174"/>
      <c r="BI159" s="174"/>
      <c r="BJ159" s="174"/>
      <c r="BK159" s="174"/>
      <c r="BL159" s="174"/>
      <c r="BM159" s="174"/>
      <c r="BN159" s="174"/>
      <c r="BO159" s="174"/>
      <c r="BP159" s="174"/>
      <c r="BQ159" s="174"/>
      <c r="BR159" s="174"/>
      <c r="BS159" s="174"/>
      <c r="BT159" s="174"/>
      <c r="BU159" s="174"/>
      <c r="BV159" s="174"/>
      <c r="BW159" s="174"/>
      <c r="BX159" s="174"/>
      <c r="BY159" s="174"/>
      <c r="BZ159" s="174"/>
      <c r="CA159" s="174"/>
      <c r="CB159" s="174"/>
      <c r="CC159" s="174"/>
      <c r="CD159" s="174"/>
    </row>
    <row r="160">
      <c r="A160" s="105" t="str">
        <f>IF(preDEL!$AG160,IFERROR(0/0,""),preDEL!A160)</f>
        <v>MA344</v>
      </c>
      <c r="B160" s="170">
        <f>IF(preDEL!$AG160,IFERROR(0/0,""),preDEL!B160)</f>
        <v>44571</v>
      </c>
      <c r="C160" s="171">
        <f>IF(preDEL!$AG160,IFERROR(0/0,""),preDEL!C160)</f>
        <v>0.3919444444</v>
      </c>
      <c r="D160" s="105" t="str">
        <f>IF(preDEL!$AG160,IFERROR(0/0,""),preDEL!D160)</f>
        <v/>
      </c>
      <c r="E160" s="105" t="str">
        <f>IF(preDEL!$AG160,IFERROR(0/0,""),preDEL!E160)</f>
        <v/>
      </c>
      <c r="F160" s="112" t="str">
        <f>IF(preDEL!$AG160,IFERROR(0/0,""),preDEL!F160)</f>
        <v/>
      </c>
      <c r="G160" s="112" t="str">
        <f>IF(preDEL!$AG160,IFERROR(0/0,""),preDEL!G160)</f>
        <v/>
      </c>
      <c r="H160" s="112" t="str">
        <f>IF(preDEL!$AG160,IFERROR(0/0,""),preDEL!H160)</f>
        <v/>
      </c>
      <c r="I160" s="105" t="str">
        <f>IF(preDEL!$AG160,IFERROR(0/0,""),preDEL!I160)</f>
        <v/>
      </c>
      <c r="J160" s="105" t="str">
        <f>IF(preDEL!$AG160,IFERROR(0/0,""),preDEL!J160)</f>
        <v/>
      </c>
      <c r="K160" s="105" t="str">
        <f>IF(preDEL!$AG160,IFERROR(0/0,""),preDEL!K160)</f>
        <v>Negative</v>
      </c>
      <c r="L160" s="170">
        <f>IF(preDEL!$AG160,IFERROR(0/0,""),preDEL!L160)</f>
        <v>44571</v>
      </c>
      <c r="M160" s="171">
        <f>IF(preDEL!$AG160,IFERROR(0/0,""),preDEL!M160)</f>
        <v>0.4659837963</v>
      </c>
      <c r="N160" s="112" t="str">
        <f>IF(preDEL!$AG160,IFERROR(0/0,""),preDEL!N160)</f>
        <v/>
      </c>
      <c r="O160" s="112" t="str">
        <f>IF(preDEL!$AG160,IFERROR(0/0,""),preDEL!O160)</f>
        <v/>
      </c>
      <c r="P160" s="110" t="b">
        <f>IF(preDEL!$AG160,IFERROR(0/0,""),preDEL!P160)</f>
        <v>0</v>
      </c>
      <c r="Q160" s="110" t="str">
        <f>IF(preDEL!$AG160,IFERROR(0/0,""),preDEL!Q160)</f>
        <v>Result</v>
      </c>
      <c r="R160" s="104" t="b">
        <f>IF(preDEL!$AG160,IFERROR(0/0,""),preDEL!R160)</f>
        <v>1</v>
      </c>
      <c r="S160" s="104">
        <f>IF(preDEL!$AG160,IFERROR(0/0,""),preDEL!S160)</f>
        <v>1</v>
      </c>
      <c r="T160" s="110">
        <f>IF(preDEL!$AG160,IFERROR(0/0,""),preDEL!T160)</f>
        <v>0</v>
      </c>
      <c r="U160" s="112" t="str">
        <f>IF(preDEL!$AG160,IFERROR(0/0,""),preDEL!U160)</f>
        <v/>
      </c>
      <c r="V160" s="105" t="str">
        <f>IF(preDEL!$AG160,IFERROR(0/0,""),preDEL!V160)</f>
        <v/>
      </c>
      <c r="W160" s="112" t="str">
        <f>IF(preDEL!$AG160,IFERROR(0/0,""),preDEL!W160)</f>
        <v/>
      </c>
      <c r="X160" s="104" t="b">
        <f>IF(preDEL!$AG160,IFERROR(0/0,""),preDEL!X160)</f>
        <v>0</v>
      </c>
      <c r="Y160" s="110" t="b">
        <f>IF(preDEL!$AG160,IFERROR(0/0,""),preDEL!Y160)</f>
        <v>0</v>
      </c>
      <c r="Z160" s="105" t="str">
        <f>IF(preDEL!$AG160,IFERROR(0/0,""),preDEL!Z160)</f>
        <v/>
      </c>
      <c r="AA160" s="110" t="b">
        <f>IF(preDEL!$AG160,IFERROR(0/0,""),preDEL!AA160)</f>
        <v>0</v>
      </c>
      <c r="AB160" s="110" t="b">
        <f>IF(preDEL!$AG160,IFERROR(0/0,""),preDEL!AB160)</f>
        <v>0</v>
      </c>
      <c r="AC160" s="172">
        <f>IF(preDEL!$AG160,IFERROR(0/0,""),preDEL!AC160)</f>
        <v>642</v>
      </c>
      <c r="AD160" s="104" t="b">
        <f>IF(preDEL!$AG160,IFERROR(0/0,""),preDEL!AD160)</f>
        <v>0</v>
      </c>
      <c r="AE160" s="173">
        <f>IF(preDEL!$AG160,IFERROR(0/0,""),preDEL!AE160)</f>
        <v>106.6166667</v>
      </c>
      <c r="AF160" s="110" t="b">
        <f>IF(preDEL!$AG160,IFERROR(0/0,""),preDEL!AF160)</f>
        <v>0</v>
      </c>
      <c r="AG160" s="110" t="b">
        <f>IF(preDEL!$AG160,IFERROR(0/0,""),preDEL!AG160)</f>
        <v>0</v>
      </c>
      <c r="AH160" s="104" t="str">
        <f>IF(preDEL!$AG160,IFERROR(0/0,""),preDEL!AH160)</f>
        <v/>
      </c>
      <c r="AI160" s="105" t="str">
        <f>IF(preDEL!$AG160,IFERROR(0/0,""),preDEL!AI160)</f>
        <v/>
      </c>
      <c r="AJ160" s="112" t="str">
        <f>IF(preDEL!$AG160,IFERROR(0/0,""),preDEL!AJ160)</f>
        <v/>
      </c>
      <c r="AK160" s="105" t="str">
        <f>IF(preDEL!$AG160,IFERROR(0/0,""),preDEL!AK160)</f>
        <v>Negative</v>
      </c>
      <c r="AL160" s="112" t="str">
        <f>IF(preDEL!$AG160,IFERROR(0/0,""),preDEL!AL160)</f>
        <v/>
      </c>
      <c r="AM160" s="112" t="str">
        <f>IF(preDEL!$AG160,IFERROR(0/0,""),preDEL!AM160)</f>
        <v>SpBEND394154</v>
      </c>
      <c r="AN160" s="112" t="str">
        <f>IF(preDEL!$AG160,IFERROR(0/0,""),preDEL!AN160)</f>
        <v>BEND151408</v>
      </c>
      <c r="AO160" s="112" t="str">
        <f>IF(preDEL!$AG160,IFERROR(0/0,""),preDEL!AO160)</f>
        <v/>
      </c>
      <c r="AP160" s="112" t="str">
        <f>IF(preDEL!$AG160,IFERROR(0/0,""),preDEL!AP160)</f>
        <v/>
      </c>
      <c r="AQ160" s="112" t="str">
        <f>IF(preDEL!$AG160,IFERROR(0/0,""),preDEL!AQ160)</f>
        <v/>
      </c>
      <c r="AR160" s="112" t="str">
        <f>IF(preDEL!$AG160,IFERROR(0/0,""),preDEL!AR160)</f>
        <v/>
      </c>
      <c r="AS160" s="112" t="str">
        <f>IF(preDEL!$AG160,IFERROR(0/0,""),preDEL!AS160)</f>
        <v/>
      </c>
      <c r="AT160" s="112" t="b">
        <f>IF(preDEL!$AG160,IFERROR(0/0,""),preDEL!AT160)</f>
        <v>0</v>
      </c>
      <c r="AU160" s="112" t="str">
        <f>IF(preDEL!$AG160,IFERROR(0/0,""),preDEL!AU160)</f>
        <v/>
      </c>
      <c r="AV160" s="112" t="str">
        <f>IF(preDEL!$AG160,IFERROR(0/0,""),preDEL!AV160)</f>
        <v/>
      </c>
      <c r="AW160" s="112" t="str">
        <f>IF(preDEL!$AG160,IFERROR(0/0,""),preDEL!AW160)</f>
        <v/>
      </c>
      <c r="AX160" s="112" t="str">
        <f>IF(preDEL!$AG160,IFERROR(0/0,""),preDEL!AX160)</f>
        <v/>
      </c>
      <c r="AY160" s="112" t="str">
        <f>IF(preDEL!$AG160,IFERROR(0/0,""),preDEL!AY160)</f>
        <v/>
      </c>
      <c r="AZ160" s="174"/>
      <c r="BA160" s="174"/>
      <c r="BB160" s="174"/>
      <c r="BC160" s="174"/>
      <c r="BD160" s="174"/>
      <c r="BE160" s="174"/>
      <c r="BF160" s="174"/>
      <c r="BG160" s="174"/>
      <c r="BH160" s="174"/>
      <c r="BI160" s="174"/>
      <c r="BJ160" s="174"/>
      <c r="BK160" s="174"/>
      <c r="BL160" s="174"/>
      <c r="BM160" s="174"/>
      <c r="BN160" s="174"/>
      <c r="BO160" s="174"/>
      <c r="BP160" s="174"/>
      <c r="BQ160" s="174"/>
      <c r="BR160" s="174"/>
      <c r="BS160" s="174"/>
      <c r="BT160" s="174"/>
      <c r="BU160" s="174"/>
      <c r="BV160" s="174"/>
      <c r="BW160" s="174"/>
      <c r="BX160" s="174"/>
      <c r="BY160" s="174"/>
      <c r="BZ160" s="174"/>
      <c r="CA160" s="174"/>
      <c r="CB160" s="174"/>
      <c r="CC160" s="174"/>
      <c r="CD160" s="174"/>
    </row>
    <row r="161">
      <c r="A161" s="105" t="str">
        <f>IF(preDEL!$AG161,IFERROR(0/0,""),preDEL!A161)</f>
        <v>MA332</v>
      </c>
      <c r="B161" s="170">
        <f>IF(preDEL!$AG161,IFERROR(0/0,""),preDEL!B161)</f>
        <v>44571</v>
      </c>
      <c r="C161" s="171">
        <f>IF(preDEL!$AG161,IFERROR(0/0,""),preDEL!C161)</f>
        <v>0.3924884259</v>
      </c>
      <c r="D161" s="105" t="str">
        <f>IF(preDEL!$AG161,IFERROR(0/0,""),preDEL!D161)</f>
        <v/>
      </c>
      <c r="E161" s="105" t="str">
        <f>IF(preDEL!$AG161,IFERROR(0/0,""),preDEL!E161)</f>
        <v/>
      </c>
      <c r="F161" s="112" t="str">
        <f>IF(preDEL!$AG161,IFERROR(0/0,""),preDEL!F161)</f>
        <v/>
      </c>
      <c r="G161" s="112" t="str">
        <f>IF(preDEL!$AG161,IFERROR(0/0,""),preDEL!G161)</f>
        <v/>
      </c>
      <c r="H161" s="112" t="str">
        <f>IF(preDEL!$AG161,IFERROR(0/0,""),preDEL!H161)</f>
        <v/>
      </c>
      <c r="I161" s="105" t="str">
        <f>IF(preDEL!$AG161,IFERROR(0/0,""),preDEL!I161)</f>
        <v/>
      </c>
      <c r="J161" s="105" t="str">
        <f>IF(preDEL!$AG161,IFERROR(0/0,""),preDEL!J161)</f>
        <v/>
      </c>
      <c r="K161" s="105" t="str">
        <f>IF(preDEL!$AG161,IFERROR(0/0,""),preDEL!K161)</f>
        <v>Negative</v>
      </c>
      <c r="L161" s="170">
        <f>IF(preDEL!$AG161,IFERROR(0/0,""),preDEL!L161)</f>
        <v>44571</v>
      </c>
      <c r="M161" s="171">
        <f>IF(preDEL!$AG161,IFERROR(0/0,""),preDEL!M161)</f>
        <v>0.4659837963</v>
      </c>
      <c r="N161" s="112" t="str">
        <f>IF(preDEL!$AG161,IFERROR(0/0,""),preDEL!N161)</f>
        <v/>
      </c>
      <c r="O161" s="112" t="str">
        <f>IF(preDEL!$AG161,IFERROR(0/0,""),preDEL!O161)</f>
        <v/>
      </c>
      <c r="P161" s="110" t="b">
        <f>IF(preDEL!$AG161,IFERROR(0/0,""),preDEL!P161)</f>
        <v>0</v>
      </c>
      <c r="Q161" s="110" t="str">
        <f>IF(preDEL!$AG161,IFERROR(0/0,""),preDEL!Q161)</f>
        <v>Result</v>
      </c>
      <c r="R161" s="104" t="b">
        <f>IF(preDEL!$AG161,IFERROR(0/0,""),preDEL!R161)</f>
        <v>1</v>
      </c>
      <c r="S161" s="104">
        <f>IF(preDEL!$AG161,IFERROR(0/0,""),preDEL!S161)</f>
        <v>1</v>
      </c>
      <c r="T161" s="110">
        <f>IF(preDEL!$AG161,IFERROR(0/0,""),preDEL!T161)</f>
        <v>0</v>
      </c>
      <c r="U161" s="112" t="str">
        <f>IF(preDEL!$AG161,IFERROR(0/0,""),preDEL!U161)</f>
        <v/>
      </c>
      <c r="V161" s="105" t="str">
        <f>IF(preDEL!$AG161,IFERROR(0/0,""),preDEL!V161)</f>
        <v/>
      </c>
      <c r="W161" s="112" t="str">
        <f>IF(preDEL!$AG161,IFERROR(0/0,""),preDEL!W161)</f>
        <v/>
      </c>
      <c r="X161" s="104" t="b">
        <f>IF(preDEL!$AG161,IFERROR(0/0,""),preDEL!X161)</f>
        <v>0</v>
      </c>
      <c r="Y161" s="110" t="b">
        <f>IF(preDEL!$AG161,IFERROR(0/0,""),preDEL!Y161)</f>
        <v>0</v>
      </c>
      <c r="Z161" s="105" t="str">
        <f>IF(preDEL!$AG161,IFERROR(0/0,""),preDEL!Z161)</f>
        <v/>
      </c>
      <c r="AA161" s="110" t="b">
        <f>IF(preDEL!$AG161,IFERROR(0/0,""),preDEL!AA161)</f>
        <v>0</v>
      </c>
      <c r="AB161" s="110" t="b">
        <f>IF(preDEL!$AG161,IFERROR(0/0,""),preDEL!AB161)</f>
        <v>0</v>
      </c>
      <c r="AC161" s="172">
        <f>IF(preDEL!$AG161,IFERROR(0/0,""),preDEL!AC161)</f>
        <v>641</v>
      </c>
      <c r="AD161" s="104" t="b">
        <f>IF(preDEL!$AG161,IFERROR(0/0,""),preDEL!AD161)</f>
        <v>0</v>
      </c>
      <c r="AE161" s="173">
        <f>IF(preDEL!$AG161,IFERROR(0/0,""),preDEL!AE161)</f>
        <v>105.8333333</v>
      </c>
      <c r="AF161" s="110" t="b">
        <f>IF(preDEL!$AG161,IFERROR(0/0,""),preDEL!AF161)</f>
        <v>0</v>
      </c>
      <c r="AG161" s="110" t="b">
        <f>IF(preDEL!$AG161,IFERROR(0/0,""),preDEL!AG161)</f>
        <v>0</v>
      </c>
      <c r="AH161" s="104" t="str">
        <f>IF(preDEL!$AG161,IFERROR(0/0,""),preDEL!AH161)</f>
        <v/>
      </c>
      <c r="AI161" s="105" t="str">
        <f>IF(preDEL!$AG161,IFERROR(0/0,""),preDEL!AI161)</f>
        <v/>
      </c>
      <c r="AJ161" s="112" t="str">
        <f>IF(preDEL!$AG161,IFERROR(0/0,""),preDEL!AJ161)</f>
        <v/>
      </c>
      <c r="AK161" s="105" t="str">
        <f>IF(preDEL!$AG161,IFERROR(0/0,""),preDEL!AK161)</f>
        <v>Negative</v>
      </c>
      <c r="AL161" s="112" t="str">
        <f>IF(preDEL!$AG161,IFERROR(0/0,""),preDEL!AL161)</f>
        <v/>
      </c>
      <c r="AM161" s="112" t="str">
        <f>IF(preDEL!$AG161,IFERROR(0/0,""),preDEL!AM161)</f>
        <v>SpBEND394154</v>
      </c>
      <c r="AN161" s="112" t="str">
        <f>IF(preDEL!$AG161,IFERROR(0/0,""),preDEL!AN161)</f>
        <v>BEND238338</v>
      </c>
      <c r="AO161" s="112" t="str">
        <f>IF(preDEL!$AG161,IFERROR(0/0,""),preDEL!AO161)</f>
        <v/>
      </c>
      <c r="AP161" s="112" t="str">
        <f>IF(preDEL!$AG161,IFERROR(0/0,""),preDEL!AP161)</f>
        <v/>
      </c>
      <c r="AQ161" s="112" t="str">
        <f>IF(preDEL!$AG161,IFERROR(0/0,""),preDEL!AQ161)</f>
        <v/>
      </c>
      <c r="AR161" s="112" t="str">
        <f>IF(preDEL!$AG161,IFERROR(0/0,""),preDEL!AR161)</f>
        <v/>
      </c>
      <c r="AS161" s="112" t="str">
        <f>IF(preDEL!$AG161,IFERROR(0/0,""),preDEL!AS161)</f>
        <v/>
      </c>
      <c r="AT161" s="112" t="b">
        <f>IF(preDEL!$AG161,IFERROR(0/0,""),preDEL!AT161)</f>
        <v>0</v>
      </c>
      <c r="AU161" s="112" t="str">
        <f>IF(preDEL!$AG161,IFERROR(0/0,""),preDEL!AU161)</f>
        <v/>
      </c>
      <c r="AV161" s="112" t="str">
        <f>IF(preDEL!$AG161,IFERROR(0/0,""),preDEL!AV161)</f>
        <v/>
      </c>
      <c r="AW161" s="112" t="str">
        <f>IF(preDEL!$AG161,IFERROR(0/0,""),preDEL!AW161)</f>
        <v/>
      </c>
      <c r="AX161" s="112" t="str">
        <f>IF(preDEL!$AG161,IFERROR(0/0,""),preDEL!AX161)</f>
        <v/>
      </c>
      <c r="AY161" s="112" t="str">
        <f>IF(preDEL!$AG161,IFERROR(0/0,""),preDEL!AY161)</f>
        <v/>
      </c>
      <c r="AZ161" s="174"/>
      <c r="BA161" s="174"/>
      <c r="BB161" s="174"/>
      <c r="BC161" s="174"/>
      <c r="BD161" s="174"/>
      <c r="BE161" s="174"/>
      <c r="BF161" s="174"/>
      <c r="BG161" s="174"/>
      <c r="BH161" s="174"/>
      <c r="BI161" s="174"/>
      <c r="BJ161" s="174"/>
      <c r="BK161" s="174"/>
      <c r="BL161" s="174"/>
      <c r="BM161" s="174"/>
      <c r="BN161" s="174"/>
      <c r="BO161" s="174"/>
      <c r="BP161" s="174"/>
      <c r="BQ161" s="174"/>
      <c r="BR161" s="174"/>
      <c r="BS161" s="174"/>
      <c r="BT161" s="174"/>
      <c r="BU161" s="174"/>
      <c r="BV161" s="174"/>
      <c r="BW161" s="174"/>
      <c r="BX161" s="174"/>
      <c r="BY161" s="174"/>
      <c r="BZ161" s="174"/>
      <c r="CA161" s="174"/>
      <c r="CB161" s="174"/>
      <c r="CC161" s="174"/>
      <c r="CD161" s="174"/>
    </row>
    <row r="162">
      <c r="A162" s="105" t="str">
        <f>IF(preDEL!$AG162,IFERROR(0/0,""),preDEL!A162)</f>
        <v>MA341</v>
      </c>
      <c r="B162" s="170">
        <f>IF(preDEL!$AG162,IFERROR(0/0,""),preDEL!B162)</f>
        <v>44571</v>
      </c>
      <c r="C162" s="171">
        <f>IF(preDEL!$AG162,IFERROR(0/0,""),preDEL!C162)</f>
        <v>0.3928935185</v>
      </c>
      <c r="D162" s="105" t="str">
        <f>IF(preDEL!$AG162,IFERROR(0/0,""),preDEL!D162)</f>
        <v/>
      </c>
      <c r="E162" s="105" t="str">
        <f>IF(preDEL!$AG162,IFERROR(0/0,""),preDEL!E162)</f>
        <v/>
      </c>
      <c r="F162" s="112" t="str">
        <f>IF(preDEL!$AG162,IFERROR(0/0,""),preDEL!F162)</f>
        <v/>
      </c>
      <c r="G162" s="112" t="str">
        <f>IF(preDEL!$AG162,IFERROR(0/0,""),preDEL!G162)</f>
        <v/>
      </c>
      <c r="H162" s="112" t="str">
        <f>IF(preDEL!$AG162,IFERROR(0/0,""),preDEL!H162)</f>
        <v/>
      </c>
      <c r="I162" s="105" t="str">
        <f>IF(preDEL!$AG162,IFERROR(0/0,""),preDEL!I162)</f>
        <v/>
      </c>
      <c r="J162" s="105" t="str">
        <f>IF(preDEL!$AG162,IFERROR(0/0,""),preDEL!J162)</f>
        <v/>
      </c>
      <c r="K162" s="105" t="str">
        <f>IF(preDEL!$AG162,IFERROR(0/0,""),preDEL!K162)</f>
        <v>Positive</v>
      </c>
      <c r="L162" s="170">
        <f>IF(preDEL!$AG162,IFERROR(0/0,""),preDEL!L162)</f>
        <v>44579</v>
      </c>
      <c r="M162" s="171">
        <f>IF(preDEL!$AG162,IFERROR(0/0,""),preDEL!M162)</f>
        <v>0.5015740741</v>
      </c>
      <c r="N162" s="112" t="str">
        <f>IF(preDEL!$AG162,IFERROR(0/0,""),preDEL!N162)</f>
        <v/>
      </c>
      <c r="O162" s="112" t="str">
        <f>IF(preDEL!$AG162,IFERROR(0/0,""),preDEL!O162)</f>
        <v/>
      </c>
      <c r="P162" s="110" t="b">
        <f>IF(preDEL!$AG162,IFERROR(0/0,""),preDEL!P162)</f>
        <v>0</v>
      </c>
      <c r="Q162" s="110" t="str">
        <f>IF(preDEL!$AG162,IFERROR(0/0,""),preDEL!Q162)</f>
        <v>Result</v>
      </c>
      <c r="R162" s="104" t="b">
        <f>IF(preDEL!$AG162,IFERROR(0/0,""),preDEL!R162)</f>
        <v>1</v>
      </c>
      <c r="S162" s="104">
        <f>IF(preDEL!$AG162,IFERROR(0/0,""),preDEL!S162)</f>
        <v>1</v>
      </c>
      <c r="T162" s="110">
        <f>IF(preDEL!$AG162,IFERROR(0/0,""),preDEL!T162)</f>
        <v>0</v>
      </c>
      <c r="U162" s="112" t="str">
        <f>IF(preDEL!$AG162,IFERROR(0/0,""),preDEL!U162)</f>
        <v/>
      </c>
      <c r="V162" s="105" t="str">
        <f>IF(preDEL!$AG162,IFERROR(0/0,""),preDEL!V162)</f>
        <v/>
      </c>
      <c r="W162" s="112" t="str">
        <f>IF(preDEL!$AG162,IFERROR(0/0,""),preDEL!W162)</f>
        <v/>
      </c>
      <c r="X162" s="104" t="b">
        <f>IF(preDEL!$AG162,IFERROR(0/0,""),preDEL!X162)</f>
        <v>0</v>
      </c>
      <c r="Y162" s="110" t="b">
        <f>IF(preDEL!$AG162,IFERROR(0/0,""),preDEL!Y162)</f>
        <v>0</v>
      </c>
      <c r="Z162" s="105" t="str">
        <f>IF(preDEL!$AG162,IFERROR(0/0,""),preDEL!Z162)</f>
        <v/>
      </c>
      <c r="AA162" s="110" t="b">
        <f>IF(preDEL!$AG162,IFERROR(0/0,""),preDEL!AA162)</f>
        <v>0</v>
      </c>
      <c r="AB162" s="110" t="b">
        <f>IF(preDEL!$AG162,IFERROR(0/0,""),preDEL!AB162)</f>
        <v>0</v>
      </c>
      <c r="AC162" s="172">
        <f>IF(preDEL!$AG162,IFERROR(0/0,""),preDEL!AC162)</f>
        <v>640</v>
      </c>
      <c r="AD162" s="104" t="b">
        <f>IF(preDEL!$AG162,IFERROR(0/0,""),preDEL!AD162)</f>
        <v>0</v>
      </c>
      <c r="AE162" s="173" t="str">
        <f>IF(preDEL!$AG162,IFERROR(0/0,""),preDEL!AE162)</f>
        <v/>
      </c>
      <c r="AF162" s="110" t="b">
        <f>IF(preDEL!$AG162,IFERROR(0/0,""),preDEL!AF162)</f>
        <v>0</v>
      </c>
      <c r="AG162" s="110" t="b">
        <f>IF(preDEL!$AG162,IFERROR(0/0,""),preDEL!AG162)</f>
        <v>0</v>
      </c>
      <c r="AH162" s="104" t="str">
        <f>IF(preDEL!$AG162,IFERROR(0/0,""),preDEL!AH162)</f>
        <v/>
      </c>
      <c r="AI162" s="105" t="str">
        <f>IF(preDEL!$AG162,IFERROR(0/0,""),preDEL!AI162)</f>
        <v/>
      </c>
      <c r="AJ162" s="112" t="str">
        <f>IF(preDEL!$AG162,IFERROR(0/0,""),preDEL!AJ162)</f>
        <v/>
      </c>
      <c r="AK162" s="105" t="str">
        <f>IF(preDEL!$AG162,IFERROR(0/0,""),preDEL!AK162)</f>
        <v>Positive</v>
      </c>
      <c r="AL162" s="112" t="str">
        <f>IF(preDEL!$AG162,IFERROR(0/0,""),preDEL!AL162)</f>
        <v/>
      </c>
      <c r="AM162" s="112" t="str">
        <f>IF(preDEL!$AG162,IFERROR(0/0,""),preDEL!AM162)</f>
        <v>SpBEND394154</v>
      </c>
      <c r="AN162" s="112" t="str">
        <f>IF(preDEL!$AG162,IFERROR(0/0,""),preDEL!AN162)</f>
        <v>BEND524074</v>
      </c>
      <c r="AO162" s="112" t="str">
        <f>IF(preDEL!$AG162,IFERROR(0/0,""),preDEL!AO162)</f>
        <v/>
      </c>
      <c r="AP162" s="112" t="str">
        <f>IF(preDEL!$AG162,IFERROR(0/0,""),preDEL!AP162)</f>
        <v/>
      </c>
      <c r="AQ162" s="112" t="str">
        <f>IF(preDEL!$AG162,IFERROR(0/0,""),preDEL!AQ162)</f>
        <v/>
      </c>
      <c r="AR162" s="112" t="str">
        <f>IF(preDEL!$AG162,IFERROR(0/0,""),preDEL!AR162)</f>
        <v/>
      </c>
      <c r="AS162" s="112" t="str">
        <f>IF(preDEL!$AG162,IFERROR(0/0,""),preDEL!AS162)</f>
        <v/>
      </c>
      <c r="AT162" s="112" t="b">
        <f>IF(preDEL!$AG162,IFERROR(0/0,""),preDEL!AT162)</f>
        <v>0</v>
      </c>
      <c r="AU162" s="112" t="str">
        <f>IF(preDEL!$AG162,IFERROR(0/0,""),preDEL!AU162)</f>
        <v/>
      </c>
      <c r="AV162" s="112" t="str">
        <f>IF(preDEL!$AG162,IFERROR(0/0,""),preDEL!AV162)</f>
        <v/>
      </c>
      <c r="AW162" s="112" t="str">
        <f>IF(preDEL!$AG162,IFERROR(0/0,""),preDEL!AW162)</f>
        <v/>
      </c>
      <c r="AX162" s="112" t="str">
        <f>IF(preDEL!$AG162,IFERROR(0/0,""),preDEL!AX162)</f>
        <v/>
      </c>
      <c r="AY162" s="112" t="str">
        <f>IF(preDEL!$AG162,IFERROR(0/0,""),preDEL!AY162)</f>
        <v/>
      </c>
      <c r="AZ162" s="174"/>
      <c r="BA162" s="174"/>
      <c r="BB162" s="174"/>
      <c r="BC162" s="174"/>
      <c r="BD162" s="174"/>
      <c r="BE162" s="174"/>
      <c r="BF162" s="174"/>
      <c r="BG162" s="174"/>
      <c r="BH162" s="174"/>
      <c r="BI162" s="174"/>
      <c r="BJ162" s="174"/>
      <c r="BK162" s="174"/>
      <c r="BL162" s="174"/>
      <c r="BM162" s="174"/>
      <c r="BN162" s="174"/>
      <c r="BO162" s="174"/>
      <c r="BP162" s="174"/>
      <c r="BQ162" s="174"/>
      <c r="BR162" s="174"/>
      <c r="BS162" s="174"/>
      <c r="BT162" s="174"/>
      <c r="BU162" s="174"/>
      <c r="BV162" s="174"/>
      <c r="BW162" s="174"/>
      <c r="BX162" s="174"/>
      <c r="BY162" s="174"/>
      <c r="BZ162" s="174"/>
      <c r="CA162" s="174"/>
      <c r="CB162" s="174"/>
      <c r="CC162" s="174"/>
      <c r="CD162" s="174"/>
    </row>
    <row r="163">
      <c r="A163" s="105" t="str">
        <f>IF(preDEL!$AG163,IFERROR(0/0,""),preDEL!A163)</f>
        <v>MA474</v>
      </c>
      <c r="B163" s="170">
        <f>IF(preDEL!$AG163,IFERROR(0/0,""),preDEL!B163)</f>
        <v>44571</v>
      </c>
      <c r="C163" s="171">
        <f>IF(preDEL!$AG163,IFERROR(0/0,""),preDEL!C163)</f>
        <v>0.4259490741</v>
      </c>
      <c r="D163" s="105" t="str">
        <f>IF(preDEL!$AG163,IFERROR(0/0,""),preDEL!D163)</f>
        <v/>
      </c>
      <c r="E163" s="105" t="str">
        <f>IF(preDEL!$AG163,IFERROR(0/0,""),preDEL!E163)</f>
        <v/>
      </c>
      <c r="F163" s="112" t="str">
        <f>IF(preDEL!$AG163,IFERROR(0/0,""),preDEL!F163)</f>
        <v/>
      </c>
      <c r="G163" s="112" t="str">
        <f>IF(preDEL!$AG163,IFERROR(0/0,""),preDEL!G163)</f>
        <v/>
      </c>
      <c r="H163" s="112" t="str">
        <f>IF(preDEL!$AG163,IFERROR(0/0,""),preDEL!H163)</f>
        <v/>
      </c>
      <c r="I163" s="105" t="str">
        <f>IF(preDEL!$AG163,IFERROR(0/0,""),preDEL!I163)</f>
        <v/>
      </c>
      <c r="J163" s="105" t="str">
        <f>IF(preDEL!$AG163,IFERROR(0/0,""),preDEL!J163)</f>
        <v/>
      </c>
      <c r="K163" s="105" t="str">
        <f>IF(preDEL!$AG163,IFERROR(0/0,""),preDEL!K163)</f>
        <v>Negative</v>
      </c>
      <c r="L163" s="170">
        <f>IF(preDEL!$AG163,IFERROR(0/0,""),preDEL!L163)</f>
        <v>44571</v>
      </c>
      <c r="M163" s="171">
        <f>IF(preDEL!$AG163,IFERROR(0/0,""),preDEL!M163)</f>
        <v>0.4659837963</v>
      </c>
      <c r="N163" s="112" t="str">
        <f>IF(preDEL!$AG163,IFERROR(0/0,""),preDEL!N163)</f>
        <v/>
      </c>
      <c r="O163" s="112" t="str">
        <f>IF(preDEL!$AG163,IFERROR(0/0,""),preDEL!O163)</f>
        <v/>
      </c>
      <c r="P163" s="110" t="b">
        <f>IF(preDEL!$AG163,IFERROR(0/0,""),preDEL!P163)</f>
        <v>0</v>
      </c>
      <c r="Q163" s="110" t="str">
        <f>IF(preDEL!$AG163,IFERROR(0/0,""),preDEL!Q163)</f>
        <v>Result</v>
      </c>
      <c r="R163" s="104" t="b">
        <f>IF(preDEL!$AG163,IFERROR(0/0,""),preDEL!R163)</f>
        <v>1</v>
      </c>
      <c r="S163" s="104">
        <f>IF(preDEL!$AG163,IFERROR(0/0,""),preDEL!S163)</f>
        <v>1</v>
      </c>
      <c r="T163" s="110" t="str">
        <f>IF(preDEL!$AG163,IFERROR(0/0,""),preDEL!T163)</f>
        <v/>
      </c>
      <c r="U163" s="112" t="str">
        <f>IF(preDEL!$AG163,IFERROR(0/0,""),preDEL!U163)</f>
        <v/>
      </c>
      <c r="V163" s="105" t="str">
        <f>IF(preDEL!$AG163,IFERROR(0/0,""),preDEL!V163)</f>
        <v/>
      </c>
      <c r="W163" s="112" t="str">
        <f>IF(preDEL!$AG163,IFERROR(0/0,""),preDEL!W163)</f>
        <v/>
      </c>
      <c r="X163" s="104" t="b">
        <f>IF(preDEL!$AG163,IFERROR(0/0,""),preDEL!X163)</f>
        <v>0</v>
      </c>
      <c r="Y163" s="110" t="b">
        <f>IF(preDEL!$AG163,IFERROR(0/0,""),preDEL!Y163)</f>
        <v>0</v>
      </c>
      <c r="Z163" s="105" t="str">
        <f>IF(preDEL!$AG163,IFERROR(0/0,""),preDEL!Z163)</f>
        <v/>
      </c>
      <c r="AA163" s="110" t="b">
        <f>IF(preDEL!$AG163,IFERROR(0/0,""),preDEL!AA163)</f>
        <v>0</v>
      </c>
      <c r="AB163" s="110" t="b">
        <f>IF(preDEL!$AG163,IFERROR(0/0,""),preDEL!AB163)</f>
        <v>0</v>
      </c>
      <c r="AC163" s="172">
        <f>IF(preDEL!$AG163,IFERROR(0/0,""),preDEL!AC163)</f>
        <v>639</v>
      </c>
      <c r="AD163" s="104" t="b">
        <f>IF(preDEL!$AG163,IFERROR(0/0,""),preDEL!AD163)</f>
        <v>0</v>
      </c>
      <c r="AE163" s="173">
        <f>IF(preDEL!$AG163,IFERROR(0/0,""),preDEL!AE163)</f>
        <v>57.65</v>
      </c>
      <c r="AF163" s="110" t="b">
        <f>IF(preDEL!$AG163,IFERROR(0/0,""),preDEL!AF163)</f>
        <v>0</v>
      </c>
      <c r="AG163" s="110" t="b">
        <f>IF(preDEL!$AG163,IFERROR(0/0,""),preDEL!AG163)</f>
        <v>0</v>
      </c>
      <c r="AH163" s="104" t="str">
        <f>IF(preDEL!$AG163,IFERROR(0/0,""),preDEL!AH163)</f>
        <v/>
      </c>
      <c r="AI163" s="105" t="str">
        <f>IF(preDEL!$AG163,IFERROR(0/0,""),preDEL!AI163)</f>
        <v/>
      </c>
      <c r="AJ163" s="112" t="str">
        <f>IF(preDEL!$AG163,IFERROR(0/0,""),preDEL!AJ163)</f>
        <v/>
      </c>
      <c r="AK163" s="105" t="str">
        <f>IF(preDEL!$AG163,IFERROR(0/0,""),preDEL!AK163)</f>
        <v>Negative</v>
      </c>
      <c r="AL163" s="112" t="str">
        <f>IF(preDEL!$AG163,IFERROR(0/0,""),preDEL!AL163)</f>
        <v/>
      </c>
      <c r="AM163" s="112" t="str">
        <f>IF(preDEL!$AG163,IFERROR(0/0,""),preDEL!AM163)</f>
        <v>SpBEND394154</v>
      </c>
      <c r="AN163" s="112" t="str">
        <f>IF(preDEL!$AG163,IFERROR(0/0,""),preDEL!AN163)</f>
        <v>BEND638558</v>
      </c>
      <c r="AO163" s="112" t="str">
        <f>IF(preDEL!$AG163,IFERROR(0/0,""),preDEL!AO163)</f>
        <v/>
      </c>
      <c r="AP163" s="112" t="str">
        <f>IF(preDEL!$AG163,IFERROR(0/0,""),preDEL!AP163)</f>
        <v/>
      </c>
      <c r="AQ163" s="112" t="str">
        <f>IF(preDEL!$AG163,IFERROR(0/0,""),preDEL!AQ163)</f>
        <v/>
      </c>
      <c r="AR163" s="112" t="str">
        <f>IF(preDEL!$AG163,IFERROR(0/0,""),preDEL!AR163)</f>
        <v/>
      </c>
      <c r="AS163" s="112" t="str">
        <f>IF(preDEL!$AG163,IFERROR(0/0,""),preDEL!AS163)</f>
        <v/>
      </c>
      <c r="AT163" s="112" t="b">
        <f>IF(preDEL!$AG163,IFERROR(0/0,""),preDEL!AT163)</f>
        <v>0</v>
      </c>
      <c r="AU163" s="112" t="str">
        <f>IF(preDEL!$AG163,IFERROR(0/0,""),preDEL!AU163)</f>
        <v/>
      </c>
      <c r="AV163" s="112" t="str">
        <f>IF(preDEL!$AG163,IFERROR(0/0,""),preDEL!AV163)</f>
        <v/>
      </c>
      <c r="AW163" s="112" t="str">
        <f>IF(preDEL!$AG163,IFERROR(0/0,""),preDEL!AW163)</f>
        <v/>
      </c>
      <c r="AX163" s="112" t="str">
        <f>IF(preDEL!$AG163,IFERROR(0/0,""),preDEL!AX163)</f>
        <v/>
      </c>
      <c r="AY163" s="112" t="str">
        <f>IF(preDEL!$AG163,IFERROR(0/0,""),preDEL!AY163)</f>
        <v/>
      </c>
      <c r="AZ163" s="174"/>
      <c r="BA163" s="174"/>
      <c r="BB163" s="174"/>
      <c r="BC163" s="174"/>
      <c r="BD163" s="174"/>
      <c r="BE163" s="174"/>
      <c r="BF163" s="174"/>
      <c r="BG163" s="174"/>
      <c r="BH163" s="174"/>
      <c r="BI163" s="174"/>
      <c r="BJ163" s="174"/>
      <c r="BK163" s="174"/>
      <c r="BL163" s="174"/>
      <c r="BM163" s="174"/>
      <c r="BN163" s="174"/>
      <c r="BO163" s="174"/>
      <c r="BP163" s="174"/>
      <c r="BQ163" s="174"/>
      <c r="BR163" s="174"/>
      <c r="BS163" s="174"/>
      <c r="BT163" s="174"/>
      <c r="BU163" s="174"/>
      <c r="BV163" s="174"/>
      <c r="BW163" s="174"/>
      <c r="BX163" s="174"/>
      <c r="BY163" s="174"/>
      <c r="BZ163" s="174"/>
      <c r="CA163" s="174"/>
      <c r="CB163" s="174"/>
      <c r="CC163" s="174"/>
      <c r="CD163" s="174"/>
    </row>
    <row r="164">
      <c r="A164" s="105" t="str">
        <f>IF(preDEL!$AG164,IFERROR(0/0,""),preDEL!A164)</f>
        <v>MA435</v>
      </c>
      <c r="B164" s="170">
        <f>IF(preDEL!$AG164,IFERROR(0/0,""),preDEL!B164)</f>
        <v>44571</v>
      </c>
      <c r="C164" s="171">
        <f>IF(preDEL!$AG164,IFERROR(0/0,""),preDEL!C164)</f>
        <v>0.4271643519</v>
      </c>
      <c r="D164" s="105" t="str">
        <f>IF(preDEL!$AG164,IFERROR(0/0,""),preDEL!D164)</f>
        <v/>
      </c>
      <c r="E164" s="105" t="str">
        <f>IF(preDEL!$AG164,IFERROR(0/0,""),preDEL!E164)</f>
        <v/>
      </c>
      <c r="F164" s="112" t="str">
        <f>IF(preDEL!$AG164,IFERROR(0/0,""),preDEL!F164)</f>
        <v/>
      </c>
      <c r="G164" s="112" t="str">
        <f>IF(preDEL!$AG164,IFERROR(0/0,""),preDEL!G164)</f>
        <v/>
      </c>
      <c r="H164" s="112" t="str">
        <f>IF(preDEL!$AG164,IFERROR(0/0,""),preDEL!H164)</f>
        <v/>
      </c>
      <c r="I164" s="105" t="str">
        <f>IF(preDEL!$AG164,IFERROR(0/0,""),preDEL!I164)</f>
        <v/>
      </c>
      <c r="J164" s="105" t="str">
        <f>IF(preDEL!$AG164,IFERROR(0/0,""),preDEL!J164)</f>
        <v/>
      </c>
      <c r="K164" s="105" t="str">
        <f>IF(preDEL!$AG164,IFERROR(0/0,""),preDEL!K164)</f>
        <v>Positive</v>
      </c>
      <c r="L164" s="170">
        <f>IF(preDEL!$AG164,IFERROR(0/0,""),preDEL!L164)</f>
        <v>44579</v>
      </c>
      <c r="M164" s="171">
        <f>IF(preDEL!$AG164,IFERROR(0/0,""),preDEL!M164)</f>
        <v>0.5015740741</v>
      </c>
      <c r="N164" s="112" t="str">
        <f>IF(preDEL!$AG164,IFERROR(0/0,""),preDEL!N164)</f>
        <v/>
      </c>
      <c r="O164" s="112" t="str">
        <f>IF(preDEL!$AG164,IFERROR(0/0,""),preDEL!O164)</f>
        <v/>
      </c>
      <c r="P164" s="110" t="b">
        <f>IF(preDEL!$AG164,IFERROR(0/0,""),preDEL!P164)</f>
        <v>0</v>
      </c>
      <c r="Q164" s="110" t="str">
        <f>IF(preDEL!$AG164,IFERROR(0/0,""),preDEL!Q164)</f>
        <v>Result</v>
      </c>
      <c r="R164" s="104" t="b">
        <f>IF(preDEL!$AG164,IFERROR(0/0,""),preDEL!R164)</f>
        <v>1</v>
      </c>
      <c r="S164" s="104">
        <f>IF(preDEL!$AG164,IFERROR(0/0,""),preDEL!S164)</f>
        <v>1</v>
      </c>
      <c r="T164" s="110" t="str">
        <f>IF(preDEL!$AG164,IFERROR(0/0,""),preDEL!T164)</f>
        <v/>
      </c>
      <c r="U164" s="112" t="str">
        <f>IF(preDEL!$AG164,IFERROR(0/0,""),preDEL!U164)</f>
        <v/>
      </c>
      <c r="V164" s="105" t="str">
        <f>IF(preDEL!$AG164,IFERROR(0/0,""),preDEL!V164)</f>
        <v/>
      </c>
      <c r="W164" s="112" t="str">
        <f>IF(preDEL!$AG164,IFERROR(0/0,""),preDEL!W164)</f>
        <v/>
      </c>
      <c r="X164" s="104" t="b">
        <f>IF(preDEL!$AG164,IFERROR(0/0,""),preDEL!X164)</f>
        <v>0</v>
      </c>
      <c r="Y164" s="110" t="b">
        <f>IF(preDEL!$AG164,IFERROR(0/0,""),preDEL!Y164)</f>
        <v>0</v>
      </c>
      <c r="Z164" s="105" t="str">
        <f>IF(preDEL!$AG164,IFERROR(0/0,""),preDEL!Z164)</f>
        <v/>
      </c>
      <c r="AA164" s="110" t="b">
        <f>IF(preDEL!$AG164,IFERROR(0/0,""),preDEL!AA164)</f>
        <v>0</v>
      </c>
      <c r="AB164" s="110" t="b">
        <f>IF(preDEL!$AG164,IFERROR(0/0,""),preDEL!AB164)</f>
        <v>0</v>
      </c>
      <c r="AC164" s="172">
        <f>IF(preDEL!$AG164,IFERROR(0/0,""),preDEL!AC164)</f>
        <v>638</v>
      </c>
      <c r="AD164" s="104" t="b">
        <f>IF(preDEL!$AG164,IFERROR(0/0,""),preDEL!AD164)</f>
        <v>0</v>
      </c>
      <c r="AE164" s="173" t="str">
        <f>IF(preDEL!$AG164,IFERROR(0/0,""),preDEL!AE164)</f>
        <v/>
      </c>
      <c r="AF164" s="110" t="b">
        <f>IF(preDEL!$AG164,IFERROR(0/0,""),preDEL!AF164)</f>
        <v>0</v>
      </c>
      <c r="AG164" s="110" t="b">
        <f>IF(preDEL!$AG164,IFERROR(0/0,""),preDEL!AG164)</f>
        <v>0</v>
      </c>
      <c r="AH164" s="104" t="str">
        <f>IF(preDEL!$AG164,IFERROR(0/0,""),preDEL!AH164)</f>
        <v/>
      </c>
      <c r="AI164" s="105" t="str">
        <f>IF(preDEL!$AG164,IFERROR(0/0,""),preDEL!AI164)</f>
        <v/>
      </c>
      <c r="AJ164" s="112" t="str">
        <f>IF(preDEL!$AG164,IFERROR(0/0,""),preDEL!AJ164)</f>
        <v/>
      </c>
      <c r="AK164" s="105" t="str">
        <f>IF(preDEL!$AG164,IFERROR(0/0,""),preDEL!AK164)</f>
        <v>Positive</v>
      </c>
      <c r="AL164" s="112" t="str">
        <f>IF(preDEL!$AG164,IFERROR(0/0,""),preDEL!AL164)</f>
        <v/>
      </c>
      <c r="AM164" s="112" t="str">
        <f>IF(preDEL!$AG164,IFERROR(0/0,""),preDEL!AM164)</f>
        <v>SpBEND394154</v>
      </c>
      <c r="AN164" s="112" t="str">
        <f>IF(preDEL!$AG164,IFERROR(0/0,""),preDEL!AN164)</f>
        <v>BEND732984</v>
      </c>
      <c r="AO164" s="112" t="str">
        <f>IF(preDEL!$AG164,IFERROR(0/0,""),preDEL!AO164)</f>
        <v/>
      </c>
      <c r="AP164" s="112" t="str">
        <f>IF(preDEL!$AG164,IFERROR(0/0,""),preDEL!AP164)</f>
        <v/>
      </c>
      <c r="AQ164" s="112" t="str">
        <f>IF(preDEL!$AG164,IFERROR(0/0,""),preDEL!AQ164)</f>
        <v/>
      </c>
      <c r="AR164" s="112" t="str">
        <f>IF(preDEL!$AG164,IFERROR(0/0,""),preDEL!AR164)</f>
        <v/>
      </c>
      <c r="AS164" s="112" t="str">
        <f>IF(preDEL!$AG164,IFERROR(0/0,""),preDEL!AS164)</f>
        <v/>
      </c>
      <c r="AT164" s="112" t="b">
        <f>IF(preDEL!$AG164,IFERROR(0/0,""),preDEL!AT164)</f>
        <v>0</v>
      </c>
      <c r="AU164" s="112" t="str">
        <f>IF(preDEL!$AG164,IFERROR(0/0,""),preDEL!AU164)</f>
        <v/>
      </c>
      <c r="AV164" s="112" t="str">
        <f>IF(preDEL!$AG164,IFERROR(0/0,""),preDEL!AV164)</f>
        <v/>
      </c>
      <c r="AW164" s="112" t="str">
        <f>IF(preDEL!$AG164,IFERROR(0/0,""),preDEL!AW164)</f>
        <v/>
      </c>
      <c r="AX164" s="112" t="str">
        <f>IF(preDEL!$AG164,IFERROR(0/0,""),preDEL!AX164)</f>
        <v/>
      </c>
      <c r="AY164" s="112" t="str">
        <f>IF(preDEL!$AG164,IFERROR(0/0,""),preDEL!AY164)</f>
        <v/>
      </c>
      <c r="AZ164" s="174"/>
      <c r="BA164" s="174"/>
      <c r="BB164" s="174"/>
      <c r="BC164" s="174"/>
      <c r="BD164" s="174"/>
      <c r="BE164" s="174"/>
      <c r="BF164" s="174"/>
      <c r="BG164" s="174"/>
      <c r="BH164" s="174"/>
      <c r="BI164" s="174"/>
      <c r="BJ164" s="174"/>
      <c r="BK164" s="174"/>
      <c r="BL164" s="174"/>
      <c r="BM164" s="174"/>
      <c r="BN164" s="174"/>
      <c r="BO164" s="174"/>
      <c r="BP164" s="174"/>
      <c r="BQ164" s="174"/>
      <c r="BR164" s="174"/>
      <c r="BS164" s="174"/>
      <c r="BT164" s="174"/>
      <c r="BU164" s="174"/>
      <c r="BV164" s="174"/>
      <c r="BW164" s="174"/>
      <c r="BX164" s="174"/>
      <c r="BY164" s="174"/>
      <c r="BZ164" s="174"/>
      <c r="CA164" s="174"/>
      <c r="CB164" s="174"/>
      <c r="CC164" s="174"/>
      <c r="CD164" s="174"/>
    </row>
    <row r="165">
      <c r="A165" s="105" t="str">
        <f>IF(preDEL!$AG165,IFERROR(0/0,""),preDEL!A165)</f>
        <v>MA436</v>
      </c>
      <c r="B165" s="170">
        <f>IF(preDEL!$AG165,IFERROR(0/0,""),preDEL!B165)</f>
        <v>44571</v>
      </c>
      <c r="C165" s="171">
        <f>IF(preDEL!$AG165,IFERROR(0/0,""),preDEL!C165)</f>
        <v>0.4281134259</v>
      </c>
      <c r="D165" s="105" t="str">
        <f>IF(preDEL!$AG165,IFERROR(0/0,""),preDEL!D165)</f>
        <v/>
      </c>
      <c r="E165" s="105" t="str">
        <f>IF(preDEL!$AG165,IFERROR(0/0,""),preDEL!E165)</f>
        <v/>
      </c>
      <c r="F165" s="112" t="str">
        <f>IF(preDEL!$AG165,IFERROR(0/0,""),preDEL!F165)</f>
        <v/>
      </c>
      <c r="G165" s="112" t="str">
        <f>IF(preDEL!$AG165,IFERROR(0/0,""),preDEL!G165)</f>
        <v/>
      </c>
      <c r="H165" s="112" t="str">
        <f>IF(preDEL!$AG165,IFERROR(0/0,""),preDEL!H165)</f>
        <v/>
      </c>
      <c r="I165" s="105" t="str">
        <f>IF(preDEL!$AG165,IFERROR(0/0,""),preDEL!I165)</f>
        <v/>
      </c>
      <c r="J165" s="105" t="str">
        <f>IF(preDEL!$AG165,IFERROR(0/0,""),preDEL!J165)</f>
        <v/>
      </c>
      <c r="K165" s="105" t="str">
        <f>IF(preDEL!$AG165,IFERROR(0/0,""),preDEL!K165)</f>
        <v>Negative</v>
      </c>
      <c r="L165" s="170">
        <f>IF(preDEL!$AG165,IFERROR(0/0,""),preDEL!L165)</f>
        <v>44571</v>
      </c>
      <c r="M165" s="171">
        <f>IF(preDEL!$AG165,IFERROR(0/0,""),preDEL!M165)</f>
        <v>0.4659837963</v>
      </c>
      <c r="N165" s="112" t="str">
        <f>IF(preDEL!$AG165,IFERROR(0/0,""),preDEL!N165)</f>
        <v/>
      </c>
      <c r="O165" s="112" t="str">
        <f>IF(preDEL!$AG165,IFERROR(0/0,""),preDEL!O165)</f>
        <v/>
      </c>
      <c r="P165" s="110" t="b">
        <f>IF(preDEL!$AG165,IFERROR(0/0,""),preDEL!P165)</f>
        <v>0</v>
      </c>
      <c r="Q165" s="110" t="str">
        <f>IF(preDEL!$AG165,IFERROR(0/0,""),preDEL!Q165)</f>
        <v>Result</v>
      </c>
      <c r="R165" s="104" t="b">
        <f>IF(preDEL!$AG165,IFERROR(0/0,""),preDEL!R165)</f>
        <v>1</v>
      </c>
      <c r="S165" s="104">
        <f>IF(preDEL!$AG165,IFERROR(0/0,""),preDEL!S165)</f>
        <v>1</v>
      </c>
      <c r="T165" s="110" t="str">
        <f>IF(preDEL!$AG165,IFERROR(0/0,""),preDEL!T165)</f>
        <v/>
      </c>
      <c r="U165" s="112" t="str">
        <f>IF(preDEL!$AG165,IFERROR(0/0,""),preDEL!U165)</f>
        <v/>
      </c>
      <c r="V165" s="105" t="str">
        <f>IF(preDEL!$AG165,IFERROR(0/0,""),preDEL!V165)</f>
        <v/>
      </c>
      <c r="W165" s="112" t="str">
        <f>IF(preDEL!$AG165,IFERROR(0/0,""),preDEL!W165)</f>
        <v/>
      </c>
      <c r="X165" s="104" t="b">
        <f>IF(preDEL!$AG165,IFERROR(0/0,""),preDEL!X165)</f>
        <v>0</v>
      </c>
      <c r="Y165" s="110" t="b">
        <f>IF(preDEL!$AG165,IFERROR(0/0,""),preDEL!Y165)</f>
        <v>0</v>
      </c>
      <c r="Z165" s="105" t="str">
        <f>IF(preDEL!$AG165,IFERROR(0/0,""),preDEL!Z165)</f>
        <v/>
      </c>
      <c r="AA165" s="110" t="b">
        <f>IF(preDEL!$AG165,IFERROR(0/0,""),preDEL!AA165)</f>
        <v>0</v>
      </c>
      <c r="AB165" s="110" t="b">
        <f>IF(preDEL!$AG165,IFERROR(0/0,""),preDEL!AB165)</f>
        <v>0</v>
      </c>
      <c r="AC165" s="172">
        <f>IF(preDEL!$AG165,IFERROR(0/0,""),preDEL!AC165)</f>
        <v>637</v>
      </c>
      <c r="AD165" s="104" t="b">
        <f>IF(preDEL!$AG165,IFERROR(0/0,""),preDEL!AD165)</f>
        <v>0</v>
      </c>
      <c r="AE165" s="173">
        <f>IF(preDEL!$AG165,IFERROR(0/0,""),preDEL!AE165)</f>
        <v>54.53333333</v>
      </c>
      <c r="AF165" s="110" t="b">
        <f>IF(preDEL!$AG165,IFERROR(0/0,""),preDEL!AF165)</f>
        <v>0</v>
      </c>
      <c r="AG165" s="110" t="b">
        <f>IF(preDEL!$AG165,IFERROR(0/0,""),preDEL!AG165)</f>
        <v>0</v>
      </c>
      <c r="AH165" s="104" t="str">
        <f>IF(preDEL!$AG165,IFERROR(0/0,""),preDEL!AH165)</f>
        <v/>
      </c>
      <c r="AI165" s="105" t="str">
        <f>IF(preDEL!$AG165,IFERROR(0/0,""),preDEL!AI165)</f>
        <v/>
      </c>
      <c r="AJ165" s="112" t="str">
        <f>IF(preDEL!$AG165,IFERROR(0/0,""),preDEL!AJ165)</f>
        <v/>
      </c>
      <c r="AK165" s="105" t="str">
        <f>IF(preDEL!$AG165,IFERROR(0/0,""),preDEL!AK165)</f>
        <v>Negative</v>
      </c>
      <c r="AL165" s="112" t="str">
        <f>IF(preDEL!$AG165,IFERROR(0/0,""),preDEL!AL165)</f>
        <v/>
      </c>
      <c r="AM165" s="112" t="str">
        <f>IF(preDEL!$AG165,IFERROR(0/0,""),preDEL!AM165)</f>
        <v>SpBEND394154</v>
      </c>
      <c r="AN165" s="112" t="str">
        <f>IF(preDEL!$AG165,IFERROR(0/0,""),preDEL!AN165)</f>
        <v>BEND949481</v>
      </c>
      <c r="AO165" s="112" t="str">
        <f>IF(preDEL!$AG165,IFERROR(0/0,""),preDEL!AO165)</f>
        <v/>
      </c>
      <c r="AP165" s="112" t="str">
        <f>IF(preDEL!$AG165,IFERROR(0/0,""),preDEL!AP165)</f>
        <v/>
      </c>
      <c r="AQ165" s="112" t="str">
        <f>IF(preDEL!$AG165,IFERROR(0/0,""),preDEL!AQ165)</f>
        <v/>
      </c>
      <c r="AR165" s="112" t="str">
        <f>IF(preDEL!$AG165,IFERROR(0/0,""),preDEL!AR165)</f>
        <v/>
      </c>
      <c r="AS165" s="112" t="str">
        <f>IF(preDEL!$AG165,IFERROR(0/0,""),preDEL!AS165)</f>
        <v/>
      </c>
      <c r="AT165" s="112" t="b">
        <f>IF(preDEL!$AG165,IFERROR(0/0,""),preDEL!AT165)</f>
        <v>0</v>
      </c>
      <c r="AU165" s="112" t="str">
        <f>IF(preDEL!$AG165,IFERROR(0/0,""),preDEL!AU165)</f>
        <v/>
      </c>
      <c r="AV165" s="112" t="str">
        <f>IF(preDEL!$AG165,IFERROR(0/0,""),preDEL!AV165)</f>
        <v/>
      </c>
      <c r="AW165" s="112" t="str">
        <f>IF(preDEL!$AG165,IFERROR(0/0,""),preDEL!AW165)</f>
        <v/>
      </c>
      <c r="AX165" s="112" t="str">
        <f>IF(preDEL!$AG165,IFERROR(0/0,""),preDEL!AX165)</f>
        <v/>
      </c>
      <c r="AY165" s="112" t="str">
        <f>IF(preDEL!$AG165,IFERROR(0/0,""),preDEL!AY165)</f>
        <v/>
      </c>
      <c r="AZ165" s="174"/>
      <c r="BA165" s="174"/>
      <c r="BB165" s="174"/>
      <c r="BC165" s="174"/>
      <c r="BD165" s="174"/>
      <c r="BE165" s="174"/>
      <c r="BF165" s="174"/>
      <c r="BG165" s="174"/>
      <c r="BH165" s="174"/>
      <c r="BI165" s="174"/>
      <c r="BJ165" s="174"/>
      <c r="BK165" s="174"/>
      <c r="BL165" s="174"/>
      <c r="BM165" s="174"/>
      <c r="BN165" s="174"/>
      <c r="BO165" s="174"/>
      <c r="BP165" s="174"/>
      <c r="BQ165" s="174"/>
      <c r="BR165" s="174"/>
      <c r="BS165" s="174"/>
      <c r="BT165" s="174"/>
      <c r="BU165" s="174"/>
      <c r="BV165" s="174"/>
      <c r="BW165" s="174"/>
      <c r="BX165" s="174"/>
      <c r="BY165" s="174"/>
      <c r="BZ165" s="174"/>
      <c r="CA165" s="174"/>
      <c r="CB165" s="174"/>
      <c r="CC165" s="174"/>
      <c r="CD165" s="174"/>
    </row>
    <row r="166">
      <c r="A166" s="105" t="str">
        <f>IF(preDEL!$AG166,IFERROR(0/0,""),preDEL!A166)</f>
        <v>MA468</v>
      </c>
      <c r="B166" s="170">
        <f>IF(preDEL!$AG166,IFERROR(0/0,""),preDEL!B166)</f>
        <v>44571</v>
      </c>
      <c r="C166" s="171">
        <f>IF(preDEL!$AG166,IFERROR(0/0,""),preDEL!C166)</f>
        <v>0.4286111111</v>
      </c>
      <c r="D166" s="105" t="str">
        <f>IF(preDEL!$AG166,IFERROR(0/0,""),preDEL!D166)</f>
        <v/>
      </c>
      <c r="E166" s="105" t="str">
        <f>IF(preDEL!$AG166,IFERROR(0/0,""),preDEL!E166)</f>
        <v/>
      </c>
      <c r="F166" s="112" t="str">
        <f>IF(preDEL!$AG166,IFERROR(0/0,""),preDEL!F166)</f>
        <v/>
      </c>
      <c r="G166" s="112" t="str">
        <f>IF(preDEL!$AG166,IFERROR(0/0,""),preDEL!G166)</f>
        <v/>
      </c>
      <c r="H166" s="112" t="str">
        <f>IF(preDEL!$AG166,IFERROR(0/0,""),preDEL!H166)</f>
        <v/>
      </c>
      <c r="I166" s="105" t="str">
        <f>IF(preDEL!$AG166,IFERROR(0/0,""),preDEL!I166)</f>
        <v/>
      </c>
      <c r="J166" s="105" t="str">
        <f>IF(preDEL!$AG166,IFERROR(0/0,""),preDEL!J166)</f>
        <v/>
      </c>
      <c r="K166" s="105" t="str">
        <f>IF(preDEL!$AG166,IFERROR(0/0,""),preDEL!K166)</f>
        <v>Negative</v>
      </c>
      <c r="L166" s="170">
        <f>IF(preDEL!$AG166,IFERROR(0/0,""),preDEL!L166)</f>
        <v>44571</v>
      </c>
      <c r="M166" s="171">
        <f>IF(preDEL!$AG166,IFERROR(0/0,""),preDEL!M166)</f>
        <v>0.4659837963</v>
      </c>
      <c r="N166" s="112" t="str">
        <f>IF(preDEL!$AG166,IFERROR(0/0,""),preDEL!N166)</f>
        <v/>
      </c>
      <c r="O166" s="112" t="str">
        <f>IF(preDEL!$AG166,IFERROR(0/0,""),preDEL!O166)</f>
        <v/>
      </c>
      <c r="P166" s="110" t="b">
        <f>IF(preDEL!$AG166,IFERROR(0/0,""),preDEL!P166)</f>
        <v>0</v>
      </c>
      <c r="Q166" s="110" t="str">
        <f>IF(preDEL!$AG166,IFERROR(0/0,""),preDEL!Q166)</f>
        <v>Result</v>
      </c>
      <c r="R166" s="104" t="b">
        <f>IF(preDEL!$AG166,IFERROR(0/0,""),preDEL!R166)</f>
        <v>1</v>
      </c>
      <c r="S166" s="104">
        <f>IF(preDEL!$AG166,IFERROR(0/0,""),preDEL!S166)</f>
        <v>1</v>
      </c>
      <c r="T166" s="110" t="str">
        <f>IF(preDEL!$AG166,IFERROR(0/0,""),preDEL!T166)</f>
        <v/>
      </c>
      <c r="U166" s="112" t="str">
        <f>IF(preDEL!$AG166,IFERROR(0/0,""),preDEL!U166)</f>
        <v/>
      </c>
      <c r="V166" s="105" t="str">
        <f>IF(preDEL!$AG166,IFERROR(0/0,""),preDEL!V166)</f>
        <v/>
      </c>
      <c r="W166" s="112" t="str">
        <f>IF(preDEL!$AG166,IFERROR(0/0,""),preDEL!W166)</f>
        <v/>
      </c>
      <c r="X166" s="104" t="b">
        <f>IF(preDEL!$AG166,IFERROR(0/0,""),preDEL!X166)</f>
        <v>0</v>
      </c>
      <c r="Y166" s="110" t="b">
        <f>IF(preDEL!$AG166,IFERROR(0/0,""),preDEL!Y166)</f>
        <v>0</v>
      </c>
      <c r="Z166" s="105" t="str">
        <f>IF(preDEL!$AG166,IFERROR(0/0,""),preDEL!Z166)</f>
        <v/>
      </c>
      <c r="AA166" s="110" t="b">
        <f>IF(preDEL!$AG166,IFERROR(0/0,""),preDEL!AA166)</f>
        <v>0</v>
      </c>
      <c r="AB166" s="110" t="b">
        <f>IF(preDEL!$AG166,IFERROR(0/0,""),preDEL!AB166)</f>
        <v>0</v>
      </c>
      <c r="AC166" s="172">
        <f>IF(preDEL!$AG166,IFERROR(0/0,""),preDEL!AC166)</f>
        <v>636</v>
      </c>
      <c r="AD166" s="104" t="b">
        <f>IF(preDEL!$AG166,IFERROR(0/0,""),preDEL!AD166)</f>
        <v>0</v>
      </c>
      <c r="AE166" s="173">
        <f>IF(preDEL!$AG166,IFERROR(0/0,""),preDEL!AE166)</f>
        <v>53.81666667</v>
      </c>
      <c r="AF166" s="110" t="b">
        <f>IF(preDEL!$AG166,IFERROR(0/0,""),preDEL!AF166)</f>
        <v>0</v>
      </c>
      <c r="AG166" s="110" t="b">
        <f>IF(preDEL!$AG166,IFERROR(0/0,""),preDEL!AG166)</f>
        <v>0</v>
      </c>
      <c r="AH166" s="104" t="str">
        <f>IF(preDEL!$AG166,IFERROR(0/0,""),preDEL!AH166)</f>
        <v/>
      </c>
      <c r="AI166" s="105" t="str">
        <f>IF(preDEL!$AG166,IFERROR(0/0,""),preDEL!AI166)</f>
        <v/>
      </c>
      <c r="AJ166" s="112" t="str">
        <f>IF(preDEL!$AG166,IFERROR(0/0,""),preDEL!AJ166)</f>
        <v/>
      </c>
      <c r="AK166" s="105" t="str">
        <f>IF(preDEL!$AG166,IFERROR(0/0,""),preDEL!AK166)</f>
        <v>Negative</v>
      </c>
      <c r="AL166" s="112" t="str">
        <f>IF(preDEL!$AG166,IFERROR(0/0,""),preDEL!AL166)</f>
        <v/>
      </c>
      <c r="AM166" s="112" t="str">
        <f>IF(preDEL!$AG166,IFERROR(0/0,""),preDEL!AM166)</f>
        <v>SpBEND394154</v>
      </c>
      <c r="AN166" s="112" t="str">
        <f>IF(preDEL!$AG166,IFERROR(0/0,""),preDEL!AN166)</f>
        <v>BEND637711</v>
      </c>
      <c r="AO166" s="112" t="str">
        <f>IF(preDEL!$AG166,IFERROR(0/0,""),preDEL!AO166)</f>
        <v/>
      </c>
      <c r="AP166" s="112" t="str">
        <f>IF(preDEL!$AG166,IFERROR(0/0,""),preDEL!AP166)</f>
        <v/>
      </c>
      <c r="AQ166" s="112" t="str">
        <f>IF(preDEL!$AG166,IFERROR(0/0,""),preDEL!AQ166)</f>
        <v/>
      </c>
      <c r="AR166" s="112" t="str">
        <f>IF(preDEL!$AG166,IFERROR(0/0,""),preDEL!AR166)</f>
        <v/>
      </c>
      <c r="AS166" s="112" t="str">
        <f>IF(preDEL!$AG166,IFERROR(0/0,""),preDEL!AS166)</f>
        <v/>
      </c>
      <c r="AT166" s="112" t="b">
        <f>IF(preDEL!$AG166,IFERROR(0/0,""),preDEL!AT166)</f>
        <v>0</v>
      </c>
      <c r="AU166" s="112" t="str">
        <f>IF(preDEL!$AG166,IFERROR(0/0,""),preDEL!AU166)</f>
        <v/>
      </c>
      <c r="AV166" s="112" t="str">
        <f>IF(preDEL!$AG166,IFERROR(0/0,""),preDEL!AV166)</f>
        <v/>
      </c>
      <c r="AW166" s="112" t="str">
        <f>IF(preDEL!$AG166,IFERROR(0/0,""),preDEL!AW166)</f>
        <v/>
      </c>
      <c r="AX166" s="112" t="str">
        <f>IF(preDEL!$AG166,IFERROR(0/0,""),preDEL!AX166)</f>
        <v/>
      </c>
      <c r="AY166" s="112" t="str">
        <f>IF(preDEL!$AG166,IFERROR(0/0,""),preDEL!AY166)</f>
        <v/>
      </c>
      <c r="AZ166" s="174"/>
      <c r="BA166" s="174"/>
      <c r="BB166" s="174"/>
      <c r="BC166" s="174"/>
      <c r="BD166" s="174"/>
      <c r="BE166" s="174"/>
      <c r="BF166" s="174"/>
      <c r="BG166" s="174"/>
      <c r="BH166" s="174"/>
      <c r="BI166" s="174"/>
      <c r="BJ166" s="174"/>
      <c r="BK166" s="174"/>
      <c r="BL166" s="174"/>
      <c r="BM166" s="174"/>
      <c r="BN166" s="174"/>
      <c r="BO166" s="174"/>
      <c r="BP166" s="174"/>
      <c r="BQ166" s="174"/>
      <c r="BR166" s="174"/>
      <c r="BS166" s="174"/>
      <c r="BT166" s="174"/>
      <c r="BU166" s="174"/>
      <c r="BV166" s="174"/>
      <c r="BW166" s="174"/>
      <c r="BX166" s="174"/>
      <c r="BY166" s="174"/>
      <c r="BZ166" s="174"/>
      <c r="CA166" s="174"/>
      <c r="CB166" s="174"/>
      <c r="CC166" s="174"/>
      <c r="CD166" s="174"/>
    </row>
    <row r="167">
      <c r="A167" s="105" t="str">
        <f>IF(preDEL!$AG167,IFERROR(0/0,""),preDEL!A167)</f>
        <v>MA622</v>
      </c>
      <c r="B167" s="170">
        <f>IF(preDEL!$AG167,IFERROR(0/0,""),preDEL!B167)</f>
        <v>44571</v>
      </c>
      <c r="C167" s="171">
        <f>IF(preDEL!$AG167,IFERROR(0/0,""),preDEL!C167)</f>
        <v>0.4290162037</v>
      </c>
      <c r="D167" s="105" t="str">
        <f>IF(preDEL!$AG167,IFERROR(0/0,""),preDEL!D167)</f>
        <v/>
      </c>
      <c r="E167" s="105" t="str">
        <f>IF(preDEL!$AG167,IFERROR(0/0,""),preDEL!E167)</f>
        <v/>
      </c>
      <c r="F167" s="112" t="str">
        <f>IF(preDEL!$AG167,IFERROR(0/0,""),preDEL!F167)</f>
        <v/>
      </c>
      <c r="G167" s="112" t="str">
        <f>IF(preDEL!$AG167,IFERROR(0/0,""),preDEL!G167)</f>
        <v/>
      </c>
      <c r="H167" s="112" t="str">
        <f>IF(preDEL!$AG167,IFERROR(0/0,""),preDEL!H167)</f>
        <v/>
      </c>
      <c r="I167" s="105" t="str">
        <f>IF(preDEL!$AG167,IFERROR(0/0,""),preDEL!I167)</f>
        <v/>
      </c>
      <c r="J167" s="105" t="str">
        <f>IF(preDEL!$AG167,IFERROR(0/0,""),preDEL!J167)</f>
        <v/>
      </c>
      <c r="K167" s="105" t="str">
        <f>IF(preDEL!$AG167,IFERROR(0/0,""),preDEL!K167)</f>
        <v>Negative</v>
      </c>
      <c r="L167" s="170">
        <f>IF(preDEL!$AG167,IFERROR(0/0,""),preDEL!L167)</f>
        <v>44571</v>
      </c>
      <c r="M167" s="171">
        <f>IF(preDEL!$AG167,IFERROR(0/0,""),preDEL!M167)</f>
        <v>0.4659837963</v>
      </c>
      <c r="N167" s="112" t="str">
        <f>IF(preDEL!$AG167,IFERROR(0/0,""),preDEL!N167)</f>
        <v/>
      </c>
      <c r="O167" s="112" t="str">
        <f>IF(preDEL!$AG167,IFERROR(0/0,""),preDEL!O167)</f>
        <v/>
      </c>
      <c r="P167" s="110" t="b">
        <f>IF(preDEL!$AG167,IFERROR(0/0,""),preDEL!P167)</f>
        <v>0</v>
      </c>
      <c r="Q167" s="110" t="str">
        <f>IF(preDEL!$AG167,IFERROR(0/0,""),preDEL!Q167)</f>
        <v>Result</v>
      </c>
      <c r="R167" s="104" t="b">
        <f>IF(preDEL!$AG167,IFERROR(0/0,""),preDEL!R167)</f>
        <v>1</v>
      </c>
      <c r="S167" s="104">
        <f>IF(preDEL!$AG167,IFERROR(0/0,""),preDEL!S167)</f>
        <v>1</v>
      </c>
      <c r="T167" s="110" t="str">
        <f>IF(preDEL!$AG167,IFERROR(0/0,""),preDEL!T167)</f>
        <v/>
      </c>
      <c r="U167" s="112" t="str">
        <f>IF(preDEL!$AG167,IFERROR(0/0,""),preDEL!U167)</f>
        <v/>
      </c>
      <c r="V167" s="105" t="str">
        <f>IF(preDEL!$AG167,IFERROR(0/0,""),preDEL!V167)</f>
        <v/>
      </c>
      <c r="W167" s="112" t="str">
        <f>IF(preDEL!$AG167,IFERROR(0/0,""),preDEL!W167)</f>
        <v/>
      </c>
      <c r="X167" s="104" t="b">
        <f>IF(preDEL!$AG167,IFERROR(0/0,""),preDEL!X167)</f>
        <v>0</v>
      </c>
      <c r="Y167" s="110" t="b">
        <f>IF(preDEL!$AG167,IFERROR(0/0,""),preDEL!Y167)</f>
        <v>0</v>
      </c>
      <c r="Z167" s="105" t="str">
        <f>IF(preDEL!$AG167,IFERROR(0/0,""),preDEL!Z167)</f>
        <v/>
      </c>
      <c r="AA167" s="110" t="b">
        <f>IF(preDEL!$AG167,IFERROR(0/0,""),preDEL!AA167)</f>
        <v>0</v>
      </c>
      <c r="AB167" s="110" t="b">
        <f>IF(preDEL!$AG167,IFERROR(0/0,""),preDEL!AB167)</f>
        <v>0</v>
      </c>
      <c r="AC167" s="172">
        <f>IF(preDEL!$AG167,IFERROR(0/0,""),preDEL!AC167)</f>
        <v>635</v>
      </c>
      <c r="AD167" s="104" t="b">
        <f>IF(preDEL!$AG167,IFERROR(0/0,""),preDEL!AD167)</f>
        <v>0</v>
      </c>
      <c r="AE167" s="173">
        <f>IF(preDEL!$AG167,IFERROR(0/0,""),preDEL!AE167)</f>
        <v>53.23333333</v>
      </c>
      <c r="AF167" s="110" t="b">
        <f>IF(preDEL!$AG167,IFERROR(0/0,""),preDEL!AF167)</f>
        <v>0</v>
      </c>
      <c r="AG167" s="110" t="b">
        <f>IF(preDEL!$AG167,IFERROR(0/0,""),preDEL!AG167)</f>
        <v>0</v>
      </c>
      <c r="AH167" s="104" t="str">
        <f>IF(preDEL!$AG167,IFERROR(0/0,""),preDEL!AH167)</f>
        <v/>
      </c>
      <c r="AI167" s="105" t="str">
        <f>IF(preDEL!$AG167,IFERROR(0/0,""),preDEL!AI167)</f>
        <v/>
      </c>
      <c r="AJ167" s="112" t="str">
        <f>IF(preDEL!$AG167,IFERROR(0/0,""),preDEL!AJ167)</f>
        <v/>
      </c>
      <c r="AK167" s="105" t="str">
        <f>IF(preDEL!$AG167,IFERROR(0/0,""),preDEL!AK167)</f>
        <v>Negative</v>
      </c>
      <c r="AL167" s="112" t="str">
        <f>IF(preDEL!$AG167,IFERROR(0/0,""),preDEL!AL167)</f>
        <v/>
      </c>
      <c r="AM167" s="112" t="str">
        <f>IF(preDEL!$AG167,IFERROR(0/0,""),preDEL!AM167)</f>
        <v>SpBEND394154</v>
      </c>
      <c r="AN167" s="112" t="str">
        <f>IF(preDEL!$AG167,IFERROR(0/0,""),preDEL!AN167)</f>
        <v>BEND296589</v>
      </c>
      <c r="AO167" s="112" t="str">
        <f>IF(preDEL!$AG167,IFERROR(0/0,""),preDEL!AO167)</f>
        <v/>
      </c>
      <c r="AP167" s="112" t="str">
        <f>IF(preDEL!$AG167,IFERROR(0/0,""),preDEL!AP167)</f>
        <v/>
      </c>
      <c r="AQ167" s="112" t="str">
        <f>IF(preDEL!$AG167,IFERROR(0/0,""),preDEL!AQ167)</f>
        <v/>
      </c>
      <c r="AR167" s="112" t="str">
        <f>IF(preDEL!$AG167,IFERROR(0/0,""),preDEL!AR167)</f>
        <v/>
      </c>
      <c r="AS167" s="112" t="str">
        <f>IF(preDEL!$AG167,IFERROR(0/0,""),preDEL!AS167)</f>
        <v/>
      </c>
      <c r="AT167" s="112" t="b">
        <f>IF(preDEL!$AG167,IFERROR(0/0,""),preDEL!AT167)</f>
        <v>0</v>
      </c>
      <c r="AU167" s="112" t="str">
        <f>IF(preDEL!$AG167,IFERROR(0/0,""),preDEL!AU167)</f>
        <v/>
      </c>
      <c r="AV167" s="112" t="str">
        <f>IF(preDEL!$AG167,IFERROR(0/0,""),preDEL!AV167)</f>
        <v/>
      </c>
      <c r="AW167" s="112" t="str">
        <f>IF(preDEL!$AG167,IFERROR(0/0,""),preDEL!AW167)</f>
        <v/>
      </c>
      <c r="AX167" s="112" t="str">
        <f>IF(preDEL!$AG167,IFERROR(0/0,""),preDEL!AX167)</f>
        <v/>
      </c>
      <c r="AY167" s="112" t="str">
        <f>IF(preDEL!$AG167,IFERROR(0/0,""),preDEL!AY167)</f>
        <v/>
      </c>
      <c r="AZ167" s="174"/>
      <c r="BA167" s="174"/>
      <c r="BB167" s="174"/>
      <c r="BC167" s="174"/>
      <c r="BD167" s="174"/>
      <c r="BE167" s="174"/>
      <c r="BF167" s="174"/>
      <c r="BG167" s="174"/>
      <c r="BH167" s="174"/>
      <c r="BI167" s="174"/>
      <c r="BJ167" s="174"/>
      <c r="BK167" s="174"/>
      <c r="BL167" s="174"/>
      <c r="BM167" s="174"/>
      <c r="BN167" s="174"/>
      <c r="BO167" s="174"/>
      <c r="BP167" s="174"/>
      <c r="BQ167" s="174"/>
      <c r="BR167" s="174"/>
      <c r="BS167" s="174"/>
      <c r="BT167" s="174"/>
      <c r="BU167" s="174"/>
      <c r="BV167" s="174"/>
      <c r="BW167" s="174"/>
      <c r="BX167" s="174"/>
      <c r="BY167" s="174"/>
      <c r="BZ167" s="174"/>
      <c r="CA167" s="174"/>
      <c r="CB167" s="174"/>
      <c r="CC167" s="174"/>
      <c r="CD167" s="174"/>
    </row>
    <row r="168">
      <c r="A168" s="105" t="str">
        <f>IF(preDEL!$AG168,IFERROR(0/0,""),preDEL!A168)</f>
        <v>MA653</v>
      </c>
      <c r="B168" s="170">
        <f>IF(preDEL!$AG168,IFERROR(0/0,""),preDEL!B168)</f>
        <v>44571</v>
      </c>
      <c r="C168" s="171">
        <f>IF(preDEL!$AG168,IFERROR(0/0,""),preDEL!C168)</f>
        <v>0.4294444444</v>
      </c>
      <c r="D168" s="105" t="str">
        <f>IF(preDEL!$AG168,IFERROR(0/0,""),preDEL!D168)</f>
        <v/>
      </c>
      <c r="E168" s="105" t="str">
        <f>IF(preDEL!$AG168,IFERROR(0/0,""),preDEL!E168)</f>
        <v/>
      </c>
      <c r="F168" s="112" t="str">
        <f>IF(preDEL!$AG168,IFERROR(0/0,""),preDEL!F168)</f>
        <v/>
      </c>
      <c r="G168" s="112" t="str">
        <f>IF(preDEL!$AG168,IFERROR(0/0,""),preDEL!G168)</f>
        <v/>
      </c>
      <c r="H168" s="112" t="str">
        <f>IF(preDEL!$AG168,IFERROR(0/0,""),preDEL!H168)</f>
        <v/>
      </c>
      <c r="I168" s="105" t="str">
        <f>IF(preDEL!$AG168,IFERROR(0/0,""),preDEL!I168)</f>
        <v/>
      </c>
      <c r="J168" s="105" t="str">
        <f>IF(preDEL!$AG168,IFERROR(0/0,""),preDEL!J168)</f>
        <v/>
      </c>
      <c r="K168" s="105" t="str">
        <f>IF(preDEL!$AG168,IFERROR(0/0,""),preDEL!K168)</f>
        <v>Negative</v>
      </c>
      <c r="L168" s="170">
        <f>IF(preDEL!$AG168,IFERROR(0/0,""),preDEL!L168)</f>
        <v>44571</v>
      </c>
      <c r="M168" s="171">
        <f>IF(preDEL!$AG168,IFERROR(0/0,""),preDEL!M168)</f>
        <v>0.4659837963</v>
      </c>
      <c r="N168" s="112" t="str">
        <f>IF(preDEL!$AG168,IFERROR(0/0,""),preDEL!N168)</f>
        <v/>
      </c>
      <c r="O168" s="112" t="str">
        <f>IF(preDEL!$AG168,IFERROR(0/0,""),preDEL!O168)</f>
        <v/>
      </c>
      <c r="P168" s="110" t="b">
        <f>IF(preDEL!$AG168,IFERROR(0/0,""),preDEL!P168)</f>
        <v>0</v>
      </c>
      <c r="Q168" s="110" t="str">
        <f>IF(preDEL!$AG168,IFERROR(0/0,""),preDEL!Q168)</f>
        <v>Result</v>
      </c>
      <c r="R168" s="104" t="b">
        <f>IF(preDEL!$AG168,IFERROR(0/0,""),preDEL!R168)</f>
        <v>1</v>
      </c>
      <c r="S168" s="104">
        <f>IF(preDEL!$AG168,IFERROR(0/0,""),preDEL!S168)</f>
        <v>1</v>
      </c>
      <c r="T168" s="110" t="str">
        <f>IF(preDEL!$AG168,IFERROR(0/0,""),preDEL!T168)</f>
        <v/>
      </c>
      <c r="U168" s="112" t="str">
        <f>IF(preDEL!$AG168,IFERROR(0/0,""),preDEL!U168)</f>
        <v/>
      </c>
      <c r="V168" s="105" t="str">
        <f>IF(preDEL!$AG168,IFERROR(0/0,""),preDEL!V168)</f>
        <v/>
      </c>
      <c r="W168" s="112" t="str">
        <f>IF(preDEL!$AG168,IFERROR(0/0,""),preDEL!W168)</f>
        <v/>
      </c>
      <c r="X168" s="104" t="b">
        <f>IF(preDEL!$AG168,IFERROR(0/0,""),preDEL!X168)</f>
        <v>0</v>
      </c>
      <c r="Y168" s="110" t="b">
        <f>IF(preDEL!$AG168,IFERROR(0/0,""),preDEL!Y168)</f>
        <v>0</v>
      </c>
      <c r="Z168" s="105" t="str">
        <f>IF(preDEL!$AG168,IFERROR(0/0,""),preDEL!Z168)</f>
        <v/>
      </c>
      <c r="AA168" s="110" t="b">
        <f>IF(preDEL!$AG168,IFERROR(0/0,""),preDEL!AA168)</f>
        <v>0</v>
      </c>
      <c r="AB168" s="110" t="b">
        <f>IF(preDEL!$AG168,IFERROR(0/0,""),preDEL!AB168)</f>
        <v>0</v>
      </c>
      <c r="AC168" s="172">
        <f>IF(preDEL!$AG168,IFERROR(0/0,""),preDEL!AC168)</f>
        <v>634</v>
      </c>
      <c r="AD168" s="104" t="b">
        <f>IF(preDEL!$AG168,IFERROR(0/0,""),preDEL!AD168)</f>
        <v>0</v>
      </c>
      <c r="AE168" s="173">
        <f>IF(preDEL!$AG168,IFERROR(0/0,""),preDEL!AE168)</f>
        <v>52.61666667</v>
      </c>
      <c r="AF168" s="110" t="b">
        <f>IF(preDEL!$AG168,IFERROR(0/0,""),preDEL!AF168)</f>
        <v>0</v>
      </c>
      <c r="AG168" s="110" t="b">
        <f>IF(preDEL!$AG168,IFERROR(0/0,""),preDEL!AG168)</f>
        <v>0</v>
      </c>
      <c r="AH168" s="104" t="str">
        <f>IF(preDEL!$AG168,IFERROR(0/0,""),preDEL!AH168)</f>
        <v/>
      </c>
      <c r="AI168" s="105" t="str">
        <f>IF(preDEL!$AG168,IFERROR(0/0,""),preDEL!AI168)</f>
        <v/>
      </c>
      <c r="AJ168" s="112" t="str">
        <f>IF(preDEL!$AG168,IFERROR(0/0,""),preDEL!AJ168)</f>
        <v/>
      </c>
      <c r="AK168" s="105" t="str">
        <f>IF(preDEL!$AG168,IFERROR(0/0,""),preDEL!AK168)</f>
        <v>Negative</v>
      </c>
      <c r="AL168" s="112" t="str">
        <f>IF(preDEL!$AG168,IFERROR(0/0,""),preDEL!AL168)</f>
        <v/>
      </c>
      <c r="AM168" s="112" t="str">
        <f>IF(preDEL!$AG168,IFERROR(0/0,""),preDEL!AM168)</f>
        <v>SpBEND394154</v>
      </c>
      <c r="AN168" s="112" t="str">
        <f>IF(preDEL!$AG168,IFERROR(0/0,""),preDEL!AN168)</f>
        <v>BEND296589</v>
      </c>
      <c r="AO168" s="112" t="str">
        <f>IF(preDEL!$AG168,IFERROR(0/0,""),preDEL!AO168)</f>
        <v/>
      </c>
      <c r="AP168" s="112" t="str">
        <f>IF(preDEL!$AG168,IFERROR(0/0,""),preDEL!AP168)</f>
        <v/>
      </c>
      <c r="AQ168" s="112" t="str">
        <f>IF(preDEL!$AG168,IFERROR(0/0,""),preDEL!AQ168)</f>
        <v/>
      </c>
      <c r="AR168" s="112" t="str">
        <f>IF(preDEL!$AG168,IFERROR(0/0,""),preDEL!AR168)</f>
        <v/>
      </c>
      <c r="AS168" s="112" t="str">
        <f>IF(preDEL!$AG168,IFERROR(0/0,""),preDEL!AS168)</f>
        <v/>
      </c>
      <c r="AT168" s="112" t="b">
        <f>IF(preDEL!$AG168,IFERROR(0/0,""),preDEL!AT168)</f>
        <v>0</v>
      </c>
      <c r="AU168" s="112" t="str">
        <f>IF(preDEL!$AG168,IFERROR(0/0,""),preDEL!AU168)</f>
        <v/>
      </c>
      <c r="AV168" s="112" t="str">
        <f>IF(preDEL!$AG168,IFERROR(0/0,""),preDEL!AV168)</f>
        <v/>
      </c>
      <c r="AW168" s="112" t="str">
        <f>IF(preDEL!$AG168,IFERROR(0/0,""),preDEL!AW168)</f>
        <v/>
      </c>
      <c r="AX168" s="112" t="str">
        <f>IF(preDEL!$AG168,IFERROR(0/0,""),preDEL!AX168)</f>
        <v/>
      </c>
      <c r="AY168" s="112" t="str">
        <f>IF(preDEL!$AG168,IFERROR(0/0,""),preDEL!AY168)</f>
        <v/>
      </c>
      <c r="AZ168" s="174"/>
      <c r="BA168" s="174"/>
      <c r="BB168" s="174"/>
      <c r="BC168" s="174"/>
      <c r="BD168" s="174"/>
      <c r="BE168" s="174"/>
      <c r="BF168" s="174"/>
      <c r="BG168" s="174"/>
      <c r="BH168" s="174"/>
      <c r="BI168" s="174"/>
      <c r="BJ168" s="174"/>
      <c r="BK168" s="174"/>
      <c r="BL168" s="174"/>
      <c r="BM168" s="174"/>
      <c r="BN168" s="174"/>
      <c r="BO168" s="174"/>
      <c r="BP168" s="174"/>
      <c r="BQ168" s="174"/>
      <c r="BR168" s="174"/>
      <c r="BS168" s="174"/>
      <c r="BT168" s="174"/>
      <c r="BU168" s="174"/>
      <c r="BV168" s="174"/>
      <c r="BW168" s="174"/>
      <c r="BX168" s="174"/>
      <c r="BY168" s="174"/>
      <c r="BZ168" s="174"/>
      <c r="CA168" s="174"/>
      <c r="CB168" s="174"/>
      <c r="CC168" s="174"/>
      <c r="CD168" s="174"/>
    </row>
    <row r="169">
      <c r="A169" s="105" t="str">
        <f>IF(preDEL!$AG169,IFERROR(0/0,""),preDEL!A169)</f>
        <v/>
      </c>
      <c r="B169" s="170" t="str">
        <f>IF(preDEL!$AG169,IFERROR(0/0,""),preDEL!B169)</f>
        <v/>
      </c>
      <c r="C169" s="171" t="str">
        <f>IF(preDEL!$AG169,IFERROR(0/0,""),preDEL!C169)</f>
        <v/>
      </c>
      <c r="D169" s="105" t="str">
        <f>IF(preDEL!$AG169,IFERROR(0/0,""),preDEL!D169)</f>
        <v/>
      </c>
      <c r="E169" s="105" t="str">
        <f>IF(preDEL!$AG169,IFERROR(0/0,""),preDEL!E169)</f>
        <v/>
      </c>
      <c r="F169" s="112" t="str">
        <f>IF(preDEL!$AG169,IFERROR(0/0,""),preDEL!F169)</f>
        <v/>
      </c>
      <c r="G169" s="112" t="str">
        <f>IF(preDEL!$AG169,IFERROR(0/0,""),preDEL!G169)</f>
        <v/>
      </c>
      <c r="H169" s="112" t="str">
        <f>IF(preDEL!$AG169,IFERROR(0/0,""),preDEL!H169)</f>
        <v/>
      </c>
      <c r="I169" s="105" t="str">
        <f>IF(preDEL!$AG169,IFERROR(0/0,""),preDEL!I169)</f>
        <v/>
      </c>
      <c r="J169" s="105" t="str">
        <f>IF(preDEL!$AG169,IFERROR(0/0,""),preDEL!J169)</f>
        <v/>
      </c>
      <c r="K169" s="105" t="str">
        <f>IF(preDEL!$AG169,IFERROR(0/0,""),preDEL!K169)</f>
        <v/>
      </c>
      <c r="L169" s="170" t="str">
        <f>IF(preDEL!$AG169,IFERROR(0/0,""),preDEL!L169)</f>
        <v/>
      </c>
      <c r="M169" s="171" t="str">
        <f>IF(preDEL!$AG169,IFERROR(0/0,""),preDEL!M169)</f>
        <v/>
      </c>
      <c r="N169" s="112" t="str">
        <f>IF(preDEL!$AG169,IFERROR(0/0,""),preDEL!N169)</f>
        <v/>
      </c>
      <c r="O169" s="112" t="str">
        <f>IF(preDEL!$AG169,IFERROR(0/0,""),preDEL!O169)</f>
        <v/>
      </c>
      <c r="P169" s="110" t="str">
        <f>IF(preDEL!$AG169,IFERROR(0/0,""),preDEL!P169)</f>
        <v/>
      </c>
      <c r="Q169" s="110" t="str">
        <f>IF(preDEL!$AG169,IFERROR(0/0,""),preDEL!Q169)</f>
        <v/>
      </c>
      <c r="R169" s="104" t="str">
        <f>IF(preDEL!$AG169,IFERROR(0/0,""),preDEL!R169)</f>
        <v/>
      </c>
      <c r="S169" s="104" t="str">
        <f>IF(preDEL!$AG169,IFERROR(0/0,""),preDEL!S169)</f>
        <v/>
      </c>
      <c r="T169" s="110" t="str">
        <f>IF(preDEL!$AG169,IFERROR(0/0,""),preDEL!T169)</f>
        <v/>
      </c>
      <c r="U169" s="112" t="str">
        <f>IF(preDEL!$AG169,IFERROR(0/0,""),preDEL!U169)</f>
        <v/>
      </c>
      <c r="V169" s="105" t="str">
        <f>IF(preDEL!$AG169,IFERROR(0/0,""),preDEL!V169)</f>
        <v/>
      </c>
      <c r="W169" s="112" t="str">
        <f>IF(preDEL!$AG169,IFERROR(0/0,""),preDEL!W169)</f>
        <v/>
      </c>
      <c r="X169" s="104" t="str">
        <f>IF(preDEL!$AG169,IFERROR(0/0,""),preDEL!X169)</f>
        <v/>
      </c>
      <c r="Y169" s="110" t="str">
        <f>IF(preDEL!$AG169,IFERROR(0/0,""),preDEL!Y169)</f>
        <v/>
      </c>
      <c r="Z169" s="105" t="str">
        <f>IF(preDEL!$AG169,IFERROR(0/0,""),preDEL!Z169)</f>
        <v/>
      </c>
      <c r="AA169" s="110" t="str">
        <f>IF(preDEL!$AG169,IFERROR(0/0,""),preDEL!AA169)</f>
        <v/>
      </c>
      <c r="AB169" s="110" t="str">
        <f>IF(preDEL!$AG169,IFERROR(0/0,""),preDEL!AB169)</f>
        <v/>
      </c>
      <c r="AC169" s="172" t="str">
        <f>IF(preDEL!$AG169,IFERROR(0/0,""),preDEL!AC169)</f>
        <v/>
      </c>
      <c r="AD169" s="104" t="str">
        <f>IF(preDEL!$AG169,IFERROR(0/0,""),preDEL!AD169)</f>
        <v/>
      </c>
      <c r="AE169" s="173" t="str">
        <f>IF(preDEL!$AG169,IFERROR(0/0,""),preDEL!AE169)</f>
        <v/>
      </c>
      <c r="AF169" s="110" t="str">
        <f>IF(preDEL!$AG169,IFERROR(0/0,""),preDEL!AF169)</f>
        <v/>
      </c>
      <c r="AG169" s="110" t="str">
        <f>IF(preDEL!$AG169,IFERROR(0/0,""),preDEL!AG169)</f>
        <v/>
      </c>
      <c r="AH169" s="104" t="str">
        <f>IF(preDEL!$AG169,IFERROR(0/0,""),preDEL!AH169)</f>
        <v/>
      </c>
      <c r="AI169" s="105" t="str">
        <f>IF(preDEL!$AG169,IFERROR(0/0,""),preDEL!AI169)</f>
        <v/>
      </c>
      <c r="AJ169" s="112" t="str">
        <f>IF(preDEL!$AG169,IFERROR(0/0,""),preDEL!AJ169)</f>
        <v/>
      </c>
      <c r="AK169" s="105" t="str">
        <f>IF(preDEL!$AG169,IFERROR(0/0,""),preDEL!AK169)</f>
        <v/>
      </c>
      <c r="AL169" s="112" t="str">
        <f>IF(preDEL!$AG169,IFERROR(0/0,""),preDEL!AL169)</f>
        <v/>
      </c>
      <c r="AM169" s="112" t="str">
        <f>IF(preDEL!$AG169,IFERROR(0/0,""),preDEL!AM169)</f>
        <v/>
      </c>
      <c r="AN169" s="112" t="str">
        <f>IF(preDEL!$AG169,IFERROR(0/0,""),preDEL!AN169)</f>
        <v/>
      </c>
      <c r="AO169" s="112" t="str">
        <f>IF(preDEL!$AG169,IFERROR(0/0,""),preDEL!AO169)</f>
        <v/>
      </c>
      <c r="AP169" s="112" t="str">
        <f>IF(preDEL!$AG169,IFERROR(0/0,""),preDEL!AP169)</f>
        <v/>
      </c>
      <c r="AQ169" s="112" t="str">
        <f>IF(preDEL!$AG169,IFERROR(0/0,""),preDEL!AQ169)</f>
        <v/>
      </c>
      <c r="AR169" s="112" t="str">
        <f>IF(preDEL!$AG169,IFERROR(0/0,""),preDEL!AR169)</f>
        <v/>
      </c>
      <c r="AS169" s="112" t="str">
        <f>IF(preDEL!$AG169,IFERROR(0/0,""),preDEL!AS169)</f>
        <v/>
      </c>
      <c r="AT169" s="112" t="str">
        <f>IF(preDEL!$AG169,IFERROR(0/0,""),preDEL!AT169)</f>
        <v/>
      </c>
      <c r="AU169" s="112" t="str">
        <f>IF(preDEL!$AG169,IFERROR(0/0,""),preDEL!AU169)</f>
        <v/>
      </c>
      <c r="AV169" s="112" t="str">
        <f>IF(preDEL!$AG169,IFERROR(0/0,""),preDEL!AV169)</f>
        <v/>
      </c>
      <c r="AW169" s="112" t="str">
        <f>IF(preDEL!$AG169,IFERROR(0/0,""),preDEL!AW169)</f>
        <v/>
      </c>
      <c r="AX169" s="112" t="str">
        <f>IF(preDEL!$AG169,IFERROR(0/0,""),preDEL!AX169)</f>
        <v/>
      </c>
      <c r="AY169" s="112" t="str">
        <f>IF(preDEL!$AG169,IFERROR(0/0,""),preDEL!AY169)</f>
        <v/>
      </c>
      <c r="AZ169" s="174"/>
      <c r="BA169" s="174"/>
      <c r="BB169" s="174"/>
      <c r="BC169" s="174"/>
      <c r="BD169" s="174"/>
      <c r="BE169" s="174"/>
      <c r="BF169" s="174"/>
      <c r="BG169" s="174"/>
      <c r="BH169" s="174"/>
      <c r="BI169" s="174"/>
      <c r="BJ169" s="174"/>
      <c r="BK169" s="174"/>
      <c r="BL169" s="174"/>
      <c r="BM169" s="174"/>
      <c r="BN169" s="174"/>
      <c r="BO169" s="174"/>
      <c r="BP169" s="174"/>
      <c r="BQ169" s="174"/>
      <c r="BR169" s="174"/>
      <c r="BS169" s="174"/>
      <c r="BT169" s="174"/>
      <c r="BU169" s="174"/>
      <c r="BV169" s="174"/>
      <c r="BW169" s="174"/>
      <c r="BX169" s="174"/>
      <c r="BY169" s="174"/>
      <c r="BZ169" s="174"/>
      <c r="CA169" s="174"/>
      <c r="CB169" s="174"/>
      <c r="CC169" s="174"/>
      <c r="CD169" s="174"/>
    </row>
    <row r="170">
      <c r="A170" s="105" t="str">
        <f>IF(preDEL!$AG170,IFERROR(0/0,""),preDEL!A170)</f>
        <v/>
      </c>
      <c r="B170" s="170" t="str">
        <f>IF(preDEL!$AG170,IFERROR(0/0,""),preDEL!B170)</f>
        <v/>
      </c>
      <c r="C170" s="171" t="str">
        <f>IF(preDEL!$AG170,IFERROR(0/0,""),preDEL!C170)</f>
        <v/>
      </c>
      <c r="D170" s="105" t="str">
        <f>IF(preDEL!$AG170,IFERROR(0/0,""),preDEL!D170)</f>
        <v/>
      </c>
      <c r="E170" s="105" t="str">
        <f>IF(preDEL!$AG170,IFERROR(0/0,""),preDEL!E170)</f>
        <v/>
      </c>
      <c r="F170" s="112" t="str">
        <f>IF(preDEL!$AG170,IFERROR(0/0,""),preDEL!F170)</f>
        <v/>
      </c>
      <c r="G170" s="112" t="str">
        <f>IF(preDEL!$AG170,IFERROR(0/0,""),preDEL!G170)</f>
        <v/>
      </c>
      <c r="H170" s="112" t="str">
        <f>IF(preDEL!$AG170,IFERROR(0/0,""),preDEL!H170)</f>
        <v/>
      </c>
      <c r="I170" s="105" t="str">
        <f>IF(preDEL!$AG170,IFERROR(0/0,""),preDEL!I170)</f>
        <v/>
      </c>
      <c r="J170" s="105" t="str">
        <f>IF(preDEL!$AG170,IFERROR(0/0,""),preDEL!J170)</f>
        <v/>
      </c>
      <c r="K170" s="105" t="str">
        <f>IF(preDEL!$AG170,IFERROR(0/0,""),preDEL!K170)</f>
        <v/>
      </c>
      <c r="L170" s="170" t="str">
        <f>IF(preDEL!$AG170,IFERROR(0/0,""),preDEL!L170)</f>
        <v/>
      </c>
      <c r="M170" s="171" t="str">
        <f>IF(preDEL!$AG170,IFERROR(0/0,""),preDEL!M170)</f>
        <v/>
      </c>
      <c r="N170" s="112" t="str">
        <f>IF(preDEL!$AG170,IFERROR(0/0,""),preDEL!N170)</f>
        <v/>
      </c>
      <c r="O170" s="112" t="str">
        <f>IF(preDEL!$AG170,IFERROR(0/0,""),preDEL!O170)</f>
        <v/>
      </c>
      <c r="P170" s="110" t="str">
        <f>IF(preDEL!$AG170,IFERROR(0/0,""),preDEL!P170)</f>
        <v/>
      </c>
      <c r="Q170" s="110" t="str">
        <f>IF(preDEL!$AG170,IFERROR(0/0,""),preDEL!Q170)</f>
        <v/>
      </c>
      <c r="R170" s="104" t="str">
        <f>IF(preDEL!$AG170,IFERROR(0/0,""),preDEL!R170)</f>
        <v/>
      </c>
      <c r="S170" s="104" t="str">
        <f>IF(preDEL!$AG170,IFERROR(0/0,""),preDEL!S170)</f>
        <v/>
      </c>
      <c r="T170" s="110" t="str">
        <f>IF(preDEL!$AG170,IFERROR(0/0,""),preDEL!T170)</f>
        <v/>
      </c>
      <c r="U170" s="112" t="str">
        <f>IF(preDEL!$AG170,IFERROR(0/0,""),preDEL!U170)</f>
        <v/>
      </c>
      <c r="V170" s="105" t="str">
        <f>IF(preDEL!$AG170,IFERROR(0/0,""),preDEL!V170)</f>
        <v/>
      </c>
      <c r="W170" s="112" t="str">
        <f>IF(preDEL!$AG170,IFERROR(0/0,""),preDEL!W170)</f>
        <v/>
      </c>
      <c r="X170" s="104" t="str">
        <f>IF(preDEL!$AG170,IFERROR(0/0,""),preDEL!X170)</f>
        <v/>
      </c>
      <c r="Y170" s="110" t="str">
        <f>IF(preDEL!$AG170,IFERROR(0/0,""),preDEL!Y170)</f>
        <v/>
      </c>
      <c r="Z170" s="105" t="str">
        <f>IF(preDEL!$AG170,IFERROR(0/0,""),preDEL!Z170)</f>
        <v/>
      </c>
      <c r="AA170" s="110" t="str">
        <f>IF(preDEL!$AG170,IFERROR(0/0,""),preDEL!AA170)</f>
        <v/>
      </c>
      <c r="AB170" s="110" t="str">
        <f>IF(preDEL!$AG170,IFERROR(0/0,""),preDEL!AB170)</f>
        <v/>
      </c>
      <c r="AC170" s="172" t="str">
        <f>IF(preDEL!$AG170,IFERROR(0/0,""),preDEL!AC170)</f>
        <v/>
      </c>
      <c r="AD170" s="104" t="str">
        <f>IF(preDEL!$AG170,IFERROR(0/0,""),preDEL!AD170)</f>
        <v/>
      </c>
      <c r="AE170" s="173" t="str">
        <f>IF(preDEL!$AG170,IFERROR(0/0,""),preDEL!AE170)</f>
        <v/>
      </c>
      <c r="AF170" s="110" t="str">
        <f>IF(preDEL!$AG170,IFERROR(0/0,""),preDEL!AF170)</f>
        <v/>
      </c>
      <c r="AG170" s="110" t="str">
        <f>IF(preDEL!$AG170,IFERROR(0/0,""),preDEL!AG170)</f>
        <v/>
      </c>
      <c r="AH170" s="104" t="str">
        <f>IF(preDEL!$AG170,IFERROR(0/0,""),preDEL!AH170)</f>
        <v/>
      </c>
      <c r="AI170" s="105" t="str">
        <f>IF(preDEL!$AG170,IFERROR(0/0,""),preDEL!AI170)</f>
        <v/>
      </c>
      <c r="AJ170" s="112" t="str">
        <f>IF(preDEL!$AG170,IFERROR(0/0,""),preDEL!AJ170)</f>
        <v/>
      </c>
      <c r="AK170" s="105" t="str">
        <f>IF(preDEL!$AG170,IFERROR(0/0,""),preDEL!AK170)</f>
        <v/>
      </c>
      <c r="AL170" s="112" t="str">
        <f>IF(preDEL!$AG170,IFERROR(0/0,""),preDEL!AL170)</f>
        <v/>
      </c>
      <c r="AM170" s="112" t="str">
        <f>IF(preDEL!$AG170,IFERROR(0/0,""),preDEL!AM170)</f>
        <v/>
      </c>
      <c r="AN170" s="112" t="str">
        <f>IF(preDEL!$AG170,IFERROR(0/0,""),preDEL!AN170)</f>
        <v/>
      </c>
      <c r="AO170" s="112" t="str">
        <f>IF(preDEL!$AG170,IFERROR(0/0,""),preDEL!AO170)</f>
        <v/>
      </c>
      <c r="AP170" s="112" t="str">
        <f>IF(preDEL!$AG170,IFERROR(0/0,""),preDEL!AP170)</f>
        <v/>
      </c>
      <c r="AQ170" s="112" t="str">
        <f>IF(preDEL!$AG170,IFERROR(0/0,""),preDEL!AQ170)</f>
        <v/>
      </c>
      <c r="AR170" s="112" t="str">
        <f>IF(preDEL!$AG170,IFERROR(0/0,""),preDEL!AR170)</f>
        <v/>
      </c>
      <c r="AS170" s="112" t="str">
        <f>IF(preDEL!$AG170,IFERROR(0/0,""),preDEL!AS170)</f>
        <v/>
      </c>
      <c r="AT170" s="112" t="str">
        <f>IF(preDEL!$AG170,IFERROR(0/0,""),preDEL!AT170)</f>
        <v/>
      </c>
      <c r="AU170" s="112" t="str">
        <f>IF(preDEL!$AG170,IFERROR(0/0,""),preDEL!AU170)</f>
        <v/>
      </c>
      <c r="AV170" s="112" t="str">
        <f>IF(preDEL!$AG170,IFERROR(0/0,""),preDEL!AV170)</f>
        <v/>
      </c>
      <c r="AW170" s="112" t="str">
        <f>IF(preDEL!$AG170,IFERROR(0/0,""),preDEL!AW170)</f>
        <v/>
      </c>
      <c r="AX170" s="112" t="str">
        <f>IF(preDEL!$AG170,IFERROR(0/0,""),preDEL!AX170)</f>
        <v/>
      </c>
      <c r="AY170" s="112" t="str">
        <f>IF(preDEL!$AG170,IFERROR(0/0,""),preDEL!AY170)</f>
        <v/>
      </c>
      <c r="AZ170" s="174"/>
      <c r="BA170" s="174"/>
      <c r="BB170" s="174"/>
      <c r="BC170" s="174"/>
      <c r="BD170" s="174"/>
      <c r="BE170" s="174"/>
      <c r="BF170" s="174"/>
      <c r="BG170" s="174"/>
      <c r="BH170" s="174"/>
      <c r="BI170" s="174"/>
      <c r="BJ170" s="174"/>
      <c r="BK170" s="174"/>
      <c r="BL170" s="174"/>
      <c r="BM170" s="174"/>
      <c r="BN170" s="174"/>
      <c r="BO170" s="174"/>
      <c r="BP170" s="174"/>
      <c r="BQ170" s="174"/>
      <c r="BR170" s="174"/>
      <c r="BS170" s="174"/>
      <c r="BT170" s="174"/>
      <c r="BU170" s="174"/>
      <c r="BV170" s="174"/>
      <c r="BW170" s="174"/>
      <c r="BX170" s="174"/>
      <c r="BY170" s="174"/>
      <c r="BZ170" s="174"/>
      <c r="CA170" s="174"/>
      <c r="CB170" s="174"/>
      <c r="CC170" s="174"/>
      <c r="CD170" s="174"/>
    </row>
    <row r="171">
      <c r="A171" s="105" t="str">
        <f>IF(preDEL!$AG171,IFERROR(0/0,""),preDEL!A171)</f>
        <v>MA683</v>
      </c>
      <c r="B171" s="170">
        <f>IF(preDEL!$AG171,IFERROR(0/0,""),preDEL!B171)</f>
        <v>44573</v>
      </c>
      <c r="C171" s="171">
        <f>IF(preDEL!$AG171,IFERROR(0/0,""),preDEL!C171)</f>
        <v>0.2809953704</v>
      </c>
      <c r="D171" s="105" t="str">
        <f>IF(preDEL!$AG171,IFERROR(0/0,""),preDEL!D171)</f>
        <v/>
      </c>
      <c r="E171" s="105" t="str">
        <f>IF(preDEL!$AG171,IFERROR(0/0,""),preDEL!E171)</f>
        <v/>
      </c>
      <c r="F171" s="112" t="str">
        <f>IF(preDEL!$AG171,IFERROR(0/0,""),preDEL!F171)</f>
        <v/>
      </c>
      <c r="G171" s="112" t="str">
        <f>IF(preDEL!$AG171,IFERROR(0/0,""),preDEL!G171)</f>
        <v/>
      </c>
      <c r="H171" s="112" t="str">
        <f>IF(preDEL!$AG171,IFERROR(0/0,""),preDEL!H171)</f>
        <v/>
      </c>
      <c r="I171" s="105" t="str">
        <f>IF(preDEL!$AG171,IFERROR(0/0,""),preDEL!I171)</f>
        <v/>
      </c>
      <c r="J171" s="105" t="str">
        <f>IF(preDEL!$AG171,IFERROR(0/0,""),preDEL!J171)</f>
        <v/>
      </c>
      <c r="K171" s="105" t="str">
        <f>IF(preDEL!$AG171,IFERROR(0/0,""),preDEL!K171)</f>
        <v>Negative</v>
      </c>
      <c r="L171" s="170">
        <f>IF(preDEL!$AG171,IFERROR(0/0,""),preDEL!L171)</f>
        <v>44575</v>
      </c>
      <c r="M171" s="171">
        <f>IF(preDEL!$AG171,IFERROR(0/0,""),preDEL!M171)</f>
        <v>0.482025463</v>
      </c>
      <c r="N171" s="112" t="str">
        <f>IF(preDEL!$AG171,IFERROR(0/0,""),preDEL!N171)</f>
        <v/>
      </c>
      <c r="O171" s="112" t="str">
        <f>IF(preDEL!$AG171,IFERROR(0/0,""),preDEL!O171)</f>
        <v/>
      </c>
      <c r="P171" s="110" t="b">
        <f>IF(preDEL!$AG171,IFERROR(0/0,""),preDEL!P171)</f>
        <v>0</v>
      </c>
      <c r="Q171" s="110" t="str">
        <f>IF(preDEL!$AG171,IFERROR(0/0,""),preDEL!Q171)</f>
        <v>Result</v>
      </c>
      <c r="R171" s="104" t="b">
        <f>IF(preDEL!$AG171,IFERROR(0/0,""),preDEL!R171)</f>
        <v>1</v>
      </c>
      <c r="S171" s="104">
        <f>IF(preDEL!$AG171,IFERROR(0/0,""),preDEL!S171)</f>
        <v>1</v>
      </c>
      <c r="T171" s="110" t="str">
        <f>IF(preDEL!$AG171,IFERROR(0/0,""),preDEL!T171)</f>
        <v/>
      </c>
      <c r="U171" s="112" t="str">
        <f>IF(preDEL!$AG171,IFERROR(0/0,""),preDEL!U171)</f>
        <v/>
      </c>
      <c r="V171" s="105" t="str">
        <f>IF(preDEL!$AG171,IFERROR(0/0,""),preDEL!V171)</f>
        <v/>
      </c>
      <c r="W171" s="112" t="str">
        <f>IF(preDEL!$AG171,IFERROR(0/0,""),preDEL!W171)</f>
        <v/>
      </c>
      <c r="X171" s="104" t="b">
        <f>IF(preDEL!$AG171,IFERROR(0/0,""),preDEL!X171)</f>
        <v>0</v>
      </c>
      <c r="Y171" s="110" t="b">
        <f>IF(preDEL!$AG171,IFERROR(0/0,""),preDEL!Y171)</f>
        <v>0</v>
      </c>
      <c r="Z171" s="105" t="str">
        <f>IF(preDEL!$AG171,IFERROR(0/0,""),preDEL!Z171)</f>
        <v/>
      </c>
      <c r="AA171" s="110" t="b">
        <f>IF(preDEL!$AG171,IFERROR(0/0,""),preDEL!AA171)</f>
        <v>0</v>
      </c>
      <c r="AB171" s="110" t="b">
        <f>IF(preDEL!$AG171,IFERROR(0/0,""),preDEL!AB171)</f>
        <v>0</v>
      </c>
      <c r="AC171" s="172">
        <f>IF(preDEL!$AG171,IFERROR(0/0,""),preDEL!AC171)</f>
        <v>631</v>
      </c>
      <c r="AD171" s="104" t="b">
        <f>IF(preDEL!$AG171,IFERROR(0/0,""),preDEL!AD171)</f>
        <v>0</v>
      </c>
      <c r="AE171" s="173" t="str">
        <f>IF(preDEL!$AG171,IFERROR(0/0,""),preDEL!AE171)</f>
        <v/>
      </c>
      <c r="AF171" s="110" t="b">
        <f>IF(preDEL!$AG171,IFERROR(0/0,""),preDEL!AF171)</f>
        <v>0</v>
      </c>
      <c r="AG171" s="110" t="b">
        <f>IF(preDEL!$AG171,IFERROR(0/0,""),preDEL!AG171)</f>
        <v>0</v>
      </c>
      <c r="AH171" s="104" t="str">
        <f>IF(preDEL!$AG171,IFERROR(0/0,""),preDEL!AH171)</f>
        <v/>
      </c>
      <c r="AI171" s="105" t="str">
        <f>IF(preDEL!$AG171,IFERROR(0/0,""),preDEL!AI171)</f>
        <v/>
      </c>
      <c r="AJ171" s="112" t="str">
        <f>IF(preDEL!$AG171,IFERROR(0/0,""),preDEL!AJ171)</f>
        <v/>
      </c>
      <c r="AK171" s="105" t="str">
        <f>IF(preDEL!$AG171,IFERROR(0/0,""),preDEL!AK171)</f>
        <v>Negative</v>
      </c>
      <c r="AL171" s="112" t="str">
        <f>IF(preDEL!$AG171,IFERROR(0/0,""),preDEL!AL171)</f>
        <v/>
      </c>
      <c r="AM171" s="112" t="str">
        <f>IF(preDEL!$AG171,IFERROR(0/0,""),preDEL!AM171)</f>
        <v>SpBEND139816</v>
      </c>
      <c r="AN171" s="112" t="str">
        <f>IF(preDEL!$AG171,IFERROR(0/0,""),preDEL!AN171)</f>
        <v>BEND492855</v>
      </c>
      <c r="AO171" s="112" t="str">
        <f>IF(preDEL!$AG171,IFERROR(0/0,""),preDEL!AO171)</f>
        <v/>
      </c>
      <c r="AP171" s="112" t="str">
        <f>IF(preDEL!$AG171,IFERROR(0/0,""),preDEL!AP171)</f>
        <v/>
      </c>
      <c r="AQ171" s="112" t="str">
        <f>IF(preDEL!$AG171,IFERROR(0/0,""),preDEL!AQ171)</f>
        <v/>
      </c>
      <c r="AR171" s="112" t="str">
        <f>IF(preDEL!$AG171,IFERROR(0/0,""),preDEL!AR171)</f>
        <v/>
      </c>
      <c r="AS171" s="112" t="str">
        <f>IF(preDEL!$AG171,IFERROR(0/0,""),preDEL!AS171)</f>
        <v/>
      </c>
      <c r="AT171" s="112" t="b">
        <f>IF(preDEL!$AG171,IFERROR(0/0,""),preDEL!AT171)</f>
        <v>0</v>
      </c>
      <c r="AU171" s="112" t="str">
        <f>IF(preDEL!$AG171,IFERROR(0/0,""),preDEL!AU171)</f>
        <v/>
      </c>
      <c r="AV171" s="112" t="str">
        <f>IF(preDEL!$AG171,IFERROR(0/0,""),preDEL!AV171)</f>
        <v/>
      </c>
      <c r="AW171" s="112" t="str">
        <f>IF(preDEL!$AG171,IFERROR(0/0,""),preDEL!AW171)</f>
        <v/>
      </c>
      <c r="AX171" s="112" t="str">
        <f>IF(preDEL!$AG171,IFERROR(0/0,""),preDEL!AX171)</f>
        <v/>
      </c>
      <c r="AY171" s="112" t="str">
        <f>IF(preDEL!$AG171,IFERROR(0/0,""),preDEL!AY171)</f>
        <v/>
      </c>
      <c r="AZ171" s="174"/>
      <c r="BA171" s="174"/>
      <c r="BB171" s="174"/>
      <c r="BC171" s="174"/>
      <c r="BD171" s="174"/>
      <c r="BE171" s="174"/>
      <c r="BF171" s="174"/>
      <c r="BG171" s="174"/>
      <c r="BH171" s="174"/>
      <c r="BI171" s="174"/>
      <c r="BJ171" s="174"/>
      <c r="BK171" s="174"/>
      <c r="BL171" s="174"/>
      <c r="BM171" s="174"/>
      <c r="BN171" s="174"/>
      <c r="BO171" s="174"/>
      <c r="BP171" s="174"/>
      <c r="BQ171" s="174"/>
      <c r="BR171" s="174"/>
      <c r="BS171" s="174"/>
      <c r="BT171" s="174"/>
      <c r="BU171" s="174"/>
      <c r="BV171" s="174"/>
      <c r="BW171" s="174"/>
      <c r="BX171" s="174"/>
      <c r="BY171" s="174"/>
      <c r="BZ171" s="174"/>
      <c r="CA171" s="174"/>
      <c r="CB171" s="174"/>
      <c r="CC171" s="174"/>
      <c r="CD171" s="174"/>
    </row>
    <row r="172">
      <c r="A172" s="105" t="str">
        <f>IF(preDEL!$AG172,IFERROR(0/0,""),preDEL!A172)</f>
        <v>MAX128</v>
      </c>
      <c r="B172" s="170">
        <f>IF(preDEL!$AG172,IFERROR(0/0,""),preDEL!B172)</f>
        <v>44573</v>
      </c>
      <c r="C172" s="171">
        <f>IF(preDEL!$AG172,IFERROR(0/0,""),preDEL!C172)</f>
        <v>0.2877430556</v>
      </c>
      <c r="D172" s="105" t="str">
        <f>IF(preDEL!$AG172,IFERROR(0/0,""),preDEL!D172)</f>
        <v/>
      </c>
      <c r="E172" s="105" t="str">
        <f>IF(preDEL!$AG172,IFERROR(0/0,""),preDEL!E172)</f>
        <v/>
      </c>
      <c r="F172" s="112" t="str">
        <f>IF(preDEL!$AG172,IFERROR(0/0,""),preDEL!F172)</f>
        <v/>
      </c>
      <c r="G172" s="112" t="str">
        <f>IF(preDEL!$AG172,IFERROR(0/0,""),preDEL!G172)</f>
        <v/>
      </c>
      <c r="H172" s="112" t="str">
        <f>IF(preDEL!$AG172,IFERROR(0/0,""),preDEL!H172)</f>
        <v/>
      </c>
      <c r="I172" s="105" t="str">
        <f>IF(preDEL!$AG172,IFERROR(0/0,""),preDEL!I172)</f>
        <v/>
      </c>
      <c r="J172" s="105" t="str">
        <f>IF(preDEL!$AG172,IFERROR(0/0,""),preDEL!J172)</f>
        <v/>
      </c>
      <c r="K172" s="105" t="str">
        <f>IF(preDEL!$AG172,IFERROR(0/0,""),preDEL!K172)</f>
        <v>Negative</v>
      </c>
      <c r="L172" s="170">
        <f>IF(preDEL!$AG172,IFERROR(0/0,""),preDEL!L172)</f>
        <v>44575</v>
      </c>
      <c r="M172" s="171">
        <f>IF(preDEL!$AG172,IFERROR(0/0,""),preDEL!M172)</f>
        <v>0.482025463</v>
      </c>
      <c r="N172" s="112" t="str">
        <f>IF(preDEL!$AG172,IFERROR(0/0,""),preDEL!N172)</f>
        <v/>
      </c>
      <c r="O172" s="112" t="str">
        <f>IF(preDEL!$AG172,IFERROR(0/0,""),preDEL!O172)</f>
        <v/>
      </c>
      <c r="P172" s="110" t="b">
        <f>IF(preDEL!$AG172,IFERROR(0/0,""),preDEL!P172)</f>
        <v>0</v>
      </c>
      <c r="Q172" s="110" t="str">
        <f>IF(preDEL!$AG172,IFERROR(0/0,""),preDEL!Q172)</f>
        <v>Result</v>
      </c>
      <c r="R172" s="104" t="b">
        <f>IF(preDEL!$AG172,IFERROR(0/0,""),preDEL!R172)</f>
        <v>1</v>
      </c>
      <c r="S172" s="104">
        <f>IF(preDEL!$AG172,IFERROR(0/0,""),preDEL!S172)</f>
        <v>1</v>
      </c>
      <c r="T172" s="110">
        <f>IF(preDEL!$AG172,IFERROR(0/0,""),preDEL!T172)</f>
        <v>0</v>
      </c>
      <c r="U172" s="112" t="str">
        <f>IF(preDEL!$AG172,IFERROR(0/0,""),preDEL!U172)</f>
        <v/>
      </c>
      <c r="V172" s="105" t="str">
        <f>IF(preDEL!$AG172,IFERROR(0/0,""),preDEL!V172)</f>
        <v/>
      </c>
      <c r="W172" s="112" t="str">
        <f>IF(preDEL!$AG172,IFERROR(0/0,""),preDEL!W172)</f>
        <v/>
      </c>
      <c r="X172" s="104" t="b">
        <f>IF(preDEL!$AG172,IFERROR(0/0,""),preDEL!X172)</f>
        <v>0</v>
      </c>
      <c r="Y172" s="110" t="b">
        <f>IF(preDEL!$AG172,IFERROR(0/0,""),preDEL!Y172)</f>
        <v>0</v>
      </c>
      <c r="Z172" s="105" t="str">
        <f>IF(preDEL!$AG172,IFERROR(0/0,""),preDEL!Z172)</f>
        <v/>
      </c>
      <c r="AA172" s="110" t="b">
        <f>IF(preDEL!$AG172,IFERROR(0/0,""),preDEL!AA172)</f>
        <v>0</v>
      </c>
      <c r="AB172" s="110" t="b">
        <f>IF(preDEL!$AG172,IFERROR(0/0,""),preDEL!AB172)</f>
        <v>0</v>
      </c>
      <c r="AC172" s="172">
        <f>IF(preDEL!$AG172,IFERROR(0/0,""),preDEL!AC172)</f>
        <v>630</v>
      </c>
      <c r="AD172" s="104" t="b">
        <f>IF(preDEL!$AG172,IFERROR(0/0,""),preDEL!AD172)</f>
        <v>0</v>
      </c>
      <c r="AE172" s="173" t="str">
        <f>IF(preDEL!$AG172,IFERROR(0/0,""),preDEL!AE172)</f>
        <v/>
      </c>
      <c r="AF172" s="110" t="b">
        <f>IF(preDEL!$AG172,IFERROR(0/0,""),preDEL!AF172)</f>
        <v>0</v>
      </c>
      <c r="AG172" s="110" t="b">
        <f>IF(preDEL!$AG172,IFERROR(0/0,""),preDEL!AG172)</f>
        <v>0</v>
      </c>
      <c r="AH172" s="104" t="str">
        <f>IF(preDEL!$AG172,IFERROR(0/0,""),preDEL!AH172)</f>
        <v/>
      </c>
      <c r="AI172" s="105" t="str">
        <f>IF(preDEL!$AG172,IFERROR(0/0,""),preDEL!AI172)</f>
        <v/>
      </c>
      <c r="AJ172" s="112" t="str">
        <f>IF(preDEL!$AG172,IFERROR(0/0,""),preDEL!AJ172)</f>
        <v/>
      </c>
      <c r="AK172" s="105" t="str">
        <f>IF(preDEL!$AG172,IFERROR(0/0,""),preDEL!AK172)</f>
        <v>Negative</v>
      </c>
      <c r="AL172" s="112" t="str">
        <f>IF(preDEL!$AG172,IFERROR(0/0,""),preDEL!AL172)</f>
        <v/>
      </c>
      <c r="AM172" s="112" t="str">
        <f>IF(preDEL!$AG172,IFERROR(0/0,""),preDEL!AM172)</f>
        <v>SpBEND394154</v>
      </c>
      <c r="AN172" s="112" t="str">
        <f>IF(preDEL!$AG172,IFERROR(0/0,""),preDEL!AN172)</f>
        <v>BEND905156</v>
      </c>
      <c r="AO172" s="112" t="str">
        <f>IF(preDEL!$AG172,IFERROR(0/0,""),preDEL!AO172)</f>
        <v/>
      </c>
      <c r="AP172" s="112" t="str">
        <f>IF(preDEL!$AG172,IFERROR(0/0,""),preDEL!AP172)</f>
        <v/>
      </c>
      <c r="AQ172" s="112" t="str">
        <f>IF(preDEL!$AG172,IFERROR(0/0,""),preDEL!AQ172)</f>
        <v/>
      </c>
      <c r="AR172" s="112" t="str">
        <f>IF(preDEL!$AG172,IFERROR(0/0,""),preDEL!AR172)</f>
        <v/>
      </c>
      <c r="AS172" s="112" t="str">
        <f>IF(preDEL!$AG172,IFERROR(0/0,""),preDEL!AS172)</f>
        <v/>
      </c>
      <c r="AT172" s="112" t="b">
        <f>IF(preDEL!$AG172,IFERROR(0/0,""),preDEL!AT172)</f>
        <v>0</v>
      </c>
      <c r="AU172" s="112" t="str">
        <f>IF(preDEL!$AG172,IFERROR(0/0,""),preDEL!AU172)</f>
        <v/>
      </c>
      <c r="AV172" s="112" t="str">
        <f>IF(preDEL!$AG172,IFERROR(0/0,""),preDEL!AV172)</f>
        <v/>
      </c>
      <c r="AW172" s="112" t="str">
        <f>IF(preDEL!$AG172,IFERROR(0/0,""),preDEL!AW172)</f>
        <v/>
      </c>
      <c r="AX172" s="112" t="str">
        <f>IF(preDEL!$AG172,IFERROR(0/0,""),preDEL!AX172)</f>
        <v/>
      </c>
      <c r="AY172" s="112" t="str">
        <f>IF(preDEL!$AG172,IFERROR(0/0,""),preDEL!AY172)</f>
        <v/>
      </c>
      <c r="AZ172" s="174"/>
      <c r="BA172" s="174"/>
      <c r="BB172" s="174"/>
      <c r="BC172" s="174"/>
      <c r="BD172" s="174"/>
      <c r="BE172" s="174"/>
      <c r="BF172" s="174"/>
      <c r="BG172" s="174"/>
      <c r="BH172" s="174"/>
      <c r="BI172" s="174"/>
      <c r="BJ172" s="174"/>
      <c r="BK172" s="174"/>
      <c r="BL172" s="174"/>
      <c r="BM172" s="174"/>
      <c r="BN172" s="174"/>
      <c r="BO172" s="174"/>
      <c r="BP172" s="174"/>
      <c r="BQ172" s="174"/>
      <c r="BR172" s="174"/>
      <c r="BS172" s="174"/>
      <c r="BT172" s="174"/>
      <c r="BU172" s="174"/>
      <c r="BV172" s="174"/>
      <c r="BW172" s="174"/>
      <c r="BX172" s="174"/>
      <c r="BY172" s="174"/>
      <c r="BZ172" s="174"/>
      <c r="CA172" s="174"/>
      <c r="CB172" s="174"/>
      <c r="CC172" s="174"/>
      <c r="CD172" s="174"/>
    </row>
    <row r="173">
      <c r="A173" s="105" t="str">
        <f>IF(preDEL!$AG173,IFERROR(0/0,""),preDEL!A173)</f>
        <v>MA634</v>
      </c>
      <c r="B173" s="170">
        <f>IF(preDEL!$AG173,IFERROR(0/0,""),preDEL!B173)</f>
        <v>44573</v>
      </c>
      <c r="C173" s="171">
        <f>IF(preDEL!$AG173,IFERROR(0/0,""),preDEL!C173)</f>
        <v>0.2912037037</v>
      </c>
      <c r="D173" s="105" t="str">
        <f>IF(preDEL!$AG173,IFERROR(0/0,""),preDEL!D173)</f>
        <v/>
      </c>
      <c r="E173" s="105" t="str">
        <f>IF(preDEL!$AG173,IFERROR(0/0,""),preDEL!E173)</f>
        <v/>
      </c>
      <c r="F173" s="112" t="str">
        <f>IF(preDEL!$AG173,IFERROR(0/0,""),preDEL!F173)</f>
        <v/>
      </c>
      <c r="G173" s="112" t="str">
        <f>IF(preDEL!$AG173,IFERROR(0/0,""),preDEL!G173)</f>
        <v/>
      </c>
      <c r="H173" s="112" t="str">
        <f>IF(preDEL!$AG173,IFERROR(0/0,""),preDEL!H173)</f>
        <v/>
      </c>
      <c r="I173" s="105" t="str">
        <f>IF(preDEL!$AG173,IFERROR(0/0,""),preDEL!I173)</f>
        <v/>
      </c>
      <c r="J173" s="105" t="str">
        <f>IF(preDEL!$AG173,IFERROR(0/0,""),preDEL!J173)</f>
        <v/>
      </c>
      <c r="K173" s="105" t="str">
        <f>IF(preDEL!$AG173,IFERROR(0/0,""),preDEL!K173)</f>
        <v>Negative</v>
      </c>
      <c r="L173" s="170">
        <f>IF(preDEL!$AG173,IFERROR(0/0,""),preDEL!L173)</f>
        <v>44575</v>
      </c>
      <c r="M173" s="171">
        <f>IF(preDEL!$AG173,IFERROR(0/0,""),preDEL!M173)</f>
        <v>0.482025463</v>
      </c>
      <c r="N173" s="112" t="str">
        <f>IF(preDEL!$AG173,IFERROR(0/0,""),preDEL!N173)</f>
        <v/>
      </c>
      <c r="O173" s="112" t="str">
        <f>IF(preDEL!$AG173,IFERROR(0/0,""),preDEL!O173)</f>
        <v/>
      </c>
      <c r="P173" s="110" t="b">
        <f>IF(preDEL!$AG173,IFERROR(0/0,""),preDEL!P173)</f>
        <v>0</v>
      </c>
      <c r="Q173" s="110" t="str">
        <f>IF(preDEL!$AG173,IFERROR(0/0,""),preDEL!Q173)</f>
        <v>Result</v>
      </c>
      <c r="R173" s="104" t="b">
        <f>IF(preDEL!$AG173,IFERROR(0/0,""),preDEL!R173)</f>
        <v>1</v>
      </c>
      <c r="S173" s="104">
        <f>IF(preDEL!$AG173,IFERROR(0/0,""),preDEL!S173)</f>
        <v>1</v>
      </c>
      <c r="T173" s="110" t="str">
        <f>IF(preDEL!$AG173,IFERROR(0/0,""),preDEL!T173)</f>
        <v/>
      </c>
      <c r="U173" s="112" t="str">
        <f>IF(preDEL!$AG173,IFERROR(0/0,""),preDEL!U173)</f>
        <v/>
      </c>
      <c r="V173" s="105" t="str">
        <f>IF(preDEL!$AG173,IFERROR(0/0,""),preDEL!V173)</f>
        <v/>
      </c>
      <c r="W173" s="112" t="str">
        <f>IF(preDEL!$AG173,IFERROR(0/0,""),preDEL!W173)</f>
        <v/>
      </c>
      <c r="X173" s="104" t="b">
        <f>IF(preDEL!$AG173,IFERROR(0/0,""),preDEL!X173)</f>
        <v>0</v>
      </c>
      <c r="Y173" s="110" t="b">
        <f>IF(preDEL!$AG173,IFERROR(0/0,""),preDEL!Y173)</f>
        <v>0</v>
      </c>
      <c r="Z173" s="105" t="str">
        <f>IF(preDEL!$AG173,IFERROR(0/0,""),preDEL!Z173)</f>
        <v/>
      </c>
      <c r="AA173" s="110" t="b">
        <f>IF(preDEL!$AG173,IFERROR(0/0,""),preDEL!AA173)</f>
        <v>0</v>
      </c>
      <c r="AB173" s="110" t="b">
        <f>IF(preDEL!$AG173,IFERROR(0/0,""),preDEL!AB173)</f>
        <v>0</v>
      </c>
      <c r="AC173" s="172">
        <f>IF(preDEL!$AG173,IFERROR(0/0,""),preDEL!AC173)</f>
        <v>629</v>
      </c>
      <c r="AD173" s="104" t="b">
        <f>IF(preDEL!$AG173,IFERROR(0/0,""),preDEL!AD173)</f>
        <v>0</v>
      </c>
      <c r="AE173" s="173" t="str">
        <f>IF(preDEL!$AG173,IFERROR(0/0,""),preDEL!AE173)</f>
        <v/>
      </c>
      <c r="AF173" s="110" t="b">
        <f>IF(preDEL!$AG173,IFERROR(0/0,""),preDEL!AF173)</f>
        <v>0</v>
      </c>
      <c r="AG173" s="110" t="b">
        <f>IF(preDEL!$AG173,IFERROR(0/0,""),preDEL!AG173)</f>
        <v>0</v>
      </c>
      <c r="AH173" s="104" t="str">
        <f>IF(preDEL!$AG173,IFERROR(0/0,""),preDEL!AH173)</f>
        <v/>
      </c>
      <c r="AI173" s="105" t="str">
        <f>IF(preDEL!$AG173,IFERROR(0/0,""),preDEL!AI173)</f>
        <v/>
      </c>
      <c r="AJ173" s="112" t="str">
        <f>IF(preDEL!$AG173,IFERROR(0/0,""),preDEL!AJ173)</f>
        <v/>
      </c>
      <c r="AK173" s="105" t="str">
        <f>IF(preDEL!$AG173,IFERROR(0/0,""),preDEL!AK173)</f>
        <v>Negative</v>
      </c>
      <c r="AL173" s="112" t="str">
        <f>IF(preDEL!$AG173,IFERROR(0/0,""),preDEL!AL173)</f>
        <v/>
      </c>
      <c r="AM173" s="112" t="str">
        <f>IF(preDEL!$AG173,IFERROR(0/0,""),preDEL!AM173)</f>
        <v>SpBEND551372</v>
      </c>
      <c r="AN173" s="112" t="str">
        <f>IF(preDEL!$AG173,IFERROR(0/0,""),preDEL!AN173)</f>
        <v>BEND475899</v>
      </c>
      <c r="AO173" s="112" t="str">
        <f>IF(preDEL!$AG173,IFERROR(0/0,""),preDEL!AO173)</f>
        <v/>
      </c>
      <c r="AP173" s="112" t="str">
        <f>IF(preDEL!$AG173,IFERROR(0/0,""),preDEL!AP173)</f>
        <v/>
      </c>
      <c r="AQ173" s="112" t="str">
        <f>IF(preDEL!$AG173,IFERROR(0/0,""),preDEL!AQ173)</f>
        <v/>
      </c>
      <c r="AR173" s="112" t="str">
        <f>IF(preDEL!$AG173,IFERROR(0/0,""),preDEL!AR173)</f>
        <v/>
      </c>
      <c r="AS173" s="112" t="str">
        <f>IF(preDEL!$AG173,IFERROR(0/0,""),preDEL!AS173)</f>
        <v/>
      </c>
      <c r="AT173" s="112" t="b">
        <f>IF(preDEL!$AG173,IFERROR(0/0,""),preDEL!AT173)</f>
        <v>0</v>
      </c>
      <c r="AU173" s="112" t="str">
        <f>IF(preDEL!$AG173,IFERROR(0/0,""),preDEL!AU173)</f>
        <v/>
      </c>
      <c r="AV173" s="112" t="str">
        <f>IF(preDEL!$AG173,IFERROR(0/0,""),preDEL!AV173)</f>
        <v/>
      </c>
      <c r="AW173" s="112" t="str">
        <f>IF(preDEL!$AG173,IFERROR(0/0,""),preDEL!AW173)</f>
        <v/>
      </c>
      <c r="AX173" s="112" t="str">
        <f>IF(preDEL!$AG173,IFERROR(0/0,""),preDEL!AX173)</f>
        <v/>
      </c>
      <c r="AY173" s="112" t="str">
        <f>IF(preDEL!$AG173,IFERROR(0/0,""),preDEL!AY173)</f>
        <v/>
      </c>
      <c r="AZ173" s="174"/>
      <c r="BA173" s="174"/>
      <c r="BB173" s="174"/>
      <c r="BC173" s="174"/>
      <c r="BD173" s="174"/>
      <c r="BE173" s="174"/>
      <c r="BF173" s="174"/>
      <c r="BG173" s="174"/>
      <c r="BH173" s="174"/>
      <c r="BI173" s="174"/>
      <c r="BJ173" s="174"/>
      <c r="BK173" s="174"/>
      <c r="BL173" s="174"/>
      <c r="BM173" s="174"/>
      <c r="BN173" s="174"/>
      <c r="BO173" s="174"/>
      <c r="BP173" s="174"/>
      <c r="BQ173" s="174"/>
      <c r="BR173" s="174"/>
      <c r="BS173" s="174"/>
      <c r="BT173" s="174"/>
      <c r="BU173" s="174"/>
      <c r="BV173" s="174"/>
      <c r="BW173" s="174"/>
      <c r="BX173" s="174"/>
      <c r="BY173" s="174"/>
      <c r="BZ173" s="174"/>
      <c r="CA173" s="174"/>
      <c r="CB173" s="174"/>
      <c r="CC173" s="174"/>
      <c r="CD173" s="174"/>
    </row>
    <row r="174">
      <c r="A174" s="105" t="str">
        <f>IF(preDEL!$AG174,IFERROR(0/0,""),preDEL!A174)</f>
        <v>MA658</v>
      </c>
      <c r="B174" s="170">
        <f>IF(preDEL!$AG174,IFERROR(0/0,""),preDEL!B174)</f>
        <v>44573</v>
      </c>
      <c r="C174" s="171">
        <f>IF(preDEL!$AG174,IFERROR(0/0,""),preDEL!C174)</f>
        <v>0.2979166667</v>
      </c>
      <c r="D174" s="105" t="str">
        <f>IF(preDEL!$AG174,IFERROR(0/0,""),preDEL!D174)</f>
        <v/>
      </c>
      <c r="E174" s="105" t="str">
        <f>IF(preDEL!$AG174,IFERROR(0/0,""),preDEL!E174)</f>
        <v/>
      </c>
      <c r="F174" s="112" t="str">
        <f>IF(preDEL!$AG174,IFERROR(0/0,""),preDEL!F174)</f>
        <v/>
      </c>
      <c r="G174" s="112" t="str">
        <f>IF(preDEL!$AG174,IFERROR(0/0,""),preDEL!G174)</f>
        <v/>
      </c>
      <c r="H174" s="112" t="str">
        <f>IF(preDEL!$AG174,IFERROR(0/0,""),preDEL!H174)</f>
        <v/>
      </c>
      <c r="I174" s="105" t="str">
        <f>IF(preDEL!$AG174,IFERROR(0/0,""),preDEL!I174)</f>
        <v/>
      </c>
      <c r="J174" s="105" t="str">
        <f>IF(preDEL!$AG174,IFERROR(0/0,""),preDEL!J174)</f>
        <v/>
      </c>
      <c r="K174" s="105" t="str">
        <f>IF(preDEL!$AG174,IFERROR(0/0,""),preDEL!K174)</f>
        <v>Negative</v>
      </c>
      <c r="L174" s="170">
        <f>IF(preDEL!$AG174,IFERROR(0/0,""),preDEL!L174)</f>
        <v>44575</v>
      </c>
      <c r="M174" s="171">
        <f>IF(preDEL!$AG174,IFERROR(0/0,""),preDEL!M174)</f>
        <v>0.482025463</v>
      </c>
      <c r="N174" s="112" t="str">
        <f>IF(preDEL!$AG174,IFERROR(0/0,""),preDEL!N174)</f>
        <v/>
      </c>
      <c r="O174" s="112" t="str">
        <f>IF(preDEL!$AG174,IFERROR(0/0,""),preDEL!O174)</f>
        <v/>
      </c>
      <c r="P174" s="110" t="b">
        <f>IF(preDEL!$AG174,IFERROR(0/0,""),preDEL!P174)</f>
        <v>0</v>
      </c>
      <c r="Q174" s="110" t="str">
        <f>IF(preDEL!$AG174,IFERROR(0/0,""),preDEL!Q174)</f>
        <v>Result</v>
      </c>
      <c r="R174" s="104" t="b">
        <f>IF(preDEL!$AG174,IFERROR(0/0,""),preDEL!R174)</f>
        <v>1</v>
      </c>
      <c r="S174" s="104">
        <f>IF(preDEL!$AG174,IFERROR(0/0,""),preDEL!S174)</f>
        <v>1</v>
      </c>
      <c r="T174" s="110" t="str">
        <f>IF(preDEL!$AG174,IFERROR(0/0,""),preDEL!T174)</f>
        <v/>
      </c>
      <c r="U174" s="112" t="str">
        <f>IF(preDEL!$AG174,IFERROR(0/0,""),preDEL!U174)</f>
        <v/>
      </c>
      <c r="V174" s="105" t="str">
        <f>IF(preDEL!$AG174,IFERROR(0/0,""),preDEL!V174)</f>
        <v/>
      </c>
      <c r="W174" s="112" t="str">
        <f>IF(preDEL!$AG174,IFERROR(0/0,""),preDEL!W174)</f>
        <v/>
      </c>
      <c r="X174" s="104" t="b">
        <f>IF(preDEL!$AG174,IFERROR(0/0,""),preDEL!X174)</f>
        <v>0</v>
      </c>
      <c r="Y174" s="110" t="b">
        <f>IF(preDEL!$AG174,IFERROR(0/0,""),preDEL!Y174)</f>
        <v>0</v>
      </c>
      <c r="Z174" s="105" t="str">
        <f>IF(preDEL!$AG174,IFERROR(0/0,""),preDEL!Z174)</f>
        <v/>
      </c>
      <c r="AA174" s="110" t="b">
        <f>IF(preDEL!$AG174,IFERROR(0/0,""),preDEL!AA174)</f>
        <v>0</v>
      </c>
      <c r="AB174" s="110" t="b">
        <f>IF(preDEL!$AG174,IFERROR(0/0,""),preDEL!AB174)</f>
        <v>0</v>
      </c>
      <c r="AC174" s="172">
        <f>IF(preDEL!$AG174,IFERROR(0/0,""),preDEL!AC174)</f>
        <v>628</v>
      </c>
      <c r="AD174" s="104" t="b">
        <f>IF(preDEL!$AG174,IFERROR(0/0,""),preDEL!AD174)</f>
        <v>0</v>
      </c>
      <c r="AE174" s="173" t="str">
        <f>IF(preDEL!$AG174,IFERROR(0/0,""),preDEL!AE174)</f>
        <v/>
      </c>
      <c r="AF174" s="110" t="b">
        <f>IF(preDEL!$AG174,IFERROR(0/0,""),preDEL!AF174)</f>
        <v>0</v>
      </c>
      <c r="AG174" s="110" t="b">
        <f>IF(preDEL!$AG174,IFERROR(0/0,""),preDEL!AG174)</f>
        <v>0</v>
      </c>
      <c r="AH174" s="104" t="str">
        <f>IF(preDEL!$AG174,IFERROR(0/0,""),preDEL!AH174)</f>
        <v/>
      </c>
      <c r="AI174" s="105" t="str">
        <f>IF(preDEL!$AG174,IFERROR(0/0,""),preDEL!AI174)</f>
        <v/>
      </c>
      <c r="AJ174" s="112" t="str">
        <f>IF(preDEL!$AG174,IFERROR(0/0,""),preDEL!AJ174)</f>
        <v/>
      </c>
      <c r="AK174" s="105" t="str">
        <f>IF(preDEL!$AG174,IFERROR(0/0,""),preDEL!AK174)</f>
        <v>Negative</v>
      </c>
      <c r="AL174" s="112" t="str">
        <f>IF(preDEL!$AG174,IFERROR(0/0,""),preDEL!AL174)</f>
        <v/>
      </c>
      <c r="AM174" s="112" t="str">
        <f>IF(preDEL!$AG174,IFERROR(0/0,""),preDEL!AM174)</f>
        <v>SpBEND481988</v>
      </c>
      <c r="AN174" s="112" t="str">
        <f>IF(preDEL!$AG174,IFERROR(0/0,""),preDEL!AN174)</f>
        <v>BEND223874</v>
      </c>
      <c r="AO174" s="112" t="str">
        <f>IF(preDEL!$AG174,IFERROR(0/0,""),preDEL!AO174)</f>
        <v/>
      </c>
      <c r="AP174" s="112" t="str">
        <f>IF(preDEL!$AG174,IFERROR(0/0,""),preDEL!AP174)</f>
        <v/>
      </c>
      <c r="AQ174" s="112" t="str">
        <f>IF(preDEL!$AG174,IFERROR(0/0,""),preDEL!AQ174)</f>
        <v/>
      </c>
      <c r="AR174" s="112" t="str">
        <f>IF(preDEL!$AG174,IFERROR(0/0,""),preDEL!AR174)</f>
        <v/>
      </c>
      <c r="AS174" s="112" t="str">
        <f>IF(preDEL!$AG174,IFERROR(0/0,""),preDEL!AS174)</f>
        <v/>
      </c>
      <c r="AT174" s="112" t="b">
        <f>IF(preDEL!$AG174,IFERROR(0/0,""),preDEL!AT174)</f>
        <v>0</v>
      </c>
      <c r="AU174" s="112" t="str">
        <f>IF(preDEL!$AG174,IFERROR(0/0,""),preDEL!AU174)</f>
        <v/>
      </c>
      <c r="AV174" s="112" t="str">
        <f>IF(preDEL!$AG174,IFERROR(0/0,""),preDEL!AV174)</f>
        <v/>
      </c>
      <c r="AW174" s="112" t="str">
        <f>IF(preDEL!$AG174,IFERROR(0/0,""),preDEL!AW174)</f>
        <v/>
      </c>
      <c r="AX174" s="112" t="str">
        <f>IF(preDEL!$AG174,IFERROR(0/0,""),preDEL!AX174)</f>
        <v/>
      </c>
      <c r="AY174" s="112" t="str">
        <f>IF(preDEL!$AG174,IFERROR(0/0,""),preDEL!AY174)</f>
        <v/>
      </c>
      <c r="AZ174" s="174"/>
      <c r="BA174" s="174"/>
      <c r="BB174" s="174"/>
      <c r="BC174" s="174"/>
      <c r="BD174" s="174"/>
      <c r="BE174" s="174"/>
      <c r="BF174" s="174"/>
      <c r="BG174" s="174"/>
      <c r="BH174" s="174"/>
      <c r="BI174" s="174"/>
      <c r="BJ174" s="174"/>
      <c r="BK174" s="174"/>
      <c r="BL174" s="174"/>
      <c r="BM174" s="174"/>
      <c r="BN174" s="174"/>
      <c r="BO174" s="174"/>
      <c r="BP174" s="174"/>
      <c r="BQ174" s="174"/>
      <c r="BR174" s="174"/>
      <c r="BS174" s="174"/>
      <c r="BT174" s="174"/>
      <c r="BU174" s="174"/>
      <c r="BV174" s="174"/>
      <c r="BW174" s="174"/>
      <c r="BX174" s="174"/>
      <c r="BY174" s="174"/>
      <c r="BZ174" s="174"/>
      <c r="CA174" s="174"/>
      <c r="CB174" s="174"/>
      <c r="CC174" s="174"/>
      <c r="CD174" s="174"/>
    </row>
    <row r="175">
      <c r="A175" s="105" t="str">
        <f>IF(preDEL!$AG175,IFERROR(0/0,""),preDEL!A175)</f>
        <v>MA700</v>
      </c>
      <c r="B175" s="170">
        <f>IF(preDEL!$AG175,IFERROR(0/0,""),preDEL!B175)</f>
        <v>44573</v>
      </c>
      <c r="C175" s="171">
        <f>IF(preDEL!$AG175,IFERROR(0/0,""),preDEL!C175)</f>
        <v>0.318275463</v>
      </c>
      <c r="D175" s="105" t="str">
        <f>IF(preDEL!$AG175,IFERROR(0/0,""),preDEL!D175)</f>
        <v/>
      </c>
      <c r="E175" s="105" t="str">
        <f>IF(preDEL!$AG175,IFERROR(0/0,""),preDEL!E175)</f>
        <v/>
      </c>
      <c r="F175" s="112" t="str">
        <f>IF(preDEL!$AG175,IFERROR(0/0,""),preDEL!F175)</f>
        <v/>
      </c>
      <c r="G175" s="112" t="str">
        <f>IF(preDEL!$AG175,IFERROR(0/0,""),preDEL!G175)</f>
        <v/>
      </c>
      <c r="H175" s="112" t="str">
        <f>IF(preDEL!$AG175,IFERROR(0/0,""),preDEL!H175)</f>
        <v/>
      </c>
      <c r="I175" s="105" t="str">
        <f>IF(preDEL!$AG175,IFERROR(0/0,""),preDEL!I175)</f>
        <v/>
      </c>
      <c r="J175" s="105" t="str">
        <f>IF(preDEL!$AG175,IFERROR(0/0,""),preDEL!J175)</f>
        <v/>
      </c>
      <c r="K175" s="105" t="str">
        <f>IF(preDEL!$AG175,IFERROR(0/0,""),preDEL!K175)</f>
        <v>Negative</v>
      </c>
      <c r="L175" s="170">
        <f>IF(preDEL!$AG175,IFERROR(0/0,""),preDEL!L175)</f>
        <v>44575</v>
      </c>
      <c r="M175" s="171">
        <f>IF(preDEL!$AG175,IFERROR(0/0,""),preDEL!M175)</f>
        <v>0.482025463</v>
      </c>
      <c r="N175" s="112" t="str">
        <f>IF(preDEL!$AG175,IFERROR(0/0,""),preDEL!N175)</f>
        <v/>
      </c>
      <c r="O175" s="112" t="str">
        <f>IF(preDEL!$AG175,IFERROR(0/0,""),preDEL!O175)</f>
        <v/>
      </c>
      <c r="P175" s="110" t="b">
        <f>IF(preDEL!$AG175,IFERROR(0/0,""),preDEL!P175)</f>
        <v>0</v>
      </c>
      <c r="Q175" s="110" t="str">
        <f>IF(preDEL!$AG175,IFERROR(0/0,""),preDEL!Q175)</f>
        <v>Result</v>
      </c>
      <c r="R175" s="104" t="b">
        <f>IF(preDEL!$AG175,IFERROR(0/0,""),preDEL!R175)</f>
        <v>1</v>
      </c>
      <c r="S175" s="104">
        <f>IF(preDEL!$AG175,IFERROR(0/0,""),preDEL!S175)</f>
        <v>1</v>
      </c>
      <c r="T175" s="110" t="str">
        <f>IF(preDEL!$AG175,IFERROR(0/0,""),preDEL!T175)</f>
        <v/>
      </c>
      <c r="U175" s="112" t="str">
        <f>IF(preDEL!$AG175,IFERROR(0/0,""),preDEL!U175)</f>
        <v/>
      </c>
      <c r="V175" s="105" t="str">
        <f>IF(preDEL!$AG175,IFERROR(0/0,""),preDEL!V175)</f>
        <v/>
      </c>
      <c r="W175" s="112" t="str">
        <f>IF(preDEL!$AG175,IFERROR(0/0,""),preDEL!W175)</f>
        <v/>
      </c>
      <c r="X175" s="104" t="b">
        <f>IF(preDEL!$AG175,IFERROR(0/0,""),preDEL!X175)</f>
        <v>0</v>
      </c>
      <c r="Y175" s="110" t="b">
        <f>IF(preDEL!$AG175,IFERROR(0/0,""),preDEL!Y175)</f>
        <v>0</v>
      </c>
      <c r="Z175" s="105" t="str">
        <f>IF(preDEL!$AG175,IFERROR(0/0,""),preDEL!Z175)</f>
        <v/>
      </c>
      <c r="AA175" s="110" t="b">
        <f>IF(preDEL!$AG175,IFERROR(0/0,""),preDEL!AA175)</f>
        <v>0</v>
      </c>
      <c r="AB175" s="110" t="b">
        <f>IF(preDEL!$AG175,IFERROR(0/0,""),preDEL!AB175)</f>
        <v>0</v>
      </c>
      <c r="AC175" s="172">
        <f>IF(preDEL!$AG175,IFERROR(0/0,""),preDEL!AC175)</f>
        <v>627</v>
      </c>
      <c r="AD175" s="104" t="b">
        <f>IF(preDEL!$AG175,IFERROR(0/0,""),preDEL!AD175)</f>
        <v>0</v>
      </c>
      <c r="AE175" s="173" t="str">
        <f>IF(preDEL!$AG175,IFERROR(0/0,""),preDEL!AE175)</f>
        <v/>
      </c>
      <c r="AF175" s="110" t="b">
        <f>IF(preDEL!$AG175,IFERROR(0/0,""),preDEL!AF175)</f>
        <v>0</v>
      </c>
      <c r="AG175" s="110" t="b">
        <f>IF(preDEL!$AG175,IFERROR(0/0,""),preDEL!AG175)</f>
        <v>0</v>
      </c>
      <c r="AH175" s="104" t="str">
        <f>IF(preDEL!$AG175,IFERROR(0/0,""),preDEL!AH175)</f>
        <v/>
      </c>
      <c r="AI175" s="105" t="str">
        <f>IF(preDEL!$AG175,IFERROR(0/0,""),preDEL!AI175)</f>
        <v/>
      </c>
      <c r="AJ175" s="112" t="str">
        <f>IF(preDEL!$AG175,IFERROR(0/0,""),preDEL!AJ175)</f>
        <v/>
      </c>
      <c r="AK175" s="105" t="str">
        <f>IF(preDEL!$AG175,IFERROR(0/0,""),preDEL!AK175)</f>
        <v>Negative</v>
      </c>
      <c r="AL175" s="112" t="str">
        <f>IF(preDEL!$AG175,IFERROR(0/0,""),preDEL!AL175)</f>
        <v/>
      </c>
      <c r="AM175" s="112" t="str">
        <f>IF(preDEL!$AG175,IFERROR(0/0,""),preDEL!AM175)</f>
        <v>SpBEND492052</v>
      </c>
      <c r="AN175" s="112" t="str">
        <f>IF(preDEL!$AG175,IFERROR(0/0,""),preDEL!AN175)</f>
        <v>BEND350325</v>
      </c>
      <c r="AO175" s="112" t="str">
        <f>IF(preDEL!$AG175,IFERROR(0/0,""),preDEL!AO175)</f>
        <v/>
      </c>
      <c r="AP175" s="112" t="str">
        <f>IF(preDEL!$AG175,IFERROR(0/0,""),preDEL!AP175)</f>
        <v/>
      </c>
      <c r="AQ175" s="112" t="str">
        <f>IF(preDEL!$AG175,IFERROR(0/0,""),preDEL!AQ175)</f>
        <v/>
      </c>
      <c r="AR175" s="112" t="str">
        <f>IF(preDEL!$AG175,IFERROR(0/0,""),preDEL!AR175)</f>
        <v/>
      </c>
      <c r="AS175" s="112" t="str">
        <f>IF(preDEL!$AG175,IFERROR(0/0,""),preDEL!AS175)</f>
        <v/>
      </c>
      <c r="AT175" s="112" t="b">
        <f>IF(preDEL!$AG175,IFERROR(0/0,""),preDEL!AT175)</f>
        <v>0</v>
      </c>
      <c r="AU175" s="112" t="str">
        <f>IF(preDEL!$AG175,IFERROR(0/0,""),preDEL!AU175)</f>
        <v/>
      </c>
      <c r="AV175" s="112" t="str">
        <f>IF(preDEL!$AG175,IFERROR(0/0,""),preDEL!AV175)</f>
        <v/>
      </c>
      <c r="AW175" s="112" t="str">
        <f>IF(preDEL!$AG175,IFERROR(0/0,""),preDEL!AW175)</f>
        <v/>
      </c>
      <c r="AX175" s="112" t="str">
        <f>IF(preDEL!$AG175,IFERROR(0/0,""),preDEL!AX175)</f>
        <v/>
      </c>
      <c r="AY175" s="112" t="str">
        <f>IF(preDEL!$AG175,IFERROR(0/0,""),preDEL!AY175)</f>
        <v/>
      </c>
      <c r="AZ175" s="174"/>
      <c r="BA175" s="174"/>
      <c r="BB175" s="174"/>
      <c r="BC175" s="174"/>
      <c r="BD175" s="174"/>
      <c r="BE175" s="174"/>
      <c r="BF175" s="174"/>
      <c r="BG175" s="174"/>
      <c r="BH175" s="174"/>
      <c r="BI175" s="174"/>
      <c r="BJ175" s="174"/>
      <c r="BK175" s="174"/>
      <c r="BL175" s="174"/>
      <c r="BM175" s="174"/>
      <c r="BN175" s="174"/>
      <c r="BO175" s="174"/>
      <c r="BP175" s="174"/>
      <c r="BQ175" s="174"/>
      <c r="BR175" s="174"/>
      <c r="BS175" s="174"/>
      <c r="BT175" s="174"/>
      <c r="BU175" s="174"/>
      <c r="BV175" s="174"/>
      <c r="BW175" s="174"/>
      <c r="BX175" s="174"/>
      <c r="BY175" s="174"/>
      <c r="BZ175" s="174"/>
      <c r="CA175" s="174"/>
      <c r="CB175" s="174"/>
      <c r="CC175" s="174"/>
      <c r="CD175" s="174"/>
    </row>
    <row r="176">
      <c r="A176" s="105" t="str">
        <f>IF(preDEL!$AG176,IFERROR(0/0,""),preDEL!A176)</f>
        <v>MA1156</v>
      </c>
      <c r="B176" s="170">
        <f>IF(preDEL!$AG176,IFERROR(0/0,""),preDEL!B176)</f>
        <v>44573</v>
      </c>
      <c r="C176" s="171">
        <f>IF(preDEL!$AG176,IFERROR(0/0,""),preDEL!C176)</f>
        <v>0.3233796296</v>
      </c>
      <c r="D176" s="105" t="str">
        <f>IF(preDEL!$AG176,IFERROR(0/0,""),preDEL!D176)</f>
        <v/>
      </c>
      <c r="E176" s="105" t="str">
        <f>IF(preDEL!$AG176,IFERROR(0/0,""),preDEL!E176)</f>
        <v/>
      </c>
      <c r="F176" s="112" t="str">
        <f>IF(preDEL!$AG176,IFERROR(0/0,""),preDEL!F176)</f>
        <v/>
      </c>
      <c r="G176" s="112" t="str">
        <f>IF(preDEL!$AG176,IFERROR(0/0,""),preDEL!G176)</f>
        <v/>
      </c>
      <c r="H176" s="112" t="str">
        <f>IF(preDEL!$AG176,IFERROR(0/0,""),preDEL!H176)</f>
        <v/>
      </c>
      <c r="I176" s="105" t="str">
        <f>IF(preDEL!$AG176,IFERROR(0/0,""),preDEL!I176)</f>
        <v/>
      </c>
      <c r="J176" s="105" t="str">
        <f>IF(preDEL!$AG176,IFERROR(0/0,""),preDEL!J176)</f>
        <v/>
      </c>
      <c r="K176" s="105" t="str">
        <f>IF(preDEL!$AG176,IFERROR(0/0,""),preDEL!K176)</f>
        <v>Positive</v>
      </c>
      <c r="L176" s="170">
        <f>IF(preDEL!$AG176,IFERROR(0/0,""),preDEL!L176)</f>
        <v>44579</v>
      </c>
      <c r="M176" s="171">
        <f>IF(preDEL!$AG176,IFERROR(0/0,""),preDEL!M176)</f>
        <v>0.5015856481</v>
      </c>
      <c r="N176" s="112" t="str">
        <f>IF(preDEL!$AG176,IFERROR(0/0,""),preDEL!N176)</f>
        <v/>
      </c>
      <c r="O176" s="112" t="str">
        <f>IF(preDEL!$AG176,IFERROR(0/0,""),preDEL!O176)</f>
        <v/>
      </c>
      <c r="P176" s="110" t="b">
        <f>IF(preDEL!$AG176,IFERROR(0/0,""),preDEL!P176)</f>
        <v>0</v>
      </c>
      <c r="Q176" s="110" t="str">
        <f>IF(preDEL!$AG176,IFERROR(0/0,""),preDEL!Q176)</f>
        <v>Result</v>
      </c>
      <c r="R176" s="104" t="b">
        <f>IF(preDEL!$AG176,IFERROR(0/0,""),preDEL!R176)</f>
        <v>1</v>
      </c>
      <c r="S176" s="104">
        <f>IF(preDEL!$AG176,IFERROR(0/0,""),preDEL!S176)</f>
        <v>1</v>
      </c>
      <c r="T176" s="110" t="str">
        <f>IF(preDEL!$AG176,IFERROR(0/0,""),preDEL!T176)</f>
        <v/>
      </c>
      <c r="U176" s="112" t="str">
        <f>IF(preDEL!$AG176,IFERROR(0/0,""),preDEL!U176)</f>
        <v/>
      </c>
      <c r="V176" s="105" t="str">
        <f>IF(preDEL!$AG176,IFERROR(0/0,""),preDEL!V176)</f>
        <v/>
      </c>
      <c r="W176" s="112" t="str">
        <f>IF(preDEL!$AG176,IFERROR(0/0,""),preDEL!W176)</f>
        <v/>
      </c>
      <c r="X176" s="104" t="b">
        <f>IF(preDEL!$AG176,IFERROR(0/0,""),preDEL!X176)</f>
        <v>0</v>
      </c>
      <c r="Y176" s="110" t="b">
        <f>IF(preDEL!$AG176,IFERROR(0/0,""),preDEL!Y176)</f>
        <v>0</v>
      </c>
      <c r="Z176" s="105" t="str">
        <f>IF(preDEL!$AG176,IFERROR(0/0,""),preDEL!Z176)</f>
        <v/>
      </c>
      <c r="AA176" s="110" t="b">
        <f>IF(preDEL!$AG176,IFERROR(0/0,""),preDEL!AA176)</f>
        <v>0</v>
      </c>
      <c r="AB176" s="110" t="b">
        <f>IF(preDEL!$AG176,IFERROR(0/0,""),preDEL!AB176)</f>
        <v>0</v>
      </c>
      <c r="AC176" s="172">
        <f>IF(preDEL!$AG176,IFERROR(0/0,""),preDEL!AC176)</f>
        <v>626</v>
      </c>
      <c r="AD176" s="104" t="b">
        <f>IF(preDEL!$AG176,IFERROR(0/0,""),preDEL!AD176)</f>
        <v>0</v>
      </c>
      <c r="AE176" s="173" t="str">
        <f>IF(preDEL!$AG176,IFERROR(0/0,""),preDEL!AE176)</f>
        <v/>
      </c>
      <c r="AF176" s="110" t="b">
        <f>IF(preDEL!$AG176,IFERROR(0/0,""),preDEL!AF176)</f>
        <v>0</v>
      </c>
      <c r="AG176" s="110" t="b">
        <f>IF(preDEL!$AG176,IFERROR(0/0,""),preDEL!AG176)</f>
        <v>0</v>
      </c>
      <c r="AH176" s="104" t="str">
        <f>IF(preDEL!$AG176,IFERROR(0/0,""),preDEL!AH176)</f>
        <v/>
      </c>
      <c r="AI176" s="105" t="str">
        <f>IF(preDEL!$AG176,IFERROR(0/0,""),preDEL!AI176)</f>
        <v/>
      </c>
      <c r="AJ176" s="112" t="str">
        <f>IF(preDEL!$AG176,IFERROR(0/0,""),preDEL!AJ176)</f>
        <v/>
      </c>
      <c r="AK176" s="105" t="str">
        <f>IF(preDEL!$AG176,IFERROR(0/0,""),preDEL!AK176)</f>
        <v>Positive</v>
      </c>
      <c r="AL176" s="112" t="str">
        <f>IF(preDEL!$AG176,IFERROR(0/0,""),preDEL!AL176)</f>
        <v/>
      </c>
      <c r="AM176" s="112" t="str">
        <f>IF(preDEL!$AG176,IFERROR(0/0,""),preDEL!AM176)</f>
        <v>SpBEND198321</v>
      </c>
      <c r="AN176" s="112" t="str">
        <f>IF(preDEL!$AG176,IFERROR(0/0,""),preDEL!AN176)</f>
        <v>BEND772881</v>
      </c>
      <c r="AO176" s="112" t="str">
        <f>IF(preDEL!$AG176,IFERROR(0/0,""),preDEL!AO176)</f>
        <v/>
      </c>
      <c r="AP176" s="112" t="str">
        <f>IF(preDEL!$AG176,IFERROR(0/0,""),preDEL!AP176)</f>
        <v/>
      </c>
      <c r="AQ176" s="112" t="str">
        <f>IF(preDEL!$AG176,IFERROR(0/0,""),preDEL!AQ176)</f>
        <v/>
      </c>
      <c r="AR176" s="112" t="str">
        <f>IF(preDEL!$AG176,IFERROR(0/0,""),preDEL!AR176)</f>
        <v/>
      </c>
      <c r="AS176" s="112" t="str">
        <f>IF(preDEL!$AG176,IFERROR(0/0,""),preDEL!AS176)</f>
        <v/>
      </c>
      <c r="AT176" s="112" t="b">
        <f>IF(preDEL!$AG176,IFERROR(0/0,""),preDEL!AT176)</f>
        <v>0</v>
      </c>
      <c r="AU176" s="112" t="str">
        <f>IF(preDEL!$AG176,IFERROR(0/0,""),preDEL!AU176)</f>
        <v/>
      </c>
      <c r="AV176" s="112" t="str">
        <f>IF(preDEL!$AG176,IFERROR(0/0,""),preDEL!AV176)</f>
        <v/>
      </c>
      <c r="AW176" s="112" t="str">
        <f>IF(preDEL!$AG176,IFERROR(0/0,""),preDEL!AW176)</f>
        <v/>
      </c>
      <c r="AX176" s="112" t="str">
        <f>IF(preDEL!$AG176,IFERROR(0/0,""),preDEL!AX176)</f>
        <v/>
      </c>
      <c r="AY176" s="112" t="str">
        <f>IF(preDEL!$AG176,IFERROR(0/0,""),preDEL!AY176)</f>
        <v/>
      </c>
      <c r="AZ176" s="174"/>
      <c r="BA176" s="174"/>
      <c r="BB176" s="174"/>
      <c r="BC176" s="174"/>
      <c r="BD176" s="174"/>
      <c r="BE176" s="174"/>
      <c r="BF176" s="174"/>
      <c r="BG176" s="174"/>
      <c r="BH176" s="174"/>
      <c r="BI176" s="174"/>
      <c r="BJ176" s="174"/>
      <c r="BK176" s="174"/>
      <c r="BL176" s="174"/>
      <c r="BM176" s="174"/>
      <c r="BN176" s="174"/>
      <c r="BO176" s="174"/>
      <c r="BP176" s="174"/>
      <c r="BQ176" s="174"/>
      <c r="BR176" s="174"/>
      <c r="BS176" s="174"/>
      <c r="BT176" s="174"/>
      <c r="BU176" s="174"/>
      <c r="BV176" s="174"/>
      <c r="BW176" s="174"/>
      <c r="BX176" s="174"/>
      <c r="BY176" s="174"/>
      <c r="BZ176" s="174"/>
      <c r="CA176" s="174"/>
      <c r="CB176" s="174"/>
      <c r="CC176" s="174"/>
      <c r="CD176" s="174"/>
    </row>
    <row r="177">
      <c r="A177" s="105" t="str">
        <f>IF(preDEL!$AG177,IFERROR(0/0,""),preDEL!A177)</f>
        <v>MA1077</v>
      </c>
      <c r="B177" s="170">
        <f>IF(preDEL!$AG177,IFERROR(0/0,""),preDEL!B177)</f>
        <v>44573</v>
      </c>
      <c r="C177" s="171">
        <f>IF(preDEL!$AG177,IFERROR(0/0,""),preDEL!C177)</f>
        <v>0.3285532407</v>
      </c>
      <c r="D177" s="105" t="str">
        <f>IF(preDEL!$AG177,IFERROR(0/0,""),preDEL!D177)</f>
        <v/>
      </c>
      <c r="E177" s="105" t="str">
        <f>IF(preDEL!$AG177,IFERROR(0/0,""),preDEL!E177)</f>
        <v/>
      </c>
      <c r="F177" s="112" t="str">
        <f>IF(preDEL!$AG177,IFERROR(0/0,""),preDEL!F177)</f>
        <v/>
      </c>
      <c r="G177" s="112" t="str">
        <f>IF(preDEL!$AG177,IFERROR(0/0,""),preDEL!G177)</f>
        <v/>
      </c>
      <c r="H177" s="112" t="str">
        <f>IF(preDEL!$AG177,IFERROR(0/0,""),preDEL!H177)</f>
        <v/>
      </c>
      <c r="I177" s="105" t="str">
        <f>IF(preDEL!$AG177,IFERROR(0/0,""),preDEL!I177)</f>
        <v/>
      </c>
      <c r="J177" s="105" t="str">
        <f>IF(preDEL!$AG177,IFERROR(0/0,""),preDEL!J177)</f>
        <v/>
      </c>
      <c r="K177" s="105" t="str">
        <f>IF(preDEL!$AG177,IFERROR(0/0,""),preDEL!K177)</f>
        <v>Negative</v>
      </c>
      <c r="L177" s="170">
        <f>IF(preDEL!$AG177,IFERROR(0/0,""),preDEL!L177)</f>
        <v>44575</v>
      </c>
      <c r="M177" s="171">
        <f>IF(preDEL!$AG177,IFERROR(0/0,""),preDEL!M177)</f>
        <v>0.482025463</v>
      </c>
      <c r="N177" s="112" t="str">
        <f>IF(preDEL!$AG177,IFERROR(0/0,""),preDEL!N177)</f>
        <v/>
      </c>
      <c r="O177" s="112" t="str">
        <f>IF(preDEL!$AG177,IFERROR(0/0,""),preDEL!O177)</f>
        <v/>
      </c>
      <c r="P177" s="110" t="b">
        <f>IF(preDEL!$AG177,IFERROR(0/0,""),preDEL!P177)</f>
        <v>0</v>
      </c>
      <c r="Q177" s="110" t="str">
        <f>IF(preDEL!$AG177,IFERROR(0/0,""),preDEL!Q177)</f>
        <v>Result</v>
      </c>
      <c r="R177" s="104" t="b">
        <f>IF(preDEL!$AG177,IFERROR(0/0,""),preDEL!R177)</f>
        <v>1</v>
      </c>
      <c r="S177" s="104">
        <f>IF(preDEL!$AG177,IFERROR(0/0,""),preDEL!S177)</f>
        <v>1</v>
      </c>
      <c r="T177" s="110" t="str">
        <f>IF(preDEL!$AG177,IFERROR(0/0,""),preDEL!T177)</f>
        <v/>
      </c>
      <c r="U177" s="112" t="str">
        <f>IF(preDEL!$AG177,IFERROR(0/0,""),preDEL!U177)</f>
        <v/>
      </c>
      <c r="V177" s="105" t="str">
        <f>IF(preDEL!$AG177,IFERROR(0/0,""),preDEL!V177)</f>
        <v/>
      </c>
      <c r="W177" s="112" t="str">
        <f>IF(preDEL!$AG177,IFERROR(0/0,""),preDEL!W177)</f>
        <v/>
      </c>
      <c r="X177" s="104" t="b">
        <f>IF(preDEL!$AG177,IFERROR(0/0,""),preDEL!X177)</f>
        <v>0</v>
      </c>
      <c r="Y177" s="110" t="b">
        <f>IF(preDEL!$AG177,IFERROR(0/0,""),preDEL!Y177)</f>
        <v>0</v>
      </c>
      <c r="Z177" s="105" t="str">
        <f>IF(preDEL!$AG177,IFERROR(0/0,""),preDEL!Z177)</f>
        <v/>
      </c>
      <c r="AA177" s="110" t="b">
        <f>IF(preDEL!$AG177,IFERROR(0/0,""),preDEL!AA177)</f>
        <v>0</v>
      </c>
      <c r="AB177" s="110" t="b">
        <f>IF(preDEL!$AG177,IFERROR(0/0,""),preDEL!AB177)</f>
        <v>0</v>
      </c>
      <c r="AC177" s="172">
        <f>IF(preDEL!$AG177,IFERROR(0/0,""),preDEL!AC177)</f>
        <v>625</v>
      </c>
      <c r="AD177" s="104" t="b">
        <f>IF(preDEL!$AG177,IFERROR(0/0,""),preDEL!AD177)</f>
        <v>0</v>
      </c>
      <c r="AE177" s="173" t="str">
        <f>IF(preDEL!$AG177,IFERROR(0/0,""),preDEL!AE177)</f>
        <v/>
      </c>
      <c r="AF177" s="110" t="b">
        <f>IF(preDEL!$AG177,IFERROR(0/0,""),preDEL!AF177)</f>
        <v>0</v>
      </c>
      <c r="AG177" s="110" t="b">
        <f>IF(preDEL!$AG177,IFERROR(0/0,""),preDEL!AG177)</f>
        <v>0</v>
      </c>
      <c r="AH177" s="104" t="str">
        <f>IF(preDEL!$AG177,IFERROR(0/0,""),preDEL!AH177)</f>
        <v/>
      </c>
      <c r="AI177" s="105" t="str">
        <f>IF(preDEL!$AG177,IFERROR(0/0,""),preDEL!AI177)</f>
        <v/>
      </c>
      <c r="AJ177" s="112" t="str">
        <f>IF(preDEL!$AG177,IFERROR(0/0,""),preDEL!AJ177)</f>
        <v/>
      </c>
      <c r="AK177" s="105" t="str">
        <f>IF(preDEL!$AG177,IFERROR(0/0,""),preDEL!AK177)</f>
        <v>Negative</v>
      </c>
      <c r="AL177" s="112" t="str">
        <f>IF(preDEL!$AG177,IFERROR(0/0,""),preDEL!AL177)</f>
        <v/>
      </c>
      <c r="AM177" s="112" t="str">
        <f>IF(preDEL!$AG177,IFERROR(0/0,""),preDEL!AM177)</f>
        <v>SpBEND825522</v>
      </c>
      <c r="AN177" s="112" t="str">
        <f>IF(preDEL!$AG177,IFERROR(0/0,""),preDEL!AN177)</f>
        <v>BEND140857</v>
      </c>
      <c r="AO177" s="112" t="str">
        <f>IF(preDEL!$AG177,IFERROR(0/0,""),preDEL!AO177)</f>
        <v/>
      </c>
      <c r="AP177" s="112" t="str">
        <f>IF(preDEL!$AG177,IFERROR(0/0,""),preDEL!AP177)</f>
        <v/>
      </c>
      <c r="AQ177" s="112" t="str">
        <f>IF(preDEL!$AG177,IFERROR(0/0,""),preDEL!AQ177)</f>
        <v/>
      </c>
      <c r="AR177" s="112" t="str">
        <f>IF(preDEL!$AG177,IFERROR(0/0,""),preDEL!AR177)</f>
        <v/>
      </c>
      <c r="AS177" s="112" t="str">
        <f>IF(preDEL!$AG177,IFERROR(0/0,""),preDEL!AS177)</f>
        <v/>
      </c>
      <c r="AT177" s="112" t="b">
        <f>IF(preDEL!$AG177,IFERROR(0/0,""),preDEL!AT177)</f>
        <v>0</v>
      </c>
      <c r="AU177" s="112" t="str">
        <f>IF(preDEL!$AG177,IFERROR(0/0,""),preDEL!AU177)</f>
        <v/>
      </c>
      <c r="AV177" s="112" t="str">
        <f>IF(preDEL!$AG177,IFERROR(0/0,""),preDEL!AV177)</f>
        <v/>
      </c>
      <c r="AW177" s="112" t="str">
        <f>IF(preDEL!$AG177,IFERROR(0/0,""),preDEL!AW177)</f>
        <v/>
      </c>
      <c r="AX177" s="112" t="str">
        <f>IF(preDEL!$AG177,IFERROR(0/0,""),preDEL!AX177)</f>
        <v/>
      </c>
      <c r="AY177" s="112" t="str">
        <f>IF(preDEL!$AG177,IFERROR(0/0,""),preDEL!AY177)</f>
        <v/>
      </c>
      <c r="AZ177" s="174"/>
      <c r="BA177" s="174"/>
      <c r="BB177" s="174"/>
      <c r="BC177" s="174"/>
      <c r="BD177" s="174"/>
      <c r="BE177" s="174"/>
      <c r="BF177" s="174"/>
      <c r="BG177" s="174"/>
      <c r="BH177" s="174"/>
      <c r="BI177" s="174"/>
      <c r="BJ177" s="174"/>
      <c r="BK177" s="174"/>
      <c r="BL177" s="174"/>
      <c r="BM177" s="174"/>
      <c r="BN177" s="174"/>
      <c r="BO177" s="174"/>
      <c r="BP177" s="174"/>
      <c r="BQ177" s="174"/>
      <c r="BR177" s="174"/>
      <c r="BS177" s="174"/>
      <c r="BT177" s="174"/>
      <c r="BU177" s="174"/>
      <c r="BV177" s="174"/>
      <c r="BW177" s="174"/>
      <c r="BX177" s="174"/>
      <c r="BY177" s="174"/>
      <c r="BZ177" s="174"/>
      <c r="CA177" s="174"/>
      <c r="CB177" s="174"/>
      <c r="CC177" s="174"/>
      <c r="CD177" s="174"/>
    </row>
    <row r="178">
      <c r="A178" s="105" t="str">
        <f>IF(preDEL!$AG178,IFERROR(0/0,""),preDEL!A178)</f>
        <v>MA633</v>
      </c>
      <c r="B178" s="170">
        <f>IF(preDEL!$AG178,IFERROR(0/0,""),preDEL!B178)</f>
        <v>44573</v>
      </c>
      <c r="C178" s="171">
        <f>IF(preDEL!$AG178,IFERROR(0/0,""),preDEL!C178)</f>
        <v>0.3347800926</v>
      </c>
      <c r="D178" s="105" t="str">
        <f>IF(preDEL!$AG178,IFERROR(0/0,""),preDEL!D178)</f>
        <v/>
      </c>
      <c r="E178" s="105" t="str">
        <f>IF(preDEL!$AG178,IFERROR(0/0,""),preDEL!E178)</f>
        <v/>
      </c>
      <c r="F178" s="112" t="str">
        <f>IF(preDEL!$AG178,IFERROR(0/0,""),preDEL!F178)</f>
        <v/>
      </c>
      <c r="G178" s="112" t="str">
        <f>IF(preDEL!$AG178,IFERROR(0/0,""),preDEL!G178)</f>
        <v/>
      </c>
      <c r="H178" s="112" t="str">
        <f>IF(preDEL!$AG178,IFERROR(0/0,""),preDEL!H178)</f>
        <v/>
      </c>
      <c r="I178" s="105" t="str">
        <f>IF(preDEL!$AG178,IFERROR(0/0,""),preDEL!I178)</f>
        <v/>
      </c>
      <c r="J178" s="105" t="str">
        <f>IF(preDEL!$AG178,IFERROR(0/0,""),preDEL!J178)</f>
        <v/>
      </c>
      <c r="K178" s="105" t="str">
        <f>IF(preDEL!$AG178,IFERROR(0/0,""),preDEL!K178)</f>
        <v>Negative</v>
      </c>
      <c r="L178" s="170">
        <f>IF(preDEL!$AG178,IFERROR(0/0,""),preDEL!L178)</f>
        <v>44575</v>
      </c>
      <c r="M178" s="171">
        <f>IF(preDEL!$AG178,IFERROR(0/0,""),preDEL!M178)</f>
        <v>0.482025463</v>
      </c>
      <c r="N178" s="112" t="str">
        <f>IF(preDEL!$AG178,IFERROR(0/0,""),preDEL!N178)</f>
        <v/>
      </c>
      <c r="O178" s="112" t="str">
        <f>IF(preDEL!$AG178,IFERROR(0/0,""),preDEL!O178)</f>
        <v/>
      </c>
      <c r="P178" s="110" t="b">
        <f>IF(preDEL!$AG178,IFERROR(0/0,""),preDEL!P178)</f>
        <v>0</v>
      </c>
      <c r="Q178" s="110" t="str">
        <f>IF(preDEL!$AG178,IFERROR(0/0,""),preDEL!Q178)</f>
        <v>Result</v>
      </c>
      <c r="R178" s="104" t="b">
        <f>IF(preDEL!$AG178,IFERROR(0/0,""),preDEL!R178)</f>
        <v>1</v>
      </c>
      <c r="S178" s="104">
        <f>IF(preDEL!$AG178,IFERROR(0/0,""),preDEL!S178)</f>
        <v>1</v>
      </c>
      <c r="T178" s="110" t="str">
        <f>IF(preDEL!$AG178,IFERROR(0/0,""),preDEL!T178)</f>
        <v/>
      </c>
      <c r="U178" s="112" t="str">
        <f>IF(preDEL!$AG178,IFERROR(0/0,""),preDEL!U178)</f>
        <v/>
      </c>
      <c r="V178" s="105" t="str">
        <f>IF(preDEL!$AG178,IFERROR(0/0,""),preDEL!V178)</f>
        <v/>
      </c>
      <c r="W178" s="112" t="str">
        <f>IF(preDEL!$AG178,IFERROR(0/0,""),preDEL!W178)</f>
        <v/>
      </c>
      <c r="X178" s="104" t="b">
        <f>IF(preDEL!$AG178,IFERROR(0/0,""),preDEL!X178)</f>
        <v>0</v>
      </c>
      <c r="Y178" s="110" t="b">
        <f>IF(preDEL!$AG178,IFERROR(0/0,""),preDEL!Y178)</f>
        <v>0</v>
      </c>
      <c r="Z178" s="105" t="str">
        <f>IF(preDEL!$AG178,IFERROR(0/0,""),preDEL!Z178)</f>
        <v/>
      </c>
      <c r="AA178" s="110" t="b">
        <f>IF(preDEL!$AG178,IFERROR(0/0,""),preDEL!AA178)</f>
        <v>0</v>
      </c>
      <c r="AB178" s="110" t="b">
        <f>IF(preDEL!$AG178,IFERROR(0/0,""),preDEL!AB178)</f>
        <v>0</v>
      </c>
      <c r="AC178" s="172">
        <f>IF(preDEL!$AG178,IFERROR(0/0,""),preDEL!AC178)</f>
        <v>624</v>
      </c>
      <c r="AD178" s="104" t="b">
        <f>IF(preDEL!$AG178,IFERROR(0/0,""),preDEL!AD178)</f>
        <v>0</v>
      </c>
      <c r="AE178" s="173" t="str">
        <f>IF(preDEL!$AG178,IFERROR(0/0,""),preDEL!AE178)</f>
        <v/>
      </c>
      <c r="AF178" s="110" t="b">
        <f>IF(preDEL!$AG178,IFERROR(0/0,""),preDEL!AF178)</f>
        <v>0</v>
      </c>
      <c r="AG178" s="110" t="b">
        <f>IF(preDEL!$AG178,IFERROR(0/0,""),preDEL!AG178)</f>
        <v>0</v>
      </c>
      <c r="AH178" s="104" t="str">
        <f>IF(preDEL!$AG178,IFERROR(0/0,""),preDEL!AH178)</f>
        <v/>
      </c>
      <c r="AI178" s="105" t="str">
        <f>IF(preDEL!$AG178,IFERROR(0/0,""),preDEL!AI178)</f>
        <v/>
      </c>
      <c r="AJ178" s="112" t="str">
        <f>IF(preDEL!$AG178,IFERROR(0/0,""),preDEL!AJ178)</f>
        <v/>
      </c>
      <c r="AK178" s="105" t="str">
        <f>IF(preDEL!$AG178,IFERROR(0/0,""),preDEL!AK178)</f>
        <v>Negative</v>
      </c>
      <c r="AL178" s="112" t="str">
        <f>IF(preDEL!$AG178,IFERROR(0/0,""),preDEL!AL178)</f>
        <v/>
      </c>
      <c r="AM178" s="112" t="str">
        <f>IF(preDEL!$AG178,IFERROR(0/0,""),preDEL!AM178)</f>
        <v>SpBEND349435</v>
      </c>
      <c r="AN178" s="112" t="str">
        <f>IF(preDEL!$AG178,IFERROR(0/0,""),preDEL!AN178)</f>
        <v>BEND759602</v>
      </c>
      <c r="AO178" s="112" t="str">
        <f>IF(preDEL!$AG178,IFERROR(0/0,""),preDEL!AO178)</f>
        <v/>
      </c>
      <c r="AP178" s="112" t="str">
        <f>IF(preDEL!$AG178,IFERROR(0/0,""),preDEL!AP178)</f>
        <v/>
      </c>
      <c r="AQ178" s="112" t="str">
        <f>IF(preDEL!$AG178,IFERROR(0/0,""),preDEL!AQ178)</f>
        <v/>
      </c>
      <c r="AR178" s="112" t="str">
        <f>IF(preDEL!$AG178,IFERROR(0/0,""),preDEL!AR178)</f>
        <v/>
      </c>
      <c r="AS178" s="112" t="str">
        <f>IF(preDEL!$AG178,IFERROR(0/0,""),preDEL!AS178)</f>
        <v/>
      </c>
      <c r="AT178" s="112" t="b">
        <f>IF(preDEL!$AG178,IFERROR(0/0,""),preDEL!AT178)</f>
        <v>0</v>
      </c>
      <c r="AU178" s="112" t="str">
        <f>IF(preDEL!$AG178,IFERROR(0/0,""),preDEL!AU178)</f>
        <v/>
      </c>
      <c r="AV178" s="112" t="str">
        <f>IF(preDEL!$AG178,IFERROR(0/0,""),preDEL!AV178)</f>
        <v/>
      </c>
      <c r="AW178" s="112" t="str">
        <f>IF(preDEL!$AG178,IFERROR(0/0,""),preDEL!AW178)</f>
        <v/>
      </c>
      <c r="AX178" s="112" t="str">
        <f>IF(preDEL!$AG178,IFERROR(0/0,""),preDEL!AX178)</f>
        <v/>
      </c>
      <c r="AY178" s="112" t="str">
        <f>IF(preDEL!$AG178,IFERROR(0/0,""),preDEL!AY178)</f>
        <v/>
      </c>
      <c r="AZ178" s="174"/>
      <c r="BA178" s="174"/>
      <c r="BB178" s="174"/>
      <c r="BC178" s="174"/>
      <c r="BD178" s="174"/>
      <c r="BE178" s="174"/>
      <c r="BF178" s="174"/>
      <c r="BG178" s="174"/>
      <c r="BH178" s="174"/>
      <c r="BI178" s="174"/>
      <c r="BJ178" s="174"/>
      <c r="BK178" s="174"/>
      <c r="BL178" s="174"/>
      <c r="BM178" s="174"/>
      <c r="BN178" s="174"/>
      <c r="BO178" s="174"/>
      <c r="BP178" s="174"/>
      <c r="BQ178" s="174"/>
      <c r="BR178" s="174"/>
      <c r="BS178" s="174"/>
      <c r="BT178" s="174"/>
      <c r="BU178" s="174"/>
      <c r="BV178" s="174"/>
      <c r="BW178" s="174"/>
      <c r="BX178" s="174"/>
      <c r="BY178" s="174"/>
      <c r="BZ178" s="174"/>
      <c r="CA178" s="174"/>
      <c r="CB178" s="174"/>
      <c r="CC178" s="174"/>
      <c r="CD178" s="174"/>
    </row>
    <row r="179">
      <c r="A179" s="105" t="str">
        <f>IF(preDEL!$AG179,IFERROR(0/0,""),preDEL!A179)</f>
        <v>MA1217</v>
      </c>
      <c r="B179" s="170">
        <f>IF(preDEL!$AG179,IFERROR(0/0,""),preDEL!B179)</f>
        <v>44573</v>
      </c>
      <c r="C179" s="171">
        <f>IF(preDEL!$AG179,IFERROR(0/0,""),preDEL!C179)</f>
        <v>0.347650463</v>
      </c>
      <c r="D179" s="105" t="str">
        <f>IF(preDEL!$AG179,IFERROR(0/0,""),preDEL!D179)</f>
        <v/>
      </c>
      <c r="E179" s="105" t="str">
        <f>IF(preDEL!$AG179,IFERROR(0/0,""),preDEL!E179)</f>
        <v/>
      </c>
      <c r="F179" s="112" t="str">
        <f>IF(preDEL!$AG179,IFERROR(0/0,""),preDEL!F179)</f>
        <v/>
      </c>
      <c r="G179" s="112" t="str">
        <f>IF(preDEL!$AG179,IFERROR(0/0,""),preDEL!G179)</f>
        <v/>
      </c>
      <c r="H179" s="112" t="str">
        <f>IF(preDEL!$AG179,IFERROR(0/0,""),preDEL!H179)</f>
        <v/>
      </c>
      <c r="I179" s="105" t="str">
        <f>IF(preDEL!$AG179,IFERROR(0/0,""),preDEL!I179)</f>
        <v/>
      </c>
      <c r="J179" s="105" t="str">
        <f>IF(preDEL!$AG179,IFERROR(0/0,""),preDEL!J179)</f>
        <v/>
      </c>
      <c r="K179" s="105" t="str">
        <f>IF(preDEL!$AG179,IFERROR(0/0,""),preDEL!K179)</f>
        <v>Negative</v>
      </c>
      <c r="L179" s="170">
        <f>IF(preDEL!$AG179,IFERROR(0/0,""),preDEL!L179)</f>
        <v>44575</v>
      </c>
      <c r="M179" s="171">
        <f>IF(preDEL!$AG179,IFERROR(0/0,""),preDEL!M179)</f>
        <v>0.482025463</v>
      </c>
      <c r="N179" s="112" t="str">
        <f>IF(preDEL!$AG179,IFERROR(0/0,""),preDEL!N179)</f>
        <v/>
      </c>
      <c r="O179" s="112" t="str">
        <f>IF(preDEL!$AG179,IFERROR(0/0,""),preDEL!O179)</f>
        <v/>
      </c>
      <c r="P179" s="110" t="b">
        <f>IF(preDEL!$AG179,IFERROR(0/0,""),preDEL!P179)</f>
        <v>0</v>
      </c>
      <c r="Q179" s="110" t="str">
        <f>IF(preDEL!$AG179,IFERROR(0/0,""),preDEL!Q179)</f>
        <v>Result</v>
      </c>
      <c r="R179" s="104" t="b">
        <f>IF(preDEL!$AG179,IFERROR(0/0,""),preDEL!R179)</f>
        <v>1</v>
      </c>
      <c r="S179" s="104">
        <f>IF(preDEL!$AG179,IFERROR(0/0,""),preDEL!S179)</f>
        <v>1</v>
      </c>
      <c r="T179" s="110" t="str">
        <f>IF(preDEL!$AG179,IFERROR(0/0,""),preDEL!T179)</f>
        <v/>
      </c>
      <c r="U179" s="112" t="str">
        <f>IF(preDEL!$AG179,IFERROR(0/0,""),preDEL!U179)</f>
        <v/>
      </c>
      <c r="V179" s="105" t="str">
        <f>IF(preDEL!$AG179,IFERROR(0/0,""),preDEL!V179)</f>
        <v/>
      </c>
      <c r="W179" s="112" t="str">
        <f>IF(preDEL!$AG179,IFERROR(0/0,""),preDEL!W179)</f>
        <v/>
      </c>
      <c r="X179" s="104" t="b">
        <f>IF(preDEL!$AG179,IFERROR(0/0,""),preDEL!X179)</f>
        <v>0</v>
      </c>
      <c r="Y179" s="110" t="b">
        <f>IF(preDEL!$AG179,IFERROR(0/0,""),preDEL!Y179)</f>
        <v>0</v>
      </c>
      <c r="Z179" s="105" t="str">
        <f>IF(preDEL!$AG179,IFERROR(0/0,""),preDEL!Z179)</f>
        <v/>
      </c>
      <c r="AA179" s="110" t="b">
        <f>IF(preDEL!$AG179,IFERROR(0/0,""),preDEL!AA179)</f>
        <v>0</v>
      </c>
      <c r="AB179" s="110" t="b">
        <f>IF(preDEL!$AG179,IFERROR(0/0,""),preDEL!AB179)</f>
        <v>0</v>
      </c>
      <c r="AC179" s="172">
        <f>IF(preDEL!$AG179,IFERROR(0/0,""),preDEL!AC179)</f>
        <v>623</v>
      </c>
      <c r="AD179" s="104" t="b">
        <f>IF(preDEL!$AG179,IFERROR(0/0,""),preDEL!AD179)</f>
        <v>0</v>
      </c>
      <c r="AE179" s="173" t="str">
        <f>IF(preDEL!$AG179,IFERROR(0/0,""),preDEL!AE179)</f>
        <v/>
      </c>
      <c r="AF179" s="110" t="b">
        <f>IF(preDEL!$AG179,IFERROR(0/0,""),preDEL!AF179)</f>
        <v>0</v>
      </c>
      <c r="AG179" s="110" t="b">
        <f>IF(preDEL!$AG179,IFERROR(0/0,""),preDEL!AG179)</f>
        <v>0</v>
      </c>
      <c r="AH179" s="104" t="str">
        <f>IF(preDEL!$AG179,IFERROR(0/0,""),preDEL!AH179)</f>
        <v/>
      </c>
      <c r="AI179" s="105" t="str">
        <f>IF(preDEL!$AG179,IFERROR(0/0,""),preDEL!AI179)</f>
        <v/>
      </c>
      <c r="AJ179" s="112" t="str">
        <f>IF(preDEL!$AG179,IFERROR(0/0,""),preDEL!AJ179)</f>
        <v/>
      </c>
      <c r="AK179" s="105" t="str">
        <f>IF(preDEL!$AG179,IFERROR(0/0,""),preDEL!AK179)</f>
        <v>Negative</v>
      </c>
      <c r="AL179" s="112" t="str">
        <f>IF(preDEL!$AG179,IFERROR(0/0,""),preDEL!AL179)</f>
        <v/>
      </c>
      <c r="AM179" s="112" t="str">
        <f>IF(preDEL!$AG179,IFERROR(0/0,""),preDEL!AM179)</f>
        <v>SpBEND305944</v>
      </c>
      <c r="AN179" s="112" t="str">
        <f>IF(preDEL!$AG179,IFERROR(0/0,""),preDEL!AN179)</f>
        <v>BEND538986</v>
      </c>
      <c r="AO179" s="112" t="str">
        <f>IF(preDEL!$AG179,IFERROR(0/0,""),preDEL!AO179)</f>
        <v/>
      </c>
      <c r="AP179" s="112" t="str">
        <f>IF(preDEL!$AG179,IFERROR(0/0,""),preDEL!AP179)</f>
        <v/>
      </c>
      <c r="AQ179" s="112" t="str">
        <f>IF(preDEL!$AG179,IFERROR(0/0,""),preDEL!AQ179)</f>
        <v/>
      </c>
      <c r="AR179" s="112" t="str">
        <f>IF(preDEL!$AG179,IFERROR(0/0,""),preDEL!AR179)</f>
        <v/>
      </c>
      <c r="AS179" s="112" t="str">
        <f>IF(preDEL!$AG179,IFERROR(0/0,""),preDEL!AS179)</f>
        <v/>
      </c>
      <c r="AT179" s="112" t="b">
        <f>IF(preDEL!$AG179,IFERROR(0/0,""),preDEL!AT179)</f>
        <v>0</v>
      </c>
      <c r="AU179" s="112" t="str">
        <f>IF(preDEL!$AG179,IFERROR(0/0,""),preDEL!AU179)</f>
        <v/>
      </c>
      <c r="AV179" s="112" t="str">
        <f>IF(preDEL!$AG179,IFERROR(0/0,""),preDEL!AV179)</f>
        <v/>
      </c>
      <c r="AW179" s="112" t="str">
        <f>IF(preDEL!$AG179,IFERROR(0/0,""),preDEL!AW179)</f>
        <v/>
      </c>
      <c r="AX179" s="112" t="str">
        <f>IF(preDEL!$AG179,IFERROR(0/0,""),preDEL!AX179)</f>
        <v/>
      </c>
      <c r="AY179" s="112" t="str">
        <f>IF(preDEL!$AG179,IFERROR(0/0,""),preDEL!AY179)</f>
        <v/>
      </c>
      <c r="AZ179" s="174"/>
      <c r="BA179" s="174"/>
      <c r="BB179" s="174"/>
      <c r="BC179" s="174"/>
      <c r="BD179" s="174"/>
      <c r="BE179" s="174"/>
      <c r="BF179" s="174"/>
      <c r="BG179" s="174"/>
      <c r="BH179" s="174"/>
      <c r="BI179" s="174"/>
      <c r="BJ179" s="174"/>
      <c r="BK179" s="174"/>
      <c r="BL179" s="174"/>
      <c r="BM179" s="174"/>
      <c r="BN179" s="174"/>
      <c r="BO179" s="174"/>
      <c r="BP179" s="174"/>
      <c r="BQ179" s="174"/>
      <c r="BR179" s="174"/>
      <c r="BS179" s="174"/>
      <c r="BT179" s="174"/>
      <c r="BU179" s="174"/>
      <c r="BV179" s="174"/>
      <c r="BW179" s="174"/>
      <c r="BX179" s="174"/>
      <c r="BY179" s="174"/>
      <c r="BZ179" s="174"/>
      <c r="CA179" s="174"/>
      <c r="CB179" s="174"/>
      <c r="CC179" s="174"/>
      <c r="CD179" s="174"/>
    </row>
    <row r="180">
      <c r="A180" s="105" t="str">
        <f>IF(preDEL!$AG180,IFERROR(0/0,""),preDEL!A180)</f>
        <v>MA396</v>
      </c>
      <c r="B180" s="170">
        <f>IF(preDEL!$AG180,IFERROR(0/0,""),preDEL!B180)</f>
        <v>44573</v>
      </c>
      <c r="C180" s="171">
        <f>IF(preDEL!$AG180,IFERROR(0/0,""),preDEL!C180)</f>
        <v>0.3486574074</v>
      </c>
      <c r="D180" s="105" t="str">
        <f>IF(preDEL!$AG180,IFERROR(0/0,""),preDEL!D180)</f>
        <v/>
      </c>
      <c r="E180" s="105" t="str">
        <f>IF(preDEL!$AG180,IFERROR(0/0,""),preDEL!E180)</f>
        <v/>
      </c>
      <c r="F180" s="112" t="str">
        <f>IF(preDEL!$AG180,IFERROR(0/0,""),preDEL!F180)</f>
        <v/>
      </c>
      <c r="G180" s="112" t="str">
        <f>IF(preDEL!$AG180,IFERROR(0/0,""),preDEL!G180)</f>
        <v/>
      </c>
      <c r="H180" s="112" t="str">
        <f>IF(preDEL!$AG180,IFERROR(0/0,""),preDEL!H180)</f>
        <v/>
      </c>
      <c r="I180" s="105" t="str">
        <f>IF(preDEL!$AG180,IFERROR(0/0,""),preDEL!I180)</f>
        <v/>
      </c>
      <c r="J180" s="105" t="str">
        <f>IF(preDEL!$AG180,IFERROR(0/0,""),preDEL!J180)</f>
        <v/>
      </c>
      <c r="K180" s="105" t="str">
        <f>IF(preDEL!$AG180,IFERROR(0/0,""),preDEL!K180)</f>
        <v>Negative</v>
      </c>
      <c r="L180" s="170">
        <f>IF(preDEL!$AG180,IFERROR(0/0,""),preDEL!L180)</f>
        <v>44575</v>
      </c>
      <c r="M180" s="171">
        <f>IF(preDEL!$AG180,IFERROR(0/0,""),preDEL!M180)</f>
        <v>0.482025463</v>
      </c>
      <c r="N180" s="112" t="str">
        <f>IF(preDEL!$AG180,IFERROR(0/0,""),preDEL!N180)</f>
        <v/>
      </c>
      <c r="O180" s="112" t="str">
        <f>IF(preDEL!$AG180,IFERROR(0/0,""),preDEL!O180)</f>
        <v/>
      </c>
      <c r="P180" s="110" t="b">
        <f>IF(preDEL!$AG180,IFERROR(0/0,""),preDEL!P180)</f>
        <v>0</v>
      </c>
      <c r="Q180" s="110" t="str">
        <f>IF(preDEL!$AG180,IFERROR(0/0,""),preDEL!Q180)</f>
        <v>Result</v>
      </c>
      <c r="R180" s="104" t="b">
        <f>IF(preDEL!$AG180,IFERROR(0/0,""),preDEL!R180)</f>
        <v>1</v>
      </c>
      <c r="S180" s="104">
        <f>IF(preDEL!$AG180,IFERROR(0/0,""),preDEL!S180)</f>
        <v>1</v>
      </c>
      <c r="T180" s="110" t="str">
        <f>IF(preDEL!$AG180,IFERROR(0/0,""),preDEL!T180)</f>
        <v/>
      </c>
      <c r="U180" s="112" t="str">
        <f>IF(preDEL!$AG180,IFERROR(0/0,""),preDEL!U180)</f>
        <v/>
      </c>
      <c r="V180" s="105" t="str">
        <f>IF(preDEL!$AG180,IFERROR(0/0,""),preDEL!V180)</f>
        <v/>
      </c>
      <c r="W180" s="112" t="str">
        <f>IF(preDEL!$AG180,IFERROR(0/0,""),preDEL!W180)</f>
        <v/>
      </c>
      <c r="X180" s="104" t="b">
        <f>IF(preDEL!$AG180,IFERROR(0/0,""),preDEL!X180)</f>
        <v>0</v>
      </c>
      <c r="Y180" s="110" t="b">
        <f>IF(preDEL!$AG180,IFERROR(0/0,""),preDEL!Y180)</f>
        <v>0</v>
      </c>
      <c r="Z180" s="105" t="str">
        <f>IF(preDEL!$AG180,IFERROR(0/0,""),preDEL!Z180)</f>
        <v/>
      </c>
      <c r="AA180" s="110" t="b">
        <f>IF(preDEL!$AG180,IFERROR(0/0,""),preDEL!AA180)</f>
        <v>0</v>
      </c>
      <c r="AB180" s="110" t="b">
        <f>IF(preDEL!$AG180,IFERROR(0/0,""),preDEL!AB180)</f>
        <v>0</v>
      </c>
      <c r="AC180" s="172">
        <f>IF(preDEL!$AG180,IFERROR(0/0,""),preDEL!AC180)</f>
        <v>622</v>
      </c>
      <c r="AD180" s="104" t="b">
        <f>IF(preDEL!$AG180,IFERROR(0/0,""),preDEL!AD180)</f>
        <v>0</v>
      </c>
      <c r="AE180" s="173" t="str">
        <f>IF(preDEL!$AG180,IFERROR(0/0,""),preDEL!AE180)</f>
        <v/>
      </c>
      <c r="AF180" s="110" t="b">
        <f>IF(preDEL!$AG180,IFERROR(0/0,""),preDEL!AF180)</f>
        <v>0</v>
      </c>
      <c r="AG180" s="110" t="b">
        <f>IF(preDEL!$AG180,IFERROR(0/0,""),preDEL!AG180)</f>
        <v>0</v>
      </c>
      <c r="AH180" s="104" t="str">
        <f>IF(preDEL!$AG180,IFERROR(0/0,""),preDEL!AH180)</f>
        <v/>
      </c>
      <c r="AI180" s="105" t="str">
        <f>IF(preDEL!$AG180,IFERROR(0/0,""),preDEL!AI180)</f>
        <v/>
      </c>
      <c r="AJ180" s="112" t="str">
        <f>IF(preDEL!$AG180,IFERROR(0/0,""),preDEL!AJ180)</f>
        <v/>
      </c>
      <c r="AK180" s="105" t="str">
        <f>IF(preDEL!$AG180,IFERROR(0/0,""),preDEL!AK180)</f>
        <v>Negative</v>
      </c>
      <c r="AL180" s="112" t="str">
        <f>IF(preDEL!$AG180,IFERROR(0/0,""),preDEL!AL180)</f>
        <v/>
      </c>
      <c r="AM180" s="112" t="str">
        <f>IF(preDEL!$AG180,IFERROR(0/0,""),preDEL!AM180)</f>
        <v>SpBEND425753</v>
      </c>
      <c r="AN180" s="112" t="str">
        <f>IF(preDEL!$AG180,IFERROR(0/0,""),preDEL!AN180)</f>
        <v>BEND982858</v>
      </c>
      <c r="AO180" s="112" t="str">
        <f>IF(preDEL!$AG180,IFERROR(0/0,""),preDEL!AO180)</f>
        <v/>
      </c>
      <c r="AP180" s="112" t="str">
        <f>IF(preDEL!$AG180,IFERROR(0/0,""),preDEL!AP180)</f>
        <v/>
      </c>
      <c r="AQ180" s="112" t="str">
        <f>IF(preDEL!$AG180,IFERROR(0/0,""),preDEL!AQ180)</f>
        <v/>
      </c>
      <c r="AR180" s="112" t="str">
        <f>IF(preDEL!$AG180,IFERROR(0/0,""),preDEL!AR180)</f>
        <v/>
      </c>
      <c r="AS180" s="112" t="str">
        <f>IF(preDEL!$AG180,IFERROR(0/0,""),preDEL!AS180)</f>
        <v/>
      </c>
      <c r="AT180" s="112" t="b">
        <f>IF(preDEL!$AG180,IFERROR(0/0,""),preDEL!AT180)</f>
        <v>0</v>
      </c>
      <c r="AU180" s="112" t="str">
        <f>IF(preDEL!$AG180,IFERROR(0/0,""),preDEL!AU180)</f>
        <v/>
      </c>
      <c r="AV180" s="112" t="str">
        <f>IF(preDEL!$AG180,IFERROR(0/0,""),preDEL!AV180)</f>
        <v/>
      </c>
      <c r="AW180" s="112" t="str">
        <f>IF(preDEL!$AG180,IFERROR(0/0,""),preDEL!AW180)</f>
        <v/>
      </c>
      <c r="AX180" s="112" t="str">
        <f>IF(preDEL!$AG180,IFERROR(0/0,""),preDEL!AX180)</f>
        <v/>
      </c>
      <c r="AY180" s="112" t="str">
        <f>IF(preDEL!$AG180,IFERROR(0/0,""),preDEL!AY180)</f>
        <v/>
      </c>
      <c r="AZ180" s="174"/>
      <c r="BA180" s="174"/>
      <c r="BB180" s="174"/>
      <c r="BC180" s="174"/>
      <c r="BD180" s="174"/>
      <c r="BE180" s="174"/>
      <c r="BF180" s="174"/>
      <c r="BG180" s="174"/>
      <c r="BH180" s="174"/>
      <c r="BI180" s="174"/>
      <c r="BJ180" s="174"/>
      <c r="BK180" s="174"/>
      <c r="BL180" s="174"/>
      <c r="BM180" s="174"/>
      <c r="BN180" s="174"/>
      <c r="BO180" s="174"/>
      <c r="BP180" s="174"/>
      <c r="BQ180" s="174"/>
      <c r="BR180" s="174"/>
      <c r="BS180" s="174"/>
      <c r="BT180" s="174"/>
      <c r="BU180" s="174"/>
      <c r="BV180" s="174"/>
      <c r="BW180" s="174"/>
      <c r="BX180" s="174"/>
      <c r="BY180" s="174"/>
      <c r="BZ180" s="174"/>
      <c r="CA180" s="174"/>
      <c r="CB180" s="174"/>
      <c r="CC180" s="174"/>
      <c r="CD180" s="174"/>
    </row>
    <row r="181">
      <c r="A181" s="105" t="str">
        <f>IF(preDEL!$AG181,IFERROR(0/0,""),preDEL!A181)</f>
        <v>MA1199</v>
      </c>
      <c r="B181" s="170">
        <f>IF(preDEL!$AG181,IFERROR(0/0,""),preDEL!B181)</f>
        <v>44573</v>
      </c>
      <c r="C181" s="171">
        <f>IF(preDEL!$AG181,IFERROR(0/0,""),preDEL!C181)</f>
        <v>0.3503009259</v>
      </c>
      <c r="D181" s="105" t="str">
        <f>IF(preDEL!$AG181,IFERROR(0/0,""),preDEL!D181)</f>
        <v/>
      </c>
      <c r="E181" s="105" t="str">
        <f>IF(preDEL!$AG181,IFERROR(0/0,""),preDEL!E181)</f>
        <v/>
      </c>
      <c r="F181" s="112" t="str">
        <f>IF(preDEL!$AG181,IFERROR(0/0,""),preDEL!F181)</f>
        <v/>
      </c>
      <c r="G181" s="112" t="str">
        <f>IF(preDEL!$AG181,IFERROR(0/0,""),preDEL!G181)</f>
        <v/>
      </c>
      <c r="H181" s="112" t="str">
        <f>IF(preDEL!$AG181,IFERROR(0/0,""),preDEL!H181)</f>
        <v/>
      </c>
      <c r="I181" s="105" t="str">
        <f>IF(preDEL!$AG181,IFERROR(0/0,""),preDEL!I181)</f>
        <v/>
      </c>
      <c r="J181" s="105" t="str">
        <f>IF(preDEL!$AG181,IFERROR(0/0,""),preDEL!J181)</f>
        <v/>
      </c>
      <c r="K181" s="105" t="str">
        <f>IF(preDEL!$AG181,IFERROR(0/0,""),preDEL!K181)</f>
        <v>Negative</v>
      </c>
      <c r="L181" s="170">
        <f>IF(preDEL!$AG181,IFERROR(0/0,""),preDEL!L181)</f>
        <v>44575</v>
      </c>
      <c r="M181" s="171">
        <f>IF(preDEL!$AG181,IFERROR(0/0,""),preDEL!M181)</f>
        <v>0.482037037</v>
      </c>
      <c r="N181" s="112" t="str">
        <f>IF(preDEL!$AG181,IFERROR(0/0,""),preDEL!N181)</f>
        <v/>
      </c>
      <c r="O181" s="112" t="str">
        <f>IF(preDEL!$AG181,IFERROR(0/0,""),preDEL!O181)</f>
        <v/>
      </c>
      <c r="P181" s="110" t="b">
        <f>IF(preDEL!$AG181,IFERROR(0/0,""),preDEL!P181)</f>
        <v>0</v>
      </c>
      <c r="Q181" s="110" t="str">
        <f>IF(preDEL!$AG181,IFERROR(0/0,""),preDEL!Q181)</f>
        <v>Result</v>
      </c>
      <c r="R181" s="104" t="b">
        <f>IF(preDEL!$AG181,IFERROR(0/0,""),preDEL!R181)</f>
        <v>1</v>
      </c>
      <c r="S181" s="104">
        <f>IF(preDEL!$AG181,IFERROR(0/0,""),preDEL!S181)</f>
        <v>1</v>
      </c>
      <c r="T181" s="110" t="str">
        <f>IF(preDEL!$AG181,IFERROR(0/0,""),preDEL!T181)</f>
        <v/>
      </c>
      <c r="U181" s="112" t="str">
        <f>IF(preDEL!$AG181,IFERROR(0/0,""),preDEL!U181)</f>
        <v/>
      </c>
      <c r="V181" s="105" t="str">
        <f>IF(preDEL!$AG181,IFERROR(0/0,""),preDEL!V181)</f>
        <v/>
      </c>
      <c r="W181" s="112" t="str">
        <f>IF(preDEL!$AG181,IFERROR(0/0,""),preDEL!W181)</f>
        <v/>
      </c>
      <c r="X181" s="104" t="b">
        <f>IF(preDEL!$AG181,IFERROR(0/0,""),preDEL!X181)</f>
        <v>0</v>
      </c>
      <c r="Y181" s="110" t="b">
        <f>IF(preDEL!$AG181,IFERROR(0/0,""),preDEL!Y181)</f>
        <v>0</v>
      </c>
      <c r="Z181" s="105" t="str">
        <f>IF(preDEL!$AG181,IFERROR(0/0,""),preDEL!Z181)</f>
        <v/>
      </c>
      <c r="AA181" s="110" t="b">
        <f>IF(preDEL!$AG181,IFERROR(0/0,""),preDEL!AA181)</f>
        <v>0</v>
      </c>
      <c r="AB181" s="110" t="b">
        <f>IF(preDEL!$AG181,IFERROR(0/0,""),preDEL!AB181)</f>
        <v>0</v>
      </c>
      <c r="AC181" s="172">
        <f>IF(preDEL!$AG181,IFERROR(0/0,""),preDEL!AC181)</f>
        <v>621</v>
      </c>
      <c r="AD181" s="104" t="b">
        <f>IF(preDEL!$AG181,IFERROR(0/0,""),preDEL!AD181)</f>
        <v>0</v>
      </c>
      <c r="AE181" s="173" t="str">
        <f>IF(preDEL!$AG181,IFERROR(0/0,""),preDEL!AE181)</f>
        <v/>
      </c>
      <c r="AF181" s="110" t="b">
        <f>IF(preDEL!$AG181,IFERROR(0/0,""),preDEL!AF181)</f>
        <v>0</v>
      </c>
      <c r="AG181" s="110" t="b">
        <f>IF(preDEL!$AG181,IFERROR(0/0,""),preDEL!AG181)</f>
        <v>0</v>
      </c>
      <c r="AH181" s="104" t="str">
        <f>IF(preDEL!$AG181,IFERROR(0/0,""),preDEL!AH181)</f>
        <v/>
      </c>
      <c r="AI181" s="105" t="str">
        <f>IF(preDEL!$AG181,IFERROR(0/0,""),preDEL!AI181)</f>
        <v/>
      </c>
      <c r="AJ181" s="112" t="str">
        <f>IF(preDEL!$AG181,IFERROR(0/0,""),preDEL!AJ181)</f>
        <v/>
      </c>
      <c r="AK181" s="105" t="str">
        <f>IF(preDEL!$AG181,IFERROR(0/0,""),preDEL!AK181)</f>
        <v>Negative</v>
      </c>
      <c r="AL181" s="112" t="str">
        <f>IF(preDEL!$AG181,IFERROR(0/0,""),preDEL!AL181)</f>
        <v/>
      </c>
      <c r="AM181" s="112" t="str">
        <f>IF(preDEL!$AG181,IFERROR(0/0,""),preDEL!AM181)</f>
        <v>SpBEND977859</v>
      </c>
      <c r="AN181" s="112" t="str">
        <f>IF(preDEL!$AG181,IFERROR(0/0,""),preDEL!AN181)</f>
        <v>BEND143262</v>
      </c>
      <c r="AO181" s="112" t="str">
        <f>IF(preDEL!$AG181,IFERROR(0/0,""),preDEL!AO181)</f>
        <v/>
      </c>
      <c r="AP181" s="112" t="str">
        <f>IF(preDEL!$AG181,IFERROR(0/0,""),preDEL!AP181)</f>
        <v/>
      </c>
      <c r="AQ181" s="112" t="str">
        <f>IF(preDEL!$AG181,IFERROR(0/0,""),preDEL!AQ181)</f>
        <v/>
      </c>
      <c r="AR181" s="112" t="str">
        <f>IF(preDEL!$AG181,IFERROR(0/0,""),preDEL!AR181)</f>
        <v/>
      </c>
      <c r="AS181" s="112" t="str">
        <f>IF(preDEL!$AG181,IFERROR(0/0,""),preDEL!AS181)</f>
        <v/>
      </c>
      <c r="AT181" s="112" t="b">
        <f>IF(preDEL!$AG181,IFERROR(0/0,""),preDEL!AT181)</f>
        <v>0</v>
      </c>
      <c r="AU181" s="112" t="str">
        <f>IF(preDEL!$AG181,IFERROR(0/0,""),preDEL!AU181)</f>
        <v/>
      </c>
      <c r="AV181" s="112" t="str">
        <f>IF(preDEL!$AG181,IFERROR(0/0,""),preDEL!AV181)</f>
        <v/>
      </c>
      <c r="AW181" s="112" t="str">
        <f>IF(preDEL!$AG181,IFERROR(0/0,""),preDEL!AW181)</f>
        <v/>
      </c>
      <c r="AX181" s="112" t="str">
        <f>IF(preDEL!$AG181,IFERROR(0/0,""),preDEL!AX181)</f>
        <v/>
      </c>
      <c r="AY181" s="112" t="str">
        <f>IF(preDEL!$AG181,IFERROR(0/0,""),preDEL!AY181)</f>
        <v/>
      </c>
      <c r="AZ181" s="174"/>
      <c r="BA181" s="174"/>
      <c r="BB181" s="174"/>
      <c r="BC181" s="174"/>
      <c r="BD181" s="174"/>
      <c r="BE181" s="174"/>
      <c r="BF181" s="174"/>
      <c r="BG181" s="174"/>
      <c r="BH181" s="174"/>
      <c r="BI181" s="174"/>
      <c r="BJ181" s="174"/>
      <c r="BK181" s="174"/>
      <c r="BL181" s="174"/>
      <c r="BM181" s="174"/>
      <c r="BN181" s="174"/>
      <c r="BO181" s="174"/>
      <c r="BP181" s="174"/>
      <c r="BQ181" s="174"/>
      <c r="BR181" s="174"/>
      <c r="BS181" s="174"/>
      <c r="BT181" s="174"/>
      <c r="BU181" s="174"/>
      <c r="BV181" s="174"/>
      <c r="BW181" s="174"/>
      <c r="BX181" s="174"/>
      <c r="BY181" s="174"/>
      <c r="BZ181" s="174"/>
      <c r="CA181" s="174"/>
      <c r="CB181" s="174"/>
      <c r="CC181" s="174"/>
      <c r="CD181" s="174"/>
    </row>
    <row r="182">
      <c r="A182" s="105" t="str">
        <f>IF(preDEL!$AG182,IFERROR(0/0,""),preDEL!A182)</f>
        <v>MAX98</v>
      </c>
      <c r="B182" s="170">
        <f>IF(preDEL!$AG182,IFERROR(0/0,""),preDEL!B182)</f>
        <v>44573</v>
      </c>
      <c r="C182" s="171">
        <f>IF(preDEL!$AG182,IFERROR(0/0,""),preDEL!C182)</f>
        <v>0.3832986111</v>
      </c>
      <c r="D182" s="105" t="str">
        <f>IF(preDEL!$AG182,IFERROR(0/0,""),preDEL!D182)</f>
        <v/>
      </c>
      <c r="E182" s="105" t="str">
        <f>IF(preDEL!$AG182,IFERROR(0/0,""),preDEL!E182)</f>
        <v/>
      </c>
      <c r="F182" s="112" t="str">
        <f>IF(preDEL!$AG182,IFERROR(0/0,""),preDEL!F182)</f>
        <v/>
      </c>
      <c r="G182" s="112" t="str">
        <f>IF(preDEL!$AG182,IFERROR(0/0,""),preDEL!G182)</f>
        <v/>
      </c>
      <c r="H182" s="112" t="str">
        <f>IF(preDEL!$AG182,IFERROR(0/0,""),preDEL!H182)</f>
        <v/>
      </c>
      <c r="I182" s="105" t="str">
        <f>IF(preDEL!$AG182,IFERROR(0/0,""),preDEL!I182)</f>
        <v/>
      </c>
      <c r="J182" s="105" t="str">
        <f>IF(preDEL!$AG182,IFERROR(0/0,""),preDEL!J182)</f>
        <v/>
      </c>
      <c r="K182" s="105" t="str">
        <f>IF(preDEL!$AG182,IFERROR(0/0,""),preDEL!K182)</f>
        <v>Negative</v>
      </c>
      <c r="L182" s="170">
        <f>IF(preDEL!$AG182,IFERROR(0/0,""),preDEL!L182)</f>
        <v>44575</v>
      </c>
      <c r="M182" s="171">
        <f>IF(preDEL!$AG182,IFERROR(0/0,""),preDEL!M182)</f>
        <v>0.482037037</v>
      </c>
      <c r="N182" s="112" t="str">
        <f>IF(preDEL!$AG182,IFERROR(0/0,""),preDEL!N182)</f>
        <v/>
      </c>
      <c r="O182" s="112" t="str">
        <f>IF(preDEL!$AG182,IFERROR(0/0,""),preDEL!O182)</f>
        <v/>
      </c>
      <c r="P182" s="110" t="b">
        <f>IF(preDEL!$AG182,IFERROR(0/0,""),preDEL!P182)</f>
        <v>0</v>
      </c>
      <c r="Q182" s="110" t="str">
        <f>IF(preDEL!$AG182,IFERROR(0/0,""),preDEL!Q182)</f>
        <v>Result</v>
      </c>
      <c r="R182" s="104" t="b">
        <f>IF(preDEL!$AG182,IFERROR(0/0,""),preDEL!R182)</f>
        <v>1</v>
      </c>
      <c r="S182" s="104">
        <f>IF(preDEL!$AG182,IFERROR(0/0,""),preDEL!S182)</f>
        <v>1</v>
      </c>
      <c r="T182" s="110">
        <f>IF(preDEL!$AG182,IFERROR(0/0,""),preDEL!T182)</f>
        <v>0</v>
      </c>
      <c r="U182" s="112" t="str">
        <f>IF(preDEL!$AG182,IFERROR(0/0,""),preDEL!U182)</f>
        <v/>
      </c>
      <c r="V182" s="105" t="str">
        <f>IF(preDEL!$AG182,IFERROR(0/0,""),preDEL!V182)</f>
        <v/>
      </c>
      <c r="W182" s="112" t="str">
        <f>IF(preDEL!$AG182,IFERROR(0/0,""),preDEL!W182)</f>
        <v/>
      </c>
      <c r="X182" s="104" t="b">
        <f>IF(preDEL!$AG182,IFERROR(0/0,""),preDEL!X182)</f>
        <v>0</v>
      </c>
      <c r="Y182" s="110" t="b">
        <f>IF(preDEL!$AG182,IFERROR(0/0,""),preDEL!Y182)</f>
        <v>0</v>
      </c>
      <c r="Z182" s="105" t="str">
        <f>IF(preDEL!$AG182,IFERROR(0/0,""),preDEL!Z182)</f>
        <v/>
      </c>
      <c r="AA182" s="110" t="b">
        <f>IF(preDEL!$AG182,IFERROR(0/0,""),preDEL!AA182)</f>
        <v>0</v>
      </c>
      <c r="AB182" s="110" t="b">
        <f>IF(preDEL!$AG182,IFERROR(0/0,""),preDEL!AB182)</f>
        <v>0</v>
      </c>
      <c r="AC182" s="172">
        <f>IF(preDEL!$AG182,IFERROR(0/0,""),preDEL!AC182)</f>
        <v>620</v>
      </c>
      <c r="AD182" s="104" t="b">
        <f>IF(preDEL!$AG182,IFERROR(0/0,""),preDEL!AD182)</f>
        <v>0</v>
      </c>
      <c r="AE182" s="173" t="str">
        <f>IF(preDEL!$AG182,IFERROR(0/0,""),preDEL!AE182)</f>
        <v/>
      </c>
      <c r="AF182" s="110" t="b">
        <f>IF(preDEL!$AG182,IFERROR(0/0,""),preDEL!AF182)</f>
        <v>0</v>
      </c>
      <c r="AG182" s="110" t="b">
        <f>IF(preDEL!$AG182,IFERROR(0/0,""),preDEL!AG182)</f>
        <v>0</v>
      </c>
      <c r="AH182" s="104" t="str">
        <f>IF(preDEL!$AG182,IFERROR(0/0,""),preDEL!AH182)</f>
        <v/>
      </c>
      <c r="AI182" s="105" t="str">
        <f>IF(preDEL!$AG182,IFERROR(0/0,""),preDEL!AI182)</f>
        <v/>
      </c>
      <c r="AJ182" s="112" t="str">
        <f>IF(preDEL!$AG182,IFERROR(0/0,""),preDEL!AJ182)</f>
        <v/>
      </c>
      <c r="AK182" s="105" t="str">
        <f>IF(preDEL!$AG182,IFERROR(0/0,""),preDEL!AK182)</f>
        <v>Negative</v>
      </c>
      <c r="AL182" s="112" t="str">
        <f>IF(preDEL!$AG182,IFERROR(0/0,""),preDEL!AL182)</f>
        <v/>
      </c>
      <c r="AM182" s="112" t="str">
        <f>IF(preDEL!$AG182,IFERROR(0/0,""),preDEL!AM182)</f>
        <v>SpBEND394154</v>
      </c>
      <c r="AN182" s="112" t="str">
        <f>IF(preDEL!$AG182,IFERROR(0/0,""),preDEL!AN182)</f>
        <v>BEND525824</v>
      </c>
      <c r="AO182" s="112" t="str">
        <f>IF(preDEL!$AG182,IFERROR(0/0,""),preDEL!AO182)</f>
        <v/>
      </c>
      <c r="AP182" s="112" t="str">
        <f>IF(preDEL!$AG182,IFERROR(0/0,""),preDEL!AP182)</f>
        <v/>
      </c>
      <c r="AQ182" s="112" t="str">
        <f>IF(preDEL!$AG182,IFERROR(0/0,""),preDEL!AQ182)</f>
        <v/>
      </c>
      <c r="AR182" s="112" t="str">
        <f>IF(preDEL!$AG182,IFERROR(0/0,""),preDEL!AR182)</f>
        <v/>
      </c>
      <c r="AS182" s="112" t="str">
        <f>IF(preDEL!$AG182,IFERROR(0/0,""),preDEL!AS182)</f>
        <v/>
      </c>
      <c r="AT182" s="112" t="b">
        <f>IF(preDEL!$AG182,IFERROR(0/0,""),preDEL!AT182)</f>
        <v>0</v>
      </c>
      <c r="AU182" s="112" t="str">
        <f>IF(preDEL!$AG182,IFERROR(0/0,""),preDEL!AU182)</f>
        <v/>
      </c>
      <c r="AV182" s="112" t="str">
        <f>IF(preDEL!$AG182,IFERROR(0/0,""),preDEL!AV182)</f>
        <v/>
      </c>
      <c r="AW182" s="112" t="str">
        <f>IF(preDEL!$AG182,IFERROR(0/0,""),preDEL!AW182)</f>
        <v/>
      </c>
      <c r="AX182" s="112" t="str">
        <f>IF(preDEL!$AG182,IFERROR(0/0,""),preDEL!AX182)</f>
        <v/>
      </c>
      <c r="AY182" s="112" t="str">
        <f>IF(preDEL!$AG182,IFERROR(0/0,""),preDEL!AY182)</f>
        <v/>
      </c>
      <c r="AZ182" s="174"/>
      <c r="BA182" s="174"/>
      <c r="BB182" s="174"/>
      <c r="BC182" s="174"/>
      <c r="BD182" s="174"/>
      <c r="BE182" s="174"/>
      <c r="BF182" s="174"/>
      <c r="BG182" s="174"/>
      <c r="BH182" s="174"/>
      <c r="BI182" s="174"/>
      <c r="BJ182" s="174"/>
      <c r="BK182" s="174"/>
      <c r="BL182" s="174"/>
      <c r="BM182" s="174"/>
      <c r="BN182" s="174"/>
      <c r="BO182" s="174"/>
      <c r="BP182" s="174"/>
      <c r="BQ182" s="174"/>
      <c r="BR182" s="174"/>
      <c r="BS182" s="174"/>
      <c r="BT182" s="174"/>
      <c r="BU182" s="174"/>
      <c r="BV182" s="174"/>
      <c r="BW182" s="174"/>
      <c r="BX182" s="174"/>
      <c r="BY182" s="174"/>
      <c r="BZ182" s="174"/>
      <c r="CA182" s="174"/>
      <c r="CB182" s="174"/>
      <c r="CC182" s="174"/>
      <c r="CD182" s="174"/>
    </row>
    <row r="183">
      <c r="A183" s="105" t="str">
        <f>IF(preDEL!$AG183,IFERROR(0/0,""),preDEL!A183)</f>
        <v>MAX20</v>
      </c>
      <c r="B183" s="170">
        <f>IF(preDEL!$AG183,IFERROR(0/0,""),preDEL!B183)</f>
        <v>44573</v>
      </c>
      <c r="C183" s="171">
        <f>IF(preDEL!$AG183,IFERROR(0/0,""),preDEL!C183)</f>
        <v>0.383599537</v>
      </c>
      <c r="D183" s="105" t="str">
        <f>IF(preDEL!$AG183,IFERROR(0/0,""),preDEL!D183)</f>
        <v/>
      </c>
      <c r="E183" s="105" t="str">
        <f>IF(preDEL!$AG183,IFERROR(0/0,""),preDEL!E183)</f>
        <v/>
      </c>
      <c r="F183" s="112" t="str">
        <f>IF(preDEL!$AG183,IFERROR(0/0,""),preDEL!F183)</f>
        <v/>
      </c>
      <c r="G183" s="112" t="str">
        <f>IF(preDEL!$AG183,IFERROR(0/0,""),preDEL!G183)</f>
        <v/>
      </c>
      <c r="H183" s="112" t="str">
        <f>IF(preDEL!$AG183,IFERROR(0/0,""),preDEL!H183)</f>
        <v/>
      </c>
      <c r="I183" s="105" t="str">
        <f>IF(preDEL!$AG183,IFERROR(0/0,""),preDEL!I183)</f>
        <v/>
      </c>
      <c r="J183" s="105" t="str">
        <f>IF(preDEL!$AG183,IFERROR(0/0,""),preDEL!J183)</f>
        <v/>
      </c>
      <c r="K183" s="105" t="str">
        <f>IF(preDEL!$AG183,IFERROR(0/0,""),preDEL!K183)</f>
        <v>Positive</v>
      </c>
      <c r="L183" s="170">
        <f>IF(preDEL!$AG183,IFERROR(0/0,""),preDEL!L183)</f>
        <v>44579</v>
      </c>
      <c r="M183" s="171">
        <f>IF(preDEL!$AG183,IFERROR(0/0,""),preDEL!M183)</f>
        <v>0.5015856481</v>
      </c>
      <c r="N183" s="112" t="str">
        <f>IF(preDEL!$AG183,IFERROR(0/0,""),preDEL!N183)</f>
        <v/>
      </c>
      <c r="O183" s="112" t="str">
        <f>IF(preDEL!$AG183,IFERROR(0/0,""),preDEL!O183)</f>
        <v/>
      </c>
      <c r="P183" s="110" t="b">
        <f>IF(preDEL!$AG183,IFERROR(0/0,""),preDEL!P183)</f>
        <v>0</v>
      </c>
      <c r="Q183" s="110" t="str">
        <f>IF(preDEL!$AG183,IFERROR(0/0,""),preDEL!Q183)</f>
        <v>Result</v>
      </c>
      <c r="R183" s="104" t="b">
        <f>IF(preDEL!$AG183,IFERROR(0/0,""),preDEL!R183)</f>
        <v>1</v>
      </c>
      <c r="S183" s="104">
        <f>IF(preDEL!$AG183,IFERROR(0/0,""),preDEL!S183)</f>
        <v>1</v>
      </c>
      <c r="T183" s="110" t="str">
        <f>IF(preDEL!$AG183,IFERROR(0/0,""),preDEL!T183)</f>
        <v/>
      </c>
      <c r="U183" s="112" t="str">
        <f>IF(preDEL!$AG183,IFERROR(0/0,""),preDEL!U183)</f>
        <v/>
      </c>
      <c r="V183" s="105" t="str">
        <f>IF(preDEL!$AG183,IFERROR(0/0,""),preDEL!V183)</f>
        <v/>
      </c>
      <c r="W183" s="112" t="str">
        <f>IF(preDEL!$AG183,IFERROR(0/0,""),preDEL!W183)</f>
        <v/>
      </c>
      <c r="X183" s="104" t="b">
        <f>IF(preDEL!$AG183,IFERROR(0/0,""),preDEL!X183)</f>
        <v>0</v>
      </c>
      <c r="Y183" s="110" t="b">
        <f>IF(preDEL!$AG183,IFERROR(0/0,""),preDEL!Y183)</f>
        <v>0</v>
      </c>
      <c r="Z183" s="105" t="str">
        <f>IF(preDEL!$AG183,IFERROR(0/0,""),preDEL!Z183)</f>
        <v/>
      </c>
      <c r="AA183" s="110" t="b">
        <f>IF(preDEL!$AG183,IFERROR(0/0,""),preDEL!AA183)</f>
        <v>0</v>
      </c>
      <c r="AB183" s="110" t="b">
        <f>IF(preDEL!$AG183,IFERROR(0/0,""),preDEL!AB183)</f>
        <v>0</v>
      </c>
      <c r="AC183" s="172">
        <f>IF(preDEL!$AG183,IFERROR(0/0,""),preDEL!AC183)</f>
        <v>619</v>
      </c>
      <c r="AD183" s="104" t="b">
        <f>IF(preDEL!$AG183,IFERROR(0/0,""),preDEL!AD183)</f>
        <v>0</v>
      </c>
      <c r="AE183" s="173" t="str">
        <f>IF(preDEL!$AG183,IFERROR(0/0,""),preDEL!AE183)</f>
        <v/>
      </c>
      <c r="AF183" s="110" t="b">
        <f>IF(preDEL!$AG183,IFERROR(0/0,""),preDEL!AF183)</f>
        <v>0</v>
      </c>
      <c r="AG183" s="110" t="b">
        <f>IF(preDEL!$AG183,IFERROR(0/0,""),preDEL!AG183)</f>
        <v>0</v>
      </c>
      <c r="AH183" s="104" t="str">
        <f>IF(preDEL!$AG183,IFERROR(0/0,""),preDEL!AH183)</f>
        <v/>
      </c>
      <c r="AI183" s="105" t="str">
        <f>IF(preDEL!$AG183,IFERROR(0/0,""),preDEL!AI183)</f>
        <v/>
      </c>
      <c r="AJ183" s="112" t="str">
        <f>IF(preDEL!$AG183,IFERROR(0/0,""),preDEL!AJ183)</f>
        <v/>
      </c>
      <c r="AK183" s="105" t="str">
        <f>IF(preDEL!$AG183,IFERROR(0/0,""),preDEL!AK183)</f>
        <v>Positive</v>
      </c>
      <c r="AL183" s="112" t="str">
        <f>IF(preDEL!$AG183,IFERROR(0/0,""),preDEL!AL183)</f>
        <v/>
      </c>
      <c r="AM183" s="112" t="str">
        <f>IF(preDEL!$AG183,IFERROR(0/0,""),preDEL!AM183)</f>
        <v>SpBEND394154</v>
      </c>
      <c r="AN183" s="112" t="str">
        <f>IF(preDEL!$AG183,IFERROR(0/0,""),preDEL!AN183)</f>
        <v>BEND219153</v>
      </c>
      <c r="AO183" s="112" t="str">
        <f>IF(preDEL!$AG183,IFERROR(0/0,""),preDEL!AO183)</f>
        <v/>
      </c>
      <c r="AP183" s="112" t="str">
        <f>IF(preDEL!$AG183,IFERROR(0/0,""),preDEL!AP183)</f>
        <v/>
      </c>
      <c r="AQ183" s="112" t="str">
        <f>IF(preDEL!$AG183,IFERROR(0/0,""),preDEL!AQ183)</f>
        <v/>
      </c>
      <c r="AR183" s="112" t="str">
        <f>IF(preDEL!$AG183,IFERROR(0/0,""),preDEL!AR183)</f>
        <v/>
      </c>
      <c r="AS183" s="112" t="str">
        <f>IF(preDEL!$AG183,IFERROR(0/0,""),preDEL!AS183)</f>
        <v/>
      </c>
      <c r="AT183" s="112" t="b">
        <f>IF(preDEL!$AG183,IFERROR(0/0,""),preDEL!AT183)</f>
        <v>0</v>
      </c>
      <c r="AU183" s="112" t="str">
        <f>IF(preDEL!$AG183,IFERROR(0/0,""),preDEL!AU183)</f>
        <v/>
      </c>
      <c r="AV183" s="112" t="str">
        <f>IF(preDEL!$AG183,IFERROR(0/0,""),preDEL!AV183)</f>
        <v/>
      </c>
      <c r="AW183" s="112" t="str">
        <f>IF(preDEL!$AG183,IFERROR(0/0,""),preDEL!AW183)</f>
        <v/>
      </c>
      <c r="AX183" s="112" t="str">
        <f>IF(preDEL!$AG183,IFERROR(0/0,""),preDEL!AX183)</f>
        <v/>
      </c>
      <c r="AY183" s="112" t="str">
        <f>IF(preDEL!$AG183,IFERROR(0/0,""),preDEL!AY183)</f>
        <v/>
      </c>
      <c r="AZ183" s="174"/>
      <c r="BA183" s="174"/>
      <c r="BB183" s="174"/>
      <c r="BC183" s="174"/>
      <c r="BD183" s="174"/>
      <c r="BE183" s="174"/>
      <c r="BF183" s="174"/>
      <c r="BG183" s="174"/>
      <c r="BH183" s="174"/>
      <c r="BI183" s="174"/>
      <c r="BJ183" s="174"/>
      <c r="BK183" s="174"/>
      <c r="BL183" s="174"/>
      <c r="BM183" s="174"/>
      <c r="BN183" s="174"/>
      <c r="BO183" s="174"/>
      <c r="BP183" s="174"/>
      <c r="BQ183" s="174"/>
      <c r="BR183" s="174"/>
      <c r="BS183" s="174"/>
      <c r="BT183" s="174"/>
      <c r="BU183" s="174"/>
      <c r="BV183" s="174"/>
      <c r="BW183" s="174"/>
      <c r="BX183" s="174"/>
      <c r="BY183" s="174"/>
      <c r="BZ183" s="174"/>
      <c r="CA183" s="174"/>
      <c r="CB183" s="174"/>
      <c r="CC183" s="174"/>
      <c r="CD183" s="174"/>
    </row>
    <row r="184">
      <c r="A184" s="105" t="str">
        <f>IF(preDEL!$AG184,IFERROR(0/0,""),preDEL!A184)</f>
        <v>MAX107</v>
      </c>
      <c r="B184" s="170">
        <f>IF(preDEL!$AG184,IFERROR(0/0,""),preDEL!B184)</f>
        <v>44573</v>
      </c>
      <c r="C184" s="171">
        <f>IF(preDEL!$AG184,IFERROR(0/0,""),preDEL!C184)</f>
        <v>0.3853819444</v>
      </c>
      <c r="D184" s="105" t="str">
        <f>IF(preDEL!$AG184,IFERROR(0/0,""),preDEL!D184)</f>
        <v/>
      </c>
      <c r="E184" s="105" t="str">
        <f>IF(preDEL!$AG184,IFERROR(0/0,""),preDEL!E184)</f>
        <v/>
      </c>
      <c r="F184" s="112" t="str">
        <f>IF(preDEL!$AG184,IFERROR(0/0,""),preDEL!F184)</f>
        <v/>
      </c>
      <c r="G184" s="112" t="str">
        <f>IF(preDEL!$AG184,IFERROR(0/0,""),preDEL!G184)</f>
        <v/>
      </c>
      <c r="H184" s="112" t="str">
        <f>IF(preDEL!$AG184,IFERROR(0/0,""),preDEL!H184)</f>
        <v/>
      </c>
      <c r="I184" s="105" t="str">
        <f>IF(preDEL!$AG184,IFERROR(0/0,""),preDEL!I184)</f>
        <v/>
      </c>
      <c r="J184" s="105" t="str">
        <f>IF(preDEL!$AG184,IFERROR(0/0,""),preDEL!J184)</f>
        <v/>
      </c>
      <c r="K184" s="105" t="str">
        <f>IF(preDEL!$AG184,IFERROR(0/0,""),preDEL!K184)</f>
        <v>Negative</v>
      </c>
      <c r="L184" s="170">
        <f>IF(preDEL!$AG184,IFERROR(0/0,""),preDEL!L184)</f>
        <v>44575</v>
      </c>
      <c r="M184" s="171">
        <f>IF(preDEL!$AG184,IFERROR(0/0,""),preDEL!M184)</f>
        <v>0.482037037</v>
      </c>
      <c r="N184" s="112" t="str">
        <f>IF(preDEL!$AG184,IFERROR(0/0,""),preDEL!N184)</f>
        <v/>
      </c>
      <c r="O184" s="112" t="str">
        <f>IF(preDEL!$AG184,IFERROR(0/0,""),preDEL!O184)</f>
        <v/>
      </c>
      <c r="P184" s="110" t="b">
        <f>IF(preDEL!$AG184,IFERROR(0/0,""),preDEL!P184)</f>
        <v>0</v>
      </c>
      <c r="Q184" s="110" t="str">
        <f>IF(preDEL!$AG184,IFERROR(0/0,""),preDEL!Q184)</f>
        <v>Result</v>
      </c>
      <c r="R184" s="104" t="b">
        <f>IF(preDEL!$AG184,IFERROR(0/0,""),preDEL!R184)</f>
        <v>1</v>
      </c>
      <c r="S184" s="104">
        <f>IF(preDEL!$AG184,IFERROR(0/0,""),preDEL!S184)</f>
        <v>1</v>
      </c>
      <c r="T184" s="110" t="str">
        <f>IF(preDEL!$AG184,IFERROR(0/0,""),preDEL!T184)</f>
        <v/>
      </c>
      <c r="U184" s="112" t="str">
        <f>IF(preDEL!$AG184,IFERROR(0/0,""),preDEL!U184)</f>
        <v/>
      </c>
      <c r="V184" s="105" t="str">
        <f>IF(preDEL!$AG184,IFERROR(0/0,""),preDEL!V184)</f>
        <v/>
      </c>
      <c r="W184" s="112" t="str">
        <f>IF(preDEL!$AG184,IFERROR(0/0,""),preDEL!W184)</f>
        <v/>
      </c>
      <c r="X184" s="104" t="b">
        <f>IF(preDEL!$AG184,IFERROR(0/0,""),preDEL!X184)</f>
        <v>0</v>
      </c>
      <c r="Y184" s="110" t="b">
        <f>IF(preDEL!$AG184,IFERROR(0/0,""),preDEL!Y184)</f>
        <v>0</v>
      </c>
      <c r="Z184" s="105" t="str">
        <f>IF(preDEL!$AG184,IFERROR(0/0,""),preDEL!Z184)</f>
        <v/>
      </c>
      <c r="AA184" s="110" t="b">
        <f>IF(preDEL!$AG184,IFERROR(0/0,""),preDEL!AA184)</f>
        <v>0</v>
      </c>
      <c r="AB184" s="110" t="b">
        <f>IF(preDEL!$AG184,IFERROR(0/0,""),preDEL!AB184)</f>
        <v>0</v>
      </c>
      <c r="AC184" s="172">
        <f>IF(preDEL!$AG184,IFERROR(0/0,""),preDEL!AC184)</f>
        <v>618</v>
      </c>
      <c r="AD184" s="104" t="b">
        <f>IF(preDEL!$AG184,IFERROR(0/0,""),preDEL!AD184)</f>
        <v>0</v>
      </c>
      <c r="AE184" s="173" t="str">
        <f>IF(preDEL!$AG184,IFERROR(0/0,""),preDEL!AE184)</f>
        <v/>
      </c>
      <c r="AF184" s="110" t="b">
        <f>IF(preDEL!$AG184,IFERROR(0/0,""),preDEL!AF184)</f>
        <v>0</v>
      </c>
      <c r="AG184" s="110" t="b">
        <f>IF(preDEL!$AG184,IFERROR(0/0,""),preDEL!AG184)</f>
        <v>0</v>
      </c>
      <c r="AH184" s="104" t="str">
        <f>IF(preDEL!$AG184,IFERROR(0/0,""),preDEL!AH184)</f>
        <v/>
      </c>
      <c r="AI184" s="105" t="str">
        <f>IF(preDEL!$AG184,IFERROR(0/0,""),preDEL!AI184)</f>
        <v/>
      </c>
      <c r="AJ184" s="112" t="str">
        <f>IF(preDEL!$AG184,IFERROR(0/0,""),preDEL!AJ184)</f>
        <v/>
      </c>
      <c r="AK184" s="105" t="str">
        <f>IF(preDEL!$AG184,IFERROR(0/0,""),preDEL!AK184)</f>
        <v>Negative</v>
      </c>
      <c r="AL184" s="112" t="str">
        <f>IF(preDEL!$AG184,IFERROR(0/0,""),preDEL!AL184)</f>
        <v/>
      </c>
      <c r="AM184" s="112" t="str">
        <f>IF(preDEL!$AG184,IFERROR(0/0,""),preDEL!AM184)</f>
        <v>SpBEND394154</v>
      </c>
      <c r="AN184" s="112" t="str">
        <f>IF(preDEL!$AG184,IFERROR(0/0,""),preDEL!AN184)</f>
        <v>BEND304589</v>
      </c>
      <c r="AO184" s="112" t="str">
        <f>IF(preDEL!$AG184,IFERROR(0/0,""),preDEL!AO184)</f>
        <v/>
      </c>
      <c r="AP184" s="112" t="str">
        <f>IF(preDEL!$AG184,IFERROR(0/0,""),preDEL!AP184)</f>
        <v/>
      </c>
      <c r="AQ184" s="112" t="str">
        <f>IF(preDEL!$AG184,IFERROR(0/0,""),preDEL!AQ184)</f>
        <v/>
      </c>
      <c r="AR184" s="112" t="str">
        <f>IF(preDEL!$AG184,IFERROR(0/0,""),preDEL!AR184)</f>
        <v/>
      </c>
      <c r="AS184" s="112" t="str">
        <f>IF(preDEL!$AG184,IFERROR(0/0,""),preDEL!AS184)</f>
        <v/>
      </c>
      <c r="AT184" s="112" t="b">
        <f>IF(preDEL!$AG184,IFERROR(0/0,""),preDEL!AT184)</f>
        <v>0</v>
      </c>
      <c r="AU184" s="112" t="str">
        <f>IF(preDEL!$AG184,IFERROR(0/0,""),preDEL!AU184)</f>
        <v/>
      </c>
      <c r="AV184" s="112" t="str">
        <f>IF(preDEL!$AG184,IFERROR(0/0,""),preDEL!AV184)</f>
        <v/>
      </c>
      <c r="AW184" s="112" t="str">
        <f>IF(preDEL!$AG184,IFERROR(0/0,""),preDEL!AW184)</f>
        <v/>
      </c>
      <c r="AX184" s="112" t="str">
        <f>IF(preDEL!$AG184,IFERROR(0/0,""),preDEL!AX184)</f>
        <v/>
      </c>
      <c r="AY184" s="112" t="str">
        <f>IF(preDEL!$AG184,IFERROR(0/0,""),preDEL!AY184)</f>
        <v/>
      </c>
      <c r="AZ184" s="174"/>
      <c r="BA184" s="174"/>
      <c r="BB184" s="174"/>
      <c r="BC184" s="174"/>
      <c r="BD184" s="174"/>
      <c r="BE184" s="174"/>
      <c r="BF184" s="174"/>
      <c r="BG184" s="174"/>
      <c r="BH184" s="174"/>
      <c r="BI184" s="174"/>
      <c r="BJ184" s="174"/>
      <c r="BK184" s="174"/>
      <c r="BL184" s="174"/>
      <c r="BM184" s="174"/>
      <c r="BN184" s="174"/>
      <c r="BO184" s="174"/>
      <c r="BP184" s="174"/>
      <c r="BQ184" s="174"/>
      <c r="BR184" s="174"/>
      <c r="BS184" s="174"/>
      <c r="BT184" s="174"/>
      <c r="BU184" s="174"/>
      <c r="BV184" s="174"/>
      <c r="BW184" s="174"/>
      <c r="BX184" s="174"/>
      <c r="BY184" s="174"/>
      <c r="BZ184" s="174"/>
      <c r="CA184" s="174"/>
      <c r="CB184" s="174"/>
      <c r="CC184" s="174"/>
      <c r="CD184" s="174"/>
    </row>
    <row r="185">
      <c r="A185" s="105" t="str">
        <f>IF(preDEL!$AG185,IFERROR(0/0,""),preDEL!A185)</f>
        <v>MAX72</v>
      </c>
      <c r="B185" s="170">
        <f>IF(preDEL!$AG185,IFERROR(0/0,""),preDEL!B185)</f>
        <v>44573</v>
      </c>
      <c r="C185" s="171">
        <f>IF(preDEL!$AG185,IFERROR(0/0,""),preDEL!C185)</f>
        <v>0.3858564815</v>
      </c>
      <c r="D185" s="105" t="str">
        <f>IF(preDEL!$AG185,IFERROR(0/0,""),preDEL!D185)</f>
        <v/>
      </c>
      <c r="E185" s="105" t="str">
        <f>IF(preDEL!$AG185,IFERROR(0/0,""),preDEL!E185)</f>
        <v/>
      </c>
      <c r="F185" s="112" t="str">
        <f>IF(preDEL!$AG185,IFERROR(0/0,""),preDEL!F185)</f>
        <v/>
      </c>
      <c r="G185" s="112" t="str">
        <f>IF(preDEL!$AG185,IFERROR(0/0,""),preDEL!G185)</f>
        <v/>
      </c>
      <c r="H185" s="112" t="str">
        <f>IF(preDEL!$AG185,IFERROR(0/0,""),preDEL!H185)</f>
        <v/>
      </c>
      <c r="I185" s="105" t="str">
        <f>IF(preDEL!$AG185,IFERROR(0/0,""),preDEL!I185)</f>
        <v/>
      </c>
      <c r="J185" s="105" t="str">
        <f>IF(preDEL!$AG185,IFERROR(0/0,""),preDEL!J185)</f>
        <v/>
      </c>
      <c r="K185" s="105" t="str">
        <f>IF(preDEL!$AG185,IFERROR(0/0,""),preDEL!K185)</f>
        <v>Positive</v>
      </c>
      <c r="L185" s="170">
        <f>IF(preDEL!$AG185,IFERROR(0/0,""),preDEL!L185)</f>
        <v>44579</v>
      </c>
      <c r="M185" s="171">
        <f>IF(preDEL!$AG185,IFERROR(0/0,""),preDEL!M185)</f>
        <v>0.5015856481</v>
      </c>
      <c r="N185" s="112" t="str">
        <f>IF(preDEL!$AG185,IFERROR(0/0,""),preDEL!N185)</f>
        <v/>
      </c>
      <c r="O185" s="112" t="str">
        <f>IF(preDEL!$AG185,IFERROR(0/0,""),preDEL!O185)</f>
        <v/>
      </c>
      <c r="P185" s="110" t="b">
        <f>IF(preDEL!$AG185,IFERROR(0/0,""),preDEL!P185)</f>
        <v>0</v>
      </c>
      <c r="Q185" s="110" t="str">
        <f>IF(preDEL!$AG185,IFERROR(0/0,""),preDEL!Q185)</f>
        <v>Result</v>
      </c>
      <c r="R185" s="104" t="b">
        <f>IF(preDEL!$AG185,IFERROR(0/0,""),preDEL!R185)</f>
        <v>1</v>
      </c>
      <c r="S185" s="104">
        <f>IF(preDEL!$AG185,IFERROR(0/0,""),preDEL!S185)</f>
        <v>1</v>
      </c>
      <c r="T185" s="110">
        <f>IF(preDEL!$AG185,IFERROR(0/0,""),preDEL!T185)</f>
        <v>0</v>
      </c>
      <c r="U185" s="112" t="str">
        <f>IF(preDEL!$AG185,IFERROR(0/0,""),preDEL!U185)</f>
        <v/>
      </c>
      <c r="V185" s="105" t="str">
        <f>IF(preDEL!$AG185,IFERROR(0/0,""),preDEL!V185)</f>
        <v/>
      </c>
      <c r="W185" s="112" t="str">
        <f>IF(preDEL!$AG185,IFERROR(0/0,""),preDEL!W185)</f>
        <v/>
      </c>
      <c r="X185" s="104" t="b">
        <f>IF(preDEL!$AG185,IFERROR(0/0,""),preDEL!X185)</f>
        <v>0</v>
      </c>
      <c r="Y185" s="110" t="b">
        <f>IF(preDEL!$AG185,IFERROR(0/0,""),preDEL!Y185)</f>
        <v>0</v>
      </c>
      <c r="Z185" s="105" t="str">
        <f>IF(preDEL!$AG185,IFERROR(0/0,""),preDEL!Z185)</f>
        <v/>
      </c>
      <c r="AA185" s="110" t="b">
        <f>IF(preDEL!$AG185,IFERROR(0/0,""),preDEL!AA185)</f>
        <v>0</v>
      </c>
      <c r="AB185" s="110" t="b">
        <f>IF(preDEL!$AG185,IFERROR(0/0,""),preDEL!AB185)</f>
        <v>0</v>
      </c>
      <c r="AC185" s="172">
        <f>IF(preDEL!$AG185,IFERROR(0/0,""),preDEL!AC185)</f>
        <v>617</v>
      </c>
      <c r="AD185" s="104" t="b">
        <f>IF(preDEL!$AG185,IFERROR(0/0,""),preDEL!AD185)</f>
        <v>0</v>
      </c>
      <c r="AE185" s="173" t="str">
        <f>IF(preDEL!$AG185,IFERROR(0/0,""),preDEL!AE185)</f>
        <v/>
      </c>
      <c r="AF185" s="110" t="b">
        <f>IF(preDEL!$AG185,IFERROR(0/0,""),preDEL!AF185)</f>
        <v>0</v>
      </c>
      <c r="AG185" s="110" t="b">
        <f>IF(preDEL!$AG185,IFERROR(0/0,""),preDEL!AG185)</f>
        <v>0</v>
      </c>
      <c r="AH185" s="104" t="str">
        <f>IF(preDEL!$AG185,IFERROR(0/0,""),preDEL!AH185)</f>
        <v/>
      </c>
      <c r="AI185" s="105" t="str">
        <f>IF(preDEL!$AG185,IFERROR(0/0,""),preDEL!AI185)</f>
        <v/>
      </c>
      <c r="AJ185" s="112" t="str">
        <f>IF(preDEL!$AG185,IFERROR(0/0,""),preDEL!AJ185)</f>
        <v/>
      </c>
      <c r="AK185" s="105" t="str">
        <f>IF(preDEL!$AG185,IFERROR(0/0,""),preDEL!AK185)</f>
        <v>Positive</v>
      </c>
      <c r="AL185" s="112" t="str">
        <f>IF(preDEL!$AG185,IFERROR(0/0,""),preDEL!AL185)</f>
        <v/>
      </c>
      <c r="AM185" s="112" t="str">
        <f>IF(preDEL!$AG185,IFERROR(0/0,""),preDEL!AM185)</f>
        <v>SpBEND394154</v>
      </c>
      <c r="AN185" s="112" t="str">
        <f>IF(preDEL!$AG185,IFERROR(0/0,""),preDEL!AN185)</f>
        <v>BEND389048</v>
      </c>
      <c r="AO185" s="112" t="str">
        <f>IF(preDEL!$AG185,IFERROR(0/0,""),preDEL!AO185)</f>
        <v/>
      </c>
      <c r="AP185" s="112" t="str">
        <f>IF(preDEL!$AG185,IFERROR(0/0,""),preDEL!AP185)</f>
        <v/>
      </c>
      <c r="AQ185" s="112" t="str">
        <f>IF(preDEL!$AG185,IFERROR(0/0,""),preDEL!AQ185)</f>
        <v/>
      </c>
      <c r="AR185" s="112" t="str">
        <f>IF(preDEL!$AG185,IFERROR(0/0,""),preDEL!AR185)</f>
        <v/>
      </c>
      <c r="AS185" s="112" t="str">
        <f>IF(preDEL!$AG185,IFERROR(0/0,""),preDEL!AS185)</f>
        <v/>
      </c>
      <c r="AT185" s="112" t="b">
        <f>IF(preDEL!$AG185,IFERROR(0/0,""),preDEL!AT185)</f>
        <v>0</v>
      </c>
      <c r="AU185" s="112" t="str">
        <f>IF(preDEL!$AG185,IFERROR(0/0,""),preDEL!AU185)</f>
        <v/>
      </c>
      <c r="AV185" s="112" t="str">
        <f>IF(preDEL!$AG185,IFERROR(0/0,""),preDEL!AV185)</f>
        <v/>
      </c>
      <c r="AW185" s="112" t="str">
        <f>IF(preDEL!$AG185,IFERROR(0/0,""),preDEL!AW185)</f>
        <v/>
      </c>
      <c r="AX185" s="112" t="str">
        <f>IF(preDEL!$AG185,IFERROR(0/0,""),preDEL!AX185)</f>
        <v/>
      </c>
      <c r="AY185" s="112" t="str">
        <f>IF(preDEL!$AG185,IFERROR(0/0,""),preDEL!AY185)</f>
        <v/>
      </c>
      <c r="AZ185" s="174"/>
      <c r="BA185" s="174"/>
      <c r="BB185" s="174"/>
      <c r="BC185" s="174"/>
      <c r="BD185" s="174"/>
      <c r="BE185" s="174"/>
      <c r="BF185" s="174"/>
      <c r="BG185" s="174"/>
      <c r="BH185" s="174"/>
      <c r="BI185" s="174"/>
      <c r="BJ185" s="174"/>
      <c r="BK185" s="174"/>
      <c r="BL185" s="174"/>
      <c r="BM185" s="174"/>
      <c r="BN185" s="174"/>
      <c r="BO185" s="174"/>
      <c r="BP185" s="174"/>
      <c r="BQ185" s="174"/>
      <c r="BR185" s="174"/>
      <c r="BS185" s="174"/>
      <c r="BT185" s="174"/>
      <c r="BU185" s="174"/>
      <c r="BV185" s="174"/>
      <c r="BW185" s="174"/>
      <c r="BX185" s="174"/>
      <c r="BY185" s="174"/>
      <c r="BZ185" s="174"/>
      <c r="CA185" s="174"/>
      <c r="CB185" s="174"/>
      <c r="CC185" s="174"/>
      <c r="CD185" s="174"/>
    </row>
    <row r="186">
      <c r="A186" s="105" t="str">
        <f>IF(preDEL!$AG186,IFERROR(0/0,""),preDEL!A186)</f>
        <v>MAX81</v>
      </c>
      <c r="B186" s="170">
        <f>IF(preDEL!$AG186,IFERROR(0/0,""),preDEL!B186)</f>
        <v>44573</v>
      </c>
      <c r="C186" s="171">
        <f>IF(preDEL!$AG186,IFERROR(0/0,""),preDEL!C186)</f>
        <v>0.3863194444</v>
      </c>
      <c r="D186" s="105" t="str">
        <f>IF(preDEL!$AG186,IFERROR(0/0,""),preDEL!D186)</f>
        <v/>
      </c>
      <c r="E186" s="105" t="str">
        <f>IF(preDEL!$AG186,IFERROR(0/0,""),preDEL!E186)</f>
        <v/>
      </c>
      <c r="F186" s="112" t="str">
        <f>IF(preDEL!$AG186,IFERROR(0/0,""),preDEL!F186)</f>
        <v/>
      </c>
      <c r="G186" s="112" t="str">
        <f>IF(preDEL!$AG186,IFERROR(0/0,""),preDEL!G186)</f>
        <v/>
      </c>
      <c r="H186" s="112" t="str">
        <f>IF(preDEL!$AG186,IFERROR(0/0,""),preDEL!H186)</f>
        <v/>
      </c>
      <c r="I186" s="105" t="str">
        <f>IF(preDEL!$AG186,IFERROR(0/0,""),preDEL!I186)</f>
        <v/>
      </c>
      <c r="J186" s="105" t="str">
        <f>IF(preDEL!$AG186,IFERROR(0/0,""),preDEL!J186)</f>
        <v/>
      </c>
      <c r="K186" s="105" t="str">
        <f>IF(preDEL!$AG186,IFERROR(0/0,""),preDEL!K186)</f>
        <v>Negative</v>
      </c>
      <c r="L186" s="170">
        <f>IF(preDEL!$AG186,IFERROR(0/0,""),preDEL!L186)</f>
        <v>44575</v>
      </c>
      <c r="M186" s="171">
        <f>IF(preDEL!$AG186,IFERROR(0/0,""),preDEL!M186)</f>
        <v>0.482037037</v>
      </c>
      <c r="N186" s="112" t="str">
        <f>IF(preDEL!$AG186,IFERROR(0/0,""),preDEL!N186)</f>
        <v/>
      </c>
      <c r="O186" s="112" t="str">
        <f>IF(preDEL!$AG186,IFERROR(0/0,""),preDEL!O186)</f>
        <v/>
      </c>
      <c r="P186" s="110" t="b">
        <f>IF(preDEL!$AG186,IFERROR(0/0,""),preDEL!P186)</f>
        <v>0</v>
      </c>
      <c r="Q186" s="110" t="str">
        <f>IF(preDEL!$AG186,IFERROR(0/0,""),preDEL!Q186)</f>
        <v>Result</v>
      </c>
      <c r="R186" s="104" t="b">
        <f>IF(preDEL!$AG186,IFERROR(0/0,""),preDEL!R186)</f>
        <v>1</v>
      </c>
      <c r="S186" s="104">
        <f>IF(preDEL!$AG186,IFERROR(0/0,""),preDEL!S186)</f>
        <v>1</v>
      </c>
      <c r="T186" s="110">
        <f>IF(preDEL!$AG186,IFERROR(0/0,""),preDEL!T186)</f>
        <v>0</v>
      </c>
      <c r="U186" s="112" t="str">
        <f>IF(preDEL!$AG186,IFERROR(0/0,""),preDEL!U186)</f>
        <v/>
      </c>
      <c r="V186" s="105" t="str">
        <f>IF(preDEL!$AG186,IFERROR(0/0,""),preDEL!V186)</f>
        <v/>
      </c>
      <c r="W186" s="112" t="str">
        <f>IF(preDEL!$AG186,IFERROR(0/0,""),preDEL!W186)</f>
        <v/>
      </c>
      <c r="X186" s="104" t="b">
        <f>IF(preDEL!$AG186,IFERROR(0/0,""),preDEL!X186)</f>
        <v>0</v>
      </c>
      <c r="Y186" s="110" t="b">
        <f>IF(preDEL!$AG186,IFERROR(0/0,""),preDEL!Y186)</f>
        <v>0</v>
      </c>
      <c r="Z186" s="105" t="str">
        <f>IF(preDEL!$AG186,IFERROR(0/0,""),preDEL!Z186)</f>
        <v/>
      </c>
      <c r="AA186" s="110" t="b">
        <f>IF(preDEL!$AG186,IFERROR(0/0,""),preDEL!AA186)</f>
        <v>0</v>
      </c>
      <c r="AB186" s="110" t="b">
        <f>IF(preDEL!$AG186,IFERROR(0/0,""),preDEL!AB186)</f>
        <v>0</v>
      </c>
      <c r="AC186" s="172">
        <f>IF(preDEL!$AG186,IFERROR(0/0,""),preDEL!AC186)</f>
        <v>616</v>
      </c>
      <c r="AD186" s="104" t="b">
        <f>IF(preDEL!$AG186,IFERROR(0/0,""),preDEL!AD186)</f>
        <v>0</v>
      </c>
      <c r="AE186" s="173" t="str">
        <f>IF(preDEL!$AG186,IFERROR(0/0,""),preDEL!AE186)</f>
        <v/>
      </c>
      <c r="AF186" s="110" t="b">
        <f>IF(preDEL!$AG186,IFERROR(0/0,""),preDEL!AF186)</f>
        <v>0</v>
      </c>
      <c r="AG186" s="110" t="b">
        <f>IF(preDEL!$AG186,IFERROR(0/0,""),preDEL!AG186)</f>
        <v>0</v>
      </c>
      <c r="AH186" s="104" t="str">
        <f>IF(preDEL!$AG186,IFERROR(0/0,""),preDEL!AH186)</f>
        <v/>
      </c>
      <c r="AI186" s="105" t="str">
        <f>IF(preDEL!$AG186,IFERROR(0/0,""),preDEL!AI186)</f>
        <v/>
      </c>
      <c r="AJ186" s="112" t="str">
        <f>IF(preDEL!$AG186,IFERROR(0/0,""),preDEL!AJ186)</f>
        <v/>
      </c>
      <c r="AK186" s="105" t="str">
        <f>IF(preDEL!$AG186,IFERROR(0/0,""),preDEL!AK186)</f>
        <v>Negative</v>
      </c>
      <c r="AL186" s="112" t="str">
        <f>IF(preDEL!$AG186,IFERROR(0/0,""),preDEL!AL186)</f>
        <v/>
      </c>
      <c r="AM186" s="112" t="str">
        <f>IF(preDEL!$AG186,IFERROR(0/0,""),preDEL!AM186)</f>
        <v>SpBEND394154</v>
      </c>
      <c r="AN186" s="112" t="str">
        <f>IF(preDEL!$AG186,IFERROR(0/0,""),preDEL!AN186)</f>
        <v>BEND238338</v>
      </c>
      <c r="AO186" s="112" t="str">
        <f>IF(preDEL!$AG186,IFERROR(0/0,""),preDEL!AO186)</f>
        <v/>
      </c>
      <c r="AP186" s="112" t="str">
        <f>IF(preDEL!$AG186,IFERROR(0/0,""),preDEL!AP186)</f>
        <v/>
      </c>
      <c r="AQ186" s="112" t="str">
        <f>IF(preDEL!$AG186,IFERROR(0/0,""),preDEL!AQ186)</f>
        <v/>
      </c>
      <c r="AR186" s="112" t="str">
        <f>IF(preDEL!$AG186,IFERROR(0/0,""),preDEL!AR186)</f>
        <v/>
      </c>
      <c r="AS186" s="112" t="str">
        <f>IF(preDEL!$AG186,IFERROR(0/0,""),preDEL!AS186)</f>
        <v/>
      </c>
      <c r="AT186" s="112" t="b">
        <f>IF(preDEL!$AG186,IFERROR(0/0,""),preDEL!AT186)</f>
        <v>0</v>
      </c>
      <c r="AU186" s="112" t="str">
        <f>IF(preDEL!$AG186,IFERROR(0/0,""),preDEL!AU186)</f>
        <v/>
      </c>
      <c r="AV186" s="112" t="str">
        <f>IF(preDEL!$AG186,IFERROR(0/0,""),preDEL!AV186)</f>
        <v/>
      </c>
      <c r="AW186" s="112" t="str">
        <f>IF(preDEL!$AG186,IFERROR(0/0,""),preDEL!AW186)</f>
        <v/>
      </c>
      <c r="AX186" s="112" t="str">
        <f>IF(preDEL!$AG186,IFERROR(0/0,""),preDEL!AX186)</f>
        <v/>
      </c>
      <c r="AY186" s="112" t="str">
        <f>IF(preDEL!$AG186,IFERROR(0/0,""),preDEL!AY186)</f>
        <v/>
      </c>
      <c r="AZ186" s="174"/>
      <c r="BA186" s="174"/>
      <c r="BB186" s="174"/>
      <c r="BC186" s="174"/>
      <c r="BD186" s="174"/>
      <c r="BE186" s="174"/>
      <c r="BF186" s="174"/>
      <c r="BG186" s="174"/>
      <c r="BH186" s="174"/>
      <c r="BI186" s="174"/>
      <c r="BJ186" s="174"/>
      <c r="BK186" s="174"/>
      <c r="BL186" s="174"/>
      <c r="BM186" s="174"/>
      <c r="BN186" s="174"/>
      <c r="BO186" s="174"/>
      <c r="BP186" s="174"/>
      <c r="BQ186" s="174"/>
      <c r="BR186" s="174"/>
      <c r="BS186" s="174"/>
      <c r="BT186" s="174"/>
      <c r="BU186" s="174"/>
      <c r="BV186" s="174"/>
      <c r="BW186" s="174"/>
      <c r="BX186" s="174"/>
      <c r="BY186" s="174"/>
      <c r="BZ186" s="174"/>
      <c r="CA186" s="174"/>
      <c r="CB186" s="174"/>
      <c r="CC186" s="174"/>
      <c r="CD186" s="174"/>
    </row>
    <row r="187">
      <c r="A187" s="105" t="str">
        <f>IF(preDEL!$AG187,IFERROR(0/0,""),preDEL!A187)</f>
        <v>MAX36</v>
      </c>
      <c r="B187" s="170">
        <f>IF(preDEL!$AG187,IFERROR(0/0,""),preDEL!B187)</f>
        <v>44573</v>
      </c>
      <c r="C187" s="171">
        <f>IF(preDEL!$AG187,IFERROR(0/0,""),preDEL!C187)</f>
        <v>0.3869444444</v>
      </c>
      <c r="D187" s="105" t="str">
        <f>IF(preDEL!$AG187,IFERROR(0/0,""),preDEL!D187)</f>
        <v/>
      </c>
      <c r="E187" s="105" t="str">
        <f>IF(preDEL!$AG187,IFERROR(0/0,""),preDEL!E187)</f>
        <v/>
      </c>
      <c r="F187" s="112" t="str">
        <f>IF(preDEL!$AG187,IFERROR(0/0,""),preDEL!F187)</f>
        <v/>
      </c>
      <c r="G187" s="112" t="str">
        <f>IF(preDEL!$AG187,IFERROR(0/0,""),preDEL!G187)</f>
        <v/>
      </c>
      <c r="H187" s="112" t="str">
        <f>IF(preDEL!$AG187,IFERROR(0/0,""),preDEL!H187)</f>
        <v/>
      </c>
      <c r="I187" s="105" t="str">
        <f>IF(preDEL!$AG187,IFERROR(0/0,""),preDEL!I187)</f>
        <v/>
      </c>
      <c r="J187" s="105" t="str">
        <f>IF(preDEL!$AG187,IFERROR(0/0,""),preDEL!J187)</f>
        <v/>
      </c>
      <c r="K187" s="105" t="str">
        <f>IF(preDEL!$AG187,IFERROR(0/0,""),preDEL!K187)</f>
        <v>Positive</v>
      </c>
      <c r="L187" s="170">
        <f>IF(preDEL!$AG187,IFERROR(0/0,""),preDEL!L187)</f>
        <v>44579</v>
      </c>
      <c r="M187" s="171">
        <f>IF(preDEL!$AG187,IFERROR(0/0,""),preDEL!M187)</f>
        <v>0.5015856481</v>
      </c>
      <c r="N187" s="112" t="str">
        <f>IF(preDEL!$AG187,IFERROR(0/0,""),preDEL!N187)</f>
        <v/>
      </c>
      <c r="O187" s="112" t="str">
        <f>IF(preDEL!$AG187,IFERROR(0/0,""),preDEL!O187)</f>
        <v/>
      </c>
      <c r="P187" s="110" t="b">
        <f>IF(preDEL!$AG187,IFERROR(0/0,""),preDEL!P187)</f>
        <v>0</v>
      </c>
      <c r="Q187" s="110" t="str">
        <f>IF(preDEL!$AG187,IFERROR(0/0,""),preDEL!Q187)</f>
        <v>Result</v>
      </c>
      <c r="R187" s="104" t="b">
        <f>IF(preDEL!$AG187,IFERROR(0/0,""),preDEL!R187)</f>
        <v>1</v>
      </c>
      <c r="S187" s="104">
        <f>IF(preDEL!$AG187,IFERROR(0/0,""),preDEL!S187)</f>
        <v>1</v>
      </c>
      <c r="T187" s="110">
        <f>IF(preDEL!$AG187,IFERROR(0/0,""),preDEL!T187)</f>
        <v>0</v>
      </c>
      <c r="U187" s="112" t="str">
        <f>IF(preDEL!$AG187,IFERROR(0/0,""),preDEL!U187)</f>
        <v/>
      </c>
      <c r="V187" s="105" t="str">
        <f>IF(preDEL!$AG187,IFERROR(0/0,""),preDEL!V187)</f>
        <v/>
      </c>
      <c r="W187" s="112" t="str">
        <f>IF(preDEL!$AG187,IFERROR(0/0,""),preDEL!W187)</f>
        <v/>
      </c>
      <c r="X187" s="104" t="b">
        <f>IF(preDEL!$AG187,IFERROR(0/0,""),preDEL!X187)</f>
        <v>0</v>
      </c>
      <c r="Y187" s="110" t="b">
        <f>IF(preDEL!$AG187,IFERROR(0/0,""),preDEL!Y187)</f>
        <v>0</v>
      </c>
      <c r="Z187" s="105" t="str">
        <f>IF(preDEL!$AG187,IFERROR(0/0,""),preDEL!Z187)</f>
        <v/>
      </c>
      <c r="AA187" s="110" t="b">
        <f>IF(preDEL!$AG187,IFERROR(0/0,""),preDEL!AA187)</f>
        <v>0</v>
      </c>
      <c r="AB187" s="110" t="b">
        <f>IF(preDEL!$AG187,IFERROR(0/0,""),preDEL!AB187)</f>
        <v>0</v>
      </c>
      <c r="AC187" s="172">
        <f>IF(preDEL!$AG187,IFERROR(0/0,""),preDEL!AC187)</f>
        <v>615</v>
      </c>
      <c r="AD187" s="104" t="b">
        <f>IF(preDEL!$AG187,IFERROR(0/0,""),preDEL!AD187)</f>
        <v>0</v>
      </c>
      <c r="AE187" s="173" t="str">
        <f>IF(preDEL!$AG187,IFERROR(0/0,""),preDEL!AE187)</f>
        <v/>
      </c>
      <c r="AF187" s="110" t="b">
        <f>IF(preDEL!$AG187,IFERROR(0/0,""),preDEL!AF187)</f>
        <v>0</v>
      </c>
      <c r="AG187" s="110" t="b">
        <f>IF(preDEL!$AG187,IFERROR(0/0,""),preDEL!AG187)</f>
        <v>0</v>
      </c>
      <c r="AH187" s="104" t="str">
        <f>IF(preDEL!$AG187,IFERROR(0/0,""),preDEL!AH187)</f>
        <v/>
      </c>
      <c r="AI187" s="105" t="str">
        <f>IF(preDEL!$AG187,IFERROR(0/0,""),preDEL!AI187)</f>
        <v/>
      </c>
      <c r="AJ187" s="112" t="str">
        <f>IF(preDEL!$AG187,IFERROR(0/0,""),preDEL!AJ187)</f>
        <v/>
      </c>
      <c r="AK187" s="105" t="str">
        <f>IF(preDEL!$AG187,IFERROR(0/0,""),preDEL!AK187)</f>
        <v>Positive</v>
      </c>
      <c r="AL187" s="112" t="str">
        <f>IF(preDEL!$AG187,IFERROR(0/0,""),preDEL!AL187)</f>
        <v/>
      </c>
      <c r="AM187" s="112" t="str">
        <f>IF(preDEL!$AG187,IFERROR(0/0,""),preDEL!AM187)</f>
        <v>SpBEND394154</v>
      </c>
      <c r="AN187" s="112" t="str">
        <f>IF(preDEL!$AG187,IFERROR(0/0,""),preDEL!AN187)</f>
        <v>BEND524074</v>
      </c>
      <c r="AO187" s="112" t="str">
        <f>IF(preDEL!$AG187,IFERROR(0/0,""),preDEL!AO187)</f>
        <v/>
      </c>
      <c r="AP187" s="112" t="str">
        <f>IF(preDEL!$AG187,IFERROR(0/0,""),preDEL!AP187)</f>
        <v/>
      </c>
      <c r="AQ187" s="112" t="str">
        <f>IF(preDEL!$AG187,IFERROR(0/0,""),preDEL!AQ187)</f>
        <v/>
      </c>
      <c r="AR187" s="112" t="str">
        <f>IF(preDEL!$AG187,IFERROR(0/0,""),preDEL!AR187)</f>
        <v/>
      </c>
      <c r="AS187" s="112" t="str">
        <f>IF(preDEL!$AG187,IFERROR(0/0,""),preDEL!AS187)</f>
        <v/>
      </c>
      <c r="AT187" s="112" t="b">
        <f>IF(preDEL!$AG187,IFERROR(0/0,""),preDEL!AT187)</f>
        <v>0</v>
      </c>
      <c r="AU187" s="112" t="str">
        <f>IF(preDEL!$AG187,IFERROR(0/0,""),preDEL!AU187)</f>
        <v/>
      </c>
      <c r="AV187" s="112" t="str">
        <f>IF(preDEL!$AG187,IFERROR(0/0,""),preDEL!AV187)</f>
        <v/>
      </c>
      <c r="AW187" s="112" t="str">
        <f>IF(preDEL!$AG187,IFERROR(0/0,""),preDEL!AW187)</f>
        <v/>
      </c>
      <c r="AX187" s="112" t="str">
        <f>IF(preDEL!$AG187,IFERROR(0/0,""),preDEL!AX187)</f>
        <v/>
      </c>
      <c r="AY187" s="112" t="str">
        <f>IF(preDEL!$AG187,IFERROR(0/0,""),preDEL!AY187)</f>
        <v/>
      </c>
      <c r="AZ187" s="174"/>
      <c r="BA187" s="174"/>
      <c r="BB187" s="174"/>
      <c r="BC187" s="174"/>
      <c r="BD187" s="174"/>
      <c r="BE187" s="174"/>
      <c r="BF187" s="174"/>
      <c r="BG187" s="174"/>
      <c r="BH187" s="174"/>
      <c r="BI187" s="174"/>
      <c r="BJ187" s="174"/>
      <c r="BK187" s="174"/>
      <c r="BL187" s="174"/>
      <c r="BM187" s="174"/>
      <c r="BN187" s="174"/>
      <c r="BO187" s="174"/>
      <c r="BP187" s="174"/>
      <c r="BQ187" s="174"/>
      <c r="BR187" s="174"/>
      <c r="BS187" s="174"/>
      <c r="BT187" s="174"/>
      <c r="BU187" s="174"/>
      <c r="BV187" s="174"/>
      <c r="BW187" s="174"/>
      <c r="BX187" s="174"/>
      <c r="BY187" s="174"/>
      <c r="BZ187" s="174"/>
      <c r="CA187" s="174"/>
      <c r="CB187" s="174"/>
      <c r="CC187" s="174"/>
      <c r="CD187" s="174"/>
    </row>
    <row r="188">
      <c r="A188" s="105" t="str">
        <f>IF(preDEL!$AG188,IFERROR(0/0,""),preDEL!A188)</f>
        <v>MAX104</v>
      </c>
      <c r="B188" s="170">
        <f>IF(preDEL!$AG188,IFERROR(0/0,""),preDEL!B188)</f>
        <v>44573</v>
      </c>
      <c r="C188" s="171">
        <f>IF(preDEL!$AG188,IFERROR(0/0,""),preDEL!C188)</f>
        <v>0.3873263889</v>
      </c>
      <c r="D188" s="105" t="str">
        <f>IF(preDEL!$AG188,IFERROR(0/0,""),preDEL!D188)</f>
        <v/>
      </c>
      <c r="E188" s="105" t="str">
        <f>IF(preDEL!$AG188,IFERROR(0/0,""),preDEL!E188)</f>
        <v/>
      </c>
      <c r="F188" s="112" t="str">
        <f>IF(preDEL!$AG188,IFERROR(0/0,""),preDEL!F188)</f>
        <v/>
      </c>
      <c r="G188" s="112" t="str">
        <f>IF(preDEL!$AG188,IFERROR(0/0,""),preDEL!G188)</f>
        <v/>
      </c>
      <c r="H188" s="112" t="str">
        <f>IF(preDEL!$AG188,IFERROR(0/0,""),preDEL!H188)</f>
        <v/>
      </c>
      <c r="I188" s="105" t="str">
        <f>IF(preDEL!$AG188,IFERROR(0/0,""),preDEL!I188)</f>
        <v/>
      </c>
      <c r="J188" s="105" t="str">
        <f>IF(preDEL!$AG188,IFERROR(0/0,""),preDEL!J188)</f>
        <v/>
      </c>
      <c r="K188" s="105" t="str">
        <f>IF(preDEL!$AG188,IFERROR(0/0,""),preDEL!K188)</f>
        <v>Negative</v>
      </c>
      <c r="L188" s="170">
        <f>IF(preDEL!$AG188,IFERROR(0/0,""),preDEL!L188)</f>
        <v>44575</v>
      </c>
      <c r="M188" s="171">
        <f>IF(preDEL!$AG188,IFERROR(0/0,""),preDEL!M188)</f>
        <v>0.482037037</v>
      </c>
      <c r="N188" s="112" t="str">
        <f>IF(preDEL!$AG188,IFERROR(0/0,""),preDEL!N188)</f>
        <v/>
      </c>
      <c r="O188" s="112" t="str">
        <f>IF(preDEL!$AG188,IFERROR(0/0,""),preDEL!O188)</f>
        <v/>
      </c>
      <c r="P188" s="110" t="b">
        <f>IF(preDEL!$AG188,IFERROR(0/0,""),preDEL!P188)</f>
        <v>0</v>
      </c>
      <c r="Q188" s="110" t="str">
        <f>IF(preDEL!$AG188,IFERROR(0/0,""),preDEL!Q188)</f>
        <v>Result</v>
      </c>
      <c r="R188" s="104" t="b">
        <f>IF(preDEL!$AG188,IFERROR(0/0,""),preDEL!R188)</f>
        <v>1</v>
      </c>
      <c r="S188" s="104">
        <f>IF(preDEL!$AG188,IFERROR(0/0,""),preDEL!S188)</f>
        <v>1</v>
      </c>
      <c r="T188" s="110">
        <f>IF(preDEL!$AG188,IFERROR(0/0,""),preDEL!T188)</f>
        <v>0</v>
      </c>
      <c r="U188" s="112" t="str">
        <f>IF(preDEL!$AG188,IFERROR(0/0,""),preDEL!U188)</f>
        <v/>
      </c>
      <c r="V188" s="105" t="str">
        <f>IF(preDEL!$AG188,IFERROR(0/0,""),preDEL!V188)</f>
        <v/>
      </c>
      <c r="W188" s="112" t="str">
        <f>IF(preDEL!$AG188,IFERROR(0/0,""),preDEL!W188)</f>
        <v/>
      </c>
      <c r="X188" s="104" t="b">
        <f>IF(preDEL!$AG188,IFERROR(0/0,""),preDEL!X188)</f>
        <v>0</v>
      </c>
      <c r="Y188" s="110" t="b">
        <f>IF(preDEL!$AG188,IFERROR(0/0,""),preDEL!Y188)</f>
        <v>0</v>
      </c>
      <c r="Z188" s="105" t="str">
        <f>IF(preDEL!$AG188,IFERROR(0/0,""),preDEL!Z188)</f>
        <v/>
      </c>
      <c r="AA188" s="110" t="b">
        <f>IF(preDEL!$AG188,IFERROR(0/0,""),preDEL!AA188)</f>
        <v>0</v>
      </c>
      <c r="AB188" s="110" t="b">
        <f>IF(preDEL!$AG188,IFERROR(0/0,""),preDEL!AB188)</f>
        <v>0</v>
      </c>
      <c r="AC188" s="172">
        <f>IF(preDEL!$AG188,IFERROR(0/0,""),preDEL!AC188)</f>
        <v>614</v>
      </c>
      <c r="AD188" s="104" t="b">
        <f>IF(preDEL!$AG188,IFERROR(0/0,""),preDEL!AD188)</f>
        <v>0</v>
      </c>
      <c r="AE188" s="173" t="str">
        <f>IF(preDEL!$AG188,IFERROR(0/0,""),preDEL!AE188)</f>
        <v/>
      </c>
      <c r="AF188" s="110" t="b">
        <f>IF(preDEL!$AG188,IFERROR(0/0,""),preDEL!AF188)</f>
        <v>0</v>
      </c>
      <c r="AG188" s="110" t="b">
        <f>IF(preDEL!$AG188,IFERROR(0/0,""),preDEL!AG188)</f>
        <v>0</v>
      </c>
      <c r="AH188" s="104" t="str">
        <f>IF(preDEL!$AG188,IFERROR(0/0,""),preDEL!AH188)</f>
        <v/>
      </c>
      <c r="AI188" s="105" t="str">
        <f>IF(preDEL!$AG188,IFERROR(0/0,""),preDEL!AI188)</f>
        <v/>
      </c>
      <c r="AJ188" s="112" t="str">
        <f>IF(preDEL!$AG188,IFERROR(0/0,""),preDEL!AJ188)</f>
        <v/>
      </c>
      <c r="AK188" s="105" t="str">
        <f>IF(preDEL!$AG188,IFERROR(0/0,""),preDEL!AK188)</f>
        <v>Negative</v>
      </c>
      <c r="AL188" s="112" t="str">
        <f>IF(preDEL!$AG188,IFERROR(0/0,""),preDEL!AL188)</f>
        <v/>
      </c>
      <c r="AM188" s="112" t="str">
        <f>IF(preDEL!$AG188,IFERROR(0/0,""),preDEL!AM188)</f>
        <v>SpBEND394154</v>
      </c>
      <c r="AN188" s="112" t="str">
        <f>IF(preDEL!$AG188,IFERROR(0/0,""),preDEL!AN188)</f>
        <v>BEND151408</v>
      </c>
      <c r="AO188" s="112" t="str">
        <f>IF(preDEL!$AG188,IFERROR(0/0,""),preDEL!AO188)</f>
        <v/>
      </c>
      <c r="AP188" s="112" t="str">
        <f>IF(preDEL!$AG188,IFERROR(0/0,""),preDEL!AP188)</f>
        <v/>
      </c>
      <c r="AQ188" s="112" t="str">
        <f>IF(preDEL!$AG188,IFERROR(0/0,""),preDEL!AQ188)</f>
        <v/>
      </c>
      <c r="AR188" s="112" t="str">
        <f>IF(preDEL!$AG188,IFERROR(0/0,""),preDEL!AR188)</f>
        <v/>
      </c>
      <c r="AS188" s="112" t="str">
        <f>IF(preDEL!$AG188,IFERROR(0/0,""),preDEL!AS188)</f>
        <v/>
      </c>
      <c r="AT188" s="112" t="b">
        <f>IF(preDEL!$AG188,IFERROR(0/0,""),preDEL!AT188)</f>
        <v>0</v>
      </c>
      <c r="AU188" s="112" t="str">
        <f>IF(preDEL!$AG188,IFERROR(0/0,""),preDEL!AU188)</f>
        <v/>
      </c>
      <c r="AV188" s="112" t="str">
        <f>IF(preDEL!$AG188,IFERROR(0/0,""),preDEL!AV188)</f>
        <v/>
      </c>
      <c r="AW188" s="112" t="str">
        <f>IF(preDEL!$AG188,IFERROR(0/0,""),preDEL!AW188)</f>
        <v/>
      </c>
      <c r="AX188" s="112" t="str">
        <f>IF(preDEL!$AG188,IFERROR(0/0,""),preDEL!AX188)</f>
        <v/>
      </c>
      <c r="AY188" s="112" t="str">
        <f>IF(preDEL!$AG188,IFERROR(0/0,""),preDEL!AY188)</f>
        <v/>
      </c>
      <c r="AZ188" s="174"/>
      <c r="BA188" s="174"/>
      <c r="BB188" s="174"/>
      <c r="BC188" s="174"/>
      <c r="BD188" s="174"/>
      <c r="BE188" s="174"/>
      <c r="BF188" s="174"/>
      <c r="BG188" s="174"/>
      <c r="BH188" s="174"/>
      <c r="BI188" s="174"/>
      <c r="BJ188" s="174"/>
      <c r="BK188" s="174"/>
      <c r="BL188" s="174"/>
      <c r="BM188" s="174"/>
      <c r="BN188" s="174"/>
      <c r="BO188" s="174"/>
      <c r="BP188" s="174"/>
      <c r="BQ188" s="174"/>
      <c r="BR188" s="174"/>
      <c r="BS188" s="174"/>
      <c r="BT188" s="174"/>
      <c r="BU188" s="174"/>
      <c r="BV188" s="174"/>
      <c r="BW188" s="174"/>
      <c r="BX188" s="174"/>
      <c r="BY188" s="174"/>
      <c r="BZ188" s="174"/>
      <c r="CA188" s="174"/>
      <c r="CB188" s="174"/>
      <c r="CC188" s="174"/>
      <c r="CD188" s="174"/>
    </row>
    <row r="189">
      <c r="A189" s="105" t="str">
        <f>IF(preDEL!$AG189,IFERROR(0/0,""),preDEL!A189)</f>
        <v>MA1107</v>
      </c>
      <c r="B189" s="170">
        <f>IF(preDEL!$AG189,IFERROR(0/0,""),preDEL!B189)</f>
        <v>44573</v>
      </c>
      <c r="C189" s="171">
        <f>IF(preDEL!$AG189,IFERROR(0/0,""),preDEL!C189)</f>
        <v>0.3994444444</v>
      </c>
      <c r="D189" s="105" t="str">
        <f>IF(preDEL!$AG189,IFERROR(0/0,""),preDEL!D189)</f>
        <v/>
      </c>
      <c r="E189" s="105" t="str">
        <f>IF(preDEL!$AG189,IFERROR(0/0,""),preDEL!E189)</f>
        <v/>
      </c>
      <c r="F189" s="112" t="str">
        <f>IF(preDEL!$AG189,IFERROR(0/0,""),preDEL!F189)</f>
        <v/>
      </c>
      <c r="G189" s="112" t="str">
        <f>IF(preDEL!$AG189,IFERROR(0/0,""),preDEL!G189)</f>
        <v/>
      </c>
      <c r="H189" s="112" t="str">
        <f>IF(preDEL!$AG189,IFERROR(0/0,""),preDEL!H189)</f>
        <v/>
      </c>
      <c r="I189" s="105" t="str">
        <f>IF(preDEL!$AG189,IFERROR(0/0,""),preDEL!I189)</f>
        <v/>
      </c>
      <c r="J189" s="105" t="str">
        <f>IF(preDEL!$AG189,IFERROR(0/0,""),preDEL!J189)</f>
        <v/>
      </c>
      <c r="K189" s="105" t="str">
        <f>IF(preDEL!$AG189,IFERROR(0/0,""),preDEL!K189)</f>
        <v>Negative</v>
      </c>
      <c r="L189" s="170">
        <f>IF(preDEL!$AG189,IFERROR(0/0,""),preDEL!L189)</f>
        <v>44575</v>
      </c>
      <c r="M189" s="171">
        <f>IF(preDEL!$AG189,IFERROR(0/0,""),preDEL!M189)</f>
        <v>0.4820486111</v>
      </c>
      <c r="N189" s="112" t="str">
        <f>IF(preDEL!$AG189,IFERROR(0/0,""),preDEL!N189)</f>
        <v/>
      </c>
      <c r="O189" s="112" t="str">
        <f>IF(preDEL!$AG189,IFERROR(0/0,""),preDEL!O189)</f>
        <v/>
      </c>
      <c r="P189" s="110" t="b">
        <f>IF(preDEL!$AG189,IFERROR(0/0,""),preDEL!P189)</f>
        <v>0</v>
      </c>
      <c r="Q189" s="110" t="str">
        <f>IF(preDEL!$AG189,IFERROR(0/0,""),preDEL!Q189)</f>
        <v>Result</v>
      </c>
      <c r="R189" s="104" t="b">
        <f>IF(preDEL!$AG189,IFERROR(0/0,""),preDEL!R189)</f>
        <v>1</v>
      </c>
      <c r="S189" s="104">
        <f>IF(preDEL!$AG189,IFERROR(0/0,""),preDEL!S189)</f>
        <v>1</v>
      </c>
      <c r="T189" s="110" t="str">
        <f>IF(preDEL!$AG189,IFERROR(0/0,""),preDEL!T189)</f>
        <v/>
      </c>
      <c r="U189" s="112" t="str">
        <f>IF(preDEL!$AG189,IFERROR(0/0,""),preDEL!U189)</f>
        <v/>
      </c>
      <c r="V189" s="105" t="str">
        <f>IF(preDEL!$AG189,IFERROR(0/0,""),preDEL!V189)</f>
        <v/>
      </c>
      <c r="W189" s="112" t="str">
        <f>IF(preDEL!$AG189,IFERROR(0/0,""),preDEL!W189)</f>
        <v/>
      </c>
      <c r="X189" s="104" t="b">
        <f>IF(preDEL!$AG189,IFERROR(0/0,""),preDEL!X189)</f>
        <v>0</v>
      </c>
      <c r="Y189" s="110" t="b">
        <f>IF(preDEL!$AG189,IFERROR(0/0,""),preDEL!Y189)</f>
        <v>0</v>
      </c>
      <c r="Z189" s="105" t="str">
        <f>IF(preDEL!$AG189,IFERROR(0/0,""),preDEL!Z189)</f>
        <v/>
      </c>
      <c r="AA189" s="110" t="b">
        <f>IF(preDEL!$AG189,IFERROR(0/0,""),preDEL!AA189)</f>
        <v>0</v>
      </c>
      <c r="AB189" s="110" t="b">
        <f>IF(preDEL!$AG189,IFERROR(0/0,""),preDEL!AB189)</f>
        <v>0</v>
      </c>
      <c r="AC189" s="172">
        <f>IF(preDEL!$AG189,IFERROR(0/0,""),preDEL!AC189)</f>
        <v>613</v>
      </c>
      <c r="AD189" s="104" t="b">
        <f>IF(preDEL!$AG189,IFERROR(0/0,""),preDEL!AD189)</f>
        <v>0</v>
      </c>
      <c r="AE189" s="173" t="str">
        <f>IF(preDEL!$AG189,IFERROR(0/0,""),preDEL!AE189)</f>
        <v/>
      </c>
      <c r="AF189" s="110" t="b">
        <f>IF(preDEL!$AG189,IFERROR(0/0,""),preDEL!AF189)</f>
        <v>0</v>
      </c>
      <c r="AG189" s="110" t="b">
        <f>IF(preDEL!$AG189,IFERROR(0/0,""),preDEL!AG189)</f>
        <v>0</v>
      </c>
      <c r="AH189" s="104" t="str">
        <f>IF(preDEL!$AG189,IFERROR(0/0,""),preDEL!AH189)</f>
        <v/>
      </c>
      <c r="AI189" s="105" t="str">
        <f>IF(preDEL!$AG189,IFERROR(0/0,""),preDEL!AI189)</f>
        <v/>
      </c>
      <c r="AJ189" s="112" t="str">
        <f>IF(preDEL!$AG189,IFERROR(0/0,""),preDEL!AJ189)</f>
        <v/>
      </c>
      <c r="AK189" s="105" t="str">
        <f>IF(preDEL!$AG189,IFERROR(0/0,""),preDEL!AK189)</f>
        <v>Negative</v>
      </c>
      <c r="AL189" s="112" t="str">
        <f>IF(preDEL!$AG189,IFERROR(0/0,""),preDEL!AL189)</f>
        <v/>
      </c>
      <c r="AM189" s="112" t="str">
        <f>IF(preDEL!$AG189,IFERROR(0/0,""),preDEL!AM189)</f>
        <v>SpBEND394154</v>
      </c>
      <c r="AN189" s="112" t="str">
        <f>IF(preDEL!$AG189,IFERROR(0/0,""),preDEL!AN189)</f>
        <v>BEND782925</v>
      </c>
      <c r="AO189" s="112" t="str">
        <f>IF(preDEL!$AG189,IFERROR(0/0,""),preDEL!AO189)</f>
        <v/>
      </c>
      <c r="AP189" s="112" t="str">
        <f>IF(preDEL!$AG189,IFERROR(0/0,""),preDEL!AP189)</f>
        <v/>
      </c>
      <c r="AQ189" s="112" t="str">
        <f>IF(preDEL!$AG189,IFERROR(0/0,""),preDEL!AQ189)</f>
        <v/>
      </c>
      <c r="AR189" s="112" t="str">
        <f>IF(preDEL!$AG189,IFERROR(0/0,""),preDEL!AR189)</f>
        <v/>
      </c>
      <c r="AS189" s="112" t="str">
        <f>IF(preDEL!$AG189,IFERROR(0/0,""),preDEL!AS189)</f>
        <v/>
      </c>
      <c r="AT189" s="112" t="b">
        <f>IF(preDEL!$AG189,IFERROR(0/0,""),preDEL!AT189)</f>
        <v>0</v>
      </c>
      <c r="AU189" s="112" t="str">
        <f>IF(preDEL!$AG189,IFERROR(0/0,""),preDEL!AU189)</f>
        <v/>
      </c>
      <c r="AV189" s="112" t="str">
        <f>IF(preDEL!$AG189,IFERROR(0/0,""),preDEL!AV189)</f>
        <v/>
      </c>
      <c r="AW189" s="112" t="str">
        <f>IF(preDEL!$AG189,IFERROR(0/0,""),preDEL!AW189)</f>
        <v/>
      </c>
      <c r="AX189" s="112" t="str">
        <f>IF(preDEL!$AG189,IFERROR(0/0,""),preDEL!AX189)</f>
        <v/>
      </c>
      <c r="AY189" s="112" t="str">
        <f>IF(preDEL!$AG189,IFERROR(0/0,""),preDEL!AY189)</f>
        <v/>
      </c>
      <c r="AZ189" s="174"/>
      <c r="BA189" s="174"/>
      <c r="BB189" s="174"/>
      <c r="BC189" s="174"/>
      <c r="BD189" s="174"/>
      <c r="BE189" s="174"/>
      <c r="BF189" s="174"/>
      <c r="BG189" s="174"/>
      <c r="BH189" s="174"/>
      <c r="BI189" s="174"/>
      <c r="BJ189" s="174"/>
      <c r="BK189" s="174"/>
      <c r="BL189" s="174"/>
      <c r="BM189" s="174"/>
      <c r="BN189" s="174"/>
      <c r="BO189" s="174"/>
      <c r="BP189" s="174"/>
      <c r="BQ189" s="174"/>
      <c r="BR189" s="174"/>
      <c r="BS189" s="174"/>
      <c r="BT189" s="174"/>
      <c r="BU189" s="174"/>
      <c r="BV189" s="174"/>
      <c r="BW189" s="174"/>
      <c r="BX189" s="174"/>
      <c r="BY189" s="174"/>
      <c r="BZ189" s="174"/>
      <c r="CA189" s="174"/>
      <c r="CB189" s="174"/>
      <c r="CC189" s="174"/>
      <c r="CD189" s="174"/>
    </row>
    <row r="190">
      <c r="A190" s="105" t="str">
        <f>IF(preDEL!$AG190,IFERROR(0/0,""),preDEL!A190)</f>
        <v>MA190</v>
      </c>
      <c r="B190" s="170">
        <f>IF(preDEL!$AG190,IFERROR(0/0,""),preDEL!B190)</f>
        <v>44573</v>
      </c>
      <c r="C190" s="171">
        <f>IF(preDEL!$AG190,IFERROR(0/0,""),preDEL!C190)</f>
        <v>0.4143287037</v>
      </c>
      <c r="D190" s="105" t="str">
        <f>IF(preDEL!$AG190,IFERROR(0/0,""),preDEL!D190)</f>
        <v/>
      </c>
      <c r="E190" s="105" t="str">
        <f>IF(preDEL!$AG190,IFERROR(0/0,""),preDEL!E190)</f>
        <v/>
      </c>
      <c r="F190" s="112" t="str">
        <f>IF(preDEL!$AG190,IFERROR(0/0,""),preDEL!F190)</f>
        <v/>
      </c>
      <c r="G190" s="112" t="str">
        <f>IF(preDEL!$AG190,IFERROR(0/0,""),preDEL!G190)</f>
        <v/>
      </c>
      <c r="H190" s="112" t="str">
        <f>IF(preDEL!$AG190,IFERROR(0/0,""),preDEL!H190)</f>
        <v/>
      </c>
      <c r="I190" s="105" t="str">
        <f>IF(preDEL!$AG190,IFERROR(0/0,""),preDEL!I190)</f>
        <v/>
      </c>
      <c r="J190" s="105" t="str">
        <f>IF(preDEL!$AG190,IFERROR(0/0,""),preDEL!J190)</f>
        <v/>
      </c>
      <c r="K190" s="105" t="str">
        <f>IF(preDEL!$AG190,IFERROR(0/0,""),preDEL!K190)</f>
        <v>Negative</v>
      </c>
      <c r="L190" s="170">
        <f>IF(preDEL!$AG190,IFERROR(0/0,""),preDEL!L190)</f>
        <v>44575</v>
      </c>
      <c r="M190" s="171">
        <f>IF(preDEL!$AG190,IFERROR(0/0,""),preDEL!M190)</f>
        <v>0.4820486111</v>
      </c>
      <c r="N190" s="112" t="str">
        <f>IF(preDEL!$AG190,IFERROR(0/0,""),preDEL!N190)</f>
        <v/>
      </c>
      <c r="O190" s="112" t="str">
        <f>IF(preDEL!$AG190,IFERROR(0/0,""),preDEL!O190)</f>
        <v/>
      </c>
      <c r="P190" s="110" t="b">
        <f>IF(preDEL!$AG190,IFERROR(0/0,""),preDEL!P190)</f>
        <v>0</v>
      </c>
      <c r="Q190" s="110" t="str">
        <f>IF(preDEL!$AG190,IFERROR(0/0,""),preDEL!Q190)</f>
        <v>Result</v>
      </c>
      <c r="R190" s="104" t="b">
        <f>IF(preDEL!$AG190,IFERROR(0/0,""),preDEL!R190)</f>
        <v>1</v>
      </c>
      <c r="S190" s="104">
        <f>IF(preDEL!$AG190,IFERROR(0/0,""),preDEL!S190)</f>
        <v>1</v>
      </c>
      <c r="T190" s="110">
        <f>IF(preDEL!$AG190,IFERROR(0/0,""),preDEL!T190)</f>
        <v>1</v>
      </c>
      <c r="U190" s="112" t="str">
        <f>IF(preDEL!$AG190,IFERROR(0/0,""),preDEL!U190)</f>
        <v/>
      </c>
      <c r="V190" s="105" t="str">
        <f>IF(preDEL!$AG190,IFERROR(0/0,""),preDEL!V190)</f>
        <v/>
      </c>
      <c r="W190" s="112" t="str">
        <f>IF(preDEL!$AG190,IFERROR(0/0,""),preDEL!W190)</f>
        <v/>
      </c>
      <c r="X190" s="104" t="b">
        <f>IF(preDEL!$AG190,IFERROR(0/0,""),preDEL!X190)</f>
        <v>0</v>
      </c>
      <c r="Y190" s="110" t="b">
        <f>IF(preDEL!$AG190,IFERROR(0/0,""),preDEL!Y190)</f>
        <v>0</v>
      </c>
      <c r="Z190" s="105" t="str">
        <f>IF(preDEL!$AG190,IFERROR(0/0,""),preDEL!Z190)</f>
        <v/>
      </c>
      <c r="AA190" s="110" t="b">
        <f>IF(preDEL!$AG190,IFERROR(0/0,""),preDEL!AA190)</f>
        <v>0</v>
      </c>
      <c r="AB190" s="110" t="b">
        <f>IF(preDEL!$AG190,IFERROR(0/0,""),preDEL!AB190)</f>
        <v>0</v>
      </c>
      <c r="AC190" s="172">
        <f>IF(preDEL!$AG190,IFERROR(0/0,""),preDEL!AC190)</f>
        <v>612</v>
      </c>
      <c r="AD190" s="104" t="b">
        <f>IF(preDEL!$AG190,IFERROR(0/0,""),preDEL!AD190)</f>
        <v>0</v>
      </c>
      <c r="AE190" s="173" t="str">
        <f>IF(preDEL!$AG190,IFERROR(0/0,""),preDEL!AE190)</f>
        <v/>
      </c>
      <c r="AF190" s="110" t="b">
        <f>IF(preDEL!$AG190,IFERROR(0/0,""),preDEL!AF190)</f>
        <v>0</v>
      </c>
      <c r="AG190" s="110" t="b">
        <f>IF(preDEL!$AG190,IFERROR(0/0,""),preDEL!AG190)</f>
        <v>0</v>
      </c>
      <c r="AH190" s="104" t="str">
        <f>IF(preDEL!$AG190,IFERROR(0/0,""),preDEL!AH190)</f>
        <v/>
      </c>
      <c r="AI190" s="105" t="str">
        <f>IF(preDEL!$AG190,IFERROR(0/0,""),preDEL!AI190)</f>
        <v/>
      </c>
      <c r="AJ190" s="112" t="str">
        <f>IF(preDEL!$AG190,IFERROR(0/0,""),preDEL!AJ190)</f>
        <v/>
      </c>
      <c r="AK190" s="105" t="str">
        <f>IF(preDEL!$AG190,IFERROR(0/0,""),preDEL!AK190)</f>
        <v>Negative</v>
      </c>
      <c r="AL190" s="112" t="str">
        <f>IF(preDEL!$AG190,IFERROR(0/0,""),preDEL!AL190)</f>
        <v/>
      </c>
      <c r="AM190" s="112" t="str">
        <f>IF(preDEL!$AG190,IFERROR(0/0,""),preDEL!AM190)</f>
        <v>SpBEND394154</v>
      </c>
      <c r="AN190" s="112" t="str">
        <f>IF(preDEL!$AG190,IFERROR(0/0,""),preDEL!AN190)</f>
        <v>BEND584284</v>
      </c>
      <c r="AO190" s="112" t="str">
        <f>IF(preDEL!$AG190,IFERROR(0/0,""),preDEL!AO190)</f>
        <v/>
      </c>
      <c r="AP190" s="112" t="str">
        <f>IF(preDEL!$AG190,IFERROR(0/0,""),preDEL!AP190)</f>
        <v/>
      </c>
      <c r="AQ190" s="112" t="str">
        <f>IF(preDEL!$AG190,IFERROR(0/0,""),preDEL!AQ190)</f>
        <v/>
      </c>
      <c r="AR190" s="112" t="str">
        <f>IF(preDEL!$AG190,IFERROR(0/0,""),preDEL!AR190)</f>
        <v/>
      </c>
      <c r="AS190" s="112" t="str">
        <f>IF(preDEL!$AG190,IFERROR(0/0,""),preDEL!AS190)</f>
        <v/>
      </c>
      <c r="AT190" s="112" t="b">
        <f>IF(preDEL!$AG190,IFERROR(0/0,""),preDEL!AT190)</f>
        <v>0</v>
      </c>
      <c r="AU190" s="112" t="str">
        <f>IF(preDEL!$AG190,IFERROR(0/0,""),preDEL!AU190)</f>
        <v/>
      </c>
      <c r="AV190" s="112" t="str">
        <f>IF(preDEL!$AG190,IFERROR(0/0,""),preDEL!AV190)</f>
        <v/>
      </c>
      <c r="AW190" s="112" t="str">
        <f>IF(preDEL!$AG190,IFERROR(0/0,""),preDEL!AW190)</f>
        <v/>
      </c>
      <c r="AX190" s="112" t="str">
        <f>IF(preDEL!$AG190,IFERROR(0/0,""),preDEL!AX190)</f>
        <v/>
      </c>
      <c r="AY190" s="112" t="str">
        <f>IF(preDEL!$AG190,IFERROR(0/0,""),preDEL!AY190)</f>
        <v/>
      </c>
      <c r="AZ190" s="174"/>
      <c r="BA190" s="174"/>
      <c r="BB190" s="174"/>
      <c r="BC190" s="174"/>
      <c r="BD190" s="174"/>
      <c r="BE190" s="174"/>
      <c r="BF190" s="174"/>
      <c r="BG190" s="174"/>
      <c r="BH190" s="174"/>
      <c r="BI190" s="174"/>
      <c r="BJ190" s="174"/>
      <c r="BK190" s="174"/>
      <c r="BL190" s="174"/>
      <c r="BM190" s="174"/>
      <c r="BN190" s="174"/>
      <c r="BO190" s="174"/>
      <c r="BP190" s="174"/>
      <c r="BQ190" s="174"/>
      <c r="BR190" s="174"/>
      <c r="BS190" s="174"/>
      <c r="BT190" s="174"/>
      <c r="BU190" s="174"/>
      <c r="BV190" s="174"/>
      <c r="BW190" s="174"/>
      <c r="BX190" s="174"/>
      <c r="BY190" s="174"/>
      <c r="BZ190" s="174"/>
      <c r="CA190" s="174"/>
      <c r="CB190" s="174"/>
      <c r="CC190" s="174"/>
      <c r="CD190" s="174"/>
    </row>
    <row r="191">
      <c r="A191" s="105" t="str">
        <f>IF(preDEL!$AG191,IFERROR(0/0,""),preDEL!A191)</f>
        <v/>
      </c>
      <c r="B191" s="170" t="str">
        <f>IF(preDEL!$AG191,IFERROR(0/0,""),preDEL!B191)</f>
        <v/>
      </c>
      <c r="C191" s="171" t="str">
        <f>IF(preDEL!$AG191,IFERROR(0/0,""),preDEL!C191)</f>
        <v/>
      </c>
      <c r="D191" s="105" t="str">
        <f>IF(preDEL!$AG191,IFERROR(0/0,""),preDEL!D191)</f>
        <v/>
      </c>
      <c r="E191" s="105" t="str">
        <f>IF(preDEL!$AG191,IFERROR(0/0,""),preDEL!E191)</f>
        <v/>
      </c>
      <c r="F191" s="112" t="str">
        <f>IF(preDEL!$AG191,IFERROR(0/0,""),preDEL!F191)</f>
        <v/>
      </c>
      <c r="G191" s="112" t="str">
        <f>IF(preDEL!$AG191,IFERROR(0/0,""),preDEL!G191)</f>
        <v/>
      </c>
      <c r="H191" s="112" t="str">
        <f>IF(preDEL!$AG191,IFERROR(0/0,""),preDEL!H191)</f>
        <v/>
      </c>
      <c r="I191" s="105" t="str">
        <f>IF(preDEL!$AG191,IFERROR(0/0,""),preDEL!I191)</f>
        <v/>
      </c>
      <c r="J191" s="105" t="str">
        <f>IF(preDEL!$AG191,IFERROR(0/0,""),preDEL!J191)</f>
        <v/>
      </c>
      <c r="K191" s="105" t="str">
        <f>IF(preDEL!$AG191,IFERROR(0/0,""),preDEL!K191)</f>
        <v/>
      </c>
      <c r="L191" s="170" t="str">
        <f>IF(preDEL!$AG191,IFERROR(0/0,""),preDEL!L191)</f>
        <v/>
      </c>
      <c r="M191" s="171" t="str">
        <f>IF(preDEL!$AG191,IFERROR(0/0,""),preDEL!M191)</f>
        <v/>
      </c>
      <c r="N191" s="112" t="str">
        <f>IF(preDEL!$AG191,IFERROR(0/0,""),preDEL!N191)</f>
        <v/>
      </c>
      <c r="O191" s="112" t="str">
        <f>IF(preDEL!$AG191,IFERROR(0/0,""),preDEL!O191)</f>
        <v/>
      </c>
      <c r="P191" s="110" t="str">
        <f>IF(preDEL!$AG191,IFERROR(0/0,""),preDEL!P191)</f>
        <v/>
      </c>
      <c r="Q191" s="110" t="str">
        <f>IF(preDEL!$AG191,IFERROR(0/0,""),preDEL!Q191)</f>
        <v/>
      </c>
      <c r="R191" s="104" t="str">
        <f>IF(preDEL!$AG191,IFERROR(0/0,""),preDEL!R191)</f>
        <v/>
      </c>
      <c r="S191" s="104" t="str">
        <f>IF(preDEL!$AG191,IFERROR(0/0,""),preDEL!S191)</f>
        <v/>
      </c>
      <c r="T191" s="110" t="str">
        <f>IF(preDEL!$AG191,IFERROR(0/0,""),preDEL!T191)</f>
        <v/>
      </c>
      <c r="U191" s="112" t="str">
        <f>IF(preDEL!$AG191,IFERROR(0/0,""),preDEL!U191)</f>
        <v/>
      </c>
      <c r="V191" s="105" t="str">
        <f>IF(preDEL!$AG191,IFERROR(0/0,""),preDEL!V191)</f>
        <v/>
      </c>
      <c r="W191" s="112" t="str">
        <f>IF(preDEL!$AG191,IFERROR(0/0,""),preDEL!W191)</f>
        <v/>
      </c>
      <c r="X191" s="104" t="str">
        <f>IF(preDEL!$AG191,IFERROR(0/0,""),preDEL!X191)</f>
        <v/>
      </c>
      <c r="Y191" s="110" t="str">
        <f>IF(preDEL!$AG191,IFERROR(0/0,""),preDEL!Y191)</f>
        <v/>
      </c>
      <c r="Z191" s="105" t="str">
        <f>IF(preDEL!$AG191,IFERROR(0/0,""),preDEL!Z191)</f>
        <v/>
      </c>
      <c r="AA191" s="110" t="str">
        <f>IF(preDEL!$AG191,IFERROR(0/0,""),preDEL!AA191)</f>
        <v/>
      </c>
      <c r="AB191" s="110" t="str">
        <f>IF(preDEL!$AG191,IFERROR(0/0,""),preDEL!AB191)</f>
        <v/>
      </c>
      <c r="AC191" s="172" t="str">
        <f>IF(preDEL!$AG191,IFERROR(0/0,""),preDEL!AC191)</f>
        <v/>
      </c>
      <c r="AD191" s="104" t="str">
        <f>IF(preDEL!$AG191,IFERROR(0/0,""),preDEL!AD191)</f>
        <v/>
      </c>
      <c r="AE191" s="173" t="str">
        <f>IF(preDEL!$AG191,IFERROR(0/0,""),preDEL!AE191)</f>
        <v/>
      </c>
      <c r="AF191" s="110" t="str">
        <f>IF(preDEL!$AG191,IFERROR(0/0,""),preDEL!AF191)</f>
        <v/>
      </c>
      <c r="AG191" s="110" t="str">
        <f>IF(preDEL!$AG191,IFERROR(0/0,""),preDEL!AG191)</f>
        <v/>
      </c>
      <c r="AH191" s="104" t="str">
        <f>IF(preDEL!$AG191,IFERROR(0/0,""),preDEL!AH191)</f>
        <v/>
      </c>
      <c r="AI191" s="105" t="str">
        <f>IF(preDEL!$AG191,IFERROR(0/0,""),preDEL!AI191)</f>
        <v/>
      </c>
      <c r="AJ191" s="112" t="str">
        <f>IF(preDEL!$AG191,IFERROR(0/0,""),preDEL!AJ191)</f>
        <v/>
      </c>
      <c r="AK191" s="105" t="str">
        <f>IF(preDEL!$AG191,IFERROR(0/0,""),preDEL!AK191)</f>
        <v/>
      </c>
      <c r="AL191" s="112" t="str">
        <f>IF(preDEL!$AG191,IFERROR(0/0,""),preDEL!AL191)</f>
        <v/>
      </c>
      <c r="AM191" s="112" t="str">
        <f>IF(preDEL!$AG191,IFERROR(0/0,""),preDEL!AM191)</f>
        <v/>
      </c>
      <c r="AN191" s="112" t="str">
        <f>IF(preDEL!$AG191,IFERROR(0/0,""),preDEL!AN191)</f>
        <v/>
      </c>
      <c r="AO191" s="112" t="str">
        <f>IF(preDEL!$AG191,IFERROR(0/0,""),preDEL!AO191)</f>
        <v/>
      </c>
      <c r="AP191" s="112" t="str">
        <f>IF(preDEL!$AG191,IFERROR(0/0,""),preDEL!AP191)</f>
        <v/>
      </c>
      <c r="AQ191" s="112" t="str">
        <f>IF(preDEL!$AG191,IFERROR(0/0,""),preDEL!AQ191)</f>
        <v/>
      </c>
      <c r="AR191" s="112" t="str">
        <f>IF(preDEL!$AG191,IFERROR(0/0,""),preDEL!AR191)</f>
        <v/>
      </c>
      <c r="AS191" s="112" t="str">
        <f>IF(preDEL!$AG191,IFERROR(0/0,""),preDEL!AS191)</f>
        <v/>
      </c>
      <c r="AT191" s="112" t="str">
        <f>IF(preDEL!$AG191,IFERROR(0/0,""),preDEL!AT191)</f>
        <v/>
      </c>
      <c r="AU191" s="112" t="str">
        <f>IF(preDEL!$AG191,IFERROR(0/0,""),preDEL!AU191)</f>
        <v/>
      </c>
      <c r="AV191" s="112" t="str">
        <f>IF(preDEL!$AG191,IFERROR(0/0,""),preDEL!AV191)</f>
        <v/>
      </c>
      <c r="AW191" s="112" t="str">
        <f>IF(preDEL!$AG191,IFERROR(0/0,""),preDEL!AW191)</f>
        <v/>
      </c>
      <c r="AX191" s="112" t="str">
        <f>IF(preDEL!$AG191,IFERROR(0/0,""),preDEL!AX191)</f>
        <v/>
      </c>
      <c r="AY191" s="112" t="str">
        <f>IF(preDEL!$AG191,IFERROR(0/0,""),preDEL!AY191)</f>
        <v/>
      </c>
      <c r="AZ191" s="174"/>
      <c r="BA191" s="174"/>
      <c r="BB191" s="174"/>
      <c r="BC191" s="174"/>
      <c r="BD191" s="174"/>
      <c r="BE191" s="174"/>
      <c r="BF191" s="174"/>
      <c r="BG191" s="174"/>
      <c r="BH191" s="174"/>
      <c r="BI191" s="174"/>
      <c r="BJ191" s="174"/>
      <c r="BK191" s="174"/>
      <c r="BL191" s="174"/>
      <c r="BM191" s="174"/>
      <c r="BN191" s="174"/>
      <c r="BO191" s="174"/>
      <c r="BP191" s="174"/>
      <c r="BQ191" s="174"/>
      <c r="BR191" s="174"/>
      <c r="BS191" s="174"/>
      <c r="BT191" s="174"/>
      <c r="BU191" s="174"/>
      <c r="BV191" s="174"/>
      <c r="BW191" s="174"/>
      <c r="BX191" s="174"/>
      <c r="BY191" s="174"/>
      <c r="BZ191" s="174"/>
      <c r="CA191" s="174"/>
      <c r="CB191" s="174"/>
      <c r="CC191" s="174"/>
      <c r="CD191" s="174"/>
    </row>
    <row r="192">
      <c r="A192" s="105" t="str">
        <f>IF(preDEL!$AG192,IFERROR(0/0,""),preDEL!A192)</f>
        <v>MAX92</v>
      </c>
      <c r="B192" s="170">
        <f>IF(preDEL!$AG192,IFERROR(0/0,""),preDEL!B192)</f>
        <v>44573</v>
      </c>
      <c r="C192" s="171">
        <f>IF(preDEL!$AG192,IFERROR(0/0,""),preDEL!C192)</f>
        <v>0.424537037</v>
      </c>
      <c r="D192" s="105" t="str">
        <f>IF(preDEL!$AG192,IFERROR(0/0,""),preDEL!D192)</f>
        <v/>
      </c>
      <c r="E192" s="105" t="str">
        <f>IF(preDEL!$AG192,IFERROR(0/0,""),preDEL!E192)</f>
        <v/>
      </c>
      <c r="F192" s="112" t="str">
        <f>IF(preDEL!$AG192,IFERROR(0/0,""),preDEL!F192)</f>
        <v/>
      </c>
      <c r="G192" s="112" t="str">
        <f>IF(preDEL!$AG192,IFERROR(0/0,""),preDEL!G192)</f>
        <v/>
      </c>
      <c r="H192" s="112" t="str">
        <f>IF(preDEL!$AG192,IFERROR(0/0,""),preDEL!H192)</f>
        <v/>
      </c>
      <c r="I192" s="105" t="str">
        <f>IF(preDEL!$AG192,IFERROR(0/0,""),preDEL!I192)</f>
        <v/>
      </c>
      <c r="J192" s="105" t="str">
        <f>IF(preDEL!$AG192,IFERROR(0/0,""),preDEL!J192)</f>
        <v/>
      </c>
      <c r="K192" s="105" t="str">
        <f>IF(preDEL!$AG192,IFERROR(0/0,""),preDEL!K192)</f>
        <v>Negative</v>
      </c>
      <c r="L192" s="170">
        <f>IF(preDEL!$AG192,IFERROR(0/0,""),preDEL!L192)</f>
        <v>44575</v>
      </c>
      <c r="M192" s="171">
        <f>IF(preDEL!$AG192,IFERROR(0/0,""),preDEL!M192)</f>
        <v>0.4820486111</v>
      </c>
      <c r="N192" s="112" t="str">
        <f>IF(preDEL!$AG192,IFERROR(0/0,""),preDEL!N192)</f>
        <v/>
      </c>
      <c r="O192" s="112" t="str">
        <f>IF(preDEL!$AG192,IFERROR(0/0,""),preDEL!O192)</f>
        <v/>
      </c>
      <c r="P192" s="110" t="b">
        <f>IF(preDEL!$AG192,IFERROR(0/0,""),preDEL!P192)</f>
        <v>0</v>
      </c>
      <c r="Q192" s="110" t="str">
        <f>IF(preDEL!$AG192,IFERROR(0/0,""),preDEL!Q192)</f>
        <v>Result</v>
      </c>
      <c r="R192" s="104" t="b">
        <f>IF(preDEL!$AG192,IFERROR(0/0,""),preDEL!R192)</f>
        <v>1</v>
      </c>
      <c r="S192" s="104">
        <f>IF(preDEL!$AG192,IFERROR(0/0,""),preDEL!S192)</f>
        <v>1</v>
      </c>
      <c r="T192" s="110" t="str">
        <f>IF(preDEL!$AG192,IFERROR(0/0,""),preDEL!T192)</f>
        <v/>
      </c>
      <c r="U192" s="112" t="str">
        <f>IF(preDEL!$AG192,IFERROR(0/0,""),preDEL!U192)</f>
        <v/>
      </c>
      <c r="V192" s="105" t="str">
        <f>IF(preDEL!$AG192,IFERROR(0/0,""),preDEL!V192)</f>
        <v/>
      </c>
      <c r="W192" s="112" t="str">
        <f>IF(preDEL!$AG192,IFERROR(0/0,""),preDEL!W192)</f>
        <v/>
      </c>
      <c r="X192" s="104" t="b">
        <f>IF(preDEL!$AG192,IFERROR(0/0,""),preDEL!X192)</f>
        <v>0</v>
      </c>
      <c r="Y192" s="110" t="b">
        <f>IF(preDEL!$AG192,IFERROR(0/0,""),preDEL!Y192)</f>
        <v>0</v>
      </c>
      <c r="Z192" s="105" t="str">
        <f>IF(preDEL!$AG192,IFERROR(0/0,""),preDEL!Z192)</f>
        <v/>
      </c>
      <c r="AA192" s="110" t="b">
        <f>IF(preDEL!$AG192,IFERROR(0/0,""),preDEL!AA192)</f>
        <v>0</v>
      </c>
      <c r="AB192" s="110" t="b">
        <f>IF(preDEL!$AG192,IFERROR(0/0,""),preDEL!AB192)</f>
        <v>0</v>
      </c>
      <c r="AC192" s="172">
        <f>IF(preDEL!$AG192,IFERROR(0/0,""),preDEL!AC192)</f>
        <v>611</v>
      </c>
      <c r="AD192" s="104" t="b">
        <f>IF(preDEL!$AG192,IFERROR(0/0,""),preDEL!AD192)</f>
        <v>0</v>
      </c>
      <c r="AE192" s="173" t="str">
        <f>IF(preDEL!$AG192,IFERROR(0/0,""),preDEL!AE192)</f>
        <v/>
      </c>
      <c r="AF192" s="110" t="b">
        <f>IF(preDEL!$AG192,IFERROR(0/0,""),preDEL!AF192)</f>
        <v>0</v>
      </c>
      <c r="AG192" s="110" t="b">
        <f>IF(preDEL!$AG192,IFERROR(0/0,""),preDEL!AG192)</f>
        <v>0</v>
      </c>
      <c r="AH192" s="104" t="str">
        <f>IF(preDEL!$AG192,IFERROR(0/0,""),preDEL!AH192)</f>
        <v/>
      </c>
      <c r="AI192" s="105" t="str">
        <f>IF(preDEL!$AG192,IFERROR(0/0,""),preDEL!AI192)</f>
        <v/>
      </c>
      <c r="AJ192" s="112" t="str">
        <f>IF(preDEL!$AG192,IFERROR(0/0,""),preDEL!AJ192)</f>
        <v/>
      </c>
      <c r="AK192" s="105" t="str">
        <f>IF(preDEL!$AG192,IFERROR(0/0,""),preDEL!AK192)</f>
        <v>Negative</v>
      </c>
      <c r="AL192" s="112" t="str">
        <f>IF(preDEL!$AG192,IFERROR(0/0,""),preDEL!AL192)</f>
        <v/>
      </c>
      <c r="AM192" s="112" t="str">
        <f>IF(preDEL!$AG192,IFERROR(0/0,""),preDEL!AM192)</f>
        <v>SpBEND394154</v>
      </c>
      <c r="AN192" s="112" t="str">
        <f>IF(preDEL!$AG192,IFERROR(0/0,""),preDEL!AN192)</f>
        <v>BEND365993</v>
      </c>
      <c r="AO192" s="112" t="str">
        <f>IF(preDEL!$AG192,IFERROR(0/0,""),preDEL!AO192)</f>
        <v/>
      </c>
      <c r="AP192" s="112" t="str">
        <f>IF(preDEL!$AG192,IFERROR(0/0,""),preDEL!AP192)</f>
        <v/>
      </c>
      <c r="AQ192" s="112" t="str">
        <f>IF(preDEL!$AG192,IFERROR(0/0,""),preDEL!AQ192)</f>
        <v/>
      </c>
      <c r="AR192" s="112" t="str">
        <f>IF(preDEL!$AG192,IFERROR(0/0,""),preDEL!AR192)</f>
        <v/>
      </c>
      <c r="AS192" s="112" t="str">
        <f>IF(preDEL!$AG192,IFERROR(0/0,""),preDEL!AS192)</f>
        <v/>
      </c>
      <c r="AT192" s="112" t="b">
        <f>IF(preDEL!$AG192,IFERROR(0/0,""),preDEL!AT192)</f>
        <v>0</v>
      </c>
      <c r="AU192" s="112" t="str">
        <f>IF(preDEL!$AG192,IFERROR(0/0,""),preDEL!AU192)</f>
        <v/>
      </c>
      <c r="AV192" s="112" t="str">
        <f>IF(preDEL!$AG192,IFERROR(0/0,""),preDEL!AV192)</f>
        <v/>
      </c>
      <c r="AW192" s="112" t="str">
        <f>IF(preDEL!$AG192,IFERROR(0/0,""),preDEL!AW192)</f>
        <v/>
      </c>
      <c r="AX192" s="112" t="str">
        <f>IF(preDEL!$AG192,IFERROR(0/0,""),preDEL!AX192)</f>
        <v/>
      </c>
      <c r="AY192" s="112" t="str">
        <f>IF(preDEL!$AG192,IFERROR(0/0,""),preDEL!AY192)</f>
        <v/>
      </c>
      <c r="AZ192" s="174"/>
      <c r="BA192" s="174"/>
      <c r="BB192" s="174"/>
      <c r="BC192" s="174"/>
      <c r="BD192" s="174"/>
      <c r="BE192" s="174"/>
      <c r="BF192" s="174"/>
      <c r="BG192" s="174"/>
      <c r="BH192" s="174"/>
      <c r="BI192" s="174"/>
      <c r="BJ192" s="174"/>
      <c r="BK192" s="174"/>
      <c r="BL192" s="174"/>
      <c r="BM192" s="174"/>
      <c r="BN192" s="174"/>
      <c r="BO192" s="174"/>
      <c r="BP192" s="174"/>
      <c r="BQ192" s="174"/>
      <c r="BR192" s="174"/>
      <c r="BS192" s="174"/>
      <c r="BT192" s="174"/>
      <c r="BU192" s="174"/>
      <c r="BV192" s="174"/>
      <c r="BW192" s="174"/>
      <c r="BX192" s="174"/>
      <c r="BY192" s="174"/>
      <c r="BZ192" s="174"/>
      <c r="CA192" s="174"/>
      <c r="CB192" s="174"/>
      <c r="CC192" s="174"/>
      <c r="CD192" s="174"/>
    </row>
    <row r="193">
      <c r="A193" s="105" t="str">
        <f>IF(preDEL!$AG193,IFERROR(0/0,""),preDEL!A193)</f>
        <v>MA1031</v>
      </c>
      <c r="B193" s="170">
        <f>IF(preDEL!$AG193,IFERROR(0/0,""),preDEL!B193)</f>
        <v>44573</v>
      </c>
      <c r="C193" s="171">
        <f>IF(preDEL!$AG193,IFERROR(0/0,""),preDEL!C193)</f>
        <v>0.444224537</v>
      </c>
      <c r="D193" s="105" t="str">
        <f>IF(preDEL!$AG193,IFERROR(0/0,""),preDEL!D193)</f>
        <v/>
      </c>
      <c r="E193" s="105" t="str">
        <f>IF(preDEL!$AG193,IFERROR(0/0,""),preDEL!E193)</f>
        <v/>
      </c>
      <c r="F193" s="112" t="str">
        <f>IF(preDEL!$AG193,IFERROR(0/0,""),preDEL!F193)</f>
        <v/>
      </c>
      <c r="G193" s="112" t="str">
        <f>IF(preDEL!$AG193,IFERROR(0/0,""),preDEL!G193)</f>
        <v/>
      </c>
      <c r="H193" s="112" t="str">
        <f>IF(preDEL!$AG193,IFERROR(0/0,""),preDEL!H193)</f>
        <v/>
      </c>
      <c r="I193" s="105" t="str">
        <f>IF(preDEL!$AG193,IFERROR(0/0,""),preDEL!I193)</f>
        <v/>
      </c>
      <c r="J193" s="105" t="str">
        <f>IF(preDEL!$AG193,IFERROR(0/0,""),preDEL!J193)</f>
        <v/>
      </c>
      <c r="K193" s="105" t="str">
        <f>IF(preDEL!$AG193,IFERROR(0/0,""),preDEL!K193)</f>
        <v>Negative</v>
      </c>
      <c r="L193" s="170">
        <f>IF(preDEL!$AG193,IFERROR(0/0,""),preDEL!L193)</f>
        <v>44575</v>
      </c>
      <c r="M193" s="171">
        <f>IF(preDEL!$AG193,IFERROR(0/0,""),preDEL!M193)</f>
        <v>0.4820486111</v>
      </c>
      <c r="N193" s="112" t="str">
        <f>IF(preDEL!$AG193,IFERROR(0/0,""),preDEL!N193)</f>
        <v/>
      </c>
      <c r="O193" s="112" t="str">
        <f>IF(preDEL!$AG193,IFERROR(0/0,""),preDEL!O193)</f>
        <v/>
      </c>
      <c r="P193" s="110" t="b">
        <f>IF(preDEL!$AG193,IFERROR(0/0,""),preDEL!P193)</f>
        <v>0</v>
      </c>
      <c r="Q193" s="110" t="str">
        <f>IF(preDEL!$AG193,IFERROR(0/0,""),preDEL!Q193)</f>
        <v>Result</v>
      </c>
      <c r="R193" s="104" t="b">
        <f>IF(preDEL!$AG193,IFERROR(0/0,""),preDEL!R193)</f>
        <v>1</v>
      </c>
      <c r="S193" s="104">
        <f>IF(preDEL!$AG193,IFERROR(0/0,""),preDEL!S193)</f>
        <v>1</v>
      </c>
      <c r="T193" s="110">
        <f>IF(preDEL!$AG193,IFERROR(0/0,""),preDEL!T193)</f>
        <v>0</v>
      </c>
      <c r="U193" s="112" t="str">
        <f>IF(preDEL!$AG193,IFERROR(0/0,""),preDEL!U193)</f>
        <v/>
      </c>
      <c r="V193" s="105" t="str">
        <f>IF(preDEL!$AG193,IFERROR(0/0,""),preDEL!V193)</f>
        <v/>
      </c>
      <c r="W193" s="112" t="str">
        <f>IF(preDEL!$AG193,IFERROR(0/0,""),preDEL!W193)</f>
        <v/>
      </c>
      <c r="X193" s="104" t="b">
        <f>IF(preDEL!$AG193,IFERROR(0/0,""),preDEL!X193)</f>
        <v>0</v>
      </c>
      <c r="Y193" s="110" t="b">
        <f>IF(preDEL!$AG193,IFERROR(0/0,""),preDEL!Y193)</f>
        <v>0</v>
      </c>
      <c r="Z193" s="105" t="str">
        <f>IF(preDEL!$AG193,IFERROR(0/0,""),preDEL!Z193)</f>
        <v/>
      </c>
      <c r="AA193" s="110" t="b">
        <f>IF(preDEL!$AG193,IFERROR(0/0,""),preDEL!AA193)</f>
        <v>0</v>
      </c>
      <c r="AB193" s="110" t="b">
        <f>IF(preDEL!$AG193,IFERROR(0/0,""),preDEL!AB193)</f>
        <v>0</v>
      </c>
      <c r="AC193" s="172">
        <f>IF(preDEL!$AG193,IFERROR(0/0,""),preDEL!AC193)</f>
        <v>610</v>
      </c>
      <c r="AD193" s="104" t="b">
        <f>IF(preDEL!$AG193,IFERROR(0/0,""),preDEL!AD193)</f>
        <v>0</v>
      </c>
      <c r="AE193" s="173" t="str">
        <f>IF(preDEL!$AG193,IFERROR(0/0,""),preDEL!AE193)</f>
        <v/>
      </c>
      <c r="AF193" s="110" t="b">
        <f>IF(preDEL!$AG193,IFERROR(0/0,""),preDEL!AF193)</f>
        <v>0</v>
      </c>
      <c r="AG193" s="110" t="b">
        <f>IF(preDEL!$AG193,IFERROR(0/0,""),preDEL!AG193)</f>
        <v>0</v>
      </c>
      <c r="AH193" s="104" t="str">
        <f>IF(preDEL!$AG193,IFERROR(0/0,""),preDEL!AH193)</f>
        <v/>
      </c>
      <c r="AI193" s="105" t="str">
        <f>IF(preDEL!$AG193,IFERROR(0/0,""),preDEL!AI193)</f>
        <v/>
      </c>
      <c r="AJ193" s="112" t="str">
        <f>IF(preDEL!$AG193,IFERROR(0/0,""),preDEL!AJ193)</f>
        <v/>
      </c>
      <c r="AK193" s="105" t="str">
        <f>IF(preDEL!$AG193,IFERROR(0/0,""),preDEL!AK193)</f>
        <v>Negative</v>
      </c>
      <c r="AL193" s="112" t="str">
        <f>IF(preDEL!$AG193,IFERROR(0/0,""),preDEL!AL193)</f>
        <v/>
      </c>
      <c r="AM193" s="112" t="str">
        <f>IF(preDEL!$AG193,IFERROR(0/0,""),preDEL!AM193)</f>
        <v>SpBEND394154</v>
      </c>
      <c r="AN193" s="112" t="str">
        <f>IF(preDEL!$AG193,IFERROR(0/0,""),preDEL!AN193)</f>
        <v>BEND123721</v>
      </c>
      <c r="AO193" s="112" t="str">
        <f>IF(preDEL!$AG193,IFERROR(0/0,""),preDEL!AO193)</f>
        <v/>
      </c>
      <c r="AP193" s="112" t="str">
        <f>IF(preDEL!$AG193,IFERROR(0/0,""),preDEL!AP193)</f>
        <v/>
      </c>
      <c r="AQ193" s="112" t="str">
        <f>IF(preDEL!$AG193,IFERROR(0/0,""),preDEL!AQ193)</f>
        <v/>
      </c>
      <c r="AR193" s="112" t="str">
        <f>IF(preDEL!$AG193,IFERROR(0/0,""),preDEL!AR193)</f>
        <v/>
      </c>
      <c r="AS193" s="112" t="str">
        <f>IF(preDEL!$AG193,IFERROR(0/0,""),preDEL!AS193)</f>
        <v/>
      </c>
      <c r="AT193" s="112" t="b">
        <f>IF(preDEL!$AG193,IFERROR(0/0,""),preDEL!AT193)</f>
        <v>0</v>
      </c>
      <c r="AU193" s="112" t="str">
        <f>IF(preDEL!$AG193,IFERROR(0/0,""),preDEL!AU193)</f>
        <v/>
      </c>
      <c r="AV193" s="112" t="str">
        <f>IF(preDEL!$AG193,IFERROR(0/0,""),preDEL!AV193)</f>
        <v/>
      </c>
      <c r="AW193" s="112" t="str">
        <f>IF(preDEL!$AG193,IFERROR(0/0,""),preDEL!AW193)</f>
        <v/>
      </c>
      <c r="AX193" s="112" t="str">
        <f>IF(preDEL!$AG193,IFERROR(0/0,""),preDEL!AX193)</f>
        <v/>
      </c>
      <c r="AY193" s="112" t="str">
        <f>IF(preDEL!$AG193,IFERROR(0/0,""),preDEL!AY193)</f>
        <v/>
      </c>
      <c r="AZ193" s="174"/>
      <c r="BA193" s="174"/>
      <c r="BB193" s="174"/>
      <c r="BC193" s="174"/>
      <c r="BD193" s="174"/>
      <c r="BE193" s="174"/>
      <c r="BF193" s="174"/>
      <c r="BG193" s="174"/>
      <c r="BH193" s="174"/>
      <c r="BI193" s="174"/>
      <c r="BJ193" s="174"/>
      <c r="BK193" s="174"/>
      <c r="BL193" s="174"/>
      <c r="BM193" s="174"/>
      <c r="BN193" s="174"/>
      <c r="BO193" s="174"/>
      <c r="BP193" s="174"/>
      <c r="BQ193" s="174"/>
      <c r="BR193" s="174"/>
      <c r="BS193" s="174"/>
      <c r="BT193" s="174"/>
      <c r="BU193" s="174"/>
      <c r="BV193" s="174"/>
      <c r="BW193" s="174"/>
      <c r="BX193" s="174"/>
      <c r="BY193" s="174"/>
      <c r="BZ193" s="174"/>
      <c r="CA193" s="174"/>
      <c r="CB193" s="174"/>
      <c r="CC193" s="174"/>
      <c r="CD193" s="174"/>
    </row>
    <row r="194">
      <c r="A194" s="105" t="str">
        <f>IF(preDEL!$AG194,IFERROR(0/0,""),preDEL!A194)</f>
        <v>MA1062</v>
      </c>
      <c r="B194" s="170">
        <f>IF(preDEL!$AG194,IFERROR(0/0,""),preDEL!B194)</f>
        <v>44574</v>
      </c>
      <c r="C194" s="171">
        <f>IF(preDEL!$AG194,IFERROR(0/0,""),preDEL!C194)</f>
        <v>0.5845023148</v>
      </c>
      <c r="D194" s="105" t="str">
        <f>IF(preDEL!$AG194,IFERROR(0/0,""),preDEL!D194)</f>
        <v/>
      </c>
      <c r="E194" s="105" t="str">
        <f>IF(preDEL!$AG194,IFERROR(0/0,""),preDEL!E194)</f>
        <v/>
      </c>
      <c r="F194" s="112" t="str">
        <f>IF(preDEL!$AG194,IFERROR(0/0,""),preDEL!F194)</f>
        <v/>
      </c>
      <c r="G194" s="112" t="str">
        <f>IF(preDEL!$AG194,IFERROR(0/0,""),preDEL!G194)</f>
        <v/>
      </c>
      <c r="H194" s="112" t="str">
        <f>IF(preDEL!$AG194,IFERROR(0/0,""),preDEL!H194)</f>
        <v/>
      </c>
      <c r="I194" s="105" t="str">
        <f>IF(preDEL!$AG194,IFERROR(0/0,""),preDEL!I194)</f>
        <v/>
      </c>
      <c r="J194" s="105" t="str">
        <f>IF(preDEL!$AG194,IFERROR(0/0,""),preDEL!J194)</f>
        <v/>
      </c>
      <c r="K194" s="105" t="str">
        <f>IF(preDEL!$AG194,IFERROR(0/0,""),preDEL!K194)</f>
        <v>Positive</v>
      </c>
      <c r="L194" s="170">
        <f>IF(preDEL!$AG194,IFERROR(0/0,""),preDEL!L194)</f>
        <v>44579</v>
      </c>
      <c r="M194" s="171">
        <f>IF(preDEL!$AG194,IFERROR(0/0,""),preDEL!M194)</f>
        <v>0.5015856481</v>
      </c>
      <c r="N194" s="112" t="str">
        <f>IF(preDEL!$AG194,IFERROR(0/0,""),preDEL!N194)</f>
        <v/>
      </c>
      <c r="O194" s="112" t="str">
        <f>IF(preDEL!$AG194,IFERROR(0/0,""),preDEL!O194)</f>
        <v/>
      </c>
      <c r="P194" s="110" t="b">
        <f>IF(preDEL!$AG194,IFERROR(0/0,""),preDEL!P194)</f>
        <v>0</v>
      </c>
      <c r="Q194" s="110" t="str">
        <f>IF(preDEL!$AG194,IFERROR(0/0,""),preDEL!Q194)</f>
        <v>Result</v>
      </c>
      <c r="R194" s="104" t="b">
        <f>IF(preDEL!$AG194,IFERROR(0/0,""),preDEL!R194)</f>
        <v>1</v>
      </c>
      <c r="S194" s="104">
        <f>IF(preDEL!$AG194,IFERROR(0/0,""),preDEL!S194)</f>
        <v>1</v>
      </c>
      <c r="T194" s="110" t="str">
        <f>IF(preDEL!$AG194,IFERROR(0/0,""),preDEL!T194)</f>
        <v/>
      </c>
      <c r="U194" s="112" t="str">
        <f>IF(preDEL!$AG194,IFERROR(0/0,""),preDEL!U194)</f>
        <v/>
      </c>
      <c r="V194" s="105" t="str">
        <f>IF(preDEL!$AG194,IFERROR(0/0,""),preDEL!V194)</f>
        <v/>
      </c>
      <c r="W194" s="112" t="str">
        <f>IF(preDEL!$AG194,IFERROR(0/0,""),preDEL!W194)</f>
        <v/>
      </c>
      <c r="X194" s="104" t="b">
        <f>IF(preDEL!$AG194,IFERROR(0/0,""),preDEL!X194)</f>
        <v>0</v>
      </c>
      <c r="Y194" s="110" t="b">
        <f>IF(preDEL!$AG194,IFERROR(0/0,""),preDEL!Y194)</f>
        <v>0</v>
      </c>
      <c r="Z194" s="105" t="str">
        <f>IF(preDEL!$AG194,IFERROR(0/0,""),preDEL!Z194)</f>
        <v/>
      </c>
      <c r="AA194" s="110" t="b">
        <f>IF(preDEL!$AG194,IFERROR(0/0,""),preDEL!AA194)</f>
        <v>0</v>
      </c>
      <c r="AB194" s="110" t="b">
        <f>IF(preDEL!$AG194,IFERROR(0/0,""),preDEL!AB194)</f>
        <v>0</v>
      </c>
      <c r="AC194" s="172">
        <f>IF(preDEL!$AG194,IFERROR(0/0,""),preDEL!AC194)</f>
        <v>609</v>
      </c>
      <c r="AD194" s="104" t="b">
        <f>IF(preDEL!$AG194,IFERROR(0/0,""),preDEL!AD194)</f>
        <v>0</v>
      </c>
      <c r="AE194" s="173" t="str">
        <f>IF(preDEL!$AG194,IFERROR(0/0,""),preDEL!AE194)</f>
        <v/>
      </c>
      <c r="AF194" s="110" t="b">
        <f>IF(preDEL!$AG194,IFERROR(0/0,""),preDEL!AF194)</f>
        <v>0</v>
      </c>
      <c r="AG194" s="110" t="b">
        <f>IF(preDEL!$AG194,IFERROR(0/0,""),preDEL!AG194)</f>
        <v>0</v>
      </c>
      <c r="AH194" s="104" t="str">
        <f>IF(preDEL!$AG194,IFERROR(0/0,""),preDEL!AH194)</f>
        <v/>
      </c>
      <c r="AI194" s="105" t="str">
        <f>IF(preDEL!$AG194,IFERROR(0/0,""),preDEL!AI194)</f>
        <v/>
      </c>
      <c r="AJ194" s="112" t="str">
        <f>IF(preDEL!$AG194,IFERROR(0/0,""),preDEL!AJ194)</f>
        <v/>
      </c>
      <c r="AK194" s="105" t="str">
        <f>IF(preDEL!$AG194,IFERROR(0/0,""),preDEL!AK194)</f>
        <v>Positive</v>
      </c>
      <c r="AL194" s="112" t="str">
        <f>IF(preDEL!$AG194,IFERROR(0/0,""),preDEL!AL194)</f>
        <v/>
      </c>
      <c r="AM194" s="112" t="str">
        <f>IF(preDEL!$AG194,IFERROR(0/0,""),preDEL!AM194)</f>
        <v>SpBEND328905</v>
      </c>
      <c r="AN194" s="112" t="str">
        <f>IF(preDEL!$AG194,IFERROR(0/0,""),preDEL!AN194)</f>
        <v>BEND972161</v>
      </c>
      <c r="AO194" s="112" t="str">
        <f>IF(preDEL!$AG194,IFERROR(0/0,""),preDEL!AO194)</f>
        <v/>
      </c>
      <c r="AP194" s="112" t="str">
        <f>IF(preDEL!$AG194,IFERROR(0/0,""),preDEL!AP194)</f>
        <v/>
      </c>
      <c r="AQ194" s="112" t="str">
        <f>IF(preDEL!$AG194,IFERROR(0/0,""),preDEL!AQ194)</f>
        <v/>
      </c>
      <c r="AR194" s="112" t="str">
        <f>IF(preDEL!$AG194,IFERROR(0/0,""),preDEL!AR194)</f>
        <v/>
      </c>
      <c r="AS194" s="112" t="str">
        <f>IF(preDEL!$AG194,IFERROR(0/0,""),preDEL!AS194)</f>
        <v/>
      </c>
      <c r="AT194" s="112" t="b">
        <f>IF(preDEL!$AG194,IFERROR(0/0,""),preDEL!AT194)</f>
        <v>0</v>
      </c>
      <c r="AU194" s="112" t="str">
        <f>IF(preDEL!$AG194,IFERROR(0/0,""),preDEL!AU194)</f>
        <v/>
      </c>
      <c r="AV194" s="112" t="str">
        <f>IF(preDEL!$AG194,IFERROR(0/0,""),preDEL!AV194)</f>
        <v/>
      </c>
      <c r="AW194" s="112" t="str">
        <f>IF(preDEL!$AG194,IFERROR(0/0,""),preDEL!AW194)</f>
        <v/>
      </c>
      <c r="AX194" s="112" t="str">
        <f>IF(preDEL!$AG194,IFERROR(0/0,""),preDEL!AX194)</f>
        <v/>
      </c>
      <c r="AY194" s="112" t="str">
        <f>IF(preDEL!$AG194,IFERROR(0/0,""),preDEL!AY194)</f>
        <v/>
      </c>
      <c r="AZ194" s="174"/>
      <c r="BA194" s="174"/>
      <c r="BB194" s="174"/>
      <c r="BC194" s="174"/>
      <c r="BD194" s="174"/>
      <c r="BE194" s="174"/>
      <c r="BF194" s="174"/>
      <c r="BG194" s="174"/>
      <c r="BH194" s="174"/>
      <c r="BI194" s="174"/>
      <c r="BJ194" s="174"/>
      <c r="BK194" s="174"/>
      <c r="BL194" s="174"/>
      <c r="BM194" s="174"/>
      <c r="BN194" s="174"/>
      <c r="BO194" s="174"/>
      <c r="BP194" s="174"/>
      <c r="BQ194" s="174"/>
      <c r="BR194" s="174"/>
      <c r="BS194" s="174"/>
      <c r="BT194" s="174"/>
      <c r="BU194" s="174"/>
      <c r="BV194" s="174"/>
      <c r="BW194" s="174"/>
      <c r="BX194" s="174"/>
      <c r="BY194" s="174"/>
      <c r="BZ194" s="174"/>
      <c r="CA194" s="174"/>
      <c r="CB194" s="174"/>
      <c r="CC194" s="174"/>
      <c r="CD194" s="174"/>
    </row>
    <row r="195">
      <c r="A195" s="105" t="str">
        <f>IF(preDEL!$AG195,IFERROR(0/0,""),preDEL!A195)</f>
        <v/>
      </c>
      <c r="B195" s="170" t="str">
        <f>IF(preDEL!$AG195,IFERROR(0/0,""),preDEL!B195)</f>
        <v/>
      </c>
      <c r="C195" s="171" t="str">
        <f>IF(preDEL!$AG195,IFERROR(0/0,""),preDEL!C195)</f>
        <v/>
      </c>
      <c r="D195" s="105" t="str">
        <f>IF(preDEL!$AG195,IFERROR(0/0,""),preDEL!D195)</f>
        <v/>
      </c>
      <c r="E195" s="105" t="str">
        <f>IF(preDEL!$AG195,IFERROR(0/0,""),preDEL!E195)</f>
        <v/>
      </c>
      <c r="F195" s="112" t="str">
        <f>IF(preDEL!$AG195,IFERROR(0/0,""),preDEL!F195)</f>
        <v/>
      </c>
      <c r="G195" s="112" t="str">
        <f>IF(preDEL!$AG195,IFERROR(0/0,""),preDEL!G195)</f>
        <v/>
      </c>
      <c r="H195" s="112" t="str">
        <f>IF(preDEL!$AG195,IFERROR(0/0,""),preDEL!H195)</f>
        <v/>
      </c>
      <c r="I195" s="105" t="str">
        <f>IF(preDEL!$AG195,IFERROR(0/0,""),preDEL!I195)</f>
        <v/>
      </c>
      <c r="J195" s="105" t="str">
        <f>IF(preDEL!$AG195,IFERROR(0/0,""),preDEL!J195)</f>
        <v/>
      </c>
      <c r="K195" s="105" t="str">
        <f>IF(preDEL!$AG195,IFERROR(0/0,""),preDEL!K195)</f>
        <v/>
      </c>
      <c r="L195" s="170" t="str">
        <f>IF(preDEL!$AG195,IFERROR(0/0,""),preDEL!L195)</f>
        <v/>
      </c>
      <c r="M195" s="171" t="str">
        <f>IF(preDEL!$AG195,IFERROR(0/0,""),preDEL!M195)</f>
        <v/>
      </c>
      <c r="N195" s="112" t="str">
        <f>IF(preDEL!$AG195,IFERROR(0/0,""),preDEL!N195)</f>
        <v/>
      </c>
      <c r="O195" s="112" t="str">
        <f>IF(preDEL!$AG195,IFERROR(0/0,""),preDEL!O195)</f>
        <v/>
      </c>
      <c r="P195" s="110" t="str">
        <f>IF(preDEL!$AG195,IFERROR(0/0,""),preDEL!P195)</f>
        <v/>
      </c>
      <c r="Q195" s="110" t="str">
        <f>IF(preDEL!$AG195,IFERROR(0/0,""),preDEL!Q195)</f>
        <v/>
      </c>
      <c r="R195" s="104" t="str">
        <f>IF(preDEL!$AG195,IFERROR(0/0,""),preDEL!R195)</f>
        <v/>
      </c>
      <c r="S195" s="104" t="str">
        <f>IF(preDEL!$AG195,IFERROR(0/0,""),preDEL!S195)</f>
        <v/>
      </c>
      <c r="T195" s="110" t="str">
        <f>IF(preDEL!$AG195,IFERROR(0/0,""),preDEL!T195)</f>
        <v/>
      </c>
      <c r="U195" s="112" t="str">
        <f>IF(preDEL!$AG195,IFERROR(0/0,""),preDEL!U195)</f>
        <v/>
      </c>
      <c r="V195" s="105" t="str">
        <f>IF(preDEL!$AG195,IFERROR(0/0,""),preDEL!V195)</f>
        <v/>
      </c>
      <c r="W195" s="112" t="str">
        <f>IF(preDEL!$AG195,IFERROR(0/0,""),preDEL!W195)</f>
        <v/>
      </c>
      <c r="X195" s="104" t="str">
        <f>IF(preDEL!$AG195,IFERROR(0/0,""),preDEL!X195)</f>
        <v/>
      </c>
      <c r="Y195" s="110" t="str">
        <f>IF(preDEL!$AG195,IFERROR(0/0,""),preDEL!Y195)</f>
        <v/>
      </c>
      <c r="Z195" s="105" t="str">
        <f>IF(preDEL!$AG195,IFERROR(0/0,""),preDEL!Z195)</f>
        <v/>
      </c>
      <c r="AA195" s="110" t="str">
        <f>IF(preDEL!$AG195,IFERROR(0/0,""),preDEL!AA195)</f>
        <v/>
      </c>
      <c r="AB195" s="110" t="str">
        <f>IF(preDEL!$AG195,IFERROR(0/0,""),preDEL!AB195)</f>
        <v/>
      </c>
      <c r="AC195" s="172" t="str">
        <f>IF(preDEL!$AG195,IFERROR(0/0,""),preDEL!AC195)</f>
        <v/>
      </c>
      <c r="AD195" s="104" t="str">
        <f>IF(preDEL!$AG195,IFERROR(0/0,""),preDEL!AD195)</f>
        <v/>
      </c>
      <c r="AE195" s="173" t="str">
        <f>IF(preDEL!$AG195,IFERROR(0/0,""),preDEL!AE195)</f>
        <v/>
      </c>
      <c r="AF195" s="110" t="str">
        <f>IF(preDEL!$AG195,IFERROR(0/0,""),preDEL!AF195)</f>
        <v/>
      </c>
      <c r="AG195" s="110" t="str">
        <f>IF(preDEL!$AG195,IFERROR(0/0,""),preDEL!AG195)</f>
        <v/>
      </c>
      <c r="AH195" s="104" t="str">
        <f>IF(preDEL!$AG195,IFERROR(0/0,""),preDEL!AH195)</f>
        <v/>
      </c>
      <c r="AI195" s="105" t="str">
        <f>IF(preDEL!$AG195,IFERROR(0/0,""),preDEL!AI195)</f>
        <v/>
      </c>
      <c r="AJ195" s="112" t="str">
        <f>IF(preDEL!$AG195,IFERROR(0/0,""),preDEL!AJ195)</f>
        <v/>
      </c>
      <c r="AK195" s="105" t="str">
        <f>IF(preDEL!$AG195,IFERROR(0/0,""),preDEL!AK195)</f>
        <v/>
      </c>
      <c r="AL195" s="112" t="str">
        <f>IF(preDEL!$AG195,IFERROR(0/0,""),preDEL!AL195)</f>
        <v/>
      </c>
      <c r="AM195" s="112" t="str">
        <f>IF(preDEL!$AG195,IFERROR(0/0,""),preDEL!AM195)</f>
        <v/>
      </c>
      <c r="AN195" s="112" t="str">
        <f>IF(preDEL!$AG195,IFERROR(0/0,""),preDEL!AN195)</f>
        <v/>
      </c>
      <c r="AO195" s="112" t="str">
        <f>IF(preDEL!$AG195,IFERROR(0/0,""),preDEL!AO195)</f>
        <v/>
      </c>
      <c r="AP195" s="112" t="str">
        <f>IF(preDEL!$AG195,IFERROR(0/0,""),preDEL!AP195)</f>
        <v/>
      </c>
      <c r="AQ195" s="112" t="str">
        <f>IF(preDEL!$AG195,IFERROR(0/0,""),preDEL!AQ195)</f>
        <v/>
      </c>
      <c r="AR195" s="112" t="str">
        <f>IF(preDEL!$AG195,IFERROR(0/0,""),preDEL!AR195)</f>
        <v/>
      </c>
      <c r="AS195" s="112" t="str">
        <f>IF(preDEL!$AG195,IFERROR(0/0,""),preDEL!AS195)</f>
        <v/>
      </c>
      <c r="AT195" s="112" t="str">
        <f>IF(preDEL!$AG195,IFERROR(0/0,""),preDEL!AT195)</f>
        <v/>
      </c>
      <c r="AU195" s="112" t="str">
        <f>IF(preDEL!$AG195,IFERROR(0/0,""),preDEL!AU195)</f>
        <v/>
      </c>
      <c r="AV195" s="112" t="str">
        <f>IF(preDEL!$AG195,IFERROR(0/0,""),preDEL!AV195)</f>
        <v/>
      </c>
      <c r="AW195" s="112" t="str">
        <f>IF(preDEL!$AG195,IFERROR(0/0,""),preDEL!AW195)</f>
        <v/>
      </c>
      <c r="AX195" s="112" t="str">
        <f>IF(preDEL!$AG195,IFERROR(0/0,""),preDEL!AX195)</f>
        <v/>
      </c>
      <c r="AY195" s="112" t="str">
        <f>IF(preDEL!$AG195,IFERROR(0/0,""),preDEL!AY195)</f>
        <v/>
      </c>
      <c r="AZ195" s="174"/>
      <c r="BA195" s="174"/>
      <c r="BB195" s="174"/>
      <c r="BC195" s="174"/>
      <c r="BD195" s="174"/>
      <c r="BE195" s="174"/>
      <c r="BF195" s="174"/>
      <c r="BG195" s="174"/>
      <c r="BH195" s="174"/>
      <c r="BI195" s="174"/>
      <c r="BJ195" s="174"/>
      <c r="BK195" s="174"/>
      <c r="BL195" s="174"/>
      <c r="BM195" s="174"/>
      <c r="BN195" s="174"/>
      <c r="BO195" s="174"/>
      <c r="BP195" s="174"/>
      <c r="BQ195" s="174"/>
      <c r="BR195" s="174"/>
      <c r="BS195" s="174"/>
      <c r="BT195" s="174"/>
      <c r="BU195" s="174"/>
      <c r="BV195" s="174"/>
      <c r="BW195" s="174"/>
      <c r="BX195" s="174"/>
      <c r="BY195" s="174"/>
      <c r="BZ195" s="174"/>
      <c r="CA195" s="174"/>
      <c r="CB195" s="174"/>
      <c r="CC195" s="174"/>
      <c r="CD195" s="174"/>
    </row>
    <row r="196">
      <c r="A196" s="105" t="str">
        <f>IF(preDEL!$AG196,IFERROR(0/0,""),preDEL!A196)</f>
        <v>MA1092</v>
      </c>
      <c r="B196" s="170">
        <f>IF(preDEL!$AG196,IFERROR(0/0,""),preDEL!B196)</f>
        <v>44574</v>
      </c>
      <c r="C196" s="171">
        <f>IF(preDEL!$AG196,IFERROR(0/0,""),preDEL!C196)</f>
        <v>0.6161342593</v>
      </c>
      <c r="D196" s="105" t="str">
        <f>IF(preDEL!$AG196,IFERROR(0/0,""),preDEL!D196)</f>
        <v/>
      </c>
      <c r="E196" s="105" t="str">
        <f>IF(preDEL!$AG196,IFERROR(0/0,""),preDEL!E196)</f>
        <v/>
      </c>
      <c r="F196" s="112" t="str">
        <f>IF(preDEL!$AG196,IFERROR(0/0,""),preDEL!F196)</f>
        <v/>
      </c>
      <c r="G196" s="112" t="str">
        <f>IF(preDEL!$AG196,IFERROR(0/0,""),preDEL!G196)</f>
        <v/>
      </c>
      <c r="H196" s="112" t="str">
        <f>IF(preDEL!$AG196,IFERROR(0/0,""),preDEL!H196)</f>
        <v/>
      </c>
      <c r="I196" s="105" t="str">
        <f>IF(preDEL!$AG196,IFERROR(0/0,""),preDEL!I196)</f>
        <v/>
      </c>
      <c r="J196" s="105" t="str">
        <f>IF(preDEL!$AG196,IFERROR(0/0,""),preDEL!J196)</f>
        <v/>
      </c>
      <c r="K196" s="105" t="str">
        <f>IF(preDEL!$AG196,IFERROR(0/0,""),preDEL!K196)</f>
        <v>Positive</v>
      </c>
      <c r="L196" s="170">
        <f>IF(preDEL!$AG196,IFERROR(0/0,""),preDEL!L196)</f>
        <v>44579</v>
      </c>
      <c r="M196" s="171">
        <f>IF(preDEL!$AG196,IFERROR(0/0,""),preDEL!M196)</f>
        <v>0.5015856481</v>
      </c>
      <c r="N196" s="112" t="str">
        <f>IF(preDEL!$AG196,IFERROR(0/0,""),preDEL!N196)</f>
        <v/>
      </c>
      <c r="O196" s="112" t="str">
        <f>IF(preDEL!$AG196,IFERROR(0/0,""),preDEL!O196)</f>
        <v/>
      </c>
      <c r="P196" s="110" t="b">
        <f>IF(preDEL!$AG196,IFERROR(0/0,""),preDEL!P196)</f>
        <v>0</v>
      </c>
      <c r="Q196" s="110" t="str">
        <f>IF(preDEL!$AG196,IFERROR(0/0,""),preDEL!Q196)</f>
        <v>Result</v>
      </c>
      <c r="R196" s="104" t="b">
        <f>IF(preDEL!$AG196,IFERROR(0/0,""),preDEL!R196)</f>
        <v>1</v>
      </c>
      <c r="S196" s="104">
        <f>IF(preDEL!$AG196,IFERROR(0/0,""),preDEL!S196)</f>
        <v>1</v>
      </c>
      <c r="T196" s="110" t="str">
        <f>IF(preDEL!$AG196,IFERROR(0/0,""),preDEL!T196)</f>
        <v/>
      </c>
      <c r="U196" s="112" t="str">
        <f>IF(preDEL!$AG196,IFERROR(0/0,""),preDEL!U196)</f>
        <v/>
      </c>
      <c r="V196" s="105" t="str">
        <f>IF(preDEL!$AG196,IFERROR(0/0,""),preDEL!V196)</f>
        <v/>
      </c>
      <c r="W196" s="112" t="str">
        <f>IF(preDEL!$AG196,IFERROR(0/0,""),preDEL!W196)</f>
        <v/>
      </c>
      <c r="X196" s="104" t="b">
        <f>IF(preDEL!$AG196,IFERROR(0/0,""),preDEL!X196)</f>
        <v>0</v>
      </c>
      <c r="Y196" s="110" t="b">
        <f>IF(preDEL!$AG196,IFERROR(0/0,""),preDEL!Y196)</f>
        <v>0</v>
      </c>
      <c r="Z196" s="105" t="str">
        <f>IF(preDEL!$AG196,IFERROR(0/0,""),preDEL!Z196)</f>
        <v/>
      </c>
      <c r="AA196" s="110" t="b">
        <f>IF(preDEL!$AG196,IFERROR(0/0,""),preDEL!AA196)</f>
        <v>0</v>
      </c>
      <c r="AB196" s="110" t="b">
        <f>IF(preDEL!$AG196,IFERROR(0/0,""),preDEL!AB196)</f>
        <v>0</v>
      </c>
      <c r="AC196" s="172">
        <f>IF(preDEL!$AG196,IFERROR(0/0,""),preDEL!AC196)</f>
        <v>608</v>
      </c>
      <c r="AD196" s="104" t="b">
        <f>IF(preDEL!$AG196,IFERROR(0/0,""),preDEL!AD196)</f>
        <v>0</v>
      </c>
      <c r="AE196" s="173" t="str">
        <f>IF(preDEL!$AG196,IFERROR(0/0,""),preDEL!AE196)</f>
        <v/>
      </c>
      <c r="AF196" s="110" t="b">
        <f>IF(preDEL!$AG196,IFERROR(0/0,""),preDEL!AF196)</f>
        <v>0</v>
      </c>
      <c r="AG196" s="110" t="b">
        <f>IF(preDEL!$AG196,IFERROR(0/0,""),preDEL!AG196)</f>
        <v>0</v>
      </c>
      <c r="AH196" s="104" t="str">
        <f>IF(preDEL!$AG196,IFERROR(0/0,""),preDEL!AH196)</f>
        <v/>
      </c>
      <c r="AI196" s="105" t="str">
        <f>IF(preDEL!$AG196,IFERROR(0/0,""),preDEL!AI196)</f>
        <v/>
      </c>
      <c r="AJ196" s="112" t="str">
        <f>IF(preDEL!$AG196,IFERROR(0/0,""),preDEL!AJ196)</f>
        <v/>
      </c>
      <c r="AK196" s="105" t="str">
        <f>IF(preDEL!$AG196,IFERROR(0/0,""),preDEL!AK196)</f>
        <v>Positive</v>
      </c>
      <c r="AL196" s="112" t="str">
        <f>IF(preDEL!$AG196,IFERROR(0/0,""),preDEL!AL196)</f>
        <v/>
      </c>
      <c r="AM196" s="112" t="str">
        <f>IF(preDEL!$AG196,IFERROR(0/0,""),preDEL!AM196)</f>
        <v>SpBEND328905</v>
      </c>
      <c r="AN196" s="112" t="str">
        <f>IF(preDEL!$AG196,IFERROR(0/0,""),preDEL!AN196)</f>
        <v>BEND373460</v>
      </c>
      <c r="AO196" s="112" t="str">
        <f>IF(preDEL!$AG196,IFERROR(0/0,""),preDEL!AO196)</f>
        <v/>
      </c>
      <c r="AP196" s="112" t="str">
        <f>IF(preDEL!$AG196,IFERROR(0/0,""),preDEL!AP196)</f>
        <v/>
      </c>
      <c r="AQ196" s="112" t="str">
        <f>IF(preDEL!$AG196,IFERROR(0/0,""),preDEL!AQ196)</f>
        <v/>
      </c>
      <c r="AR196" s="112" t="str">
        <f>IF(preDEL!$AG196,IFERROR(0/0,""),preDEL!AR196)</f>
        <v/>
      </c>
      <c r="AS196" s="112" t="str">
        <f>IF(preDEL!$AG196,IFERROR(0/0,""),preDEL!AS196)</f>
        <v/>
      </c>
      <c r="AT196" s="112" t="b">
        <f>IF(preDEL!$AG196,IFERROR(0/0,""),preDEL!AT196)</f>
        <v>0</v>
      </c>
      <c r="AU196" s="112" t="str">
        <f>IF(preDEL!$AG196,IFERROR(0/0,""),preDEL!AU196)</f>
        <v/>
      </c>
      <c r="AV196" s="112" t="str">
        <f>IF(preDEL!$AG196,IFERROR(0/0,""),preDEL!AV196)</f>
        <v/>
      </c>
      <c r="AW196" s="112" t="str">
        <f>IF(preDEL!$AG196,IFERROR(0/0,""),preDEL!AW196)</f>
        <v/>
      </c>
      <c r="AX196" s="112" t="str">
        <f>IF(preDEL!$AG196,IFERROR(0/0,""),preDEL!AX196)</f>
        <v/>
      </c>
      <c r="AY196" s="112" t="str">
        <f>IF(preDEL!$AG196,IFERROR(0/0,""),preDEL!AY196)</f>
        <v/>
      </c>
      <c r="AZ196" s="174"/>
      <c r="BA196" s="174"/>
      <c r="BB196" s="174"/>
      <c r="BC196" s="174"/>
      <c r="BD196" s="174"/>
      <c r="BE196" s="174"/>
      <c r="BF196" s="174"/>
      <c r="BG196" s="174"/>
      <c r="BH196" s="174"/>
      <c r="BI196" s="174"/>
      <c r="BJ196" s="174"/>
      <c r="BK196" s="174"/>
      <c r="BL196" s="174"/>
      <c r="BM196" s="174"/>
      <c r="BN196" s="174"/>
      <c r="BO196" s="174"/>
      <c r="BP196" s="174"/>
      <c r="BQ196" s="174"/>
      <c r="BR196" s="174"/>
      <c r="BS196" s="174"/>
      <c r="BT196" s="174"/>
      <c r="BU196" s="174"/>
      <c r="BV196" s="174"/>
      <c r="BW196" s="174"/>
      <c r="BX196" s="174"/>
      <c r="BY196" s="174"/>
      <c r="BZ196" s="174"/>
      <c r="CA196" s="174"/>
      <c r="CB196" s="174"/>
      <c r="CC196" s="174"/>
      <c r="CD196" s="174"/>
    </row>
    <row r="197">
      <c r="A197" s="105" t="str">
        <f>IF(preDEL!$AG197,IFERROR(0/0,""),preDEL!A197)</f>
        <v>MA1042</v>
      </c>
      <c r="B197" s="170">
        <f>IF(preDEL!$AG197,IFERROR(0/0,""),preDEL!B197)</f>
        <v>44574</v>
      </c>
      <c r="C197" s="171">
        <f>IF(preDEL!$AG197,IFERROR(0/0,""),preDEL!C197)</f>
        <v>0.6712731481</v>
      </c>
      <c r="D197" s="105" t="str">
        <f>IF(preDEL!$AG197,IFERROR(0/0,""),preDEL!D197)</f>
        <v/>
      </c>
      <c r="E197" s="105" t="str">
        <f>IF(preDEL!$AG197,IFERROR(0/0,""),preDEL!E197)</f>
        <v/>
      </c>
      <c r="F197" s="112" t="str">
        <f>IF(preDEL!$AG197,IFERROR(0/0,""),preDEL!F197)</f>
        <v/>
      </c>
      <c r="G197" s="112" t="str">
        <f>IF(preDEL!$AG197,IFERROR(0/0,""),preDEL!G197)</f>
        <v/>
      </c>
      <c r="H197" s="112" t="str">
        <f>IF(preDEL!$AG197,IFERROR(0/0,""),preDEL!H197)</f>
        <v/>
      </c>
      <c r="I197" s="105" t="str">
        <f>IF(preDEL!$AG197,IFERROR(0/0,""),preDEL!I197)</f>
        <v/>
      </c>
      <c r="J197" s="105" t="str">
        <f>IF(preDEL!$AG197,IFERROR(0/0,""),preDEL!J197)</f>
        <v/>
      </c>
      <c r="K197" s="105" t="str">
        <f>IF(preDEL!$AG197,IFERROR(0/0,""),preDEL!K197)</f>
        <v>Negative</v>
      </c>
      <c r="L197" s="170">
        <f>IF(preDEL!$AG197,IFERROR(0/0,""),preDEL!L197)</f>
        <v>44575</v>
      </c>
      <c r="M197" s="171">
        <f>IF(preDEL!$AG197,IFERROR(0/0,""),preDEL!M197)</f>
        <v>0.4820486111</v>
      </c>
      <c r="N197" s="112" t="str">
        <f>IF(preDEL!$AG197,IFERROR(0/0,""),preDEL!N197)</f>
        <v/>
      </c>
      <c r="O197" s="112" t="str">
        <f>IF(preDEL!$AG197,IFERROR(0/0,""),preDEL!O197)</f>
        <v/>
      </c>
      <c r="P197" s="110" t="b">
        <f>IF(preDEL!$AG197,IFERROR(0/0,""),preDEL!P197)</f>
        <v>0</v>
      </c>
      <c r="Q197" s="110" t="str">
        <f>IF(preDEL!$AG197,IFERROR(0/0,""),preDEL!Q197)</f>
        <v>Result</v>
      </c>
      <c r="R197" s="104" t="b">
        <f>IF(preDEL!$AG197,IFERROR(0/0,""),preDEL!R197)</f>
        <v>1</v>
      </c>
      <c r="S197" s="104">
        <f>IF(preDEL!$AG197,IFERROR(0/0,""),preDEL!S197)</f>
        <v>1</v>
      </c>
      <c r="T197" s="110">
        <f>IF(preDEL!$AG197,IFERROR(0/0,""),preDEL!T197)</f>
        <v>0</v>
      </c>
      <c r="U197" s="112" t="str">
        <f>IF(preDEL!$AG197,IFERROR(0/0,""),preDEL!U197)</f>
        <v/>
      </c>
      <c r="V197" s="105" t="str">
        <f>IF(preDEL!$AG197,IFERROR(0/0,""),preDEL!V197)</f>
        <v/>
      </c>
      <c r="W197" s="112" t="str">
        <f>IF(preDEL!$AG197,IFERROR(0/0,""),preDEL!W197)</f>
        <v/>
      </c>
      <c r="X197" s="104" t="b">
        <f>IF(preDEL!$AG197,IFERROR(0/0,""),preDEL!X197)</f>
        <v>0</v>
      </c>
      <c r="Y197" s="110" t="b">
        <f>IF(preDEL!$AG197,IFERROR(0/0,""),preDEL!Y197)</f>
        <v>0</v>
      </c>
      <c r="Z197" s="105" t="str">
        <f>IF(preDEL!$AG197,IFERROR(0/0,""),preDEL!Z197)</f>
        <v/>
      </c>
      <c r="AA197" s="110" t="b">
        <f>IF(preDEL!$AG197,IFERROR(0/0,""),preDEL!AA197)</f>
        <v>0</v>
      </c>
      <c r="AB197" s="110" t="b">
        <f>IF(preDEL!$AG197,IFERROR(0/0,""),preDEL!AB197)</f>
        <v>0</v>
      </c>
      <c r="AC197" s="172">
        <f>IF(preDEL!$AG197,IFERROR(0/0,""),preDEL!AC197)</f>
        <v>607</v>
      </c>
      <c r="AD197" s="104" t="b">
        <f>IF(preDEL!$AG197,IFERROR(0/0,""),preDEL!AD197)</f>
        <v>0</v>
      </c>
      <c r="AE197" s="173" t="str">
        <f>IF(preDEL!$AG197,IFERROR(0/0,""),preDEL!AE197)</f>
        <v/>
      </c>
      <c r="AF197" s="110" t="b">
        <f>IF(preDEL!$AG197,IFERROR(0/0,""),preDEL!AF197)</f>
        <v>0</v>
      </c>
      <c r="AG197" s="110" t="b">
        <f>IF(preDEL!$AG197,IFERROR(0/0,""),preDEL!AG197)</f>
        <v>0</v>
      </c>
      <c r="AH197" s="104" t="str">
        <f>IF(preDEL!$AG197,IFERROR(0/0,""),preDEL!AH197)</f>
        <v/>
      </c>
      <c r="AI197" s="105" t="str">
        <f>IF(preDEL!$AG197,IFERROR(0/0,""),preDEL!AI197)</f>
        <v/>
      </c>
      <c r="AJ197" s="112" t="str">
        <f>IF(preDEL!$AG197,IFERROR(0/0,""),preDEL!AJ197)</f>
        <v/>
      </c>
      <c r="AK197" s="105" t="str">
        <f>IF(preDEL!$AG197,IFERROR(0/0,""),preDEL!AK197)</f>
        <v>Negative</v>
      </c>
      <c r="AL197" s="112" t="str">
        <f>IF(preDEL!$AG197,IFERROR(0/0,""),preDEL!AL197)</f>
        <v/>
      </c>
      <c r="AM197" s="112" t="str">
        <f>IF(preDEL!$AG197,IFERROR(0/0,""),preDEL!AM197)</f>
        <v>SpBEND198321</v>
      </c>
      <c r="AN197" s="112" t="str">
        <f>IF(preDEL!$AG197,IFERROR(0/0,""),preDEL!AN197)</f>
        <v>BEND915976</v>
      </c>
      <c r="AO197" s="112" t="str">
        <f>IF(preDEL!$AG197,IFERROR(0/0,""),preDEL!AO197)</f>
        <v/>
      </c>
      <c r="AP197" s="112" t="str">
        <f>IF(preDEL!$AG197,IFERROR(0/0,""),preDEL!AP197)</f>
        <v/>
      </c>
      <c r="AQ197" s="112" t="str">
        <f>IF(preDEL!$AG197,IFERROR(0/0,""),preDEL!AQ197)</f>
        <v/>
      </c>
      <c r="AR197" s="112" t="str">
        <f>IF(preDEL!$AG197,IFERROR(0/0,""),preDEL!AR197)</f>
        <v/>
      </c>
      <c r="AS197" s="112" t="str">
        <f>IF(preDEL!$AG197,IFERROR(0/0,""),preDEL!AS197)</f>
        <v/>
      </c>
      <c r="AT197" s="112" t="b">
        <f>IF(preDEL!$AG197,IFERROR(0/0,""),preDEL!AT197)</f>
        <v>0</v>
      </c>
      <c r="AU197" s="112" t="str">
        <f>IF(preDEL!$AG197,IFERROR(0/0,""),preDEL!AU197)</f>
        <v/>
      </c>
      <c r="AV197" s="112" t="str">
        <f>IF(preDEL!$AG197,IFERROR(0/0,""),preDEL!AV197)</f>
        <v/>
      </c>
      <c r="AW197" s="112" t="str">
        <f>IF(preDEL!$AG197,IFERROR(0/0,""),preDEL!AW197)</f>
        <v/>
      </c>
      <c r="AX197" s="112" t="str">
        <f>IF(preDEL!$AG197,IFERROR(0/0,""),preDEL!AX197)</f>
        <v/>
      </c>
      <c r="AY197" s="112" t="str">
        <f>IF(preDEL!$AG197,IFERROR(0/0,""),preDEL!AY197)</f>
        <v/>
      </c>
      <c r="AZ197" s="174"/>
      <c r="BA197" s="174"/>
      <c r="BB197" s="174"/>
      <c r="BC197" s="174"/>
      <c r="BD197" s="174"/>
      <c r="BE197" s="174"/>
      <c r="BF197" s="174"/>
      <c r="BG197" s="174"/>
      <c r="BH197" s="174"/>
      <c r="BI197" s="174"/>
      <c r="BJ197" s="174"/>
      <c r="BK197" s="174"/>
      <c r="BL197" s="174"/>
      <c r="BM197" s="174"/>
      <c r="BN197" s="174"/>
      <c r="BO197" s="174"/>
      <c r="BP197" s="174"/>
      <c r="BQ197" s="174"/>
      <c r="BR197" s="174"/>
      <c r="BS197" s="174"/>
      <c r="BT197" s="174"/>
      <c r="BU197" s="174"/>
      <c r="BV197" s="174"/>
      <c r="BW197" s="174"/>
      <c r="BX197" s="174"/>
      <c r="BY197" s="174"/>
      <c r="BZ197" s="174"/>
      <c r="CA197" s="174"/>
      <c r="CB197" s="174"/>
      <c r="CC197" s="174"/>
      <c r="CD197" s="174"/>
    </row>
    <row r="198">
      <c r="A198" s="105" t="str">
        <f>IF(preDEL!$AG198,IFERROR(0/0,""),preDEL!A198)</f>
        <v>MA1112</v>
      </c>
      <c r="B198" s="170">
        <f>IF(preDEL!$AG198,IFERROR(0/0,""),preDEL!B198)</f>
        <v>44574</v>
      </c>
      <c r="C198" s="171">
        <f>IF(preDEL!$AG198,IFERROR(0/0,""),preDEL!C198)</f>
        <v>0.8485069444</v>
      </c>
      <c r="D198" s="105" t="str">
        <f>IF(preDEL!$AG198,IFERROR(0/0,""),preDEL!D198)</f>
        <v/>
      </c>
      <c r="E198" s="105" t="str">
        <f>IF(preDEL!$AG198,IFERROR(0/0,""),preDEL!E198)</f>
        <v/>
      </c>
      <c r="F198" s="112" t="str">
        <f>IF(preDEL!$AG198,IFERROR(0/0,""),preDEL!F198)</f>
        <v/>
      </c>
      <c r="G198" s="112" t="str">
        <f>IF(preDEL!$AG198,IFERROR(0/0,""),preDEL!G198)</f>
        <v/>
      </c>
      <c r="H198" s="112" t="str">
        <f>IF(preDEL!$AG198,IFERROR(0/0,""),preDEL!H198)</f>
        <v/>
      </c>
      <c r="I198" s="105" t="str">
        <f>IF(preDEL!$AG198,IFERROR(0/0,""),preDEL!I198)</f>
        <v/>
      </c>
      <c r="J198" s="105" t="str">
        <f>IF(preDEL!$AG198,IFERROR(0/0,""),preDEL!J198)</f>
        <v/>
      </c>
      <c r="K198" s="105" t="str">
        <f>IF(preDEL!$AG198,IFERROR(0/0,""),preDEL!K198)</f>
        <v>Negative</v>
      </c>
      <c r="L198" s="170">
        <f>IF(preDEL!$AG198,IFERROR(0/0,""),preDEL!L198)</f>
        <v>44575</v>
      </c>
      <c r="M198" s="171">
        <f>IF(preDEL!$AG198,IFERROR(0/0,""),preDEL!M198)</f>
        <v>0.4820486111</v>
      </c>
      <c r="N198" s="112" t="str">
        <f>IF(preDEL!$AG198,IFERROR(0/0,""),preDEL!N198)</f>
        <v/>
      </c>
      <c r="O198" s="112" t="str">
        <f>IF(preDEL!$AG198,IFERROR(0/0,""),preDEL!O198)</f>
        <v/>
      </c>
      <c r="P198" s="110" t="b">
        <f>IF(preDEL!$AG198,IFERROR(0/0,""),preDEL!P198)</f>
        <v>0</v>
      </c>
      <c r="Q198" s="110" t="str">
        <f>IF(preDEL!$AG198,IFERROR(0/0,""),preDEL!Q198)</f>
        <v>Result</v>
      </c>
      <c r="R198" s="104" t="b">
        <f>IF(preDEL!$AG198,IFERROR(0/0,""),preDEL!R198)</f>
        <v>1</v>
      </c>
      <c r="S198" s="104">
        <f>IF(preDEL!$AG198,IFERROR(0/0,""),preDEL!S198)</f>
        <v>1</v>
      </c>
      <c r="T198" s="110" t="str">
        <f>IF(preDEL!$AG198,IFERROR(0/0,""),preDEL!T198)</f>
        <v/>
      </c>
      <c r="U198" s="112" t="str">
        <f>IF(preDEL!$AG198,IFERROR(0/0,""),preDEL!U198)</f>
        <v/>
      </c>
      <c r="V198" s="105" t="str">
        <f>IF(preDEL!$AG198,IFERROR(0/0,""),preDEL!V198)</f>
        <v/>
      </c>
      <c r="W198" s="112" t="str">
        <f>IF(preDEL!$AG198,IFERROR(0/0,""),preDEL!W198)</f>
        <v/>
      </c>
      <c r="X198" s="104" t="b">
        <f>IF(preDEL!$AG198,IFERROR(0/0,""),preDEL!X198)</f>
        <v>0</v>
      </c>
      <c r="Y198" s="110" t="b">
        <f>IF(preDEL!$AG198,IFERROR(0/0,""),preDEL!Y198)</f>
        <v>0</v>
      </c>
      <c r="Z198" s="105" t="str">
        <f>IF(preDEL!$AG198,IFERROR(0/0,""),preDEL!Z198)</f>
        <v/>
      </c>
      <c r="AA198" s="110" t="b">
        <f>IF(preDEL!$AG198,IFERROR(0/0,""),preDEL!AA198)</f>
        <v>0</v>
      </c>
      <c r="AB198" s="110" t="b">
        <f>IF(preDEL!$AG198,IFERROR(0/0,""),preDEL!AB198)</f>
        <v>0</v>
      </c>
      <c r="AC198" s="172">
        <f>IF(preDEL!$AG198,IFERROR(0/0,""),preDEL!AC198)</f>
        <v>606</v>
      </c>
      <c r="AD198" s="104" t="b">
        <f>IF(preDEL!$AG198,IFERROR(0/0,""),preDEL!AD198)</f>
        <v>0</v>
      </c>
      <c r="AE198" s="173" t="str">
        <f>IF(preDEL!$AG198,IFERROR(0/0,""),preDEL!AE198)</f>
        <v/>
      </c>
      <c r="AF198" s="110" t="b">
        <f>IF(preDEL!$AG198,IFERROR(0/0,""),preDEL!AF198)</f>
        <v>0</v>
      </c>
      <c r="AG198" s="110" t="b">
        <f>IF(preDEL!$AG198,IFERROR(0/0,""),preDEL!AG198)</f>
        <v>0</v>
      </c>
      <c r="AH198" s="104" t="str">
        <f>IF(preDEL!$AG198,IFERROR(0/0,""),preDEL!AH198)</f>
        <v/>
      </c>
      <c r="AI198" s="105" t="str">
        <f>IF(preDEL!$AG198,IFERROR(0/0,""),preDEL!AI198)</f>
        <v/>
      </c>
      <c r="AJ198" s="112" t="str">
        <f>IF(preDEL!$AG198,IFERROR(0/0,""),preDEL!AJ198)</f>
        <v/>
      </c>
      <c r="AK198" s="105" t="str">
        <f>IF(preDEL!$AG198,IFERROR(0/0,""),preDEL!AK198)</f>
        <v>Negative</v>
      </c>
      <c r="AL198" s="112" t="str">
        <f>IF(preDEL!$AG198,IFERROR(0/0,""),preDEL!AL198)</f>
        <v/>
      </c>
      <c r="AM198" s="112" t="str">
        <f>IF(preDEL!$AG198,IFERROR(0/0,""),preDEL!AM198)</f>
        <v>SpBEND528248</v>
      </c>
      <c r="AN198" s="112" t="str">
        <f>IF(preDEL!$AG198,IFERROR(0/0,""),preDEL!AN198)</f>
        <v>BEND229530</v>
      </c>
      <c r="AO198" s="112" t="str">
        <f>IF(preDEL!$AG198,IFERROR(0/0,""),preDEL!AO198)</f>
        <v/>
      </c>
      <c r="AP198" s="112" t="str">
        <f>IF(preDEL!$AG198,IFERROR(0/0,""),preDEL!AP198)</f>
        <v/>
      </c>
      <c r="AQ198" s="112" t="str">
        <f>IF(preDEL!$AG198,IFERROR(0/0,""),preDEL!AQ198)</f>
        <v/>
      </c>
      <c r="AR198" s="112" t="str">
        <f>IF(preDEL!$AG198,IFERROR(0/0,""),preDEL!AR198)</f>
        <v/>
      </c>
      <c r="AS198" s="112" t="str">
        <f>IF(preDEL!$AG198,IFERROR(0/0,""),preDEL!AS198)</f>
        <v/>
      </c>
      <c r="AT198" s="112" t="b">
        <f>IF(preDEL!$AG198,IFERROR(0/0,""),preDEL!AT198)</f>
        <v>0</v>
      </c>
      <c r="AU198" s="112" t="str">
        <f>IF(preDEL!$AG198,IFERROR(0/0,""),preDEL!AU198)</f>
        <v/>
      </c>
      <c r="AV198" s="112" t="str">
        <f>IF(preDEL!$AG198,IFERROR(0/0,""),preDEL!AV198)</f>
        <v/>
      </c>
      <c r="AW198" s="112" t="str">
        <f>IF(preDEL!$AG198,IFERROR(0/0,""),preDEL!AW198)</f>
        <v/>
      </c>
      <c r="AX198" s="112" t="str">
        <f>IF(preDEL!$AG198,IFERROR(0/0,""),preDEL!AX198)</f>
        <v/>
      </c>
      <c r="AY198" s="112" t="str">
        <f>IF(preDEL!$AG198,IFERROR(0/0,""),preDEL!AY198)</f>
        <v/>
      </c>
      <c r="AZ198" s="174"/>
      <c r="BA198" s="174"/>
      <c r="BB198" s="174"/>
      <c r="BC198" s="174"/>
      <c r="BD198" s="174"/>
      <c r="BE198" s="174"/>
      <c r="BF198" s="174"/>
      <c r="BG198" s="174"/>
      <c r="BH198" s="174"/>
      <c r="BI198" s="174"/>
      <c r="BJ198" s="174"/>
      <c r="BK198" s="174"/>
      <c r="BL198" s="174"/>
      <c r="BM198" s="174"/>
      <c r="BN198" s="174"/>
      <c r="BO198" s="174"/>
      <c r="BP198" s="174"/>
      <c r="BQ198" s="174"/>
      <c r="BR198" s="174"/>
      <c r="BS198" s="174"/>
      <c r="BT198" s="174"/>
      <c r="BU198" s="174"/>
      <c r="BV198" s="174"/>
      <c r="BW198" s="174"/>
      <c r="BX198" s="174"/>
      <c r="BY198" s="174"/>
      <c r="BZ198" s="174"/>
      <c r="CA198" s="174"/>
      <c r="CB198" s="174"/>
      <c r="CC198" s="174"/>
      <c r="CD198" s="174"/>
    </row>
    <row r="199">
      <c r="A199" s="105" t="str">
        <f>IF(preDEL!$AG199,IFERROR(0/0,""),preDEL!A199)</f>
        <v>MA1056</v>
      </c>
      <c r="B199" s="170">
        <f>IF(preDEL!$AG199,IFERROR(0/0,""),preDEL!B199)</f>
        <v>44574</v>
      </c>
      <c r="C199" s="171">
        <f>IF(preDEL!$AG199,IFERROR(0/0,""),preDEL!C199)</f>
        <v>0.8491666667</v>
      </c>
      <c r="D199" s="105" t="str">
        <f>IF(preDEL!$AG199,IFERROR(0/0,""),preDEL!D199)</f>
        <v/>
      </c>
      <c r="E199" s="105" t="str">
        <f>IF(preDEL!$AG199,IFERROR(0/0,""),preDEL!E199)</f>
        <v/>
      </c>
      <c r="F199" s="112" t="str">
        <f>IF(preDEL!$AG199,IFERROR(0/0,""),preDEL!F199)</f>
        <v/>
      </c>
      <c r="G199" s="112" t="str">
        <f>IF(preDEL!$AG199,IFERROR(0/0,""),preDEL!G199)</f>
        <v/>
      </c>
      <c r="H199" s="112" t="str">
        <f>IF(preDEL!$AG199,IFERROR(0/0,""),preDEL!H199)</f>
        <v/>
      </c>
      <c r="I199" s="105" t="str">
        <f>IF(preDEL!$AG199,IFERROR(0/0,""),preDEL!I199)</f>
        <v/>
      </c>
      <c r="J199" s="105" t="str">
        <f>IF(preDEL!$AG199,IFERROR(0/0,""),preDEL!J199)</f>
        <v/>
      </c>
      <c r="K199" s="105" t="str">
        <f>IF(preDEL!$AG199,IFERROR(0/0,""),preDEL!K199)</f>
        <v>Negative</v>
      </c>
      <c r="L199" s="170">
        <f>IF(preDEL!$AG199,IFERROR(0/0,""),preDEL!L199)</f>
        <v>44575</v>
      </c>
      <c r="M199" s="171">
        <f>IF(preDEL!$AG199,IFERROR(0/0,""),preDEL!M199)</f>
        <v>0.4820601852</v>
      </c>
      <c r="N199" s="112" t="str">
        <f>IF(preDEL!$AG199,IFERROR(0/0,""),preDEL!N199)</f>
        <v/>
      </c>
      <c r="O199" s="112" t="str">
        <f>IF(preDEL!$AG199,IFERROR(0/0,""),preDEL!O199)</f>
        <v/>
      </c>
      <c r="P199" s="110" t="b">
        <f>IF(preDEL!$AG199,IFERROR(0/0,""),preDEL!P199)</f>
        <v>0</v>
      </c>
      <c r="Q199" s="110" t="str">
        <f>IF(preDEL!$AG199,IFERROR(0/0,""),preDEL!Q199)</f>
        <v>Result</v>
      </c>
      <c r="R199" s="104" t="b">
        <f>IF(preDEL!$AG199,IFERROR(0/0,""),preDEL!R199)</f>
        <v>1</v>
      </c>
      <c r="S199" s="104">
        <f>IF(preDEL!$AG199,IFERROR(0/0,""),preDEL!S199)</f>
        <v>1</v>
      </c>
      <c r="T199" s="110">
        <f>IF(preDEL!$AG199,IFERROR(0/0,""),preDEL!T199)</f>
        <v>0</v>
      </c>
      <c r="U199" s="112" t="str">
        <f>IF(preDEL!$AG199,IFERROR(0/0,""),preDEL!U199)</f>
        <v/>
      </c>
      <c r="V199" s="105" t="str">
        <f>IF(preDEL!$AG199,IFERROR(0/0,""),preDEL!V199)</f>
        <v/>
      </c>
      <c r="W199" s="112" t="str">
        <f>IF(preDEL!$AG199,IFERROR(0/0,""),preDEL!W199)</f>
        <v/>
      </c>
      <c r="X199" s="104" t="b">
        <f>IF(preDEL!$AG199,IFERROR(0/0,""),preDEL!X199)</f>
        <v>0</v>
      </c>
      <c r="Y199" s="110" t="b">
        <f>IF(preDEL!$AG199,IFERROR(0/0,""),preDEL!Y199)</f>
        <v>0</v>
      </c>
      <c r="Z199" s="105" t="str">
        <f>IF(preDEL!$AG199,IFERROR(0/0,""),preDEL!Z199)</f>
        <v/>
      </c>
      <c r="AA199" s="110" t="b">
        <f>IF(preDEL!$AG199,IFERROR(0/0,""),preDEL!AA199)</f>
        <v>0</v>
      </c>
      <c r="AB199" s="110" t="b">
        <f>IF(preDEL!$AG199,IFERROR(0/0,""),preDEL!AB199)</f>
        <v>0</v>
      </c>
      <c r="AC199" s="172">
        <f>IF(preDEL!$AG199,IFERROR(0/0,""),preDEL!AC199)</f>
        <v>605</v>
      </c>
      <c r="AD199" s="104" t="b">
        <f>IF(preDEL!$AG199,IFERROR(0/0,""),preDEL!AD199)</f>
        <v>0</v>
      </c>
      <c r="AE199" s="173" t="str">
        <f>IF(preDEL!$AG199,IFERROR(0/0,""),preDEL!AE199)</f>
        <v/>
      </c>
      <c r="AF199" s="110" t="b">
        <f>IF(preDEL!$AG199,IFERROR(0/0,""),preDEL!AF199)</f>
        <v>0</v>
      </c>
      <c r="AG199" s="110" t="b">
        <f>IF(preDEL!$AG199,IFERROR(0/0,""),preDEL!AG199)</f>
        <v>0</v>
      </c>
      <c r="AH199" s="104" t="str">
        <f>IF(preDEL!$AG199,IFERROR(0/0,""),preDEL!AH199)</f>
        <v/>
      </c>
      <c r="AI199" s="105" t="str">
        <f>IF(preDEL!$AG199,IFERROR(0/0,""),preDEL!AI199)</f>
        <v/>
      </c>
      <c r="AJ199" s="112" t="str">
        <f>IF(preDEL!$AG199,IFERROR(0/0,""),preDEL!AJ199)</f>
        <v/>
      </c>
      <c r="AK199" s="105" t="str">
        <f>IF(preDEL!$AG199,IFERROR(0/0,""),preDEL!AK199)</f>
        <v>Negative</v>
      </c>
      <c r="AL199" s="112" t="str">
        <f>IF(preDEL!$AG199,IFERROR(0/0,""),preDEL!AL199)</f>
        <v/>
      </c>
      <c r="AM199" s="112" t="str">
        <f>IF(preDEL!$AG199,IFERROR(0/0,""),preDEL!AM199)</f>
        <v>SpBEND528248</v>
      </c>
      <c r="AN199" s="112" t="str">
        <f>IF(preDEL!$AG199,IFERROR(0/0,""),preDEL!AN199)</f>
        <v>BEND585286</v>
      </c>
      <c r="AO199" s="112" t="str">
        <f>IF(preDEL!$AG199,IFERROR(0/0,""),preDEL!AO199)</f>
        <v/>
      </c>
      <c r="AP199" s="112" t="str">
        <f>IF(preDEL!$AG199,IFERROR(0/0,""),preDEL!AP199)</f>
        <v/>
      </c>
      <c r="AQ199" s="112" t="str">
        <f>IF(preDEL!$AG199,IFERROR(0/0,""),preDEL!AQ199)</f>
        <v/>
      </c>
      <c r="AR199" s="112" t="str">
        <f>IF(preDEL!$AG199,IFERROR(0/0,""),preDEL!AR199)</f>
        <v/>
      </c>
      <c r="AS199" s="112" t="str">
        <f>IF(preDEL!$AG199,IFERROR(0/0,""),preDEL!AS199)</f>
        <v/>
      </c>
      <c r="AT199" s="112" t="b">
        <f>IF(preDEL!$AG199,IFERROR(0/0,""),preDEL!AT199)</f>
        <v>0</v>
      </c>
      <c r="AU199" s="112" t="str">
        <f>IF(preDEL!$AG199,IFERROR(0/0,""),preDEL!AU199)</f>
        <v/>
      </c>
      <c r="AV199" s="112" t="str">
        <f>IF(preDEL!$AG199,IFERROR(0/0,""),preDEL!AV199)</f>
        <v/>
      </c>
      <c r="AW199" s="112" t="str">
        <f>IF(preDEL!$AG199,IFERROR(0/0,""),preDEL!AW199)</f>
        <v/>
      </c>
      <c r="AX199" s="112" t="str">
        <f>IF(preDEL!$AG199,IFERROR(0/0,""),preDEL!AX199)</f>
        <v/>
      </c>
      <c r="AY199" s="112" t="str">
        <f>IF(preDEL!$AG199,IFERROR(0/0,""),preDEL!AY199)</f>
        <v/>
      </c>
      <c r="AZ199" s="174"/>
      <c r="BA199" s="174"/>
      <c r="BB199" s="174"/>
      <c r="BC199" s="174"/>
      <c r="BD199" s="174"/>
      <c r="BE199" s="174"/>
      <c r="BF199" s="174"/>
      <c r="BG199" s="174"/>
      <c r="BH199" s="174"/>
      <c r="BI199" s="174"/>
      <c r="BJ199" s="174"/>
      <c r="BK199" s="174"/>
      <c r="BL199" s="174"/>
      <c r="BM199" s="174"/>
      <c r="BN199" s="174"/>
      <c r="BO199" s="174"/>
      <c r="BP199" s="174"/>
      <c r="BQ199" s="174"/>
      <c r="BR199" s="174"/>
      <c r="BS199" s="174"/>
      <c r="BT199" s="174"/>
      <c r="BU199" s="174"/>
      <c r="BV199" s="174"/>
      <c r="BW199" s="174"/>
      <c r="BX199" s="174"/>
      <c r="BY199" s="174"/>
      <c r="BZ199" s="174"/>
      <c r="CA199" s="174"/>
      <c r="CB199" s="174"/>
      <c r="CC199" s="174"/>
      <c r="CD199" s="174"/>
    </row>
    <row r="200">
      <c r="A200" s="105" t="str">
        <f>IF(preDEL!$AG200,IFERROR(0/0,""),preDEL!A200)</f>
        <v>MA330</v>
      </c>
      <c r="B200" s="170">
        <f>IF(preDEL!$AG200,IFERROR(0/0,""),preDEL!B200)</f>
        <v>44575</v>
      </c>
      <c r="C200" s="171">
        <f>IF(preDEL!$AG200,IFERROR(0/0,""),preDEL!C200)</f>
        <v>0.2265856481</v>
      </c>
      <c r="D200" s="105" t="str">
        <f>IF(preDEL!$AG200,IFERROR(0/0,""),preDEL!D200)</f>
        <v/>
      </c>
      <c r="E200" s="105" t="str">
        <f>IF(preDEL!$AG200,IFERROR(0/0,""),preDEL!E200)</f>
        <v/>
      </c>
      <c r="F200" s="112" t="str">
        <f>IF(preDEL!$AG200,IFERROR(0/0,""),preDEL!F200)</f>
        <v/>
      </c>
      <c r="G200" s="112" t="str">
        <f>IF(preDEL!$AG200,IFERROR(0/0,""),preDEL!G200)</f>
        <v/>
      </c>
      <c r="H200" s="112" t="str">
        <f>IF(preDEL!$AG200,IFERROR(0/0,""),preDEL!H200)</f>
        <v/>
      </c>
      <c r="I200" s="105" t="str">
        <f>IF(preDEL!$AG200,IFERROR(0/0,""),preDEL!I200)</f>
        <v/>
      </c>
      <c r="J200" s="105" t="str">
        <f>IF(preDEL!$AG200,IFERROR(0/0,""),preDEL!J200)</f>
        <v/>
      </c>
      <c r="K200" s="105" t="str">
        <f>IF(preDEL!$AG200,IFERROR(0/0,""),preDEL!K200)</f>
        <v>Negative</v>
      </c>
      <c r="L200" s="170">
        <f>IF(preDEL!$AG200,IFERROR(0/0,""),preDEL!L200)</f>
        <v>44575</v>
      </c>
      <c r="M200" s="171">
        <f>IF(preDEL!$AG200,IFERROR(0/0,""),preDEL!M200)</f>
        <v>0.4820601852</v>
      </c>
      <c r="N200" s="112" t="str">
        <f>IF(preDEL!$AG200,IFERROR(0/0,""),preDEL!N200)</f>
        <v/>
      </c>
      <c r="O200" s="112" t="str">
        <f>IF(preDEL!$AG200,IFERROR(0/0,""),preDEL!O200)</f>
        <v/>
      </c>
      <c r="P200" s="110" t="b">
        <f>IF(preDEL!$AG200,IFERROR(0/0,""),preDEL!P200)</f>
        <v>0</v>
      </c>
      <c r="Q200" s="110" t="str">
        <f>IF(preDEL!$AG200,IFERROR(0/0,""),preDEL!Q200)</f>
        <v>Result</v>
      </c>
      <c r="R200" s="104" t="b">
        <f>IF(preDEL!$AG200,IFERROR(0/0,""),preDEL!R200)</f>
        <v>1</v>
      </c>
      <c r="S200" s="104">
        <f>IF(preDEL!$AG200,IFERROR(0/0,""),preDEL!S200)</f>
        <v>1</v>
      </c>
      <c r="T200" s="110" t="str">
        <f>IF(preDEL!$AG200,IFERROR(0/0,""),preDEL!T200)</f>
        <v/>
      </c>
      <c r="U200" s="112" t="str">
        <f>IF(preDEL!$AG200,IFERROR(0/0,""),preDEL!U200)</f>
        <v/>
      </c>
      <c r="V200" s="105" t="str">
        <f>IF(preDEL!$AG200,IFERROR(0/0,""),preDEL!V200)</f>
        <v/>
      </c>
      <c r="W200" s="112" t="str">
        <f>IF(preDEL!$AG200,IFERROR(0/0,""),preDEL!W200)</f>
        <v/>
      </c>
      <c r="X200" s="104" t="b">
        <f>IF(preDEL!$AG200,IFERROR(0/0,""),preDEL!X200)</f>
        <v>0</v>
      </c>
      <c r="Y200" s="110" t="b">
        <f>IF(preDEL!$AG200,IFERROR(0/0,""),preDEL!Y200)</f>
        <v>0</v>
      </c>
      <c r="Z200" s="105" t="str">
        <f>IF(preDEL!$AG200,IFERROR(0/0,""),preDEL!Z200)</f>
        <v/>
      </c>
      <c r="AA200" s="110" t="b">
        <f>IF(preDEL!$AG200,IFERROR(0/0,""),preDEL!AA200)</f>
        <v>0</v>
      </c>
      <c r="AB200" s="110" t="b">
        <f>IF(preDEL!$AG200,IFERROR(0/0,""),preDEL!AB200)</f>
        <v>0</v>
      </c>
      <c r="AC200" s="172">
        <f>IF(preDEL!$AG200,IFERROR(0/0,""),preDEL!AC200)</f>
        <v>604</v>
      </c>
      <c r="AD200" s="104" t="b">
        <f>IF(preDEL!$AG200,IFERROR(0/0,""),preDEL!AD200)</f>
        <v>0</v>
      </c>
      <c r="AE200" s="173">
        <f>IF(preDEL!$AG200,IFERROR(0/0,""),preDEL!AE200)</f>
        <v>367.8833333</v>
      </c>
      <c r="AF200" s="110" t="b">
        <f>IF(preDEL!$AG200,IFERROR(0/0,""),preDEL!AF200)</f>
        <v>0</v>
      </c>
      <c r="AG200" s="110" t="b">
        <f>IF(preDEL!$AG200,IFERROR(0/0,""),preDEL!AG200)</f>
        <v>0</v>
      </c>
      <c r="AH200" s="104" t="str">
        <f>IF(preDEL!$AG200,IFERROR(0/0,""),preDEL!AH200)</f>
        <v/>
      </c>
      <c r="AI200" s="105" t="str">
        <f>IF(preDEL!$AG200,IFERROR(0/0,""),preDEL!AI200)</f>
        <v/>
      </c>
      <c r="AJ200" s="112" t="str">
        <f>IF(preDEL!$AG200,IFERROR(0/0,""),preDEL!AJ200)</f>
        <v/>
      </c>
      <c r="AK200" s="105" t="str">
        <f>IF(preDEL!$AG200,IFERROR(0/0,""),preDEL!AK200)</f>
        <v>Negative</v>
      </c>
      <c r="AL200" s="112" t="str">
        <f>IF(preDEL!$AG200,IFERROR(0/0,""),preDEL!AL200)</f>
        <v/>
      </c>
      <c r="AM200" s="112" t="str">
        <f>IF(preDEL!$AG200,IFERROR(0/0,""),preDEL!AM200)</f>
        <v>SpBEND139816</v>
      </c>
      <c r="AN200" s="112" t="str">
        <f>IF(preDEL!$AG200,IFERROR(0/0,""),preDEL!AN200)</f>
        <v>BEND492855</v>
      </c>
      <c r="AO200" s="112" t="str">
        <f>IF(preDEL!$AG200,IFERROR(0/0,""),preDEL!AO200)</f>
        <v/>
      </c>
      <c r="AP200" s="112" t="str">
        <f>IF(preDEL!$AG200,IFERROR(0/0,""),preDEL!AP200)</f>
        <v/>
      </c>
      <c r="AQ200" s="112" t="str">
        <f>IF(preDEL!$AG200,IFERROR(0/0,""),preDEL!AQ200)</f>
        <v/>
      </c>
      <c r="AR200" s="112" t="str">
        <f>IF(preDEL!$AG200,IFERROR(0/0,""),preDEL!AR200)</f>
        <v/>
      </c>
      <c r="AS200" s="112" t="str">
        <f>IF(preDEL!$AG200,IFERROR(0/0,""),preDEL!AS200)</f>
        <v/>
      </c>
      <c r="AT200" s="112" t="b">
        <f>IF(preDEL!$AG200,IFERROR(0/0,""),preDEL!AT200)</f>
        <v>0</v>
      </c>
      <c r="AU200" s="112" t="str">
        <f>IF(preDEL!$AG200,IFERROR(0/0,""),preDEL!AU200)</f>
        <v/>
      </c>
      <c r="AV200" s="112" t="str">
        <f>IF(preDEL!$AG200,IFERROR(0/0,""),preDEL!AV200)</f>
        <v/>
      </c>
      <c r="AW200" s="112" t="str">
        <f>IF(preDEL!$AG200,IFERROR(0/0,""),preDEL!AW200)</f>
        <v/>
      </c>
      <c r="AX200" s="112" t="str">
        <f>IF(preDEL!$AG200,IFERROR(0/0,""),preDEL!AX200)</f>
        <v/>
      </c>
      <c r="AY200" s="112" t="str">
        <f>IF(preDEL!$AG200,IFERROR(0/0,""),preDEL!AY200)</f>
        <v/>
      </c>
      <c r="AZ200" s="174"/>
      <c r="BA200" s="174"/>
      <c r="BB200" s="174"/>
      <c r="BC200" s="174"/>
      <c r="BD200" s="174"/>
      <c r="BE200" s="174"/>
      <c r="BF200" s="174"/>
      <c r="BG200" s="174"/>
      <c r="BH200" s="174"/>
      <c r="BI200" s="174"/>
      <c r="BJ200" s="174"/>
      <c r="BK200" s="174"/>
      <c r="BL200" s="174"/>
      <c r="BM200" s="174"/>
      <c r="BN200" s="174"/>
      <c r="BO200" s="174"/>
      <c r="BP200" s="174"/>
      <c r="BQ200" s="174"/>
      <c r="BR200" s="174"/>
      <c r="BS200" s="174"/>
      <c r="BT200" s="174"/>
      <c r="BU200" s="174"/>
      <c r="BV200" s="174"/>
      <c r="BW200" s="174"/>
      <c r="BX200" s="174"/>
      <c r="BY200" s="174"/>
      <c r="BZ200" s="174"/>
      <c r="CA200" s="174"/>
      <c r="CB200" s="174"/>
      <c r="CC200" s="174"/>
      <c r="CD200" s="174"/>
    </row>
    <row r="201">
      <c r="A201" s="105" t="str">
        <f>IF(preDEL!$AG201,IFERROR(0/0,""),preDEL!A201)</f>
        <v>MA434</v>
      </c>
      <c r="B201" s="170">
        <f>IF(preDEL!$AG201,IFERROR(0/0,""),preDEL!B201)</f>
        <v>44575</v>
      </c>
      <c r="C201" s="171">
        <f>IF(preDEL!$AG201,IFERROR(0/0,""),preDEL!C201)</f>
        <v>0.2949421296</v>
      </c>
      <c r="D201" s="105" t="str">
        <f>IF(preDEL!$AG201,IFERROR(0/0,""),preDEL!D201)</f>
        <v/>
      </c>
      <c r="E201" s="105" t="str">
        <f>IF(preDEL!$AG201,IFERROR(0/0,""),preDEL!E201)</f>
        <v/>
      </c>
      <c r="F201" s="112" t="str">
        <f>IF(preDEL!$AG201,IFERROR(0/0,""),preDEL!F201)</f>
        <v/>
      </c>
      <c r="G201" s="112" t="str">
        <f>IF(preDEL!$AG201,IFERROR(0/0,""),preDEL!G201)</f>
        <v/>
      </c>
      <c r="H201" s="112" t="str">
        <f>IF(preDEL!$AG201,IFERROR(0/0,""),preDEL!H201)</f>
        <v/>
      </c>
      <c r="I201" s="105" t="str">
        <f>IF(preDEL!$AG201,IFERROR(0/0,""),preDEL!I201)</f>
        <v/>
      </c>
      <c r="J201" s="105" t="str">
        <f>IF(preDEL!$AG201,IFERROR(0/0,""),preDEL!J201)</f>
        <v/>
      </c>
      <c r="K201" s="105" t="str">
        <f>IF(preDEL!$AG201,IFERROR(0/0,""),preDEL!K201)</f>
        <v>Negative</v>
      </c>
      <c r="L201" s="170">
        <f>IF(preDEL!$AG201,IFERROR(0/0,""),preDEL!L201)</f>
        <v>44575</v>
      </c>
      <c r="M201" s="171">
        <f>IF(preDEL!$AG201,IFERROR(0/0,""),preDEL!M201)</f>
        <v>0.4820601852</v>
      </c>
      <c r="N201" s="112" t="str">
        <f>IF(preDEL!$AG201,IFERROR(0/0,""),preDEL!N201)</f>
        <v/>
      </c>
      <c r="O201" s="112" t="str">
        <f>IF(preDEL!$AG201,IFERROR(0/0,""),preDEL!O201)</f>
        <v/>
      </c>
      <c r="P201" s="110" t="b">
        <f>IF(preDEL!$AG201,IFERROR(0/0,""),preDEL!P201)</f>
        <v>0</v>
      </c>
      <c r="Q201" s="110" t="str">
        <f>IF(preDEL!$AG201,IFERROR(0/0,""),preDEL!Q201)</f>
        <v>Result</v>
      </c>
      <c r="R201" s="104" t="b">
        <f>IF(preDEL!$AG201,IFERROR(0/0,""),preDEL!R201)</f>
        <v>1</v>
      </c>
      <c r="S201" s="104">
        <f>IF(preDEL!$AG201,IFERROR(0/0,""),preDEL!S201)</f>
        <v>1</v>
      </c>
      <c r="T201" s="110" t="str">
        <f>IF(preDEL!$AG201,IFERROR(0/0,""),preDEL!T201)</f>
        <v/>
      </c>
      <c r="U201" s="112" t="str">
        <f>IF(preDEL!$AG201,IFERROR(0/0,""),preDEL!U201)</f>
        <v/>
      </c>
      <c r="V201" s="105" t="str">
        <f>IF(preDEL!$AG201,IFERROR(0/0,""),preDEL!V201)</f>
        <v/>
      </c>
      <c r="W201" s="112" t="str">
        <f>IF(preDEL!$AG201,IFERROR(0/0,""),preDEL!W201)</f>
        <v/>
      </c>
      <c r="X201" s="104" t="b">
        <f>IF(preDEL!$AG201,IFERROR(0/0,""),preDEL!X201)</f>
        <v>0</v>
      </c>
      <c r="Y201" s="110" t="b">
        <f>IF(preDEL!$AG201,IFERROR(0/0,""),preDEL!Y201)</f>
        <v>0</v>
      </c>
      <c r="Z201" s="105" t="str">
        <f>IF(preDEL!$AG201,IFERROR(0/0,""),preDEL!Z201)</f>
        <v/>
      </c>
      <c r="AA201" s="110" t="b">
        <f>IF(preDEL!$AG201,IFERROR(0/0,""),preDEL!AA201)</f>
        <v>0</v>
      </c>
      <c r="AB201" s="110" t="b">
        <f>IF(preDEL!$AG201,IFERROR(0/0,""),preDEL!AB201)</f>
        <v>0</v>
      </c>
      <c r="AC201" s="172">
        <f>IF(preDEL!$AG201,IFERROR(0/0,""),preDEL!AC201)</f>
        <v>603</v>
      </c>
      <c r="AD201" s="104" t="b">
        <f>IF(preDEL!$AG201,IFERROR(0/0,""),preDEL!AD201)</f>
        <v>0</v>
      </c>
      <c r="AE201" s="173">
        <f>IF(preDEL!$AG201,IFERROR(0/0,""),preDEL!AE201)</f>
        <v>269.45</v>
      </c>
      <c r="AF201" s="110" t="b">
        <f>IF(preDEL!$AG201,IFERROR(0/0,""),preDEL!AF201)</f>
        <v>0</v>
      </c>
      <c r="AG201" s="110" t="b">
        <f>IF(preDEL!$AG201,IFERROR(0/0,""),preDEL!AG201)</f>
        <v>0</v>
      </c>
      <c r="AH201" s="104" t="str">
        <f>IF(preDEL!$AG201,IFERROR(0/0,""),preDEL!AH201)</f>
        <v/>
      </c>
      <c r="AI201" s="105" t="str">
        <f>IF(preDEL!$AG201,IFERROR(0/0,""),preDEL!AI201)</f>
        <v/>
      </c>
      <c r="AJ201" s="112" t="str">
        <f>IF(preDEL!$AG201,IFERROR(0/0,""),preDEL!AJ201)</f>
        <v/>
      </c>
      <c r="AK201" s="105" t="str">
        <f>IF(preDEL!$AG201,IFERROR(0/0,""),preDEL!AK201)</f>
        <v>Negative</v>
      </c>
      <c r="AL201" s="112" t="str">
        <f>IF(preDEL!$AG201,IFERROR(0/0,""),preDEL!AL201)</f>
        <v/>
      </c>
      <c r="AM201" s="112" t="str">
        <f>IF(preDEL!$AG201,IFERROR(0/0,""),preDEL!AM201)</f>
        <v>SpBEND385421</v>
      </c>
      <c r="AN201" s="112" t="str">
        <f>IF(preDEL!$AG201,IFERROR(0/0,""),preDEL!AN201)</f>
        <v>BEND440747</v>
      </c>
      <c r="AO201" s="112" t="str">
        <f>IF(preDEL!$AG201,IFERROR(0/0,""),preDEL!AO201)</f>
        <v/>
      </c>
      <c r="AP201" s="112" t="str">
        <f>IF(preDEL!$AG201,IFERROR(0/0,""),preDEL!AP201)</f>
        <v/>
      </c>
      <c r="AQ201" s="112" t="str">
        <f>IF(preDEL!$AG201,IFERROR(0/0,""),preDEL!AQ201)</f>
        <v/>
      </c>
      <c r="AR201" s="112" t="str">
        <f>IF(preDEL!$AG201,IFERROR(0/0,""),preDEL!AR201)</f>
        <v/>
      </c>
      <c r="AS201" s="112" t="str">
        <f>IF(preDEL!$AG201,IFERROR(0/0,""),preDEL!AS201)</f>
        <v/>
      </c>
      <c r="AT201" s="112" t="b">
        <f>IF(preDEL!$AG201,IFERROR(0/0,""),preDEL!AT201)</f>
        <v>0</v>
      </c>
      <c r="AU201" s="112" t="str">
        <f>IF(preDEL!$AG201,IFERROR(0/0,""),preDEL!AU201)</f>
        <v/>
      </c>
      <c r="AV201" s="112" t="str">
        <f>IF(preDEL!$AG201,IFERROR(0/0,""),preDEL!AV201)</f>
        <v/>
      </c>
      <c r="AW201" s="112" t="str">
        <f>IF(preDEL!$AG201,IFERROR(0/0,""),preDEL!AW201)</f>
        <v/>
      </c>
      <c r="AX201" s="112" t="str">
        <f>IF(preDEL!$AG201,IFERROR(0/0,""),preDEL!AX201)</f>
        <v/>
      </c>
      <c r="AY201" s="112" t="str">
        <f>IF(preDEL!$AG201,IFERROR(0/0,""),preDEL!AY201)</f>
        <v/>
      </c>
      <c r="AZ201" s="174"/>
      <c r="BA201" s="174"/>
      <c r="BB201" s="174"/>
      <c r="BC201" s="174"/>
      <c r="BD201" s="174"/>
      <c r="BE201" s="174"/>
      <c r="BF201" s="174"/>
      <c r="BG201" s="174"/>
      <c r="BH201" s="174"/>
      <c r="BI201" s="174"/>
      <c r="BJ201" s="174"/>
      <c r="BK201" s="174"/>
      <c r="BL201" s="174"/>
      <c r="BM201" s="174"/>
      <c r="BN201" s="174"/>
      <c r="BO201" s="174"/>
      <c r="BP201" s="174"/>
      <c r="BQ201" s="174"/>
      <c r="BR201" s="174"/>
      <c r="BS201" s="174"/>
      <c r="BT201" s="174"/>
      <c r="BU201" s="174"/>
      <c r="BV201" s="174"/>
      <c r="BW201" s="174"/>
      <c r="BX201" s="174"/>
      <c r="BY201" s="174"/>
      <c r="BZ201" s="174"/>
      <c r="CA201" s="174"/>
      <c r="CB201" s="174"/>
      <c r="CC201" s="174"/>
      <c r="CD201" s="174"/>
    </row>
    <row r="202">
      <c r="A202" s="105" t="str">
        <f>IF(preDEL!$AG202,IFERROR(0/0,""),preDEL!A202)</f>
        <v>MA711</v>
      </c>
      <c r="B202" s="170">
        <f>IF(preDEL!$AG202,IFERROR(0/0,""),preDEL!B202)</f>
        <v>44575</v>
      </c>
      <c r="C202" s="171">
        <f>IF(preDEL!$AG202,IFERROR(0/0,""),preDEL!C202)</f>
        <v>0.3110763889</v>
      </c>
      <c r="D202" s="105" t="str">
        <f>IF(preDEL!$AG202,IFERROR(0/0,""),preDEL!D202)</f>
        <v/>
      </c>
      <c r="E202" s="105" t="str">
        <f>IF(preDEL!$AG202,IFERROR(0/0,""),preDEL!E202)</f>
        <v/>
      </c>
      <c r="F202" s="112" t="str">
        <f>IF(preDEL!$AG202,IFERROR(0/0,""),preDEL!F202)</f>
        <v/>
      </c>
      <c r="G202" s="112" t="str">
        <f>IF(preDEL!$AG202,IFERROR(0/0,""),preDEL!G202)</f>
        <v/>
      </c>
      <c r="H202" s="112" t="str">
        <f>IF(preDEL!$AG202,IFERROR(0/0,""),preDEL!H202)</f>
        <v/>
      </c>
      <c r="I202" s="105" t="str">
        <f>IF(preDEL!$AG202,IFERROR(0/0,""),preDEL!I202)</f>
        <v/>
      </c>
      <c r="J202" s="105" t="str">
        <f>IF(preDEL!$AG202,IFERROR(0/0,""),preDEL!J202)</f>
        <v/>
      </c>
      <c r="K202" s="105" t="str">
        <f>IF(preDEL!$AG202,IFERROR(0/0,""),preDEL!K202)</f>
        <v>Negative</v>
      </c>
      <c r="L202" s="170">
        <f>IF(preDEL!$AG202,IFERROR(0/0,""),preDEL!L202)</f>
        <v>44575</v>
      </c>
      <c r="M202" s="171">
        <f>IF(preDEL!$AG202,IFERROR(0/0,""),preDEL!M202)</f>
        <v>0.4820601852</v>
      </c>
      <c r="N202" s="112" t="str">
        <f>IF(preDEL!$AG202,IFERROR(0/0,""),preDEL!N202)</f>
        <v/>
      </c>
      <c r="O202" s="112" t="str">
        <f>IF(preDEL!$AG202,IFERROR(0/0,""),preDEL!O202)</f>
        <v/>
      </c>
      <c r="P202" s="110" t="b">
        <f>IF(preDEL!$AG202,IFERROR(0/0,""),preDEL!P202)</f>
        <v>0</v>
      </c>
      <c r="Q202" s="110" t="str">
        <f>IF(preDEL!$AG202,IFERROR(0/0,""),preDEL!Q202)</f>
        <v>Result</v>
      </c>
      <c r="R202" s="104" t="b">
        <f>IF(preDEL!$AG202,IFERROR(0/0,""),preDEL!R202)</f>
        <v>1</v>
      </c>
      <c r="S202" s="104">
        <f>IF(preDEL!$AG202,IFERROR(0/0,""),preDEL!S202)</f>
        <v>1</v>
      </c>
      <c r="T202" s="110" t="str">
        <f>IF(preDEL!$AG202,IFERROR(0/0,""),preDEL!T202)</f>
        <v/>
      </c>
      <c r="U202" s="112" t="str">
        <f>IF(preDEL!$AG202,IFERROR(0/0,""),preDEL!U202)</f>
        <v/>
      </c>
      <c r="V202" s="105" t="str">
        <f>IF(preDEL!$AG202,IFERROR(0/0,""),preDEL!V202)</f>
        <v/>
      </c>
      <c r="W202" s="112" t="str">
        <f>IF(preDEL!$AG202,IFERROR(0/0,""),preDEL!W202)</f>
        <v/>
      </c>
      <c r="X202" s="104" t="b">
        <f>IF(preDEL!$AG202,IFERROR(0/0,""),preDEL!X202)</f>
        <v>0</v>
      </c>
      <c r="Y202" s="110" t="b">
        <f>IF(preDEL!$AG202,IFERROR(0/0,""),preDEL!Y202)</f>
        <v>0</v>
      </c>
      <c r="Z202" s="105" t="str">
        <f>IF(preDEL!$AG202,IFERROR(0/0,""),preDEL!Z202)</f>
        <v/>
      </c>
      <c r="AA202" s="110" t="b">
        <f>IF(preDEL!$AG202,IFERROR(0/0,""),preDEL!AA202)</f>
        <v>0</v>
      </c>
      <c r="AB202" s="110" t="b">
        <f>IF(preDEL!$AG202,IFERROR(0/0,""),preDEL!AB202)</f>
        <v>0</v>
      </c>
      <c r="AC202" s="172">
        <f>IF(preDEL!$AG202,IFERROR(0/0,""),preDEL!AC202)</f>
        <v>602</v>
      </c>
      <c r="AD202" s="104" t="b">
        <f>IF(preDEL!$AG202,IFERROR(0/0,""),preDEL!AD202)</f>
        <v>0</v>
      </c>
      <c r="AE202" s="173">
        <f>IF(preDEL!$AG202,IFERROR(0/0,""),preDEL!AE202)</f>
        <v>246.2166667</v>
      </c>
      <c r="AF202" s="110" t="b">
        <f>IF(preDEL!$AG202,IFERROR(0/0,""),preDEL!AF202)</f>
        <v>0</v>
      </c>
      <c r="AG202" s="110" t="b">
        <f>IF(preDEL!$AG202,IFERROR(0/0,""),preDEL!AG202)</f>
        <v>0</v>
      </c>
      <c r="AH202" s="104" t="str">
        <f>IF(preDEL!$AG202,IFERROR(0/0,""),preDEL!AH202)</f>
        <v/>
      </c>
      <c r="AI202" s="105" t="str">
        <f>IF(preDEL!$AG202,IFERROR(0/0,""),preDEL!AI202)</f>
        <v/>
      </c>
      <c r="AJ202" s="112" t="str">
        <f>IF(preDEL!$AG202,IFERROR(0/0,""),preDEL!AJ202)</f>
        <v/>
      </c>
      <c r="AK202" s="105" t="str">
        <f>IF(preDEL!$AG202,IFERROR(0/0,""),preDEL!AK202)</f>
        <v>Negative</v>
      </c>
      <c r="AL202" s="112" t="str">
        <f>IF(preDEL!$AG202,IFERROR(0/0,""),preDEL!AL202)</f>
        <v/>
      </c>
      <c r="AM202" s="112" t="str">
        <f>IF(preDEL!$AG202,IFERROR(0/0,""),preDEL!AM202)</f>
        <v>SpBEND214692</v>
      </c>
      <c r="AN202" s="112" t="str">
        <f>IF(preDEL!$AG202,IFERROR(0/0,""),preDEL!AN202)</f>
        <v>BEND886978</v>
      </c>
      <c r="AO202" s="112" t="str">
        <f>IF(preDEL!$AG202,IFERROR(0/0,""),preDEL!AO202)</f>
        <v/>
      </c>
      <c r="AP202" s="112" t="str">
        <f>IF(preDEL!$AG202,IFERROR(0/0,""),preDEL!AP202)</f>
        <v/>
      </c>
      <c r="AQ202" s="112" t="str">
        <f>IF(preDEL!$AG202,IFERROR(0/0,""),preDEL!AQ202)</f>
        <v/>
      </c>
      <c r="AR202" s="112" t="str">
        <f>IF(preDEL!$AG202,IFERROR(0/0,""),preDEL!AR202)</f>
        <v/>
      </c>
      <c r="AS202" s="112" t="str">
        <f>IF(preDEL!$AG202,IFERROR(0/0,""),preDEL!AS202)</f>
        <v/>
      </c>
      <c r="AT202" s="112" t="b">
        <f>IF(preDEL!$AG202,IFERROR(0/0,""),preDEL!AT202)</f>
        <v>0</v>
      </c>
      <c r="AU202" s="112" t="str">
        <f>IF(preDEL!$AG202,IFERROR(0/0,""),preDEL!AU202)</f>
        <v/>
      </c>
      <c r="AV202" s="112" t="str">
        <f>IF(preDEL!$AG202,IFERROR(0/0,""),preDEL!AV202)</f>
        <v/>
      </c>
      <c r="AW202" s="112" t="str">
        <f>IF(preDEL!$AG202,IFERROR(0/0,""),preDEL!AW202)</f>
        <v/>
      </c>
      <c r="AX202" s="112" t="str">
        <f>IF(preDEL!$AG202,IFERROR(0/0,""),preDEL!AX202)</f>
        <v/>
      </c>
      <c r="AY202" s="112" t="str">
        <f>IF(preDEL!$AG202,IFERROR(0/0,""),preDEL!AY202)</f>
        <v/>
      </c>
      <c r="AZ202" s="174"/>
      <c r="BA202" s="174"/>
      <c r="BB202" s="174"/>
      <c r="BC202" s="174"/>
      <c r="BD202" s="174"/>
      <c r="BE202" s="174"/>
      <c r="BF202" s="174"/>
      <c r="BG202" s="174"/>
      <c r="BH202" s="174"/>
      <c r="BI202" s="174"/>
      <c r="BJ202" s="174"/>
      <c r="BK202" s="174"/>
      <c r="BL202" s="174"/>
      <c r="BM202" s="174"/>
      <c r="BN202" s="174"/>
      <c r="BO202" s="174"/>
      <c r="BP202" s="174"/>
      <c r="BQ202" s="174"/>
      <c r="BR202" s="174"/>
      <c r="BS202" s="174"/>
      <c r="BT202" s="174"/>
      <c r="BU202" s="174"/>
      <c r="BV202" s="174"/>
      <c r="BW202" s="174"/>
      <c r="BX202" s="174"/>
      <c r="BY202" s="174"/>
      <c r="BZ202" s="174"/>
      <c r="CA202" s="174"/>
      <c r="CB202" s="174"/>
      <c r="CC202" s="174"/>
      <c r="CD202" s="174"/>
    </row>
    <row r="203">
      <c r="A203" s="105" t="str">
        <f>IF(preDEL!$AG203,IFERROR(0/0,""),preDEL!A203)</f>
        <v>MA1163</v>
      </c>
      <c r="B203" s="170">
        <f>IF(preDEL!$AG203,IFERROR(0/0,""),preDEL!B203)</f>
        <v>44575</v>
      </c>
      <c r="C203" s="171">
        <f>IF(preDEL!$AG203,IFERROR(0/0,""),preDEL!C203)</f>
        <v>0.3111574074</v>
      </c>
      <c r="D203" s="105" t="str">
        <f>IF(preDEL!$AG203,IFERROR(0/0,""),preDEL!D203)</f>
        <v/>
      </c>
      <c r="E203" s="105" t="str">
        <f>IF(preDEL!$AG203,IFERROR(0/0,""),preDEL!E203)</f>
        <v/>
      </c>
      <c r="F203" s="112" t="str">
        <f>IF(preDEL!$AG203,IFERROR(0/0,""),preDEL!F203)</f>
        <v/>
      </c>
      <c r="G203" s="112" t="str">
        <f>IF(preDEL!$AG203,IFERROR(0/0,""),preDEL!G203)</f>
        <v/>
      </c>
      <c r="H203" s="112" t="str">
        <f>IF(preDEL!$AG203,IFERROR(0/0,""),preDEL!H203)</f>
        <v/>
      </c>
      <c r="I203" s="105" t="str">
        <f>IF(preDEL!$AG203,IFERROR(0/0,""),preDEL!I203)</f>
        <v/>
      </c>
      <c r="J203" s="105" t="str">
        <f>IF(preDEL!$AG203,IFERROR(0/0,""),preDEL!J203)</f>
        <v/>
      </c>
      <c r="K203" s="105" t="str">
        <f>IF(preDEL!$AG203,IFERROR(0/0,""),preDEL!K203)</f>
        <v>Negative</v>
      </c>
      <c r="L203" s="170">
        <f>IF(preDEL!$AG203,IFERROR(0/0,""),preDEL!L203)</f>
        <v>44575</v>
      </c>
      <c r="M203" s="171">
        <f>IF(preDEL!$AG203,IFERROR(0/0,""),preDEL!M203)</f>
        <v>0.4820601852</v>
      </c>
      <c r="N203" s="112" t="str">
        <f>IF(preDEL!$AG203,IFERROR(0/0,""),preDEL!N203)</f>
        <v/>
      </c>
      <c r="O203" s="112" t="str">
        <f>IF(preDEL!$AG203,IFERROR(0/0,""),preDEL!O203)</f>
        <v/>
      </c>
      <c r="P203" s="110" t="b">
        <f>IF(preDEL!$AG203,IFERROR(0/0,""),preDEL!P203)</f>
        <v>0</v>
      </c>
      <c r="Q203" s="110" t="str">
        <f>IF(preDEL!$AG203,IFERROR(0/0,""),preDEL!Q203)</f>
        <v>Result</v>
      </c>
      <c r="R203" s="104" t="b">
        <f>IF(preDEL!$AG203,IFERROR(0/0,""),preDEL!R203)</f>
        <v>1</v>
      </c>
      <c r="S203" s="104">
        <f>IF(preDEL!$AG203,IFERROR(0/0,""),preDEL!S203)</f>
        <v>1</v>
      </c>
      <c r="T203" s="110" t="str">
        <f>IF(preDEL!$AG203,IFERROR(0/0,""),preDEL!T203)</f>
        <v/>
      </c>
      <c r="U203" s="112" t="str">
        <f>IF(preDEL!$AG203,IFERROR(0/0,""),preDEL!U203)</f>
        <v/>
      </c>
      <c r="V203" s="105" t="str">
        <f>IF(preDEL!$AG203,IFERROR(0/0,""),preDEL!V203)</f>
        <v/>
      </c>
      <c r="W203" s="112" t="str">
        <f>IF(preDEL!$AG203,IFERROR(0/0,""),preDEL!W203)</f>
        <v/>
      </c>
      <c r="X203" s="104" t="b">
        <f>IF(preDEL!$AG203,IFERROR(0/0,""),preDEL!X203)</f>
        <v>0</v>
      </c>
      <c r="Y203" s="110" t="b">
        <f>IF(preDEL!$AG203,IFERROR(0/0,""),preDEL!Y203)</f>
        <v>0</v>
      </c>
      <c r="Z203" s="105" t="str">
        <f>IF(preDEL!$AG203,IFERROR(0/0,""),preDEL!Z203)</f>
        <v/>
      </c>
      <c r="AA203" s="110" t="b">
        <f>IF(preDEL!$AG203,IFERROR(0/0,""),preDEL!AA203)</f>
        <v>0</v>
      </c>
      <c r="AB203" s="110" t="b">
        <f>IF(preDEL!$AG203,IFERROR(0/0,""),preDEL!AB203)</f>
        <v>0</v>
      </c>
      <c r="AC203" s="172">
        <f>IF(preDEL!$AG203,IFERROR(0/0,""),preDEL!AC203)</f>
        <v>601</v>
      </c>
      <c r="AD203" s="104" t="b">
        <f>IF(preDEL!$AG203,IFERROR(0/0,""),preDEL!AD203)</f>
        <v>0</v>
      </c>
      <c r="AE203" s="173">
        <f>IF(preDEL!$AG203,IFERROR(0/0,""),preDEL!AE203)</f>
        <v>246.1</v>
      </c>
      <c r="AF203" s="110" t="b">
        <f>IF(preDEL!$AG203,IFERROR(0/0,""),preDEL!AF203)</f>
        <v>0</v>
      </c>
      <c r="AG203" s="110" t="b">
        <f>IF(preDEL!$AG203,IFERROR(0/0,""),preDEL!AG203)</f>
        <v>0</v>
      </c>
      <c r="AH203" s="104" t="str">
        <f>IF(preDEL!$AG203,IFERROR(0/0,""),preDEL!AH203)</f>
        <v/>
      </c>
      <c r="AI203" s="105" t="str">
        <f>IF(preDEL!$AG203,IFERROR(0/0,""),preDEL!AI203)</f>
        <v/>
      </c>
      <c r="AJ203" s="112" t="str">
        <f>IF(preDEL!$AG203,IFERROR(0/0,""),preDEL!AJ203)</f>
        <v/>
      </c>
      <c r="AK203" s="105" t="str">
        <f>IF(preDEL!$AG203,IFERROR(0/0,""),preDEL!AK203)</f>
        <v>Negative</v>
      </c>
      <c r="AL203" s="112" t="str">
        <f>IF(preDEL!$AG203,IFERROR(0/0,""),preDEL!AL203)</f>
        <v/>
      </c>
      <c r="AM203" s="112" t="str">
        <f>IF(preDEL!$AG203,IFERROR(0/0,""),preDEL!AM203)</f>
        <v>SpBEND541174</v>
      </c>
      <c r="AN203" s="112" t="str">
        <f>IF(preDEL!$AG203,IFERROR(0/0,""),preDEL!AN203)</f>
        <v>BEND785384</v>
      </c>
      <c r="AO203" s="112" t="str">
        <f>IF(preDEL!$AG203,IFERROR(0/0,""),preDEL!AO203)</f>
        <v/>
      </c>
      <c r="AP203" s="112" t="str">
        <f>IF(preDEL!$AG203,IFERROR(0/0,""),preDEL!AP203)</f>
        <v/>
      </c>
      <c r="AQ203" s="112" t="str">
        <f>IF(preDEL!$AG203,IFERROR(0/0,""),preDEL!AQ203)</f>
        <v/>
      </c>
      <c r="AR203" s="112" t="str">
        <f>IF(preDEL!$AG203,IFERROR(0/0,""),preDEL!AR203)</f>
        <v/>
      </c>
      <c r="AS203" s="112" t="str">
        <f>IF(preDEL!$AG203,IFERROR(0/0,""),preDEL!AS203)</f>
        <v/>
      </c>
      <c r="AT203" s="112" t="b">
        <f>IF(preDEL!$AG203,IFERROR(0/0,""),preDEL!AT203)</f>
        <v>0</v>
      </c>
      <c r="AU203" s="112" t="str">
        <f>IF(preDEL!$AG203,IFERROR(0/0,""),preDEL!AU203)</f>
        <v/>
      </c>
      <c r="AV203" s="112" t="str">
        <f>IF(preDEL!$AG203,IFERROR(0/0,""),preDEL!AV203)</f>
        <v/>
      </c>
      <c r="AW203" s="112" t="str">
        <f>IF(preDEL!$AG203,IFERROR(0/0,""),preDEL!AW203)</f>
        <v/>
      </c>
      <c r="AX203" s="112" t="str">
        <f>IF(preDEL!$AG203,IFERROR(0/0,""),preDEL!AX203)</f>
        <v/>
      </c>
      <c r="AY203" s="112" t="str">
        <f>IF(preDEL!$AG203,IFERROR(0/0,""),preDEL!AY203)</f>
        <v/>
      </c>
      <c r="AZ203" s="174"/>
      <c r="BA203" s="174"/>
      <c r="BB203" s="174"/>
      <c r="BC203" s="174"/>
      <c r="BD203" s="174"/>
      <c r="BE203" s="174"/>
      <c r="BF203" s="174"/>
      <c r="BG203" s="174"/>
      <c r="BH203" s="174"/>
      <c r="BI203" s="174"/>
      <c r="BJ203" s="174"/>
      <c r="BK203" s="174"/>
      <c r="BL203" s="174"/>
      <c r="BM203" s="174"/>
      <c r="BN203" s="174"/>
      <c r="BO203" s="174"/>
      <c r="BP203" s="174"/>
      <c r="BQ203" s="174"/>
      <c r="BR203" s="174"/>
      <c r="BS203" s="174"/>
      <c r="BT203" s="174"/>
      <c r="BU203" s="174"/>
      <c r="BV203" s="174"/>
      <c r="BW203" s="174"/>
      <c r="BX203" s="174"/>
      <c r="BY203" s="174"/>
      <c r="BZ203" s="174"/>
      <c r="CA203" s="174"/>
      <c r="CB203" s="174"/>
      <c r="CC203" s="174"/>
      <c r="CD203" s="174"/>
    </row>
    <row r="204">
      <c r="A204" s="105" t="str">
        <f>IF(preDEL!$AG204,IFERROR(0/0,""),preDEL!A204)</f>
        <v>MA490</v>
      </c>
      <c r="B204" s="170">
        <f>IF(preDEL!$AG204,IFERROR(0/0,""),preDEL!B204)</f>
        <v>44575</v>
      </c>
      <c r="C204" s="171">
        <f>IF(preDEL!$AG204,IFERROR(0/0,""),preDEL!C204)</f>
        <v>0.3125925926</v>
      </c>
      <c r="D204" s="105" t="str">
        <f>IF(preDEL!$AG204,IFERROR(0/0,""),preDEL!D204)</f>
        <v/>
      </c>
      <c r="E204" s="105" t="str">
        <f>IF(preDEL!$AG204,IFERROR(0/0,""),preDEL!E204)</f>
        <v/>
      </c>
      <c r="F204" s="112" t="str">
        <f>IF(preDEL!$AG204,IFERROR(0/0,""),preDEL!F204)</f>
        <v/>
      </c>
      <c r="G204" s="112" t="str">
        <f>IF(preDEL!$AG204,IFERROR(0/0,""),preDEL!G204)</f>
        <v/>
      </c>
      <c r="H204" s="112" t="str">
        <f>IF(preDEL!$AG204,IFERROR(0/0,""),preDEL!H204)</f>
        <v/>
      </c>
      <c r="I204" s="105" t="str">
        <f>IF(preDEL!$AG204,IFERROR(0/0,""),preDEL!I204)</f>
        <v/>
      </c>
      <c r="J204" s="105" t="str">
        <f>IF(preDEL!$AG204,IFERROR(0/0,""),preDEL!J204)</f>
        <v/>
      </c>
      <c r="K204" s="105" t="str">
        <f>IF(preDEL!$AG204,IFERROR(0/0,""),preDEL!K204)</f>
        <v>Negative</v>
      </c>
      <c r="L204" s="170">
        <f>IF(preDEL!$AG204,IFERROR(0/0,""),preDEL!L204)</f>
        <v>44575</v>
      </c>
      <c r="M204" s="171">
        <f>IF(preDEL!$AG204,IFERROR(0/0,""),preDEL!M204)</f>
        <v>0.4820601852</v>
      </c>
      <c r="N204" s="112" t="str">
        <f>IF(preDEL!$AG204,IFERROR(0/0,""),preDEL!N204)</f>
        <v/>
      </c>
      <c r="O204" s="112" t="str">
        <f>IF(preDEL!$AG204,IFERROR(0/0,""),preDEL!O204)</f>
        <v/>
      </c>
      <c r="P204" s="110" t="b">
        <f>IF(preDEL!$AG204,IFERROR(0/0,""),preDEL!P204)</f>
        <v>0</v>
      </c>
      <c r="Q204" s="110" t="str">
        <f>IF(preDEL!$AG204,IFERROR(0/0,""),preDEL!Q204)</f>
        <v>Result</v>
      </c>
      <c r="R204" s="104" t="b">
        <f>IF(preDEL!$AG204,IFERROR(0/0,""),preDEL!R204)</f>
        <v>1</v>
      </c>
      <c r="S204" s="104">
        <f>IF(preDEL!$AG204,IFERROR(0/0,""),preDEL!S204)</f>
        <v>1</v>
      </c>
      <c r="T204" s="110" t="str">
        <f>IF(preDEL!$AG204,IFERROR(0/0,""),preDEL!T204)</f>
        <v/>
      </c>
      <c r="U204" s="112" t="str">
        <f>IF(preDEL!$AG204,IFERROR(0/0,""),preDEL!U204)</f>
        <v/>
      </c>
      <c r="V204" s="105" t="str">
        <f>IF(preDEL!$AG204,IFERROR(0/0,""),preDEL!V204)</f>
        <v/>
      </c>
      <c r="W204" s="112" t="str">
        <f>IF(preDEL!$AG204,IFERROR(0/0,""),preDEL!W204)</f>
        <v/>
      </c>
      <c r="X204" s="104" t="b">
        <f>IF(preDEL!$AG204,IFERROR(0/0,""),preDEL!X204)</f>
        <v>0</v>
      </c>
      <c r="Y204" s="110" t="b">
        <f>IF(preDEL!$AG204,IFERROR(0/0,""),preDEL!Y204)</f>
        <v>0</v>
      </c>
      <c r="Z204" s="105" t="str">
        <f>IF(preDEL!$AG204,IFERROR(0/0,""),preDEL!Z204)</f>
        <v/>
      </c>
      <c r="AA204" s="110" t="b">
        <f>IF(preDEL!$AG204,IFERROR(0/0,""),preDEL!AA204)</f>
        <v>0</v>
      </c>
      <c r="AB204" s="110" t="b">
        <f>IF(preDEL!$AG204,IFERROR(0/0,""),preDEL!AB204)</f>
        <v>0</v>
      </c>
      <c r="AC204" s="172">
        <f>IF(preDEL!$AG204,IFERROR(0/0,""),preDEL!AC204)</f>
        <v>600</v>
      </c>
      <c r="AD204" s="104" t="b">
        <f>IF(preDEL!$AG204,IFERROR(0/0,""),preDEL!AD204)</f>
        <v>0</v>
      </c>
      <c r="AE204" s="173">
        <f>IF(preDEL!$AG204,IFERROR(0/0,""),preDEL!AE204)</f>
        <v>244.0333333</v>
      </c>
      <c r="AF204" s="110" t="b">
        <f>IF(preDEL!$AG204,IFERROR(0/0,""),preDEL!AF204)</f>
        <v>0</v>
      </c>
      <c r="AG204" s="110" t="b">
        <f>IF(preDEL!$AG204,IFERROR(0/0,""),preDEL!AG204)</f>
        <v>0</v>
      </c>
      <c r="AH204" s="104" t="str">
        <f>IF(preDEL!$AG204,IFERROR(0/0,""),preDEL!AH204)</f>
        <v/>
      </c>
      <c r="AI204" s="105" t="str">
        <f>IF(preDEL!$AG204,IFERROR(0/0,""),preDEL!AI204)</f>
        <v/>
      </c>
      <c r="AJ204" s="112" t="str">
        <f>IF(preDEL!$AG204,IFERROR(0/0,""),preDEL!AJ204)</f>
        <v/>
      </c>
      <c r="AK204" s="105" t="str">
        <f>IF(preDEL!$AG204,IFERROR(0/0,""),preDEL!AK204)</f>
        <v>Negative</v>
      </c>
      <c r="AL204" s="112" t="str">
        <f>IF(preDEL!$AG204,IFERROR(0/0,""),preDEL!AL204)</f>
        <v/>
      </c>
      <c r="AM204" s="112" t="str">
        <f>IF(preDEL!$AG204,IFERROR(0/0,""),preDEL!AM204)</f>
        <v>SpBEND977859</v>
      </c>
      <c r="AN204" s="112" t="str">
        <f>IF(preDEL!$AG204,IFERROR(0/0,""),preDEL!AN204)</f>
        <v>BEND143262</v>
      </c>
      <c r="AO204" s="112" t="str">
        <f>IF(preDEL!$AG204,IFERROR(0/0,""),preDEL!AO204)</f>
        <v/>
      </c>
      <c r="AP204" s="112" t="str">
        <f>IF(preDEL!$AG204,IFERROR(0/0,""),preDEL!AP204)</f>
        <v/>
      </c>
      <c r="AQ204" s="112" t="str">
        <f>IF(preDEL!$AG204,IFERROR(0/0,""),preDEL!AQ204)</f>
        <v/>
      </c>
      <c r="AR204" s="112" t="str">
        <f>IF(preDEL!$AG204,IFERROR(0/0,""),preDEL!AR204)</f>
        <v/>
      </c>
      <c r="AS204" s="112" t="str">
        <f>IF(preDEL!$AG204,IFERROR(0/0,""),preDEL!AS204)</f>
        <v/>
      </c>
      <c r="AT204" s="112" t="b">
        <f>IF(preDEL!$AG204,IFERROR(0/0,""),preDEL!AT204)</f>
        <v>0</v>
      </c>
      <c r="AU204" s="112" t="str">
        <f>IF(preDEL!$AG204,IFERROR(0/0,""),preDEL!AU204)</f>
        <v/>
      </c>
      <c r="AV204" s="112" t="str">
        <f>IF(preDEL!$AG204,IFERROR(0/0,""),preDEL!AV204)</f>
        <v/>
      </c>
      <c r="AW204" s="112" t="str">
        <f>IF(preDEL!$AG204,IFERROR(0/0,""),preDEL!AW204)</f>
        <v/>
      </c>
      <c r="AX204" s="112" t="str">
        <f>IF(preDEL!$AG204,IFERROR(0/0,""),preDEL!AX204)</f>
        <v/>
      </c>
      <c r="AY204" s="112" t="str">
        <f>IF(preDEL!$AG204,IFERROR(0/0,""),preDEL!AY204)</f>
        <v/>
      </c>
      <c r="AZ204" s="174"/>
      <c r="BA204" s="174"/>
      <c r="BB204" s="174"/>
      <c r="BC204" s="174"/>
      <c r="BD204" s="174"/>
      <c r="BE204" s="174"/>
      <c r="BF204" s="174"/>
      <c r="BG204" s="174"/>
      <c r="BH204" s="174"/>
      <c r="BI204" s="174"/>
      <c r="BJ204" s="174"/>
      <c r="BK204" s="174"/>
      <c r="BL204" s="174"/>
      <c r="BM204" s="174"/>
      <c r="BN204" s="174"/>
      <c r="BO204" s="174"/>
      <c r="BP204" s="174"/>
      <c r="BQ204" s="174"/>
      <c r="BR204" s="174"/>
      <c r="BS204" s="174"/>
      <c r="BT204" s="174"/>
      <c r="BU204" s="174"/>
      <c r="BV204" s="174"/>
      <c r="BW204" s="174"/>
      <c r="BX204" s="174"/>
      <c r="BY204" s="174"/>
      <c r="BZ204" s="174"/>
      <c r="CA204" s="174"/>
      <c r="CB204" s="174"/>
      <c r="CC204" s="174"/>
      <c r="CD204" s="174"/>
    </row>
    <row r="205">
      <c r="A205" s="105" t="str">
        <f>IF(preDEL!$AG205,IFERROR(0/0,""),preDEL!A205)</f>
        <v>MA1243</v>
      </c>
      <c r="B205" s="170">
        <f>IF(preDEL!$AG205,IFERROR(0/0,""),preDEL!B205)</f>
        <v>44575</v>
      </c>
      <c r="C205" s="171">
        <f>IF(preDEL!$AG205,IFERROR(0/0,""),preDEL!C205)</f>
        <v>0.3230439815</v>
      </c>
      <c r="D205" s="105" t="str">
        <f>IF(preDEL!$AG205,IFERROR(0/0,""),preDEL!D205)</f>
        <v/>
      </c>
      <c r="E205" s="105" t="str">
        <f>IF(preDEL!$AG205,IFERROR(0/0,""),preDEL!E205)</f>
        <v/>
      </c>
      <c r="F205" s="112" t="str">
        <f>IF(preDEL!$AG205,IFERROR(0/0,""),preDEL!F205)</f>
        <v/>
      </c>
      <c r="G205" s="112" t="str">
        <f>IF(preDEL!$AG205,IFERROR(0/0,""),preDEL!G205)</f>
        <v/>
      </c>
      <c r="H205" s="112" t="str">
        <f>IF(preDEL!$AG205,IFERROR(0/0,""),preDEL!H205)</f>
        <v/>
      </c>
      <c r="I205" s="105" t="str">
        <f>IF(preDEL!$AG205,IFERROR(0/0,""),preDEL!I205)</f>
        <v/>
      </c>
      <c r="J205" s="105" t="str">
        <f>IF(preDEL!$AG205,IFERROR(0/0,""),preDEL!J205)</f>
        <v/>
      </c>
      <c r="K205" s="105" t="str">
        <f>IF(preDEL!$AG205,IFERROR(0/0,""),preDEL!K205)</f>
        <v>Positive</v>
      </c>
      <c r="L205" s="170">
        <f>IF(preDEL!$AG205,IFERROR(0/0,""),preDEL!L205)</f>
        <v>44579</v>
      </c>
      <c r="M205" s="171">
        <f>IF(preDEL!$AG205,IFERROR(0/0,""),preDEL!M205)</f>
        <v>0.5015856481</v>
      </c>
      <c r="N205" s="112" t="str">
        <f>IF(preDEL!$AG205,IFERROR(0/0,""),preDEL!N205)</f>
        <v/>
      </c>
      <c r="O205" s="112" t="str">
        <f>IF(preDEL!$AG205,IFERROR(0/0,""),preDEL!O205)</f>
        <v/>
      </c>
      <c r="P205" s="110" t="b">
        <f>IF(preDEL!$AG205,IFERROR(0/0,""),preDEL!P205)</f>
        <v>0</v>
      </c>
      <c r="Q205" s="110" t="str">
        <f>IF(preDEL!$AG205,IFERROR(0/0,""),preDEL!Q205)</f>
        <v>Result</v>
      </c>
      <c r="R205" s="104" t="b">
        <f>IF(preDEL!$AG205,IFERROR(0/0,""),preDEL!R205)</f>
        <v>1</v>
      </c>
      <c r="S205" s="104">
        <f>IF(preDEL!$AG205,IFERROR(0/0,""),preDEL!S205)</f>
        <v>1</v>
      </c>
      <c r="T205" s="110" t="str">
        <f>IF(preDEL!$AG205,IFERROR(0/0,""),preDEL!T205)</f>
        <v/>
      </c>
      <c r="U205" s="112" t="str">
        <f>IF(preDEL!$AG205,IFERROR(0/0,""),preDEL!U205)</f>
        <v/>
      </c>
      <c r="V205" s="105" t="str">
        <f>IF(preDEL!$AG205,IFERROR(0/0,""),preDEL!V205)</f>
        <v/>
      </c>
      <c r="W205" s="112" t="str">
        <f>IF(preDEL!$AG205,IFERROR(0/0,""),preDEL!W205)</f>
        <v/>
      </c>
      <c r="X205" s="104" t="b">
        <f>IF(preDEL!$AG205,IFERROR(0/0,""),preDEL!X205)</f>
        <v>0</v>
      </c>
      <c r="Y205" s="110" t="b">
        <f>IF(preDEL!$AG205,IFERROR(0/0,""),preDEL!Y205)</f>
        <v>0</v>
      </c>
      <c r="Z205" s="105" t="str">
        <f>IF(preDEL!$AG205,IFERROR(0/0,""),preDEL!Z205)</f>
        <v/>
      </c>
      <c r="AA205" s="110" t="b">
        <f>IF(preDEL!$AG205,IFERROR(0/0,""),preDEL!AA205)</f>
        <v>0</v>
      </c>
      <c r="AB205" s="110" t="b">
        <f>IF(preDEL!$AG205,IFERROR(0/0,""),preDEL!AB205)</f>
        <v>0</v>
      </c>
      <c r="AC205" s="172">
        <f>IF(preDEL!$AG205,IFERROR(0/0,""),preDEL!AC205)</f>
        <v>599</v>
      </c>
      <c r="AD205" s="104" t="b">
        <f>IF(preDEL!$AG205,IFERROR(0/0,""),preDEL!AD205)</f>
        <v>0</v>
      </c>
      <c r="AE205" s="173" t="str">
        <f>IF(preDEL!$AG205,IFERROR(0/0,""),preDEL!AE205)</f>
        <v/>
      </c>
      <c r="AF205" s="110" t="b">
        <f>IF(preDEL!$AG205,IFERROR(0/0,""),preDEL!AF205)</f>
        <v>0</v>
      </c>
      <c r="AG205" s="110" t="b">
        <f>IF(preDEL!$AG205,IFERROR(0/0,""),preDEL!AG205)</f>
        <v>0</v>
      </c>
      <c r="AH205" s="104" t="str">
        <f>IF(preDEL!$AG205,IFERROR(0/0,""),preDEL!AH205)</f>
        <v/>
      </c>
      <c r="AI205" s="105" t="str">
        <f>IF(preDEL!$AG205,IFERROR(0/0,""),preDEL!AI205)</f>
        <v/>
      </c>
      <c r="AJ205" s="112" t="str">
        <f>IF(preDEL!$AG205,IFERROR(0/0,""),preDEL!AJ205)</f>
        <v/>
      </c>
      <c r="AK205" s="105" t="str">
        <f>IF(preDEL!$AG205,IFERROR(0/0,""),preDEL!AK205)</f>
        <v>Positive</v>
      </c>
      <c r="AL205" s="112" t="str">
        <f>IF(preDEL!$AG205,IFERROR(0/0,""),preDEL!AL205)</f>
        <v/>
      </c>
      <c r="AM205" s="112" t="str">
        <f>IF(preDEL!$AG205,IFERROR(0/0,""),preDEL!AM205)</f>
        <v>SpBEND767550</v>
      </c>
      <c r="AN205" s="112" t="str">
        <f>IF(preDEL!$AG205,IFERROR(0/0,""),preDEL!AN205)</f>
        <v>BEND245933</v>
      </c>
      <c r="AO205" s="112" t="str">
        <f>IF(preDEL!$AG205,IFERROR(0/0,""),preDEL!AO205)</f>
        <v/>
      </c>
      <c r="AP205" s="112" t="str">
        <f>IF(preDEL!$AG205,IFERROR(0/0,""),preDEL!AP205)</f>
        <v/>
      </c>
      <c r="AQ205" s="112" t="str">
        <f>IF(preDEL!$AG205,IFERROR(0/0,""),preDEL!AQ205)</f>
        <v/>
      </c>
      <c r="AR205" s="112" t="str">
        <f>IF(preDEL!$AG205,IFERROR(0/0,""),preDEL!AR205)</f>
        <v/>
      </c>
      <c r="AS205" s="112" t="str">
        <f>IF(preDEL!$AG205,IFERROR(0/0,""),preDEL!AS205)</f>
        <v/>
      </c>
      <c r="AT205" s="112" t="b">
        <f>IF(preDEL!$AG205,IFERROR(0/0,""),preDEL!AT205)</f>
        <v>0</v>
      </c>
      <c r="AU205" s="112" t="str">
        <f>IF(preDEL!$AG205,IFERROR(0/0,""),preDEL!AU205)</f>
        <v/>
      </c>
      <c r="AV205" s="112" t="str">
        <f>IF(preDEL!$AG205,IFERROR(0/0,""),preDEL!AV205)</f>
        <v/>
      </c>
      <c r="AW205" s="112" t="str">
        <f>IF(preDEL!$AG205,IFERROR(0/0,""),preDEL!AW205)</f>
        <v/>
      </c>
      <c r="AX205" s="112" t="str">
        <f>IF(preDEL!$AG205,IFERROR(0/0,""),preDEL!AX205)</f>
        <v/>
      </c>
      <c r="AY205" s="112" t="str">
        <f>IF(preDEL!$AG205,IFERROR(0/0,""),preDEL!AY205)</f>
        <v/>
      </c>
      <c r="AZ205" s="174"/>
      <c r="BA205" s="174"/>
      <c r="BB205" s="174"/>
      <c r="BC205" s="174"/>
      <c r="BD205" s="174"/>
      <c r="BE205" s="174"/>
      <c r="BF205" s="174"/>
      <c r="BG205" s="174"/>
      <c r="BH205" s="174"/>
      <c r="BI205" s="174"/>
      <c r="BJ205" s="174"/>
      <c r="BK205" s="174"/>
      <c r="BL205" s="174"/>
      <c r="BM205" s="174"/>
      <c r="BN205" s="174"/>
      <c r="BO205" s="174"/>
      <c r="BP205" s="174"/>
      <c r="BQ205" s="174"/>
      <c r="BR205" s="174"/>
      <c r="BS205" s="174"/>
      <c r="BT205" s="174"/>
      <c r="BU205" s="174"/>
      <c r="BV205" s="174"/>
      <c r="BW205" s="174"/>
      <c r="BX205" s="174"/>
      <c r="BY205" s="174"/>
      <c r="BZ205" s="174"/>
      <c r="CA205" s="174"/>
      <c r="CB205" s="174"/>
      <c r="CC205" s="174"/>
      <c r="CD205" s="174"/>
    </row>
    <row r="206">
      <c r="A206" s="105" t="str">
        <f>IF(preDEL!$AG206,IFERROR(0/0,""),preDEL!A206)</f>
        <v>MA1034</v>
      </c>
      <c r="B206" s="170">
        <f>IF(preDEL!$AG206,IFERROR(0/0,""),preDEL!B206)</f>
        <v>44575</v>
      </c>
      <c r="C206" s="171">
        <f>IF(preDEL!$AG206,IFERROR(0/0,""),preDEL!C206)</f>
        <v>0.3307175926</v>
      </c>
      <c r="D206" s="105" t="str">
        <f>IF(preDEL!$AG206,IFERROR(0/0,""),preDEL!D206)</f>
        <v/>
      </c>
      <c r="E206" s="105" t="str">
        <f>IF(preDEL!$AG206,IFERROR(0/0,""),preDEL!E206)</f>
        <v/>
      </c>
      <c r="F206" s="112" t="str">
        <f>IF(preDEL!$AG206,IFERROR(0/0,""),preDEL!F206)</f>
        <v/>
      </c>
      <c r="G206" s="112" t="str">
        <f>IF(preDEL!$AG206,IFERROR(0/0,""),preDEL!G206)</f>
        <v/>
      </c>
      <c r="H206" s="112" t="str">
        <f>IF(preDEL!$AG206,IFERROR(0/0,""),preDEL!H206)</f>
        <v/>
      </c>
      <c r="I206" s="105" t="str">
        <f>IF(preDEL!$AG206,IFERROR(0/0,""),preDEL!I206)</f>
        <v/>
      </c>
      <c r="J206" s="105" t="str">
        <f>IF(preDEL!$AG206,IFERROR(0/0,""),preDEL!J206)</f>
        <v/>
      </c>
      <c r="K206" s="105" t="str">
        <f>IF(preDEL!$AG206,IFERROR(0/0,""),preDEL!K206)</f>
        <v>Negative</v>
      </c>
      <c r="L206" s="170">
        <f>IF(preDEL!$AG206,IFERROR(0/0,""),preDEL!L206)</f>
        <v>44575</v>
      </c>
      <c r="M206" s="171">
        <f>IF(preDEL!$AG206,IFERROR(0/0,""),preDEL!M206)</f>
        <v>0.4820601852</v>
      </c>
      <c r="N206" s="112" t="str">
        <f>IF(preDEL!$AG206,IFERROR(0/0,""),preDEL!N206)</f>
        <v/>
      </c>
      <c r="O206" s="112" t="str">
        <f>IF(preDEL!$AG206,IFERROR(0/0,""),preDEL!O206)</f>
        <v/>
      </c>
      <c r="P206" s="110" t="b">
        <f>IF(preDEL!$AG206,IFERROR(0/0,""),preDEL!P206)</f>
        <v>0</v>
      </c>
      <c r="Q206" s="110" t="str">
        <f>IF(preDEL!$AG206,IFERROR(0/0,""),preDEL!Q206)</f>
        <v>Result</v>
      </c>
      <c r="R206" s="104" t="b">
        <f>IF(preDEL!$AG206,IFERROR(0/0,""),preDEL!R206)</f>
        <v>1</v>
      </c>
      <c r="S206" s="104">
        <f>IF(preDEL!$AG206,IFERROR(0/0,""),preDEL!S206)</f>
        <v>1</v>
      </c>
      <c r="T206" s="110" t="str">
        <f>IF(preDEL!$AG206,IFERROR(0/0,""),preDEL!T206)</f>
        <v/>
      </c>
      <c r="U206" s="112" t="str">
        <f>IF(preDEL!$AG206,IFERROR(0/0,""),preDEL!U206)</f>
        <v/>
      </c>
      <c r="V206" s="105" t="str">
        <f>IF(preDEL!$AG206,IFERROR(0/0,""),preDEL!V206)</f>
        <v/>
      </c>
      <c r="W206" s="112" t="str">
        <f>IF(preDEL!$AG206,IFERROR(0/0,""),preDEL!W206)</f>
        <v/>
      </c>
      <c r="X206" s="104" t="b">
        <f>IF(preDEL!$AG206,IFERROR(0/0,""),preDEL!X206)</f>
        <v>0</v>
      </c>
      <c r="Y206" s="110" t="b">
        <f>IF(preDEL!$AG206,IFERROR(0/0,""),preDEL!Y206)</f>
        <v>0</v>
      </c>
      <c r="Z206" s="105" t="str">
        <f>IF(preDEL!$AG206,IFERROR(0/0,""),preDEL!Z206)</f>
        <v/>
      </c>
      <c r="AA206" s="110" t="b">
        <f>IF(preDEL!$AG206,IFERROR(0/0,""),preDEL!AA206)</f>
        <v>0</v>
      </c>
      <c r="AB206" s="110" t="b">
        <f>IF(preDEL!$AG206,IFERROR(0/0,""),preDEL!AB206)</f>
        <v>0</v>
      </c>
      <c r="AC206" s="172">
        <f>IF(preDEL!$AG206,IFERROR(0/0,""),preDEL!AC206)</f>
        <v>598</v>
      </c>
      <c r="AD206" s="104" t="b">
        <f>IF(preDEL!$AG206,IFERROR(0/0,""),preDEL!AD206)</f>
        <v>0</v>
      </c>
      <c r="AE206" s="173">
        <f>IF(preDEL!$AG206,IFERROR(0/0,""),preDEL!AE206)</f>
        <v>217.9333333</v>
      </c>
      <c r="AF206" s="110" t="b">
        <f>IF(preDEL!$AG206,IFERROR(0/0,""),preDEL!AF206)</f>
        <v>0</v>
      </c>
      <c r="AG206" s="110" t="b">
        <f>IF(preDEL!$AG206,IFERROR(0/0,""),preDEL!AG206)</f>
        <v>0</v>
      </c>
      <c r="AH206" s="104" t="str">
        <f>IF(preDEL!$AG206,IFERROR(0/0,""),preDEL!AH206)</f>
        <v/>
      </c>
      <c r="AI206" s="105" t="str">
        <f>IF(preDEL!$AG206,IFERROR(0/0,""),preDEL!AI206)</f>
        <v/>
      </c>
      <c r="AJ206" s="112" t="str">
        <f>IF(preDEL!$AG206,IFERROR(0/0,""),preDEL!AJ206)</f>
        <v/>
      </c>
      <c r="AK206" s="105" t="str">
        <f>IF(preDEL!$AG206,IFERROR(0/0,""),preDEL!AK206)</f>
        <v>Negative</v>
      </c>
      <c r="AL206" s="112" t="str">
        <f>IF(preDEL!$AG206,IFERROR(0/0,""),preDEL!AL206)</f>
        <v/>
      </c>
      <c r="AM206" s="112" t="str">
        <f>IF(preDEL!$AG206,IFERROR(0/0,""),preDEL!AM206)</f>
        <v>SpBEND548976</v>
      </c>
      <c r="AN206" s="112" t="str">
        <f>IF(preDEL!$AG206,IFERROR(0/0,""),preDEL!AN206)</f>
        <v>BEND704851</v>
      </c>
      <c r="AO206" s="112" t="str">
        <f>IF(preDEL!$AG206,IFERROR(0/0,""),preDEL!AO206)</f>
        <v/>
      </c>
      <c r="AP206" s="112" t="str">
        <f>IF(preDEL!$AG206,IFERROR(0/0,""),preDEL!AP206)</f>
        <v/>
      </c>
      <c r="AQ206" s="112" t="str">
        <f>IF(preDEL!$AG206,IFERROR(0/0,""),preDEL!AQ206)</f>
        <v/>
      </c>
      <c r="AR206" s="112" t="str">
        <f>IF(preDEL!$AG206,IFERROR(0/0,""),preDEL!AR206)</f>
        <v/>
      </c>
      <c r="AS206" s="112" t="str">
        <f>IF(preDEL!$AG206,IFERROR(0/0,""),preDEL!AS206)</f>
        <v/>
      </c>
      <c r="AT206" s="112" t="b">
        <f>IF(preDEL!$AG206,IFERROR(0/0,""),preDEL!AT206)</f>
        <v>0</v>
      </c>
      <c r="AU206" s="112" t="str">
        <f>IF(preDEL!$AG206,IFERROR(0/0,""),preDEL!AU206)</f>
        <v/>
      </c>
      <c r="AV206" s="112" t="str">
        <f>IF(preDEL!$AG206,IFERROR(0/0,""),preDEL!AV206)</f>
        <v/>
      </c>
      <c r="AW206" s="112" t="str">
        <f>IF(preDEL!$AG206,IFERROR(0/0,""),preDEL!AW206)</f>
        <v/>
      </c>
      <c r="AX206" s="112" t="str">
        <f>IF(preDEL!$AG206,IFERROR(0/0,""),preDEL!AX206)</f>
        <v/>
      </c>
      <c r="AY206" s="112" t="str">
        <f>IF(preDEL!$AG206,IFERROR(0/0,""),preDEL!AY206)</f>
        <v/>
      </c>
      <c r="AZ206" s="174"/>
      <c r="BA206" s="174"/>
      <c r="BB206" s="174"/>
      <c r="BC206" s="174"/>
      <c r="BD206" s="174"/>
      <c r="BE206" s="174"/>
      <c r="BF206" s="174"/>
      <c r="BG206" s="174"/>
      <c r="BH206" s="174"/>
      <c r="BI206" s="174"/>
      <c r="BJ206" s="174"/>
      <c r="BK206" s="174"/>
      <c r="BL206" s="174"/>
      <c r="BM206" s="174"/>
      <c r="BN206" s="174"/>
      <c r="BO206" s="174"/>
      <c r="BP206" s="174"/>
      <c r="BQ206" s="174"/>
      <c r="BR206" s="174"/>
      <c r="BS206" s="174"/>
      <c r="BT206" s="174"/>
      <c r="BU206" s="174"/>
      <c r="BV206" s="174"/>
      <c r="BW206" s="174"/>
      <c r="BX206" s="174"/>
      <c r="BY206" s="174"/>
      <c r="BZ206" s="174"/>
      <c r="CA206" s="174"/>
      <c r="CB206" s="174"/>
      <c r="CC206" s="174"/>
      <c r="CD206" s="174"/>
    </row>
    <row r="207">
      <c r="A207" s="105" t="str">
        <f>IF(preDEL!$AG207,IFERROR(0/0,""),preDEL!A207)</f>
        <v>MA1186</v>
      </c>
      <c r="B207" s="170">
        <f>IF(preDEL!$AG207,IFERROR(0/0,""),preDEL!B207)</f>
        <v>44575</v>
      </c>
      <c r="C207" s="171">
        <f>IF(preDEL!$AG207,IFERROR(0/0,""),preDEL!C207)</f>
        <v>0.3400578704</v>
      </c>
      <c r="D207" s="105" t="str">
        <f>IF(preDEL!$AG207,IFERROR(0/0,""),preDEL!D207)</f>
        <v/>
      </c>
      <c r="E207" s="105" t="str">
        <f>IF(preDEL!$AG207,IFERROR(0/0,""),preDEL!E207)</f>
        <v/>
      </c>
      <c r="F207" s="112" t="str">
        <f>IF(preDEL!$AG207,IFERROR(0/0,""),preDEL!F207)</f>
        <v/>
      </c>
      <c r="G207" s="112" t="str">
        <f>IF(preDEL!$AG207,IFERROR(0/0,""),preDEL!G207)</f>
        <v/>
      </c>
      <c r="H207" s="112" t="str">
        <f>IF(preDEL!$AG207,IFERROR(0/0,""),preDEL!H207)</f>
        <v/>
      </c>
      <c r="I207" s="105" t="str">
        <f>IF(preDEL!$AG207,IFERROR(0/0,""),preDEL!I207)</f>
        <v/>
      </c>
      <c r="J207" s="105" t="str">
        <f>IF(preDEL!$AG207,IFERROR(0/0,""),preDEL!J207)</f>
        <v/>
      </c>
      <c r="K207" s="105" t="str">
        <f>IF(preDEL!$AG207,IFERROR(0/0,""),preDEL!K207)</f>
        <v>Positive</v>
      </c>
      <c r="L207" s="170">
        <f>IF(preDEL!$AG207,IFERROR(0/0,""),preDEL!L207)</f>
        <v>44579</v>
      </c>
      <c r="M207" s="171">
        <f>IF(preDEL!$AG207,IFERROR(0/0,""),preDEL!M207)</f>
        <v>0.5015856481</v>
      </c>
      <c r="N207" s="112" t="str">
        <f>IF(preDEL!$AG207,IFERROR(0/0,""),preDEL!N207)</f>
        <v/>
      </c>
      <c r="O207" s="112" t="str">
        <f>IF(preDEL!$AG207,IFERROR(0/0,""),preDEL!O207)</f>
        <v/>
      </c>
      <c r="P207" s="110" t="b">
        <f>IF(preDEL!$AG207,IFERROR(0/0,""),preDEL!P207)</f>
        <v>0</v>
      </c>
      <c r="Q207" s="110" t="str">
        <f>IF(preDEL!$AG207,IFERROR(0/0,""),preDEL!Q207)</f>
        <v>Result</v>
      </c>
      <c r="R207" s="104" t="b">
        <f>IF(preDEL!$AG207,IFERROR(0/0,""),preDEL!R207)</f>
        <v>1</v>
      </c>
      <c r="S207" s="104">
        <f>IF(preDEL!$AG207,IFERROR(0/0,""),preDEL!S207)</f>
        <v>1</v>
      </c>
      <c r="T207" s="110">
        <f>IF(preDEL!$AG207,IFERROR(0/0,""),preDEL!T207)</f>
        <v>0</v>
      </c>
      <c r="U207" s="112" t="str">
        <f>IF(preDEL!$AG207,IFERROR(0/0,""),preDEL!U207)</f>
        <v/>
      </c>
      <c r="V207" s="105" t="str">
        <f>IF(preDEL!$AG207,IFERROR(0/0,""),preDEL!V207)</f>
        <v/>
      </c>
      <c r="W207" s="112" t="str">
        <f>IF(preDEL!$AG207,IFERROR(0/0,""),preDEL!W207)</f>
        <v/>
      </c>
      <c r="X207" s="104" t="b">
        <f>IF(preDEL!$AG207,IFERROR(0/0,""),preDEL!X207)</f>
        <v>0</v>
      </c>
      <c r="Y207" s="110" t="b">
        <f>IF(preDEL!$AG207,IFERROR(0/0,""),preDEL!Y207)</f>
        <v>0</v>
      </c>
      <c r="Z207" s="105" t="str">
        <f>IF(preDEL!$AG207,IFERROR(0/0,""),preDEL!Z207)</f>
        <v/>
      </c>
      <c r="AA207" s="110" t="b">
        <f>IF(preDEL!$AG207,IFERROR(0/0,""),preDEL!AA207)</f>
        <v>0</v>
      </c>
      <c r="AB207" s="110" t="b">
        <f>IF(preDEL!$AG207,IFERROR(0/0,""),preDEL!AB207)</f>
        <v>0</v>
      </c>
      <c r="AC207" s="172">
        <f>IF(preDEL!$AG207,IFERROR(0/0,""),preDEL!AC207)</f>
        <v>597</v>
      </c>
      <c r="AD207" s="104" t="b">
        <f>IF(preDEL!$AG207,IFERROR(0/0,""),preDEL!AD207)</f>
        <v>0</v>
      </c>
      <c r="AE207" s="173" t="str">
        <f>IF(preDEL!$AG207,IFERROR(0/0,""),preDEL!AE207)</f>
        <v/>
      </c>
      <c r="AF207" s="110" t="b">
        <f>IF(preDEL!$AG207,IFERROR(0/0,""),preDEL!AF207)</f>
        <v>0</v>
      </c>
      <c r="AG207" s="110" t="b">
        <f>IF(preDEL!$AG207,IFERROR(0/0,""),preDEL!AG207)</f>
        <v>0</v>
      </c>
      <c r="AH207" s="104" t="str">
        <f>IF(preDEL!$AG207,IFERROR(0/0,""),preDEL!AH207)</f>
        <v/>
      </c>
      <c r="AI207" s="105" t="str">
        <f>IF(preDEL!$AG207,IFERROR(0/0,""),preDEL!AI207)</f>
        <v/>
      </c>
      <c r="AJ207" s="112" t="str">
        <f>IF(preDEL!$AG207,IFERROR(0/0,""),preDEL!AJ207)</f>
        <v/>
      </c>
      <c r="AK207" s="105" t="str">
        <f>IF(preDEL!$AG207,IFERROR(0/0,""),preDEL!AK207)</f>
        <v>Positive</v>
      </c>
      <c r="AL207" s="112" t="str">
        <f>IF(preDEL!$AG207,IFERROR(0/0,""),preDEL!AL207)</f>
        <v/>
      </c>
      <c r="AM207" s="112" t="str">
        <f>IF(preDEL!$AG207,IFERROR(0/0,""),preDEL!AM207)</f>
        <v>SpBEND302553</v>
      </c>
      <c r="AN207" s="112" t="str">
        <f>IF(preDEL!$AG207,IFERROR(0/0,""),preDEL!AN207)</f>
        <v>BEND455768</v>
      </c>
      <c r="AO207" s="112" t="str">
        <f>IF(preDEL!$AG207,IFERROR(0/0,""),preDEL!AO207)</f>
        <v/>
      </c>
      <c r="AP207" s="112" t="str">
        <f>IF(preDEL!$AG207,IFERROR(0/0,""),preDEL!AP207)</f>
        <v/>
      </c>
      <c r="AQ207" s="112" t="str">
        <f>IF(preDEL!$AG207,IFERROR(0/0,""),preDEL!AQ207)</f>
        <v/>
      </c>
      <c r="AR207" s="112" t="str">
        <f>IF(preDEL!$AG207,IFERROR(0/0,""),preDEL!AR207)</f>
        <v/>
      </c>
      <c r="AS207" s="112" t="str">
        <f>IF(preDEL!$AG207,IFERROR(0/0,""),preDEL!AS207)</f>
        <v/>
      </c>
      <c r="AT207" s="112" t="b">
        <f>IF(preDEL!$AG207,IFERROR(0/0,""),preDEL!AT207)</f>
        <v>0</v>
      </c>
      <c r="AU207" s="112" t="str">
        <f>IF(preDEL!$AG207,IFERROR(0/0,""),preDEL!AU207)</f>
        <v/>
      </c>
      <c r="AV207" s="112" t="str">
        <f>IF(preDEL!$AG207,IFERROR(0/0,""),preDEL!AV207)</f>
        <v/>
      </c>
      <c r="AW207" s="112" t="str">
        <f>IF(preDEL!$AG207,IFERROR(0/0,""),preDEL!AW207)</f>
        <v/>
      </c>
      <c r="AX207" s="112" t="str">
        <f>IF(preDEL!$AG207,IFERROR(0/0,""),preDEL!AX207)</f>
        <v/>
      </c>
      <c r="AY207" s="112" t="str">
        <f>IF(preDEL!$AG207,IFERROR(0/0,""),preDEL!AY207)</f>
        <v/>
      </c>
      <c r="AZ207" s="174"/>
      <c r="BA207" s="174"/>
      <c r="BB207" s="174"/>
      <c r="BC207" s="174"/>
      <c r="BD207" s="174"/>
      <c r="BE207" s="174"/>
      <c r="BF207" s="174"/>
      <c r="BG207" s="174"/>
      <c r="BH207" s="174"/>
      <c r="BI207" s="174"/>
      <c r="BJ207" s="174"/>
      <c r="BK207" s="174"/>
      <c r="BL207" s="174"/>
      <c r="BM207" s="174"/>
      <c r="BN207" s="174"/>
      <c r="BO207" s="174"/>
      <c r="BP207" s="174"/>
      <c r="BQ207" s="174"/>
      <c r="BR207" s="174"/>
      <c r="BS207" s="174"/>
      <c r="BT207" s="174"/>
      <c r="BU207" s="174"/>
      <c r="BV207" s="174"/>
      <c r="BW207" s="174"/>
      <c r="BX207" s="174"/>
      <c r="BY207" s="174"/>
      <c r="BZ207" s="174"/>
      <c r="CA207" s="174"/>
      <c r="CB207" s="174"/>
      <c r="CC207" s="174"/>
      <c r="CD207" s="174"/>
    </row>
    <row r="208">
      <c r="A208" s="105" t="str">
        <f>IF(preDEL!$AG208,IFERROR(0/0,""),preDEL!A208)</f>
        <v>MA1166</v>
      </c>
      <c r="B208" s="170">
        <f>IF(preDEL!$AG208,IFERROR(0/0,""),preDEL!B208)</f>
        <v>44575</v>
      </c>
      <c r="C208" s="171">
        <f>IF(preDEL!$AG208,IFERROR(0/0,""),preDEL!C208)</f>
        <v>0.3453703704</v>
      </c>
      <c r="D208" s="105" t="str">
        <f>IF(preDEL!$AG208,IFERROR(0/0,""),preDEL!D208)</f>
        <v/>
      </c>
      <c r="E208" s="105" t="str">
        <f>IF(preDEL!$AG208,IFERROR(0/0,""),preDEL!E208)</f>
        <v/>
      </c>
      <c r="F208" s="112" t="str">
        <f>IF(preDEL!$AG208,IFERROR(0/0,""),preDEL!F208)</f>
        <v/>
      </c>
      <c r="G208" s="112" t="str">
        <f>IF(preDEL!$AG208,IFERROR(0/0,""),preDEL!G208)</f>
        <v/>
      </c>
      <c r="H208" s="112" t="str">
        <f>IF(preDEL!$AG208,IFERROR(0/0,""),preDEL!H208)</f>
        <v/>
      </c>
      <c r="I208" s="105" t="str">
        <f>IF(preDEL!$AG208,IFERROR(0/0,""),preDEL!I208)</f>
        <v/>
      </c>
      <c r="J208" s="105" t="str">
        <f>IF(preDEL!$AG208,IFERROR(0/0,""),preDEL!J208)</f>
        <v/>
      </c>
      <c r="K208" s="105" t="str">
        <f>IF(preDEL!$AG208,IFERROR(0/0,""),preDEL!K208)</f>
        <v>Negative</v>
      </c>
      <c r="L208" s="170">
        <f>IF(preDEL!$AG208,IFERROR(0/0,""),preDEL!L208)</f>
        <v>44575</v>
      </c>
      <c r="M208" s="171">
        <f>IF(preDEL!$AG208,IFERROR(0/0,""),preDEL!M208)</f>
        <v>0.4820601852</v>
      </c>
      <c r="N208" s="112" t="str">
        <f>IF(preDEL!$AG208,IFERROR(0/0,""),preDEL!N208)</f>
        <v/>
      </c>
      <c r="O208" s="112" t="str">
        <f>IF(preDEL!$AG208,IFERROR(0/0,""),preDEL!O208)</f>
        <v/>
      </c>
      <c r="P208" s="110" t="b">
        <f>IF(preDEL!$AG208,IFERROR(0/0,""),preDEL!P208)</f>
        <v>0</v>
      </c>
      <c r="Q208" s="110" t="str">
        <f>IF(preDEL!$AG208,IFERROR(0/0,""),preDEL!Q208)</f>
        <v>Result</v>
      </c>
      <c r="R208" s="104" t="b">
        <f>IF(preDEL!$AG208,IFERROR(0/0,""),preDEL!R208)</f>
        <v>1</v>
      </c>
      <c r="S208" s="104">
        <f>IF(preDEL!$AG208,IFERROR(0/0,""),preDEL!S208)</f>
        <v>1</v>
      </c>
      <c r="T208" s="110" t="str">
        <f>IF(preDEL!$AG208,IFERROR(0/0,""),preDEL!T208)</f>
        <v/>
      </c>
      <c r="U208" s="112" t="str">
        <f>IF(preDEL!$AG208,IFERROR(0/0,""),preDEL!U208)</f>
        <v/>
      </c>
      <c r="V208" s="105" t="str">
        <f>IF(preDEL!$AG208,IFERROR(0/0,""),preDEL!V208)</f>
        <v/>
      </c>
      <c r="W208" s="112" t="str">
        <f>IF(preDEL!$AG208,IFERROR(0/0,""),preDEL!W208)</f>
        <v/>
      </c>
      <c r="X208" s="104" t="b">
        <f>IF(preDEL!$AG208,IFERROR(0/0,""),preDEL!X208)</f>
        <v>0</v>
      </c>
      <c r="Y208" s="110" t="b">
        <f>IF(preDEL!$AG208,IFERROR(0/0,""),preDEL!Y208)</f>
        <v>0</v>
      </c>
      <c r="Z208" s="105" t="str">
        <f>IF(preDEL!$AG208,IFERROR(0/0,""),preDEL!Z208)</f>
        <v/>
      </c>
      <c r="AA208" s="110" t="b">
        <f>IF(preDEL!$AG208,IFERROR(0/0,""),preDEL!AA208)</f>
        <v>0</v>
      </c>
      <c r="AB208" s="110" t="b">
        <f>IF(preDEL!$AG208,IFERROR(0/0,""),preDEL!AB208)</f>
        <v>0</v>
      </c>
      <c r="AC208" s="172">
        <f>IF(preDEL!$AG208,IFERROR(0/0,""),preDEL!AC208)</f>
        <v>596</v>
      </c>
      <c r="AD208" s="104" t="b">
        <f>IF(preDEL!$AG208,IFERROR(0/0,""),preDEL!AD208)</f>
        <v>0</v>
      </c>
      <c r="AE208" s="173">
        <f>IF(preDEL!$AG208,IFERROR(0/0,""),preDEL!AE208)</f>
        <v>196.8333333</v>
      </c>
      <c r="AF208" s="110" t="b">
        <f>IF(preDEL!$AG208,IFERROR(0/0,""),preDEL!AF208)</f>
        <v>0</v>
      </c>
      <c r="AG208" s="110" t="b">
        <f>IF(preDEL!$AG208,IFERROR(0/0,""),preDEL!AG208)</f>
        <v>0</v>
      </c>
      <c r="AH208" s="104" t="str">
        <f>IF(preDEL!$AG208,IFERROR(0/0,""),preDEL!AH208)</f>
        <v/>
      </c>
      <c r="AI208" s="105" t="str">
        <f>IF(preDEL!$AG208,IFERROR(0/0,""),preDEL!AI208)</f>
        <v/>
      </c>
      <c r="AJ208" s="112" t="str">
        <f>IF(preDEL!$AG208,IFERROR(0/0,""),preDEL!AJ208)</f>
        <v/>
      </c>
      <c r="AK208" s="105" t="str">
        <f>IF(preDEL!$AG208,IFERROR(0/0,""),preDEL!AK208)</f>
        <v>Negative</v>
      </c>
      <c r="AL208" s="112" t="str">
        <f>IF(preDEL!$AG208,IFERROR(0/0,""),preDEL!AL208)</f>
        <v/>
      </c>
      <c r="AM208" s="112" t="str">
        <f>IF(preDEL!$AG208,IFERROR(0/0,""),preDEL!AM208)</f>
        <v>SpBEND591184</v>
      </c>
      <c r="AN208" s="112" t="str">
        <f>IF(preDEL!$AG208,IFERROR(0/0,""),preDEL!AN208)</f>
        <v>BEND408435</v>
      </c>
      <c r="AO208" s="112" t="str">
        <f>IF(preDEL!$AG208,IFERROR(0/0,""),preDEL!AO208)</f>
        <v/>
      </c>
      <c r="AP208" s="112" t="str">
        <f>IF(preDEL!$AG208,IFERROR(0/0,""),preDEL!AP208)</f>
        <v/>
      </c>
      <c r="AQ208" s="112" t="str">
        <f>IF(preDEL!$AG208,IFERROR(0/0,""),preDEL!AQ208)</f>
        <v/>
      </c>
      <c r="AR208" s="112" t="str">
        <f>IF(preDEL!$AG208,IFERROR(0/0,""),preDEL!AR208)</f>
        <v/>
      </c>
      <c r="AS208" s="112" t="str">
        <f>IF(preDEL!$AG208,IFERROR(0/0,""),preDEL!AS208)</f>
        <v/>
      </c>
      <c r="AT208" s="112" t="b">
        <f>IF(preDEL!$AG208,IFERROR(0/0,""),preDEL!AT208)</f>
        <v>0</v>
      </c>
      <c r="AU208" s="112" t="str">
        <f>IF(preDEL!$AG208,IFERROR(0/0,""),preDEL!AU208)</f>
        <v/>
      </c>
      <c r="AV208" s="112" t="str">
        <f>IF(preDEL!$AG208,IFERROR(0/0,""),preDEL!AV208)</f>
        <v/>
      </c>
      <c r="AW208" s="112" t="str">
        <f>IF(preDEL!$AG208,IFERROR(0/0,""),preDEL!AW208)</f>
        <v/>
      </c>
      <c r="AX208" s="112" t="str">
        <f>IF(preDEL!$AG208,IFERROR(0/0,""),preDEL!AX208)</f>
        <v/>
      </c>
      <c r="AY208" s="112" t="str">
        <f>IF(preDEL!$AG208,IFERROR(0/0,""),preDEL!AY208)</f>
        <v/>
      </c>
      <c r="AZ208" s="174"/>
      <c r="BA208" s="174"/>
      <c r="BB208" s="174"/>
      <c r="BC208" s="174"/>
      <c r="BD208" s="174"/>
      <c r="BE208" s="174"/>
      <c r="BF208" s="174"/>
      <c r="BG208" s="174"/>
      <c r="BH208" s="174"/>
      <c r="BI208" s="174"/>
      <c r="BJ208" s="174"/>
      <c r="BK208" s="174"/>
      <c r="BL208" s="174"/>
      <c r="BM208" s="174"/>
      <c r="BN208" s="174"/>
      <c r="BO208" s="174"/>
      <c r="BP208" s="174"/>
      <c r="BQ208" s="174"/>
      <c r="BR208" s="174"/>
      <c r="BS208" s="174"/>
      <c r="BT208" s="174"/>
      <c r="BU208" s="174"/>
      <c r="BV208" s="174"/>
      <c r="BW208" s="174"/>
      <c r="BX208" s="174"/>
      <c r="BY208" s="174"/>
      <c r="BZ208" s="174"/>
      <c r="CA208" s="174"/>
      <c r="CB208" s="174"/>
      <c r="CC208" s="174"/>
      <c r="CD208" s="174"/>
    </row>
    <row r="209">
      <c r="A209" s="105" t="str">
        <f>IF(preDEL!$AG209,IFERROR(0/0,""),preDEL!A209)</f>
        <v>MA331</v>
      </c>
      <c r="B209" s="170">
        <f>IF(preDEL!$AG209,IFERROR(0/0,""),preDEL!B209)</f>
        <v>44575</v>
      </c>
      <c r="C209" s="171">
        <f>IF(preDEL!$AG209,IFERROR(0/0,""),preDEL!C209)</f>
        <v>0.3471180556</v>
      </c>
      <c r="D209" s="105" t="str">
        <f>IF(preDEL!$AG209,IFERROR(0/0,""),preDEL!D209)</f>
        <v/>
      </c>
      <c r="E209" s="105" t="str">
        <f>IF(preDEL!$AG209,IFERROR(0/0,""),preDEL!E209)</f>
        <v/>
      </c>
      <c r="F209" s="112" t="str">
        <f>IF(preDEL!$AG209,IFERROR(0/0,""),preDEL!F209)</f>
        <v/>
      </c>
      <c r="G209" s="112" t="str">
        <f>IF(preDEL!$AG209,IFERROR(0/0,""),preDEL!G209)</f>
        <v/>
      </c>
      <c r="H209" s="112" t="str">
        <f>IF(preDEL!$AG209,IFERROR(0/0,""),preDEL!H209)</f>
        <v/>
      </c>
      <c r="I209" s="105" t="str">
        <f>IF(preDEL!$AG209,IFERROR(0/0,""),preDEL!I209)</f>
        <v/>
      </c>
      <c r="J209" s="105" t="str">
        <f>IF(preDEL!$AG209,IFERROR(0/0,""),preDEL!J209)</f>
        <v/>
      </c>
      <c r="K209" s="105" t="str">
        <f>IF(preDEL!$AG209,IFERROR(0/0,""),preDEL!K209)</f>
        <v>Negative</v>
      </c>
      <c r="L209" s="170">
        <f>IF(preDEL!$AG209,IFERROR(0/0,""),preDEL!L209)</f>
        <v>44575</v>
      </c>
      <c r="M209" s="171">
        <f>IF(preDEL!$AG209,IFERROR(0/0,""),preDEL!M209)</f>
        <v>0.4820601852</v>
      </c>
      <c r="N209" s="112" t="str">
        <f>IF(preDEL!$AG209,IFERROR(0/0,""),preDEL!N209)</f>
        <v/>
      </c>
      <c r="O209" s="112" t="str">
        <f>IF(preDEL!$AG209,IFERROR(0/0,""),preDEL!O209)</f>
        <v/>
      </c>
      <c r="P209" s="110" t="b">
        <f>IF(preDEL!$AG209,IFERROR(0/0,""),preDEL!P209)</f>
        <v>0</v>
      </c>
      <c r="Q209" s="110" t="str">
        <f>IF(preDEL!$AG209,IFERROR(0/0,""),preDEL!Q209)</f>
        <v>Result</v>
      </c>
      <c r="R209" s="104" t="b">
        <f>IF(preDEL!$AG209,IFERROR(0/0,""),preDEL!R209)</f>
        <v>1</v>
      </c>
      <c r="S209" s="104">
        <f>IF(preDEL!$AG209,IFERROR(0/0,""),preDEL!S209)</f>
        <v>1</v>
      </c>
      <c r="T209" s="110">
        <f>IF(preDEL!$AG209,IFERROR(0/0,""),preDEL!T209)</f>
        <v>0</v>
      </c>
      <c r="U209" s="112" t="str">
        <f>IF(preDEL!$AG209,IFERROR(0/0,""),preDEL!U209)</f>
        <v/>
      </c>
      <c r="V209" s="105" t="str">
        <f>IF(preDEL!$AG209,IFERROR(0/0,""),preDEL!V209)</f>
        <v/>
      </c>
      <c r="W209" s="112" t="str">
        <f>IF(preDEL!$AG209,IFERROR(0/0,""),preDEL!W209)</f>
        <v/>
      </c>
      <c r="X209" s="104" t="b">
        <f>IF(preDEL!$AG209,IFERROR(0/0,""),preDEL!X209)</f>
        <v>0</v>
      </c>
      <c r="Y209" s="110" t="b">
        <f>IF(preDEL!$AG209,IFERROR(0/0,""),preDEL!Y209)</f>
        <v>0</v>
      </c>
      <c r="Z209" s="105" t="str">
        <f>IF(preDEL!$AG209,IFERROR(0/0,""),preDEL!Z209)</f>
        <v/>
      </c>
      <c r="AA209" s="110" t="b">
        <f>IF(preDEL!$AG209,IFERROR(0/0,""),preDEL!AA209)</f>
        <v>0</v>
      </c>
      <c r="AB209" s="110" t="b">
        <f>IF(preDEL!$AG209,IFERROR(0/0,""),preDEL!AB209)</f>
        <v>0</v>
      </c>
      <c r="AC209" s="172">
        <f>IF(preDEL!$AG209,IFERROR(0/0,""),preDEL!AC209)</f>
        <v>595</v>
      </c>
      <c r="AD209" s="104" t="b">
        <f>IF(preDEL!$AG209,IFERROR(0/0,""),preDEL!AD209)</f>
        <v>0</v>
      </c>
      <c r="AE209" s="173">
        <f>IF(preDEL!$AG209,IFERROR(0/0,""),preDEL!AE209)</f>
        <v>194.3166667</v>
      </c>
      <c r="AF209" s="110" t="b">
        <f>IF(preDEL!$AG209,IFERROR(0/0,""),preDEL!AF209)</f>
        <v>0</v>
      </c>
      <c r="AG209" s="110" t="b">
        <f>IF(preDEL!$AG209,IFERROR(0/0,""),preDEL!AG209)</f>
        <v>0</v>
      </c>
      <c r="AH209" s="104" t="str">
        <f>IF(preDEL!$AG209,IFERROR(0/0,""),preDEL!AH209)</f>
        <v/>
      </c>
      <c r="AI209" s="105" t="str">
        <f>IF(preDEL!$AG209,IFERROR(0/0,""),preDEL!AI209)</f>
        <v/>
      </c>
      <c r="AJ209" s="112" t="str">
        <f>IF(preDEL!$AG209,IFERROR(0/0,""),preDEL!AJ209)</f>
        <v/>
      </c>
      <c r="AK209" s="105" t="str">
        <f>IF(preDEL!$AG209,IFERROR(0/0,""),preDEL!AK209)</f>
        <v>Negative</v>
      </c>
      <c r="AL209" s="112" t="str">
        <f>IF(preDEL!$AG209,IFERROR(0/0,""),preDEL!AL209)</f>
        <v/>
      </c>
      <c r="AM209" s="112" t="str">
        <f>IF(preDEL!$AG209,IFERROR(0/0,""),preDEL!AM209)</f>
        <v>SpBEND425753</v>
      </c>
      <c r="AN209" s="112" t="str">
        <f>IF(preDEL!$AG209,IFERROR(0/0,""),preDEL!AN209)</f>
        <v>BEND398520</v>
      </c>
      <c r="AO209" s="112" t="str">
        <f>IF(preDEL!$AG209,IFERROR(0/0,""),preDEL!AO209)</f>
        <v/>
      </c>
      <c r="AP209" s="112" t="str">
        <f>IF(preDEL!$AG209,IFERROR(0/0,""),preDEL!AP209)</f>
        <v/>
      </c>
      <c r="AQ209" s="112" t="str">
        <f>IF(preDEL!$AG209,IFERROR(0/0,""),preDEL!AQ209)</f>
        <v/>
      </c>
      <c r="AR209" s="112" t="str">
        <f>IF(preDEL!$AG209,IFERROR(0/0,""),preDEL!AR209)</f>
        <v/>
      </c>
      <c r="AS209" s="112" t="str">
        <f>IF(preDEL!$AG209,IFERROR(0/0,""),preDEL!AS209)</f>
        <v/>
      </c>
      <c r="AT209" s="112" t="b">
        <f>IF(preDEL!$AG209,IFERROR(0/0,""),preDEL!AT209)</f>
        <v>0</v>
      </c>
      <c r="AU209" s="112" t="str">
        <f>IF(preDEL!$AG209,IFERROR(0/0,""),preDEL!AU209)</f>
        <v/>
      </c>
      <c r="AV209" s="112" t="str">
        <f>IF(preDEL!$AG209,IFERROR(0/0,""),preDEL!AV209)</f>
        <v/>
      </c>
      <c r="AW209" s="112" t="str">
        <f>IF(preDEL!$AG209,IFERROR(0/0,""),preDEL!AW209)</f>
        <v/>
      </c>
      <c r="AX209" s="112" t="str">
        <f>IF(preDEL!$AG209,IFERROR(0/0,""),preDEL!AX209)</f>
        <v/>
      </c>
      <c r="AY209" s="112" t="str">
        <f>IF(preDEL!$AG209,IFERROR(0/0,""),preDEL!AY209)</f>
        <v/>
      </c>
      <c r="AZ209" s="174"/>
      <c r="BA209" s="174"/>
      <c r="BB209" s="174"/>
      <c r="BC209" s="174"/>
      <c r="BD209" s="174"/>
      <c r="BE209" s="174"/>
      <c r="BF209" s="174"/>
      <c r="BG209" s="174"/>
      <c r="BH209" s="174"/>
      <c r="BI209" s="174"/>
      <c r="BJ209" s="174"/>
      <c r="BK209" s="174"/>
      <c r="BL209" s="174"/>
      <c r="BM209" s="174"/>
      <c r="BN209" s="174"/>
      <c r="BO209" s="174"/>
      <c r="BP209" s="174"/>
      <c r="BQ209" s="174"/>
      <c r="BR209" s="174"/>
      <c r="BS209" s="174"/>
      <c r="BT209" s="174"/>
      <c r="BU209" s="174"/>
      <c r="BV209" s="174"/>
      <c r="BW209" s="174"/>
      <c r="BX209" s="174"/>
      <c r="BY209" s="174"/>
      <c r="BZ209" s="174"/>
      <c r="CA209" s="174"/>
      <c r="CB209" s="174"/>
      <c r="CC209" s="174"/>
      <c r="CD209" s="174"/>
    </row>
    <row r="210">
      <c r="A210" s="105" t="str">
        <f>IF(preDEL!$AG210,IFERROR(0/0,""),preDEL!A210)</f>
        <v>MA641</v>
      </c>
      <c r="B210" s="170">
        <f>IF(preDEL!$AG210,IFERROR(0/0,""),preDEL!B210)</f>
        <v>44575</v>
      </c>
      <c r="C210" s="171">
        <f>IF(preDEL!$AG210,IFERROR(0/0,""),preDEL!C210)</f>
        <v>0.3519097222</v>
      </c>
      <c r="D210" s="105" t="str">
        <f>IF(preDEL!$AG210,IFERROR(0/0,""),preDEL!D210)</f>
        <v/>
      </c>
      <c r="E210" s="105" t="str">
        <f>IF(preDEL!$AG210,IFERROR(0/0,""),preDEL!E210)</f>
        <v/>
      </c>
      <c r="F210" s="112" t="str">
        <f>IF(preDEL!$AG210,IFERROR(0/0,""),preDEL!F210)</f>
        <v/>
      </c>
      <c r="G210" s="112" t="str">
        <f>IF(preDEL!$AG210,IFERROR(0/0,""),preDEL!G210)</f>
        <v/>
      </c>
      <c r="H210" s="112" t="str">
        <f>IF(preDEL!$AG210,IFERROR(0/0,""),preDEL!H210)</f>
        <v/>
      </c>
      <c r="I210" s="105" t="str">
        <f>IF(preDEL!$AG210,IFERROR(0/0,""),preDEL!I210)</f>
        <v/>
      </c>
      <c r="J210" s="105" t="str">
        <f>IF(preDEL!$AG210,IFERROR(0/0,""),preDEL!J210)</f>
        <v/>
      </c>
      <c r="K210" s="105" t="str">
        <f>IF(preDEL!$AG210,IFERROR(0/0,""),preDEL!K210)</f>
        <v>Negative</v>
      </c>
      <c r="L210" s="170">
        <f>IF(preDEL!$AG210,IFERROR(0/0,""),preDEL!L210)</f>
        <v>44575</v>
      </c>
      <c r="M210" s="171">
        <f>IF(preDEL!$AG210,IFERROR(0/0,""),preDEL!M210)</f>
        <v>0.4820601852</v>
      </c>
      <c r="N210" s="112" t="str">
        <f>IF(preDEL!$AG210,IFERROR(0/0,""),preDEL!N210)</f>
        <v/>
      </c>
      <c r="O210" s="112" t="str">
        <f>IF(preDEL!$AG210,IFERROR(0/0,""),preDEL!O210)</f>
        <v/>
      </c>
      <c r="P210" s="110" t="b">
        <f>IF(preDEL!$AG210,IFERROR(0/0,""),preDEL!P210)</f>
        <v>0</v>
      </c>
      <c r="Q210" s="110" t="str">
        <f>IF(preDEL!$AG210,IFERROR(0/0,""),preDEL!Q210)</f>
        <v>Result</v>
      </c>
      <c r="R210" s="104" t="b">
        <f>IF(preDEL!$AG210,IFERROR(0/0,""),preDEL!R210)</f>
        <v>1</v>
      </c>
      <c r="S210" s="104">
        <f>IF(preDEL!$AG210,IFERROR(0/0,""),preDEL!S210)</f>
        <v>1</v>
      </c>
      <c r="T210" s="110" t="str">
        <f>IF(preDEL!$AG210,IFERROR(0/0,""),preDEL!T210)</f>
        <v/>
      </c>
      <c r="U210" s="112" t="str">
        <f>IF(preDEL!$AG210,IFERROR(0/0,""),preDEL!U210)</f>
        <v/>
      </c>
      <c r="V210" s="105" t="str">
        <f>IF(preDEL!$AG210,IFERROR(0/0,""),preDEL!V210)</f>
        <v/>
      </c>
      <c r="W210" s="112" t="str">
        <f>IF(preDEL!$AG210,IFERROR(0/0,""),preDEL!W210)</f>
        <v/>
      </c>
      <c r="X210" s="104" t="b">
        <f>IF(preDEL!$AG210,IFERROR(0/0,""),preDEL!X210)</f>
        <v>0</v>
      </c>
      <c r="Y210" s="110" t="b">
        <f>IF(preDEL!$AG210,IFERROR(0/0,""),preDEL!Y210)</f>
        <v>0</v>
      </c>
      <c r="Z210" s="105" t="str">
        <f>IF(preDEL!$AG210,IFERROR(0/0,""),preDEL!Z210)</f>
        <v/>
      </c>
      <c r="AA210" s="110" t="b">
        <f>IF(preDEL!$AG210,IFERROR(0/0,""),preDEL!AA210)</f>
        <v>0</v>
      </c>
      <c r="AB210" s="110" t="b">
        <f>IF(preDEL!$AG210,IFERROR(0/0,""),preDEL!AB210)</f>
        <v>0</v>
      </c>
      <c r="AC210" s="172">
        <f>IF(preDEL!$AG210,IFERROR(0/0,""),preDEL!AC210)</f>
        <v>594</v>
      </c>
      <c r="AD210" s="104" t="b">
        <f>IF(preDEL!$AG210,IFERROR(0/0,""),preDEL!AD210)</f>
        <v>0</v>
      </c>
      <c r="AE210" s="173">
        <f>IF(preDEL!$AG210,IFERROR(0/0,""),preDEL!AE210)</f>
        <v>187.4166667</v>
      </c>
      <c r="AF210" s="110" t="b">
        <f>IF(preDEL!$AG210,IFERROR(0/0,""),preDEL!AF210)</f>
        <v>0</v>
      </c>
      <c r="AG210" s="110" t="b">
        <f>IF(preDEL!$AG210,IFERROR(0/0,""),preDEL!AG210)</f>
        <v>0</v>
      </c>
      <c r="AH210" s="104" t="str">
        <f>IF(preDEL!$AG210,IFERROR(0/0,""),preDEL!AH210)</f>
        <v/>
      </c>
      <c r="AI210" s="105" t="str">
        <f>IF(preDEL!$AG210,IFERROR(0/0,""),preDEL!AI210)</f>
        <v/>
      </c>
      <c r="AJ210" s="112" t="str">
        <f>IF(preDEL!$AG210,IFERROR(0/0,""),preDEL!AJ210)</f>
        <v/>
      </c>
      <c r="AK210" s="105" t="str">
        <f>IF(preDEL!$AG210,IFERROR(0/0,""),preDEL!AK210)</f>
        <v>Negative</v>
      </c>
      <c r="AL210" s="112" t="str">
        <f>IF(preDEL!$AG210,IFERROR(0/0,""),preDEL!AL210)</f>
        <v/>
      </c>
      <c r="AM210" s="112" t="str">
        <f>IF(preDEL!$AG210,IFERROR(0/0,""),preDEL!AM210)</f>
        <v>SpBEND481988</v>
      </c>
      <c r="AN210" s="112" t="str">
        <f>IF(preDEL!$AG210,IFERROR(0/0,""),preDEL!AN210)</f>
        <v>BEND223874</v>
      </c>
      <c r="AO210" s="112" t="str">
        <f>IF(preDEL!$AG210,IFERROR(0/0,""),preDEL!AO210)</f>
        <v/>
      </c>
      <c r="AP210" s="112" t="str">
        <f>IF(preDEL!$AG210,IFERROR(0/0,""),preDEL!AP210)</f>
        <v/>
      </c>
      <c r="AQ210" s="112" t="str">
        <f>IF(preDEL!$AG210,IFERROR(0/0,""),preDEL!AQ210)</f>
        <v/>
      </c>
      <c r="AR210" s="112" t="str">
        <f>IF(preDEL!$AG210,IFERROR(0/0,""),preDEL!AR210)</f>
        <v/>
      </c>
      <c r="AS210" s="112" t="str">
        <f>IF(preDEL!$AG210,IFERROR(0/0,""),preDEL!AS210)</f>
        <v/>
      </c>
      <c r="AT210" s="112" t="b">
        <f>IF(preDEL!$AG210,IFERROR(0/0,""),preDEL!AT210)</f>
        <v>0</v>
      </c>
      <c r="AU210" s="112" t="str">
        <f>IF(preDEL!$AG210,IFERROR(0/0,""),preDEL!AU210)</f>
        <v/>
      </c>
      <c r="AV210" s="112" t="str">
        <f>IF(preDEL!$AG210,IFERROR(0/0,""),preDEL!AV210)</f>
        <v/>
      </c>
      <c r="AW210" s="112" t="str">
        <f>IF(preDEL!$AG210,IFERROR(0/0,""),preDEL!AW210)</f>
        <v/>
      </c>
      <c r="AX210" s="112" t="str">
        <f>IF(preDEL!$AG210,IFERROR(0/0,""),preDEL!AX210)</f>
        <v/>
      </c>
      <c r="AY210" s="112" t="str">
        <f>IF(preDEL!$AG210,IFERROR(0/0,""),preDEL!AY210)</f>
        <v/>
      </c>
      <c r="AZ210" s="174"/>
      <c r="BA210" s="174"/>
      <c r="BB210" s="174"/>
      <c r="BC210" s="174"/>
      <c r="BD210" s="174"/>
      <c r="BE210" s="174"/>
      <c r="BF210" s="174"/>
      <c r="BG210" s="174"/>
      <c r="BH210" s="174"/>
      <c r="BI210" s="174"/>
      <c r="BJ210" s="174"/>
      <c r="BK210" s="174"/>
      <c r="BL210" s="174"/>
      <c r="BM210" s="174"/>
      <c r="BN210" s="174"/>
      <c r="BO210" s="174"/>
      <c r="BP210" s="174"/>
      <c r="BQ210" s="174"/>
      <c r="BR210" s="174"/>
      <c r="BS210" s="174"/>
      <c r="BT210" s="174"/>
      <c r="BU210" s="174"/>
      <c r="BV210" s="174"/>
      <c r="BW210" s="174"/>
      <c r="BX210" s="174"/>
      <c r="BY210" s="174"/>
      <c r="BZ210" s="174"/>
      <c r="CA210" s="174"/>
      <c r="CB210" s="174"/>
      <c r="CC210" s="174"/>
      <c r="CD210" s="174"/>
    </row>
    <row r="211">
      <c r="A211" s="105" t="str">
        <f>IF(preDEL!$AG211,IFERROR(0/0,""),preDEL!A211)</f>
        <v>MA286</v>
      </c>
      <c r="B211" s="170">
        <f>IF(preDEL!$AG211,IFERROR(0/0,""),preDEL!B211)</f>
        <v>44575</v>
      </c>
      <c r="C211" s="171">
        <f>IF(preDEL!$AG211,IFERROR(0/0,""),preDEL!C211)</f>
        <v>0.3559490741</v>
      </c>
      <c r="D211" s="105" t="str">
        <f>IF(preDEL!$AG211,IFERROR(0/0,""),preDEL!D211)</f>
        <v/>
      </c>
      <c r="E211" s="105" t="str">
        <f>IF(preDEL!$AG211,IFERROR(0/0,""),preDEL!E211)</f>
        <v/>
      </c>
      <c r="F211" s="112" t="str">
        <f>IF(preDEL!$AG211,IFERROR(0/0,""),preDEL!F211)</f>
        <v/>
      </c>
      <c r="G211" s="112" t="str">
        <f>IF(preDEL!$AG211,IFERROR(0/0,""),preDEL!G211)</f>
        <v/>
      </c>
      <c r="H211" s="112" t="str">
        <f>IF(preDEL!$AG211,IFERROR(0/0,""),preDEL!H211)</f>
        <v/>
      </c>
      <c r="I211" s="105" t="str">
        <f>IF(preDEL!$AG211,IFERROR(0/0,""),preDEL!I211)</f>
        <v/>
      </c>
      <c r="J211" s="105" t="str">
        <f>IF(preDEL!$AG211,IFERROR(0/0,""),preDEL!J211)</f>
        <v/>
      </c>
      <c r="K211" s="105" t="str">
        <f>IF(preDEL!$AG211,IFERROR(0/0,""),preDEL!K211)</f>
        <v>Negative</v>
      </c>
      <c r="L211" s="170">
        <f>IF(preDEL!$AG211,IFERROR(0/0,""),preDEL!L211)</f>
        <v>44575</v>
      </c>
      <c r="M211" s="171">
        <f>IF(preDEL!$AG211,IFERROR(0/0,""),preDEL!M211)</f>
        <v>0.4820601852</v>
      </c>
      <c r="N211" s="112" t="str">
        <f>IF(preDEL!$AG211,IFERROR(0/0,""),preDEL!N211)</f>
        <v/>
      </c>
      <c r="O211" s="112" t="str">
        <f>IF(preDEL!$AG211,IFERROR(0/0,""),preDEL!O211)</f>
        <v/>
      </c>
      <c r="P211" s="110" t="b">
        <f>IF(preDEL!$AG211,IFERROR(0/0,""),preDEL!P211)</f>
        <v>0</v>
      </c>
      <c r="Q211" s="110" t="str">
        <f>IF(preDEL!$AG211,IFERROR(0/0,""),preDEL!Q211)</f>
        <v>Result</v>
      </c>
      <c r="R211" s="104" t="b">
        <f>IF(preDEL!$AG211,IFERROR(0/0,""),preDEL!R211)</f>
        <v>1</v>
      </c>
      <c r="S211" s="104">
        <f>IF(preDEL!$AG211,IFERROR(0/0,""),preDEL!S211)</f>
        <v>1</v>
      </c>
      <c r="T211" s="110" t="str">
        <f>IF(preDEL!$AG211,IFERROR(0/0,""),preDEL!T211)</f>
        <v/>
      </c>
      <c r="U211" s="112" t="str">
        <f>IF(preDEL!$AG211,IFERROR(0/0,""),preDEL!U211)</f>
        <v/>
      </c>
      <c r="V211" s="105" t="str">
        <f>IF(preDEL!$AG211,IFERROR(0/0,""),preDEL!V211)</f>
        <v/>
      </c>
      <c r="W211" s="112" t="str">
        <f>IF(preDEL!$AG211,IFERROR(0/0,""),preDEL!W211)</f>
        <v/>
      </c>
      <c r="X211" s="104" t="b">
        <f>IF(preDEL!$AG211,IFERROR(0/0,""),preDEL!X211)</f>
        <v>0</v>
      </c>
      <c r="Y211" s="110" t="b">
        <f>IF(preDEL!$AG211,IFERROR(0/0,""),preDEL!Y211)</f>
        <v>0</v>
      </c>
      <c r="Z211" s="105" t="str">
        <f>IF(preDEL!$AG211,IFERROR(0/0,""),preDEL!Z211)</f>
        <v/>
      </c>
      <c r="AA211" s="110" t="b">
        <f>IF(preDEL!$AG211,IFERROR(0/0,""),preDEL!AA211)</f>
        <v>0</v>
      </c>
      <c r="AB211" s="110" t="b">
        <f>IF(preDEL!$AG211,IFERROR(0/0,""),preDEL!AB211)</f>
        <v>0</v>
      </c>
      <c r="AC211" s="172">
        <f>IF(preDEL!$AG211,IFERROR(0/0,""),preDEL!AC211)</f>
        <v>593</v>
      </c>
      <c r="AD211" s="104" t="b">
        <f>IF(preDEL!$AG211,IFERROR(0/0,""),preDEL!AD211)</f>
        <v>0</v>
      </c>
      <c r="AE211" s="173">
        <f>IF(preDEL!$AG211,IFERROR(0/0,""),preDEL!AE211)</f>
        <v>181.6</v>
      </c>
      <c r="AF211" s="110" t="b">
        <f>IF(preDEL!$AG211,IFERROR(0/0,""),preDEL!AF211)</f>
        <v>0</v>
      </c>
      <c r="AG211" s="110" t="b">
        <f>IF(preDEL!$AG211,IFERROR(0/0,""),preDEL!AG211)</f>
        <v>0</v>
      </c>
      <c r="AH211" s="104" t="str">
        <f>IF(preDEL!$AG211,IFERROR(0/0,""),preDEL!AH211)</f>
        <v/>
      </c>
      <c r="AI211" s="105" t="str">
        <f>IF(preDEL!$AG211,IFERROR(0/0,""),preDEL!AI211)</f>
        <v/>
      </c>
      <c r="AJ211" s="112" t="str">
        <f>IF(preDEL!$AG211,IFERROR(0/0,""),preDEL!AJ211)</f>
        <v/>
      </c>
      <c r="AK211" s="105" t="str">
        <f>IF(preDEL!$AG211,IFERROR(0/0,""),preDEL!AK211)</f>
        <v>Negative</v>
      </c>
      <c r="AL211" s="112" t="str">
        <f>IF(preDEL!$AG211,IFERROR(0/0,""),preDEL!AL211)</f>
        <v/>
      </c>
      <c r="AM211" s="112" t="str">
        <f>IF(preDEL!$AG211,IFERROR(0/0,""),preDEL!AM211)</f>
        <v>SpBEND264858</v>
      </c>
      <c r="AN211" s="112" t="str">
        <f>IF(preDEL!$AG211,IFERROR(0/0,""),preDEL!AN211)</f>
        <v>BEND939689</v>
      </c>
      <c r="AO211" s="112" t="str">
        <f>IF(preDEL!$AG211,IFERROR(0/0,""),preDEL!AO211)</f>
        <v/>
      </c>
      <c r="AP211" s="112" t="str">
        <f>IF(preDEL!$AG211,IFERROR(0/0,""),preDEL!AP211)</f>
        <v/>
      </c>
      <c r="AQ211" s="112" t="str">
        <f>IF(preDEL!$AG211,IFERROR(0/0,""),preDEL!AQ211)</f>
        <v/>
      </c>
      <c r="AR211" s="112" t="str">
        <f>IF(preDEL!$AG211,IFERROR(0/0,""),preDEL!AR211)</f>
        <v/>
      </c>
      <c r="AS211" s="112" t="str">
        <f>IF(preDEL!$AG211,IFERROR(0/0,""),preDEL!AS211)</f>
        <v/>
      </c>
      <c r="AT211" s="112" t="b">
        <f>IF(preDEL!$AG211,IFERROR(0/0,""),preDEL!AT211)</f>
        <v>0</v>
      </c>
      <c r="AU211" s="112" t="str">
        <f>IF(preDEL!$AG211,IFERROR(0/0,""),preDEL!AU211)</f>
        <v/>
      </c>
      <c r="AV211" s="112" t="str">
        <f>IF(preDEL!$AG211,IFERROR(0/0,""),preDEL!AV211)</f>
        <v/>
      </c>
      <c r="AW211" s="112" t="str">
        <f>IF(preDEL!$AG211,IFERROR(0/0,""),preDEL!AW211)</f>
        <v/>
      </c>
      <c r="AX211" s="112" t="str">
        <f>IF(preDEL!$AG211,IFERROR(0/0,""),preDEL!AX211)</f>
        <v/>
      </c>
      <c r="AY211" s="112" t="str">
        <f>IF(preDEL!$AG211,IFERROR(0/0,""),preDEL!AY211)</f>
        <v/>
      </c>
      <c r="AZ211" s="174"/>
      <c r="BA211" s="174"/>
      <c r="BB211" s="174"/>
      <c r="BC211" s="174"/>
      <c r="BD211" s="174"/>
      <c r="BE211" s="174"/>
      <c r="BF211" s="174"/>
      <c r="BG211" s="174"/>
      <c r="BH211" s="174"/>
      <c r="BI211" s="174"/>
      <c r="BJ211" s="174"/>
      <c r="BK211" s="174"/>
      <c r="BL211" s="174"/>
      <c r="BM211" s="174"/>
      <c r="BN211" s="174"/>
      <c r="BO211" s="174"/>
      <c r="BP211" s="174"/>
      <c r="BQ211" s="174"/>
      <c r="BR211" s="174"/>
      <c r="BS211" s="174"/>
      <c r="BT211" s="174"/>
      <c r="BU211" s="174"/>
      <c r="BV211" s="174"/>
      <c r="BW211" s="174"/>
      <c r="BX211" s="174"/>
      <c r="BY211" s="174"/>
      <c r="BZ211" s="174"/>
      <c r="CA211" s="174"/>
      <c r="CB211" s="174"/>
      <c r="CC211" s="174"/>
      <c r="CD211" s="174"/>
    </row>
    <row r="212">
      <c r="A212" s="105" t="str">
        <f>IF(preDEL!$AG212,IFERROR(0/0,""),preDEL!A212)</f>
        <v>MAX110</v>
      </c>
      <c r="B212" s="170">
        <f>IF(preDEL!$AG212,IFERROR(0/0,""),preDEL!B212)</f>
        <v>44575</v>
      </c>
      <c r="C212" s="171">
        <f>IF(preDEL!$AG212,IFERROR(0/0,""),preDEL!C212)</f>
        <v>0.3859722222</v>
      </c>
      <c r="D212" s="105" t="str">
        <f>IF(preDEL!$AG212,IFERROR(0/0,""),preDEL!D212)</f>
        <v/>
      </c>
      <c r="E212" s="105" t="str">
        <f>IF(preDEL!$AG212,IFERROR(0/0,""),preDEL!E212)</f>
        <v/>
      </c>
      <c r="F212" s="112" t="str">
        <f>IF(preDEL!$AG212,IFERROR(0/0,""),preDEL!F212)</f>
        <v/>
      </c>
      <c r="G212" s="112" t="str">
        <f>IF(preDEL!$AG212,IFERROR(0/0,""),preDEL!G212)</f>
        <v/>
      </c>
      <c r="H212" s="112" t="str">
        <f>IF(preDEL!$AG212,IFERROR(0/0,""),preDEL!H212)</f>
        <v/>
      </c>
      <c r="I212" s="105" t="str">
        <f>IF(preDEL!$AG212,IFERROR(0/0,""),preDEL!I212)</f>
        <v/>
      </c>
      <c r="J212" s="105" t="str">
        <f>IF(preDEL!$AG212,IFERROR(0/0,""),preDEL!J212)</f>
        <v/>
      </c>
      <c r="K212" s="105" t="str">
        <f>IF(preDEL!$AG212,IFERROR(0/0,""),preDEL!K212)</f>
        <v>Positive</v>
      </c>
      <c r="L212" s="170">
        <f>IF(preDEL!$AG212,IFERROR(0/0,""),preDEL!L212)</f>
        <v>44579</v>
      </c>
      <c r="M212" s="171">
        <f>IF(preDEL!$AG212,IFERROR(0/0,""),preDEL!M212)</f>
        <v>0.5015856481</v>
      </c>
      <c r="N212" s="112" t="str">
        <f>IF(preDEL!$AG212,IFERROR(0/0,""),preDEL!N212)</f>
        <v/>
      </c>
      <c r="O212" s="112" t="str">
        <f>IF(preDEL!$AG212,IFERROR(0/0,""),preDEL!O212)</f>
        <v/>
      </c>
      <c r="P212" s="110" t="b">
        <f>IF(preDEL!$AG212,IFERROR(0/0,""),preDEL!P212)</f>
        <v>0</v>
      </c>
      <c r="Q212" s="110" t="str">
        <f>IF(preDEL!$AG212,IFERROR(0/0,""),preDEL!Q212)</f>
        <v>Result</v>
      </c>
      <c r="R212" s="104" t="b">
        <f>IF(preDEL!$AG212,IFERROR(0/0,""),preDEL!R212)</f>
        <v>1</v>
      </c>
      <c r="S212" s="104">
        <f>IF(preDEL!$AG212,IFERROR(0/0,""),preDEL!S212)</f>
        <v>1</v>
      </c>
      <c r="T212" s="110">
        <f>IF(preDEL!$AG212,IFERROR(0/0,""),preDEL!T212)</f>
        <v>0</v>
      </c>
      <c r="U212" s="112" t="str">
        <f>IF(preDEL!$AG212,IFERROR(0/0,""),preDEL!U212)</f>
        <v/>
      </c>
      <c r="V212" s="105" t="str">
        <f>IF(preDEL!$AG212,IFERROR(0/0,""),preDEL!V212)</f>
        <v/>
      </c>
      <c r="W212" s="112" t="str">
        <f>IF(preDEL!$AG212,IFERROR(0/0,""),preDEL!W212)</f>
        <v/>
      </c>
      <c r="X212" s="104" t="b">
        <f>IF(preDEL!$AG212,IFERROR(0/0,""),preDEL!X212)</f>
        <v>0</v>
      </c>
      <c r="Y212" s="110" t="b">
        <f>IF(preDEL!$AG212,IFERROR(0/0,""),preDEL!Y212)</f>
        <v>0</v>
      </c>
      <c r="Z212" s="105" t="str">
        <f>IF(preDEL!$AG212,IFERROR(0/0,""),preDEL!Z212)</f>
        <v/>
      </c>
      <c r="AA212" s="110" t="b">
        <f>IF(preDEL!$AG212,IFERROR(0/0,""),preDEL!AA212)</f>
        <v>0</v>
      </c>
      <c r="AB212" s="110" t="b">
        <f>IF(preDEL!$AG212,IFERROR(0/0,""),preDEL!AB212)</f>
        <v>0</v>
      </c>
      <c r="AC212" s="172">
        <f>IF(preDEL!$AG212,IFERROR(0/0,""),preDEL!AC212)</f>
        <v>592</v>
      </c>
      <c r="AD212" s="104" t="b">
        <f>IF(preDEL!$AG212,IFERROR(0/0,""),preDEL!AD212)</f>
        <v>0</v>
      </c>
      <c r="AE212" s="173" t="str">
        <f>IF(preDEL!$AG212,IFERROR(0/0,""),preDEL!AE212)</f>
        <v/>
      </c>
      <c r="AF212" s="110" t="b">
        <f>IF(preDEL!$AG212,IFERROR(0/0,""),preDEL!AF212)</f>
        <v>0</v>
      </c>
      <c r="AG212" s="110" t="b">
        <f>IF(preDEL!$AG212,IFERROR(0/0,""),preDEL!AG212)</f>
        <v>0</v>
      </c>
      <c r="AH212" s="104" t="str">
        <f>IF(preDEL!$AG212,IFERROR(0/0,""),preDEL!AH212)</f>
        <v/>
      </c>
      <c r="AI212" s="105" t="str">
        <f>IF(preDEL!$AG212,IFERROR(0/0,""),preDEL!AI212)</f>
        <v/>
      </c>
      <c r="AJ212" s="112" t="str">
        <f>IF(preDEL!$AG212,IFERROR(0/0,""),preDEL!AJ212)</f>
        <v/>
      </c>
      <c r="AK212" s="105" t="str">
        <f>IF(preDEL!$AG212,IFERROR(0/0,""),preDEL!AK212)</f>
        <v>Positive</v>
      </c>
      <c r="AL212" s="112" t="str">
        <f>IF(preDEL!$AG212,IFERROR(0/0,""),preDEL!AL212)</f>
        <v/>
      </c>
      <c r="AM212" s="112" t="str">
        <f>IF(preDEL!$AG212,IFERROR(0/0,""),preDEL!AM212)</f>
        <v>SpBEND394154</v>
      </c>
      <c r="AN212" s="112" t="str">
        <f>IF(preDEL!$AG212,IFERROR(0/0,""),preDEL!AN212)</f>
        <v>BEND530620</v>
      </c>
      <c r="AO212" s="112" t="str">
        <f>IF(preDEL!$AG212,IFERROR(0/0,""),preDEL!AO212)</f>
        <v/>
      </c>
      <c r="AP212" s="112" t="str">
        <f>IF(preDEL!$AG212,IFERROR(0/0,""),preDEL!AP212)</f>
        <v/>
      </c>
      <c r="AQ212" s="112" t="str">
        <f>IF(preDEL!$AG212,IFERROR(0/0,""),preDEL!AQ212)</f>
        <v/>
      </c>
      <c r="AR212" s="112" t="str">
        <f>IF(preDEL!$AG212,IFERROR(0/0,""),preDEL!AR212)</f>
        <v/>
      </c>
      <c r="AS212" s="112" t="str">
        <f>IF(preDEL!$AG212,IFERROR(0/0,""),preDEL!AS212)</f>
        <v/>
      </c>
      <c r="AT212" s="112" t="b">
        <f>IF(preDEL!$AG212,IFERROR(0/0,""),preDEL!AT212)</f>
        <v>0</v>
      </c>
      <c r="AU212" s="112" t="str">
        <f>IF(preDEL!$AG212,IFERROR(0/0,""),preDEL!AU212)</f>
        <v/>
      </c>
      <c r="AV212" s="112" t="str">
        <f>IF(preDEL!$AG212,IFERROR(0/0,""),preDEL!AV212)</f>
        <v/>
      </c>
      <c r="AW212" s="112" t="str">
        <f>IF(preDEL!$AG212,IFERROR(0/0,""),preDEL!AW212)</f>
        <v/>
      </c>
      <c r="AX212" s="112" t="str">
        <f>IF(preDEL!$AG212,IFERROR(0/0,""),preDEL!AX212)</f>
        <v/>
      </c>
      <c r="AY212" s="112" t="str">
        <f>IF(preDEL!$AG212,IFERROR(0/0,""),preDEL!AY212)</f>
        <v/>
      </c>
      <c r="AZ212" s="174"/>
      <c r="BA212" s="174"/>
      <c r="BB212" s="174"/>
      <c r="BC212" s="174"/>
      <c r="BD212" s="174"/>
      <c r="BE212" s="174"/>
      <c r="BF212" s="174"/>
      <c r="BG212" s="174"/>
      <c r="BH212" s="174"/>
      <c r="BI212" s="174"/>
      <c r="BJ212" s="174"/>
      <c r="BK212" s="174"/>
      <c r="BL212" s="174"/>
      <c r="BM212" s="174"/>
      <c r="BN212" s="174"/>
      <c r="BO212" s="174"/>
      <c r="BP212" s="174"/>
      <c r="BQ212" s="174"/>
      <c r="BR212" s="174"/>
      <c r="BS212" s="174"/>
      <c r="BT212" s="174"/>
      <c r="BU212" s="174"/>
      <c r="BV212" s="174"/>
      <c r="BW212" s="174"/>
      <c r="BX212" s="174"/>
      <c r="BY212" s="174"/>
      <c r="BZ212" s="174"/>
      <c r="CA212" s="174"/>
      <c r="CB212" s="174"/>
      <c r="CC212" s="174"/>
      <c r="CD212" s="174"/>
    </row>
    <row r="213">
      <c r="A213" s="105" t="str">
        <f>IF(preDEL!$AG213,IFERROR(0/0,""),preDEL!A213)</f>
        <v>MA1058</v>
      </c>
      <c r="B213" s="170">
        <f>IF(preDEL!$AG213,IFERROR(0/0,""),preDEL!B213)</f>
        <v>44575</v>
      </c>
      <c r="C213" s="171">
        <f>IF(preDEL!$AG213,IFERROR(0/0,""),preDEL!C213)</f>
        <v>0.3862384259</v>
      </c>
      <c r="D213" s="105" t="str">
        <f>IF(preDEL!$AG213,IFERROR(0/0,""),preDEL!D213)</f>
        <v/>
      </c>
      <c r="E213" s="105" t="str">
        <f>IF(preDEL!$AG213,IFERROR(0/0,""),preDEL!E213)</f>
        <v/>
      </c>
      <c r="F213" s="112" t="str">
        <f>IF(preDEL!$AG213,IFERROR(0/0,""),preDEL!F213)</f>
        <v/>
      </c>
      <c r="G213" s="112" t="str">
        <f>IF(preDEL!$AG213,IFERROR(0/0,""),preDEL!G213)</f>
        <v/>
      </c>
      <c r="H213" s="112" t="str">
        <f>IF(preDEL!$AG213,IFERROR(0/0,""),preDEL!H213)</f>
        <v/>
      </c>
      <c r="I213" s="105" t="str">
        <f>IF(preDEL!$AG213,IFERROR(0/0,""),preDEL!I213)</f>
        <v/>
      </c>
      <c r="J213" s="105" t="str">
        <f>IF(preDEL!$AG213,IFERROR(0/0,""),preDEL!J213)</f>
        <v/>
      </c>
      <c r="K213" s="105" t="str">
        <f>IF(preDEL!$AG213,IFERROR(0/0,""),preDEL!K213)</f>
        <v>Positive</v>
      </c>
      <c r="L213" s="170">
        <f>IF(preDEL!$AG213,IFERROR(0/0,""),preDEL!L213)</f>
        <v>44579</v>
      </c>
      <c r="M213" s="171">
        <f>IF(preDEL!$AG213,IFERROR(0/0,""),preDEL!M213)</f>
        <v>0.5015856481</v>
      </c>
      <c r="N213" s="112" t="str">
        <f>IF(preDEL!$AG213,IFERROR(0/0,""),preDEL!N213)</f>
        <v/>
      </c>
      <c r="O213" s="112" t="str">
        <f>IF(preDEL!$AG213,IFERROR(0/0,""),preDEL!O213)</f>
        <v/>
      </c>
      <c r="P213" s="110" t="b">
        <f>IF(preDEL!$AG213,IFERROR(0/0,""),preDEL!P213)</f>
        <v>0</v>
      </c>
      <c r="Q213" s="110" t="str">
        <f>IF(preDEL!$AG213,IFERROR(0/0,""),preDEL!Q213)</f>
        <v>Result</v>
      </c>
      <c r="R213" s="104" t="b">
        <f>IF(preDEL!$AG213,IFERROR(0/0,""),preDEL!R213)</f>
        <v>1</v>
      </c>
      <c r="S213" s="104">
        <f>IF(preDEL!$AG213,IFERROR(0/0,""),preDEL!S213)</f>
        <v>1</v>
      </c>
      <c r="T213" s="110" t="str">
        <f>IF(preDEL!$AG213,IFERROR(0/0,""),preDEL!T213)</f>
        <v/>
      </c>
      <c r="U213" s="112" t="str">
        <f>IF(preDEL!$AG213,IFERROR(0/0,""),preDEL!U213)</f>
        <v/>
      </c>
      <c r="V213" s="105" t="str">
        <f>IF(preDEL!$AG213,IFERROR(0/0,""),preDEL!V213)</f>
        <v/>
      </c>
      <c r="W213" s="112" t="str">
        <f>IF(preDEL!$AG213,IFERROR(0/0,""),preDEL!W213)</f>
        <v/>
      </c>
      <c r="X213" s="104" t="b">
        <f>IF(preDEL!$AG213,IFERROR(0/0,""),preDEL!X213)</f>
        <v>0</v>
      </c>
      <c r="Y213" s="110" t="b">
        <f>IF(preDEL!$AG213,IFERROR(0/0,""),preDEL!Y213)</f>
        <v>0</v>
      </c>
      <c r="Z213" s="105" t="str">
        <f>IF(preDEL!$AG213,IFERROR(0/0,""),preDEL!Z213)</f>
        <v/>
      </c>
      <c r="AA213" s="110" t="b">
        <f>IF(preDEL!$AG213,IFERROR(0/0,""),preDEL!AA213)</f>
        <v>0</v>
      </c>
      <c r="AB213" s="110" t="b">
        <f>IF(preDEL!$AG213,IFERROR(0/0,""),preDEL!AB213)</f>
        <v>0</v>
      </c>
      <c r="AC213" s="172">
        <f>IF(preDEL!$AG213,IFERROR(0/0,""),preDEL!AC213)</f>
        <v>591</v>
      </c>
      <c r="AD213" s="104" t="b">
        <f>IF(preDEL!$AG213,IFERROR(0/0,""),preDEL!AD213)</f>
        <v>0</v>
      </c>
      <c r="AE213" s="173" t="str">
        <f>IF(preDEL!$AG213,IFERROR(0/0,""),preDEL!AE213)</f>
        <v/>
      </c>
      <c r="AF213" s="110" t="b">
        <f>IF(preDEL!$AG213,IFERROR(0/0,""),preDEL!AF213)</f>
        <v>0</v>
      </c>
      <c r="AG213" s="110" t="b">
        <f>IF(preDEL!$AG213,IFERROR(0/0,""),preDEL!AG213)</f>
        <v>0</v>
      </c>
      <c r="AH213" s="104" t="str">
        <f>IF(preDEL!$AG213,IFERROR(0/0,""),preDEL!AH213)</f>
        <v/>
      </c>
      <c r="AI213" s="105" t="str">
        <f>IF(preDEL!$AG213,IFERROR(0/0,""),preDEL!AI213)</f>
        <v/>
      </c>
      <c r="AJ213" s="112" t="str">
        <f>IF(preDEL!$AG213,IFERROR(0/0,""),preDEL!AJ213)</f>
        <v/>
      </c>
      <c r="AK213" s="105" t="str">
        <f>IF(preDEL!$AG213,IFERROR(0/0,""),preDEL!AK213)</f>
        <v>Positive</v>
      </c>
      <c r="AL213" s="112" t="str">
        <f>IF(preDEL!$AG213,IFERROR(0/0,""),preDEL!AL213)</f>
        <v>RT Jan26 nothing else seems off so conclude it's 2 swabs from the same person. OLD NOTE: review - same person, positive twice on same day</v>
      </c>
      <c r="AM213" s="112" t="str">
        <f>IF(preDEL!$AG213,IFERROR(0/0,""),preDEL!AM213)</f>
        <v>SpBEND394154</v>
      </c>
      <c r="AN213" s="112" t="str">
        <f>IF(preDEL!$AG213,IFERROR(0/0,""),preDEL!AN213)</f>
        <v>BEND219153</v>
      </c>
      <c r="AO213" s="112" t="str">
        <f>IF(preDEL!$AG213,IFERROR(0/0,""),preDEL!AO213)</f>
        <v/>
      </c>
      <c r="AP213" s="112" t="str">
        <f>IF(preDEL!$AG213,IFERROR(0/0,""),preDEL!AP213)</f>
        <v/>
      </c>
      <c r="AQ213" s="112" t="str">
        <f>IF(preDEL!$AG213,IFERROR(0/0,""),preDEL!AQ213)</f>
        <v/>
      </c>
      <c r="AR213" s="112" t="str">
        <f>IF(preDEL!$AG213,IFERROR(0/0,""),preDEL!AR213)</f>
        <v/>
      </c>
      <c r="AS213" s="112" t="str">
        <f>IF(preDEL!$AG213,IFERROR(0/0,""),preDEL!AS213)</f>
        <v/>
      </c>
      <c r="AT213" s="112" t="b">
        <f>IF(preDEL!$AG213,IFERROR(0/0,""),preDEL!AT213)</f>
        <v>0</v>
      </c>
      <c r="AU213" s="112" t="str">
        <f>IF(preDEL!$AG213,IFERROR(0/0,""),preDEL!AU213)</f>
        <v/>
      </c>
      <c r="AV213" s="112" t="str">
        <f>IF(preDEL!$AG213,IFERROR(0/0,""),preDEL!AV213)</f>
        <v/>
      </c>
      <c r="AW213" s="112" t="str">
        <f>IF(preDEL!$AG213,IFERROR(0/0,""),preDEL!AW213)</f>
        <v/>
      </c>
      <c r="AX213" s="112" t="str">
        <f>IF(preDEL!$AG213,IFERROR(0/0,""),preDEL!AX213)</f>
        <v/>
      </c>
      <c r="AY213" s="112" t="str">
        <f>IF(preDEL!$AG213,IFERROR(0/0,""),preDEL!AY213)</f>
        <v/>
      </c>
      <c r="AZ213" s="174"/>
      <c r="BA213" s="174"/>
      <c r="BB213" s="174"/>
      <c r="BC213" s="174"/>
      <c r="BD213" s="174"/>
      <c r="BE213" s="174"/>
      <c r="BF213" s="174"/>
      <c r="BG213" s="174"/>
      <c r="BH213" s="174"/>
      <c r="BI213" s="174"/>
      <c r="BJ213" s="174"/>
      <c r="BK213" s="174"/>
      <c r="BL213" s="174"/>
      <c r="BM213" s="174"/>
      <c r="BN213" s="174"/>
      <c r="BO213" s="174"/>
      <c r="BP213" s="174"/>
      <c r="BQ213" s="174"/>
      <c r="BR213" s="174"/>
      <c r="BS213" s="174"/>
      <c r="BT213" s="174"/>
      <c r="BU213" s="174"/>
      <c r="BV213" s="174"/>
      <c r="BW213" s="174"/>
      <c r="BX213" s="174"/>
      <c r="BY213" s="174"/>
      <c r="BZ213" s="174"/>
      <c r="CA213" s="174"/>
      <c r="CB213" s="174"/>
      <c r="CC213" s="174"/>
      <c r="CD213" s="174"/>
    </row>
    <row r="214">
      <c r="A214" s="105" t="str">
        <f>IF(preDEL!$AG214,IFERROR(0/0,""),preDEL!A214)</f>
        <v>MAX84</v>
      </c>
      <c r="B214" s="170">
        <f>IF(preDEL!$AG214,IFERROR(0/0,""),preDEL!B214)</f>
        <v>44575</v>
      </c>
      <c r="C214" s="171">
        <f>IF(preDEL!$AG214,IFERROR(0/0,""),preDEL!C214)</f>
        <v>0.3866550926</v>
      </c>
      <c r="D214" s="105" t="str">
        <f>IF(preDEL!$AG214,IFERROR(0/0,""),preDEL!D214)</f>
        <v/>
      </c>
      <c r="E214" s="105" t="str">
        <f>IF(preDEL!$AG214,IFERROR(0/0,""),preDEL!E214)</f>
        <v/>
      </c>
      <c r="F214" s="112" t="str">
        <f>IF(preDEL!$AG214,IFERROR(0/0,""),preDEL!F214)</f>
        <v/>
      </c>
      <c r="G214" s="112" t="str">
        <f>IF(preDEL!$AG214,IFERROR(0/0,""),preDEL!G214)</f>
        <v/>
      </c>
      <c r="H214" s="112" t="str">
        <f>IF(preDEL!$AG214,IFERROR(0/0,""),preDEL!H214)</f>
        <v/>
      </c>
      <c r="I214" s="105" t="str">
        <f>IF(preDEL!$AG214,IFERROR(0/0,""),preDEL!I214)</f>
        <v/>
      </c>
      <c r="J214" s="105" t="str">
        <f>IF(preDEL!$AG214,IFERROR(0/0,""),preDEL!J214)</f>
        <v/>
      </c>
      <c r="K214" s="105" t="str">
        <f>IF(preDEL!$AG214,IFERROR(0/0,""),preDEL!K214)</f>
        <v>Positive</v>
      </c>
      <c r="L214" s="170">
        <f>IF(preDEL!$AG214,IFERROR(0/0,""),preDEL!L214)</f>
        <v>44579</v>
      </c>
      <c r="M214" s="171">
        <f>IF(preDEL!$AG214,IFERROR(0/0,""),preDEL!M214)</f>
        <v>0.5015856481</v>
      </c>
      <c r="N214" s="112" t="str">
        <f>IF(preDEL!$AG214,IFERROR(0/0,""),preDEL!N214)</f>
        <v/>
      </c>
      <c r="O214" s="112" t="str">
        <f>IF(preDEL!$AG214,IFERROR(0/0,""),preDEL!O214)</f>
        <v/>
      </c>
      <c r="P214" s="110" t="b">
        <f>IF(preDEL!$AG214,IFERROR(0/0,""),preDEL!P214)</f>
        <v>0</v>
      </c>
      <c r="Q214" s="110" t="str">
        <f>IF(preDEL!$AG214,IFERROR(0/0,""),preDEL!Q214)</f>
        <v>Result</v>
      </c>
      <c r="R214" s="104" t="b">
        <f>IF(preDEL!$AG214,IFERROR(0/0,""),preDEL!R214)</f>
        <v>1</v>
      </c>
      <c r="S214" s="104">
        <f>IF(preDEL!$AG214,IFERROR(0/0,""),preDEL!S214)</f>
        <v>1</v>
      </c>
      <c r="T214" s="110" t="str">
        <f>IF(preDEL!$AG214,IFERROR(0/0,""),preDEL!T214)</f>
        <v/>
      </c>
      <c r="U214" s="112" t="str">
        <f>IF(preDEL!$AG214,IFERROR(0/0,""),preDEL!U214)</f>
        <v/>
      </c>
      <c r="V214" s="105" t="str">
        <f>IF(preDEL!$AG214,IFERROR(0/0,""),preDEL!V214)</f>
        <v/>
      </c>
      <c r="W214" s="112" t="str">
        <f>IF(preDEL!$AG214,IFERROR(0/0,""),preDEL!W214)</f>
        <v/>
      </c>
      <c r="X214" s="104" t="b">
        <f>IF(preDEL!$AG214,IFERROR(0/0,""),preDEL!X214)</f>
        <v>0</v>
      </c>
      <c r="Y214" s="110" t="b">
        <f>IF(preDEL!$AG214,IFERROR(0/0,""),preDEL!Y214)</f>
        <v>0</v>
      </c>
      <c r="Z214" s="105" t="str">
        <f>IF(preDEL!$AG214,IFERROR(0/0,""),preDEL!Z214)</f>
        <v/>
      </c>
      <c r="AA214" s="110" t="b">
        <f>IF(preDEL!$AG214,IFERROR(0/0,""),preDEL!AA214)</f>
        <v>0</v>
      </c>
      <c r="AB214" s="110" t="b">
        <f>IF(preDEL!$AG214,IFERROR(0/0,""),preDEL!AB214)</f>
        <v>0</v>
      </c>
      <c r="AC214" s="172">
        <f>IF(preDEL!$AG214,IFERROR(0/0,""),preDEL!AC214)</f>
        <v>590</v>
      </c>
      <c r="AD214" s="104" t="b">
        <f>IF(preDEL!$AG214,IFERROR(0/0,""),preDEL!AD214)</f>
        <v>0</v>
      </c>
      <c r="AE214" s="173" t="str">
        <f>IF(preDEL!$AG214,IFERROR(0/0,""),preDEL!AE214)</f>
        <v/>
      </c>
      <c r="AF214" s="110" t="b">
        <f>IF(preDEL!$AG214,IFERROR(0/0,""),preDEL!AF214)</f>
        <v>0</v>
      </c>
      <c r="AG214" s="110" t="b">
        <f>IF(preDEL!$AG214,IFERROR(0/0,""),preDEL!AG214)</f>
        <v>0</v>
      </c>
      <c r="AH214" s="104" t="str">
        <f>IF(preDEL!$AG214,IFERROR(0/0,""),preDEL!AH214)</f>
        <v/>
      </c>
      <c r="AI214" s="105" t="str">
        <f>IF(preDEL!$AG214,IFERROR(0/0,""),preDEL!AI214)</f>
        <v/>
      </c>
      <c r="AJ214" s="112" t="str">
        <f>IF(preDEL!$AG214,IFERROR(0/0,""),preDEL!AJ214)</f>
        <v/>
      </c>
      <c r="AK214" s="105" t="str">
        <f>IF(preDEL!$AG214,IFERROR(0/0,""),preDEL!AK214)</f>
        <v>Positive</v>
      </c>
      <c r="AL214" s="112" t="str">
        <f>IF(preDEL!$AG214,IFERROR(0/0,""),preDEL!AL214)</f>
        <v>RT Jan26 nothing else seems off so conclude it's 2 swabs from the same person. OLD NOTE: review - same person, positive twice on same day</v>
      </c>
      <c r="AM214" s="112" t="str">
        <f>IF(preDEL!$AG214,IFERROR(0/0,""),preDEL!AM214)</f>
        <v>SpBEND394154</v>
      </c>
      <c r="AN214" s="112" t="str">
        <f>IF(preDEL!$AG214,IFERROR(0/0,""),preDEL!AN214)</f>
        <v>BEND219153</v>
      </c>
      <c r="AO214" s="112" t="str">
        <f>IF(preDEL!$AG214,IFERROR(0/0,""),preDEL!AO214)</f>
        <v/>
      </c>
      <c r="AP214" s="112" t="str">
        <f>IF(preDEL!$AG214,IFERROR(0/0,""),preDEL!AP214)</f>
        <v/>
      </c>
      <c r="AQ214" s="112" t="str">
        <f>IF(preDEL!$AG214,IFERROR(0/0,""),preDEL!AQ214)</f>
        <v/>
      </c>
      <c r="AR214" s="112" t="str">
        <f>IF(preDEL!$AG214,IFERROR(0/0,""),preDEL!AR214)</f>
        <v/>
      </c>
      <c r="AS214" s="112" t="str">
        <f>IF(preDEL!$AG214,IFERROR(0/0,""),preDEL!AS214)</f>
        <v/>
      </c>
      <c r="AT214" s="112" t="b">
        <f>IF(preDEL!$AG214,IFERROR(0/0,""),preDEL!AT214)</f>
        <v>0</v>
      </c>
      <c r="AU214" s="112" t="str">
        <f>IF(preDEL!$AG214,IFERROR(0/0,""),preDEL!AU214)</f>
        <v/>
      </c>
      <c r="AV214" s="112" t="str">
        <f>IF(preDEL!$AG214,IFERROR(0/0,""),preDEL!AV214)</f>
        <v/>
      </c>
      <c r="AW214" s="112" t="str">
        <f>IF(preDEL!$AG214,IFERROR(0/0,""),preDEL!AW214)</f>
        <v/>
      </c>
      <c r="AX214" s="112" t="str">
        <f>IF(preDEL!$AG214,IFERROR(0/0,""),preDEL!AX214)</f>
        <v/>
      </c>
      <c r="AY214" s="112" t="str">
        <f>IF(preDEL!$AG214,IFERROR(0/0,""),preDEL!AY214)</f>
        <v/>
      </c>
      <c r="AZ214" s="174"/>
      <c r="BA214" s="174"/>
      <c r="BB214" s="174"/>
      <c r="BC214" s="174"/>
      <c r="BD214" s="174"/>
      <c r="BE214" s="174"/>
      <c r="BF214" s="174"/>
      <c r="BG214" s="174"/>
      <c r="BH214" s="174"/>
      <c r="BI214" s="174"/>
      <c r="BJ214" s="174"/>
      <c r="BK214" s="174"/>
      <c r="BL214" s="174"/>
      <c r="BM214" s="174"/>
      <c r="BN214" s="174"/>
      <c r="BO214" s="174"/>
      <c r="BP214" s="174"/>
      <c r="BQ214" s="174"/>
      <c r="BR214" s="174"/>
      <c r="BS214" s="174"/>
      <c r="BT214" s="174"/>
      <c r="BU214" s="174"/>
      <c r="BV214" s="174"/>
      <c r="BW214" s="174"/>
      <c r="BX214" s="174"/>
      <c r="BY214" s="174"/>
      <c r="BZ214" s="174"/>
      <c r="CA214" s="174"/>
      <c r="CB214" s="174"/>
      <c r="CC214" s="174"/>
      <c r="CD214" s="174"/>
    </row>
    <row r="215">
      <c r="A215" s="105" t="str">
        <f>IF(preDEL!$AG215,IFERROR(0/0,""),preDEL!A215)</f>
        <v>MAX97</v>
      </c>
      <c r="B215" s="170">
        <f>IF(preDEL!$AG215,IFERROR(0/0,""),preDEL!B215)</f>
        <v>44575</v>
      </c>
      <c r="C215" s="171">
        <f>IF(preDEL!$AG215,IFERROR(0/0,""),preDEL!C215)</f>
        <v>0.3896064815</v>
      </c>
      <c r="D215" s="105" t="str">
        <f>IF(preDEL!$AG215,IFERROR(0/0,""),preDEL!D215)</f>
        <v/>
      </c>
      <c r="E215" s="105" t="str">
        <f>IF(preDEL!$AG215,IFERROR(0/0,""),preDEL!E215)</f>
        <v/>
      </c>
      <c r="F215" s="112" t="str">
        <f>IF(preDEL!$AG215,IFERROR(0/0,""),preDEL!F215)</f>
        <v/>
      </c>
      <c r="G215" s="112" t="str">
        <f>IF(preDEL!$AG215,IFERROR(0/0,""),preDEL!G215)</f>
        <v/>
      </c>
      <c r="H215" s="112" t="str">
        <f>IF(preDEL!$AG215,IFERROR(0/0,""),preDEL!H215)</f>
        <v/>
      </c>
      <c r="I215" s="105" t="str">
        <f>IF(preDEL!$AG215,IFERROR(0/0,""),preDEL!I215)</f>
        <v/>
      </c>
      <c r="J215" s="105" t="str">
        <f>IF(preDEL!$AG215,IFERROR(0/0,""),preDEL!J215)</f>
        <v/>
      </c>
      <c r="K215" s="105" t="str">
        <f>IF(preDEL!$AG215,IFERROR(0/0,""),preDEL!K215)</f>
        <v>Negative</v>
      </c>
      <c r="L215" s="170">
        <f>IF(preDEL!$AG215,IFERROR(0/0,""),preDEL!L215)</f>
        <v>44575</v>
      </c>
      <c r="M215" s="171">
        <f>IF(preDEL!$AG215,IFERROR(0/0,""),preDEL!M215)</f>
        <v>0.4820601852</v>
      </c>
      <c r="N215" s="112" t="str">
        <f>IF(preDEL!$AG215,IFERROR(0/0,""),preDEL!N215)</f>
        <v/>
      </c>
      <c r="O215" s="112" t="str">
        <f>IF(preDEL!$AG215,IFERROR(0/0,""),preDEL!O215)</f>
        <v/>
      </c>
      <c r="P215" s="110" t="b">
        <f>IF(preDEL!$AG215,IFERROR(0/0,""),preDEL!P215)</f>
        <v>0</v>
      </c>
      <c r="Q215" s="110" t="str">
        <f>IF(preDEL!$AG215,IFERROR(0/0,""),preDEL!Q215)</f>
        <v>Result</v>
      </c>
      <c r="R215" s="104" t="b">
        <f>IF(preDEL!$AG215,IFERROR(0/0,""),preDEL!R215)</f>
        <v>1</v>
      </c>
      <c r="S215" s="104">
        <f>IF(preDEL!$AG215,IFERROR(0/0,""),preDEL!S215)</f>
        <v>1</v>
      </c>
      <c r="T215" s="110" t="str">
        <f>IF(preDEL!$AG215,IFERROR(0/0,""),preDEL!T215)</f>
        <v/>
      </c>
      <c r="U215" s="112" t="str">
        <f>IF(preDEL!$AG215,IFERROR(0/0,""),preDEL!U215)</f>
        <v/>
      </c>
      <c r="V215" s="105" t="str">
        <f>IF(preDEL!$AG215,IFERROR(0/0,""),preDEL!V215)</f>
        <v/>
      </c>
      <c r="W215" s="112" t="str">
        <f>IF(preDEL!$AG215,IFERROR(0/0,""),preDEL!W215)</f>
        <v/>
      </c>
      <c r="X215" s="104" t="b">
        <f>IF(preDEL!$AG215,IFERROR(0/0,""),preDEL!X215)</f>
        <v>0</v>
      </c>
      <c r="Y215" s="110" t="b">
        <f>IF(preDEL!$AG215,IFERROR(0/0,""),preDEL!Y215)</f>
        <v>0</v>
      </c>
      <c r="Z215" s="105" t="str">
        <f>IF(preDEL!$AG215,IFERROR(0/0,""),preDEL!Z215)</f>
        <v/>
      </c>
      <c r="AA215" s="110" t="b">
        <f>IF(preDEL!$AG215,IFERROR(0/0,""),preDEL!AA215)</f>
        <v>0</v>
      </c>
      <c r="AB215" s="110" t="b">
        <f>IF(preDEL!$AG215,IFERROR(0/0,""),preDEL!AB215)</f>
        <v>0</v>
      </c>
      <c r="AC215" s="172">
        <f>IF(preDEL!$AG215,IFERROR(0/0,""),preDEL!AC215)</f>
        <v>589</v>
      </c>
      <c r="AD215" s="104" t="b">
        <f>IF(preDEL!$AG215,IFERROR(0/0,""),preDEL!AD215)</f>
        <v>0</v>
      </c>
      <c r="AE215" s="173">
        <f>IF(preDEL!$AG215,IFERROR(0/0,""),preDEL!AE215)</f>
        <v>133.1333333</v>
      </c>
      <c r="AF215" s="110" t="b">
        <f>IF(preDEL!$AG215,IFERROR(0/0,""),preDEL!AF215)</f>
        <v>0</v>
      </c>
      <c r="AG215" s="110" t="b">
        <f>IF(preDEL!$AG215,IFERROR(0/0,""),preDEL!AG215)</f>
        <v>0</v>
      </c>
      <c r="AH215" s="104" t="str">
        <f>IF(preDEL!$AG215,IFERROR(0/0,""),preDEL!AH215)</f>
        <v/>
      </c>
      <c r="AI215" s="105" t="str">
        <f>IF(preDEL!$AG215,IFERROR(0/0,""),preDEL!AI215)</f>
        <v/>
      </c>
      <c r="AJ215" s="112" t="str">
        <f>IF(preDEL!$AG215,IFERROR(0/0,""),preDEL!AJ215)</f>
        <v/>
      </c>
      <c r="AK215" s="105" t="str">
        <f>IF(preDEL!$AG215,IFERROR(0/0,""),preDEL!AK215)</f>
        <v>Negative</v>
      </c>
      <c r="AL215" s="112" t="str">
        <f>IF(preDEL!$AG215,IFERROR(0/0,""),preDEL!AL215)</f>
        <v/>
      </c>
      <c r="AM215" s="112" t="str">
        <f>IF(preDEL!$AG215,IFERROR(0/0,""),preDEL!AM215)</f>
        <v>SpBEND394154</v>
      </c>
      <c r="AN215" s="112" t="str">
        <f>IF(preDEL!$AG215,IFERROR(0/0,""),preDEL!AN215)</f>
        <v>BEND304589</v>
      </c>
      <c r="AO215" s="112" t="str">
        <f>IF(preDEL!$AG215,IFERROR(0/0,""),preDEL!AO215)</f>
        <v/>
      </c>
      <c r="AP215" s="112" t="str">
        <f>IF(preDEL!$AG215,IFERROR(0/0,""),preDEL!AP215)</f>
        <v/>
      </c>
      <c r="AQ215" s="112" t="str">
        <f>IF(preDEL!$AG215,IFERROR(0/0,""),preDEL!AQ215)</f>
        <v/>
      </c>
      <c r="AR215" s="112" t="str">
        <f>IF(preDEL!$AG215,IFERROR(0/0,""),preDEL!AR215)</f>
        <v/>
      </c>
      <c r="AS215" s="112" t="str">
        <f>IF(preDEL!$AG215,IFERROR(0/0,""),preDEL!AS215)</f>
        <v/>
      </c>
      <c r="AT215" s="112" t="b">
        <f>IF(preDEL!$AG215,IFERROR(0/0,""),preDEL!AT215)</f>
        <v>0</v>
      </c>
      <c r="AU215" s="112" t="str">
        <f>IF(preDEL!$AG215,IFERROR(0/0,""),preDEL!AU215)</f>
        <v/>
      </c>
      <c r="AV215" s="112" t="str">
        <f>IF(preDEL!$AG215,IFERROR(0/0,""),preDEL!AV215)</f>
        <v/>
      </c>
      <c r="AW215" s="112" t="str">
        <f>IF(preDEL!$AG215,IFERROR(0/0,""),preDEL!AW215)</f>
        <v/>
      </c>
      <c r="AX215" s="112" t="str">
        <f>IF(preDEL!$AG215,IFERROR(0/0,""),preDEL!AX215)</f>
        <v/>
      </c>
      <c r="AY215" s="112" t="str">
        <f>IF(preDEL!$AG215,IFERROR(0/0,""),preDEL!AY215)</f>
        <v/>
      </c>
      <c r="AZ215" s="174"/>
      <c r="BA215" s="174"/>
      <c r="BB215" s="174"/>
      <c r="BC215" s="174"/>
      <c r="BD215" s="174"/>
      <c r="BE215" s="174"/>
      <c r="BF215" s="174"/>
      <c r="BG215" s="174"/>
      <c r="BH215" s="174"/>
      <c r="BI215" s="174"/>
      <c r="BJ215" s="174"/>
      <c r="BK215" s="174"/>
      <c r="BL215" s="174"/>
      <c r="BM215" s="174"/>
      <c r="BN215" s="174"/>
      <c r="BO215" s="174"/>
      <c r="BP215" s="174"/>
      <c r="BQ215" s="174"/>
      <c r="BR215" s="174"/>
      <c r="BS215" s="174"/>
      <c r="BT215" s="174"/>
      <c r="BU215" s="174"/>
      <c r="BV215" s="174"/>
      <c r="BW215" s="174"/>
      <c r="BX215" s="174"/>
      <c r="BY215" s="174"/>
      <c r="BZ215" s="174"/>
      <c r="CA215" s="174"/>
      <c r="CB215" s="174"/>
      <c r="CC215" s="174"/>
      <c r="CD215" s="174"/>
    </row>
    <row r="216">
      <c r="A216" s="105" t="str">
        <f>IF(preDEL!$AG216,IFERROR(0/0,""),preDEL!A216)</f>
        <v>MA477</v>
      </c>
      <c r="B216" s="170">
        <f>IF(preDEL!$AG216,IFERROR(0/0,""),preDEL!B216)</f>
        <v>44575</v>
      </c>
      <c r="C216" s="171">
        <f>IF(preDEL!$AG216,IFERROR(0/0,""),preDEL!C216)</f>
        <v>0.4073958333</v>
      </c>
      <c r="D216" s="105" t="str">
        <f>IF(preDEL!$AG216,IFERROR(0/0,""),preDEL!D216)</f>
        <v/>
      </c>
      <c r="E216" s="105" t="str">
        <f>IF(preDEL!$AG216,IFERROR(0/0,""),preDEL!E216)</f>
        <v/>
      </c>
      <c r="F216" s="112" t="str">
        <f>IF(preDEL!$AG216,IFERROR(0/0,""),preDEL!F216)</f>
        <v/>
      </c>
      <c r="G216" s="112" t="str">
        <f>IF(preDEL!$AG216,IFERROR(0/0,""),preDEL!G216)</f>
        <v/>
      </c>
      <c r="H216" s="112" t="str">
        <f>IF(preDEL!$AG216,IFERROR(0/0,""),preDEL!H216)</f>
        <v/>
      </c>
      <c r="I216" s="105" t="str">
        <f>IF(preDEL!$AG216,IFERROR(0/0,""),preDEL!I216)</f>
        <v/>
      </c>
      <c r="J216" s="105" t="str">
        <f>IF(preDEL!$AG216,IFERROR(0/0,""),preDEL!J216)</f>
        <v/>
      </c>
      <c r="K216" s="105" t="str">
        <f>IF(preDEL!$AG216,IFERROR(0/0,""),preDEL!K216)</f>
        <v>Negative</v>
      </c>
      <c r="L216" s="170">
        <f>IF(preDEL!$AG216,IFERROR(0/0,""),preDEL!L216)</f>
        <v>44575</v>
      </c>
      <c r="M216" s="171">
        <f>IF(preDEL!$AG216,IFERROR(0/0,""),preDEL!M216)</f>
        <v>0.4820601852</v>
      </c>
      <c r="N216" s="112" t="str">
        <f>IF(preDEL!$AG216,IFERROR(0/0,""),preDEL!N216)</f>
        <v/>
      </c>
      <c r="O216" s="112" t="str">
        <f>IF(preDEL!$AG216,IFERROR(0/0,""),preDEL!O216)</f>
        <v/>
      </c>
      <c r="P216" s="110" t="b">
        <f>IF(preDEL!$AG216,IFERROR(0/0,""),preDEL!P216)</f>
        <v>0</v>
      </c>
      <c r="Q216" s="110" t="str">
        <f>IF(preDEL!$AG216,IFERROR(0/0,""),preDEL!Q216)</f>
        <v>Result</v>
      </c>
      <c r="R216" s="104" t="b">
        <f>IF(preDEL!$AG216,IFERROR(0/0,""),preDEL!R216)</f>
        <v>1</v>
      </c>
      <c r="S216" s="104">
        <f>IF(preDEL!$AG216,IFERROR(0/0,""),preDEL!S216)</f>
        <v>1</v>
      </c>
      <c r="T216" s="110">
        <f>IF(preDEL!$AG216,IFERROR(0/0,""),preDEL!T216)</f>
        <v>1</v>
      </c>
      <c r="U216" s="112" t="str">
        <f>IF(preDEL!$AG216,IFERROR(0/0,""),preDEL!U216)</f>
        <v/>
      </c>
      <c r="V216" s="105" t="str">
        <f>IF(preDEL!$AG216,IFERROR(0/0,""),preDEL!V216)</f>
        <v/>
      </c>
      <c r="W216" s="112" t="str">
        <f>IF(preDEL!$AG216,IFERROR(0/0,""),preDEL!W216)</f>
        <v/>
      </c>
      <c r="X216" s="104" t="b">
        <f>IF(preDEL!$AG216,IFERROR(0/0,""),preDEL!X216)</f>
        <v>0</v>
      </c>
      <c r="Y216" s="110" t="b">
        <f>IF(preDEL!$AG216,IFERROR(0/0,""),preDEL!Y216)</f>
        <v>0</v>
      </c>
      <c r="Z216" s="105" t="str">
        <f>IF(preDEL!$AG216,IFERROR(0/0,""),preDEL!Z216)</f>
        <v/>
      </c>
      <c r="AA216" s="110" t="b">
        <f>IF(preDEL!$AG216,IFERROR(0/0,""),preDEL!AA216)</f>
        <v>0</v>
      </c>
      <c r="AB216" s="110" t="b">
        <f>IF(preDEL!$AG216,IFERROR(0/0,""),preDEL!AB216)</f>
        <v>0</v>
      </c>
      <c r="AC216" s="172">
        <f>IF(preDEL!$AG216,IFERROR(0/0,""),preDEL!AC216)</f>
        <v>588</v>
      </c>
      <c r="AD216" s="104" t="b">
        <f>IF(preDEL!$AG216,IFERROR(0/0,""),preDEL!AD216)</f>
        <v>0</v>
      </c>
      <c r="AE216" s="173">
        <f>IF(preDEL!$AG216,IFERROR(0/0,""),preDEL!AE216)</f>
        <v>107.5166667</v>
      </c>
      <c r="AF216" s="110" t="b">
        <f>IF(preDEL!$AG216,IFERROR(0/0,""),preDEL!AF216)</f>
        <v>0</v>
      </c>
      <c r="AG216" s="110" t="b">
        <f>IF(preDEL!$AG216,IFERROR(0/0,""),preDEL!AG216)</f>
        <v>0</v>
      </c>
      <c r="AH216" s="104" t="str">
        <f>IF(preDEL!$AG216,IFERROR(0/0,""),preDEL!AH216)</f>
        <v/>
      </c>
      <c r="AI216" s="105" t="str">
        <f>IF(preDEL!$AG216,IFERROR(0/0,""),preDEL!AI216)</f>
        <v/>
      </c>
      <c r="AJ216" s="112" t="str">
        <f>IF(preDEL!$AG216,IFERROR(0/0,""),preDEL!AJ216)</f>
        <v/>
      </c>
      <c r="AK216" s="105" t="str">
        <f>IF(preDEL!$AG216,IFERROR(0/0,""),preDEL!AK216)</f>
        <v>Negative</v>
      </c>
      <c r="AL216" s="112" t="str">
        <f>IF(preDEL!$AG216,IFERROR(0/0,""),preDEL!AL216)</f>
        <v/>
      </c>
      <c r="AM216" s="112" t="str">
        <f>IF(preDEL!$AG216,IFERROR(0/0,""),preDEL!AM216)</f>
        <v>SpBEND394154</v>
      </c>
      <c r="AN216" s="112" t="str">
        <f>IF(preDEL!$AG216,IFERROR(0/0,""),preDEL!AN216)</f>
        <v>BEND742097</v>
      </c>
      <c r="AO216" s="112" t="str">
        <f>IF(preDEL!$AG216,IFERROR(0/0,""),preDEL!AO216)</f>
        <v/>
      </c>
      <c r="AP216" s="112" t="str">
        <f>IF(preDEL!$AG216,IFERROR(0/0,""),preDEL!AP216)</f>
        <v/>
      </c>
      <c r="AQ216" s="112" t="str">
        <f>IF(preDEL!$AG216,IFERROR(0/0,""),preDEL!AQ216)</f>
        <v/>
      </c>
      <c r="AR216" s="112" t="str">
        <f>IF(preDEL!$AG216,IFERROR(0/0,""),preDEL!AR216)</f>
        <v/>
      </c>
      <c r="AS216" s="112" t="str">
        <f>IF(preDEL!$AG216,IFERROR(0/0,""),preDEL!AS216)</f>
        <v/>
      </c>
      <c r="AT216" s="112" t="b">
        <f>IF(preDEL!$AG216,IFERROR(0/0,""),preDEL!AT216)</f>
        <v>0</v>
      </c>
      <c r="AU216" s="112" t="str">
        <f>IF(preDEL!$AG216,IFERROR(0/0,""),preDEL!AU216)</f>
        <v/>
      </c>
      <c r="AV216" s="112" t="str">
        <f>IF(preDEL!$AG216,IFERROR(0/0,""),preDEL!AV216)</f>
        <v/>
      </c>
      <c r="AW216" s="112" t="str">
        <f>IF(preDEL!$AG216,IFERROR(0/0,""),preDEL!AW216)</f>
        <v/>
      </c>
      <c r="AX216" s="112" t="str">
        <f>IF(preDEL!$AG216,IFERROR(0/0,""),preDEL!AX216)</f>
        <v/>
      </c>
      <c r="AY216" s="112" t="str">
        <f>IF(preDEL!$AG216,IFERROR(0/0,""),preDEL!AY216)</f>
        <v/>
      </c>
      <c r="AZ216" s="174"/>
      <c r="BA216" s="174"/>
      <c r="BB216" s="174"/>
      <c r="BC216" s="174"/>
      <c r="BD216" s="174"/>
      <c r="BE216" s="174"/>
      <c r="BF216" s="174"/>
      <c r="BG216" s="174"/>
      <c r="BH216" s="174"/>
      <c r="BI216" s="174"/>
      <c r="BJ216" s="174"/>
      <c r="BK216" s="174"/>
      <c r="BL216" s="174"/>
      <c r="BM216" s="174"/>
      <c r="BN216" s="174"/>
      <c r="BO216" s="174"/>
      <c r="BP216" s="174"/>
      <c r="BQ216" s="174"/>
      <c r="BR216" s="174"/>
      <c r="BS216" s="174"/>
      <c r="BT216" s="174"/>
      <c r="BU216" s="174"/>
      <c r="BV216" s="174"/>
      <c r="BW216" s="174"/>
      <c r="BX216" s="174"/>
      <c r="BY216" s="174"/>
      <c r="BZ216" s="174"/>
      <c r="CA216" s="174"/>
      <c r="CB216" s="174"/>
      <c r="CC216" s="174"/>
      <c r="CD216" s="174"/>
    </row>
    <row r="217">
      <c r="A217" s="105" t="str">
        <f>IF(preDEL!$AG217,IFERROR(0/0,""),preDEL!A217)</f>
        <v/>
      </c>
      <c r="B217" s="170" t="str">
        <f>IF(preDEL!$AG217,IFERROR(0/0,""),preDEL!B217)</f>
        <v/>
      </c>
      <c r="C217" s="171" t="str">
        <f>IF(preDEL!$AG217,IFERROR(0/0,""),preDEL!C217)</f>
        <v/>
      </c>
      <c r="D217" s="105" t="str">
        <f>IF(preDEL!$AG217,IFERROR(0/0,""),preDEL!D217)</f>
        <v/>
      </c>
      <c r="E217" s="105" t="str">
        <f>IF(preDEL!$AG217,IFERROR(0/0,""),preDEL!E217)</f>
        <v/>
      </c>
      <c r="F217" s="112" t="str">
        <f>IF(preDEL!$AG217,IFERROR(0/0,""),preDEL!F217)</f>
        <v/>
      </c>
      <c r="G217" s="112" t="str">
        <f>IF(preDEL!$AG217,IFERROR(0/0,""),preDEL!G217)</f>
        <v/>
      </c>
      <c r="H217" s="112" t="str">
        <f>IF(preDEL!$AG217,IFERROR(0/0,""),preDEL!H217)</f>
        <v/>
      </c>
      <c r="I217" s="105" t="str">
        <f>IF(preDEL!$AG217,IFERROR(0/0,""),preDEL!I217)</f>
        <v/>
      </c>
      <c r="J217" s="105" t="str">
        <f>IF(preDEL!$AG217,IFERROR(0/0,""),preDEL!J217)</f>
        <v/>
      </c>
      <c r="K217" s="105" t="str">
        <f>IF(preDEL!$AG217,IFERROR(0/0,""),preDEL!K217)</f>
        <v/>
      </c>
      <c r="L217" s="170" t="str">
        <f>IF(preDEL!$AG217,IFERROR(0/0,""),preDEL!L217)</f>
        <v/>
      </c>
      <c r="M217" s="171" t="str">
        <f>IF(preDEL!$AG217,IFERROR(0/0,""),preDEL!M217)</f>
        <v/>
      </c>
      <c r="N217" s="112" t="str">
        <f>IF(preDEL!$AG217,IFERROR(0/0,""),preDEL!N217)</f>
        <v/>
      </c>
      <c r="O217" s="112" t="str">
        <f>IF(preDEL!$AG217,IFERROR(0/0,""),preDEL!O217)</f>
        <v/>
      </c>
      <c r="P217" s="110" t="str">
        <f>IF(preDEL!$AG217,IFERROR(0/0,""),preDEL!P217)</f>
        <v/>
      </c>
      <c r="Q217" s="110" t="str">
        <f>IF(preDEL!$AG217,IFERROR(0/0,""),preDEL!Q217)</f>
        <v/>
      </c>
      <c r="R217" s="104" t="str">
        <f>IF(preDEL!$AG217,IFERROR(0/0,""),preDEL!R217)</f>
        <v/>
      </c>
      <c r="S217" s="104" t="str">
        <f>IF(preDEL!$AG217,IFERROR(0/0,""),preDEL!S217)</f>
        <v/>
      </c>
      <c r="T217" s="110" t="str">
        <f>IF(preDEL!$AG217,IFERROR(0/0,""),preDEL!T217)</f>
        <v/>
      </c>
      <c r="U217" s="112" t="str">
        <f>IF(preDEL!$AG217,IFERROR(0/0,""),preDEL!U217)</f>
        <v/>
      </c>
      <c r="V217" s="105" t="str">
        <f>IF(preDEL!$AG217,IFERROR(0/0,""),preDEL!V217)</f>
        <v/>
      </c>
      <c r="W217" s="112" t="str">
        <f>IF(preDEL!$AG217,IFERROR(0/0,""),preDEL!W217)</f>
        <v/>
      </c>
      <c r="X217" s="104" t="str">
        <f>IF(preDEL!$AG217,IFERROR(0/0,""),preDEL!X217)</f>
        <v/>
      </c>
      <c r="Y217" s="110" t="str">
        <f>IF(preDEL!$AG217,IFERROR(0/0,""),preDEL!Y217)</f>
        <v/>
      </c>
      <c r="Z217" s="105" t="str">
        <f>IF(preDEL!$AG217,IFERROR(0/0,""),preDEL!Z217)</f>
        <v/>
      </c>
      <c r="AA217" s="110" t="str">
        <f>IF(preDEL!$AG217,IFERROR(0/0,""),preDEL!AA217)</f>
        <v/>
      </c>
      <c r="AB217" s="110" t="str">
        <f>IF(preDEL!$AG217,IFERROR(0/0,""),preDEL!AB217)</f>
        <v/>
      </c>
      <c r="AC217" s="172" t="str">
        <f>IF(preDEL!$AG217,IFERROR(0/0,""),preDEL!AC217)</f>
        <v/>
      </c>
      <c r="AD217" s="104" t="str">
        <f>IF(preDEL!$AG217,IFERROR(0/0,""),preDEL!AD217)</f>
        <v/>
      </c>
      <c r="AE217" s="173" t="str">
        <f>IF(preDEL!$AG217,IFERROR(0/0,""),preDEL!AE217)</f>
        <v/>
      </c>
      <c r="AF217" s="110" t="str">
        <f>IF(preDEL!$AG217,IFERROR(0/0,""),preDEL!AF217)</f>
        <v/>
      </c>
      <c r="AG217" s="110" t="str">
        <f>IF(preDEL!$AG217,IFERROR(0/0,""),preDEL!AG217)</f>
        <v/>
      </c>
      <c r="AH217" s="104" t="str">
        <f>IF(preDEL!$AG217,IFERROR(0/0,""),preDEL!AH217)</f>
        <v/>
      </c>
      <c r="AI217" s="105" t="str">
        <f>IF(preDEL!$AG217,IFERROR(0/0,""),preDEL!AI217)</f>
        <v/>
      </c>
      <c r="AJ217" s="112" t="str">
        <f>IF(preDEL!$AG217,IFERROR(0/0,""),preDEL!AJ217)</f>
        <v/>
      </c>
      <c r="AK217" s="105" t="str">
        <f>IF(preDEL!$AG217,IFERROR(0/0,""),preDEL!AK217)</f>
        <v/>
      </c>
      <c r="AL217" s="112" t="str">
        <f>IF(preDEL!$AG217,IFERROR(0/0,""),preDEL!AL217)</f>
        <v/>
      </c>
      <c r="AM217" s="112" t="str">
        <f>IF(preDEL!$AG217,IFERROR(0/0,""),preDEL!AM217)</f>
        <v/>
      </c>
      <c r="AN217" s="112" t="str">
        <f>IF(preDEL!$AG217,IFERROR(0/0,""),preDEL!AN217)</f>
        <v/>
      </c>
      <c r="AO217" s="112" t="str">
        <f>IF(preDEL!$AG217,IFERROR(0/0,""),preDEL!AO217)</f>
        <v/>
      </c>
      <c r="AP217" s="112" t="str">
        <f>IF(preDEL!$AG217,IFERROR(0/0,""),preDEL!AP217)</f>
        <v/>
      </c>
      <c r="AQ217" s="112" t="str">
        <f>IF(preDEL!$AG217,IFERROR(0/0,""),preDEL!AQ217)</f>
        <v/>
      </c>
      <c r="AR217" s="112" t="str">
        <f>IF(preDEL!$AG217,IFERROR(0/0,""),preDEL!AR217)</f>
        <v/>
      </c>
      <c r="AS217" s="112" t="str">
        <f>IF(preDEL!$AG217,IFERROR(0/0,""),preDEL!AS217)</f>
        <v/>
      </c>
      <c r="AT217" s="112" t="str">
        <f>IF(preDEL!$AG217,IFERROR(0/0,""),preDEL!AT217)</f>
        <v/>
      </c>
      <c r="AU217" s="112" t="str">
        <f>IF(preDEL!$AG217,IFERROR(0/0,""),preDEL!AU217)</f>
        <v/>
      </c>
      <c r="AV217" s="112" t="str">
        <f>IF(preDEL!$AG217,IFERROR(0/0,""),preDEL!AV217)</f>
        <v/>
      </c>
      <c r="AW217" s="112" t="str">
        <f>IF(preDEL!$AG217,IFERROR(0/0,""),preDEL!AW217)</f>
        <v/>
      </c>
      <c r="AX217" s="112" t="str">
        <f>IF(preDEL!$AG217,IFERROR(0/0,""),preDEL!AX217)</f>
        <v/>
      </c>
      <c r="AY217" s="112" t="str">
        <f>IF(preDEL!$AG217,IFERROR(0/0,""),preDEL!AY217)</f>
        <v/>
      </c>
      <c r="AZ217" s="174"/>
      <c r="BA217" s="174"/>
      <c r="BB217" s="174"/>
      <c r="BC217" s="174"/>
      <c r="BD217" s="174"/>
      <c r="BE217" s="174"/>
      <c r="BF217" s="174"/>
      <c r="BG217" s="174"/>
      <c r="BH217" s="174"/>
      <c r="BI217" s="174"/>
      <c r="BJ217" s="174"/>
      <c r="BK217" s="174"/>
      <c r="BL217" s="174"/>
      <c r="BM217" s="174"/>
      <c r="BN217" s="174"/>
      <c r="BO217" s="174"/>
      <c r="BP217" s="174"/>
      <c r="BQ217" s="174"/>
      <c r="BR217" s="174"/>
      <c r="BS217" s="174"/>
      <c r="BT217" s="174"/>
      <c r="BU217" s="174"/>
      <c r="BV217" s="174"/>
      <c r="BW217" s="174"/>
      <c r="BX217" s="174"/>
      <c r="BY217" s="174"/>
      <c r="BZ217" s="174"/>
      <c r="CA217" s="174"/>
      <c r="CB217" s="174"/>
      <c r="CC217" s="174"/>
      <c r="CD217" s="174"/>
    </row>
    <row r="218">
      <c r="A218" s="105" t="str">
        <f>IF(preDEL!$AG218,IFERROR(0/0,""),preDEL!A218)</f>
        <v>MA355</v>
      </c>
      <c r="B218" s="170">
        <f>IF(preDEL!$AG218,IFERROR(0/0,""),preDEL!B218)</f>
        <v>44578</v>
      </c>
      <c r="C218" s="171">
        <f>IF(preDEL!$AG218,IFERROR(0/0,""),preDEL!C218)</f>
        <v>0.3505208333</v>
      </c>
      <c r="D218" s="105" t="str">
        <f>IF(preDEL!$AG218,IFERROR(0/0,""),preDEL!D218)</f>
        <v/>
      </c>
      <c r="E218" s="105" t="str">
        <f>IF(preDEL!$AG218,IFERROR(0/0,""),preDEL!E218)</f>
        <v/>
      </c>
      <c r="F218" s="112" t="str">
        <f>IF(preDEL!$AG218,IFERROR(0/0,""),preDEL!F218)</f>
        <v/>
      </c>
      <c r="G218" s="112" t="str">
        <f>IF(preDEL!$AG218,IFERROR(0/0,""),preDEL!G218)</f>
        <v/>
      </c>
      <c r="H218" s="112" t="str">
        <f>IF(preDEL!$AG218,IFERROR(0/0,""),preDEL!H218)</f>
        <v/>
      </c>
      <c r="I218" s="105" t="str">
        <f>IF(preDEL!$AG218,IFERROR(0/0,""),preDEL!I218)</f>
        <v/>
      </c>
      <c r="J218" s="105" t="str">
        <f>IF(preDEL!$AG218,IFERROR(0/0,""),preDEL!J218)</f>
        <v/>
      </c>
      <c r="K218" s="105" t="str">
        <f>IF(preDEL!$AG218,IFERROR(0/0,""),preDEL!K218)</f>
        <v>Negative</v>
      </c>
      <c r="L218" s="170">
        <f>IF(preDEL!$AG218,IFERROR(0/0,""),preDEL!L218)</f>
        <v>44580</v>
      </c>
      <c r="M218" s="171">
        <f>IF(preDEL!$AG218,IFERROR(0/0,""),preDEL!M218)</f>
        <v>0.5079976852</v>
      </c>
      <c r="N218" s="112" t="str">
        <f>IF(preDEL!$AG218,IFERROR(0/0,""),preDEL!N218)</f>
        <v/>
      </c>
      <c r="O218" s="112" t="str">
        <f>IF(preDEL!$AG218,IFERROR(0/0,""),preDEL!O218)</f>
        <v/>
      </c>
      <c r="P218" s="110" t="b">
        <f>IF(preDEL!$AG218,IFERROR(0/0,""),preDEL!P218)</f>
        <v>0</v>
      </c>
      <c r="Q218" s="110" t="str">
        <f>IF(preDEL!$AG218,IFERROR(0/0,""),preDEL!Q218)</f>
        <v>Result</v>
      </c>
      <c r="R218" s="104" t="b">
        <f>IF(preDEL!$AG218,IFERROR(0/0,""),preDEL!R218)</f>
        <v>1</v>
      </c>
      <c r="S218" s="104">
        <f>IF(preDEL!$AG218,IFERROR(0/0,""),preDEL!S218)</f>
        <v>1</v>
      </c>
      <c r="T218" s="110" t="str">
        <f>IF(preDEL!$AG218,IFERROR(0/0,""),preDEL!T218)</f>
        <v/>
      </c>
      <c r="U218" s="112" t="str">
        <f>IF(preDEL!$AG218,IFERROR(0/0,""),preDEL!U218)</f>
        <v/>
      </c>
      <c r="V218" s="105" t="str">
        <f>IF(preDEL!$AG218,IFERROR(0/0,""),preDEL!V218)</f>
        <v/>
      </c>
      <c r="W218" s="112" t="str">
        <f>IF(preDEL!$AG218,IFERROR(0/0,""),preDEL!W218)</f>
        <v/>
      </c>
      <c r="X218" s="104" t="b">
        <f>IF(preDEL!$AG218,IFERROR(0/0,""),preDEL!X218)</f>
        <v>0</v>
      </c>
      <c r="Y218" s="110" t="b">
        <f>IF(preDEL!$AG218,IFERROR(0/0,""),preDEL!Y218)</f>
        <v>0</v>
      </c>
      <c r="Z218" s="105" t="str">
        <f>IF(preDEL!$AG218,IFERROR(0/0,""),preDEL!Z218)</f>
        <v/>
      </c>
      <c r="AA218" s="110" t="b">
        <f>IF(preDEL!$AG218,IFERROR(0/0,""),preDEL!AA218)</f>
        <v>0</v>
      </c>
      <c r="AB218" s="110" t="b">
        <f>IF(preDEL!$AG218,IFERROR(0/0,""),preDEL!AB218)</f>
        <v>0</v>
      </c>
      <c r="AC218" s="172">
        <f>IF(preDEL!$AG218,IFERROR(0/0,""),preDEL!AC218)</f>
        <v>571</v>
      </c>
      <c r="AD218" s="104" t="b">
        <f>IF(preDEL!$AG218,IFERROR(0/0,""),preDEL!AD218)</f>
        <v>0</v>
      </c>
      <c r="AE218" s="173" t="str">
        <f>IF(preDEL!$AG218,IFERROR(0/0,""),preDEL!AE218)</f>
        <v/>
      </c>
      <c r="AF218" s="110" t="b">
        <f>IF(preDEL!$AG218,IFERROR(0/0,""),preDEL!AF218)</f>
        <v>0</v>
      </c>
      <c r="AG218" s="110" t="b">
        <f>IF(preDEL!$AG218,IFERROR(0/0,""),preDEL!AG218)</f>
        <v>0</v>
      </c>
      <c r="AH218" s="104" t="str">
        <f>IF(preDEL!$AG218,IFERROR(0/0,""),preDEL!AH218)</f>
        <v/>
      </c>
      <c r="AI218" s="105" t="str">
        <f>IF(preDEL!$AG218,IFERROR(0/0,""),preDEL!AI218)</f>
        <v/>
      </c>
      <c r="AJ218" s="112" t="str">
        <f>IF(preDEL!$AG218,IFERROR(0/0,""),preDEL!AJ218)</f>
        <v/>
      </c>
      <c r="AK218" s="105" t="str">
        <f>IF(preDEL!$AG218,IFERROR(0/0,""),preDEL!AK218)</f>
        <v>Negative</v>
      </c>
      <c r="AL218" s="112" t="str">
        <f>IF(preDEL!$AG218,IFERROR(0/0,""),preDEL!AL218)</f>
        <v/>
      </c>
      <c r="AM218" s="112" t="str">
        <f>IF(preDEL!$AG218,IFERROR(0/0,""),preDEL!AM218)</f>
        <v>SpBEND721986</v>
      </c>
      <c r="AN218" s="112" t="str">
        <f>IF(preDEL!$AG218,IFERROR(0/0,""),preDEL!AN218)</f>
        <v>BEND127889</v>
      </c>
      <c r="AO218" s="112" t="str">
        <f>IF(preDEL!$AG218,IFERROR(0/0,""),preDEL!AO218)</f>
        <v/>
      </c>
      <c r="AP218" s="112" t="str">
        <f>IF(preDEL!$AG218,IFERROR(0/0,""),preDEL!AP218)</f>
        <v/>
      </c>
      <c r="AQ218" s="112" t="str">
        <f>IF(preDEL!$AG218,IFERROR(0/0,""),preDEL!AQ218)</f>
        <v/>
      </c>
      <c r="AR218" s="112" t="str">
        <f>IF(preDEL!$AG218,IFERROR(0/0,""),preDEL!AR218)</f>
        <v/>
      </c>
      <c r="AS218" s="112" t="str">
        <f>IF(preDEL!$AG218,IFERROR(0/0,""),preDEL!AS218)</f>
        <v/>
      </c>
      <c r="AT218" s="112" t="b">
        <f>IF(preDEL!$AG218,IFERROR(0/0,""),preDEL!AT218)</f>
        <v>0</v>
      </c>
      <c r="AU218" s="112" t="str">
        <f>IF(preDEL!$AG218,IFERROR(0/0,""),preDEL!AU218)</f>
        <v/>
      </c>
      <c r="AV218" s="112" t="str">
        <f>IF(preDEL!$AG218,IFERROR(0/0,""),preDEL!AV218)</f>
        <v/>
      </c>
      <c r="AW218" s="112" t="str">
        <f>IF(preDEL!$AG218,IFERROR(0/0,""),preDEL!AW218)</f>
        <v/>
      </c>
      <c r="AX218" s="112" t="str">
        <f>IF(preDEL!$AG218,IFERROR(0/0,""),preDEL!AX218)</f>
        <v/>
      </c>
      <c r="AY218" s="112" t="str">
        <f>IF(preDEL!$AG218,IFERROR(0/0,""),preDEL!AY218)</f>
        <v/>
      </c>
      <c r="AZ218" s="174"/>
      <c r="BA218" s="174"/>
      <c r="BB218" s="174"/>
      <c r="BC218" s="174"/>
      <c r="BD218" s="174"/>
      <c r="BE218" s="174"/>
      <c r="BF218" s="174"/>
      <c r="BG218" s="174"/>
      <c r="BH218" s="174"/>
      <c r="BI218" s="174"/>
      <c r="BJ218" s="174"/>
      <c r="BK218" s="174"/>
      <c r="BL218" s="174"/>
      <c r="BM218" s="174"/>
      <c r="BN218" s="174"/>
      <c r="BO218" s="174"/>
      <c r="BP218" s="174"/>
      <c r="BQ218" s="174"/>
      <c r="BR218" s="174"/>
      <c r="BS218" s="174"/>
      <c r="BT218" s="174"/>
      <c r="BU218" s="174"/>
      <c r="BV218" s="174"/>
      <c r="BW218" s="174"/>
      <c r="BX218" s="174"/>
      <c r="BY218" s="174"/>
      <c r="BZ218" s="174"/>
      <c r="CA218" s="174"/>
      <c r="CB218" s="174"/>
      <c r="CC218" s="174"/>
      <c r="CD218" s="174"/>
    </row>
    <row r="219">
      <c r="A219" s="105" t="str">
        <f>IF(preDEL!$AG219,IFERROR(0/0,""),preDEL!A219)</f>
        <v>MA638</v>
      </c>
      <c r="B219" s="170">
        <f>IF(preDEL!$AG219,IFERROR(0/0,""),preDEL!B219)</f>
        <v>44579</v>
      </c>
      <c r="C219" s="171">
        <f>IF(preDEL!$AG219,IFERROR(0/0,""),preDEL!C219)</f>
        <v>0.2984837963</v>
      </c>
      <c r="D219" s="105" t="str">
        <f>IF(preDEL!$AG219,IFERROR(0/0,""),preDEL!D219)</f>
        <v/>
      </c>
      <c r="E219" s="105" t="str">
        <f>IF(preDEL!$AG219,IFERROR(0/0,""),preDEL!E219)</f>
        <v/>
      </c>
      <c r="F219" s="112" t="str">
        <f>IF(preDEL!$AG219,IFERROR(0/0,""),preDEL!F219)</f>
        <v/>
      </c>
      <c r="G219" s="112" t="str">
        <f>IF(preDEL!$AG219,IFERROR(0/0,""),preDEL!G219)</f>
        <v/>
      </c>
      <c r="H219" s="112" t="str">
        <f>IF(preDEL!$AG219,IFERROR(0/0,""),preDEL!H219)</f>
        <v/>
      </c>
      <c r="I219" s="105" t="str">
        <f>IF(preDEL!$AG219,IFERROR(0/0,""),preDEL!I219)</f>
        <v/>
      </c>
      <c r="J219" s="105" t="str">
        <f>IF(preDEL!$AG219,IFERROR(0/0,""),preDEL!J219)</f>
        <v/>
      </c>
      <c r="K219" s="105" t="str">
        <f>IF(preDEL!$AG219,IFERROR(0/0,""),preDEL!K219)</f>
        <v>Negative</v>
      </c>
      <c r="L219" s="170">
        <f>IF(preDEL!$AG219,IFERROR(0/0,""),preDEL!L219)</f>
        <v>44580</v>
      </c>
      <c r="M219" s="171">
        <f>IF(preDEL!$AG219,IFERROR(0/0,""),preDEL!M219)</f>
        <v>0.5079976852</v>
      </c>
      <c r="N219" s="112" t="str">
        <f>IF(preDEL!$AG219,IFERROR(0/0,""),preDEL!N219)</f>
        <v/>
      </c>
      <c r="O219" s="112" t="str">
        <f>IF(preDEL!$AG219,IFERROR(0/0,""),preDEL!O219)</f>
        <v/>
      </c>
      <c r="P219" s="110" t="b">
        <f>IF(preDEL!$AG219,IFERROR(0/0,""),preDEL!P219)</f>
        <v>0</v>
      </c>
      <c r="Q219" s="110" t="str">
        <f>IF(preDEL!$AG219,IFERROR(0/0,""),preDEL!Q219)</f>
        <v>Result</v>
      </c>
      <c r="R219" s="104" t="b">
        <f>IF(preDEL!$AG219,IFERROR(0/0,""),preDEL!R219)</f>
        <v>1</v>
      </c>
      <c r="S219" s="104">
        <f>IF(preDEL!$AG219,IFERROR(0/0,""),preDEL!S219)</f>
        <v>1</v>
      </c>
      <c r="T219" s="110" t="str">
        <f>IF(preDEL!$AG219,IFERROR(0/0,""),preDEL!T219)</f>
        <v/>
      </c>
      <c r="U219" s="112" t="str">
        <f>IF(preDEL!$AG219,IFERROR(0/0,""),preDEL!U219)</f>
        <v/>
      </c>
      <c r="V219" s="105" t="str">
        <f>IF(preDEL!$AG219,IFERROR(0/0,""),preDEL!V219)</f>
        <v/>
      </c>
      <c r="W219" s="112" t="str">
        <f>IF(preDEL!$AG219,IFERROR(0/0,""),preDEL!W219)</f>
        <v/>
      </c>
      <c r="X219" s="104" t="b">
        <f>IF(preDEL!$AG219,IFERROR(0/0,""),preDEL!X219)</f>
        <v>0</v>
      </c>
      <c r="Y219" s="110" t="b">
        <f>IF(preDEL!$AG219,IFERROR(0/0,""),preDEL!Y219)</f>
        <v>0</v>
      </c>
      <c r="Z219" s="105" t="str">
        <f>IF(preDEL!$AG219,IFERROR(0/0,""),preDEL!Z219)</f>
        <v/>
      </c>
      <c r="AA219" s="110" t="b">
        <f>IF(preDEL!$AG219,IFERROR(0/0,""),preDEL!AA219)</f>
        <v>0</v>
      </c>
      <c r="AB219" s="110" t="b">
        <f>IF(preDEL!$AG219,IFERROR(0/0,""),preDEL!AB219)</f>
        <v>0</v>
      </c>
      <c r="AC219" s="172">
        <f>IF(preDEL!$AG219,IFERROR(0/0,""),preDEL!AC219)</f>
        <v>570</v>
      </c>
      <c r="AD219" s="104" t="b">
        <f>IF(preDEL!$AG219,IFERROR(0/0,""),preDEL!AD219)</f>
        <v>0</v>
      </c>
      <c r="AE219" s="173" t="str">
        <f>IF(preDEL!$AG219,IFERROR(0/0,""),preDEL!AE219)</f>
        <v/>
      </c>
      <c r="AF219" s="110" t="b">
        <f>IF(preDEL!$AG219,IFERROR(0/0,""),preDEL!AF219)</f>
        <v>0</v>
      </c>
      <c r="AG219" s="110" t="b">
        <f>IF(preDEL!$AG219,IFERROR(0/0,""),preDEL!AG219)</f>
        <v>0</v>
      </c>
      <c r="AH219" s="104" t="str">
        <f>IF(preDEL!$AG219,IFERROR(0/0,""),preDEL!AH219)</f>
        <v/>
      </c>
      <c r="AI219" s="105" t="str">
        <f>IF(preDEL!$AG219,IFERROR(0/0,""),preDEL!AI219)</f>
        <v/>
      </c>
      <c r="AJ219" s="112" t="str">
        <f>IF(preDEL!$AG219,IFERROR(0/0,""),preDEL!AJ219)</f>
        <v/>
      </c>
      <c r="AK219" s="105" t="str">
        <f>IF(preDEL!$AG219,IFERROR(0/0,""),preDEL!AK219)</f>
        <v>Negative</v>
      </c>
      <c r="AL219" s="112" t="str">
        <f>IF(preDEL!$AG219,IFERROR(0/0,""),preDEL!AL219)</f>
        <v/>
      </c>
      <c r="AM219" s="112" t="str">
        <f>IF(preDEL!$AG219,IFERROR(0/0,""),preDEL!AM219)</f>
        <v>SpBEND136234</v>
      </c>
      <c r="AN219" s="112" t="str">
        <f>IF(preDEL!$AG219,IFERROR(0/0,""),preDEL!AN219)</f>
        <v>BEND350468</v>
      </c>
      <c r="AO219" s="112" t="str">
        <f>IF(preDEL!$AG219,IFERROR(0/0,""),preDEL!AO219)</f>
        <v/>
      </c>
      <c r="AP219" s="112" t="str">
        <f>IF(preDEL!$AG219,IFERROR(0/0,""),preDEL!AP219)</f>
        <v/>
      </c>
      <c r="AQ219" s="112" t="str">
        <f>IF(preDEL!$AG219,IFERROR(0/0,""),preDEL!AQ219)</f>
        <v/>
      </c>
      <c r="AR219" s="112" t="str">
        <f>IF(preDEL!$AG219,IFERROR(0/0,""),preDEL!AR219)</f>
        <v/>
      </c>
      <c r="AS219" s="112" t="str">
        <f>IF(preDEL!$AG219,IFERROR(0/0,""),preDEL!AS219)</f>
        <v/>
      </c>
      <c r="AT219" s="112" t="b">
        <f>IF(preDEL!$AG219,IFERROR(0/0,""),preDEL!AT219)</f>
        <v>0</v>
      </c>
      <c r="AU219" s="112" t="str">
        <f>IF(preDEL!$AG219,IFERROR(0/0,""),preDEL!AU219)</f>
        <v/>
      </c>
      <c r="AV219" s="112" t="str">
        <f>IF(preDEL!$AG219,IFERROR(0/0,""),preDEL!AV219)</f>
        <v/>
      </c>
      <c r="AW219" s="112" t="str">
        <f>IF(preDEL!$AG219,IFERROR(0/0,""),preDEL!AW219)</f>
        <v/>
      </c>
      <c r="AX219" s="112" t="str">
        <f>IF(preDEL!$AG219,IFERROR(0/0,""),preDEL!AX219)</f>
        <v/>
      </c>
      <c r="AY219" s="112" t="str">
        <f>IF(preDEL!$AG219,IFERROR(0/0,""),preDEL!AY219)</f>
        <v/>
      </c>
      <c r="AZ219" s="174"/>
      <c r="BA219" s="174"/>
      <c r="BB219" s="174"/>
      <c r="BC219" s="174"/>
      <c r="BD219" s="174"/>
      <c r="BE219" s="174"/>
      <c r="BF219" s="174"/>
      <c r="BG219" s="174"/>
      <c r="BH219" s="174"/>
      <c r="BI219" s="174"/>
      <c r="BJ219" s="174"/>
      <c r="BK219" s="174"/>
      <c r="BL219" s="174"/>
      <c r="BM219" s="174"/>
      <c r="BN219" s="174"/>
      <c r="BO219" s="174"/>
      <c r="BP219" s="174"/>
      <c r="BQ219" s="174"/>
      <c r="BR219" s="174"/>
      <c r="BS219" s="174"/>
      <c r="BT219" s="174"/>
      <c r="BU219" s="174"/>
      <c r="BV219" s="174"/>
      <c r="BW219" s="174"/>
      <c r="BX219" s="174"/>
      <c r="BY219" s="174"/>
      <c r="BZ219" s="174"/>
      <c r="CA219" s="174"/>
      <c r="CB219" s="174"/>
      <c r="CC219" s="174"/>
      <c r="CD219" s="174"/>
    </row>
    <row r="220">
      <c r="A220" s="105" t="str">
        <f>IF(preDEL!$AG220,IFERROR(0/0,""),preDEL!A220)</f>
        <v>MA1109</v>
      </c>
      <c r="B220" s="170">
        <f>IF(preDEL!$AG220,IFERROR(0/0,""),preDEL!B220)</f>
        <v>44579</v>
      </c>
      <c r="C220" s="171">
        <f>IF(preDEL!$AG220,IFERROR(0/0,""),preDEL!C220)</f>
        <v>0.3022685185</v>
      </c>
      <c r="D220" s="105" t="str">
        <f>IF(preDEL!$AG220,IFERROR(0/0,""),preDEL!D220)</f>
        <v/>
      </c>
      <c r="E220" s="105" t="str">
        <f>IF(preDEL!$AG220,IFERROR(0/0,""),preDEL!E220)</f>
        <v/>
      </c>
      <c r="F220" s="112" t="str">
        <f>IF(preDEL!$AG220,IFERROR(0/0,""),preDEL!F220)</f>
        <v/>
      </c>
      <c r="G220" s="112" t="str">
        <f>IF(preDEL!$AG220,IFERROR(0/0,""),preDEL!G220)</f>
        <v/>
      </c>
      <c r="H220" s="112" t="str">
        <f>IF(preDEL!$AG220,IFERROR(0/0,""),preDEL!H220)</f>
        <v/>
      </c>
      <c r="I220" s="105" t="str">
        <f>IF(preDEL!$AG220,IFERROR(0/0,""),preDEL!I220)</f>
        <v/>
      </c>
      <c r="J220" s="105" t="str">
        <f>IF(preDEL!$AG220,IFERROR(0/0,""),preDEL!J220)</f>
        <v/>
      </c>
      <c r="K220" s="105" t="str">
        <f>IF(preDEL!$AG220,IFERROR(0/0,""),preDEL!K220)</f>
        <v>Negative</v>
      </c>
      <c r="L220" s="170">
        <f>IF(preDEL!$AG220,IFERROR(0/0,""),preDEL!L220)</f>
        <v>44580</v>
      </c>
      <c r="M220" s="171">
        <f>IF(preDEL!$AG220,IFERROR(0/0,""),preDEL!M220)</f>
        <v>0.5079976852</v>
      </c>
      <c r="N220" s="112" t="str">
        <f>IF(preDEL!$AG220,IFERROR(0/0,""),preDEL!N220)</f>
        <v/>
      </c>
      <c r="O220" s="112" t="str">
        <f>IF(preDEL!$AG220,IFERROR(0/0,""),preDEL!O220)</f>
        <v/>
      </c>
      <c r="P220" s="110" t="b">
        <f>IF(preDEL!$AG220,IFERROR(0/0,""),preDEL!P220)</f>
        <v>0</v>
      </c>
      <c r="Q220" s="110" t="str">
        <f>IF(preDEL!$AG220,IFERROR(0/0,""),preDEL!Q220)</f>
        <v>Result</v>
      </c>
      <c r="R220" s="104" t="b">
        <f>IF(preDEL!$AG220,IFERROR(0/0,""),preDEL!R220)</f>
        <v>1</v>
      </c>
      <c r="S220" s="104">
        <f>IF(preDEL!$AG220,IFERROR(0/0,""),preDEL!S220)</f>
        <v>1</v>
      </c>
      <c r="T220" s="110" t="str">
        <f>IF(preDEL!$AG220,IFERROR(0/0,""),preDEL!T220)</f>
        <v/>
      </c>
      <c r="U220" s="112" t="str">
        <f>IF(preDEL!$AG220,IFERROR(0/0,""),preDEL!U220)</f>
        <v/>
      </c>
      <c r="V220" s="105" t="str">
        <f>IF(preDEL!$AG220,IFERROR(0/0,""),preDEL!V220)</f>
        <v/>
      </c>
      <c r="W220" s="112" t="str">
        <f>IF(preDEL!$AG220,IFERROR(0/0,""),preDEL!W220)</f>
        <v/>
      </c>
      <c r="X220" s="104" t="b">
        <f>IF(preDEL!$AG220,IFERROR(0/0,""),preDEL!X220)</f>
        <v>0</v>
      </c>
      <c r="Y220" s="110" t="b">
        <f>IF(preDEL!$AG220,IFERROR(0/0,""),preDEL!Y220)</f>
        <v>0</v>
      </c>
      <c r="Z220" s="105" t="str">
        <f>IF(preDEL!$AG220,IFERROR(0/0,""),preDEL!Z220)</f>
        <v/>
      </c>
      <c r="AA220" s="110" t="b">
        <f>IF(preDEL!$AG220,IFERROR(0/0,""),preDEL!AA220)</f>
        <v>0</v>
      </c>
      <c r="AB220" s="110" t="b">
        <f>IF(preDEL!$AG220,IFERROR(0/0,""),preDEL!AB220)</f>
        <v>0</v>
      </c>
      <c r="AC220" s="172">
        <f>IF(preDEL!$AG220,IFERROR(0/0,""),preDEL!AC220)</f>
        <v>569</v>
      </c>
      <c r="AD220" s="104" t="b">
        <f>IF(preDEL!$AG220,IFERROR(0/0,""),preDEL!AD220)</f>
        <v>0</v>
      </c>
      <c r="AE220" s="173" t="str">
        <f>IF(preDEL!$AG220,IFERROR(0/0,""),preDEL!AE220)</f>
        <v/>
      </c>
      <c r="AF220" s="110" t="b">
        <f>IF(preDEL!$AG220,IFERROR(0/0,""),preDEL!AF220)</f>
        <v>0</v>
      </c>
      <c r="AG220" s="110" t="b">
        <f>IF(preDEL!$AG220,IFERROR(0/0,""),preDEL!AG220)</f>
        <v>0</v>
      </c>
      <c r="AH220" s="104" t="str">
        <f>IF(preDEL!$AG220,IFERROR(0/0,""),preDEL!AH220)</f>
        <v/>
      </c>
      <c r="AI220" s="105" t="str">
        <f>IF(preDEL!$AG220,IFERROR(0/0,""),preDEL!AI220)</f>
        <v/>
      </c>
      <c r="AJ220" s="112" t="str">
        <f>IF(preDEL!$AG220,IFERROR(0/0,""),preDEL!AJ220)</f>
        <v/>
      </c>
      <c r="AK220" s="105" t="str">
        <f>IF(preDEL!$AG220,IFERROR(0/0,""),preDEL!AK220)</f>
        <v>Negative</v>
      </c>
      <c r="AL220" s="112" t="str">
        <f>IF(preDEL!$AG220,IFERROR(0/0,""),preDEL!AL220)</f>
        <v/>
      </c>
      <c r="AM220" s="112" t="str">
        <f>IF(preDEL!$AG220,IFERROR(0/0,""),preDEL!AM220)</f>
        <v>SpBEND743940</v>
      </c>
      <c r="AN220" s="112" t="str">
        <f>IF(preDEL!$AG220,IFERROR(0/0,""),preDEL!AN220)</f>
        <v>BEND905639</v>
      </c>
      <c r="AO220" s="112" t="str">
        <f>IF(preDEL!$AG220,IFERROR(0/0,""),preDEL!AO220)</f>
        <v/>
      </c>
      <c r="AP220" s="112" t="str">
        <f>IF(preDEL!$AG220,IFERROR(0/0,""),preDEL!AP220)</f>
        <v/>
      </c>
      <c r="AQ220" s="112" t="str">
        <f>IF(preDEL!$AG220,IFERROR(0/0,""),preDEL!AQ220)</f>
        <v/>
      </c>
      <c r="AR220" s="112" t="str">
        <f>IF(preDEL!$AG220,IFERROR(0/0,""),preDEL!AR220)</f>
        <v/>
      </c>
      <c r="AS220" s="112" t="str">
        <f>IF(preDEL!$AG220,IFERROR(0/0,""),preDEL!AS220)</f>
        <v/>
      </c>
      <c r="AT220" s="112" t="b">
        <f>IF(preDEL!$AG220,IFERROR(0/0,""),preDEL!AT220)</f>
        <v>0</v>
      </c>
      <c r="AU220" s="112" t="str">
        <f>IF(preDEL!$AG220,IFERROR(0/0,""),preDEL!AU220)</f>
        <v/>
      </c>
      <c r="AV220" s="112" t="str">
        <f>IF(preDEL!$AG220,IFERROR(0/0,""),preDEL!AV220)</f>
        <v/>
      </c>
      <c r="AW220" s="112" t="str">
        <f>IF(preDEL!$AG220,IFERROR(0/0,""),preDEL!AW220)</f>
        <v/>
      </c>
      <c r="AX220" s="112" t="str">
        <f>IF(preDEL!$AG220,IFERROR(0/0,""),preDEL!AX220)</f>
        <v/>
      </c>
      <c r="AY220" s="112" t="str">
        <f>IF(preDEL!$AG220,IFERROR(0/0,""),preDEL!AY220)</f>
        <v/>
      </c>
      <c r="AZ220" s="174"/>
      <c r="BA220" s="174"/>
      <c r="BB220" s="174"/>
      <c r="BC220" s="174"/>
      <c r="BD220" s="174"/>
      <c r="BE220" s="174"/>
      <c r="BF220" s="174"/>
      <c r="BG220" s="174"/>
      <c r="BH220" s="174"/>
      <c r="BI220" s="174"/>
      <c r="BJ220" s="174"/>
      <c r="BK220" s="174"/>
      <c r="BL220" s="174"/>
      <c r="BM220" s="174"/>
      <c r="BN220" s="174"/>
      <c r="BO220" s="174"/>
      <c r="BP220" s="174"/>
      <c r="BQ220" s="174"/>
      <c r="BR220" s="174"/>
      <c r="BS220" s="174"/>
      <c r="BT220" s="174"/>
      <c r="BU220" s="174"/>
      <c r="BV220" s="174"/>
      <c r="BW220" s="174"/>
      <c r="BX220" s="174"/>
      <c r="BY220" s="174"/>
      <c r="BZ220" s="174"/>
      <c r="CA220" s="174"/>
      <c r="CB220" s="174"/>
      <c r="CC220" s="174"/>
      <c r="CD220" s="174"/>
    </row>
    <row r="221">
      <c r="A221" s="105" t="str">
        <f>IF(preDEL!$AG221,IFERROR(0/0,""),preDEL!A221)</f>
        <v>MA1274</v>
      </c>
      <c r="B221" s="170">
        <f>IF(preDEL!$AG221,IFERROR(0/0,""),preDEL!B221)</f>
        <v>44579</v>
      </c>
      <c r="C221" s="171">
        <f>IF(preDEL!$AG221,IFERROR(0/0,""),preDEL!C221)</f>
        <v>0.3112847222</v>
      </c>
      <c r="D221" s="105" t="str">
        <f>IF(preDEL!$AG221,IFERROR(0/0,""),preDEL!D221)</f>
        <v/>
      </c>
      <c r="E221" s="105" t="str">
        <f>IF(preDEL!$AG221,IFERROR(0/0,""),preDEL!E221)</f>
        <v/>
      </c>
      <c r="F221" s="112" t="str">
        <f>IF(preDEL!$AG221,IFERROR(0/0,""),preDEL!F221)</f>
        <v/>
      </c>
      <c r="G221" s="112" t="str">
        <f>IF(preDEL!$AG221,IFERROR(0/0,""),preDEL!G221)</f>
        <v/>
      </c>
      <c r="H221" s="112" t="str">
        <f>IF(preDEL!$AG221,IFERROR(0/0,""),preDEL!H221)</f>
        <v/>
      </c>
      <c r="I221" s="105" t="str">
        <f>IF(preDEL!$AG221,IFERROR(0/0,""),preDEL!I221)</f>
        <v/>
      </c>
      <c r="J221" s="105" t="str">
        <f>IF(preDEL!$AG221,IFERROR(0/0,""),preDEL!J221)</f>
        <v/>
      </c>
      <c r="K221" s="105" t="str">
        <f>IF(preDEL!$AG221,IFERROR(0/0,""),preDEL!K221)</f>
        <v>Inconclusive</v>
      </c>
      <c r="L221" s="170">
        <f>IF(preDEL!$AG221,IFERROR(0/0,""),preDEL!L221)</f>
        <v>44579</v>
      </c>
      <c r="M221" s="171">
        <f>IF(preDEL!$AG221,IFERROR(0/0,""),preDEL!M221)</f>
        <v>0.5014930556</v>
      </c>
      <c r="N221" s="112" t="str">
        <f>IF(preDEL!$AG221,IFERROR(0/0,""),preDEL!N221)</f>
        <v/>
      </c>
      <c r="O221" s="112" t="str">
        <f>IF(preDEL!$AG221,IFERROR(0/0,""),preDEL!O221)</f>
        <v/>
      </c>
      <c r="P221" s="110" t="b">
        <f>IF(preDEL!$AG221,IFERROR(0/0,""),preDEL!P221)</f>
        <v>0</v>
      </c>
      <c r="Q221" s="110" t="str">
        <f>IF(preDEL!$AG221,IFERROR(0/0,""),preDEL!Q221)</f>
        <v>Result</v>
      </c>
      <c r="R221" s="104" t="b">
        <f>IF(preDEL!$AG221,IFERROR(0/0,""),preDEL!R221)</f>
        <v>1</v>
      </c>
      <c r="S221" s="104">
        <f>IF(preDEL!$AG221,IFERROR(0/0,""),preDEL!S221)</f>
        <v>1</v>
      </c>
      <c r="T221" s="110" t="str">
        <f>IF(preDEL!$AG221,IFERROR(0/0,""),preDEL!T221)</f>
        <v/>
      </c>
      <c r="U221" s="112" t="str">
        <f>IF(preDEL!$AG221,IFERROR(0/0,""),preDEL!U221)</f>
        <v/>
      </c>
      <c r="V221" s="105" t="str">
        <f>IF(preDEL!$AG221,IFERROR(0/0,""),preDEL!V221)</f>
        <v/>
      </c>
      <c r="W221" s="112" t="str">
        <f>IF(preDEL!$AG221,IFERROR(0/0,""),preDEL!W221)</f>
        <v/>
      </c>
      <c r="X221" s="104" t="b">
        <f>IF(preDEL!$AG221,IFERROR(0/0,""),preDEL!X221)</f>
        <v>0</v>
      </c>
      <c r="Y221" s="110" t="b">
        <f>IF(preDEL!$AG221,IFERROR(0/0,""),preDEL!Y221)</f>
        <v>0</v>
      </c>
      <c r="Z221" s="105" t="str">
        <f>IF(preDEL!$AG221,IFERROR(0/0,""),preDEL!Z221)</f>
        <v/>
      </c>
      <c r="AA221" s="110" t="b">
        <f>IF(preDEL!$AG221,IFERROR(0/0,""),preDEL!AA221)</f>
        <v>0</v>
      </c>
      <c r="AB221" s="110" t="b">
        <f>IF(preDEL!$AG221,IFERROR(0/0,""),preDEL!AB221)</f>
        <v>0</v>
      </c>
      <c r="AC221" s="172">
        <f>IF(preDEL!$AG221,IFERROR(0/0,""),preDEL!AC221)</f>
        <v>587</v>
      </c>
      <c r="AD221" s="104" t="b">
        <f>IF(preDEL!$AG221,IFERROR(0/0,""),preDEL!AD221)</f>
        <v>0</v>
      </c>
      <c r="AE221" s="173">
        <f>IF(preDEL!$AG221,IFERROR(0/0,""),preDEL!AE221)</f>
        <v>273.9</v>
      </c>
      <c r="AF221" s="110" t="b">
        <f>IF(preDEL!$AG221,IFERROR(0/0,""),preDEL!AF221)</f>
        <v>0</v>
      </c>
      <c r="AG221" s="110" t="b">
        <f>IF(preDEL!$AG221,IFERROR(0/0,""),preDEL!AG221)</f>
        <v>0</v>
      </c>
      <c r="AH221" s="104" t="str">
        <f>IF(preDEL!$AG221,IFERROR(0/0,""),preDEL!AH221)</f>
        <v/>
      </c>
      <c r="AI221" s="105" t="str">
        <f>IF(preDEL!$AG221,IFERROR(0/0,""),preDEL!AI221)</f>
        <v/>
      </c>
      <c r="AJ221" s="112">
        <f>IF(preDEL!$AG221,IFERROR(0/0,""),preDEL!AJ221)</f>
        <v>2.5</v>
      </c>
      <c r="AK221" s="105" t="str">
        <f>IF(preDEL!$AG221,IFERROR(0/0,""),preDEL!AK221)</f>
        <v>Negative</v>
      </c>
      <c r="AL221" s="112" t="str">
        <f>IF(preDEL!$AG221,IFERROR(0/0,""),preDEL!AL221)</f>
        <v> Inconclusive to Negative based on RFR Audit (RT JAN26)</v>
      </c>
      <c r="AM221" s="112" t="str">
        <f>IF(preDEL!$AG221,IFERROR(0/0,""),preDEL!AM221)</f>
        <v>SpBEND139816</v>
      </c>
      <c r="AN221" s="112" t="str">
        <f>IF(preDEL!$AG221,IFERROR(0/0,""),preDEL!AN221)</f>
        <v>BEND492855</v>
      </c>
      <c r="AO221" s="112" t="str">
        <f>IF(preDEL!$AG221,IFERROR(0/0,""),preDEL!AO221)</f>
        <v/>
      </c>
      <c r="AP221" s="112" t="str">
        <f>IF(preDEL!$AG221,IFERROR(0/0,""),preDEL!AP221)</f>
        <v/>
      </c>
      <c r="AQ221" s="112" t="str">
        <f>IF(preDEL!$AG221,IFERROR(0/0,""),preDEL!AQ221)</f>
        <v/>
      </c>
      <c r="AR221" s="112" t="str">
        <f>IF(preDEL!$AG221,IFERROR(0/0,""),preDEL!AR221)</f>
        <v/>
      </c>
      <c r="AS221" s="112" t="str">
        <f>IF(preDEL!$AG221,IFERROR(0/0,""),preDEL!AS221)</f>
        <v/>
      </c>
      <c r="AT221" s="112" t="b">
        <f>IF(preDEL!$AG221,IFERROR(0/0,""),preDEL!AT221)</f>
        <v>0</v>
      </c>
      <c r="AU221" s="112" t="str">
        <f>IF(preDEL!$AG221,IFERROR(0/0,""),preDEL!AU221)</f>
        <v/>
      </c>
      <c r="AV221" s="112" t="str">
        <f>IF(preDEL!$AG221,IFERROR(0/0,""),preDEL!AV221)</f>
        <v/>
      </c>
      <c r="AW221" s="112" t="str">
        <f>IF(preDEL!$AG221,IFERROR(0/0,""),preDEL!AW221)</f>
        <v/>
      </c>
      <c r="AX221" s="112" t="str">
        <f>IF(preDEL!$AG221,IFERROR(0/0,""),preDEL!AX221)</f>
        <v/>
      </c>
      <c r="AY221" s="112" t="str">
        <f>IF(preDEL!$AG221,IFERROR(0/0,""),preDEL!AY221)</f>
        <v/>
      </c>
      <c r="AZ221" s="174"/>
      <c r="BA221" s="174"/>
      <c r="BB221" s="174"/>
      <c r="BC221" s="174"/>
      <c r="BD221" s="174"/>
      <c r="BE221" s="174"/>
      <c r="BF221" s="174"/>
      <c r="BG221" s="174"/>
      <c r="BH221" s="174"/>
      <c r="BI221" s="174"/>
      <c r="BJ221" s="174"/>
      <c r="BK221" s="174"/>
      <c r="BL221" s="174"/>
      <c r="BM221" s="174"/>
      <c r="BN221" s="174"/>
      <c r="BO221" s="174"/>
      <c r="BP221" s="174"/>
      <c r="BQ221" s="174"/>
      <c r="BR221" s="174"/>
      <c r="BS221" s="174"/>
      <c r="BT221" s="174"/>
      <c r="BU221" s="174"/>
      <c r="BV221" s="174"/>
      <c r="BW221" s="174"/>
      <c r="BX221" s="174"/>
      <c r="BY221" s="174"/>
      <c r="BZ221" s="174"/>
      <c r="CA221" s="174"/>
      <c r="CB221" s="174"/>
      <c r="CC221" s="174"/>
      <c r="CD221" s="174"/>
    </row>
    <row r="222">
      <c r="A222" s="105" t="str">
        <f>IF(preDEL!$AG222,IFERROR(0/0,""),preDEL!A222)</f>
        <v>MA1100</v>
      </c>
      <c r="B222" s="170">
        <f>IF(preDEL!$AG222,IFERROR(0/0,""),preDEL!B222)</f>
        <v>44579</v>
      </c>
      <c r="C222" s="171">
        <f>IF(preDEL!$AG222,IFERROR(0/0,""),preDEL!C222)</f>
        <v>0.3162037037</v>
      </c>
      <c r="D222" s="105" t="str">
        <f>IF(preDEL!$AG222,IFERROR(0/0,""),preDEL!D222)</f>
        <v/>
      </c>
      <c r="E222" s="105" t="str">
        <f>IF(preDEL!$AG222,IFERROR(0/0,""),preDEL!E222)</f>
        <v/>
      </c>
      <c r="F222" s="112" t="str">
        <f>IF(preDEL!$AG222,IFERROR(0/0,""),preDEL!F222)</f>
        <v/>
      </c>
      <c r="G222" s="112" t="str">
        <f>IF(preDEL!$AG222,IFERROR(0/0,""),preDEL!G222)</f>
        <v/>
      </c>
      <c r="H222" s="112" t="str">
        <f>IF(preDEL!$AG222,IFERROR(0/0,""),preDEL!H222)</f>
        <v/>
      </c>
      <c r="I222" s="105" t="str">
        <f>IF(preDEL!$AG222,IFERROR(0/0,""),preDEL!I222)</f>
        <v/>
      </c>
      <c r="J222" s="105" t="str">
        <f>IF(preDEL!$AG222,IFERROR(0/0,""),preDEL!J222)</f>
        <v/>
      </c>
      <c r="K222" s="105" t="str">
        <f>IF(preDEL!$AG222,IFERROR(0/0,""),preDEL!K222)</f>
        <v>Negative</v>
      </c>
      <c r="L222" s="170">
        <f>IF(preDEL!$AG222,IFERROR(0/0,""),preDEL!L222)</f>
        <v>44580</v>
      </c>
      <c r="M222" s="171">
        <f>IF(preDEL!$AG222,IFERROR(0/0,""),preDEL!M222)</f>
        <v>0.5080092593</v>
      </c>
      <c r="N222" s="112" t="str">
        <f>IF(preDEL!$AG222,IFERROR(0/0,""),preDEL!N222)</f>
        <v/>
      </c>
      <c r="O222" s="112" t="str">
        <f>IF(preDEL!$AG222,IFERROR(0/0,""),preDEL!O222)</f>
        <v/>
      </c>
      <c r="P222" s="110" t="b">
        <f>IF(preDEL!$AG222,IFERROR(0/0,""),preDEL!P222)</f>
        <v>0</v>
      </c>
      <c r="Q222" s="110" t="str">
        <f>IF(preDEL!$AG222,IFERROR(0/0,""),preDEL!Q222)</f>
        <v>Result</v>
      </c>
      <c r="R222" s="104" t="b">
        <f>IF(preDEL!$AG222,IFERROR(0/0,""),preDEL!R222)</f>
        <v>1</v>
      </c>
      <c r="S222" s="104">
        <f>IF(preDEL!$AG222,IFERROR(0/0,""),preDEL!S222)</f>
        <v>1</v>
      </c>
      <c r="T222" s="110" t="str">
        <f>IF(preDEL!$AG222,IFERROR(0/0,""),preDEL!T222)</f>
        <v/>
      </c>
      <c r="U222" s="112" t="str">
        <f>IF(preDEL!$AG222,IFERROR(0/0,""),preDEL!U222)</f>
        <v/>
      </c>
      <c r="V222" s="105" t="str">
        <f>IF(preDEL!$AG222,IFERROR(0/0,""),preDEL!V222)</f>
        <v/>
      </c>
      <c r="W222" s="112" t="str">
        <f>IF(preDEL!$AG222,IFERROR(0/0,""),preDEL!W222)</f>
        <v/>
      </c>
      <c r="X222" s="104" t="b">
        <f>IF(preDEL!$AG222,IFERROR(0/0,""),preDEL!X222)</f>
        <v>0</v>
      </c>
      <c r="Y222" s="110" t="b">
        <f>IF(preDEL!$AG222,IFERROR(0/0,""),preDEL!Y222)</f>
        <v>0</v>
      </c>
      <c r="Z222" s="105" t="str">
        <f>IF(preDEL!$AG222,IFERROR(0/0,""),preDEL!Z222)</f>
        <v/>
      </c>
      <c r="AA222" s="110" t="b">
        <f>IF(preDEL!$AG222,IFERROR(0/0,""),preDEL!AA222)</f>
        <v>0</v>
      </c>
      <c r="AB222" s="110" t="b">
        <f>IF(preDEL!$AG222,IFERROR(0/0,""),preDEL!AB222)</f>
        <v>0</v>
      </c>
      <c r="AC222" s="172">
        <f>IF(preDEL!$AG222,IFERROR(0/0,""),preDEL!AC222)</f>
        <v>568</v>
      </c>
      <c r="AD222" s="104" t="b">
        <f>IF(preDEL!$AG222,IFERROR(0/0,""),preDEL!AD222)</f>
        <v>0</v>
      </c>
      <c r="AE222" s="173" t="str">
        <f>IF(preDEL!$AG222,IFERROR(0/0,""),preDEL!AE222)</f>
        <v/>
      </c>
      <c r="AF222" s="110" t="b">
        <f>IF(preDEL!$AG222,IFERROR(0/0,""),preDEL!AF222)</f>
        <v>0</v>
      </c>
      <c r="AG222" s="110" t="b">
        <f>IF(preDEL!$AG222,IFERROR(0/0,""),preDEL!AG222)</f>
        <v>0</v>
      </c>
      <c r="AH222" s="104" t="str">
        <f>IF(preDEL!$AG222,IFERROR(0/0,""),preDEL!AH222)</f>
        <v/>
      </c>
      <c r="AI222" s="105" t="str">
        <f>IF(preDEL!$AG222,IFERROR(0/0,""),preDEL!AI222)</f>
        <v/>
      </c>
      <c r="AJ222" s="112" t="str">
        <f>IF(preDEL!$AG222,IFERROR(0/0,""),preDEL!AJ222)</f>
        <v/>
      </c>
      <c r="AK222" s="105" t="str">
        <f>IF(preDEL!$AG222,IFERROR(0/0,""),preDEL!AK222)</f>
        <v>Negative</v>
      </c>
      <c r="AL222" s="112" t="str">
        <f>IF(preDEL!$AG222,IFERROR(0/0,""),preDEL!AL222)</f>
        <v/>
      </c>
      <c r="AM222" s="112" t="str">
        <f>IF(preDEL!$AG222,IFERROR(0/0,""),preDEL!AM222)</f>
        <v>SpBEND528248</v>
      </c>
      <c r="AN222" s="112" t="str">
        <f>IF(preDEL!$AG222,IFERROR(0/0,""),preDEL!AN222)</f>
        <v>BEND229530</v>
      </c>
      <c r="AO222" s="112" t="str">
        <f>IF(preDEL!$AG222,IFERROR(0/0,""),preDEL!AO222)</f>
        <v/>
      </c>
      <c r="AP222" s="112" t="str">
        <f>IF(preDEL!$AG222,IFERROR(0/0,""),preDEL!AP222)</f>
        <v/>
      </c>
      <c r="AQ222" s="112" t="str">
        <f>IF(preDEL!$AG222,IFERROR(0/0,""),preDEL!AQ222)</f>
        <v/>
      </c>
      <c r="AR222" s="112" t="str">
        <f>IF(preDEL!$AG222,IFERROR(0/0,""),preDEL!AR222)</f>
        <v/>
      </c>
      <c r="AS222" s="112" t="str">
        <f>IF(preDEL!$AG222,IFERROR(0/0,""),preDEL!AS222)</f>
        <v/>
      </c>
      <c r="AT222" s="112" t="b">
        <f>IF(preDEL!$AG222,IFERROR(0/0,""),preDEL!AT222)</f>
        <v>0</v>
      </c>
      <c r="AU222" s="112" t="str">
        <f>IF(preDEL!$AG222,IFERROR(0/0,""),preDEL!AU222)</f>
        <v/>
      </c>
      <c r="AV222" s="112" t="str">
        <f>IF(preDEL!$AG222,IFERROR(0/0,""),preDEL!AV222)</f>
        <v/>
      </c>
      <c r="AW222" s="112" t="str">
        <f>IF(preDEL!$AG222,IFERROR(0/0,""),preDEL!AW222)</f>
        <v/>
      </c>
      <c r="AX222" s="112" t="str">
        <f>IF(preDEL!$AG222,IFERROR(0/0,""),preDEL!AX222)</f>
        <v/>
      </c>
      <c r="AY222" s="112" t="str">
        <f>IF(preDEL!$AG222,IFERROR(0/0,""),preDEL!AY222)</f>
        <v/>
      </c>
      <c r="AZ222" s="174"/>
      <c r="BA222" s="174"/>
      <c r="BB222" s="174"/>
      <c r="BC222" s="174"/>
      <c r="BD222" s="174"/>
      <c r="BE222" s="174"/>
      <c r="BF222" s="174"/>
      <c r="BG222" s="174"/>
      <c r="BH222" s="174"/>
      <c r="BI222" s="174"/>
      <c r="BJ222" s="174"/>
      <c r="BK222" s="174"/>
      <c r="BL222" s="174"/>
      <c r="BM222" s="174"/>
      <c r="BN222" s="174"/>
      <c r="BO222" s="174"/>
      <c r="BP222" s="174"/>
      <c r="BQ222" s="174"/>
      <c r="BR222" s="174"/>
      <c r="BS222" s="174"/>
      <c r="BT222" s="174"/>
      <c r="BU222" s="174"/>
      <c r="BV222" s="174"/>
      <c r="BW222" s="174"/>
      <c r="BX222" s="174"/>
      <c r="BY222" s="174"/>
      <c r="BZ222" s="174"/>
      <c r="CA222" s="174"/>
      <c r="CB222" s="174"/>
      <c r="CC222" s="174"/>
      <c r="CD222" s="174"/>
    </row>
    <row r="223">
      <c r="A223" s="105" t="str">
        <f>IF(preDEL!$AG223,IFERROR(0/0,""),preDEL!A223)</f>
        <v>MA1145</v>
      </c>
      <c r="B223" s="170">
        <f>IF(preDEL!$AG223,IFERROR(0/0,""),preDEL!B223)</f>
        <v>44579</v>
      </c>
      <c r="C223" s="171">
        <f>IF(preDEL!$AG223,IFERROR(0/0,""),preDEL!C223)</f>
        <v>0.3205324074</v>
      </c>
      <c r="D223" s="105" t="str">
        <f>IF(preDEL!$AG223,IFERROR(0/0,""),preDEL!D223)</f>
        <v/>
      </c>
      <c r="E223" s="105" t="str">
        <f>IF(preDEL!$AG223,IFERROR(0/0,""),preDEL!E223)</f>
        <v/>
      </c>
      <c r="F223" s="112" t="str">
        <f>IF(preDEL!$AG223,IFERROR(0/0,""),preDEL!F223)</f>
        <v/>
      </c>
      <c r="G223" s="112" t="str">
        <f>IF(preDEL!$AG223,IFERROR(0/0,""),preDEL!G223)</f>
        <v/>
      </c>
      <c r="H223" s="112" t="str">
        <f>IF(preDEL!$AG223,IFERROR(0/0,""),preDEL!H223)</f>
        <v/>
      </c>
      <c r="I223" s="105" t="str">
        <f>IF(preDEL!$AG223,IFERROR(0/0,""),preDEL!I223)</f>
        <v/>
      </c>
      <c r="J223" s="105" t="str">
        <f>IF(preDEL!$AG223,IFERROR(0/0,""),preDEL!J223)</f>
        <v/>
      </c>
      <c r="K223" s="105" t="str">
        <f>IF(preDEL!$AG223,IFERROR(0/0,""),preDEL!K223)</f>
        <v>Negative</v>
      </c>
      <c r="L223" s="170">
        <f>IF(preDEL!$AG223,IFERROR(0/0,""),preDEL!L223)</f>
        <v>44580</v>
      </c>
      <c r="M223" s="171">
        <f>IF(preDEL!$AG223,IFERROR(0/0,""),preDEL!M223)</f>
        <v>0.5080092593</v>
      </c>
      <c r="N223" s="112" t="str">
        <f>IF(preDEL!$AG223,IFERROR(0/0,""),preDEL!N223)</f>
        <v/>
      </c>
      <c r="O223" s="112" t="str">
        <f>IF(preDEL!$AG223,IFERROR(0/0,""),preDEL!O223)</f>
        <v/>
      </c>
      <c r="P223" s="110" t="b">
        <f>IF(preDEL!$AG223,IFERROR(0/0,""),preDEL!P223)</f>
        <v>0</v>
      </c>
      <c r="Q223" s="110" t="str">
        <f>IF(preDEL!$AG223,IFERROR(0/0,""),preDEL!Q223)</f>
        <v>Result</v>
      </c>
      <c r="R223" s="104" t="b">
        <f>IF(preDEL!$AG223,IFERROR(0/0,""),preDEL!R223)</f>
        <v>1</v>
      </c>
      <c r="S223" s="104">
        <f>IF(preDEL!$AG223,IFERROR(0/0,""),preDEL!S223)</f>
        <v>1</v>
      </c>
      <c r="T223" s="110" t="str">
        <f>IF(preDEL!$AG223,IFERROR(0/0,""),preDEL!T223)</f>
        <v/>
      </c>
      <c r="U223" s="112" t="str">
        <f>IF(preDEL!$AG223,IFERROR(0/0,""),preDEL!U223)</f>
        <v/>
      </c>
      <c r="V223" s="105" t="str">
        <f>IF(preDEL!$AG223,IFERROR(0/0,""),preDEL!V223)</f>
        <v/>
      </c>
      <c r="W223" s="112" t="str">
        <f>IF(preDEL!$AG223,IFERROR(0/0,""),preDEL!W223)</f>
        <v/>
      </c>
      <c r="X223" s="104" t="b">
        <f>IF(preDEL!$AG223,IFERROR(0/0,""),preDEL!X223)</f>
        <v>0</v>
      </c>
      <c r="Y223" s="110" t="b">
        <f>IF(preDEL!$AG223,IFERROR(0/0,""),preDEL!Y223)</f>
        <v>0</v>
      </c>
      <c r="Z223" s="105" t="str">
        <f>IF(preDEL!$AG223,IFERROR(0/0,""),preDEL!Z223)</f>
        <v/>
      </c>
      <c r="AA223" s="110" t="b">
        <f>IF(preDEL!$AG223,IFERROR(0/0,""),preDEL!AA223)</f>
        <v>0</v>
      </c>
      <c r="AB223" s="110" t="b">
        <f>IF(preDEL!$AG223,IFERROR(0/0,""),preDEL!AB223)</f>
        <v>0</v>
      </c>
      <c r="AC223" s="172">
        <f>IF(preDEL!$AG223,IFERROR(0/0,""),preDEL!AC223)</f>
        <v>567</v>
      </c>
      <c r="AD223" s="104" t="b">
        <f>IF(preDEL!$AG223,IFERROR(0/0,""),preDEL!AD223)</f>
        <v>0</v>
      </c>
      <c r="AE223" s="173" t="str">
        <f>IF(preDEL!$AG223,IFERROR(0/0,""),preDEL!AE223)</f>
        <v/>
      </c>
      <c r="AF223" s="110" t="b">
        <f>IF(preDEL!$AG223,IFERROR(0/0,""),preDEL!AF223)</f>
        <v>0</v>
      </c>
      <c r="AG223" s="110" t="b">
        <f>IF(preDEL!$AG223,IFERROR(0/0,""),preDEL!AG223)</f>
        <v>0</v>
      </c>
      <c r="AH223" s="104" t="str">
        <f>IF(preDEL!$AG223,IFERROR(0/0,""),preDEL!AH223)</f>
        <v/>
      </c>
      <c r="AI223" s="105" t="str">
        <f>IF(preDEL!$AG223,IFERROR(0/0,""),preDEL!AI223)</f>
        <v/>
      </c>
      <c r="AJ223" s="112" t="str">
        <f>IF(preDEL!$AG223,IFERROR(0/0,""),preDEL!AJ223)</f>
        <v/>
      </c>
      <c r="AK223" s="105" t="str">
        <f>IF(preDEL!$AG223,IFERROR(0/0,""),preDEL!AK223)</f>
        <v>Negative</v>
      </c>
      <c r="AL223" s="112" t="str">
        <f>IF(preDEL!$AG223,IFERROR(0/0,""),preDEL!AL223)</f>
        <v/>
      </c>
      <c r="AM223" s="112" t="str">
        <f>IF(preDEL!$AG223,IFERROR(0/0,""),preDEL!AM223)</f>
        <v>SpBEND302553</v>
      </c>
      <c r="AN223" s="112" t="str">
        <f>IF(preDEL!$AG223,IFERROR(0/0,""),preDEL!AN223)</f>
        <v>BEND219101</v>
      </c>
      <c r="AO223" s="112" t="str">
        <f>IF(preDEL!$AG223,IFERROR(0/0,""),preDEL!AO223)</f>
        <v/>
      </c>
      <c r="AP223" s="112" t="str">
        <f>IF(preDEL!$AG223,IFERROR(0/0,""),preDEL!AP223)</f>
        <v/>
      </c>
      <c r="AQ223" s="112" t="str">
        <f>IF(preDEL!$AG223,IFERROR(0/0,""),preDEL!AQ223)</f>
        <v/>
      </c>
      <c r="AR223" s="112" t="str">
        <f>IF(preDEL!$AG223,IFERROR(0/0,""),preDEL!AR223)</f>
        <v/>
      </c>
      <c r="AS223" s="112" t="str">
        <f>IF(preDEL!$AG223,IFERROR(0/0,""),preDEL!AS223)</f>
        <v/>
      </c>
      <c r="AT223" s="112" t="b">
        <f>IF(preDEL!$AG223,IFERROR(0/0,""),preDEL!AT223)</f>
        <v>0</v>
      </c>
      <c r="AU223" s="112" t="str">
        <f>IF(preDEL!$AG223,IFERROR(0/0,""),preDEL!AU223)</f>
        <v/>
      </c>
      <c r="AV223" s="112" t="str">
        <f>IF(preDEL!$AG223,IFERROR(0/0,""),preDEL!AV223)</f>
        <v/>
      </c>
      <c r="AW223" s="112" t="str">
        <f>IF(preDEL!$AG223,IFERROR(0/0,""),preDEL!AW223)</f>
        <v/>
      </c>
      <c r="AX223" s="112" t="str">
        <f>IF(preDEL!$AG223,IFERROR(0/0,""),preDEL!AX223)</f>
        <v/>
      </c>
      <c r="AY223" s="112" t="str">
        <f>IF(preDEL!$AG223,IFERROR(0/0,""),preDEL!AY223)</f>
        <v/>
      </c>
      <c r="AZ223" s="174"/>
      <c r="BA223" s="174"/>
      <c r="BB223" s="174"/>
      <c r="BC223" s="174"/>
      <c r="BD223" s="174"/>
      <c r="BE223" s="174"/>
      <c r="BF223" s="174"/>
      <c r="BG223" s="174"/>
      <c r="BH223" s="174"/>
      <c r="BI223" s="174"/>
      <c r="BJ223" s="174"/>
      <c r="BK223" s="174"/>
      <c r="BL223" s="174"/>
      <c r="BM223" s="174"/>
      <c r="BN223" s="174"/>
      <c r="BO223" s="174"/>
      <c r="BP223" s="174"/>
      <c r="BQ223" s="174"/>
      <c r="BR223" s="174"/>
      <c r="BS223" s="174"/>
      <c r="BT223" s="174"/>
      <c r="BU223" s="174"/>
      <c r="BV223" s="174"/>
      <c r="BW223" s="174"/>
      <c r="BX223" s="174"/>
      <c r="BY223" s="174"/>
      <c r="BZ223" s="174"/>
      <c r="CA223" s="174"/>
      <c r="CB223" s="174"/>
      <c r="CC223" s="174"/>
      <c r="CD223" s="174"/>
    </row>
    <row r="224">
      <c r="A224" s="105" t="str">
        <f>IF(preDEL!$AG224,IFERROR(0/0,""),preDEL!A224)</f>
        <v>MA655</v>
      </c>
      <c r="B224" s="170">
        <f>IF(preDEL!$AG224,IFERROR(0/0,""),preDEL!B224)</f>
        <v>44579</v>
      </c>
      <c r="C224" s="171">
        <f>IF(preDEL!$AG224,IFERROR(0/0,""),preDEL!C224)</f>
        <v>0.3225115741</v>
      </c>
      <c r="D224" s="105" t="str">
        <f>IF(preDEL!$AG224,IFERROR(0/0,""),preDEL!D224)</f>
        <v/>
      </c>
      <c r="E224" s="105" t="str">
        <f>IF(preDEL!$AG224,IFERROR(0/0,""),preDEL!E224)</f>
        <v/>
      </c>
      <c r="F224" s="112" t="str">
        <f>IF(preDEL!$AG224,IFERROR(0/0,""),preDEL!F224)</f>
        <v/>
      </c>
      <c r="G224" s="112" t="str">
        <f>IF(preDEL!$AG224,IFERROR(0/0,""),preDEL!G224)</f>
        <v/>
      </c>
      <c r="H224" s="112" t="str">
        <f>IF(preDEL!$AG224,IFERROR(0/0,""),preDEL!H224)</f>
        <v/>
      </c>
      <c r="I224" s="105" t="str">
        <f>IF(preDEL!$AG224,IFERROR(0/0,""),preDEL!I224)</f>
        <v/>
      </c>
      <c r="J224" s="105" t="str">
        <f>IF(preDEL!$AG224,IFERROR(0/0,""),preDEL!J224)</f>
        <v/>
      </c>
      <c r="K224" s="105" t="str">
        <f>IF(preDEL!$AG224,IFERROR(0/0,""),preDEL!K224)</f>
        <v>Positive</v>
      </c>
      <c r="L224" s="170">
        <f>IF(preDEL!$AG224,IFERROR(0/0,""),preDEL!L224)</f>
        <v>44579</v>
      </c>
      <c r="M224" s="171">
        <f>IF(preDEL!$AG224,IFERROR(0/0,""),preDEL!M224)</f>
        <v>0.5015972222</v>
      </c>
      <c r="N224" s="112" t="str">
        <f>IF(preDEL!$AG224,IFERROR(0/0,""),preDEL!N224)</f>
        <v/>
      </c>
      <c r="O224" s="112" t="str">
        <f>IF(preDEL!$AG224,IFERROR(0/0,""),preDEL!O224)</f>
        <v/>
      </c>
      <c r="P224" s="110" t="b">
        <f>IF(preDEL!$AG224,IFERROR(0/0,""),preDEL!P224)</f>
        <v>0</v>
      </c>
      <c r="Q224" s="110" t="str">
        <f>IF(preDEL!$AG224,IFERROR(0/0,""),preDEL!Q224)</f>
        <v>Result</v>
      </c>
      <c r="R224" s="104" t="b">
        <f>IF(preDEL!$AG224,IFERROR(0/0,""),preDEL!R224)</f>
        <v>1</v>
      </c>
      <c r="S224" s="104">
        <f>IF(preDEL!$AG224,IFERROR(0/0,""),preDEL!S224)</f>
        <v>1</v>
      </c>
      <c r="T224" s="110" t="str">
        <f>IF(preDEL!$AG224,IFERROR(0/0,""),preDEL!T224)</f>
        <v/>
      </c>
      <c r="U224" s="112" t="str">
        <f>IF(preDEL!$AG224,IFERROR(0/0,""),preDEL!U224)</f>
        <v/>
      </c>
      <c r="V224" s="105" t="str">
        <f>IF(preDEL!$AG224,IFERROR(0/0,""),preDEL!V224)</f>
        <v/>
      </c>
      <c r="W224" s="112" t="str">
        <f>IF(preDEL!$AG224,IFERROR(0/0,""),preDEL!W224)</f>
        <v/>
      </c>
      <c r="X224" s="104" t="b">
        <f>IF(preDEL!$AG224,IFERROR(0/0,""),preDEL!X224)</f>
        <v>0</v>
      </c>
      <c r="Y224" s="110" t="b">
        <f>IF(preDEL!$AG224,IFERROR(0/0,""),preDEL!Y224)</f>
        <v>0</v>
      </c>
      <c r="Z224" s="105" t="str">
        <f>IF(preDEL!$AG224,IFERROR(0/0,""),preDEL!Z224)</f>
        <v/>
      </c>
      <c r="AA224" s="110" t="b">
        <f>IF(preDEL!$AG224,IFERROR(0/0,""),preDEL!AA224)</f>
        <v>0</v>
      </c>
      <c r="AB224" s="110" t="b">
        <f>IF(preDEL!$AG224,IFERROR(0/0,""),preDEL!AB224)</f>
        <v>0</v>
      </c>
      <c r="AC224" s="172">
        <f>IF(preDEL!$AG224,IFERROR(0/0,""),preDEL!AC224)</f>
        <v>586</v>
      </c>
      <c r="AD224" s="104" t="b">
        <f>IF(preDEL!$AG224,IFERROR(0/0,""),preDEL!AD224)</f>
        <v>0</v>
      </c>
      <c r="AE224" s="173">
        <f>IF(preDEL!$AG224,IFERROR(0/0,""),preDEL!AE224)</f>
        <v>257.8833333</v>
      </c>
      <c r="AF224" s="110" t="b">
        <f>IF(preDEL!$AG224,IFERROR(0/0,""),preDEL!AF224)</f>
        <v>0</v>
      </c>
      <c r="AG224" s="110" t="b">
        <f>IF(preDEL!$AG224,IFERROR(0/0,""),preDEL!AG224)</f>
        <v>0</v>
      </c>
      <c r="AH224" s="104" t="str">
        <f>IF(preDEL!$AG224,IFERROR(0/0,""),preDEL!AH224)</f>
        <v/>
      </c>
      <c r="AI224" s="105" t="str">
        <f>IF(preDEL!$AG224,IFERROR(0/0,""),preDEL!AI224)</f>
        <v/>
      </c>
      <c r="AJ224" s="112" t="str">
        <f>IF(preDEL!$AG224,IFERROR(0/0,""),preDEL!AJ224)</f>
        <v/>
      </c>
      <c r="AK224" s="105" t="str">
        <f>IF(preDEL!$AG224,IFERROR(0/0,""),preDEL!AK224)</f>
        <v>Positive</v>
      </c>
      <c r="AL224" s="112" t="str">
        <f>IF(preDEL!$AG224,IFERROR(0/0,""),preDEL!AL224)</f>
        <v/>
      </c>
      <c r="AM224" s="112" t="str">
        <f>IF(preDEL!$AG224,IFERROR(0/0,""),preDEL!AM224)</f>
        <v>SpBEND184203</v>
      </c>
      <c r="AN224" s="112" t="str">
        <f>IF(preDEL!$AG224,IFERROR(0/0,""),preDEL!AN224)</f>
        <v>BEND821009</v>
      </c>
      <c r="AO224" s="112" t="str">
        <f>IF(preDEL!$AG224,IFERROR(0/0,""),preDEL!AO224)</f>
        <v/>
      </c>
      <c r="AP224" s="112" t="str">
        <f>IF(preDEL!$AG224,IFERROR(0/0,""),preDEL!AP224)</f>
        <v/>
      </c>
      <c r="AQ224" s="112" t="str">
        <f>IF(preDEL!$AG224,IFERROR(0/0,""),preDEL!AQ224)</f>
        <v/>
      </c>
      <c r="AR224" s="112" t="str">
        <f>IF(preDEL!$AG224,IFERROR(0/0,""),preDEL!AR224)</f>
        <v/>
      </c>
      <c r="AS224" s="112" t="str">
        <f>IF(preDEL!$AG224,IFERROR(0/0,""),preDEL!AS224)</f>
        <v/>
      </c>
      <c r="AT224" s="112" t="b">
        <f>IF(preDEL!$AG224,IFERROR(0/0,""),preDEL!AT224)</f>
        <v>0</v>
      </c>
      <c r="AU224" s="112" t="str">
        <f>IF(preDEL!$AG224,IFERROR(0/0,""),preDEL!AU224)</f>
        <v/>
      </c>
      <c r="AV224" s="112" t="str">
        <f>IF(preDEL!$AG224,IFERROR(0/0,""),preDEL!AV224)</f>
        <v/>
      </c>
      <c r="AW224" s="112" t="str">
        <f>IF(preDEL!$AG224,IFERROR(0/0,""),preDEL!AW224)</f>
        <v/>
      </c>
      <c r="AX224" s="112" t="str">
        <f>IF(preDEL!$AG224,IFERROR(0/0,""),preDEL!AX224)</f>
        <v/>
      </c>
      <c r="AY224" s="112" t="str">
        <f>IF(preDEL!$AG224,IFERROR(0/0,""),preDEL!AY224)</f>
        <v/>
      </c>
      <c r="AZ224" s="174"/>
      <c r="BA224" s="174"/>
      <c r="BB224" s="174"/>
      <c r="BC224" s="174"/>
      <c r="BD224" s="174"/>
      <c r="BE224" s="174"/>
      <c r="BF224" s="174"/>
      <c r="BG224" s="174"/>
      <c r="BH224" s="174"/>
      <c r="BI224" s="174"/>
      <c r="BJ224" s="174"/>
      <c r="BK224" s="174"/>
      <c r="BL224" s="174"/>
      <c r="BM224" s="174"/>
      <c r="BN224" s="174"/>
      <c r="BO224" s="174"/>
      <c r="BP224" s="174"/>
      <c r="BQ224" s="174"/>
      <c r="BR224" s="174"/>
      <c r="BS224" s="174"/>
      <c r="BT224" s="174"/>
      <c r="BU224" s="174"/>
      <c r="BV224" s="174"/>
      <c r="BW224" s="174"/>
      <c r="BX224" s="174"/>
      <c r="BY224" s="174"/>
      <c r="BZ224" s="174"/>
      <c r="CA224" s="174"/>
      <c r="CB224" s="174"/>
      <c r="CC224" s="174"/>
      <c r="CD224" s="174"/>
    </row>
    <row r="225">
      <c r="A225" s="105" t="str">
        <f>IF(preDEL!$AG225,IFERROR(0/0,""),preDEL!A225)</f>
        <v>MA645</v>
      </c>
      <c r="B225" s="170">
        <f>IF(preDEL!$AG225,IFERROR(0/0,""),preDEL!B225)</f>
        <v>44579</v>
      </c>
      <c r="C225" s="171">
        <f>IF(preDEL!$AG225,IFERROR(0/0,""),preDEL!C225)</f>
        <v>0.3232175926</v>
      </c>
      <c r="D225" s="105" t="str">
        <f>IF(preDEL!$AG225,IFERROR(0/0,""),preDEL!D225)</f>
        <v/>
      </c>
      <c r="E225" s="105" t="str">
        <f>IF(preDEL!$AG225,IFERROR(0/0,""),preDEL!E225)</f>
        <v/>
      </c>
      <c r="F225" s="112" t="str">
        <f>IF(preDEL!$AG225,IFERROR(0/0,""),preDEL!F225)</f>
        <v/>
      </c>
      <c r="G225" s="112" t="str">
        <f>IF(preDEL!$AG225,IFERROR(0/0,""),preDEL!G225)</f>
        <v/>
      </c>
      <c r="H225" s="112" t="str">
        <f>IF(preDEL!$AG225,IFERROR(0/0,""),preDEL!H225)</f>
        <v/>
      </c>
      <c r="I225" s="105" t="str">
        <f>IF(preDEL!$AG225,IFERROR(0/0,""),preDEL!I225)</f>
        <v/>
      </c>
      <c r="J225" s="105" t="str">
        <f>IF(preDEL!$AG225,IFERROR(0/0,""),preDEL!J225)</f>
        <v/>
      </c>
      <c r="K225" s="105" t="str">
        <f>IF(preDEL!$AG225,IFERROR(0/0,""),preDEL!K225)</f>
        <v>Negative</v>
      </c>
      <c r="L225" s="170">
        <f>IF(preDEL!$AG225,IFERROR(0/0,""),preDEL!L225)</f>
        <v>44580</v>
      </c>
      <c r="M225" s="171">
        <f>IF(preDEL!$AG225,IFERROR(0/0,""),preDEL!M225)</f>
        <v>0.5080092593</v>
      </c>
      <c r="N225" s="112" t="str">
        <f>IF(preDEL!$AG225,IFERROR(0/0,""),preDEL!N225)</f>
        <v/>
      </c>
      <c r="O225" s="112" t="str">
        <f>IF(preDEL!$AG225,IFERROR(0/0,""),preDEL!O225)</f>
        <v/>
      </c>
      <c r="P225" s="110" t="b">
        <f>IF(preDEL!$AG225,IFERROR(0/0,""),preDEL!P225)</f>
        <v>0</v>
      </c>
      <c r="Q225" s="110" t="str">
        <f>IF(preDEL!$AG225,IFERROR(0/0,""),preDEL!Q225)</f>
        <v>Result</v>
      </c>
      <c r="R225" s="104" t="b">
        <f>IF(preDEL!$AG225,IFERROR(0/0,""),preDEL!R225)</f>
        <v>1</v>
      </c>
      <c r="S225" s="104">
        <f>IF(preDEL!$AG225,IFERROR(0/0,""),preDEL!S225)</f>
        <v>1</v>
      </c>
      <c r="T225" s="110" t="str">
        <f>IF(preDEL!$AG225,IFERROR(0/0,""),preDEL!T225)</f>
        <v/>
      </c>
      <c r="U225" s="112" t="str">
        <f>IF(preDEL!$AG225,IFERROR(0/0,""),preDEL!U225)</f>
        <v/>
      </c>
      <c r="V225" s="105" t="str">
        <f>IF(preDEL!$AG225,IFERROR(0/0,""),preDEL!V225)</f>
        <v/>
      </c>
      <c r="W225" s="112" t="str">
        <f>IF(preDEL!$AG225,IFERROR(0/0,""),preDEL!W225)</f>
        <v/>
      </c>
      <c r="X225" s="104" t="b">
        <f>IF(preDEL!$AG225,IFERROR(0/0,""),preDEL!X225)</f>
        <v>0</v>
      </c>
      <c r="Y225" s="110" t="b">
        <f>IF(preDEL!$AG225,IFERROR(0/0,""),preDEL!Y225)</f>
        <v>0</v>
      </c>
      <c r="Z225" s="105" t="str">
        <f>IF(preDEL!$AG225,IFERROR(0/0,""),preDEL!Z225)</f>
        <v/>
      </c>
      <c r="AA225" s="110" t="b">
        <f>IF(preDEL!$AG225,IFERROR(0/0,""),preDEL!AA225)</f>
        <v>0</v>
      </c>
      <c r="AB225" s="110" t="b">
        <f>IF(preDEL!$AG225,IFERROR(0/0,""),preDEL!AB225)</f>
        <v>0</v>
      </c>
      <c r="AC225" s="172">
        <f>IF(preDEL!$AG225,IFERROR(0/0,""),preDEL!AC225)</f>
        <v>566</v>
      </c>
      <c r="AD225" s="104" t="b">
        <f>IF(preDEL!$AG225,IFERROR(0/0,""),preDEL!AD225)</f>
        <v>0</v>
      </c>
      <c r="AE225" s="173" t="str">
        <f>IF(preDEL!$AG225,IFERROR(0/0,""),preDEL!AE225)</f>
        <v/>
      </c>
      <c r="AF225" s="110" t="b">
        <f>IF(preDEL!$AG225,IFERROR(0/0,""),preDEL!AF225)</f>
        <v>0</v>
      </c>
      <c r="AG225" s="110" t="b">
        <f>IF(preDEL!$AG225,IFERROR(0/0,""),preDEL!AG225)</f>
        <v>0</v>
      </c>
      <c r="AH225" s="104" t="str">
        <f>IF(preDEL!$AG225,IFERROR(0/0,""),preDEL!AH225)</f>
        <v/>
      </c>
      <c r="AI225" s="105" t="str">
        <f>IF(preDEL!$AG225,IFERROR(0/0,""),preDEL!AI225)</f>
        <v/>
      </c>
      <c r="AJ225" s="112" t="str">
        <f>IF(preDEL!$AG225,IFERROR(0/0,""),preDEL!AJ225)</f>
        <v/>
      </c>
      <c r="AK225" s="105" t="str">
        <f>IF(preDEL!$AG225,IFERROR(0/0,""),preDEL!AK225)</f>
        <v>Negative</v>
      </c>
      <c r="AL225" s="112" t="str">
        <f>IF(preDEL!$AG225,IFERROR(0/0,""),preDEL!AL225)</f>
        <v/>
      </c>
      <c r="AM225" s="112" t="str">
        <f>IF(preDEL!$AG225,IFERROR(0/0,""),preDEL!AM225)</f>
        <v>SpBEND643855</v>
      </c>
      <c r="AN225" s="112" t="str">
        <f>IF(preDEL!$AG225,IFERROR(0/0,""),preDEL!AN225)</f>
        <v>BEND364074</v>
      </c>
      <c r="AO225" s="112" t="str">
        <f>IF(preDEL!$AG225,IFERROR(0/0,""),preDEL!AO225)</f>
        <v/>
      </c>
      <c r="AP225" s="112" t="str">
        <f>IF(preDEL!$AG225,IFERROR(0/0,""),preDEL!AP225)</f>
        <v/>
      </c>
      <c r="AQ225" s="112" t="str">
        <f>IF(preDEL!$AG225,IFERROR(0/0,""),preDEL!AQ225)</f>
        <v/>
      </c>
      <c r="AR225" s="112" t="str">
        <f>IF(preDEL!$AG225,IFERROR(0/0,""),preDEL!AR225)</f>
        <v/>
      </c>
      <c r="AS225" s="112" t="str">
        <f>IF(preDEL!$AG225,IFERROR(0/0,""),preDEL!AS225)</f>
        <v/>
      </c>
      <c r="AT225" s="112" t="b">
        <f>IF(preDEL!$AG225,IFERROR(0/0,""),preDEL!AT225)</f>
        <v>0</v>
      </c>
      <c r="AU225" s="112" t="str">
        <f>IF(preDEL!$AG225,IFERROR(0/0,""),preDEL!AU225)</f>
        <v/>
      </c>
      <c r="AV225" s="112" t="str">
        <f>IF(preDEL!$AG225,IFERROR(0/0,""),preDEL!AV225)</f>
        <v/>
      </c>
      <c r="AW225" s="112" t="str">
        <f>IF(preDEL!$AG225,IFERROR(0/0,""),preDEL!AW225)</f>
        <v/>
      </c>
      <c r="AX225" s="112" t="str">
        <f>IF(preDEL!$AG225,IFERROR(0/0,""),preDEL!AX225)</f>
        <v/>
      </c>
      <c r="AY225" s="112" t="str">
        <f>IF(preDEL!$AG225,IFERROR(0/0,""),preDEL!AY225)</f>
        <v/>
      </c>
      <c r="AZ225" s="174"/>
      <c r="BA225" s="174"/>
      <c r="BB225" s="174"/>
      <c r="BC225" s="174"/>
      <c r="BD225" s="174"/>
      <c r="BE225" s="174"/>
      <c r="BF225" s="174"/>
      <c r="BG225" s="174"/>
      <c r="BH225" s="174"/>
      <c r="BI225" s="174"/>
      <c r="BJ225" s="174"/>
      <c r="BK225" s="174"/>
      <c r="BL225" s="174"/>
      <c r="BM225" s="174"/>
      <c r="BN225" s="174"/>
      <c r="BO225" s="174"/>
      <c r="BP225" s="174"/>
      <c r="BQ225" s="174"/>
      <c r="BR225" s="174"/>
      <c r="BS225" s="174"/>
      <c r="BT225" s="174"/>
      <c r="BU225" s="174"/>
      <c r="BV225" s="174"/>
      <c r="BW225" s="174"/>
      <c r="BX225" s="174"/>
      <c r="BY225" s="174"/>
      <c r="BZ225" s="174"/>
      <c r="CA225" s="174"/>
      <c r="CB225" s="174"/>
      <c r="CC225" s="174"/>
      <c r="CD225" s="174"/>
    </row>
    <row r="226">
      <c r="A226" s="105" t="str">
        <f>IF(preDEL!$AG226,IFERROR(0/0,""),preDEL!A226)</f>
        <v>MA627</v>
      </c>
      <c r="B226" s="170">
        <f>IF(preDEL!$AG226,IFERROR(0/0,""),preDEL!B226)</f>
        <v>44579</v>
      </c>
      <c r="C226" s="171">
        <f>IF(preDEL!$AG226,IFERROR(0/0,""),preDEL!C226)</f>
        <v>0.3233101852</v>
      </c>
      <c r="D226" s="105" t="str">
        <f>IF(preDEL!$AG226,IFERROR(0/0,""),preDEL!D226)</f>
        <v/>
      </c>
      <c r="E226" s="105" t="str">
        <f>IF(preDEL!$AG226,IFERROR(0/0,""),preDEL!E226)</f>
        <v/>
      </c>
      <c r="F226" s="112" t="str">
        <f>IF(preDEL!$AG226,IFERROR(0/0,""),preDEL!F226)</f>
        <v/>
      </c>
      <c r="G226" s="112" t="str">
        <f>IF(preDEL!$AG226,IFERROR(0/0,""),preDEL!G226)</f>
        <v/>
      </c>
      <c r="H226" s="112" t="str">
        <f>IF(preDEL!$AG226,IFERROR(0/0,""),preDEL!H226)</f>
        <v/>
      </c>
      <c r="I226" s="105" t="str">
        <f>IF(preDEL!$AG226,IFERROR(0/0,""),preDEL!I226)</f>
        <v/>
      </c>
      <c r="J226" s="105" t="str">
        <f>IF(preDEL!$AG226,IFERROR(0/0,""),preDEL!J226)</f>
        <v/>
      </c>
      <c r="K226" s="105" t="str">
        <f>IF(preDEL!$AG226,IFERROR(0/0,""),preDEL!K226)</f>
        <v>Negative</v>
      </c>
      <c r="L226" s="170">
        <f>IF(preDEL!$AG226,IFERROR(0/0,""),preDEL!L226)</f>
        <v>44580</v>
      </c>
      <c r="M226" s="171">
        <f>IF(preDEL!$AG226,IFERROR(0/0,""),preDEL!M226)</f>
        <v>0.5080092593</v>
      </c>
      <c r="N226" s="112" t="str">
        <f>IF(preDEL!$AG226,IFERROR(0/0,""),preDEL!N226)</f>
        <v/>
      </c>
      <c r="O226" s="112" t="str">
        <f>IF(preDEL!$AG226,IFERROR(0/0,""),preDEL!O226)</f>
        <v/>
      </c>
      <c r="P226" s="110" t="b">
        <f>IF(preDEL!$AG226,IFERROR(0/0,""),preDEL!P226)</f>
        <v>0</v>
      </c>
      <c r="Q226" s="110" t="str">
        <f>IF(preDEL!$AG226,IFERROR(0/0,""),preDEL!Q226)</f>
        <v>Result</v>
      </c>
      <c r="R226" s="104" t="b">
        <f>IF(preDEL!$AG226,IFERROR(0/0,""),preDEL!R226)</f>
        <v>1</v>
      </c>
      <c r="S226" s="104">
        <f>IF(preDEL!$AG226,IFERROR(0/0,""),preDEL!S226)</f>
        <v>1</v>
      </c>
      <c r="T226" s="110" t="str">
        <f>IF(preDEL!$AG226,IFERROR(0/0,""),preDEL!T226)</f>
        <v/>
      </c>
      <c r="U226" s="112" t="str">
        <f>IF(preDEL!$AG226,IFERROR(0/0,""),preDEL!U226)</f>
        <v/>
      </c>
      <c r="V226" s="105" t="str">
        <f>IF(preDEL!$AG226,IFERROR(0/0,""),preDEL!V226)</f>
        <v/>
      </c>
      <c r="W226" s="112" t="str">
        <f>IF(preDEL!$AG226,IFERROR(0/0,""),preDEL!W226)</f>
        <v/>
      </c>
      <c r="X226" s="104" t="b">
        <f>IF(preDEL!$AG226,IFERROR(0/0,""),preDEL!X226)</f>
        <v>0</v>
      </c>
      <c r="Y226" s="110" t="b">
        <f>IF(preDEL!$AG226,IFERROR(0/0,""),preDEL!Y226)</f>
        <v>0</v>
      </c>
      <c r="Z226" s="105" t="str">
        <f>IF(preDEL!$AG226,IFERROR(0/0,""),preDEL!Z226)</f>
        <v/>
      </c>
      <c r="AA226" s="110" t="b">
        <f>IF(preDEL!$AG226,IFERROR(0/0,""),preDEL!AA226)</f>
        <v>0</v>
      </c>
      <c r="AB226" s="110" t="b">
        <f>IF(preDEL!$AG226,IFERROR(0/0,""),preDEL!AB226)</f>
        <v>0</v>
      </c>
      <c r="AC226" s="172">
        <f>IF(preDEL!$AG226,IFERROR(0/0,""),preDEL!AC226)</f>
        <v>565</v>
      </c>
      <c r="AD226" s="104" t="b">
        <f>IF(preDEL!$AG226,IFERROR(0/0,""),preDEL!AD226)</f>
        <v>0</v>
      </c>
      <c r="AE226" s="173" t="str">
        <f>IF(preDEL!$AG226,IFERROR(0/0,""),preDEL!AE226)</f>
        <v/>
      </c>
      <c r="AF226" s="110" t="b">
        <f>IF(preDEL!$AG226,IFERROR(0/0,""),preDEL!AF226)</f>
        <v>0</v>
      </c>
      <c r="AG226" s="110" t="b">
        <f>IF(preDEL!$AG226,IFERROR(0/0,""),preDEL!AG226)</f>
        <v>0</v>
      </c>
      <c r="AH226" s="104" t="str">
        <f>IF(preDEL!$AG226,IFERROR(0/0,""),preDEL!AH226)</f>
        <v/>
      </c>
      <c r="AI226" s="105" t="str">
        <f>IF(preDEL!$AG226,IFERROR(0/0,""),preDEL!AI226)</f>
        <v/>
      </c>
      <c r="AJ226" s="112" t="str">
        <f>IF(preDEL!$AG226,IFERROR(0/0,""),preDEL!AJ226)</f>
        <v/>
      </c>
      <c r="AK226" s="105" t="str">
        <f>IF(preDEL!$AG226,IFERROR(0/0,""),preDEL!AK226)</f>
        <v>Negative</v>
      </c>
      <c r="AL226" s="112" t="str">
        <f>IF(preDEL!$AG226,IFERROR(0/0,""),preDEL!AL226)</f>
        <v/>
      </c>
      <c r="AM226" s="112" t="str">
        <f>IF(preDEL!$AG226,IFERROR(0/0,""),preDEL!AM226)</f>
        <v>SpBEND996809</v>
      </c>
      <c r="AN226" s="112" t="str">
        <f>IF(preDEL!$AG226,IFERROR(0/0,""),preDEL!AN226)</f>
        <v>BEND637711</v>
      </c>
      <c r="AO226" s="112" t="str">
        <f>IF(preDEL!$AG226,IFERROR(0/0,""),preDEL!AO226)</f>
        <v/>
      </c>
      <c r="AP226" s="112" t="str">
        <f>IF(preDEL!$AG226,IFERROR(0/0,""),preDEL!AP226)</f>
        <v/>
      </c>
      <c r="AQ226" s="112" t="str">
        <f>IF(preDEL!$AG226,IFERROR(0/0,""),preDEL!AQ226)</f>
        <v/>
      </c>
      <c r="AR226" s="112" t="str">
        <f>IF(preDEL!$AG226,IFERROR(0/0,""),preDEL!AR226)</f>
        <v/>
      </c>
      <c r="AS226" s="112" t="str">
        <f>IF(preDEL!$AG226,IFERROR(0/0,""),preDEL!AS226)</f>
        <v/>
      </c>
      <c r="AT226" s="112" t="b">
        <f>IF(preDEL!$AG226,IFERROR(0/0,""),preDEL!AT226)</f>
        <v>0</v>
      </c>
      <c r="AU226" s="112" t="str">
        <f>IF(preDEL!$AG226,IFERROR(0/0,""),preDEL!AU226)</f>
        <v/>
      </c>
      <c r="AV226" s="112" t="str">
        <f>IF(preDEL!$AG226,IFERROR(0/0,""),preDEL!AV226)</f>
        <v/>
      </c>
      <c r="AW226" s="112" t="str">
        <f>IF(preDEL!$AG226,IFERROR(0/0,""),preDEL!AW226)</f>
        <v/>
      </c>
      <c r="AX226" s="112" t="str">
        <f>IF(preDEL!$AG226,IFERROR(0/0,""),preDEL!AX226)</f>
        <v/>
      </c>
      <c r="AY226" s="112" t="str">
        <f>IF(preDEL!$AG226,IFERROR(0/0,""),preDEL!AY226)</f>
        <v/>
      </c>
      <c r="AZ226" s="174"/>
      <c r="BA226" s="174"/>
      <c r="BB226" s="174"/>
      <c r="BC226" s="174"/>
      <c r="BD226" s="174"/>
      <c r="BE226" s="174"/>
      <c r="BF226" s="174"/>
      <c r="BG226" s="174"/>
      <c r="BH226" s="174"/>
      <c r="BI226" s="174"/>
      <c r="BJ226" s="174"/>
      <c r="BK226" s="174"/>
      <c r="BL226" s="174"/>
      <c r="BM226" s="174"/>
      <c r="BN226" s="174"/>
      <c r="BO226" s="174"/>
      <c r="BP226" s="174"/>
      <c r="BQ226" s="174"/>
      <c r="BR226" s="174"/>
      <c r="BS226" s="174"/>
      <c r="BT226" s="174"/>
      <c r="BU226" s="174"/>
      <c r="BV226" s="174"/>
      <c r="BW226" s="174"/>
      <c r="BX226" s="174"/>
      <c r="BY226" s="174"/>
      <c r="BZ226" s="174"/>
      <c r="CA226" s="174"/>
      <c r="CB226" s="174"/>
      <c r="CC226" s="174"/>
      <c r="CD226" s="174"/>
    </row>
    <row r="227">
      <c r="A227" s="105" t="str">
        <f>IF(preDEL!$AG227,IFERROR(0/0,""),preDEL!A227)</f>
        <v>MA295</v>
      </c>
      <c r="B227" s="170">
        <f>IF(preDEL!$AG227,IFERROR(0/0,""),preDEL!B227)</f>
        <v>44579</v>
      </c>
      <c r="C227" s="171">
        <f>IF(preDEL!$AG227,IFERROR(0/0,""),preDEL!C227)</f>
        <v>0.3278935185</v>
      </c>
      <c r="D227" s="105" t="str">
        <f>IF(preDEL!$AG227,IFERROR(0/0,""),preDEL!D227)</f>
        <v/>
      </c>
      <c r="E227" s="105" t="str">
        <f>IF(preDEL!$AG227,IFERROR(0/0,""),preDEL!E227)</f>
        <v/>
      </c>
      <c r="F227" s="112" t="str">
        <f>IF(preDEL!$AG227,IFERROR(0/0,""),preDEL!F227)</f>
        <v/>
      </c>
      <c r="G227" s="112" t="str">
        <f>IF(preDEL!$AG227,IFERROR(0/0,""),preDEL!G227)</f>
        <v/>
      </c>
      <c r="H227" s="112" t="str">
        <f>IF(preDEL!$AG227,IFERROR(0/0,""),preDEL!H227)</f>
        <v/>
      </c>
      <c r="I227" s="105" t="str">
        <f>IF(preDEL!$AG227,IFERROR(0/0,""),preDEL!I227)</f>
        <v/>
      </c>
      <c r="J227" s="105" t="str">
        <f>IF(preDEL!$AG227,IFERROR(0/0,""),preDEL!J227)</f>
        <v/>
      </c>
      <c r="K227" s="105" t="str">
        <f>IF(preDEL!$AG227,IFERROR(0/0,""),preDEL!K227)</f>
        <v>Negative</v>
      </c>
      <c r="L227" s="170">
        <f>IF(preDEL!$AG227,IFERROR(0/0,""),preDEL!L227)</f>
        <v>44580</v>
      </c>
      <c r="M227" s="171">
        <f>IF(preDEL!$AG227,IFERROR(0/0,""),preDEL!M227)</f>
        <v>0.5080092593</v>
      </c>
      <c r="N227" s="112" t="str">
        <f>IF(preDEL!$AG227,IFERROR(0/0,""),preDEL!N227)</f>
        <v/>
      </c>
      <c r="O227" s="112" t="str">
        <f>IF(preDEL!$AG227,IFERROR(0/0,""),preDEL!O227)</f>
        <v/>
      </c>
      <c r="P227" s="110" t="b">
        <f>IF(preDEL!$AG227,IFERROR(0/0,""),preDEL!P227)</f>
        <v>0</v>
      </c>
      <c r="Q227" s="110" t="str">
        <f>IF(preDEL!$AG227,IFERROR(0/0,""),preDEL!Q227)</f>
        <v>Result</v>
      </c>
      <c r="R227" s="104" t="b">
        <f>IF(preDEL!$AG227,IFERROR(0/0,""),preDEL!R227)</f>
        <v>1</v>
      </c>
      <c r="S227" s="104">
        <f>IF(preDEL!$AG227,IFERROR(0/0,""),preDEL!S227)</f>
        <v>1</v>
      </c>
      <c r="T227" s="110" t="str">
        <f>IF(preDEL!$AG227,IFERROR(0/0,""),preDEL!T227)</f>
        <v/>
      </c>
      <c r="U227" s="112" t="str">
        <f>IF(preDEL!$AG227,IFERROR(0/0,""),preDEL!U227)</f>
        <v/>
      </c>
      <c r="V227" s="105" t="str">
        <f>IF(preDEL!$AG227,IFERROR(0/0,""),preDEL!V227)</f>
        <v/>
      </c>
      <c r="W227" s="112" t="str">
        <f>IF(preDEL!$AG227,IFERROR(0/0,""),preDEL!W227)</f>
        <v/>
      </c>
      <c r="X227" s="104" t="b">
        <f>IF(preDEL!$AG227,IFERROR(0/0,""),preDEL!X227)</f>
        <v>0</v>
      </c>
      <c r="Y227" s="110" t="b">
        <f>IF(preDEL!$AG227,IFERROR(0/0,""),preDEL!Y227)</f>
        <v>0</v>
      </c>
      <c r="Z227" s="105" t="str">
        <f>IF(preDEL!$AG227,IFERROR(0/0,""),preDEL!Z227)</f>
        <v/>
      </c>
      <c r="AA227" s="110" t="b">
        <f>IF(preDEL!$AG227,IFERROR(0/0,""),preDEL!AA227)</f>
        <v>0</v>
      </c>
      <c r="AB227" s="110" t="b">
        <f>IF(preDEL!$AG227,IFERROR(0/0,""),preDEL!AB227)</f>
        <v>0</v>
      </c>
      <c r="AC227" s="172">
        <f>IF(preDEL!$AG227,IFERROR(0/0,""),preDEL!AC227)</f>
        <v>564</v>
      </c>
      <c r="AD227" s="104" t="b">
        <f>IF(preDEL!$AG227,IFERROR(0/0,""),preDEL!AD227)</f>
        <v>0</v>
      </c>
      <c r="AE227" s="173" t="str">
        <f>IF(preDEL!$AG227,IFERROR(0/0,""),preDEL!AE227)</f>
        <v/>
      </c>
      <c r="AF227" s="110" t="b">
        <f>IF(preDEL!$AG227,IFERROR(0/0,""),preDEL!AF227)</f>
        <v>0</v>
      </c>
      <c r="AG227" s="110" t="b">
        <f>IF(preDEL!$AG227,IFERROR(0/0,""),preDEL!AG227)</f>
        <v>0</v>
      </c>
      <c r="AH227" s="104" t="str">
        <f>IF(preDEL!$AG227,IFERROR(0/0,""),preDEL!AH227)</f>
        <v/>
      </c>
      <c r="AI227" s="105" t="str">
        <f>IF(preDEL!$AG227,IFERROR(0/0,""),preDEL!AI227)</f>
        <v/>
      </c>
      <c r="AJ227" s="112" t="str">
        <f>IF(preDEL!$AG227,IFERROR(0/0,""),preDEL!AJ227)</f>
        <v/>
      </c>
      <c r="AK227" s="105" t="str">
        <f>IF(preDEL!$AG227,IFERROR(0/0,""),preDEL!AK227)</f>
        <v>Negative</v>
      </c>
      <c r="AL227" s="112" t="str">
        <f>IF(preDEL!$AG227,IFERROR(0/0,""),preDEL!AL227)</f>
        <v/>
      </c>
      <c r="AM227" s="112" t="str">
        <f>IF(preDEL!$AG227,IFERROR(0/0,""),preDEL!AM227)</f>
        <v>SpBEND953422</v>
      </c>
      <c r="AN227" s="112" t="str">
        <f>IF(preDEL!$AG227,IFERROR(0/0,""),preDEL!AN227)</f>
        <v>BEND782925</v>
      </c>
      <c r="AO227" s="112" t="str">
        <f>IF(preDEL!$AG227,IFERROR(0/0,""),preDEL!AO227)</f>
        <v/>
      </c>
      <c r="AP227" s="112" t="str">
        <f>IF(preDEL!$AG227,IFERROR(0/0,""),preDEL!AP227)</f>
        <v/>
      </c>
      <c r="AQ227" s="112" t="str">
        <f>IF(preDEL!$AG227,IFERROR(0/0,""),preDEL!AQ227)</f>
        <v/>
      </c>
      <c r="AR227" s="112" t="str">
        <f>IF(preDEL!$AG227,IFERROR(0/0,""),preDEL!AR227)</f>
        <v/>
      </c>
      <c r="AS227" s="112" t="str">
        <f>IF(preDEL!$AG227,IFERROR(0/0,""),preDEL!AS227)</f>
        <v/>
      </c>
      <c r="AT227" s="112" t="b">
        <f>IF(preDEL!$AG227,IFERROR(0/0,""),preDEL!AT227)</f>
        <v>0</v>
      </c>
      <c r="AU227" s="112" t="str">
        <f>IF(preDEL!$AG227,IFERROR(0/0,""),preDEL!AU227)</f>
        <v/>
      </c>
      <c r="AV227" s="112" t="str">
        <f>IF(preDEL!$AG227,IFERROR(0/0,""),preDEL!AV227)</f>
        <v/>
      </c>
      <c r="AW227" s="112" t="str">
        <f>IF(preDEL!$AG227,IFERROR(0/0,""),preDEL!AW227)</f>
        <v/>
      </c>
      <c r="AX227" s="112" t="str">
        <f>IF(preDEL!$AG227,IFERROR(0/0,""),preDEL!AX227)</f>
        <v/>
      </c>
      <c r="AY227" s="112" t="str">
        <f>IF(preDEL!$AG227,IFERROR(0/0,""),preDEL!AY227)</f>
        <v/>
      </c>
      <c r="AZ227" s="174"/>
      <c r="BA227" s="174"/>
      <c r="BB227" s="174"/>
      <c r="BC227" s="174"/>
      <c r="BD227" s="174"/>
      <c r="BE227" s="174"/>
      <c r="BF227" s="174"/>
      <c r="BG227" s="174"/>
      <c r="BH227" s="174"/>
      <c r="BI227" s="174"/>
      <c r="BJ227" s="174"/>
      <c r="BK227" s="174"/>
      <c r="BL227" s="174"/>
      <c r="BM227" s="174"/>
      <c r="BN227" s="174"/>
      <c r="BO227" s="174"/>
      <c r="BP227" s="174"/>
      <c r="BQ227" s="174"/>
      <c r="BR227" s="174"/>
      <c r="BS227" s="174"/>
      <c r="BT227" s="174"/>
      <c r="BU227" s="174"/>
      <c r="BV227" s="174"/>
      <c r="BW227" s="174"/>
      <c r="BX227" s="174"/>
      <c r="BY227" s="174"/>
      <c r="BZ227" s="174"/>
      <c r="CA227" s="174"/>
      <c r="CB227" s="174"/>
      <c r="CC227" s="174"/>
      <c r="CD227" s="174"/>
    </row>
    <row r="228">
      <c r="A228" s="105" t="str">
        <f>IF(preDEL!$AG228,IFERROR(0/0,""),preDEL!A228)</f>
        <v>MA302</v>
      </c>
      <c r="B228" s="170">
        <f>IF(preDEL!$AG228,IFERROR(0/0,""),preDEL!B228)</f>
        <v>44579</v>
      </c>
      <c r="C228" s="171">
        <f>IF(preDEL!$AG228,IFERROR(0/0,""),preDEL!C228)</f>
        <v>0.3291435185</v>
      </c>
      <c r="D228" s="105" t="str">
        <f>IF(preDEL!$AG228,IFERROR(0/0,""),preDEL!D228)</f>
        <v/>
      </c>
      <c r="E228" s="105" t="str">
        <f>IF(preDEL!$AG228,IFERROR(0/0,""),preDEL!E228)</f>
        <v/>
      </c>
      <c r="F228" s="112" t="str">
        <f>IF(preDEL!$AG228,IFERROR(0/0,""),preDEL!F228)</f>
        <v/>
      </c>
      <c r="G228" s="112" t="str">
        <f>IF(preDEL!$AG228,IFERROR(0/0,""),preDEL!G228)</f>
        <v/>
      </c>
      <c r="H228" s="112" t="str">
        <f>IF(preDEL!$AG228,IFERROR(0/0,""),preDEL!H228)</f>
        <v/>
      </c>
      <c r="I228" s="105" t="str">
        <f>IF(preDEL!$AG228,IFERROR(0/0,""),preDEL!I228)</f>
        <v/>
      </c>
      <c r="J228" s="105" t="str">
        <f>IF(preDEL!$AG228,IFERROR(0/0,""),preDEL!J228)</f>
        <v/>
      </c>
      <c r="K228" s="105" t="str">
        <f>IF(preDEL!$AG228,IFERROR(0/0,""),preDEL!K228)</f>
        <v>Negative</v>
      </c>
      <c r="L228" s="170">
        <f>IF(preDEL!$AG228,IFERROR(0/0,""),preDEL!L228)</f>
        <v>44580</v>
      </c>
      <c r="M228" s="171">
        <f>IF(preDEL!$AG228,IFERROR(0/0,""),preDEL!M228)</f>
        <v>0.5080092593</v>
      </c>
      <c r="N228" s="112" t="str">
        <f>IF(preDEL!$AG228,IFERROR(0/0,""),preDEL!N228)</f>
        <v/>
      </c>
      <c r="O228" s="112" t="str">
        <f>IF(preDEL!$AG228,IFERROR(0/0,""),preDEL!O228)</f>
        <v/>
      </c>
      <c r="P228" s="110" t="b">
        <f>IF(preDEL!$AG228,IFERROR(0/0,""),preDEL!P228)</f>
        <v>0</v>
      </c>
      <c r="Q228" s="110" t="str">
        <f>IF(preDEL!$AG228,IFERROR(0/0,""),preDEL!Q228)</f>
        <v>Result</v>
      </c>
      <c r="R228" s="104" t="b">
        <f>IF(preDEL!$AG228,IFERROR(0/0,""),preDEL!R228)</f>
        <v>1</v>
      </c>
      <c r="S228" s="104">
        <f>IF(preDEL!$AG228,IFERROR(0/0,""),preDEL!S228)</f>
        <v>1</v>
      </c>
      <c r="T228" s="110">
        <f>IF(preDEL!$AG228,IFERROR(0/0,""),preDEL!T228)</f>
        <v>0</v>
      </c>
      <c r="U228" s="112" t="str">
        <f>IF(preDEL!$AG228,IFERROR(0/0,""),preDEL!U228)</f>
        <v/>
      </c>
      <c r="V228" s="105" t="str">
        <f>IF(preDEL!$AG228,IFERROR(0/0,""),preDEL!V228)</f>
        <v/>
      </c>
      <c r="W228" s="112" t="str">
        <f>IF(preDEL!$AG228,IFERROR(0/0,""),preDEL!W228)</f>
        <v/>
      </c>
      <c r="X228" s="104" t="b">
        <f>IF(preDEL!$AG228,IFERROR(0/0,""),preDEL!X228)</f>
        <v>0</v>
      </c>
      <c r="Y228" s="110" t="b">
        <f>IF(preDEL!$AG228,IFERROR(0/0,""),preDEL!Y228)</f>
        <v>0</v>
      </c>
      <c r="Z228" s="105" t="str">
        <f>IF(preDEL!$AG228,IFERROR(0/0,""),preDEL!Z228)</f>
        <v/>
      </c>
      <c r="AA228" s="110" t="b">
        <f>IF(preDEL!$AG228,IFERROR(0/0,""),preDEL!AA228)</f>
        <v>0</v>
      </c>
      <c r="AB228" s="110" t="b">
        <f>IF(preDEL!$AG228,IFERROR(0/0,""),preDEL!AB228)</f>
        <v>0</v>
      </c>
      <c r="AC228" s="172">
        <f>IF(preDEL!$AG228,IFERROR(0/0,""),preDEL!AC228)</f>
        <v>563</v>
      </c>
      <c r="AD228" s="104" t="b">
        <f>IF(preDEL!$AG228,IFERROR(0/0,""),preDEL!AD228)</f>
        <v>0</v>
      </c>
      <c r="AE228" s="173" t="str">
        <f>IF(preDEL!$AG228,IFERROR(0/0,""),preDEL!AE228)</f>
        <v/>
      </c>
      <c r="AF228" s="110" t="b">
        <f>IF(preDEL!$AG228,IFERROR(0/0,""),preDEL!AF228)</f>
        <v>0</v>
      </c>
      <c r="AG228" s="110" t="b">
        <f>IF(preDEL!$AG228,IFERROR(0/0,""),preDEL!AG228)</f>
        <v>0</v>
      </c>
      <c r="AH228" s="104" t="str">
        <f>IF(preDEL!$AG228,IFERROR(0/0,""),preDEL!AH228)</f>
        <v/>
      </c>
      <c r="AI228" s="105" t="str">
        <f>IF(preDEL!$AG228,IFERROR(0/0,""),preDEL!AI228)</f>
        <v/>
      </c>
      <c r="AJ228" s="112" t="str">
        <f>IF(preDEL!$AG228,IFERROR(0/0,""),preDEL!AJ228)</f>
        <v/>
      </c>
      <c r="AK228" s="105" t="str">
        <f>IF(preDEL!$AG228,IFERROR(0/0,""),preDEL!AK228)</f>
        <v>Negative</v>
      </c>
      <c r="AL228" s="112" t="str">
        <f>IF(preDEL!$AG228,IFERROR(0/0,""),preDEL!AL228)</f>
        <v/>
      </c>
      <c r="AM228" s="112" t="str">
        <f>IF(preDEL!$AG228,IFERROR(0/0,""),preDEL!AM228)</f>
        <v>SpBEND425753</v>
      </c>
      <c r="AN228" s="112" t="str">
        <f>IF(preDEL!$AG228,IFERROR(0/0,""),preDEL!AN228)</f>
        <v>BEND982858</v>
      </c>
      <c r="AO228" s="112" t="str">
        <f>IF(preDEL!$AG228,IFERROR(0/0,""),preDEL!AO228)</f>
        <v/>
      </c>
      <c r="AP228" s="112" t="str">
        <f>IF(preDEL!$AG228,IFERROR(0/0,""),preDEL!AP228)</f>
        <v/>
      </c>
      <c r="AQ228" s="112" t="str">
        <f>IF(preDEL!$AG228,IFERROR(0/0,""),preDEL!AQ228)</f>
        <v/>
      </c>
      <c r="AR228" s="112" t="str">
        <f>IF(preDEL!$AG228,IFERROR(0/0,""),preDEL!AR228)</f>
        <v/>
      </c>
      <c r="AS228" s="112" t="str">
        <f>IF(preDEL!$AG228,IFERROR(0/0,""),preDEL!AS228)</f>
        <v/>
      </c>
      <c r="AT228" s="112" t="b">
        <f>IF(preDEL!$AG228,IFERROR(0/0,""),preDEL!AT228)</f>
        <v>0</v>
      </c>
      <c r="AU228" s="112" t="str">
        <f>IF(preDEL!$AG228,IFERROR(0/0,""),preDEL!AU228)</f>
        <v/>
      </c>
      <c r="AV228" s="112" t="str">
        <f>IF(preDEL!$AG228,IFERROR(0/0,""),preDEL!AV228)</f>
        <v/>
      </c>
      <c r="AW228" s="112" t="str">
        <f>IF(preDEL!$AG228,IFERROR(0/0,""),preDEL!AW228)</f>
        <v/>
      </c>
      <c r="AX228" s="112" t="str">
        <f>IF(preDEL!$AG228,IFERROR(0/0,""),preDEL!AX228)</f>
        <v/>
      </c>
      <c r="AY228" s="112" t="str">
        <f>IF(preDEL!$AG228,IFERROR(0/0,""),preDEL!AY228)</f>
        <v/>
      </c>
      <c r="AZ228" s="174"/>
      <c r="BA228" s="174"/>
      <c r="BB228" s="174"/>
      <c r="BC228" s="174"/>
      <c r="BD228" s="174"/>
      <c r="BE228" s="174"/>
      <c r="BF228" s="174"/>
      <c r="BG228" s="174"/>
      <c r="BH228" s="174"/>
      <c r="BI228" s="174"/>
      <c r="BJ228" s="174"/>
      <c r="BK228" s="174"/>
      <c r="BL228" s="174"/>
      <c r="BM228" s="174"/>
      <c r="BN228" s="174"/>
      <c r="BO228" s="174"/>
      <c r="BP228" s="174"/>
      <c r="BQ228" s="174"/>
      <c r="BR228" s="174"/>
      <c r="BS228" s="174"/>
      <c r="BT228" s="174"/>
      <c r="BU228" s="174"/>
      <c r="BV228" s="174"/>
      <c r="BW228" s="174"/>
      <c r="BX228" s="174"/>
      <c r="BY228" s="174"/>
      <c r="BZ228" s="174"/>
      <c r="CA228" s="174"/>
      <c r="CB228" s="174"/>
      <c r="CC228" s="174"/>
      <c r="CD228" s="174"/>
    </row>
    <row r="229">
      <c r="A229" s="105" t="str">
        <f>IF(preDEL!$AG229,IFERROR(0/0,""),preDEL!A229)</f>
        <v>MAX68</v>
      </c>
      <c r="B229" s="170">
        <f>IF(preDEL!$AG229,IFERROR(0/0,""),preDEL!B229)</f>
        <v>44579</v>
      </c>
      <c r="C229" s="171">
        <f>IF(preDEL!$AG229,IFERROR(0/0,""),preDEL!C229)</f>
        <v>0.3309143519</v>
      </c>
      <c r="D229" s="105" t="str">
        <f>IF(preDEL!$AG229,IFERROR(0/0,""),preDEL!D229)</f>
        <v/>
      </c>
      <c r="E229" s="105" t="str">
        <f>IF(preDEL!$AG229,IFERROR(0/0,""),preDEL!E229)</f>
        <v/>
      </c>
      <c r="F229" s="112" t="str">
        <f>IF(preDEL!$AG229,IFERROR(0/0,""),preDEL!F229)</f>
        <v/>
      </c>
      <c r="G229" s="112" t="str">
        <f>IF(preDEL!$AG229,IFERROR(0/0,""),preDEL!G229)</f>
        <v/>
      </c>
      <c r="H229" s="112" t="str">
        <f>IF(preDEL!$AG229,IFERROR(0/0,""),preDEL!H229)</f>
        <v/>
      </c>
      <c r="I229" s="105" t="str">
        <f>IF(preDEL!$AG229,IFERROR(0/0,""),preDEL!I229)</f>
        <v/>
      </c>
      <c r="J229" s="105" t="str">
        <f>IF(preDEL!$AG229,IFERROR(0/0,""),preDEL!J229)</f>
        <v/>
      </c>
      <c r="K229" s="105" t="str">
        <f>IF(preDEL!$AG229,IFERROR(0/0,""),preDEL!K229)</f>
        <v>Positive</v>
      </c>
      <c r="L229" s="170">
        <f>IF(preDEL!$AG229,IFERROR(0/0,""),preDEL!L229)</f>
        <v>44579</v>
      </c>
      <c r="M229" s="171">
        <f>IF(preDEL!$AG229,IFERROR(0/0,""),preDEL!M229)</f>
        <v>0.5015972222</v>
      </c>
      <c r="N229" s="112" t="str">
        <f>IF(preDEL!$AG229,IFERROR(0/0,""),preDEL!N229)</f>
        <v/>
      </c>
      <c r="O229" s="112" t="str">
        <f>IF(preDEL!$AG229,IFERROR(0/0,""),preDEL!O229)</f>
        <v/>
      </c>
      <c r="P229" s="110" t="b">
        <f>IF(preDEL!$AG229,IFERROR(0/0,""),preDEL!P229)</f>
        <v>0</v>
      </c>
      <c r="Q229" s="110" t="str">
        <f>IF(preDEL!$AG229,IFERROR(0/0,""),preDEL!Q229)</f>
        <v>Result</v>
      </c>
      <c r="R229" s="104" t="b">
        <f>IF(preDEL!$AG229,IFERROR(0/0,""),preDEL!R229)</f>
        <v>1</v>
      </c>
      <c r="S229" s="104">
        <f>IF(preDEL!$AG229,IFERROR(0/0,""),preDEL!S229)</f>
        <v>1</v>
      </c>
      <c r="T229" s="110" t="str">
        <f>IF(preDEL!$AG229,IFERROR(0/0,""),preDEL!T229)</f>
        <v/>
      </c>
      <c r="U229" s="112" t="str">
        <f>IF(preDEL!$AG229,IFERROR(0/0,""),preDEL!U229)</f>
        <v/>
      </c>
      <c r="V229" s="105" t="str">
        <f>IF(preDEL!$AG229,IFERROR(0/0,""),preDEL!V229)</f>
        <v/>
      </c>
      <c r="W229" s="112" t="str">
        <f>IF(preDEL!$AG229,IFERROR(0/0,""),preDEL!W229)</f>
        <v/>
      </c>
      <c r="X229" s="104" t="b">
        <f>IF(preDEL!$AG229,IFERROR(0/0,""),preDEL!X229)</f>
        <v>0</v>
      </c>
      <c r="Y229" s="110" t="b">
        <f>IF(preDEL!$AG229,IFERROR(0/0,""),preDEL!Y229)</f>
        <v>0</v>
      </c>
      <c r="Z229" s="105" t="str">
        <f>IF(preDEL!$AG229,IFERROR(0/0,""),preDEL!Z229)</f>
        <v/>
      </c>
      <c r="AA229" s="110" t="b">
        <f>IF(preDEL!$AG229,IFERROR(0/0,""),preDEL!AA229)</f>
        <v>0</v>
      </c>
      <c r="AB229" s="110" t="b">
        <f>IF(preDEL!$AG229,IFERROR(0/0,""),preDEL!AB229)</f>
        <v>0</v>
      </c>
      <c r="AC229" s="172">
        <f>IF(preDEL!$AG229,IFERROR(0/0,""),preDEL!AC229)</f>
        <v>585</v>
      </c>
      <c r="AD229" s="104" t="b">
        <f>IF(preDEL!$AG229,IFERROR(0/0,""),preDEL!AD229)</f>
        <v>0</v>
      </c>
      <c r="AE229" s="173">
        <f>IF(preDEL!$AG229,IFERROR(0/0,""),preDEL!AE229)</f>
        <v>245.7833333</v>
      </c>
      <c r="AF229" s="110" t="b">
        <f>IF(preDEL!$AG229,IFERROR(0/0,""),preDEL!AF229)</f>
        <v>0</v>
      </c>
      <c r="AG229" s="110" t="b">
        <f>IF(preDEL!$AG229,IFERROR(0/0,""),preDEL!AG229)</f>
        <v>0</v>
      </c>
      <c r="AH229" s="104" t="str">
        <f>IF(preDEL!$AG229,IFERROR(0/0,""),preDEL!AH229)</f>
        <v/>
      </c>
      <c r="AI229" s="105" t="str">
        <f>IF(preDEL!$AG229,IFERROR(0/0,""),preDEL!AI229)</f>
        <v/>
      </c>
      <c r="AJ229" s="112" t="str">
        <f>IF(preDEL!$AG229,IFERROR(0/0,""),preDEL!AJ229)</f>
        <v/>
      </c>
      <c r="AK229" s="105" t="str">
        <f>IF(preDEL!$AG229,IFERROR(0/0,""),preDEL!AK229)</f>
        <v>Positive</v>
      </c>
      <c r="AL229" s="112" t="str">
        <f>IF(preDEL!$AG229,IFERROR(0/0,""),preDEL!AL229)</f>
        <v/>
      </c>
      <c r="AM229" s="112" t="str">
        <f>IF(preDEL!$AG229,IFERROR(0/0,""),preDEL!AM229)</f>
        <v>SpBEND845568</v>
      </c>
      <c r="AN229" s="112" t="str">
        <f>IF(preDEL!$AG229,IFERROR(0/0,""),preDEL!AN229)</f>
        <v>BEND601151</v>
      </c>
      <c r="AO229" s="112" t="str">
        <f>IF(preDEL!$AG229,IFERROR(0/0,""),preDEL!AO229)</f>
        <v/>
      </c>
      <c r="AP229" s="112" t="str">
        <f>IF(preDEL!$AG229,IFERROR(0/0,""),preDEL!AP229)</f>
        <v/>
      </c>
      <c r="AQ229" s="112" t="str">
        <f>IF(preDEL!$AG229,IFERROR(0/0,""),preDEL!AQ229)</f>
        <v/>
      </c>
      <c r="AR229" s="112" t="str">
        <f>IF(preDEL!$AG229,IFERROR(0/0,""),preDEL!AR229)</f>
        <v/>
      </c>
      <c r="AS229" s="112" t="str">
        <f>IF(preDEL!$AG229,IFERROR(0/0,""),preDEL!AS229)</f>
        <v/>
      </c>
      <c r="AT229" s="112" t="b">
        <f>IF(preDEL!$AG229,IFERROR(0/0,""),preDEL!AT229)</f>
        <v>0</v>
      </c>
      <c r="AU229" s="112" t="str">
        <f>IF(preDEL!$AG229,IFERROR(0/0,""),preDEL!AU229)</f>
        <v/>
      </c>
      <c r="AV229" s="112" t="str">
        <f>IF(preDEL!$AG229,IFERROR(0/0,""),preDEL!AV229)</f>
        <v/>
      </c>
      <c r="AW229" s="112" t="str">
        <f>IF(preDEL!$AG229,IFERROR(0/0,""),preDEL!AW229)</f>
        <v/>
      </c>
      <c r="AX229" s="112" t="str">
        <f>IF(preDEL!$AG229,IFERROR(0/0,""),preDEL!AX229)</f>
        <v/>
      </c>
      <c r="AY229" s="112" t="str">
        <f>IF(preDEL!$AG229,IFERROR(0/0,""),preDEL!AY229)</f>
        <v/>
      </c>
      <c r="AZ229" s="174"/>
      <c r="BA229" s="174"/>
      <c r="BB229" s="174"/>
      <c r="BC229" s="174"/>
      <c r="BD229" s="174"/>
      <c r="BE229" s="174"/>
      <c r="BF229" s="174"/>
      <c r="BG229" s="174"/>
      <c r="BH229" s="174"/>
      <c r="BI229" s="174"/>
      <c r="BJ229" s="174"/>
      <c r="BK229" s="174"/>
      <c r="BL229" s="174"/>
      <c r="BM229" s="174"/>
      <c r="BN229" s="174"/>
      <c r="BO229" s="174"/>
      <c r="BP229" s="174"/>
      <c r="BQ229" s="174"/>
      <c r="BR229" s="174"/>
      <c r="BS229" s="174"/>
      <c r="BT229" s="174"/>
      <c r="BU229" s="174"/>
      <c r="BV229" s="174"/>
      <c r="BW229" s="174"/>
      <c r="BX229" s="174"/>
      <c r="BY229" s="174"/>
      <c r="BZ229" s="174"/>
      <c r="CA229" s="174"/>
      <c r="CB229" s="174"/>
      <c r="CC229" s="174"/>
      <c r="CD229" s="174"/>
    </row>
    <row r="230">
      <c r="A230" s="105" t="str">
        <f>IF(preDEL!$AG230,IFERROR(0/0,""),preDEL!A230)</f>
        <v>MA657</v>
      </c>
      <c r="B230" s="170">
        <f>IF(preDEL!$AG230,IFERROR(0/0,""),preDEL!B230)</f>
        <v>44579</v>
      </c>
      <c r="C230" s="171">
        <f>IF(preDEL!$AG230,IFERROR(0/0,""),preDEL!C230)</f>
        <v>0.3310185185</v>
      </c>
      <c r="D230" s="105" t="str">
        <f>IF(preDEL!$AG230,IFERROR(0/0,""),preDEL!D230)</f>
        <v/>
      </c>
      <c r="E230" s="105" t="str">
        <f>IF(preDEL!$AG230,IFERROR(0/0,""),preDEL!E230)</f>
        <v/>
      </c>
      <c r="F230" s="112" t="str">
        <f>IF(preDEL!$AG230,IFERROR(0/0,""),preDEL!F230)</f>
        <v/>
      </c>
      <c r="G230" s="112" t="str">
        <f>IF(preDEL!$AG230,IFERROR(0/0,""),preDEL!G230)</f>
        <v/>
      </c>
      <c r="H230" s="112" t="str">
        <f>IF(preDEL!$AG230,IFERROR(0/0,""),preDEL!H230)</f>
        <v/>
      </c>
      <c r="I230" s="105" t="str">
        <f>IF(preDEL!$AG230,IFERROR(0/0,""),preDEL!I230)</f>
        <v/>
      </c>
      <c r="J230" s="105" t="str">
        <f>IF(preDEL!$AG230,IFERROR(0/0,""),preDEL!J230)</f>
        <v/>
      </c>
      <c r="K230" s="105" t="str">
        <f>IF(preDEL!$AG230,IFERROR(0/0,""),preDEL!K230)</f>
        <v>Negative</v>
      </c>
      <c r="L230" s="170">
        <f>IF(preDEL!$AG230,IFERROR(0/0,""),preDEL!L230)</f>
        <v>44580</v>
      </c>
      <c r="M230" s="171">
        <f>IF(preDEL!$AG230,IFERROR(0/0,""),preDEL!M230)</f>
        <v>0.5080092593</v>
      </c>
      <c r="N230" s="112" t="str">
        <f>IF(preDEL!$AG230,IFERROR(0/0,""),preDEL!N230)</f>
        <v/>
      </c>
      <c r="O230" s="112" t="str">
        <f>IF(preDEL!$AG230,IFERROR(0/0,""),preDEL!O230)</f>
        <v/>
      </c>
      <c r="P230" s="110" t="b">
        <f>IF(preDEL!$AG230,IFERROR(0/0,""),preDEL!P230)</f>
        <v>0</v>
      </c>
      <c r="Q230" s="110" t="str">
        <f>IF(preDEL!$AG230,IFERROR(0/0,""),preDEL!Q230)</f>
        <v>Result</v>
      </c>
      <c r="R230" s="104" t="b">
        <f>IF(preDEL!$AG230,IFERROR(0/0,""),preDEL!R230)</f>
        <v>1</v>
      </c>
      <c r="S230" s="104">
        <f>IF(preDEL!$AG230,IFERROR(0/0,""),preDEL!S230)</f>
        <v>1</v>
      </c>
      <c r="T230" s="110" t="str">
        <f>IF(preDEL!$AG230,IFERROR(0/0,""),preDEL!T230)</f>
        <v/>
      </c>
      <c r="U230" s="112" t="str">
        <f>IF(preDEL!$AG230,IFERROR(0/0,""),preDEL!U230)</f>
        <v/>
      </c>
      <c r="V230" s="105" t="str">
        <f>IF(preDEL!$AG230,IFERROR(0/0,""),preDEL!V230)</f>
        <v/>
      </c>
      <c r="W230" s="112" t="str">
        <f>IF(preDEL!$AG230,IFERROR(0/0,""),preDEL!W230)</f>
        <v/>
      </c>
      <c r="X230" s="104" t="b">
        <f>IF(preDEL!$AG230,IFERROR(0/0,""),preDEL!X230)</f>
        <v>0</v>
      </c>
      <c r="Y230" s="110" t="b">
        <f>IF(preDEL!$AG230,IFERROR(0/0,""),preDEL!Y230)</f>
        <v>0</v>
      </c>
      <c r="Z230" s="105" t="str">
        <f>IF(preDEL!$AG230,IFERROR(0/0,""),preDEL!Z230)</f>
        <v/>
      </c>
      <c r="AA230" s="110" t="b">
        <f>IF(preDEL!$AG230,IFERROR(0/0,""),preDEL!AA230)</f>
        <v>0</v>
      </c>
      <c r="AB230" s="110" t="b">
        <f>IF(preDEL!$AG230,IFERROR(0/0,""),preDEL!AB230)</f>
        <v>0</v>
      </c>
      <c r="AC230" s="172">
        <f>IF(preDEL!$AG230,IFERROR(0/0,""),preDEL!AC230)</f>
        <v>562</v>
      </c>
      <c r="AD230" s="104" t="b">
        <f>IF(preDEL!$AG230,IFERROR(0/0,""),preDEL!AD230)</f>
        <v>0</v>
      </c>
      <c r="AE230" s="173" t="str">
        <f>IF(preDEL!$AG230,IFERROR(0/0,""),preDEL!AE230)</f>
        <v/>
      </c>
      <c r="AF230" s="110" t="b">
        <f>IF(preDEL!$AG230,IFERROR(0/0,""),preDEL!AF230)</f>
        <v>0</v>
      </c>
      <c r="AG230" s="110" t="b">
        <f>IF(preDEL!$AG230,IFERROR(0/0,""),preDEL!AG230)</f>
        <v>0</v>
      </c>
      <c r="AH230" s="104" t="str">
        <f>IF(preDEL!$AG230,IFERROR(0/0,""),preDEL!AH230)</f>
        <v/>
      </c>
      <c r="AI230" s="105" t="str">
        <f>IF(preDEL!$AG230,IFERROR(0/0,""),preDEL!AI230)</f>
        <v/>
      </c>
      <c r="AJ230" s="112" t="str">
        <f>IF(preDEL!$AG230,IFERROR(0/0,""),preDEL!AJ230)</f>
        <v/>
      </c>
      <c r="AK230" s="105" t="str">
        <f>IF(preDEL!$AG230,IFERROR(0/0,""),preDEL!AK230)</f>
        <v>Negative</v>
      </c>
      <c r="AL230" s="112" t="str">
        <f>IF(preDEL!$AG230,IFERROR(0/0,""),preDEL!AL230)</f>
        <v/>
      </c>
      <c r="AM230" s="112" t="str">
        <f>IF(preDEL!$AG230,IFERROR(0/0,""),preDEL!AM230)</f>
        <v>SpBEND713650</v>
      </c>
      <c r="AN230" s="112" t="str">
        <f>IF(preDEL!$AG230,IFERROR(0/0,""),preDEL!AN230)</f>
        <v>BEND638558</v>
      </c>
      <c r="AO230" s="112" t="str">
        <f>IF(preDEL!$AG230,IFERROR(0/0,""),preDEL!AO230)</f>
        <v/>
      </c>
      <c r="AP230" s="112" t="str">
        <f>IF(preDEL!$AG230,IFERROR(0/0,""),preDEL!AP230)</f>
        <v/>
      </c>
      <c r="AQ230" s="112" t="str">
        <f>IF(preDEL!$AG230,IFERROR(0/0,""),preDEL!AQ230)</f>
        <v/>
      </c>
      <c r="AR230" s="112" t="str">
        <f>IF(preDEL!$AG230,IFERROR(0/0,""),preDEL!AR230)</f>
        <v/>
      </c>
      <c r="AS230" s="112" t="str">
        <f>IF(preDEL!$AG230,IFERROR(0/0,""),preDEL!AS230)</f>
        <v/>
      </c>
      <c r="AT230" s="112" t="b">
        <f>IF(preDEL!$AG230,IFERROR(0/0,""),preDEL!AT230)</f>
        <v>0</v>
      </c>
      <c r="AU230" s="112" t="str">
        <f>IF(preDEL!$AG230,IFERROR(0/0,""),preDEL!AU230)</f>
        <v/>
      </c>
      <c r="AV230" s="112" t="str">
        <f>IF(preDEL!$AG230,IFERROR(0/0,""),preDEL!AV230)</f>
        <v/>
      </c>
      <c r="AW230" s="112" t="str">
        <f>IF(preDEL!$AG230,IFERROR(0/0,""),preDEL!AW230)</f>
        <v/>
      </c>
      <c r="AX230" s="112" t="str">
        <f>IF(preDEL!$AG230,IFERROR(0/0,""),preDEL!AX230)</f>
        <v/>
      </c>
      <c r="AY230" s="112" t="str">
        <f>IF(preDEL!$AG230,IFERROR(0/0,""),preDEL!AY230)</f>
        <v/>
      </c>
      <c r="AZ230" s="174"/>
      <c r="BA230" s="174"/>
      <c r="BB230" s="174"/>
      <c r="BC230" s="174"/>
      <c r="BD230" s="174"/>
      <c r="BE230" s="174"/>
      <c r="BF230" s="174"/>
      <c r="BG230" s="174"/>
      <c r="BH230" s="174"/>
      <c r="BI230" s="174"/>
      <c r="BJ230" s="174"/>
      <c r="BK230" s="174"/>
      <c r="BL230" s="174"/>
      <c r="BM230" s="174"/>
      <c r="BN230" s="174"/>
      <c r="BO230" s="174"/>
      <c r="BP230" s="174"/>
      <c r="BQ230" s="174"/>
      <c r="BR230" s="174"/>
      <c r="BS230" s="174"/>
      <c r="BT230" s="174"/>
      <c r="BU230" s="174"/>
      <c r="BV230" s="174"/>
      <c r="BW230" s="174"/>
      <c r="BX230" s="174"/>
      <c r="BY230" s="174"/>
      <c r="BZ230" s="174"/>
      <c r="CA230" s="174"/>
      <c r="CB230" s="174"/>
      <c r="CC230" s="174"/>
      <c r="CD230" s="174"/>
    </row>
    <row r="231">
      <c r="A231" s="105" t="str">
        <f>IF(preDEL!$AG231,IFERROR(0/0,""),preDEL!A231)</f>
        <v>MA431</v>
      </c>
      <c r="B231" s="170">
        <f>IF(preDEL!$AG231,IFERROR(0/0,""),preDEL!B231)</f>
        <v>44579</v>
      </c>
      <c r="C231" s="171">
        <f>IF(preDEL!$AG231,IFERROR(0/0,""),preDEL!C231)</f>
        <v>0.3312152778</v>
      </c>
      <c r="D231" s="105" t="str">
        <f>IF(preDEL!$AG231,IFERROR(0/0,""),preDEL!D231)</f>
        <v/>
      </c>
      <c r="E231" s="105" t="str">
        <f>IF(preDEL!$AG231,IFERROR(0/0,""),preDEL!E231)</f>
        <v/>
      </c>
      <c r="F231" s="112" t="str">
        <f>IF(preDEL!$AG231,IFERROR(0/0,""),preDEL!F231)</f>
        <v/>
      </c>
      <c r="G231" s="112" t="str">
        <f>IF(preDEL!$AG231,IFERROR(0/0,""),preDEL!G231)</f>
        <v/>
      </c>
      <c r="H231" s="112" t="str">
        <f>IF(preDEL!$AG231,IFERROR(0/0,""),preDEL!H231)</f>
        <v/>
      </c>
      <c r="I231" s="105" t="str">
        <f>IF(preDEL!$AG231,IFERROR(0/0,""),preDEL!I231)</f>
        <v/>
      </c>
      <c r="J231" s="105" t="str">
        <f>IF(preDEL!$AG231,IFERROR(0/0,""),preDEL!J231)</f>
        <v/>
      </c>
      <c r="K231" s="105" t="str">
        <f>IF(preDEL!$AG231,IFERROR(0/0,""),preDEL!K231)</f>
        <v>Negative</v>
      </c>
      <c r="L231" s="170">
        <f>IF(preDEL!$AG231,IFERROR(0/0,""),preDEL!L231)</f>
        <v>44580</v>
      </c>
      <c r="M231" s="171">
        <f>IF(preDEL!$AG231,IFERROR(0/0,""),preDEL!M231)</f>
        <v>0.5080092593</v>
      </c>
      <c r="N231" s="112" t="str">
        <f>IF(preDEL!$AG231,IFERROR(0/0,""),preDEL!N231)</f>
        <v/>
      </c>
      <c r="O231" s="112" t="str">
        <f>IF(preDEL!$AG231,IFERROR(0/0,""),preDEL!O231)</f>
        <v/>
      </c>
      <c r="P231" s="110" t="b">
        <f>IF(preDEL!$AG231,IFERROR(0/0,""),preDEL!P231)</f>
        <v>0</v>
      </c>
      <c r="Q231" s="110" t="str">
        <f>IF(preDEL!$AG231,IFERROR(0/0,""),preDEL!Q231)</f>
        <v>Result</v>
      </c>
      <c r="R231" s="104" t="b">
        <f>IF(preDEL!$AG231,IFERROR(0/0,""),preDEL!R231)</f>
        <v>1</v>
      </c>
      <c r="S231" s="104">
        <f>IF(preDEL!$AG231,IFERROR(0/0,""),preDEL!S231)</f>
        <v>1</v>
      </c>
      <c r="T231" s="110" t="str">
        <f>IF(preDEL!$AG231,IFERROR(0/0,""),preDEL!T231)</f>
        <v/>
      </c>
      <c r="U231" s="112" t="str">
        <f>IF(preDEL!$AG231,IFERROR(0/0,""),preDEL!U231)</f>
        <v/>
      </c>
      <c r="V231" s="105" t="str">
        <f>IF(preDEL!$AG231,IFERROR(0/0,""),preDEL!V231)</f>
        <v/>
      </c>
      <c r="W231" s="112" t="str">
        <f>IF(preDEL!$AG231,IFERROR(0/0,""),preDEL!W231)</f>
        <v/>
      </c>
      <c r="X231" s="104" t="b">
        <f>IF(preDEL!$AG231,IFERROR(0/0,""),preDEL!X231)</f>
        <v>0</v>
      </c>
      <c r="Y231" s="110" t="b">
        <f>IF(preDEL!$AG231,IFERROR(0/0,""),preDEL!Y231)</f>
        <v>0</v>
      </c>
      <c r="Z231" s="105" t="str">
        <f>IF(preDEL!$AG231,IFERROR(0/0,""),preDEL!Z231)</f>
        <v/>
      </c>
      <c r="AA231" s="110" t="b">
        <f>IF(preDEL!$AG231,IFERROR(0/0,""),preDEL!AA231)</f>
        <v>0</v>
      </c>
      <c r="AB231" s="110" t="b">
        <f>IF(preDEL!$AG231,IFERROR(0/0,""),preDEL!AB231)</f>
        <v>0</v>
      </c>
      <c r="AC231" s="172">
        <f>IF(preDEL!$AG231,IFERROR(0/0,""),preDEL!AC231)</f>
        <v>561</v>
      </c>
      <c r="AD231" s="104" t="b">
        <f>IF(preDEL!$AG231,IFERROR(0/0,""),preDEL!AD231)</f>
        <v>0</v>
      </c>
      <c r="AE231" s="173" t="str">
        <f>IF(preDEL!$AG231,IFERROR(0/0,""),preDEL!AE231)</f>
        <v/>
      </c>
      <c r="AF231" s="110" t="b">
        <f>IF(preDEL!$AG231,IFERROR(0/0,""),preDEL!AF231)</f>
        <v>0</v>
      </c>
      <c r="AG231" s="110" t="b">
        <f>IF(preDEL!$AG231,IFERROR(0/0,""),preDEL!AG231)</f>
        <v>0</v>
      </c>
      <c r="AH231" s="104" t="str">
        <f>IF(preDEL!$AG231,IFERROR(0/0,""),preDEL!AH231)</f>
        <v/>
      </c>
      <c r="AI231" s="105" t="str">
        <f>IF(preDEL!$AG231,IFERROR(0/0,""),preDEL!AI231)</f>
        <v/>
      </c>
      <c r="AJ231" s="112" t="str">
        <f>IF(preDEL!$AG231,IFERROR(0/0,""),preDEL!AJ231)</f>
        <v/>
      </c>
      <c r="AK231" s="105" t="str">
        <f>IF(preDEL!$AG231,IFERROR(0/0,""),preDEL!AK231)</f>
        <v>Negative</v>
      </c>
      <c r="AL231" s="112" t="str">
        <f>IF(preDEL!$AG231,IFERROR(0/0,""),preDEL!AL231)</f>
        <v/>
      </c>
      <c r="AM231" s="112" t="str">
        <f>IF(preDEL!$AG231,IFERROR(0/0,""),preDEL!AM231)</f>
        <v>SpBEND842248</v>
      </c>
      <c r="AN231" s="112" t="str">
        <f>IF(preDEL!$AG231,IFERROR(0/0,""),preDEL!AN231)</f>
        <v>BEND296589</v>
      </c>
      <c r="AO231" s="112" t="str">
        <f>IF(preDEL!$AG231,IFERROR(0/0,""),preDEL!AO231)</f>
        <v/>
      </c>
      <c r="AP231" s="112" t="str">
        <f>IF(preDEL!$AG231,IFERROR(0/0,""),preDEL!AP231)</f>
        <v/>
      </c>
      <c r="AQ231" s="112" t="str">
        <f>IF(preDEL!$AG231,IFERROR(0/0,""),preDEL!AQ231)</f>
        <v/>
      </c>
      <c r="AR231" s="112" t="str">
        <f>IF(preDEL!$AG231,IFERROR(0/0,""),preDEL!AR231)</f>
        <v/>
      </c>
      <c r="AS231" s="112" t="str">
        <f>IF(preDEL!$AG231,IFERROR(0/0,""),preDEL!AS231)</f>
        <v/>
      </c>
      <c r="AT231" s="112" t="b">
        <f>IF(preDEL!$AG231,IFERROR(0/0,""),preDEL!AT231)</f>
        <v>0</v>
      </c>
      <c r="AU231" s="112" t="str">
        <f>IF(preDEL!$AG231,IFERROR(0/0,""),preDEL!AU231)</f>
        <v/>
      </c>
      <c r="AV231" s="112" t="str">
        <f>IF(preDEL!$AG231,IFERROR(0/0,""),preDEL!AV231)</f>
        <v/>
      </c>
      <c r="AW231" s="112" t="str">
        <f>IF(preDEL!$AG231,IFERROR(0/0,""),preDEL!AW231)</f>
        <v/>
      </c>
      <c r="AX231" s="112" t="str">
        <f>IF(preDEL!$AG231,IFERROR(0/0,""),preDEL!AX231)</f>
        <v/>
      </c>
      <c r="AY231" s="112" t="str">
        <f>IF(preDEL!$AG231,IFERROR(0/0,""),preDEL!AY231)</f>
        <v/>
      </c>
      <c r="AZ231" s="174"/>
      <c r="BA231" s="174"/>
      <c r="BB231" s="174"/>
      <c r="BC231" s="174"/>
      <c r="BD231" s="174"/>
      <c r="BE231" s="174"/>
      <c r="BF231" s="174"/>
      <c r="BG231" s="174"/>
      <c r="BH231" s="174"/>
      <c r="BI231" s="174"/>
      <c r="BJ231" s="174"/>
      <c r="BK231" s="174"/>
      <c r="BL231" s="174"/>
      <c r="BM231" s="174"/>
      <c r="BN231" s="174"/>
      <c r="BO231" s="174"/>
      <c r="BP231" s="174"/>
      <c r="BQ231" s="174"/>
      <c r="BR231" s="174"/>
      <c r="BS231" s="174"/>
      <c r="BT231" s="174"/>
      <c r="BU231" s="174"/>
      <c r="BV231" s="174"/>
      <c r="BW231" s="174"/>
      <c r="BX231" s="174"/>
      <c r="BY231" s="174"/>
      <c r="BZ231" s="174"/>
      <c r="CA231" s="174"/>
      <c r="CB231" s="174"/>
      <c r="CC231" s="174"/>
      <c r="CD231" s="174"/>
    </row>
    <row r="232">
      <c r="A232" s="105" t="str">
        <f>IF(preDEL!$AG232,IFERROR(0/0,""),preDEL!A232)</f>
        <v>MA458</v>
      </c>
      <c r="B232" s="170">
        <f>IF(preDEL!$AG232,IFERROR(0/0,""),preDEL!B232)</f>
        <v>44579</v>
      </c>
      <c r="C232" s="171">
        <f>IF(preDEL!$AG232,IFERROR(0/0,""),preDEL!C232)</f>
        <v>0.3317824074</v>
      </c>
      <c r="D232" s="105" t="str">
        <f>IF(preDEL!$AG232,IFERROR(0/0,""),preDEL!D232)</f>
        <v/>
      </c>
      <c r="E232" s="105" t="str">
        <f>IF(preDEL!$AG232,IFERROR(0/0,""),preDEL!E232)</f>
        <v/>
      </c>
      <c r="F232" s="112" t="str">
        <f>IF(preDEL!$AG232,IFERROR(0/0,""),preDEL!F232)</f>
        <v/>
      </c>
      <c r="G232" s="112" t="str">
        <f>IF(preDEL!$AG232,IFERROR(0/0,""),preDEL!G232)</f>
        <v/>
      </c>
      <c r="H232" s="112" t="str">
        <f>IF(preDEL!$AG232,IFERROR(0/0,""),preDEL!H232)</f>
        <v/>
      </c>
      <c r="I232" s="105" t="str">
        <f>IF(preDEL!$AG232,IFERROR(0/0,""),preDEL!I232)</f>
        <v/>
      </c>
      <c r="J232" s="105" t="str">
        <f>IF(preDEL!$AG232,IFERROR(0/0,""),preDEL!J232)</f>
        <v/>
      </c>
      <c r="K232" s="105" t="str">
        <f>IF(preDEL!$AG232,IFERROR(0/0,""),preDEL!K232)</f>
        <v>Negative</v>
      </c>
      <c r="L232" s="170">
        <f>IF(preDEL!$AG232,IFERROR(0/0,""),preDEL!L232)</f>
        <v>44580</v>
      </c>
      <c r="M232" s="171">
        <f>IF(preDEL!$AG232,IFERROR(0/0,""),preDEL!M232)</f>
        <v>0.5080092593</v>
      </c>
      <c r="N232" s="112" t="str">
        <f>IF(preDEL!$AG232,IFERROR(0/0,""),preDEL!N232)</f>
        <v/>
      </c>
      <c r="O232" s="112" t="str">
        <f>IF(preDEL!$AG232,IFERROR(0/0,""),preDEL!O232)</f>
        <v/>
      </c>
      <c r="P232" s="110" t="b">
        <f>IF(preDEL!$AG232,IFERROR(0/0,""),preDEL!P232)</f>
        <v>0</v>
      </c>
      <c r="Q232" s="110" t="str">
        <f>IF(preDEL!$AG232,IFERROR(0/0,""),preDEL!Q232)</f>
        <v>Result</v>
      </c>
      <c r="R232" s="104" t="b">
        <f>IF(preDEL!$AG232,IFERROR(0/0,""),preDEL!R232)</f>
        <v>1</v>
      </c>
      <c r="S232" s="104">
        <f>IF(preDEL!$AG232,IFERROR(0/0,""),preDEL!S232)</f>
        <v>1</v>
      </c>
      <c r="T232" s="110" t="str">
        <f>IF(preDEL!$AG232,IFERROR(0/0,""),preDEL!T232)</f>
        <v/>
      </c>
      <c r="U232" s="112" t="str">
        <f>IF(preDEL!$AG232,IFERROR(0/0,""),preDEL!U232)</f>
        <v/>
      </c>
      <c r="V232" s="105" t="str">
        <f>IF(preDEL!$AG232,IFERROR(0/0,""),preDEL!V232)</f>
        <v/>
      </c>
      <c r="W232" s="112" t="str">
        <f>IF(preDEL!$AG232,IFERROR(0/0,""),preDEL!W232)</f>
        <v/>
      </c>
      <c r="X232" s="104" t="b">
        <f>IF(preDEL!$AG232,IFERROR(0/0,""),preDEL!X232)</f>
        <v>0</v>
      </c>
      <c r="Y232" s="110" t="b">
        <f>IF(preDEL!$AG232,IFERROR(0/0,""),preDEL!Y232)</f>
        <v>0</v>
      </c>
      <c r="Z232" s="105" t="str">
        <f>IF(preDEL!$AG232,IFERROR(0/0,""),preDEL!Z232)</f>
        <v/>
      </c>
      <c r="AA232" s="110" t="b">
        <f>IF(preDEL!$AG232,IFERROR(0/0,""),preDEL!AA232)</f>
        <v>0</v>
      </c>
      <c r="AB232" s="110" t="b">
        <f>IF(preDEL!$AG232,IFERROR(0/0,""),preDEL!AB232)</f>
        <v>0</v>
      </c>
      <c r="AC232" s="172">
        <f>IF(preDEL!$AG232,IFERROR(0/0,""),preDEL!AC232)</f>
        <v>560</v>
      </c>
      <c r="AD232" s="104" t="b">
        <f>IF(preDEL!$AG232,IFERROR(0/0,""),preDEL!AD232)</f>
        <v>0</v>
      </c>
      <c r="AE232" s="173" t="str">
        <f>IF(preDEL!$AG232,IFERROR(0/0,""),preDEL!AE232)</f>
        <v/>
      </c>
      <c r="AF232" s="110" t="b">
        <f>IF(preDEL!$AG232,IFERROR(0/0,""),preDEL!AF232)</f>
        <v>0</v>
      </c>
      <c r="AG232" s="110" t="b">
        <f>IF(preDEL!$AG232,IFERROR(0/0,""),preDEL!AG232)</f>
        <v>0</v>
      </c>
      <c r="AH232" s="104" t="str">
        <f>IF(preDEL!$AG232,IFERROR(0/0,""),preDEL!AH232)</f>
        <v/>
      </c>
      <c r="AI232" s="105" t="str">
        <f>IF(preDEL!$AG232,IFERROR(0/0,""),preDEL!AI232)</f>
        <v/>
      </c>
      <c r="AJ232" s="112" t="str">
        <f>IF(preDEL!$AG232,IFERROR(0/0,""),preDEL!AJ232)</f>
        <v/>
      </c>
      <c r="AK232" s="105" t="str">
        <f>IF(preDEL!$AG232,IFERROR(0/0,""),preDEL!AK232)</f>
        <v>Negative</v>
      </c>
      <c r="AL232" s="112" t="str">
        <f>IF(preDEL!$AG232,IFERROR(0/0,""),preDEL!AL232)</f>
        <v/>
      </c>
      <c r="AM232" s="112" t="str">
        <f>IF(preDEL!$AG232,IFERROR(0/0,""),preDEL!AM232)</f>
        <v>SpBEND349435</v>
      </c>
      <c r="AN232" s="112" t="str">
        <f>IF(preDEL!$AG232,IFERROR(0/0,""),preDEL!AN232)</f>
        <v>BEND759602</v>
      </c>
      <c r="AO232" s="112" t="str">
        <f>IF(preDEL!$AG232,IFERROR(0/0,""),preDEL!AO232)</f>
        <v/>
      </c>
      <c r="AP232" s="112" t="str">
        <f>IF(preDEL!$AG232,IFERROR(0/0,""),preDEL!AP232)</f>
        <v/>
      </c>
      <c r="AQ232" s="112" t="str">
        <f>IF(preDEL!$AG232,IFERROR(0/0,""),preDEL!AQ232)</f>
        <v/>
      </c>
      <c r="AR232" s="112" t="str">
        <f>IF(preDEL!$AG232,IFERROR(0/0,""),preDEL!AR232)</f>
        <v/>
      </c>
      <c r="AS232" s="112" t="str">
        <f>IF(preDEL!$AG232,IFERROR(0/0,""),preDEL!AS232)</f>
        <v/>
      </c>
      <c r="AT232" s="112" t="b">
        <f>IF(preDEL!$AG232,IFERROR(0/0,""),preDEL!AT232)</f>
        <v>0</v>
      </c>
      <c r="AU232" s="112" t="str">
        <f>IF(preDEL!$AG232,IFERROR(0/0,""),preDEL!AU232)</f>
        <v/>
      </c>
      <c r="AV232" s="112" t="str">
        <f>IF(preDEL!$AG232,IFERROR(0/0,""),preDEL!AV232)</f>
        <v/>
      </c>
      <c r="AW232" s="112" t="str">
        <f>IF(preDEL!$AG232,IFERROR(0/0,""),preDEL!AW232)</f>
        <v/>
      </c>
      <c r="AX232" s="112" t="str">
        <f>IF(preDEL!$AG232,IFERROR(0/0,""),preDEL!AX232)</f>
        <v/>
      </c>
      <c r="AY232" s="112" t="str">
        <f>IF(preDEL!$AG232,IFERROR(0/0,""),preDEL!AY232)</f>
        <v/>
      </c>
      <c r="AZ232" s="174"/>
      <c r="BA232" s="174"/>
      <c r="BB232" s="174"/>
      <c r="BC232" s="174"/>
      <c r="BD232" s="174"/>
      <c r="BE232" s="174"/>
      <c r="BF232" s="174"/>
      <c r="BG232" s="174"/>
      <c r="BH232" s="174"/>
      <c r="BI232" s="174"/>
      <c r="BJ232" s="174"/>
      <c r="BK232" s="174"/>
      <c r="BL232" s="174"/>
      <c r="BM232" s="174"/>
      <c r="BN232" s="174"/>
      <c r="BO232" s="174"/>
      <c r="BP232" s="174"/>
      <c r="BQ232" s="174"/>
      <c r="BR232" s="174"/>
      <c r="BS232" s="174"/>
      <c r="BT232" s="174"/>
      <c r="BU232" s="174"/>
      <c r="BV232" s="174"/>
      <c r="BW232" s="174"/>
      <c r="BX232" s="174"/>
      <c r="BY232" s="174"/>
      <c r="BZ232" s="174"/>
      <c r="CA232" s="174"/>
      <c r="CB232" s="174"/>
      <c r="CC232" s="174"/>
      <c r="CD232" s="174"/>
    </row>
    <row r="233">
      <c r="A233" s="105" t="str">
        <f>IF(preDEL!$AG233,IFERROR(0/0,""),preDEL!A233)</f>
        <v>MA629</v>
      </c>
      <c r="B233" s="170">
        <f>IF(preDEL!$AG233,IFERROR(0/0,""),preDEL!B233)</f>
        <v>44579</v>
      </c>
      <c r="C233" s="171">
        <f>IF(preDEL!$AG233,IFERROR(0/0,""),preDEL!C233)</f>
        <v>0.332025463</v>
      </c>
      <c r="D233" s="105" t="str">
        <f>IF(preDEL!$AG233,IFERROR(0/0,""),preDEL!D233)</f>
        <v/>
      </c>
      <c r="E233" s="105" t="str">
        <f>IF(preDEL!$AG233,IFERROR(0/0,""),preDEL!E233)</f>
        <v/>
      </c>
      <c r="F233" s="112" t="str">
        <f>IF(preDEL!$AG233,IFERROR(0/0,""),preDEL!F233)</f>
        <v/>
      </c>
      <c r="G233" s="112" t="str">
        <f>IF(preDEL!$AG233,IFERROR(0/0,""),preDEL!G233)</f>
        <v/>
      </c>
      <c r="H233" s="112" t="str">
        <f>IF(preDEL!$AG233,IFERROR(0/0,""),preDEL!H233)</f>
        <v/>
      </c>
      <c r="I233" s="105" t="str">
        <f>IF(preDEL!$AG233,IFERROR(0/0,""),preDEL!I233)</f>
        <v/>
      </c>
      <c r="J233" s="105" t="str">
        <f>IF(preDEL!$AG233,IFERROR(0/0,""),preDEL!J233)</f>
        <v/>
      </c>
      <c r="K233" s="105" t="str">
        <f>IF(preDEL!$AG233,IFERROR(0/0,""),preDEL!K233)</f>
        <v>Negative</v>
      </c>
      <c r="L233" s="170">
        <f>IF(preDEL!$AG233,IFERROR(0/0,""),preDEL!L233)</f>
        <v>44580</v>
      </c>
      <c r="M233" s="171">
        <f>IF(preDEL!$AG233,IFERROR(0/0,""),preDEL!M233)</f>
        <v>0.5080092593</v>
      </c>
      <c r="N233" s="112" t="str">
        <f>IF(preDEL!$AG233,IFERROR(0/0,""),preDEL!N233)</f>
        <v/>
      </c>
      <c r="O233" s="112" t="str">
        <f>IF(preDEL!$AG233,IFERROR(0/0,""),preDEL!O233)</f>
        <v/>
      </c>
      <c r="P233" s="110" t="b">
        <f>IF(preDEL!$AG233,IFERROR(0/0,""),preDEL!P233)</f>
        <v>0</v>
      </c>
      <c r="Q233" s="110" t="str">
        <f>IF(preDEL!$AG233,IFERROR(0/0,""),preDEL!Q233)</f>
        <v>Result</v>
      </c>
      <c r="R233" s="104" t="b">
        <f>IF(preDEL!$AG233,IFERROR(0/0,""),preDEL!R233)</f>
        <v>1</v>
      </c>
      <c r="S233" s="104">
        <f>IF(preDEL!$AG233,IFERROR(0/0,""),preDEL!S233)</f>
        <v>1</v>
      </c>
      <c r="T233" s="110">
        <f>IF(preDEL!$AG233,IFERROR(0/0,""),preDEL!T233)</f>
        <v>0</v>
      </c>
      <c r="U233" s="112" t="str">
        <f>IF(preDEL!$AG233,IFERROR(0/0,""),preDEL!U233)</f>
        <v/>
      </c>
      <c r="V233" s="105" t="str">
        <f>IF(preDEL!$AG233,IFERROR(0/0,""),preDEL!V233)</f>
        <v/>
      </c>
      <c r="W233" s="112" t="str">
        <f>IF(preDEL!$AG233,IFERROR(0/0,""),preDEL!W233)</f>
        <v/>
      </c>
      <c r="X233" s="104" t="b">
        <f>IF(preDEL!$AG233,IFERROR(0/0,""),preDEL!X233)</f>
        <v>0</v>
      </c>
      <c r="Y233" s="110" t="b">
        <f>IF(preDEL!$AG233,IFERROR(0/0,""),preDEL!Y233)</f>
        <v>0</v>
      </c>
      <c r="Z233" s="105" t="str">
        <f>IF(preDEL!$AG233,IFERROR(0/0,""),preDEL!Z233)</f>
        <v/>
      </c>
      <c r="AA233" s="110" t="b">
        <f>IF(preDEL!$AG233,IFERROR(0/0,""),preDEL!AA233)</f>
        <v>0</v>
      </c>
      <c r="AB233" s="110" t="b">
        <f>IF(preDEL!$AG233,IFERROR(0/0,""),preDEL!AB233)</f>
        <v>0</v>
      </c>
      <c r="AC233" s="172">
        <f>IF(preDEL!$AG233,IFERROR(0/0,""),preDEL!AC233)</f>
        <v>559</v>
      </c>
      <c r="AD233" s="104" t="b">
        <f>IF(preDEL!$AG233,IFERROR(0/0,""),preDEL!AD233)</f>
        <v>0</v>
      </c>
      <c r="AE233" s="173" t="str">
        <f>IF(preDEL!$AG233,IFERROR(0/0,""),preDEL!AE233)</f>
        <v/>
      </c>
      <c r="AF233" s="110" t="b">
        <f>IF(preDEL!$AG233,IFERROR(0/0,""),preDEL!AF233)</f>
        <v>0</v>
      </c>
      <c r="AG233" s="110" t="b">
        <f>IF(preDEL!$AG233,IFERROR(0/0,""),preDEL!AG233)</f>
        <v>0</v>
      </c>
      <c r="AH233" s="104" t="str">
        <f>IF(preDEL!$AG233,IFERROR(0/0,""),preDEL!AH233)</f>
        <v/>
      </c>
      <c r="AI233" s="105" t="str">
        <f>IF(preDEL!$AG233,IFERROR(0/0,""),preDEL!AI233)</f>
        <v/>
      </c>
      <c r="AJ233" s="112" t="str">
        <f>IF(preDEL!$AG233,IFERROR(0/0,""),preDEL!AJ233)</f>
        <v/>
      </c>
      <c r="AK233" s="105" t="str">
        <f>IF(preDEL!$AG233,IFERROR(0/0,""),preDEL!AK233)</f>
        <v>Negative</v>
      </c>
      <c r="AL233" s="112" t="str">
        <f>IF(preDEL!$AG233,IFERROR(0/0,""),preDEL!AL233)</f>
        <v/>
      </c>
      <c r="AM233" s="112" t="str">
        <f>IF(preDEL!$AG233,IFERROR(0/0,""),preDEL!AM233)</f>
        <v>SpBEND292554</v>
      </c>
      <c r="AN233" s="112" t="str">
        <f>IF(preDEL!$AG233,IFERROR(0/0,""),preDEL!AN233)</f>
        <v>BEND295131</v>
      </c>
      <c r="AO233" s="112" t="str">
        <f>IF(preDEL!$AG233,IFERROR(0/0,""),preDEL!AO233)</f>
        <v/>
      </c>
      <c r="AP233" s="112" t="str">
        <f>IF(preDEL!$AG233,IFERROR(0/0,""),preDEL!AP233)</f>
        <v/>
      </c>
      <c r="AQ233" s="112" t="str">
        <f>IF(preDEL!$AG233,IFERROR(0/0,""),preDEL!AQ233)</f>
        <v/>
      </c>
      <c r="AR233" s="112" t="str">
        <f>IF(preDEL!$AG233,IFERROR(0/0,""),preDEL!AR233)</f>
        <v/>
      </c>
      <c r="AS233" s="112" t="str">
        <f>IF(preDEL!$AG233,IFERROR(0/0,""),preDEL!AS233)</f>
        <v/>
      </c>
      <c r="AT233" s="112" t="b">
        <f>IF(preDEL!$AG233,IFERROR(0/0,""),preDEL!AT233)</f>
        <v>0</v>
      </c>
      <c r="AU233" s="112" t="str">
        <f>IF(preDEL!$AG233,IFERROR(0/0,""),preDEL!AU233)</f>
        <v/>
      </c>
      <c r="AV233" s="112" t="str">
        <f>IF(preDEL!$AG233,IFERROR(0/0,""),preDEL!AV233)</f>
        <v/>
      </c>
      <c r="AW233" s="112" t="str">
        <f>IF(preDEL!$AG233,IFERROR(0/0,""),preDEL!AW233)</f>
        <v/>
      </c>
      <c r="AX233" s="112" t="str">
        <f>IF(preDEL!$AG233,IFERROR(0/0,""),preDEL!AX233)</f>
        <v/>
      </c>
      <c r="AY233" s="112" t="str">
        <f>IF(preDEL!$AG233,IFERROR(0/0,""),preDEL!AY233)</f>
        <v/>
      </c>
      <c r="AZ233" s="174"/>
      <c r="BA233" s="174"/>
      <c r="BB233" s="174"/>
      <c r="BC233" s="174"/>
      <c r="BD233" s="174"/>
      <c r="BE233" s="174"/>
      <c r="BF233" s="174"/>
      <c r="BG233" s="174"/>
      <c r="BH233" s="174"/>
      <c r="BI233" s="174"/>
      <c r="BJ233" s="174"/>
      <c r="BK233" s="174"/>
      <c r="BL233" s="174"/>
      <c r="BM233" s="174"/>
      <c r="BN233" s="174"/>
      <c r="BO233" s="174"/>
      <c r="BP233" s="174"/>
      <c r="BQ233" s="174"/>
      <c r="BR233" s="174"/>
      <c r="BS233" s="174"/>
      <c r="BT233" s="174"/>
      <c r="BU233" s="174"/>
      <c r="BV233" s="174"/>
      <c r="BW233" s="174"/>
      <c r="BX233" s="174"/>
      <c r="BY233" s="174"/>
      <c r="BZ233" s="174"/>
      <c r="CA233" s="174"/>
      <c r="CB233" s="174"/>
      <c r="CC233" s="174"/>
      <c r="CD233" s="174"/>
    </row>
    <row r="234">
      <c r="A234" s="105" t="str">
        <f>IF(preDEL!$AG234,IFERROR(0/0,""),preDEL!A234)</f>
        <v>MA652</v>
      </c>
      <c r="B234" s="170">
        <f>IF(preDEL!$AG234,IFERROR(0/0,""),preDEL!B234)</f>
        <v>44579</v>
      </c>
      <c r="C234" s="171">
        <f>IF(preDEL!$AG234,IFERROR(0/0,""),preDEL!C234)</f>
        <v>0.3321296296</v>
      </c>
      <c r="D234" s="105" t="str">
        <f>IF(preDEL!$AG234,IFERROR(0/0,""),preDEL!D234)</f>
        <v/>
      </c>
      <c r="E234" s="105" t="str">
        <f>IF(preDEL!$AG234,IFERROR(0/0,""),preDEL!E234)</f>
        <v/>
      </c>
      <c r="F234" s="112" t="str">
        <f>IF(preDEL!$AG234,IFERROR(0/0,""),preDEL!F234)</f>
        <v/>
      </c>
      <c r="G234" s="112" t="str">
        <f>IF(preDEL!$AG234,IFERROR(0/0,""),preDEL!G234)</f>
        <v/>
      </c>
      <c r="H234" s="112" t="str">
        <f>IF(preDEL!$AG234,IFERROR(0/0,""),preDEL!H234)</f>
        <v/>
      </c>
      <c r="I234" s="105" t="str">
        <f>IF(preDEL!$AG234,IFERROR(0/0,""),preDEL!I234)</f>
        <v/>
      </c>
      <c r="J234" s="105" t="str">
        <f>IF(preDEL!$AG234,IFERROR(0/0,""),preDEL!J234)</f>
        <v/>
      </c>
      <c r="K234" s="105" t="str">
        <f>IF(preDEL!$AG234,IFERROR(0/0,""),preDEL!K234)</f>
        <v>Negative</v>
      </c>
      <c r="L234" s="170">
        <f>IF(preDEL!$AG234,IFERROR(0/0,""),preDEL!L234)</f>
        <v>44580</v>
      </c>
      <c r="M234" s="171">
        <f>IF(preDEL!$AG234,IFERROR(0/0,""),preDEL!M234)</f>
        <v>0.5080092593</v>
      </c>
      <c r="N234" s="112" t="str">
        <f>IF(preDEL!$AG234,IFERROR(0/0,""),preDEL!N234)</f>
        <v/>
      </c>
      <c r="O234" s="112" t="str">
        <f>IF(preDEL!$AG234,IFERROR(0/0,""),preDEL!O234)</f>
        <v/>
      </c>
      <c r="P234" s="110" t="b">
        <f>IF(preDEL!$AG234,IFERROR(0/0,""),preDEL!P234)</f>
        <v>0</v>
      </c>
      <c r="Q234" s="110" t="str">
        <f>IF(preDEL!$AG234,IFERROR(0/0,""),preDEL!Q234)</f>
        <v>Result</v>
      </c>
      <c r="R234" s="104" t="b">
        <f>IF(preDEL!$AG234,IFERROR(0/0,""),preDEL!R234)</f>
        <v>1</v>
      </c>
      <c r="S234" s="104">
        <f>IF(preDEL!$AG234,IFERROR(0/0,""),preDEL!S234)</f>
        <v>1</v>
      </c>
      <c r="T234" s="110">
        <f>IF(preDEL!$AG234,IFERROR(0/0,""),preDEL!T234)</f>
        <v>0</v>
      </c>
      <c r="U234" s="112" t="str">
        <f>IF(preDEL!$AG234,IFERROR(0/0,""),preDEL!U234)</f>
        <v/>
      </c>
      <c r="V234" s="105" t="str">
        <f>IF(preDEL!$AG234,IFERROR(0/0,""),preDEL!V234)</f>
        <v/>
      </c>
      <c r="W234" s="112" t="str">
        <f>IF(preDEL!$AG234,IFERROR(0/0,""),preDEL!W234)</f>
        <v/>
      </c>
      <c r="X234" s="104" t="b">
        <f>IF(preDEL!$AG234,IFERROR(0/0,""),preDEL!X234)</f>
        <v>0</v>
      </c>
      <c r="Y234" s="110" t="b">
        <f>IF(preDEL!$AG234,IFERROR(0/0,""),preDEL!Y234)</f>
        <v>0</v>
      </c>
      <c r="Z234" s="105" t="str">
        <f>IF(preDEL!$AG234,IFERROR(0/0,""),preDEL!Z234)</f>
        <v/>
      </c>
      <c r="AA234" s="110" t="b">
        <f>IF(preDEL!$AG234,IFERROR(0/0,""),preDEL!AA234)</f>
        <v>0</v>
      </c>
      <c r="AB234" s="110" t="b">
        <f>IF(preDEL!$AG234,IFERROR(0/0,""),preDEL!AB234)</f>
        <v>0</v>
      </c>
      <c r="AC234" s="172">
        <f>IF(preDEL!$AG234,IFERROR(0/0,""),preDEL!AC234)</f>
        <v>558</v>
      </c>
      <c r="AD234" s="104" t="b">
        <f>IF(preDEL!$AG234,IFERROR(0/0,""),preDEL!AD234)</f>
        <v>0</v>
      </c>
      <c r="AE234" s="173" t="str">
        <f>IF(preDEL!$AG234,IFERROR(0/0,""),preDEL!AE234)</f>
        <v/>
      </c>
      <c r="AF234" s="110" t="b">
        <f>IF(preDEL!$AG234,IFERROR(0/0,""),preDEL!AF234)</f>
        <v>0</v>
      </c>
      <c r="AG234" s="110" t="b">
        <f>IF(preDEL!$AG234,IFERROR(0/0,""),preDEL!AG234)</f>
        <v>0</v>
      </c>
      <c r="AH234" s="104" t="str">
        <f>IF(preDEL!$AG234,IFERROR(0/0,""),preDEL!AH234)</f>
        <v/>
      </c>
      <c r="AI234" s="105" t="str">
        <f>IF(preDEL!$AG234,IFERROR(0/0,""),preDEL!AI234)</f>
        <v/>
      </c>
      <c r="AJ234" s="112" t="str">
        <f>IF(preDEL!$AG234,IFERROR(0/0,""),preDEL!AJ234)</f>
        <v/>
      </c>
      <c r="AK234" s="105" t="str">
        <f>IF(preDEL!$AG234,IFERROR(0/0,""),preDEL!AK234)</f>
        <v>Negative</v>
      </c>
      <c r="AL234" s="112" t="str">
        <f>IF(preDEL!$AG234,IFERROR(0/0,""),preDEL!AL234)</f>
        <v/>
      </c>
      <c r="AM234" s="112" t="str">
        <f>IF(preDEL!$AG234,IFERROR(0/0,""),preDEL!AM234)</f>
        <v>SpBEND617677</v>
      </c>
      <c r="AN234" s="112" t="str">
        <f>IF(preDEL!$AG234,IFERROR(0/0,""),preDEL!AN234)</f>
        <v>BEND202183</v>
      </c>
      <c r="AO234" s="112" t="str">
        <f>IF(preDEL!$AG234,IFERROR(0/0,""),preDEL!AO234)</f>
        <v/>
      </c>
      <c r="AP234" s="112" t="str">
        <f>IF(preDEL!$AG234,IFERROR(0/0,""),preDEL!AP234)</f>
        <v/>
      </c>
      <c r="AQ234" s="112" t="str">
        <f>IF(preDEL!$AG234,IFERROR(0/0,""),preDEL!AQ234)</f>
        <v/>
      </c>
      <c r="AR234" s="112" t="str">
        <f>IF(preDEL!$AG234,IFERROR(0/0,""),preDEL!AR234)</f>
        <v/>
      </c>
      <c r="AS234" s="112" t="str">
        <f>IF(preDEL!$AG234,IFERROR(0/0,""),preDEL!AS234)</f>
        <v/>
      </c>
      <c r="AT234" s="112" t="b">
        <f>IF(preDEL!$AG234,IFERROR(0/0,""),preDEL!AT234)</f>
        <v>0</v>
      </c>
      <c r="AU234" s="112" t="str">
        <f>IF(preDEL!$AG234,IFERROR(0/0,""),preDEL!AU234)</f>
        <v/>
      </c>
      <c r="AV234" s="112" t="str">
        <f>IF(preDEL!$AG234,IFERROR(0/0,""),preDEL!AV234)</f>
        <v/>
      </c>
      <c r="AW234" s="112" t="str">
        <f>IF(preDEL!$AG234,IFERROR(0/0,""),preDEL!AW234)</f>
        <v/>
      </c>
      <c r="AX234" s="112" t="str">
        <f>IF(preDEL!$AG234,IFERROR(0/0,""),preDEL!AX234)</f>
        <v/>
      </c>
      <c r="AY234" s="112" t="str">
        <f>IF(preDEL!$AG234,IFERROR(0/0,""),preDEL!AY234)</f>
        <v/>
      </c>
      <c r="AZ234" s="174"/>
      <c r="BA234" s="174"/>
      <c r="BB234" s="174"/>
      <c r="BC234" s="174"/>
      <c r="BD234" s="174"/>
      <c r="BE234" s="174"/>
      <c r="BF234" s="174"/>
      <c r="BG234" s="174"/>
      <c r="BH234" s="174"/>
      <c r="BI234" s="174"/>
      <c r="BJ234" s="174"/>
      <c r="BK234" s="174"/>
      <c r="BL234" s="174"/>
      <c r="BM234" s="174"/>
      <c r="BN234" s="174"/>
      <c r="BO234" s="174"/>
      <c r="BP234" s="174"/>
      <c r="BQ234" s="174"/>
      <c r="BR234" s="174"/>
      <c r="BS234" s="174"/>
      <c r="BT234" s="174"/>
      <c r="BU234" s="174"/>
      <c r="BV234" s="174"/>
      <c r="BW234" s="174"/>
      <c r="BX234" s="174"/>
      <c r="BY234" s="174"/>
      <c r="BZ234" s="174"/>
      <c r="CA234" s="174"/>
      <c r="CB234" s="174"/>
      <c r="CC234" s="174"/>
      <c r="CD234" s="174"/>
    </row>
    <row r="235">
      <c r="A235" s="105" t="str">
        <f>IF(preDEL!$AG235,IFERROR(0/0,""),preDEL!A235)</f>
        <v>MA650</v>
      </c>
      <c r="B235" s="170">
        <f>IF(preDEL!$AG235,IFERROR(0/0,""),preDEL!B235)</f>
        <v>44579</v>
      </c>
      <c r="C235" s="171">
        <f>IF(preDEL!$AG235,IFERROR(0/0,""),preDEL!C235)</f>
        <v>0.3324884259</v>
      </c>
      <c r="D235" s="105" t="str">
        <f>IF(preDEL!$AG235,IFERROR(0/0,""),preDEL!D235)</f>
        <v/>
      </c>
      <c r="E235" s="105" t="str">
        <f>IF(preDEL!$AG235,IFERROR(0/0,""),preDEL!E235)</f>
        <v/>
      </c>
      <c r="F235" s="112" t="str">
        <f>IF(preDEL!$AG235,IFERROR(0/0,""),preDEL!F235)</f>
        <v/>
      </c>
      <c r="G235" s="112" t="str">
        <f>IF(preDEL!$AG235,IFERROR(0/0,""),preDEL!G235)</f>
        <v/>
      </c>
      <c r="H235" s="112" t="str">
        <f>IF(preDEL!$AG235,IFERROR(0/0,""),preDEL!H235)</f>
        <v/>
      </c>
      <c r="I235" s="105" t="str">
        <f>IF(preDEL!$AG235,IFERROR(0/0,""),preDEL!I235)</f>
        <v/>
      </c>
      <c r="J235" s="105" t="str">
        <f>IF(preDEL!$AG235,IFERROR(0/0,""),preDEL!J235)</f>
        <v/>
      </c>
      <c r="K235" s="105" t="str">
        <f>IF(preDEL!$AG235,IFERROR(0/0,""),preDEL!K235)</f>
        <v>Negative</v>
      </c>
      <c r="L235" s="170">
        <f>IF(preDEL!$AG235,IFERROR(0/0,""),preDEL!L235)</f>
        <v>44580</v>
      </c>
      <c r="M235" s="171">
        <f>IF(preDEL!$AG235,IFERROR(0/0,""),preDEL!M235)</f>
        <v>0.5080092593</v>
      </c>
      <c r="N235" s="112" t="str">
        <f>IF(preDEL!$AG235,IFERROR(0/0,""),preDEL!N235)</f>
        <v/>
      </c>
      <c r="O235" s="112" t="str">
        <f>IF(preDEL!$AG235,IFERROR(0/0,""),preDEL!O235)</f>
        <v/>
      </c>
      <c r="P235" s="110" t="b">
        <f>IF(preDEL!$AG235,IFERROR(0/0,""),preDEL!P235)</f>
        <v>0</v>
      </c>
      <c r="Q235" s="110" t="str">
        <f>IF(preDEL!$AG235,IFERROR(0/0,""),preDEL!Q235)</f>
        <v>Result</v>
      </c>
      <c r="R235" s="104" t="b">
        <f>IF(preDEL!$AG235,IFERROR(0/0,""),preDEL!R235)</f>
        <v>1</v>
      </c>
      <c r="S235" s="104">
        <f>IF(preDEL!$AG235,IFERROR(0/0,""),preDEL!S235)</f>
        <v>1</v>
      </c>
      <c r="T235" s="110">
        <f>IF(preDEL!$AG235,IFERROR(0/0,""),preDEL!T235)</f>
        <v>0</v>
      </c>
      <c r="U235" s="112" t="str">
        <f>IF(preDEL!$AG235,IFERROR(0/0,""),preDEL!U235)</f>
        <v/>
      </c>
      <c r="V235" s="105" t="str">
        <f>IF(preDEL!$AG235,IFERROR(0/0,""),preDEL!V235)</f>
        <v/>
      </c>
      <c r="W235" s="112" t="str">
        <f>IF(preDEL!$AG235,IFERROR(0/0,""),preDEL!W235)</f>
        <v/>
      </c>
      <c r="X235" s="104" t="b">
        <f>IF(preDEL!$AG235,IFERROR(0/0,""),preDEL!X235)</f>
        <v>0</v>
      </c>
      <c r="Y235" s="110" t="b">
        <f>IF(preDEL!$AG235,IFERROR(0/0,""),preDEL!Y235)</f>
        <v>0</v>
      </c>
      <c r="Z235" s="105" t="str">
        <f>IF(preDEL!$AG235,IFERROR(0/0,""),preDEL!Z235)</f>
        <v/>
      </c>
      <c r="AA235" s="110" t="b">
        <f>IF(preDEL!$AG235,IFERROR(0/0,""),preDEL!AA235)</f>
        <v>0</v>
      </c>
      <c r="AB235" s="110" t="b">
        <f>IF(preDEL!$AG235,IFERROR(0/0,""),preDEL!AB235)</f>
        <v>0</v>
      </c>
      <c r="AC235" s="172">
        <f>IF(preDEL!$AG235,IFERROR(0/0,""),preDEL!AC235)</f>
        <v>557</v>
      </c>
      <c r="AD235" s="104" t="b">
        <f>IF(preDEL!$AG235,IFERROR(0/0,""),preDEL!AD235)</f>
        <v>0</v>
      </c>
      <c r="AE235" s="173" t="str">
        <f>IF(preDEL!$AG235,IFERROR(0/0,""),preDEL!AE235)</f>
        <v/>
      </c>
      <c r="AF235" s="110" t="b">
        <f>IF(preDEL!$AG235,IFERROR(0/0,""),preDEL!AF235)</f>
        <v>0</v>
      </c>
      <c r="AG235" s="110" t="b">
        <f>IF(preDEL!$AG235,IFERROR(0/0,""),preDEL!AG235)</f>
        <v>0</v>
      </c>
      <c r="AH235" s="104" t="str">
        <f>IF(preDEL!$AG235,IFERROR(0/0,""),preDEL!AH235)</f>
        <v/>
      </c>
      <c r="AI235" s="105" t="str">
        <f>IF(preDEL!$AG235,IFERROR(0/0,""),preDEL!AI235)</f>
        <v/>
      </c>
      <c r="AJ235" s="112" t="str">
        <f>IF(preDEL!$AG235,IFERROR(0/0,""),preDEL!AJ235)</f>
        <v/>
      </c>
      <c r="AK235" s="105" t="str">
        <f>IF(preDEL!$AG235,IFERROR(0/0,""),preDEL!AK235)</f>
        <v>Negative</v>
      </c>
      <c r="AL235" s="112" t="str">
        <f>IF(preDEL!$AG235,IFERROR(0/0,""),preDEL!AL235)</f>
        <v/>
      </c>
      <c r="AM235" s="112" t="str">
        <f>IF(preDEL!$AG235,IFERROR(0/0,""),preDEL!AM235)</f>
        <v>SpBEND768497</v>
      </c>
      <c r="AN235" s="112" t="str">
        <f>IF(preDEL!$AG235,IFERROR(0/0,""),preDEL!AN235)</f>
        <v>BEND900381</v>
      </c>
      <c r="AO235" s="112" t="str">
        <f>IF(preDEL!$AG235,IFERROR(0/0,""),preDEL!AO235)</f>
        <v/>
      </c>
      <c r="AP235" s="112" t="str">
        <f>IF(preDEL!$AG235,IFERROR(0/0,""),preDEL!AP235)</f>
        <v/>
      </c>
      <c r="AQ235" s="112" t="str">
        <f>IF(preDEL!$AG235,IFERROR(0/0,""),preDEL!AQ235)</f>
        <v/>
      </c>
      <c r="AR235" s="112" t="str">
        <f>IF(preDEL!$AG235,IFERROR(0/0,""),preDEL!AR235)</f>
        <v/>
      </c>
      <c r="AS235" s="112" t="str">
        <f>IF(preDEL!$AG235,IFERROR(0/0,""),preDEL!AS235)</f>
        <v/>
      </c>
      <c r="AT235" s="112" t="b">
        <f>IF(preDEL!$AG235,IFERROR(0/0,""),preDEL!AT235)</f>
        <v>0</v>
      </c>
      <c r="AU235" s="112" t="str">
        <f>IF(preDEL!$AG235,IFERROR(0/0,""),preDEL!AU235)</f>
        <v/>
      </c>
      <c r="AV235" s="112" t="str">
        <f>IF(preDEL!$AG235,IFERROR(0/0,""),preDEL!AV235)</f>
        <v/>
      </c>
      <c r="AW235" s="112" t="str">
        <f>IF(preDEL!$AG235,IFERROR(0/0,""),preDEL!AW235)</f>
        <v/>
      </c>
      <c r="AX235" s="112" t="str">
        <f>IF(preDEL!$AG235,IFERROR(0/0,""),preDEL!AX235)</f>
        <v/>
      </c>
      <c r="AY235" s="112" t="str">
        <f>IF(preDEL!$AG235,IFERROR(0/0,""),preDEL!AY235)</f>
        <v/>
      </c>
      <c r="AZ235" s="174"/>
      <c r="BA235" s="174"/>
      <c r="BB235" s="174"/>
      <c r="BC235" s="174"/>
      <c r="BD235" s="174"/>
      <c r="BE235" s="174"/>
      <c r="BF235" s="174"/>
      <c r="BG235" s="174"/>
      <c r="BH235" s="174"/>
      <c r="BI235" s="174"/>
      <c r="BJ235" s="174"/>
      <c r="BK235" s="174"/>
      <c r="BL235" s="174"/>
      <c r="BM235" s="174"/>
      <c r="BN235" s="174"/>
      <c r="BO235" s="174"/>
      <c r="BP235" s="174"/>
      <c r="BQ235" s="174"/>
      <c r="BR235" s="174"/>
      <c r="BS235" s="174"/>
      <c r="BT235" s="174"/>
      <c r="BU235" s="174"/>
      <c r="BV235" s="174"/>
      <c r="BW235" s="174"/>
      <c r="BX235" s="174"/>
      <c r="BY235" s="174"/>
      <c r="BZ235" s="174"/>
      <c r="CA235" s="174"/>
      <c r="CB235" s="174"/>
      <c r="CC235" s="174"/>
      <c r="CD235" s="174"/>
    </row>
    <row r="236">
      <c r="A236" s="105" t="str">
        <f>IF(preDEL!$AG236,IFERROR(0/0,""),preDEL!A236)</f>
        <v>MA656</v>
      </c>
      <c r="B236" s="170">
        <f>IF(preDEL!$AG236,IFERROR(0/0,""),preDEL!B236)</f>
        <v>44579</v>
      </c>
      <c r="C236" s="171">
        <f>IF(preDEL!$AG236,IFERROR(0/0,""),preDEL!C236)</f>
        <v>0.3325462963</v>
      </c>
      <c r="D236" s="105" t="str">
        <f>IF(preDEL!$AG236,IFERROR(0/0,""),preDEL!D236)</f>
        <v/>
      </c>
      <c r="E236" s="105" t="str">
        <f>IF(preDEL!$AG236,IFERROR(0/0,""),preDEL!E236)</f>
        <v/>
      </c>
      <c r="F236" s="112" t="str">
        <f>IF(preDEL!$AG236,IFERROR(0/0,""),preDEL!F236)</f>
        <v/>
      </c>
      <c r="G236" s="112" t="str">
        <f>IF(preDEL!$AG236,IFERROR(0/0,""),preDEL!G236)</f>
        <v/>
      </c>
      <c r="H236" s="112" t="str">
        <f>IF(preDEL!$AG236,IFERROR(0/0,""),preDEL!H236)</f>
        <v/>
      </c>
      <c r="I236" s="105" t="str">
        <f>IF(preDEL!$AG236,IFERROR(0/0,""),preDEL!I236)</f>
        <v/>
      </c>
      <c r="J236" s="105" t="str">
        <f>IF(preDEL!$AG236,IFERROR(0/0,""),preDEL!J236)</f>
        <v/>
      </c>
      <c r="K236" s="105" t="str">
        <f>IF(preDEL!$AG236,IFERROR(0/0,""),preDEL!K236)</f>
        <v>Negative</v>
      </c>
      <c r="L236" s="170">
        <f>IF(preDEL!$AG236,IFERROR(0/0,""),preDEL!L236)</f>
        <v>44580</v>
      </c>
      <c r="M236" s="171">
        <f>IF(preDEL!$AG236,IFERROR(0/0,""),preDEL!M236)</f>
        <v>0.5080092593</v>
      </c>
      <c r="N236" s="112" t="str">
        <f>IF(preDEL!$AG236,IFERROR(0/0,""),preDEL!N236)</f>
        <v/>
      </c>
      <c r="O236" s="112" t="str">
        <f>IF(preDEL!$AG236,IFERROR(0/0,""),preDEL!O236)</f>
        <v/>
      </c>
      <c r="P236" s="110" t="b">
        <f>IF(preDEL!$AG236,IFERROR(0/0,""),preDEL!P236)</f>
        <v>0</v>
      </c>
      <c r="Q236" s="110" t="str">
        <f>IF(preDEL!$AG236,IFERROR(0/0,""),preDEL!Q236)</f>
        <v>Result</v>
      </c>
      <c r="R236" s="104" t="b">
        <f>IF(preDEL!$AG236,IFERROR(0/0,""),preDEL!R236)</f>
        <v>1</v>
      </c>
      <c r="S236" s="104">
        <f>IF(preDEL!$AG236,IFERROR(0/0,""),preDEL!S236)</f>
        <v>1</v>
      </c>
      <c r="T236" s="110">
        <f>IF(preDEL!$AG236,IFERROR(0/0,""),preDEL!T236)</f>
        <v>0</v>
      </c>
      <c r="U236" s="112" t="str">
        <f>IF(preDEL!$AG236,IFERROR(0/0,""),preDEL!U236)</f>
        <v/>
      </c>
      <c r="V236" s="105" t="str">
        <f>IF(preDEL!$AG236,IFERROR(0/0,""),preDEL!V236)</f>
        <v/>
      </c>
      <c r="W236" s="112" t="str">
        <f>IF(preDEL!$AG236,IFERROR(0/0,""),preDEL!W236)</f>
        <v/>
      </c>
      <c r="X236" s="104" t="b">
        <f>IF(preDEL!$AG236,IFERROR(0/0,""),preDEL!X236)</f>
        <v>0</v>
      </c>
      <c r="Y236" s="110" t="b">
        <f>IF(preDEL!$AG236,IFERROR(0/0,""),preDEL!Y236)</f>
        <v>0</v>
      </c>
      <c r="Z236" s="105" t="str">
        <f>IF(preDEL!$AG236,IFERROR(0/0,""),preDEL!Z236)</f>
        <v/>
      </c>
      <c r="AA236" s="110" t="b">
        <f>IF(preDEL!$AG236,IFERROR(0/0,""),preDEL!AA236)</f>
        <v>0</v>
      </c>
      <c r="AB236" s="110" t="b">
        <f>IF(preDEL!$AG236,IFERROR(0/0,""),preDEL!AB236)</f>
        <v>0</v>
      </c>
      <c r="AC236" s="172">
        <f>IF(preDEL!$AG236,IFERROR(0/0,""),preDEL!AC236)</f>
        <v>556</v>
      </c>
      <c r="AD236" s="104" t="b">
        <f>IF(preDEL!$AG236,IFERROR(0/0,""),preDEL!AD236)</f>
        <v>0</v>
      </c>
      <c r="AE236" s="173" t="str">
        <f>IF(preDEL!$AG236,IFERROR(0/0,""),preDEL!AE236)</f>
        <v/>
      </c>
      <c r="AF236" s="110" t="b">
        <f>IF(preDEL!$AG236,IFERROR(0/0,""),preDEL!AF236)</f>
        <v>0</v>
      </c>
      <c r="AG236" s="110" t="b">
        <f>IF(preDEL!$AG236,IFERROR(0/0,""),preDEL!AG236)</f>
        <v>0</v>
      </c>
      <c r="AH236" s="104" t="str">
        <f>IF(preDEL!$AG236,IFERROR(0/0,""),preDEL!AH236)</f>
        <v/>
      </c>
      <c r="AI236" s="105" t="str">
        <f>IF(preDEL!$AG236,IFERROR(0/0,""),preDEL!AI236)</f>
        <v/>
      </c>
      <c r="AJ236" s="112" t="str">
        <f>IF(preDEL!$AG236,IFERROR(0/0,""),preDEL!AJ236)</f>
        <v/>
      </c>
      <c r="AK236" s="105" t="str">
        <f>IF(preDEL!$AG236,IFERROR(0/0,""),preDEL!AK236)</f>
        <v>Negative</v>
      </c>
      <c r="AL236" s="112" t="str">
        <f>IF(preDEL!$AG236,IFERROR(0/0,""),preDEL!AL236)</f>
        <v/>
      </c>
      <c r="AM236" s="112" t="str">
        <f>IF(preDEL!$AG236,IFERROR(0/0,""),preDEL!AM236)</f>
        <v>SpBEND747592</v>
      </c>
      <c r="AN236" s="112" t="str">
        <f>IF(preDEL!$AG236,IFERROR(0/0,""),preDEL!AN236)</f>
        <v>BEND732984</v>
      </c>
      <c r="AO236" s="112" t="str">
        <f>IF(preDEL!$AG236,IFERROR(0/0,""),preDEL!AO236)</f>
        <v/>
      </c>
      <c r="AP236" s="112" t="str">
        <f>IF(preDEL!$AG236,IFERROR(0/0,""),preDEL!AP236)</f>
        <v/>
      </c>
      <c r="AQ236" s="112" t="str">
        <f>IF(preDEL!$AG236,IFERROR(0/0,""),preDEL!AQ236)</f>
        <v/>
      </c>
      <c r="AR236" s="112" t="str">
        <f>IF(preDEL!$AG236,IFERROR(0/0,""),preDEL!AR236)</f>
        <v/>
      </c>
      <c r="AS236" s="112" t="str">
        <f>IF(preDEL!$AG236,IFERROR(0/0,""),preDEL!AS236)</f>
        <v/>
      </c>
      <c r="AT236" s="112" t="b">
        <f>IF(preDEL!$AG236,IFERROR(0/0,""),preDEL!AT236)</f>
        <v>0</v>
      </c>
      <c r="AU236" s="112" t="str">
        <f>IF(preDEL!$AG236,IFERROR(0/0,""),preDEL!AU236)</f>
        <v/>
      </c>
      <c r="AV236" s="112" t="str">
        <f>IF(preDEL!$AG236,IFERROR(0/0,""),preDEL!AV236)</f>
        <v/>
      </c>
      <c r="AW236" s="112" t="str">
        <f>IF(preDEL!$AG236,IFERROR(0/0,""),preDEL!AW236)</f>
        <v/>
      </c>
      <c r="AX236" s="112" t="str">
        <f>IF(preDEL!$AG236,IFERROR(0/0,""),preDEL!AX236)</f>
        <v/>
      </c>
      <c r="AY236" s="112" t="str">
        <f>IF(preDEL!$AG236,IFERROR(0/0,""),preDEL!AY236)</f>
        <v/>
      </c>
      <c r="AZ236" s="174"/>
      <c r="BA236" s="174"/>
      <c r="BB236" s="174"/>
      <c r="BC236" s="174"/>
      <c r="BD236" s="174"/>
      <c r="BE236" s="174"/>
      <c r="BF236" s="174"/>
      <c r="BG236" s="174"/>
      <c r="BH236" s="174"/>
      <c r="BI236" s="174"/>
      <c r="BJ236" s="174"/>
      <c r="BK236" s="174"/>
      <c r="BL236" s="174"/>
      <c r="BM236" s="174"/>
      <c r="BN236" s="174"/>
      <c r="BO236" s="174"/>
      <c r="BP236" s="174"/>
      <c r="BQ236" s="174"/>
      <c r="BR236" s="174"/>
      <c r="BS236" s="174"/>
      <c r="BT236" s="174"/>
      <c r="BU236" s="174"/>
      <c r="BV236" s="174"/>
      <c r="BW236" s="174"/>
      <c r="BX236" s="174"/>
      <c r="BY236" s="174"/>
      <c r="BZ236" s="174"/>
      <c r="CA236" s="174"/>
      <c r="CB236" s="174"/>
      <c r="CC236" s="174"/>
      <c r="CD236" s="174"/>
    </row>
    <row r="237">
      <c r="A237" s="105" t="str">
        <f>IF(preDEL!$AG237,IFERROR(0/0,""),preDEL!A237)</f>
        <v>MA1124</v>
      </c>
      <c r="B237" s="170">
        <f>IF(preDEL!$AG237,IFERROR(0/0,""),preDEL!B237)</f>
        <v>44579</v>
      </c>
      <c r="C237" s="171">
        <f>IF(preDEL!$AG237,IFERROR(0/0,""),preDEL!C237)</f>
        <v>0.3404282407</v>
      </c>
      <c r="D237" s="105" t="str">
        <f>IF(preDEL!$AG237,IFERROR(0/0,""),preDEL!D237)</f>
        <v/>
      </c>
      <c r="E237" s="105" t="str">
        <f>IF(preDEL!$AG237,IFERROR(0/0,""),preDEL!E237)</f>
        <v/>
      </c>
      <c r="F237" s="112" t="str">
        <f>IF(preDEL!$AG237,IFERROR(0/0,""),preDEL!F237)</f>
        <v/>
      </c>
      <c r="G237" s="112" t="str">
        <f>IF(preDEL!$AG237,IFERROR(0/0,""),preDEL!G237)</f>
        <v/>
      </c>
      <c r="H237" s="112" t="str">
        <f>IF(preDEL!$AG237,IFERROR(0/0,""),preDEL!H237)</f>
        <v/>
      </c>
      <c r="I237" s="105" t="str">
        <f>IF(preDEL!$AG237,IFERROR(0/0,""),preDEL!I237)</f>
        <v/>
      </c>
      <c r="J237" s="105" t="str">
        <f>IF(preDEL!$AG237,IFERROR(0/0,""),preDEL!J237)</f>
        <v/>
      </c>
      <c r="K237" s="105" t="str">
        <f>IF(preDEL!$AG237,IFERROR(0/0,""),preDEL!K237)</f>
        <v>Negative</v>
      </c>
      <c r="L237" s="170">
        <f>IF(preDEL!$AG237,IFERROR(0/0,""),preDEL!L237)</f>
        <v>44580</v>
      </c>
      <c r="M237" s="171">
        <f>IF(preDEL!$AG237,IFERROR(0/0,""),preDEL!M237)</f>
        <v>0.5080092593</v>
      </c>
      <c r="N237" s="112" t="str">
        <f>IF(preDEL!$AG237,IFERROR(0/0,""),preDEL!N237)</f>
        <v/>
      </c>
      <c r="O237" s="112" t="str">
        <f>IF(preDEL!$AG237,IFERROR(0/0,""),preDEL!O237)</f>
        <v/>
      </c>
      <c r="P237" s="110" t="b">
        <f>IF(preDEL!$AG237,IFERROR(0/0,""),preDEL!P237)</f>
        <v>0</v>
      </c>
      <c r="Q237" s="110" t="str">
        <f>IF(preDEL!$AG237,IFERROR(0/0,""),preDEL!Q237)</f>
        <v>Result</v>
      </c>
      <c r="R237" s="104" t="b">
        <f>IF(preDEL!$AG237,IFERROR(0/0,""),preDEL!R237)</f>
        <v>1</v>
      </c>
      <c r="S237" s="104">
        <f>IF(preDEL!$AG237,IFERROR(0/0,""),preDEL!S237)</f>
        <v>1</v>
      </c>
      <c r="T237" s="110" t="str">
        <f>IF(preDEL!$AG237,IFERROR(0/0,""),preDEL!T237)</f>
        <v/>
      </c>
      <c r="U237" s="112" t="str">
        <f>IF(preDEL!$AG237,IFERROR(0/0,""),preDEL!U237)</f>
        <v/>
      </c>
      <c r="V237" s="105" t="str">
        <f>IF(preDEL!$AG237,IFERROR(0/0,""),preDEL!V237)</f>
        <v/>
      </c>
      <c r="W237" s="112" t="str">
        <f>IF(preDEL!$AG237,IFERROR(0/0,""),preDEL!W237)</f>
        <v/>
      </c>
      <c r="X237" s="104" t="b">
        <f>IF(preDEL!$AG237,IFERROR(0/0,""),preDEL!X237)</f>
        <v>0</v>
      </c>
      <c r="Y237" s="110" t="b">
        <f>IF(preDEL!$AG237,IFERROR(0/0,""),preDEL!Y237)</f>
        <v>0</v>
      </c>
      <c r="Z237" s="105" t="str">
        <f>IF(preDEL!$AG237,IFERROR(0/0,""),preDEL!Z237)</f>
        <v/>
      </c>
      <c r="AA237" s="110" t="b">
        <f>IF(preDEL!$AG237,IFERROR(0/0,""),preDEL!AA237)</f>
        <v>0</v>
      </c>
      <c r="AB237" s="110" t="b">
        <f>IF(preDEL!$AG237,IFERROR(0/0,""),preDEL!AB237)</f>
        <v>0</v>
      </c>
      <c r="AC237" s="172">
        <f>IF(preDEL!$AG237,IFERROR(0/0,""),preDEL!AC237)</f>
        <v>555</v>
      </c>
      <c r="AD237" s="104" t="b">
        <f>IF(preDEL!$AG237,IFERROR(0/0,""),preDEL!AD237)</f>
        <v>0</v>
      </c>
      <c r="AE237" s="173" t="str">
        <f>IF(preDEL!$AG237,IFERROR(0/0,""),preDEL!AE237)</f>
        <v/>
      </c>
      <c r="AF237" s="110" t="b">
        <f>IF(preDEL!$AG237,IFERROR(0/0,""),preDEL!AF237)</f>
        <v>0</v>
      </c>
      <c r="AG237" s="110" t="b">
        <f>IF(preDEL!$AG237,IFERROR(0/0,""),preDEL!AG237)</f>
        <v>0</v>
      </c>
      <c r="AH237" s="104" t="str">
        <f>IF(preDEL!$AG237,IFERROR(0/0,""),preDEL!AH237)</f>
        <v/>
      </c>
      <c r="AI237" s="105" t="str">
        <f>IF(preDEL!$AG237,IFERROR(0/0,""),preDEL!AI237)</f>
        <v/>
      </c>
      <c r="AJ237" s="112" t="str">
        <f>IF(preDEL!$AG237,IFERROR(0/0,""),preDEL!AJ237)</f>
        <v/>
      </c>
      <c r="AK237" s="105" t="str">
        <f>IF(preDEL!$AG237,IFERROR(0/0,""),preDEL!AK237)</f>
        <v>Negative</v>
      </c>
      <c r="AL237" s="112" t="str">
        <f>IF(preDEL!$AG237,IFERROR(0/0,""),preDEL!AL237)</f>
        <v/>
      </c>
      <c r="AM237" s="112" t="str">
        <f>IF(preDEL!$AG237,IFERROR(0/0,""),preDEL!AM237)</f>
        <v>SpBEND825522</v>
      </c>
      <c r="AN237" s="112" t="str">
        <f>IF(preDEL!$AG237,IFERROR(0/0,""),preDEL!AN237)</f>
        <v>BEND140857</v>
      </c>
      <c r="AO237" s="112" t="str">
        <f>IF(preDEL!$AG237,IFERROR(0/0,""),preDEL!AO237)</f>
        <v/>
      </c>
      <c r="AP237" s="112" t="str">
        <f>IF(preDEL!$AG237,IFERROR(0/0,""),preDEL!AP237)</f>
        <v/>
      </c>
      <c r="AQ237" s="112" t="str">
        <f>IF(preDEL!$AG237,IFERROR(0/0,""),preDEL!AQ237)</f>
        <v/>
      </c>
      <c r="AR237" s="112" t="str">
        <f>IF(preDEL!$AG237,IFERROR(0/0,""),preDEL!AR237)</f>
        <v/>
      </c>
      <c r="AS237" s="112" t="str">
        <f>IF(preDEL!$AG237,IFERROR(0/0,""),preDEL!AS237)</f>
        <v/>
      </c>
      <c r="AT237" s="112" t="b">
        <f>IF(preDEL!$AG237,IFERROR(0/0,""),preDEL!AT237)</f>
        <v>0</v>
      </c>
      <c r="AU237" s="112" t="str">
        <f>IF(preDEL!$AG237,IFERROR(0/0,""),preDEL!AU237)</f>
        <v/>
      </c>
      <c r="AV237" s="112" t="str">
        <f>IF(preDEL!$AG237,IFERROR(0/0,""),preDEL!AV237)</f>
        <v/>
      </c>
      <c r="AW237" s="112" t="str">
        <f>IF(preDEL!$AG237,IFERROR(0/0,""),preDEL!AW237)</f>
        <v/>
      </c>
      <c r="AX237" s="112" t="str">
        <f>IF(preDEL!$AG237,IFERROR(0/0,""),preDEL!AX237)</f>
        <v/>
      </c>
      <c r="AY237" s="112" t="str">
        <f>IF(preDEL!$AG237,IFERROR(0/0,""),preDEL!AY237)</f>
        <v/>
      </c>
      <c r="AZ237" s="174"/>
      <c r="BA237" s="174"/>
      <c r="BB237" s="174"/>
      <c r="BC237" s="174"/>
      <c r="BD237" s="174"/>
      <c r="BE237" s="174"/>
      <c r="BF237" s="174"/>
      <c r="BG237" s="174"/>
      <c r="BH237" s="174"/>
      <c r="BI237" s="174"/>
      <c r="BJ237" s="174"/>
      <c r="BK237" s="174"/>
      <c r="BL237" s="174"/>
      <c r="BM237" s="174"/>
      <c r="BN237" s="174"/>
      <c r="BO237" s="174"/>
      <c r="BP237" s="174"/>
      <c r="BQ237" s="174"/>
      <c r="BR237" s="174"/>
      <c r="BS237" s="174"/>
      <c r="BT237" s="174"/>
      <c r="BU237" s="174"/>
      <c r="BV237" s="174"/>
      <c r="BW237" s="174"/>
      <c r="BX237" s="174"/>
      <c r="BY237" s="174"/>
      <c r="BZ237" s="174"/>
      <c r="CA237" s="174"/>
      <c r="CB237" s="174"/>
      <c r="CC237" s="174"/>
      <c r="CD237" s="174"/>
    </row>
    <row r="238">
      <c r="A238" s="105" t="str">
        <f>IF(preDEL!$AG238,IFERROR(0/0,""),preDEL!A238)</f>
        <v>MA386</v>
      </c>
      <c r="B238" s="170">
        <f>IF(preDEL!$AG238,IFERROR(0/0,""),preDEL!B238)</f>
        <v>44579</v>
      </c>
      <c r="C238" s="171">
        <f>IF(preDEL!$AG238,IFERROR(0/0,""),preDEL!C238)</f>
        <v>0.3413888889</v>
      </c>
      <c r="D238" s="105" t="str">
        <f>IF(preDEL!$AG238,IFERROR(0/0,""),preDEL!D238)</f>
        <v/>
      </c>
      <c r="E238" s="105" t="str">
        <f>IF(preDEL!$AG238,IFERROR(0/0,""),preDEL!E238)</f>
        <v/>
      </c>
      <c r="F238" s="112" t="str">
        <f>IF(preDEL!$AG238,IFERROR(0/0,""),preDEL!F238)</f>
        <v/>
      </c>
      <c r="G238" s="112" t="str">
        <f>IF(preDEL!$AG238,IFERROR(0/0,""),preDEL!G238)</f>
        <v/>
      </c>
      <c r="H238" s="112" t="str">
        <f>IF(preDEL!$AG238,IFERROR(0/0,""),preDEL!H238)</f>
        <v/>
      </c>
      <c r="I238" s="105" t="str">
        <f>IF(preDEL!$AG238,IFERROR(0/0,""),preDEL!I238)</f>
        <v/>
      </c>
      <c r="J238" s="105" t="str">
        <f>IF(preDEL!$AG238,IFERROR(0/0,""),preDEL!J238)</f>
        <v/>
      </c>
      <c r="K238" s="105" t="str">
        <f>IF(preDEL!$AG238,IFERROR(0/0,""),preDEL!K238)</f>
        <v>Negative</v>
      </c>
      <c r="L238" s="170">
        <f>IF(preDEL!$AG238,IFERROR(0/0,""),preDEL!L238)</f>
        <v>44580</v>
      </c>
      <c r="M238" s="171">
        <f>IF(preDEL!$AG238,IFERROR(0/0,""),preDEL!M238)</f>
        <v>0.5080208333</v>
      </c>
      <c r="N238" s="112" t="str">
        <f>IF(preDEL!$AG238,IFERROR(0/0,""),preDEL!N238)</f>
        <v/>
      </c>
      <c r="O238" s="112" t="str">
        <f>IF(preDEL!$AG238,IFERROR(0/0,""),preDEL!O238)</f>
        <v/>
      </c>
      <c r="P238" s="110" t="b">
        <f>IF(preDEL!$AG238,IFERROR(0/0,""),preDEL!P238)</f>
        <v>0</v>
      </c>
      <c r="Q238" s="110" t="str">
        <f>IF(preDEL!$AG238,IFERROR(0/0,""),preDEL!Q238)</f>
        <v>Result</v>
      </c>
      <c r="R238" s="104" t="b">
        <f>IF(preDEL!$AG238,IFERROR(0/0,""),preDEL!R238)</f>
        <v>1</v>
      </c>
      <c r="S238" s="104">
        <f>IF(preDEL!$AG238,IFERROR(0/0,""),preDEL!S238)</f>
        <v>1</v>
      </c>
      <c r="T238" s="110" t="str">
        <f>IF(preDEL!$AG238,IFERROR(0/0,""),preDEL!T238)</f>
        <v/>
      </c>
      <c r="U238" s="112" t="str">
        <f>IF(preDEL!$AG238,IFERROR(0/0,""),preDEL!U238)</f>
        <v/>
      </c>
      <c r="V238" s="105" t="str">
        <f>IF(preDEL!$AG238,IFERROR(0/0,""),preDEL!V238)</f>
        <v/>
      </c>
      <c r="W238" s="112" t="str">
        <f>IF(preDEL!$AG238,IFERROR(0/0,""),preDEL!W238)</f>
        <v/>
      </c>
      <c r="X238" s="104" t="b">
        <f>IF(preDEL!$AG238,IFERROR(0/0,""),preDEL!X238)</f>
        <v>0</v>
      </c>
      <c r="Y238" s="110" t="b">
        <f>IF(preDEL!$AG238,IFERROR(0/0,""),preDEL!Y238)</f>
        <v>0</v>
      </c>
      <c r="Z238" s="105" t="str">
        <f>IF(preDEL!$AG238,IFERROR(0/0,""),preDEL!Z238)</f>
        <v/>
      </c>
      <c r="AA238" s="110" t="b">
        <f>IF(preDEL!$AG238,IFERROR(0/0,""),preDEL!AA238)</f>
        <v>0</v>
      </c>
      <c r="AB238" s="110" t="b">
        <f>IF(preDEL!$AG238,IFERROR(0/0,""),preDEL!AB238)</f>
        <v>0</v>
      </c>
      <c r="AC238" s="172">
        <f>IF(preDEL!$AG238,IFERROR(0/0,""),preDEL!AC238)</f>
        <v>554</v>
      </c>
      <c r="AD238" s="104" t="b">
        <f>IF(preDEL!$AG238,IFERROR(0/0,""),preDEL!AD238)</f>
        <v>0</v>
      </c>
      <c r="AE238" s="173" t="str">
        <f>IF(preDEL!$AG238,IFERROR(0/0,""),preDEL!AE238)</f>
        <v/>
      </c>
      <c r="AF238" s="110" t="b">
        <f>IF(preDEL!$AG238,IFERROR(0/0,""),preDEL!AF238)</f>
        <v>0</v>
      </c>
      <c r="AG238" s="110" t="b">
        <f>IF(preDEL!$AG238,IFERROR(0/0,""),preDEL!AG238)</f>
        <v>0</v>
      </c>
      <c r="AH238" s="104" t="str">
        <f>IF(preDEL!$AG238,IFERROR(0/0,""),preDEL!AH238)</f>
        <v/>
      </c>
      <c r="AI238" s="105" t="str">
        <f>IF(preDEL!$AG238,IFERROR(0/0,""),preDEL!AI238)</f>
        <v/>
      </c>
      <c r="AJ238" s="112" t="str">
        <f>IF(preDEL!$AG238,IFERROR(0/0,""),preDEL!AJ238)</f>
        <v/>
      </c>
      <c r="AK238" s="105" t="str">
        <f>IF(preDEL!$AG238,IFERROR(0/0,""),preDEL!AK238)</f>
        <v>Negative</v>
      </c>
      <c r="AL238" s="112" t="str">
        <f>IF(preDEL!$AG238,IFERROR(0/0,""),preDEL!AL238)</f>
        <v/>
      </c>
      <c r="AM238" s="112" t="str">
        <f>IF(preDEL!$AG238,IFERROR(0/0,""),preDEL!AM238)</f>
        <v>SpBEND183210</v>
      </c>
      <c r="AN238" s="112" t="str">
        <f>IF(preDEL!$AG238,IFERROR(0/0,""),preDEL!AN238)</f>
        <v>BEND992347</v>
      </c>
      <c r="AO238" s="112" t="str">
        <f>IF(preDEL!$AG238,IFERROR(0/0,""),preDEL!AO238)</f>
        <v/>
      </c>
      <c r="AP238" s="112" t="str">
        <f>IF(preDEL!$AG238,IFERROR(0/0,""),preDEL!AP238)</f>
        <v/>
      </c>
      <c r="AQ238" s="112" t="str">
        <f>IF(preDEL!$AG238,IFERROR(0/0,""),preDEL!AQ238)</f>
        <v/>
      </c>
      <c r="AR238" s="112" t="str">
        <f>IF(preDEL!$AG238,IFERROR(0/0,""),preDEL!AR238)</f>
        <v/>
      </c>
      <c r="AS238" s="112" t="str">
        <f>IF(preDEL!$AG238,IFERROR(0/0,""),preDEL!AS238)</f>
        <v/>
      </c>
      <c r="AT238" s="112" t="b">
        <f>IF(preDEL!$AG238,IFERROR(0/0,""),preDEL!AT238)</f>
        <v>0</v>
      </c>
      <c r="AU238" s="112" t="str">
        <f>IF(preDEL!$AG238,IFERROR(0/0,""),preDEL!AU238)</f>
        <v/>
      </c>
      <c r="AV238" s="112" t="str">
        <f>IF(preDEL!$AG238,IFERROR(0/0,""),preDEL!AV238)</f>
        <v/>
      </c>
      <c r="AW238" s="112" t="str">
        <f>IF(preDEL!$AG238,IFERROR(0/0,""),preDEL!AW238)</f>
        <v/>
      </c>
      <c r="AX238" s="112" t="str">
        <f>IF(preDEL!$AG238,IFERROR(0/0,""),preDEL!AX238)</f>
        <v/>
      </c>
      <c r="AY238" s="112" t="str">
        <f>IF(preDEL!$AG238,IFERROR(0/0,""),preDEL!AY238)</f>
        <v/>
      </c>
      <c r="AZ238" s="174"/>
      <c r="BA238" s="174"/>
      <c r="BB238" s="174"/>
      <c r="BC238" s="174"/>
      <c r="BD238" s="174"/>
      <c r="BE238" s="174"/>
      <c r="BF238" s="174"/>
      <c r="BG238" s="174"/>
      <c r="BH238" s="174"/>
      <c r="BI238" s="174"/>
      <c r="BJ238" s="174"/>
      <c r="BK238" s="174"/>
      <c r="BL238" s="174"/>
      <c r="BM238" s="174"/>
      <c r="BN238" s="174"/>
      <c r="BO238" s="174"/>
      <c r="BP238" s="174"/>
      <c r="BQ238" s="174"/>
      <c r="BR238" s="174"/>
      <c r="BS238" s="174"/>
      <c r="BT238" s="174"/>
      <c r="BU238" s="174"/>
      <c r="BV238" s="174"/>
      <c r="BW238" s="174"/>
      <c r="BX238" s="174"/>
      <c r="BY238" s="174"/>
      <c r="BZ238" s="174"/>
      <c r="CA238" s="174"/>
      <c r="CB238" s="174"/>
      <c r="CC238" s="174"/>
      <c r="CD238" s="174"/>
    </row>
    <row r="239">
      <c r="A239" s="105" t="str">
        <f>IF(preDEL!$AG239,IFERROR(0/0,""),preDEL!A239)</f>
        <v>MA1165</v>
      </c>
      <c r="B239" s="170">
        <f>IF(preDEL!$AG239,IFERROR(0/0,""),preDEL!B239)</f>
        <v>44579</v>
      </c>
      <c r="C239" s="171">
        <f>IF(preDEL!$AG239,IFERROR(0/0,""),preDEL!C239)</f>
        <v>0.3462962963</v>
      </c>
      <c r="D239" s="105" t="str">
        <f>IF(preDEL!$AG239,IFERROR(0/0,""),preDEL!D239)</f>
        <v/>
      </c>
      <c r="E239" s="105" t="str">
        <f>IF(preDEL!$AG239,IFERROR(0/0,""),preDEL!E239)</f>
        <v/>
      </c>
      <c r="F239" s="112" t="str">
        <f>IF(preDEL!$AG239,IFERROR(0/0,""),preDEL!F239)</f>
        <v/>
      </c>
      <c r="G239" s="112" t="str">
        <f>IF(preDEL!$AG239,IFERROR(0/0,""),preDEL!G239)</f>
        <v/>
      </c>
      <c r="H239" s="112" t="str">
        <f>IF(preDEL!$AG239,IFERROR(0/0,""),preDEL!H239)</f>
        <v/>
      </c>
      <c r="I239" s="105" t="str">
        <f>IF(preDEL!$AG239,IFERROR(0/0,""),preDEL!I239)</f>
        <v/>
      </c>
      <c r="J239" s="105" t="str">
        <f>IF(preDEL!$AG239,IFERROR(0/0,""),preDEL!J239)</f>
        <v/>
      </c>
      <c r="K239" s="105" t="str">
        <f>IF(preDEL!$AG239,IFERROR(0/0,""),preDEL!K239)</f>
        <v>Negative</v>
      </c>
      <c r="L239" s="170">
        <f>IF(preDEL!$AG239,IFERROR(0/0,""),preDEL!L239)</f>
        <v>44580</v>
      </c>
      <c r="M239" s="171">
        <f>IF(preDEL!$AG239,IFERROR(0/0,""),preDEL!M239)</f>
        <v>0.5080208333</v>
      </c>
      <c r="N239" s="112" t="str">
        <f>IF(preDEL!$AG239,IFERROR(0/0,""),preDEL!N239)</f>
        <v/>
      </c>
      <c r="O239" s="112" t="str">
        <f>IF(preDEL!$AG239,IFERROR(0/0,""),preDEL!O239)</f>
        <v/>
      </c>
      <c r="P239" s="110" t="b">
        <f>IF(preDEL!$AG239,IFERROR(0/0,""),preDEL!P239)</f>
        <v>0</v>
      </c>
      <c r="Q239" s="110" t="str">
        <f>IF(preDEL!$AG239,IFERROR(0/0,""),preDEL!Q239)</f>
        <v>Result</v>
      </c>
      <c r="R239" s="104" t="b">
        <f>IF(preDEL!$AG239,IFERROR(0/0,""),preDEL!R239)</f>
        <v>1</v>
      </c>
      <c r="S239" s="104">
        <f>IF(preDEL!$AG239,IFERROR(0/0,""),preDEL!S239)</f>
        <v>1</v>
      </c>
      <c r="T239" s="110">
        <f>IF(preDEL!$AG239,IFERROR(0/0,""),preDEL!T239)</f>
        <v>0</v>
      </c>
      <c r="U239" s="112" t="str">
        <f>IF(preDEL!$AG239,IFERROR(0/0,""),preDEL!U239)</f>
        <v/>
      </c>
      <c r="V239" s="105" t="str">
        <f>IF(preDEL!$AG239,IFERROR(0/0,""),preDEL!V239)</f>
        <v/>
      </c>
      <c r="W239" s="112" t="str">
        <f>IF(preDEL!$AG239,IFERROR(0/0,""),preDEL!W239)</f>
        <v/>
      </c>
      <c r="X239" s="104" t="b">
        <f>IF(preDEL!$AG239,IFERROR(0/0,""),preDEL!X239)</f>
        <v>0</v>
      </c>
      <c r="Y239" s="110" t="b">
        <f>IF(preDEL!$AG239,IFERROR(0/0,""),preDEL!Y239)</f>
        <v>0</v>
      </c>
      <c r="Z239" s="105" t="str">
        <f>IF(preDEL!$AG239,IFERROR(0/0,""),preDEL!Z239)</f>
        <v/>
      </c>
      <c r="AA239" s="110" t="b">
        <f>IF(preDEL!$AG239,IFERROR(0/0,""),preDEL!AA239)</f>
        <v>0</v>
      </c>
      <c r="AB239" s="110" t="b">
        <f>IF(preDEL!$AG239,IFERROR(0/0,""),preDEL!AB239)</f>
        <v>0</v>
      </c>
      <c r="AC239" s="172">
        <f>IF(preDEL!$AG239,IFERROR(0/0,""),preDEL!AC239)</f>
        <v>553</v>
      </c>
      <c r="AD239" s="104" t="b">
        <f>IF(preDEL!$AG239,IFERROR(0/0,""),preDEL!AD239)</f>
        <v>0</v>
      </c>
      <c r="AE239" s="173" t="str">
        <f>IF(preDEL!$AG239,IFERROR(0/0,""),preDEL!AE239)</f>
        <v/>
      </c>
      <c r="AF239" s="110" t="b">
        <f>IF(preDEL!$AG239,IFERROR(0/0,""),preDEL!AF239)</f>
        <v>0</v>
      </c>
      <c r="AG239" s="110" t="b">
        <f>IF(preDEL!$AG239,IFERROR(0/0,""),preDEL!AG239)</f>
        <v>0</v>
      </c>
      <c r="AH239" s="104" t="str">
        <f>IF(preDEL!$AG239,IFERROR(0/0,""),preDEL!AH239)</f>
        <v/>
      </c>
      <c r="AI239" s="105" t="str">
        <f>IF(preDEL!$AG239,IFERROR(0/0,""),preDEL!AI239)</f>
        <v/>
      </c>
      <c r="AJ239" s="112" t="str">
        <f>IF(preDEL!$AG239,IFERROR(0/0,""),preDEL!AJ239)</f>
        <v/>
      </c>
      <c r="AK239" s="105" t="str">
        <f>IF(preDEL!$AG239,IFERROR(0/0,""),preDEL!AK239)</f>
        <v>Negative</v>
      </c>
      <c r="AL239" s="112" t="str">
        <f>IF(preDEL!$AG239,IFERROR(0/0,""),preDEL!AL239)</f>
        <v/>
      </c>
      <c r="AM239" s="112" t="str">
        <f>IF(preDEL!$AG239,IFERROR(0/0,""),preDEL!AM239)</f>
        <v>SpBEND541174</v>
      </c>
      <c r="AN239" s="112" t="str">
        <f>IF(preDEL!$AG239,IFERROR(0/0,""),preDEL!AN239)</f>
        <v>BEND785384</v>
      </c>
      <c r="AO239" s="112" t="str">
        <f>IF(preDEL!$AG239,IFERROR(0/0,""),preDEL!AO239)</f>
        <v/>
      </c>
      <c r="AP239" s="112" t="str">
        <f>IF(preDEL!$AG239,IFERROR(0/0,""),preDEL!AP239)</f>
        <v/>
      </c>
      <c r="AQ239" s="112" t="str">
        <f>IF(preDEL!$AG239,IFERROR(0/0,""),preDEL!AQ239)</f>
        <v/>
      </c>
      <c r="AR239" s="112" t="str">
        <f>IF(preDEL!$AG239,IFERROR(0/0,""),preDEL!AR239)</f>
        <v/>
      </c>
      <c r="AS239" s="112" t="str">
        <f>IF(preDEL!$AG239,IFERROR(0/0,""),preDEL!AS239)</f>
        <v/>
      </c>
      <c r="AT239" s="112" t="b">
        <f>IF(preDEL!$AG239,IFERROR(0/0,""),preDEL!AT239)</f>
        <v>0</v>
      </c>
      <c r="AU239" s="112" t="str">
        <f>IF(preDEL!$AG239,IFERROR(0/0,""),preDEL!AU239)</f>
        <v/>
      </c>
      <c r="AV239" s="112" t="str">
        <f>IF(preDEL!$AG239,IFERROR(0/0,""),preDEL!AV239)</f>
        <v/>
      </c>
      <c r="AW239" s="112" t="str">
        <f>IF(preDEL!$AG239,IFERROR(0/0,""),preDEL!AW239)</f>
        <v/>
      </c>
      <c r="AX239" s="112" t="str">
        <f>IF(preDEL!$AG239,IFERROR(0/0,""),preDEL!AX239)</f>
        <v/>
      </c>
      <c r="AY239" s="112" t="str">
        <f>IF(preDEL!$AG239,IFERROR(0/0,""),preDEL!AY239)</f>
        <v/>
      </c>
      <c r="AZ239" s="174"/>
      <c r="BA239" s="174"/>
      <c r="BB239" s="174"/>
      <c r="BC239" s="174"/>
      <c r="BD239" s="174"/>
      <c r="BE239" s="174"/>
      <c r="BF239" s="174"/>
      <c r="BG239" s="174"/>
      <c r="BH239" s="174"/>
      <c r="BI239" s="174"/>
      <c r="BJ239" s="174"/>
      <c r="BK239" s="174"/>
      <c r="BL239" s="174"/>
      <c r="BM239" s="174"/>
      <c r="BN239" s="174"/>
      <c r="BO239" s="174"/>
      <c r="BP239" s="174"/>
      <c r="BQ239" s="174"/>
      <c r="BR239" s="174"/>
      <c r="BS239" s="174"/>
      <c r="BT239" s="174"/>
      <c r="BU239" s="174"/>
      <c r="BV239" s="174"/>
      <c r="BW239" s="174"/>
      <c r="BX239" s="174"/>
      <c r="BY239" s="174"/>
      <c r="BZ239" s="174"/>
      <c r="CA239" s="174"/>
      <c r="CB239" s="174"/>
      <c r="CC239" s="174"/>
      <c r="CD239" s="174"/>
    </row>
    <row r="240">
      <c r="A240" s="105" t="str">
        <f>IF(preDEL!$AG240,IFERROR(0/0,""),preDEL!A240)</f>
        <v>MA262</v>
      </c>
      <c r="B240" s="170">
        <f>IF(preDEL!$AG240,IFERROR(0/0,""),preDEL!B240)</f>
        <v>44579</v>
      </c>
      <c r="C240" s="171">
        <f>IF(preDEL!$AG240,IFERROR(0/0,""),preDEL!C240)</f>
        <v>0.3482060185</v>
      </c>
      <c r="D240" s="105" t="str">
        <f>IF(preDEL!$AG240,IFERROR(0/0,""),preDEL!D240)</f>
        <v/>
      </c>
      <c r="E240" s="105" t="str">
        <f>IF(preDEL!$AG240,IFERROR(0/0,""),preDEL!E240)</f>
        <v/>
      </c>
      <c r="F240" s="112" t="str">
        <f>IF(preDEL!$AG240,IFERROR(0/0,""),preDEL!F240)</f>
        <v/>
      </c>
      <c r="G240" s="112" t="str">
        <f>IF(preDEL!$AG240,IFERROR(0/0,""),preDEL!G240)</f>
        <v/>
      </c>
      <c r="H240" s="112" t="str">
        <f>IF(preDEL!$AG240,IFERROR(0/0,""),preDEL!H240)</f>
        <v/>
      </c>
      <c r="I240" s="105" t="str">
        <f>IF(preDEL!$AG240,IFERROR(0/0,""),preDEL!I240)</f>
        <v/>
      </c>
      <c r="J240" s="105" t="str">
        <f>IF(preDEL!$AG240,IFERROR(0/0,""),preDEL!J240)</f>
        <v/>
      </c>
      <c r="K240" s="105" t="str">
        <f>IF(preDEL!$AG240,IFERROR(0/0,""),preDEL!K240)</f>
        <v>Negative</v>
      </c>
      <c r="L240" s="170">
        <f>IF(preDEL!$AG240,IFERROR(0/0,""),preDEL!L240)</f>
        <v>44580</v>
      </c>
      <c r="M240" s="171">
        <f>IF(preDEL!$AG240,IFERROR(0/0,""),preDEL!M240)</f>
        <v>0.5080208333</v>
      </c>
      <c r="N240" s="112" t="str">
        <f>IF(preDEL!$AG240,IFERROR(0/0,""),preDEL!N240)</f>
        <v/>
      </c>
      <c r="O240" s="112" t="str">
        <f>IF(preDEL!$AG240,IFERROR(0/0,""),preDEL!O240)</f>
        <v/>
      </c>
      <c r="P240" s="110" t="b">
        <f>IF(preDEL!$AG240,IFERROR(0/0,""),preDEL!P240)</f>
        <v>0</v>
      </c>
      <c r="Q240" s="110" t="str">
        <f>IF(preDEL!$AG240,IFERROR(0/0,""),preDEL!Q240)</f>
        <v>Result</v>
      </c>
      <c r="R240" s="104" t="b">
        <f>IF(preDEL!$AG240,IFERROR(0/0,""),preDEL!R240)</f>
        <v>1</v>
      </c>
      <c r="S240" s="104">
        <f>IF(preDEL!$AG240,IFERROR(0/0,""),preDEL!S240)</f>
        <v>1</v>
      </c>
      <c r="T240" s="110">
        <f>IF(preDEL!$AG240,IFERROR(0/0,""),preDEL!T240)</f>
        <v>0</v>
      </c>
      <c r="U240" s="112" t="str">
        <f>IF(preDEL!$AG240,IFERROR(0/0,""),preDEL!U240)</f>
        <v/>
      </c>
      <c r="V240" s="105" t="str">
        <f>IF(preDEL!$AG240,IFERROR(0/0,""),preDEL!V240)</f>
        <v/>
      </c>
      <c r="W240" s="112" t="str">
        <f>IF(preDEL!$AG240,IFERROR(0/0,""),preDEL!W240)</f>
        <v/>
      </c>
      <c r="X240" s="104" t="b">
        <f>IF(preDEL!$AG240,IFERROR(0/0,""),preDEL!X240)</f>
        <v>0</v>
      </c>
      <c r="Y240" s="110" t="b">
        <f>IF(preDEL!$AG240,IFERROR(0/0,""),preDEL!Y240)</f>
        <v>0</v>
      </c>
      <c r="Z240" s="105" t="str">
        <f>IF(preDEL!$AG240,IFERROR(0/0,""),preDEL!Z240)</f>
        <v/>
      </c>
      <c r="AA240" s="110" t="b">
        <f>IF(preDEL!$AG240,IFERROR(0/0,""),preDEL!AA240)</f>
        <v>0</v>
      </c>
      <c r="AB240" s="110" t="b">
        <f>IF(preDEL!$AG240,IFERROR(0/0,""),preDEL!AB240)</f>
        <v>0</v>
      </c>
      <c r="AC240" s="172">
        <f>IF(preDEL!$AG240,IFERROR(0/0,""),preDEL!AC240)</f>
        <v>552</v>
      </c>
      <c r="AD240" s="104" t="b">
        <f>IF(preDEL!$AG240,IFERROR(0/0,""),preDEL!AD240)</f>
        <v>0</v>
      </c>
      <c r="AE240" s="173" t="str">
        <f>IF(preDEL!$AG240,IFERROR(0/0,""),preDEL!AE240)</f>
        <v/>
      </c>
      <c r="AF240" s="110" t="b">
        <f>IF(preDEL!$AG240,IFERROR(0/0,""),preDEL!AF240)</f>
        <v>0</v>
      </c>
      <c r="AG240" s="110" t="b">
        <f>IF(preDEL!$AG240,IFERROR(0/0,""),preDEL!AG240)</f>
        <v>0</v>
      </c>
      <c r="AH240" s="104" t="str">
        <f>IF(preDEL!$AG240,IFERROR(0/0,""),preDEL!AH240)</f>
        <v/>
      </c>
      <c r="AI240" s="105" t="str">
        <f>IF(preDEL!$AG240,IFERROR(0/0,""),preDEL!AI240)</f>
        <v/>
      </c>
      <c r="AJ240" s="112" t="str">
        <f>IF(preDEL!$AG240,IFERROR(0/0,""),preDEL!AJ240)</f>
        <v/>
      </c>
      <c r="AK240" s="105" t="str">
        <f>IF(preDEL!$AG240,IFERROR(0/0,""),preDEL!AK240)</f>
        <v>Negative</v>
      </c>
      <c r="AL240" s="112" t="str">
        <f>IF(preDEL!$AG240,IFERROR(0/0,""),preDEL!AL240)</f>
        <v/>
      </c>
      <c r="AM240" s="112" t="str">
        <f>IF(preDEL!$AG240,IFERROR(0/0,""),preDEL!AM240)</f>
        <v>SpBEND918395</v>
      </c>
      <c r="AN240" s="112" t="str">
        <f>IF(preDEL!$AG240,IFERROR(0/0,""),preDEL!AN240)</f>
        <v>BEND230018</v>
      </c>
      <c r="AO240" s="112" t="str">
        <f>IF(preDEL!$AG240,IFERROR(0/0,""),preDEL!AO240)</f>
        <v/>
      </c>
      <c r="AP240" s="112" t="str">
        <f>IF(preDEL!$AG240,IFERROR(0/0,""),preDEL!AP240)</f>
        <v/>
      </c>
      <c r="AQ240" s="112" t="str">
        <f>IF(preDEL!$AG240,IFERROR(0/0,""),preDEL!AQ240)</f>
        <v/>
      </c>
      <c r="AR240" s="112" t="str">
        <f>IF(preDEL!$AG240,IFERROR(0/0,""),preDEL!AR240)</f>
        <v/>
      </c>
      <c r="AS240" s="112" t="str">
        <f>IF(preDEL!$AG240,IFERROR(0/0,""),preDEL!AS240)</f>
        <v/>
      </c>
      <c r="AT240" s="112" t="b">
        <f>IF(preDEL!$AG240,IFERROR(0/0,""),preDEL!AT240)</f>
        <v>0</v>
      </c>
      <c r="AU240" s="112" t="str">
        <f>IF(preDEL!$AG240,IFERROR(0/0,""),preDEL!AU240)</f>
        <v/>
      </c>
      <c r="AV240" s="112" t="str">
        <f>IF(preDEL!$AG240,IFERROR(0/0,""),preDEL!AV240)</f>
        <v/>
      </c>
      <c r="AW240" s="112" t="str">
        <f>IF(preDEL!$AG240,IFERROR(0/0,""),preDEL!AW240)</f>
        <v/>
      </c>
      <c r="AX240" s="112" t="str">
        <f>IF(preDEL!$AG240,IFERROR(0/0,""),preDEL!AX240)</f>
        <v/>
      </c>
      <c r="AY240" s="112" t="str">
        <f>IF(preDEL!$AG240,IFERROR(0/0,""),preDEL!AY240)</f>
        <v/>
      </c>
      <c r="AZ240" s="174"/>
      <c r="BA240" s="174"/>
      <c r="BB240" s="174"/>
      <c r="BC240" s="174"/>
      <c r="BD240" s="174"/>
      <c r="BE240" s="174"/>
      <c r="BF240" s="174"/>
      <c r="BG240" s="174"/>
      <c r="BH240" s="174"/>
      <c r="BI240" s="174"/>
      <c r="BJ240" s="174"/>
      <c r="BK240" s="174"/>
      <c r="BL240" s="174"/>
      <c r="BM240" s="174"/>
      <c r="BN240" s="174"/>
      <c r="BO240" s="174"/>
      <c r="BP240" s="174"/>
      <c r="BQ240" s="174"/>
      <c r="BR240" s="174"/>
      <c r="BS240" s="174"/>
      <c r="BT240" s="174"/>
      <c r="BU240" s="174"/>
      <c r="BV240" s="174"/>
      <c r="BW240" s="174"/>
      <c r="BX240" s="174"/>
      <c r="BY240" s="174"/>
      <c r="BZ240" s="174"/>
      <c r="CA240" s="174"/>
      <c r="CB240" s="174"/>
      <c r="CC240" s="174"/>
      <c r="CD240" s="174"/>
    </row>
    <row r="241">
      <c r="A241" s="105" t="str">
        <f>IF(preDEL!$AG241,IFERROR(0/0,""),preDEL!A241)</f>
        <v>MA1184</v>
      </c>
      <c r="B241" s="170">
        <f>IF(preDEL!$AG241,IFERROR(0/0,""),preDEL!B241)</f>
        <v>44579</v>
      </c>
      <c r="C241" s="171">
        <f>IF(preDEL!$AG241,IFERROR(0/0,""),preDEL!C241)</f>
        <v>0.3487731481</v>
      </c>
      <c r="D241" s="105" t="str">
        <f>IF(preDEL!$AG241,IFERROR(0/0,""),preDEL!D241)</f>
        <v/>
      </c>
      <c r="E241" s="105" t="str">
        <f>IF(preDEL!$AG241,IFERROR(0/0,""),preDEL!E241)</f>
        <v/>
      </c>
      <c r="F241" s="112" t="str">
        <f>IF(preDEL!$AG241,IFERROR(0/0,""),preDEL!F241)</f>
        <v/>
      </c>
      <c r="G241" s="112" t="str">
        <f>IF(preDEL!$AG241,IFERROR(0/0,""),preDEL!G241)</f>
        <v/>
      </c>
      <c r="H241" s="112" t="str">
        <f>IF(preDEL!$AG241,IFERROR(0/0,""),preDEL!H241)</f>
        <v/>
      </c>
      <c r="I241" s="105" t="str">
        <f>IF(preDEL!$AG241,IFERROR(0/0,""),preDEL!I241)</f>
        <v/>
      </c>
      <c r="J241" s="105" t="str">
        <f>IF(preDEL!$AG241,IFERROR(0/0,""),preDEL!J241)</f>
        <v/>
      </c>
      <c r="K241" s="105" t="str">
        <f>IF(preDEL!$AG241,IFERROR(0/0,""),preDEL!K241)</f>
        <v>Negative</v>
      </c>
      <c r="L241" s="170">
        <f>IF(preDEL!$AG241,IFERROR(0/0,""),preDEL!L241)</f>
        <v>44580</v>
      </c>
      <c r="M241" s="171">
        <f>IF(preDEL!$AG241,IFERROR(0/0,""),preDEL!M241)</f>
        <v>0.5080208333</v>
      </c>
      <c r="N241" s="112" t="str">
        <f>IF(preDEL!$AG241,IFERROR(0/0,""),preDEL!N241)</f>
        <v>Primary</v>
      </c>
      <c r="O241" s="112" t="str">
        <f>IF(preDEL!$AG241,IFERROR(0/0,""),preDEL!O241)</f>
        <v/>
      </c>
      <c r="P241" s="110" t="b">
        <f>IF(preDEL!$AG241,IFERROR(0/0,""),preDEL!P241)</f>
        <v>0</v>
      </c>
      <c r="Q241" s="110" t="str">
        <f>IF(preDEL!$AG241,IFERROR(0/0,""),preDEL!Q241)</f>
        <v>Result</v>
      </c>
      <c r="R241" s="104" t="b">
        <f>IF(preDEL!$AG241,IFERROR(0/0,""),preDEL!R241)</f>
        <v>1</v>
      </c>
      <c r="S241" s="104">
        <f>IF(preDEL!$AG241,IFERROR(0/0,""),preDEL!S241)</f>
        <v>1</v>
      </c>
      <c r="T241" s="110" t="str">
        <f>IF(preDEL!$AG241,IFERROR(0/0,""),preDEL!T241)</f>
        <v/>
      </c>
      <c r="U241" s="112" t="str">
        <f>IF(preDEL!$AG241,IFERROR(0/0,""),preDEL!U241)</f>
        <v/>
      </c>
      <c r="V241" s="105" t="str">
        <f>IF(preDEL!$AG241,IFERROR(0/0,""),preDEL!V241)</f>
        <v/>
      </c>
      <c r="W241" s="112" t="str">
        <f>IF(preDEL!$AG241,IFERROR(0/0,""),preDEL!W241)</f>
        <v/>
      </c>
      <c r="X241" s="104" t="b">
        <f>IF(preDEL!$AG241,IFERROR(0/0,""),preDEL!X241)</f>
        <v>0</v>
      </c>
      <c r="Y241" s="110" t="b">
        <f>IF(preDEL!$AG241,IFERROR(0/0,""),preDEL!Y241)</f>
        <v>0</v>
      </c>
      <c r="Z241" s="105" t="str">
        <f>IF(preDEL!$AG241,IFERROR(0/0,""),preDEL!Z241)</f>
        <v/>
      </c>
      <c r="AA241" s="110" t="b">
        <f>IF(preDEL!$AG241,IFERROR(0/0,""),preDEL!AA241)</f>
        <v>0</v>
      </c>
      <c r="AB241" s="110" t="b">
        <f>IF(preDEL!$AG241,IFERROR(0/0,""),preDEL!AB241)</f>
        <v>0</v>
      </c>
      <c r="AC241" s="172">
        <f>IF(preDEL!$AG241,IFERROR(0/0,""),preDEL!AC241)</f>
        <v>819</v>
      </c>
      <c r="AD241" s="104" t="b">
        <f>IF(preDEL!$AG241,IFERROR(0/0,""),preDEL!AD241)</f>
        <v>1</v>
      </c>
      <c r="AE241" s="173" t="str">
        <f>IF(preDEL!$AG241,IFERROR(0/0,""),preDEL!AE241)</f>
        <v/>
      </c>
      <c r="AF241" s="110" t="b">
        <f>IF(preDEL!$AG241,IFERROR(0/0,""),preDEL!AF241)</f>
        <v>0</v>
      </c>
      <c r="AG241" s="110" t="b">
        <f>IF(preDEL!$AG241,IFERROR(0/0,""),preDEL!AG241)</f>
        <v>0</v>
      </c>
      <c r="AH241" s="104" t="str">
        <f>IF(preDEL!$AG241,IFERROR(0/0,""),preDEL!AH241)</f>
        <v/>
      </c>
      <c r="AI241" s="105">
        <f>IF(preDEL!$AG241,IFERROR(0/0,""),preDEL!AI241)</f>
        <v>7</v>
      </c>
      <c r="AJ241" s="112" t="str">
        <f>IF(preDEL!$AG241,IFERROR(0/0,""),preDEL!AJ241)</f>
        <v/>
      </c>
      <c r="AK241" s="105" t="str">
        <f>IF(preDEL!$AG241,IFERROR(0/0,""),preDEL!AK241)</f>
        <v>Negative</v>
      </c>
      <c r="AL241" s="112" t="str">
        <f>IF(preDEL!$AG241,IFERROR(0/0,""),preDEL!AL241)</f>
        <v/>
      </c>
      <c r="AM241" s="112" t="str">
        <f>IF(preDEL!$AG241,IFERROR(0/0,""),preDEL!AM241)</f>
        <v>SpBEND652059</v>
      </c>
      <c r="AN241" s="112" t="str">
        <f>IF(preDEL!$AG241,IFERROR(0/0,""),preDEL!AN241)</f>
        <v>BEND520608</v>
      </c>
      <c r="AO241" s="112" t="str">
        <f>IF(preDEL!$AG241,IFERROR(0/0,""),preDEL!AO241)</f>
        <v/>
      </c>
      <c r="AP241" s="112" t="str">
        <f>IF(preDEL!$AG241,IFERROR(0/0,""),preDEL!AP241)</f>
        <v/>
      </c>
      <c r="AQ241" s="112" t="str">
        <f>IF(preDEL!$AG241,IFERROR(0/0,""),preDEL!AQ241)</f>
        <v/>
      </c>
      <c r="AR241" s="112" t="str">
        <f>IF(preDEL!$AG241,IFERROR(0/0,""),preDEL!AR241)</f>
        <v/>
      </c>
      <c r="AS241" s="112" t="str">
        <f>IF(preDEL!$AG241,IFERROR(0/0,""),preDEL!AS241)</f>
        <v/>
      </c>
      <c r="AT241" s="112" t="b">
        <f>IF(preDEL!$AG241,IFERROR(0/0,""),preDEL!AT241)</f>
        <v>0</v>
      </c>
      <c r="AU241" s="112" t="str">
        <f>IF(preDEL!$AG241,IFERROR(0/0,""),preDEL!AU241)</f>
        <v/>
      </c>
      <c r="AV241" s="112" t="str">
        <f>IF(preDEL!$AG241,IFERROR(0/0,""),preDEL!AV241)</f>
        <v/>
      </c>
      <c r="AW241" s="112" t="str">
        <f>IF(preDEL!$AG241,IFERROR(0/0,""),preDEL!AW241)</f>
        <v/>
      </c>
      <c r="AX241" s="112" t="str">
        <f>IF(preDEL!$AG241,IFERROR(0/0,""),preDEL!AX241)</f>
        <v/>
      </c>
      <c r="AY241" s="112" t="str">
        <f>IF(preDEL!$AG241,IFERROR(0/0,""),preDEL!AY241)</f>
        <v/>
      </c>
      <c r="AZ241" s="174"/>
      <c r="BA241" s="174"/>
      <c r="BB241" s="174"/>
      <c r="BC241" s="174"/>
      <c r="BD241" s="174"/>
      <c r="BE241" s="174"/>
      <c r="BF241" s="174"/>
      <c r="BG241" s="174"/>
      <c r="BH241" s="174"/>
      <c r="BI241" s="174"/>
      <c r="BJ241" s="174"/>
      <c r="BK241" s="174"/>
      <c r="BL241" s="174"/>
      <c r="BM241" s="174"/>
      <c r="BN241" s="174"/>
      <c r="BO241" s="174"/>
      <c r="BP241" s="174"/>
      <c r="BQ241" s="174"/>
      <c r="BR241" s="174"/>
      <c r="BS241" s="174"/>
      <c r="BT241" s="174"/>
      <c r="BU241" s="174"/>
      <c r="BV241" s="174"/>
      <c r="BW241" s="174"/>
      <c r="BX241" s="174"/>
      <c r="BY241" s="174"/>
      <c r="BZ241" s="174"/>
      <c r="CA241" s="174"/>
      <c r="CB241" s="174"/>
      <c r="CC241" s="174"/>
      <c r="CD241" s="174"/>
    </row>
    <row r="242">
      <c r="A242" s="105" t="str">
        <f>IF(preDEL!$AG242,IFERROR(0/0,""),preDEL!A242)</f>
        <v>MA1150</v>
      </c>
      <c r="B242" s="170">
        <f>IF(preDEL!$AG242,IFERROR(0/0,""),preDEL!B242)</f>
        <v>44579</v>
      </c>
      <c r="C242" s="171">
        <f>IF(preDEL!$AG242,IFERROR(0/0,""),preDEL!C242)</f>
        <v>0.3505208333</v>
      </c>
      <c r="D242" s="105" t="str">
        <f>IF(preDEL!$AG242,IFERROR(0/0,""),preDEL!D242)</f>
        <v/>
      </c>
      <c r="E242" s="105" t="str">
        <f>IF(preDEL!$AG242,IFERROR(0/0,""),preDEL!E242)</f>
        <v/>
      </c>
      <c r="F242" s="112" t="str">
        <f>IF(preDEL!$AG242,IFERROR(0/0,""),preDEL!F242)</f>
        <v/>
      </c>
      <c r="G242" s="112" t="str">
        <f>IF(preDEL!$AG242,IFERROR(0/0,""),preDEL!G242)</f>
        <v/>
      </c>
      <c r="H242" s="112" t="str">
        <f>IF(preDEL!$AG242,IFERROR(0/0,""),preDEL!H242)</f>
        <v/>
      </c>
      <c r="I242" s="105" t="str">
        <f>IF(preDEL!$AG242,IFERROR(0/0,""),preDEL!I242)</f>
        <v/>
      </c>
      <c r="J242" s="105" t="str">
        <f>IF(preDEL!$AG242,IFERROR(0/0,""),preDEL!J242)</f>
        <v/>
      </c>
      <c r="K242" s="105" t="str">
        <f>IF(preDEL!$AG242,IFERROR(0/0,""),preDEL!K242)</f>
        <v>Negative</v>
      </c>
      <c r="L242" s="170">
        <f>IF(preDEL!$AG242,IFERROR(0/0,""),preDEL!L242)</f>
        <v>44580</v>
      </c>
      <c r="M242" s="171">
        <f>IF(preDEL!$AG242,IFERROR(0/0,""),preDEL!M242)</f>
        <v>0.5080208333</v>
      </c>
      <c r="N242" s="112" t="str">
        <f>IF(preDEL!$AG242,IFERROR(0/0,""),preDEL!N242)</f>
        <v/>
      </c>
      <c r="O242" s="112" t="str">
        <f>IF(preDEL!$AG242,IFERROR(0/0,""),preDEL!O242)</f>
        <v/>
      </c>
      <c r="P242" s="110" t="b">
        <f>IF(preDEL!$AG242,IFERROR(0/0,""),preDEL!P242)</f>
        <v>0</v>
      </c>
      <c r="Q242" s="110" t="str">
        <f>IF(preDEL!$AG242,IFERROR(0/0,""),preDEL!Q242)</f>
        <v>Result</v>
      </c>
      <c r="R242" s="104" t="b">
        <f>IF(preDEL!$AG242,IFERROR(0/0,""),preDEL!R242)</f>
        <v>1</v>
      </c>
      <c r="S242" s="104">
        <f>IF(preDEL!$AG242,IFERROR(0/0,""),preDEL!S242)</f>
        <v>1</v>
      </c>
      <c r="T242" s="110" t="str">
        <f>IF(preDEL!$AG242,IFERROR(0/0,""),preDEL!T242)</f>
        <v/>
      </c>
      <c r="U242" s="112" t="str">
        <f>IF(preDEL!$AG242,IFERROR(0/0,""),preDEL!U242)</f>
        <v/>
      </c>
      <c r="V242" s="105" t="str">
        <f>IF(preDEL!$AG242,IFERROR(0/0,""),preDEL!V242)</f>
        <v/>
      </c>
      <c r="W242" s="112" t="str">
        <f>IF(preDEL!$AG242,IFERROR(0/0,""),preDEL!W242)</f>
        <v/>
      </c>
      <c r="X242" s="104" t="b">
        <f>IF(preDEL!$AG242,IFERROR(0/0,""),preDEL!X242)</f>
        <v>0</v>
      </c>
      <c r="Y242" s="110" t="b">
        <f>IF(preDEL!$AG242,IFERROR(0/0,""),preDEL!Y242)</f>
        <v>0</v>
      </c>
      <c r="Z242" s="105" t="str">
        <f>IF(preDEL!$AG242,IFERROR(0/0,""),preDEL!Z242)</f>
        <v/>
      </c>
      <c r="AA242" s="110" t="b">
        <f>IF(preDEL!$AG242,IFERROR(0/0,""),preDEL!AA242)</f>
        <v>0</v>
      </c>
      <c r="AB242" s="110" t="b">
        <f>IF(preDEL!$AG242,IFERROR(0/0,""),preDEL!AB242)</f>
        <v>0</v>
      </c>
      <c r="AC242" s="172">
        <f>IF(preDEL!$AG242,IFERROR(0/0,""),preDEL!AC242)</f>
        <v>551</v>
      </c>
      <c r="AD242" s="104" t="b">
        <f>IF(preDEL!$AG242,IFERROR(0/0,""),preDEL!AD242)</f>
        <v>0</v>
      </c>
      <c r="AE242" s="173" t="str">
        <f>IF(preDEL!$AG242,IFERROR(0/0,""),preDEL!AE242)</f>
        <v/>
      </c>
      <c r="AF242" s="110" t="b">
        <f>IF(preDEL!$AG242,IFERROR(0/0,""),preDEL!AF242)</f>
        <v>0</v>
      </c>
      <c r="AG242" s="110" t="b">
        <f>IF(preDEL!$AG242,IFERROR(0/0,""),preDEL!AG242)</f>
        <v>0</v>
      </c>
      <c r="AH242" s="104" t="str">
        <f>IF(preDEL!$AG242,IFERROR(0/0,""),preDEL!AH242)</f>
        <v/>
      </c>
      <c r="AI242" s="105" t="str">
        <f>IF(preDEL!$AG242,IFERROR(0/0,""),preDEL!AI242)</f>
        <v/>
      </c>
      <c r="AJ242" s="112" t="str">
        <f>IF(preDEL!$AG242,IFERROR(0/0,""),preDEL!AJ242)</f>
        <v/>
      </c>
      <c r="AK242" s="105" t="str">
        <f>IF(preDEL!$AG242,IFERROR(0/0,""),preDEL!AK242)</f>
        <v>Negative</v>
      </c>
      <c r="AL242" s="112" t="str">
        <f>IF(preDEL!$AG242,IFERROR(0/0,""),preDEL!AL242)</f>
        <v/>
      </c>
      <c r="AM242" s="112" t="str">
        <f>IF(preDEL!$AG242,IFERROR(0/0,""),preDEL!AM242)</f>
        <v>SpBEND652059</v>
      </c>
      <c r="AN242" s="112" t="str">
        <f>IF(preDEL!$AG242,IFERROR(0/0,""),preDEL!AN242)</f>
        <v>BEND196623</v>
      </c>
      <c r="AO242" s="112" t="str">
        <f>IF(preDEL!$AG242,IFERROR(0/0,""),preDEL!AO242)</f>
        <v/>
      </c>
      <c r="AP242" s="112" t="str">
        <f>IF(preDEL!$AG242,IFERROR(0/0,""),preDEL!AP242)</f>
        <v/>
      </c>
      <c r="AQ242" s="112" t="str">
        <f>IF(preDEL!$AG242,IFERROR(0/0,""),preDEL!AQ242)</f>
        <v/>
      </c>
      <c r="AR242" s="112" t="str">
        <f>IF(preDEL!$AG242,IFERROR(0/0,""),preDEL!AR242)</f>
        <v/>
      </c>
      <c r="AS242" s="112" t="str">
        <f>IF(preDEL!$AG242,IFERROR(0/0,""),preDEL!AS242)</f>
        <v/>
      </c>
      <c r="AT242" s="112" t="b">
        <f>IF(preDEL!$AG242,IFERROR(0/0,""),preDEL!AT242)</f>
        <v>0</v>
      </c>
      <c r="AU242" s="112" t="str">
        <f>IF(preDEL!$AG242,IFERROR(0/0,""),preDEL!AU242)</f>
        <v/>
      </c>
      <c r="AV242" s="112" t="str">
        <f>IF(preDEL!$AG242,IFERROR(0/0,""),preDEL!AV242)</f>
        <v/>
      </c>
      <c r="AW242" s="112" t="str">
        <f>IF(preDEL!$AG242,IFERROR(0/0,""),preDEL!AW242)</f>
        <v/>
      </c>
      <c r="AX242" s="112" t="str">
        <f>IF(preDEL!$AG242,IFERROR(0/0,""),preDEL!AX242)</f>
        <v/>
      </c>
      <c r="AY242" s="112" t="str">
        <f>IF(preDEL!$AG242,IFERROR(0/0,""),preDEL!AY242)</f>
        <v/>
      </c>
      <c r="AZ242" s="174"/>
      <c r="BA242" s="174"/>
      <c r="BB242" s="174"/>
      <c r="BC242" s="174"/>
      <c r="BD242" s="174"/>
      <c r="BE242" s="174"/>
      <c r="BF242" s="174"/>
      <c r="BG242" s="174"/>
      <c r="BH242" s="174"/>
      <c r="BI242" s="174"/>
      <c r="BJ242" s="174"/>
      <c r="BK242" s="174"/>
      <c r="BL242" s="174"/>
      <c r="BM242" s="174"/>
      <c r="BN242" s="174"/>
      <c r="BO242" s="174"/>
      <c r="BP242" s="174"/>
      <c r="BQ242" s="174"/>
      <c r="BR242" s="174"/>
      <c r="BS242" s="174"/>
      <c r="BT242" s="174"/>
      <c r="BU242" s="174"/>
      <c r="BV242" s="174"/>
      <c r="BW242" s="174"/>
      <c r="BX242" s="174"/>
      <c r="BY242" s="174"/>
      <c r="BZ242" s="174"/>
      <c r="CA242" s="174"/>
      <c r="CB242" s="174"/>
      <c r="CC242" s="174"/>
      <c r="CD242" s="174"/>
    </row>
    <row r="243">
      <c r="A243" s="105" t="str">
        <f>IF(preDEL!$AG243,IFERROR(0/0,""),preDEL!A243)</f>
        <v>MA1253</v>
      </c>
      <c r="B243" s="170">
        <f>IF(preDEL!$AG243,IFERROR(0/0,""),preDEL!B243)</f>
        <v>44579</v>
      </c>
      <c r="C243" s="171">
        <f>IF(preDEL!$AG243,IFERROR(0/0,""),preDEL!C243)</f>
        <v>0.3615972222</v>
      </c>
      <c r="D243" s="105" t="str">
        <f>IF(preDEL!$AG243,IFERROR(0/0,""),preDEL!D243)</f>
        <v/>
      </c>
      <c r="E243" s="105" t="str">
        <f>IF(preDEL!$AG243,IFERROR(0/0,""),preDEL!E243)</f>
        <v/>
      </c>
      <c r="F243" s="112" t="str">
        <f>IF(preDEL!$AG243,IFERROR(0/0,""),preDEL!F243)</f>
        <v/>
      </c>
      <c r="G243" s="112" t="str">
        <f>IF(preDEL!$AG243,IFERROR(0/0,""),preDEL!G243)</f>
        <v/>
      </c>
      <c r="H243" s="112" t="str">
        <f>IF(preDEL!$AG243,IFERROR(0/0,""),preDEL!H243)</f>
        <v/>
      </c>
      <c r="I243" s="105" t="str">
        <f>IF(preDEL!$AG243,IFERROR(0/0,""),preDEL!I243)</f>
        <v/>
      </c>
      <c r="J243" s="105" t="str">
        <f>IF(preDEL!$AG243,IFERROR(0/0,""),preDEL!J243)</f>
        <v/>
      </c>
      <c r="K243" s="105" t="str">
        <f>IF(preDEL!$AG243,IFERROR(0/0,""),preDEL!K243)</f>
        <v>Negative</v>
      </c>
      <c r="L243" s="170">
        <f>IF(preDEL!$AG243,IFERROR(0/0,""),preDEL!L243)</f>
        <v>44580</v>
      </c>
      <c r="M243" s="171">
        <f>IF(preDEL!$AG243,IFERROR(0/0,""),preDEL!M243)</f>
        <v>0.5080208333</v>
      </c>
      <c r="N243" s="112" t="str">
        <f>IF(preDEL!$AG243,IFERROR(0/0,""),preDEL!N243)</f>
        <v/>
      </c>
      <c r="O243" s="112" t="str">
        <f>IF(preDEL!$AG243,IFERROR(0/0,""),preDEL!O243)</f>
        <v/>
      </c>
      <c r="P243" s="110" t="b">
        <f>IF(preDEL!$AG243,IFERROR(0/0,""),preDEL!P243)</f>
        <v>0</v>
      </c>
      <c r="Q243" s="110" t="str">
        <f>IF(preDEL!$AG243,IFERROR(0/0,""),preDEL!Q243)</f>
        <v>Result</v>
      </c>
      <c r="R243" s="104" t="b">
        <f>IF(preDEL!$AG243,IFERROR(0/0,""),preDEL!R243)</f>
        <v>1</v>
      </c>
      <c r="S243" s="104">
        <f>IF(preDEL!$AG243,IFERROR(0/0,""),preDEL!S243)</f>
        <v>1</v>
      </c>
      <c r="T243" s="110">
        <f>IF(preDEL!$AG243,IFERROR(0/0,""),preDEL!T243)</f>
        <v>0</v>
      </c>
      <c r="U243" s="112" t="str">
        <f>IF(preDEL!$AG243,IFERROR(0/0,""),preDEL!U243)</f>
        <v/>
      </c>
      <c r="V243" s="105" t="str">
        <f>IF(preDEL!$AG243,IFERROR(0/0,""),preDEL!V243)</f>
        <v/>
      </c>
      <c r="W243" s="112" t="str">
        <f>IF(preDEL!$AG243,IFERROR(0/0,""),preDEL!W243)</f>
        <v/>
      </c>
      <c r="X243" s="104" t="b">
        <f>IF(preDEL!$AG243,IFERROR(0/0,""),preDEL!X243)</f>
        <v>0</v>
      </c>
      <c r="Y243" s="110" t="b">
        <f>IF(preDEL!$AG243,IFERROR(0/0,""),preDEL!Y243)</f>
        <v>0</v>
      </c>
      <c r="Z243" s="105" t="str">
        <f>IF(preDEL!$AG243,IFERROR(0/0,""),preDEL!Z243)</f>
        <v/>
      </c>
      <c r="AA243" s="110" t="b">
        <f>IF(preDEL!$AG243,IFERROR(0/0,""),preDEL!AA243)</f>
        <v>0</v>
      </c>
      <c r="AB243" s="110" t="b">
        <f>IF(preDEL!$AG243,IFERROR(0/0,""),preDEL!AB243)</f>
        <v>0</v>
      </c>
      <c r="AC243" s="172">
        <f>IF(preDEL!$AG243,IFERROR(0/0,""),preDEL!AC243)</f>
        <v>550</v>
      </c>
      <c r="AD243" s="104" t="b">
        <f>IF(preDEL!$AG243,IFERROR(0/0,""),preDEL!AD243)</f>
        <v>0</v>
      </c>
      <c r="AE243" s="173" t="str">
        <f>IF(preDEL!$AG243,IFERROR(0/0,""),preDEL!AE243)</f>
        <v/>
      </c>
      <c r="AF243" s="110" t="b">
        <f>IF(preDEL!$AG243,IFERROR(0/0,""),preDEL!AF243)</f>
        <v>0</v>
      </c>
      <c r="AG243" s="110" t="b">
        <f>IF(preDEL!$AG243,IFERROR(0/0,""),preDEL!AG243)</f>
        <v>0</v>
      </c>
      <c r="AH243" s="104" t="str">
        <f>IF(preDEL!$AG243,IFERROR(0/0,""),preDEL!AH243)</f>
        <v/>
      </c>
      <c r="AI243" s="105" t="str">
        <f>IF(preDEL!$AG243,IFERROR(0/0,""),preDEL!AI243)</f>
        <v/>
      </c>
      <c r="AJ243" s="112" t="str">
        <f>IF(preDEL!$AG243,IFERROR(0/0,""),preDEL!AJ243)</f>
        <v/>
      </c>
      <c r="AK243" s="105" t="str">
        <f>IF(preDEL!$AG243,IFERROR(0/0,""),preDEL!AK243)</f>
        <v>Negative</v>
      </c>
      <c r="AL243" s="112" t="str">
        <f>IF(preDEL!$AG243,IFERROR(0/0,""),preDEL!AL243)</f>
        <v/>
      </c>
      <c r="AM243" s="112" t="str">
        <f>IF(preDEL!$AG243,IFERROR(0/0,""),preDEL!AM243)</f>
        <v>SpBEND305944</v>
      </c>
      <c r="AN243" s="112" t="str">
        <f>IF(preDEL!$AG243,IFERROR(0/0,""),preDEL!AN243)</f>
        <v>BEND538986</v>
      </c>
      <c r="AO243" s="112" t="str">
        <f>IF(preDEL!$AG243,IFERROR(0/0,""),preDEL!AO243)</f>
        <v/>
      </c>
      <c r="AP243" s="112" t="str">
        <f>IF(preDEL!$AG243,IFERROR(0/0,""),preDEL!AP243)</f>
        <v/>
      </c>
      <c r="AQ243" s="112" t="str">
        <f>IF(preDEL!$AG243,IFERROR(0/0,""),preDEL!AQ243)</f>
        <v/>
      </c>
      <c r="AR243" s="112" t="str">
        <f>IF(preDEL!$AG243,IFERROR(0/0,""),preDEL!AR243)</f>
        <v/>
      </c>
      <c r="AS243" s="112" t="str">
        <f>IF(preDEL!$AG243,IFERROR(0/0,""),preDEL!AS243)</f>
        <v/>
      </c>
      <c r="AT243" s="112" t="b">
        <f>IF(preDEL!$AG243,IFERROR(0/0,""),preDEL!AT243)</f>
        <v>0</v>
      </c>
      <c r="AU243" s="112" t="str">
        <f>IF(preDEL!$AG243,IFERROR(0/0,""),preDEL!AU243)</f>
        <v/>
      </c>
      <c r="AV243" s="112" t="str">
        <f>IF(preDEL!$AG243,IFERROR(0/0,""),preDEL!AV243)</f>
        <v/>
      </c>
      <c r="AW243" s="112" t="str">
        <f>IF(preDEL!$AG243,IFERROR(0/0,""),preDEL!AW243)</f>
        <v/>
      </c>
      <c r="AX243" s="112" t="str">
        <f>IF(preDEL!$AG243,IFERROR(0/0,""),preDEL!AX243)</f>
        <v/>
      </c>
      <c r="AY243" s="112" t="str">
        <f>IF(preDEL!$AG243,IFERROR(0/0,""),preDEL!AY243)</f>
        <v/>
      </c>
      <c r="AZ243" s="174"/>
      <c r="BA243" s="174"/>
      <c r="BB243" s="174"/>
      <c r="BC243" s="174"/>
      <c r="BD243" s="174"/>
      <c r="BE243" s="174"/>
      <c r="BF243" s="174"/>
      <c r="BG243" s="174"/>
      <c r="BH243" s="174"/>
      <c r="BI243" s="174"/>
      <c r="BJ243" s="174"/>
      <c r="BK243" s="174"/>
      <c r="BL243" s="174"/>
      <c r="BM243" s="174"/>
      <c r="BN243" s="174"/>
      <c r="BO243" s="174"/>
      <c r="BP243" s="174"/>
      <c r="BQ243" s="174"/>
      <c r="BR243" s="174"/>
      <c r="BS243" s="174"/>
      <c r="BT243" s="174"/>
      <c r="BU243" s="174"/>
      <c r="BV243" s="174"/>
      <c r="BW243" s="174"/>
      <c r="BX243" s="174"/>
      <c r="BY243" s="174"/>
      <c r="BZ243" s="174"/>
      <c r="CA243" s="174"/>
      <c r="CB243" s="174"/>
      <c r="CC243" s="174"/>
      <c r="CD243" s="174"/>
    </row>
    <row r="244">
      <c r="A244" s="105" t="str">
        <f>IF(preDEL!$AG244,IFERROR(0/0,""),preDEL!A244)</f>
        <v>MAX44</v>
      </c>
      <c r="B244" s="170">
        <f>IF(preDEL!$AG244,IFERROR(0/0,""),preDEL!B244)</f>
        <v>44579</v>
      </c>
      <c r="C244" s="171">
        <f>IF(preDEL!$AG244,IFERROR(0/0,""),preDEL!C244)</f>
        <v>0.4046643519</v>
      </c>
      <c r="D244" s="105" t="str">
        <f>IF(preDEL!$AG244,IFERROR(0/0,""),preDEL!D244)</f>
        <v/>
      </c>
      <c r="E244" s="105" t="str">
        <f>IF(preDEL!$AG244,IFERROR(0/0,""),preDEL!E244)</f>
        <v/>
      </c>
      <c r="F244" s="112" t="str">
        <f>IF(preDEL!$AG244,IFERROR(0/0,""),preDEL!F244)</f>
        <v/>
      </c>
      <c r="G244" s="112" t="str">
        <f>IF(preDEL!$AG244,IFERROR(0/0,""),preDEL!G244)</f>
        <v/>
      </c>
      <c r="H244" s="112" t="str">
        <f>IF(preDEL!$AG244,IFERROR(0/0,""),preDEL!H244)</f>
        <v/>
      </c>
      <c r="I244" s="105" t="str">
        <f>IF(preDEL!$AG244,IFERROR(0/0,""),preDEL!I244)</f>
        <v/>
      </c>
      <c r="J244" s="105" t="str">
        <f>IF(preDEL!$AG244,IFERROR(0/0,""),preDEL!J244)</f>
        <v/>
      </c>
      <c r="K244" s="105" t="str">
        <f>IF(preDEL!$AG244,IFERROR(0/0,""),preDEL!K244)</f>
        <v>Positive</v>
      </c>
      <c r="L244" s="170">
        <f>IF(preDEL!$AG244,IFERROR(0/0,""),preDEL!L244)</f>
        <v>44579</v>
      </c>
      <c r="M244" s="171">
        <f>IF(preDEL!$AG244,IFERROR(0/0,""),preDEL!M244)</f>
        <v>0.5015972222</v>
      </c>
      <c r="N244" s="112" t="str">
        <f>IF(preDEL!$AG244,IFERROR(0/0,""),preDEL!N244)</f>
        <v/>
      </c>
      <c r="O244" s="112" t="str">
        <f>IF(preDEL!$AG244,IFERROR(0/0,""),preDEL!O244)</f>
        <v/>
      </c>
      <c r="P244" s="110" t="b">
        <f>IF(preDEL!$AG244,IFERROR(0/0,""),preDEL!P244)</f>
        <v>0</v>
      </c>
      <c r="Q244" s="110" t="str">
        <f>IF(preDEL!$AG244,IFERROR(0/0,""),preDEL!Q244)</f>
        <v>Result</v>
      </c>
      <c r="R244" s="104" t="b">
        <f>IF(preDEL!$AG244,IFERROR(0/0,""),preDEL!R244)</f>
        <v>1</v>
      </c>
      <c r="S244" s="104">
        <f>IF(preDEL!$AG244,IFERROR(0/0,""),preDEL!S244)</f>
        <v>1</v>
      </c>
      <c r="T244" s="110" t="str">
        <f>IF(preDEL!$AG244,IFERROR(0/0,""),preDEL!T244)</f>
        <v/>
      </c>
      <c r="U244" s="112" t="str">
        <f>IF(preDEL!$AG244,IFERROR(0/0,""),preDEL!U244)</f>
        <v/>
      </c>
      <c r="V244" s="105" t="str">
        <f>IF(preDEL!$AG244,IFERROR(0/0,""),preDEL!V244)</f>
        <v/>
      </c>
      <c r="W244" s="112" t="str">
        <f>IF(preDEL!$AG244,IFERROR(0/0,""),preDEL!W244)</f>
        <v/>
      </c>
      <c r="X244" s="104" t="b">
        <f>IF(preDEL!$AG244,IFERROR(0/0,""),preDEL!X244)</f>
        <v>0</v>
      </c>
      <c r="Y244" s="110" t="b">
        <f>IF(preDEL!$AG244,IFERROR(0/0,""),preDEL!Y244)</f>
        <v>0</v>
      </c>
      <c r="Z244" s="105" t="str">
        <f>IF(preDEL!$AG244,IFERROR(0/0,""),preDEL!Z244)</f>
        <v/>
      </c>
      <c r="AA244" s="110" t="b">
        <f>IF(preDEL!$AG244,IFERROR(0/0,""),preDEL!AA244)</f>
        <v>0</v>
      </c>
      <c r="AB244" s="110" t="b">
        <f>IF(preDEL!$AG244,IFERROR(0/0,""),preDEL!AB244)</f>
        <v>0</v>
      </c>
      <c r="AC244" s="172">
        <f>IF(preDEL!$AG244,IFERROR(0/0,""),preDEL!AC244)</f>
        <v>584</v>
      </c>
      <c r="AD244" s="104" t="b">
        <f>IF(preDEL!$AG244,IFERROR(0/0,""),preDEL!AD244)</f>
        <v>0</v>
      </c>
      <c r="AE244" s="173">
        <f>IF(preDEL!$AG244,IFERROR(0/0,""),preDEL!AE244)</f>
        <v>139.5833333</v>
      </c>
      <c r="AF244" s="110" t="b">
        <f>IF(preDEL!$AG244,IFERROR(0/0,""),preDEL!AF244)</f>
        <v>0</v>
      </c>
      <c r="AG244" s="110" t="b">
        <f>IF(preDEL!$AG244,IFERROR(0/0,""),preDEL!AG244)</f>
        <v>0</v>
      </c>
      <c r="AH244" s="104" t="str">
        <f>IF(preDEL!$AG244,IFERROR(0/0,""),preDEL!AH244)</f>
        <v/>
      </c>
      <c r="AI244" s="105" t="str">
        <f>IF(preDEL!$AG244,IFERROR(0/0,""),preDEL!AI244)</f>
        <v/>
      </c>
      <c r="AJ244" s="112" t="str">
        <f>IF(preDEL!$AG244,IFERROR(0/0,""),preDEL!AJ244)</f>
        <v/>
      </c>
      <c r="AK244" s="105" t="str">
        <f>IF(preDEL!$AG244,IFERROR(0/0,""),preDEL!AK244)</f>
        <v>Positive</v>
      </c>
      <c r="AL244" s="112" t="str">
        <f>IF(preDEL!$AG244,IFERROR(0/0,""),preDEL!AL244)</f>
        <v/>
      </c>
      <c r="AM244" s="112" t="str">
        <f>IF(preDEL!$AG244,IFERROR(0/0,""),preDEL!AM244)</f>
        <v>SpBEND198321</v>
      </c>
      <c r="AN244" s="112" t="str">
        <f>IF(preDEL!$AG244,IFERROR(0/0,""),preDEL!AN244)</f>
        <v>BEND772881</v>
      </c>
      <c r="AO244" s="112" t="str">
        <f>IF(preDEL!$AG244,IFERROR(0/0,""),preDEL!AO244)</f>
        <v/>
      </c>
      <c r="AP244" s="112" t="str">
        <f>IF(preDEL!$AG244,IFERROR(0/0,""),preDEL!AP244)</f>
        <v/>
      </c>
      <c r="AQ244" s="112" t="str">
        <f>IF(preDEL!$AG244,IFERROR(0/0,""),preDEL!AQ244)</f>
        <v/>
      </c>
      <c r="AR244" s="112" t="str">
        <f>IF(preDEL!$AG244,IFERROR(0/0,""),preDEL!AR244)</f>
        <v/>
      </c>
      <c r="AS244" s="112" t="str">
        <f>IF(preDEL!$AG244,IFERROR(0/0,""),preDEL!AS244)</f>
        <v/>
      </c>
      <c r="AT244" s="112" t="b">
        <f>IF(preDEL!$AG244,IFERROR(0/0,""),preDEL!AT244)</f>
        <v>0</v>
      </c>
      <c r="AU244" s="112" t="str">
        <f>IF(preDEL!$AG244,IFERROR(0/0,""),preDEL!AU244)</f>
        <v/>
      </c>
      <c r="AV244" s="112" t="str">
        <f>IF(preDEL!$AG244,IFERROR(0/0,""),preDEL!AV244)</f>
        <v/>
      </c>
      <c r="AW244" s="112" t="str">
        <f>IF(preDEL!$AG244,IFERROR(0/0,""),preDEL!AW244)</f>
        <v/>
      </c>
      <c r="AX244" s="112" t="str">
        <f>IF(preDEL!$AG244,IFERROR(0/0,""),preDEL!AX244)</f>
        <v/>
      </c>
      <c r="AY244" s="112" t="str">
        <f>IF(preDEL!$AG244,IFERROR(0/0,""),preDEL!AY244)</f>
        <v/>
      </c>
      <c r="AZ244" s="174"/>
      <c r="BA244" s="174"/>
      <c r="BB244" s="174"/>
      <c r="BC244" s="174"/>
      <c r="BD244" s="174"/>
      <c r="BE244" s="174"/>
      <c r="BF244" s="174"/>
      <c r="BG244" s="174"/>
      <c r="BH244" s="174"/>
      <c r="BI244" s="174"/>
      <c r="BJ244" s="174"/>
      <c r="BK244" s="174"/>
      <c r="BL244" s="174"/>
      <c r="BM244" s="174"/>
      <c r="BN244" s="174"/>
      <c r="BO244" s="174"/>
      <c r="BP244" s="174"/>
      <c r="BQ244" s="174"/>
      <c r="BR244" s="174"/>
      <c r="BS244" s="174"/>
      <c r="BT244" s="174"/>
      <c r="BU244" s="174"/>
      <c r="BV244" s="174"/>
      <c r="BW244" s="174"/>
      <c r="BX244" s="174"/>
      <c r="BY244" s="174"/>
      <c r="BZ244" s="174"/>
      <c r="CA244" s="174"/>
      <c r="CB244" s="174"/>
      <c r="CC244" s="174"/>
      <c r="CD244" s="174"/>
    </row>
    <row r="245">
      <c r="A245" s="105" t="str">
        <f>IF(preDEL!$AG245,IFERROR(0/0,""),preDEL!A245)</f>
        <v>MA1248</v>
      </c>
      <c r="B245" s="170">
        <f>IF(preDEL!$AG245,IFERROR(0/0,""),preDEL!B245)</f>
        <v>44579</v>
      </c>
      <c r="C245" s="171">
        <f>IF(preDEL!$AG245,IFERROR(0/0,""),preDEL!C245)</f>
        <v>0.4130324074</v>
      </c>
      <c r="D245" s="105" t="str">
        <f>IF(preDEL!$AG245,IFERROR(0/0,""),preDEL!D245)</f>
        <v/>
      </c>
      <c r="E245" s="105" t="str">
        <f>IF(preDEL!$AG245,IFERROR(0/0,""),preDEL!E245)</f>
        <v/>
      </c>
      <c r="F245" s="112" t="str">
        <f>IF(preDEL!$AG245,IFERROR(0/0,""),preDEL!F245)</f>
        <v/>
      </c>
      <c r="G245" s="112" t="str">
        <f>IF(preDEL!$AG245,IFERROR(0/0,""),preDEL!G245)</f>
        <v/>
      </c>
      <c r="H245" s="112" t="str">
        <f>IF(preDEL!$AG245,IFERROR(0/0,""),preDEL!H245)</f>
        <v/>
      </c>
      <c r="I245" s="105" t="str">
        <f>IF(preDEL!$AG245,IFERROR(0/0,""),preDEL!I245)</f>
        <v/>
      </c>
      <c r="J245" s="105" t="str">
        <f>IF(preDEL!$AG245,IFERROR(0/0,""),preDEL!J245)</f>
        <v/>
      </c>
      <c r="K245" s="105" t="str">
        <f>IF(preDEL!$AG245,IFERROR(0/0,""),preDEL!K245)</f>
        <v>Negative</v>
      </c>
      <c r="L245" s="170">
        <f>IF(preDEL!$AG245,IFERROR(0/0,""),preDEL!L245)</f>
        <v>44580</v>
      </c>
      <c r="M245" s="171">
        <f>IF(preDEL!$AG245,IFERROR(0/0,""),preDEL!M245)</f>
        <v>0.5080208333</v>
      </c>
      <c r="N245" s="112" t="str">
        <f>IF(preDEL!$AG245,IFERROR(0/0,""),preDEL!N245)</f>
        <v/>
      </c>
      <c r="O245" s="112" t="str">
        <f>IF(preDEL!$AG245,IFERROR(0/0,""),preDEL!O245)</f>
        <v/>
      </c>
      <c r="P245" s="110" t="b">
        <f>IF(preDEL!$AG245,IFERROR(0/0,""),preDEL!P245)</f>
        <v>0</v>
      </c>
      <c r="Q245" s="110" t="str">
        <f>IF(preDEL!$AG245,IFERROR(0/0,""),preDEL!Q245)</f>
        <v>Result</v>
      </c>
      <c r="R245" s="104" t="b">
        <f>IF(preDEL!$AG245,IFERROR(0/0,""),preDEL!R245)</f>
        <v>1</v>
      </c>
      <c r="S245" s="104">
        <f>IF(preDEL!$AG245,IFERROR(0/0,""),preDEL!S245)</f>
        <v>1</v>
      </c>
      <c r="T245" s="110">
        <f>IF(preDEL!$AG245,IFERROR(0/0,""),preDEL!T245)</f>
        <v>0</v>
      </c>
      <c r="U245" s="112" t="str">
        <f>IF(preDEL!$AG245,IFERROR(0/0,""),preDEL!U245)</f>
        <v/>
      </c>
      <c r="V245" s="105" t="str">
        <f>IF(preDEL!$AG245,IFERROR(0/0,""),preDEL!V245)</f>
        <v/>
      </c>
      <c r="W245" s="112" t="str">
        <f>IF(preDEL!$AG245,IFERROR(0/0,""),preDEL!W245)</f>
        <v/>
      </c>
      <c r="X245" s="104" t="b">
        <f>IF(preDEL!$AG245,IFERROR(0/0,""),preDEL!X245)</f>
        <v>0</v>
      </c>
      <c r="Y245" s="110" t="b">
        <f>IF(preDEL!$AG245,IFERROR(0/0,""),preDEL!Y245)</f>
        <v>0</v>
      </c>
      <c r="Z245" s="105" t="str">
        <f>IF(preDEL!$AG245,IFERROR(0/0,""),preDEL!Z245)</f>
        <v/>
      </c>
      <c r="AA245" s="110" t="b">
        <f>IF(preDEL!$AG245,IFERROR(0/0,""),preDEL!AA245)</f>
        <v>0</v>
      </c>
      <c r="AB245" s="110" t="b">
        <f>IF(preDEL!$AG245,IFERROR(0/0,""),preDEL!AB245)</f>
        <v>0</v>
      </c>
      <c r="AC245" s="172">
        <f>IF(preDEL!$AG245,IFERROR(0/0,""),preDEL!AC245)</f>
        <v>549</v>
      </c>
      <c r="AD245" s="104" t="b">
        <f>IF(preDEL!$AG245,IFERROR(0/0,""),preDEL!AD245)</f>
        <v>0</v>
      </c>
      <c r="AE245" s="173" t="str">
        <f>IF(preDEL!$AG245,IFERROR(0/0,""),preDEL!AE245)</f>
        <v/>
      </c>
      <c r="AF245" s="110" t="b">
        <f>IF(preDEL!$AG245,IFERROR(0/0,""),preDEL!AF245)</f>
        <v>0</v>
      </c>
      <c r="AG245" s="110" t="b">
        <f>IF(preDEL!$AG245,IFERROR(0/0,""),preDEL!AG245)</f>
        <v>0</v>
      </c>
      <c r="AH245" s="104" t="str">
        <f>IF(preDEL!$AG245,IFERROR(0/0,""),preDEL!AH245)</f>
        <v/>
      </c>
      <c r="AI245" s="105" t="str">
        <f>IF(preDEL!$AG245,IFERROR(0/0,""),preDEL!AI245)</f>
        <v/>
      </c>
      <c r="AJ245" s="112" t="str">
        <f>IF(preDEL!$AG245,IFERROR(0/0,""),preDEL!AJ245)</f>
        <v/>
      </c>
      <c r="AK245" s="105" t="str">
        <f>IF(preDEL!$AG245,IFERROR(0/0,""),preDEL!AK245)</f>
        <v>Negative</v>
      </c>
      <c r="AL245" s="112" t="str">
        <f>IF(preDEL!$AG245,IFERROR(0/0,""),preDEL!AL245)</f>
        <v/>
      </c>
      <c r="AM245" s="112" t="str">
        <f>IF(preDEL!$AG245,IFERROR(0/0,""),preDEL!AM245)</f>
        <v>SpBEND394154</v>
      </c>
      <c r="AN245" s="112" t="str">
        <f>IF(preDEL!$AG245,IFERROR(0/0,""),preDEL!AN245)</f>
        <v>BEND190541</v>
      </c>
      <c r="AO245" s="112" t="str">
        <f>IF(preDEL!$AG245,IFERROR(0/0,""),preDEL!AO245)</f>
        <v/>
      </c>
      <c r="AP245" s="112" t="str">
        <f>IF(preDEL!$AG245,IFERROR(0/0,""),preDEL!AP245)</f>
        <v/>
      </c>
      <c r="AQ245" s="112" t="str">
        <f>IF(preDEL!$AG245,IFERROR(0/0,""),preDEL!AQ245)</f>
        <v/>
      </c>
      <c r="AR245" s="112" t="str">
        <f>IF(preDEL!$AG245,IFERROR(0/0,""),preDEL!AR245)</f>
        <v/>
      </c>
      <c r="AS245" s="112" t="str">
        <f>IF(preDEL!$AG245,IFERROR(0/0,""),preDEL!AS245)</f>
        <v/>
      </c>
      <c r="AT245" s="112" t="b">
        <f>IF(preDEL!$AG245,IFERROR(0/0,""),preDEL!AT245)</f>
        <v>0</v>
      </c>
      <c r="AU245" s="112" t="str">
        <f>IF(preDEL!$AG245,IFERROR(0/0,""),preDEL!AU245)</f>
        <v/>
      </c>
      <c r="AV245" s="112" t="str">
        <f>IF(preDEL!$AG245,IFERROR(0/0,""),preDEL!AV245)</f>
        <v/>
      </c>
      <c r="AW245" s="112" t="str">
        <f>IF(preDEL!$AG245,IFERROR(0/0,""),preDEL!AW245)</f>
        <v/>
      </c>
      <c r="AX245" s="112" t="str">
        <f>IF(preDEL!$AG245,IFERROR(0/0,""),preDEL!AX245)</f>
        <v/>
      </c>
      <c r="AY245" s="112" t="str">
        <f>IF(preDEL!$AG245,IFERROR(0/0,""),preDEL!AY245)</f>
        <v/>
      </c>
      <c r="AZ245" s="174"/>
      <c r="BA245" s="174"/>
      <c r="BB245" s="174"/>
      <c r="BC245" s="174"/>
      <c r="BD245" s="174"/>
      <c r="BE245" s="174"/>
      <c r="BF245" s="174"/>
      <c r="BG245" s="174"/>
      <c r="BH245" s="174"/>
      <c r="BI245" s="174"/>
      <c r="BJ245" s="174"/>
      <c r="BK245" s="174"/>
      <c r="BL245" s="174"/>
      <c r="BM245" s="174"/>
      <c r="BN245" s="174"/>
      <c r="BO245" s="174"/>
      <c r="BP245" s="174"/>
      <c r="BQ245" s="174"/>
      <c r="BR245" s="174"/>
      <c r="BS245" s="174"/>
      <c r="BT245" s="174"/>
      <c r="BU245" s="174"/>
      <c r="BV245" s="174"/>
      <c r="BW245" s="174"/>
      <c r="BX245" s="174"/>
      <c r="BY245" s="174"/>
      <c r="BZ245" s="174"/>
      <c r="CA245" s="174"/>
      <c r="CB245" s="174"/>
      <c r="CC245" s="174"/>
      <c r="CD245" s="174"/>
    </row>
    <row r="246">
      <c r="A246" s="105" t="str">
        <f>IF(preDEL!$AG246,IFERROR(0/0,""),preDEL!A246)</f>
        <v>MA422</v>
      </c>
      <c r="B246" s="170">
        <f>IF(preDEL!$AG246,IFERROR(0/0,""),preDEL!B246)</f>
        <v>44579</v>
      </c>
      <c r="C246" s="171">
        <f>IF(preDEL!$AG246,IFERROR(0/0,""),preDEL!C246)</f>
        <v>0.4133333333</v>
      </c>
      <c r="D246" s="105" t="str">
        <f>IF(preDEL!$AG246,IFERROR(0/0,""),preDEL!D246)</f>
        <v/>
      </c>
      <c r="E246" s="105" t="str">
        <f>IF(preDEL!$AG246,IFERROR(0/0,""),preDEL!E246)</f>
        <v/>
      </c>
      <c r="F246" s="112" t="str">
        <f>IF(preDEL!$AG246,IFERROR(0/0,""),preDEL!F246)</f>
        <v/>
      </c>
      <c r="G246" s="112" t="str">
        <f>IF(preDEL!$AG246,IFERROR(0/0,""),preDEL!G246)</f>
        <v/>
      </c>
      <c r="H246" s="112" t="str">
        <f>IF(preDEL!$AG246,IFERROR(0/0,""),preDEL!H246)</f>
        <v/>
      </c>
      <c r="I246" s="105" t="str">
        <f>IF(preDEL!$AG246,IFERROR(0/0,""),preDEL!I246)</f>
        <v/>
      </c>
      <c r="J246" s="105" t="str">
        <f>IF(preDEL!$AG246,IFERROR(0/0,""),preDEL!J246)</f>
        <v/>
      </c>
      <c r="K246" s="105" t="str">
        <f>IF(preDEL!$AG246,IFERROR(0/0,""),preDEL!K246)</f>
        <v>Positive</v>
      </c>
      <c r="L246" s="170">
        <f>IF(preDEL!$AG246,IFERROR(0/0,""),preDEL!L246)</f>
        <v>44579</v>
      </c>
      <c r="M246" s="171">
        <f>IF(preDEL!$AG246,IFERROR(0/0,""),preDEL!M246)</f>
        <v>0.5015972222</v>
      </c>
      <c r="N246" s="112" t="str">
        <f>IF(preDEL!$AG246,IFERROR(0/0,""),preDEL!N246)</f>
        <v/>
      </c>
      <c r="O246" s="112" t="str">
        <f>IF(preDEL!$AG246,IFERROR(0/0,""),preDEL!O246)</f>
        <v/>
      </c>
      <c r="P246" s="110" t="b">
        <f>IF(preDEL!$AG246,IFERROR(0/0,""),preDEL!P246)</f>
        <v>0</v>
      </c>
      <c r="Q246" s="110" t="str">
        <f>IF(preDEL!$AG246,IFERROR(0/0,""),preDEL!Q246)</f>
        <v>Result</v>
      </c>
      <c r="R246" s="104" t="b">
        <f>IF(preDEL!$AG246,IFERROR(0/0,""),preDEL!R246)</f>
        <v>1</v>
      </c>
      <c r="S246" s="104">
        <f>IF(preDEL!$AG246,IFERROR(0/0,""),preDEL!S246)</f>
        <v>1</v>
      </c>
      <c r="T246" s="110" t="str">
        <f>IF(preDEL!$AG246,IFERROR(0/0,""),preDEL!T246)</f>
        <v/>
      </c>
      <c r="U246" s="112" t="str">
        <f>IF(preDEL!$AG246,IFERROR(0/0,""),preDEL!U246)</f>
        <v/>
      </c>
      <c r="V246" s="105" t="str">
        <f>IF(preDEL!$AG246,IFERROR(0/0,""),preDEL!V246)</f>
        <v/>
      </c>
      <c r="W246" s="112" t="str">
        <f>IF(preDEL!$AG246,IFERROR(0/0,""),preDEL!W246)</f>
        <v/>
      </c>
      <c r="X246" s="104" t="b">
        <f>IF(preDEL!$AG246,IFERROR(0/0,""),preDEL!X246)</f>
        <v>0</v>
      </c>
      <c r="Y246" s="110" t="b">
        <f>IF(preDEL!$AG246,IFERROR(0/0,""),preDEL!Y246)</f>
        <v>0</v>
      </c>
      <c r="Z246" s="105" t="str">
        <f>IF(preDEL!$AG246,IFERROR(0/0,""),preDEL!Z246)</f>
        <v/>
      </c>
      <c r="AA246" s="110" t="b">
        <f>IF(preDEL!$AG246,IFERROR(0/0,""),preDEL!AA246)</f>
        <v>0</v>
      </c>
      <c r="AB246" s="110" t="b">
        <f>IF(preDEL!$AG246,IFERROR(0/0,""),preDEL!AB246)</f>
        <v>0</v>
      </c>
      <c r="AC246" s="172">
        <f>IF(preDEL!$AG246,IFERROR(0/0,""),preDEL!AC246)</f>
        <v>583</v>
      </c>
      <c r="AD246" s="104" t="b">
        <f>IF(preDEL!$AG246,IFERROR(0/0,""),preDEL!AD246)</f>
        <v>0</v>
      </c>
      <c r="AE246" s="173">
        <f>IF(preDEL!$AG246,IFERROR(0/0,""),preDEL!AE246)</f>
        <v>127.1</v>
      </c>
      <c r="AF246" s="110" t="b">
        <f>IF(preDEL!$AG246,IFERROR(0/0,""),preDEL!AF246)</f>
        <v>0</v>
      </c>
      <c r="AG246" s="110" t="b">
        <f>IF(preDEL!$AG246,IFERROR(0/0,""),preDEL!AG246)</f>
        <v>0</v>
      </c>
      <c r="AH246" s="104" t="str">
        <f>IF(preDEL!$AG246,IFERROR(0/0,""),preDEL!AH246)</f>
        <v/>
      </c>
      <c r="AI246" s="105" t="str">
        <f>IF(preDEL!$AG246,IFERROR(0/0,""),preDEL!AI246)</f>
        <v/>
      </c>
      <c r="AJ246" s="112" t="str">
        <f>IF(preDEL!$AG246,IFERROR(0/0,""),preDEL!AJ246)</f>
        <v/>
      </c>
      <c r="AK246" s="105" t="str">
        <f>IF(preDEL!$AG246,IFERROR(0/0,""),preDEL!AK246)</f>
        <v>Positive</v>
      </c>
      <c r="AL246" s="112" t="str">
        <f>IF(preDEL!$AG246,IFERROR(0/0,""),preDEL!AL246)</f>
        <v/>
      </c>
      <c r="AM246" s="112" t="str">
        <f>IF(preDEL!$AG246,IFERROR(0/0,""),preDEL!AM246)</f>
        <v>SpBEND394154</v>
      </c>
      <c r="AN246" s="112" t="str">
        <f>IF(preDEL!$AG246,IFERROR(0/0,""),preDEL!AN246)</f>
        <v>BEND689884</v>
      </c>
      <c r="AO246" s="112" t="str">
        <f>IF(preDEL!$AG246,IFERROR(0/0,""),preDEL!AO246)</f>
        <v/>
      </c>
      <c r="AP246" s="112" t="str">
        <f>IF(preDEL!$AG246,IFERROR(0/0,""),preDEL!AP246)</f>
        <v/>
      </c>
      <c r="AQ246" s="112" t="str">
        <f>IF(preDEL!$AG246,IFERROR(0/0,""),preDEL!AQ246)</f>
        <v/>
      </c>
      <c r="AR246" s="112" t="str">
        <f>IF(preDEL!$AG246,IFERROR(0/0,""),preDEL!AR246)</f>
        <v/>
      </c>
      <c r="AS246" s="112" t="str">
        <f>IF(preDEL!$AG246,IFERROR(0/0,""),preDEL!AS246)</f>
        <v/>
      </c>
      <c r="AT246" s="112" t="b">
        <f>IF(preDEL!$AG246,IFERROR(0/0,""),preDEL!AT246)</f>
        <v>0</v>
      </c>
      <c r="AU246" s="112" t="str">
        <f>IF(preDEL!$AG246,IFERROR(0/0,""),preDEL!AU246)</f>
        <v/>
      </c>
      <c r="AV246" s="112" t="str">
        <f>IF(preDEL!$AG246,IFERROR(0/0,""),preDEL!AV246)</f>
        <v/>
      </c>
      <c r="AW246" s="112" t="str">
        <f>IF(preDEL!$AG246,IFERROR(0/0,""),preDEL!AW246)</f>
        <v/>
      </c>
      <c r="AX246" s="112" t="str">
        <f>IF(preDEL!$AG246,IFERROR(0/0,""),preDEL!AX246)</f>
        <v/>
      </c>
      <c r="AY246" s="112" t="str">
        <f>IF(preDEL!$AG246,IFERROR(0/0,""),preDEL!AY246)</f>
        <v/>
      </c>
      <c r="AZ246" s="174"/>
      <c r="BA246" s="174"/>
      <c r="BB246" s="174"/>
      <c r="BC246" s="174"/>
      <c r="BD246" s="174"/>
      <c r="BE246" s="174"/>
      <c r="BF246" s="174"/>
      <c r="BG246" s="174"/>
      <c r="BH246" s="174"/>
      <c r="BI246" s="174"/>
      <c r="BJ246" s="174"/>
      <c r="BK246" s="174"/>
      <c r="BL246" s="174"/>
      <c r="BM246" s="174"/>
      <c r="BN246" s="174"/>
      <c r="BO246" s="174"/>
      <c r="BP246" s="174"/>
      <c r="BQ246" s="174"/>
      <c r="BR246" s="174"/>
      <c r="BS246" s="174"/>
      <c r="BT246" s="174"/>
      <c r="BU246" s="174"/>
      <c r="BV246" s="174"/>
      <c r="BW246" s="174"/>
      <c r="BX246" s="174"/>
      <c r="BY246" s="174"/>
      <c r="BZ246" s="174"/>
      <c r="CA246" s="174"/>
      <c r="CB246" s="174"/>
      <c r="CC246" s="174"/>
      <c r="CD246" s="174"/>
    </row>
    <row r="247">
      <c r="A247" s="105" t="str">
        <f>IF(preDEL!$AG247,IFERROR(0/0,""),preDEL!A247)</f>
        <v>MA1146</v>
      </c>
      <c r="B247" s="170">
        <f>IF(preDEL!$AG247,IFERROR(0/0,""),preDEL!B247)</f>
        <v>44579</v>
      </c>
      <c r="C247" s="171">
        <f>IF(preDEL!$AG247,IFERROR(0/0,""),preDEL!C247)</f>
        <v>0.4136805556</v>
      </c>
      <c r="D247" s="105" t="str">
        <f>IF(preDEL!$AG247,IFERROR(0/0,""),preDEL!D247)</f>
        <v/>
      </c>
      <c r="E247" s="105" t="str">
        <f>IF(preDEL!$AG247,IFERROR(0/0,""),preDEL!E247)</f>
        <v/>
      </c>
      <c r="F247" s="112" t="str">
        <f>IF(preDEL!$AG247,IFERROR(0/0,""),preDEL!F247)</f>
        <v/>
      </c>
      <c r="G247" s="112" t="str">
        <f>IF(preDEL!$AG247,IFERROR(0/0,""),preDEL!G247)</f>
        <v/>
      </c>
      <c r="H247" s="112" t="str">
        <f>IF(preDEL!$AG247,IFERROR(0/0,""),preDEL!H247)</f>
        <v/>
      </c>
      <c r="I247" s="105" t="str">
        <f>IF(preDEL!$AG247,IFERROR(0/0,""),preDEL!I247)</f>
        <v/>
      </c>
      <c r="J247" s="105" t="str">
        <f>IF(preDEL!$AG247,IFERROR(0/0,""),preDEL!J247)</f>
        <v/>
      </c>
      <c r="K247" s="105" t="str">
        <f>IF(preDEL!$AG247,IFERROR(0/0,""),preDEL!K247)</f>
        <v>Positive</v>
      </c>
      <c r="L247" s="170">
        <f>IF(preDEL!$AG247,IFERROR(0/0,""),preDEL!L247)</f>
        <v>44579</v>
      </c>
      <c r="M247" s="171">
        <f>IF(preDEL!$AG247,IFERROR(0/0,""),preDEL!M247)</f>
        <v>0.5015972222</v>
      </c>
      <c r="N247" s="112" t="str">
        <f>IF(preDEL!$AG247,IFERROR(0/0,""),preDEL!N247)</f>
        <v/>
      </c>
      <c r="O247" s="112" t="str">
        <f>IF(preDEL!$AG247,IFERROR(0/0,""),preDEL!O247)</f>
        <v/>
      </c>
      <c r="P247" s="110" t="b">
        <f>IF(preDEL!$AG247,IFERROR(0/0,""),preDEL!P247)</f>
        <v>0</v>
      </c>
      <c r="Q247" s="110" t="str">
        <f>IF(preDEL!$AG247,IFERROR(0/0,""),preDEL!Q247)</f>
        <v>Result</v>
      </c>
      <c r="R247" s="104" t="b">
        <f>IF(preDEL!$AG247,IFERROR(0/0,""),preDEL!R247)</f>
        <v>1</v>
      </c>
      <c r="S247" s="104">
        <f>IF(preDEL!$AG247,IFERROR(0/0,""),preDEL!S247)</f>
        <v>1</v>
      </c>
      <c r="T247" s="110" t="str">
        <f>IF(preDEL!$AG247,IFERROR(0/0,""),preDEL!T247)</f>
        <v/>
      </c>
      <c r="U247" s="112" t="str">
        <f>IF(preDEL!$AG247,IFERROR(0/0,""),preDEL!U247)</f>
        <v/>
      </c>
      <c r="V247" s="105" t="str">
        <f>IF(preDEL!$AG247,IFERROR(0/0,""),preDEL!V247)</f>
        <v/>
      </c>
      <c r="W247" s="112" t="str">
        <f>IF(preDEL!$AG247,IFERROR(0/0,""),preDEL!W247)</f>
        <v/>
      </c>
      <c r="X247" s="104" t="b">
        <f>IF(preDEL!$AG247,IFERROR(0/0,""),preDEL!X247)</f>
        <v>0</v>
      </c>
      <c r="Y247" s="110" t="b">
        <f>IF(preDEL!$AG247,IFERROR(0/0,""),preDEL!Y247)</f>
        <v>0</v>
      </c>
      <c r="Z247" s="105" t="str">
        <f>IF(preDEL!$AG247,IFERROR(0/0,""),preDEL!Z247)</f>
        <v/>
      </c>
      <c r="AA247" s="110" t="b">
        <f>IF(preDEL!$AG247,IFERROR(0/0,""),preDEL!AA247)</f>
        <v>0</v>
      </c>
      <c r="AB247" s="110" t="b">
        <f>IF(preDEL!$AG247,IFERROR(0/0,""),preDEL!AB247)</f>
        <v>0</v>
      </c>
      <c r="AC247" s="172">
        <f>IF(preDEL!$AG247,IFERROR(0/0,""),preDEL!AC247)</f>
        <v>582</v>
      </c>
      <c r="AD247" s="104" t="b">
        <f>IF(preDEL!$AG247,IFERROR(0/0,""),preDEL!AD247)</f>
        <v>0</v>
      </c>
      <c r="AE247" s="173">
        <f>IF(preDEL!$AG247,IFERROR(0/0,""),preDEL!AE247)</f>
        <v>126.6</v>
      </c>
      <c r="AF247" s="110" t="b">
        <f>IF(preDEL!$AG247,IFERROR(0/0,""),preDEL!AF247)</f>
        <v>0</v>
      </c>
      <c r="AG247" s="110" t="b">
        <f>IF(preDEL!$AG247,IFERROR(0/0,""),preDEL!AG247)</f>
        <v>0</v>
      </c>
      <c r="AH247" s="104" t="str">
        <f>IF(preDEL!$AG247,IFERROR(0/0,""),preDEL!AH247)</f>
        <v/>
      </c>
      <c r="AI247" s="105" t="str">
        <f>IF(preDEL!$AG247,IFERROR(0/0,""),preDEL!AI247)</f>
        <v/>
      </c>
      <c r="AJ247" s="112" t="str">
        <f>IF(preDEL!$AG247,IFERROR(0/0,""),preDEL!AJ247)</f>
        <v/>
      </c>
      <c r="AK247" s="105" t="str">
        <f>IF(preDEL!$AG247,IFERROR(0/0,""),preDEL!AK247)</f>
        <v>Positive</v>
      </c>
      <c r="AL247" s="112" t="str">
        <f>IF(preDEL!$AG247,IFERROR(0/0,""),preDEL!AL247)</f>
        <v/>
      </c>
      <c r="AM247" s="112" t="str">
        <f>IF(preDEL!$AG247,IFERROR(0/0,""),preDEL!AM247)</f>
        <v>SpBEND394154</v>
      </c>
      <c r="AN247" s="112" t="str">
        <f>IF(preDEL!$AG247,IFERROR(0/0,""),preDEL!AN247)</f>
        <v>BEND278730</v>
      </c>
      <c r="AO247" s="112" t="str">
        <f>IF(preDEL!$AG247,IFERROR(0/0,""),preDEL!AO247)</f>
        <v/>
      </c>
      <c r="AP247" s="112" t="str">
        <f>IF(preDEL!$AG247,IFERROR(0/0,""),preDEL!AP247)</f>
        <v/>
      </c>
      <c r="AQ247" s="112" t="str">
        <f>IF(preDEL!$AG247,IFERROR(0/0,""),preDEL!AQ247)</f>
        <v/>
      </c>
      <c r="AR247" s="112" t="str">
        <f>IF(preDEL!$AG247,IFERROR(0/0,""),preDEL!AR247)</f>
        <v/>
      </c>
      <c r="AS247" s="112" t="str">
        <f>IF(preDEL!$AG247,IFERROR(0/0,""),preDEL!AS247)</f>
        <v/>
      </c>
      <c r="AT247" s="112" t="b">
        <f>IF(preDEL!$AG247,IFERROR(0/0,""),preDEL!AT247)</f>
        <v>0</v>
      </c>
      <c r="AU247" s="112" t="str">
        <f>IF(preDEL!$AG247,IFERROR(0/0,""),preDEL!AU247)</f>
        <v/>
      </c>
      <c r="AV247" s="112" t="str">
        <f>IF(preDEL!$AG247,IFERROR(0/0,""),preDEL!AV247)</f>
        <v/>
      </c>
      <c r="AW247" s="112" t="str">
        <f>IF(preDEL!$AG247,IFERROR(0/0,""),preDEL!AW247)</f>
        <v/>
      </c>
      <c r="AX247" s="112" t="str">
        <f>IF(preDEL!$AG247,IFERROR(0/0,""),preDEL!AX247)</f>
        <v/>
      </c>
      <c r="AY247" s="112" t="str">
        <f>IF(preDEL!$AG247,IFERROR(0/0,""),preDEL!AY247)</f>
        <v/>
      </c>
      <c r="AZ247" s="174"/>
      <c r="BA247" s="174"/>
      <c r="BB247" s="174"/>
      <c r="BC247" s="174"/>
      <c r="BD247" s="174"/>
      <c r="BE247" s="174"/>
      <c r="BF247" s="174"/>
      <c r="BG247" s="174"/>
      <c r="BH247" s="174"/>
      <c r="BI247" s="174"/>
      <c r="BJ247" s="174"/>
      <c r="BK247" s="174"/>
      <c r="BL247" s="174"/>
      <c r="BM247" s="174"/>
      <c r="BN247" s="174"/>
      <c r="BO247" s="174"/>
      <c r="BP247" s="174"/>
      <c r="BQ247" s="174"/>
      <c r="BR247" s="174"/>
      <c r="BS247" s="174"/>
      <c r="BT247" s="174"/>
      <c r="BU247" s="174"/>
      <c r="BV247" s="174"/>
      <c r="BW247" s="174"/>
      <c r="BX247" s="174"/>
      <c r="BY247" s="174"/>
      <c r="BZ247" s="174"/>
      <c r="CA247" s="174"/>
      <c r="CB247" s="174"/>
      <c r="CC247" s="174"/>
      <c r="CD247" s="174"/>
    </row>
    <row r="248">
      <c r="A248" s="105" t="str">
        <f>IF(preDEL!$AG248,IFERROR(0/0,""),preDEL!A248)</f>
        <v>MA1162</v>
      </c>
      <c r="B248" s="170">
        <f>IF(preDEL!$AG248,IFERROR(0/0,""),preDEL!B248)</f>
        <v>44579</v>
      </c>
      <c r="C248" s="171">
        <f>IF(preDEL!$AG248,IFERROR(0/0,""),preDEL!C248)</f>
        <v>0.4140740741</v>
      </c>
      <c r="D248" s="105" t="str">
        <f>IF(preDEL!$AG248,IFERROR(0/0,""),preDEL!D248)</f>
        <v/>
      </c>
      <c r="E248" s="105" t="str">
        <f>IF(preDEL!$AG248,IFERROR(0/0,""),preDEL!E248)</f>
        <v/>
      </c>
      <c r="F248" s="112" t="str">
        <f>IF(preDEL!$AG248,IFERROR(0/0,""),preDEL!F248)</f>
        <v/>
      </c>
      <c r="G248" s="112" t="str">
        <f>IF(preDEL!$AG248,IFERROR(0/0,""),preDEL!G248)</f>
        <v/>
      </c>
      <c r="H248" s="112" t="str">
        <f>IF(preDEL!$AG248,IFERROR(0/0,""),preDEL!H248)</f>
        <v/>
      </c>
      <c r="I248" s="105" t="str">
        <f>IF(preDEL!$AG248,IFERROR(0/0,""),preDEL!I248)</f>
        <v/>
      </c>
      <c r="J248" s="105" t="str">
        <f>IF(preDEL!$AG248,IFERROR(0/0,""),preDEL!J248)</f>
        <v/>
      </c>
      <c r="K248" s="105" t="str">
        <f>IF(preDEL!$AG248,IFERROR(0/0,""),preDEL!K248)</f>
        <v>Positive</v>
      </c>
      <c r="L248" s="170">
        <f>IF(preDEL!$AG248,IFERROR(0/0,""),preDEL!L248)</f>
        <v>44579</v>
      </c>
      <c r="M248" s="171">
        <f>IF(preDEL!$AG248,IFERROR(0/0,""),preDEL!M248)</f>
        <v>0.5015972222</v>
      </c>
      <c r="N248" s="112" t="str">
        <f>IF(preDEL!$AG248,IFERROR(0/0,""),preDEL!N248)</f>
        <v/>
      </c>
      <c r="O248" s="112" t="str">
        <f>IF(preDEL!$AG248,IFERROR(0/0,""),preDEL!O248)</f>
        <v/>
      </c>
      <c r="P248" s="110" t="b">
        <f>IF(preDEL!$AG248,IFERROR(0/0,""),preDEL!P248)</f>
        <v>0</v>
      </c>
      <c r="Q248" s="110" t="str">
        <f>IF(preDEL!$AG248,IFERROR(0/0,""),preDEL!Q248)</f>
        <v>Result</v>
      </c>
      <c r="R248" s="104" t="b">
        <f>IF(preDEL!$AG248,IFERROR(0/0,""),preDEL!R248)</f>
        <v>1</v>
      </c>
      <c r="S248" s="104">
        <f>IF(preDEL!$AG248,IFERROR(0/0,""),preDEL!S248)</f>
        <v>1</v>
      </c>
      <c r="T248" s="110" t="str">
        <f>IF(preDEL!$AG248,IFERROR(0/0,""),preDEL!T248)</f>
        <v/>
      </c>
      <c r="U248" s="112" t="str">
        <f>IF(preDEL!$AG248,IFERROR(0/0,""),preDEL!U248)</f>
        <v/>
      </c>
      <c r="V248" s="105" t="str">
        <f>IF(preDEL!$AG248,IFERROR(0/0,""),preDEL!V248)</f>
        <v/>
      </c>
      <c r="W248" s="112" t="str">
        <f>IF(preDEL!$AG248,IFERROR(0/0,""),preDEL!W248)</f>
        <v/>
      </c>
      <c r="X248" s="104" t="b">
        <f>IF(preDEL!$AG248,IFERROR(0/0,""),preDEL!X248)</f>
        <v>0</v>
      </c>
      <c r="Y248" s="110" t="b">
        <f>IF(preDEL!$AG248,IFERROR(0/0,""),preDEL!Y248)</f>
        <v>0</v>
      </c>
      <c r="Z248" s="105" t="str">
        <f>IF(preDEL!$AG248,IFERROR(0/0,""),preDEL!Z248)</f>
        <v/>
      </c>
      <c r="AA248" s="110" t="b">
        <f>IF(preDEL!$AG248,IFERROR(0/0,""),preDEL!AA248)</f>
        <v>0</v>
      </c>
      <c r="AB248" s="110" t="b">
        <f>IF(preDEL!$AG248,IFERROR(0/0,""),preDEL!AB248)</f>
        <v>0</v>
      </c>
      <c r="AC248" s="172">
        <f>IF(preDEL!$AG248,IFERROR(0/0,""),preDEL!AC248)</f>
        <v>580</v>
      </c>
      <c r="AD248" s="104" t="b">
        <f>IF(preDEL!$AG248,IFERROR(0/0,""),preDEL!AD248)</f>
        <v>0</v>
      </c>
      <c r="AE248" s="173">
        <f>IF(preDEL!$AG248,IFERROR(0/0,""),preDEL!AE248)</f>
        <v>126.0333333</v>
      </c>
      <c r="AF248" s="110" t="b">
        <f>IF(preDEL!$AG248,IFERROR(0/0,""),preDEL!AF248)</f>
        <v>0</v>
      </c>
      <c r="AG248" s="110" t="b">
        <f>IF(preDEL!$AG248,IFERROR(0/0,""),preDEL!AG248)</f>
        <v>0</v>
      </c>
      <c r="AH248" s="104" t="str">
        <f>IF(preDEL!$AG248,IFERROR(0/0,""),preDEL!AH248)</f>
        <v/>
      </c>
      <c r="AI248" s="105" t="str">
        <f>IF(preDEL!$AG248,IFERROR(0/0,""),preDEL!AI248)</f>
        <v/>
      </c>
      <c r="AJ248" s="112" t="str">
        <f>IF(preDEL!$AG248,IFERROR(0/0,""),preDEL!AJ248)</f>
        <v/>
      </c>
      <c r="AK248" s="105" t="str">
        <f>IF(preDEL!$AG248,IFERROR(0/0,""),preDEL!AK248)</f>
        <v>Positive</v>
      </c>
      <c r="AL248" s="112" t="str">
        <f>IF(preDEL!$AG248,IFERROR(0/0,""),preDEL!AL248)</f>
        <v/>
      </c>
      <c r="AM248" s="112" t="str">
        <f>IF(preDEL!$AG248,IFERROR(0/0,""),preDEL!AM248)</f>
        <v>SpBEND394154</v>
      </c>
      <c r="AN248" s="112" t="str">
        <f>IF(preDEL!$AG248,IFERROR(0/0,""),preDEL!AN248)</f>
        <v>BEND182231</v>
      </c>
      <c r="AO248" s="112" t="str">
        <f>IF(preDEL!$AG248,IFERROR(0/0,""),preDEL!AO248)</f>
        <v/>
      </c>
      <c r="AP248" s="112" t="str">
        <f>IF(preDEL!$AG248,IFERROR(0/0,""),preDEL!AP248)</f>
        <v/>
      </c>
      <c r="AQ248" s="112" t="str">
        <f>IF(preDEL!$AG248,IFERROR(0/0,""),preDEL!AQ248)</f>
        <v/>
      </c>
      <c r="AR248" s="112" t="str">
        <f>IF(preDEL!$AG248,IFERROR(0/0,""),preDEL!AR248)</f>
        <v/>
      </c>
      <c r="AS248" s="112" t="str">
        <f>IF(preDEL!$AG248,IFERROR(0/0,""),preDEL!AS248)</f>
        <v/>
      </c>
      <c r="AT248" s="112" t="b">
        <f>IF(preDEL!$AG248,IFERROR(0/0,""),preDEL!AT248)</f>
        <v>0</v>
      </c>
      <c r="AU248" s="112" t="str">
        <f>IF(preDEL!$AG248,IFERROR(0/0,""),preDEL!AU248)</f>
        <v/>
      </c>
      <c r="AV248" s="112" t="str">
        <f>IF(preDEL!$AG248,IFERROR(0/0,""),preDEL!AV248)</f>
        <v/>
      </c>
      <c r="AW248" s="112" t="str">
        <f>IF(preDEL!$AG248,IFERROR(0/0,""),preDEL!AW248)</f>
        <v/>
      </c>
      <c r="AX248" s="112" t="str">
        <f>IF(preDEL!$AG248,IFERROR(0/0,""),preDEL!AX248)</f>
        <v/>
      </c>
      <c r="AY248" s="112" t="str">
        <f>IF(preDEL!$AG248,IFERROR(0/0,""),preDEL!AY248)</f>
        <v/>
      </c>
      <c r="AZ248" s="174"/>
      <c r="BA248" s="174"/>
      <c r="BB248" s="174"/>
      <c r="BC248" s="174"/>
      <c r="BD248" s="174"/>
      <c r="BE248" s="174"/>
      <c r="BF248" s="174"/>
      <c r="BG248" s="174"/>
      <c r="BH248" s="174"/>
      <c r="BI248" s="174"/>
      <c r="BJ248" s="174"/>
      <c r="BK248" s="174"/>
      <c r="BL248" s="174"/>
      <c r="BM248" s="174"/>
      <c r="BN248" s="174"/>
      <c r="BO248" s="174"/>
      <c r="BP248" s="174"/>
      <c r="BQ248" s="174"/>
      <c r="BR248" s="174"/>
      <c r="BS248" s="174"/>
      <c r="BT248" s="174"/>
      <c r="BU248" s="174"/>
      <c r="BV248" s="174"/>
      <c r="BW248" s="174"/>
      <c r="BX248" s="174"/>
      <c r="BY248" s="174"/>
      <c r="BZ248" s="174"/>
      <c r="CA248" s="174"/>
      <c r="CB248" s="174"/>
      <c r="CC248" s="174"/>
      <c r="CD248" s="174"/>
    </row>
    <row r="249">
      <c r="A249" s="105" t="str">
        <f>IF(preDEL!$AG249,IFERROR(0/0,""),preDEL!A249)</f>
        <v>MA547</v>
      </c>
      <c r="B249" s="170">
        <f>IF(preDEL!$AG249,IFERROR(0/0,""),preDEL!B249)</f>
        <v>44579</v>
      </c>
      <c r="C249" s="171">
        <f>IF(preDEL!$AG249,IFERROR(0/0,""),preDEL!C249)</f>
        <v>0.4144560185</v>
      </c>
      <c r="D249" s="105" t="str">
        <f>IF(preDEL!$AG249,IFERROR(0/0,""),preDEL!D249)</f>
        <v/>
      </c>
      <c r="E249" s="105" t="str">
        <f>IF(preDEL!$AG249,IFERROR(0/0,""),preDEL!E249)</f>
        <v/>
      </c>
      <c r="F249" s="112" t="str">
        <f>IF(preDEL!$AG249,IFERROR(0/0,""),preDEL!F249)</f>
        <v/>
      </c>
      <c r="G249" s="112" t="str">
        <f>IF(preDEL!$AG249,IFERROR(0/0,""),preDEL!G249)</f>
        <v/>
      </c>
      <c r="H249" s="112" t="str">
        <f>IF(preDEL!$AG249,IFERROR(0/0,""),preDEL!H249)</f>
        <v/>
      </c>
      <c r="I249" s="105" t="str">
        <f>IF(preDEL!$AG249,IFERROR(0/0,""),preDEL!I249)</f>
        <v/>
      </c>
      <c r="J249" s="105" t="str">
        <f>IF(preDEL!$AG249,IFERROR(0/0,""),preDEL!J249)</f>
        <v/>
      </c>
      <c r="K249" s="105" t="str">
        <f>IF(preDEL!$AG249,IFERROR(0/0,""),preDEL!K249)</f>
        <v>Positive</v>
      </c>
      <c r="L249" s="170">
        <f>IF(preDEL!$AG249,IFERROR(0/0,""),preDEL!L249)</f>
        <v>44579</v>
      </c>
      <c r="M249" s="171">
        <f>IF(preDEL!$AG249,IFERROR(0/0,""),preDEL!M249)</f>
        <v>0.5015972222</v>
      </c>
      <c r="N249" s="112" t="str">
        <f>IF(preDEL!$AG249,IFERROR(0/0,""),preDEL!N249)</f>
        <v/>
      </c>
      <c r="O249" s="112" t="str">
        <f>IF(preDEL!$AG249,IFERROR(0/0,""),preDEL!O249)</f>
        <v/>
      </c>
      <c r="P249" s="110" t="b">
        <f>IF(preDEL!$AG249,IFERROR(0/0,""),preDEL!P249)</f>
        <v>0</v>
      </c>
      <c r="Q249" s="110" t="str">
        <f>IF(preDEL!$AG249,IFERROR(0/0,""),preDEL!Q249)</f>
        <v>Result</v>
      </c>
      <c r="R249" s="104" t="b">
        <f>IF(preDEL!$AG249,IFERROR(0/0,""),preDEL!R249)</f>
        <v>1</v>
      </c>
      <c r="S249" s="104">
        <f>IF(preDEL!$AG249,IFERROR(0/0,""),preDEL!S249)</f>
        <v>1</v>
      </c>
      <c r="T249" s="110" t="str">
        <f>IF(preDEL!$AG249,IFERROR(0/0,""),preDEL!T249)</f>
        <v/>
      </c>
      <c r="U249" s="112" t="str">
        <f>IF(preDEL!$AG249,IFERROR(0/0,""),preDEL!U249)</f>
        <v/>
      </c>
      <c r="V249" s="105" t="str">
        <f>IF(preDEL!$AG249,IFERROR(0/0,""),preDEL!V249)</f>
        <v/>
      </c>
      <c r="W249" s="112" t="str">
        <f>IF(preDEL!$AG249,IFERROR(0/0,""),preDEL!W249)</f>
        <v/>
      </c>
      <c r="X249" s="104" t="b">
        <f>IF(preDEL!$AG249,IFERROR(0/0,""),preDEL!X249)</f>
        <v>0</v>
      </c>
      <c r="Y249" s="110" t="b">
        <f>IF(preDEL!$AG249,IFERROR(0/0,""),preDEL!Y249)</f>
        <v>0</v>
      </c>
      <c r="Z249" s="105" t="str">
        <f>IF(preDEL!$AG249,IFERROR(0/0,""),preDEL!Z249)</f>
        <v/>
      </c>
      <c r="AA249" s="110" t="b">
        <f>IF(preDEL!$AG249,IFERROR(0/0,""),preDEL!AA249)</f>
        <v>0</v>
      </c>
      <c r="AB249" s="110" t="b">
        <f>IF(preDEL!$AG249,IFERROR(0/0,""),preDEL!AB249)</f>
        <v>0</v>
      </c>
      <c r="AC249" s="172">
        <f>IF(preDEL!$AG249,IFERROR(0/0,""),preDEL!AC249)</f>
        <v>581</v>
      </c>
      <c r="AD249" s="104" t="b">
        <f>IF(preDEL!$AG249,IFERROR(0/0,""),preDEL!AD249)</f>
        <v>0</v>
      </c>
      <c r="AE249" s="173">
        <f>IF(preDEL!$AG249,IFERROR(0/0,""),preDEL!AE249)</f>
        <v>125.4833333</v>
      </c>
      <c r="AF249" s="110" t="b">
        <f>IF(preDEL!$AG249,IFERROR(0/0,""),preDEL!AF249)</f>
        <v>0</v>
      </c>
      <c r="AG249" s="110" t="b">
        <f>IF(preDEL!$AG249,IFERROR(0/0,""),preDEL!AG249)</f>
        <v>0</v>
      </c>
      <c r="AH249" s="104" t="str">
        <f>IF(preDEL!$AG249,IFERROR(0/0,""),preDEL!AH249)</f>
        <v/>
      </c>
      <c r="AI249" s="105" t="str">
        <f>IF(preDEL!$AG249,IFERROR(0/0,""),preDEL!AI249)</f>
        <v/>
      </c>
      <c r="AJ249" s="112" t="str">
        <f>IF(preDEL!$AG249,IFERROR(0/0,""),preDEL!AJ249)</f>
        <v/>
      </c>
      <c r="AK249" s="105" t="str">
        <f>IF(preDEL!$AG249,IFERROR(0/0,""),preDEL!AK249)</f>
        <v>Positive</v>
      </c>
      <c r="AL249" s="112" t="str">
        <f>IF(preDEL!$AG249,IFERROR(0/0,""),preDEL!AL249)</f>
        <v/>
      </c>
      <c r="AM249" s="112" t="str">
        <f>IF(preDEL!$AG249,IFERROR(0/0,""),preDEL!AM249)</f>
        <v>SpBEND394154</v>
      </c>
      <c r="AN249" s="112" t="str">
        <f>IF(preDEL!$AG249,IFERROR(0/0,""),preDEL!AN249)</f>
        <v>BEND397882</v>
      </c>
      <c r="AO249" s="112" t="str">
        <f>IF(preDEL!$AG249,IFERROR(0/0,""),preDEL!AO249)</f>
        <v/>
      </c>
      <c r="AP249" s="112" t="str">
        <f>IF(preDEL!$AG249,IFERROR(0/0,""),preDEL!AP249)</f>
        <v/>
      </c>
      <c r="AQ249" s="112" t="str">
        <f>IF(preDEL!$AG249,IFERROR(0/0,""),preDEL!AQ249)</f>
        <v/>
      </c>
      <c r="AR249" s="112" t="str">
        <f>IF(preDEL!$AG249,IFERROR(0/0,""),preDEL!AR249)</f>
        <v/>
      </c>
      <c r="AS249" s="112" t="str">
        <f>IF(preDEL!$AG249,IFERROR(0/0,""),preDEL!AS249)</f>
        <v/>
      </c>
      <c r="AT249" s="112" t="b">
        <f>IF(preDEL!$AG249,IFERROR(0/0,""),preDEL!AT249)</f>
        <v>0</v>
      </c>
      <c r="AU249" s="112" t="str">
        <f>IF(preDEL!$AG249,IFERROR(0/0,""),preDEL!AU249)</f>
        <v/>
      </c>
      <c r="AV249" s="112" t="str">
        <f>IF(preDEL!$AG249,IFERROR(0/0,""),preDEL!AV249)</f>
        <v/>
      </c>
      <c r="AW249" s="112" t="str">
        <f>IF(preDEL!$AG249,IFERROR(0/0,""),preDEL!AW249)</f>
        <v/>
      </c>
      <c r="AX249" s="112" t="str">
        <f>IF(preDEL!$AG249,IFERROR(0/0,""),preDEL!AX249)</f>
        <v/>
      </c>
      <c r="AY249" s="112" t="str">
        <f>IF(preDEL!$AG249,IFERROR(0/0,""),preDEL!AY249)</f>
        <v/>
      </c>
      <c r="AZ249" s="174"/>
      <c r="BA249" s="174"/>
      <c r="BB249" s="174"/>
      <c r="BC249" s="174"/>
      <c r="BD249" s="174"/>
      <c r="BE249" s="174"/>
      <c r="BF249" s="174"/>
      <c r="BG249" s="174"/>
      <c r="BH249" s="174"/>
      <c r="BI249" s="174"/>
      <c r="BJ249" s="174"/>
      <c r="BK249" s="174"/>
      <c r="BL249" s="174"/>
      <c r="BM249" s="174"/>
      <c r="BN249" s="174"/>
      <c r="BO249" s="174"/>
      <c r="BP249" s="174"/>
      <c r="BQ249" s="174"/>
      <c r="BR249" s="174"/>
      <c r="BS249" s="174"/>
      <c r="BT249" s="174"/>
      <c r="BU249" s="174"/>
      <c r="BV249" s="174"/>
      <c r="BW249" s="174"/>
      <c r="BX249" s="174"/>
      <c r="BY249" s="174"/>
      <c r="BZ249" s="174"/>
      <c r="CA249" s="174"/>
      <c r="CB249" s="174"/>
      <c r="CC249" s="174"/>
      <c r="CD249" s="174"/>
    </row>
    <row r="250">
      <c r="A250" s="105" t="str">
        <f>IF(preDEL!$AG250,IFERROR(0/0,""),preDEL!A250)</f>
        <v>MA1037</v>
      </c>
      <c r="B250" s="170">
        <f>IF(preDEL!$AG250,IFERROR(0/0,""),preDEL!B250)</f>
        <v>44579</v>
      </c>
      <c r="C250" s="171">
        <f>IF(preDEL!$AG250,IFERROR(0/0,""),preDEL!C250)</f>
        <v>0.4153472222</v>
      </c>
      <c r="D250" s="105" t="str">
        <f>IF(preDEL!$AG250,IFERROR(0/0,""),preDEL!D250)</f>
        <v/>
      </c>
      <c r="E250" s="105" t="str">
        <f>IF(preDEL!$AG250,IFERROR(0/0,""),preDEL!E250)</f>
        <v/>
      </c>
      <c r="F250" s="112" t="str">
        <f>IF(preDEL!$AG250,IFERROR(0/0,""),preDEL!F250)</f>
        <v/>
      </c>
      <c r="G250" s="112" t="str">
        <f>IF(preDEL!$AG250,IFERROR(0/0,""),preDEL!G250)</f>
        <v/>
      </c>
      <c r="H250" s="112" t="str">
        <f>IF(preDEL!$AG250,IFERROR(0/0,""),preDEL!H250)</f>
        <v/>
      </c>
      <c r="I250" s="105" t="str">
        <f>IF(preDEL!$AG250,IFERROR(0/0,""),preDEL!I250)</f>
        <v/>
      </c>
      <c r="J250" s="105" t="str">
        <f>IF(preDEL!$AG250,IFERROR(0/0,""),preDEL!J250)</f>
        <v/>
      </c>
      <c r="K250" s="105" t="str">
        <f>IF(preDEL!$AG250,IFERROR(0/0,""),preDEL!K250)</f>
        <v>Positive</v>
      </c>
      <c r="L250" s="170">
        <f>IF(preDEL!$AG250,IFERROR(0/0,""),preDEL!L250)</f>
        <v>44579</v>
      </c>
      <c r="M250" s="171">
        <f>IF(preDEL!$AG250,IFERROR(0/0,""),preDEL!M250)</f>
        <v>0.5015972222</v>
      </c>
      <c r="N250" s="112" t="str">
        <f>IF(preDEL!$AG250,IFERROR(0/0,""),preDEL!N250)</f>
        <v/>
      </c>
      <c r="O250" s="112" t="str">
        <f>IF(preDEL!$AG250,IFERROR(0/0,""),preDEL!O250)</f>
        <v/>
      </c>
      <c r="P250" s="110" t="b">
        <f>IF(preDEL!$AG250,IFERROR(0/0,""),preDEL!P250)</f>
        <v>0</v>
      </c>
      <c r="Q250" s="110" t="str">
        <f>IF(preDEL!$AG250,IFERROR(0/0,""),preDEL!Q250)</f>
        <v>Result</v>
      </c>
      <c r="R250" s="104" t="b">
        <f>IF(preDEL!$AG250,IFERROR(0/0,""),preDEL!R250)</f>
        <v>1</v>
      </c>
      <c r="S250" s="104">
        <f>IF(preDEL!$AG250,IFERROR(0/0,""),preDEL!S250)</f>
        <v>1</v>
      </c>
      <c r="T250" s="110" t="str">
        <f>IF(preDEL!$AG250,IFERROR(0/0,""),preDEL!T250)</f>
        <v/>
      </c>
      <c r="U250" s="112" t="str">
        <f>IF(preDEL!$AG250,IFERROR(0/0,""),preDEL!U250)</f>
        <v/>
      </c>
      <c r="V250" s="105" t="str">
        <f>IF(preDEL!$AG250,IFERROR(0/0,""),preDEL!V250)</f>
        <v/>
      </c>
      <c r="W250" s="112" t="str">
        <f>IF(preDEL!$AG250,IFERROR(0/0,""),preDEL!W250)</f>
        <v/>
      </c>
      <c r="X250" s="104" t="b">
        <f>IF(preDEL!$AG250,IFERROR(0/0,""),preDEL!X250)</f>
        <v>0</v>
      </c>
      <c r="Y250" s="110" t="b">
        <f>IF(preDEL!$AG250,IFERROR(0/0,""),preDEL!Y250)</f>
        <v>0</v>
      </c>
      <c r="Z250" s="105" t="str">
        <f>IF(preDEL!$AG250,IFERROR(0/0,""),preDEL!Z250)</f>
        <v/>
      </c>
      <c r="AA250" s="110" t="b">
        <f>IF(preDEL!$AG250,IFERROR(0/0,""),preDEL!AA250)</f>
        <v>0</v>
      </c>
      <c r="AB250" s="110" t="b">
        <f>IF(preDEL!$AG250,IFERROR(0/0,""),preDEL!AB250)</f>
        <v>0</v>
      </c>
      <c r="AC250" s="172">
        <f>IF(preDEL!$AG250,IFERROR(0/0,""),preDEL!AC250)</f>
        <v>579</v>
      </c>
      <c r="AD250" s="104" t="b">
        <f>IF(preDEL!$AG250,IFERROR(0/0,""),preDEL!AD250)</f>
        <v>0</v>
      </c>
      <c r="AE250" s="173">
        <f>IF(preDEL!$AG250,IFERROR(0/0,""),preDEL!AE250)</f>
        <v>124.2</v>
      </c>
      <c r="AF250" s="110" t="b">
        <f>IF(preDEL!$AG250,IFERROR(0/0,""),preDEL!AF250)</f>
        <v>0</v>
      </c>
      <c r="AG250" s="110" t="b">
        <f>IF(preDEL!$AG250,IFERROR(0/0,""),preDEL!AG250)</f>
        <v>0</v>
      </c>
      <c r="AH250" s="104" t="str">
        <f>IF(preDEL!$AG250,IFERROR(0/0,""),preDEL!AH250)</f>
        <v/>
      </c>
      <c r="AI250" s="105" t="str">
        <f>IF(preDEL!$AG250,IFERROR(0/0,""),preDEL!AI250)</f>
        <v/>
      </c>
      <c r="AJ250" s="112" t="str">
        <f>IF(preDEL!$AG250,IFERROR(0/0,""),preDEL!AJ250)</f>
        <v/>
      </c>
      <c r="AK250" s="105" t="str">
        <f>IF(preDEL!$AG250,IFERROR(0/0,""),preDEL!AK250)</f>
        <v>Positive</v>
      </c>
      <c r="AL250" s="112" t="str">
        <f>IF(preDEL!$AG250,IFERROR(0/0,""),preDEL!AL250)</f>
        <v/>
      </c>
      <c r="AM250" s="112" t="str">
        <f>IF(preDEL!$AG250,IFERROR(0/0,""),preDEL!AM250)</f>
        <v>SpBEND394154</v>
      </c>
      <c r="AN250" s="112" t="str">
        <f>IF(preDEL!$AG250,IFERROR(0/0,""),preDEL!AN250)</f>
        <v>BEND839924</v>
      </c>
      <c r="AO250" s="112" t="str">
        <f>IF(preDEL!$AG250,IFERROR(0/0,""),preDEL!AO250)</f>
        <v/>
      </c>
      <c r="AP250" s="112" t="str">
        <f>IF(preDEL!$AG250,IFERROR(0/0,""),preDEL!AP250)</f>
        <v/>
      </c>
      <c r="AQ250" s="112" t="str">
        <f>IF(preDEL!$AG250,IFERROR(0/0,""),preDEL!AQ250)</f>
        <v/>
      </c>
      <c r="AR250" s="112" t="str">
        <f>IF(preDEL!$AG250,IFERROR(0/0,""),preDEL!AR250)</f>
        <v/>
      </c>
      <c r="AS250" s="112" t="str">
        <f>IF(preDEL!$AG250,IFERROR(0/0,""),preDEL!AS250)</f>
        <v/>
      </c>
      <c r="AT250" s="112" t="b">
        <f>IF(preDEL!$AG250,IFERROR(0/0,""),preDEL!AT250)</f>
        <v>0</v>
      </c>
      <c r="AU250" s="112" t="str">
        <f>IF(preDEL!$AG250,IFERROR(0/0,""),preDEL!AU250)</f>
        <v/>
      </c>
      <c r="AV250" s="112" t="str">
        <f>IF(preDEL!$AG250,IFERROR(0/0,""),preDEL!AV250)</f>
        <v/>
      </c>
      <c r="AW250" s="112" t="str">
        <f>IF(preDEL!$AG250,IFERROR(0/0,""),preDEL!AW250)</f>
        <v/>
      </c>
      <c r="AX250" s="112" t="str">
        <f>IF(preDEL!$AG250,IFERROR(0/0,""),preDEL!AX250)</f>
        <v/>
      </c>
      <c r="AY250" s="112" t="str">
        <f>IF(preDEL!$AG250,IFERROR(0/0,""),preDEL!AY250)</f>
        <v/>
      </c>
      <c r="AZ250" s="174"/>
      <c r="BA250" s="174"/>
      <c r="BB250" s="174"/>
      <c r="BC250" s="174"/>
      <c r="BD250" s="174"/>
      <c r="BE250" s="174"/>
      <c r="BF250" s="174"/>
      <c r="BG250" s="174"/>
      <c r="BH250" s="174"/>
      <c r="BI250" s="174"/>
      <c r="BJ250" s="174"/>
      <c r="BK250" s="174"/>
      <c r="BL250" s="174"/>
      <c r="BM250" s="174"/>
      <c r="BN250" s="174"/>
      <c r="BO250" s="174"/>
      <c r="BP250" s="174"/>
      <c r="BQ250" s="174"/>
      <c r="BR250" s="174"/>
      <c r="BS250" s="174"/>
      <c r="BT250" s="174"/>
      <c r="BU250" s="174"/>
      <c r="BV250" s="174"/>
      <c r="BW250" s="174"/>
      <c r="BX250" s="174"/>
      <c r="BY250" s="174"/>
      <c r="BZ250" s="174"/>
      <c r="CA250" s="174"/>
      <c r="CB250" s="174"/>
      <c r="CC250" s="174"/>
      <c r="CD250" s="174"/>
    </row>
    <row r="251">
      <c r="A251" s="105" t="str">
        <f>IF(preDEL!$AG251,IFERROR(0/0,""),preDEL!A251)</f>
        <v>MA446</v>
      </c>
      <c r="B251" s="170">
        <f>IF(preDEL!$AG251,IFERROR(0/0,""),preDEL!B251)</f>
        <v>44579</v>
      </c>
      <c r="C251" s="171">
        <f>IF(preDEL!$AG251,IFERROR(0/0,""),preDEL!C251)</f>
        <v>0.4159259259</v>
      </c>
      <c r="D251" s="105" t="str">
        <f>IF(preDEL!$AG251,IFERROR(0/0,""),preDEL!D251)</f>
        <v/>
      </c>
      <c r="E251" s="105" t="str">
        <f>IF(preDEL!$AG251,IFERROR(0/0,""),preDEL!E251)</f>
        <v/>
      </c>
      <c r="F251" s="112" t="str">
        <f>IF(preDEL!$AG251,IFERROR(0/0,""),preDEL!F251)</f>
        <v/>
      </c>
      <c r="G251" s="112" t="str">
        <f>IF(preDEL!$AG251,IFERROR(0/0,""),preDEL!G251)</f>
        <v/>
      </c>
      <c r="H251" s="112" t="str">
        <f>IF(preDEL!$AG251,IFERROR(0/0,""),preDEL!H251)</f>
        <v/>
      </c>
      <c r="I251" s="105" t="str">
        <f>IF(preDEL!$AG251,IFERROR(0/0,""),preDEL!I251)</f>
        <v/>
      </c>
      <c r="J251" s="105" t="str">
        <f>IF(preDEL!$AG251,IFERROR(0/0,""),preDEL!J251)</f>
        <v/>
      </c>
      <c r="K251" s="105" t="str">
        <f>IF(preDEL!$AG251,IFERROR(0/0,""),preDEL!K251)</f>
        <v>Positive</v>
      </c>
      <c r="L251" s="170">
        <f>IF(preDEL!$AG251,IFERROR(0/0,""),preDEL!L251)</f>
        <v>44579</v>
      </c>
      <c r="M251" s="171">
        <f>IF(preDEL!$AG251,IFERROR(0/0,""),preDEL!M251)</f>
        <v>0.5015972222</v>
      </c>
      <c r="N251" s="112" t="str">
        <f>IF(preDEL!$AG251,IFERROR(0/0,""),preDEL!N251)</f>
        <v/>
      </c>
      <c r="O251" s="112" t="str">
        <f>IF(preDEL!$AG251,IFERROR(0/0,""),preDEL!O251)</f>
        <v/>
      </c>
      <c r="P251" s="110" t="b">
        <f>IF(preDEL!$AG251,IFERROR(0/0,""),preDEL!P251)</f>
        <v>0</v>
      </c>
      <c r="Q251" s="110" t="str">
        <f>IF(preDEL!$AG251,IFERROR(0/0,""),preDEL!Q251)</f>
        <v>Result</v>
      </c>
      <c r="R251" s="104" t="b">
        <f>IF(preDEL!$AG251,IFERROR(0/0,""),preDEL!R251)</f>
        <v>1</v>
      </c>
      <c r="S251" s="104">
        <f>IF(preDEL!$AG251,IFERROR(0/0,""),preDEL!S251)</f>
        <v>1</v>
      </c>
      <c r="T251" s="110" t="str">
        <f>IF(preDEL!$AG251,IFERROR(0/0,""),preDEL!T251)</f>
        <v/>
      </c>
      <c r="U251" s="112" t="str">
        <f>IF(preDEL!$AG251,IFERROR(0/0,""),preDEL!U251)</f>
        <v/>
      </c>
      <c r="V251" s="105" t="str">
        <f>IF(preDEL!$AG251,IFERROR(0/0,""),preDEL!V251)</f>
        <v/>
      </c>
      <c r="W251" s="112" t="str">
        <f>IF(preDEL!$AG251,IFERROR(0/0,""),preDEL!W251)</f>
        <v/>
      </c>
      <c r="X251" s="104" t="b">
        <f>IF(preDEL!$AG251,IFERROR(0/0,""),preDEL!X251)</f>
        <v>0</v>
      </c>
      <c r="Y251" s="110" t="b">
        <f>IF(preDEL!$AG251,IFERROR(0/0,""),preDEL!Y251)</f>
        <v>0</v>
      </c>
      <c r="Z251" s="105" t="str">
        <f>IF(preDEL!$AG251,IFERROR(0/0,""),preDEL!Z251)</f>
        <v/>
      </c>
      <c r="AA251" s="110" t="b">
        <f>IF(preDEL!$AG251,IFERROR(0/0,""),preDEL!AA251)</f>
        <v>0</v>
      </c>
      <c r="AB251" s="110" t="b">
        <f>IF(preDEL!$AG251,IFERROR(0/0,""),preDEL!AB251)</f>
        <v>0</v>
      </c>
      <c r="AC251" s="172">
        <f>IF(preDEL!$AG251,IFERROR(0/0,""),preDEL!AC251)</f>
        <v>578</v>
      </c>
      <c r="AD251" s="104" t="b">
        <f>IF(preDEL!$AG251,IFERROR(0/0,""),preDEL!AD251)</f>
        <v>0</v>
      </c>
      <c r="AE251" s="173">
        <f>IF(preDEL!$AG251,IFERROR(0/0,""),preDEL!AE251)</f>
        <v>123.3666667</v>
      </c>
      <c r="AF251" s="110" t="b">
        <f>IF(preDEL!$AG251,IFERROR(0/0,""),preDEL!AF251)</f>
        <v>0</v>
      </c>
      <c r="AG251" s="110" t="b">
        <f>IF(preDEL!$AG251,IFERROR(0/0,""),preDEL!AG251)</f>
        <v>0</v>
      </c>
      <c r="AH251" s="104" t="str">
        <f>IF(preDEL!$AG251,IFERROR(0/0,""),preDEL!AH251)</f>
        <v/>
      </c>
      <c r="AI251" s="105" t="str">
        <f>IF(preDEL!$AG251,IFERROR(0/0,""),preDEL!AI251)</f>
        <v/>
      </c>
      <c r="AJ251" s="112" t="str">
        <f>IF(preDEL!$AG251,IFERROR(0/0,""),preDEL!AJ251)</f>
        <v/>
      </c>
      <c r="AK251" s="105" t="str">
        <f>IF(preDEL!$AG251,IFERROR(0/0,""),preDEL!AK251)</f>
        <v>Positive</v>
      </c>
      <c r="AL251" s="112" t="str">
        <f>IF(preDEL!$AG251,IFERROR(0/0,""),preDEL!AL251)</f>
        <v/>
      </c>
      <c r="AM251" s="112" t="str">
        <f>IF(preDEL!$AG251,IFERROR(0/0,""),preDEL!AM251)</f>
        <v>SpBEND394154</v>
      </c>
      <c r="AN251" s="112" t="str">
        <f>IF(preDEL!$AG251,IFERROR(0/0,""),preDEL!AN251)</f>
        <v>BEND949070</v>
      </c>
      <c r="AO251" s="112" t="str">
        <f>IF(preDEL!$AG251,IFERROR(0/0,""),preDEL!AO251)</f>
        <v/>
      </c>
      <c r="AP251" s="112" t="str">
        <f>IF(preDEL!$AG251,IFERROR(0/0,""),preDEL!AP251)</f>
        <v/>
      </c>
      <c r="AQ251" s="112" t="str">
        <f>IF(preDEL!$AG251,IFERROR(0/0,""),preDEL!AQ251)</f>
        <v/>
      </c>
      <c r="AR251" s="112" t="str">
        <f>IF(preDEL!$AG251,IFERROR(0/0,""),preDEL!AR251)</f>
        <v/>
      </c>
      <c r="AS251" s="112" t="str">
        <f>IF(preDEL!$AG251,IFERROR(0/0,""),preDEL!AS251)</f>
        <v/>
      </c>
      <c r="AT251" s="112" t="b">
        <f>IF(preDEL!$AG251,IFERROR(0/0,""),preDEL!AT251)</f>
        <v>0</v>
      </c>
      <c r="AU251" s="112" t="str">
        <f>IF(preDEL!$AG251,IFERROR(0/0,""),preDEL!AU251)</f>
        <v/>
      </c>
      <c r="AV251" s="112" t="str">
        <f>IF(preDEL!$AG251,IFERROR(0/0,""),preDEL!AV251)</f>
        <v/>
      </c>
      <c r="AW251" s="112" t="str">
        <f>IF(preDEL!$AG251,IFERROR(0/0,""),preDEL!AW251)</f>
        <v/>
      </c>
      <c r="AX251" s="112" t="str">
        <f>IF(preDEL!$AG251,IFERROR(0/0,""),preDEL!AX251)</f>
        <v/>
      </c>
      <c r="AY251" s="112" t="str">
        <f>IF(preDEL!$AG251,IFERROR(0/0,""),preDEL!AY251)</f>
        <v/>
      </c>
      <c r="AZ251" s="174"/>
      <c r="BA251" s="174"/>
      <c r="BB251" s="174"/>
      <c r="BC251" s="174"/>
      <c r="BD251" s="174"/>
      <c r="BE251" s="174"/>
      <c r="BF251" s="174"/>
      <c r="BG251" s="174"/>
      <c r="BH251" s="174"/>
      <c r="BI251" s="174"/>
      <c r="BJ251" s="174"/>
      <c r="BK251" s="174"/>
      <c r="BL251" s="174"/>
      <c r="BM251" s="174"/>
      <c r="BN251" s="174"/>
      <c r="BO251" s="174"/>
      <c r="BP251" s="174"/>
      <c r="BQ251" s="174"/>
      <c r="BR251" s="174"/>
      <c r="BS251" s="174"/>
      <c r="BT251" s="174"/>
      <c r="BU251" s="174"/>
      <c r="BV251" s="174"/>
      <c r="BW251" s="174"/>
      <c r="BX251" s="174"/>
      <c r="BY251" s="174"/>
      <c r="BZ251" s="174"/>
      <c r="CA251" s="174"/>
      <c r="CB251" s="174"/>
      <c r="CC251" s="174"/>
      <c r="CD251" s="174"/>
    </row>
    <row r="252">
      <c r="A252" s="105" t="str">
        <f>IF(preDEL!$AG252,IFERROR(0/0,""),preDEL!A252)</f>
        <v>MAX90</v>
      </c>
      <c r="B252" s="170">
        <f>IF(preDEL!$AG252,IFERROR(0/0,""),preDEL!B252)</f>
        <v>44580</v>
      </c>
      <c r="C252" s="171">
        <f>IF(preDEL!$AG252,IFERROR(0/0,""),preDEL!C252)</f>
        <v>0.2888310185</v>
      </c>
      <c r="D252" s="105" t="str">
        <f>IF(preDEL!$AG252,IFERROR(0/0,""),preDEL!D252)</f>
        <v/>
      </c>
      <c r="E252" s="105" t="str">
        <f>IF(preDEL!$AG252,IFERROR(0/0,""),preDEL!E252)</f>
        <v/>
      </c>
      <c r="F252" s="112" t="str">
        <f>IF(preDEL!$AG252,IFERROR(0/0,""),preDEL!F252)</f>
        <v/>
      </c>
      <c r="G252" s="112" t="str">
        <f>IF(preDEL!$AG252,IFERROR(0/0,""),preDEL!G252)</f>
        <v/>
      </c>
      <c r="H252" s="112" t="str">
        <f>IF(preDEL!$AG252,IFERROR(0/0,""),preDEL!H252)</f>
        <v/>
      </c>
      <c r="I252" s="105" t="str">
        <f>IF(preDEL!$AG252,IFERROR(0/0,""),preDEL!I252)</f>
        <v/>
      </c>
      <c r="J252" s="105" t="str">
        <f>IF(preDEL!$AG252,IFERROR(0/0,""),preDEL!J252)</f>
        <v/>
      </c>
      <c r="K252" s="105" t="str">
        <f>IF(preDEL!$AG252,IFERROR(0/0,""),preDEL!K252)</f>
        <v>Negative</v>
      </c>
      <c r="L252" s="170">
        <f>IF(preDEL!$AG252,IFERROR(0/0,""),preDEL!L252)</f>
        <v>44580</v>
      </c>
      <c r="M252" s="171">
        <f>IF(preDEL!$AG252,IFERROR(0/0,""),preDEL!M252)</f>
        <v>0.5080208333</v>
      </c>
      <c r="N252" s="112" t="str">
        <f>IF(preDEL!$AG252,IFERROR(0/0,""),preDEL!N252)</f>
        <v/>
      </c>
      <c r="O252" s="112" t="str">
        <f>IF(preDEL!$AG252,IFERROR(0/0,""),preDEL!O252)</f>
        <v/>
      </c>
      <c r="P252" s="110" t="b">
        <f>IF(preDEL!$AG252,IFERROR(0/0,""),preDEL!P252)</f>
        <v>0</v>
      </c>
      <c r="Q252" s="110" t="str">
        <f>IF(preDEL!$AG252,IFERROR(0/0,""),preDEL!Q252)</f>
        <v>Result</v>
      </c>
      <c r="R252" s="104" t="b">
        <f>IF(preDEL!$AG252,IFERROR(0/0,""),preDEL!R252)</f>
        <v>1</v>
      </c>
      <c r="S252" s="104">
        <f>IF(preDEL!$AG252,IFERROR(0/0,""),preDEL!S252)</f>
        <v>1</v>
      </c>
      <c r="T252" s="110" t="str">
        <f>IF(preDEL!$AG252,IFERROR(0/0,""),preDEL!T252)</f>
        <v/>
      </c>
      <c r="U252" s="112" t="str">
        <f>IF(preDEL!$AG252,IFERROR(0/0,""),preDEL!U252)</f>
        <v/>
      </c>
      <c r="V252" s="105" t="str">
        <f>IF(preDEL!$AG252,IFERROR(0/0,""),preDEL!V252)</f>
        <v/>
      </c>
      <c r="W252" s="112" t="str">
        <f>IF(preDEL!$AG252,IFERROR(0/0,""),preDEL!W252)</f>
        <v/>
      </c>
      <c r="X252" s="104" t="b">
        <f>IF(preDEL!$AG252,IFERROR(0/0,""),preDEL!X252)</f>
        <v>0</v>
      </c>
      <c r="Y252" s="110" t="b">
        <f>IF(preDEL!$AG252,IFERROR(0/0,""),preDEL!Y252)</f>
        <v>0</v>
      </c>
      <c r="Z252" s="105" t="str">
        <f>IF(preDEL!$AG252,IFERROR(0/0,""),preDEL!Z252)</f>
        <v/>
      </c>
      <c r="AA252" s="110" t="b">
        <f>IF(preDEL!$AG252,IFERROR(0/0,""),preDEL!AA252)</f>
        <v>0</v>
      </c>
      <c r="AB252" s="110" t="b">
        <f>IF(preDEL!$AG252,IFERROR(0/0,""),preDEL!AB252)</f>
        <v>0</v>
      </c>
      <c r="AC252" s="172">
        <f>IF(preDEL!$AG252,IFERROR(0/0,""),preDEL!AC252)</f>
        <v>548</v>
      </c>
      <c r="AD252" s="104" t="b">
        <f>IF(preDEL!$AG252,IFERROR(0/0,""),preDEL!AD252)</f>
        <v>0</v>
      </c>
      <c r="AE252" s="173">
        <f>IF(preDEL!$AG252,IFERROR(0/0,""),preDEL!AE252)</f>
        <v>315.6333333</v>
      </c>
      <c r="AF252" s="110" t="b">
        <f>IF(preDEL!$AG252,IFERROR(0/0,""),preDEL!AF252)</f>
        <v>0</v>
      </c>
      <c r="AG252" s="110" t="b">
        <f>IF(preDEL!$AG252,IFERROR(0/0,""),preDEL!AG252)</f>
        <v>0</v>
      </c>
      <c r="AH252" s="104" t="str">
        <f>IF(preDEL!$AG252,IFERROR(0/0,""),preDEL!AH252)</f>
        <v/>
      </c>
      <c r="AI252" s="105" t="str">
        <f>IF(preDEL!$AG252,IFERROR(0/0,""),preDEL!AI252)</f>
        <v/>
      </c>
      <c r="AJ252" s="112" t="str">
        <f>IF(preDEL!$AG252,IFERROR(0/0,""),preDEL!AJ252)</f>
        <v/>
      </c>
      <c r="AK252" s="105" t="str">
        <f>IF(preDEL!$AG252,IFERROR(0/0,""),preDEL!AK252)</f>
        <v>Negative</v>
      </c>
      <c r="AL252" s="112" t="str">
        <f>IF(preDEL!$AG252,IFERROR(0/0,""),preDEL!AL252)</f>
        <v/>
      </c>
      <c r="AM252" s="112" t="str">
        <f>IF(preDEL!$AG252,IFERROR(0/0,""),preDEL!AM252)</f>
        <v>SpBEND394154</v>
      </c>
      <c r="AN252" s="112" t="str">
        <f>IF(preDEL!$AG252,IFERROR(0/0,""),preDEL!AN252)</f>
        <v>BEND777226</v>
      </c>
      <c r="AO252" s="112" t="str">
        <f>IF(preDEL!$AG252,IFERROR(0/0,""),preDEL!AO252)</f>
        <v/>
      </c>
      <c r="AP252" s="112" t="str">
        <f>IF(preDEL!$AG252,IFERROR(0/0,""),preDEL!AP252)</f>
        <v/>
      </c>
      <c r="AQ252" s="112" t="str">
        <f>IF(preDEL!$AG252,IFERROR(0/0,""),preDEL!AQ252)</f>
        <v/>
      </c>
      <c r="AR252" s="112" t="str">
        <f>IF(preDEL!$AG252,IFERROR(0/0,""),preDEL!AR252)</f>
        <v/>
      </c>
      <c r="AS252" s="112" t="str">
        <f>IF(preDEL!$AG252,IFERROR(0/0,""),preDEL!AS252)</f>
        <v/>
      </c>
      <c r="AT252" s="112" t="b">
        <f>IF(preDEL!$AG252,IFERROR(0/0,""),preDEL!AT252)</f>
        <v>0</v>
      </c>
      <c r="AU252" s="112" t="str">
        <f>IF(preDEL!$AG252,IFERROR(0/0,""),preDEL!AU252)</f>
        <v/>
      </c>
      <c r="AV252" s="112" t="str">
        <f>IF(preDEL!$AG252,IFERROR(0/0,""),preDEL!AV252)</f>
        <v/>
      </c>
      <c r="AW252" s="112" t="str">
        <f>IF(preDEL!$AG252,IFERROR(0/0,""),preDEL!AW252)</f>
        <v/>
      </c>
      <c r="AX252" s="112" t="str">
        <f>IF(preDEL!$AG252,IFERROR(0/0,""),preDEL!AX252)</f>
        <v/>
      </c>
      <c r="AY252" s="112" t="str">
        <f>IF(preDEL!$AG252,IFERROR(0/0,""),preDEL!AY252)</f>
        <v/>
      </c>
      <c r="AZ252" s="174"/>
      <c r="BA252" s="174"/>
      <c r="BB252" s="174"/>
      <c r="BC252" s="174"/>
      <c r="BD252" s="174"/>
      <c r="BE252" s="174"/>
      <c r="BF252" s="174"/>
      <c r="BG252" s="174"/>
      <c r="BH252" s="174"/>
      <c r="BI252" s="174"/>
      <c r="BJ252" s="174"/>
      <c r="BK252" s="174"/>
      <c r="BL252" s="174"/>
      <c r="BM252" s="174"/>
      <c r="BN252" s="174"/>
      <c r="BO252" s="174"/>
      <c r="BP252" s="174"/>
      <c r="BQ252" s="174"/>
      <c r="BR252" s="174"/>
      <c r="BS252" s="174"/>
      <c r="BT252" s="174"/>
      <c r="BU252" s="174"/>
      <c r="BV252" s="174"/>
      <c r="BW252" s="174"/>
      <c r="BX252" s="174"/>
      <c r="BY252" s="174"/>
      <c r="BZ252" s="174"/>
      <c r="CA252" s="174"/>
      <c r="CB252" s="174"/>
      <c r="CC252" s="174"/>
      <c r="CD252" s="174"/>
    </row>
    <row r="253">
      <c r="A253" s="105" t="str">
        <f>IF(preDEL!$AG253,IFERROR(0/0,""),preDEL!A253)</f>
        <v>MAX62</v>
      </c>
      <c r="B253" s="170">
        <f>IF(preDEL!$AG253,IFERROR(0/0,""),preDEL!B253)</f>
        <v>44580</v>
      </c>
      <c r="C253" s="171">
        <f>IF(preDEL!$AG253,IFERROR(0/0,""),preDEL!C253)</f>
        <v>0.2900578704</v>
      </c>
      <c r="D253" s="105" t="str">
        <f>IF(preDEL!$AG253,IFERROR(0/0,""),preDEL!D253)</f>
        <v/>
      </c>
      <c r="E253" s="105" t="str">
        <f>IF(preDEL!$AG253,IFERROR(0/0,""),preDEL!E253)</f>
        <v/>
      </c>
      <c r="F253" s="112" t="str">
        <f>IF(preDEL!$AG253,IFERROR(0/0,""),preDEL!F253)</f>
        <v/>
      </c>
      <c r="G253" s="112" t="str">
        <f>IF(preDEL!$AG253,IFERROR(0/0,""),preDEL!G253)</f>
        <v/>
      </c>
      <c r="H253" s="112" t="str">
        <f>IF(preDEL!$AG253,IFERROR(0/0,""),preDEL!H253)</f>
        <v/>
      </c>
      <c r="I253" s="105" t="str">
        <f>IF(preDEL!$AG253,IFERROR(0/0,""),preDEL!I253)</f>
        <v/>
      </c>
      <c r="J253" s="105" t="str">
        <f>IF(preDEL!$AG253,IFERROR(0/0,""),preDEL!J253)</f>
        <v/>
      </c>
      <c r="K253" s="105" t="str">
        <f>IF(preDEL!$AG253,IFERROR(0/0,""),preDEL!K253)</f>
        <v>Negative</v>
      </c>
      <c r="L253" s="170">
        <f>IF(preDEL!$AG253,IFERROR(0/0,""),preDEL!L253)</f>
        <v>44580</v>
      </c>
      <c r="M253" s="171">
        <f>IF(preDEL!$AG253,IFERROR(0/0,""),preDEL!M253)</f>
        <v>0.5080208333</v>
      </c>
      <c r="N253" s="112" t="str">
        <f>IF(preDEL!$AG253,IFERROR(0/0,""),preDEL!N253)</f>
        <v/>
      </c>
      <c r="O253" s="112" t="str">
        <f>IF(preDEL!$AG253,IFERROR(0/0,""),preDEL!O253)</f>
        <v/>
      </c>
      <c r="P253" s="110" t="b">
        <f>IF(preDEL!$AG253,IFERROR(0/0,""),preDEL!P253)</f>
        <v>0</v>
      </c>
      <c r="Q253" s="110" t="str">
        <f>IF(preDEL!$AG253,IFERROR(0/0,""),preDEL!Q253)</f>
        <v>Result</v>
      </c>
      <c r="R253" s="104" t="b">
        <f>IF(preDEL!$AG253,IFERROR(0/0,""),preDEL!R253)</f>
        <v>1</v>
      </c>
      <c r="S253" s="104">
        <f>IF(preDEL!$AG253,IFERROR(0/0,""),preDEL!S253)</f>
        <v>1</v>
      </c>
      <c r="T253" s="110">
        <f>IF(preDEL!$AG253,IFERROR(0/0,""),preDEL!T253)</f>
        <v>0</v>
      </c>
      <c r="U253" s="112" t="str">
        <f>IF(preDEL!$AG253,IFERROR(0/0,""),preDEL!U253)</f>
        <v/>
      </c>
      <c r="V253" s="105" t="str">
        <f>IF(preDEL!$AG253,IFERROR(0/0,""),preDEL!V253)</f>
        <v/>
      </c>
      <c r="W253" s="112" t="str">
        <f>IF(preDEL!$AG253,IFERROR(0/0,""),preDEL!W253)</f>
        <v/>
      </c>
      <c r="X253" s="104" t="b">
        <f>IF(preDEL!$AG253,IFERROR(0/0,""),preDEL!X253)</f>
        <v>0</v>
      </c>
      <c r="Y253" s="110" t="b">
        <f>IF(preDEL!$AG253,IFERROR(0/0,""),preDEL!Y253)</f>
        <v>0</v>
      </c>
      <c r="Z253" s="105" t="str">
        <f>IF(preDEL!$AG253,IFERROR(0/0,""),preDEL!Z253)</f>
        <v/>
      </c>
      <c r="AA253" s="110" t="b">
        <f>IF(preDEL!$AG253,IFERROR(0/0,""),preDEL!AA253)</f>
        <v>0</v>
      </c>
      <c r="AB253" s="110" t="b">
        <f>IF(preDEL!$AG253,IFERROR(0/0,""),preDEL!AB253)</f>
        <v>0</v>
      </c>
      <c r="AC253" s="172">
        <f>IF(preDEL!$AG253,IFERROR(0/0,""),preDEL!AC253)</f>
        <v>547</v>
      </c>
      <c r="AD253" s="104" t="b">
        <f>IF(preDEL!$AG253,IFERROR(0/0,""),preDEL!AD253)</f>
        <v>0</v>
      </c>
      <c r="AE253" s="173">
        <f>IF(preDEL!$AG253,IFERROR(0/0,""),preDEL!AE253)</f>
        <v>313.8666667</v>
      </c>
      <c r="AF253" s="110" t="b">
        <f>IF(preDEL!$AG253,IFERROR(0/0,""),preDEL!AF253)</f>
        <v>0</v>
      </c>
      <c r="AG253" s="110" t="b">
        <f>IF(preDEL!$AG253,IFERROR(0/0,""),preDEL!AG253)</f>
        <v>0</v>
      </c>
      <c r="AH253" s="104" t="str">
        <f>IF(preDEL!$AG253,IFERROR(0/0,""),preDEL!AH253)</f>
        <v/>
      </c>
      <c r="AI253" s="105" t="str">
        <f>IF(preDEL!$AG253,IFERROR(0/0,""),preDEL!AI253)</f>
        <v/>
      </c>
      <c r="AJ253" s="112" t="str">
        <f>IF(preDEL!$AG253,IFERROR(0/0,""),preDEL!AJ253)</f>
        <v/>
      </c>
      <c r="AK253" s="105" t="str">
        <f>IF(preDEL!$AG253,IFERROR(0/0,""),preDEL!AK253)</f>
        <v>Negative</v>
      </c>
      <c r="AL253" s="112" t="str">
        <f>IF(preDEL!$AG253,IFERROR(0/0,""),preDEL!AL253)</f>
        <v/>
      </c>
      <c r="AM253" s="112" t="str">
        <f>IF(preDEL!$AG253,IFERROR(0/0,""),preDEL!AM253)</f>
        <v>SpBEND394154</v>
      </c>
      <c r="AN253" s="112" t="str">
        <f>IF(preDEL!$AG253,IFERROR(0/0,""),preDEL!AN253)</f>
        <v>BEND905156</v>
      </c>
      <c r="AO253" s="112" t="str">
        <f>IF(preDEL!$AG253,IFERROR(0/0,""),preDEL!AO253)</f>
        <v/>
      </c>
      <c r="AP253" s="112" t="str">
        <f>IF(preDEL!$AG253,IFERROR(0/0,""),preDEL!AP253)</f>
        <v/>
      </c>
      <c r="AQ253" s="112" t="str">
        <f>IF(preDEL!$AG253,IFERROR(0/0,""),preDEL!AQ253)</f>
        <v/>
      </c>
      <c r="AR253" s="112" t="str">
        <f>IF(preDEL!$AG253,IFERROR(0/0,""),preDEL!AR253)</f>
        <v/>
      </c>
      <c r="AS253" s="112" t="str">
        <f>IF(preDEL!$AG253,IFERROR(0/0,""),preDEL!AS253)</f>
        <v/>
      </c>
      <c r="AT253" s="112" t="b">
        <f>IF(preDEL!$AG253,IFERROR(0/0,""),preDEL!AT253)</f>
        <v>0</v>
      </c>
      <c r="AU253" s="112" t="str">
        <f>IF(preDEL!$AG253,IFERROR(0/0,""),preDEL!AU253)</f>
        <v/>
      </c>
      <c r="AV253" s="112" t="str">
        <f>IF(preDEL!$AG253,IFERROR(0/0,""),preDEL!AV253)</f>
        <v/>
      </c>
      <c r="AW253" s="112" t="str">
        <f>IF(preDEL!$AG253,IFERROR(0/0,""),preDEL!AW253)</f>
        <v/>
      </c>
      <c r="AX253" s="112" t="str">
        <f>IF(preDEL!$AG253,IFERROR(0/0,""),preDEL!AX253)</f>
        <v/>
      </c>
      <c r="AY253" s="112" t="str">
        <f>IF(preDEL!$AG253,IFERROR(0/0,""),preDEL!AY253)</f>
        <v/>
      </c>
      <c r="AZ253" s="174"/>
      <c r="BA253" s="174"/>
      <c r="BB253" s="174"/>
      <c r="BC253" s="174"/>
      <c r="BD253" s="174"/>
      <c r="BE253" s="174"/>
      <c r="BF253" s="174"/>
      <c r="BG253" s="174"/>
      <c r="BH253" s="174"/>
      <c r="BI253" s="174"/>
      <c r="BJ253" s="174"/>
      <c r="BK253" s="174"/>
      <c r="BL253" s="174"/>
      <c r="BM253" s="174"/>
      <c r="BN253" s="174"/>
      <c r="BO253" s="174"/>
      <c r="BP253" s="174"/>
      <c r="BQ253" s="174"/>
      <c r="BR253" s="174"/>
      <c r="BS253" s="174"/>
      <c r="BT253" s="174"/>
      <c r="BU253" s="174"/>
      <c r="BV253" s="174"/>
      <c r="BW253" s="174"/>
      <c r="BX253" s="174"/>
      <c r="BY253" s="174"/>
      <c r="BZ253" s="174"/>
      <c r="CA253" s="174"/>
      <c r="CB253" s="174"/>
      <c r="CC253" s="174"/>
      <c r="CD253" s="174"/>
    </row>
    <row r="254">
      <c r="A254" s="105" t="str">
        <f>IF(preDEL!$AG254,IFERROR(0/0,""),preDEL!A254)</f>
        <v>MA727</v>
      </c>
      <c r="B254" s="170">
        <f>IF(preDEL!$AG254,IFERROR(0/0,""),preDEL!B254)</f>
        <v>44580</v>
      </c>
      <c r="C254" s="171">
        <f>IF(preDEL!$AG254,IFERROR(0/0,""),preDEL!C254)</f>
        <v>0.2982407407</v>
      </c>
      <c r="D254" s="105" t="str">
        <f>IF(preDEL!$AG254,IFERROR(0/0,""),preDEL!D254)</f>
        <v/>
      </c>
      <c r="E254" s="105" t="str">
        <f>IF(preDEL!$AG254,IFERROR(0/0,""),preDEL!E254)</f>
        <v/>
      </c>
      <c r="F254" s="112" t="str">
        <f>IF(preDEL!$AG254,IFERROR(0/0,""),preDEL!F254)</f>
        <v/>
      </c>
      <c r="G254" s="112" t="str">
        <f>IF(preDEL!$AG254,IFERROR(0/0,""),preDEL!G254)</f>
        <v/>
      </c>
      <c r="H254" s="112" t="str">
        <f>IF(preDEL!$AG254,IFERROR(0/0,""),preDEL!H254)</f>
        <v/>
      </c>
      <c r="I254" s="175" t="str">
        <f>IF(preDEL!$AG254,IFERROR(0/0,""),preDEL!I254)</f>
        <v/>
      </c>
      <c r="J254" s="105" t="str">
        <f>IF(preDEL!$AG254,IFERROR(0/0,""),preDEL!J254)</f>
        <v/>
      </c>
      <c r="K254" s="105" t="str">
        <f>IF(preDEL!$AG254,IFERROR(0/0,""),preDEL!K254)</f>
        <v>Negative</v>
      </c>
      <c r="L254" s="170">
        <f>IF(preDEL!$AG254,IFERROR(0/0,""),preDEL!L254)</f>
        <v>44580</v>
      </c>
      <c r="M254" s="171">
        <f>IF(preDEL!$AG254,IFERROR(0/0,""),preDEL!M254)</f>
        <v>0.5080208333</v>
      </c>
      <c r="N254" s="112" t="str">
        <f>IF(preDEL!$AG254,IFERROR(0/0,""),preDEL!N254)</f>
        <v/>
      </c>
      <c r="O254" s="112" t="str">
        <f>IF(preDEL!$AG254,IFERROR(0/0,""),preDEL!O254)</f>
        <v/>
      </c>
      <c r="P254" s="110" t="b">
        <f>IF(preDEL!$AG254,IFERROR(0/0,""),preDEL!P254)</f>
        <v>0</v>
      </c>
      <c r="Q254" s="110" t="str">
        <f>IF(preDEL!$AG254,IFERROR(0/0,""),preDEL!Q254)</f>
        <v>Result</v>
      </c>
      <c r="R254" s="104" t="b">
        <f>IF(preDEL!$AG254,IFERROR(0/0,""),preDEL!R254)</f>
        <v>1</v>
      </c>
      <c r="S254" s="104">
        <f>IF(preDEL!$AG254,IFERROR(0/0,""),preDEL!S254)</f>
        <v>1</v>
      </c>
      <c r="T254" s="110">
        <f>IF(preDEL!$AG254,IFERROR(0/0,""),preDEL!T254)</f>
        <v>0</v>
      </c>
      <c r="U254" s="112" t="str">
        <f>IF(preDEL!$AG254,IFERROR(0/0,""),preDEL!U254)</f>
        <v/>
      </c>
      <c r="V254" s="105" t="str">
        <f>IF(preDEL!$AG254,IFERROR(0/0,""),preDEL!V254)</f>
        <v/>
      </c>
      <c r="W254" s="112" t="str">
        <f>IF(preDEL!$AG254,IFERROR(0/0,""),preDEL!W254)</f>
        <v/>
      </c>
      <c r="X254" s="104" t="b">
        <f>IF(preDEL!$AG254,IFERROR(0/0,""),preDEL!X254)</f>
        <v>0</v>
      </c>
      <c r="Y254" s="110" t="b">
        <f>IF(preDEL!$AG254,IFERROR(0/0,""),preDEL!Y254)</f>
        <v>0</v>
      </c>
      <c r="Z254" s="105" t="str">
        <f>IF(preDEL!$AG254,IFERROR(0/0,""),preDEL!Z254)</f>
        <v/>
      </c>
      <c r="AA254" s="110" t="b">
        <f>IF(preDEL!$AG254,IFERROR(0/0,""),preDEL!AA254)</f>
        <v>0</v>
      </c>
      <c r="AB254" s="110" t="b">
        <f>IF(preDEL!$AG254,IFERROR(0/0,""),preDEL!AB254)</f>
        <v>0</v>
      </c>
      <c r="AC254" s="172">
        <f>IF(preDEL!$AG254,IFERROR(0/0,""),preDEL!AC254)</f>
        <v>546</v>
      </c>
      <c r="AD254" s="104" t="b">
        <f>IF(preDEL!$AG254,IFERROR(0/0,""),preDEL!AD254)</f>
        <v>1</v>
      </c>
      <c r="AE254" s="173">
        <f>IF(preDEL!$AG254,IFERROR(0/0,""),preDEL!AE254)</f>
        <v>302.0833333</v>
      </c>
      <c r="AF254" s="110" t="b">
        <f>IF(preDEL!$AG254,IFERROR(0/0,""),preDEL!AF254)</f>
        <v>0</v>
      </c>
      <c r="AG254" s="110" t="b">
        <f>IF(preDEL!$AG254,IFERROR(0/0,""),preDEL!AG254)</f>
        <v>0</v>
      </c>
      <c r="AH254" s="104" t="str">
        <f>IF(preDEL!$AG254,IFERROR(0/0,""),preDEL!AH254)</f>
        <v/>
      </c>
      <c r="AI254" s="105" t="str">
        <f>IF(preDEL!$AG254,IFERROR(0/0,""),preDEL!AI254)</f>
        <v/>
      </c>
      <c r="AJ254" s="112" t="str">
        <f>IF(preDEL!$AG254,IFERROR(0/0,""),preDEL!AJ254)</f>
        <v/>
      </c>
      <c r="AK254" s="105" t="str">
        <f>IF(preDEL!$AG254,IFERROR(0/0,""),preDEL!AK254)</f>
        <v>Negative</v>
      </c>
      <c r="AL254" s="112" t="str">
        <f>IF(preDEL!$AG254,IFERROR(0/0,""),preDEL!AL254)</f>
        <v/>
      </c>
      <c r="AM254" s="112" t="str">
        <f>IF(preDEL!$AG254,IFERROR(0/0,""),preDEL!AM254)</f>
        <v>SpBEND587584</v>
      </c>
      <c r="AN254" s="112" t="str">
        <f>IF(preDEL!$AG254,IFERROR(0/0,""),preDEL!AN254)</f>
        <v>BEND196623</v>
      </c>
      <c r="AO254" s="112" t="str">
        <f>IF(preDEL!$AG254,IFERROR(0/0,""),preDEL!AO254)</f>
        <v/>
      </c>
      <c r="AP254" s="112" t="str">
        <f>IF(preDEL!$AG254,IFERROR(0/0,""),preDEL!AP254)</f>
        <v/>
      </c>
      <c r="AQ254" s="112" t="str">
        <f>IF(preDEL!$AG254,IFERROR(0/0,""),preDEL!AQ254)</f>
        <v/>
      </c>
      <c r="AR254" s="112" t="str">
        <f>IF(preDEL!$AG254,IFERROR(0/0,""),preDEL!AR254)</f>
        <v/>
      </c>
      <c r="AS254" s="112" t="str">
        <f>IF(preDEL!$AG254,IFERROR(0/0,""),preDEL!AS254)</f>
        <v/>
      </c>
      <c r="AT254" s="112" t="b">
        <f>IF(preDEL!$AG254,IFERROR(0/0,""),preDEL!AT254)</f>
        <v>0</v>
      </c>
      <c r="AU254" s="112" t="str">
        <f>IF(preDEL!$AG254,IFERROR(0/0,""),preDEL!AU254)</f>
        <v/>
      </c>
      <c r="AV254" s="112" t="str">
        <f>IF(preDEL!$AG254,IFERROR(0/0,""),preDEL!AV254)</f>
        <v/>
      </c>
      <c r="AW254" s="112" t="str">
        <f>IF(preDEL!$AG254,IFERROR(0/0,""),preDEL!AW254)</f>
        <v/>
      </c>
      <c r="AX254" s="112" t="str">
        <f>IF(preDEL!$AG254,IFERROR(0/0,""),preDEL!AX254)</f>
        <v/>
      </c>
      <c r="AY254" s="112" t="str">
        <f>IF(preDEL!$AG254,IFERROR(0/0,""),preDEL!AY254)</f>
        <v/>
      </c>
      <c r="AZ254" s="174"/>
      <c r="BA254" s="174"/>
      <c r="BB254" s="174"/>
      <c r="BC254" s="174"/>
      <c r="BD254" s="174"/>
      <c r="BE254" s="174"/>
      <c r="BF254" s="174"/>
      <c r="BG254" s="174"/>
      <c r="BH254" s="174"/>
      <c r="BI254" s="174"/>
      <c r="BJ254" s="174"/>
      <c r="BK254" s="174"/>
      <c r="BL254" s="174"/>
      <c r="BM254" s="174"/>
      <c r="BN254" s="174"/>
      <c r="BO254" s="174"/>
      <c r="BP254" s="174"/>
      <c r="BQ254" s="174"/>
      <c r="BR254" s="174"/>
      <c r="BS254" s="174"/>
      <c r="BT254" s="174"/>
      <c r="BU254" s="174"/>
      <c r="BV254" s="174"/>
      <c r="BW254" s="174"/>
      <c r="BX254" s="174"/>
      <c r="BY254" s="174"/>
      <c r="BZ254" s="174"/>
      <c r="CA254" s="174"/>
      <c r="CB254" s="174"/>
      <c r="CC254" s="174"/>
      <c r="CD254" s="174"/>
    </row>
    <row r="255">
      <c r="A255" s="105" t="str">
        <f>IF(preDEL!$AG255,IFERROR(0/0,""),preDEL!A255)</f>
        <v>MA1115</v>
      </c>
      <c r="B255" s="170">
        <f>IF(preDEL!$AG255,IFERROR(0/0,""),preDEL!B255)</f>
        <v>44580</v>
      </c>
      <c r="C255" s="171">
        <f>IF(preDEL!$AG255,IFERROR(0/0,""),preDEL!C255)</f>
        <v>0.3460648148</v>
      </c>
      <c r="D255" s="105" t="str">
        <f>IF(preDEL!$AG255,IFERROR(0/0,""),preDEL!D255)</f>
        <v/>
      </c>
      <c r="E255" s="105" t="str">
        <f>IF(preDEL!$AG255,IFERROR(0/0,""),preDEL!E255)</f>
        <v/>
      </c>
      <c r="F255" s="112" t="str">
        <f>IF(preDEL!$AG255,IFERROR(0/0,""),preDEL!F255)</f>
        <v/>
      </c>
      <c r="G255" s="112" t="str">
        <f>IF(preDEL!$AG255,IFERROR(0/0,""),preDEL!G255)</f>
        <v/>
      </c>
      <c r="H255" s="112" t="str">
        <f>IF(preDEL!$AG255,IFERROR(0/0,""),preDEL!H255)</f>
        <v/>
      </c>
      <c r="I255" s="105" t="str">
        <f>IF(preDEL!$AG255,IFERROR(0/0,""),preDEL!I255)</f>
        <v/>
      </c>
      <c r="J255" s="105" t="str">
        <f>IF(preDEL!$AG255,IFERROR(0/0,""),preDEL!J255)</f>
        <v/>
      </c>
      <c r="K255" s="105" t="str">
        <f>IF(preDEL!$AG255,IFERROR(0/0,""),preDEL!K255)</f>
        <v>Positive</v>
      </c>
      <c r="L255" s="170">
        <f>IF(preDEL!$AG255,IFERROR(0/0,""),preDEL!L255)</f>
        <v>44580</v>
      </c>
      <c r="M255" s="171">
        <f>IF(preDEL!$AG255,IFERROR(0/0,""),preDEL!M255)</f>
        <v>0.5073611111</v>
      </c>
      <c r="N255" s="112" t="str">
        <f>IF(preDEL!$AG255,IFERROR(0/0,""),preDEL!N255)</f>
        <v/>
      </c>
      <c r="O255" s="112" t="str">
        <f>IF(preDEL!$AG255,IFERROR(0/0,""),preDEL!O255)</f>
        <v/>
      </c>
      <c r="P255" s="110" t="b">
        <f>IF(preDEL!$AG255,IFERROR(0/0,""),preDEL!P255)</f>
        <v>0</v>
      </c>
      <c r="Q255" s="110" t="str">
        <f>IF(preDEL!$AG255,IFERROR(0/0,""),preDEL!Q255)</f>
        <v>Result</v>
      </c>
      <c r="R255" s="104" t="b">
        <f>IF(preDEL!$AG255,IFERROR(0/0,""),preDEL!R255)</f>
        <v>1</v>
      </c>
      <c r="S255" s="104">
        <f>IF(preDEL!$AG255,IFERROR(0/0,""),preDEL!S255)</f>
        <v>1</v>
      </c>
      <c r="T255" s="110" t="str">
        <f>IF(preDEL!$AG255,IFERROR(0/0,""),preDEL!T255)</f>
        <v/>
      </c>
      <c r="U255" s="112" t="str">
        <f>IF(preDEL!$AG255,IFERROR(0/0,""),preDEL!U255)</f>
        <v/>
      </c>
      <c r="V255" s="105" t="str">
        <f>IF(preDEL!$AG255,IFERROR(0/0,""),preDEL!V255)</f>
        <v/>
      </c>
      <c r="W255" s="112" t="str">
        <f>IF(preDEL!$AG255,IFERROR(0/0,""),preDEL!W255)</f>
        <v/>
      </c>
      <c r="X255" s="104" t="b">
        <f>IF(preDEL!$AG255,IFERROR(0/0,""),preDEL!X255)</f>
        <v>0</v>
      </c>
      <c r="Y255" s="110" t="b">
        <f>IF(preDEL!$AG255,IFERROR(0/0,""),preDEL!Y255)</f>
        <v>0</v>
      </c>
      <c r="Z255" s="105" t="str">
        <f>IF(preDEL!$AG255,IFERROR(0/0,""),preDEL!Z255)</f>
        <v/>
      </c>
      <c r="AA255" s="110" t="b">
        <f>IF(preDEL!$AG255,IFERROR(0/0,""),preDEL!AA255)</f>
        <v>0</v>
      </c>
      <c r="AB255" s="110" t="b">
        <f>IF(preDEL!$AG255,IFERROR(0/0,""),preDEL!AB255)</f>
        <v>0</v>
      </c>
      <c r="AC255" s="172">
        <f>IF(preDEL!$AG255,IFERROR(0/0,""),preDEL!AC255)</f>
        <v>577</v>
      </c>
      <c r="AD255" s="104" t="b">
        <f>IF(preDEL!$AG255,IFERROR(0/0,""),preDEL!AD255)</f>
        <v>0</v>
      </c>
      <c r="AE255" s="173">
        <f>IF(preDEL!$AG255,IFERROR(0/0,""),preDEL!AE255)</f>
        <v>232.2666667</v>
      </c>
      <c r="AF255" s="110" t="b">
        <f>IF(preDEL!$AG255,IFERROR(0/0,""),preDEL!AF255)</f>
        <v>0</v>
      </c>
      <c r="AG255" s="110" t="b">
        <f>IF(preDEL!$AG255,IFERROR(0/0,""),preDEL!AG255)</f>
        <v>0</v>
      </c>
      <c r="AH255" s="104" t="str">
        <f>IF(preDEL!$AG255,IFERROR(0/0,""),preDEL!AH255)</f>
        <v/>
      </c>
      <c r="AI255" s="105" t="str">
        <f>IF(preDEL!$AG255,IFERROR(0/0,""),preDEL!AI255)</f>
        <v/>
      </c>
      <c r="AJ255" s="112" t="str">
        <f>IF(preDEL!$AG255,IFERROR(0/0,""),preDEL!AJ255)</f>
        <v/>
      </c>
      <c r="AK255" s="105" t="str">
        <f>IF(preDEL!$AG255,IFERROR(0/0,""),preDEL!AK255)</f>
        <v>Positive</v>
      </c>
      <c r="AL255" s="112" t="str">
        <f>IF(preDEL!$AG255,IFERROR(0/0,""),preDEL!AL255)</f>
        <v/>
      </c>
      <c r="AM255" s="112" t="str">
        <f>IF(preDEL!$AG255,IFERROR(0/0,""),preDEL!AM255)</f>
        <v>SpBEND708976</v>
      </c>
      <c r="AN255" s="112" t="str">
        <f>IF(preDEL!$AG255,IFERROR(0/0,""),preDEL!AN255)</f>
        <v>BEND525784</v>
      </c>
      <c r="AO255" s="112" t="str">
        <f>IF(preDEL!$AG255,IFERROR(0/0,""),preDEL!AO255)</f>
        <v/>
      </c>
      <c r="AP255" s="112" t="str">
        <f>IF(preDEL!$AG255,IFERROR(0/0,""),preDEL!AP255)</f>
        <v/>
      </c>
      <c r="AQ255" s="112" t="str">
        <f>IF(preDEL!$AG255,IFERROR(0/0,""),preDEL!AQ255)</f>
        <v/>
      </c>
      <c r="AR255" s="112" t="str">
        <f>IF(preDEL!$AG255,IFERROR(0/0,""),preDEL!AR255)</f>
        <v/>
      </c>
      <c r="AS255" s="112" t="str">
        <f>IF(preDEL!$AG255,IFERROR(0/0,""),preDEL!AS255)</f>
        <v/>
      </c>
      <c r="AT255" s="112" t="b">
        <f>IF(preDEL!$AG255,IFERROR(0/0,""),preDEL!AT255)</f>
        <v>0</v>
      </c>
      <c r="AU255" s="112" t="str">
        <f>IF(preDEL!$AG255,IFERROR(0/0,""),preDEL!AU255)</f>
        <v/>
      </c>
      <c r="AV255" s="112" t="str">
        <f>IF(preDEL!$AG255,IFERROR(0/0,""),preDEL!AV255)</f>
        <v/>
      </c>
      <c r="AW255" s="112" t="str">
        <f>IF(preDEL!$AG255,IFERROR(0/0,""),preDEL!AW255)</f>
        <v/>
      </c>
      <c r="AX255" s="112" t="str">
        <f>IF(preDEL!$AG255,IFERROR(0/0,""),preDEL!AX255)</f>
        <v/>
      </c>
      <c r="AY255" s="112" t="str">
        <f>IF(preDEL!$AG255,IFERROR(0/0,""),preDEL!AY255)</f>
        <v/>
      </c>
      <c r="AZ255" s="174"/>
      <c r="BA255" s="174"/>
      <c r="BB255" s="174"/>
      <c r="BC255" s="174"/>
      <c r="BD255" s="174"/>
      <c r="BE255" s="174"/>
      <c r="BF255" s="174"/>
      <c r="BG255" s="174"/>
      <c r="BH255" s="174"/>
      <c r="BI255" s="174"/>
      <c r="BJ255" s="174"/>
      <c r="BK255" s="174"/>
      <c r="BL255" s="174"/>
      <c r="BM255" s="174"/>
      <c r="BN255" s="174"/>
      <c r="BO255" s="174"/>
      <c r="BP255" s="174"/>
      <c r="BQ255" s="174"/>
      <c r="BR255" s="174"/>
      <c r="BS255" s="174"/>
      <c r="BT255" s="174"/>
      <c r="BU255" s="174"/>
      <c r="BV255" s="174"/>
      <c r="BW255" s="174"/>
      <c r="BX255" s="174"/>
      <c r="BY255" s="174"/>
      <c r="BZ255" s="174"/>
      <c r="CA255" s="174"/>
      <c r="CB255" s="174"/>
      <c r="CC255" s="174"/>
      <c r="CD255" s="174"/>
    </row>
    <row r="256">
      <c r="A256" s="105" t="str">
        <f>IF(preDEL!$AG256,IFERROR(0/0,""),preDEL!A256)</f>
        <v>MAX56</v>
      </c>
      <c r="B256" s="170">
        <f>IF(preDEL!$AG256,IFERROR(0/0,""),preDEL!B256)</f>
        <v>44580</v>
      </c>
      <c r="C256" s="171">
        <f>IF(preDEL!$AG256,IFERROR(0/0,""),preDEL!C256)</f>
        <v>0.4079282407</v>
      </c>
      <c r="D256" s="105" t="str">
        <f>IF(preDEL!$AG256,IFERROR(0/0,""),preDEL!D256)</f>
        <v/>
      </c>
      <c r="E256" s="105" t="str">
        <f>IF(preDEL!$AG256,IFERROR(0/0,""),preDEL!E256)</f>
        <v/>
      </c>
      <c r="F256" s="112" t="str">
        <f>IF(preDEL!$AG256,IFERROR(0/0,""),preDEL!F256)</f>
        <v/>
      </c>
      <c r="G256" s="112" t="str">
        <f>IF(preDEL!$AG256,IFERROR(0/0,""),preDEL!G256)</f>
        <v/>
      </c>
      <c r="H256" s="112" t="str">
        <f>IF(preDEL!$AG256,IFERROR(0/0,""),preDEL!H256)</f>
        <v/>
      </c>
      <c r="I256" s="105" t="str">
        <f>IF(preDEL!$AG256,IFERROR(0/0,""),preDEL!I256)</f>
        <v/>
      </c>
      <c r="J256" s="105" t="str">
        <f>IF(preDEL!$AG256,IFERROR(0/0,""),preDEL!J256)</f>
        <v/>
      </c>
      <c r="K256" s="105" t="str">
        <f>IF(preDEL!$AG256,IFERROR(0/0,""),preDEL!K256)</f>
        <v>Negative</v>
      </c>
      <c r="L256" s="170">
        <f>IF(preDEL!$AG256,IFERROR(0/0,""),preDEL!L256)</f>
        <v>44580</v>
      </c>
      <c r="M256" s="171">
        <f>IF(preDEL!$AG256,IFERROR(0/0,""),preDEL!M256)</f>
        <v>0.5080208333</v>
      </c>
      <c r="N256" s="112" t="str">
        <f>IF(preDEL!$AG256,IFERROR(0/0,""),preDEL!N256)</f>
        <v/>
      </c>
      <c r="O256" s="112" t="str">
        <f>IF(preDEL!$AG256,IFERROR(0/0,""),preDEL!O256)</f>
        <v/>
      </c>
      <c r="P256" s="110" t="b">
        <f>IF(preDEL!$AG256,IFERROR(0/0,""),preDEL!P256)</f>
        <v>0</v>
      </c>
      <c r="Q256" s="110" t="str">
        <f>IF(preDEL!$AG256,IFERROR(0/0,""),preDEL!Q256)</f>
        <v>Result</v>
      </c>
      <c r="R256" s="104" t="b">
        <f>IF(preDEL!$AG256,IFERROR(0/0,""),preDEL!R256)</f>
        <v>1</v>
      </c>
      <c r="S256" s="104">
        <f>IF(preDEL!$AG256,IFERROR(0/0,""),preDEL!S256)</f>
        <v>1</v>
      </c>
      <c r="T256" s="110" t="str">
        <f>IF(preDEL!$AG256,IFERROR(0/0,""),preDEL!T256)</f>
        <v/>
      </c>
      <c r="U256" s="112" t="str">
        <f>IF(preDEL!$AG256,IFERROR(0/0,""),preDEL!U256)</f>
        <v/>
      </c>
      <c r="V256" s="105" t="str">
        <f>IF(preDEL!$AG256,IFERROR(0/0,""),preDEL!V256)</f>
        <v/>
      </c>
      <c r="W256" s="112" t="str">
        <f>IF(preDEL!$AG256,IFERROR(0/0,""),preDEL!W256)</f>
        <v/>
      </c>
      <c r="X256" s="104" t="b">
        <f>IF(preDEL!$AG256,IFERROR(0/0,""),preDEL!X256)</f>
        <v>0</v>
      </c>
      <c r="Y256" s="110" t="b">
        <f>IF(preDEL!$AG256,IFERROR(0/0,""),preDEL!Y256)</f>
        <v>0</v>
      </c>
      <c r="Z256" s="105" t="str">
        <f>IF(preDEL!$AG256,IFERROR(0/0,""),preDEL!Z256)</f>
        <v/>
      </c>
      <c r="AA256" s="110" t="b">
        <f>IF(preDEL!$AG256,IFERROR(0/0,""),preDEL!AA256)</f>
        <v>0</v>
      </c>
      <c r="AB256" s="110" t="b">
        <f>IF(preDEL!$AG256,IFERROR(0/0,""),preDEL!AB256)</f>
        <v>0</v>
      </c>
      <c r="AC256" s="172">
        <f>IF(preDEL!$AG256,IFERROR(0/0,""),preDEL!AC256)</f>
        <v>545</v>
      </c>
      <c r="AD256" s="104" t="b">
        <f>IF(preDEL!$AG256,IFERROR(0/0,""),preDEL!AD256)</f>
        <v>0</v>
      </c>
      <c r="AE256" s="173">
        <f>IF(preDEL!$AG256,IFERROR(0/0,""),preDEL!AE256)</f>
        <v>144.1333333</v>
      </c>
      <c r="AF256" s="110" t="b">
        <f>IF(preDEL!$AG256,IFERROR(0/0,""),preDEL!AF256)</f>
        <v>0</v>
      </c>
      <c r="AG256" s="110" t="b">
        <f>IF(preDEL!$AG256,IFERROR(0/0,""),preDEL!AG256)</f>
        <v>0</v>
      </c>
      <c r="AH256" s="104" t="str">
        <f>IF(preDEL!$AG256,IFERROR(0/0,""),preDEL!AH256)</f>
        <v/>
      </c>
      <c r="AI256" s="105" t="str">
        <f>IF(preDEL!$AG256,IFERROR(0/0,""),preDEL!AI256)</f>
        <v/>
      </c>
      <c r="AJ256" s="112" t="str">
        <f>IF(preDEL!$AG256,IFERROR(0/0,""),preDEL!AJ256)</f>
        <v/>
      </c>
      <c r="AK256" s="105" t="str">
        <f>IF(preDEL!$AG256,IFERROR(0/0,""),preDEL!AK256)</f>
        <v>Negative</v>
      </c>
      <c r="AL256" s="112" t="str">
        <f>IF(preDEL!$AG256,IFERROR(0/0,""),preDEL!AL256)</f>
        <v/>
      </c>
      <c r="AM256" s="112" t="str">
        <f>IF(preDEL!$AG256,IFERROR(0/0,""),preDEL!AM256)</f>
        <v>SpBEND394154</v>
      </c>
      <c r="AN256" s="112" t="str">
        <f>IF(preDEL!$AG256,IFERROR(0/0,""),preDEL!AN256)</f>
        <v>BEND412261</v>
      </c>
      <c r="AO256" s="112" t="str">
        <f>IF(preDEL!$AG256,IFERROR(0/0,""),preDEL!AO256)</f>
        <v/>
      </c>
      <c r="AP256" s="112" t="str">
        <f>IF(preDEL!$AG256,IFERROR(0/0,""),preDEL!AP256)</f>
        <v/>
      </c>
      <c r="AQ256" s="112" t="str">
        <f>IF(preDEL!$AG256,IFERROR(0/0,""),preDEL!AQ256)</f>
        <v/>
      </c>
      <c r="AR256" s="112" t="str">
        <f>IF(preDEL!$AG256,IFERROR(0/0,""),preDEL!AR256)</f>
        <v/>
      </c>
      <c r="AS256" s="112" t="str">
        <f>IF(preDEL!$AG256,IFERROR(0/0,""),preDEL!AS256)</f>
        <v/>
      </c>
      <c r="AT256" s="112" t="b">
        <f>IF(preDEL!$AG256,IFERROR(0/0,""),preDEL!AT256)</f>
        <v>0</v>
      </c>
      <c r="AU256" s="112" t="str">
        <f>IF(preDEL!$AG256,IFERROR(0/0,""),preDEL!AU256)</f>
        <v/>
      </c>
      <c r="AV256" s="112" t="str">
        <f>IF(preDEL!$AG256,IFERROR(0/0,""),preDEL!AV256)</f>
        <v/>
      </c>
      <c r="AW256" s="112" t="str">
        <f>IF(preDEL!$AG256,IFERROR(0/0,""),preDEL!AW256)</f>
        <v/>
      </c>
      <c r="AX256" s="112" t="str">
        <f>IF(preDEL!$AG256,IFERROR(0/0,""),preDEL!AX256)</f>
        <v/>
      </c>
      <c r="AY256" s="112" t="str">
        <f>IF(preDEL!$AG256,IFERROR(0/0,""),preDEL!AY256)</f>
        <v/>
      </c>
      <c r="AZ256" s="174"/>
      <c r="BA256" s="174"/>
      <c r="BB256" s="174"/>
      <c r="BC256" s="174"/>
      <c r="BD256" s="174"/>
      <c r="BE256" s="174"/>
      <c r="BF256" s="174"/>
      <c r="BG256" s="174"/>
      <c r="BH256" s="174"/>
      <c r="BI256" s="174"/>
      <c r="BJ256" s="174"/>
      <c r="BK256" s="174"/>
      <c r="BL256" s="174"/>
      <c r="BM256" s="174"/>
      <c r="BN256" s="174"/>
      <c r="BO256" s="174"/>
      <c r="BP256" s="174"/>
      <c r="BQ256" s="174"/>
      <c r="BR256" s="174"/>
      <c r="BS256" s="174"/>
      <c r="BT256" s="174"/>
      <c r="BU256" s="174"/>
      <c r="BV256" s="174"/>
      <c r="BW256" s="174"/>
      <c r="BX256" s="174"/>
      <c r="BY256" s="174"/>
      <c r="BZ256" s="174"/>
      <c r="CA256" s="174"/>
      <c r="CB256" s="174"/>
      <c r="CC256" s="174"/>
      <c r="CD256" s="174"/>
    </row>
    <row r="257">
      <c r="A257" s="105" t="str">
        <f>IF(preDEL!$AG257,IFERROR(0/0,""),preDEL!A257)</f>
        <v>MAX4</v>
      </c>
      <c r="B257" s="170">
        <f>IF(preDEL!$AG257,IFERROR(0/0,""),preDEL!B257)</f>
        <v>44580</v>
      </c>
      <c r="C257" s="171">
        <f>IF(preDEL!$AG257,IFERROR(0/0,""),preDEL!C257)</f>
        <v>0.4100694444</v>
      </c>
      <c r="D257" s="105" t="str">
        <f>IF(preDEL!$AG257,IFERROR(0/0,""),preDEL!D257)</f>
        <v/>
      </c>
      <c r="E257" s="105" t="str">
        <f>IF(preDEL!$AG257,IFERROR(0/0,""),preDEL!E257)</f>
        <v/>
      </c>
      <c r="F257" s="112" t="str">
        <f>IF(preDEL!$AG257,IFERROR(0/0,""),preDEL!F257)</f>
        <v/>
      </c>
      <c r="G257" s="112" t="str">
        <f>IF(preDEL!$AG257,IFERROR(0/0,""),preDEL!G257)</f>
        <v/>
      </c>
      <c r="H257" s="112" t="str">
        <f>IF(preDEL!$AG257,IFERROR(0/0,""),preDEL!H257)</f>
        <v/>
      </c>
      <c r="I257" s="105" t="str">
        <f>IF(preDEL!$AG257,IFERROR(0/0,""),preDEL!I257)</f>
        <v/>
      </c>
      <c r="J257" s="105" t="str">
        <f>IF(preDEL!$AG257,IFERROR(0/0,""),preDEL!J257)</f>
        <v/>
      </c>
      <c r="K257" s="105" t="str">
        <f>IF(preDEL!$AG257,IFERROR(0/0,""),preDEL!K257)</f>
        <v>Negative</v>
      </c>
      <c r="L257" s="170">
        <f>IF(preDEL!$AG257,IFERROR(0/0,""),preDEL!L257)</f>
        <v>44580</v>
      </c>
      <c r="M257" s="171">
        <f>IF(preDEL!$AG257,IFERROR(0/0,""),preDEL!M257)</f>
        <v>0.5080208333</v>
      </c>
      <c r="N257" s="112" t="str">
        <f>IF(preDEL!$AG257,IFERROR(0/0,""),preDEL!N257)</f>
        <v/>
      </c>
      <c r="O257" s="112" t="str">
        <f>IF(preDEL!$AG257,IFERROR(0/0,""),preDEL!O257)</f>
        <v/>
      </c>
      <c r="P257" s="110" t="b">
        <f>IF(preDEL!$AG257,IFERROR(0/0,""),preDEL!P257)</f>
        <v>0</v>
      </c>
      <c r="Q257" s="110" t="str">
        <f>IF(preDEL!$AG257,IFERROR(0/0,""),preDEL!Q257)</f>
        <v>Result</v>
      </c>
      <c r="R257" s="104" t="b">
        <f>IF(preDEL!$AG257,IFERROR(0/0,""),preDEL!R257)</f>
        <v>1</v>
      </c>
      <c r="S257" s="104">
        <f>IF(preDEL!$AG257,IFERROR(0/0,""),preDEL!S257)</f>
        <v>1</v>
      </c>
      <c r="T257" s="110" t="str">
        <f>IF(preDEL!$AG257,IFERROR(0/0,""),preDEL!T257)</f>
        <v/>
      </c>
      <c r="U257" s="112" t="str">
        <f>IF(preDEL!$AG257,IFERROR(0/0,""),preDEL!U257)</f>
        <v/>
      </c>
      <c r="V257" s="105" t="str">
        <f>IF(preDEL!$AG257,IFERROR(0/0,""),preDEL!V257)</f>
        <v/>
      </c>
      <c r="W257" s="112" t="str">
        <f>IF(preDEL!$AG257,IFERROR(0/0,""),preDEL!W257)</f>
        <v/>
      </c>
      <c r="X257" s="104" t="b">
        <f>IF(preDEL!$AG257,IFERROR(0/0,""),preDEL!X257)</f>
        <v>0</v>
      </c>
      <c r="Y257" s="110" t="b">
        <f>IF(preDEL!$AG257,IFERROR(0/0,""),preDEL!Y257)</f>
        <v>0</v>
      </c>
      <c r="Z257" s="105" t="str">
        <f>IF(preDEL!$AG257,IFERROR(0/0,""),preDEL!Z257)</f>
        <v/>
      </c>
      <c r="AA257" s="110" t="b">
        <f>IF(preDEL!$AG257,IFERROR(0/0,""),preDEL!AA257)</f>
        <v>0</v>
      </c>
      <c r="AB257" s="110" t="b">
        <f>IF(preDEL!$AG257,IFERROR(0/0,""),preDEL!AB257)</f>
        <v>0</v>
      </c>
      <c r="AC257" s="172">
        <f>IF(preDEL!$AG257,IFERROR(0/0,""),preDEL!AC257)</f>
        <v>544</v>
      </c>
      <c r="AD257" s="104" t="b">
        <f>IF(preDEL!$AG257,IFERROR(0/0,""),preDEL!AD257)</f>
        <v>0</v>
      </c>
      <c r="AE257" s="173">
        <f>IF(preDEL!$AG257,IFERROR(0/0,""),preDEL!AE257)</f>
        <v>141.05</v>
      </c>
      <c r="AF257" s="110" t="b">
        <f>IF(preDEL!$AG257,IFERROR(0/0,""),preDEL!AF257)</f>
        <v>0</v>
      </c>
      <c r="AG257" s="110" t="b">
        <f>IF(preDEL!$AG257,IFERROR(0/0,""),preDEL!AG257)</f>
        <v>0</v>
      </c>
      <c r="AH257" s="104" t="str">
        <f>IF(preDEL!$AG257,IFERROR(0/0,""),preDEL!AH257)</f>
        <v/>
      </c>
      <c r="AI257" s="105" t="str">
        <f>IF(preDEL!$AG257,IFERROR(0/0,""),preDEL!AI257)</f>
        <v/>
      </c>
      <c r="AJ257" s="112" t="str">
        <f>IF(preDEL!$AG257,IFERROR(0/0,""),preDEL!AJ257)</f>
        <v/>
      </c>
      <c r="AK257" s="105" t="str">
        <f>IF(preDEL!$AG257,IFERROR(0/0,""),preDEL!AK257)</f>
        <v>Negative</v>
      </c>
      <c r="AL257" s="112" t="str">
        <f>IF(preDEL!$AG257,IFERROR(0/0,""),preDEL!AL257)</f>
        <v/>
      </c>
      <c r="AM257" s="112" t="str">
        <f>IF(preDEL!$AG257,IFERROR(0/0,""),preDEL!AM257)</f>
        <v>SpBEND394154</v>
      </c>
      <c r="AN257" s="112" t="str">
        <f>IF(preDEL!$AG257,IFERROR(0/0,""),preDEL!AN257)</f>
        <v>BEND107646</v>
      </c>
      <c r="AO257" s="112" t="str">
        <f>IF(preDEL!$AG257,IFERROR(0/0,""),preDEL!AO257)</f>
        <v/>
      </c>
      <c r="AP257" s="112" t="str">
        <f>IF(preDEL!$AG257,IFERROR(0/0,""),preDEL!AP257)</f>
        <v/>
      </c>
      <c r="AQ257" s="112" t="str">
        <f>IF(preDEL!$AG257,IFERROR(0/0,""),preDEL!AQ257)</f>
        <v/>
      </c>
      <c r="AR257" s="112" t="str">
        <f>IF(preDEL!$AG257,IFERROR(0/0,""),preDEL!AR257)</f>
        <v/>
      </c>
      <c r="AS257" s="112" t="str">
        <f>IF(preDEL!$AG257,IFERROR(0/0,""),preDEL!AS257)</f>
        <v/>
      </c>
      <c r="AT257" s="112" t="b">
        <f>IF(preDEL!$AG257,IFERROR(0/0,""),preDEL!AT257)</f>
        <v>0</v>
      </c>
      <c r="AU257" s="112" t="str">
        <f>IF(preDEL!$AG257,IFERROR(0/0,""),preDEL!AU257)</f>
        <v/>
      </c>
      <c r="AV257" s="112" t="str">
        <f>IF(preDEL!$AG257,IFERROR(0/0,""),preDEL!AV257)</f>
        <v/>
      </c>
      <c r="AW257" s="112" t="str">
        <f>IF(preDEL!$AG257,IFERROR(0/0,""),preDEL!AW257)</f>
        <v/>
      </c>
      <c r="AX257" s="112" t="str">
        <f>IF(preDEL!$AG257,IFERROR(0/0,""),preDEL!AX257)</f>
        <v/>
      </c>
      <c r="AY257" s="112" t="str">
        <f>IF(preDEL!$AG257,IFERROR(0/0,""),preDEL!AY257)</f>
        <v/>
      </c>
      <c r="AZ257" s="174"/>
      <c r="BA257" s="174"/>
      <c r="BB257" s="174"/>
      <c r="BC257" s="174"/>
      <c r="BD257" s="174"/>
      <c r="BE257" s="174"/>
      <c r="BF257" s="174"/>
      <c r="BG257" s="174"/>
      <c r="BH257" s="174"/>
      <c r="BI257" s="174"/>
      <c r="BJ257" s="174"/>
      <c r="BK257" s="174"/>
      <c r="BL257" s="174"/>
      <c r="BM257" s="174"/>
      <c r="BN257" s="174"/>
      <c r="BO257" s="174"/>
      <c r="BP257" s="174"/>
      <c r="BQ257" s="174"/>
      <c r="BR257" s="174"/>
      <c r="BS257" s="174"/>
      <c r="BT257" s="174"/>
      <c r="BU257" s="174"/>
      <c r="BV257" s="174"/>
      <c r="BW257" s="174"/>
      <c r="BX257" s="174"/>
      <c r="BY257" s="174"/>
      <c r="BZ257" s="174"/>
      <c r="CA257" s="174"/>
      <c r="CB257" s="174"/>
      <c r="CC257" s="174"/>
      <c r="CD257" s="174"/>
    </row>
    <row r="258">
      <c r="A258" s="105" t="str">
        <f>IF(preDEL!$AG258,IFERROR(0/0,""),preDEL!A258)</f>
        <v>MA383</v>
      </c>
      <c r="B258" s="170">
        <f>IF(preDEL!$AG258,IFERROR(0/0,""),preDEL!B258)</f>
        <v>44580</v>
      </c>
      <c r="C258" s="171">
        <f>IF(preDEL!$AG258,IFERROR(0/0,""),preDEL!C258)</f>
        <v>0.4145601852</v>
      </c>
      <c r="D258" s="105" t="str">
        <f>IF(preDEL!$AG258,IFERROR(0/0,""),preDEL!D258)</f>
        <v/>
      </c>
      <c r="E258" s="105" t="str">
        <f>IF(preDEL!$AG258,IFERROR(0/0,""),preDEL!E258)</f>
        <v/>
      </c>
      <c r="F258" s="112" t="str">
        <f>IF(preDEL!$AG258,IFERROR(0/0,""),preDEL!F258)</f>
        <v/>
      </c>
      <c r="G258" s="112" t="str">
        <f>IF(preDEL!$AG258,IFERROR(0/0,""),preDEL!G258)</f>
        <v/>
      </c>
      <c r="H258" s="112" t="str">
        <f>IF(preDEL!$AG258,IFERROR(0/0,""),preDEL!H258)</f>
        <v/>
      </c>
      <c r="I258" s="105" t="str">
        <f>IF(preDEL!$AG258,IFERROR(0/0,""),preDEL!I258)</f>
        <v/>
      </c>
      <c r="J258" s="105" t="str">
        <f>IF(preDEL!$AG258,IFERROR(0/0,""),preDEL!J258)</f>
        <v/>
      </c>
      <c r="K258" s="105" t="str">
        <f>IF(preDEL!$AG258,IFERROR(0/0,""),preDEL!K258)</f>
        <v>Positive</v>
      </c>
      <c r="L258" s="170">
        <f>IF(preDEL!$AG258,IFERROR(0/0,""),preDEL!L258)</f>
        <v>44580</v>
      </c>
      <c r="M258" s="171">
        <f>IF(preDEL!$AG258,IFERROR(0/0,""),preDEL!M258)</f>
        <v>0.5073611111</v>
      </c>
      <c r="N258" s="112" t="str">
        <f>IF(preDEL!$AG258,IFERROR(0/0,""),preDEL!N258)</f>
        <v/>
      </c>
      <c r="O258" s="112" t="str">
        <f>IF(preDEL!$AG258,IFERROR(0/0,""),preDEL!O258)</f>
        <v/>
      </c>
      <c r="P258" s="110" t="b">
        <f>IF(preDEL!$AG258,IFERROR(0/0,""),preDEL!P258)</f>
        <v>0</v>
      </c>
      <c r="Q258" s="110" t="str">
        <f>IF(preDEL!$AG258,IFERROR(0/0,""),preDEL!Q258)</f>
        <v>Result</v>
      </c>
      <c r="R258" s="104" t="b">
        <f>IF(preDEL!$AG258,IFERROR(0/0,""),preDEL!R258)</f>
        <v>1</v>
      </c>
      <c r="S258" s="104">
        <f>IF(preDEL!$AG258,IFERROR(0/0,""),preDEL!S258)</f>
        <v>1</v>
      </c>
      <c r="T258" s="110" t="str">
        <f>IF(preDEL!$AG258,IFERROR(0/0,""),preDEL!T258)</f>
        <v/>
      </c>
      <c r="U258" s="112" t="str">
        <f>IF(preDEL!$AG258,IFERROR(0/0,""),preDEL!U258)</f>
        <v/>
      </c>
      <c r="V258" s="105" t="str">
        <f>IF(preDEL!$AG258,IFERROR(0/0,""),preDEL!V258)</f>
        <v/>
      </c>
      <c r="W258" s="112" t="str">
        <f>IF(preDEL!$AG258,IFERROR(0/0,""),preDEL!W258)</f>
        <v/>
      </c>
      <c r="X258" s="104" t="b">
        <f>IF(preDEL!$AG258,IFERROR(0/0,""),preDEL!X258)</f>
        <v>0</v>
      </c>
      <c r="Y258" s="110" t="b">
        <f>IF(preDEL!$AG258,IFERROR(0/0,""),preDEL!Y258)</f>
        <v>0</v>
      </c>
      <c r="Z258" s="105" t="str">
        <f>IF(preDEL!$AG258,IFERROR(0/0,""),preDEL!Z258)</f>
        <v/>
      </c>
      <c r="AA258" s="110" t="b">
        <f>IF(preDEL!$AG258,IFERROR(0/0,""),preDEL!AA258)</f>
        <v>0</v>
      </c>
      <c r="AB258" s="110" t="b">
        <f>IF(preDEL!$AG258,IFERROR(0/0,""),preDEL!AB258)</f>
        <v>0</v>
      </c>
      <c r="AC258" s="172">
        <f>IF(preDEL!$AG258,IFERROR(0/0,""),preDEL!AC258)</f>
        <v>576</v>
      </c>
      <c r="AD258" s="104" t="b">
        <f>IF(preDEL!$AG258,IFERROR(0/0,""),preDEL!AD258)</f>
        <v>0</v>
      </c>
      <c r="AE258" s="173">
        <f>IF(preDEL!$AG258,IFERROR(0/0,""),preDEL!AE258)</f>
        <v>133.6333333</v>
      </c>
      <c r="AF258" s="110" t="b">
        <f>IF(preDEL!$AG258,IFERROR(0/0,""),preDEL!AF258)</f>
        <v>0</v>
      </c>
      <c r="AG258" s="110" t="b">
        <f>IF(preDEL!$AG258,IFERROR(0/0,""),preDEL!AG258)</f>
        <v>0</v>
      </c>
      <c r="AH258" s="104" t="str">
        <f>IF(preDEL!$AG258,IFERROR(0/0,""),preDEL!AH258)</f>
        <v/>
      </c>
      <c r="AI258" s="105" t="str">
        <f>IF(preDEL!$AG258,IFERROR(0/0,""),preDEL!AI258)</f>
        <v/>
      </c>
      <c r="AJ258" s="112" t="str">
        <f>IF(preDEL!$AG258,IFERROR(0/0,""),preDEL!AJ258)</f>
        <v/>
      </c>
      <c r="AK258" s="105" t="str">
        <f>IF(preDEL!$AG258,IFERROR(0/0,""),preDEL!AK258)</f>
        <v>Positive</v>
      </c>
      <c r="AL258" s="112" t="str">
        <f>IF(preDEL!$AG258,IFERROR(0/0,""),preDEL!AL258)</f>
        <v/>
      </c>
      <c r="AM258" s="112" t="str">
        <f>IF(preDEL!$AG258,IFERROR(0/0,""),preDEL!AM258)</f>
        <v>SpBEND394154</v>
      </c>
      <c r="AN258" s="112" t="str">
        <f>IF(preDEL!$AG258,IFERROR(0/0,""),preDEL!AN258)</f>
        <v>BEND304589</v>
      </c>
      <c r="AO258" s="112" t="str">
        <f>IF(preDEL!$AG258,IFERROR(0/0,""),preDEL!AO258)</f>
        <v/>
      </c>
      <c r="AP258" s="112" t="str">
        <f>IF(preDEL!$AG258,IFERROR(0/0,""),preDEL!AP258)</f>
        <v/>
      </c>
      <c r="AQ258" s="112" t="str">
        <f>IF(preDEL!$AG258,IFERROR(0/0,""),preDEL!AQ258)</f>
        <v/>
      </c>
      <c r="AR258" s="112" t="str">
        <f>IF(preDEL!$AG258,IFERROR(0/0,""),preDEL!AR258)</f>
        <v/>
      </c>
      <c r="AS258" s="112" t="str">
        <f>IF(preDEL!$AG258,IFERROR(0/0,""),preDEL!AS258)</f>
        <v/>
      </c>
      <c r="AT258" s="112" t="b">
        <f>IF(preDEL!$AG258,IFERROR(0/0,""),preDEL!AT258)</f>
        <v>0</v>
      </c>
      <c r="AU258" s="112" t="str">
        <f>IF(preDEL!$AG258,IFERROR(0/0,""),preDEL!AU258)</f>
        <v/>
      </c>
      <c r="AV258" s="112" t="str">
        <f>IF(preDEL!$AG258,IFERROR(0/0,""),preDEL!AV258)</f>
        <v/>
      </c>
      <c r="AW258" s="112" t="str">
        <f>IF(preDEL!$AG258,IFERROR(0/0,""),preDEL!AW258)</f>
        <v/>
      </c>
      <c r="AX258" s="112" t="str">
        <f>IF(preDEL!$AG258,IFERROR(0/0,""),preDEL!AX258)</f>
        <v/>
      </c>
      <c r="AY258" s="112" t="str">
        <f>IF(preDEL!$AG258,IFERROR(0/0,""),preDEL!AY258)</f>
        <v/>
      </c>
      <c r="AZ258" s="174"/>
      <c r="BA258" s="174"/>
      <c r="BB258" s="174"/>
      <c r="BC258" s="174"/>
      <c r="BD258" s="174"/>
      <c r="BE258" s="174"/>
      <c r="BF258" s="174"/>
      <c r="BG258" s="174"/>
      <c r="BH258" s="174"/>
      <c r="BI258" s="174"/>
      <c r="BJ258" s="174"/>
      <c r="BK258" s="174"/>
      <c r="BL258" s="174"/>
      <c r="BM258" s="174"/>
      <c r="BN258" s="174"/>
      <c r="BO258" s="174"/>
      <c r="BP258" s="174"/>
      <c r="BQ258" s="174"/>
      <c r="BR258" s="174"/>
      <c r="BS258" s="174"/>
      <c r="BT258" s="174"/>
      <c r="BU258" s="174"/>
      <c r="BV258" s="174"/>
      <c r="BW258" s="174"/>
      <c r="BX258" s="174"/>
      <c r="BY258" s="174"/>
      <c r="BZ258" s="174"/>
      <c r="CA258" s="174"/>
      <c r="CB258" s="174"/>
      <c r="CC258" s="174"/>
      <c r="CD258" s="174"/>
    </row>
    <row r="259">
      <c r="A259" s="105" t="str">
        <f>IF(preDEL!$AG259,IFERROR(0/0,""),preDEL!A259)</f>
        <v>MA372</v>
      </c>
      <c r="B259" s="170">
        <f>IF(preDEL!$AG259,IFERROR(0/0,""),preDEL!B259)</f>
        <v>44580</v>
      </c>
      <c r="C259" s="171">
        <f>IF(preDEL!$AG259,IFERROR(0/0,""),preDEL!C259)</f>
        <v>0.415</v>
      </c>
      <c r="D259" s="105" t="str">
        <f>IF(preDEL!$AG259,IFERROR(0/0,""),preDEL!D259)</f>
        <v/>
      </c>
      <c r="E259" s="105" t="str">
        <f>IF(preDEL!$AG259,IFERROR(0/0,""),preDEL!E259)</f>
        <v/>
      </c>
      <c r="F259" s="112" t="str">
        <f>IF(preDEL!$AG259,IFERROR(0/0,""),preDEL!F259)</f>
        <v/>
      </c>
      <c r="G259" s="112" t="str">
        <f>IF(preDEL!$AG259,IFERROR(0/0,""),preDEL!G259)</f>
        <v/>
      </c>
      <c r="H259" s="112" t="str">
        <f>IF(preDEL!$AG259,IFERROR(0/0,""),preDEL!H259)</f>
        <v/>
      </c>
      <c r="I259" s="105" t="str">
        <f>IF(preDEL!$AG259,IFERROR(0/0,""),preDEL!I259)</f>
        <v/>
      </c>
      <c r="J259" s="105" t="str">
        <f>IF(preDEL!$AG259,IFERROR(0/0,""),preDEL!J259)</f>
        <v/>
      </c>
      <c r="K259" s="105" t="str">
        <f>IF(preDEL!$AG259,IFERROR(0/0,""),preDEL!K259)</f>
        <v>Positive</v>
      </c>
      <c r="L259" s="170">
        <f>IF(preDEL!$AG259,IFERROR(0/0,""),preDEL!L259)</f>
        <v>44580</v>
      </c>
      <c r="M259" s="171">
        <f>IF(preDEL!$AG259,IFERROR(0/0,""),preDEL!M259)</f>
        <v>0.5073726852</v>
      </c>
      <c r="N259" s="112" t="str">
        <f>IF(preDEL!$AG259,IFERROR(0/0,""),preDEL!N259)</f>
        <v/>
      </c>
      <c r="O259" s="112" t="str">
        <f>IF(preDEL!$AG259,IFERROR(0/0,""),preDEL!O259)</f>
        <v/>
      </c>
      <c r="P259" s="110" t="b">
        <f>IF(preDEL!$AG259,IFERROR(0/0,""),preDEL!P259)</f>
        <v>0</v>
      </c>
      <c r="Q259" s="110" t="str">
        <f>IF(preDEL!$AG259,IFERROR(0/0,""),preDEL!Q259)</f>
        <v>Result</v>
      </c>
      <c r="R259" s="104" t="b">
        <f>IF(preDEL!$AG259,IFERROR(0/0,""),preDEL!R259)</f>
        <v>1</v>
      </c>
      <c r="S259" s="104">
        <f>IF(preDEL!$AG259,IFERROR(0/0,""),preDEL!S259)</f>
        <v>1</v>
      </c>
      <c r="T259" s="110" t="str">
        <f>IF(preDEL!$AG259,IFERROR(0/0,""),preDEL!T259)</f>
        <v/>
      </c>
      <c r="U259" s="112" t="str">
        <f>IF(preDEL!$AG259,IFERROR(0/0,""),preDEL!U259)</f>
        <v/>
      </c>
      <c r="V259" s="105" t="str">
        <f>IF(preDEL!$AG259,IFERROR(0/0,""),preDEL!V259)</f>
        <v/>
      </c>
      <c r="W259" s="112" t="str">
        <f>IF(preDEL!$AG259,IFERROR(0/0,""),preDEL!W259)</f>
        <v/>
      </c>
      <c r="X259" s="104" t="b">
        <f>IF(preDEL!$AG259,IFERROR(0/0,""),preDEL!X259)</f>
        <v>0</v>
      </c>
      <c r="Y259" s="110" t="b">
        <f>IF(preDEL!$AG259,IFERROR(0/0,""),preDEL!Y259)</f>
        <v>0</v>
      </c>
      <c r="Z259" s="105" t="str">
        <f>IF(preDEL!$AG259,IFERROR(0/0,""),preDEL!Z259)</f>
        <v/>
      </c>
      <c r="AA259" s="110" t="b">
        <f>IF(preDEL!$AG259,IFERROR(0/0,""),preDEL!AA259)</f>
        <v>0</v>
      </c>
      <c r="AB259" s="110" t="b">
        <f>IF(preDEL!$AG259,IFERROR(0/0,""),preDEL!AB259)</f>
        <v>0</v>
      </c>
      <c r="AC259" s="172">
        <f>IF(preDEL!$AG259,IFERROR(0/0,""),preDEL!AC259)</f>
        <v>575</v>
      </c>
      <c r="AD259" s="104" t="b">
        <f>IF(preDEL!$AG259,IFERROR(0/0,""),preDEL!AD259)</f>
        <v>0</v>
      </c>
      <c r="AE259" s="173">
        <f>IF(preDEL!$AG259,IFERROR(0/0,""),preDEL!AE259)</f>
        <v>133.0166667</v>
      </c>
      <c r="AF259" s="110" t="b">
        <f>IF(preDEL!$AG259,IFERROR(0/0,""),preDEL!AF259)</f>
        <v>0</v>
      </c>
      <c r="AG259" s="110" t="b">
        <f>IF(preDEL!$AG259,IFERROR(0/0,""),preDEL!AG259)</f>
        <v>0</v>
      </c>
      <c r="AH259" s="104" t="str">
        <f>IF(preDEL!$AG259,IFERROR(0/0,""),preDEL!AH259)</f>
        <v/>
      </c>
      <c r="AI259" s="105" t="str">
        <f>IF(preDEL!$AG259,IFERROR(0/0,""),preDEL!AI259)</f>
        <v/>
      </c>
      <c r="AJ259" s="112" t="str">
        <f>IF(preDEL!$AG259,IFERROR(0/0,""),preDEL!AJ259)</f>
        <v/>
      </c>
      <c r="AK259" s="105" t="str">
        <f>IF(preDEL!$AG259,IFERROR(0/0,""),preDEL!AK259)</f>
        <v>Positive</v>
      </c>
      <c r="AL259" s="112" t="str">
        <f>IF(preDEL!$AG259,IFERROR(0/0,""),preDEL!AL259)</f>
        <v/>
      </c>
      <c r="AM259" s="112" t="str">
        <f>IF(preDEL!$AG259,IFERROR(0/0,""),preDEL!AM259)</f>
        <v>SpBEND394154</v>
      </c>
      <c r="AN259" s="112" t="str">
        <f>IF(preDEL!$AG259,IFERROR(0/0,""),preDEL!AN259)</f>
        <v>BEND151408</v>
      </c>
      <c r="AO259" s="112" t="str">
        <f>IF(preDEL!$AG259,IFERROR(0/0,""),preDEL!AO259)</f>
        <v/>
      </c>
      <c r="AP259" s="112" t="str">
        <f>IF(preDEL!$AG259,IFERROR(0/0,""),preDEL!AP259)</f>
        <v/>
      </c>
      <c r="AQ259" s="112" t="str">
        <f>IF(preDEL!$AG259,IFERROR(0/0,""),preDEL!AQ259)</f>
        <v/>
      </c>
      <c r="AR259" s="112" t="str">
        <f>IF(preDEL!$AG259,IFERROR(0/0,""),preDEL!AR259)</f>
        <v/>
      </c>
      <c r="AS259" s="112" t="str">
        <f>IF(preDEL!$AG259,IFERROR(0/0,""),preDEL!AS259)</f>
        <v/>
      </c>
      <c r="AT259" s="112" t="b">
        <f>IF(preDEL!$AG259,IFERROR(0/0,""),preDEL!AT259)</f>
        <v>0</v>
      </c>
      <c r="AU259" s="112" t="str">
        <f>IF(preDEL!$AG259,IFERROR(0/0,""),preDEL!AU259)</f>
        <v/>
      </c>
      <c r="AV259" s="112" t="str">
        <f>IF(preDEL!$AG259,IFERROR(0/0,""),preDEL!AV259)</f>
        <v/>
      </c>
      <c r="AW259" s="112" t="str">
        <f>IF(preDEL!$AG259,IFERROR(0/0,""),preDEL!AW259)</f>
        <v/>
      </c>
      <c r="AX259" s="112" t="str">
        <f>IF(preDEL!$AG259,IFERROR(0/0,""),preDEL!AX259)</f>
        <v/>
      </c>
      <c r="AY259" s="112" t="str">
        <f>IF(preDEL!$AG259,IFERROR(0/0,""),preDEL!AY259)</f>
        <v/>
      </c>
      <c r="AZ259" s="174"/>
      <c r="BA259" s="174"/>
      <c r="BB259" s="174"/>
      <c r="BC259" s="174"/>
      <c r="BD259" s="174"/>
      <c r="BE259" s="174"/>
      <c r="BF259" s="174"/>
      <c r="BG259" s="174"/>
      <c r="BH259" s="174"/>
      <c r="BI259" s="174"/>
      <c r="BJ259" s="174"/>
      <c r="BK259" s="174"/>
      <c r="BL259" s="174"/>
      <c r="BM259" s="174"/>
      <c r="BN259" s="174"/>
      <c r="BO259" s="174"/>
      <c r="BP259" s="174"/>
      <c r="BQ259" s="174"/>
      <c r="BR259" s="174"/>
      <c r="BS259" s="174"/>
      <c r="BT259" s="174"/>
      <c r="BU259" s="174"/>
      <c r="BV259" s="174"/>
      <c r="BW259" s="174"/>
      <c r="BX259" s="174"/>
      <c r="BY259" s="174"/>
      <c r="BZ259" s="174"/>
      <c r="CA259" s="174"/>
      <c r="CB259" s="174"/>
      <c r="CC259" s="174"/>
      <c r="CD259" s="174"/>
    </row>
    <row r="260">
      <c r="A260" s="105" t="str">
        <f>IF(preDEL!$AG260,IFERROR(0/0,""),preDEL!A260)</f>
        <v>MA303</v>
      </c>
      <c r="B260" s="170">
        <f>IF(preDEL!$AG260,IFERROR(0/0,""),preDEL!B260)</f>
        <v>44580</v>
      </c>
      <c r="C260" s="171">
        <f>IF(preDEL!$AG260,IFERROR(0/0,""),preDEL!C260)</f>
        <v>0.4154398148</v>
      </c>
      <c r="D260" s="105" t="str">
        <f>IF(preDEL!$AG260,IFERROR(0/0,""),preDEL!D260)</f>
        <v/>
      </c>
      <c r="E260" s="105" t="str">
        <f>IF(preDEL!$AG260,IFERROR(0/0,""),preDEL!E260)</f>
        <v/>
      </c>
      <c r="F260" s="112" t="str">
        <f>IF(preDEL!$AG260,IFERROR(0/0,""),preDEL!F260)</f>
        <v/>
      </c>
      <c r="G260" s="112" t="str">
        <f>IF(preDEL!$AG260,IFERROR(0/0,""),preDEL!G260)</f>
        <v/>
      </c>
      <c r="H260" s="112" t="str">
        <f>IF(preDEL!$AG260,IFERROR(0/0,""),preDEL!H260)</f>
        <v/>
      </c>
      <c r="I260" s="105" t="str">
        <f>IF(preDEL!$AG260,IFERROR(0/0,""),preDEL!I260)</f>
        <v/>
      </c>
      <c r="J260" s="105" t="str">
        <f>IF(preDEL!$AG260,IFERROR(0/0,""),preDEL!J260)</f>
        <v/>
      </c>
      <c r="K260" s="105" t="str">
        <f>IF(preDEL!$AG260,IFERROR(0/0,""),preDEL!K260)</f>
        <v>Positive</v>
      </c>
      <c r="L260" s="170">
        <f>IF(preDEL!$AG260,IFERROR(0/0,""),preDEL!L260)</f>
        <v>44580</v>
      </c>
      <c r="M260" s="171">
        <f>IF(preDEL!$AG260,IFERROR(0/0,""),preDEL!M260)</f>
        <v>0.5073726852</v>
      </c>
      <c r="N260" s="112" t="str">
        <f>IF(preDEL!$AG260,IFERROR(0/0,""),preDEL!N260)</f>
        <v/>
      </c>
      <c r="O260" s="112" t="str">
        <f>IF(preDEL!$AG260,IFERROR(0/0,""),preDEL!O260)</f>
        <v/>
      </c>
      <c r="P260" s="110" t="b">
        <f>IF(preDEL!$AG260,IFERROR(0/0,""),preDEL!P260)</f>
        <v>0</v>
      </c>
      <c r="Q260" s="110" t="str">
        <f>IF(preDEL!$AG260,IFERROR(0/0,""),preDEL!Q260)</f>
        <v>Result</v>
      </c>
      <c r="R260" s="104" t="b">
        <f>IF(preDEL!$AG260,IFERROR(0/0,""),preDEL!R260)</f>
        <v>1</v>
      </c>
      <c r="S260" s="104">
        <f>IF(preDEL!$AG260,IFERROR(0/0,""),preDEL!S260)</f>
        <v>1</v>
      </c>
      <c r="T260" s="110" t="str">
        <f>IF(preDEL!$AG260,IFERROR(0/0,""),preDEL!T260)</f>
        <v/>
      </c>
      <c r="U260" s="112" t="str">
        <f>IF(preDEL!$AG260,IFERROR(0/0,""),preDEL!U260)</f>
        <v/>
      </c>
      <c r="V260" s="105" t="str">
        <f>IF(preDEL!$AG260,IFERROR(0/0,""),preDEL!V260)</f>
        <v/>
      </c>
      <c r="W260" s="112" t="str">
        <f>IF(preDEL!$AG260,IFERROR(0/0,""),preDEL!W260)</f>
        <v/>
      </c>
      <c r="X260" s="104" t="b">
        <f>IF(preDEL!$AG260,IFERROR(0/0,""),preDEL!X260)</f>
        <v>0</v>
      </c>
      <c r="Y260" s="110" t="b">
        <f>IF(preDEL!$AG260,IFERROR(0/0,""),preDEL!Y260)</f>
        <v>0</v>
      </c>
      <c r="Z260" s="105" t="str">
        <f>IF(preDEL!$AG260,IFERROR(0/0,""),preDEL!Z260)</f>
        <v/>
      </c>
      <c r="AA260" s="110" t="b">
        <f>IF(preDEL!$AG260,IFERROR(0/0,""),preDEL!AA260)</f>
        <v>0</v>
      </c>
      <c r="AB260" s="110" t="b">
        <f>IF(preDEL!$AG260,IFERROR(0/0,""),preDEL!AB260)</f>
        <v>0</v>
      </c>
      <c r="AC260" s="172">
        <f>IF(preDEL!$AG260,IFERROR(0/0,""),preDEL!AC260)</f>
        <v>574</v>
      </c>
      <c r="AD260" s="104" t="b">
        <f>IF(preDEL!$AG260,IFERROR(0/0,""),preDEL!AD260)</f>
        <v>0</v>
      </c>
      <c r="AE260" s="173">
        <f>IF(preDEL!$AG260,IFERROR(0/0,""),preDEL!AE260)</f>
        <v>132.3833333</v>
      </c>
      <c r="AF260" s="110" t="b">
        <f>IF(preDEL!$AG260,IFERROR(0/0,""),preDEL!AF260)</f>
        <v>0</v>
      </c>
      <c r="AG260" s="110" t="b">
        <f>IF(preDEL!$AG260,IFERROR(0/0,""),preDEL!AG260)</f>
        <v>0</v>
      </c>
      <c r="AH260" s="104" t="str">
        <f>IF(preDEL!$AG260,IFERROR(0/0,""),preDEL!AH260)</f>
        <v/>
      </c>
      <c r="AI260" s="105" t="str">
        <f>IF(preDEL!$AG260,IFERROR(0/0,""),preDEL!AI260)</f>
        <v/>
      </c>
      <c r="AJ260" s="112" t="str">
        <f>IF(preDEL!$AG260,IFERROR(0/0,""),preDEL!AJ260)</f>
        <v/>
      </c>
      <c r="AK260" s="105" t="str">
        <f>IF(preDEL!$AG260,IFERROR(0/0,""),preDEL!AK260)</f>
        <v>Positive</v>
      </c>
      <c r="AL260" s="112" t="str">
        <f>IF(preDEL!$AG260,IFERROR(0/0,""),preDEL!AL260)</f>
        <v/>
      </c>
      <c r="AM260" s="112" t="str">
        <f>IF(preDEL!$AG260,IFERROR(0/0,""),preDEL!AM260)</f>
        <v>SpBEND394154</v>
      </c>
      <c r="AN260" s="112" t="str">
        <f>IF(preDEL!$AG260,IFERROR(0/0,""),preDEL!AN260)</f>
        <v>BEND238338</v>
      </c>
      <c r="AO260" s="112" t="str">
        <f>IF(preDEL!$AG260,IFERROR(0/0,""),preDEL!AO260)</f>
        <v/>
      </c>
      <c r="AP260" s="112" t="str">
        <f>IF(preDEL!$AG260,IFERROR(0/0,""),preDEL!AP260)</f>
        <v/>
      </c>
      <c r="AQ260" s="112" t="str">
        <f>IF(preDEL!$AG260,IFERROR(0/0,""),preDEL!AQ260)</f>
        <v/>
      </c>
      <c r="AR260" s="112" t="str">
        <f>IF(preDEL!$AG260,IFERROR(0/0,""),preDEL!AR260)</f>
        <v/>
      </c>
      <c r="AS260" s="112" t="str">
        <f>IF(preDEL!$AG260,IFERROR(0/0,""),preDEL!AS260)</f>
        <v/>
      </c>
      <c r="AT260" s="112" t="b">
        <f>IF(preDEL!$AG260,IFERROR(0/0,""),preDEL!AT260)</f>
        <v>0</v>
      </c>
      <c r="AU260" s="112" t="str">
        <f>IF(preDEL!$AG260,IFERROR(0/0,""),preDEL!AU260)</f>
        <v/>
      </c>
      <c r="AV260" s="112" t="str">
        <f>IF(preDEL!$AG260,IFERROR(0/0,""),preDEL!AV260)</f>
        <v/>
      </c>
      <c r="AW260" s="112" t="str">
        <f>IF(preDEL!$AG260,IFERROR(0/0,""),preDEL!AW260)</f>
        <v/>
      </c>
      <c r="AX260" s="112" t="str">
        <f>IF(preDEL!$AG260,IFERROR(0/0,""),preDEL!AX260)</f>
        <v/>
      </c>
      <c r="AY260" s="112" t="str">
        <f>IF(preDEL!$AG260,IFERROR(0/0,""),preDEL!AY260)</f>
        <v/>
      </c>
      <c r="AZ260" s="174"/>
      <c r="BA260" s="174"/>
      <c r="BB260" s="174"/>
      <c r="BC260" s="174"/>
      <c r="BD260" s="174"/>
      <c r="BE260" s="174"/>
      <c r="BF260" s="174"/>
      <c r="BG260" s="174"/>
      <c r="BH260" s="174"/>
      <c r="BI260" s="174"/>
      <c r="BJ260" s="174"/>
      <c r="BK260" s="174"/>
      <c r="BL260" s="174"/>
      <c r="BM260" s="174"/>
      <c r="BN260" s="174"/>
      <c r="BO260" s="174"/>
      <c r="BP260" s="174"/>
      <c r="BQ260" s="174"/>
      <c r="BR260" s="174"/>
      <c r="BS260" s="174"/>
      <c r="BT260" s="174"/>
      <c r="BU260" s="174"/>
      <c r="BV260" s="174"/>
      <c r="BW260" s="174"/>
      <c r="BX260" s="174"/>
      <c r="BY260" s="174"/>
      <c r="BZ260" s="174"/>
      <c r="CA260" s="174"/>
      <c r="CB260" s="174"/>
      <c r="CC260" s="174"/>
      <c r="CD260" s="174"/>
    </row>
    <row r="261">
      <c r="A261" s="105" t="str">
        <f>IF(preDEL!$AG261,IFERROR(0/0,""),preDEL!A261)</f>
        <v>MA420</v>
      </c>
      <c r="B261" s="170">
        <f>IF(preDEL!$AG261,IFERROR(0/0,""),preDEL!B261)</f>
        <v>44580</v>
      </c>
      <c r="C261" s="171">
        <f>IF(preDEL!$AG261,IFERROR(0/0,""),preDEL!C261)</f>
        <v>0.4268171296</v>
      </c>
      <c r="D261" s="105" t="str">
        <f>IF(preDEL!$AG261,IFERROR(0/0,""),preDEL!D261)</f>
        <v/>
      </c>
      <c r="E261" s="105" t="str">
        <f>IF(preDEL!$AG261,IFERROR(0/0,""),preDEL!E261)</f>
        <v/>
      </c>
      <c r="F261" s="112" t="str">
        <f>IF(preDEL!$AG261,IFERROR(0/0,""),preDEL!F261)</f>
        <v/>
      </c>
      <c r="G261" s="112" t="str">
        <f>IF(preDEL!$AG261,IFERROR(0/0,""),preDEL!G261)</f>
        <v/>
      </c>
      <c r="H261" s="112" t="str">
        <f>IF(preDEL!$AG261,IFERROR(0/0,""),preDEL!H261)</f>
        <v/>
      </c>
      <c r="I261" s="105" t="str">
        <f>IF(preDEL!$AG261,IFERROR(0/0,""),preDEL!I261)</f>
        <v/>
      </c>
      <c r="J261" s="105" t="str">
        <f>IF(preDEL!$AG261,IFERROR(0/0,""),preDEL!J261)</f>
        <v/>
      </c>
      <c r="K261" s="105" t="str">
        <f>IF(preDEL!$AG261,IFERROR(0/0,""),preDEL!K261)</f>
        <v>Negative</v>
      </c>
      <c r="L261" s="170">
        <f>IF(preDEL!$AG261,IFERROR(0/0,""),preDEL!L261)</f>
        <v>44580</v>
      </c>
      <c r="M261" s="171">
        <f>IF(preDEL!$AG261,IFERROR(0/0,""),preDEL!M261)</f>
        <v>0.5080324074</v>
      </c>
      <c r="N261" s="112" t="str">
        <f>IF(preDEL!$AG261,IFERROR(0/0,""),preDEL!N261)</f>
        <v/>
      </c>
      <c r="O261" s="112" t="str">
        <f>IF(preDEL!$AG261,IFERROR(0/0,""),preDEL!O261)</f>
        <v/>
      </c>
      <c r="P261" s="110" t="b">
        <f>IF(preDEL!$AG261,IFERROR(0/0,""),preDEL!P261)</f>
        <v>0</v>
      </c>
      <c r="Q261" s="110" t="str">
        <f>IF(preDEL!$AG261,IFERROR(0/0,""),preDEL!Q261)</f>
        <v>Result</v>
      </c>
      <c r="R261" s="104" t="b">
        <f>IF(preDEL!$AG261,IFERROR(0/0,""),preDEL!R261)</f>
        <v>1</v>
      </c>
      <c r="S261" s="104">
        <f>IF(preDEL!$AG261,IFERROR(0/0,""),preDEL!S261)</f>
        <v>1</v>
      </c>
      <c r="T261" s="110" t="str">
        <f>IF(preDEL!$AG261,IFERROR(0/0,""),preDEL!T261)</f>
        <v/>
      </c>
      <c r="U261" s="112" t="str">
        <f>IF(preDEL!$AG261,IFERROR(0/0,""),preDEL!U261)</f>
        <v/>
      </c>
      <c r="V261" s="105" t="str">
        <f>IF(preDEL!$AG261,IFERROR(0/0,""),preDEL!V261)</f>
        <v/>
      </c>
      <c r="W261" s="112" t="str">
        <f>IF(preDEL!$AG261,IFERROR(0/0,""),preDEL!W261)</f>
        <v/>
      </c>
      <c r="X261" s="104" t="b">
        <f>IF(preDEL!$AG261,IFERROR(0/0,""),preDEL!X261)</f>
        <v>0</v>
      </c>
      <c r="Y261" s="110" t="b">
        <f>IF(preDEL!$AG261,IFERROR(0/0,""),preDEL!Y261)</f>
        <v>0</v>
      </c>
      <c r="Z261" s="105" t="str">
        <f>IF(preDEL!$AG261,IFERROR(0/0,""),preDEL!Z261)</f>
        <v/>
      </c>
      <c r="AA261" s="110" t="b">
        <f>IF(preDEL!$AG261,IFERROR(0/0,""),preDEL!AA261)</f>
        <v>0</v>
      </c>
      <c r="AB261" s="110" t="b">
        <f>IF(preDEL!$AG261,IFERROR(0/0,""),preDEL!AB261)</f>
        <v>0</v>
      </c>
      <c r="AC261" s="172">
        <f>IF(preDEL!$AG261,IFERROR(0/0,""),preDEL!AC261)</f>
        <v>543</v>
      </c>
      <c r="AD261" s="104" t="b">
        <f>IF(preDEL!$AG261,IFERROR(0/0,""),preDEL!AD261)</f>
        <v>0</v>
      </c>
      <c r="AE261" s="173">
        <f>IF(preDEL!$AG261,IFERROR(0/0,""),preDEL!AE261)</f>
        <v>116.95</v>
      </c>
      <c r="AF261" s="110" t="b">
        <f>IF(preDEL!$AG261,IFERROR(0/0,""),preDEL!AF261)</f>
        <v>0</v>
      </c>
      <c r="AG261" s="110" t="b">
        <f>IF(preDEL!$AG261,IFERROR(0/0,""),preDEL!AG261)</f>
        <v>0</v>
      </c>
      <c r="AH261" s="104" t="str">
        <f>IF(preDEL!$AG261,IFERROR(0/0,""),preDEL!AH261)</f>
        <v/>
      </c>
      <c r="AI261" s="105" t="str">
        <f>IF(preDEL!$AG261,IFERROR(0/0,""),preDEL!AI261)</f>
        <v/>
      </c>
      <c r="AJ261" s="112" t="str">
        <f>IF(preDEL!$AG261,IFERROR(0/0,""),preDEL!AJ261)</f>
        <v/>
      </c>
      <c r="AK261" s="105" t="str">
        <f>IF(preDEL!$AG261,IFERROR(0/0,""),preDEL!AK261)</f>
        <v>Negative</v>
      </c>
      <c r="AL261" s="112" t="str">
        <f>IF(preDEL!$AG261,IFERROR(0/0,""),preDEL!AL261)</f>
        <v/>
      </c>
      <c r="AM261" s="112" t="str">
        <f>IF(preDEL!$AG261,IFERROR(0/0,""),preDEL!AM261)</f>
        <v>SpBEND953422</v>
      </c>
      <c r="AN261" s="112" t="str">
        <f>IF(preDEL!$AG261,IFERROR(0/0,""),preDEL!AN261)</f>
        <v>BEND782925</v>
      </c>
      <c r="AO261" s="112" t="str">
        <f>IF(preDEL!$AG261,IFERROR(0/0,""),preDEL!AO261)</f>
        <v/>
      </c>
      <c r="AP261" s="112" t="str">
        <f>IF(preDEL!$AG261,IFERROR(0/0,""),preDEL!AP261)</f>
        <v/>
      </c>
      <c r="AQ261" s="112" t="str">
        <f>IF(preDEL!$AG261,IFERROR(0/0,""),preDEL!AQ261)</f>
        <v/>
      </c>
      <c r="AR261" s="112" t="str">
        <f>IF(preDEL!$AG261,IFERROR(0/0,""),preDEL!AR261)</f>
        <v/>
      </c>
      <c r="AS261" s="112" t="str">
        <f>IF(preDEL!$AG261,IFERROR(0/0,""),preDEL!AS261)</f>
        <v/>
      </c>
      <c r="AT261" s="112" t="b">
        <f>IF(preDEL!$AG261,IFERROR(0/0,""),preDEL!AT261)</f>
        <v>0</v>
      </c>
      <c r="AU261" s="112" t="str">
        <f>IF(preDEL!$AG261,IFERROR(0/0,""),preDEL!AU261)</f>
        <v/>
      </c>
      <c r="AV261" s="112" t="str">
        <f>IF(preDEL!$AG261,IFERROR(0/0,""),preDEL!AV261)</f>
        <v/>
      </c>
      <c r="AW261" s="112" t="str">
        <f>IF(preDEL!$AG261,IFERROR(0/0,""),preDEL!AW261)</f>
        <v/>
      </c>
      <c r="AX261" s="112" t="str">
        <f>IF(preDEL!$AG261,IFERROR(0/0,""),preDEL!AX261)</f>
        <v/>
      </c>
      <c r="AY261" s="112" t="str">
        <f>IF(preDEL!$AG261,IFERROR(0/0,""),preDEL!AY261)</f>
        <v/>
      </c>
      <c r="AZ261" s="174"/>
      <c r="BA261" s="174"/>
      <c r="BB261" s="174"/>
      <c r="BC261" s="174"/>
      <c r="BD261" s="174"/>
      <c r="BE261" s="174"/>
      <c r="BF261" s="174"/>
      <c r="BG261" s="174"/>
      <c r="BH261" s="174"/>
      <c r="BI261" s="174"/>
      <c r="BJ261" s="174"/>
      <c r="BK261" s="174"/>
      <c r="BL261" s="174"/>
      <c r="BM261" s="174"/>
      <c r="BN261" s="174"/>
      <c r="BO261" s="174"/>
      <c r="BP261" s="174"/>
      <c r="BQ261" s="174"/>
      <c r="BR261" s="174"/>
      <c r="BS261" s="174"/>
      <c r="BT261" s="174"/>
      <c r="BU261" s="174"/>
      <c r="BV261" s="174"/>
      <c r="BW261" s="174"/>
      <c r="BX261" s="174"/>
      <c r="BY261" s="174"/>
      <c r="BZ261" s="174"/>
      <c r="CA261" s="174"/>
      <c r="CB261" s="174"/>
      <c r="CC261" s="174"/>
      <c r="CD261" s="174"/>
    </row>
    <row r="262">
      <c r="A262" s="105" t="str">
        <f>IF(preDEL!$AG262,IFERROR(0/0,""),preDEL!A262)</f>
        <v>MAX76</v>
      </c>
      <c r="B262" s="170">
        <f>IF(preDEL!$AG262,IFERROR(0/0,""),preDEL!B262)</f>
        <v>44580</v>
      </c>
      <c r="C262" s="171">
        <f>IF(preDEL!$AG262,IFERROR(0/0,""),preDEL!C262)</f>
        <v>0.432037037</v>
      </c>
      <c r="D262" s="105" t="str">
        <f>IF(preDEL!$AG262,IFERROR(0/0,""),preDEL!D262)</f>
        <v/>
      </c>
      <c r="E262" s="105" t="str">
        <f>IF(preDEL!$AG262,IFERROR(0/0,""),preDEL!E262)</f>
        <v/>
      </c>
      <c r="F262" s="112" t="str">
        <f>IF(preDEL!$AG262,IFERROR(0/0,""),preDEL!F262)</f>
        <v/>
      </c>
      <c r="G262" s="112" t="str">
        <f>IF(preDEL!$AG262,IFERROR(0/0,""),preDEL!G262)</f>
        <v/>
      </c>
      <c r="H262" s="112" t="str">
        <f>IF(preDEL!$AG262,IFERROR(0/0,""),preDEL!H262)</f>
        <v/>
      </c>
      <c r="I262" s="105" t="str">
        <f>IF(preDEL!$AG262,IFERROR(0/0,""),preDEL!I262)</f>
        <v/>
      </c>
      <c r="J262" s="105" t="str">
        <f>IF(preDEL!$AG262,IFERROR(0/0,""),preDEL!J262)</f>
        <v/>
      </c>
      <c r="K262" s="105" t="str">
        <f>IF(preDEL!$AG262,IFERROR(0/0,""),preDEL!K262)</f>
        <v>Positive</v>
      </c>
      <c r="L262" s="170">
        <f>IF(preDEL!$AG262,IFERROR(0/0,""),preDEL!L262)</f>
        <v>44580</v>
      </c>
      <c r="M262" s="171">
        <f>IF(preDEL!$AG262,IFERROR(0/0,""),preDEL!M262)</f>
        <v>0.5073726852</v>
      </c>
      <c r="N262" s="112" t="str">
        <f>IF(preDEL!$AG262,IFERROR(0/0,""),preDEL!N262)</f>
        <v/>
      </c>
      <c r="O262" s="112" t="str">
        <f>IF(preDEL!$AG262,IFERROR(0/0,""),preDEL!O262)</f>
        <v/>
      </c>
      <c r="P262" s="110" t="b">
        <f>IF(preDEL!$AG262,IFERROR(0/0,""),preDEL!P262)</f>
        <v>0</v>
      </c>
      <c r="Q262" s="110" t="str">
        <f>IF(preDEL!$AG262,IFERROR(0/0,""),preDEL!Q262)</f>
        <v>Result</v>
      </c>
      <c r="R262" s="104" t="b">
        <f>IF(preDEL!$AG262,IFERROR(0/0,""),preDEL!R262)</f>
        <v>1</v>
      </c>
      <c r="S262" s="104">
        <f>IF(preDEL!$AG262,IFERROR(0/0,""),preDEL!S262)</f>
        <v>1</v>
      </c>
      <c r="T262" s="110" t="str">
        <f>IF(preDEL!$AG262,IFERROR(0/0,""),preDEL!T262)</f>
        <v/>
      </c>
      <c r="U262" s="112" t="str">
        <f>IF(preDEL!$AG262,IFERROR(0/0,""),preDEL!U262)</f>
        <v/>
      </c>
      <c r="V262" s="105" t="str">
        <f>IF(preDEL!$AG262,IFERROR(0/0,""),preDEL!V262)</f>
        <v/>
      </c>
      <c r="W262" s="112" t="str">
        <f>IF(preDEL!$AG262,IFERROR(0/0,""),preDEL!W262)</f>
        <v/>
      </c>
      <c r="X262" s="104" t="b">
        <f>IF(preDEL!$AG262,IFERROR(0/0,""),preDEL!X262)</f>
        <v>0</v>
      </c>
      <c r="Y262" s="110" t="b">
        <f>IF(preDEL!$AG262,IFERROR(0/0,""),preDEL!Y262)</f>
        <v>0</v>
      </c>
      <c r="Z262" s="105" t="str">
        <f>IF(preDEL!$AG262,IFERROR(0/0,""),preDEL!Z262)</f>
        <v/>
      </c>
      <c r="AA262" s="110" t="b">
        <f>IF(preDEL!$AG262,IFERROR(0/0,""),preDEL!AA262)</f>
        <v>0</v>
      </c>
      <c r="AB262" s="110" t="b">
        <f>IF(preDEL!$AG262,IFERROR(0/0,""),preDEL!AB262)</f>
        <v>0</v>
      </c>
      <c r="AC262" s="172">
        <f>IF(preDEL!$AG262,IFERROR(0/0,""),preDEL!AC262)</f>
        <v>573</v>
      </c>
      <c r="AD262" s="104" t="b">
        <f>IF(preDEL!$AG262,IFERROR(0/0,""),preDEL!AD262)</f>
        <v>0</v>
      </c>
      <c r="AE262" s="173">
        <f>IF(preDEL!$AG262,IFERROR(0/0,""),preDEL!AE262)</f>
        <v>108.4833333</v>
      </c>
      <c r="AF262" s="110" t="b">
        <f>IF(preDEL!$AG262,IFERROR(0/0,""),preDEL!AF262)</f>
        <v>0</v>
      </c>
      <c r="AG262" s="110" t="b">
        <f>IF(preDEL!$AG262,IFERROR(0/0,""),preDEL!AG262)</f>
        <v>0</v>
      </c>
      <c r="AH262" s="104" t="str">
        <f>IF(preDEL!$AG262,IFERROR(0/0,""),preDEL!AH262)</f>
        <v/>
      </c>
      <c r="AI262" s="105" t="str">
        <f>IF(preDEL!$AG262,IFERROR(0/0,""),preDEL!AI262)</f>
        <v/>
      </c>
      <c r="AJ262" s="112" t="str">
        <f>IF(preDEL!$AG262,IFERROR(0/0,""),preDEL!AJ262)</f>
        <v/>
      </c>
      <c r="AK262" s="105" t="str">
        <f>IF(preDEL!$AG262,IFERROR(0/0,""),preDEL!AK262)</f>
        <v>Positive</v>
      </c>
      <c r="AL262" s="112" t="str">
        <f>IF(preDEL!$AG262,IFERROR(0/0,""),preDEL!AL262)</f>
        <v/>
      </c>
      <c r="AM262" s="112" t="str">
        <f>IF(preDEL!$AG262,IFERROR(0/0,""),preDEL!AM262)</f>
        <v>SpBEND394154</v>
      </c>
      <c r="AN262" s="112" t="str">
        <f>IF(preDEL!$AG262,IFERROR(0/0,""),preDEL!AN262)</f>
        <v>BEND517250</v>
      </c>
      <c r="AO262" s="112" t="str">
        <f>IF(preDEL!$AG262,IFERROR(0/0,""),preDEL!AO262)</f>
        <v/>
      </c>
      <c r="AP262" s="112" t="str">
        <f>IF(preDEL!$AG262,IFERROR(0/0,""),preDEL!AP262)</f>
        <v/>
      </c>
      <c r="AQ262" s="112" t="str">
        <f>IF(preDEL!$AG262,IFERROR(0/0,""),preDEL!AQ262)</f>
        <v/>
      </c>
      <c r="AR262" s="112" t="str">
        <f>IF(preDEL!$AG262,IFERROR(0/0,""),preDEL!AR262)</f>
        <v/>
      </c>
      <c r="AS262" s="112" t="str">
        <f>IF(preDEL!$AG262,IFERROR(0/0,""),preDEL!AS262)</f>
        <v/>
      </c>
      <c r="AT262" s="112" t="b">
        <f>IF(preDEL!$AG262,IFERROR(0/0,""),preDEL!AT262)</f>
        <v>0</v>
      </c>
      <c r="AU262" s="112" t="str">
        <f>IF(preDEL!$AG262,IFERROR(0/0,""),preDEL!AU262)</f>
        <v/>
      </c>
      <c r="AV262" s="112" t="str">
        <f>IF(preDEL!$AG262,IFERROR(0/0,""),preDEL!AV262)</f>
        <v/>
      </c>
      <c r="AW262" s="112" t="str">
        <f>IF(preDEL!$AG262,IFERROR(0/0,""),preDEL!AW262)</f>
        <v/>
      </c>
      <c r="AX262" s="112" t="str">
        <f>IF(preDEL!$AG262,IFERROR(0/0,""),preDEL!AX262)</f>
        <v/>
      </c>
      <c r="AY262" s="112" t="str">
        <f>IF(preDEL!$AG262,IFERROR(0/0,""),preDEL!AY262)</f>
        <v/>
      </c>
      <c r="AZ262" s="174"/>
      <c r="BA262" s="174"/>
      <c r="BB262" s="174"/>
      <c r="BC262" s="174"/>
      <c r="BD262" s="174"/>
      <c r="BE262" s="174"/>
      <c r="BF262" s="174"/>
      <c r="BG262" s="174"/>
      <c r="BH262" s="174"/>
      <c r="BI262" s="174"/>
      <c r="BJ262" s="174"/>
      <c r="BK262" s="174"/>
      <c r="BL262" s="174"/>
      <c r="BM262" s="174"/>
      <c r="BN262" s="174"/>
      <c r="BO262" s="174"/>
      <c r="BP262" s="174"/>
      <c r="BQ262" s="174"/>
      <c r="BR262" s="174"/>
      <c r="BS262" s="174"/>
      <c r="BT262" s="174"/>
      <c r="BU262" s="174"/>
      <c r="BV262" s="174"/>
      <c r="BW262" s="174"/>
      <c r="BX262" s="174"/>
      <c r="BY262" s="174"/>
      <c r="BZ262" s="174"/>
      <c r="CA262" s="174"/>
      <c r="CB262" s="174"/>
      <c r="CC262" s="174"/>
      <c r="CD262" s="174"/>
    </row>
    <row r="263">
      <c r="A263" s="105" t="str">
        <f>IF(preDEL!$AG263,IFERROR(0/0,""),preDEL!A263)</f>
        <v>MA1252</v>
      </c>
      <c r="B263" s="170">
        <f>IF(preDEL!$AG263,IFERROR(0/0,""),preDEL!B263)</f>
        <v>44580</v>
      </c>
      <c r="C263" s="171">
        <f>IF(preDEL!$AG263,IFERROR(0/0,""),preDEL!C263)</f>
        <v>0.4405208333</v>
      </c>
      <c r="D263" s="105" t="str">
        <f>IF(preDEL!$AG263,IFERROR(0/0,""),preDEL!D263)</f>
        <v/>
      </c>
      <c r="E263" s="105" t="str">
        <f>IF(preDEL!$AG263,IFERROR(0/0,""),preDEL!E263)</f>
        <v/>
      </c>
      <c r="F263" s="112" t="str">
        <f>IF(preDEL!$AG263,IFERROR(0/0,""),preDEL!F263)</f>
        <v/>
      </c>
      <c r="G263" s="112" t="str">
        <f>IF(preDEL!$AG263,IFERROR(0/0,""),preDEL!G263)</f>
        <v/>
      </c>
      <c r="H263" s="112" t="str">
        <f>IF(preDEL!$AG263,IFERROR(0/0,""),preDEL!H263)</f>
        <v/>
      </c>
      <c r="I263" s="105" t="str">
        <f>IF(preDEL!$AG263,IFERROR(0/0,""),preDEL!I263)</f>
        <v/>
      </c>
      <c r="J263" s="105" t="str">
        <f>IF(preDEL!$AG263,IFERROR(0/0,""),preDEL!J263)</f>
        <v/>
      </c>
      <c r="K263" s="105" t="str">
        <f>IF(preDEL!$AG263,IFERROR(0/0,""),preDEL!K263)</f>
        <v>Positive</v>
      </c>
      <c r="L263" s="170">
        <f>IF(preDEL!$AG263,IFERROR(0/0,""),preDEL!L263)</f>
        <v>44580</v>
      </c>
      <c r="M263" s="171">
        <f>IF(preDEL!$AG263,IFERROR(0/0,""),preDEL!M263)</f>
        <v>0.5073726852</v>
      </c>
      <c r="N263" s="112" t="str">
        <f>IF(preDEL!$AG263,IFERROR(0/0,""),preDEL!N263)</f>
        <v/>
      </c>
      <c r="O263" s="112" t="str">
        <f>IF(preDEL!$AG263,IFERROR(0/0,""),preDEL!O263)</f>
        <v/>
      </c>
      <c r="P263" s="110" t="b">
        <f>IF(preDEL!$AG263,IFERROR(0/0,""),preDEL!P263)</f>
        <v>0</v>
      </c>
      <c r="Q263" s="110" t="str">
        <f>IF(preDEL!$AG263,IFERROR(0/0,""),preDEL!Q263)</f>
        <v>Result</v>
      </c>
      <c r="R263" s="104" t="b">
        <f>IF(preDEL!$AG263,IFERROR(0/0,""),preDEL!R263)</f>
        <v>1</v>
      </c>
      <c r="S263" s="104">
        <f>IF(preDEL!$AG263,IFERROR(0/0,""),preDEL!S263)</f>
        <v>1</v>
      </c>
      <c r="T263" s="110" t="str">
        <f>IF(preDEL!$AG263,IFERROR(0/0,""),preDEL!T263)</f>
        <v/>
      </c>
      <c r="U263" s="112" t="str">
        <f>IF(preDEL!$AG263,IFERROR(0/0,""),preDEL!U263)</f>
        <v/>
      </c>
      <c r="V263" s="105" t="str">
        <f>IF(preDEL!$AG263,IFERROR(0/0,""),preDEL!V263)</f>
        <v/>
      </c>
      <c r="W263" s="112" t="str">
        <f>IF(preDEL!$AG263,IFERROR(0/0,""),preDEL!W263)</f>
        <v/>
      </c>
      <c r="X263" s="104" t="b">
        <f>IF(preDEL!$AG263,IFERROR(0/0,""),preDEL!X263)</f>
        <v>0</v>
      </c>
      <c r="Y263" s="110" t="b">
        <f>IF(preDEL!$AG263,IFERROR(0/0,""),preDEL!Y263)</f>
        <v>0</v>
      </c>
      <c r="Z263" s="105" t="str">
        <f>IF(preDEL!$AG263,IFERROR(0/0,""),preDEL!Z263)</f>
        <v/>
      </c>
      <c r="AA263" s="110" t="b">
        <f>IF(preDEL!$AG263,IFERROR(0/0,""),preDEL!AA263)</f>
        <v>0</v>
      </c>
      <c r="AB263" s="110" t="b">
        <f>IF(preDEL!$AG263,IFERROR(0/0,""),preDEL!AB263)</f>
        <v>0</v>
      </c>
      <c r="AC263" s="172">
        <f>IF(preDEL!$AG263,IFERROR(0/0,""),preDEL!AC263)</f>
        <v>572</v>
      </c>
      <c r="AD263" s="104" t="b">
        <f>IF(preDEL!$AG263,IFERROR(0/0,""),preDEL!AD263)</f>
        <v>0</v>
      </c>
      <c r="AE263" s="173">
        <f>IF(preDEL!$AG263,IFERROR(0/0,""),preDEL!AE263)</f>
        <v>96.26666667</v>
      </c>
      <c r="AF263" s="110" t="b">
        <f>IF(preDEL!$AG263,IFERROR(0/0,""),preDEL!AF263)</f>
        <v>0</v>
      </c>
      <c r="AG263" s="110" t="b">
        <f>IF(preDEL!$AG263,IFERROR(0/0,""),preDEL!AG263)</f>
        <v>0</v>
      </c>
      <c r="AH263" s="104" t="str">
        <f>IF(preDEL!$AG263,IFERROR(0/0,""),preDEL!AH263)</f>
        <v/>
      </c>
      <c r="AI263" s="105" t="str">
        <f>IF(preDEL!$AG263,IFERROR(0/0,""),preDEL!AI263)</f>
        <v/>
      </c>
      <c r="AJ263" s="112" t="str">
        <f>IF(preDEL!$AG263,IFERROR(0/0,""),preDEL!AJ263)</f>
        <v/>
      </c>
      <c r="AK263" s="105" t="str">
        <f>IF(preDEL!$AG263,IFERROR(0/0,""),preDEL!AK263)</f>
        <v>Positive</v>
      </c>
      <c r="AL263" s="112" t="str">
        <f>IF(preDEL!$AG263,IFERROR(0/0,""),preDEL!AL263)</f>
        <v/>
      </c>
      <c r="AM263" s="112" t="str">
        <f>IF(preDEL!$AG263,IFERROR(0/0,""),preDEL!AM263)</f>
        <v>SpBEND394154</v>
      </c>
      <c r="AN263" s="112" t="str">
        <f>IF(preDEL!$AG263,IFERROR(0/0,""),preDEL!AN263)</f>
        <v>BEND190541</v>
      </c>
      <c r="AO263" s="112" t="str">
        <f>IF(preDEL!$AG263,IFERROR(0/0,""),preDEL!AO263)</f>
        <v/>
      </c>
      <c r="AP263" s="112" t="str">
        <f>IF(preDEL!$AG263,IFERROR(0/0,""),preDEL!AP263)</f>
        <v/>
      </c>
      <c r="AQ263" s="112" t="str">
        <f>IF(preDEL!$AG263,IFERROR(0/0,""),preDEL!AQ263)</f>
        <v/>
      </c>
      <c r="AR263" s="112" t="str">
        <f>IF(preDEL!$AG263,IFERROR(0/0,""),preDEL!AR263)</f>
        <v/>
      </c>
      <c r="AS263" s="112" t="str">
        <f>IF(preDEL!$AG263,IFERROR(0/0,""),preDEL!AS263)</f>
        <v/>
      </c>
      <c r="AT263" s="112" t="b">
        <f>IF(preDEL!$AG263,IFERROR(0/0,""),preDEL!AT263)</f>
        <v>0</v>
      </c>
      <c r="AU263" s="112" t="str">
        <f>IF(preDEL!$AG263,IFERROR(0/0,""),preDEL!AU263)</f>
        <v/>
      </c>
      <c r="AV263" s="112" t="str">
        <f>IF(preDEL!$AG263,IFERROR(0/0,""),preDEL!AV263)</f>
        <v/>
      </c>
      <c r="AW263" s="112" t="str">
        <f>IF(preDEL!$AG263,IFERROR(0/0,""),preDEL!AW263)</f>
        <v/>
      </c>
      <c r="AX263" s="112" t="str">
        <f>IF(preDEL!$AG263,IFERROR(0/0,""),preDEL!AX263)</f>
        <v/>
      </c>
      <c r="AY263" s="112" t="str">
        <f>IF(preDEL!$AG263,IFERROR(0/0,""),preDEL!AY263)</f>
        <v/>
      </c>
      <c r="AZ263" s="174"/>
      <c r="BA263" s="174"/>
      <c r="BB263" s="174"/>
      <c r="BC263" s="174"/>
      <c r="BD263" s="174"/>
      <c r="BE263" s="174"/>
      <c r="BF263" s="174"/>
      <c r="BG263" s="174"/>
      <c r="BH263" s="174"/>
      <c r="BI263" s="174"/>
      <c r="BJ263" s="174"/>
      <c r="BK263" s="174"/>
      <c r="BL263" s="174"/>
      <c r="BM263" s="174"/>
      <c r="BN263" s="174"/>
      <c r="BO263" s="174"/>
      <c r="BP263" s="174"/>
      <c r="BQ263" s="174"/>
      <c r="BR263" s="174"/>
      <c r="BS263" s="174"/>
      <c r="BT263" s="174"/>
      <c r="BU263" s="174"/>
      <c r="BV263" s="174"/>
      <c r="BW263" s="174"/>
      <c r="BX263" s="174"/>
      <c r="BY263" s="174"/>
      <c r="BZ263" s="174"/>
      <c r="CA263" s="174"/>
      <c r="CB263" s="174"/>
      <c r="CC263" s="174"/>
      <c r="CD263" s="174"/>
    </row>
    <row r="264">
      <c r="A264" s="105" t="str">
        <f>IF(preDEL!$AG264,IFERROR(0/0,""),preDEL!A264)</f>
        <v>MA198</v>
      </c>
      <c r="B264" s="170">
        <f>IF(preDEL!$AG264,IFERROR(0/0,""),preDEL!B264)</f>
        <v>44580</v>
      </c>
      <c r="C264" s="171">
        <f>IF(preDEL!$AG264,IFERROR(0/0,""),preDEL!C264)</f>
        <v>0.4436689815</v>
      </c>
      <c r="D264" s="105" t="str">
        <f>IF(preDEL!$AG264,IFERROR(0/0,""),preDEL!D264)</f>
        <v/>
      </c>
      <c r="E264" s="105" t="str">
        <f>IF(preDEL!$AG264,IFERROR(0/0,""),preDEL!E264)</f>
        <v/>
      </c>
      <c r="F264" s="112" t="str">
        <f>IF(preDEL!$AG264,IFERROR(0/0,""),preDEL!F264)</f>
        <v/>
      </c>
      <c r="G264" s="112" t="str">
        <f>IF(preDEL!$AG264,IFERROR(0/0,""),preDEL!G264)</f>
        <v/>
      </c>
      <c r="H264" s="112" t="str">
        <f>IF(preDEL!$AG264,IFERROR(0/0,""),preDEL!H264)</f>
        <v/>
      </c>
      <c r="I264" s="105" t="str">
        <f>IF(preDEL!$AG264,IFERROR(0/0,""),preDEL!I264)</f>
        <v/>
      </c>
      <c r="J264" s="105" t="str">
        <f>IF(preDEL!$AG264,IFERROR(0/0,""),preDEL!J264)</f>
        <v/>
      </c>
      <c r="K264" s="105" t="str">
        <f>IF(preDEL!$AG264,IFERROR(0/0,""),preDEL!K264)</f>
        <v>Negative</v>
      </c>
      <c r="L264" s="170">
        <f>IF(preDEL!$AG264,IFERROR(0/0,""),preDEL!L264)</f>
        <v>44580</v>
      </c>
      <c r="M264" s="171">
        <f>IF(preDEL!$AG264,IFERROR(0/0,""),preDEL!M264)</f>
        <v>0.5080324074</v>
      </c>
      <c r="N264" s="112" t="str">
        <f>IF(preDEL!$AG264,IFERROR(0/0,""),preDEL!N264)</f>
        <v/>
      </c>
      <c r="O264" s="112" t="str">
        <f>IF(preDEL!$AG264,IFERROR(0/0,""),preDEL!O264)</f>
        <v/>
      </c>
      <c r="P264" s="110" t="b">
        <f>IF(preDEL!$AG264,IFERROR(0/0,""),preDEL!P264)</f>
        <v>0</v>
      </c>
      <c r="Q264" s="110" t="str">
        <f>IF(preDEL!$AG264,IFERROR(0/0,""),preDEL!Q264)</f>
        <v>Result</v>
      </c>
      <c r="R264" s="104" t="b">
        <f>IF(preDEL!$AG264,IFERROR(0/0,""),preDEL!R264)</f>
        <v>1</v>
      </c>
      <c r="S264" s="104">
        <f>IF(preDEL!$AG264,IFERROR(0/0,""),preDEL!S264)</f>
        <v>1</v>
      </c>
      <c r="T264" s="110" t="str">
        <f>IF(preDEL!$AG264,IFERROR(0/0,""),preDEL!T264)</f>
        <v/>
      </c>
      <c r="U264" s="112" t="str">
        <f>IF(preDEL!$AG264,IFERROR(0/0,""),preDEL!U264)</f>
        <v/>
      </c>
      <c r="V264" s="105" t="str">
        <f>IF(preDEL!$AG264,IFERROR(0/0,""),preDEL!V264)</f>
        <v/>
      </c>
      <c r="W264" s="112" t="str">
        <f>IF(preDEL!$AG264,IFERROR(0/0,""),preDEL!W264)</f>
        <v/>
      </c>
      <c r="X264" s="104" t="b">
        <f>IF(preDEL!$AG264,IFERROR(0/0,""),preDEL!X264)</f>
        <v>0</v>
      </c>
      <c r="Y264" s="110" t="b">
        <f>IF(preDEL!$AG264,IFERROR(0/0,""),preDEL!Y264)</f>
        <v>0</v>
      </c>
      <c r="Z264" s="105" t="str">
        <f>IF(preDEL!$AG264,IFERROR(0/0,""),preDEL!Z264)</f>
        <v/>
      </c>
      <c r="AA264" s="110" t="b">
        <f>IF(preDEL!$AG264,IFERROR(0/0,""),preDEL!AA264)</f>
        <v>0</v>
      </c>
      <c r="AB264" s="110" t="b">
        <f>IF(preDEL!$AG264,IFERROR(0/0,""),preDEL!AB264)</f>
        <v>0</v>
      </c>
      <c r="AC264" s="172">
        <f>IF(preDEL!$AG264,IFERROR(0/0,""),preDEL!AC264)</f>
        <v>542</v>
      </c>
      <c r="AD264" s="104" t="b">
        <f>IF(preDEL!$AG264,IFERROR(0/0,""),preDEL!AD264)</f>
        <v>0</v>
      </c>
      <c r="AE264" s="173">
        <f>IF(preDEL!$AG264,IFERROR(0/0,""),preDEL!AE264)</f>
        <v>92.68333333</v>
      </c>
      <c r="AF264" s="110" t="b">
        <f>IF(preDEL!$AG264,IFERROR(0/0,""),preDEL!AF264)</f>
        <v>0</v>
      </c>
      <c r="AG264" s="110" t="b">
        <f>IF(preDEL!$AG264,IFERROR(0/0,""),preDEL!AG264)</f>
        <v>0</v>
      </c>
      <c r="AH264" s="104" t="str">
        <f>IF(preDEL!$AG264,IFERROR(0/0,""),preDEL!AH264)</f>
        <v/>
      </c>
      <c r="AI264" s="105" t="str">
        <f>IF(preDEL!$AG264,IFERROR(0/0,""),preDEL!AI264)</f>
        <v/>
      </c>
      <c r="AJ264" s="112" t="str">
        <f>IF(preDEL!$AG264,IFERROR(0/0,""),preDEL!AJ264)</f>
        <v/>
      </c>
      <c r="AK264" s="105" t="str">
        <f>IF(preDEL!$AG264,IFERROR(0/0,""),preDEL!AK264)</f>
        <v>Negative</v>
      </c>
      <c r="AL264" s="112" t="str">
        <f>IF(preDEL!$AG264,IFERROR(0/0,""),preDEL!AL264)</f>
        <v/>
      </c>
      <c r="AM264" s="112" t="str">
        <f>IF(preDEL!$AG264,IFERROR(0/0,""),preDEL!AM264)</f>
        <v>SpBEND394154</v>
      </c>
      <c r="AN264" s="112" t="str">
        <f>IF(preDEL!$AG264,IFERROR(0/0,""),preDEL!AN264)</f>
        <v>BEND584284</v>
      </c>
      <c r="AO264" s="112" t="str">
        <f>IF(preDEL!$AG264,IFERROR(0/0,""),preDEL!AO264)</f>
        <v/>
      </c>
      <c r="AP264" s="112" t="str">
        <f>IF(preDEL!$AG264,IFERROR(0/0,""),preDEL!AP264)</f>
        <v/>
      </c>
      <c r="AQ264" s="112" t="str">
        <f>IF(preDEL!$AG264,IFERROR(0/0,""),preDEL!AQ264)</f>
        <v/>
      </c>
      <c r="AR264" s="112" t="str">
        <f>IF(preDEL!$AG264,IFERROR(0/0,""),preDEL!AR264)</f>
        <v/>
      </c>
      <c r="AS264" s="112" t="str">
        <f>IF(preDEL!$AG264,IFERROR(0/0,""),preDEL!AS264)</f>
        <v/>
      </c>
      <c r="AT264" s="112" t="b">
        <f>IF(preDEL!$AG264,IFERROR(0/0,""),preDEL!AT264)</f>
        <v>0</v>
      </c>
      <c r="AU264" s="112" t="str">
        <f>IF(preDEL!$AG264,IFERROR(0/0,""),preDEL!AU264)</f>
        <v/>
      </c>
      <c r="AV264" s="112" t="str">
        <f>IF(preDEL!$AG264,IFERROR(0/0,""),preDEL!AV264)</f>
        <v/>
      </c>
      <c r="AW264" s="112" t="str">
        <f>IF(preDEL!$AG264,IFERROR(0/0,""),preDEL!AW264)</f>
        <v/>
      </c>
      <c r="AX264" s="112" t="str">
        <f>IF(preDEL!$AG264,IFERROR(0/0,""),preDEL!AX264)</f>
        <v/>
      </c>
      <c r="AY264" s="112" t="str">
        <f>IF(preDEL!$AG264,IFERROR(0/0,""),preDEL!AY264)</f>
        <v/>
      </c>
      <c r="AZ264" s="174"/>
      <c r="BA264" s="174"/>
      <c r="BB264" s="174"/>
      <c r="BC264" s="174"/>
      <c r="BD264" s="174"/>
      <c r="BE264" s="174"/>
      <c r="BF264" s="174"/>
      <c r="BG264" s="174"/>
      <c r="BH264" s="174"/>
      <c r="BI264" s="174"/>
      <c r="BJ264" s="174"/>
      <c r="BK264" s="174"/>
      <c r="BL264" s="174"/>
      <c r="BM264" s="174"/>
      <c r="BN264" s="174"/>
      <c r="BO264" s="174"/>
      <c r="BP264" s="174"/>
      <c r="BQ264" s="174"/>
      <c r="BR264" s="174"/>
      <c r="BS264" s="174"/>
      <c r="BT264" s="174"/>
      <c r="BU264" s="174"/>
      <c r="BV264" s="174"/>
      <c r="BW264" s="174"/>
      <c r="BX264" s="174"/>
      <c r="BY264" s="174"/>
      <c r="BZ264" s="174"/>
      <c r="CA264" s="174"/>
      <c r="CB264" s="174"/>
      <c r="CC264" s="174"/>
      <c r="CD264" s="174"/>
    </row>
    <row r="265">
      <c r="A265" s="105" t="str">
        <f>IF(preDEL!$AG265,IFERROR(0/0,""),preDEL!A265)</f>
        <v>MAX114</v>
      </c>
      <c r="B265" s="170">
        <f>IF(preDEL!$AG265,IFERROR(0/0,""),preDEL!B265)</f>
        <v>44580</v>
      </c>
      <c r="C265" s="171">
        <f>IF(preDEL!$AG265,IFERROR(0/0,""),preDEL!C265)</f>
        <v>0.4467476852</v>
      </c>
      <c r="D265" s="105" t="str">
        <f>IF(preDEL!$AG265,IFERROR(0/0,""),preDEL!D265)</f>
        <v/>
      </c>
      <c r="E265" s="105" t="str">
        <f>IF(preDEL!$AG265,IFERROR(0/0,""),preDEL!E265)</f>
        <v/>
      </c>
      <c r="F265" s="112" t="str">
        <f>IF(preDEL!$AG265,IFERROR(0/0,""),preDEL!F265)</f>
        <v/>
      </c>
      <c r="G265" s="112" t="str">
        <f>IF(preDEL!$AG265,IFERROR(0/0,""),preDEL!G265)</f>
        <v/>
      </c>
      <c r="H265" s="112" t="str">
        <f>IF(preDEL!$AG265,IFERROR(0/0,""),preDEL!H265)</f>
        <v/>
      </c>
      <c r="I265" s="105" t="str">
        <f>IF(preDEL!$AG265,IFERROR(0/0,""),preDEL!I265)</f>
        <v/>
      </c>
      <c r="J265" s="105" t="str">
        <f>IF(preDEL!$AG265,IFERROR(0/0,""),preDEL!J265)</f>
        <v/>
      </c>
      <c r="K265" s="105" t="str">
        <f>IF(preDEL!$AG265,IFERROR(0/0,""),preDEL!K265)</f>
        <v>Negative</v>
      </c>
      <c r="L265" s="170">
        <f>IF(preDEL!$AG265,IFERROR(0/0,""),preDEL!L265)</f>
        <v>44580</v>
      </c>
      <c r="M265" s="171">
        <f>IF(preDEL!$AG265,IFERROR(0/0,""),preDEL!M265)</f>
        <v>0.5080324074</v>
      </c>
      <c r="N265" s="112" t="str">
        <f>IF(preDEL!$AG265,IFERROR(0/0,""),preDEL!N265)</f>
        <v/>
      </c>
      <c r="O265" s="112" t="str">
        <f>IF(preDEL!$AG265,IFERROR(0/0,""),preDEL!O265)</f>
        <v/>
      </c>
      <c r="P265" s="110" t="b">
        <f>IF(preDEL!$AG265,IFERROR(0/0,""),preDEL!P265)</f>
        <v>0</v>
      </c>
      <c r="Q265" s="110" t="str">
        <f>IF(preDEL!$AG265,IFERROR(0/0,""),preDEL!Q265)</f>
        <v>Result</v>
      </c>
      <c r="R265" s="104" t="b">
        <f>IF(preDEL!$AG265,IFERROR(0/0,""),preDEL!R265)</f>
        <v>1</v>
      </c>
      <c r="S265" s="104">
        <f>IF(preDEL!$AG265,IFERROR(0/0,""),preDEL!S265)</f>
        <v>1</v>
      </c>
      <c r="T265" s="110" t="str">
        <f>IF(preDEL!$AG265,IFERROR(0/0,""),preDEL!T265)</f>
        <v/>
      </c>
      <c r="U265" s="112" t="str">
        <f>IF(preDEL!$AG265,IFERROR(0/0,""),preDEL!U265)</f>
        <v/>
      </c>
      <c r="V265" s="105" t="str">
        <f>IF(preDEL!$AG265,IFERROR(0/0,""),preDEL!V265)</f>
        <v/>
      </c>
      <c r="W265" s="112" t="str">
        <f>IF(preDEL!$AG265,IFERROR(0/0,""),preDEL!W265)</f>
        <v/>
      </c>
      <c r="X265" s="104" t="b">
        <f>IF(preDEL!$AG265,IFERROR(0/0,""),preDEL!X265)</f>
        <v>0</v>
      </c>
      <c r="Y265" s="110" t="b">
        <f>IF(preDEL!$AG265,IFERROR(0/0,""),preDEL!Y265)</f>
        <v>0</v>
      </c>
      <c r="Z265" s="105" t="str">
        <f>IF(preDEL!$AG265,IFERROR(0/0,""),preDEL!Z265)</f>
        <v/>
      </c>
      <c r="AA265" s="110" t="b">
        <f>IF(preDEL!$AG265,IFERROR(0/0,""),preDEL!AA265)</f>
        <v>0</v>
      </c>
      <c r="AB265" s="110" t="b">
        <f>IF(preDEL!$AG265,IFERROR(0/0,""),preDEL!AB265)</f>
        <v>0</v>
      </c>
      <c r="AC265" s="172">
        <f>IF(preDEL!$AG265,IFERROR(0/0,""),preDEL!AC265)</f>
        <v>541</v>
      </c>
      <c r="AD265" s="104" t="b">
        <f>IF(preDEL!$AG265,IFERROR(0/0,""),preDEL!AD265)</f>
        <v>0</v>
      </c>
      <c r="AE265" s="173">
        <f>IF(preDEL!$AG265,IFERROR(0/0,""),preDEL!AE265)</f>
        <v>88.25</v>
      </c>
      <c r="AF265" s="110" t="b">
        <f>IF(preDEL!$AG265,IFERROR(0/0,""),preDEL!AF265)</f>
        <v>0</v>
      </c>
      <c r="AG265" s="110" t="b">
        <f>IF(preDEL!$AG265,IFERROR(0/0,""),preDEL!AG265)</f>
        <v>0</v>
      </c>
      <c r="AH265" s="104" t="str">
        <f>IF(preDEL!$AG265,IFERROR(0/0,""),preDEL!AH265)</f>
        <v/>
      </c>
      <c r="AI265" s="105" t="str">
        <f>IF(preDEL!$AG265,IFERROR(0/0,""),preDEL!AI265)</f>
        <v/>
      </c>
      <c r="AJ265" s="112" t="str">
        <f>IF(preDEL!$AG265,IFERROR(0/0,""),preDEL!AJ265)</f>
        <v/>
      </c>
      <c r="AK265" s="105" t="str">
        <f>IF(preDEL!$AG265,IFERROR(0/0,""),preDEL!AK265)</f>
        <v>Negative</v>
      </c>
      <c r="AL265" s="112" t="str">
        <f>IF(preDEL!$AG265,IFERROR(0/0,""),preDEL!AL265)</f>
        <v/>
      </c>
      <c r="AM265" s="112" t="str">
        <f>IF(preDEL!$AG265,IFERROR(0/0,""),preDEL!AM265)</f>
        <v>SpBEND394154</v>
      </c>
      <c r="AN265" s="112" t="str">
        <f>IF(preDEL!$AG265,IFERROR(0/0,""),preDEL!AN265)</f>
        <v>BEND714296</v>
      </c>
      <c r="AO265" s="112" t="str">
        <f>IF(preDEL!$AG265,IFERROR(0/0,""),preDEL!AO265)</f>
        <v/>
      </c>
      <c r="AP265" s="112" t="str">
        <f>IF(preDEL!$AG265,IFERROR(0/0,""),preDEL!AP265)</f>
        <v/>
      </c>
      <c r="AQ265" s="112" t="str">
        <f>IF(preDEL!$AG265,IFERROR(0/0,""),preDEL!AQ265)</f>
        <v/>
      </c>
      <c r="AR265" s="112" t="str">
        <f>IF(preDEL!$AG265,IFERROR(0/0,""),preDEL!AR265)</f>
        <v/>
      </c>
      <c r="AS265" s="112" t="str">
        <f>IF(preDEL!$AG265,IFERROR(0/0,""),preDEL!AS265)</f>
        <v/>
      </c>
      <c r="AT265" s="112" t="b">
        <f>IF(preDEL!$AG265,IFERROR(0/0,""),preDEL!AT265)</f>
        <v>0</v>
      </c>
      <c r="AU265" s="112" t="str">
        <f>IF(preDEL!$AG265,IFERROR(0/0,""),preDEL!AU265)</f>
        <v/>
      </c>
      <c r="AV265" s="112" t="str">
        <f>IF(preDEL!$AG265,IFERROR(0/0,""),preDEL!AV265)</f>
        <v/>
      </c>
      <c r="AW265" s="112" t="str">
        <f>IF(preDEL!$AG265,IFERROR(0/0,""),preDEL!AW265)</f>
        <v/>
      </c>
      <c r="AX265" s="112" t="str">
        <f>IF(preDEL!$AG265,IFERROR(0/0,""),preDEL!AX265)</f>
        <v/>
      </c>
      <c r="AY265" s="112" t="str">
        <f>IF(preDEL!$AG265,IFERROR(0/0,""),preDEL!AY265)</f>
        <v/>
      </c>
      <c r="AZ265" s="174"/>
      <c r="BA265" s="174"/>
      <c r="BB265" s="174"/>
      <c r="BC265" s="174"/>
      <c r="BD265" s="174"/>
      <c r="BE265" s="174"/>
      <c r="BF265" s="174"/>
      <c r="BG265" s="174"/>
      <c r="BH265" s="174"/>
      <c r="BI265" s="174"/>
      <c r="BJ265" s="174"/>
      <c r="BK265" s="174"/>
      <c r="BL265" s="174"/>
      <c r="BM265" s="174"/>
      <c r="BN265" s="174"/>
      <c r="BO265" s="174"/>
      <c r="BP265" s="174"/>
      <c r="BQ265" s="174"/>
      <c r="BR265" s="174"/>
      <c r="BS265" s="174"/>
      <c r="BT265" s="174"/>
      <c r="BU265" s="174"/>
      <c r="BV265" s="174"/>
      <c r="BW265" s="174"/>
      <c r="BX265" s="174"/>
      <c r="BY265" s="174"/>
      <c r="BZ265" s="174"/>
      <c r="CA265" s="174"/>
      <c r="CB265" s="174"/>
      <c r="CC265" s="174"/>
      <c r="CD265" s="174"/>
    </row>
    <row r="266">
      <c r="A266" s="105" t="str">
        <f>IF(preDEL!$AG266,IFERROR(0/0,""),preDEL!A266)</f>
        <v>MA278</v>
      </c>
      <c r="B266" s="170">
        <f>IF(preDEL!$AG266,IFERROR(0/0,""),preDEL!B266)</f>
        <v>44581</v>
      </c>
      <c r="C266" s="171">
        <f>IF(preDEL!$AG266,IFERROR(0/0,""),preDEL!C266)</f>
        <v>0.3128819444</v>
      </c>
      <c r="D266" s="105" t="str">
        <f>IF(preDEL!$AG266,IFERROR(0/0,""),preDEL!D266)</f>
        <v/>
      </c>
      <c r="E266" s="105" t="str">
        <f>IF(preDEL!$AG266,IFERROR(0/0,""),preDEL!E266)</f>
        <v/>
      </c>
      <c r="F266" s="112" t="str">
        <f>IF(preDEL!$AG266,IFERROR(0/0,""),preDEL!F266)</f>
        <v/>
      </c>
      <c r="G266" s="112" t="str">
        <f>IF(preDEL!$AG266,IFERROR(0/0,""),preDEL!G266)</f>
        <v/>
      </c>
      <c r="H266" s="112" t="str">
        <f>IF(preDEL!$AG266,IFERROR(0/0,""),preDEL!H266)</f>
        <v/>
      </c>
      <c r="I266" s="105" t="str">
        <f>IF(preDEL!$AG266,IFERROR(0/0,""),preDEL!I266)</f>
        <v/>
      </c>
      <c r="J266" s="105" t="str">
        <f>IF(preDEL!$AG266,IFERROR(0/0,""),preDEL!J266)</f>
        <v/>
      </c>
      <c r="K266" s="105" t="str">
        <f>IF(preDEL!$AG266,IFERROR(0/0,""),preDEL!K266)</f>
        <v>Positive</v>
      </c>
      <c r="L266" s="170">
        <f>IF(preDEL!$AG266,IFERROR(0/0,""),preDEL!L266)</f>
        <v>44582</v>
      </c>
      <c r="M266" s="171">
        <f>IF(preDEL!$AG266,IFERROR(0/0,""),preDEL!M266)</f>
        <v>0.4883912037</v>
      </c>
      <c r="N266" s="112" t="str">
        <f>IF(preDEL!$AG266,IFERROR(0/0,""),preDEL!N266)</f>
        <v/>
      </c>
      <c r="O266" s="112" t="str">
        <f>IF(preDEL!$AG266,IFERROR(0/0,""),preDEL!O266)</f>
        <v/>
      </c>
      <c r="P266" s="110" t="b">
        <f>IF(preDEL!$AG266,IFERROR(0/0,""),preDEL!P266)</f>
        <v>0</v>
      </c>
      <c r="Q266" s="110" t="str">
        <f>IF(preDEL!$AG266,IFERROR(0/0,""),preDEL!Q266)</f>
        <v>Result</v>
      </c>
      <c r="R266" s="104" t="b">
        <f>IF(preDEL!$AG266,IFERROR(0/0,""),preDEL!R266)</f>
        <v>1</v>
      </c>
      <c r="S266" s="104">
        <f>IF(preDEL!$AG266,IFERROR(0/0,""),preDEL!S266)</f>
        <v>1</v>
      </c>
      <c r="T266" s="110">
        <f>IF(preDEL!$AG266,IFERROR(0/0,""),preDEL!T266)</f>
        <v>0</v>
      </c>
      <c r="U266" s="112" t="str">
        <f>IF(preDEL!$AG266,IFERROR(0/0,""),preDEL!U266)</f>
        <v/>
      </c>
      <c r="V266" s="105" t="str">
        <f>IF(preDEL!$AG266,IFERROR(0/0,""),preDEL!V266)</f>
        <v/>
      </c>
      <c r="W266" s="112" t="str">
        <f>IF(preDEL!$AG266,IFERROR(0/0,""),preDEL!W266)</f>
        <v/>
      </c>
      <c r="X266" s="104" t="b">
        <f>IF(preDEL!$AG266,IFERROR(0/0,""),preDEL!X266)</f>
        <v>0</v>
      </c>
      <c r="Y266" s="110" t="b">
        <f>IF(preDEL!$AG266,IFERROR(0/0,""),preDEL!Y266)</f>
        <v>0</v>
      </c>
      <c r="Z266" s="105" t="str">
        <f>IF(preDEL!$AG266,IFERROR(0/0,""),preDEL!Z266)</f>
        <v/>
      </c>
      <c r="AA266" s="110" t="b">
        <f>IF(preDEL!$AG266,IFERROR(0/0,""),preDEL!AA266)</f>
        <v>0</v>
      </c>
      <c r="AB266" s="110" t="b">
        <f>IF(preDEL!$AG266,IFERROR(0/0,""),preDEL!AB266)</f>
        <v>0</v>
      </c>
      <c r="AC266" s="172">
        <f>IF(preDEL!$AG266,IFERROR(0/0,""),preDEL!AC266)</f>
        <v>540</v>
      </c>
      <c r="AD266" s="104" t="b">
        <f>IF(preDEL!$AG266,IFERROR(0/0,""),preDEL!AD266)</f>
        <v>0</v>
      </c>
      <c r="AE266" s="173" t="str">
        <f>IF(preDEL!$AG266,IFERROR(0/0,""),preDEL!AE266)</f>
        <v/>
      </c>
      <c r="AF266" s="110" t="b">
        <f>IF(preDEL!$AG266,IFERROR(0/0,""),preDEL!AF266)</f>
        <v>0</v>
      </c>
      <c r="AG266" s="110" t="b">
        <f>IF(preDEL!$AG266,IFERROR(0/0,""),preDEL!AG266)</f>
        <v>0</v>
      </c>
      <c r="AH266" s="104" t="str">
        <f>IF(preDEL!$AG266,IFERROR(0/0,""),preDEL!AH266)</f>
        <v/>
      </c>
      <c r="AI266" s="105" t="str">
        <f>IF(preDEL!$AG266,IFERROR(0/0,""),preDEL!AI266)</f>
        <v/>
      </c>
      <c r="AJ266" s="112" t="str">
        <f>IF(preDEL!$AG266,IFERROR(0/0,""),preDEL!AJ266)</f>
        <v/>
      </c>
      <c r="AK266" s="105" t="str">
        <f>IF(preDEL!$AG266,IFERROR(0/0,""),preDEL!AK266)</f>
        <v>Positive</v>
      </c>
      <c r="AL266" s="112" t="str">
        <f>IF(preDEL!$AG266,IFERROR(0/0,""),preDEL!AL266)</f>
        <v/>
      </c>
      <c r="AM266" s="112" t="str">
        <f>IF(preDEL!$AG266,IFERROR(0/0,""),preDEL!AM266)</f>
        <v>SpBEND302553</v>
      </c>
      <c r="AN266" s="112" t="str">
        <f>IF(preDEL!$AG266,IFERROR(0/0,""),preDEL!AN266)</f>
        <v>BEND455768</v>
      </c>
      <c r="AO266" s="112" t="str">
        <f>IF(preDEL!$AG266,IFERROR(0/0,""),preDEL!AO266)</f>
        <v/>
      </c>
      <c r="AP266" s="112" t="str">
        <f>IF(preDEL!$AG266,IFERROR(0/0,""),preDEL!AP266)</f>
        <v/>
      </c>
      <c r="AQ266" s="112" t="str">
        <f>IF(preDEL!$AG266,IFERROR(0/0,""),preDEL!AQ266)</f>
        <v/>
      </c>
      <c r="AR266" s="112" t="str">
        <f>IF(preDEL!$AG266,IFERROR(0/0,""),preDEL!AR266)</f>
        <v/>
      </c>
      <c r="AS266" s="112" t="str">
        <f>IF(preDEL!$AG266,IFERROR(0/0,""),preDEL!AS266)</f>
        <v/>
      </c>
      <c r="AT266" s="112" t="b">
        <f>IF(preDEL!$AG266,IFERROR(0/0,""),preDEL!AT266)</f>
        <v>0</v>
      </c>
      <c r="AU266" s="112" t="str">
        <f>IF(preDEL!$AG266,IFERROR(0/0,""),preDEL!AU266)</f>
        <v/>
      </c>
      <c r="AV266" s="112" t="str">
        <f>IF(preDEL!$AG266,IFERROR(0/0,""),preDEL!AV266)</f>
        <v/>
      </c>
      <c r="AW266" s="112" t="str">
        <f>IF(preDEL!$AG266,IFERROR(0/0,""),preDEL!AW266)</f>
        <v/>
      </c>
      <c r="AX266" s="112" t="str">
        <f>IF(preDEL!$AG266,IFERROR(0/0,""),preDEL!AX266)</f>
        <v/>
      </c>
      <c r="AY266" s="112" t="str">
        <f>IF(preDEL!$AG266,IFERROR(0/0,""),preDEL!AY266)</f>
        <v/>
      </c>
      <c r="AZ266" s="174"/>
      <c r="BA266" s="174"/>
      <c r="BB266" s="174"/>
      <c r="BC266" s="174"/>
      <c r="BD266" s="174"/>
      <c r="BE266" s="174"/>
      <c r="BF266" s="174"/>
      <c r="BG266" s="174"/>
      <c r="BH266" s="174"/>
      <c r="BI266" s="174"/>
      <c r="BJ266" s="174"/>
      <c r="BK266" s="174"/>
      <c r="BL266" s="174"/>
      <c r="BM266" s="174"/>
      <c r="BN266" s="174"/>
      <c r="BO266" s="174"/>
      <c r="BP266" s="174"/>
      <c r="BQ266" s="174"/>
      <c r="BR266" s="174"/>
      <c r="BS266" s="174"/>
      <c r="BT266" s="174"/>
      <c r="BU266" s="174"/>
      <c r="BV266" s="174"/>
      <c r="BW266" s="174"/>
      <c r="BX266" s="174"/>
      <c r="BY266" s="174"/>
      <c r="BZ266" s="174"/>
      <c r="CA266" s="174"/>
      <c r="CB266" s="174"/>
      <c r="CC266" s="174"/>
      <c r="CD266" s="174"/>
    </row>
    <row r="267">
      <c r="A267" s="105" t="str">
        <f>IF(preDEL!$AG267,IFERROR(0/0,""),preDEL!A267)</f>
        <v/>
      </c>
      <c r="B267" s="170" t="str">
        <f>IF(preDEL!$AG267,IFERROR(0/0,""),preDEL!B267)</f>
        <v/>
      </c>
      <c r="C267" s="171" t="str">
        <f>IF(preDEL!$AG267,IFERROR(0/0,""),preDEL!C267)</f>
        <v/>
      </c>
      <c r="D267" s="105" t="str">
        <f>IF(preDEL!$AG267,IFERROR(0/0,""),preDEL!D267)</f>
        <v/>
      </c>
      <c r="E267" s="105" t="str">
        <f>IF(preDEL!$AG267,IFERROR(0/0,""),preDEL!E267)</f>
        <v/>
      </c>
      <c r="F267" s="112" t="str">
        <f>IF(preDEL!$AG267,IFERROR(0/0,""),preDEL!F267)</f>
        <v/>
      </c>
      <c r="G267" s="112" t="str">
        <f>IF(preDEL!$AG267,IFERROR(0/0,""),preDEL!G267)</f>
        <v/>
      </c>
      <c r="H267" s="112" t="str">
        <f>IF(preDEL!$AG267,IFERROR(0/0,""),preDEL!H267)</f>
        <v/>
      </c>
      <c r="I267" s="105" t="str">
        <f>IF(preDEL!$AG267,IFERROR(0/0,""),preDEL!I267)</f>
        <v/>
      </c>
      <c r="J267" s="105" t="str">
        <f>IF(preDEL!$AG267,IFERROR(0/0,""),preDEL!J267)</f>
        <v/>
      </c>
      <c r="K267" s="105" t="str">
        <f>IF(preDEL!$AG267,IFERROR(0/0,""),preDEL!K267)</f>
        <v/>
      </c>
      <c r="L267" s="170" t="str">
        <f>IF(preDEL!$AG267,IFERROR(0/0,""),preDEL!L267)</f>
        <v/>
      </c>
      <c r="M267" s="171" t="str">
        <f>IF(preDEL!$AG267,IFERROR(0/0,""),preDEL!M267)</f>
        <v/>
      </c>
      <c r="N267" s="112" t="str">
        <f>IF(preDEL!$AG267,IFERROR(0/0,""),preDEL!N267)</f>
        <v/>
      </c>
      <c r="O267" s="112" t="str">
        <f>IF(preDEL!$AG267,IFERROR(0/0,""),preDEL!O267)</f>
        <v/>
      </c>
      <c r="P267" s="110" t="str">
        <f>IF(preDEL!$AG267,IFERROR(0/0,""),preDEL!P267)</f>
        <v/>
      </c>
      <c r="Q267" s="110" t="str">
        <f>IF(preDEL!$AG267,IFERROR(0/0,""),preDEL!Q267)</f>
        <v/>
      </c>
      <c r="R267" s="104" t="str">
        <f>IF(preDEL!$AG267,IFERROR(0/0,""),preDEL!R267)</f>
        <v/>
      </c>
      <c r="S267" s="104" t="str">
        <f>IF(preDEL!$AG267,IFERROR(0/0,""),preDEL!S267)</f>
        <v/>
      </c>
      <c r="T267" s="110" t="str">
        <f>IF(preDEL!$AG267,IFERROR(0/0,""),preDEL!T267)</f>
        <v/>
      </c>
      <c r="U267" s="112" t="str">
        <f>IF(preDEL!$AG267,IFERROR(0/0,""),preDEL!U267)</f>
        <v/>
      </c>
      <c r="V267" s="105" t="str">
        <f>IF(preDEL!$AG267,IFERROR(0/0,""),preDEL!V267)</f>
        <v/>
      </c>
      <c r="W267" s="112" t="str">
        <f>IF(preDEL!$AG267,IFERROR(0/0,""),preDEL!W267)</f>
        <v/>
      </c>
      <c r="X267" s="104" t="str">
        <f>IF(preDEL!$AG267,IFERROR(0/0,""),preDEL!X267)</f>
        <v/>
      </c>
      <c r="Y267" s="110" t="str">
        <f>IF(preDEL!$AG267,IFERROR(0/0,""),preDEL!Y267)</f>
        <v/>
      </c>
      <c r="Z267" s="105" t="str">
        <f>IF(preDEL!$AG267,IFERROR(0/0,""),preDEL!Z267)</f>
        <v/>
      </c>
      <c r="AA267" s="110" t="str">
        <f>IF(preDEL!$AG267,IFERROR(0/0,""),preDEL!AA267)</f>
        <v/>
      </c>
      <c r="AB267" s="110" t="str">
        <f>IF(preDEL!$AG267,IFERROR(0/0,""),preDEL!AB267)</f>
        <v/>
      </c>
      <c r="AC267" s="172" t="str">
        <f>IF(preDEL!$AG267,IFERROR(0/0,""),preDEL!AC267)</f>
        <v/>
      </c>
      <c r="AD267" s="104" t="str">
        <f>IF(preDEL!$AG267,IFERROR(0/0,""),preDEL!AD267)</f>
        <v/>
      </c>
      <c r="AE267" s="173" t="str">
        <f>IF(preDEL!$AG267,IFERROR(0/0,""),preDEL!AE267)</f>
        <v/>
      </c>
      <c r="AF267" s="110" t="str">
        <f>IF(preDEL!$AG267,IFERROR(0/0,""),preDEL!AF267)</f>
        <v/>
      </c>
      <c r="AG267" s="110" t="str">
        <f>IF(preDEL!$AG267,IFERROR(0/0,""),preDEL!AG267)</f>
        <v/>
      </c>
      <c r="AH267" s="104" t="str">
        <f>IF(preDEL!$AG267,IFERROR(0/0,""),preDEL!AH267)</f>
        <v/>
      </c>
      <c r="AI267" s="105" t="str">
        <f>IF(preDEL!$AG267,IFERROR(0/0,""),preDEL!AI267)</f>
        <v/>
      </c>
      <c r="AJ267" s="112" t="str">
        <f>IF(preDEL!$AG267,IFERROR(0/0,""),preDEL!AJ267)</f>
        <v/>
      </c>
      <c r="AK267" s="105" t="str">
        <f>IF(preDEL!$AG267,IFERROR(0/0,""),preDEL!AK267)</f>
        <v/>
      </c>
      <c r="AL267" s="112" t="str">
        <f>IF(preDEL!$AG267,IFERROR(0/0,""),preDEL!AL267)</f>
        <v/>
      </c>
      <c r="AM267" s="112" t="str">
        <f>IF(preDEL!$AG267,IFERROR(0/0,""),preDEL!AM267)</f>
        <v/>
      </c>
      <c r="AN267" s="112" t="str">
        <f>IF(preDEL!$AG267,IFERROR(0/0,""),preDEL!AN267)</f>
        <v/>
      </c>
      <c r="AO267" s="112" t="str">
        <f>IF(preDEL!$AG267,IFERROR(0/0,""),preDEL!AO267)</f>
        <v/>
      </c>
      <c r="AP267" s="112" t="str">
        <f>IF(preDEL!$AG267,IFERROR(0/0,""),preDEL!AP267)</f>
        <v/>
      </c>
      <c r="AQ267" s="112" t="str">
        <f>IF(preDEL!$AG267,IFERROR(0/0,""),preDEL!AQ267)</f>
        <v/>
      </c>
      <c r="AR267" s="112" t="str">
        <f>IF(preDEL!$AG267,IFERROR(0/0,""),preDEL!AR267)</f>
        <v/>
      </c>
      <c r="AS267" s="112" t="str">
        <f>IF(preDEL!$AG267,IFERROR(0/0,""),preDEL!AS267)</f>
        <v/>
      </c>
      <c r="AT267" s="112" t="str">
        <f>IF(preDEL!$AG267,IFERROR(0/0,""),preDEL!AT267)</f>
        <v/>
      </c>
      <c r="AU267" s="112" t="str">
        <f>IF(preDEL!$AG267,IFERROR(0/0,""),preDEL!AU267)</f>
        <v/>
      </c>
      <c r="AV267" s="112" t="str">
        <f>IF(preDEL!$AG267,IFERROR(0/0,""),preDEL!AV267)</f>
        <v/>
      </c>
      <c r="AW267" s="112" t="str">
        <f>IF(preDEL!$AG267,IFERROR(0/0,""),preDEL!AW267)</f>
        <v/>
      </c>
      <c r="AX267" s="112" t="str">
        <f>IF(preDEL!$AG267,IFERROR(0/0,""),preDEL!AX267)</f>
        <v/>
      </c>
      <c r="AY267" s="112" t="str">
        <f>IF(preDEL!$AG267,IFERROR(0/0,""),preDEL!AY267)</f>
        <v/>
      </c>
      <c r="AZ267" s="174"/>
      <c r="BA267" s="174"/>
      <c r="BB267" s="174"/>
      <c r="BC267" s="174"/>
      <c r="BD267" s="174"/>
      <c r="BE267" s="174"/>
      <c r="BF267" s="174"/>
      <c r="BG267" s="174"/>
      <c r="BH267" s="174"/>
      <c r="BI267" s="174"/>
      <c r="BJ267" s="174"/>
      <c r="BK267" s="174"/>
      <c r="BL267" s="174"/>
      <c r="BM267" s="174"/>
      <c r="BN267" s="174"/>
      <c r="BO267" s="174"/>
      <c r="BP267" s="174"/>
      <c r="BQ267" s="174"/>
      <c r="BR267" s="174"/>
      <c r="BS267" s="174"/>
      <c r="BT267" s="174"/>
      <c r="BU267" s="174"/>
      <c r="BV267" s="174"/>
      <c r="BW267" s="174"/>
      <c r="BX267" s="174"/>
      <c r="BY267" s="174"/>
      <c r="BZ267" s="174"/>
      <c r="CA267" s="174"/>
      <c r="CB267" s="174"/>
      <c r="CC267" s="174"/>
      <c r="CD267" s="174"/>
    </row>
    <row r="268">
      <c r="A268" s="105" t="str">
        <f>IF(preDEL!$AG268,IFERROR(0/0,""),preDEL!A268)</f>
        <v>MA1021</v>
      </c>
      <c r="B268" s="170">
        <f>IF(preDEL!$AG268,IFERROR(0/0,""),preDEL!B268)</f>
        <v>44582</v>
      </c>
      <c r="C268" s="171">
        <f>IF(preDEL!$AG268,IFERROR(0/0,""),preDEL!C268)</f>
        <v>0.268287037</v>
      </c>
      <c r="D268" s="105" t="str">
        <f>IF(preDEL!$AG268,IFERROR(0/0,""),preDEL!D268)</f>
        <v/>
      </c>
      <c r="E268" s="105" t="str">
        <f>IF(preDEL!$AG268,IFERROR(0/0,""),preDEL!E268)</f>
        <v/>
      </c>
      <c r="F268" s="112" t="str">
        <f>IF(preDEL!$AG268,IFERROR(0/0,""),preDEL!F268)</f>
        <v/>
      </c>
      <c r="G268" s="112" t="str">
        <f>IF(preDEL!$AG268,IFERROR(0/0,""),preDEL!G268)</f>
        <v/>
      </c>
      <c r="H268" s="112" t="str">
        <f>IF(preDEL!$AG268,IFERROR(0/0,""),preDEL!H268)</f>
        <v/>
      </c>
      <c r="I268" s="105" t="str">
        <f>IF(preDEL!$AG268,IFERROR(0/0,""),preDEL!I268)</f>
        <v/>
      </c>
      <c r="J268" s="105" t="str">
        <f>IF(preDEL!$AG268,IFERROR(0/0,""),preDEL!J268)</f>
        <v/>
      </c>
      <c r="K268" s="105" t="str">
        <f>IF(preDEL!$AG268,IFERROR(0/0,""),preDEL!K268)</f>
        <v>Negative</v>
      </c>
      <c r="L268" s="170">
        <f>IF(preDEL!$AG268,IFERROR(0/0,""),preDEL!L268)</f>
        <v>44582</v>
      </c>
      <c r="M268" s="171">
        <f>IF(preDEL!$AG268,IFERROR(0/0,""),preDEL!M268)</f>
        <v>0.4883912037</v>
      </c>
      <c r="N268" s="112" t="str">
        <f>IF(preDEL!$AG268,IFERROR(0/0,""),preDEL!N268)</f>
        <v/>
      </c>
      <c r="O268" s="112" t="str">
        <f>IF(preDEL!$AG268,IFERROR(0/0,""),preDEL!O268)</f>
        <v/>
      </c>
      <c r="P268" s="110" t="b">
        <f>IF(preDEL!$AG268,IFERROR(0/0,""),preDEL!P268)</f>
        <v>0</v>
      </c>
      <c r="Q268" s="110" t="str">
        <f>IF(preDEL!$AG268,IFERROR(0/0,""),preDEL!Q268)</f>
        <v>Result</v>
      </c>
      <c r="R268" s="104" t="b">
        <f>IF(preDEL!$AG268,IFERROR(0/0,""),preDEL!R268)</f>
        <v>1</v>
      </c>
      <c r="S268" s="104">
        <f>IF(preDEL!$AG268,IFERROR(0/0,""),preDEL!S268)</f>
        <v>1</v>
      </c>
      <c r="T268" s="110" t="str">
        <f>IF(preDEL!$AG268,IFERROR(0/0,""),preDEL!T268)</f>
        <v/>
      </c>
      <c r="U268" s="112" t="str">
        <f>IF(preDEL!$AG268,IFERROR(0/0,""),preDEL!U268)</f>
        <v/>
      </c>
      <c r="V268" s="105" t="str">
        <f>IF(preDEL!$AG268,IFERROR(0/0,""),preDEL!V268)</f>
        <v/>
      </c>
      <c r="W268" s="112" t="str">
        <f>IF(preDEL!$AG268,IFERROR(0/0,""),preDEL!W268)</f>
        <v/>
      </c>
      <c r="X268" s="104" t="b">
        <f>IF(preDEL!$AG268,IFERROR(0/0,""),preDEL!X268)</f>
        <v>0</v>
      </c>
      <c r="Y268" s="110" t="b">
        <f>IF(preDEL!$AG268,IFERROR(0/0,""),preDEL!Y268)</f>
        <v>0</v>
      </c>
      <c r="Z268" s="105" t="str">
        <f>IF(preDEL!$AG268,IFERROR(0/0,""),preDEL!Z268)</f>
        <v/>
      </c>
      <c r="AA268" s="110" t="b">
        <f>IF(preDEL!$AG268,IFERROR(0/0,""),preDEL!AA268)</f>
        <v>0</v>
      </c>
      <c r="AB268" s="110" t="b">
        <f>IF(preDEL!$AG268,IFERROR(0/0,""),preDEL!AB268)</f>
        <v>0</v>
      </c>
      <c r="AC268" s="172">
        <f>IF(preDEL!$AG268,IFERROR(0/0,""),preDEL!AC268)</f>
        <v>538</v>
      </c>
      <c r="AD268" s="104" t="b">
        <f>IF(preDEL!$AG268,IFERROR(0/0,""),preDEL!AD268)</f>
        <v>0</v>
      </c>
      <c r="AE268" s="173">
        <f>IF(preDEL!$AG268,IFERROR(0/0,""),preDEL!AE268)</f>
        <v>316.95</v>
      </c>
      <c r="AF268" s="110" t="b">
        <f>IF(preDEL!$AG268,IFERROR(0/0,""),preDEL!AF268)</f>
        <v>0</v>
      </c>
      <c r="AG268" s="110" t="b">
        <f>IF(preDEL!$AG268,IFERROR(0/0,""),preDEL!AG268)</f>
        <v>0</v>
      </c>
      <c r="AH268" s="104" t="str">
        <f>IF(preDEL!$AG268,IFERROR(0/0,""),preDEL!AH268)</f>
        <v/>
      </c>
      <c r="AI268" s="105" t="str">
        <f>IF(preDEL!$AG268,IFERROR(0/0,""),preDEL!AI268)</f>
        <v/>
      </c>
      <c r="AJ268" s="112" t="str">
        <f>IF(preDEL!$AG268,IFERROR(0/0,""),preDEL!AJ268)</f>
        <v/>
      </c>
      <c r="AK268" s="105" t="str">
        <f>IF(preDEL!$AG268,IFERROR(0/0,""),preDEL!AK268)</f>
        <v>Negative</v>
      </c>
      <c r="AL268" s="112" t="str">
        <f>IF(preDEL!$AG268,IFERROR(0/0,""),preDEL!AL268)</f>
        <v/>
      </c>
      <c r="AM268" s="112" t="str">
        <f>IF(preDEL!$AG268,IFERROR(0/0,""),preDEL!AM268)</f>
        <v>SpBEND548976</v>
      </c>
      <c r="AN268" s="112" t="str">
        <f>IF(preDEL!$AG268,IFERROR(0/0,""),preDEL!AN268)</f>
        <v>BEND704851</v>
      </c>
      <c r="AO268" s="112" t="str">
        <f>IF(preDEL!$AG268,IFERROR(0/0,""),preDEL!AO268)</f>
        <v/>
      </c>
      <c r="AP268" s="112" t="str">
        <f>IF(preDEL!$AG268,IFERROR(0/0,""),preDEL!AP268)</f>
        <v/>
      </c>
      <c r="AQ268" s="112" t="str">
        <f>IF(preDEL!$AG268,IFERROR(0/0,""),preDEL!AQ268)</f>
        <v/>
      </c>
      <c r="AR268" s="112" t="str">
        <f>IF(preDEL!$AG268,IFERROR(0/0,""),preDEL!AR268)</f>
        <v/>
      </c>
      <c r="AS268" s="112" t="str">
        <f>IF(preDEL!$AG268,IFERROR(0/0,""),preDEL!AS268)</f>
        <v/>
      </c>
      <c r="AT268" s="112" t="b">
        <f>IF(preDEL!$AG268,IFERROR(0/0,""),preDEL!AT268)</f>
        <v>0</v>
      </c>
      <c r="AU268" s="112" t="str">
        <f>IF(preDEL!$AG268,IFERROR(0/0,""),preDEL!AU268)</f>
        <v/>
      </c>
      <c r="AV268" s="112" t="str">
        <f>IF(preDEL!$AG268,IFERROR(0/0,""),preDEL!AV268)</f>
        <v/>
      </c>
      <c r="AW268" s="112" t="str">
        <f>IF(preDEL!$AG268,IFERROR(0/0,""),preDEL!AW268)</f>
        <v/>
      </c>
      <c r="AX268" s="112" t="str">
        <f>IF(preDEL!$AG268,IFERROR(0/0,""),preDEL!AX268)</f>
        <v/>
      </c>
      <c r="AY268" s="112" t="str">
        <f>IF(preDEL!$AG268,IFERROR(0/0,""),preDEL!AY268)</f>
        <v/>
      </c>
      <c r="AZ268" s="174"/>
      <c r="BA268" s="174"/>
      <c r="BB268" s="174"/>
      <c r="BC268" s="174"/>
      <c r="BD268" s="174"/>
      <c r="BE268" s="174"/>
      <c r="BF268" s="174"/>
      <c r="BG268" s="174"/>
      <c r="BH268" s="174"/>
      <c r="BI268" s="174"/>
      <c r="BJ268" s="174"/>
      <c r="BK268" s="174"/>
      <c r="BL268" s="174"/>
      <c r="BM268" s="174"/>
      <c r="BN268" s="174"/>
      <c r="BO268" s="174"/>
      <c r="BP268" s="174"/>
      <c r="BQ268" s="174"/>
      <c r="BR268" s="174"/>
      <c r="BS268" s="174"/>
      <c r="BT268" s="174"/>
      <c r="BU268" s="174"/>
      <c r="BV268" s="174"/>
      <c r="BW268" s="174"/>
      <c r="BX268" s="174"/>
      <c r="BY268" s="174"/>
      <c r="BZ268" s="174"/>
      <c r="CA268" s="174"/>
      <c r="CB268" s="174"/>
      <c r="CC268" s="174"/>
      <c r="CD268" s="174"/>
    </row>
    <row r="269">
      <c r="A269" s="105" t="str">
        <f>IF(preDEL!$AG269,IFERROR(0/0,""),preDEL!A269)</f>
        <v>MAX80</v>
      </c>
      <c r="B269" s="170">
        <f>IF(preDEL!$AG269,IFERROR(0/0,""),preDEL!B269)</f>
        <v>44582</v>
      </c>
      <c r="C269" s="171">
        <f>IF(preDEL!$AG269,IFERROR(0/0,""),preDEL!C269)</f>
        <v>0.2847453704</v>
      </c>
      <c r="D269" s="105" t="str">
        <f>IF(preDEL!$AG269,IFERROR(0/0,""),preDEL!D269)</f>
        <v/>
      </c>
      <c r="E269" s="105" t="str">
        <f>IF(preDEL!$AG269,IFERROR(0/0,""),preDEL!E269)</f>
        <v/>
      </c>
      <c r="F269" s="112" t="str">
        <f>IF(preDEL!$AG269,IFERROR(0/0,""),preDEL!F269)</f>
        <v/>
      </c>
      <c r="G269" s="112" t="str">
        <f>IF(preDEL!$AG269,IFERROR(0/0,""),preDEL!G269)</f>
        <v/>
      </c>
      <c r="H269" s="112" t="str">
        <f>IF(preDEL!$AG269,IFERROR(0/0,""),preDEL!H269)</f>
        <v/>
      </c>
      <c r="I269" s="105" t="str">
        <f>IF(preDEL!$AG269,IFERROR(0/0,""),preDEL!I269)</f>
        <v/>
      </c>
      <c r="J269" s="105" t="str">
        <f>IF(preDEL!$AG269,IFERROR(0/0,""),preDEL!J269)</f>
        <v/>
      </c>
      <c r="K269" s="105" t="str">
        <f>IF(preDEL!$AG269,IFERROR(0/0,""),preDEL!K269)</f>
        <v>Positive</v>
      </c>
      <c r="L269" s="170">
        <f>IF(preDEL!$AG269,IFERROR(0/0,""),preDEL!L269)</f>
        <v>44582</v>
      </c>
      <c r="M269" s="171">
        <f>IF(preDEL!$AG269,IFERROR(0/0,""),preDEL!M269)</f>
        <v>0.4884027778</v>
      </c>
      <c r="N269" s="112" t="str">
        <f>IF(preDEL!$AG269,IFERROR(0/0,""),preDEL!N269)</f>
        <v/>
      </c>
      <c r="O269" s="112" t="str">
        <f>IF(preDEL!$AG269,IFERROR(0/0,""),preDEL!O269)</f>
        <v/>
      </c>
      <c r="P269" s="110" t="b">
        <f>IF(preDEL!$AG269,IFERROR(0/0,""),preDEL!P269)</f>
        <v>0</v>
      </c>
      <c r="Q269" s="110" t="str">
        <f>IF(preDEL!$AG269,IFERROR(0/0,""),preDEL!Q269)</f>
        <v>Result</v>
      </c>
      <c r="R269" s="104" t="b">
        <f>IF(preDEL!$AG269,IFERROR(0/0,""),preDEL!R269)</f>
        <v>1</v>
      </c>
      <c r="S269" s="104">
        <f>IF(preDEL!$AG269,IFERROR(0/0,""),preDEL!S269)</f>
        <v>1</v>
      </c>
      <c r="T269" s="110" t="str">
        <f>IF(preDEL!$AG269,IFERROR(0/0,""),preDEL!T269)</f>
        <v/>
      </c>
      <c r="U269" s="112" t="str">
        <f>IF(preDEL!$AG269,IFERROR(0/0,""),preDEL!U269)</f>
        <v/>
      </c>
      <c r="V269" s="105" t="str">
        <f>IF(preDEL!$AG269,IFERROR(0/0,""),preDEL!V269)</f>
        <v/>
      </c>
      <c r="W269" s="112" t="str">
        <f>IF(preDEL!$AG269,IFERROR(0/0,""),preDEL!W269)</f>
        <v/>
      </c>
      <c r="X269" s="104" t="b">
        <f>IF(preDEL!$AG269,IFERROR(0/0,""),preDEL!X269)</f>
        <v>0</v>
      </c>
      <c r="Y269" s="110" t="b">
        <f>IF(preDEL!$AG269,IFERROR(0/0,""),preDEL!Y269)</f>
        <v>0</v>
      </c>
      <c r="Z269" s="105" t="str">
        <f>IF(preDEL!$AG269,IFERROR(0/0,""),preDEL!Z269)</f>
        <v/>
      </c>
      <c r="AA269" s="110" t="b">
        <f>IF(preDEL!$AG269,IFERROR(0/0,""),preDEL!AA269)</f>
        <v>0</v>
      </c>
      <c r="AB269" s="110" t="b">
        <f>IF(preDEL!$AG269,IFERROR(0/0,""),preDEL!AB269)</f>
        <v>0</v>
      </c>
      <c r="AC269" s="172">
        <f>IF(preDEL!$AG269,IFERROR(0/0,""),preDEL!AC269)</f>
        <v>537</v>
      </c>
      <c r="AD269" s="104" t="b">
        <f>IF(preDEL!$AG269,IFERROR(0/0,""),preDEL!AD269)</f>
        <v>0</v>
      </c>
      <c r="AE269" s="173">
        <f>IF(preDEL!$AG269,IFERROR(0/0,""),preDEL!AE269)</f>
        <v>293.2666667</v>
      </c>
      <c r="AF269" s="110" t="b">
        <f>IF(preDEL!$AG269,IFERROR(0/0,""),preDEL!AF269)</f>
        <v>0</v>
      </c>
      <c r="AG269" s="110" t="b">
        <f>IF(preDEL!$AG269,IFERROR(0/0,""),preDEL!AG269)</f>
        <v>0</v>
      </c>
      <c r="AH269" s="104" t="str">
        <f>IF(preDEL!$AG269,IFERROR(0/0,""),preDEL!AH269)</f>
        <v/>
      </c>
      <c r="AI269" s="105" t="str">
        <f>IF(preDEL!$AG269,IFERROR(0/0,""),preDEL!AI269)</f>
        <v/>
      </c>
      <c r="AJ269" s="112" t="str">
        <f>IF(preDEL!$AG269,IFERROR(0/0,""),preDEL!AJ269)</f>
        <v/>
      </c>
      <c r="AK269" s="105" t="str">
        <f>IF(preDEL!$AG269,IFERROR(0/0,""),preDEL!AK269)</f>
        <v>Positive</v>
      </c>
      <c r="AL269" s="112" t="str">
        <f>IF(preDEL!$AG269,IFERROR(0/0,""),preDEL!AL269)</f>
        <v/>
      </c>
      <c r="AM269" s="112" t="str">
        <f>IF(preDEL!$AG269,IFERROR(0/0,""),preDEL!AM269)</f>
        <v>SpBEND845568</v>
      </c>
      <c r="AN269" s="112" t="str">
        <f>IF(preDEL!$AG269,IFERROR(0/0,""),preDEL!AN269)</f>
        <v>BEND601151</v>
      </c>
      <c r="AO269" s="112" t="str">
        <f>IF(preDEL!$AG269,IFERROR(0/0,""),preDEL!AO269)</f>
        <v/>
      </c>
      <c r="AP269" s="112" t="str">
        <f>IF(preDEL!$AG269,IFERROR(0/0,""),preDEL!AP269)</f>
        <v/>
      </c>
      <c r="AQ269" s="112" t="str">
        <f>IF(preDEL!$AG269,IFERROR(0/0,""),preDEL!AQ269)</f>
        <v/>
      </c>
      <c r="AR269" s="112" t="str">
        <f>IF(preDEL!$AG269,IFERROR(0/0,""),preDEL!AR269)</f>
        <v/>
      </c>
      <c r="AS269" s="112" t="str">
        <f>IF(preDEL!$AG269,IFERROR(0/0,""),preDEL!AS269)</f>
        <v/>
      </c>
      <c r="AT269" s="112" t="b">
        <f>IF(preDEL!$AG269,IFERROR(0/0,""),preDEL!AT269)</f>
        <v>0</v>
      </c>
      <c r="AU269" s="112" t="str">
        <f>IF(preDEL!$AG269,IFERROR(0/0,""),preDEL!AU269)</f>
        <v/>
      </c>
      <c r="AV269" s="112" t="str">
        <f>IF(preDEL!$AG269,IFERROR(0/0,""),preDEL!AV269)</f>
        <v/>
      </c>
      <c r="AW269" s="112" t="str">
        <f>IF(preDEL!$AG269,IFERROR(0/0,""),preDEL!AW269)</f>
        <v/>
      </c>
      <c r="AX269" s="112" t="str">
        <f>IF(preDEL!$AG269,IFERROR(0/0,""),preDEL!AX269)</f>
        <v/>
      </c>
      <c r="AY269" s="112" t="str">
        <f>IF(preDEL!$AG269,IFERROR(0/0,""),preDEL!AY269)</f>
        <v/>
      </c>
      <c r="AZ269" s="174"/>
      <c r="BA269" s="174"/>
      <c r="BB269" s="174"/>
      <c r="BC269" s="174"/>
      <c r="BD269" s="174"/>
      <c r="BE269" s="174"/>
      <c r="BF269" s="174"/>
      <c r="BG269" s="174"/>
      <c r="BH269" s="174"/>
      <c r="BI269" s="174"/>
      <c r="BJ269" s="174"/>
      <c r="BK269" s="174"/>
      <c r="BL269" s="174"/>
      <c r="BM269" s="174"/>
      <c r="BN269" s="174"/>
      <c r="BO269" s="174"/>
      <c r="BP269" s="174"/>
      <c r="BQ269" s="174"/>
      <c r="BR269" s="174"/>
      <c r="BS269" s="174"/>
      <c r="BT269" s="174"/>
      <c r="BU269" s="174"/>
      <c r="BV269" s="174"/>
      <c r="BW269" s="174"/>
      <c r="BX269" s="174"/>
      <c r="BY269" s="174"/>
      <c r="BZ269" s="174"/>
      <c r="CA269" s="174"/>
      <c r="CB269" s="174"/>
      <c r="CC269" s="174"/>
      <c r="CD269" s="174"/>
    </row>
    <row r="270">
      <c r="A270" s="105" t="str">
        <f>IF(preDEL!$AG270,IFERROR(0/0,""),preDEL!A270)</f>
        <v>MAX89</v>
      </c>
      <c r="B270" s="170">
        <f>IF(preDEL!$AG270,IFERROR(0/0,""),preDEL!B270)</f>
        <v>44582</v>
      </c>
      <c r="C270" s="171">
        <f>IF(preDEL!$AG270,IFERROR(0/0,""),preDEL!C270)</f>
        <v>0.2869328704</v>
      </c>
      <c r="D270" s="105" t="str">
        <f>IF(preDEL!$AG270,IFERROR(0/0,""),preDEL!D270)</f>
        <v/>
      </c>
      <c r="E270" s="105" t="str">
        <f>IF(preDEL!$AG270,IFERROR(0/0,""),preDEL!E270)</f>
        <v/>
      </c>
      <c r="F270" s="112" t="str">
        <f>IF(preDEL!$AG270,IFERROR(0/0,""),preDEL!F270)</f>
        <v/>
      </c>
      <c r="G270" s="112" t="str">
        <f>IF(preDEL!$AG270,IFERROR(0/0,""),preDEL!G270)</f>
        <v/>
      </c>
      <c r="H270" s="112" t="str">
        <f>IF(preDEL!$AG270,IFERROR(0/0,""),preDEL!H270)</f>
        <v/>
      </c>
      <c r="I270" s="105" t="str">
        <f>IF(preDEL!$AG270,IFERROR(0/0,""),preDEL!I270)</f>
        <v/>
      </c>
      <c r="J270" s="105" t="str">
        <f>IF(preDEL!$AG270,IFERROR(0/0,""),preDEL!J270)</f>
        <v/>
      </c>
      <c r="K270" s="105" t="str">
        <f>IF(preDEL!$AG270,IFERROR(0/0,""),preDEL!K270)</f>
        <v>Positive</v>
      </c>
      <c r="L270" s="170">
        <f>IF(preDEL!$AG270,IFERROR(0/0,""),preDEL!L270)</f>
        <v>44582</v>
      </c>
      <c r="M270" s="171">
        <f>IF(preDEL!$AG270,IFERROR(0/0,""),preDEL!M270)</f>
        <v>0.4884027778</v>
      </c>
      <c r="N270" s="112" t="str">
        <f>IF(preDEL!$AG270,IFERROR(0/0,""),preDEL!N270)</f>
        <v/>
      </c>
      <c r="O270" s="112" t="str">
        <f>IF(preDEL!$AG270,IFERROR(0/0,""),preDEL!O270)</f>
        <v/>
      </c>
      <c r="P270" s="110" t="b">
        <f>IF(preDEL!$AG270,IFERROR(0/0,""),preDEL!P270)</f>
        <v>0</v>
      </c>
      <c r="Q270" s="110" t="str">
        <f>IF(preDEL!$AG270,IFERROR(0/0,""),preDEL!Q270)</f>
        <v>Result</v>
      </c>
      <c r="R270" s="104" t="b">
        <f>IF(preDEL!$AG270,IFERROR(0/0,""),preDEL!R270)</f>
        <v>1</v>
      </c>
      <c r="S270" s="104">
        <f>IF(preDEL!$AG270,IFERROR(0/0,""),preDEL!S270)</f>
        <v>1</v>
      </c>
      <c r="T270" s="110">
        <f>IF(preDEL!$AG270,IFERROR(0/0,""),preDEL!T270)</f>
        <v>0</v>
      </c>
      <c r="U270" s="112" t="str">
        <f>IF(preDEL!$AG270,IFERROR(0/0,""),preDEL!U270)</f>
        <v/>
      </c>
      <c r="V270" s="105" t="str">
        <f>IF(preDEL!$AG270,IFERROR(0/0,""),preDEL!V270)</f>
        <v/>
      </c>
      <c r="W270" s="112" t="str">
        <f>IF(preDEL!$AG270,IFERROR(0/0,""),preDEL!W270)</f>
        <v/>
      </c>
      <c r="X270" s="104" t="b">
        <f>IF(preDEL!$AG270,IFERROR(0/0,""),preDEL!X270)</f>
        <v>0</v>
      </c>
      <c r="Y270" s="110" t="b">
        <f>IF(preDEL!$AG270,IFERROR(0/0,""),preDEL!Y270)</f>
        <v>0</v>
      </c>
      <c r="Z270" s="105" t="str">
        <f>IF(preDEL!$AG270,IFERROR(0/0,""),preDEL!Z270)</f>
        <v/>
      </c>
      <c r="AA270" s="110" t="b">
        <f>IF(preDEL!$AG270,IFERROR(0/0,""),preDEL!AA270)</f>
        <v>0</v>
      </c>
      <c r="AB270" s="110" t="b">
        <f>IF(preDEL!$AG270,IFERROR(0/0,""),preDEL!AB270)</f>
        <v>0</v>
      </c>
      <c r="AC270" s="172">
        <f>IF(preDEL!$AG270,IFERROR(0/0,""),preDEL!AC270)</f>
        <v>536</v>
      </c>
      <c r="AD270" s="104" t="b">
        <f>IF(preDEL!$AG270,IFERROR(0/0,""),preDEL!AD270)</f>
        <v>0</v>
      </c>
      <c r="AE270" s="173">
        <f>IF(preDEL!$AG270,IFERROR(0/0,""),preDEL!AE270)</f>
        <v>290.1166667</v>
      </c>
      <c r="AF270" s="110" t="b">
        <f>IF(preDEL!$AG270,IFERROR(0/0,""),preDEL!AF270)</f>
        <v>0</v>
      </c>
      <c r="AG270" s="110" t="b">
        <f>IF(preDEL!$AG270,IFERROR(0/0,""),preDEL!AG270)</f>
        <v>0</v>
      </c>
      <c r="AH270" s="104" t="str">
        <f>IF(preDEL!$AG270,IFERROR(0/0,""),preDEL!AH270)</f>
        <v/>
      </c>
      <c r="AI270" s="105" t="str">
        <f>IF(preDEL!$AG270,IFERROR(0/0,""),preDEL!AI270)</f>
        <v/>
      </c>
      <c r="AJ270" s="112" t="str">
        <f>IF(preDEL!$AG270,IFERROR(0/0,""),preDEL!AJ270)</f>
        <v/>
      </c>
      <c r="AK270" s="105" t="str">
        <f>IF(preDEL!$AG270,IFERROR(0/0,""),preDEL!AK270)</f>
        <v>Positive</v>
      </c>
      <c r="AL270" s="112" t="str">
        <f>IF(preDEL!$AG270,IFERROR(0/0,""),preDEL!AL270)</f>
        <v/>
      </c>
      <c r="AM270" s="112" t="str">
        <f>IF(preDEL!$AG270,IFERROR(0/0,""),preDEL!AM270)</f>
        <v>SpBEND845568</v>
      </c>
      <c r="AN270" s="112" t="str">
        <f>IF(preDEL!$AG270,IFERROR(0/0,""),preDEL!AN270)</f>
        <v>BEND682107</v>
      </c>
      <c r="AO270" s="112" t="str">
        <f>IF(preDEL!$AG270,IFERROR(0/0,""),preDEL!AO270)</f>
        <v/>
      </c>
      <c r="AP270" s="112" t="str">
        <f>IF(preDEL!$AG270,IFERROR(0/0,""),preDEL!AP270)</f>
        <v/>
      </c>
      <c r="AQ270" s="112" t="str">
        <f>IF(preDEL!$AG270,IFERROR(0/0,""),preDEL!AQ270)</f>
        <v/>
      </c>
      <c r="AR270" s="112" t="str">
        <f>IF(preDEL!$AG270,IFERROR(0/0,""),preDEL!AR270)</f>
        <v/>
      </c>
      <c r="AS270" s="112" t="str">
        <f>IF(preDEL!$AG270,IFERROR(0/0,""),preDEL!AS270)</f>
        <v/>
      </c>
      <c r="AT270" s="112" t="b">
        <f>IF(preDEL!$AG270,IFERROR(0/0,""),preDEL!AT270)</f>
        <v>0</v>
      </c>
      <c r="AU270" s="112" t="str">
        <f>IF(preDEL!$AG270,IFERROR(0/0,""),preDEL!AU270)</f>
        <v/>
      </c>
      <c r="AV270" s="112" t="str">
        <f>IF(preDEL!$AG270,IFERROR(0/0,""),preDEL!AV270)</f>
        <v/>
      </c>
      <c r="AW270" s="112" t="str">
        <f>IF(preDEL!$AG270,IFERROR(0/0,""),preDEL!AW270)</f>
        <v/>
      </c>
      <c r="AX270" s="112" t="str">
        <f>IF(preDEL!$AG270,IFERROR(0/0,""),preDEL!AX270)</f>
        <v/>
      </c>
      <c r="AY270" s="112" t="str">
        <f>IF(preDEL!$AG270,IFERROR(0/0,""),preDEL!AY270)</f>
        <v/>
      </c>
      <c r="AZ270" s="174"/>
      <c r="BA270" s="174"/>
      <c r="BB270" s="174"/>
      <c r="BC270" s="174"/>
      <c r="BD270" s="174"/>
      <c r="BE270" s="174"/>
      <c r="BF270" s="174"/>
      <c r="BG270" s="174"/>
      <c r="BH270" s="174"/>
      <c r="BI270" s="174"/>
      <c r="BJ270" s="174"/>
      <c r="BK270" s="174"/>
      <c r="BL270" s="174"/>
      <c r="BM270" s="174"/>
      <c r="BN270" s="174"/>
      <c r="BO270" s="174"/>
      <c r="BP270" s="174"/>
      <c r="BQ270" s="174"/>
      <c r="BR270" s="174"/>
      <c r="BS270" s="174"/>
      <c r="BT270" s="174"/>
      <c r="BU270" s="174"/>
      <c r="BV270" s="174"/>
      <c r="BW270" s="174"/>
      <c r="BX270" s="174"/>
      <c r="BY270" s="174"/>
      <c r="BZ270" s="174"/>
      <c r="CA270" s="174"/>
      <c r="CB270" s="174"/>
      <c r="CC270" s="174"/>
      <c r="CD270" s="174"/>
    </row>
    <row r="271">
      <c r="A271" s="105" t="str">
        <f>IF(preDEL!$AG271,IFERROR(0/0,""),preDEL!A271)</f>
        <v>MA1151</v>
      </c>
      <c r="B271" s="170">
        <f>IF(preDEL!$AG271,IFERROR(0/0,""),preDEL!B271)</f>
        <v>44582</v>
      </c>
      <c r="C271" s="171">
        <f>IF(preDEL!$AG271,IFERROR(0/0,""),preDEL!C271)</f>
        <v>0.3130092593</v>
      </c>
      <c r="D271" s="105" t="str">
        <f>IF(preDEL!$AG271,IFERROR(0/0,""),preDEL!D271)</f>
        <v/>
      </c>
      <c r="E271" s="105" t="str">
        <f>IF(preDEL!$AG271,IFERROR(0/0,""),preDEL!E271)</f>
        <v/>
      </c>
      <c r="F271" s="112" t="str">
        <f>IF(preDEL!$AG271,IFERROR(0/0,""),preDEL!F271)</f>
        <v/>
      </c>
      <c r="G271" s="112" t="str">
        <f>IF(preDEL!$AG271,IFERROR(0/0,""),preDEL!G271)</f>
        <v/>
      </c>
      <c r="H271" s="112" t="str">
        <f>IF(preDEL!$AG271,IFERROR(0/0,""),preDEL!H271)</f>
        <v/>
      </c>
      <c r="I271" s="105" t="str">
        <f>IF(preDEL!$AG271,IFERROR(0/0,""),preDEL!I271)</f>
        <v/>
      </c>
      <c r="J271" s="105" t="str">
        <f>IF(preDEL!$AG271,IFERROR(0/0,""),preDEL!J271)</f>
        <v/>
      </c>
      <c r="K271" s="105" t="str">
        <f>IF(preDEL!$AG271,IFERROR(0/0,""),preDEL!K271)</f>
        <v>Negative</v>
      </c>
      <c r="L271" s="170">
        <f>IF(preDEL!$AG271,IFERROR(0/0,""),preDEL!L271)</f>
        <v>44582</v>
      </c>
      <c r="M271" s="171">
        <f>IF(preDEL!$AG271,IFERROR(0/0,""),preDEL!M271)</f>
        <v>0.4883912037</v>
      </c>
      <c r="N271" s="112" t="str">
        <f>IF(preDEL!$AG271,IFERROR(0/0,""),preDEL!N271)</f>
        <v/>
      </c>
      <c r="O271" s="112" t="str">
        <f>IF(preDEL!$AG271,IFERROR(0/0,""),preDEL!O271)</f>
        <v/>
      </c>
      <c r="P271" s="110" t="b">
        <f>IF(preDEL!$AG271,IFERROR(0/0,""),preDEL!P271)</f>
        <v>0</v>
      </c>
      <c r="Q271" s="110" t="str">
        <f>IF(preDEL!$AG271,IFERROR(0/0,""),preDEL!Q271)</f>
        <v>Result</v>
      </c>
      <c r="R271" s="104" t="b">
        <f>IF(preDEL!$AG271,IFERROR(0/0,""),preDEL!R271)</f>
        <v>1</v>
      </c>
      <c r="S271" s="104">
        <f>IF(preDEL!$AG271,IFERROR(0/0,""),preDEL!S271)</f>
        <v>1</v>
      </c>
      <c r="T271" s="110" t="str">
        <f>IF(preDEL!$AG271,IFERROR(0/0,""),preDEL!T271)</f>
        <v/>
      </c>
      <c r="U271" s="112" t="str">
        <f>IF(preDEL!$AG271,IFERROR(0/0,""),preDEL!U271)</f>
        <v/>
      </c>
      <c r="V271" s="105" t="str">
        <f>IF(preDEL!$AG271,IFERROR(0/0,""),preDEL!V271)</f>
        <v/>
      </c>
      <c r="W271" s="112" t="str">
        <f>IF(preDEL!$AG271,IFERROR(0/0,""),preDEL!W271)</f>
        <v/>
      </c>
      <c r="X271" s="104" t="b">
        <f>IF(preDEL!$AG271,IFERROR(0/0,""),preDEL!X271)</f>
        <v>0</v>
      </c>
      <c r="Y271" s="110" t="b">
        <f>IF(preDEL!$AG271,IFERROR(0/0,""),preDEL!Y271)</f>
        <v>0</v>
      </c>
      <c r="Z271" s="105" t="str">
        <f>IF(preDEL!$AG271,IFERROR(0/0,""),preDEL!Z271)</f>
        <v/>
      </c>
      <c r="AA271" s="110" t="b">
        <f>IF(preDEL!$AG271,IFERROR(0/0,""),preDEL!AA271)</f>
        <v>0</v>
      </c>
      <c r="AB271" s="110" t="b">
        <f>IF(preDEL!$AG271,IFERROR(0/0,""),preDEL!AB271)</f>
        <v>0</v>
      </c>
      <c r="AC271" s="172">
        <f>IF(preDEL!$AG271,IFERROR(0/0,""),preDEL!AC271)</f>
        <v>535</v>
      </c>
      <c r="AD271" s="104" t="b">
        <f>IF(preDEL!$AG271,IFERROR(0/0,""),preDEL!AD271)</f>
        <v>0</v>
      </c>
      <c r="AE271" s="173">
        <f>IF(preDEL!$AG271,IFERROR(0/0,""),preDEL!AE271)</f>
        <v>252.55</v>
      </c>
      <c r="AF271" s="110" t="b">
        <f>IF(preDEL!$AG271,IFERROR(0/0,""),preDEL!AF271)</f>
        <v>0</v>
      </c>
      <c r="AG271" s="110" t="b">
        <f>IF(preDEL!$AG271,IFERROR(0/0,""),preDEL!AG271)</f>
        <v>0</v>
      </c>
      <c r="AH271" s="104" t="str">
        <f>IF(preDEL!$AG271,IFERROR(0/0,""),preDEL!AH271)</f>
        <v/>
      </c>
      <c r="AI271" s="105" t="str">
        <f>IF(preDEL!$AG271,IFERROR(0/0,""),preDEL!AI271)</f>
        <v/>
      </c>
      <c r="AJ271" s="112" t="str">
        <f>IF(preDEL!$AG271,IFERROR(0/0,""),preDEL!AJ271)</f>
        <v/>
      </c>
      <c r="AK271" s="105" t="str">
        <f>IF(preDEL!$AG271,IFERROR(0/0,""),preDEL!AK271)</f>
        <v>Negative</v>
      </c>
      <c r="AL271" s="112" t="str">
        <f>IF(preDEL!$AG271,IFERROR(0/0,""),preDEL!AL271)</f>
        <v/>
      </c>
      <c r="AM271" s="112" t="str">
        <f>IF(preDEL!$AG271,IFERROR(0/0,""),preDEL!AM271)</f>
        <v>SpBEND985296</v>
      </c>
      <c r="AN271" s="112" t="str">
        <f>IF(preDEL!$AG271,IFERROR(0/0,""),preDEL!AN271)</f>
        <v>BEND326601</v>
      </c>
      <c r="AO271" s="112" t="str">
        <f>IF(preDEL!$AG271,IFERROR(0/0,""),preDEL!AO271)</f>
        <v/>
      </c>
      <c r="AP271" s="112" t="str">
        <f>IF(preDEL!$AG271,IFERROR(0/0,""),preDEL!AP271)</f>
        <v/>
      </c>
      <c r="AQ271" s="112" t="str">
        <f>IF(preDEL!$AG271,IFERROR(0/0,""),preDEL!AQ271)</f>
        <v/>
      </c>
      <c r="AR271" s="112" t="str">
        <f>IF(preDEL!$AG271,IFERROR(0/0,""),preDEL!AR271)</f>
        <v/>
      </c>
      <c r="AS271" s="112" t="str">
        <f>IF(preDEL!$AG271,IFERROR(0/0,""),preDEL!AS271)</f>
        <v/>
      </c>
      <c r="AT271" s="112" t="b">
        <f>IF(preDEL!$AG271,IFERROR(0/0,""),preDEL!AT271)</f>
        <v>0</v>
      </c>
      <c r="AU271" s="112" t="str">
        <f>IF(preDEL!$AG271,IFERROR(0/0,""),preDEL!AU271)</f>
        <v/>
      </c>
      <c r="AV271" s="112" t="str">
        <f>IF(preDEL!$AG271,IFERROR(0/0,""),preDEL!AV271)</f>
        <v/>
      </c>
      <c r="AW271" s="112" t="str">
        <f>IF(preDEL!$AG271,IFERROR(0/0,""),preDEL!AW271)</f>
        <v/>
      </c>
      <c r="AX271" s="112" t="str">
        <f>IF(preDEL!$AG271,IFERROR(0/0,""),preDEL!AX271)</f>
        <v/>
      </c>
      <c r="AY271" s="112" t="str">
        <f>IF(preDEL!$AG271,IFERROR(0/0,""),preDEL!AY271)</f>
        <v/>
      </c>
      <c r="AZ271" s="174"/>
      <c r="BA271" s="174"/>
      <c r="BB271" s="174"/>
      <c r="BC271" s="174"/>
      <c r="BD271" s="174"/>
      <c r="BE271" s="174"/>
      <c r="BF271" s="174"/>
      <c r="BG271" s="174"/>
      <c r="BH271" s="174"/>
      <c r="BI271" s="174"/>
      <c r="BJ271" s="174"/>
      <c r="BK271" s="174"/>
      <c r="BL271" s="174"/>
      <c r="BM271" s="174"/>
      <c r="BN271" s="174"/>
      <c r="BO271" s="174"/>
      <c r="BP271" s="174"/>
      <c r="BQ271" s="174"/>
      <c r="BR271" s="174"/>
      <c r="BS271" s="174"/>
      <c r="BT271" s="174"/>
      <c r="BU271" s="174"/>
      <c r="BV271" s="174"/>
      <c r="BW271" s="174"/>
      <c r="BX271" s="174"/>
      <c r="BY271" s="174"/>
      <c r="BZ271" s="174"/>
      <c r="CA271" s="174"/>
      <c r="CB271" s="174"/>
      <c r="CC271" s="174"/>
      <c r="CD271" s="174"/>
    </row>
    <row r="272">
      <c r="A272" s="105" t="str">
        <f>IF(preDEL!$AG272,IFERROR(0/0,""),preDEL!A272)</f>
        <v>MA1053</v>
      </c>
      <c r="B272" s="170">
        <f>IF(preDEL!$AG272,IFERROR(0/0,""),preDEL!B272)</f>
        <v>44582</v>
      </c>
      <c r="C272" s="171">
        <f>IF(preDEL!$AG272,IFERROR(0/0,""),preDEL!C272)</f>
        <v>0.3404861111</v>
      </c>
      <c r="D272" s="105" t="str">
        <f>IF(preDEL!$AG272,IFERROR(0/0,""),preDEL!D272)</f>
        <v/>
      </c>
      <c r="E272" s="105" t="str">
        <f>IF(preDEL!$AG272,IFERROR(0/0,""),preDEL!E272)</f>
        <v/>
      </c>
      <c r="F272" s="112" t="str">
        <f>IF(preDEL!$AG272,IFERROR(0/0,""),preDEL!F272)</f>
        <v/>
      </c>
      <c r="G272" s="112" t="str">
        <f>IF(preDEL!$AG272,IFERROR(0/0,""),preDEL!G272)</f>
        <v/>
      </c>
      <c r="H272" s="112" t="str">
        <f>IF(preDEL!$AG272,IFERROR(0/0,""),preDEL!H272)</f>
        <v/>
      </c>
      <c r="I272" s="105" t="str">
        <f>IF(preDEL!$AG272,IFERROR(0/0,""),preDEL!I272)</f>
        <v/>
      </c>
      <c r="J272" s="105" t="str">
        <f>IF(preDEL!$AG272,IFERROR(0/0,""),preDEL!J272)</f>
        <v/>
      </c>
      <c r="K272" s="105" t="str">
        <f>IF(preDEL!$AG272,IFERROR(0/0,""),preDEL!K272)</f>
        <v>Negative</v>
      </c>
      <c r="L272" s="170">
        <f>IF(preDEL!$AG272,IFERROR(0/0,""),preDEL!L272)</f>
        <v>44582</v>
      </c>
      <c r="M272" s="171">
        <f>IF(preDEL!$AG272,IFERROR(0/0,""),preDEL!M272)</f>
        <v>0.4883912037</v>
      </c>
      <c r="N272" s="112" t="str">
        <f>IF(preDEL!$AG272,IFERROR(0/0,""),preDEL!N272)</f>
        <v/>
      </c>
      <c r="O272" s="112" t="str">
        <f>IF(preDEL!$AG272,IFERROR(0/0,""),preDEL!O272)</f>
        <v/>
      </c>
      <c r="P272" s="110" t="b">
        <f>IF(preDEL!$AG272,IFERROR(0/0,""),preDEL!P272)</f>
        <v>0</v>
      </c>
      <c r="Q272" s="110" t="str">
        <f>IF(preDEL!$AG272,IFERROR(0/0,""),preDEL!Q272)</f>
        <v>Result</v>
      </c>
      <c r="R272" s="104" t="b">
        <f>IF(preDEL!$AG272,IFERROR(0/0,""),preDEL!R272)</f>
        <v>1</v>
      </c>
      <c r="S272" s="104">
        <f>IF(preDEL!$AG272,IFERROR(0/0,""),preDEL!S272)</f>
        <v>1</v>
      </c>
      <c r="T272" s="110">
        <f>IF(preDEL!$AG272,IFERROR(0/0,""),preDEL!T272)</f>
        <v>0</v>
      </c>
      <c r="U272" s="112" t="str">
        <f>IF(preDEL!$AG272,IFERROR(0/0,""),preDEL!U272)</f>
        <v/>
      </c>
      <c r="V272" s="105" t="str">
        <f>IF(preDEL!$AG272,IFERROR(0/0,""),preDEL!V272)</f>
        <v/>
      </c>
      <c r="W272" s="112" t="str">
        <f>IF(preDEL!$AG272,IFERROR(0/0,""),preDEL!W272)</f>
        <v/>
      </c>
      <c r="X272" s="104" t="b">
        <f>IF(preDEL!$AG272,IFERROR(0/0,""),preDEL!X272)</f>
        <v>0</v>
      </c>
      <c r="Y272" s="110" t="b">
        <f>IF(preDEL!$AG272,IFERROR(0/0,""),preDEL!Y272)</f>
        <v>0</v>
      </c>
      <c r="Z272" s="105" t="str">
        <f>IF(preDEL!$AG272,IFERROR(0/0,""),preDEL!Z272)</f>
        <v/>
      </c>
      <c r="AA272" s="110" t="b">
        <f>IF(preDEL!$AG272,IFERROR(0/0,""),preDEL!AA272)</f>
        <v>0</v>
      </c>
      <c r="AB272" s="110" t="b">
        <f>IF(preDEL!$AG272,IFERROR(0/0,""),preDEL!AB272)</f>
        <v>0</v>
      </c>
      <c r="AC272" s="172">
        <f>IF(preDEL!$AG272,IFERROR(0/0,""),preDEL!AC272)</f>
        <v>534</v>
      </c>
      <c r="AD272" s="104" t="b">
        <f>IF(preDEL!$AG272,IFERROR(0/0,""),preDEL!AD272)</f>
        <v>0</v>
      </c>
      <c r="AE272" s="173">
        <f>IF(preDEL!$AG272,IFERROR(0/0,""),preDEL!AE272)</f>
        <v>212.9833333</v>
      </c>
      <c r="AF272" s="110" t="b">
        <f>IF(preDEL!$AG272,IFERROR(0/0,""),preDEL!AF272)</f>
        <v>0</v>
      </c>
      <c r="AG272" s="110" t="b">
        <f>IF(preDEL!$AG272,IFERROR(0/0,""),preDEL!AG272)</f>
        <v>0</v>
      </c>
      <c r="AH272" s="104" t="str">
        <f>IF(preDEL!$AG272,IFERROR(0/0,""),preDEL!AH272)</f>
        <v/>
      </c>
      <c r="AI272" s="105" t="str">
        <f>IF(preDEL!$AG272,IFERROR(0/0,""),preDEL!AI272)</f>
        <v/>
      </c>
      <c r="AJ272" s="112" t="str">
        <f>IF(preDEL!$AG272,IFERROR(0/0,""),preDEL!AJ272)</f>
        <v/>
      </c>
      <c r="AK272" s="105" t="str">
        <f>IF(preDEL!$AG272,IFERROR(0/0,""),preDEL!AK272)</f>
        <v>Negative</v>
      </c>
      <c r="AL272" s="112" t="str">
        <f>IF(preDEL!$AG272,IFERROR(0/0,""),preDEL!AL272)</f>
        <v/>
      </c>
      <c r="AM272" s="112" t="str">
        <f>IF(preDEL!$AG272,IFERROR(0/0,""),preDEL!AM272)</f>
        <v>SpBEND551372</v>
      </c>
      <c r="AN272" s="112" t="str">
        <f>IF(preDEL!$AG272,IFERROR(0/0,""),preDEL!AN272)</f>
        <v>BEND628988</v>
      </c>
      <c r="AO272" s="112" t="str">
        <f>IF(preDEL!$AG272,IFERROR(0/0,""),preDEL!AO272)</f>
        <v/>
      </c>
      <c r="AP272" s="112" t="str">
        <f>IF(preDEL!$AG272,IFERROR(0/0,""),preDEL!AP272)</f>
        <v/>
      </c>
      <c r="AQ272" s="112" t="str">
        <f>IF(preDEL!$AG272,IFERROR(0/0,""),preDEL!AQ272)</f>
        <v/>
      </c>
      <c r="AR272" s="112" t="str">
        <f>IF(preDEL!$AG272,IFERROR(0/0,""),preDEL!AR272)</f>
        <v/>
      </c>
      <c r="AS272" s="112" t="str">
        <f>IF(preDEL!$AG272,IFERROR(0/0,""),preDEL!AS272)</f>
        <v/>
      </c>
      <c r="AT272" s="112" t="b">
        <f>IF(preDEL!$AG272,IFERROR(0/0,""),preDEL!AT272)</f>
        <v>0</v>
      </c>
      <c r="AU272" s="112" t="str">
        <f>IF(preDEL!$AG272,IFERROR(0/0,""),preDEL!AU272)</f>
        <v/>
      </c>
      <c r="AV272" s="112" t="str">
        <f>IF(preDEL!$AG272,IFERROR(0/0,""),preDEL!AV272)</f>
        <v/>
      </c>
      <c r="AW272" s="112" t="str">
        <f>IF(preDEL!$AG272,IFERROR(0/0,""),preDEL!AW272)</f>
        <v/>
      </c>
      <c r="AX272" s="112" t="str">
        <f>IF(preDEL!$AG272,IFERROR(0/0,""),preDEL!AX272)</f>
        <v/>
      </c>
      <c r="AY272" s="112" t="str">
        <f>IF(preDEL!$AG272,IFERROR(0/0,""),preDEL!AY272)</f>
        <v/>
      </c>
      <c r="AZ272" s="174"/>
      <c r="BA272" s="174"/>
      <c r="BB272" s="174"/>
      <c r="BC272" s="174"/>
      <c r="BD272" s="174"/>
      <c r="BE272" s="174"/>
      <c r="BF272" s="174"/>
      <c r="BG272" s="174"/>
      <c r="BH272" s="174"/>
      <c r="BI272" s="174"/>
      <c r="BJ272" s="174"/>
      <c r="BK272" s="174"/>
      <c r="BL272" s="174"/>
      <c r="BM272" s="174"/>
      <c r="BN272" s="174"/>
      <c r="BO272" s="174"/>
      <c r="BP272" s="174"/>
      <c r="BQ272" s="174"/>
      <c r="BR272" s="174"/>
      <c r="BS272" s="174"/>
      <c r="BT272" s="174"/>
      <c r="BU272" s="174"/>
      <c r="BV272" s="174"/>
      <c r="BW272" s="174"/>
      <c r="BX272" s="174"/>
      <c r="BY272" s="174"/>
      <c r="BZ272" s="174"/>
      <c r="CA272" s="174"/>
      <c r="CB272" s="174"/>
      <c r="CC272" s="174"/>
      <c r="CD272" s="174"/>
    </row>
    <row r="273">
      <c r="A273" s="105" t="str">
        <f>IF(preDEL!$AG273,IFERROR(0/0,""),preDEL!A273)</f>
        <v>MA1048</v>
      </c>
      <c r="B273" s="170">
        <f>IF(preDEL!$AG273,IFERROR(0/0,""),preDEL!B273)</f>
        <v>44582</v>
      </c>
      <c r="C273" s="171">
        <f>IF(preDEL!$AG273,IFERROR(0/0,""),preDEL!C273)</f>
        <v>0.341400463</v>
      </c>
      <c r="D273" s="105" t="str">
        <f>IF(preDEL!$AG273,IFERROR(0/0,""),preDEL!D273)</f>
        <v/>
      </c>
      <c r="E273" s="105" t="str">
        <f>IF(preDEL!$AG273,IFERROR(0/0,""),preDEL!E273)</f>
        <v/>
      </c>
      <c r="F273" s="112" t="str">
        <f>IF(preDEL!$AG273,IFERROR(0/0,""),preDEL!F273)</f>
        <v/>
      </c>
      <c r="G273" s="112" t="str">
        <f>IF(preDEL!$AG273,IFERROR(0/0,""),preDEL!G273)</f>
        <v/>
      </c>
      <c r="H273" s="112" t="str">
        <f>IF(preDEL!$AG273,IFERROR(0/0,""),preDEL!H273)</f>
        <v/>
      </c>
      <c r="I273" s="105" t="str">
        <f>IF(preDEL!$AG273,IFERROR(0/0,""),preDEL!I273)</f>
        <v/>
      </c>
      <c r="J273" s="105" t="str">
        <f>IF(preDEL!$AG273,IFERROR(0/0,""),preDEL!J273)</f>
        <v/>
      </c>
      <c r="K273" s="105" t="str">
        <f>IF(preDEL!$AG273,IFERROR(0/0,""),preDEL!K273)</f>
        <v>Negative</v>
      </c>
      <c r="L273" s="170">
        <f>IF(preDEL!$AG273,IFERROR(0/0,""),preDEL!L273)</f>
        <v>44582</v>
      </c>
      <c r="M273" s="171">
        <f>IF(preDEL!$AG273,IFERROR(0/0,""),preDEL!M273)</f>
        <v>0.4884027778</v>
      </c>
      <c r="N273" s="112" t="str">
        <f>IF(preDEL!$AG273,IFERROR(0/0,""),preDEL!N273)</f>
        <v/>
      </c>
      <c r="O273" s="112" t="str">
        <f>IF(preDEL!$AG273,IFERROR(0/0,""),preDEL!O273)</f>
        <v/>
      </c>
      <c r="P273" s="110" t="b">
        <f>IF(preDEL!$AG273,IFERROR(0/0,""),preDEL!P273)</f>
        <v>0</v>
      </c>
      <c r="Q273" s="110" t="str">
        <f>IF(preDEL!$AG273,IFERROR(0/0,""),preDEL!Q273)</f>
        <v>Result</v>
      </c>
      <c r="R273" s="104" t="b">
        <f>IF(preDEL!$AG273,IFERROR(0/0,""),preDEL!R273)</f>
        <v>1</v>
      </c>
      <c r="S273" s="104">
        <f>IF(preDEL!$AG273,IFERROR(0/0,""),preDEL!S273)</f>
        <v>1</v>
      </c>
      <c r="T273" s="110" t="str">
        <f>IF(preDEL!$AG273,IFERROR(0/0,""),preDEL!T273)</f>
        <v/>
      </c>
      <c r="U273" s="112" t="str">
        <f>IF(preDEL!$AG273,IFERROR(0/0,""),preDEL!U273)</f>
        <v/>
      </c>
      <c r="V273" s="105" t="str">
        <f>IF(preDEL!$AG273,IFERROR(0/0,""),preDEL!V273)</f>
        <v/>
      </c>
      <c r="W273" s="112" t="str">
        <f>IF(preDEL!$AG273,IFERROR(0/0,""),preDEL!W273)</f>
        <v/>
      </c>
      <c r="X273" s="104" t="b">
        <f>IF(preDEL!$AG273,IFERROR(0/0,""),preDEL!X273)</f>
        <v>0</v>
      </c>
      <c r="Y273" s="110" t="b">
        <f>IF(preDEL!$AG273,IFERROR(0/0,""),preDEL!Y273)</f>
        <v>0</v>
      </c>
      <c r="Z273" s="105" t="str">
        <f>IF(preDEL!$AG273,IFERROR(0/0,""),preDEL!Z273)</f>
        <v/>
      </c>
      <c r="AA273" s="110" t="b">
        <f>IF(preDEL!$AG273,IFERROR(0/0,""),preDEL!AA273)</f>
        <v>0</v>
      </c>
      <c r="AB273" s="110" t="b">
        <f>IF(preDEL!$AG273,IFERROR(0/0,""),preDEL!AB273)</f>
        <v>0</v>
      </c>
      <c r="AC273" s="172">
        <f>IF(preDEL!$AG273,IFERROR(0/0,""),preDEL!AC273)</f>
        <v>533</v>
      </c>
      <c r="AD273" s="104" t="b">
        <f>IF(preDEL!$AG273,IFERROR(0/0,""),preDEL!AD273)</f>
        <v>0</v>
      </c>
      <c r="AE273" s="173">
        <f>IF(preDEL!$AG273,IFERROR(0/0,""),preDEL!AE273)</f>
        <v>211.6833333</v>
      </c>
      <c r="AF273" s="110" t="b">
        <f>IF(preDEL!$AG273,IFERROR(0/0,""),preDEL!AF273)</f>
        <v>0</v>
      </c>
      <c r="AG273" s="110" t="b">
        <f>IF(preDEL!$AG273,IFERROR(0/0,""),preDEL!AG273)</f>
        <v>0</v>
      </c>
      <c r="AH273" s="104" t="str">
        <f>IF(preDEL!$AG273,IFERROR(0/0,""),preDEL!AH273)</f>
        <v/>
      </c>
      <c r="AI273" s="105" t="str">
        <f>IF(preDEL!$AG273,IFERROR(0/0,""),preDEL!AI273)</f>
        <v/>
      </c>
      <c r="AJ273" s="112" t="str">
        <f>IF(preDEL!$AG273,IFERROR(0/0,""),preDEL!AJ273)</f>
        <v/>
      </c>
      <c r="AK273" s="105" t="str">
        <f>IF(preDEL!$AG273,IFERROR(0/0,""),preDEL!AK273)</f>
        <v>Negative</v>
      </c>
      <c r="AL273" s="112" t="str">
        <f>IF(preDEL!$AG273,IFERROR(0/0,""),preDEL!AL273)</f>
        <v/>
      </c>
      <c r="AM273" s="112" t="str">
        <f>IF(preDEL!$AG273,IFERROR(0/0,""),preDEL!AM273)</f>
        <v>SpBEND551372</v>
      </c>
      <c r="AN273" s="112" t="str">
        <f>IF(preDEL!$AG273,IFERROR(0/0,""),preDEL!AN273)</f>
        <v>BEND475899</v>
      </c>
      <c r="AO273" s="112" t="str">
        <f>IF(preDEL!$AG273,IFERROR(0/0,""),preDEL!AO273)</f>
        <v/>
      </c>
      <c r="AP273" s="112" t="str">
        <f>IF(preDEL!$AG273,IFERROR(0/0,""),preDEL!AP273)</f>
        <v/>
      </c>
      <c r="AQ273" s="112" t="str">
        <f>IF(preDEL!$AG273,IFERROR(0/0,""),preDEL!AQ273)</f>
        <v/>
      </c>
      <c r="AR273" s="112" t="str">
        <f>IF(preDEL!$AG273,IFERROR(0/0,""),preDEL!AR273)</f>
        <v/>
      </c>
      <c r="AS273" s="112" t="str">
        <f>IF(preDEL!$AG273,IFERROR(0/0,""),preDEL!AS273)</f>
        <v/>
      </c>
      <c r="AT273" s="112" t="b">
        <f>IF(preDEL!$AG273,IFERROR(0/0,""),preDEL!AT273)</f>
        <v>0</v>
      </c>
      <c r="AU273" s="112" t="str">
        <f>IF(preDEL!$AG273,IFERROR(0/0,""),preDEL!AU273)</f>
        <v/>
      </c>
      <c r="AV273" s="112" t="str">
        <f>IF(preDEL!$AG273,IFERROR(0/0,""),preDEL!AV273)</f>
        <v/>
      </c>
      <c r="AW273" s="112" t="str">
        <f>IF(preDEL!$AG273,IFERROR(0/0,""),preDEL!AW273)</f>
        <v/>
      </c>
      <c r="AX273" s="112" t="str">
        <f>IF(preDEL!$AG273,IFERROR(0/0,""),preDEL!AX273)</f>
        <v/>
      </c>
      <c r="AY273" s="112" t="str">
        <f>IF(preDEL!$AG273,IFERROR(0/0,""),preDEL!AY273)</f>
        <v/>
      </c>
      <c r="AZ273" s="174"/>
      <c r="BA273" s="174"/>
      <c r="BB273" s="174"/>
      <c r="BC273" s="174"/>
      <c r="BD273" s="174"/>
      <c r="BE273" s="174"/>
      <c r="BF273" s="174"/>
      <c r="BG273" s="174"/>
      <c r="BH273" s="174"/>
      <c r="BI273" s="174"/>
      <c r="BJ273" s="174"/>
      <c r="BK273" s="174"/>
      <c r="BL273" s="174"/>
      <c r="BM273" s="174"/>
      <c r="BN273" s="174"/>
      <c r="BO273" s="174"/>
      <c r="BP273" s="174"/>
      <c r="BQ273" s="174"/>
      <c r="BR273" s="174"/>
      <c r="BS273" s="174"/>
      <c r="BT273" s="174"/>
      <c r="BU273" s="174"/>
      <c r="BV273" s="174"/>
      <c r="BW273" s="174"/>
      <c r="BX273" s="174"/>
      <c r="BY273" s="174"/>
      <c r="BZ273" s="174"/>
      <c r="CA273" s="174"/>
      <c r="CB273" s="174"/>
      <c r="CC273" s="174"/>
      <c r="CD273" s="174"/>
    </row>
    <row r="274">
      <c r="A274" s="105" t="str">
        <f>IF(preDEL!$AG274,IFERROR(0/0,""),preDEL!A274)</f>
        <v>MA376</v>
      </c>
      <c r="B274" s="170">
        <f>IF(preDEL!$AG274,IFERROR(0/0,""),preDEL!B274)</f>
        <v>44582</v>
      </c>
      <c r="C274" s="171">
        <f>IF(preDEL!$AG274,IFERROR(0/0,""),preDEL!C274)</f>
        <v>0.3501967593</v>
      </c>
      <c r="D274" s="105" t="str">
        <f>IF(preDEL!$AG274,IFERROR(0/0,""),preDEL!D274)</f>
        <v/>
      </c>
      <c r="E274" s="105" t="str">
        <f>IF(preDEL!$AG274,IFERROR(0/0,""),preDEL!E274)</f>
        <v/>
      </c>
      <c r="F274" s="112" t="str">
        <f>IF(preDEL!$AG274,IFERROR(0/0,""),preDEL!F274)</f>
        <v/>
      </c>
      <c r="G274" s="112" t="str">
        <f>IF(preDEL!$AG274,IFERROR(0/0,""),preDEL!G274)</f>
        <v/>
      </c>
      <c r="H274" s="112" t="str">
        <f>IF(preDEL!$AG274,IFERROR(0/0,""),preDEL!H274)</f>
        <v/>
      </c>
      <c r="I274" s="105" t="str">
        <f>IF(preDEL!$AG274,IFERROR(0/0,""),preDEL!I274)</f>
        <v/>
      </c>
      <c r="J274" s="105" t="str">
        <f>IF(preDEL!$AG274,IFERROR(0/0,""),preDEL!J274)</f>
        <v/>
      </c>
      <c r="K274" s="105" t="str">
        <f>IF(preDEL!$AG274,IFERROR(0/0,""),preDEL!K274)</f>
        <v>Negative</v>
      </c>
      <c r="L274" s="170">
        <f>IF(preDEL!$AG274,IFERROR(0/0,""),preDEL!L274)</f>
        <v>44582</v>
      </c>
      <c r="M274" s="171">
        <f>IF(preDEL!$AG274,IFERROR(0/0,""),preDEL!M274)</f>
        <v>0.4884027778</v>
      </c>
      <c r="N274" s="112" t="str">
        <f>IF(preDEL!$AG274,IFERROR(0/0,""),preDEL!N274)</f>
        <v/>
      </c>
      <c r="O274" s="112" t="str">
        <f>IF(preDEL!$AG274,IFERROR(0/0,""),preDEL!O274)</f>
        <v/>
      </c>
      <c r="P274" s="110" t="b">
        <f>IF(preDEL!$AG274,IFERROR(0/0,""),preDEL!P274)</f>
        <v>0</v>
      </c>
      <c r="Q274" s="110" t="str">
        <f>IF(preDEL!$AG274,IFERROR(0/0,""),preDEL!Q274)</f>
        <v>Result</v>
      </c>
      <c r="R274" s="104" t="b">
        <f>IF(preDEL!$AG274,IFERROR(0/0,""),preDEL!R274)</f>
        <v>1</v>
      </c>
      <c r="S274" s="104">
        <f>IF(preDEL!$AG274,IFERROR(0/0,""),preDEL!S274)</f>
        <v>1</v>
      </c>
      <c r="T274" s="110" t="str">
        <f>IF(preDEL!$AG274,IFERROR(0/0,""),preDEL!T274)</f>
        <v/>
      </c>
      <c r="U274" s="112" t="str">
        <f>IF(preDEL!$AG274,IFERROR(0/0,""),preDEL!U274)</f>
        <v/>
      </c>
      <c r="V274" s="105" t="str">
        <f>IF(preDEL!$AG274,IFERROR(0/0,""),preDEL!V274)</f>
        <v/>
      </c>
      <c r="W274" s="112" t="str">
        <f>IF(preDEL!$AG274,IFERROR(0/0,""),preDEL!W274)</f>
        <v/>
      </c>
      <c r="X274" s="104" t="b">
        <f>IF(preDEL!$AG274,IFERROR(0/0,""),preDEL!X274)</f>
        <v>0</v>
      </c>
      <c r="Y274" s="110" t="b">
        <f>IF(preDEL!$AG274,IFERROR(0/0,""),preDEL!Y274)</f>
        <v>0</v>
      </c>
      <c r="Z274" s="105" t="str">
        <f>IF(preDEL!$AG274,IFERROR(0/0,""),preDEL!Z274)</f>
        <v/>
      </c>
      <c r="AA274" s="110" t="b">
        <f>IF(preDEL!$AG274,IFERROR(0/0,""),preDEL!AA274)</f>
        <v>0</v>
      </c>
      <c r="AB274" s="110" t="b">
        <f>IF(preDEL!$AG274,IFERROR(0/0,""),preDEL!AB274)</f>
        <v>0</v>
      </c>
      <c r="AC274" s="172">
        <f>IF(preDEL!$AG274,IFERROR(0/0,""),preDEL!AC274)</f>
        <v>532</v>
      </c>
      <c r="AD274" s="104" t="b">
        <f>IF(preDEL!$AG274,IFERROR(0/0,""),preDEL!AD274)</f>
        <v>0</v>
      </c>
      <c r="AE274" s="173">
        <f>IF(preDEL!$AG274,IFERROR(0/0,""),preDEL!AE274)</f>
        <v>199.0166667</v>
      </c>
      <c r="AF274" s="110" t="b">
        <f>IF(preDEL!$AG274,IFERROR(0/0,""),preDEL!AF274)</f>
        <v>0</v>
      </c>
      <c r="AG274" s="110" t="b">
        <f>IF(preDEL!$AG274,IFERROR(0/0,""),preDEL!AG274)</f>
        <v>0</v>
      </c>
      <c r="AH274" s="104" t="str">
        <f>IF(preDEL!$AG274,IFERROR(0/0,""),preDEL!AH274)</f>
        <v/>
      </c>
      <c r="AI274" s="105" t="str">
        <f>IF(preDEL!$AG274,IFERROR(0/0,""),preDEL!AI274)</f>
        <v/>
      </c>
      <c r="AJ274" s="112" t="str">
        <f>IF(preDEL!$AG274,IFERROR(0/0,""),preDEL!AJ274)</f>
        <v/>
      </c>
      <c r="AK274" s="105" t="str">
        <f>IF(preDEL!$AG274,IFERROR(0/0,""),preDEL!AK274)</f>
        <v>Negative</v>
      </c>
      <c r="AL274" s="112" t="str">
        <f>IF(preDEL!$AG274,IFERROR(0/0,""),preDEL!AL274)</f>
        <v/>
      </c>
      <c r="AM274" s="112" t="str">
        <f>IF(preDEL!$AG274,IFERROR(0/0,""),preDEL!AM274)</f>
        <v>SpBEND721986</v>
      </c>
      <c r="AN274" s="112" t="str">
        <f>IF(preDEL!$AG274,IFERROR(0/0,""),preDEL!AN274)</f>
        <v>BEND127889</v>
      </c>
      <c r="AO274" s="112" t="str">
        <f>IF(preDEL!$AG274,IFERROR(0/0,""),preDEL!AO274)</f>
        <v/>
      </c>
      <c r="AP274" s="112" t="str">
        <f>IF(preDEL!$AG274,IFERROR(0/0,""),preDEL!AP274)</f>
        <v/>
      </c>
      <c r="AQ274" s="112" t="str">
        <f>IF(preDEL!$AG274,IFERROR(0/0,""),preDEL!AQ274)</f>
        <v/>
      </c>
      <c r="AR274" s="112" t="str">
        <f>IF(preDEL!$AG274,IFERROR(0/0,""),preDEL!AR274)</f>
        <v/>
      </c>
      <c r="AS274" s="112" t="str">
        <f>IF(preDEL!$AG274,IFERROR(0/0,""),preDEL!AS274)</f>
        <v/>
      </c>
      <c r="AT274" s="112" t="b">
        <f>IF(preDEL!$AG274,IFERROR(0/0,""),preDEL!AT274)</f>
        <v>0</v>
      </c>
      <c r="AU274" s="112" t="str">
        <f>IF(preDEL!$AG274,IFERROR(0/0,""),preDEL!AU274)</f>
        <v/>
      </c>
      <c r="AV274" s="112" t="str">
        <f>IF(preDEL!$AG274,IFERROR(0/0,""),preDEL!AV274)</f>
        <v/>
      </c>
      <c r="AW274" s="112" t="str">
        <f>IF(preDEL!$AG274,IFERROR(0/0,""),preDEL!AW274)</f>
        <v/>
      </c>
      <c r="AX274" s="112" t="str">
        <f>IF(preDEL!$AG274,IFERROR(0/0,""),preDEL!AX274)</f>
        <v/>
      </c>
      <c r="AY274" s="112" t="str">
        <f>IF(preDEL!$AG274,IFERROR(0/0,""),preDEL!AY274)</f>
        <v/>
      </c>
      <c r="AZ274" s="174"/>
      <c r="BA274" s="174"/>
      <c r="BB274" s="174"/>
      <c r="BC274" s="174"/>
      <c r="BD274" s="174"/>
      <c r="BE274" s="174"/>
      <c r="BF274" s="174"/>
      <c r="BG274" s="174"/>
      <c r="BH274" s="174"/>
      <c r="BI274" s="174"/>
      <c r="BJ274" s="174"/>
      <c r="BK274" s="174"/>
      <c r="BL274" s="174"/>
      <c r="BM274" s="174"/>
      <c r="BN274" s="174"/>
      <c r="BO274" s="174"/>
      <c r="BP274" s="174"/>
      <c r="BQ274" s="174"/>
      <c r="BR274" s="174"/>
      <c r="BS274" s="174"/>
      <c r="BT274" s="174"/>
      <c r="BU274" s="174"/>
      <c r="BV274" s="174"/>
      <c r="BW274" s="174"/>
      <c r="BX274" s="174"/>
      <c r="BY274" s="174"/>
      <c r="BZ274" s="174"/>
      <c r="CA274" s="174"/>
      <c r="CB274" s="174"/>
      <c r="CC274" s="174"/>
      <c r="CD274" s="174"/>
    </row>
    <row r="275">
      <c r="A275" s="105" t="str">
        <f>IF(preDEL!$AG275,IFERROR(0/0,""),preDEL!A275)</f>
        <v>MA1300</v>
      </c>
      <c r="B275" s="170">
        <f>IF(preDEL!$AG275,IFERROR(0/0,""),preDEL!B275)</f>
        <v>44582</v>
      </c>
      <c r="C275" s="171">
        <f>IF(preDEL!$AG275,IFERROR(0/0,""),preDEL!C275)</f>
        <v>0.3508796296</v>
      </c>
      <c r="D275" s="105" t="str">
        <f>IF(preDEL!$AG275,IFERROR(0/0,""),preDEL!D275)</f>
        <v/>
      </c>
      <c r="E275" s="105" t="str">
        <f>IF(preDEL!$AG275,IFERROR(0/0,""),preDEL!E275)</f>
        <v/>
      </c>
      <c r="F275" s="112" t="str">
        <f>IF(preDEL!$AG275,IFERROR(0/0,""),preDEL!F275)</f>
        <v/>
      </c>
      <c r="G275" s="112" t="str">
        <f>IF(preDEL!$AG275,IFERROR(0/0,""),preDEL!G275)</f>
        <v/>
      </c>
      <c r="H275" s="112" t="str">
        <f>IF(preDEL!$AG275,IFERROR(0/0,""),preDEL!H275)</f>
        <v/>
      </c>
      <c r="I275" s="175" t="str">
        <f>IF(preDEL!$AG275,IFERROR(0/0,""),preDEL!I275)</f>
        <v/>
      </c>
      <c r="J275" s="105" t="str">
        <f>IF(preDEL!$AG275,IFERROR(0/0,""),preDEL!J275)</f>
        <v/>
      </c>
      <c r="K275" s="105" t="str">
        <f>IF(preDEL!$AG275,IFERROR(0/0,""),preDEL!K275)</f>
        <v>Negative</v>
      </c>
      <c r="L275" s="170">
        <f>IF(preDEL!$AG275,IFERROR(0/0,""),preDEL!L275)</f>
        <v>44582</v>
      </c>
      <c r="M275" s="171">
        <f>IF(preDEL!$AG275,IFERROR(0/0,""),preDEL!M275)</f>
        <v>0.4884027778</v>
      </c>
      <c r="N275" s="112" t="str">
        <f>IF(preDEL!$AG275,IFERROR(0/0,""),preDEL!N275)</f>
        <v>Primary</v>
      </c>
      <c r="O275" s="112" t="str">
        <f>IF(preDEL!$AG275,IFERROR(0/0,""),preDEL!O275)</f>
        <v/>
      </c>
      <c r="P275" s="110" t="b">
        <f>IF(preDEL!$AG275,IFERROR(0/0,""),preDEL!P275)</f>
        <v>0</v>
      </c>
      <c r="Q275" s="110" t="str">
        <f>IF(preDEL!$AG275,IFERROR(0/0,""),preDEL!Q275)</f>
        <v>Result</v>
      </c>
      <c r="R275" s="104" t="b">
        <f>IF(preDEL!$AG275,IFERROR(0/0,""),preDEL!R275)</f>
        <v>1</v>
      </c>
      <c r="S275" s="104">
        <f>IF(preDEL!$AG275,IFERROR(0/0,""),preDEL!S275)</f>
        <v>1</v>
      </c>
      <c r="T275" s="110">
        <f>IF(preDEL!$AG275,IFERROR(0/0,""),preDEL!T275)</f>
        <v>0</v>
      </c>
      <c r="U275" s="112" t="str">
        <f>IF(preDEL!$AG275,IFERROR(0/0,""),preDEL!U275)</f>
        <v/>
      </c>
      <c r="V275" s="105" t="str">
        <f>IF(preDEL!$AG275,IFERROR(0/0,""),preDEL!V275)</f>
        <v/>
      </c>
      <c r="W275" s="112" t="str">
        <f>IF(preDEL!$AG275,IFERROR(0/0,""),preDEL!W275)</f>
        <v/>
      </c>
      <c r="X275" s="104" t="b">
        <f>IF(preDEL!$AG275,IFERROR(0/0,""),preDEL!X275)</f>
        <v>0</v>
      </c>
      <c r="Y275" s="110" t="b">
        <f>IF(preDEL!$AG275,IFERROR(0/0,""),preDEL!Y275)</f>
        <v>0</v>
      </c>
      <c r="Z275" s="105" t="str">
        <f>IF(preDEL!$AG275,IFERROR(0/0,""),preDEL!Z275)</f>
        <v/>
      </c>
      <c r="AA275" s="110" t="b">
        <f>IF(preDEL!$AG275,IFERROR(0/0,""),preDEL!AA275)</f>
        <v>0</v>
      </c>
      <c r="AB275" s="110" t="b">
        <f>IF(preDEL!$AG275,IFERROR(0/0,""),preDEL!AB275)</f>
        <v>0</v>
      </c>
      <c r="AC275" s="172">
        <f>IF(preDEL!$AG275,IFERROR(0/0,""),preDEL!AC275)</f>
        <v>805</v>
      </c>
      <c r="AD275" s="104" t="b">
        <f>IF(preDEL!$AG275,IFERROR(0/0,""),preDEL!AD275)</f>
        <v>1</v>
      </c>
      <c r="AE275" s="173">
        <f>IF(preDEL!$AG275,IFERROR(0/0,""),preDEL!AE275)</f>
        <v>198.0333333</v>
      </c>
      <c r="AF275" s="110" t="b">
        <f>IF(preDEL!$AG275,IFERROR(0/0,""),preDEL!AF275)</f>
        <v>0</v>
      </c>
      <c r="AG275" s="110" t="b">
        <f>IF(preDEL!$AG275,IFERROR(0/0,""),preDEL!AG275)</f>
        <v>0</v>
      </c>
      <c r="AH275" s="104" t="str">
        <f>IF(preDEL!$AG275,IFERROR(0/0,""),preDEL!AH275)</f>
        <v/>
      </c>
      <c r="AI275" s="105" t="str">
        <f>IF(preDEL!$AG275,IFERROR(0/0,""),preDEL!AI275)</f>
        <v/>
      </c>
      <c r="AJ275" s="112" t="str">
        <f>IF(preDEL!$AG275,IFERROR(0/0,""),preDEL!AJ275)</f>
        <v/>
      </c>
      <c r="AK275" s="105" t="str">
        <f>IF(preDEL!$AG275,IFERROR(0/0,""),preDEL!AK275)</f>
        <v>Negative</v>
      </c>
      <c r="AL275" s="112" t="str">
        <f>IF(preDEL!$AG275,IFERROR(0/0,""),preDEL!AL275)</f>
        <v/>
      </c>
      <c r="AM275" s="112" t="str">
        <f>IF(preDEL!$AG275,IFERROR(0/0,""),preDEL!AM275)</f>
        <v>SpBEND587584</v>
      </c>
      <c r="AN275" s="112" t="str">
        <f>IF(preDEL!$AG275,IFERROR(0/0,""),preDEL!AN275)</f>
        <v>BEND196623</v>
      </c>
      <c r="AO275" s="112" t="str">
        <f>IF(preDEL!$AG275,IFERROR(0/0,""),preDEL!AO275)</f>
        <v/>
      </c>
      <c r="AP275" s="112" t="str">
        <f>IF(preDEL!$AG275,IFERROR(0/0,""),preDEL!AP275)</f>
        <v/>
      </c>
      <c r="AQ275" s="112" t="str">
        <f>IF(preDEL!$AG275,IFERROR(0/0,""),preDEL!AQ275)</f>
        <v/>
      </c>
      <c r="AR275" s="112" t="str">
        <f>IF(preDEL!$AG275,IFERROR(0/0,""),preDEL!AR275)</f>
        <v/>
      </c>
      <c r="AS275" s="112" t="str">
        <f>IF(preDEL!$AG275,IFERROR(0/0,""),preDEL!AS275)</f>
        <v/>
      </c>
      <c r="AT275" s="112" t="b">
        <f>IF(preDEL!$AG275,IFERROR(0/0,""),preDEL!AT275)</f>
        <v>0</v>
      </c>
      <c r="AU275" s="112" t="str">
        <f>IF(preDEL!$AG275,IFERROR(0/0,""),preDEL!AU275)</f>
        <v/>
      </c>
      <c r="AV275" s="112" t="str">
        <f>IF(preDEL!$AG275,IFERROR(0/0,""),preDEL!AV275)</f>
        <v/>
      </c>
      <c r="AW275" s="112" t="str">
        <f>IF(preDEL!$AG275,IFERROR(0/0,""),preDEL!AW275)</f>
        <v/>
      </c>
      <c r="AX275" s="112" t="str">
        <f>IF(preDEL!$AG275,IFERROR(0/0,""),preDEL!AX275)</f>
        <v/>
      </c>
      <c r="AY275" s="112" t="str">
        <f>IF(preDEL!$AG275,IFERROR(0/0,""),preDEL!AY275)</f>
        <v/>
      </c>
      <c r="AZ275" s="174"/>
      <c r="BA275" s="174"/>
      <c r="BB275" s="174"/>
      <c r="BC275" s="174"/>
      <c r="BD275" s="174"/>
      <c r="BE275" s="174"/>
      <c r="BF275" s="174"/>
      <c r="BG275" s="174"/>
      <c r="BH275" s="174"/>
      <c r="BI275" s="174"/>
      <c r="BJ275" s="174"/>
      <c r="BK275" s="174"/>
      <c r="BL275" s="174"/>
      <c r="BM275" s="174"/>
      <c r="BN275" s="174"/>
      <c r="BO275" s="174"/>
      <c r="BP275" s="174"/>
      <c r="BQ275" s="174"/>
      <c r="BR275" s="174"/>
      <c r="BS275" s="174"/>
      <c r="BT275" s="174"/>
      <c r="BU275" s="174"/>
      <c r="BV275" s="174"/>
      <c r="BW275" s="174"/>
      <c r="BX275" s="174"/>
      <c r="BY275" s="174"/>
      <c r="BZ275" s="174"/>
      <c r="CA275" s="174"/>
      <c r="CB275" s="174"/>
      <c r="CC275" s="174"/>
      <c r="CD275" s="174"/>
    </row>
    <row r="276">
      <c r="A276" s="105" t="str">
        <f>IF(preDEL!$AG276,IFERROR(0/0,""),preDEL!A276)</f>
        <v>MA452</v>
      </c>
      <c r="B276" s="170">
        <f>IF(preDEL!$AG276,IFERROR(0/0,""),preDEL!B276)</f>
        <v>44582</v>
      </c>
      <c r="C276" s="171">
        <f>IF(preDEL!$AG276,IFERROR(0/0,""),preDEL!C276)</f>
        <v>0.3514351852</v>
      </c>
      <c r="D276" s="105" t="str">
        <f>IF(preDEL!$AG276,IFERROR(0/0,""),preDEL!D276)</f>
        <v/>
      </c>
      <c r="E276" s="105" t="str">
        <f>IF(preDEL!$AG276,IFERROR(0/0,""),preDEL!E276)</f>
        <v/>
      </c>
      <c r="F276" s="112" t="str">
        <f>IF(preDEL!$AG276,IFERROR(0/0,""),preDEL!F276)</f>
        <v/>
      </c>
      <c r="G276" s="112" t="str">
        <f>IF(preDEL!$AG276,IFERROR(0/0,""),preDEL!G276)</f>
        <v/>
      </c>
      <c r="H276" s="112" t="str">
        <f>IF(preDEL!$AG276,IFERROR(0/0,""),preDEL!H276)</f>
        <v/>
      </c>
      <c r="I276" s="105" t="str">
        <f>IF(preDEL!$AG276,IFERROR(0/0,""),preDEL!I276)</f>
        <v/>
      </c>
      <c r="J276" s="105" t="str">
        <f>IF(preDEL!$AG276,IFERROR(0/0,""),preDEL!J276)</f>
        <v/>
      </c>
      <c r="K276" s="105" t="str">
        <f>IF(preDEL!$AG276,IFERROR(0/0,""),preDEL!K276)</f>
        <v>Negative</v>
      </c>
      <c r="L276" s="170">
        <f>IF(preDEL!$AG276,IFERROR(0/0,""),preDEL!L276)</f>
        <v>44582</v>
      </c>
      <c r="M276" s="171">
        <f>IF(preDEL!$AG276,IFERROR(0/0,""),preDEL!M276)</f>
        <v>0.4884027778</v>
      </c>
      <c r="N276" s="112" t="str">
        <f>IF(preDEL!$AG276,IFERROR(0/0,""),preDEL!N276)</f>
        <v/>
      </c>
      <c r="O276" s="112" t="str">
        <f>IF(preDEL!$AG276,IFERROR(0/0,""),preDEL!O276)</f>
        <v/>
      </c>
      <c r="P276" s="110" t="b">
        <f>IF(preDEL!$AG276,IFERROR(0/0,""),preDEL!P276)</f>
        <v>0</v>
      </c>
      <c r="Q276" s="110" t="str">
        <f>IF(preDEL!$AG276,IFERROR(0/0,""),preDEL!Q276)</f>
        <v>Result</v>
      </c>
      <c r="R276" s="104" t="b">
        <f>IF(preDEL!$AG276,IFERROR(0/0,""),preDEL!R276)</f>
        <v>1</v>
      </c>
      <c r="S276" s="104">
        <f>IF(preDEL!$AG276,IFERROR(0/0,""),preDEL!S276)</f>
        <v>1</v>
      </c>
      <c r="T276" s="110" t="str">
        <f>IF(preDEL!$AG276,IFERROR(0/0,""),preDEL!T276)</f>
        <v/>
      </c>
      <c r="U276" s="112" t="str">
        <f>IF(preDEL!$AG276,IFERROR(0/0,""),preDEL!U276)</f>
        <v/>
      </c>
      <c r="V276" s="105" t="str">
        <f>IF(preDEL!$AG276,IFERROR(0/0,""),preDEL!V276)</f>
        <v/>
      </c>
      <c r="W276" s="112" t="str">
        <f>IF(preDEL!$AG276,IFERROR(0/0,""),preDEL!W276)</f>
        <v/>
      </c>
      <c r="X276" s="104" t="b">
        <f>IF(preDEL!$AG276,IFERROR(0/0,""),preDEL!X276)</f>
        <v>0</v>
      </c>
      <c r="Y276" s="110" t="b">
        <f>IF(preDEL!$AG276,IFERROR(0/0,""),preDEL!Y276)</f>
        <v>0</v>
      </c>
      <c r="Z276" s="105" t="str">
        <f>IF(preDEL!$AG276,IFERROR(0/0,""),preDEL!Z276)</f>
        <v/>
      </c>
      <c r="AA276" s="110" t="b">
        <f>IF(preDEL!$AG276,IFERROR(0/0,""),preDEL!AA276)</f>
        <v>0</v>
      </c>
      <c r="AB276" s="110" t="b">
        <f>IF(preDEL!$AG276,IFERROR(0/0,""),preDEL!AB276)</f>
        <v>0</v>
      </c>
      <c r="AC276" s="172">
        <f>IF(preDEL!$AG276,IFERROR(0/0,""),preDEL!AC276)</f>
        <v>531</v>
      </c>
      <c r="AD276" s="104" t="b">
        <f>IF(preDEL!$AG276,IFERROR(0/0,""),preDEL!AD276)</f>
        <v>0</v>
      </c>
      <c r="AE276" s="173">
        <f>IF(preDEL!$AG276,IFERROR(0/0,""),preDEL!AE276)</f>
        <v>197.2333333</v>
      </c>
      <c r="AF276" s="110" t="b">
        <f>IF(preDEL!$AG276,IFERROR(0/0,""),preDEL!AF276)</f>
        <v>0</v>
      </c>
      <c r="AG276" s="110" t="b">
        <f>IF(preDEL!$AG276,IFERROR(0/0,""),preDEL!AG276)</f>
        <v>0</v>
      </c>
      <c r="AH276" s="104" t="str">
        <f>IF(preDEL!$AG276,IFERROR(0/0,""),preDEL!AH276)</f>
        <v/>
      </c>
      <c r="AI276" s="105" t="str">
        <f>IF(preDEL!$AG276,IFERROR(0/0,""),preDEL!AI276)</f>
        <v/>
      </c>
      <c r="AJ276" s="112" t="str">
        <f>IF(preDEL!$AG276,IFERROR(0/0,""),preDEL!AJ276)</f>
        <v/>
      </c>
      <c r="AK276" s="105" t="str">
        <f>IF(preDEL!$AG276,IFERROR(0/0,""),preDEL!AK276)</f>
        <v>Negative</v>
      </c>
      <c r="AL276" s="112" t="str">
        <f>IF(preDEL!$AG276,IFERROR(0/0,""),preDEL!AL276)</f>
        <v/>
      </c>
      <c r="AM276" s="112" t="str">
        <f>IF(preDEL!$AG276,IFERROR(0/0,""),preDEL!AM276)</f>
        <v>SpBEND385421</v>
      </c>
      <c r="AN276" s="112" t="str">
        <f>IF(preDEL!$AG276,IFERROR(0/0,""),preDEL!AN276)</f>
        <v>BEND440747</v>
      </c>
      <c r="AO276" s="112" t="str">
        <f>IF(preDEL!$AG276,IFERROR(0/0,""),preDEL!AO276)</f>
        <v/>
      </c>
      <c r="AP276" s="112" t="str">
        <f>IF(preDEL!$AG276,IFERROR(0/0,""),preDEL!AP276)</f>
        <v/>
      </c>
      <c r="AQ276" s="112" t="str">
        <f>IF(preDEL!$AG276,IFERROR(0/0,""),preDEL!AQ276)</f>
        <v/>
      </c>
      <c r="AR276" s="112" t="str">
        <f>IF(preDEL!$AG276,IFERROR(0/0,""),preDEL!AR276)</f>
        <v/>
      </c>
      <c r="AS276" s="112" t="str">
        <f>IF(preDEL!$AG276,IFERROR(0/0,""),preDEL!AS276)</f>
        <v/>
      </c>
      <c r="AT276" s="112" t="b">
        <f>IF(preDEL!$AG276,IFERROR(0/0,""),preDEL!AT276)</f>
        <v>0</v>
      </c>
      <c r="AU276" s="112" t="str">
        <f>IF(preDEL!$AG276,IFERROR(0/0,""),preDEL!AU276)</f>
        <v/>
      </c>
      <c r="AV276" s="112" t="str">
        <f>IF(preDEL!$AG276,IFERROR(0/0,""),preDEL!AV276)</f>
        <v/>
      </c>
      <c r="AW276" s="112" t="str">
        <f>IF(preDEL!$AG276,IFERROR(0/0,""),preDEL!AW276)</f>
        <v/>
      </c>
      <c r="AX276" s="112" t="str">
        <f>IF(preDEL!$AG276,IFERROR(0/0,""),preDEL!AX276)</f>
        <v/>
      </c>
      <c r="AY276" s="112" t="str">
        <f>IF(preDEL!$AG276,IFERROR(0/0,""),preDEL!AY276)</f>
        <v/>
      </c>
      <c r="AZ276" s="174"/>
      <c r="BA276" s="174"/>
      <c r="BB276" s="174"/>
      <c r="BC276" s="174"/>
      <c r="BD276" s="174"/>
      <c r="BE276" s="174"/>
      <c r="BF276" s="174"/>
      <c r="BG276" s="174"/>
      <c r="BH276" s="174"/>
      <c r="BI276" s="174"/>
      <c r="BJ276" s="174"/>
      <c r="BK276" s="174"/>
      <c r="BL276" s="174"/>
      <c r="BM276" s="174"/>
      <c r="BN276" s="174"/>
      <c r="BO276" s="174"/>
      <c r="BP276" s="174"/>
      <c r="BQ276" s="174"/>
      <c r="BR276" s="174"/>
      <c r="BS276" s="174"/>
      <c r="BT276" s="174"/>
      <c r="BU276" s="174"/>
      <c r="BV276" s="174"/>
      <c r="BW276" s="174"/>
      <c r="BX276" s="174"/>
      <c r="BY276" s="174"/>
      <c r="BZ276" s="174"/>
      <c r="CA276" s="174"/>
      <c r="CB276" s="174"/>
      <c r="CC276" s="174"/>
      <c r="CD276" s="174"/>
    </row>
    <row r="277">
      <c r="A277" s="105" t="str">
        <f>IF(preDEL!$AG277,IFERROR(0/0,""),preDEL!A277)</f>
        <v>MA1047</v>
      </c>
      <c r="B277" s="170">
        <f>IF(preDEL!$AG277,IFERROR(0/0,""),preDEL!B277)</f>
        <v>44582</v>
      </c>
      <c r="C277" s="171">
        <f>IF(preDEL!$AG277,IFERROR(0/0,""),preDEL!C277)</f>
        <v>0.3526388889</v>
      </c>
      <c r="D277" s="105" t="str">
        <f>IF(preDEL!$AG277,IFERROR(0/0,""),preDEL!D277)</f>
        <v/>
      </c>
      <c r="E277" s="105" t="str">
        <f>IF(preDEL!$AG277,IFERROR(0/0,""),preDEL!E277)</f>
        <v/>
      </c>
      <c r="F277" s="112" t="str">
        <f>IF(preDEL!$AG277,IFERROR(0/0,""),preDEL!F277)</f>
        <v/>
      </c>
      <c r="G277" s="112" t="str">
        <f>IF(preDEL!$AG277,IFERROR(0/0,""),preDEL!G277)</f>
        <v/>
      </c>
      <c r="H277" s="112" t="str">
        <f>IF(preDEL!$AG277,IFERROR(0/0,""),preDEL!H277)</f>
        <v/>
      </c>
      <c r="I277" s="105" t="str">
        <f>IF(preDEL!$AG277,IFERROR(0/0,""),preDEL!I277)</f>
        <v/>
      </c>
      <c r="J277" s="105" t="str">
        <f>IF(preDEL!$AG277,IFERROR(0/0,""),preDEL!J277)</f>
        <v/>
      </c>
      <c r="K277" s="105" t="str">
        <f>IF(preDEL!$AG277,IFERROR(0/0,""),preDEL!K277)</f>
        <v>Positive</v>
      </c>
      <c r="L277" s="170">
        <f>IF(preDEL!$AG277,IFERROR(0/0,""),preDEL!L277)</f>
        <v>44582</v>
      </c>
      <c r="M277" s="171">
        <f>IF(preDEL!$AG277,IFERROR(0/0,""),preDEL!M277)</f>
        <v>0.4884027778</v>
      </c>
      <c r="N277" s="112" t="str">
        <f>IF(preDEL!$AG277,IFERROR(0/0,""),preDEL!N277)</f>
        <v/>
      </c>
      <c r="O277" s="112" t="str">
        <f>IF(preDEL!$AG277,IFERROR(0/0,""),preDEL!O277)</f>
        <v/>
      </c>
      <c r="P277" s="110" t="b">
        <f>IF(preDEL!$AG277,IFERROR(0/0,""),preDEL!P277)</f>
        <v>0</v>
      </c>
      <c r="Q277" s="110" t="str">
        <f>IF(preDEL!$AG277,IFERROR(0/0,""),preDEL!Q277)</f>
        <v>Result</v>
      </c>
      <c r="R277" s="104" t="b">
        <f>IF(preDEL!$AG277,IFERROR(0/0,""),preDEL!R277)</f>
        <v>1</v>
      </c>
      <c r="S277" s="104">
        <f>IF(preDEL!$AG277,IFERROR(0/0,""),preDEL!S277)</f>
        <v>1</v>
      </c>
      <c r="T277" s="110" t="str">
        <f>IF(preDEL!$AG277,IFERROR(0/0,""),preDEL!T277)</f>
        <v/>
      </c>
      <c r="U277" s="112" t="str">
        <f>IF(preDEL!$AG277,IFERROR(0/0,""),preDEL!U277)</f>
        <v/>
      </c>
      <c r="V277" s="105" t="str">
        <f>IF(preDEL!$AG277,IFERROR(0/0,""),preDEL!V277)</f>
        <v/>
      </c>
      <c r="W277" s="112" t="str">
        <f>IF(preDEL!$AG277,IFERROR(0/0,""),preDEL!W277)</f>
        <v/>
      </c>
      <c r="X277" s="104" t="b">
        <f>IF(preDEL!$AG277,IFERROR(0/0,""),preDEL!X277)</f>
        <v>0</v>
      </c>
      <c r="Y277" s="110" t="b">
        <f>IF(preDEL!$AG277,IFERROR(0/0,""),preDEL!Y277)</f>
        <v>0</v>
      </c>
      <c r="Z277" s="105" t="str">
        <f>IF(preDEL!$AG277,IFERROR(0/0,""),preDEL!Z277)</f>
        <v/>
      </c>
      <c r="AA277" s="110" t="b">
        <f>IF(preDEL!$AG277,IFERROR(0/0,""),preDEL!AA277)</f>
        <v>0</v>
      </c>
      <c r="AB277" s="110" t="b">
        <f>IF(preDEL!$AG277,IFERROR(0/0,""),preDEL!AB277)</f>
        <v>0</v>
      </c>
      <c r="AC277" s="172">
        <f>IF(preDEL!$AG277,IFERROR(0/0,""),preDEL!AC277)</f>
        <v>530</v>
      </c>
      <c r="AD277" s="104" t="b">
        <f>IF(preDEL!$AG277,IFERROR(0/0,""),preDEL!AD277)</f>
        <v>0</v>
      </c>
      <c r="AE277" s="173">
        <f>IF(preDEL!$AG277,IFERROR(0/0,""),preDEL!AE277)</f>
        <v>195.5</v>
      </c>
      <c r="AF277" s="110" t="b">
        <f>IF(preDEL!$AG277,IFERROR(0/0,""),preDEL!AF277)</f>
        <v>0</v>
      </c>
      <c r="AG277" s="110" t="b">
        <f>IF(preDEL!$AG277,IFERROR(0/0,""),preDEL!AG277)</f>
        <v>0</v>
      </c>
      <c r="AH277" s="104" t="str">
        <f>IF(preDEL!$AG277,IFERROR(0/0,""),preDEL!AH277)</f>
        <v/>
      </c>
      <c r="AI277" s="105" t="str">
        <f>IF(preDEL!$AG277,IFERROR(0/0,""),preDEL!AI277)</f>
        <v/>
      </c>
      <c r="AJ277" s="112" t="str">
        <f>IF(preDEL!$AG277,IFERROR(0/0,""),preDEL!AJ277)</f>
        <v/>
      </c>
      <c r="AK277" s="105" t="str">
        <f>IF(preDEL!$AG277,IFERROR(0/0,""),preDEL!AK277)</f>
        <v>Positive</v>
      </c>
      <c r="AL277" s="112" t="str">
        <f>IF(preDEL!$AG277,IFERROR(0/0,""),preDEL!AL277)</f>
        <v/>
      </c>
      <c r="AM277" s="112" t="str">
        <f>IF(preDEL!$AG277,IFERROR(0/0,""),preDEL!AM277)</f>
        <v>SpBEND708976</v>
      </c>
      <c r="AN277" s="112" t="str">
        <f>IF(preDEL!$AG277,IFERROR(0/0,""),preDEL!AN277)</f>
        <v>BEND525784</v>
      </c>
      <c r="AO277" s="112" t="str">
        <f>IF(preDEL!$AG277,IFERROR(0/0,""),preDEL!AO277)</f>
        <v/>
      </c>
      <c r="AP277" s="112" t="str">
        <f>IF(preDEL!$AG277,IFERROR(0/0,""),preDEL!AP277)</f>
        <v/>
      </c>
      <c r="AQ277" s="112" t="str">
        <f>IF(preDEL!$AG277,IFERROR(0/0,""),preDEL!AQ277)</f>
        <v/>
      </c>
      <c r="AR277" s="112" t="str">
        <f>IF(preDEL!$AG277,IFERROR(0/0,""),preDEL!AR277)</f>
        <v/>
      </c>
      <c r="AS277" s="112" t="str">
        <f>IF(preDEL!$AG277,IFERROR(0/0,""),preDEL!AS277)</f>
        <v/>
      </c>
      <c r="AT277" s="112" t="b">
        <f>IF(preDEL!$AG277,IFERROR(0/0,""),preDEL!AT277)</f>
        <v>0</v>
      </c>
      <c r="AU277" s="112" t="str">
        <f>IF(preDEL!$AG277,IFERROR(0/0,""),preDEL!AU277)</f>
        <v/>
      </c>
      <c r="AV277" s="112" t="str">
        <f>IF(preDEL!$AG277,IFERROR(0/0,""),preDEL!AV277)</f>
        <v/>
      </c>
      <c r="AW277" s="112" t="str">
        <f>IF(preDEL!$AG277,IFERROR(0/0,""),preDEL!AW277)</f>
        <v/>
      </c>
      <c r="AX277" s="112" t="str">
        <f>IF(preDEL!$AG277,IFERROR(0/0,""),preDEL!AX277)</f>
        <v/>
      </c>
      <c r="AY277" s="112" t="str">
        <f>IF(preDEL!$AG277,IFERROR(0/0,""),preDEL!AY277)</f>
        <v/>
      </c>
      <c r="AZ277" s="174"/>
      <c r="BA277" s="174"/>
      <c r="BB277" s="174"/>
      <c r="BC277" s="174"/>
      <c r="BD277" s="174"/>
      <c r="BE277" s="174"/>
      <c r="BF277" s="174"/>
      <c r="BG277" s="174"/>
      <c r="BH277" s="174"/>
      <c r="BI277" s="174"/>
      <c r="BJ277" s="174"/>
      <c r="BK277" s="174"/>
      <c r="BL277" s="174"/>
      <c r="BM277" s="174"/>
      <c r="BN277" s="174"/>
      <c r="BO277" s="174"/>
      <c r="BP277" s="174"/>
      <c r="BQ277" s="174"/>
      <c r="BR277" s="174"/>
      <c r="BS277" s="174"/>
      <c r="BT277" s="174"/>
      <c r="BU277" s="174"/>
      <c r="BV277" s="174"/>
      <c r="BW277" s="174"/>
      <c r="BX277" s="174"/>
      <c r="BY277" s="174"/>
      <c r="BZ277" s="174"/>
      <c r="CA277" s="174"/>
      <c r="CB277" s="174"/>
      <c r="CC277" s="174"/>
      <c r="CD277" s="174"/>
    </row>
    <row r="278">
      <c r="A278" s="105" t="str">
        <f>IF(preDEL!$AG278,IFERROR(0/0,""),preDEL!A278)</f>
        <v>MA305</v>
      </c>
      <c r="B278" s="170">
        <f>IF(preDEL!$AG278,IFERROR(0/0,""),preDEL!B278)</f>
        <v>44582</v>
      </c>
      <c r="C278" s="171">
        <f>IF(preDEL!$AG278,IFERROR(0/0,""),preDEL!C278)</f>
        <v>0.3903819444</v>
      </c>
      <c r="D278" s="105" t="str">
        <f>IF(preDEL!$AG278,IFERROR(0/0,""),preDEL!D278)</f>
        <v/>
      </c>
      <c r="E278" s="105" t="str">
        <f>IF(preDEL!$AG278,IFERROR(0/0,""),preDEL!E278)</f>
        <v/>
      </c>
      <c r="F278" s="112" t="str">
        <f>IF(preDEL!$AG278,IFERROR(0/0,""),preDEL!F278)</f>
        <v/>
      </c>
      <c r="G278" s="112" t="str">
        <f>IF(preDEL!$AG278,IFERROR(0/0,""),preDEL!G278)</f>
        <v/>
      </c>
      <c r="H278" s="112" t="str">
        <f>IF(preDEL!$AG278,IFERROR(0/0,""),preDEL!H278)</f>
        <v/>
      </c>
      <c r="I278" s="105" t="str">
        <f>IF(preDEL!$AG278,IFERROR(0/0,""),preDEL!I278)</f>
        <v/>
      </c>
      <c r="J278" s="105" t="str">
        <f>IF(preDEL!$AG278,IFERROR(0/0,""),preDEL!J278)</f>
        <v/>
      </c>
      <c r="K278" s="105" t="str">
        <f>IF(preDEL!$AG278,IFERROR(0/0,""),preDEL!K278)</f>
        <v>Positive</v>
      </c>
      <c r="L278" s="170">
        <f>IF(preDEL!$AG278,IFERROR(0/0,""),preDEL!L278)</f>
        <v>44582</v>
      </c>
      <c r="M278" s="171">
        <f>IF(preDEL!$AG278,IFERROR(0/0,""),preDEL!M278)</f>
        <v>0.4884027778</v>
      </c>
      <c r="N278" s="112" t="str">
        <f>IF(preDEL!$AG278,IFERROR(0/0,""),preDEL!N278)</f>
        <v/>
      </c>
      <c r="O278" s="112" t="str">
        <f>IF(preDEL!$AG278,IFERROR(0/0,""),preDEL!O278)</f>
        <v/>
      </c>
      <c r="P278" s="110" t="b">
        <f>IF(preDEL!$AG278,IFERROR(0/0,""),preDEL!P278)</f>
        <v>0</v>
      </c>
      <c r="Q278" s="110" t="str">
        <f>IF(preDEL!$AG278,IFERROR(0/0,""),preDEL!Q278)</f>
        <v>Result</v>
      </c>
      <c r="R278" s="104" t="b">
        <f>IF(preDEL!$AG278,IFERROR(0/0,""),preDEL!R278)</f>
        <v>1</v>
      </c>
      <c r="S278" s="104">
        <f>IF(preDEL!$AG278,IFERROR(0/0,""),preDEL!S278)</f>
        <v>1</v>
      </c>
      <c r="T278" s="110">
        <f>IF(preDEL!$AG278,IFERROR(0/0,""),preDEL!T278)</f>
        <v>0</v>
      </c>
      <c r="U278" s="112" t="str">
        <f>IF(preDEL!$AG278,IFERROR(0/0,""),preDEL!U278)</f>
        <v/>
      </c>
      <c r="V278" s="105" t="str">
        <f>IF(preDEL!$AG278,IFERROR(0/0,""),preDEL!V278)</f>
        <v/>
      </c>
      <c r="W278" s="112" t="str">
        <f>IF(preDEL!$AG278,IFERROR(0/0,""),preDEL!W278)</f>
        <v/>
      </c>
      <c r="X278" s="104" t="b">
        <f>IF(preDEL!$AG278,IFERROR(0/0,""),preDEL!X278)</f>
        <v>0</v>
      </c>
      <c r="Y278" s="110" t="b">
        <f>IF(preDEL!$AG278,IFERROR(0/0,""),preDEL!Y278)</f>
        <v>0</v>
      </c>
      <c r="Z278" s="105" t="str">
        <f>IF(preDEL!$AG278,IFERROR(0/0,""),preDEL!Z278)</f>
        <v/>
      </c>
      <c r="AA278" s="110" t="b">
        <f>IF(preDEL!$AG278,IFERROR(0/0,""),preDEL!AA278)</f>
        <v>0</v>
      </c>
      <c r="AB278" s="110" t="b">
        <f>IF(preDEL!$AG278,IFERROR(0/0,""),preDEL!AB278)</f>
        <v>0</v>
      </c>
      <c r="AC278" s="172">
        <f>IF(preDEL!$AG278,IFERROR(0/0,""),preDEL!AC278)</f>
        <v>529</v>
      </c>
      <c r="AD278" s="104" t="b">
        <f>IF(preDEL!$AG278,IFERROR(0/0,""),preDEL!AD278)</f>
        <v>0</v>
      </c>
      <c r="AE278" s="173">
        <f>IF(preDEL!$AG278,IFERROR(0/0,""),preDEL!AE278)</f>
        <v>141.15</v>
      </c>
      <c r="AF278" s="110" t="b">
        <f>IF(preDEL!$AG278,IFERROR(0/0,""),preDEL!AF278)</f>
        <v>0</v>
      </c>
      <c r="AG278" s="110" t="b">
        <f>IF(preDEL!$AG278,IFERROR(0/0,""),preDEL!AG278)</f>
        <v>0</v>
      </c>
      <c r="AH278" s="104" t="str">
        <f>IF(preDEL!$AG278,IFERROR(0/0,""),preDEL!AH278)</f>
        <v/>
      </c>
      <c r="AI278" s="105" t="str">
        <f>IF(preDEL!$AG278,IFERROR(0/0,""),preDEL!AI278)</f>
        <v/>
      </c>
      <c r="AJ278" s="112" t="str">
        <f>IF(preDEL!$AG278,IFERROR(0/0,""),preDEL!AJ278)</f>
        <v/>
      </c>
      <c r="AK278" s="105" t="str">
        <f>IF(preDEL!$AG278,IFERROR(0/0,""),preDEL!AK278)</f>
        <v>Positive</v>
      </c>
      <c r="AL278" s="112" t="str">
        <f>IF(preDEL!$AG278,IFERROR(0/0,""),preDEL!AL278)</f>
        <v/>
      </c>
      <c r="AM278" s="112" t="str">
        <f>IF(preDEL!$AG278,IFERROR(0/0,""),preDEL!AM278)</f>
        <v>SpBEND394154</v>
      </c>
      <c r="AN278" s="112" t="str">
        <f>IF(preDEL!$AG278,IFERROR(0/0,""),preDEL!AN278)</f>
        <v>BEND281899</v>
      </c>
      <c r="AO278" s="112" t="str">
        <f>IF(preDEL!$AG278,IFERROR(0/0,""),preDEL!AO278)</f>
        <v/>
      </c>
      <c r="AP278" s="112" t="str">
        <f>IF(preDEL!$AG278,IFERROR(0/0,""),preDEL!AP278)</f>
        <v/>
      </c>
      <c r="AQ278" s="112" t="str">
        <f>IF(preDEL!$AG278,IFERROR(0/0,""),preDEL!AQ278)</f>
        <v/>
      </c>
      <c r="AR278" s="112" t="str">
        <f>IF(preDEL!$AG278,IFERROR(0/0,""),preDEL!AR278)</f>
        <v/>
      </c>
      <c r="AS278" s="112" t="str">
        <f>IF(preDEL!$AG278,IFERROR(0/0,""),preDEL!AS278)</f>
        <v/>
      </c>
      <c r="AT278" s="112" t="b">
        <f>IF(preDEL!$AG278,IFERROR(0/0,""),preDEL!AT278)</f>
        <v>0</v>
      </c>
      <c r="AU278" s="112" t="str">
        <f>IF(preDEL!$AG278,IFERROR(0/0,""),preDEL!AU278)</f>
        <v/>
      </c>
      <c r="AV278" s="112" t="str">
        <f>IF(preDEL!$AG278,IFERROR(0/0,""),preDEL!AV278)</f>
        <v/>
      </c>
      <c r="AW278" s="112" t="str">
        <f>IF(preDEL!$AG278,IFERROR(0/0,""),preDEL!AW278)</f>
        <v/>
      </c>
      <c r="AX278" s="112" t="str">
        <f>IF(preDEL!$AG278,IFERROR(0/0,""),preDEL!AX278)</f>
        <v/>
      </c>
      <c r="AY278" s="112" t="str">
        <f>IF(preDEL!$AG278,IFERROR(0/0,""),preDEL!AY278)</f>
        <v/>
      </c>
      <c r="AZ278" s="174"/>
      <c r="BA278" s="174"/>
      <c r="BB278" s="174"/>
      <c r="BC278" s="174"/>
      <c r="BD278" s="174"/>
      <c r="BE278" s="174"/>
      <c r="BF278" s="174"/>
      <c r="BG278" s="174"/>
      <c r="BH278" s="174"/>
      <c r="BI278" s="174"/>
      <c r="BJ278" s="174"/>
      <c r="BK278" s="174"/>
      <c r="BL278" s="174"/>
      <c r="BM278" s="174"/>
      <c r="BN278" s="174"/>
      <c r="BO278" s="174"/>
      <c r="BP278" s="174"/>
      <c r="BQ278" s="174"/>
      <c r="BR278" s="174"/>
      <c r="BS278" s="174"/>
      <c r="BT278" s="174"/>
      <c r="BU278" s="174"/>
      <c r="BV278" s="174"/>
      <c r="BW278" s="174"/>
      <c r="BX278" s="174"/>
      <c r="BY278" s="174"/>
      <c r="BZ278" s="174"/>
      <c r="CA278" s="174"/>
      <c r="CB278" s="174"/>
      <c r="CC278" s="174"/>
      <c r="CD278" s="174"/>
    </row>
    <row r="279">
      <c r="A279" s="105" t="str">
        <f>IF(preDEL!$AG279,IFERROR(0/0,""),preDEL!A279)</f>
        <v>MA337</v>
      </c>
      <c r="B279" s="170">
        <f>IF(preDEL!$AG279,IFERROR(0/0,""),preDEL!B279)</f>
        <v>44582</v>
      </c>
      <c r="C279" s="171">
        <f>IF(preDEL!$AG279,IFERROR(0/0,""),preDEL!C279)</f>
        <v>0.3910185185</v>
      </c>
      <c r="D279" s="105" t="str">
        <f>IF(preDEL!$AG279,IFERROR(0/0,""),preDEL!D279)</f>
        <v/>
      </c>
      <c r="E279" s="105" t="str">
        <f>IF(preDEL!$AG279,IFERROR(0/0,""),preDEL!E279)</f>
        <v/>
      </c>
      <c r="F279" s="112" t="str">
        <f>IF(preDEL!$AG279,IFERROR(0/0,""),preDEL!F279)</f>
        <v/>
      </c>
      <c r="G279" s="112" t="str">
        <f>IF(preDEL!$AG279,IFERROR(0/0,""),preDEL!G279)</f>
        <v/>
      </c>
      <c r="H279" s="112" t="str">
        <f>IF(preDEL!$AG279,IFERROR(0/0,""),preDEL!H279)</f>
        <v/>
      </c>
      <c r="I279" s="105" t="str">
        <f>IF(preDEL!$AG279,IFERROR(0/0,""),preDEL!I279)</f>
        <v/>
      </c>
      <c r="J279" s="105" t="str">
        <f>IF(preDEL!$AG279,IFERROR(0/0,""),preDEL!J279)</f>
        <v/>
      </c>
      <c r="K279" s="105" t="str">
        <f>IF(preDEL!$AG279,IFERROR(0/0,""),preDEL!K279)</f>
        <v>Positive</v>
      </c>
      <c r="L279" s="170">
        <f>IF(preDEL!$AG279,IFERROR(0/0,""),preDEL!L279)</f>
        <v>44582</v>
      </c>
      <c r="M279" s="171">
        <f>IF(preDEL!$AG279,IFERROR(0/0,""),preDEL!M279)</f>
        <v>0.4884027778</v>
      </c>
      <c r="N279" s="112" t="str">
        <f>IF(preDEL!$AG279,IFERROR(0/0,""),preDEL!N279)</f>
        <v/>
      </c>
      <c r="O279" s="112" t="str">
        <f>IF(preDEL!$AG279,IFERROR(0/0,""),preDEL!O279)</f>
        <v/>
      </c>
      <c r="P279" s="110" t="b">
        <f>IF(preDEL!$AG279,IFERROR(0/0,""),preDEL!P279)</f>
        <v>0</v>
      </c>
      <c r="Q279" s="110" t="str">
        <f>IF(preDEL!$AG279,IFERROR(0/0,""),preDEL!Q279)</f>
        <v>Result</v>
      </c>
      <c r="R279" s="104" t="b">
        <f>IF(preDEL!$AG279,IFERROR(0/0,""),preDEL!R279)</f>
        <v>1</v>
      </c>
      <c r="S279" s="104">
        <f>IF(preDEL!$AG279,IFERROR(0/0,""),preDEL!S279)</f>
        <v>1</v>
      </c>
      <c r="T279" s="110">
        <f>IF(preDEL!$AG279,IFERROR(0/0,""),preDEL!T279)</f>
        <v>1</v>
      </c>
      <c r="U279" s="112" t="str">
        <f>IF(preDEL!$AG279,IFERROR(0/0,""),preDEL!U279)</f>
        <v/>
      </c>
      <c r="V279" s="105" t="str">
        <f>IF(preDEL!$AG279,IFERROR(0/0,""),preDEL!V279)</f>
        <v/>
      </c>
      <c r="W279" s="112" t="str">
        <f>IF(preDEL!$AG279,IFERROR(0/0,""),preDEL!W279)</f>
        <v/>
      </c>
      <c r="X279" s="104" t="b">
        <f>IF(preDEL!$AG279,IFERROR(0/0,""),preDEL!X279)</f>
        <v>0</v>
      </c>
      <c r="Y279" s="110" t="b">
        <f>IF(preDEL!$AG279,IFERROR(0/0,""),preDEL!Y279)</f>
        <v>0</v>
      </c>
      <c r="Z279" s="105" t="str">
        <f>IF(preDEL!$AG279,IFERROR(0/0,""),preDEL!Z279)</f>
        <v/>
      </c>
      <c r="AA279" s="110" t="b">
        <f>IF(preDEL!$AG279,IFERROR(0/0,""),preDEL!AA279)</f>
        <v>0</v>
      </c>
      <c r="AB279" s="110" t="b">
        <f>IF(preDEL!$AG279,IFERROR(0/0,""),preDEL!AB279)</f>
        <v>0</v>
      </c>
      <c r="AC279" s="172">
        <f>IF(preDEL!$AG279,IFERROR(0/0,""),preDEL!AC279)</f>
        <v>528</v>
      </c>
      <c r="AD279" s="104" t="b">
        <f>IF(preDEL!$AG279,IFERROR(0/0,""),preDEL!AD279)</f>
        <v>0</v>
      </c>
      <c r="AE279" s="173">
        <f>IF(preDEL!$AG279,IFERROR(0/0,""),preDEL!AE279)</f>
        <v>140.2333333</v>
      </c>
      <c r="AF279" s="110" t="b">
        <f>IF(preDEL!$AG279,IFERROR(0/0,""),preDEL!AF279)</f>
        <v>0</v>
      </c>
      <c r="AG279" s="110" t="b">
        <f>IF(preDEL!$AG279,IFERROR(0/0,""),preDEL!AG279)</f>
        <v>0</v>
      </c>
      <c r="AH279" s="104" t="str">
        <f>IF(preDEL!$AG279,IFERROR(0/0,""),preDEL!AH279)</f>
        <v/>
      </c>
      <c r="AI279" s="105" t="str">
        <f>IF(preDEL!$AG279,IFERROR(0/0,""),preDEL!AI279)</f>
        <v/>
      </c>
      <c r="AJ279" s="112" t="str">
        <f>IF(preDEL!$AG279,IFERROR(0/0,""),preDEL!AJ279)</f>
        <v/>
      </c>
      <c r="AK279" s="105" t="str">
        <f>IF(preDEL!$AG279,IFERROR(0/0,""),preDEL!AK279)</f>
        <v>Positive</v>
      </c>
      <c r="AL279" s="112" t="str">
        <f>IF(preDEL!$AG279,IFERROR(0/0,""),preDEL!AL279)</f>
        <v/>
      </c>
      <c r="AM279" s="112" t="str">
        <f>IF(preDEL!$AG279,IFERROR(0/0,""),preDEL!AM279)</f>
        <v>SpBEND394154</v>
      </c>
      <c r="AN279" s="112" t="str">
        <f>IF(preDEL!$AG279,IFERROR(0/0,""),preDEL!AN279)</f>
        <v>BEND688166</v>
      </c>
      <c r="AO279" s="112" t="str">
        <f>IF(preDEL!$AG279,IFERROR(0/0,""),preDEL!AO279)</f>
        <v/>
      </c>
      <c r="AP279" s="112" t="str">
        <f>IF(preDEL!$AG279,IFERROR(0/0,""),preDEL!AP279)</f>
        <v/>
      </c>
      <c r="AQ279" s="112" t="str">
        <f>IF(preDEL!$AG279,IFERROR(0/0,""),preDEL!AQ279)</f>
        <v/>
      </c>
      <c r="AR279" s="112" t="str">
        <f>IF(preDEL!$AG279,IFERROR(0/0,""),preDEL!AR279)</f>
        <v/>
      </c>
      <c r="AS279" s="112" t="str">
        <f>IF(preDEL!$AG279,IFERROR(0/0,""),preDEL!AS279)</f>
        <v/>
      </c>
      <c r="AT279" s="112" t="b">
        <f>IF(preDEL!$AG279,IFERROR(0/0,""),preDEL!AT279)</f>
        <v>0</v>
      </c>
      <c r="AU279" s="112" t="str">
        <f>IF(preDEL!$AG279,IFERROR(0/0,""),preDEL!AU279)</f>
        <v/>
      </c>
      <c r="AV279" s="112" t="str">
        <f>IF(preDEL!$AG279,IFERROR(0/0,""),preDEL!AV279)</f>
        <v/>
      </c>
      <c r="AW279" s="112" t="str">
        <f>IF(preDEL!$AG279,IFERROR(0/0,""),preDEL!AW279)</f>
        <v/>
      </c>
      <c r="AX279" s="112" t="str">
        <f>IF(preDEL!$AG279,IFERROR(0/0,""),preDEL!AX279)</f>
        <v/>
      </c>
      <c r="AY279" s="112" t="str">
        <f>IF(preDEL!$AG279,IFERROR(0/0,""),preDEL!AY279)</f>
        <v/>
      </c>
      <c r="AZ279" s="174"/>
      <c r="BA279" s="174"/>
      <c r="BB279" s="174"/>
      <c r="BC279" s="174"/>
      <c r="BD279" s="174"/>
      <c r="BE279" s="174"/>
      <c r="BF279" s="174"/>
      <c r="BG279" s="174"/>
      <c r="BH279" s="174"/>
      <c r="BI279" s="174"/>
      <c r="BJ279" s="174"/>
      <c r="BK279" s="174"/>
      <c r="BL279" s="174"/>
      <c r="BM279" s="174"/>
      <c r="BN279" s="174"/>
      <c r="BO279" s="174"/>
      <c r="BP279" s="174"/>
      <c r="BQ279" s="174"/>
      <c r="BR279" s="174"/>
      <c r="BS279" s="174"/>
      <c r="BT279" s="174"/>
      <c r="BU279" s="174"/>
      <c r="BV279" s="174"/>
      <c r="BW279" s="174"/>
      <c r="BX279" s="174"/>
      <c r="BY279" s="174"/>
      <c r="BZ279" s="174"/>
      <c r="CA279" s="174"/>
      <c r="CB279" s="174"/>
      <c r="CC279" s="174"/>
      <c r="CD279" s="174"/>
    </row>
    <row r="280">
      <c r="A280" s="105" t="str">
        <f>IF(preDEL!$AG280,IFERROR(0/0,""),preDEL!A280)</f>
        <v>MA337A</v>
      </c>
      <c r="B280" s="170">
        <f>IF(preDEL!$AG280,IFERROR(0/0,""),preDEL!B280)</f>
        <v>44582</v>
      </c>
      <c r="C280" s="171">
        <f>IF(preDEL!$AG280,IFERROR(0/0,""),preDEL!C280)</f>
        <v>0.3910185185</v>
      </c>
      <c r="D280" s="105" t="str">
        <f>IF(preDEL!$AG280,IFERROR(0/0,""),preDEL!D280)</f>
        <v/>
      </c>
      <c r="E280" s="105" t="str">
        <f>IF(preDEL!$AG280,IFERROR(0/0,""),preDEL!E280)</f>
        <v/>
      </c>
      <c r="F280" s="112" t="str">
        <f>IF(preDEL!$AG280,IFERROR(0/0,""),preDEL!F280)</f>
        <v/>
      </c>
      <c r="G280" s="112" t="str">
        <f>IF(preDEL!$AG280,IFERROR(0/0,""),preDEL!G280)</f>
        <v/>
      </c>
      <c r="H280" s="112" t="str">
        <f>IF(preDEL!$AG280,IFERROR(0/0,""),preDEL!H280)</f>
        <v/>
      </c>
      <c r="I280" s="105" t="str">
        <f>IF(preDEL!$AG280,IFERROR(0/0,""),preDEL!I280)</f>
        <v/>
      </c>
      <c r="J280" s="105" t="str">
        <f>IF(preDEL!$AG280,IFERROR(0/0,""),preDEL!J280)</f>
        <v/>
      </c>
      <c r="K280" s="105" t="str">
        <f>IF(preDEL!$AG280,IFERROR(0/0,""),preDEL!K280)</f>
        <v>Positive</v>
      </c>
      <c r="L280" s="170">
        <f>IF(preDEL!$AG280,IFERROR(0/0,""),preDEL!L280)</f>
        <v>44582</v>
      </c>
      <c r="M280" s="171">
        <f>IF(preDEL!$AG280,IFERROR(0/0,""),preDEL!M280)</f>
        <v>0.4884027778</v>
      </c>
      <c r="N280" s="112" t="str">
        <f>IF(preDEL!$AG280,IFERROR(0/0,""),preDEL!N280)</f>
        <v/>
      </c>
      <c r="O280" s="112" t="str">
        <f>IF(preDEL!$AG280,IFERROR(0/0,""),preDEL!O280)</f>
        <v/>
      </c>
      <c r="P280" s="110" t="str">
        <f>IF(preDEL!$AG280,IFERROR(0/0,""),preDEL!P280)</f>
        <v>ER - NOT IN APT</v>
      </c>
      <c r="Q280" s="110" t="str">
        <f>IF(preDEL!$AG280,IFERROR(0/0,""),preDEL!Q280)</f>
        <v>ER - NOT IN APT</v>
      </c>
      <c r="R280" s="104" t="b">
        <f>IF(preDEL!$AG280,IFERROR(0/0,""),preDEL!R280)</f>
        <v>1</v>
      </c>
      <c r="S280" s="104">
        <f>IF(preDEL!$AG280,IFERROR(0/0,""),preDEL!S280)</f>
        <v>1</v>
      </c>
      <c r="T280" s="110">
        <f>IF(preDEL!$AG280,IFERROR(0/0,""),preDEL!T280)</f>
        <v>1</v>
      </c>
      <c r="U280" s="112" t="str">
        <f>IF(preDEL!$AG280,IFERROR(0/0,""),preDEL!U280)</f>
        <v/>
      </c>
      <c r="V280" s="105" t="str">
        <f>IF(preDEL!$AG280,IFERROR(0/0,""),preDEL!V280)</f>
        <v/>
      </c>
      <c r="W280" s="112" t="str">
        <f>IF(preDEL!$AG280,IFERROR(0/0,""),preDEL!W280)</f>
        <v/>
      </c>
      <c r="X280" s="104" t="b">
        <f>IF(preDEL!$AG280,IFERROR(0/0,""),preDEL!X280)</f>
        <v>0</v>
      </c>
      <c r="Y280" s="110" t="b">
        <f>IF(preDEL!$AG280,IFERROR(0/0,""),preDEL!Y280)</f>
        <v>0</v>
      </c>
      <c r="Z280" s="105" t="str">
        <f>IF(preDEL!$AG280,IFERROR(0/0,""),preDEL!Z280)</f>
        <v/>
      </c>
      <c r="AA280" s="110" t="b">
        <f>IF(preDEL!$AG280,IFERROR(0/0,""),preDEL!AA280)</f>
        <v>0</v>
      </c>
      <c r="AB280" s="110" t="b">
        <f>IF(preDEL!$AG280,IFERROR(0/0,""),preDEL!AB280)</f>
        <v>0</v>
      </c>
      <c r="AC280" s="172">
        <f>IF(preDEL!$AG280,IFERROR(0/0,""),preDEL!AC280)</f>
        <v>528</v>
      </c>
      <c r="AD280" s="104" t="b">
        <f>IF(preDEL!$AG280,IFERROR(0/0,""),preDEL!AD280)</f>
        <v>0</v>
      </c>
      <c r="AE280" s="173">
        <f>IF(preDEL!$AG280,IFERROR(0/0,""),preDEL!AE280)</f>
        <v>140.2333333</v>
      </c>
      <c r="AF280" s="110" t="b">
        <f>IF(preDEL!$AG280,IFERROR(0/0,""),preDEL!AF280)</f>
        <v>0</v>
      </c>
      <c r="AG280" s="110" t="b">
        <f>IF(preDEL!$AG280,IFERROR(0/0,""),preDEL!AG280)</f>
        <v>0</v>
      </c>
      <c r="AH280" s="104" t="str">
        <f>IF(preDEL!$AG280,IFERROR(0/0,""),preDEL!AH280)</f>
        <v/>
      </c>
      <c r="AI280" s="105">
        <f>IF(preDEL!$AG280,IFERROR(0/0,""),preDEL!AI280)</f>
        <v>1.3</v>
      </c>
      <c r="AJ280" s="112" t="str">
        <f>IF(preDEL!$AG280,IFERROR(0/0,""),preDEL!AJ280)</f>
        <v/>
      </c>
      <c r="AK280" s="105" t="str">
        <f>IF(preDEL!$AG280,IFERROR(0/0,""),preDEL!AK280)</f>
        <v>Positive</v>
      </c>
      <c r="AL280" s="112" t="str">
        <f>IF(preDEL!$AG280,IFERROR(0/0,""),preDEL!AL280)</f>
        <v>Duplicate Tube ID has been split into a separate tube but this may be a pure duplication - it is a positive Tube, so we need to give this close scrutiny.  Typically if the Participants in a duplicate Tube ID don't appear in any other tube that day, the Tube is assumed to be a different Tube and assigned an "x" (correction code 1.3).  But this typically does not happen with a Positive Tube.</v>
      </c>
      <c r="AM280" s="112" t="str">
        <f>IF(preDEL!$AG280,IFERROR(0/0,""),preDEL!AM280)</f>
        <v>SpBEND394154</v>
      </c>
      <c r="AN280" s="112" t="str">
        <f>IF(preDEL!$AG280,IFERROR(0/0,""),preDEL!AN280)</f>
        <v>BEND304589</v>
      </c>
      <c r="AO280" s="112" t="str">
        <f>IF(preDEL!$AG280,IFERROR(0/0,""),preDEL!AO280)</f>
        <v/>
      </c>
      <c r="AP280" s="112" t="str">
        <f>IF(preDEL!$AG280,IFERROR(0/0,""),preDEL!AP280)</f>
        <v/>
      </c>
      <c r="AQ280" s="112" t="str">
        <f>IF(preDEL!$AG280,IFERROR(0/0,""),preDEL!AQ280)</f>
        <v/>
      </c>
      <c r="AR280" s="112" t="str">
        <f>IF(preDEL!$AG280,IFERROR(0/0,""),preDEL!AR280)</f>
        <v/>
      </c>
      <c r="AS280" s="112" t="str">
        <f>IF(preDEL!$AG280,IFERROR(0/0,""),preDEL!AS280)</f>
        <v/>
      </c>
      <c r="AT280" s="112" t="b">
        <f>IF(preDEL!$AG280,IFERROR(0/0,""),preDEL!AT280)</f>
        <v>0</v>
      </c>
      <c r="AU280" s="112" t="str">
        <f>IF(preDEL!$AG280,IFERROR(0/0,""),preDEL!AU280)</f>
        <v/>
      </c>
      <c r="AV280" s="112" t="str">
        <f>IF(preDEL!$AG280,IFERROR(0/0,""),preDEL!AV280)</f>
        <v/>
      </c>
      <c r="AW280" s="112" t="str">
        <f>IF(preDEL!$AG280,IFERROR(0/0,""),preDEL!AW280)</f>
        <v/>
      </c>
      <c r="AX280" s="112" t="str">
        <f>IF(preDEL!$AG280,IFERROR(0/0,""),preDEL!AX280)</f>
        <v/>
      </c>
      <c r="AY280" s="112" t="str">
        <f>IF(preDEL!$AG280,IFERROR(0/0,""),preDEL!AY280)</f>
        <v/>
      </c>
      <c r="AZ280" s="174"/>
      <c r="BA280" s="174"/>
      <c r="BB280" s="174"/>
      <c r="BC280" s="174"/>
      <c r="BD280" s="174"/>
      <c r="BE280" s="174"/>
      <c r="BF280" s="174"/>
      <c r="BG280" s="174"/>
      <c r="BH280" s="174"/>
      <c r="BI280" s="174"/>
      <c r="BJ280" s="174"/>
      <c r="BK280" s="174"/>
      <c r="BL280" s="174"/>
      <c r="BM280" s="174"/>
      <c r="BN280" s="174"/>
      <c r="BO280" s="174"/>
      <c r="BP280" s="174"/>
      <c r="BQ280" s="174"/>
      <c r="BR280" s="174"/>
      <c r="BS280" s="174"/>
      <c r="BT280" s="174"/>
      <c r="BU280" s="174"/>
      <c r="BV280" s="174"/>
      <c r="BW280" s="174"/>
      <c r="BX280" s="174"/>
      <c r="BY280" s="174"/>
      <c r="BZ280" s="174"/>
      <c r="CA280" s="174"/>
      <c r="CB280" s="174"/>
      <c r="CC280" s="174"/>
      <c r="CD280" s="174"/>
    </row>
    <row r="281">
      <c r="A281" s="105" t="str">
        <f>IF(preDEL!$AG281,IFERROR(0/0,""),preDEL!A281)</f>
        <v>MAX141</v>
      </c>
      <c r="B281" s="170">
        <f>IF(preDEL!$AG281,IFERROR(0/0,""),preDEL!B281)</f>
        <v>44582</v>
      </c>
      <c r="C281" s="171">
        <f>IF(preDEL!$AG281,IFERROR(0/0,""),preDEL!C281)</f>
        <v>0.3978009259</v>
      </c>
      <c r="D281" s="105" t="str">
        <f>IF(preDEL!$AG281,IFERROR(0/0,""),preDEL!D281)</f>
        <v/>
      </c>
      <c r="E281" s="105" t="str">
        <f>IF(preDEL!$AG281,IFERROR(0/0,""),preDEL!E281)</f>
        <v/>
      </c>
      <c r="F281" s="112" t="str">
        <f>IF(preDEL!$AG281,IFERROR(0/0,""),preDEL!F281)</f>
        <v/>
      </c>
      <c r="G281" s="112" t="str">
        <f>IF(preDEL!$AG281,IFERROR(0/0,""),preDEL!G281)</f>
        <v/>
      </c>
      <c r="H281" s="112" t="str">
        <f>IF(preDEL!$AG281,IFERROR(0/0,""),preDEL!H281)</f>
        <v/>
      </c>
      <c r="I281" s="105" t="str">
        <f>IF(preDEL!$AG281,IFERROR(0/0,""),preDEL!I281)</f>
        <v/>
      </c>
      <c r="J281" s="105" t="str">
        <f>IF(preDEL!$AG281,IFERROR(0/0,""),preDEL!J281)</f>
        <v/>
      </c>
      <c r="K281" s="105" t="str">
        <f>IF(preDEL!$AG281,IFERROR(0/0,""),preDEL!K281)</f>
        <v>Positive</v>
      </c>
      <c r="L281" s="170">
        <f>IF(preDEL!$AG281,IFERROR(0/0,""),preDEL!L281)</f>
        <v>44582</v>
      </c>
      <c r="M281" s="171">
        <f>IF(preDEL!$AG281,IFERROR(0/0,""),preDEL!M281)</f>
        <v>0.4884027778</v>
      </c>
      <c r="N281" s="112" t="str">
        <f>IF(preDEL!$AG281,IFERROR(0/0,""),preDEL!N281)</f>
        <v/>
      </c>
      <c r="O281" s="112" t="str">
        <f>IF(preDEL!$AG281,IFERROR(0/0,""),preDEL!O281)</f>
        <v/>
      </c>
      <c r="P281" s="110" t="b">
        <f>IF(preDEL!$AG281,IFERROR(0/0,""),preDEL!P281)</f>
        <v>0</v>
      </c>
      <c r="Q281" s="110" t="str">
        <f>IF(preDEL!$AG281,IFERROR(0/0,""),preDEL!Q281)</f>
        <v>Result</v>
      </c>
      <c r="R281" s="104" t="b">
        <f>IF(preDEL!$AG281,IFERROR(0/0,""),preDEL!R281)</f>
        <v>1</v>
      </c>
      <c r="S281" s="104">
        <f>IF(preDEL!$AG281,IFERROR(0/0,""),preDEL!S281)</f>
        <v>1</v>
      </c>
      <c r="T281" s="110" t="str">
        <f>IF(preDEL!$AG281,IFERROR(0/0,""),preDEL!T281)</f>
        <v/>
      </c>
      <c r="U281" s="112" t="str">
        <f>IF(preDEL!$AG281,IFERROR(0/0,""),preDEL!U281)</f>
        <v/>
      </c>
      <c r="V281" s="105" t="str">
        <f>IF(preDEL!$AG281,IFERROR(0/0,""),preDEL!V281)</f>
        <v/>
      </c>
      <c r="W281" s="112" t="str">
        <f>IF(preDEL!$AG281,IFERROR(0/0,""),preDEL!W281)</f>
        <v/>
      </c>
      <c r="X281" s="104" t="b">
        <f>IF(preDEL!$AG281,IFERROR(0/0,""),preDEL!X281)</f>
        <v>0</v>
      </c>
      <c r="Y281" s="110" t="b">
        <f>IF(preDEL!$AG281,IFERROR(0/0,""),preDEL!Y281)</f>
        <v>0</v>
      </c>
      <c r="Z281" s="105" t="str">
        <f>IF(preDEL!$AG281,IFERROR(0/0,""),preDEL!Z281)</f>
        <v/>
      </c>
      <c r="AA281" s="110" t="b">
        <f>IF(preDEL!$AG281,IFERROR(0/0,""),preDEL!AA281)</f>
        <v>0</v>
      </c>
      <c r="AB281" s="110" t="b">
        <f>IF(preDEL!$AG281,IFERROR(0/0,""),preDEL!AB281)</f>
        <v>0</v>
      </c>
      <c r="AC281" s="172">
        <f>IF(preDEL!$AG281,IFERROR(0/0,""),preDEL!AC281)</f>
        <v>527</v>
      </c>
      <c r="AD281" s="104" t="b">
        <f>IF(preDEL!$AG281,IFERROR(0/0,""),preDEL!AD281)</f>
        <v>0</v>
      </c>
      <c r="AE281" s="173">
        <f>IF(preDEL!$AG281,IFERROR(0/0,""),preDEL!AE281)</f>
        <v>130.4666667</v>
      </c>
      <c r="AF281" s="110" t="b">
        <f>IF(preDEL!$AG281,IFERROR(0/0,""),preDEL!AF281)</f>
        <v>0</v>
      </c>
      <c r="AG281" s="110" t="b">
        <f>IF(preDEL!$AG281,IFERROR(0/0,""),preDEL!AG281)</f>
        <v>0</v>
      </c>
      <c r="AH281" s="104" t="str">
        <f>IF(preDEL!$AG281,IFERROR(0/0,""),preDEL!AH281)</f>
        <v/>
      </c>
      <c r="AI281" s="105" t="str">
        <f>IF(preDEL!$AG281,IFERROR(0/0,""),preDEL!AI281)</f>
        <v/>
      </c>
      <c r="AJ281" s="112" t="str">
        <f>IF(preDEL!$AG281,IFERROR(0/0,""),preDEL!AJ281)</f>
        <v/>
      </c>
      <c r="AK281" s="105" t="str">
        <f>IF(preDEL!$AG281,IFERROR(0/0,""),preDEL!AK281)</f>
        <v>Positive</v>
      </c>
      <c r="AL281" s="112" t="str">
        <f>IF(preDEL!$AG281,IFERROR(0/0,""),preDEL!AL281)</f>
        <v/>
      </c>
      <c r="AM281" s="112" t="str">
        <f>IF(preDEL!$AG281,IFERROR(0/0,""),preDEL!AM281)</f>
        <v>SpBEND980783</v>
      </c>
      <c r="AN281" s="112" t="str">
        <f>IF(preDEL!$AG281,IFERROR(0/0,""),preDEL!AN281)</f>
        <v>BEND162474</v>
      </c>
      <c r="AO281" s="112" t="str">
        <f>IF(preDEL!$AG281,IFERROR(0/0,""),preDEL!AO281)</f>
        <v/>
      </c>
      <c r="AP281" s="112" t="str">
        <f>IF(preDEL!$AG281,IFERROR(0/0,""),preDEL!AP281)</f>
        <v/>
      </c>
      <c r="AQ281" s="112" t="str">
        <f>IF(preDEL!$AG281,IFERROR(0/0,""),preDEL!AQ281)</f>
        <v/>
      </c>
      <c r="AR281" s="112" t="str">
        <f>IF(preDEL!$AG281,IFERROR(0/0,""),preDEL!AR281)</f>
        <v/>
      </c>
      <c r="AS281" s="112" t="str">
        <f>IF(preDEL!$AG281,IFERROR(0/0,""),preDEL!AS281)</f>
        <v/>
      </c>
      <c r="AT281" s="112" t="b">
        <f>IF(preDEL!$AG281,IFERROR(0/0,""),preDEL!AT281)</f>
        <v>0</v>
      </c>
      <c r="AU281" s="112" t="str">
        <f>IF(preDEL!$AG281,IFERROR(0/0,""),preDEL!AU281)</f>
        <v/>
      </c>
      <c r="AV281" s="112" t="str">
        <f>IF(preDEL!$AG281,IFERROR(0/0,""),preDEL!AV281)</f>
        <v/>
      </c>
      <c r="AW281" s="112" t="str">
        <f>IF(preDEL!$AG281,IFERROR(0/0,""),preDEL!AW281)</f>
        <v/>
      </c>
      <c r="AX281" s="112" t="str">
        <f>IF(preDEL!$AG281,IFERROR(0/0,""),preDEL!AX281)</f>
        <v/>
      </c>
      <c r="AY281" s="112" t="str">
        <f>IF(preDEL!$AG281,IFERROR(0/0,""),preDEL!AY281)</f>
        <v/>
      </c>
      <c r="AZ281" s="174"/>
      <c r="BA281" s="174"/>
      <c r="BB281" s="174"/>
      <c r="BC281" s="174"/>
      <c r="BD281" s="174"/>
      <c r="BE281" s="174"/>
      <c r="BF281" s="174"/>
      <c r="BG281" s="174"/>
      <c r="BH281" s="174"/>
      <c r="BI281" s="174"/>
      <c r="BJ281" s="174"/>
      <c r="BK281" s="174"/>
      <c r="BL281" s="174"/>
      <c r="BM281" s="174"/>
      <c r="BN281" s="174"/>
      <c r="BO281" s="174"/>
      <c r="BP281" s="174"/>
      <c r="BQ281" s="174"/>
      <c r="BR281" s="174"/>
      <c r="BS281" s="174"/>
      <c r="BT281" s="174"/>
      <c r="BU281" s="174"/>
      <c r="BV281" s="174"/>
      <c r="BW281" s="174"/>
      <c r="BX281" s="174"/>
      <c r="BY281" s="174"/>
      <c r="BZ281" s="174"/>
      <c r="CA281" s="174"/>
      <c r="CB281" s="174"/>
      <c r="CC281" s="174"/>
      <c r="CD281" s="174"/>
    </row>
    <row r="282">
      <c r="A282" s="105" t="str">
        <f>IF(preDEL!$AG282,IFERROR(0/0,""),preDEL!A282)</f>
        <v/>
      </c>
      <c r="B282" s="170" t="str">
        <f>IF(preDEL!$AG282,IFERROR(0/0,""),preDEL!B282)</f>
        <v/>
      </c>
      <c r="C282" s="171" t="str">
        <f>IF(preDEL!$AG282,IFERROR(0/0,""),preDEL!C282)</f>
        <v/>
      </c>
      <c r="D282" s="105" t="str">
        <f>IF(preDEL!$AG282,IFERROR(0/0,""),preDEL!D282)</f>
        <v/>
      </c>
      <c r="E282" s="105" t="str">
        <f>IF(preDEL!$AG282,IFERROR(0/0,""),preDEL!E282)</f>
        <v/>
      </c>
      <c r="F282" s="112" t="str">
        <f>IF(preDEL!$AG282,IFERROR(0/0,""),preDEL!F282)</f>
        <v/>
      </c>
      <c r="G282" s="112" t="str">
        <f>IF(preDEL!$AG282,IFERROR(0/0,""),preDEL!G282)</f>
        <v/>
      </c>
      <c r="H282" s="112" t="str">
        <f>IF(preDEL!$AG282,IFERROR(0/0,""),preDEL!H282)</f>
        <v/>
      </c>
      <c r="I282" s="105" t="str">
        <f>IF(preDEL!$AG282,IFERROR(0/0,""),preDEL!I282)</f>
        <v/>
      </c>
      <c r="J282" s="105" t="str">
        <f>IF(preDEL!$AG282,IFERROR(0/0,""),preDEL!J282)</f>
        <v/>
      </c>
      <c r="K282" s="105" t="str">
        <f>IF(preDEL!$AG282,IFERROR(0/0,""),preDEL!K282)</f>
        <v/>
      </c>
      <c r="L282" s="170" t="str">
        <f>IF(preDEL!$AG282,IFERROR(0/0,""),preDEL!L282)</f>
        <v/>
      </c>
      <c r="M282" s="171" t="str">
        <f>IF(preDEL!$AG282,IFERROR(0/0,""),preDEL!M282)</f>
        <v/>
      </c>
      <c r="N282" s="112" t="str">
        <f>IF(preDEL!$AG282,IFERROR(0/0,""),preDEL!N282)</f>
        <v/>
      </c>
      <c r="O282" s="112" t="str">
        <f>IF(preDEL!$AG282,IFERROR(0/0,""),preDEL!O282)</f>
        <v/>
      </c>
      <c r="P282" s="110" t="str">
        <f>IF(preDEL!$AG282,IFERROR(0/0,""),preDEL!P282)</f>
        <v/>
      </c>
      <c r="Q282" s="110" t="str">
        <f>IF(preDEL!$AG282,IFERROR(0/0,""),preDEL!Q282)</f>
        <v/>
      </c>
      <c r="R282" s="104" t="str">
        <f>IF(preDEL!$AG282,IFERROR(0/0,""),preDEL!R282)</f>
        <v/>
      </c>
      <c r="S282" s="104" t="str">
        <f>IF(preDEL!$AG282,IFERROR(0/0,""),preDEL!S282)</f>
        <v/>
      </c>
      <c r="T282" s="110" t="str">
        <f>IF(preDEL!$AG282,IFERROR(0/0,""),preDEL!T282)</f>
        <v/>
      </c>
      <c r="U282" s="112" t="str">
        <f>IF(preDEL!$AG282,IFERROR(0/0,""),preDEL!U282)</f>
        <v/>
      </c>
      <c r="V282" s="105" t="str">
        <f>IF(preDEL!$AG282,IFERROR(0/0,""),preDEL!V282)</f>
        <v/>
      </c>
      <c r="W282" s="112" t="str">
        <f>IF(preDEL!$AG282,IFERROR(0/0,""),preDEL!W282)</f>
        <v/>
      </c>
      <c r="X282" s="104" t="str">
        <f>IF(preDEL!$AG282,IFERROR(0/0,""),preDEL!X282)</f>
        <v/>
      </c>
      <c r="Y282" s="110" t="str">
        <f>IF(preDEL!$AG282,IFERROR(0/0,""),preDEL!Y282)</f>
        <v/>
      </c>
      <c r="Z282" s="105" t="str">
        <f>IF(preDEL!$AG282,IFERROR(0/0,""),preDEL!Z282)</f>
        <v/>
      </c>
      <c r="AA282" s="110" t="str">
        <f>IF(preDEL!$AG282,IFERROR(0/0,""),preDEL!AA282)</f>
        <v/>
      </c>
      <c r="AB282" s="110" t="str">
        <f>IF(preDEL!$AG282,IFERROR(0/0,""),preDEL!AB282)</f>
        <v/>
      </c>
      <c r="AC282" s="172" t="str">
        <f>IF(preDEL!$AG282,IFERROR(0/0,""),preDEL!AC282)</f>
        <v/>
      </c>
      <c r="AD282" s="104" t="str">
        <f>IF(preDEL!$AG282,IFERROR(0/0,""),preDEL!AD282)</f>
        <v/>
      </c>
      <c r="AE282" s="173" t="str">
        <f>IF(preDEL!$AG282,IFERROR(0/0,""),preDEL!AE282)</f>
        <v/>
      </c>
      <c r="AF282" s="110" t="str">
        <f>IF(preDEL!$AG282,IFERROR(0/0,""),preDEL!AF282)</f>
        <v/>
      </c>
      <c r="AG282" s="110" t="str">
        <f>IF(preDEL!$AG282,IFERROR(0/0,""),preDEL!AG282)</f>
        <v/>
      </c>
      <c r="AH282" s="104" t="str">
        <f>IF(preDEL!$AG282,IFERROR(0/0,""),preDEL!AH282)</f>
        <v/>
      </c>
      <c r="AI282" s="105" t="str">
        <f>IF(preDEL!$AG282,IFERROR(0/0,""),preDEL!AI282)</f>
        <v/>
      </c>
      <c r="AJ282" s="112" t="str">
        <f>IF(preDEL!$AG282,IFERROR(0/0,""),preDEL!AJ282)</f>
        <v/>
      </c>
      <c r="AK282" s="105" t="str">
        <f>IF(preDEL!$AG282,IFERROR(0/0,""),preDEL!AK282)</f>
        <v/>
      </c>
      <c r="AL282" s="112" t="str">
        <f>IF(preDEL!$AG282,IFERROR(0/0,""),preDEL!AL282)</f>
        <v/>
      </c>
      <c r="AM282" s="112" t="str">
        <f>IF(preDEL!$AG282,IFERROR(0/0,""),preDEL!AM282)</f>
        <v/>
      </c>
      <c r="AN282" s="112" t="str">
        <f>IF(preDEL!$AG282,IFERROR(0/0,""),preDEL!AN282)</f>
        <v/>
      </c>
      <c r="AO282" s="112" t="str">
        <f>IF(preDEL!$AG282,IFERROR(0/0,""),preDEL!AO282)</f>
        <v/>
      </c>
      <c r="AP282" s="112" t="str">
        <f>IF(preDEL!$AG282,IFERROR(0/0,""),preDEL!AP282)</f>
        <v/>
      </c>
      <c r="AQ282" s="112" t="str">
        <f>IF(preDEL!$AG282,IFERROR(0/0,""),preDEL!AQ282)</f>
        <v/>
      </c>
      <c r="AR282" s="112" t="str">
        <f>IF(preDEL!$AG282,IFERROR(0/0,""),preDEL!AR282)</f>
        <v/>
      </c>
      <c r="AS282" s="112" t="str">
        <f>IF(preDEL!$AG282,IFERROR(0/0,""),preDEL!AS282)</f>
        <v/>
      </c>
      <c r="AT282" s="112" t="str">
        <f>IF(preDEL!$AG282,IFERROR(0/0,""),preDEL!AT282)</f>
        <v/>
      </c>
      <c r="AU282" s="112" t="str">
        <f>IF(preDEL!$AG282,IFERROR(0/0,""),preDEL!AU282)</f>
        <v/>
      </c>
      <c r="AV282" s="112" t="str">
        <f>IF(preDEL!$AG282,IFERROR(0/0,""),preDEL!AV282)</f>
        <v/>
      </c>
      <c r="AW282" s="112" t="str">
        <f>IF(preDEL!$AG282,IFERROR(0/0,""),preDEL!AW282)</f>
        <v/>
      </c>
      <c r="AX282" s="112" t="str">
        <f>IF(preDEL!$AG282,IFERROR(0/0,""),preDEL!AX282)</f>
        <v/>
      </c>
      <c r="AY282" s="112" t="str">
        <f>IF(preDEL!$AG282,IFERROR(0/0,""),preDEL!AY282)</f>
        <v/>
      </c>
      <c r="AZ282" s="174"/>
      <c r="BA282" s="174"/>
      <c r="BB282" s="174"/>
      <c r="BC282" s="174"/>
      <c r="BD282" s="174"/>
      <c r="BE282" s="174"/>
      <c r="BF282" s="174"/>
      <c r="BG282" s="174"/>
      <c r="BH282" s="174"/>
      <c r="BI282" s="174"/>
      <c r="BJ282" s="174"/>
      <c r="BK282" s="174"/>
      <c r="BL282" s="174"/>
      <c r="BM282" s="174"/>
      <c r="BN282" s="174"/>
      <c r="BO282" s="174"/>
      <c r="BP282" s="174"/>
      <c r="BQ282" s="174"/>
      <c r="BR282" s="174"/>
      <c r="BS282" s="174"/>
      <c r="BT282" s="174"/>
      <c r="BU282" s="174"/>
      <c r="BV282" s="174"/>
      <c r="BW282" s="174"/>
      <c r="BX282" s="174"/>
      <c r="BY282" s="174"/>
      <c r="BZ282" s="174"/>
      <c r="CA282" s="174"/>
      <c r="CB282" s="174"/>
      <c r="CC282" s="174"/>
      <c r="CD282" s="174"/>
    </row>
    <row r="283">
      <c r="A283" s="105" t="str">
        <f>IF(preDEL!$AG283,IFERROR(0/0,""),preDEL!A283)</f>
        <v/>
      </c>
      <c r="B283" s="170" t="str">
        <f>IF(preDEL!$AG283,IFERROR(0/0,""),preDEL!B283)</f>
        <v/>
      </c>
      <c r="C283" s="171" t="str">
        <f>IF(preDEL!$AG283,IFERROR(0/0,""),preDEL!C283)</f>
        <v/>
      </c>
      <c r="D283" s="105" t="str">
        <f>IF(preDEL!$AG283,IFERROR(0/0,""),preDEL!D283)</f>
        <v/>
      </c>
      <c r="E283" s="105" t="str">
        <f>IF(preDEL!$AG283,IFERROR(0/0,""),preDEL!E283)</f>
        <v/>
      </c>
      <c r="F283" s="112" t="str">
        <f>IF(preDEL!$AG283,IFERROR(0/0,""),preDEL!F283)</f>
        <v/>
      </c>
      <c r="G283" s="112" t="str">
        <f>IF(preDEL!$AG283,IFERROR(0/0,""),preDEL!G283)</f>
        <v/>
      </c>
      <c r="H283" s="112" t="str">
        <f>IF(preDEL!$AG283,IFERROR(0/0,""),preDEL!H283)</f>
        <v/>
      </c>
      <c r="I283" s="105" t="str">
        <f>IF(preDEL!$AG283,IFERROR(0/0,""),preDEL!I283)</f>
        <v/>
      </c>
      <c r="J283" s="105" t="str">
        <f>IF(preDEL!$AG283,IFERROR(0/0,""),preDEL!J283)</f>
        <v/>
      </c>
      <c r="K283" s="105" t="str">
        <f>IF(preDEL!$AG283,IFERROR(0/0,""),preDEL!K283)</f>
        <v/>
      </c>
      <c r="L283" s="170" t="str">
        <f>IF(preDEL!$AG283,IFERROR(0/0,""),preDEL!L283)</f>
        <v/>
      </c>
      <c r="M283" s="171" t="str">
        <f>IF(preDEL!$AG283,IFERROR(0/0,""),preDEL!M283)</f>
        <v/>
      </c>
      <c r="N283" s="112" t="str">
        <f>IF(preDEL!$AG283,IFERROR(0/0,""),preDEL!N283)</f>
        <v/>
      </c>
      <c r="O283" s="112" t="str">
        <f>IF(preDEL!$AG283,IFERROR(0/0,""),preDEL!O283)</f>
        <v/>
      </c>
      <c r="P283" s="110" t="str">
        <f>IF(preDEL!$AG283,IFERROR(0/0,""),preDEL!P283)</f>
        <v/>
      </c>
      <c r="Q283" s="110" t="str">
        <f>IF(preDEL!$AG283,IFERROR(0/0,""),preDEL!Q283)</f>
        <v/>
      </c>
      <c r="R283" s="104" t="str">
        <f>IF(preDEL!$AG283,IFERROR(0/0,""),preDEL!R283)</f>
        <v/>
      </c>
      <c r="S283" s="104" t="str">
        <f>IF(preDEL!$AG283,IFERROR(0/0,""),preDEL!S283)</f>
        <v/>
      </c>
      <c r="T283" s="110" t="str">
        <f>IF(preDEL!$AG283,IFERROR(0/0,""),preDEL!T283)</f>
        <v/>
      </c>
      <c r="U283" s="112" t="str">
        <f>IF(preDEL!$AG283,IFERROR(0/0,""),preDEL!U283)</f>
        <v/>
      </c>
      <c r="V283" s="105" t="str">
        <f>IF(preDEL!$AG283,IFERROR(0/0,""),preDEL!V283)</f>
        <v/>
      </c>
      <c r="W283" s="112" t="str">
        <f>IF(preDEL!$AG283,IFERROR(0/0,""),preDEL!W283)</f>
        <v/>
      </c>
      <c r="X283" s="104" t="str">
        <f>IF(preDEL!$AG283,IFERROR(0/0,""),preDEL!X283)</f>
        <v/>
      </c>
      <c r="Y283" s="110" t="str">
        <f>IF(preDEL!$AG283,IFERROR(0/0,""),preDEL!Y283)</f>
        <v/>
      </c>
      <c r="Z283" s="105" t="str">
        <f>IF(preDEL!$AG283,IFERROR(0/0,""),preDEL!Z283)</f>
        <v/>
      </c>
      <c r="AA283" s="110" t="str">
        <f>IF(preDEL!$AG283,IFERROR(0/0,""),preDEL!AA283)</f>
        <v/>
      </c>
      <c r="AB283" s="110" t="str">
        <f>IF(preDEL!$AG283,IFERROR(0/0,""),preDEL!AB283)</f>
        <v/>
      </c>
      <c r="AC283" s="172" t="str">
        <f>IF(preDEL!$AG283,IFERROR(0/0,""),preDEL!AC283)</f>
        <v/>
      </c>
      <c r="AD283" s="104" t="str">
        <f>IF(preDEL!$AG283,IFERROR(0/0,""),preDEL!AD283)</f>
        <v/>
      </c>
      <c r="AE283" s="173" t="str">
        <f>IF(preDEL!$AG283,IFERROR(0/0,""),preDEL!AE283)</f>
        <v/>
      </c>
      <c r="AF283" s="110" t="str">
        <f>IF(preDEL!$AG283,IFERROR(0/0,""),preDEL!AF283)</f>
        <v/>
      </c>
      <c r="AG283" s="110" t="str">
        <f>IF(preDEL!$AG283,IFERROR(0/0,""),preDEL!AG283)</f>
        <v/>
      </c>
      <c r="AH283" s="104" t="str">
        <f>IF(preDEL!$AG283,IFERROR(0/0,""),preDEL!AH283)</f>
        <v/>
      </c>
      <c r="AI283" s="105" t="str">
        <f>IF(preDEL!$AG283,IFERROR(0/0,""),preDEL!AI283)</f>
        <v/>
      </c>
      <c r="AJ283" s="112" t="str">
        <f>IF(preDEL!$AG283,IFERROR(0/0,""),preDEL!AJ283)</f>
        <v/>
      </c>
      <c r="AK283" s="105" t="str">
        <f>IF(preDEL!$AG283,IFERROR(0/0,""),preDEL!AK283)</f>
        <v/>
      </c>
      <c r="AL283" s="112" t="str">
        <f>IF(preDEL!$AG283,IFERROR(0/0,""),preDEL!AL283)</f>
        <v/>
      </c>
      <c r="AM283" s="112" t="str">
        <f>IF(preDEL!$AG283,IFERROR(0/0,""),preDEL!AM283)</f>
        <v/>
      </c>
      <c r="AN283" s="112" t="str">
        <f>IF(preDEL!$AG283,IFERROR(0/0,""),preDEL!AN283)</f>
        <v/>
      </c>
      <c r="AO283" s="112" t="str">
        <f>IF(preDEL!$AG283,IFERROR(0/0,""),preDEL!AO283)</f>
        <v/>
      </c>
      <c r="AP283" s="112" t="str">
        <f>IF(preDEL!$AG283,IFERROR(0/0,""),preDEL!AP283)</f>
        <v/>
      </c>
      <c r="AQ283" s="112" t="str">
        <f>IF(preDEL!$AG283,IFERROR(0/0,""),preDEL!AQ283)</f>
        <v/>
      </c>
      <c r="AR283" s="112" t="str">
        <f>IF(preDEL!$AG283,IFERROR(0/0,""),preDEL!AR283)</f>
        <v/>
      </c>
      <c r="AS283" s="112" t="str">
        <f>IF(preDEL!$AG283,IFERROR(0/0,""),preDEL!AS283)</f>
        <v/>
      </c>
      <c r="AT283" s="112" t="str">
        <f>IF(preDEL!$AG283,IFERROR(0/0,""),preDEL!AT283)</f>
        <v/>
      </c>
      <c r="AU283" s="112" t="str">
        <f>IF(preDEL!$AG283,IFERROR(0/0,""),preDEL!AU283)</f>
        <v/>
      </c>
      <c r="AV283" s="112" t="str">
        <f>IF(preDEL!$AG283,IFERROR(0/0,""),preDEL!AV283)</f>
        <v/>
      </c>
      <c r="AW283" s="112" t="str">
        <f>IF(preDEL!$AG283,IFERROR(0/0,""),preDEL!AW283)</f>
        <v/>
      </c>
      <c r="AX283" s="112" t="str">
        <f>IF(preDEL!$AG283,IFERROR(0/0,""),preDEL!AX283)</f>
        <v/>
      </c>
      <c r="AY283" s="112" t="str">
        <f>IF(preDEL!$AG283,IFERROR(0/0,""),preDEL!AY283)</f>
        <v/>
      </c>
      <c r="AZ283" s="174"/>
      <c r="BA283" s="174"/>
      <c r="BB283" s="174"/>
      <c r="BC283" s="174"/>
      <c r="BD283" s="174"/>
      <c r="BE283" s="174"/>
      <c r="BF283" s="174"/>
      <c r="BG283" s="174"/>
      <c r="BH283" s="174"/>
      <c r="BI283" s="174"/>
      <c r="BJ283" s="174"/>
      <c r="BK283" s="174"/>
      <c r="BL283" s="174"/>
      <c r="BM283" s="174"/>
      <c r="BN283" s="174"/>
      <c r="BO283" s="174"/>
      <c r="BP283" s="174"/>
      <c r="BQ283" s="174"/>
      <c r="BR283" s="174"/>
      <c r="BS283" s="174"/>
      <c r="BT283" s="174"/>
      <c r="BU283" s="174"/>
      <c r="BV283" s="174"/>
      <c r="BW283" s="174"/>
      <c r="BX283" s="174"/>
      <c r="BY283" s="174"/>
      <c r="BZ283" s="174"/>
      <c r="CA283" s="174"/>
      <c r="CB283" s="174"/>
      <c r="CC283" s="174"/>
      <c r="CD283" s="174"/>
    </row>
    <row r="284">
      <c r="A284" s="105" t="str">
        <f>IF(preDEL!$AG284,IFERROR(0/0,""),preDEL!A284)</f>
        <v/>
      </c>
      <c r="B284" s="170" t="str">
        <f>IF(preDEL!$AG284,IFERROR(0/0,""),preDEL!B284)</f>
        <v/>
      </c>
      <c r="C284" s="171" t="str">
        <f>IF(preDEL!$AG284,IFERROR(0/0,""),preDEL!C284)</f>
        <v/>
      </c>
      <c r="D284" s="105" t="str">
        <f>IF(preDEL!$AG284,IFERROR(0/0,""),preDEL!D284)</f>
        <v/>
      </c>
      <c r="E284" s="105" t="str">
        <f>IF(preDEL!$AG284,IFERROR(0/0,""),preDEL!E284)</f>
        <v/>
      </c>
      <c r="F284" s="112" t="str">
        <f>IF(preDEL!$AG284,IFERROR(0/0,""),preDEL!F284)</f>
        <v/>
      </c>
      <c r="G284" s="112" t="str">
        <f>IF(preDEL!$AG284,IFERROR(0/0,""),preDEL!G284)</f>
        <v/>
      </c>
      <c r="H284" s="112" t="str">
        <f>IF(preDEL!$AG284,IFERROR(0/0,""),preDEL!H284)</f>
        <v/>
      </c>
      <c r="I284" s="105" t="str">
        <f>IF(preDEL!$AG284,IFERROR(0/0,""),preDEL!I284)</f>
        <v/>
      </c>
      <c r="J284" s="105" t="str">
        <f>IF(preDEL!$AG284,IFERROR(0/0,""),preDEL!J284)</f>
        <v/>
      </c>
      <c r="K284" s="105" t="str">
        <f>IF(preDEL!$AG284,IFERROR(0/0,""),preDEL!K284)</f>
        <v/>
      </c>
      <c r="L284" s="170" t="str">
        <f>IF(preDEL!$AG284,IFERROR(0/0,""),preDEL!L284)</f>
        <v/>
      </c>
      <c r="M284" s="171" t="str">
        <f>IF(preDEL!$AG284,IFERROR(0/0,""),preDEL!M284)</f>
        <v/>
      </c>
      <c r="N284" s="112" t="str">
        <f>IF(preDEL!$AG284,IFERROR(0/0,""),preDEL!N284)</f>
        <v/>
      </c>
      <c r="O284" s="112" t="str">
        <f>IF(preDEL!$AG284,IFERROR(0/0,""),preDEL!O284)</f>
        <v/>
      </c>
      <c r="P284" s="110" t="str">
        <f>IF(preDEL!$AG284,IFERROR(0/0,""),preDEL!P284)</f>
        <v/>
      </c>
      <c r="Q284" s="110" t="str">
        <f>IF(preDEL!$AG284,IFERROR(0/0,""),preDEL!Q284)</f>
        <v/>
      </c>
      <c r="R284" s="104" t="str">
        <f>IF(preDEL!$AG284,IFERROR(0/0,""),preDEL!R284)</f>
        <v/>
      </c>
      <c r="S284" s="104" t="str">
        <f>IF(preDEL!$AG284,IFERROR(0/0,""),preDEL!S284)</f>
        <v/>
      </c>
      <c r="T284" s="110" t="str">
        <f>IF(preDEL!$AG284,IFERROR(0/0,""),preDEL!T284)</f>
        <v/>
      </c>
      <c r="U284" s="112" t="str">
        <f>IF(preDEL!$AG284,IFERROR(0/0,""),preDEL!U284)</f>
        <v/>
      </c>
      <c r="V284" s="105" t="str">
        <f>IF(preDEL!$AG284,IFERROR(0/0,""),preDEL!V284)</f>
        <v/>
      </c>
      <c r="W284" s="112" t="str">
        <f>IF(preDEL!$AG284,IFERROR(0/0,""),preDEL!W284)</f>
        <v/>
      </c>
      <c r="X284" s="104" t="str">
        <f>IF(preDEL!$AG284,IFERROR(0/0,""),preDEL!X284)</f>
        <v/>
      </c>
      <c r="Y284" s="110" t="str">
        <f>IF(preDEL!$AG284,IFERROR(0/0,""),preDEL!Y284)</f>
        <v/>
      </c>
      <c r="Z284" s="105" t="str">
        <f>IF(preDEL!$AG284,IFERROR(0/0,""),preDEL!Z284)</f>
        <v/>
      </c>
      <c r="AA284" s="110" t="str">
        <f>IF(preDEL!$AG284,IFERROR(0/0,""),preDEL!AA284)</f>
        <v/>
      </c>
      <c r="AB284" s="110" t="str">
        <f>IF(preDEL!$AG284,IFERROR(0/0,""),preDEL!AB284)</f>
        <v/>
      </c>
      <c r="AC284" s="172" t="str">
        <f>IF(preDEL!$AG284,IFERROR(0/0,""),preDEL!AC284)</f>
        <v/>
      </c>
      <c r="AD284" s="104" t="str">
        <f>IF(preDEL!$AG284,IFERROR(0/0,""),preDEL!AD284)</f>
        <v/>
      </c>
      <c r="AE284" s="173" t="str">
        <f>IF(preDEL!$AG284,IFERROR(0/0,""),preDEL!AE284)</f>
        <v/>
      </c>
      <c r="AF284" s="110" t="str">
        <f>IF(preDEL!$AG284,IFERROR(0/0,""),preDEL!AF284)</f>
        <v/>
      </c>
      <c r="AG284" s="110" t="str">
        <f>IF(preDEL!$AG284,IFERROR(0/0,""),preDEL!AG284)</f>
        <v/>
      </c>
      <c r="AH284" s="104" t="str">
        <f>IF(preDEL!$AG284,IFERROR(0/0,""),preDEL!AH284)</f>
        <v/>
      </c>
      <c r="AI284" s="105" t="str">
        <f>IF(preDEL!$AG284,IFERROR(0/0,""),preDEL!AI284)</f>
        <v/>
      </c>
      <c r="AJ284" s="112" t="str">
        <f>IF(preDEL!$AG284,IFERROR(0/0,""),preDEL!AJ284)</f>
        <v/>
      </c>
      <c r="AK284" s="105" t="str">
        <f>IF(preDEL!$AG284,IFERROR(0/0,""),preDEL!AK284)</f>
        <v/>
      </c>
      <c r="AL284" s="112" t="str">
        <f>IF(preDEL!$AG284,IFERROR(0/0,""),preDEL!AL284)</f>
        <v/>
      </c>
      <c r="AM284" s="112" t="str">
        <f>IF(preDEL!$AG284,IFERROR(0/0,""),preDEL!AM284)</f>
        <v/>
      </c>
      <c r="AN284" s="112" t="str">
        <f>IF(preDEL!$AG284,IFERROR(0/0,""),preDEL!AN284)</f>
        <v/>
      </c>
      <c r="AO284" s="112" t="str">
        <f>IF(preDEL!$AG284,IFERROR(0/0,""),preDEL!AO284)</f>
        <v/>
      </c>
      <c r="AP284" s="112" t="str">
        <f>IF(preDEL!$AG284,IFERROR(0/0,""),preDEL!AP284)</f>
        <v/>
      </c>
      <c r="AQ284" s="112" t="str">
        <f>IF(preDEL!$AG284,IFERROR(0/0,""),preDEL!AQ284)</f>
        <v/>
      </c>
      <c r="AR284" s="112" t="str">
        <f>IF(preDEL!$AG284,IFERROR(0/0,""),preDEL!AR284)</f>
        <v/>
      </c>
      <c r="AS284" s="112" t="str">
        <f>IF(preDEL!$AG284,IFERROR(0/0,""),preDEL!AS284)</f>
        <v/>
      </c>
      <c r="AT284" s="112" t="str">
        <f>IF(preDEL!$AG284,IFERROR(0/0,""),preDEL!AT284)</f>
        <v/>
      </c>
      <c r="AU284" s="112" t="str">
        <f>IF(preDEL!$AG284,IFERROR(0/0,""),preDEL!AU284)</f>
        <v/>
      </c>
      <c r="AV284" s="112" t="str">
        <f>IF(preDEL!$AG284,IFERROR(0/0,""),preDEL!AV284)</f>
        <v/>
      </c>
      <c r="AW284" s="112" t="str">
        <f>IF(preDEL!$AG284,IFERROR(0/0,""),preDEL!AW284)</f>
        <v/>
      </c>
      <c r="AX284" s="112" t="str">
        <f>IF(preDEL!$AG284,IFERROR(0/0,""),preDEL!AX284)</f>
        <v/>
      </c>
      <c r="AY284" s="112" t="str">
        <f>IF(preDEL!$AG284,IFERROR(0/0,""),preDEL!AY284)</f>
        <v/>
      </c>
      <c r="AZ284" s="174"/>
      <c r="BA284" s="174"/>
      <c r="BB284" s="174"/>
      <c r="BC284" s="174"/>
      <c r="BD284" s="174"/>
      <c r="BE284" s="174"/>
      <c r="BF284" s="174"/>
      <c r="BG284" s="174"/>
      <c r="BH284" s="174"/>
      <c r="BI284" s="174"/>
      <c r="BJ284" s="174"/>
      <c r="BK284" s="174"/>
      <c r="BL284" s="174"/>
      <c r="BM284" s="174"/>
      <c r="BN284" s="174"/>
      <c r="BO284" s="174"/>
      <c r="BP284" s="174"/>
      <c r="BQ284" s="174"/>
      <c r="BR284" s="174"/>
      <c r="BS284" s="174"/>
      <c r="BT284" s="174"/>
      <c r="BU284" s="174"/>
      <c r="BV284" s="174"/>
      <c r="BW284" s="174"/>
      <c r="BX284" s="174"/>
      <c r="BY284" s="174"/>
      <c r="BZ284" s="174"/>
      <c r="CA284" s="174"/>
      <c r="CB284" s="174"/>
      <c r="CC284" s="174"/>
      <c r="CD284" s="174"/>
    </row>
    <row r="285">
      <c r="A285" s="105" t="str">
        <f>IF(preDEL!$AG285,IFERROR(0/0,""),preDEL!A285)</f>
        <v>MA1063</v>
      </c>
      <c r="B285" s="170">
        <f>IF(preDEL!$AG285,IFERROR(0/0,""),preDEL!B285)</f>
        <v>44585</v>
      </c>
      <c r="C285" s="171">
        <f>IF(preDEL!$AG285,IFERROR(0/0,""),preDEL!C285)</f>
        <v>0.2993981481</v>
      </c>
      <c r="D285" s="105" t="str">
        <f>IF(preDEL!$AG285,IFERROR(0/0,""),preDEL!D285)</f>
        <v/>
      </c>
      <c r="E285" s="105" t="str">
        <f>IF(preDEL!$AG285,IFERROR(0/0,""),preDEL!E285)</f>
        <v/>
      </c>
      <c r="F285" s="112" t="str">
        <f>IF(preDEL!$AG285,IFERROR(0/0,""),preDEL!F285)</f>
        <v/>
      </c>
      <c r="G285" s="112" t="str">
        <f>IF(preDEL!$AG285,IFERROR(0/0,""),preDEL!G285)</f>
        <v/>
      </c>
      <c r="H285" s="112" t="str">
        <f>IF(preDEL!$AG285,IFERROR(0/0,""),preDEL!H285)</f>
        <v/>
      </c>
      <c r="I285" s="105" t="str">
        <f>IF(preDEL!$AG285,IFERROR(0/0,""),preDEL!I285)</f>
        <v/>
      </c>
      <c r="J285" s="105" t="str">
        <f>IF(preDEL!$AG285,IFERROR(0/0,""),preDEL!J285)</f>
        <v/>
      </c>
      <c r="K285" s="105" t="str">
        <f>IF(preDEL!$AG285,IFERROR(0/0,""),preDEL!K285)</f>
        <v>Negative</v>
      </c>
      <c r="L285" s="170">
        <f>IF(preDEL!$AG285,IFERROR(0/0,""),preDEL!L285)</f>
        <v>44585</v>
      </c>
      <c r="M285" s="171">
        <f>IF(preDEL!$AG285,IFERROR(0/0,""),preDEL!M285)</f>
        <v>0.4705902778</v>
      </c>
      <c r="N285" s="112" t="str">
        <f>IF(preDEL!$AG285,IFERROR(0/0,""),preDEL!N285)</f>
        <v/>
      </c>
      <c r="O285" s="112" t="str">
        <f>IF(preDEL!$AG285,IFERROR(0/0,""),preDEL!O285)</f>
        <v/>
      </c>
      <c r="P285" s="110" t="b">
        <f>IF(preDEL!$AG285,IFERROR(0/0,""),preDEL!P285)</f>
        <v>0</v>
      </c>
      <c r="Q285" s="110" t="str">
        <f>IF(preDEL!$AG285,IFERROR(0/0,""),preDEL!Q285)</f>
        <v>Result</v>
      </c>
      <c r="R285" s="104" t="b">
        <f>IF(preDEL!$AG285,IFERROR(0/0,""),preDEL!R285)</f>
        <v>1</v>
      </c>
      <c r="S285" s="104">
        <f>IF(preDEL!$AG285,IFERROR(0/0,""),preDEL!S285)</f>
        <v>1</v>
      </c>
      <c r="T285" s="110" t="str">
        <f>IF(preDEL!$AG285,IFERROR(0/0,""),preDEL!T285)</f>
        <v/>
      </c>
      <c r="U285" s="112" t="str">
        <f>IF(preDEL!$AG285,IFERROR(0/0,""),preDEL!U285)</f>
        <v/>
      </c>
      <c r="V285" s="105" t="str">
        <f>IF(preDEL!$AG285,IFERROR(0/0,""),preDEL!V285)</f>
        <v/>
      </c>
      <c r="W285" s="112" t="str">
        <f>IF(preDEL!$AG285,IFERROR(0/0,""),preDEL!W285)</f>
        <v/>
      </c>
      <c r="X285" s="104" t="b">
        <f>IF(preDEL!$AG285,IFERROR(0/0,""),preDEL!X285)</f>
        <v>0</v>
      </c>
      <c r="Y285" s="110" t="b">
        <f>IF(preDEL!$AG285,IFERROR(0/0,""),preDEL!Y285)</f>
        <v>0</v>
      </c>
      <c r="Z285" s="105" t="str">
        <f>IF(preDEL!$AG285,IFERROR(0/0,""),preDEL!Z285)</f>
        <v/>
      </c>
      <c r="AA285" s="110" t="b">
        <f>IF(preDEL!$AG285,IFERROR(0/0,""),preDEL!AA285)</f>
        <v>0</v>
      </c>
      <c r="AB285" s="110" t="b">
        <f>IF(preDEL!$AG285,IFERROR(0/0,""),preDEL!AB285)</f>
        <v>0</v>
      </c>
      <c r="AC285" s="172">
        <f>IF(preDEL!$AG285,IFERROR(0/0,""),preDEL!AC285)</f>
        <v>523</v>
      </c>
      <c r="AD285" s="104" t="b">
        <f>IF(preDEL!$AG285,IFERROR(0/0,""),preDEL!AD285)</f>
        <v>0</v>
      </c>
      <c r="AE285" s="173">
        <f>IF(preDEL!$AG285,IFERROR(0/0,""),preDEL!AE285)</f>
        <v>246.5166667</v>
      </c>
      <c r="AF285" s="110" t="b">
        <f>IF(preDEL!$AG285,IFERROR(0/0,""),preDEL!AF285)</f>
        <v>0</v>
      </c>
      <c r="AG285" s="110" t="b">
        <f>IF(preDEL!$AG285,IFERROR(0/0,""),preDEL!AG285)</f>
        <v>0</v>
      </c>
      <c r="AH285" s="104" t="str">
        <f>IF(preDEL!$AG285,IFERROR(0/0,""),preDEL!AH285)</f>
        <v/>
      </c>
      <c r="AI285" s="105" t="str">
        <f>IF(preDEL!$AG285,IFERROR(0/0,""),preDEL!AI285)</f>
        <v/>
      </c>
      <c r="AJ285" s="112" t="str">
        <f>IF(preDEL!$AG285,IFERROR(0/0,""),preDEL!AJ285)</f>
        <v/>
      </c>
      <c r="AK285" s="105" t="str">
        <f>IF(preDEL!$AG285,IFERROR(0/0,""),preDEL!AK285)</f>
        <v>Negative</v>
      </c>
      <c r="AL285" s="112" t="str">
        <f>IF(preDEL!$AG285,IFERROR(0/0,""),preDEL!AL285)</f>
        <v/>
      </c>
      <c r="AM285" s="112" t="str">
        <f>IF(preDEL!$AG285,IFERROR(0/0,""),preDEL!AM285)</f>
        <v>SpBEND551372</v>
      </c>
      <c r="AN285" s="112" t="str">
        <f>IF(preDEL!$AG285,IFERROR(0/0,""),preDEL!AN285)</f>
        <v>BEND475899</v>
      </c>
      <c r="AO285" s="112" t="str">
        <f>IF(preDEL!$AG285,IFERROR(0/0,""),preDEL!AO285)</f>
        <v/>
      </c>
      <c r="AP285" s="112" t="str">
        <f>IF(preDEL!$AG285,IFERROR(0/0,""),preDEL!AP285)</f>
        <v/>
      </c>
      <c r="AQ285" s="112" t="str">
        <f>IF(preDEL!$AG285,IFERROR(0/0,""),preDEL!AQ285)</f>
        <v/>
      </c>
      <c r="AR285" s="112" t="str">
        <f>IF(preDEL!$AG285,IFERROR(0/0,""),preDEL!AR285)</f>
        <v/>
      </c>
      <c r="AS285" s="112" t="str">
        <f>IF(preDEL!$AG285,IFERROR(0/0,""),preDEL!AS285)</f>
        <v/>
      </c>
      <c r="AT285" s="112" t="b">
        <f>IF(preDEL!$AG285,IFERROR(0/0,""),preDEL!AT285)</f>
        <v>0</v>
      </c>
      <c r="AU285" s="112" t="str">
        <f>IF(preDEL!$AG285,IFERROR(0/0,""),preDEL!AU285)</f>
        <v/>
      </c>
      <c r="AV285" s="112" t="str">
        <f>IF(preDEL!$AG285,IFERROR(0/0,""),preDEL!AV285)</f>
        <v/>
      </c>
      <c r="AW285" s="112" t="str">
        <f>IF(preDEL!$AG285,IFERROR(0/0,""),preDEL!AW285)</f>
        <v/>
      </c>
      <c r="AX285" s="112" t="str">
        <f>IF(preDEL!$AG285,IFERROR(0/0,""),preDEL!AX285)</f>
        <v/>
      </c>
      <c r="AY285" s="112" t="str">
        <f>IF(preDEL!$AG285,IFERROR(0/0,""),preDEL!AY285)</f>
        <v/>
      </c>
      <c r="AZ285" s="174"/>
      <c r="BA285" s="174"/>
      <c r="BB285" s="174"/>
      <c r="BC285" s="174"/>
      <c r="BD285" s="174"/>
      <c r="BE285" s="174"/>
      <c r="BF285" s="174"/>
      <c r="BG285" s="174"/>
      <c r="BH285" s="174"/>
      <c r="BI285" s="174"/>
      <c r="BJ285" s="174"/>
      <c r="BK285" s="174"/>
      <c r="BL285" s="174"/>
      <c r="BM285" s="174"/>
      <c r="BN285" s="174"/>
      <c r="BO285" s="174"/>
      <c r="BP285" s="174"/>
      <c r="BQ285" s="174"/>
      <c r="BR285" s="174"/>
      <c r="BS285" s="174"/>
      <c r="BT285" s="174"/>
      <c r="BU285" s="174"/>
      <c r="BV285" s="174"/>
      <c r="BW285" s="174"/>
      <c r="BX285" s="174"/>
      <c r="BY285" s="174"/>
      <c r="BZ285" s="174"/>
      <c r="CA285" s="174"/>
      <c r="CB285" s="174"/>
      <c r="CC285" s="174"/>
      <c r="CD285" s="174"/>
    </row>
    <row r="286">
      <c r="A286" s="105" t="str">
        <f>IF(preDEL!$AG286,IFERROR(0/0,""),preDEL!A286)</f>
        <v>MA1065</v>
      </c>
      <c r="B286" s="170">
        <f>IF(preDEL!$AG286,IFERROR(0/0,""),preDEL!B286)</f>
        <v>44585</v>
      </c>
      <c r="C286" s="171">
        <f>IF(preDEL!$AG286,IFERROR(0/0,""),preDEL!C286)</f>
        <v>0.3018171296</v>
      </c>
      <c r="D286" s="105" t="str">
        <f>IF(preDEL!$AG286,IFERROR(0/0,""),preDEL!D286)</f>
        <v/>
      </c>
      <c r="E286" s="105" t="str">
        <f>IF(preDEL!$AG286,IFERROR(0/0,""),preDEL!E286)</f>
        <v/>
      </c>
      <c r="F286" s="112" t="str">
        <f>IF(preDEL!$AG286,IFERROR(0/0,""),preDEL!F286)</f>
        <v/>
      </c>
      <c r="G286" s="112" t="str">
        <f>IF(preDEL!$AG286,IFERROR(0/0,""),preDEL!G286)</f>
        <v/>
      </c>
      <c r="H286" s="112" t="str">
        <f>IF(preDEL!$AG286,IFERROR(0/0,""),preDEL!H286)</f>
        <v/>
      </c>
      <c r="I286" s="105" t="str">
        <f>IF(preDEL!$AG286,IFERROR(0/0,""),preDEL!I286)</f>
        <v/>
      </c>
      <c r="J286" s="105" t="str">
        <f>IF(preDEL!$AG286,IFERROR(0/0,""),preDEL!J286)</f>
        <v/>
      </c>
      <c r="K286" s="105" t="str">
        <f>IF(preDEL!$AG286,IFERROR(0/0,""),preDEL!K286)</f>
        <v>Negative</v>
      </c>
      <c r="L286" s="170">
        <f>IF(preDEL!$AG286,IFERROR(0/0,""),preDEL!L286)</f>
        <v>44585</v>
      </c>
      <c r="M286" s="171">
        <f>IF(preDEL!$AG286,IFERROR(0/0,""),preDEL!M286)</f>
        <v>0.4705902778</v>
      </c>
      <c r="N286" s="112" t="str">
        <f>IF(preDEL!$AG286,IFERROR(0/0,""),preDEL!N286)</f>
        <v/>
      </c>
      <c r="O286" s="112" t="str">
        <f>IF(preDEL!$AG286,IFERROR(0/0,""),preDEL!O286)</f>
        <v/>
      </c>
      <c r="P286" s="110" t="b">
        <f>IF(preDEL!$AG286,IFERROR(0/0,""),preDEL!P286)</f>
        <v>0</v>
      </c>
      <c r="Q286" s="110" t="str">
        <f>IF(preDEL!$AG286,IFERROR(0/0,""),preDEL!Q286)</f>
        <v>Result</v>
      </c>
      <c r="R286" s="104" t="b">
        <f>IF(preDEL!$AG286,IFERROR(0/0,""),preDEL!R286)</f>
        <v>1</v>
      </c>
      <c r="S286" s="104">
        <f>IF(preDEL!$AG286,IFERROR(0/0,""),preDEL!S286)</f>
        <v>1</v>
      </c>
      <c r="T286" s="110">
        <f>IF(preDEL!$AG286,IFERROR(0/0,""),preDEL!T286)</f>
        <v>0</v>
      </c>
      <c r="U286" s="112" t="str">
        <f>IF(preDEL!$AG286,IFERROR(0/0,""),preDEL!U286)</f>
        <v/>
      </c>
      <c r="V286" s="105" t="str">
        <f>IF(preDEL!$AG286,IFERROR(0/0,""),preDEL!V286)</f>
        <v/>
      </c>
      <c r="W286" s="112" t="str">
        <f>IF(preDEL!$AG286,IFERROR(0/0,""),preDEL!W286)</f>
        <v/>
      </c>
      <c r="X286" s="104" t="b">
        <f>IF(preDEL!$AG286,IFERROR(0/0,""),preDEL!X286)</f>
        <v>0</v>
      </c>
      <c r="Y286" s="110" t="b">
        <f>IF(preDEL!$AG286,IFERROR(0/0,""),preDEL!Y286)</f>
        <v>0</v>
      </c>
      <c r="Z286" s="105" t="str">
        <f>IF(preDEL!$AG286,IFERROR(0/0,""),preDEL!Z286)</f>
        <v/>
      </c>
      <c r="AA286" s="110" t="b">
        <f>IF(preDEL!$AG286,IFERROR(0/0,""),preDEL!AA286)</f>
        <v>0</v>
      </c>
      <c r="AB286" s="110" t="b">
        <f>IF(preDEL!$AG286,IFERROR(0/0,""),preDEL!AB286)</f>
        <v>0</v>
      </c>
      <c r="AC286" s="172">
        <f>IF(preDEL!$AG286,IFERROR(0/0,""),preDEL!AC286)</f>
        <v>522</v>
      </c>
      <c r="AD286" s="104" t="b">
        <f>IF(preDEL!$AG286,IFERROR(0/0,""),preDEL!AD286)</f>
        <v>0</v>
      </c>
      <c r="AE286" s="173">
        <f>IF(preDEL!$AG286,IFERROR(0/0,""),preDEL!AE286)</f>
        <v>243.0333333</v>
      </c>
      <c r="AF286" s="110" t="b">
        <f>IF(preDEL!$AG286,IFERROR(0/0,""),preDEL!AF286)</f>
        <v>0</v>
      </c>
      <c r="AG286" s="110" t="b">
        <f>IF(preDEL!$AG286,IFERROR(0/0,""),preDEL!AG286)</f>
        <v>0</v>
      </c>
      <c r="AH286" s="104" t="str">
        <f>IF(preDEL!$AG286,IFERROR(0/0,""),preDEL!AH286)</f>
        <v/>
      </c>
      <c r="AI286" s="105" t="str">
        <f>IF(preDEL!$AG286,IFERROR(0/0,""),preDEL!AI286)</f>
        <v/>
      </c>
      <c r="AJ286" s="112" t="str">
        <f>IF(preDEL!$AG286,IFERROR(0/0,""),preDEL!AJ286)</f>
        <v/>
      </c>
      <c r="AK286" s="105" t="str">
        <f>IF(preDEL!$AG286,IFERROR(0/0,""),preDEL!AK286)</f>
        <v>Negative</v>
      </c>
      <c r="AL286" s="112" t="str">
        <f>IF(preDEL!$AG286,IFERROR(0/0,""),preDEL!AL286)</f>
        <v/>
      </c>
      <c r="AM286" s="112" t="str">
        <f>IF(preDEL!$AG286,IFERROR(0/0,""),preDEL!AM286)</f>
        <v>SpBEND551372</v>
      </c>
      <c r="AN286" s="112" t="str">
        <f>IF(preDEL!$AG286,IFERROR(0/0,""),preDEL!AN286)</f>
        <v>BEND628988</v>
      </c>
      <c r="AO286" s="112" t="str">
        <f>IF(preDEL!$AG286,IFERROR(0/0,""),preDEL!AO286)</f>
        <v/>
      </c>
      <c r="AP286" s="112" t="str">
        <f>IF(preDEL!$AG286,IFERROR(0/0,""),preDEL!AP286)</f>
        <v/>
      </c>
      <c r="AQ286" s="112" t="str">
        <f>IF(preDEL!$AG286,IFERROR(0/0,""),preDEL!AQ286)</f>
        <v/>
      </c>
      <c r="AR286" s="112" t="str">
        <f>IF(preDEL!$AG286,IFERROR(0/0,""),preDEL!AR286)</f>
        <v/>
      </c>
      <c r="AS286" s="112" t="str">
        <f>IF(preDEL!$AG286,IFERROR(0/0,""),preDEL!AS286)</f>
        <v/>
      </c>
      <c r="AT286" s="112" t="b">
        <f>IF(preDEL!$AG286,IFERROR(0/0,""),preDEL!AT286)</f>
        <v>0</v>
      </c>
      <c r="AU286" s="112" t="str">
        <f>IF(preDEL!$AG286,IFERROR(0/0,""),preDEL!AU286)</f>
        <v/>
      </c>
      <c r="AV286" s="112" t="str">
        <f>IF(preDEL!$AG286,IFERROR(0/0,""),preDEL!AV286)</f>
        <v/>
      </c>
      <c r="AW286" s="112" t="str">
        <f>IF(preDEL!$AG286,IFERROR(0/0,""),preDEL!AW286)</f>
        <v/>
      </c>
      <c r="AX286" s="112" t="str">
        <f>IF(preDEL!$AG286,IFERROR(0/0,""),preDEL!AX286)</f>
        <v/>
      </c>
      <c r="AY286" s="112" t="str">
        <f>IF(preDEL!$AG286,IFERROR(0/0,""),preDEL!AY286)</f>
        <v/>
      </c>
      <c r="AZ286" s="174"/>
      <c r="BA286" s="174"/>
      <c r="BB286" s="174"/>
      <c r="BC286" s="174"/>
      <c r="BD286" s="174"/>
      <c r="BE286" s="174"/>
      <c r="BF286" s="174"/>
      <c r="BG286" s="174"/>
      <c r="BH286" s="174"/>
      <c r="BI286" s="174"/>
      <c r="BJ286" s="174"/>
      <c r="BK286" s="174"/>
      <c r="BL286" s="174"/>
      <c r="BM286" s="174"/>
      <c r="BN286" s="174"/>
      <c r="BO286" s="174"/>
      <c r="BP286" s="174"/>
      <c r="BQ286" s="174"/>
      <c r="BR286" s="174"/>
      <c r="BS286" s="174"/>
      <c r="BT286" s="174"/>
      <c r="BU286" s="174"/>
      <c r="BV286" s="174"/>
      <c r="BW286" s="174"/>
      <c r="BX286" s="174"/>
      <c r="BY286" s="174"/>
      <c r="BZ286" s="174"/>
      <c r="CA286" s="174"/>
      <c r="CB286" s="174"/>
      <c r="CC286" s="174"/>
      <c r="CD286" s="174"/>
    </row>
    <row r="287">
      <c r="A287" s="105" t="str">
        <f>IF(preDEL!$AG287,IFERROR(0/0,""),preDEL!A287)</f>
        <v>MA1068</v>
      </c>
      <c r="B287" s="170">
        <f>IF(preDEL!$AG287,IFERROR(0/0,""),preDEL!B287)</f>
        <v>44585</v>
      </c>
      <c r="C287" s="171">
        <f>IF(preDEL!$AG287,IFERROR(0/0,""),preDEL!C287)</f>
        <v>0.3030555556</v>
      </c>
      <c r="D287" s="105" t="str">
        <f>IF(preDEL!$AG287,IFERROR(0/0,""),preDEL!D287)</f>
        <v/>
      </c>
      <c r="E287" s="105" t="str">
        <f>IF(preDEL!$AG287,IFERROR(0/0,""),preDEL!E287)</f>
        <v/>
      </c>
      <c r="F287" s="112" t="str">
        <f>IF(preDEL!$AG287,IFERROR(0/0,""),preDEL!F287)</f>
        <v/>
      </c>
      <c r="G287" s="112" t="str">
        <f>IF(preDEL!$AG287,IFERROR(0/0,""),preDEL!G287)</f>
        <v/>
      </c>
      <c r="H287" s="112" t="str">
        <f>IF(preDEL!$AG287,IFERROR(0/0,""),preDEL!H287)</f>
        <v/>
      </c>
      <c r="I287" s="105" t="str">
        <f>IF(preDEL!$AG287,IFERROR(0/0,""),preDEL!I287)</f>
        <v/>
      </c>
      <c r="J287" s="105" t="str">
        <f>IF(preDEL!$AG287,IFERROR(0/0,""),preDEL!J287)</f>
        <v/>
      </c>
      <c r="K287" s="105" t="str">
        <f>IF(preDEL!$AG287,IFERROR(0/0,""),preDEL!K287)</f>
        <v>Positive</v>
      </c>
      <c r="L287" s="170">
        <f>IF(preDEL!$AG287,IFERROR(0/0,""),preDEL!L287)</f>
        <v>44587</v>
      </c>
      <c r="M287" s="171">
        <f>IF(preDEL!$AG287,IFERROR(0/0,""),preDEL!M287)</f>
        <v>0.5008796296</v>
      </c>
      <c r="N287" s="112" t="str">
        <f>IF(preDEL!$AG287,IFERROR(0/0,""),preDEL!N287)</f>
        <v/>
      </c>
      <c r="O287" s="112" t="str">
        <f>IF(preDEL!$AG287,IFERROR(0/0,""),preDEL!O287)</f>
        <v/>
      </c>
      <c r="P287" s="110" t="b">
        <f>IF(preDEL!$AG287,IFERROR(0/0,""),preDEL!P287)</f>
        <v>0</v>
      </c>
      <c r="Q287" s="110" t="str">
        <f>IF(preDEL!$AG287,IFERROR(0/0,""),preDEL!Q287)</f>
        <v>Result</v>
      </c>
      <c r="R287" s="104" t="b">
        <f>IF(preDEL!$AG287,IFERROR(0/0,""),preDEL!R287)</f>
        <v>1</v>
      </c>
      <c r="S287" s="104">
        <f>IF(preDEL!$AG287,IFERROR(0/0,""),preDEL!S287)</f>
        <v>1</v>
      </c>
      <c r="T287" s="110">
        <f>IF(preDEL!$AG287,IFERROR(0/0,""),preDEL!T287)</f>
        <v>0</v>
      </c>
      <c r="U287" s="112" t="str">
        <f>IF(preDEL!$AG287,IFERROR(0/0,""),preDEL!U287)</f>
        <v/>
      </c>
      <c r="V287" s="105" t="str">
        <f>IF(preDEL!$AG287,IFERROR(0/0,""),preDEL!V287)</f>
        <v/>
      </c>
      <c r="W287" s="112" t="str">
        <f>IF(preDEL!$AG287,IFERROR(0/0,""),preDEL!W287)</f>
        <v/>
      </c>
      <c r="X287" s="104" t="b">
        <f>IF(preDEL!$AG287,IFERROR(0/0,""),preDEL!X287)</f>
        <v>0</v>
      </c>
      <c r="Y287" s="110" t="b">
        <f>IF(preDEL!$AG287,IFERROR(0/0,""),preDEL!Y287)</f>
        <v>0</v>
      </c>
      <c r="Z287" s="105" t="str">
        <f>IF(preDEL!$AG287,IFERROR(0/0,""),preDEL!Z287)</f>
        <v/>
      </c>
      <c r="AA287" s="110" t="b">
        <f>IF(preDEL!$AG287,IFERROR(0/0,""),preDEL!AA287)</f>
        <v>0</v>
      </c>
      <c r="AB287" s="110" t="b">
        <f>IF(preDEL!$AG287,IFERROR(0/0,""),preDEL!AB287)</f>
        <v>0</v>
      </c>
      <c r="AC287" s="172">
        <f>IF(preDEL!$AG287,IFERROR(0/0,""),preDEL!AC287)</f>
        <v>521</v>
      </c>
      <c r="AD287" s="104" t="b">
        <f>IF(preDEL!$AG287,IFERROR(0/0,""),preDEL!AD287)</f>
        <v>0</v>
      </c>
      <c r="AE287" s="173" t="str">
        <f>IF(preDEL!$AG287,IFERROR(0/0,""),preDEL!AE287)</f>
        <v/>
      </c>
      <c r="AF287" s="110" t="b">
        <f>IF(preDEL!$AG287,IFERROR(0/0,""),preDEL!AF287)</f>
        <v>0</v>
      </c>
      <c r="AG287" s="110" t="b">
        <f>IF(preDEL!$AG287,IFERROR(0/0,""),preDEL!AG287)</f>
        <v>0</v>
      </c>
      <c r="AH287" s="104" t="str">
        <f>IF(preDEL!$AG287,IFERROR(0/0,""),preDEL!AH287)</f>
        <v/>
      </c>
      <c r="AI287" s="105" t="str">
        <f>IF(preDEL!$AG287,IFERROR(0/0,""),preDEL!AI287)</f>
        <v/>
      </c>
      <c r="AJ287" s="112" t="str">
        <f>IF(preDEL!$AG287,IFERROR(0/0,""),preDEL!AJ287)</f>
        <v/>
      </c>
      <c r="AK287" s="105" t="str">
        <f>IF(preDEL!$AG287,IFERROR(0/0,""),preDEL!AK287)</f>
        <v>Positive</v>
      </c>
      <c r="AL287" s="112" t="str">
        <f>IF(preDEL!$AG287,IFERROR(0/0,""),preDEL!AL287)</f>
        <v/>
      </c>
      <c r="AM287" s="112" t="str">
        <f>IF(preDEL!$AG287,IFERROR(0/0,""),preDEL!AM287)</f>
        <v>SpBEND652059</v>
      </c>
      <c r="AN287" s="112" t="str">
        <f>IF(preDEL!$AG287,IFERROR(0/0,""),preDEL!AN287)</f>
        <v>BEND567653</v>
      </c>
      <c r="AO287" s="112" t="str">
        <f>IF(preDEL!$AG287,IFERROR(0/0,""),preDEL!AO287)</f>
        <v/>
      </c>
      <c r="AP287" s="112" t="str">
        <f>IF(preDEL!$AG287,IFERROR(0/0,""),preDEL!AP287)</f>
        <v/>
      </c>
      <c r="AQ287" s="112" t="str">
        <f>IF(preDEL!$AG287,IFERROR(0/0,""),preDEL!AQ287)</f>
        <v/>
      </c>
      <c r="AR287" s="112" t="str">
        <f>IF(preDEL!$AG287,IFERROR(0/0,""),preDEL!AR287)</f>
        <v/>
      </c>
      <c r="AS287" s="112" t="str">
        <f>IF(preDEL!$AG287,IFERROR(0/0,""),preDEL!AS287)</f>
        <v/>
      </c>
      <c r="AT287" s="112" t="b">
        <f>IF(preDEL!$AG287,IFERROR(0/0,""),preDEL!AT287)</f>
        <v>0</v>
      </c>
      <c r="AU287" s="112" t="str">
        <f>IF(preDEL!$AG287,IFERROR(0/0,""),preDEL!AU287)</f>
        <v/>
      </c>
      <c r="AV287" s="112" t="str">
        <f>IF(preDEL!$AG287,IFERROR(0/0,""),preDEL!AV287)</f>
        <v/>
      </c>
      <c r="AW287" s="112" t="str">
        <f>IF(preDEL!$AG287,IFERROR(0/0,""),preDEL!AW287)</f>
        <v/>
      </c>
      <c r="AX287" s="112" t="str">
        <f>IF(preDEL!$AG287,IFERROR(0/0,""),preDEL!AX287)</f>
        <v/>
      </c>
      <c r="AY287" s="112" t="str">
        <f>IF(preDEL!$AG287,IFERROR(0/0,""),preDEL!AY287)</f>
        <v/>
      </c>
      <c r="AZ287" s="174"/>
      <c r="BA287" s="174"/>
      <c r="BB287" s="174"/>
      <c r="BC287" s="174"/>
      <c r="BD287" s="174"/>
      <c r="BE287" s="174"/>
      <c r="BF287" s="174"/>
      <c r="BG287" s="174"/>
      <c r="BH287" s="174"/>
      <c r="BI287" s="174"/>
      <c r="BJ287" s="174"/>
      <c r="BK287" s="174"/>
      <c r="BL287" s="174"/>
      <c r="BM287" s="174"/>
      <c r="BN287" s="174"/>
      <c r="BO287" s="174"/>
      <c r="BP287" s="174"/>
      <c r="BQ287" s="174"/>
      <c r="BR287" s="174"/>
      <c r="BS287" s="174"/>
      <c r="BT287" s="174"/>
      <c r="BU287" s="174"/>
      <c r="BV287" s="174"/>
      <c r="BW287" s="174"/>
      <c r="BX287" s="174"/>
      <c r="BY287" s="174"/>
      <c r="BZ287" s="174"/>
      <c r="CA287" s="174"/>
      <c r="CB287" s="174"/>
      <c r="CC287" s="174"/>
      <c r="CD287" s="174"/>
    </row>
    <row r="288">
      <c r="A288" s="105" t="str">
        <f>IF(preDEL!$AG288,IFERROR(0/0,""),preDEL!A288)</f>
        <v>MA221</v>
      </c>
      <c r="B288" s="170">
        <f>IF(preDEL!$AG288,IFERROR(0/0,""),preDEL!B288)</f>
        <v>44585</v>
      </c>
      <c r="C288" s="171">
        <f>IF(preDEL!$AG288,IFERROR(0/0,""),preDEL!C288)</f>
        <v>0.3088310185</v>
      </c>
      <c r="D288" s="105" t="str">
        <f>IF(preDEL!$AG288,IFERROR(0/0,""),preDEL!D288)</f>
        <v/>
      </c>
      <c r="E288" s="105" t="str">
        <f>IF(preDEL!$AG288,IFERROR(0/0,""),preDEL!E288)</f>
        <v/>
      </c>
      <c r="F288" s="112" t="str">
        <f>IF(preDEL!$AG288,IFERROR(0/0,""),preDEL!F288)</f>
        <v/>
      </c>
      <c r="G288" s="112" t="str">
        <f>IF(preDEL!$AG288,IFERROR(0/0,""),preDEL!G288)</f>
        <v/>
      </c>
      <c r="H288" s="112" t="str">
        <f>IF(preDEL!$AG288,IFERROR(0/0,""),preDEL!H288)</f>
        <v/>
      </c>
      <c r="I288" s="105" t="str">
        <f>IF(preDEL!$AG288,IFERROR(0/0,""),preDEL!I288)</f>
        <v/>
      </c>
      <c r="J288" s="105" t="str">
        <f>IF(preDEL!$AG288,IFERROR(0/0,""),preDEL!J288)</f>
        <v/>
      </c>
      <c r="K288" s="105" t="str">
        <f>IF(preDEL!$AG288,IFERROR(0/0,""),preDEL!K288)</f>
        <v>Negative</v>
      </c>
      <c r="L288" s="170">
        <f>IF(preDEL!$AG288,IFERROR(0/0,""),preDEL!L288)</f>
        <v>44585</v>
      </c>
      <c r="M288" s="171">
        <f>IF(preDEL!$AG288,IFERROR(0/0,""),preDEL!M288)</f>
        <v>0.468275463</v>
      </c>
      <c r="N288" s="112" t="str">
        <f>IF(preDEL!$AG288,IFERROR(0/0,""),preDEL!N288)</f>
        <v/>
      </c>
      <c r="O288" s="112" t="str">
        <f>IF(preDEL!$AG288,IFERROR(0/0,""),preDEL!O288)</f>
        <v/>
      </c>
      <c r="P288" s="110" t="b">
        <f>IF(preDEL!$AG288,IFERROR(0/0,""),preDEL!P288)</f>
        <v>0</v>
      </c>
      <c r="Q288" s="110" t="str">
        <f>IF(preDEL!$AG288,IFERROR(0/0,""),preDEL!Q288)</f>
        <v>Result</v>
      </c>
      <c r="R288" s="104" t="b">
        <f>IF(preDEL!$AG288,IFERROR(0/0,""),preDEL!R288)</f>
        <v>1</v>
      </c>
      <c r="S288" s="104">
        <f>IF(preDEL!$AG288,IFERROR(0/0,""),preDEL!S288)</f>
        <v>1</v>
      </c>
      <c r="T288" s="110" t="str">
        <f>IF(preDEL!$AG288,IFERROR(0/0,""),preDEL!T288)</f>
        <v/>
      </c>
      <c r="U288" s="112" t="str">
        <f>IF(preDEL!$AG288,IFERROR(0/0,""),preDEL!U288)</f>
        <v/>
      </c>
      <c r="V288" s="105" t="str">
        <f>IF(preDEL!$AG288,IFERROR(0/0,""),preDEL!V288)</f>
        <v/>
      </c>
      <c r="W288" s="112" t="str">
        <f>IF(preDEL!$AG288,IFERROR(0/0,""),preDEL!W288)</f>
        <v/>
      </c>
      <c r="X288" s="104" t="b">
        <f>IF(preDEL!$AG288,IFERROR(0/0,""),preDEL!X288)</f>
        <v>0</v>
      </c>
      <c r="Y288" s="110" t="b">
        <f>IF(preDEL!$AG288,IFERROR(0/0,""),preDEL!Y288)</f>
        <v>0</v>
      </c>
      <c r="Z288" s="105" t="str">
        <f>IF(preDEL!$AG288,IFERROR(0/0,""),preDEL!Z288)</f>
        <v/>
      </c>
      <c r="AA288" s="110" t="b">
        <f>IF(preDEL!$AG288,IFERROR(0/0,""),preDEL!AA288)</f>
        <v>0</v>
      </c>
      <c r="AB288" s="110" t="b">
        <f>IF(preDEL!$AG288,IFERROR(0/0,""),preDEL!AB288)</f>
        <v>0</v>
      </c>
      <c r="AC288" s="172">
        <f>IF(preDEL!$AG288,IFERROR(0/0,""),preDEL!AC288)</f>
        <v>520</v>
      </c>
      <c r="AD288" s="104" t="b">
        <f>IF(preDEL!$AG288,IFERROR(0/0,""),preDEL!AD288)</f>
        <v>0</v>
      </c>
      <c r="AE288" s="173">
        <f>IF(preDEL!$AG288,IFERROR(0/0,""),preDEL!AE288)</f>
        <v>229.6</v>
      </c>
      <c r="AF288" s="110" t="b">
        <f>IF(preDEL!$AG288,IFERROR(0/0,""),preDEL!AF288)</f>
        <v>0</v>
      </c>
      <c r="AG288" s="110" t="b">
        <f>IF(preDEL!$AG288,IFERROR(0/0,""),preDEL!AG288)</f>
        <v>0</v>
      </c>
      <c r="AH288" s="104" t="str">
        <f>IF(preDEL!$AG288,IFERROR(0/0,""),preDEL!AH288)</f>
        <v/>
      </c>
      <c r="AI288" s="105" t="str">
        <f>IF(preDEL!$AG288,IFERROR(0/0,""),preDEL!AI288)</f>
        <v/>
      </c>
      <c r="AJ288" s="112" t="str">
        <f>IF(preDEL!$AG288,IFERROR(0/0,""),preDEL!AJ288)</f>
        <v/>
      </c>
      <c r="AK288" s="105" t="str">
        <f>IF(preDEL!$AG288,IFERROR(0/0,""),preDEL!AK288)</f>
        <v>Negative</v>
      </c>
      <c r="AL288" s="112" t="str">
        <f>IF(preDEL!$AG288,IFERROR(0/0,""),preDEL!AL288)</f>
        <v/>
      </c>
      <c r="AM288" s="112" t="str">
        <f>IF(preDEL!$AG288,IFERROR(0/0,""),preDEL!AM288)</f>
        <v>SpBEND953422</v>
      </c>
      <c r="AN288" s="112" t="str">
        <f>IF(preDEL!$AG288,IFERROR(0/0,""),preDEL!AN288)</f>
        <v>BEND782925</v>
      </c>
      <c r="AO288" s="112" t="str">
        <f>IF(preDEL!$AG288,IFERROR(0/0,""),preDEL!AO288)</f>
        <v/>
      </c>
      <c r="AP288" s="112" t="str">
        <f>IF(preDEL!$AG288,IFERROR(0/0,""),preDEL!AP288)</f>
        <v/>
      </c>
      <c r="AQ288" s="112" t="str">
        <f>IF(preDEL!$AG288,IFERROR(0/0,""),preDEL!AQ288)</f>
        <v/>
      </c>
      <c r="AR288" s="112" t="str">
        <f>IF(preDEL!$AG288,IFERROR(0/0,""),preDEL!AR288)</f>
        <v/>
      </c>
      <c r="AS288" s="112" t="str">
        <f>IF(preDEL!$AG288,IFERROR(0/0,""),preDEL!AS288)</f>
        <v/>
      </c>
      <c r="AT288" s="112" t="b">
        <f>IF(preDEL!$AG288,IFERROR(0/0,""),preDEL!AT288)</f>
        <v>0</v>
      </c>
      <c r="AU288" s="112" t="str">
        <f>IF(preDEL!$AG288,IFERROR(0/0,""),preDEL!AU288)</f>
        <v/>
      </c>
      <c r="AV288" s="112" t="str">
        <f>IF(preDEL!$AG288,IFERROR(0/0,""),preDEL!AV288)</f>
        <v/>
      </c>
      <c r="AW288" s="112" t="str">
        <f>IF(preDEL!$AG288,IFERROR(0/0,""),preDEL!AW288)</f>
        <v/>
      </c>
      <c r="AX288" s="112" t="str">
        <f>IF(preDEL!$AG288,IFERROR(0/0,""),preDEL!AX288)</f>
        <v/>
      </c>
      <c r="AY288" s="112" t="str">
        <f>IF(preDEL!$AG288,IFERROR(0/0,""),preDEL!AY288)</f>
        <v/>
      </c>
      <c r="AZ288" s="174"/>
      <c r="BA288" s="174"/>
      <c r="BB288" s="174"/>
      <c r="BC288" s="174"/>
      <c r="BD288" s="174"/>
      <c r="BE288" s="174"/>
      <c r="BF288" s="174"/>
      <c r="BG288" s="174"/>
      <c r="BH288" s="174"/>
      <c r="BI288" s="174"/>
      <c r="BJ288" s="174"/>
      <c r="BK288" s="174"/>
      <c r="BL288" s="174"/>
      <c r="BM288" s="174"/>
      <c r="BN288" s="174"/>
      <c r="BO288" s="174"/>
      <c r="BP288" s="174"/>
      <c r="BQ288" s="174"/>
      <c r="BR288" s="174"/>
      <c r="BS288" s="174"/>
      <c r="BT288" s="174"/>
      <c r="BU288" s="174"/>
      <c r="BV288" s="174"/>
      <c r="BW288" s="174"/>
      <c r="BX288" s="174"/>
      <c r="BY288" s="174"/>
      <c r="BZ288" s="174"/>
      <c r="CA288" s="174"/>
      <c r="CB288" s="174"/>
      <c r="CC288" s="174"/>
      <c r="CD288" s="174"/>
    </row>
    <row r="289">
      <c r="A289" s="105" t="str">
        <f>IF(preDEL!$AG289,IFERROR(0/0,""),preDEL!A289)</f>
        <v>MA377</v>
      </c>
      <c r="B289" s="170">
        <f>IF(preDEL!$AG289,IFERROR(0/0,""),preDEL!B289)</f>
        <v>44585</v>
      </c>
      <c r="C289" s="171">
        <f>IF(preDEL!$AG289,IFERROR(0/0,""),preDEL!C289)</f>
        <v>0.3161921296</v>
      </c>
      <c r="D289" s="105" t="str">
        <f>IF(preDEL!$AG289,IFERROR(0/0,""),preDEL!D289)</f>
        <v/>
      </c>
      <c r="E289" s="105" t="str">
        <f>IF(preDEL!$AG289,IFERROR(0/0,""),preDEL!E289)</f>
        <v/>
      </c>
      <c r="F289" s="112" t="str">
        <f>IF(preDEL!$AG289,IFERROR(0/0,""),preDEL!F289)</f>
        <v/>
      </c>
      <c r="G289" s="112" t="str">
        <f>IF(preDEL!$AG289,IFERROR(0/0,""),preDEL!G289)</f>
        <v/>
      </c>
      <c r="H289" s="112" t="str">
        <f>IF(preDEL!$AG289,IFERROR(0/0,""),preDEL!H289)</f>
        <v/>
      </c>
      <c r="I289" s="105" t="str">
        <f>IF(preDEL!$AG289,IFERROR(0/0,""),preDEL!I289)</f>
        <v/>
      </c>
      <c r="J289" s="105" t="str">
        <f>IF(preDEL!$AG289,IFERROR(0/0,""),preDEL!J289)</f>
        <v/>
      </c>
      <c r="K289" s="105" t="str">
        <f>IF(preDEL!$AG289,IFERROR(0/0,""),preDEL!K289)</f>
        <v>Negative</v>
      </c>
      <c r="L289" s="170">
        <f>IF(preDEL!$AG289,IFERROR(0/0,""),preDEL!L289)</f>
        <v>44585</v>
      </c>
      <c r="M289" s="171">
        <f>IF(preDEL!$AG289,IFERROR(0/0,""),preDEL!M289)</f>
        <v>0.468275463</v>
      </c>
      <c r="N289" s="112" t="str">
        <f>IF(preDEL!$AG289,IFERROR(0/0,""),preDEL!N289)</f>
        <v/>
      </c>
      <c r="O289" s="112" t="str">
        <f>IF(preDEL!$AG289,IFERROR(0/0,""),preDEL!O289)</f>
        <v/>
      </c>
      <c r="P289" s="110" t="b">
        <f>IF(preDEL!$AG289,IFERROR(0/0,""),preDEL!P289)</f>
        <v>0</v>
      </c>
      <c r="Q289" s="110" t="str">
        <f>IF(preDEL!$AG289,IFERROR(0/0,""),preDEL!Q289)</f>
        <v>Result</v>
      </c>
      <c r="R289" s="104" t="b">
        <f>IF(preDEL!$AG289,IFERROR(0/0,""),preDEL!R289)</f>
        <v>1</v>
      </c>
      <c r="S289" s="104">
        <f>IF(preDEL!$AG289,IFERROR(0/0,""),preDEL!S289)</f>
        <v>1</v>
      </c>
      <c r="T289" s="110" t="str">
        <f>IF(preDEL!$AG289,IFERROR(0/0,""),preDEL!T289)</f>
        <v/>
      </c>
      <c r="U289" s="112" t="str">
        <f>IF(preDEL!$AG289,IFERROR(0/0,""),preDEL!U289)</f>
        <v/>
      </c>
      <c r="V289" s="105" t="str">
        <f>IF(preDEL!$AG289,IFERROR(0/0,""),preDEL!V289)</f>
        <v/>
      </c>
      <c r="W289" s="112" t="str">
        <f>IF(preDEL!$AG289,IFERROR(0/0,""),preDEL!W289)</f>
        <v/>
      </c>
      <c r="X289" s="104" t="b">
        <f>IF(preDEL!$AG289,IFERROR(0/0,""),preDEL!X289)</f>
        <v>0</v>
      </c>
      <c r="Y289" s="110" t="b">
        <f>IF(preDEL!$AG289,IFERROR(0/0,""),preDEL!Y289)</f>
        <v>0</v>
      </c>
      <c r="Z289" s="105" t="str">
        <f>IF(preDEL!$AG289,IFERROR(0/0,""),preDEL!Z289)</f>
        <v/>
      </c>
      <c r="AA289" s="110" t="b">
        <f>IF(preDEL!$AG289,IFERROR(0/0,""),preDEL!AA289)</f>
        <v>0</v>
      </c>
      <c r="AB289" s="110" t="b">
        <f>IF(preDEL!$AG289,IFERROR(0/0,""),preDEL!AB289)</f>
        <v>0</v>
      </c>
      <c r="AC289" s="172">
        <f>IF(preDEL!$AG289,IFERROR(0/0,""),preDEL!AC289)</f>
        <v>519</v>
      </c>
      <c r="AD289" s="104" t="b">
        <f>IF(preDEL!$AG289,IFERROR(0/0,""),preDEL!AD289)</f>
        <v>0</v>
      </c>
      <c r="AE289" s="173">
        <f>IF(preDEL!$AG289,IFERROR(0/0,""),preDEL!AE289)</f>
        <v>219</v>
      </c>
      <c r="AF289" s="110" t="b">
        <f>IF(preDEL!$AG289,IFERROR(0/0,""),preDEL!AF289)</f>
        <v>0</v>
      </c>
      <c r="AG289" s="110" t="b">
        <f>IF(preDEL!$AG289,IFERROR(0/0,""),preDEL!AG289)</f>
        <v>0</v>
      </c>
      <c r="AH289" s="104" t="str">
        <f>IF(preDEL!$AG289,IFERROR(0/0,""),preDEL!AH289)</f>
        <v/>
      </c>
      <c r="AI289" s="105" t="str">
        <f>IF(preDEL!$AG289,IFERROR(0/0,""),preDEL!AI289)</f>
        <v/>
      </c>
      <c r="AJ289" s="112" t="str">
        <f>IF(preDEL!$AG289,IFERROR(0/0,""),preDEL!AJ289)</f>
        <v/>
      </c>
      <c r="AK289" s="105" t="str">
        <f>IF(preDEL!$AG289,IFERROR(0/0,""),preDEL!AK289)</f>
        <v>Negative</v>
      </c>
      <c r="AL289" s="112" t="str">
        <f>IF(preDEL!$AG289,IFERROR(0/0,""),preDEL!AL289)</f>
        <v/>
      </c>
      <c r="AM289" s="112" t="str">
        <f>IF(preDEL!$AG289,IFERROR(0/0,""),preDEL!AM289)</f>
        <v>SpBEND492052</v>
      </c>
      <c r="AN289" s="112" t="str">
        <f>IF(preDEL!$AG289,IFERROR(0/0,""),preDEL!AN289)</f>
        <v>BEND350325</v>
      </c>
      <c r="AO289" s="112" t="str">
        <f>IF(preDEL!$AG289,IFERROR(0/0,""),preDEL!AO289)</f>
        <v/>
      </c>
      <c r="AP289" s="112" t="str">
        <f>IF(preDEL!$AG289,IFERROR(0/0,""),preDEL!AP289)</f>
        <v/>
      </c>
      <c r="AQ289" s="112" t="str">
        <f>IF(preDEL!$AG289,IFERROR(0/0,""),preDEL!AQ289)</f>
        <v/>
      </c>
      <c r="AR289" s="112" t="str">
        <f>IF(preDEL!$AG289,IFERROR(0/0,""),preDEL!AR289)</f>
        <v/>
      </c>
      <c r="AS289" s="112" t="str">
        <f>IF(preDEL!$AG289,IFERROR(0/0,""),preDEL!AS289)</f>
        <v/>
      </c>
      <c r="AT289" s="112" t="b">
        <f>IF(preDEL!$AG289,IFERROR(0/0,""),preDEL!AT289)</f>
        <v>0</v>
      </c>
      <c r="AU289" s="112" t="str">
        <f>IF(preDEL!$AG289,IFERROR(0/0,""),preDEL!AU289)</f>
        <v/>
      </c>
      <c r="AV289" s="112" t="str">
        <f>IF(preDEL!$AG289,IFERROR(0/0,""),preDEL!AV289)</f>
        <v/>
      </c>
      <c r="AW289" s="112" t="str">
        <f>IF(preDEL!$AG289,IFERROR(0/0,""),preDEL!AW289)</f>
        <v/>
      </c>
      <c r="AX289" s="112" t="str">
        <f>IF(preDEL!$AG289,IFERROR(0/0,""),preDEL!AX289)</f>
        <v/>
      </c>
      <c r="AY289" s="112" t="str">
        <f>IF(preDEL!$AG289,IFERROR(0/0,""),preDEL!AY289)</f>
        <v/>
      </c>
      <c r="AZ289" s="174"/>
      <c r="BA289" s="174"/>
      <c r="BB289" s="174"/>
      <c r="BC289" s="174"/>
      <c r="BD289" s="174"/>
      <c r="BE289" s="174"/>
      <c r="BF289" s="174"/>
      <c r="BG289" s="174"/>
      <c r="BH289" s="174"/>
      <c r="BI289" s="174"/>
      <c r="BJ289" s="174"/>
      <c r="BK289" s="174"/>
      <c r="BL289" s="174"/>
      <c r="BM289" s="174"/>
      <c r="BN289" s="174"/>
      <c r="BO289" s="174"/>
      <c r="BP289" s="174"/>
      <c r="BQ289" s="174"/>
      <c r="BR289" s="174"/>
      <c r="BS289" s="174"/>
      <c r="BT289" s="174"/>
      <c r="BU289" s="174"/>
      <c r="BV289" s="174"/>
      <c r="BW289" s="174"/>
      <c r="BX289" s="174"/>
      <c r="BY289" s="174"/>
      <c r="BZ289" s="174"/>
      <c r="CA289" s="174"/>
      <c r="CB289" s="174"/>
      <c r="CC289" s="174"/>
      <c r="CD289" s="174"/>
    </row>
    <row r="290">
      <c r="A290" s="105" t="str">
        <f>IF(preDEL!$AG290,IFERROR(0/0,""),preDEL!A290)</f>
        <v>MA449</v>
      </c>
      <c r="B290" s="170">
        <f>IF(preDEL!$AG290,IFERROR(0/0,""),preDEL!B290)</f>
        <v>44585</v>
      </c>
      <c r="C290" s="171">
        <f>IF(preDEL!$AG290,IFERROR(0/0,""),preDEL!C290)</f>
        <v>0.3199305556</v>
      </c>
      <c r="D290" s="105" t="str">
        <f>IF(preDEL!$AG290,IFERROR(0/0,""),preDEL!D290)</f>
        <v/>
      </c>
      <c r="E290" s="105" t="str">
        <f>IF(preDEL!$AG290,IFERROR(0/0,""),preDEL!E290)</f>
        <v/>
      </c>
      <c r="F290" s="112" t="str">
        <f>IF(preDEL!$AG290,IFERROR(0/0,""),preDEL!F290)</f>
        <v/>
      </c>
      <c r="G290" s="112" t="str">
        <f>IF(preDEL!$AG290,IFERROR(0/0,""),preDEL!G290)</f>
        <v/>
      </c>
      <c r="H290" s="112" t="str">
        <f>IF(preDEL!$AG290,IFERROR(0/0,""),preDEL!H290)</f>
        <v/>
      </c>
      <c r="I290" s="105" t="str">
        <f>IF(preDEL!$AG290,IFERROR(0/0,""),preDEL!I290)</f>
        <v/>
      </c>
      <c r="J290" s="105" t="str">
        <f>IF(preDEL!$AG290,IFERROR(0/0,""),preDEL!J290)</f>
        <v/>
      </c>
      <c r="K290" s="105" t="str">
        <f>IF(preDEL!$AG290,IFERROR(0/0,""),preDEL!K290)</f>
        <v>Negative</v>
      </c>
      <c r="L290" s="170">
        <f>IF(preDEL!$AG290,IFERROR(0/0,""),preDEL!L290)</f>
        <v>44585</v>
      </c>
      <c r="M290" s="171">
        <f>IF(preDEL!$AG290,IFERROR(0/0,""),preDEL!M290)</f>
        <v>0.4705902778</v>
      </c>
      <c r="N290" s="112" t="str">
        <f>IF(preDEL!$AG290,IFERROR(0/0,""),preDEL!N290)</f>
        <v/>
      </c>
      <c r="O290" s="112" t="str">
        <f>IF(preDEL!$AG290,IFERROR(0/0,""),preDEL!O290)</f>
        <v/>
      </c>
      <c r="P290" s="110" t="b">
        <f>IF(preDEL!$AG290,IFERROR(0/0,""),preDEL!P290)</f>
        <v>0</v>
      </c>
      <c r="Q290" s="110" t="str">
        <f>IF(preDEL!$AG290,IFERROR(0/0,""),preDEL!Q290)</f>
        <v>Result</v>
      </c>
      <c r="R290" s="104" t="b">
        <f>IF(preDEL!$AG290,IFERROR(0/0,""),preDEL!R290)</f>
        <v>1</v>
      </c>
      <c r="S290" s="104">
        <f>IF(preDEL!$AG290,IFERROR(0/0,""),preDEL!S290)</f>
        <v>1</v>
      </c>
      <c r="T290" s="110" t="str">
        <f>IF(preDEL!$AG290,IFERROR(0/0,""),preDEL!T290)</f>
        <v/>
      </c>
      <c r="U290" s="112" t="str">
        <f>IF(preDEL!$AG290,IFERROR(0/0,""),preDEL!U290)</f>
        <v/>
      </c>
      <c r="V290" s="105" t="str">
        <f>IF(preDEL!$AG290,IFERROR(0/0,""),preDEL!V290)</f>
        <v/>
      </c>
      <c r="W290" s="112" t="str">
        <f>IF(preDEL!$AG290,IFERROR(0/0,""),preDEL!W290)</f>
        <v/>
      </c>
      <c r="X290" s="104" t="b">
        <f>IF(preDEL!$AG290,IFERROR(0/0,""),preDEL!X290)</f>
        <v>0</v>
      </c>
      <c r="Y290" s="110" t="b">
        <f>IF(preDEL!$AG290,IFERROR(0/0,""),preDEL!Y290)</f>
        <v>0</v>
      </c>
      <c r="Z290" s="105" t="str">
        <f>IF(preDEL!$AG290,IFERROR(0/0,""),preDEL!Z290)</f>
        <v/>
      </c>
      <c r="AA290" s="110" t="b">
        <f>IF(preDEL!$AG290,IFERROR(0/0,""),preDEL!AA290)</f>
        <v>0</v>
      </c>
      <c r="AB290" s="110" t="b">
        <f>IF(preDEL!$AG290,IFERROR(0/0,""),preDEL!AB290)</f>
        <v>0</v>
      </c>
      <c r="AC290" s="172">
        <f>IF(preDEL!$AG290,IFERROR(0/0,""),preDEL!AC290)</f>
        <v>518</v>
      </c>
      <c r="AD290" s="104" t="b">
        <f>IF(preDEL!$AG290,IFERROR(0/0,""),preDEL!AD290)</f>
        <v>0</v>
      </c>
      <c r="AE290" s="173">
        <f>IF(preDEL!$AG290,IFERROR(0/0,""),preDEL!AE290)</f>
        <v>216.95</v>
      </c>
      <c r="AF290" s="110" t="b">
        <f>IF(preDEL!$AG290,IFERROR(0/0,""),preDEL!AF290)</f>
        <v>0</v>
      </c>
      <c r="AG290" s="110" t="b">
        <f>IF(preDEL!$AG290,IFERROR(0/0,""),preDEL!AG290)</f>
        <v>0</v>
      </c>
      <c r="AH290" s="104" t="str">
        <f>IF(preDEL!$AG290,IFERROR(0/0,""),preDEL!AH290)</f>
        <v/>
      </c>
      <c r="AI290" s="105" t="str">
        <f>IF(preDEL!$AG290,IFERROR(0/0,""),preDEL!AI290)</f>
        <v/>
      </c>
      <c r="AJ290" s="112" t="str">
        <f>IF(preDEL!$AG290,IFERROR(0/0,""),preDEL!AJ290)</f>
        <v/>
      </c>
      <c r="AK290" s="105" t="str">
        <f>IF(preDEL!$AG290,IFERROR(0/0,""),preDEL!AK290)</f>
        <v>Negative</v>
      </c>
      <c r="AL290" s="112" t="str">
        <f>IF(preDEL!$AG290,IFERROR(0/0,""),preDEL!AL290)</f>
        <v/>
      </c>
      <c r="AM290" s="112" t="str">
        <f>IF(preDEL!$AG290,IFERROR(0/0,""),preDEL!AM290)</f>
        <v>SpBEND349435</v>
      </c>
      <c r="AN290" s="112" t="str">
        <f>IF(preDEL!$AG290,IFERROR(0/0,""),preDEL!AN290)</f>
        <v>BEND759602</v>
      </c>
      <c r="AO290" s="112" t="str">
        <f>IF(preDEL!$AG290,IFERROR(0/0,""),preDEL!AO290)</f>
        <v/>
      </c>
      <c r="AP290" s="112" t="str">
        <f>IF(preDEL!$AG290,IFERROR(0/0,""),preDEL!AP290)</f>
        <v/>
      </c>
      <c r="AQ290" s="112" t="str">
        <f>IF(preDEL!$AG290,IFERROR(0/0,""),preDEL!AQ290)</f>
        <v/>
      </c>
      <c r="AR290" s="112" t="str">
        <f>IF(preDEL!$AG290,IFERROR(0/0,""),preDEL!AR290)</f>
        <v/>
      </c>
      <c r="AS290" s="112" t="str">
        <f>IF(preDEL!$AG290,IFERROR(0/0,""),preDEL!AS290)</f>
        <v/>
      </c>
      <c r="AT290" s="112" t="b">
        <f>IF(preDEL!$AG290,IFERROR(0/0,""),preDEL!AT290)</f>
        <v>0</v>
      </c>
      <c r="AU290" s="112" t="str">
        <f>IF(preDEL!$AG290,IFERROR(0/0,""),preDEL!AU290)</f>
        <v/>
      </c>
      <c r="AV290" s="112" t="str">
        <f>IF(preDEL!$AG290,IFERROR(0/0,""),preDEL!AV290)</f>
        <v/>
      </c>
      <c r="AW290" s="112" t="str">
        <f>IF(preDEL!$AG290,IFERROR(0/0,""),preDEL!AW290)</f>
        <v/>
      </c>
      <c r="AX290" s="112" t="str">
        <f>IF(preDEL!$AG290,IFERROR(0/0,""),preDEL!AX290)</f>
        <v/>
      </c>
      <c r="AY290" s="112" t="str">
        <f>IF(preDEL!$AG290,IFERROR(0/0,""),preDEL!AY290)</f>
        <v/>
      </c>
      <c r="AZ290" s="174"/>
      <c r="BA290" s="174"/>
      <c r="BB290" s="174"/>
      <c r="BC290" s="174"/>
      <c r="BD290" s="174"/>
      <c r="BE290" s="174"/>
      <c r="BF290" s="174"/>
      <c r="BG290" s="174"/>
      <c r="BH290" s="174"/>
      <c r="BI290" s="174"/>
      <c r="BJ290" s="174"/>
      <c r="BK290" s="174"/>
      <c r="BL290" s="174"/>
      <c r="BM290" s="174"/>
      <c r="BN290" s="174"/>
      <c r="BO290" s="174"/>
      <c r="BP290" s="174"/>
      <c r="BQ290" s="174"/>
      <c r="BR290" s="174"/>
      <c r="BS290" s="174"/>
      <c r="BT290" s="174"/>
      <c r="BU290" s="174"/>
      <c r="BV290" s="174"/>
      <c r="BW290" s="174"/>
      <c r="BX290" s="174"/>
      <c r="BY290" s="174"/>
      <c r="BZ290" s="174"/>
      <c r="CA290" s="174"/>
      <c r="CB290" s="174"/>
      <c r="CC290" s="174"/>
      <c r="CD290" s="174"/>
    </row>
    <row r="291">
      <c r="A291" s="105" t="str">
        <f>IF(preDEL!$AG291,IFERROR(0/0,""),preDEL!A291)</f>
        <v>MA1061</v>
      </c>
      <c r="B291" s="170">
        <f>IF(preDEL!$AG291,IFERROR(0/0,""),preDEL!B291)</f>
        <v>44585</v>
      </c>
      <c r="C291" s="171">
        <f>IF(preDEL!$AG291,IFERROR(0/0,""),preDEL!C291)</f>
        <v>0.3261689815</v>
      </c>
      <c r="D291" s="105" t="str">
        <f>IF(preDEL!$AG291,IFERROR(0/0,""),preDEL!D291)</f>
        <v/>
      </c>
      <c r="E291" s="105" t="str">
        <f>IF(preDEL!$AG291,IFERROR(0/0,""),preDEL!E291)</f>
        <v/>
      </c>
      <c r="F291" s="112" t="str">
        <f>IF(preDEL!$AG291,IFERROR(0/0,""),preDEL!F291)</f>
        <v/>
      </c>
      <c r="G291" s="112" t="str">
        <f>IF(preDEL!$AG291,IFERROR(0/0,""),preDEL!G291)</f>
        <v/>
      </c>
      <c r="H291" s="112" t="str">
        <f>IF(preDEL!$AG291,IFERROR(0/0,""),preDEL!H291)</f>
        <v/>
      </c>
      <c r="I291" s="105" t="str">
        <f>IF(preDEL!$AG291,IFERROR(0/0,""),preDEL!I291)</f>
        <v/>
      </c>
      <c r="J291" s="105" t="str">
        <f>IF(preDEL!$AG291,IFERROR(0/0,""),preDEL!J291)</f>
        <v/>
      </c>
      <c r="K291" s="105" t="str">
        <f>IF(preDEL!$AG291,IFERROR(0/0,""),preDEL!K291)</f>
        <v>Negative</v>
      </c>
      <c r="L291" s="170">
        <f>IF(preDEL!$AG291,IFERROR(0/0,""),preDEL!L291)</f>
        <v>44585</v>
      </c>
      <c r="M291" s="171">
        <f>IF(preDEL!$AG291,IFERROR(0/0,""),preDEL!M291)</f>
        <v>0.4705902778</v>
      </c>
      <c r="N291" s="112" t="str">
        <f>IF(preDEL!$AG291,IFERROR(0/0,""),preDEL!N291)</f>
        <v/>
      </c>
      <c r="O291" s="112" t="str">
        <f>IF(preDEL!$AG291,IFERROR(0/0,""),preDEL!O291)</f>
        <v/>
      </c>
      <c r="P291" s="110" t="b">
        <f>IF(preDEL!$AG291,IFERROR(0/0,""),preDEL!P291)</f>
        <v>0</v>
      </c>
      <c r="Q291" s="110" t="str">
        <f>IF(preDEL!$AG291,IFERROR(0/0,""),preDEL!Q291)</f>
        <v>Result</v>
      </c>
      <c r="R291" s="104" t="b">
        <f>IF(preDEL!$AG291,IFERROR(0/0,""),preDEL!R291)</f>
        <v>1</v>
      </c>
      <c r="S291" s="104">
        <f>IF(preDEL!$AG291,IFERROR(0/0,""),preDEL!S291)</f>
        <v>1</v>
      </c>
      <c r="T291" s="110" t="str">
        <f>IF(preDEL!$AG291,IFERROR(0/0,""),preDEL!T291)</f>
        <v/>
      </c>
      <c r="U291" s="112" t="str">
        <f>IF(preDEL!$AG291,IFERROR(0/0,""),preDEL!U291)</f>
        <v/>
      </c>
      <c r="V291" s="105" t="str">
        <f>IF(preDEL!$AG291,IFERROR(0/0,""),preDEL!V291)</f>
        <v/>
      </c>
      <c r="W291" s="112" t="str">
        <f>IF(preDEL!$AG291,IFERROR(0/0,""),preDEL!W291)</f>
        <v/>
      </c>
      <c r="X291" s="104" t="b">
        <f>IF(preDEL!$AG291,IFERROR(0/0,""),preDEL!X291)</f>
        <v>0</v>
      </c>
      <c r="Y291" s="110" t="b">
        <f>IF(preDEL!$AG291,IFERROR(0/0,""),preDEL!Y291)</f>
        <v>0</v>
      </c>
      <c r="Z291" s="105" t="str">
        <f>IF(preDEL!$AG291,IFERROR(0/0,""),preDEL!Z291)</f>
        <v/>
      </c>
      <c r="AA291" s="110" t="b">
        <f>IF(preDEL!$AG291,IFERROR(0/0,""),preDEL!AA291)</f>
        <v>0</v>
      </c>
      <c r="AB291" s="110" t="b">
        <f>IF(preDEL!$AG291,IFERROR(0/0,""),preDEL!AB291)</f>
        <v>0</v>
      </c>
      <c r="AC291" s="172">
        <f>IF(preDEL!$AG291,IFERROR(0/0,""),preDEL!AC291)</f>
        <v>517</v>
      </c>
      <c r="AD291" s="104" t="b">
        <f>IF(preDEL!$AG291,IFERROR(0/0,""),preDEL!AD291)</f>
        <v>0</v>
      </c>
      <c r="AE291" s="173">
        <f>IF(preDEL!$AG291,IFERROR(0/0,""),preDEL!AE291)</f>
        <v>207.9666667</v>
      </c>
      <c r="AF291" s="110" t="b">
        <f>IF(preDEL!$AG291,IFERROR(0/0,""),preDEL!AF291)</f>
        <v>0</v>
      </c>
      <c r="AG291" s="110" t="b">
        <f>IF(preDEL!$AG291,IFERROR(0/0,""),preDEL!AG291)</f>
        <v>0</v>
      </c>
      <c r="AH291" s="104" t="str">
        <f>IF(preDEL!$AG291,IFERROR(0/0,""),preDEL!AH291)</f>
        <v/>
      </c>
      <c r="AI291" s="105" t="str">
        <f>IF(preDEL!$AG291,IFERROR(0/0,""),preDEL!AI291)</f>
        <v/>
      </c>
      <c r="AJ291" s="112" t="str">
        <f>IF(preDEL!$AG291,IFERROR(0/0,""),preDEL!AJ291)</f>
        <v/>
      </c>
      <c r="AK291" s="105" t="str">
        <f>IF(preDEL!$AG291,IFERROR(0/0,""),preDEL!AK291)</f>
        <v>Negative</v>
      </c>
      <c r="AL291" s="112" t="str">
        <f>IF(preDEL!$AG291,IFERROR(0/0,""),preDEL!AL291)</f>
        <v/>
      </c>
      <c r="AM291" s="112" t="str">
        <f>IF(preDEL!$AG291,IFERROR(0/0,""),preDEL!AM291)</f>
        <v>SpBEND825522</v>
      </c>
      <c r="AN291" s="112" t="str">
        <f>IF(preDEL!$AG291,IFERROR(0/0,""),preDEL!AN291)</f>
        <v>BEND140857</v>
      </c>
      <c r="AO291" s="112" t="str">
        <f>IF(preDEL!$AG291,IFERROR(0/0,""),preDEL!AO291)</f>
        <v/>
      </c>
      <c r="AP291" s="112" t="str">
        <f>IF(preDEL!$AG291,IFERROR(0/0,""),preDEL!AP291)</f>
        <v/>
      </c>
      <c r="AQ291" s="112" t="str">
        <f>IF(preDEL!$AG291,IFERROR(0/0,""),preDEL!AQ291)</f>
        <v/>
      </c>
      <c r="AR291" s="112" t="str">
        <f>IF(preDEL!$AG291,IFERROR(0/0,""),preDEL!AR291)</f>
        <v/>
      </c>
      <c r="AS291" s="112" t="str">
        <f>IF(preDEL!$AG291,IFERROR(0/0,""),preDEL!AS291)</f>
        <v/>
      </c>
      <c r="AT291" s="112" t="b">
        <f>IF(preDEL!$AG291,IFERROR(0/0,""),preDEL!AT291)</f>
        <v>0</v>
      </c>
      <c r="AU291" s="112" t="str">
        <f>IF(preDEL!$AG291,IFERROR(0/0,""),preDEL!AU291)</f>
        <v/>
      </c>
      <c r="AV291" s="112" t="str">
        <f>IF(preDEL!$AG291,IFERROR(0/0,""),preDEL!AV291)</f>
        <v/>
      </c>
      <c r="AW291" s="112" t="str">
        <f>IF(preDEL!$AG291,IFERROR(0/0,""),preDEL!AW291)</f>
        <v/>
      </c>
      <c r="AX291" s="112" t="str">
        <f>IF(preDEL!$AG291,IFERROR(0/0,""),preDEL!AX291)</f>
        <v/>
      </c>
      <c r="AY291" s="112" t="str">
        <f>IF(preDEL!$AG291,IFERROR(0/0,""),preDEL!AY291)</f>
        <v/>
      </c>
      <c r="AZ291" s="174"/>
      <c r="BA291" s="174"/>
      <c r="BB291" s="174"/>
      <c r="BC291" s="174"/>
      <c r="BD291" s="174"/>
      <c r="BE291" s="174"/>
      <c r="BF291" s="174"/>
      <c r="BG291" s="174"/>
      <c r="BH291" s="174"/>
      <c r="BI291" s="174"/>
      <c r="BJ291" s="174"/>
      <c r="BK291" s="174"/>
      <c r="BL291" s="174"/>
      <c r="BM291" s="174"/>
      <c r="BN291" s="174"/>
      <c r="BO291" s="174"/>
      <c r="BP291" s="174"/>
      <c r="BQ291" s="174"/>
      <c r="BR291" s="174"/>
      <c r="BS291" s="174"/>
      <c r="BT291" s="174"/>
      <c r="BU291" s="174"/>
      <c r="BV291" s="174"/>
      <c r="BW291" s="174"/>
      <c r="BX291" s="174"/>
      <c r="BY291" s="174"/>
      <c r="BZ291" s="174"/>
      <c r="CA291" s="174"/>
      <c r="CB291" s="174"/>
      <c r="CC291" s="174"/>
      <c r="CD291" s="174"/>
    </row>
    <row r="292">
      <c r="A292" s="105" t="str">
        <f>IF(preDEL!$AG292,IFERROR(0/0,""),preDEL!A292)</f>
        <v>MA1178</v>
      </c>
      <c r="B292" s="170">
        <f>IF(preDEL!$AG292,IFERROR(0/0,""),preDEL!B292)</f>
        <v>44585</v>
      </c>
      <c r="C292" s="171">
        <f>IF(preDEL!$AG292,IFERROR(0/0,""),preDEL!C292)</f>
        <v>0.3265740741</v>
      </c>
      <c r="D292" s="105" t="str">
        <f>IF(preDEL!$AG292,IFERROR(0/0,""),preDEL!D292)</f>
        <v/>
      </c>
      <c r="E292" s="105" t="str">
        <f>IF(preDEL!$AG292,IFERROR(0/0,""),preDEL!E292)</f>
        <v/>
      </c>
      <c r="F292" s="112" t="str">
        <f>IF(preDEL!$AG292,IFERROR(0/0,""),preDEL!F292)</f>
        <v/>
      </c>
      <c r="G292" s="112" t="str">
        <f>IF(preDEL!$AG292,IFERROR(0/0,""),preDEL!G292)</f>
        <v/>
      </c>
      <c r="H292" s="112" t="str">
        <f>IF(preDEL!$AG292,IFERROR(0/0,""),preDEL!H292)</f>
        <v/>
      </c>
      <c r="I292" s="105" t="str">
        <f>IF(preDEL!$AG292,IFERROR(0/0,""),preDEL!I292)</f>
        <v/>
      </c>
      <c r="J292" s="105" t="str">
        <f>IF(preDEL!$AG292,IFERROR(0/0,""),preDEL!J292)</f>
        <v/>
      </c>
      <c r="K292" s="105" t="str">
        <f>IF(preDEL!$AG292,IFERROR(0/0,""),preDEL!K292)</f>
        <v>Negative</v>
      </c>
      <c r="L292" s="170">
        <f>IF(preDEL!$AG292,IFERROR(0/0,""),preDEL!L292)</f>
        <v>44585</v>
      </c>
      <c r="M292" s="171">
        <f>IF(preDEL!$AG292,IFERROR(0/0,""),preDEL!M292)</f>
        <v>0.4705902778</v>
      </c>
      <c r="N292" s="112" t="str">
        <f>IF(preDEL!$AG292,IFERROR(0/0,""),preDEL!N292)</f>
        <v/>
      </c>
      <c r="O292" s="112" t="str">
        <f>IF(preDEL!$AG292,IFERROR(0/0,""),preDEL!O292)</f>
        <v/>
      </c>
      <c r="P292" s="110" t="b">
        <f>IF(preDEL!$AG292,IFERROR(0/0,""),preDEL!P292)</f>
        <v>0</v>
      </c>
      <c r="Q292" s="110" t="str">
        <f>IF(preDEL!$AG292,IFERROR(0/0,""),preDEL!Q292)</f>
        <v>Result</v>
      </c>
      <c r="R292" s="104" t="b">
        <f>IF(preDEL!$AG292,IFERROR(0/0,""),preDEL!R292)</f>
        <v>1</v>
      </c>
      <c r="S292" s="104">
        <f>IF(preDEL!$AG292,IFERROR(0/0,""),preDEL!S292)</f>
        <v>1</v>
      </c>
      <c r="T292" s="110" t="str">
        <f>IF(preDEL!$AG292,IFERROR(0/0,""),preDEL!T292)</f>
        <v/>
      </c>
      <c r="U292" s="112" t="str">
        <f>IF(preDEL!$AG292,IFERROR(0/0,""),preDEL!U292)</f>
        <v/>
      </c>
      <c r="V292" s="105" t="str">
        <f>IF(preDEL!$AG292,IFERROR(0/0,""),preDEL!V292)</f>
        <v/>
      </c>
      <c r="W292" s="112" t="str">
        <f>IF(preDEL!$AG292,IFERROR(0/0,""),preDEL!W292)</f>
        <v/>
      </c>
      <c r="X292" s="104" t="b">
        <f>IF(preDEL!$AG292,IFERROR(0/0,""),preDEL!X292)</f>
        <v>0</v>
      </c>
      <c r="Y292" s="110" t="b">
        <f>IF(preDEL!$AG292,IFERROR(0/0,""),preDEL!Y292)</f>
        <v>0</v>
      </c>
      <c r="Z292" s="105" t="str">
        <f>IF(preDEL!$AG292,IFERROR(0/0,""),preDEL!Z292)</f>
        <v/>
      </c>
      <c r="AA292" s="110" t="b">
        <f>IF(preDEL!$AG292,IFERROR(0/0,""),preDEL!AA292)</f>
        <v>0</v>
      </c>
      <c r="AB292" s="110" t="b">
        <f>IF(preDEL!$AG292,IFERROR(0/0,""),preDEL!AB292)</f>
        <v>0</v>
      </c>
      <c r="AC292" s="172">
        <f>IF(preDEL!$AG292,IFERROR(0/0,""),preDEL!AC292)</f>
        <v>516</v>
      </c>
      <c r="AD292" s="104" t="b">
        <f>IF(preDEL!$AG292,IFERROR(0/0,""),preDEL!AD292)</f>
        <v>0</v>
      </c>
      <c r="AE292" s="173">
        <f>IF(preDEL!$AG292,IFERROR(0/0,""),preDEL!AE292)</f>
        <v>207.3833333</v>
      </c>
      <c r="AF292" s="110" t="b">
        <f>IF(preDEL!$AG292,IFERROR(0/0,""),preDEL!AF292)</f>
        <v>0</v>
      </c>
      <c r="AG292" s="110" t="b">
        <f>IF(preDEL!$AG292,IFERROR(0/0,""),preDEL!AG292)</f>
        <v>0</v>
      </c>
      <c r="AH292" s="104" t="str">
        <f>IF(preDEL!$AG292,IFERROR(0/0,""),preDEL!AH292)</f>
        <v/>
      </c>
      <c r="AI292" s="105" t="str">
        <f>IF(preDEL!$AG292,IFERROR(0/0,""),preDEL!AI292)</f>
        <v/>
      </c>
      <c r="AJ292" s="112" t="str">
        <f>IF(preDEL!$AG292,IFERROR(0/0,""),preDEL!AJ292)</f>
        <v/>
      </c>
      <c r="AK292" s="105" t="str">
        <f>IF(preDEL!$AG292,IFERROR(0/0,""),preDEL!AK292)</f>
        <v>Negative</v>
      </c>
      <c r="AL292" s="112" t="str">
        <f>IF(preDEL!$AG292,IFERROR(0/0,""),preDEL!AL292)</f>
        <v/>
      </c>
      <c r="AM292" s="112" t="str">
        <f>IF(preDEL!$AG292,IFERROR(0/0,""),preDEL!AM292)</f>
        <v>SpBEND643855</v>
      </c>
      <c r="AN292" s="112" t="str">
        <f>IF(preDEL!$AG292,IFERROR(0/0,""),preDEL!AN292)</f>
        <v>BEND364074</v>
      </c>
      <c r="AO292" s="112" t="str">
        <f>IF(preDEL!$AG292,IFERROR(0/0,""),preDEL!AO292)</f>
        <v/>
      </c>
      <c r="AP292" s="112" t="str">
        <f>IF(preDEL!$AG292,IFERROR(0/0,""),preDEL!AP292)</f>
        <v/>
      </c>
      <c r="AQ292" s="112" t="str">
        <f>IF(preDEL!$AG292,IFERROR(0/0,""),preDEL!AQ292)</f>
        <v/>
      </c>
      <c r="AR292" s="112" t="str">
        <f>IF(preDEL!$AG292,IFERROR(0/0,""),preDEL!AR292)</f>
        <v/>
      </c>
      <c r="AS292" s="112" t="str">
        <f>IF(preDEL!$AG292,IFERROR(0/0,""),preDEL!AS292)</f>
        <v/>
      </c>
      <c r="AT292" s="112" t="b">
        <f>IF(preDEL!$AG292,IFERROR(0/0,""),preDEL!AT292)</f>
        <v>0</v>
      </c>
      <c r="AU292" s="112" t="str">
        <f>IF(preDEL!$AG292,IFERROR(0/0,""),preDEL!AU292)</f>
        <v/>
      </c>
      <c r="AV292" s="112" t="str">
        <f>IF(preDEL!$AG292,IFERROR(0/0,""),preDEL!AV292)</f>
        <v/>
      </c>
      <c r="AW292" s="112" t="str">
        <f>IF(preDEL!$AG292,IFERROR(0/0,""),preDEL!AW292)</f>
        <v/>
      </c>
      <c r="AX292" s="112" t="str">
        <f>IF(preDEL!$AG292,IFERROR(0/0,""),preDEL!AX292)</f>
        <v/>
      </c>
      <c r="AY292" s="112" t="str">
        <f>IF(preDEL!$AG292,IFERROR(0/0,""),preDEL!AY292)</f>
        <v/>
      </c>
      <c r="AZ292" s="174"/>
      <c r="BA292" s="174"/>
      <c r="BB292" s="174"/>
      <c r="BC292" s="174"/>
      <c r="BD292" s="174"/>
      <c r="BE292" s="174"/>
      <c r="BF292" s="174"/>
      <c r="BG292" s="174"/>
      <c r="BH292" s="174"/>
      <c r="BI292" s="174"/>
      <c r="BJ292" s="174"/>
      <c r="BK292" s="174"/>
      <c r="BL292" s="174"/>
      <c r="BM292" s="174"/>
      <c r="BN292" s="174"/>
      <c r="BO292" s="174"/>
      <c r="BP292" s="174"/>
      <c r="BQ292" s="174"/>
      <c r="BR292" s="174"/>
      <c r="BS292" s="174"/>
      <c r="BT292" s="174"/>
      <c r="BU292" s="174"/>
      <c r="BV292" s="174"/>
      <c r="BW292" s="174"/>
      <c r="BX292" s="174"/>
      <c r="BY292" s="174"/>
      <c r="BZ292" s="174"/>
      <c r="CA292" s="174"/>
      <c r="CB292" s="174"/>
      <c r="CC292" s="174"/>
      <c r="CD292" s="174"/>
    </row>
    <row r="293">
      <c r="A293" s="105" t="str">
        <f>IF(preDEL!$AG293,IFERROR(0/0,""),preDEL!A293)</f>
        <v>MA574</v>
      </c>
      <c r="B293" s="170">
        <f>IF(preDEL!$AG293,IFERROR(0/0,""),preDEL!B293)</f>
        <v>44585</v>
      </c>
      <c r="C293" s="171">
        <f>IF(preDEL!$AG293,IFERROR(0/0,""),preDEL!C293)</f>
        <v>0.3322916667</v>
      </c>
      <c r="D293" s="105" t="str">
        <f>IF(preDEL!$AG293,IFERROR(0/0,""),preDEL!D293)</f>
        <v/>
      </c>
      <c r="E293" s="105" t="str">
        <f>IF(preDEL!$AG293,IFERROR(0/0,""),preDEL!E293)</f>
        <v/>
      </c>
      <c r="F293" s="112" t="str">
        <f>IF(preDEL!$AG293,IFERROR(0/0,""),preDEL!F293)</f>
        <v/>
      </c>
      <c r="G293" s="112" t="str">
        <f>IF(preDEL!$AG293,IFERROR(0/0,""),preDEL!G293)</f>
        <v/>
      </c>
      <c r="H293" s="112" t="str">
        <f>IF(preDEL!$AG293,IFERROR(0/0,""),preDEL!H293)</f>
        <v/>
      </c>
      <c r="I293" s="105" t="str">
        <f>IF(preDEL!$AG293,IFERROR(0/0,""),preDEL!I293)</f>
        <v/>
      </c>
      <c r="J293" s="105" t="str">
        <f>IF(preDEL!$AG293,IFERROR(0/0,""),preDEL!J293)</f>
        <v/>
      </c>
      <c r="K293" s="105" t="str">
        <f>IF(preDEL!$AG293,IFERROR(0/0,""),preDEL!K293)</f>
        <v>Negative</v>
      </c>
      <c r="L293" s="170">
        <f>IF(preDEL!$AG293,IFERROR(0/0,""),preDEL!L293)</f>
        <v>44585</v>
      </c>
      <c r="M293" s="171">
        <f>IF(preDEL!$AG293,IFERROR(0/0,""),preDEL!M293)</f>
        <v>0.4705902778</v>
      </c>
      <c r="N293" s="112" t="str">
        <f>IF(preDEL!$AG293,IFERROR(0/0,""),preDEL!N293)</f>
        <v/>
      </c>
      <c r="O293" s="112" t="str">
        <f>IF(preDEL!$AG293,IFERROR(0/0,""),preDEL!O293)</f>
        <v/>
      </c>
      <c r="P293" s="110" t="b">
        <f>IF(preDEL!$AG293,IFERROR(0/0,""),preDEL!P293)</f>
        <v>0</v>
      </c>
      <c r="Q293" s="110" t="str">
        <f>IF(preDEL!$AG293,IFERROR(0/0,""),preDEL!Q293)</f>
        <v>Result</v>
      </c>
      <c r="R293" s="104" t="b">
        <f>IF(preDEL!$AG293,IFERROR(0/0,""),preDEL!R293)</f>
        <v>1</v>
      </c>
      <c r="S293" s="104">
        <f>IF(preDEL!$AG293,IFERROR(0/0,""),preDEL!S293)</f>
        <v>1</v>
      </c>
      <c r="T293" s="110" t="str">
        <f>IF(preDEL!$AG293,IFERROR(0/0,""),preDEL!T293)</f>
        <v/>
      </c>
      <c r="U293" s="112" t="str">
        <f>IF(preDEL!$AG293,IFERROR(0/0,""),preDEL!U293)</f>
        <v/>
      </c>
      <c r="V293" s="105" t="str">
        <f>IF(preDEL!$AG293,IFERROR(0/0,""),preDEL!V293)</f>
        <v/>
      </c>
      <c r="W293" s="112" t="str">
        <f>IF(preDEL!$AG293,IFERROR(0/0,""),preDEL!W293)</f>
        <v/>
      </c>
      <c r="X293" s="104" t="b">
        <f>IF(preDEL!$AG293,IFERROR(0/0,""),preDEL!X293)</f>
        <v>0</v>
      </c>
      <c r="Y293" s="110" t="b">
        <f>IF(preDEL!$AG293,IFERROR(0/0,""),preDEL!Y293)</f>
        <v>0</v>
      </c>
      <c r="Z293" s="105" t="str">
        <f>IF(preDEL!$AG293,IFERROR(0/0,""),preDEL!Z293)</f>
        <v/>
      </c>
      <c r="AA293" s="110" t="b">
        <f>IF(preDEL!$AG293,IFERROR(0/0,""),preDEL!AA293)</f>
        <v>0</v>
      </c>
      <c r="AB293" s="110" t="b">
        <f>IF(preDEL!$AG293,IFERROR(0/0,""),preDEL!AB293)</f>
        <v>0</v>
      </c>
      <c r="AC293" s="172">
        <f>IF(preDEL!$AG293,IFERROR(0/0,""),preDEL!AC293)</f>
        <v>515</v>
      </c>
      <c r="AD293" s="104" t="b">
        <f>IF(preDEL!$AG293,IFERROR(0/0,""),preDEL!AD293)</f>
        <v>0</v>
      </c>
      <c r="AE293" s="173">
        <f>IF(preDEL!$AG293,IFERROR(0/0,""),preDEL!AE293)</f>
        <v>199.15</v>
      </c>
      <c r="AF293" s="110" t="b">
        <f>IF(preDEL!$AG293,IFERROR(0/0,""),preDEL!AF293)</f>
        <v>0</v>
      </c>
      <c r="AG293" s="110" t="b">
        <f>IF(preDEL!$AG293,IFERROR(0/0,""),preDEL!AG293)</f>
        <v>0</v>
      </c>
      <c r="AH293" s="104" t="str">
        <f>IF(preDEL!$AG293,IFERROR(0/0,""),preDEL!AH293)</f>
        <v/>
      </c>
      <c r="AI293" s="105" t="str">
        <f>IF(preDEL!$AG293,IFERROR(0/0,""),preDEL!AI293)</f>
        <v/>
      </c>
      <c r="AJ293" s="112" t="str">
        <f>IF(preDEL!$AG293,IFERROR(0/0,""),preDEL!AJ293)</f>
        <v/>
      </c>
      <c r="AK293" s="105" t="str">
        <f>IF(preDEL!$AG293,IFERROR(0/0,""),preDEL!AK293)</f>
        <v>Negative</v>
      </c>
      <c r="AL293" s="112" t="str">
        <f>IF(preDEL!$AG293,IFERROR(0/0,""),preDEL!AL293)</f>
        <v/>
      </c>
      <c r="AM293" s="112" t="str">
        <f>IF(preDEL!$AG293,IFERROR(0/0,""),preDEL!AM293)</f>
        <v>SpBEND214692</v>
      </c>
      <c r="AN293" s="112" t="str">
        <f>IF(preDEL!$AG293,IFERROR(0/0,""),preDEL!AN293)</f>
        <v>BEND886978</v>
      </c>
      <c r="AO293" s="112" t="str">
        <f>IF(preDEL!$AG293,IFERROR(0/0,""),preDEL!AO293)</f>
        <v/>
      </c>
      <c r="AP293" s="112" t="str">
        <f>IF(preDEL!$AG293,IFERROR(0/0,""),preDEL!AP293)</f>
        <v/>
      </c>
      <c r="AQ293" s="112" t="str">
        <f>IF(preDEL!$AG293,IFERROR(0/0,""),preDEL!AQ293)</f>
        <v/>
      </c>
      <c r="AR293" s="112" t="str">
        <f>IF(preDEL!$AG293,IFERROR(0/0,""),preDEL!AR293)</f>
        <v/>
      </c>
      <c r="AS293" s="112" t="str">
        <f>IF(preDEL!$AG293,IFERROR(0/0,""),preDEL!AS293)</f>
        <v/>
      </c>
      <c r="AT293" s="112" t="b">
        <f>IF(preDEL!$AG293,IFERROR(0/0,""),preDEL!AT293)</f>
        <v>0</v>
      </c>
      <c r="AU293" s="112" t="str">
        <f>IF(preDEL!$AG293,IFERROR(0/0,""),preDEL!AU293)</f>
        <v/>
      </c>
      <c r="AV293" s="112" t="str">
        <f>IF(preDEL!$AG293,IFERROR(0/0,""),preDEL!AV293)</f>
        <v/>
      </c>
      <c r="AW293" s="112" t="str">
        <f>IF(preDEL!$AG293,IFERROR(0/0,""),preDEL!AW293)</f>
        <v/>
      </c>
      <c r="AX293" s="112" t="str">
        <f>IF(preDEL!$AG293,IFERROR(0/0,""),preDEL!AX293)</f>
        <v/>
      </c>
      <c r="AY293" s="112" t="str">
        <f>IF(preDEL!$AG293,IFERROR(0/0,""),preDEL!AY293)</f>
        <v/>
      </c>
      <c r="AZ293" s="174"/>
      <c r="BA293" s="174"/>
      <c r="BB293" s="174"/>
      <c r="BC293" s="174"/>
      <c r="BD293" s="174"/>
      <c r="BE293" s="174"/>
      <c r="BF293" s="174"/>
      <c r="BG293" s="174"/>
      <c r="BH293" s="174"/>
      <c r="BI293" s="174"/>
      <c r="BJ293" s="174"/>
      <c r="BK293" s="174"/>
      <c r="BL293" s="174"/>
      <c r="BM293" s="174"/>
      <c r="BN293" s="174"/>
      <c r="BO293" s="174"/>
      <c r="BP293" s="174"/>
      <c r="BQ293" s="174"/>
      <c r="BR293" s="174"/>
      <c r="BS293" s="174"/>
      <c r="BT293" s="174"/>
      <c r="BU293" s="174"/>
      <c r="BV293" s="174"/>
      <c r="BW293" s="174"/>
      <c r="BX293" s="174"/>
      <c r="BY293" s="174"/>
      <c r="BZ293" s="174"/>
      <c r="CA293" s="174"/>
      <c r="CB293" s="174"/>
      <c r="CC293" s="174"/>
      <c r="CD293" s="174"/>
    </row>
    <row r="294">
      <c r="A294" s="105" t="str">
        <f>IF(preDEL!$AG294,IFERROR(0/0,""),preDEL!A294)</f>
        <v>MA1180</v>
      </c>
      <c r="B294" s="170">
        <f>IF(preDEL!$AG294,IFERROR(0/0,""),preDEL!B294)</f>
        <v>44585</v>
      </c>
      <c r="C294" s="171">
        <f>IF(preDEL!$AG294,IFERROR(0/0,""),preDEL!C294)</f>
        <v>0.3329282407</v>
      </c>
      <c r="D294" s="105" t="str">
        <f>IF(preDEL!$AG294,IFERROR(0/0,""),preDEL!D294)</f>
        <v/>
      </c>
      <c r="E294" s="105" t="str">
        <f>IF(preDEL!$AG294,IFERROR(0/0,""),preDEL!E294)</f>
        <v/>
      </c>
      <c r="F294" s="112" t="str">
        <f>IF(preDEL!$AG294,IFERROR(0/0,""),preDEL!F294)</f>
        <v/>
      </c>
      <c r="G294" s="112" t="str">
        <f>IF(preDEL!$AG294,IFERROR(0/0,""),preDEL!G294)</f>
        <v/>
      </c>
      <c r="H294" s="112" t="str">
        <f>IF(preDEL!$AG294,IFERROR(0/0,""),preDEL!H294)</f>
        <v/>
      </c>
      <c r="I294" s="105" t="str">
        <f>IF(preDEL!$AG294,IFERROR(0/0,""),preDEL!I294)</f>
        <v/>
      </c>
      <c r="J294" s="105" t="str">
        <f>IF(preDEL!$AG294,IFERROR(0/0,""),preDEL!J294)</f>
        <v/>
      </c>
      <c r="K294" s="105" t="str">
        <f>IF(preDEL!$AG294,IFERROR(0/0,""),preDEL!K294)</f>
        <v>Negative</v>
      </c>
      <c r="L294" s="170">
        <f>IF(preDEL!$AG294,IFERROR(0/0,""),preDEL!L294)</f>
        <v>44585</v>
      </c>
      <c r="M294" s="171">
        <f>IF(preDEL!$AG294,IFERROR(0/0,""),preDEL!M294)</f>
        <v>0.4705902778</v>
      </c>
      <c r="N294" s="112" t="str">
        <f>IF(preDEL!$AG294,IFERROR(0/0,""),preDEL!N294)</f>
        <v/>
      </c>
      <c r="O294" s="112" t="str">
        <f>IF(preDEL!$AG294,IFERROR(0/0,""),preDEL!O294)</f>
        <v/>
      </c>
      <c r="P294" s="110" t="b">
        <f>IF(preDEL!$AG294,IFERROR(0/0,""),preDEL!P294)</f>
        <v>0</v>
      </c>
      <c r="Q294" s="110" t="str">
        <f>IF(preDEL!$AG294,IFERROR(0/0,""),preDEL!Q294)</f>
        <v>Result</v>
      </c>
      <c r="R294" s="104" t="b">
        <f>IF(preDEL!$AG294,IFERROR(0/0,""),preDEL!R294)</f>
        <v>1</v>
      </c>
      <c r="S294" s="104">
        <f>IF(preDEL!$AG294,IFERROR(0/0,""),preDEL!S294)</f>
        <v>1</v>
      </c>
      <c r="T294" s="110" t="str">
        <f>IF(preDEL!$AG294,IFERROR(0/0,""),preDEL!T294)</f>
        <v/>
      </c>
      <c r="U294" s="112" t="str">
        <f>IF(preDEL!$AG294,IFERROR(0/0,""),preDEL!U294)</f>
        <v/>
      </c>
      <c r="V294" s="105" t="str">
        <f>IF(preDEL!$AG294,IFERROR(0/0,""),preDEL!V294)</f>
        <v/>
      </c>
      <c r="W294" s="112" t="str">
        <f>IF(preDEL!$AG294,IFERROR(0/0,""),preDEL!W294)</f>
        <v/>
      </c>
      <c r="X294" s="104" t="b">
        <f>IF(preDEL!$AG294,IFERROR(0/0,""),preDEL!X294)</f>
        <v>0</v>
      </c>
      <c r="Y294" s="110" t="b">
        <f>IF(preDEL!$AG294,IFERROR(0/0,""),preDEL!Y294)</f>
        <v>0</v>
      </c>
      <c r="Z294" s="105" t="str">
        <f>IF(preDEL!$AG294,IFERROR(0/0,""),preDEL!Z294)</f>
        <v/>
      </c>
      <c r="AA294" s="110" t="b">
        <f>IF(preDEL!$AG294,IFERROR(0/0,""),preDEL!AA294)</f>
        <v>0</v>
      </c>
      <c r="AB294" s="110" t="b">
        <f>IF(preDEL!$AG294,IFERROR(0/0,""),preDEL!AB294)</f>
        <v>0</v>
      </c>
      <c r="AC294" s="172">
        <f>IF(preDEL!$AG294,IFERROR(0/0,""),preDEL!AC294)</f>
        <v>514</v>
      </c>
      <c r="AD294" s="104" t="b">
        <f>IF(preDEL!$AG294,IFERROR(0/0,""),preDEL!AD294)</f>
        <v>0</v>
      </c>
      <c r="AE294" s="173">
        <f>IF(preDEL!$AG294,IFERROR(0/0,""),preDEL!AE294)</f>
        <v>198.2333333</v>
      </c>
      <c r="AF294" s="110" t="b">
        <f>IF(preDEL!$AG294,IFERROR(0/0,""),preDEL!AF294)</f>
        <v>0</v>
      </c>
      <c r="AG294" s="110" t="b">
        <f>IF(preDEL!$AG294,IFERROR(0/0,""),preDEL!AG294)</f>
        <v>0</v>
      </c>
      <c r="AH294" s="104" t="str">
        <f>IF(preDEL!$AG294,IFERROR(0/0,""),preDEL!AH294)</f>
        <v/>
      </c>
      <c r="AI294" s="105" t="str">
        <f>IF(preDEL!$AG294,IFERROR(0/0,""),preDEL!AI294)</f>
        <v/>
      </c>
      <c r="AJ294" s="112" t="str">
        <f>IF(preDEL!$AG294,IFERROR(0/0,""),preDEL!AJ294)</f>
        <v/>
      </c>
      <c r="AK294" s="105" t="str">
        <f>IF(preDEL!$AG294,IFERROR(0/0,""),preDEL!AK294)</f>
        <v>Negative</v>
      </c>
      <c r="AL294" s="112" t="str">
        <f>IF(preDEL!$AG294,IFERROR(0/0,""),preDEL!AL294)</f>
        <v/>
      </c>
      <c r="AM294" s="112" t="str">
        <f>IF(preDEL!$AG294,IFERROR(0/0,""),preDEL!AM294)</f>
        <v>SpBEND541174</v>
      </c>
      <c r="AN294" s="112" t="str">
        <f>IF(preDEL!$AG294,IFERROR(0/0,""),preDEL!AN294)</f>
        <v>BEND785384</v>
      </c>
      <c r="AO294" s="112" t="str">
        <f>IF(preDEL!$AG294,IFERROR(0/0,""),preDEL!AO294)</f>
        <v/>
      </c>
      <c r="AP294" s="112" t="str">
        <f>IF(preDEL!$AG294,IFERROR(0/0,""),preDEL!AP294)</f>
        <v/>
      </c>
      <c r="AQ294" s="112" t="str">
        <f>IF(preDEL!$AG294,IFERROR(0/0,""),preDEL!AQ294)</f>
        <v/>
      </c>
      <c r="AR294" s="112" t="str">
        <f>IF(preDEL!$AG294,IFERROR(0/0,""),preDEL!AR294)</f>
        <v/>
      </c>
      <c r="AS294" s="112" t="str">
        <f>IF(preDEL!$AG294,IFERROR(0/0,""),preDEL!AS294)</f>
        <v/>
      </c>
      <c r="AT294" s="112" t="b">
        <f>IF(preDEL!$AG294,IFERROR(0/0,""),preDEL!AT294)</f>
        <v>0</v>
      </c>
      <c r="AU294" s="112" t="str">
        <f>IF(preDEL!$AG294,IFERROR(0/0,""),preDEL!AU294)</f>
        <v/>
      </c>
      <c r="AV294" s="112" t="str">
        <f>IF(preDEL!$AG294,IFERROR(0/0,""),preDEL!AV294)</f>
        <v/>
      </c>
      <c r="AW294" s="112" t="str">
        <f>IF(preDEL!$AG294,IFERROR(0/0,""),preDEL!AW294)</f>
        <v/>
      </c>
      <c r="AX294" s="112" t="str">
        <f>IF(preDEL!$AG294,IFERROR(0/0,""),preDEL!AX294)</f>
        <v/>
      </c>
      <c r="AY294" s="112" t="str">
        <f>IF(preDEL!$AG294,IFERROR(0/0,""),preDEL!AY294)</f>
        <v/>
      </c>
      <c r="AZ294" s="174"/>
      <c r="BA294" s="174"/>
      <c r="BB294" s="174"/>
      <c r="BC294" s="174"/>
      <c r="BD294" s="174"/>
      <c r="BE294" s="174"/>
      <c r="BF294" s="174"/>
      <c r="BG294" s="174"/>
      <c r="BH294" s="174"/>
      <c r="BI294" s="174"/>
      <c r="BJ294" s="174"/>
      <c r="BK294" s="174"/>
      <c r="BL294" s="174"/>
      <c r="BM294" s="174"/>
      <c r="BN294" s="174"/>
      <c r="BO294" s="174"/>
      <c r="BP294" s="174"/>
      <c r="BQ294" s="174"/>
      <c r="BR294" s="174"/>
      <c r="BS294" s="174"/>
      <c r="BT294" s="174"/>
      <c r="BU294" s="174"/>
      <c r="BV294" s="174"/>
      <c r="BW294" s="174"/>
      <c r="BX294" s="174"/>
      <c r="BY294" s="174"/>
      <c r="BZ294" s="174"/>
      <c r="CA294" s="174"/>
      <c r="CB294" s="174"/>
      <c r="CC294" s="174"/>
      <c r="CD294" s="174"/>
    </row>
    <row r="295">
      <c r="A295" s="105" t="str">
        <f>IF(preDEL!$AG295,IFERROR(0/0,""),preDEL!A295)</f>
        <v>MA545</v>
      </c>
      <c r="B295" s="170">
        <f>IF(preDEL!$AG295,IFERROR(0/0,""),preDEL!B295)</f>
        <v>44585</v>
      </c>
      <c r="C295" s="171">
        <f>IF(preDEL!$AG295,IFERROR(0/0,""),preDEL!C295)</f>
        <v>0.3420949074</v>
      </c>
      <c r="D295" s="105" t="str">
        <f>IF(preDEL!$AG295,IFERROR(0/0,""),preDEL!D295)</f>
        <v/>
      </c>
      <c r="E295" s="105" t="str">
        <f>IF(preDEL!$AG295,IFERROR(0/0,""),preDEL!E295)</f>
        <v/>
      </c>
      <c r="F295" s="112" t="str">
        <f>IF(preDEL!$AG295,IFERROR(0/0,""),preDEL!F295)</f>
        <v/>
      </c>
      <c r="G295" s="112" t="str">
        <f>IF(preDEL!$AG295,IFERROR(0/0,""),preDEL!G295)</f>
        <v/>
      </c>
      <c r="H295" s="112" t="str">
        <f>IF(preDEL!$AG295,IFERROR(0/0,""),preDEL!H295)</f>
        <v/>
      </c>
      <c r="I295" s="105" t="str">
        <f>IF(preDEL!$AG295,IFERROR(0/0,""),preDEL!I295)</f>
        <v/>
      </c>
      <c r="J295" s="105" t="str">
        <f>IF(preDEL!$AG295,IFERROR(0/0,""),preDEL!J295)</f>
        <v/>
      </c>
      <c r="K295" s="105" t="str">
        <f>IF(preDEL!$AG295,IFERROR(0/0,""),preDEL!K295)</f>
        <v>Positive</v>
      </c>
      <c r="L295" s="170">
        <f>IF(preDEL!$AG295,IFERROR(0/0,""),preDEL!L295)</f>
        <v>44587</v>
      </c>
      <c r="M295" s="171">
        <f>IF(preDEL!$AG295,IFERROR(0/0,""),preDEL!M295)</f>
        <v>0.5008796296</v>
      </c>
      <c r="N295" s="112" t="str">
        <f>IF(preDEL!$AG295,IFERROR(0/0,""),preDEL!N295)</f>
        <v/>
      </c>
      <c r="O295" s="112" t="str">
        <f>IF(preDEL!$AG295,IFERROR(0/0,""),preDEL!O295)</f>
        <v/>
      </c>
      <c r="P295" s="110" t="b">
        <f>IF(preDEL!$AG295,IFERROR(0/0,""),preDEL!P295)</f>
        <v>0</v>
      </c>
      <c r="Q295" s="110" t="str">
        <f>IF(preDEL!$AG295,IFERROR(0/0,""),preDEL!Q295)</f>
        <v>Result</v>
      </c>
      <c r="R295" s="104" t="b">
        <f>IF(preDEL!$AG295,IFERROR(0/0,""),preDEL!R295)</f>
        <v>1</v>
      </c>
      <c r="S295" s="104">
        <f>IF(preDEL!$AG295,IFERROR(0/0,""),preDEL!S295)</f>
        <v>1</v>
      </c>
      <c r="T295" s="110" t="str">
        <f>IF(preDEL!$AG295,IFERROR(0/0,""),preDEL!T295)</f>
        <v/>
      </c>
      <c r="U295" s="112" t="str">
        <f>IF(preDEL!$AG295,IFERROR(0/0,""),preDEL!U295)</f>
        <v/>
      </c>
      <c r="V295" s="105" t="str">
        <f>IF(preDEL!$AG295,IFERROR(0/0,""),preDEL!V295)</f>
        <v/>
      </c>
      <c r="W295" s="112" t="str">
        <f>IF(preDEL!$AG295,IFERROR(0/0,""),preDEL!W295)</f>
        <v/>
      </c>
      <c r="X295" s="104" t="b">
        <f>IF(preDEL!$AG295,IFERROR(0/0,""),preDEL!X295)</f>
        <v>0</v>
      </c>
      <c r="Y295" s="110" t="b">
        <f>IF(preDEL!$AG295,IFERROR(0/0,""),preDEL!Y295)</f>
        <v>0</v>
      </c>
      <c r="Z295" s="105" t="str">
        <f>IF(preDEL!$AG295,IFERROR(0/0,""),preDEL!Z295)</f>
        <v/>
      </c>
      <c r="AA295" s="110" t="b">
        <f>IF(preDEL!$AG295,IFERROR(0/0,""),preDEL!AA295)</f>
        <v>0</v>
      </c>
      <c r="AB295" s="110" t="b">
        <f>IF(preDEL!$AG295,IFERROR(0/0,""),preDEL!AB295)</f>
        <v>0</v>
      </c>
      <c r="AC295" s="172">
        <f>IF(preDEL!$AG295,IFERROR(0/0,""),preDEL!AC295)</f>
        <v>513</v>
      </c>
      <c r="AD295" s="104" t="b">
        <f>IF(preDEL!$AG295,IFERROR(0/0,""),preDEL!AD295)</f>
        <v>0</v>
      </c>
      <c r="AE295" s="173" t="str">
        <f>IF(preDEL!$AG295,IFERROR(0/0,""),preDEL!AE295)</f>
        <v/>
      </c>
      <c r="AF295" s="110" t="b">
        <f>IF(preDEL!$AG295,IFERROR(0/0,""),preDEL!AF295)</f>
        <v>0</v>
      </c>
      <c r="AG295" s="110" t="b">
        <f>IF(preDEL!$AG295,IFERROR(0/0,""),preDEL!AG295)</f>
        <v>0</v>
      </c>
      <c r="AH295" s="104" t="str">
        <f>IF(preDEL!$AG295,IFERROR(0/0,""),preDEL!AH295)</f>
        <v/>
      </c>
      <c r="AI295" s="105" t="str">
        <f>IF(preDEL!$AG295,IFERROR(0/0,""),preDEL!AI295)</f>
        <v/>
      </c>
      <c r="AJ295" s="112" t="str">
        <f>IF(preDEL!$AG295,IFERROR(0/0,""),preDEL!AJ295)</f>
        <v/>
      </c>
      <c r="AK295" s="105" t="str">
        <f>IF(preDEL!$AG295,IFERROR(0/0,""),preDEL!AK295)</f>
        <v>Positive</v>
      </c>
      <c r="AL295" s="112" t="str">
        <f>IF(preDEL!$AG295,IFERROR(0/0,""),preDEL!AL295)</f>
        <v/>
      </c>
      <c r="AM295" s="112" t="str">
        <f>IF(preDEL!$AG295,IFERROR(0/0,""),preDEL!AM295)</f>
        <v>SpBEND767550</v>
      </c>
      <c r="AN295" s="112" t="str">
        <f>IF(preDEL!$AG295,IFERROR(0/0,""),preDEL!AN295)</f>
        <v>BEND245933</v>
      </c>
      <c r="AO295" s="112" t="str">
        <f>IF(preDEL!$AG295,IFERROR(0/0,""),preDEL!AO295)</f>
        <v/>
      </c>
      <c r="AP295" s="112" t="str">
        <f>IF(preDEL!$AG295,IFERROR(0/0,""),preDEL!AP295)</f>
        <v/>
      </c>
      <c r="AQ295" s="112" t="str">
        <f>IF(preDEL!$AG295,IFERROR(0/0,""),preDEL!AQ295)</f>
        <v/>
      </c>
      <c r="AR295" s="112" t="str">
        <f>IF(preDEL!$AG295,IFERROR(0/0,""),preDEL!AR295)</f>
        <v/>
      </c>
      <c r="AS295" s="112" t="str">
        <f>IF(preDEL!$AG295,IFERROR(0/0,""),preDEL!AS295)</f>
        <v/>
      </c>
      <c r="AT295" s="112" t="b">
        <f>IF(preDEL!$AG295,IFERROR(0/0,""),preDEL!AT295)</f>
        <v>0</v>
      </c>
      <c r="AU295" s="112" t="str">
        <f>IF(preDEL!$AG295,IFERROR(0/0,""),preDEL!AU295)</f>
        <v/>
      </c>
      <c r="AV295" s="112" t="str">
        <f>IF(preDEL!$AG295,IFERROR(0/0,""),preDEL!AV295)</f>
        <v/>
      </c>
      <c r="AW295" s="112" t="str">
        <f>IF(preDEL!$AG295,IFERROR(0/0,""),preDEL!AW295)</f>
        <v/>
      </c>
      <c r="AX295" s="112" t="str">
        <f>IF(preDEL!$AG295,IFERROR(0/0,""),preDEL!AX295)</f>
        <v/>
      </c>
      <c r="AY295" s="112" t="str">
        <f>IF(preDEL!$AG295,IFERROR(0/0,""),preDEL!AY295)</f>
        <v/>
      </c>
      <c r="AZ295" s="174"/>
      <c r="BA295" s="174"/>
      <c r="BB295" s="174"/>
      <c r="BC295" s="174"/>
      <c r="BD295" s="174"/>
      <c r="BE295" s="174"/>
      <c r="BF295" s="174"/>
      <c r="BG295" s="174"/>
      <c r="BH295" s="174"/>
      <c r="BI295" s="174"/>
      <c r="BJ295" s="174"/>
      <c r="BK295" s="174"/>
      <c r="BL295" s="174"/>
      <c r="BM295" s="174"/>
      <c r="BN295" s="174"/>
      <c r="BO295" s="174"/>
      <c r="BP295" s="174"/>
      <c r="BQ295" s="174"/>
      <c r="BR295" s="174"/>
      <c r="BS295" s="174"/>
      <c r="BT295" s="174"/>
      <c r="BU295" s="174"/>
      <c r="BV295" s="174"/>
      <c r="BW295" s="174"/>
      <c r="BX295" s="174"/>
      <c r="BY295" s="174"/>
      <c r="BZ295" s="174"/>
      <c r="CA295" s="174"/>
      <c r="CB295" s="174"/>
      <c r="CC295" s="174"/>
      <c r="CD295" s="174"/>
    </row>
    <row r="296">
      <c r="A296" s="105" t="str">
        <f>IF(preDEL!$AG296,IFERROR(0/0,""),preDEL!A296)</f>
        <v>MA1237</v>
      </c>
      <c r="B296" s="170">
        <f>IF(preDEL!$AG296,IFERROR(0/0,""),preDEL!B296)</f>
        <v>44585</v>
      </c>
      <c r="C296" s="171">
        <f>IF(preDEL!$AG296,IFERROR(0/0,""),preDEL!C296)</f>
        <v>0.3784722222</v>
      </c>
      <c r="D296" s="105" t="str">
        <f>IF(preDEL!$AG296,IFERROR(0/0,""),preDEL!D296)</f>
        <v/>
      </c>
      <c r="E296" s="105" t="str">
        <f>IF(preDEL!$AG296,IFERROR(0/0,""),preDEL!E296)</f>
        <v/>
      </c>
      <c r="F296" s="112" t="str">
        <f>IF(preDEL!$AG296,IFERROR(0/0,""),preDEL!F296)</f>
        <v/>
      </c>
      <c r="G296" s="112" t="str">
        <f>IF(preDEL!$AG296,IFERROR(0/0,""),preDEL!G296)</f>
        <v/>
      </c>
      <c r="H296" s="112" t="str">
        <f>IF(preDEL!$AG296,IFERROR(0/0,""),preDEL!H296)</f>
        <v/>
      </c>
      <c r="I296" s="105" t="str">
        <f>IF(preDEL!$AG296,IFERROR(0/0,""),preDEL!I296)</f>
        <v/>
      </c>
      <c r="J296" s="105" t="str">
        <f>IF(preDEL!$AG296,IFERROR(0/0,""),preDEL!J296)</f>
        <v/>
      </c>
      <c r="K296" s="105" t="str">
        <f>IF(preDEL!$AG296,IFERROR(0/0,""),preDEL!K296)</f>
        <v>Negative</v>
      </c>
      <c r="L296" s="170">
        <f>IF(preDEL!$AG296,IFERROR(0/0,""),preDEL!L296)</f>
        <v>44585</v>
      </c>
      <c r="M296" s="171">
        <f>IF(preDEL!$AG296,IFERROR(0/0,""),preDEL!M296)</f>
        <v>0.4705902778</v>
      </c>
      <c r="N296" s="112" t="str">
        <f>IF(preDEL!$AG296,IFERROR(0/0,""),preDEL!N296)</f>
        <v/>
      </c>
      <c r="O296" s="112" t="str">
        <f>IF(preDEL!$AG296,IFERROR(0/0,""),preDEL!O296)</f>
        <v/>
      </c>
      <c r="P296" s="110" t="b">
        <f>IF(preDEL!$AG296,IFERROR(0/0,""),preDEL!P296)</f>
        <v>0</v>
      </c>
      <c r="Q296" s="110" t="str">
        <f>IF(preDEL!$AG296,IFERROR(0/0,""),preDEL!Q296)</f>
        <v>Result</v>
      </c>
      <c r="R296" s="104" t="b">
        <f>IF(preDEL!$AG296,IFERROR(0/0,""),preDEL!R296)</f>
        <v>1</v>
      </c>
      <c r="S296" s="104">
        <f>IF(preDEL!$AG296,IFERROR(0/0,""),preDEL!S296)</f>
        <v>1</v>
      </c>
      <c r="T296" s="110" t="str">
        <f>IF(preDEL!$AG296,IFERROR(0/0,""),preDEL!T296)</f>
        <v/>
      </c>
      <c r="U296" s="112" t="str">
        <f>IF(preDEL!$AG296,IFERROR(0/0,""),preDEL!U296)</f>
        <v/>
      </c>
      <c r="V296" s="105" t="str">
        <f>IF(preDEL!$AG296,IFERROR(0/0,""),preDEL!V296)</f>
        <v/>
      </c>
      <c r="W296" s="112" t="str">
        <f>IF(preDEL!$AG296,IFERROR(0/0,""),preDEL!W296)</f>
        <v/>
      </c>
      <c r="X296" s="104" t="b">
        <f>IF(preDEL!$AG296,IFERROR(0/0,""),preDEL!X296)</f>
        <v>0</v>
      </c>
      <c r="Y296" s="110" t="b">
        <f>IF(preDEL!$AG296,IFERROR(0/0,""),preDEL!Y296)</f>
        <v>0</v>
      </c>
      <c r="Z296" s="105" t="str">
        <f>IF(preDEL!$AG296,IFERROR(0/0,""),preDEL!Z296)</f>
        <v/>
      </c>
      <c r="AA296" s="110" t="b">
        <f>IF(preDEL!$AG296,IFERROR(0/0,""),preDEL!AA296)</f>
        <v>0</v>
      </c>
      <c r="AB296" s="110" t="b">
        <f>IF(preDEL!$AG296,IFERROR(0/0,""),preDEL!AB296)</f>
        <v>0</v>
      </c>
      <c r="AC296" s="172">
        <f>IF(preDEL!$AG296,IFERROR(0/0,""),preDEL!AC296)</f>
        <v>512</v>
      </c>
      <c r="AD296" s="104" t="b">
        <f>IF(preDEL!$AG296,IFERROR(0/0,""),preDEL!AD296)</f>
        <v>0</v>
      </c>
      <c r="AE296" s="173">
        <f>IF(preDEL!$AG296,IFERROR(0/0,""),preDEL!AE296)</f>
        <v>132.65</v>
      </c>
      <c r="AF296" s="110" t="b">
        <f>IF(preDEL!$AG296,IFERROR(0/0,""),preDEL!AF296)</f>
        <v>0</v>
      </c>
      <c r="AG296" s="110" t="b">
        <f>IF(preDEL!$AG296,IFERROR(0/0,""),preDEL!AG296)</f>
        <v>0</v>
      </c>
      <c r="AH296" s="104" t="str">
        <f>IF(preDEL!$AG296,IFERROR(0/0,""),preDEL!AH296)</f>
        <v/>
      </c>
      <c r="AI296" s="105" t="str">
        <f>IF(preDEL!$AG296,IFERROR(0/0,""),preDEL!AI296)</f>
        <v/>
      </c>
      <c r="AJ296" s="112" t="str">
        <f>IF(preDEL!$AG296,IFERROR(0/0,""),preDEL!AJ296)</f>
        <v/>
      </c>
      <c r="AK296" s="105" t="str">
        <f>IF(preDEL!$AG296,IFERROR(0/0,""),preDEL!AK296)</f>
        <v>Negative</v>
      </c>
      <c r="AL296" s="112" t="str">
        <f>IF(preDEL!$AG296,IFERROR(0/0,""),preDEL!AL296)</f>
        <v/>
      </c>
      <c r="AM296" s="112" t="str">
        <f>IF(preDEL!$AG296,IFERROR(0/0,""),preDEL!AM296)</f>
        <v>SpBEND394154</v>
      </c>
      <c r="AN296" s="112" t="str">
        <f>IF(preDEL!$AG296,IFERROR(0/0,""),preDEL!AN296)</f>
        <v>BEND538986</v>
      </c>
      <c r="AO296" s="112" t="str">
        <f>IF(preDEL!$AG296,IFERROR(0/0,""),preDEL!AO296)</f>
        <v/>
      </c>
      <c r="AP296" s="112" t="str">
        <f>IF(preDEL!$AG296,IFERROR(0/0,""),preDEL!AP296)</f>
        <v/>
      </c>
      <c r="AQ296" s="112" t="str">
        <f>IF(preDEL!$AG296,IFERROR(0/0,""),preDEL!AQ296)</f>
        <v/>
      </c>
      <c r="AR296" s="112" t="str">
        <f>IF(preDEL!$AG296,IFERROR(0/0,""),preDEL!AR296)</f>
        <v/>
      </c>
      <c r="AS296" s="112" t="str">
        <f>IF(preDEL!$AG296,IFERROR(0/0,""),preDEL!AS296)</f>
        <v/>
      </c>
      <c r="AT296" s="112" t="b">
        <f>IF(preDEL!$AG296,IFERROR(0/0,""),preDEL!AT296)</f>
        <v>0</v>
      </c>
      <c r="AU296" s="112" t="str">
        <f>IF(preDEL!$AG296,IFERROR(0/0,""),preDEL!AU296)</f>
        <v/>
      </c>
      <c r="AV296" s="112" t="str">
        <f>IF(preDEL!$AG296,IFERROR(0/0,""),preDEL!AV296)</f>
        <v/>
      </c>
      <c r="AW296" s="112" t="str">
        <f>IF(preDEL!$AG296,IFERROR(0/0,""),preDEL!AW296)</f>
        <v/>
      </c>
      <c r="AX296" s="112" t="str">
        <f>IF(preDEL!$AG296,IFERROR(0/0,""),preDEL!AX296)</f>
        <v/>
      </c>
      <c r="AY296" s="112" t="str">
        <f>IF(preDEL!$AG296,IFERROR(0/0,""),preDEL!AY296)</f>
        <v/>
      </c>
      <c r="AZ296" s="174"/>
      <c r="BA296" s="174"/>
      <c r="BB296" s="174"/>
      <c r="BC296" s="174"/>
      <c r="BD296" s="174"/>
      <c r="BE296" s="174"/>
      <c r="BF296" s="174"/>
      <c r="BG296" s="174"/>
      <c r="BH296" s="174"/>
      <c r="BI296" s="174"/>
      <c r="BJ296" s="174"/>
      <c r="BK296" s="174"/>
      <c r="BL296" s="174"/>
      <c r="BM296" s="174"/>
      <c r="BN296" s="174"/>
      <c r="BO296" s="174"/>
      <c r="BP296" s="174"/>
      <c r="BQ296" s="174"/>
      <c r="BR296" s="174"/>
      <c r="BS296" s="174"/>
      <c r="BT296" s="174"/>
      <c r="BU296" s="174"/>
      <c r="BV296" s="174"/>
      <c r="BW296" s="174"/>
      <c r="BX296" s="174"/>
      <c r="BY296" s="174"/>
      <c r="BZ296" s="174"/>
      <c r="CA296" s="174"/>
      <c r="CB296" s="174"/>
      <c r="CC296" s="174"/>
      <c r="CD296" s="174"/>
    </row>
    <row r="297">
      <c r="A297" s="105" t="str">
        <f>IF(preDEL!$AG297,IFERROR(0/0,""),preDEL!A297)</f>
        <v>MA1011</v>
      </c>
      <c r="B297" s="170">
        <f>IF(preDEL!$AG297,IFERROR(0/0,""),preDEL!B297)</f>
        <v>44585</v>
      </c>
      <c r="C297" s="171">
        <f>IF(preDEL!$AG297,IFERROR(0/0,""),preDEL!C297)</f>
        <v>0.3868634259</v>
      </c>
      <c r="D297" s="105" t="str">
        <f>IF(preDEL!$AG297,IFERROR(0/0,""),preDEL!D297)</f>
        <v/>
      </c>
      <c r="E297" s="105" t="str">
        <f>IF(preDEL!$AG297,IFERROR(0/0,""),preDEL!E297)</f>
        <v/>
      </c>
      <c r="F297" s="112" t="str">
        <f>IF(preDEL!$AG297,IFERROR(0/0,""),preDEL!F297)</f>
        <v/>
      </c>
      <c r="G297" s="112" t="str">
        <f>IF(preDEL!$AG297,IFERROR(0/0,""),preDEL!G297)</f>
        <v/>
      </c>
      <c r="H297" s="112" t="str">
        <f>IF(preDEL!$AG297,IFERROR(0/0,""),preDEL!H297)</f>
        <v/>
      </c>
      <c r="I297" s="105" t="str">
        <f>IF(preDEL!$AG297,IFERROR(0/0,""),preDEL!I297)</f>
        <v/>
      </c>
      <c r="J297" s="105" t="str">
        <f>IF(preDEL!$AG297,IFERROR(0/0,""),preDEL!J297)</f>
        <v/>
      </c>
      <c r="K297" s="105" t="str">
        <f>IF(preDEL!$AG297,IFERROR(0/0,""),preDEL!K297)</f>
        <v>Positive</v>
      </c>
      <c r="L297" s="170">
        <f>IF(preDEL!$AG297,IFERROR(0/0,""),preDEL!L297)</f>
        <v>44587</v>
      </c>
      <c r="M297" s="171">
        <f>IF(preDEL!$AG297,IFERROR(0/0,""),preDEL!M297)</f>
        <v>0.5008796296</v>
      </c>
      <c r="N297" s="112" t="str">
        <f>IF(preDEL!$AG297,IFERROR(0/0,""),preDEL!N297)</f>
        <v/>
      </c>
      <c r="O297" s="112" t="str">
        <f>IF(preDEL!$AG297,IFERROR(0/0,""),preDEL!O297)</f>
        <v/>
      </c>
      <c r="P297" s="110" t="b">
        <f>IF(preDEL!$AG297,IFERROR(0/0,""),preDEL!P297)</f>
        <v>0</v>
      </c>
      <c r="Q297" s="110" t="str">
        <f>IF(preDEL!$AG297,IFERROR(0/0,""),preDEL!Q297)</f>
        <v>Result</v>
      </c>
      <c r="R297" s="104" t="b">
        <f>IF(preDEL!$AG297,IFERROR(0/0,""),preDEL!R297)</f>
        <v>1</v>
      </c>
      <c r="S297" s="104">
        <f>IF(preDEL!$AG297,IFERROR(0/0,""),preDEL!S297)</f>
        <v>1</v>
      </c>
      <c r="T297" s="110" t="str">
        <f>IF(preDEL!$AG297,IFERROR(0/0,""),preDEL!T297)</f>
        <v/>
      </c>
      <c r="U297" s="112" t="str">
        <f>IF(preDEL!$AG297,IFERROR(0/0,""),preDEL!U297)</f>
        <v/>
      </c>
      <c r="V297" s="105" t="str">
        <f>IF(preDEL!$AG297,IFERROR(0/0,""),preDEL!V297)</f>
        <v/>
      </c>
      <c r="W297" s="112" t="str">
        <f>IF(preDEL!$AG297,IFERROR(0/0,""),preDEL!W297)</f>
        <v/>
      </c>
      <c r="X297" s="104" t="b">
        <f>IF(preDEL!$AG297,IFERROR(0/0,""),preDEL!X297)</f>
        <v>0</v>
      </c>
      <c r="Y297" s="110" t="b">
        <f>IF(preDEL!$AG297,IFERROR(0/0,""),preDEL!Y297)</f>
        <v>0</v>
      </c>
      <c r="Z297" s="105" t="str">
        <f>IF(preDEL!$AG297,IFERROR(0/0,""),preDEL!Z297)</f>
        <v/>
      </c>
      <c r="AA297" s="110" t="b">
        <f>IF(preDEL!$AG297,IFERROR(0/0,""),preDEL!AA297)</f>
        <v>0</v>
      </c>
      <c r="AB297" s="110" t="b">
        <f>IF(preDEL!$AG297,IFERROR(0/0,""),preDEL!AB297)</f>
        <v>0</v>
      </c>
      <c r="AC297" s="172">
        <f>IF(preDEL!$AG297,IFERROR(0/0,""),preDEL!AC297)</f>
        <v>511</v>
      </c>
      <c r="AD297" s="104" t="b">
        <f>IF(preDEL!$AG297,IFERROR(0/0,""),preDEL!AD297)</f>
        <v>0</v>
      </c>
      <c r="AE297" s="173" t="str">
        <f>IF(preDEL!$AG297,IFERROR(0/0,""),preDEL!AE297)</f>
        <v/>
      </c>
      <c r="AF297" s="110" t="b">
        <f>IF(preDEL!$AG297,IFERROR(0/0,""),preDEL!AF297)</f>
        <v>0</v>
      </c>
      <c r="AG297" s="110" t="b">
        <f>IF(preDEL!$AG297,IFERROR(0/0,""),preDEL!AG297)</f>
        <v>0</v>
      </c>
      <c r="AH297" s="104" t="str">
        <f>IF(preDEL!$AG297,IFERROR(0/0,""),preDEL!AH297)</f>
        <v/>
      </c>
      <c r="AI297" s="105" t="str">
        <f>IF(preDEL!$AG297,IFERROR(0/0,""),preDEL!AI297)</f>
        <v/>
      </c>
      <c r="AJ297" s="112" t="str">
        <f>IF(preDEL!$AG297,IFERROR(0/0,""),preDEL!AJ297)</f>
        <v/>
      </c>
      <c r="AK297" s="105" t="str">
        <f>IF(preDEL!$AG297,IFERROR(0/0,""),preDEL!AK297)</f>
        <v>Positive</v>
      </c>
      <c r="AL297" s="112" t="str">
        <f>IF(preDEL!$AG297,IFERROR(0/0,""),preDEL!AL297)</f>
        <v/>
      </c>
      <c r="AM297" s="112" t="str">
        <f>IF(preDEL!$AG297,IFERROR(0/0,""),preDEL!AM297)</f>
        <v>SpBEND394154</v>
      </c>
      <c r="AN297" s="112" t="str">
        <f>IF(preDEL!$AG297,IFERROR(0/0,""),preDEL!AN297)</f>
        <v>BEND190541</v>
      </c>
      <c r="AO297" s="112" t="str">
        <f>IF(preDEL!$AG297,IFERROR(0/0,""),preDEL!AO297)</f>
        <v/>
      </c>
      <c r="AP297" s="112" t="str">
        <f>IF(preDEL!$AG297,IFERROR(0/0,""),preDEL!AP297)</f>
        <v/>
      </c>
      <c r="AQ297" s="112" t="str">
        <f>IF(preDEL!$AG297,IFERROR(0/0,""),preDEL!AQ297)</f>
        <v/>
      </c>
      <c r="AR297" s="112" t="str">
        <f>IF(preDEL!$AG297,IFERROR(0/0,""),preDEL!AR297)</f>
        <v/>
      </c>
      <c r="AS297" s="112" t="str">
        <f>IF(preDEL!$AG297,IFERROR(0/0,""),preDEL!AS297)</f>
        <v/>
      </c>
      <c r="AT297" s="112" t="b">
        <f>IF(preDEL!$AG297,IFERROR(0/0,""),preDEL!AT297)</f>
        <v>0</v>
      </c>
      <c r="AU297" s="112" t="str">
        <f>IF(preDEL!$AG297,IFERROR(0/0,""),preDEL!AU297)</f>
        <v/>
      </c>
      <c r="AV297" s="112" t="str">
        <f>IF(preDEL!$AG297,IFERROR(0/0,""),preDEL!AV297)</f>
        <v/>
      </c>
      <c r="AW297" s="112" t="str">
        <f>IF(preDEL!$AG297,IFERROR(0/0,""),preDEL!AW297)</f>
        <v/>
      </c>
      <c r="AX297" s="112" t="str">
        <f>IF(preDEL!$AG297,IFERROR(0/0,""),preDEL!AX297)</f>
        <v/>
      </c>
      <c r="AY297" s="112" t="str">
        <f>IF(preDEL!$AG297,IFERROR(0/0,""),preDEL!AY297)</f>
        <v/>
      </c>
      <c r="AZ297" s="174"/>
      <c r="BA297" s="174"/>
      <c r="BB297" s="174"/>
      <c r="BC297" s="174"/>
      <c r="BD297" s="174"/>
      <c r="BE297" s="174"/>
      <c r="BF297" s="174"/>
      <c r="BG297" s="174"/>
      <c r="BH297" s="174"/>
      <c r="BI297" s="174"/>
      <c r="BJ297" s="174"/>
      <c r="BK297" s="174"/>
      <c r="BL297" s="174"/>
      <c r="BM297" s="174"/>
      <c r="BN297" s="174"/>
      <c r="BO297" s="174"/>
      <c r="BP297" s="174"/>
      <c r="BQ297" s="174"/>
      <c r="BR297" s="174"/>
      <c r="BS297" s="174"/>
      <c r="BT297" s="174"/>
      <c r="BU297" s="174"/>
      <c r="BV297" s="174"/>
      <c r="BW297" s="174"/>
      <c r="BX297" s="174"/>
      <c r="BY297" s="174"/>
      <c r="BZ297" s="174"/>
      <c r="CA297" s="174"/>
      <c r="CB297" s="174"/>
      <c r="CC297" s="174"/>
      <c r="CD297" s="174"/>
    </row>
    <row r="298">
      <c r="A298" s="105" t="str">
        <f>IF(preDEL!$AG298,IFERROR(0/0,""),preDEL!A298)</f>
        <v>MA598</v>
      </c>
      <c r="B298" s="170">
        <f>IF(preDEL!$AG298,IFERROR(0/0,""),preDEL!B298)</f>
        <v>44585</v>
      </c>
      <c r="C298" s="171">
        <f>IF(preDEL!$AG298,IFERROR(0/0,""),preDEL!C298)</f>
        <v>0.387974537</v>
      </c>
      <c r="D298" s="105" t="str">
        <f>IF(preDEL!$AG298,IFERROR(0/0,""),preDEL!D298)</f>
        <v/>
      </c>
      <c r="E298" s="105" t="str">
        <f>IF(preDEL!$AG298,IFERROR(0/0,""),preDEL!E298)</f>
        <v/>
      </c>
      <c r="F298" s="112" t="str">
        <f>IF(preDEL!$AG298,IFERROR(0/0,""),preDEL!F298)</f>
        <v/>
      </c>
      <c r="G298" s="112" t="str">
        <f>IF(preDEL!$AG298,IFERROR(0/0,""),preDEL!G298)</f>
        <v/>
      </c>
      <c r="H298" s="112" t="str">
        <f>IF(preDEL!$AG298,IFERROR(0/0,""),preDEL!H298)</f>
        <v/>
      </c>
      <c r="I298" s="105" t="str">
        <f>IF(preDEL!$AG298,IFERROR(0/0,""),preDEL!I298)</f>
        <v/>
      </c>
      <c r="J298" s="105" t="str">
        <f>IF(preDEL!$AG298,IFERROR(0/0,""),preDEL!J298)</f>
        <v/>
      </c>
      <c r="K298" s="105" t="str">
        <f>IF(preDEL!$AG298,IFERROR(0/0,""),preDEL!K298)</f>
        <v>Positive</v>
      </c>
      <c r="L298" s="170">
        <f>IF(preDEL!$AG298,IFERROR(0/0,""),preDEL!L298)</f>
        <v>44587</v>
      </c>
      <c r="M298" s="171">
        <f>IF(preDEL!$AG298,IFERROR(0/0,""),preDEL!M298)</f>
        <v>0.5008796296</v>
      </c>
      <c r="N298" s="112" t="str">
        <f>IF(preDEL!$AG298,IFERROR(0/0,""),preDEL!N298)</f>
        <v/>
      </c>
      <c r="O298" s="112" t="str">
        <f>IF(preDEL!$AG298,IFERROR(0/0,""),preDEL!O298)</f>
        <v/>
      </c>
      <c r="P298" s="110" t="b">
        <f>IF(preDEL!$AG298,IFERROR(0/0,""),preDEL!P298)</f>
        <v>0</v>
      </c>
      <c r="Q298" s="110" t="str">
        <f>IF(preDEL!$AG298,IFERROR(0/0,""),preDEL!Q298)</f>
        <v>Result</v>
      </c>
      <c r="R298" s="104" t="b">
        <f>IF(preDEL!$AG298,IFERROR(0/0,""),preDEL!R298)</f>
        <v>1</v>
      </c>
      <c r="S298" s="104">
        <f>IF(preDEL!$AG298,IFERROR(0/0,""),preDEL!S298)</f>
        <v>1</v>
      </c>
      <c r="T298" s="110" t="str">
        <f>IF(preDEL!$AG298,IFERROR(0/0,""),preDEL!T298)</f>
        <v/>
      </c>
      <c r="U298" s="112" t="str">
        <f>IF(preDEL!$AG298,IFERROR(0/0,""),preDEL!U298)</f>
        <v/>
      </c>
      <c r="V298" s="105" t="str">
        <f>IF(preDEL!$AG298,IFERROR(0/0,""),preDEL!V298)</f>
        <v/>
      </c>
      <c r="W298" s="112" t="str">
        <f>IF(preDEL!$AG298,IFERROR(0/0,""),preDEL!W298)</f>
        <v/>
      </c>
      <c r="X298" s="104" t="b">
        <f>IF(preDEL!$AG298,IFERROR(0/0,""),preDEL!X298)</f>
        <v>0</v>
      </c>
      <c r="Y298" s="110" t="b">
        <f>IF(preDEL!$AG298,IFERROR(0/0,""),preDEL!Y298)</f>
        <v>0</v>
      </c>
      <c r="Z298" s="105" t="str">
        <f>IF(preDEL!$AG298,IFERROR(0/0,""),preDEL!Z298)</f>
        <v/>
      </c>
      <c r="AA298" s="110" t="b">
        <f>IF(preDEL!$AG298,IFERROR(0/0,""),preDEL!AA298)</f>
        <v>0</v>
      </c>
      <c r="AB298" s="110" t="b">
        <f>IF(preDEL!$AG298,IFERROR(0/0,""),preDEL!AB298)</f>
        <v>0</v>
      </c>
      <c r="AC298" s="172">
        <f>IF(preDEL!$AG298,IFERROR(0/0,""),preDEL!AC298)</f>
        <v>510</v>
      </c>
      <c r="AD298" s="104" t="b">
        <f>IF(preDEL!$AG298,IFERROR(0/0,""),preDEL!AD298)</f>
        <v>0</v>
      </c>
      <c r="AE298" s="173" t="str">
        <f>IF(preDEL!$AG298,IFERROR(0/0,""),preDEL!AE298)</f>
        <v/>
      </c>
      <c r="AF298" s="110" t="b">
        <f>IF(preDEL!$AG298,IFERROR(0/0,""),preDEL!AF298)</f>
        <v>0</v>
      </c>
      <c r="AG298" s="110" t="b">
        <f>IF(preDEL!$AG298,IFERROR(0/0,""),preDEL!AG298)</f>
        <v>0</v>
      </c>
      <c r="AH298" s="104" t="str">
        <f>IF(preDEL!$AG298,IFERROR(0/0,""),preDEL!AH298)</f>
        <v/>
      </c>
      <c r="AI298" s="105" t="str">
        <f>IF(preDEL!$AG298,IFERROR(0/0,""),preDEL!AI298)</f>
        <v/>
      </c>
      <c r="AJ298" s="112" t="str">
        <f>IF(preDEL!$AG298,IFERROR(0/0,""),preDEL!AJ298)</f>
        <v/>
      </c>
      <c r="AK298" s="105" t="str">
        <f>IF(preDEL!$AG298,IFERROR(0/0,""),preDEL!AK298)</f>
        <v>Positive</v>
      </c>
      <c r="AL298" s="112" t="str">
        <f>IF(preDEL!$AG298,IFERROR(0/0,""),preDEL!AL298)</f>
        <v/>
      </c>
      <c r="AM298" s="112" t="str">
        <f>IF(preDEL!$AG298,IFERROR(0/0,""),preDEL!AM298)</f>
        <v>SpBEND394154</v>
      </c>
      <c r="AN298" s="112" t="str">
        <f>IF(preDEL!$AG298,IFERROR(0/0,""),preDEL!AN298)</f>
        <v>BEND714296</v>
      </c>
      <c r="AO298" s="112" t="str">
        <f>IF(preDEL!$AG298,IFERROR(0/0,""),preDEL!AO298)</f>
        <v/>
      </c>
      <c r="AP298" s="112" t="str">
        <f>IF(preDEL!$AG298,IFERROR(0/0,""),preDEL!AP298)</f>
        <v/>
      </c>
      <c r="AQ298" s="112" t="str">
        <f>IF(preDEL!$AG298,IFERROR(0/0,""),preDEL!AQ298)</f>
        <v/>
      </c>
      <c r="AR298" s="112" t="str">
        <f>IF(preDEL!$AG298,IFERROR(0/0,""),preDEL!AR298)</f>
        <v/>
      </c>
      <c r="AS298" s="112" t="str">
        <f>IF(preDEL!$AG298,IFERROR(0/0,""),preDEL!AS298)</f>
        <v/>
      </c>
      <c r="AT298" s="112" t="b">
        <f>IF(preDEL!$AG298,IFERROR(0/0,""),preDEL!AT298)</f>
        <v>0</v>
      </c>
      <c r="AU298" s="112" t="str">
        <f>IF(preDEL!$AG298,IFERROR(0/0,""),preDEL!AU298)</f>
        <v/>
      </c>
      <c r="AV298" s="112" t="str">
        <f>IF(preDEL!$AG298,IFERROR(0/0,""),preDEL!AV298)</f>
        <v/>
      </c>
      <c r="AW298" s="112" t="str">
        <f>IF(preDEL!$AG298,IFERROR(0/0,""),preDEL!AW298)</f>
        <v/>
      </c>
      <c r="AX298" s="112" t="str">
        <f>IF(preDEL!$AG298,IFERROR(0/0,""),preDEL!AX298)</f>
        <v/>
      </c>
      <c r="AY298" s="112" t="str">
        <f>IF(preDEL!$AG298,IFERROR(0/0,""),preDEL!AY298)</f>
        <v/>
      </c>
      <c r="AZ298" s="174"/>
      <c r="BA298" s="174"/>
      <c r="BB298" s="174"/>
      <c r="BC298" s="174"/>
      <c r="BD298" s="174"/>
      <c r="BE298" s="174"/>
      <c r="BF298" s="174"/>
      <c r="BG298" s="174"/>
      <c r="BH298" s="174"/>
      <c r="BI298" s="174"/>
      <c r="BJ298" s="174"/>
      <c r="BK298" s="174"/>
      <c r="BL298" s="174"/>
      <c r="BM298" s="174"/>
      <c r="BN298" s="174"/>
      <c r="BO298" s="174"/>
      <c r="BP298" s="174"/>
      <c r="BQ298" s="174"/>
      <c r="BR298" s="174"/>
      <c r="BS298" s="174"/>
      <c r="BT298" s="174"/>
      <c r="BU298" s="174"/>
      <c r="BV298" s="174"/>
      <c r="BW298" s="174"/>
      <c r="BX298" s="174"/>
      <c r="BY298" s="174"/>
      <c r="BZ298" s="174"/>
      <c r="CA298" s="174"/>
      <c r="CB298" s="174"/>
      <c r="CC298" s="174"/>
      <c r="CD298" s="174"/>
    </row>
    <row r="299">
      <c r="A299" s="105" t="str">
        <f>IF(preDEL!$AG299,IFERROR(0/0,""),preDEL!A299)</f>
        <v>MAX103</v>
      </c>
      <c r="B299" s="170">
        <f>IF(preDEL!$AG299,IFERROR(0/0,""),preDEL!B299)</f>
        <v>44585</v>
      </c>
      <c r="C299" s="171">
        <f>IF(preDEL!$AG299,IFERROR(0/0,""),preDEL!C299)</f>
        <v>0.4306712963</v>
      </c>
      <c r="D299" s="105" t="str">
        <f>IF(preDEL!$AG299,IFERROR(0/0,""),preDEL!D299)</f>
        <v/>
      </c>
      <c r="E299" s="105" t="str">
        <f>IF(preDEL!$AG299,IFERROR(0/0,""),preDEL!E299)</f>
        <v/>
      </c>
      <c r="F299" s="112" t="str">
        <f>IF(preDEL!$AG299,IFERROR(0/0,""),preDEL!F299)</f>
        <v/>
      </c>
      <c r="G299" s="112" t="str">
        <f>IF(preDEL!$AG299,IFERROR(0/0,""),preDEL!G299)</f>
        <v/>
      </c>
      <c r="H299" s="112" t="str">
        <f>IF(preDEL!$AG299,IFERROR(0/0,""),preDEL!H299)</f>
        <v/>
      </c>
      <c r="I299" s="105" t="str">
        <f>IF(preDEL!$AG299,IFERROR(0/0,""),preDEL!I299)</f>
        <v/>
      </c>
      <c r="J299" s="105" t="str">
        <f>IF(preDEL!$AG299,IFERROR(0/0,""),preDEL!J299)</f>
        <v/>
      </c>
      <c r="K299" s="105" t="str">
        <f>IF(preDEL!$AG299,IFERROR(0/0,""),preDEL!K299)</f>
        <v>Negative</v>
      </c>
      <c r="L299" s="170">
        <f>IF(preDEL!$AG299,IFERROR(0/0,""),preDEL!L299)</f>
        <v>44585</v>
      </c>
      <c r="M299" s="171">
        <f>IF(preDEL!$AG299,IFERROR(0/0,""),preDEL!M299)</f>
        <v>0.4705902778</v>
      </c>
      <c r="N299" s="112" t="str">
        <f>IF(preDEL!$AG299,IFERROR(0/0,""),preDEL!N299)</f>
        <v/>
      </c>
      <c r="O299" s="112" t="str">
        <f>IF(preDEL!$AG299,IFERROR(0/0,""),preDEL!O299)</f>
        <v/>
      </c>
      <c r="P299" s="110" t="b">
        <f>IF(preDEL!$AG299,IFERROR(0/0,""),preDEL!P299)</f>
        <v>0</v>
      </c>
      <c r="Q299" s="110" t="str">
        <f>IF(preDEL!$AG299,IFERROR(0/0,""),preDEL!Q299)</f>
        <v>Result</v>
      </c>
      <c r="R299" s="104" t="b">
        <f>IF(preDEL!$AG299,IFERROR(0/0,""),preDEL!R299)</f>
        <v>1</v>
      </c>
      <c r="S299" s="104">
        <f>IF(preDEL!$AG299,IFERROR(0/0,""),preDEL!S299)</f>
        <v>1</v>
      </c>
      <c r="T299" s="110">
        <f>IF(preDEL!$AG299,IFERROR(0/0,""),preDEL!T299)</f>
        <v>0</v>
      </c>
      <c r="U299" s="112" t="str">
        <f>IF(preDEL!$AG299,IFERROR(0/0,""),preDEL!U299)</f>
        <v/>
      </c>
      <c r="V299" s="105" t="str">
        <f>IF(preDEL!$AG299,IFERROR(0/0,""),preDEL!V299)</f>
        <v/>
      </c>
      <c r="W299" s="112" t="str">
        <f>IF(preDEL!$AG299,IFERROR(0/0,""),preDEL!W299)</f>
        <v/>
      </c>
      <c r="X299" s="104" t="b">
        <f>IF(preDEL!$AG299,IFERROR(0/0,""),preDEL!X299)</f>
        <v>0</v>
      </c>
      <c r="Y299" s="110" t="b">
        <f>IF(preDEL!$AG299,IFERROR(0/0,""),preDEL!Y299)</f>
        <v>0</v>
      </c>
      <c r="Z299" s="105" t="str">
        <f>IF(preDEL!$AG299,IFERROR(0/0,""),preDEL!Z299)</f>
        <v/>
      </c>
      <c r="AA299" s="110" t="b">
        <f>IF(preDEL!$AG299,IFERROR(0/0,""),preDEL!AA299)</f>
        <v>0</v>
      </c>
      <c r="AB299" s="110" t="b">
        <f>IF(preDEL!$AG299,IFERROR(0/0,""),preDEL!AB299)</f>
        <v>0</v>
      </c>
      <c r="AC299" s="172">
        <f>IF(preDEL!$AG299,IFERROR(0/0,""),preDEL!AC299)</f>
        <v>509</v>
      </c>
      <c r="AD299" s="104" t="b">
        <f>IF(preDEL!$AG299,IFERROR(0/0,""),preDEL!AD299)</f>
        <v>0</v>
      </c>
      <c r="AE299" s="173">
        <f>IF(preDEL!$AG299,IFERROR(0/0,""),preDEL!AE299)</f>
        <v>57.48333333</v>
      </c>
      <c r="AF299" s="110" t="b">
        <f>IF(preDEL!$AG299,IFERROR(0/0,""),preDEL!AF299)</f>
        <v>0</v>
      </c>
      <c r="AG299" s="110" t="b">
        <f>IF(preDEL!$AG299,IFERROR(0/0,""),preDEL!AG299)</f>
        <v>0</v>
      </c>
      <c r="AH299" s="104" t="str">
        <f>IF(preDEL!$AG299,IFERROR(0/0,""),preDEL!AH299)</f>
        <v/>
      </c>
      <c r="AI299" s="105" t="str">
        <f>IF(preDEL!$AG299,IFERROR(0/0,""),preDEL!AI299)</f>
        <v/>
      </c>
      <c r="AJ299" s="112" t="str">
        <f>IF(preDEL!$AG299,IFERROR(0/0,""),preDEL!AJ299)</f>
        <v/>
      </c>
      <c r="AK299" s="105" t="str">
        <f>IF(preDEL!$AG299,IFERROR(0/0,""),preDEL!AK299)</f>
        <v>Negative</v>
      </c>
      <c r="AL299" s="112" t="str">
        <f>IF(preDEL!$AG299,IFERROR(0/0,""),preDEL!AL299)</f>
        <v/>
      </c>
      <c r="AM299" s="112" t="str">
        <f>IF(preDEL!$AG299,IFERROR(0/0,""),preDEL!AM299)</f>
        <v>SpBEND394154</v>
      </c>
      <c r="AN299" s="112" t="str">
        <f>IF(preDEL!$AG299,IFERROR(0/0,""),preDEL!AN299)</f>
        <v>BEND260812</v>
      </c>
      <c r="AO299" s="112" t="str">
        <f>IF(preDEL!$AG299,IFERROR(0/0,""),preDEL!AO299)</f>
        <v/>
      </c>
      <c r="AP299" s="112" t="str">
        <f>IF(preDEL!$AG299,IFERROR(0/0,""),preDEL!AP299)</f>
        <v/>
      </c>
      <c r="AQ299" s="112" t="str">
        <f>IF(preDEL!$AG299,IFERROR(0/0,""),preDEL!AQ299)</f>
        <v/>
      </c>
      <c r="AR299" s="112" t="str">
        <f>IF(preDEL!$AG299,IFERROR(0/0,""),preDEL!AR299)</f>
        <v/>
      </c>
      <c r="AS299" s="112" t="str">
        <f>IF(preDEL!$AG299,IFERROR(0/0,""),preDEL!AS299)</f>
        <v/>
      </c>
      <c r="AT299" s="112" t="b">
        <f>IF(preDEL!$AG299,IFERROR(0/0,""),preDEL!AT299)</f>
        <v>0</v>
      </c>
      <c r="AU299" s="112" t="str">
        <f>IF(preDEL!$AG299,IFERROR(0/0,""),preDEL!AU299)</f>
        <v/>
      </c>
      <c r="AV299" s="112" t="str">
        <f>IF(preDEL!$AG299,IFERROR(0/0,""),preDEL!AV299)</f>
        <v/>
      </c>
      <c r="AW299" s="112" t="str">
        <f>IF(preDEL!$AG299,IFERROR(0/0,""),preDEL!AW299)</f>
        <v/>
      </c>
      <c r="AX299" s="112" t="str">
        <f>IF(preDEL!$AG299,IFERROR(0/0,""),preDEL!AX299)</f>
        <v/>
      </c>
      <c r="AY299" s="112" t="str">
        <f>IF(preDEL!$AG299,IFERROR(0/0,""),preDEL!AY299)</f>
        <v/>
      </c>
      <c r="AZ299" s="174"/>
      <c r="BA299" s="174"/>
      <c r="BB299" s="174"/>
      <c r="BC299" s="174"/>
      <c r="BD299" s="174"/>
      <c r="BE299" s="174"/>
      <c r="BF299" s="174"/>
      <c r="BG299" s="174"/>
      <c r="BH299" s="174"/>
      <c r="BI299" s="174"/>
      <c r="BJ299" s="174"/>
      <c r="BK299" s="174"/>
      <c r="BL299" s="174"/>
      <c r="BM299" s="174"/>
      <c r="BN299" s="174"/>
      <c r="BO299" s="174"/>
      <c r="BP299" s="174"/>
      <c r="BQ299" s="174"/>
      <c r="BR299" s="174"/>
      <c r="BS299" s="174"/>
      <c r="BT299" s="174"/>
      <c r="BU299" s="174"/>
      <c r="BV299" s="174"/>
      <c r="BW299" s="174"/>
      <c r="BX299" s="174"/>
      <c r="BY299" s="174"/>
      <c r="BZ299" s="174"/>
      <c r="CA299" s="174"/>
      <c r="CB299" s="174"/>
      <c r="CC299" s="174"/>
      <c r="CD299" s="174"/>
    </row>
    <row r="300">
      <c r="A300" s="105" t="str">
        <f>IF(preDEL!$AG300,IFERROR(0/0,""),preDEL!A300)</f>
        <v>MAX109</v>
      </c>
      <c r="B300" s="170">
        <f>IF(preDEL!$AG300,IFERROR(0/0,""),preDEL!B300)</f>
        <v>44585</v>
      </c>
      <c r="C300" s="171">
        <f>IF(preDEL!$AG300,IFERROR(0/0,""),preDEL!C300)</f>
        <v>0.4310532407</v>
      </c>
      <c r="D300" s="105" t="str">
        <f>IF(preDEL!$AG300,IFERROR(0/0,""),preDEL!D300)</f>
        <v/>
      </c>
      <c r="E300" s="105" t="str">
        <f>IF(preDEL!$AG300,IFERROR(0/0,""),preDEL!E300)</f>
        <v/>
      </c>
      <c r="F300" s="112" t="str">
        <f>IF(preDEL!$AG300,IFERROR(0/0,""),preDEL!F300)</f>
        <v/>
      </c>
      <c r="G300" s="112" t="str">
        <f>IF(preDEL!$AG300,IFERROR(0/0,""),preDEL!G300)</f>
        <v/>
      </c>
      <c r="H300" s="112" t="str">
        <f>IF(preDEL!$AG300,IFERROR(0/0,""),preDEL!H300)</f>
        <v/>
      </c>
      <c r="I300" s="105" t="str">
        <f>IF(preDEL!$AG300,IFERROR(0/0,""),preDEL!I300)</f>
        <v/>
      </c>
      <c r="J300" s="105" t="str">
        <f>IF(preDEL!$AG300,IFERROR(0/0,""),preDEL!J300)</f>
        <v/>
      </c>
      <c r="K300" s="105" t="str">
        <f>IF(preDEL!$AG300,IFERROR(0/0,""),preDEL!K300)</f>
        <v>Negative</v>
      </c>
      <c r="L300" s="170">
        <f>IF(preDEL!$AG300,IFERROR(0/0,""),preDEL!L300)</f>
        <v>44585</v>
      </c>
      <c r="M300" s="171">
        <f>IF(preDEL!$AG300,IFERROR(0/0,""),preDEL!M300)</f>
        <v>0.4705902778</v>
      </c>
      <c r="N300" s="112" t="str">
        <f>IF(preDEL!$AG300,IFERROR(0/0,""),preDEL!N300)</f>
        <v/>
      </c>
      <c r="O300" s="112" t="str">
        <f>IF(preDEL!$AG300,IFERROR(0/0,""),preDEL!O300)</f>
        <v/>
      </c>
      <c r="P300" s="110" t="b">
        <f>IF(preDEL!$AG300,IFERROR(0/0,""),preDEL!P300)</f>
        <v>0</v>
      </c>
      <c r="Q300" s="110" t="str">
        <f>IF(preDEL!$AG300,IFERROR(0/0,""),preDEL!Q300)</f>
        <v>Result</v>
      </c>
      <c r="R300" s="104" t="b">
        <f>IF(preDEL!$AG300,IFERROR(0/0,""),preDEL!R300)</f>
        <v>1</v>
      </c>
      <c r="S300" s="104">
        <f>IF(preDEL!$AG300,IFERROR(0/0,""),preDEL!S300)</f>
        <v>1</v>
      </c>
      <c r="T300" s="110" t="str">
        <f>IF(preDEL!$AG300,IFERROR(0/0,""),preDEL!T300)</f>
        <v/>
      </c>
      <c r="U300" s="112" t="str">
        <f>IF(preDEL!$AG300,IFERROR(0/0,""),preDEL!U300)</f>
        <v/>
      </c>
      <c r="V300" s="105" t="str">
        <f>IF(preDEL!$AG300,IFERROR(0/0,""),preDEL!V300)</f>
        <v/>
      </c>
      <c r="W300" s="112" t="str">
        <f>IF(preDEL!$AG300,IFERROR(0/0,""),preDEL!W300)</f>
        <v/>
      </c>
      <c r="X300" s="104" t="b">
        <f>IF(preDEL!$AG300,IFERROR(0/0,""),preDEL!X300)</f>
        <v>0</v>
      </c>
      <c r="Y300" s="110" t="b">
        <f>IF(preDEL!$AG300,IFERROR(0/0,""),preDEL!Y300)</f>
        <v>0</v>
      </c>
      <c r="Z300" s="105" t="str">
        <f>IF(preDEL!$AG300,IFERROR(0/0,""),preDEL!Z300)</f>
        <v/>
      </c>
      <c r="AA300" s="110" t="b">
        <f>IF(preDEL!$AG300,IFERROR(0/0,""),preDEL!AA300)</f>
        <v>0</v>
      </c>
      <c r="AB300" s="110" t="b">
        <f>IF(preDEL!$AG300,IFERROR(0/0,""),preDEL!AB300)</f>
        <v>0</v>
      </c>
      <c r="AC300" s="172">
        <f>IF(preDEL!$AG300,IFERROR(0/0,""),preDEL!AC300)</f>
        <v>508</v>
      </c>
      <c r="AD300" s="104" t="b">
        <f>IF(preDEL!$AG300,IFERROR(0/0,""),preDEL!AD300)</f>
        <v>0</v>
      </c>
      <c r="AE300" s="173">
        <f>IF(preDEL!$AG300,IFERROR(0/0,""),preDEL!AE300)</f>
        <v>56.93333333</v>
      </c>
      <c r="AF300" s="110" t="b">
        <f>IF(preDEL!$AG300,IFERROR(0/0,""),preDEL!AF300)</f>
        <v>0</v>
      </c>
      <c r="AG300" s="110" t="b">
        <f>IF(preDEL!$AG300,IFERROR(0/0,""),preDEL!AG300)</f>
        <v>0</v>
      </c>
      <c r="AH300" s="104" t="str">
        <f>IF(preDEL!$AG300,IFERROR(0/0,""),preDEL!AH300)</f>
        <v/>
      </c>
      <c r="AI300" s="105" t="str">
        <f>IF(preDEL!$AG300,IFERROR(0/0,""),preDEL!AI300)</f>
        <v/>
      </c>
      <c r="AJ300" s="112" t="str">
        <f>IF(preDEL!$AG300,IFERROR(0/0,""),preDEL!AJ300)</f>
        <v/>
      </c>
      <c r="AK300" s="105" t="str">
        <f>IF(preDEL!$AG300,IFERROR(0/0,""),preDEL!AK300)</f>
        <v>Negative</v>
      </c>
      <c r="AL300" s="112" t="str">
        <f>IF(preDEL!$AG300,IFERROR(0/0,""),preDEL!AL300)</f>
        <v/>
      </c>
      <c r="AM300" s="112" t="str">
        <f>IF(preDEL!$AG300,IFERROR(0/0,""),preDEL!AM300)</f>
        <v>SpBEND394154</v>
      </c>
      <c r="AN300" s="112" t="str">
        <f>IF(preDEL!$AG300,IFERROR(0/0,""),preDEL!AN300)</f>
        <v>BEND517250</v>
      </c>
      <c r="AO300" s="112" t="str">
        <f>IF(preDEL!$AG300,IFERROR(0/0,""),preDEL!AO300)</f>
        <v/>
      </c>
      <c r="AP300" s="112" t="str">
        <f>IF(preDEL!$AG300,IFERROR(0/0,""),preDEL!AP300)</f>
        <v/>
      </c>
      <c r="AQ300" s="112" t="str">
        <f>IF(preDEL!$AG300,IFERROR(0/0,""),preDEL!AQ300)</f>
        <v/>
      </c>
      <c r="AR300" s="112" t="str">
        <f>IF(preDEL!$AG300,IFERROR(0/0,""),preDEL!AR300)</f>
        <v/>
      </c>
      <c r="AS300" s="112" t="str">
        <f>IF(preDEL!$AG300,IFERROR(0/0,""),preDEL!AS300)</f>
        <v/>
      </c>
      <c r="AT300" s="112" t="b">
        <f>IF(preDEL!$AG300,IFERROR(0/0,""),preDEL!AT300)</f>
        <v>0</v>
      </c>
      <c r="AU300" s="112" t="str">
        <f>IF(preDEL!$AG300,IFERROR(0/0,""),preDEL!AU300)</f>
        <v/>
      </c>
      <c r="AV300" s="112" t="str">
        <f>IF(preDEL!$AG300,IFERROR(0/0,""),preDEL!AV300)</f>
        <v/>
      </c>
      <c r="AW300" s="112" t="str">
        <f>IF(preDEL!$AG300,IFERROR(0/0,""),preDEL!AW300)</f>
        <v/>
      </c>
      <c r="AX300" s="112" t="str">
        <f>IF(preDEL!$AG300,IFERROR(0/0,""),preDEL!AX300)</f>
        <v/>
      </c>
      <c r="AY300" s="112" t="str">
        <f>IF(preDEL!$AG300,IFERROR(0/0,""),preDEL!AY300)</f>
        <v/>
      </c>
      <c r="AZ300" s="174"/>
      <c r="BA300" s="174"/>
      <c r="BB300" s="174"/>
      <c r="BC300" s="174"/>
      <c r="BD300" s="174"/>
      <c r="BE300" s="174"/>
      <c r="BF300" s="174"/>
      <c r="BG300" s="174"/>
      <c r="BH300" s="174"/>
      <c r="BI300" s="174"/>
      <c r="BJ300" s="174"/>
      <c r="BK300" s="174"/>
      <c r="BL300" s="174"/>
      <c r="BM300" s="174"/>
      <c r="BN300" s="174"/>
      <c r="BO300" s="174"/>
      <c r="BP300" s="174"/>
      <c r="BQ300" s="174"/>
      <c r="BR300" s="174"/>
      <c r="BS300" s="174"/>
      <c r="BT300" s="174"/>
      <c r="BU300" s="174"/>
      <c r="BV300" s="174"/>
      <c r="BW300" s="174"/>
      <c r="BX300" s="174"/>
      <c r="BY300" s="174"/>
      <c r="BZ300" s="174"/>
      <c r="CA300" s="174"/>
      <c r="CB300" s="174"/>
      <c r="CC300" s="174"/>
      <c r="CD300" s="174"/>
    </row>
    <row r="301">
      <c r="A301" s="105" t="str">
        <f>IF(preDEL!$AG301,IFERROR(0/0,""),preDEL!A301)</f>
        <v>MAX137</v>
      </c>
      <c r="B301" s="170">
        <f>IF(preDEL!$AG301,IFERROR(0/0,""),preDEL!B301)</f>
        <v>44587</v>
      </c>
      <c r="C301" s="171">
        <f>IF(preDEL!$AG301,IFERROR(0/0,""),preDEL!C301)</f>
        <v>0.2957407407</v>
      </c>
      <c r="D301" s="105" t="str">
        <f>IF(preDEL!$AG301,IFERROR(0/0,""),preDEL!D301)</f>
        <v/>
      </c>
      <c r="E301" s="105" t="str">
        <f>IF(preDEL!$AG301,IFERROR(0/0,""),preDEL!E301)</f>
        <v/>
      </c>
      <c r="F301" s="112" t="str">
        <f>IF(preDEL!$AG301,IFERROR(0/0,""),preDEL!F301)</f>
        <v/>
      </c>
      <c r="G301" s="112" t="str">
        <f>IF(preDEL!$AG301,IFERROR(0/0,""),preDEL!G301)</f>
        <v/>
      </c>
      <c r="H301" s="112" t="str">
        <f>IF(preDEL!$AG301,IFERROR(0/0,""),preDEL!H301)</f>
        <v/>
      </c>
      <c r="I301" s="105" t="str">
        <f>IF(preDEL!$AG301,IFERROR(0/0,""),preDEL!I301)</f>
        <v/>
      </c>
      <c r="J301" s="105" t="str">
        <f>IF(preDEL!$AG301,IFERROR(0/0,""),preDEL!J301)</f>
        <v/>
      </c>
      <c r="K301" s="105" t="str">
        <f>IF(preDEL!$AG301,IFERROR(0/0,""),preDEL!K301)</f>
        <v>Negative</v>
      </c>
      <c r="L301" s="170">
        <f>IF(preDEL!$AG301,IFERROR(0/0,""),preDEL!L301)</f>
        <v>44587</v>
      </c>
      <c r="M301" s="171">
        <f>IF(preDEL!$AG301,IFERROR(0/0,""),preDEL!M301)</f>
        <v>0.5005439815</v>
      </c>
      <c r="N301" s="112" t="str">
        <f>IF(preDEL!$AG301,IFERROR(0/0,""),preDEL!N301)</f>
        <v/>
      </c>
      <c r="O301" s="112" t="str">
        <f>IF(preDEL!$AG301,IFERROR(0/0,""),preDEL!O301)</f>
        <v/>
      </c>
      <c r="P301" s="110" t="b">
        <f>IF(preDEL!$AG301,IFERROR(0/0,""),preDEL!P301)</f>
        <v>0</v>
      </c>
      <c r="Q301" s="110" t="str">
        <f>IF(preDEL!$AG301,IFERROR(0/0,""),preDEL!Q301)</f>
        <v>Result</v>
      </c>
      <c r="R301" s="104" t="b">
        <f>IF(preDEL!$AG301,IFERROR(0/0,""),preDEL!R301)</f>
        <v>1</v>
      </c>
      <c r="S301" s="104">
        <f>IF(preDEL!$AG301,IFERROR(0/0,""),preDEL!S301)</f>
        <v>1</v>
      </c>
      <c r="T301" s="110" t="str">
        <f>IF(preDEL!$AG301,IFERROR(0/0,""),preDEL!T301)</f>
        <v/>
      </c>
      <c r="U301" s="112" t="str">
        <f>IF(preDEL!$AG301,IFERROR(0/0,""),preDEL!U301)</f>
        <v/>
      </c>
      <c r="V301" s="105" t="str">
        <f>IF(preDEL!$AG301,IFERROR(0/0,""),preDEL!V301)</f>
        <v/>
      </c>
      <c r="W301" s="112" t="str">
        <f>IF(preDEL!$AG301,IFERROR(0/0,""),preDEL!W301)</f>
        <v/>
      </c>
      <c r="X301" s="104" t="b">
        <f>IF(preDEL!$AG301,IFERROR(0/0,""),preDEL!X301)</f>
        <v>0</v>
      </c>
      <c r="Y301" s="110" t="b">
        <f>IF(preDEL!$AG301,IFERROR(0/0,""),preDEL!Y301)</f>
        <v>0</v>
      </c>
      <c r="Z301" s="105" t="str">
        <f>IF(preDEL!$AG301,IFERROR(0/0,""),preDEL!Z301)</f>
        <v/>
      </c>
      <c r="AA301" s="110" t="b">
        <f>IF(preDEL!$AG301,IFERROR(0/0,""),preDEL!AA301)</f>
        <v>0</v>
      </c>
      <c r="AB301" s="110" t="b">
        <f>IF(preDEL!$AG301,IFERROR(0/0,""),preDEL!AB301)</f>
        <v>0</v>
      </c>
      <c r="AC301" s="172">
        <f>IF(preDEL!$AG301,IFERROR(0/0,""),preDEL!AC301)</f>
        <v>507</v>
      </c>
      <c r="AD301" s="104" t="b">
        <f>IF(preDEL!$AG301,IFERROR(0/0,""),preDEL!AD301)</f>
        <v>0</v>
      </c>
      <c r="AE301" s="173">
        <f>IF(preDEL!$AG301,IFERROR(0/0,""),preDEL!AE301)</f>
        <v>294.9166667</v>
      </c>
      <c r="AF301" s="110" t="b">
        <f>IF(preDEL!$AG301,IFERROR(0/0,""),preDEL!AF301)</f>
        <v>0</v>
      </c>
      <c r="AG301" s="110" t="b">
        <f>IF(preDEL!$AG301,IFERROR(0/0,""),preDEL!AG301)</f>
        <v>0</v>
      </c>
      <c r="AH301" s="104" t="str">
        <f>IF(preDEL!$AG301,IFERROR(0/0,""),preDEL!AH301)</f>
        <v/>
      </c>
      <c r="AI301" s="105" t="str">
        <f>IF(preDEL!$AG301,IFERROR(0/0,""),preDEL!AI301)</f>
        <v/>
      </c>
      <c r="AJ301" s="112" t="str">
        <f>IF(preDEL!$AG301,IFERROR(0/0,""),preDEL!AJ301)</f>
        <v/>
      </c>
      <c r="AK301" s="105" t="str">
        <f>IF(preDEL!$AG301,IFERROR(0/0,""),preDEL!AK301)</f>
        <v>Negative</v>
      </c>
      <c r="AL301" s="112" t="str">
        <f>IF(preDEL!$AG301,IFERROR(0/0,""),preDEL!AL301)</f>
        <v/>
      </c>
      <c r="AM301" s="112" t="str">
        <f>IF(preDEL!$AG301,IFERROR(0/0,""),preDEL!AM301)</f>
        <v>SpBEND394154</v>
      </c>
      <c r="AN301" s="112" t="str">
        <f>IF(preDEL!$AG301,IFERROR(0/0,""),preDEL!AN301)</f>
        <v>BEND365993</v>
      </c>
      <c r="AO301" s="112" t="str">
        <f>IF(preDEL!$AG301,IFERROR(0/0,""),preDEL!AO301)</f>
        <v/>
      </c>
      <c r="AP301" s="112" t="str">
        <f>IF(preDEL!$AG301,IFERROR(0/0,""),preDEL!AP301)</f>
        <v/>
      </c>
      <c r="AQ301" s="112" t="str">
        <f>IF(preDEL!$AG301,IFERROR(0/0,""),preDEL!AQ301)</f>
        <v/>
      </c>
      <c r="AR301" s="112" t="str">
        <f>IF(preDEL!$AG301,IFERROR(0/0,""),preDEL!AR301)</f>
        <v/>
      </c>
      <c r="AS301" s="112" t="str">
        <f>IF(preDEL!$AG301,IFERROR(0/0,""),preDEL!AS301)</f>
        <v/>
      </c>
      <c r="AT301" s="112" t="b">
        <f>IF(preDEL!$AG301,IFERROR(0/0,""),preDEL!AT301)</f>
        <v>0</v>
      </c>
      <c r="AU301" s="112" t="str">
        <f>IF(preDEL!$AG301,IFERROR(0/0,""),preDEL!AU301)</f>
        <v/>
      </c>
      <c r="AV301" s="112" t="str">
        <f>IF(preDEL!$AG301,IFERROR(0/0,""),preDEL!AV301)</f>
        <v/>
      </c>
      <c r="AW301" s="112" t="str">
        <f>IF(preDEL!$AG301,IFERROR(0/0,""),preDEL!AW301)</f>
        <v/>
      </c>
      <c r="AX301" s="112" t="str">
        <f>IF(preDEL!$AG301,IFERROR(0/0,""),preDEL!AX301)</f>
        <v/>
      </c>
      <c r="AY301" s="112" t="str">
        <f>IF(preDEL!$AG301,IFERROR(0/0,""),preDEL!AY301)</f>
        <v/>
      </c>
      <c r="AZ301" s="174"/>
      <c r="BA301" s="174"/>
      <c r="BB301" s="174"/>
      <c r="BC301" s="174"/>
      <c r="BD301" s="174"/>
      <c r="BE301" s="174"/>
      <c r="BF301" s="174"/>
      <c r="BG301" s="174"/>
      <c r="BH301" s="174"/>
      <c r="BI301" s="174"/>
      <c r="BJ301" s="174"/>
      <c r="BK301" s="174"/>
      <c r="BL301" s="174"/>
      <c r="BM301" s="174"/>
      <c r="BN301" s="174"/>
      <c r="BO301" s="174"/>
      <c r="BP301" s="174"/>
      <c r="BQ301" s="174"/>
      <c r="BR301" s="174"/>
      <c r="BS301" s="174"/>
      <c r="BT301" s="174"/>
      <c r="BU301" s="174"/>
      <c r="BV301" s="174"/>
      <c r="BW301" s="174"/>
      <c r="BX301" s="174"/>
      <c r="BY301" s="174"/>
      <c r="BZ301" s="174"/>
      <c r="CA301" s="174"/>
      <c r="CB301" s="174"/>
      <c r="CC301" s="174"/>
      <c r="CD301" s="174"/>
    </row>
    <row r="302">
      <c r="A302" s="105" t="str">
        <f>IF(preDEL!$AG302,IFERROR(0/0,""),preDEL!A302)</f>
        <v>MAX112</v>
      </c>
      <c r="B302" s="170">
        <f>IF(preDEL!$AG302,IFERROR(0/0,""),preDEL!B302)</f>
        <v>44587</v>
      </c>
      <c r="C302" s="171">
        <f>IF(preDEL!$AG302,IFERROR(0/0,""),preDEL!C302)</f>
        <v>0.2965162037</v>
      </c>
      <c r="D302" s="105" t="str">
        <f>IF(preDEL!$AG302,IFERROR(0/0,""),preDEL!D302)</f>
        <v/>
      </c>
      <c r="E302" s="105" t="str">
        <f>IF(preDEL!$AG302,IFERROR(0/0,""),preDEL!E302)</f>
        <v/>
      </c>
      <c r="F302" s="112" t="str">
        <f>IF(preDEL!$AG302,IFERROR(0/0,""),preDEL!F302)</f>
        <v/>
      </c>
      <c r="G302" s="112" t="str">
        <f>IF(preDEL!$AG302,IFERROR(0/0,""),preDEL!G302)</f>
        <v/>
      </c>
      <c r="H302" s="112" t="str">
        <f>IF(preDEL!$AG302,IFERROR(0/0,""),preDEL!H302)</f>
        <v/>
      </c>
      <c r="I302" s="105" t="str">
        <f>IF(preDEL!$AG302,IFERROR(0/0,""),preDEL!I302)</f>
        <v/>
      </c>
      <c r="J302" s="105" t="str">
        <f>IF(preDEL!$AG302,IFERROR(0/0,""),preDEL!J302)</f>
        <v/>
      </c>
      <c r="K302" s="105" t="str">
        <f>IF(preDEL!$AG302,IFERROR(0/0,""),preDEL!K302)</f>
        <v>Negative</v>
      </c>
      <c r="L302" s="170">
        <f>IF(preDEL!$AG302,IFERROR(0/0,""),preDEL!L302)</f>
        <v>44587</v>
      </c>
      <c r="M302" s="171">
        <f>IF(preDEL!$AG302,IFERROR(0/0,""),preDEL!M302)</f>
        <v>0.5005439815</v>
      </c>
      <c r="N302" s="112" t="str">
        <f>IF(preDEL!$AG302,IFERROR(0/0,""),preDEL!N302)</f>
        <v/>
      </c>
      <c r="O302" s="112" t="str">
        <f>IF(preDEL!$AG302,IFERROR(0/0,""),preDEL!O302)</f>
        <v/>
      </c>
      <c r="P302" s="110" t="b">
        <f>IF(preDEL!$AG302,IFERROR(0/0,""),preDEL!P302)</f>
        <v>0</v>
      </c>
      <c r="Q302" s="110" t="str">
        <f>IF(preDEL!$AG302,IFERROR(0/0,""),preDEL!Q302)</f>
        <v>Result</v>
      </c>
      <c r="R302" s="104" t="b">
        <f>IF(preDEL!$AG302,IFERROR(0/0,""),preDEL!R302)</f>
        <v>1</v>
      </c>
      <c r="S302" s="104">
        <f>IF(preDEL!$AG302,IFERROR(0/0,""),preDEL!S302)</f>
        <v>1</v>
      </c>
      <c r="T302" s="110">
        <f>IF(preDEL!$AG302,IFERROR(0/0,""),preDEL!T302)</f>
        <v>0</v>
      </c>
      <c r="U302" s="112" t="str">
        <f>IF(preDEL!$AG302,IFERROR(0/0,""),preDEL!U302)</f>
        <v/>
      </c>
      <c r="V302" s="105" t="str">
        <f>IF(preDEL!$AG302,IFERROR(0/0,""),preDEL!V302)</f>
        <v/>
      </c>
      <c r="W302" s="112" t="str">
        <f>IF(preDEL!$AG302,IFERROR(0/0,""),preDEL!W302)</f>
        <v/>
      </c>
      <c r="X302" s="104" t="b">
        <f>IF(preDEL!$AG302,IFERROR(0/0,""),preDEL!X302)</f>
        <v>0</v>
      </c>
      <c r="Y302" s="110" t="b">
        <f>IF(preDEL!$AG302,IFERROR(0/0,""),preDEL!Y302)</f>
        <v>0</v>
      </c>
      <c r="Z302" s="105" t="str">
        <f>IF(preDEL!$AG302,IFERROR(0/0,""),preDEL!Z302)</f>
        <v/>
      </c>
      <c r="AA302" s="110" t="b">
        <f>IF(preDEL!$AG302,IFERROR(0/0,""),preDEL!AA302)</f>
        <v>0</v>
      </c>
      <c r="AB302" s="110" t="b">
        <f>IF(preDEL!$AG302,IFERROR(0/0,""),preDEL!AB302)</f>
        <v>0</v>
      </c>
      <c r="AC302" s="172">
        <f>IF(preDEL!$AG302,IFERROR(0/0,""),preDEL!AC302)</f>
        <v>506</v>
      </c>
      <c r="AD302" s="104" t="b">
        <f>IF(preDEL!$AG302,IFERROR(0/0,""),preDEL!AD302)</f>
        <v>0</v>
      </c>
      <c r="AE302" s="173">
        <f>IF(preDEL!$AG302,IFERROR(0/0,""),preDEL!AE302)</f>
        <v>293.8</v>
      </c>
      <c r="AF302" s="110" t="b">
        <f>IF(preDEL!$AG302,IFERROR(0/0,""),preDEL!AF302)</f>
        <v>0</v>
      </c>
      <c r="AG302" s="110" t="b">
        <f>IF(preDEL!$AG302,IFERROR(0/0,""),preDEL!AG302)</f>
        <v>0</v>
      </c>
      <c r="AH302" s="104" t="str">
        <f>IF(preDEL!$AG302,IFERROR(0/0,""),preDEL!AH302)</f>
        <v/>
      </c>
      <c r="AI302" s="105" t="str">
        <f>IF(preDEL!$AG302,IFERROR(0/0,""),preDEL!AI302)</f>
        <v/>
      </c>
      <c r="AJ302" s="112" t="str">
        <f>IF(preDEL!$AG302,IFERROR(0/0,""),preDEL!AJ302)</f>
        <v/>
      </c>
      <c r="AK302" s="105" t="str">
        <f>IF(preDEL!$AG302,IFERROR(0/0,""),preDEL!AK302)</f>
        <v>Negative</v>
      </c>
      <c r="AL302" s="112" t="str">
        <f>IF(preDEL!$AG302,IFERROR(0/0,""),preDEL!AL302)</f>
        <v/>
      </c>
      <c r="AM302" s="112" t="str">
        <f>IF(preDEL!$AG302,IFERROR(0/0,""),preDEL!AM302)</f>
        <v>SpBEND394154</v>
      </c>
      <c r="AN302" s="112" t="str">
        <f>IF(preDEL!$AG302,IFERROR(0/0,""),preDEL!AN302)</f>
        <v>BEND905156</v>
      </c>
      <c r="AO302" s="112" t="str">
        <f>IF(preDEL!$AG302,IFERROR(0/0,""),preDEL!AO302)</f>
        <v/>
      </c>
      <c r="AP302" s="112" t="str">
        <f>IF(preDEL!$AG302,IFERROR(0/0,""),preDEL!AP302)</f>
        <v/>
      </c>
      <c r="AQ302" s="112" t="str">
        <f>IF(preDEL!$AG302,IFERROR(0/0,""),preDEL!AQ302)</f>
        <v/>
      </c>
      <c r="AR302" s="112" t="str">
        <f>IF(preDEL!$AG302,IFERROR(0/0,""),preDEL!AR302)</f>
        <v/>
      </c>
      <c r="AS302" s="112" t="str">
        <f>IF(preDEL!$AG302,IFERROR(0/0,""),preDEL!AS302)</f>
        <v/>
      </c>
      <c r="AT302" s="112" t="b">
        <f>IF(preDEL!$AG302,IFERROR(0/0,""),preDEL!AT302)</f>
        <v>0</v>
      </c>
      <c r="AU302" s="112" t="str">
        <f>IF(preDEL!$AG302,IFERROR(0/0,""),preDEL!AU302)</f>
        <v/>
      </c>
      <c r="AV302" s="112" t="str">
        <f>IF(preDEL!$AG302,IFERROR(0/0,""),preDEL!AV302)</f>
        <v/>
      </c>
      <c r="AW302" s="112" t="str">
        <f>IF(preDEL!$AG302,IFERROR(0/0,""),preDEL!AW302)</f>
        <v/>
      </c>
      <c r="AX302" s="112" t="str">
        <f>IF(preDEL!$AG302,IFERROR(0/0,""),preDEL!AX302)</f>
        <v/>
      </c>
      <c r="AY302" s="112" t="str">
        <f>IF(preDEL!$AG302,IFERROR(0/0,""),preDEL!AY302)</f>
        <v/>
      </c>
      <c r="AZ302" s="174"/>
      <c r="BA302" s="174"/>
      <c r="BB302" s="174"/>
      <c r="BC302" s="174"/>
      <c r="BD302" s="174"/>
      <c r="BE302" s="174"/>
      <c r="BF302" s="174"/>
      <c r="BG302" s="174"/>
      <c r="BH302" s="174"/>
      <c r="BI302" s="174"/>
      <c r="BJ302" s="174"/>
      <c r="BK302" s="174"/>
      <c r="BL302" s="174"/>
      <c r="BM302" s="174"/>
      <c r="BN302" s="174"/>
      <c r="BO302" s="174"/>
      <c r="BP302" s="174"/>
      <c r="BQ302" s="174"/>
      <c r="BR302" s="174"/>
      <c r="BS302" s="174"/>
      <c r="BT302" s="174"/>
      <c r="BU302" s="174"/>
      <c r="BV302" s="174"/>
      <c r="BW302" s="174"/>
      <c r="BX302" s="174"/>
      <c r="BY302" s="174"/>
      <c r="BZ302" s="174"/>
      <c r="CA302" s="174"/>
      <c r="CB302" s="174"/>
      <c r="CC302" s="174"/>
      <c r="CD302" s="174"/>
    </row>
    <row r="303">
      <c r="A303" s="105" t="str">
        <f>IF(preDEL!$AG303,IFERROR(0/0,""),preDEL!A303)</f>
        <v>MA467</v>
      </c>
      <c r="B303" s="170">
        <f>IF(preDEL!$AG303,IFERROR(0/0,""),preDEL!B303)</f>
        <v>44587</v>
      </c>
      <c r="C303" s="171">
        <f>IF(preDEL!$AG303,IFERROR(0/0,""),preDEL!C303)</f>
        <v>0.3039351852</v>
      </c>
      <c r="D303" s="105" t="str">
        <f>IF(preDEL!$AG303,IFERROR(0/0,""),preDEL!D303)</f>
        <v/>
      </c>
      <c r="E303" s="105" t="str">
        <f>IF(preDEL!$AG303,IFERROR(0/0,""),preDEL!E303)</f>
        <v/>
      </c>
      <c r="F303" s="112" t="str">
        <f>IF(preDEL!$AG303,IFERROR(0/0,""),preDEL!F303)</f>
        <v/>
      </c>
      <c r="G303" s="112" t="str">
        <f>IF(preDEL!$AG303,IFERROR(0/0,""),preDEL!G303)</f>
        <v/>
      </c>
      <c r="H303" s="112" t="str">
        <f>IF(preDEL!$AG303,IFERROR(0/0,""),preDEL!H303)</f>
        <v/>
      </c>
      <c r="I303" s="105" t="str">
        <f>IF(preDEL!$AG303,IFERROR(0/0,""),preDEL!I303)</f>
        <v/>
      </c>
      <c r="J303" s="105" t="str">
        <f>IF(preDEL!$AG303,IFERROR(0/0,""),preDEL!J303)</f>
        <v/>
      </c>
      <c r="K303" s="105" t="str">
        <f>IF(preDEL!$AG303,IFERROR(0/0,""),preDEL!K303)</f>
        <v>Negative</v>
      </c>
      <c r="L303" s="170">
        <f>IF(preDEL!$AG303,IFERROR(0/0,""),preDEL!L303)</f>
        <v>44587</v>
      </c>
      <c r="M303" s="171">
        <f>IF(preDEL!$AG303,IFERROR(0/0,""),preDEL!M303)</f>
        <v>0.5005439815</v>
      </c>
      <c r="N303" s="112" t="str">
        <f>IF(preDEL!$AG303,IFERROR(0/0,""),preDEL!N303)</f>
        <v/>
      </c>
      <c r="O303" s="112" t="str">
        <f>IF(preDEL!$AG303,IFERROR(0/0,""),preDEL!O303)</f>
        <v/>
      </c>
      <c r="P303" s="110" t="b">
        <f>IF(preDEL!$AG303,IFERROR(0/0,""),preDEL!P303)</f>
        <v>0</v>
      </c>
      <c r="Q303" s="110" t="str">
        <f>IF(preDEL!$AG303,IFERROR(0/0,""),preDEL!Q303)</f>
        <v>Result</v>
      </c>
      <c r="R303" s="104" t="b">
        <f>IF(preDEL!$AG303,IFERROR(0/0,""),preDEL!R303)</f>
        <v>1</v>
      </c>
      <c r="S303" s="104">
        <f>IF(preDEL!$AG303,IFERROR(0/0,""),preDEL!S303)</f>
        <v>1</v>
      </c>
      <c r="T303" s="110" t="str">
        <f>IF(preDEL!$AG303,IFERROR(0/0,""),preDEL!T303)</f>
        <v/>
      </c>
      <c r="U303" s="112" t="str">
        <f>IF(preDEL!$AG303,IFERROR(0/0,""),preDEL!U303)</f>
        <v/>
      </c>
      <c r="V303" s="105" t="str">
        <f>IF(preDEL!$AG303,IFERROR(0/0,""),preDEL!V303)</f>
        <v/>
      </c>
      <c r="W303" s="112" t="str">
        <f>IF(preDEL!$AG303,IFERROR(0/0,""),preDEL!W303)</f>
        <v/>
      </c>
      <c r="X303" s="104" t="b">
        <f>IF(preDEL!$AG303,IFERROR(0/0,""),preDEL!X303)</f>
        <v>0</v>
      </c>
      <c r="Y303" s="110" t="b">
        <f>IF(preDEL!$AG303,IFERROR(0/0,""),preDEL!Y303)</f>
        <v>0</v>
      </c>
      <c r="Z303" s="105" t="str">
        <f>IF(preDEL!$AG303,IFERROR(0/0,""),preDEL!Z303)</f>
        <v/>
      </c>
      <c r="AA303" s="110" t="b">
        <f>IF(preDEL!$AG303,IFERROR(0/0,""),preDEL!AA303)</f>
        <v>0</v>
      </c>
      <c r="AB303" s="110" t="b">
        <f>IF(preDEL!$AG303,IFERROR(0/0,""),preDEL!AB303)</f>
        <v>0</v>
      </c>
      <c r="AC303" s="172">
        <f>IF(preDEL!$AG303,IFERROR(0/0,""),preDEL!AC303)</f>
        <v>505</v>
      </c>
      <c r="AD303" s="104" t="b">
        <f>IF(preDEL!$AG303,IFERROR(0/0,""),preDEL!AD303)</f>
        <v>0</v>
      </c>
      <c r="AE303" s="173">
        <f>IF(preDEL!$AG303,IFERROR(0/0,""),preDEL!AE303)</f>
        <v>283.1166667</v>
      </c>
      <c r="AF303" s="110" t="b">
        <f>IF(preDEL!$AG303,IFERROR(0/0,""),preDEL!AF303)</f>
        <v>0</v>
      </c>
      <c r="AG303" s="110" t="b">
        <f>IF(preDEL!$AG303,IFERROR(0/0,""),preDEL!AG303)</f>
        <v>0</v>
      </c>
      <c r="AH303" s="104" t="str">
        <f>IF(preDEL!$AG303,IFERROR(0/0,""),preDEL!AH303)</f>
        <v/>
      </c>
      <c r="AI303" s="105" t="str">
        <f>IF(preDEL!$AG303,IFERROR(0/0,""),preDEL!AI303)</f>
        <v/>
      </c>
      <c r="AJ303" s="112" t="str">
        <f>IF(preDEL!$AG303,IFERROR(0/0,""),preDEL!AJ303)</f>
        <v/>
      </c>
      <c r="AK303" s="105" t="str">
        <f>IF(preDEL!$AG303,IFERROR(0/0,""),preDEL!AK303)</f>
        <v>Negative</v>
      </c>
      <c r="AL303" s="112" t="str">
        <f>IF(preDEL!$AG303,IFERROR(0/0,""),preDEL!AL303)</f>
        <v/>
      </c>
      <c r="AM303" s="112" t="str">
        <f>IF(preDEL!$AG303,IFERROR(0/0,""),preDEL!AM303)</f>
        <v>SpBEND139600</v>
      </c>
      <c r="AN303" s="112" t="str">
        <f>IF(preDEL!$AG303,IFERROR(0/0,""),preDEL!AN303)</f>
        <v>BEND133778</v>
      </c>
      <c r="AO303" s="112" t="str">
        <f>IF(preDEL!$AG303,IFERROR(0/0,""),preDEL!AO303)</f>
        <v/>
      </c>
      <c r="AP303" s="112" t="str">
        <f>IF(preDEL!$AG303,IFERROR(0/0,""),preDEL!AP303)</f>
        <v/>
      </c>
      <c r="AQ303" s="112" t="str">
        <f>IF(preDEL!$AG303,IFERROR(0/0,""),preDEL!AQ303)</f>
        <v/>
      </c>
      <c r="AR303" s="112" t="str">
        <f>IF(preDEL!$AG303,IFERROR(0/0,""),preDEL!AR303)</f>
        <v/>
      </c>
      <c r="AS303" s="112" t="str">
        <f>IF(preDEL!$AG303,IFERROR(0/0,""),preDEL!AS303)</f>
        <v/>
      </c>
      <c r="AT303" s="112" t="b">
        <f>IF(preDEL!$AG303,IFERROR(0/0,""),preDEL!AT303)</f>
        <v>0</v>
      </c>
      <c r="AU303" s="112" t="str">
        <f>IF(preDEL!$AG303,IFERROR(0/0,""),preDEL!AU303)</f>
        <v/>
      </c>
      <c r="AV303" s="112" t="str">
        <f>IF(preDEL!$AG303,IFERROR(0/0,""),preDEL!AV303)</f>
        <v/>
      </c>
      <c r="AW303" s="112" t="str">
        <f>IF(preDEL!$AG303,IFERROR(0/0,""),preDEL!AW303)</f>
        <v/>
      </c>
      <c r="AX303" s="112" t="str">
        <f>IF(preDEL!$AG303,IFERROR(0/0,""),preDEL!AX303)</f>
        <v/>
      </c>
      <c r="AY303" s="112" t="str">
        <f>IF(preDEL!$AG303,IFERROR(0/0,""),preDEL!AY303)</f>
        <v/>
      </c>
      <c r="AZ303" s="174"/>
      <c r="BA303" s="174"/>
      <c r="BB303" s="174"/>
      <c r="BC303" s="174"/>
      <c r="BD303" s="174"/>
      <c r="BE303" s="174"/>
      <c r="BF303" s="174"/>
      <c r="BG303" s="174"/>
      <c r="BH303" s="174"/>
      <c r="BI303" s="174"/>
      <c r="BJ303" s="174"/>
      <c r="BK303" s="174"/>
      <c r="BL303" s="174"/>
      <c r="BM303" s="174"/>
      <c r="BN303" s="174"/>
      <c r="BO303" s="174"/>
      <c r="BP303" s="174"/>
      <c r="BQ303" s="174"/>
      <c r="BR303" s="174"/>
      <c r="BS303" s="174"/>
      <c r="BT303" s="174"/>
      <c r="BU303" s="174"/>
      <c r="BV303" s="174"/>
      <c r="BW303" s="174"/>
      <c r="BX303" s="174"/>
      <c r="BY303" s="174"/>
      <c r="BZ303" s="174"/>
      <c r="CA303" s="174"/>
      <c r="CB303" s="174"/>
      <c r="CC303" s="174"/>
      <c r="CD303" s="174"/>
    </row>
    <row r="304">
      <c r="A304" s="105" t="str">
        <f>IF(preDEL!$AG304,IFERROR(0/0,""),preDEL!A304)</f>
        <v>MA1128</v>
      </c>
      <c r="B304" s="170">
        <f>IF(preDEL!$AG304,IFERROR(0/0,""),preDEL!B304)</f>
        <v>44587</v>
      </c>
      <c r="C304" s="171">
        <f>IF(preDEL!$AG304,IFERROR(0/0,""),preDEL!C304)</f>
        <v>0.3234953704</v>
      </c>
      <c r="D304" s="105" t="str">
        <f>IF(preDEL!$AG304,IFERROR(0/0,""),preDEL!D304)</f>
        <v/>
      </c>
      <c r="E304" s="105" t="str">
        <f>IF(preDEL!$AG304,IFERROR(0/0,""),preDEL!E304)</f>
        <v/>
      </c>
      <c r="F304" s="112" t="str">
        <f>IF(preDEL!$AG304,IFERROR(0/0,""),preDEL!F304)</f>
        <v/>
      </c>
      <c r="G304" s="112" t="str">
        <f>IF(preDEL!$AG304,IFERROR(0/0,""),preDEL!G304)</f>
        <v/>
      </c>
      <c r="H304" s="112" t="str">
        <f>IF(preDEL!$AG304,IFERROR(0/0,""),preDEL!H304)</f>
        <v/>
      </c>
      <c r="I304" s="105" t="str">
        <f>IF(preDEL!$AG304,IFERROR(0/0,""),preDEL!I304)</f>
        <v/>
      </c>
      <c r="J304" s="105" t="str">
        <f>IF(preDEL!$AG304,IFERROR(0/0,""),preDEL!J304)</f>
        <v/>
      </c>
      <c r="K304" s="105" t="str">
        <f>IF(preDEL!$AG304,IFERROR(0/0,""),preDEL!K304)</f>
        <v>Negative</v>
      </c>
      <c r="L304" s="170">
        <f>IF(preDEL!$AG304,IFERROR(0/0,""),preDEL!L304)</f>
        <v>44587</v>
      </c>
      <c r="M304" s="171">
        <f>IF(preDEL!$AG304,IFERROR(0/0,""),preDEL!M304)</f>
        <v>0.5005439815</v>
      </c>
      <c r="N304" s="112" t="str">
        <f>IF(preDEL!$AG304,IFERROR(0/0,""),preDEL!N304)</f>
        <v/>
      </c>
      <c r="O304" s="112" t="str">
        <f>IF(preDEL!$AG304,IFERROR(0/0,""),preDEL!O304)</f>
        <v/>
      </c>
      <c r="P304" s="110" t="b">
        <f>IF(preDEL!$AG304,IFERROR(0/0,""),preDEL!P304)</f>
        <v>0</v>
      </c>
      <c r="Q304" s="110" t="str">
        <f>IF(preDEL!$AG304,IFERROR(0/0,""),preDEL!Q304)</f>
        <v>Result</v>
      </c>
      <c r="R304" s="104" t="b">
        <f>IF(preDEL!$AG304,IFERROR(0/0,""),preDEL!R304)</f>
        <v>1</v>
      </c>
      <c r="S304" s="104">
        <f>IF(preDEL!$AG304,IFERROR(0/0,""),preDEL!S304)</f>
        <v>1</v>
      </c>
      <c r="T304" s="110" t="str">
        <f>IF(preDEL!$AG304,IFERROR(0/0,""),preDEL!T304)</f>
        <v/>
      </c>
      <c r="U304" s="112" t="str">
        <f>IF(preDEL!$AG304,IFERROR(0/0,""),preDEL!U304)</f>
        <v/>
      </c>
      <c r="V304" s="105" t="str">
        <f>IF(preDEL!$AG304,IFERROR(0/0,""),preDEL!V304)</f>
        <v/>
      </c>
      <c r="W304" s="112" t="str">
        <f>IF(preDEL!$AG304,IFERROR(0/0,""),preDEL!W304)</f>
        <v/>
      </c>
      <c r="X304" s="104" t="b">
        <f>IF(preDEL!$AG304,IFERROR(0/0,""),preDEL!X304)</f>
        <v>0</v>
      </c>
      <c r="Y304" s="110" t="b">
        <f>IF(preDEL!$AG304,IFERROR(0/0,""),preDEL!Y304)</f>
        <v>0</v>
      </c>
      <c r="Z304" s="105" t="str">
        <f>IF(preDEL!$AG304,IFERROR(0/0,""),preDEL!Z304)</f>
        <v/>
      </c>
      <c r="AA304" s="110" t="b">
        <f>IF(preDEL!$AG304,IFERROR(0/0,""),preDEL!AA304)</f>
        <v>0</v>
      </c>
      <c r="AB304" s="110" t="b">
        <f>IF(preDEL!$AG304,IFERROR(0/0,""),preDEL!AB304)</f>
        <v>0</v>
      </c>
      <c r="AC304" s="172">
        <f>IF(preDEL!$AG304,IFERROR(0/0,""),preDEL!AC304)</f>
        <v>504</v>
      </c>
      <c r="AD304" s="104" t="b">
        <f>IF(preDEL!$AG304,IFERROR(0/0,""),preDEL!AD304)</f>
        <v>0</v>
      </c>
      <c r="AE304" s="173">
        <f>IF(preDEL!$AG304,IFERROR(0/0,""),preDEL!AE304)</f>
        <v>254.95</v>
      </c>
      <c r="AF304" s="110" t="b">
        <f>IF(preDEL!$AG304,IFERROR(0/0,""),preDEL!AF304)</f>
        <v>0</v>
      </c>
      <c r="AG304" s="110" t="b">
        <f>IF(preDEL!$AG304,IFERROR(0/0,""),preDEL!AG304)</f>
        <v>0</v>
      </c>
      <c r="AH304" s="104" t="str">
        <f>IF(preDEL!$AG304,IFERROR(0/0,""),preDEL!AH304)</f>
        <v/>
      </c>
      <c r="AI304" s="105" t="str">
        <f>IF(preDEL!$AG304,IFERROR(0/0,""),preDEL!AI304)</f>
        <v/>
      </c>
      <c r="AJ304" s="112" t="str">
        <f>IF(preDEL!$AG304,IFERROR(0/0,""),preDEL!AJ304)</f>
        <v/>
      </c>
      <c r="AK304" s="105" t="str">
        <f>IF(preDEL!$AG304,IFERROR(0/0,""),preDEL!AK304)</f>
        <v>Negative</v>
      </c>
      <c r="AL304" s="112" t="str">
        <f>IF(preDEL!$AG304,IFERROR(0/0,""),preDEL!AL304)</f>
        <v/>
      </c>
      <c r="AM304" s="112" t="str">
        <f>IF(preDEL!$AG304,IFERROR(0/0,""),preDEL!AM304)</f>
        <v>SpBEND551372</v>
      </c>
      <c r="AN304" s="112" t="str">
        <f>IF(preDEL!$AG304,IFERROR(0/0,""),preDEL!AN304)</f>
        <v>BEND475899</v>
      </c>
      <c r="AO304" s="112" t="str">
        <f>IF(preDEL!$AG304,IFERROR(0/0,""),preDEL!AO304)</f>
        <v/>
      </c>
      <c r="AP304" s="112" t="str">
        <f>IF(preDEL!$AG304,IFERROR(0/0,""),preDEL!AP304)</f>
        <v/>
      </c>
      <c r="AQ304" s="112" t="str">
        <f>IF(preDEL!$AG304,IFERROR(0/0,""),preDEL!AQ304)</f>
        <v/>
      </c>
      <c r="AR304" s="112" t="str">
        <f>IF(preDEL!$AG304,IFERROR(0/0,""),preDEL!AR304)</f>
        <v/>
      </c>
      <c r="AS304" s="112" t="str">
        <f>IF(preDEL!$AG304,IFERROR(0/0,""),preDEL!AS304)</f>
        <v/>
      </c>
      <c r="AT304" s="112" t="b">
        <f>IF(preDEL!$AG304,IFERROR(0/0,""),preDEL!AT304)</f>
        <v>0</v>
      </c>
      <c r="AU304" s="112" t="str">
        <f>IF(preDEL!$AG304,IFERROR(0/0,""),preDEL!AU304)</f>
        <v/>
      </c>
      <c r="AV304" s="112" t="str">
        <f>IF(preDEL!$AG304,IFERROR(0/0,""),preDEL!AV304)</f>
        <v/>
      </c>
      <c r="AW304" s="112" t="str">
        <f>IF(preDEL!$AG304,IFERROR(0/0,""),preDEL!AW304)</f>
        <v/>
      </c>
      <c r="AX304" s="112" t="str">
        <f>IF(preDEL!$AG304,IFERROR(0/0,""),preDEL!AX304)</f>
        <v/>
      </c>
      <c r="AY304" s="112" t="str">
        <f>IF(preDEL!$AG304,IFERROR(0/0,""),preDEL!AY304)</f>
        <v/>
      </c>
      <c r="AZ304" s="174"/>
      <c r="BA304" s="174"/>
      <c r="BB304" s="174"/>
      <c r="BC304" s="174"/>
      <c r="BD304" s="174"/>
      <c r="BE304" s="174"/>
      <c r="BF304" s="174"/>
      <c r="BG304" s="174"/>
      <c r="BH304" s="174"/>
      <c r="BI304" s="174"/>
      <c r="BJ304" s="174"/>
      <c r="BK304" s="174"/>
      <c r="BL304" s="174"/>
      <c r="BM304" s="174"/>
      <c r="BN304" s="174"/>
      <c r="BO304" s="174"/>
      <c r="BP304" s="174"/>
      <c r="BQ304" s="174"/>
      <c r="BR304" s="174"/>
      <c r="BS304" s="174"/>
      <c r="BT304" s="174"/>
      <c r="BU304" s="174"/>
      <c r="BV304" s="174"/>
      <c r="BW304" s="174"/>
      <c r="BX304" s="174"/>
      <c r="BY304" s="174"/>
      <c r="BZ304" s="174"/>
      <c r="CA304" s="174"/>
      <c r="CB304" s="174"/>
      <c r="CC304" s="174"/>
      <c r="CD304" s="174"/>
    </row>
    <row r="305">
      <c r="A305" s="105" t="str">
        <f>IF(preDEL!$AG305,IFERROR(0/0,""),preDEL!A305)</f>
        <v>MA1245</v>
      </c>
      <c r="B305" s="170">
        <f>IF(preDEL!$AG305,IFERROR(0/0,""),preDEL!B305)</f>
        <v>44587</v>
      </c>
      <c r="C305" s="171">
        <f>IF(preDEL!$AG305,IFERROR(0/0,""),preDEL!C305)</f>
        <v>0.3237152778</v>
      </c>
      <c r="D305" s="105" t="str">
        <f>IF(preDEL!$AG305,IFERROR(0/0,""),preDEL!D305)</f>
        <v/>
      </c>
      <c r="E305" s="105" t="str">
        <f>IF(preDEL!$AG305,IFERROR(0/0,""),preDEL!E305)</f>
        <v/>
      </c>
      <c r="F305" s="112" t="str">
        <f>IF(preDEL!$AG305,IFERROR(0/0,""),preDEL!F305)</f>
        <v/>
      </c>
      <c r="G305" s="112" t="str">
        <f>IF(preDEL!$AG305,IFERROR(0/0,""),preDEL!G305)</f>
        <v/>
      </c>
      <c r="H305" s="112" t="str">
        <f>IF(preDEL!$AG305,IFERROR(0/0,""),preDEL!H305)</f>
        <v/>
      </c>
      <c r="I305" s="105" t="str">
        <f>IF(preDEL!$AG305,IFERROR(0/0,""),preDEL!I305)</f>
        <v/>
      </c>
      <c r="J305" s="105" t="str">
        <f>IF(preDEL!$AG305,IFERROR(0/0,""),preDEL!J305)</f>
        <v/>
      </c>
      <c r="K305" s="105" t="str">
        <f>IF(preDEL!$AG305,IFERROR(0/0,""),preDEL!K305)</f>
        <v>Negative</v>
      </c>
      <c r="L305" s="170">
        <f>IF(preDEL!$AG305,IFERROR(0/0,""),preDEL!L305)</f>
        <v>44587</v>
      </c>
      <c r="M305" s="171">
        <f>IF(preDEL!$AG305,IFERROR(0/0,""),preDEL!M305)</f>
        <v>0.5005439815</v>
      </c>
      <c r="N305" s="112" t="str">
        <f>IF(preDEL!$AG305,IFERROR(0/0,""),preDEL!N305)</f>
        <v/>
      </c>
      <c r="O305" s="112" t="str">
        <f>IF(preDEL!$AG305,IFERROR(0/0,""),preDEL!O305)</f>
        <v/>
      </c>
      <c r="P305" s="110" t="b">
        <f>IF(preDEL!$AG305,IFERROR(0/0,""),preDEL!P305)</f>
        <v>0</v>
      </c>
      <c r="Q305" s="110" t="str">
        <f>IF(preDEL!$AG305,IFERROR(0/0,""),preDEL!Q305)</f>
        <v>Result</v>
      </c>
      <c r="R305" s="104" t="b">
        <f>IF(preDEL!$AG305,IFERROR(0/0,""),preDEL!R305)</f>
        <v>1</v>
      </c>
      <c r="S305" s="104">
        <f>IF(preDEL!$AG305,IFERROR(0/0,""),preDEL!S305)</f>
        <v>1</v>
      </c>
      <c r="T305" s="110" t="str">
        <f>IF(preDEL!$AG305,IFERROR(0/0,""),preDEL!T305)</f>
        <v/>
      </c>
      <c r="U305" s="112" t="str">
        <f>IF(preDEL!$AG305,IFERROR(0/0,""),preDEL!U305)</f>
        <v/>
      </c>
      <c r="V305" s="105" t="str">
        <f>IF(preDEL!$AG305,IFERROR(0/0,""),preDEL!V305)</f>
        <v/>
      </c>
      <c r="W305" s="112" t="str">
        <f>IF(preDEL!$AG305,IFERROR(0/0,""),preDEL!W305)</f>
        <v/>
      </c>
      <c r="X305" s="104" t="b">
        <f>IF(preDEL!$AG305,IFERROR(0/0,""),preDEL!X305)</f>
        <v>0</v>
      </c>
      <c r="Y305" s="110" t="b">
        <f>IF(preDEL!$AG305,IFERROR(0/0,""),preDEL!Y305)</f>
        <v>0</v>
      </c>
      <c r="Z305" s="105" t="str">
        <f>IF(preDEL!$AG305,IFERROR(0/0,""),preDEL!Z305)</f>
        <v/>
      </c>
      <c r="AA305" s="110" t="b">
        <f>IF(preDEL!$AG305,IFERROR(0/0,""),preDEL!AA305)</f>
        <v>0</v>
      </c>
      <c r="AB305" s="110" t="b">
        <f>IF(preDEL!$AG305,IFERROR(0/0,""),preDEL!AB305)</f>
        <v>0</v>
      </c>
      <c r="AC305" s="172">
        <f>IF(preDEL!$AG305,IFERROR(0/0,""),preDEL!AC305)</f>
        <v>503</v>
      </c>
      <c r="AD305" s="104" t="b">
        <f>IF(preDEL!$AG305,IFERROR(0/0,""),preDEL!AD305)</f>
        <v>0</v>
      </c>
      <c r="AE305" s="173">
        <f>IF(preDEL!$AG305,IFERROR(0/0,""),preDEL!AE305)</f>
        <v>254.6333333</v>
      </c>
      <c r="AF305" s="110" t="b">
        <f>IF(preDEL!$AG305,IFERROR(0/0,""),preDEL!AF305)</f>
        <v>0</v>
      </c>
      <c r="AG305" s="110" t="b">
        <f>IF(preDEL!$AG305,IFERROR(0/0,""),preDEL!AG305)</f>
        <v>0</v>
      </c>
      <c r="AH305" s="104" t="str">
        <f>IF(preDEL!$AG305,IFERROR(0/0,""),preDEL!AH305)</f>
        <v/>
      </c>
      <c r="AI305" s="105" t="str">
        <f>IF(preDEL!$AG305,IFERROR(0/0,""),preDEL!AI305)</f>
        <v/>
      </c>
      <c r="AJ305" s="112" t="str">
        <f>IF(preDEL!$AG305,IFERROR(0/0,""),preDEL!AJ305)</f>
        <v/>
      </c>
      <c r="AK305" s="105" t="str">
        <f>IF(preDEL!$AG305,IFERROR(0/0,""),preDEL!AK305)</f>
        <v>Negative</v>
      </c>
      <c r="AL305" s="112" t="str">
        <f>IF(preDEL!$AG305,IFERROR(0/0,""),preDEL!AL305)</f>
        <v/>
      </c>
      <c r="AM305" s="112" t="str">
        <f>IF(preDEL!$AG305,IFERROR(0/0,""),preDEL!AM305)</f>
        <v>SpBEND767550</v>
      </c>
      <c r="AN305" s="112" t="str">
        <f>IF(preDEL!$AG305,IFERROR(0/0,""),preDEL!AN305)</f>
        <v>BEND245933</v>
      </c>
      <c r="AO305" s="112" t="str">
        <f>IF(preDEL!$AG305,IFERROR(0/0,""),preDEL!AO305)</f>
        <v/>
      </c>
      <c r="AP305" s="112" t="str">
        <f>IF(preDEL!$AG305,IFERROR(0/0,""),preDEL!AP305)</f>
        <v/>
      </c>
      <c r="AQ305" s="112" t="str">
        <f>IF(preDEL!$AG305,IFERROR(0/0,""),preDEL!AQ305)</f>
        <v/>
      </c>
      <c r="AR305" s="112" t="str">
        <f>IF(preDEL!$AG305,IFERROR(0/0,""),preDEL!AR305)</f>
        <v/>
      </c>
      <c r="AS305" s="112" t="str">
        <f>IF(preDEL!$AG305,IFERROR(0/0,""),preDEL!AS305)</f>
        <v/>
      </c>
      <c r="AT305" s="112" t="b">
        <f>IF(preDEL!$AG305,IFERROR(0/0,""),preDEL!AT305)</f>
        <v>0</v>
      </c>
      <c r="AU305" s="112" t="str">
        <f>IF(preDEL!$AG305,IFERROR(0/0,""),preDEL!AU305)</f>
        <v/>
      </c>
      <c r="AV305" s="112" t="str">
        <f>IF(preDEL!$AG305,IFERROR(0/0,""),preDEL!AV305)</f>
        <v/>
      </c>
      <c r="AW305" s="112" t="str">
        <f>IF(preDEL!$AG305,IFERROR(0/0,""),preDEL!AW305)</f>
        <v/>
      </c>
      <c r="AX305" s="112" t="str">
        <f>IF(preDEL!$AG305,IFERROR(0/0,""),preDEL!AX305)</f>
        <v/>
      </c>
      <c r="AY305" s="112" t="str">
        <f>IF(preDEL!$AG305,IFERROR(0/0,""),preDEL!AY305)</f>
        <v/>
      </c>
      <c r="AZ305" s="174"/>
      <c r="BA305" s="174"/>
      <c r="BB305" s="174"/>
      <c r="BC305" s="174"/>
      <c r="BD305" s="174"/>
      <c r="BE305" s="174"/>
      <c r="BF305" s="174"/>
      <c r="BG305" s="174"/>
      <c r="BH305" s="174"/>
      <c r="BI305" s="174"/>
      <c r="BJ305" s="174"/>
      <c r="BK305" s="174"/>
      <c r="BL305" s="174"/>
      <c r="BM305" s="174"/>
      <c r="BN305" s="174"/>
      <c r="BO305" s="174"/>
      <c r="BP305" s="174"/>
      <c r="BQ305" s="174"/>
      <c r="BR305" s="174"/>
      <c r="BS305" s="174"/>
      <c r="BT305" s="174"/>
      <c r="BU305" s="174"/>
      <c r="BV305" s="174"/>
      <c r="BW305" s="174"/>
      <c r="BX305" s="174"/>
      <c r="BY305" s="174"/>
      <c r="BZ305" s="174"/>
      <c r="CA305" s="174"/>
      <c r="CB305" s="174"/>
      <c r="CC305" s="174"/>
      <c r="CD305" s="174"/>
    </row>
    <row r="306">
      <c r="A306" s="105" t="str">
        <f>IF(preDEL!$AG306,IFERROR(0/0,""),preDEL!A306)</f>
        <v>MA1070</v>
      </c>
      <c r="B306" s="170">
        <f>IF(preDEL!$AG306,IFERROR(0/0,""),preDEL!B306)</f>
        <v>44587</v>
      </c>
      <c r="C306" s="171">
        <f>IF(preDEL!$AG306,IFERROR(0/0,""),preDEL!C306)</f>
        <v>0.32375</v>
      </c>
      <c r="D306" s="105" t="str">
        <f>IF(preDEL!$AG306,IFERROR(0/0,""),preDEL!D306)</f>
        <v/>
      </c>
      <c r="E306" s="105" t="str">
        <f>IF(preDEL!$AG306,IFERROR(0/0,""),preDEL!E306)</f>
        <v/>
      </c>
      <c r="F306" s="112" t="str">
        <f>IF(preDEL!$AG306,IFERROR(0/0,""),preDEL!F306)</f>
        <v/>
      </c>
      <c r="G306" s="112" t="str">
        <f>IF(preDEL!$AG306,IFERROR(0/0,""),preDEL!G306)</f>
        <v/>
      </c>
      <c r="H306" s="112" t="str">
        <f>IF(preDEL!$AG306,IFERROR(0/0,""),preDEL!H306)</f>
        <v/>
      </c>
      <c r="I306" s="105" t="str">
        <f>IF(preDEL!$AG306,IFERROR(0/0,""),preDEL!I306)</f>
        <v/>
      </c>
      <c r="J306" s="105" t="str">
        <f>IF(preDEL!$AG306,IFERROR(0/0,""),preDEL!J306)</f>
        <v/>
      </c>
      <c r="K306" s="105" t="str">
        <f>IF(preDEL!$AG306,IFERROR(0/0,""),preDEL!K306)</f>
        <v>Negative</v>
      </c>
      <c r="L306" s="170">
        <f>IF(preDEL!$AG306,IFERROR(0/0,""),preDEL!L306)</f>
        <v>44587</v>
      </c>
      <c r="M306" s="171">
        <f>IF(preDEL!$AG306,IFERROR(0/0,""),preDEL!M306)</f>
        <v>0.5005439815</v>
      </c>
      <c r="N306" s="112" t="str">
        <f>IF(preDEL!$AG306,IFERROR(0/0,""),preDEL!N306)</f>
        <v/>
      </c>
      <c r="O306" s="112" t="str">
        <f>IF(preDEL!$AG306,IFERROR(0/0,""),preDEL!O306)</f>
        <v/>
      </c>
      <c r="P306" s="110" t="b">
        <f>IF(preDEL!$AG306,IFERROR(0/0,""),preDEL!P306)</f>
        <v>0</v>
      </c>
      <c r="Q306" s="110" t="str">
        <f>IF(preDEL!$AG306,IFERROR(0/0,""),preDEL!Q306)</f>
        <v>Result</v>
      </c>
      <c r="R306" s="104" t="b">
        <f>IF(preDEL!$AG306,IFERROR(0/0,""),preDEL!R306)</f>
        <v>1</v>
      </c>
      <c r="S306" s="104">
        <f>IF(preDEL!$AG306,IFERROR(0/0,""),preDEL!S306)</f>
        <v>1</v>
      </c>
      <c r="T306" s="110">
        <f>IF(preDEL!$AG306,IFERROR(0/0,""),preDEL!T306)</f>
        <v>0</v>
      </c>
      <c r="U306" s="112" t="str">
        <f>IF(preDEL!$AG306,IFERROR(0/0,""),preDEL!U306)</f>
        <v/>
      </c>
      <c r="V306" s="105" t="str">
        <f>IF(preDEL!$AG306,IFERROR(0/0,""),preDEL!V306)</f>
        <v/>
      </c>
      <c r="W306" s="112" t="str">
        <f>IF(preDEL!$AG306,IFERROR(0/0,""),preDEL!W306)</f>
        <v/>
      </c>
      <c r="X306" s="104" t="b">
        <f>IF(preDEL!$AG306,IFERROR(0/0,""),preDEL!X306)</f>
        <v>0</v>
      </c>
      <c r="Y306" s="110" t="b">
        <f>IF(preDEL!$AG306,IFERROR(0/0,""),preDEL!Y306)</f>
        <v>0</v>
      </c>
      <c r="Z306" s="105" t="str">
        <f>IF(preDEL!$AG306,IFERROR(0/0,""),preDEL!Z306)</f>
        <v/>
      </c>
      <c r="AA306" s="110" t="b">
        <f>IF(preDEL!$AG306,IFERROR(0/0,""),preDEL!AA306)</f>
        <v>0</v>
      </c>
      <c r="AB306" s="110" t="b">
        <f>IF(preDEL!$AG306,IFERROR(0/0,""),preDEL!AB306)</f>
        <v>0</v>
      </c>
      <c r="AC306" s="172">
        <f>IF(preDEL!$AG306,IFERROR(0/0,""),preDEL!AC306)</f>
        <v>502</v>
      </c>
      <c r="AD306" s="104" t="b">
        <f>IF(preDEL!$AG306,IFERROR(0/0,""),preDEL!AD306)</f>
        <v>0</v>
      </c>
      <c r="AE306" s="173">
        <f>IF(preDEL!$AG306,IFERROR(0/0,""),preDEL!AE306)</f>
        <v>254.5833333</v>
      </c>
      <c r="AF306" s="110" t="b">
        <f>IF(preDEL!$AG306,IFERROR(0/0,""),preDEL!AF306)</f>
        <v>0</v>
      </c>
      <c r="AG306" s="110" t="b">
        <f>IF(preDEL!$AG306,IFERROR(0/0,""),preDEL!AG306)</f>
        <v>0</v>
      </c>
      <c r="AH306" s="104" t="str">
        <f>IF(preDEL!$AG306,IFERROR(0/0,""),preDEL!AH306)</f>
        <v/>
      </c>
      <c r="AI306" s="105" t="str">
        <f>IF(preDEL!$AG306,IFERROR(0/0,""),preDEL!AI306)</f>
        <v/>
      </c>
      <c r="AJ306" s="112" t="str">
        <f>IF(preDEL!$AG306,IFERROR(0/0,""),preDEL!AJ306)</f>
        <v/>
      </c>
      <c r="AK306" s="105" t="str">
        <f>IF(preDEL!$AG306,IFERROR(0/0,""),preDEL!AK306)</f>
        <v>Negative</v>
      </c>
      <c r="AL306" s="112" t="str">
        <f>IF(preDEL!$AG306,IFERROR(0/0,""),preDEL!AL306)</f>
        <v/>
      </c>
      <c r="AM306" s="112" t="str">
        <f>IF(preDEL!$AG306,IFERROR(0/0,""),preDEL!AM306)</f>
        <v>SpBEND551372</v>
      </c>
      <c r="AN306" s="112" t="str">
        <f>IF(preDEL!$AG306,IFERROR(0/0,""),preDEL!AN306)</f>
        <v>BEND628988</v>
      </c>
      <c r="AO306" s="112" t="str">
        <f>IF(preDEL!$AG306,IFERROR(0/0,""),preDEL!AO306)</f>
        <v/>
      </c>
      <c r="AP306" s="112" t="str">
        <f>IF(preDEL!$AG306,IFERROR(0/0,""),preDEL!AP306)</f>
        <v/>
      </c>
      <c r="AQ306" s="112" t="str">
        <f>IF(preDEL!$AG306,IFERROR(0/0,""),preDEL!AQ306)</f>
        <v/>
      </c>
      <c r="AR306" s="112" t="str">
        <f>IF(preDEL!$AG306,IFERROR(0/0,""),preDEL!AR306)</f>
        <v/>
      </c>
      <c r="AS306" s="112" t="str">
        <f>IF(preDEL!$AG306,IFERROR(0/0,""),preDEL!AS306)</f>
        <v/>
      </c>
      <c r="AT306" s="112" t="b">
        <f>IF(preDEL!$AG306,IFERROR(0/0,""),preDEL!AT306)</f>
        <v>0</v>
      </c>
      <c r="AU306" s="112" t="str">
        <f>IF(preDEL!$AG306,IFERROR(0/0,""),preDEL!AU306)</f>
        <v/>
      </c>
      <c r="AV306" s="112" t="str">
        <f>IF(preDEL!$AG306,IFERROR(0/0,""),preDEL!AV306)</f>
        <v/>
      </c>
      <c r="AW306" s="112" t="str">
        <f>IF(preDEL!$AG306,IFERROR(0/0,""),preDEL!AW306)</f>
        <v/>
      </c>
      <c r="AX306" s="112" t="str">
        <f>IF(preDEL!$AG306,IFERROR(0/0,""),preDEL!AX306)</f>
        <v/>
      </c>
      <c r="AY306" s="112" t="str">
        <f>IF(preDEL!$AG306,IFERROR(0/0,""),preDEL!AY306)</f>
        <v/>
      </c>
      <c r="AZ306" s="174"/>
      <c r="BA306" s="174"/>
      <c r="BB306" s="174"/>
      <c r="BC306" s="174"/>
      <c r="BD306" s="174"/>
      <c r="BE306" s="174"/>
      <c r="BF306" s="174"/>
      <c r="BG306" s="174"/>
      <c r="BH306" s="174"/>
      <c r="BI306" s="174"/>
      <c r="BJ306" s="174"/>
      <c r="BK306" s="174"/>
      <c r="BL306" s="174"/>
      <c r="BM306" s="174"/>
      <c r="BN306" s="174"/>
      <c r="BO306" s="174"/>
      <c r="BP306" s="174"/>
      <c r="BQ306" s="174"/>
      <c r="BR306" s="174"/>
      <c r="BS306" s="174"/>
      <c r="BT306" s="174"/>
      <c r="BU306" s="174"/>
      <c r="BV306" s="174"/>
      <c r="BW306" s="174"/>
      <c r="BX306" s="174"/>
      <c r="BY306" s="174"/>
      <c r="BZ306" s="174"/>
      <c r="CA306" s="174"/>
      <c r="CB306" s="174"/>
      <c r="CC306" s="174"/>
      <c r="CD306" s="174"/>
    </row>
    <row r="307">
      <c r="A307" s="105" t="str">
        <f>IF(preDEL!$AG307,IFERROR(0/0,""),preDEL!A307)</f>
        <v>MA1076</v>
      </c>
      <c r="B307" s="170">
        <f>IF(preDEL!$AG307,IFERROR(0/0,""),preDEL!B307)</f>
        <v>44587</v>
      </c>
      <c r="C307" s="171">
        <f>IF(preDEL!$AG307,IFERROR(0/0,""),preDEL!C307)</f>
        <v>0.3313425926</v>
      </c>
      <c r="D307" s="105" t="str">
        <f>IF(preDEL!$AG307,IFERROR(0/0,""),preDEL!D307)</f>
        <v/>
      </c>
      <c r="E307" s="105" t="str">
        <f>IF(preDEL!$AG307,IFERROR(0/0,""),preDEL!E307)</f>
        <v/>
      </c>
      <c r="F307" s="112" t="str">
        <f>IF(preDEL!$AG307,IFERROR(0/0,""),preDEL!F307)</f>
        <v/>
      </c>
      <c r="G307" s="112" t="str">
        <f>IF(preDEL!$AG307,IFERROR(0/0,""),preDEL!G307)</f>
        <v/>
      </c>
      <c r="H307" s="112" t="str">
        <f>IF(preDEL!$AG307,IFERROR(0/0,""),preDEL!H307)</f>
        <v/>
      </c>
      <c r="I307" s="105" t="str">
        <f>IF(preDEL!$AG307,IFERROR(0/0,""),preDEL!I307)</f>
        <v/>
      </c>
      <c r="J307" s="105" t="str">
        <f>IF(preDEL!$AG307,IFERROR(0/0,""),preDEL!J307)</f>
        <v/>
      </c>
      <c r="K307" s="105" t="str">
        <f>IF(preDEL!$AG307,IFERROR(0/0,""),preDEL!K307)</f>
        <v>Negative</v>
      </c>
      <c r="L307" s="170">
        <f>IF(preDEL!$AG307,IFERROR(0/0,""),preDEL!L307)</f>
        <v>44587</v>
      </c>
      <c r="M307" s="171">
        <f>IF(preDEL!$AG307,IFERROR(0/0,""),preDEL!M307)</f>
        <v>0.5005555556</v>
      </c>
      <c r="N307" s="112" t="str">
        <f>IF(preDEL!$AG307,IFERROR(0/0,""),preDEL!N307)</f>
        <v/>
      </c>
      <c r="O307" s="112" t="str">
        <f>IF(preDEL!$AG307,IFERROR(0/0,""),preDEL!O307)</f>
        <v/>
      </c>
      <c r="P307" s="110" t="b">
        <f>IF(preDEL!$AG307,IFERROR(0/0,""),preDEL!P307)</f>
        <v>0</v>
      </c>
      <c r="Q307" s="110" t="str">
        <f>IF(preDEL!$AG307,IFERROR(0/0,""),preDEL!Q307)</f>
        <v>Result</v>
      </c>
      <c r="R307" s="104" t="b">
        <f>IF(preDEL!$AG307,IFERROR(0/0,""),preDEL!R307)</f>
        <v>1</v>
      </c>
      <c r="S307" s="104">
        <f>IF(preDEL!$AG307,IFERROR(0/0,""),preDEL!S307)</f>
        <v>1</v>
      </c>
      <c r="T307" s="110" t="str">
        <f>IF(preDEL!$AG307,IFERROR(0/0,""),preDEL!T307)</f>
        <v/>
      </c>
      <c r="U307" s="112" t="str">
        <f>IF(preDEL!$AG307,IFERROR(0/0,""),preDEL!U307)</f>
        <v/>
      </c>
      <c r="V307" s="105" t="str">
        <f>IF(preDEL!$AG307,IFERROR(0/0,""),preDEL!V307)</f>
        <v/>
      </c>
      <c r="W307" s="112" t="str">
        <f>IF(preDEL!$AG307,IFERROR(0/0,""),preDEL!W307)</f>
        <v/>
      </c>
      <c r="X307" s="104" t="b">
        <f>IF(preDEL!$AG307,IFERROR(0/0,""),preDEL!X307)</f>
        <v>0</v>
      </c>
      <c r="Y307" s="110" t="b">
        <f>IF(preDEL!$AG307,IFERROR(0/0,""),preDEL!Y307)</f>
        <v>0</v>
      </c>
      <c r="Z307" s="105" t="str">
        <f>IF(preDEL!$AG307,IFERROR(0/0,""),preDEL!Z307)</f>
        <v/>
      </c>
      <c r="AA307" s="110" t="b">
        <f>IF(preDEL!$AG307,IFERROR(0/0,""),preDEL!AA307)</f>
        <v>0</v>
      </c>
      <c r="AB307" s="110" t="b">
        <f>IF(preDEL!$AG307,IFERROR(0/0,""),preDEL!AB307)</f>
        <v>0</v>
      </c>
      <c r="AC307" s="172">
        <f>IF(preDEL!$AG307,IFERROR(0/0,""),preDEL!AC307)</f>
        <v>501</v>
      </c>
      <c r="AD307" s="104" t="b">
        <f>IF(preDEL!$AG307,IFERROR(0/0,""),preDEL!AD307)</f>
        <v>0</v>
      </c>
      <c r="AE307" s="173">
        <f>IF(preDEL!$AG307,IFERROR(0/0,""),preDEL!AE307)</f>
        <v>243.6666667</v>
      </c>
      <c r="AF307" s="110" t="b">
        <f>IF(preDEL!$AG307,IFERROR(0/0,""),preDEL!AF307)</f>
        <v>0</v>
      </c>
      <c r="AG307" s="110" t="b">
        <f>IF(preDEL!$AG307,IFERROR(0/0,""),preDEL!AG307)</f>
        <v>0</v>
      </c>
      <c r="AH307" s="104" t="str">
        <f>IF(preDEL!$AG307,IFERROR(0/0,""),preDEL!AH307)</f>
        <v/>
      </c>
      <c r="AI307" s="105" t="str">
        <f>IF(preDEL!$AG307,IFERROR(0/0,""),preDEL!AI307)</f>
        <v/>
      </c>
      <c r="AJ307" s="112" t="str">
        <f>IF(preDEL!$AG307,IFERROR(0/0,""),preDEL!AJ307)</f>
        <v/>
      </c>
      <c r="AK307" s="105" t="str">
        <f>IF(preDEL!$AG307,IFERROR(0/0,""),preDEL!AK307)</f>
        <v>Negative</v>
      </c>
      <c r="AL307" s="112" t="str">
        <f>IF(preDEL!$AG307,IFERROR(0/0,""),preDEL!AL307)</f>
        <v/>
      </c>
      <c r="AM307" s="112" t="str">
        <f>IF(preDEL!$AG307,IFERROR(0/0,""),preDEL!AM307)</f>
        <v>SpBEND548976</v>
      </c>
      <c r="AN307" s="112" t="str">
        <f>IF(preDEL!$AG307,IFERROR(0/0,""),preDEL!AN307)</f>
        <v>BEND704851</v>
      </c>
      <c r="AO307" s="112" t="str">
        <f>IF(preDEL!$AG307,IFERROR(0/0,""),preDEL!AO307)</f>
        <v/>
      </c>
      <c r="AP307" s="112" t="str">
        <f>IF(preDEL!$AG307,IFERROR(0/0,""),preDEL!AP307)</f>
        <v/>
      </c>
      <c r="AQ307" s="112" t="str">
        <f>IF(preDEL!$AG307,IFERROR(0/0,""),preDEL!AQ307)</f>
        <v/>
      </c>
      <c r="AR307" s="112" t="str">
        <f>IF(preDEL!$AG307,IFERROR(0/0,""),preDEL!AR307)</f>
        <v/>
      </c>
      <c r="AS307" s="112" t="str">
        <f>IF(preDEL!$AG307,IFERROR(0/0,""),preDEL!AS307)</f>
        <v/>
      </c>
      <c r="AT307" s="112" t="b">
        <f>IF(preDEL!$AG307,IFERROR(0/0,""),preDEL!AT307)</f>
        <v>0</v>
      </c>
      <c r="AU307" s="112" t="str">
        <f>IF(preDEL!$AG307,IFERROR(0/0,""),preDEL!AU307)</f>
        <v/>
      </c>
      <c r="AV307" s="112" t="str">
        <f>IF(preDEL!$AG307,IFERROR(0/0,""),preDEL!AV307)</f>
        <v/>
      </c>
      <c r="AW307" s="112" t="str">
        <f>IF(preDEL!$AG307,IFERROR(0/0,""),preDEL!AW307)</f>
        <v/>
      </c>
      <c r="AX307" s="112" t="str">
        <f>IF(preDEL!$AG307,IFERROR(0/0,""),preDEL!AX307)</f>
        <v/>
      </c>
      <c r="AY307" s="112" t="str">
        <f>IF(preDEL!$AG307,IFERROR(0/0,""),preDEL!AY307)</f>
        <v/>
      </c>
      <c r="AZ307" s="174"/>
      <c r="BA307" s="174"/>
      <c r="BB307" s="174"/>
      <c r="BC307" s="174"/>
      <c r="BD307" s="174"/>
      <c r="BE307" s="174"/>
      <c r="BF307" s="174"/>
      <c r="BG307" s="174"/>
      <c r="BH307" s="174"/>
      <c r="BI307" s="174"/>
      <c r="BJ307" s="174"/>
      <c r="BK307" s="174"/>
      <c r="BL307" s="174"/>
      <c r="BM307" s="174"/>
      <c r="BN307" s="174"/>
      <c r="BO307" s="174"/>
      <c r="BP307" s="174"/>
      <c r="BQ307" s="174"/>
      <c r="BR307" s="174"/>
      <c r="BS307" s="174"/>
      <c r="BT307" s="174"/>
      <c r="BU307" s="174"/>
      <c r="BV307" s="174"/>
      <c r="BW307" s="174"/>
      <c r="BX307" s="174"/>
      <c r="BY307" s="174"/>
      <c r="BZ307" s="174"/>
      <c r="CA307" s="174"/>
      <c r="CB307" s="174"/>
      <c r="CC307" s="174"/>
      <c r="CD307" s="174"/>
    </row>
    <row r="308">
      <c r="A308" s="105" t="str">
        <f>IF(preDEL!$AG308,IFERROR(0/0,""),preDEL!A308)</f>
        <v>MA411</v>
      </c>
      <c r="B308" s="170">
        <f>IF(preDEL!$AG308,IFERROR(0/0,""),preDEL!B308)</f>
        <v>44587</v>
      </c>
      <c r="C308" s="171">
        <f>IF(preDEL!$AG308,IFERROR(0/0,""),preDEL!C308)</f>
        <v>0.3318518519</v>
      </c>
      <c r="D308" s="105" t="str">
        <f>IF(preDEL!$AG308,IFERROR(0/0,""),preDEL!D308)</f>
        <v/>
      </c>
      <c r="E308" s="105" t="str">
        <f>IF(preDEL!$AG308,IFERROR(0/0,""),preDEL!E308)</f>
        <v/>
      </c>
      <c r="F308" s="112" t="str">
        <f>IF(preDEL!$AG308,IFERROR(0/0,""),preDEL!F308)</f>
        <v/>
      </c>
      <c r="G308" s="112" t="str">
        <f>IF(preDEL!$AG308,IFERROR(0/0,""),preDEL!G308)</f>
        <v/>
      </c>
      <c r="H308" s="112" t="str">
        <f>IF(preDEL!$AG308,IFERROR(0/0,""),preDEL!H308)</f>
        <v/>
      </c>
      <c r="I308" s="105" t="str">
        <f>IF(preDEL!$AG308,IFERROR(0/0,""),preDEL!I308)</f>
        <v/>
      </c>
      <c r="J308" s="105" t="str">
        <f>IF(preDEL!$AG308,IFERROR(0/0,""),preDEL!J308)</f>
        <v/>
      </c>
      <c r="K308" s="105" t="str">
        <f>IF(preDEL!$AG308,IFERROR(0/0,""),preDEL!K308)</f>
        <v>Negative</v>
      </c>
      <c r="L308" s="170">
        <f>IF(preDEL!$AG308,IFERROR(0/0,""),preDEL!L308)</f>
        <v>44587</v>
      </c>
      <c r="M308" s="171">
        <f>IF(preDEL!$AG308,IFERROR(0/0,""),preDEL!M308)</f>
        <v>0.5005555556</v>
      </c>
      <c r="N308" s="112" t="str">
        <f>IF(preDEL!$AG308,IFERROR(0/0,""),preDEL!N308)</f>
        <v/>
      </c>
      <c r="O308" s="112" t="str">
        <f>IF(preDEL!$AG308,IFERROR(0/0,""),preDEL!O308)</f>
        <v/>
      </c>
      <c r="P308" s="110" t="b">
        <f>IF(preDEL!$AG308,IFERROR(0/0,""),preDEL!P308)</f>
        <v>0</v>
      </c>
      <c r="Q308" s="110" t="str">
        <f>IF(preDEL!$AG308,IFERROR(0/0,""),preDEL!Q308)</f>
        <v>Result</v>
      </c>
      <c r="R308" s="104" t="b">
        <f>IF(preDEL!$AG308,IFERROR(0/0,""),preDEL!R308)</f>
        <v>1</v>
      </c>
      <c r="S308" s="104">
        <f>IF(preDEL!$AG308,IFERROR(0/0,""),preDEL!S308)</f>
        <v>1</v>
      </c>
      <c r="T308" s="110">
        <f>IF(preDEL!$AG308,IFERROR(0/0,""),preDEL!T308)</f>
        <v>0</v>
      </c>
      <c r="U308" s="112" t="str">
        <f>IF(preDEL!$AG308,IFERROR(0/0,""),preDEL!U308)</f>
        <v/>
      </c>
      <c r="V308" s="105" t="str">
        <f>IF(preDEL!$AG308,IFERROR(0/0,""),preDEL!V308)</f>
        <v/>
      </c>
      <c r="W308" s="112" t="str">
        <f>IF(preDEL!$AG308,IFERROR(0/0,""),preDEL!W308)</f>
        <v/>
      </c>
      <c r="X308" s="104" t="b">
        <f>IF(preDEL!$AG308,IFERROR(0/0,""),preDEL!X308)</f>
        <v>0</v>
      </c>
      <c r="Y308" s="110" t="b">
        <f>IF(preDEL!$AG308,IFERROR(0/0,""),preDEL!Y308)</f>
        <v>0</v>
      </c>
      <c r="Z308" s="105" t="str">
        <f>IF(preDEL!$AG308,IFERROR(0/0,""),preDEL!Z308)</f>
        <v/>
      </c>
      <c r="AA308" s="110" t="b">
        <f>IF(preDEL!$AG308,IFERROR(0/0,""),preDEL!AA308)</f>
        <v>0</v>
      </c>
      <c r="AB308" s="110" t="b">
        <f>IF(preDEL!$AG308,IFERROR(0/0,""),preDEL!AB308)</f>
        <v>0</v>
      </c>
      <c r="AC308" s="172">
        <f>IF(preDEL!$AG308,IFERROR(0/0,""),preDEL!AC308)</f>
        <v>500</v>
      </c>
      <c r="AD308" s="104" t="b">
        <f>IF(preDEL!$AG308,IFERROR(0/0,""),preDEL!AD308)</f>
        <v>0</v>
      </c>
      <c r="AE308" s="173">
        <f>IF(preDEL!$AG308,IFERROR(0/0,""),preDEL!AE308)</f>
        <v>242.9333333</v>
      </c>
      <c r="AF308" s="110" t="b">
        <f>IF(preDEL!$AG308,IFERROR(0/0,""),preDEL!AF308)</f>
        <v>0</v>
      </c>
      <c r="AG308" s="110" t="b">
        <f>IF(preDEL!$AG308,IFERROR(0/0,""),preDEL!AG308)</f>
        <v>0</v>
      </c>
      <c r="AH308" s="104" t="str">
        <f>IF(preDEL!$AG308,IFERROR(0/0,""),preDEL!AH308)</f>
        <v/>
      </c>
      <c r="AI308" s="105" t="str">
        <f>IF(preDEL!$AG308,IFERROR(0/0,""),preDEL!AI308)</f>
        <v/>
      </c>
      <c r="AJ308" s="112" t="str">
        <f>IF(preDEL!$AG308,IFERROR(0/0,""),preDEL!AJ308)</f>
        <v/>
      </c>
      <c r="AK308" s="105" t="str">
        <f>IF(preDEL!$AG308,IFERROR(0/0,""),preDEL!AK308)</f>
        <v>Negative</v>
      </c>
      <c r="AL308" s="112" t="str">
        <f>IF(preDEL!$AG308,IFERROR(0/0,""),preDEL!AL308)</f>
        <v/>
      </c>
      <c r="AM308" s="112" t="str">
        <f>IF(preDEL!$AG308,IFERROR(0/0,""),preDEL!AM308)</f>
        <v>SpBEND845509</v>
      </c>
      <c r="AN308" s="112" t="str">
        <f>IF(preDEL!$AG308,IFERROR(0/0,""),preDEL!AN308)</f>
        <v>BEND742629</v>
      </c>
      <c r="AO308" s="112" t="str">
        <f>IF(preDEL!$AG308,IFERROR(0/0,""),preDEL!AO308)</f>
        <v/>
      </c>
      <c r="AP308" s="112" t="str">
        <f>IF(preDEL!$AG308,IFERROR(0/0,""),preDEL!AP308)</f>
        <v/>
      </c>
      <c r="AQ308" s="112" t="str">
        <f>IF(preDEL!$AG308,IFERROR(0/0,""),preDEL!AQ308)</f>
        <v/>
      </c>
      <c r="AR308" s="112" t="str">
        <f>IF(preDEL!$AG308,IFERROR(0/0,""),preDEL!AR308)</f>
        <v/>
      </c>
      <c r="AS308" s="112" t="str">
        <f>IF(preDEL!$AG308,IFERROR(0/0,""),preDEL!AS308)</f>
        <v/>
      </c>
      <c r="AT308" s="112" t="b">
        <f>IF(preDEL!$AG308,IFERROR(0/0,""),preDEL!AT308)</f>
        <v>0</v>
      </c>
      <c r="AU308" s="112" t="str">
        <f>IF(preDEL!$AG308,IFERROR(0/0,""),preDEL!AU308)</f>
        <v/>
      </c>
      <c r="AV308" s="112" t="str">
        <f>IF(preDEL!$AG308,IFERROR(0/0,""),preDEL!AV308)</f>
        <v/>
      </c>
      <c r="AW308" s="112" t="str">
        <f>IF(preDEL!$AG308,IFERROR(0/0,""),preDEL!AW308)</f>
        <v/>
      </c>
      <c r="AX308" s="112" t="str">
        <f>IF(preDEL!$AG308,IFERROR(0/0,""),preDEL!AX308)</f>
        <v/>
      </c>
      <c r="AY308" s="112" t="str">
        <f>IF(preDEL!$AG308,IFERROR(0/0,""),preDEL!AY308)</f>
        <v/>
      </c>
      <c r="AZ308" s="174"/>
      <c r="BA308" s="174"/>
      <c r="BB308" s="174"/>
      <c r="BC308" s="174"/>
      <c r="BD308" s="174"/>
      <c r="BE308" s="174"/>
      <c r="BF308" s="174"/>
      <c r="BG308" s="174"/>
      <c r="BH308" s="174"/>
      <c r="BI308" s="174"/>
      <c r="BJ308" s="174"/>
      <c r="BK308" s="174"/>
      <c r="BL308" s="174"/>
      <c r="BM308" s="174"/>
      <c r="BN308" s="174"/>
      <c r="BO308" s="174"/>
      <c r="BP308" s="174"/>
      <c r="BQ308" s="174"/>
      <c r="BR308" s="174"/>
      <c r="BS308" s="174"/>
      <c r="BT308" s="174"/>
      <c r="BU308" s="174"/>
      <c r="BV308" s="174"/>
      <c r="BW308" s="174"/>
      <c r="BX308" s="174"/>
      <c r="BY308" s="174"/>
      <c r="BZ308" s="174"/>
      <c r="CA308" s="174"/>
      <c r="CB308" s="174"/>
      <c r="CC308" s="174"/>
      <c r="CD308" s="174"/>
    </row>
    <row r="309">
      <c r="A309" s="105" t="str">
        <f>IF(preDEL!$AG309,IFERROR(0/0,""),preDEL!A309)</f>
        <v>MA610</v>
      </c>
      <c r="B309" s="170">
        <f>IF(preDEL!$AG309,IFERROR(0/0,""),preDEL!B309)</f>
        <v>44587</v>
      </c>
      <c r="C309" s="171">
        <f>IF(preDEL!$AG309,IFERROR(0/0,""),preDEL!C309)</f>
        <v>0.3365972222</v>
      </c>
      <c r="D309" s="105" t="str">
        <f>IF(preDEL!$AG309,IFERROR(0/0,""),preDEL!D309)</f>
        <v/>
      </c>
      <c r="E309" s="105" t="str">
        <f>IF(preDEL!$AG309,IFERROR(0/0,""),preDEL!E309)</f>
        <v/>
      </c>
      <c r="F309" s="112" t="str">
        <f>IF(preDEL!$AG309,IFERROR(0/0,""),preDEL!F309)</f>
        <v/>
      </c>
      <c r="G309" s="112" t="str">
        <f>IF(preDEL!$AG309,IFERROR(0/0,""),preDEL!G309)</f>
        <v/>
      </c>
      <c r="H309" s="112" t="str">
        <f>IF(preDEL!$AG309,IFERROR(0/0,""),preDEL!H309)</f>
        <v/>
      </c>
      <c r="I309" s="105" t="str">
        <f>IF(preDEL!$AG309,IFERROR(0/0,""),preDEL!I309)</f>
        <v/>
      </c>
      <c r="J309" s="105" t="str">
        <f>IF(preDEL!$AG309,IFERROR(0/0,""),preDEL!J309)</f>
        <v/>
      </c>
      <c r="K309" s="105" t="str">
        <f>IF(preDEL!$AG309,IFERROR(0/0,""),preDEL!K309)</f>
        <v>Negative</v>
      </c>
      <c r="L309" s="170">
        <f>IF(preDEL!$AG309,IFERROR(0/0,""),preDEL!L309)</f>
        <v>44587</v>
      </c>
      <c r="M309" s="171">
        <f>IF(preDEL!$AG309,IFERROR(0/0,""),preDEL!M309)</f>
        <v>0.5005555556</v>
      </c>
      <c r="N309" s="112" t="str">
        <f>IF(preDEL!$AG309,IFERROR(0/0,""),preDEL!N309)</f>
        <v/>
      </c>
      <c r="O309" s="112" t="str">
        <f>IF(preDEL!$AG309,IFERROR(0/0,""),preDEL!O309)</f>
        <v/>
      </c>
      <c r="P309" s="110" t="b">
        <f>IF(preDEL!$AG309,IFERROR(0/0,""),preDEL!P309)</f>
        <v>0</v>
      </c>
      <c r="Q309" s="110" t="str">
        <f>IF(preDEL!$AG309,IFERROR(0/0,""),preDEL!Q309)</f>
        <v>Result</v>
      </c>
      <c r="R309" s="104" t="b">
        <f>IF(preDEL!$AG309,IFERROR(0/0,""),preDEL!R309)</f>
        <v>1</v>
      </c>
      <c r="S309" s="104">
        <f>IF(preDEL!$AG309,IFERROR(0/0,""),preDEL!S309)</f>
        <v>1</v>
      </c>
      <c r="T309" s="110" t="str">
        <f>IF(preDEL!$AG309,IFERROR(0/0,""),preDEL!T309)</f>
        <v/>
      </c>
      <c r="U309" s="112" t="str">
        <f>IF(preDEL!$AG309,IFERROR(0/0,""),preDEL!U309)</f>
        <v/>
      </c>
      <c r="V309" s="105" t="str">
        <f>IF(preDEL!$AG309,IFERROR(0/0,""),preDEL!V309)</f>
        <v/>
      </c>
      <c r="W309" s="112" t="str">
        <f>IF(preDEL!$AG309,IFERROR(0/0,""),preDEL!W309)</f>
        <v/>
      </c>
      <c r="X309" s="104" t="b">
        <f>IF(preDEL!$AG309,IFERROR(0/0,""),preDEL!X309)</f>
        <v>0</v>
      </c>
      <c r="Y309" s="110" t="b">
        <f>IF(preDEL!$AG309,IFERROR(0/0,""),preDEL!Y309)</f>
        <v>0</v>
      </c>
      <c r="Z309" s="105" t="str">
        <f>IF(preDEL!$AG309,IFERROR(0/0,""),preDEL!Z309)</f>
        <v/>
      </c>
      <c r="AA309" s="110" t="b">
        <f>IF(preDEL!$AG309,IFERROR(0/0,""),preDEL!AA309)</f>
        <v>0</v>
      </c>
      <c r="AB309" s="110" t="b">
        <f>IF(preDEL!$AG309,IFERROR(0/0,""),preDEL!AB309)</f>
        <v>0</v>
      </c>
      <c r="AC309" s="172">
        <f>IF(preDEL!$AG309,IFERROR(0/0,""),preDEL!AC309)</f>
        <v>499</v>
      </c>
      <c r="AD309" s="104" t="b">
        <f>IF(preDEL!$AG309,IFERROR(0/0,""),preDEL!AD309)</f>
        <v>0</v>
      </c>
      <c r="AE309" s="173">
        <f>IF(preDEL!$AG309,IFERROR(0/0,""),preDEL!AE309)</f>
        <v>236.1</v>
      </c>
      <c r="AF309" s="110" t="b">
        <f>IF(preDEL!$AG309,IFERROR(0/0,""),preDEL!AF309)</f>
        <v>0</v>
      </c>
      <c r="AG309" s="110" t="b">
        <f>IF(preDEL!$AG309,IFERROR(0/0,""),preDEL!AG309)</f>
        <v>0</v>
      </c>
      <c r="AH309" s="104" t="str">
        <f>IF(preDEL!$AG309,IFERROR(0/0,""),preDEL!AH309)</f>
        <v/>
      </c>
      <c r="AI309" s="105" t="str">
        <f>IF(preDEL!$AG309,IFERROR(0/0,""),preDEL!AI309)</f>
        <v/>
      </c>
      <c r="AJ309" s="112" t="str">
        <f>IF(preDEL!$AG309,IFERROR(0/0,""),preDEL!AJ309)</f>
        <v/>
      </c>
      <c r="AK309" s="105" t="str">
        <f>IF(preDEL!$AG309,IFERROR(0/0,""),preDEL!AK309)</f>
        <v>Negative</v>
      </c>
      <c r="AL309" s="112" t="str">
        <f>IF(preDEL!$AG309,IFERROR(0/0,""),preDEL!AL309)</f>
        <v/>
      </c>
      <c r="AM309" s="112" t="str">
        <f>IF(preDEL!$AG309,IFERROR(0/0,""),preDEL!AM309)</f>
        <v>SpBEND136234</v>
      </c>
      <c r="AN309" s="112" t="str">
        <f>IF(preDEL!$AG309,IFERROR(0/0,""),preDEL!AN309)</f>
        <v>BEND350468</v>
      </c>
      <c r="AO309" s="112" t="str">
        <f>IF(preDEL!$AG309,IFERROR(0/0,""),preDEL!AO309)</f>
        <v/>
      </c>
      <c r="AP309" s="112" t="str">
        <f>IF(preDEL!$AG309,IFERROR(0/0,""),preDEL!AP309)</f>
        <v/>
      </c>
      <c r="AQ309" s="112" t="str">
        <f>IF(preDEL!$AG309,IFERROR(0/0,""),preDEL!AQ309)</f>
        <v/>
      </c>
      <c r="AR309" s="112" t="str">
        <f>IF(preDEL!$AG309,IFERROR(0/0,""),preDEL!AR309)</f>
        <v/>
      </c>
      <c r="AS309" s="112" t="str">
        <f>IF(preDEL!$AG309,IFERROR(0/0,""),preDEL!AS309)</f>
        <v/>
      </c>
      <c r="AT309" s="112" t="b">
        <f>IF(preDEL!$AG309,IFERROR(0/0,""),preDEL!AT309)</f>
        <v>0</v>
      </c>
      <c r="AU309" s="112" t="str">
        <f>IF(preDEL!$AG309,IFERROR(0/0,""),preDEL!AU309)</f>
        <v/>
      </c>
      <c r="AV309" s="112" t="str">
        <f>IF(preDEL!$AG309,IFERROR(0/0,""),preDEL!AV309)</f>
        <v/>
      </c>
      <c r="AW309" s="112" t="str">
        <f>IF(preDEL!$AG309,IFERROR(0/0,""),preDEL!AW309)</f>
        <v/>
      </c>
      <c r="AX309" s="112" t="str">
        <f>IF(preDEL!$AG309,IFERROR(0/0,""),preDEL!AX309)</f>
        <v/>
      </c>
      <c r="AY309" s="112" t="str">
        <f>IF(preDEL!$AG309,IFERROR(0/0,""),preDEL!AY309)</f>
        <v/>
      </c>
      <c r="AZ309" s="174"/>
      <c r="BA309" s="174"/>
      <c r="BB309" s="174"/>
      <c r="BC309" s="174"/>
      <c r="BD309" s="174"/>
      <c r="BE309" s="174"/>
      <c r="BF309" s="174"/>
      <c r="BG309" s="174"/>
      <c r="BH309" s="174"/>
      <c r="BI309" s="174"/>
      <c r="BJ309" s="174"/>
      <c r="BK309" s="174"/>
      <c r="BL309" s="174"/>
      <c r="BM309" s="174"/>
      <c r="BN309" s="174"/>
      <c r="BO309" s="174"/>
      <c r="BP309" s="174"/>
      <c r="BQ309" s="174"/>
      <c r="BR309" s="174"/>
      <c r="BS309" s="174"/>
      <c r="BT309" s="174"/>
      <c r="BU309" s="174"/>
      <c r="BV309" s="174"/>
      <c r="BW309" s="174"/>
      <c r="BX309" s="174"/>
      <c r="BY309" s="174"/>
      <c r="BZ309" s="174"/>
      <c r="CA309" s="174"/>
      <c r="CB309" s="174"/>
      <c r="CC309" s="174"/>
      <c r="CD309" s="174"/>
    </row>
    <row r="310">
      <c r="A310" s="105" t="str">
        <f>IF(preDEL!$AG310,IFERROR(0/0,""),preDEL!A310)</f>
        <v>MA454</v>
      </c>
      <c r="B310" s="170">
        <f>IF(preDEL!$AG310,IFERROR(0/0,""),preDEL!B310)</f>
        <v>44587</v>
      </c>
      <c r="C310" s="171">
        <f>IF(preDEL!$AG310,IFERROR(0/0,""),preDEL!C310)</f>
        <v>0.3372222222</v>
      </c>
      <c r="D310" s="105" t="str">
        <f>IF(preDEL!$AG310,IFERROR(0/0,""),preDEL!D310)</f>
        <v/>
      </c>
      <c r="E310" s="105" t="str">
        <f>IF(preDEL!$AG310,IFERROR(0/0,""),preDEL!E310)</f>
        <v/>
      </c>
      <c r="F310" s="112" t="str">
        <f>IF(preDEL!$AG310,IFERROR(0/0,""),preDEL!F310)</f>
        <v/>
      </c>
      <c r="G310" s="112" t="str">
        <f>IF(preDEL!$AG310,IFERROR(0/0,""),preDEL!G310)</f>
        <v/>
      </c>
      <c r="H310" s="112" t="str">
        <f>IF(preDEL!$AG310,IFERROR(0/0,""),preDEL!H310)</f>
        <v/>
      </c>
      <c r="I310" s="105" t="str">
        <f>IF(preDEL!$AG310,IFERROR(0/0,""),preDEL!I310)</f>
        <v/>
      </c>
      <c r="J310" s="105" t="str">
        <f>IF(preDEL!$AG310,IFERROR(0/0,""),preDEL!J310)</f>
        <v/>
      </c>
      <c r="K310" s="105" t="str">
        <f>IF(preDEL!$AG310,IFERROR(0/0,""),preDEL!K310)</f>
        <v>Negative</v>
      </c>
      <c r="L310" s="170">
        <f>IF(preDEL!$AG310,IFERROR(0/0,""),preDEL!L310)</f>
        <v>44587</v>
      </c>
      <c r="M310" s="171">
        <f>IF(preDEL!$AG310,IFERROR(0/0,""),preDEL!M310)</f>
        <v>0.5005555556</v>
      </c>
      <c r="N310" s="112" t="str">
        <f>IF(preDEL!$AG310,IFERROR(0/0,""),preDEL!N310)</f>
        <v/>
      </c>
      <c r="O310" s="112" t="str">
        <f>IF(preDEL!$AG310,IFERROR(0/0,""),preDEL!O310)</f>
        <v/>
      </c>
      <c r="P310" s="110" t="b">
        <f>IF(preDEL!$AG310,IFERROR(0/0,""),preDEL!P310)</f>
        <v>0</v>
      </c>
      <c r="Q310" s="110" t="str">
        <f>IF(preDEL!$AG310,IFERROR(0/0,""),preDEL!Q310)</f>
        <v>Result</v>
      </c>
      <c r="R310" s="104" t="b">
        <f>IF(preDEL!$AG310,IFERROR(0/0,""),preDEL!R310)</f>
        <v>1</v>
      </c>
      <c r="S310" s="104">
        <f>IF(preDEL!$AG310,IFERROR(0/0,""),preDEL!S310)</f>
        <v>1</v>
      </c>
      <c r="T310" s="110" t="str">
        <f>IF(preDEL!$AG310,IFERROR(0/0,""),preDEL!T310)</f>
        <v/>
      </c>
      <c r="U310" s="112" t="str">
        <f>IF(preDEL!$AG310,IFERROR(0/0,""),preDEL!U310)</f>
        <v/>
      </c>
      <c r="V310" s="105" t="str">
        <f>IF(preDEL!$AG310,IFERROR(0/0,""),preDEL!V310)</f>
        <v/>
      </c>
      <c r="W310" s="112" t="str">
        <f>IF(preDEL!$AG310,IFERROR(0/0,""),preDEL!W310)</f>
        <v/>
      </c>
      <c r="X310" s="104" t="b">
        <f>IF(preDEL!$AG310,IFERROR(0/0,""),preDEL!X310)</f>
        <v>0</v>
      </c>
      <c r="Y310" s="110" t="b">
        <f>IF(preDEL!$AG310,IFERROR(0/0,""),preDEL!Y310)</f>
        <v>0</v>
      </c>
      <c r="Z310" s="105" t="str">
        <f>IF(preDEL!$AG310,IFERROR(0/0,""),preDEL!Z310)</f>
        <v/>
      </c>
      <c r="AA310" s="110" t="b">
        <f>IF(preDEL!$AG310,IFERROR(0/0,""),preDEL!AA310)</f>
        <v>0</v>
      </c>
      <c r="AB310" s="110" t="b">
        <f>IF(preDEL!$AG310,IFERROR(0/0,""),preDEL!AB310)</f>
        <v>0</v>
      </c>
      <c r="AC310" s="172">
        <f>IF(preDEL!$AG310,IFERROR(0/0,""),preDEL!AC310)</f>
        <v>498</v>
      </c>
      <c r="AD310" s="104" t="b">
        <f>IF(preDEL!$AG310,IFERROR(0/0,""),preDEL!AD310)</f>
        <v>0</v>
      </c>
      <c r="AE310" s="173">
        <f>IF(preDEL!$AG310,IFERROR(0/0,""),preDEL!AE310)</f>
        <v>235.2</v>
      </c>
      <c r="AF310" s="110" t="b">
        <f>IF(preDEL!$AG310,IFERROR(0/0,""),preDEL!AF310)</f>
        <v>0</v>
      </c>
      <c r="AG310" s="110" t="b">
        <f>IF(preDEL!$AG310,IFERROR(0/0,""),preDEL!AG310)</f>
        <v>0</v>
      </c>
      <c r="AH310" s="104" t="str">
        <f>IF(preDEL!$AG310,IFERROR(0/0,""),preDEL!AH310)</f>
        <v/>
      </c>
      <c r="AI310" s="105" t="str">
        <f>IF(preDEL!$AG310,IFERROR(0/0,""),preDEL!AI310)</f>
        <v/>
      </c>
      <c r="AJ310" s="112" t="str">
        <f>IF(preDEL!$AG310,IFERROR(0/0,""),preDEL!AJ310)</f>
        <v/>
      </c>
      <c r="AK310" s="105" t="str">
        <f>IF(preDEL!$AG310,IFERROR(0/0,""),preDEL!AK310)</f>
        <v>Negative</v>
      </c>
      <c r="AL310" s="112" t="str">
        <f>IF(preDEL!$AG310,IFERROR(0/0,""),preDEL!AL310)</f>
        <v/>
      </c>
      <c r="AM310" s="112" t="str">
        <f>IF(preDEL!$AG310,IFERROR(0/0,""),preDEL!AM310)</f>
        <v>SpBEND768497</v>
      </c>
      <c r="AN310" s="112" t="str">
        <f>IF(preDEL!$AG310,IFERROR(0/0,""),preDEL!AN310)</f>
        <v>BEND900381</v>
      </c>
      <c r="AO310" s="112" t="str">
        <f>IF(preDEL!$AG310,IFERROR(0/0,""),preDEL!AO310)</f>
        <v/>
      </c>
      <c r="AP310" s="112" t="str">
        <f>IF(preDEL!$AG310,IFERROR(0/0,""),preDEL!AP310)</f>
        <v/>
      </c>
      <c r="AQ310" s="112" t="str">
        <f>IF(preDEL!$AG310,IFERROR(0/0,""),preDEL!AQ310)</f>
        <v/>
      </c>
      <c r="AR310" s="112" t="str">
        <f>IF(preDEL!$AG310,IFERROR(0/0,""),preDEL!AR310)</f>
        <v/>
      </c>
      <c r="AS310" s="112" t="str">
        <f>IF(preDEL!$AG310,IFERROR(0/0,""),preDEL!AS310)</f>
        <v/>
      </c>
      <c r="AT310" s="112" t="b">
        <f>IF(preDEL!$AG310,IFERROR(0/0,""),preDEL!AT310)</f>
        <v>0</v>
      </c>
      <c r="AU310" s="112" t="str">
        <f>IF(preDEL!$AG310,IFERROR(0/0,""),preDEL!AU310)</f>
        <v/>
      </c>
      <c r="AV310" s="112" t="str">
        <f>IF(preDEL!$AG310,IFERROR(0/0,""),preDEL!AV310)</f>
        <v/>
      </c>
      <c r="AW310" s="112" t="str">
        <f>IF(preDEL!$AG310,IFERROR(0/0,""),preDEL!AW310)</f>
        <v/>
      </c>
      <c r="AX310" s="112" t="str">
        <f>IF(preDEL!$AG310,IFERROR(0/0,""),preDEL!AX310)</f>
        <v/>
      </c>
      <c r="AY310" s="112" t="str">
        <f>IF(preDEL!$AG310,IFERROR(0/0,""),preDEL!AY310)</f>
        <v/>
      </c>
      <c r="AZ310" s="174"/>
      <c r="BA310" s="174"/>
      <c r="BB310" s="174"/>
      <c r="BC310" s="174"/>
      <c r="BD310" s="174"/>
      <c r="BE310" s="174"/>
      <c r="BF310" s="174"/>
      <c r="BG310" s="174"/>
      <c r="BH310" s="174"/>
      <c r="BI310" s="174"/>
      <c r="BJ310" s="174"/>
      <c r="BK310" s="174"/>
      <c r="BL310" s="174"/>
      <c r="BM310" s="174"/>
      <c r="BN310" s="174"/>
      <c r="BO310" s="174"/>
      <c r="BP310" s="174"/>
      <c r="BQ310" s="174"/>
      <c r="BR310" s="174"/>
      <c r="BS310" s="174"/>
      <c r="BT310" s="174"/>
      <c r="BU310" s="174"/>
      <c r="BV310" s="174"/>
      <c r="BW310" s="174"/>
      <c r="BX310" s="174"/>
      <c r="BY310" s="174"/>
      <c r="BZ310" s="174"/>
      <c r="CA310" s="174"/>
      <c r="CB310" s="174"/>
      <c r="CC310" s="174"/>
      <c r="CD310" s="174"/>
    </row>
    <row r="311">
      <c r="A311" s="105" t="str">
        <f>IF(preDEL!$AG311,IFERROR(0/0,""),preDEL!A311)</f>
        <v>MA1278</v>
      </c>
      <c r="B311" s="170">
        <f>IF(preDEL!$AG311,IFERROR(0/0,""),preDEL!B311)</f>
        <v>44587</v>
      </c>
      <c r="C311" s="171">
        <f>IF(preDEL!$AG311,IFERROR(0/0,""),preDEL!C311)</f>
        <v>0.3502314815</v>
      </c>
      <c r="D311" s="105" t="str">
        <f>IF(preDEL!$AG311,IFERROR(0/0,""),preDEL!D311)</f>
        <v/>
      </c>
      <c r="E311" s="105" t="str">
        <f>IF(preDEL!$AG311,IFERROR(0/0,""),preDEL!E311)</f>
        <v/>
      </c>
      <c r="F311" s="112" t="str">
        <f>IF(preDEL!$AG311,IFERROR(0/0,""),preDEL!F311)</f>
        <v/>
      </c>
      <c r="G311" s="112" t="str">
        <f>IF(preDEL!$AG311,IFERROR(0/0,""),preDEL!G311)</f>
        <v/>
      </c>
      <c r="H311" s="112" t="str">
        <f>IF(preDEL!$AG311,IFERROR(0/0,""),preDEL!H311)</f>
        <v/>
      </c>
      <c r="I311" s="105" t="str">
        <f>IF(preDEL!$AG311,IFERROR(0/0,""),preDEL!I311)</f>
        <v/>
      </c>
      <c r="J311" s="105" t="str">
        <f>IF(preDEL!$AG311,IFERROR(0/0,""),preDEL!J311)</f>
        <v/>
      </c>
      <c r="K311" s="105" t="str">
        <f>IF(preDEL!$AG311,IFERROR(0/0,""),preDEL!K311)</f>
        <v>Negative</v>
      </c>
      <c r="L311" s="170">
        <f>IF(preDEL!$AG311,IFERROR(0/0,""),preDEL!L311)</f>
        <v>44587</v>
      </c>
      <c r="M311" s="171">
        <f>IF(preDEL!$AG311,IFERROR(0/0,""),preDEL!M311)</f>
        <v>0.5005555556</v>
      </c>
      <c r="N311" s="112" t="str">
        <f>IF(preDEL!$AG311,IFERROR(0/0,""),preDEL!N311)</f>
        <v/>
      </c>
      <c r="O311" s="112" t="str">
        <f>IF(preDEL!$AG311,IFERROR(0/0,""),preDEL!O311)</f>
        <v/>
      </c>
      <c r="P311" s="110" t="b">
        <f>IF(preDEL!$AG311,IFERROR(0/0,""),preDEL!P311)</f>
        <v>0</v>
      </c>
      <c r="Q311" s="110" t="str">
        <f>IF(preDEL!$AG311,IFERROR(0/0,""),preDEL!Q311)</f>
        <v>Result</v>
      </c>
      <c r="R311" s="104" t="b">
        <f>IF(preDEL!$AG311,IFERROR(0/0,""),preDEL!R311)</f>
        <v>1</v>
      </c>
      <c r="S311" s="104">
        <f>IF(preDEL!$AG311,IFERROR(0/0,""),preDEL!S311)</f>
        <v>1</v>
      </c>
      <c r="T311" s="110" t="str">
        <f>IF(preDEL!$AG311,IFERROR(0/0,""),preDEL!T311)</f>
        <v/>
      </c>
      <c r="U311" s="112" t="str">
        <f>IF(preDEL!$AG311,IFERROR(0/0,""),preDEL!U311)</f>
        <v/>
      </c>
      <c r="V311" s="105" t="str">
        <f>IF(preDEL!$AG311,IFERROR(0/0,""),preDEL!V311)</f>
        <v/>
      </c>
      <c r="W311" s="112" t="str">
        <f>IF(preDEL!$AG311,IFERROR(0/0,""),preDEL!W311)</f>
        <v/>
      </c>
      <c r="X311" s="104" t="b">
        <f>IF(preDEL!$AG311,IFERROR(0/0,""),preDEL!X311)</f>
        <v>0</v>
      </c>
      <c r="Y311" s="110" t="b">
        <f>IF(preDEL!$AG311,IFERROR(0/0,""),preDEL!Y311)</f>
        <v>0</v>
      </c>
      <c r="Z311" s="105" t="str">
        <f>IF(preDEL!$AG311,IFERROR(0/0,""),preDEL!Z311)</f>
        <v/>
      </c>
      <c r="AA311" s="110" t="b">
        <f>IF(preDEL!$AG311,IFERROR(0/0,""),preDEL!AA311)</f>
        <v>0</v>
      </c>
      <c r="AB311" s="110" t="b">
        <f>IF(preDEL!$AG311,IFERROR(0/0,""),preDEL!AB311)</f>
        <v>0</v>
      </c>
      <c r="AC311" s="172">
        <f>IF(preDEL!$AG311,IFERROR(0/0,""),preDEL!AC311)</f>
        <v>497</v>
      </c>
      <c r="AD311" s="104" t="b">
        <f>IF(preDEL!$AG311,IFERROR(0/0,""),preDEL!AD311)</f>
        <v>0</v>
      </c>
      <c r="AE311" s="173">
        <f>IF(preDEL!$AG311,IFERROR(0/0,""),preDEL!AE311)</f>
        <v>216.4666667</v>
      </c>
      <c r="AF311" s="110" t="b">
        <f>IF(preDEL!$AG311,IFERROR(0/0,""),preDEL!AF311)</f>
        <v>0</v>
      </c>
      <c r="AG311" s="110" t="b">
        <f>IF(preDEL!$AG311,IFERROR(0/0,""),preDEL!AG311)</f>
        <v>0</v>
      </c>
      <c r="AH311" s="104" t="str">
        <f>IF(preDEL!$AG311,IFERROR(0/0,""),preDEL!AH311)</f>
        <v/>
      </c>
      <c r="AI311" s="105" t="str">
        <f>IF(preDEL!$AG311,IFERROR(0/0,""),preDEL!AI311)</f>
        <v/>
      </c>
      <c r="AJ311" s="112" t="str">
        <f>IF(preDEL!$AG311,IFERROR(0/0,""),preDEL!AJ311)</f>
        <v/>
      </c>
      <c r="AK311" s="105" t="str">
        <f>IF(preDEL!$AG311,IFERROR(0/0,""),preDEL!AK311)</f>
        <v>Negative</v>
      </c>
      <c r="AL311" s="112" t="str">
        <f>IF(preDEL!$AG311,IFERROR(0/0,""),preDEL!AL311)</f>
        <v/>
      </c>
      <c r="AM311" s="112" t="str">
        <f>IF(preDEL!$AG311,IFERROR(0/0,""),preDEL!AM311)</f>
        <v>SpBEND387578</v>
      </c>
      <c r="AN311" s="112" t="str">
        <f>IF(preDEL!$AG311,IFERROR(0/0,""),preDEL!AN311)</f>
        <v>BEND375164</v>
      </c>
      <c r="AO311" s="112" t="str">
        <f>IF(preDEL!$AG311,IFERROR(0/0,""),preDEL!AO311)</f>
        <v/>
      </c>
      <c r="AP311" s="112" t="str">
        <f>IF(preDEL!$AG311,IFERROR(0/0,""),preDEL!AP311)</f>
        <v/>
      </c>
      <c r="AQ311" s="112" t="str">
        <f>IF(preDEL!$AG311,IFERROR(0/0,""),preDEL!AQ311)</f>
        <v/>
      </c>
      <c r="AR311" s="112" t="str">
        <f>IF(preDEL!$AG311,IFERROR(0/0,""),preDEL!AR311)</f>
        <v/>
      </c>
      <c r="AS311" s="112" t="str">
        <f>IF(preDEL!$AG311,IFERROR(0/0,""),preDEL!AS311)</f>
        <v/>
      </c>
      <c r="AT311" s="112" t="b">
        <f>IF(preDEL!$AG311,IFERROR(0/0,""),preDEL!AT311)</f>
        <v>0</v>
      </c>
      <c r="AU311" s="112" t="str">
        <f>IF(preDEL!$AG311,IFERROR(0/0,""),preDEL!AU311)</f>
        <v/>
      </c>
      <c r="AV311" s="112" t="str">
        <f>IF(preDEL!$AG311,IFERROR(0/0,""),preDEL!AV311)</f>
        <v/>
      </c>
      <c r="AW311" s="112" t="str">
        <f>IF(preDEL!$AG311,IFERROR(0/0,""),preDEL!AW311)</f>
        <v/>
      </c>
      <c r="AX311" s="112" t="str">
        <f>IF(preDEL!$AG311,IFERROR(0/0,""),preDEL!AX311)</f>
        <v/>
      </c>
      <c r="AY311" s="112" t="str">
        <f>IF(preDEL!$AG311,IFERROR(0/0,""),preDEL!AY311)</f>
        <v/>
      </c>
      <c r="AZ311" s="174"/>
      <c r="BA311" s="174"/>
      <c r="BB311" s="174"/>
      <c r="BC311" s="174"/>
      <c r="BD311" s="174"/>
      <c r="BE311" s="174"/>
      <c r="BF311" s="174"/>
      <c r="BG311" s="174"/>
      <c r="BH311" s="174"/>
      <c r="BI311" s="174"/>
      <c r="BJ311" s="174"/>
      <c r="BK311" s="174"/>
      <c r="BL311" s="174"/>
      <c r="BM311" s="174"/>
      <c r="BN311" s="174"/>
      <c r="BO311" s="174"/>
      <c r="BP311" s="174"/>
      <c r="BQ311" s="174"/>
      <c r="BR311" s="174"/>
      <c r="BS311" s="174"/>
      <c r="BT311" s="174"/>
      <c r="BU311" s="174"/>
      <c r="BV311" s="174"/>
      <c r="BW311" s="174"/>
      <c r="BX311" s="174"/>
      <c r="BY311" s="174"/>
      <c r="BZ311" s="174"/>
      <c r="CA311" s="174"/>
      <c r="CB311" s="174"/>
      <c r="CC311" s="174"/>
      <c r="CD311" s="174"/>
    </row>
    <row r="312">
      <c r="A312" s="105" t="str">
        <f>IF(preDEL!$AG312,IFERROR(0/0,""),preDEL!A312)</f>
        <v>MA524</v>
      </c>
      <c r="B312" s="170">
        <f>IF(preDEL!$AG312,IFERROR(0/0,""),preDEL!B312)</f>
        <v>44587</v>
      </c>
      <c r="C312" s="171">
        <f>IF(preDEL!$AG312,IFERROR(0/0,""),preDEL!C312)</f>
        <v>0.3566898148</v>
      </c>
      <c r="D312" s="105" t="str">
        <f>IF(preDEL!$AG312,IFERROR(0/0,""),preDEL!D312)</f>
        <v/>
      </c>
      <c r="E312" s="105" t="str">
        <f>IF(preDEL!$AG312,IFERROR(0/0,""),preDEL!E312)</f>
        <v/>
      </c>
      <c r="F312" s="112" t="str">
        <f>IF(preDEL!$AG312,IFERROR(0/0,""),preDEL!F312)</f>
        <v/>
      </c>
      <c r="G312" s="112" t="str">
        <f>IF(preDEL!$AG312,IFERROR(0/0,""),preDEL!G312)</f>
        <v/>
      </c>
      <c r="H312" s="112" t="str">
        <f>IF(preDEL!$AG312,IFERROR(0/0,""),preDEL!H312)</f>
        <v/>
      </c>
      <c r="I312" s="105" t="str">
        <f>IF(preDEL!$AG312,IFERROR(0/0,""),preDEL!I312)</f>
        <v/>
      </c>
      <c r="J312" s="105" t="str">
        <f>IF(preDEL!$AG312,IFERROR(0/0,""),preDEL!J312)</f>
        <v/>
      </c>
      <c r="K312" s="105" t="str">
        <f>IF(preDEL!$AG312,IFERROR(0/0,""),preDEL!K312)</f>
        <v>Negative</v>
      </c>
      <c r="L312" s="170">
        <f>IF(preDEL!$AG312,IFERROR(0/0,""),preDEL!L312)</f>
        <v>44587</v>
      </c>
      <c r="M312" s="171">
        <f>IF(preDEL!$AG312,IFERROR(0/0,""),preDEL!M312)</f>
        <v>0.5005671296</v>
      </c>
      <c r="N312" s="112" t="str">
        <f>IF(preDEL!$AG312,IFERROR(0/0,""),preDEL!N312)</f>
        <v/>
      </c>
      <c r="O312" s="112" t="str">
        <f>IF(preDEL!$AG312,IFERROR(0/0,""),preDEL!O312)</f>
        <v/>
      </c>
      <c r="P312" s="110" t="b">
        <f>IF(preDEL!$AG312,IFERROR(0/0,""),preDEL!P312)</f>
        <v>0</v>
      </c>
      <c r="Q312" s="110" t="str">
        <f>IF(preDEL!$AG312,IFERROR(0/0,""),preDEL!Q312)</f>
        <v>Result</v>
      </c>
      <c r="R312" s="104" t="b">
        <f>IF(preDEL!$AG312,IFERROR(0/0,""),preDEL!R312)</f>
        <v>1</v>
      </c>
      <c r="S312" s="104">
        <f>IF(preDEL!$AG312,IFERROR(0/0,""),preDEL!S312)</f>
        <v>1</v>
      </c>
      <c r="T312" s="110" t="str">
        <f>IF(preDEL!$AG312,IFERROR(0/0,""),preDEL!T312)</f>
        <v/>
      </c>
      <c r="U312" s="112" t="str">
        <f>IF(preDEL!$AG312,IFERROR(0/0,""),preDEL!U312)</f>
        <v/>
      </c>
      <c r="V312" s="105" t="str">
        <f>IF(preDEL!$AG312,IFERROR(0/0,""),preDEL!V312)</f>
        <v/>
      </c>
      <c r="W312" s="112" t="str">
        <f>IF(preDEL!$AG312,IFERROR(0/0,""),preDEL!W312)</f>
        <v/>
      </c>
      <c r="X312" s="104" t="b">
        <f>IF(preDEL!$AG312,IFERROR(0/0,""),preDEL!X312)</f>
        <v>0</v>
      </c>
      <c r="Y312" s="110" t="b">
        <f>IF(preDEL!$AG312,IFERROR(0/0,""),preDEL!Y312)</f>
        <v>0</v>
      </c>
      <c r="Z312" s="105" t="str">
        <f>IF(preDEL!$AG312,IFERROR(0/0,""),preDEL!Z312)</f>
        <v/>
      </c>
      <c r="AA312" s="110" t="b">
        <f>IF(preDEL!$AG312,IFERROR(0/0,""),preDEL!AA312)</f>
        <v>0</v>
      </c>
      <c r="AB312" s="110" t="b">
        <f>IF(preDEL!$AG312,IFERROR(0/0,""),preDEL!AB312)</f>
        <v>0</v>
      </c>
      <c r="AC312" s="172">
        <f>IF(preDEL!$AG312,IFERROR(0/0,""),preDEL!AC312)</f>
        <v>496</v>
      </c>
      <c r="AD312" s="104" t="b">
        <f>IF(preDEL!$AG312,IFERROR(0/0,""),preDEL!AD312)</f>
        <v>0</v>
      </c>
      <c r="AE312" s="173">
        <f>IF(preDEL!$AG312,IFERROR(0/0,""),preDEL!AE312)</f>
        <v>207.1833333</v>
      </c>
      <c r="AF312" s="110" t="b">
        <f>IF(preDEL!$AG312,IFERROR(0/0,""),preDEL!AF312)</f>
        <v>0</v>
      </c>
      <c r="AG312" s="110" t="b">
        <f>IF(preDEL!$AG312,IFERROR(0/0,""),preDEL!AG312)</f>
        <v>0</v>
      </c>
      <c r="AH312" s="104" t="str">
        <f>IF(preDEL!$AG312,IFERROR(0/0,""),preDEL!AH312)</f>
        <v/>
      </c>
      <c r="AI312" s="105" t="str">
        <f>IF(preDEL!$AG312,IFERROR(0/0,""),preDEL!AI312)</f>
        <v/>
      </c>
      <c r="AJ312" s="112" t="str">
        <f>IF(preDEL!$AG312,IFERROR(0/0,""),preDEL!AJ312)</f>
        <v/>
      </c>
      <c r="AK312" s="105" t="str">
        <f>IF(preDEL!$AG312,IFERROR(0/0,""),preDEL!AK312)</f>
        <v>Negative</v>
      </c>
      <c r="AL312" s="112" t="str">
        <f>IF(preDEL!$AG312,IFERROR(0/0,""),preDEL!AL312)</f>
        <v/>
      </c>
      <c r="AM312" s="112" t="str">
        <f>IF(preDEL!$AG312,IFERROR(0/0,""),preDEL!AM312)</f>
        <v>SpBEND110967</v>
      </c>
      <c r="AN312" s="112" t="str">
        <f>IF(preDEL!$AG312,IFERROR(0/0,""),preDEL!AN312)</f>
        <v>BEND664085</v>
      </c>
      <c r="AO312" s="112" t="str">
        <f>IF(preDEL!$AG312,IFERROR(0/0,""),preDEL!AO312)</f>
        <v/>
      </c>
      <c r="AP312" s="112" t="str">
        <f>IF(preDEL!$AG312,IFERROR(0/0,""),preDEL!AP312)</f>
        <v/>
      </c>
      <c r="AQ312" s="112" t="str">
        <f>IF(preDEL!$AG312,IFERROR(0/0,""),preDEL!AQ312)</f>
        <v/>
      </c>
      <c r="AR312" s="112" t="str">
        <f>IF(preDEL!$AG312,IFERROR(0/0,""),preDEL!AR312)</f>
        <v/>
      </c>
      <c r="AS312" s="112" t="str">
        <f>IF(preDEL!$AG312,IFERROR(0/0,""),preDEL!AS312)</f>
        <v/>
      </c>
      <c r="AT312" s="112" t="b">
        <f>IF(preDEL!$AG312,IFERROR(0/0,""),preDEL!AT312)</f>
        <v>0</v>
      </c>
      <c r="AU312" s="112" t="str">
        <f>IF(preDEL!$AG312,IFERROR(0/0,""),preDEL!AU312)</f>
        <v/>
      </c>
      <c r="AV312" s="112" t="str">
        <f>IF(preDEL!$AG312,IFERROR(0/0,""),preDEL!AV312)</f>
        <v/>
      </c>
      <c r="AW312" s="112" t="str">
        <f>IF(preDEL!$AG312,IFERROR(0/0,""),preDEL!AW312)</f>
        <v/>
      </c>
      <c r="AX312" s="112" t="str">
        <f>IF(preDEL!$AG312,IFERROR(0/0,""),preDEL!AX312)</f>
        <v/>
      </c>
      <c r="AY312" s="112" t="str">
        <f>IF(preDEL!$AG312,IFERROR(0/0,""),preDEL!AY312)</f>
        <v/>
      </c>
      <c r="AZ312" s="174"/>
      <c r="BA312" s="174"/>
      <c r="BB312" s="174"/>
      <c r="BC312" s="174"/>
      <c r="BD312" s="174"/>
      <c r="BE312" s="174"/>
      <c r="BF312" s="174"/>
      <c r="BG312" s="174"/>
      <c r="BH312" s="174"/>
      <c r="BI312" s="174"/>
      <c r="BJ312" s="174"/>
      <c r="BK312" s="174"/>
      <c r="BL312" s="174"/>
      <c r="BM312" s="174"/>
      <c r="BN312" s="174"/>
      <c r="BO312" s="174"/>
      <c r="BP312" s="174"/>
      <c r="BQ312" s="174"/>
      <c r="BR312" s="174"/>
      <c r="BS312" s="174"/>
      <c r="BT312" s="174"/>
      <c r="BU312" s="174"/>
      <c r="BV312" s="174"/>
      <c r="BW312" s="174"/>
      <c r="BX312" s="174"/>
      <c r="BY312" s="174"/>
      <c r="BZ312" s="174"/>
      <c r="CA312" s="174"/>
      <c r="CB312" s="174"/>
      <c r="CC312" s="174"/>
      <c r="CD312" s="174"/>
    </row>
    <row r="313">
      <c r="A313" s="105" t="str">
        <f>IF(preDEL!$AG313,IFERROR(0/0,""),preDEL!A313)</f>
        <v>MAX123</v>
      </c>
      <c r="B313" s="170">
        <f>IF(preDEL!$AG313,IFERROR(0/0,""),preDEL!B313)</f>
        <v>44587</v>
      </c>
      <c r="C313" s="171">
        <f>IF(preDEL!$AG313,IFERROR(0/0,""),preDEL!C313)</f>
        <v>0.3889467593</v>
      </c>
      <c r="D313" s="105" t="str">
        <f>IF(preDEL!$AG313,IFERROR(0/0,""),preDEL!D313)</f>
        <v/>
      </c>
      <c r="E313" s="105" t="str">
        <f>IF(preDEL!$AG313,IFERROR(0/0,""),preDEL!E313)</f>
        <v/>
      </c>
      <c r="F313" s="112" t="str">
        <f>IF(preDEL!$AG313,IFERROR(0/0,""),preDEL!F313)</f>
        <v/>
      </c>
      <c r="G313" s="112" t="str">
        <f>IF(preDEL!$AG313,IFERROR(0/0,""),preDEL!G313)</f>
        <v/>
      </c>
      <c r="H313" s="112" t="str">
        <f>IF(preDEL!$AG313,IFERROR(0/0,""),preDEL!H313)</f>
        <v/>
      </c>
      <c r="I313" s="105" t="str">
        <f>IF(preDEL!$AG313,IFERROR(0/0,""),preDEL!I313)</f>
        <v/>
      </c>
      <c r="J313" s="105" t="str">
        <f>IF(preDEL!$AG313,IFERROR(0/0,""),preDEL!J313)</f>
        <v/>
      </c>
      <c r="K313" s="105" t="str">
        <f>IF(preDEL!$AG313,IFERROR(0/0,""),preDEL!K313)</f>
        <v>Negative</v>
      </c>
      <c r="L313" s="170">
        <f>IF(preDEL!$AG313,IFERROR(0/0,""),preDEL!L313)</f>
        <v>44587</v>
      </c>
      <c r="M313" s="171">
        <f>IF(preDEL!$AG313,IFERROR(0/0,""),preDEL!M313)</f>
        <v>0.5005671296</v>
      </c>
      <c r="N313" s="112" t="str">
        <f>IF(preDEL!$AG313,IFERROR(0/0,""),preDEL!N313)</f>
        <v/>
      </c>
      <c r="O313" s="112" t="str">
        <f>IF(preDEL!$AG313,IFERROR(0/0,""),preDEL!O313)</f>
        <v/>
      </c>
      <c r="P313" s="110" t="b">
        <f>IF(preDEL!$AG313,IFERROR(0/0,""),preDEL!P313)</f>
        <v>0</v>
      </c>
      <c r="Q313" s="110" t="str">
        <f>IF(preDEL!$AG313,IFERROR(0/0,""),preDEL!Q313)</f>
        <v>Result</v>
      </c>
      <c r="R313" s="104" t="b">
        <f>IF(preDEL!$AG313,IFERROR(0/0,""),preDEL!R313)</f>
        <v>1</v>
      </c>
      <c r="S313" s="104">
        <f>IF(preDEL!$AG313,IFERROR(0/0,""),preDEL!S313)</f>
        <v>1</v>
      </c>
      <c r="T313" s="110" t="str">
        <f>IF(preDEL!$AG313,IFERROR(0/0,""),preDEL!T313)</f>
        <v/>
      </c>
      <c r="U313" s="112" t="str">
        <f>IF(preDEL!$AG313,IFERROR(0/0,""),preDEL!U313)</f>
        <v/>
      </c>
      <c r="V313" s="105" t="str">
        <f>IF(preDEL!$AG313,IFERROR(0/0,""),preDEL!V313)</f>
        <v/>
      </c>
      <c r="W313" s="112" t="str">
        <f>IF(preDEL!$AG313,IFERROR(0/0,""),preDEL!W313)</f>
        <v/>
      </c>
      <c r="X313" s="104" t="b">
        <f>IF(preDEL!$AG313,IFERROR(0/0,""),preDEL!X313)</f>
        <v>0</v>
      </c>
      <c r="Y313" s="110" t="b">
        <f>IF(preDEL!$AG313,IFERROR(0/0,""),preDEL!Y313)</f>
        <v>0</v>
      </c>
      <c r="Z313" s="105" t="str">
        <f>IF(preDEL!$AG313,IFERROR(0/0,""),preDEL!Z313)</f>
        <v/>
      </c>
      <c r="AA313" s="110" t="b">
        <f>IF(preDEL!$AG313,IFERROR(0/0,""),preDEL!AA313)</f>
        <v>0</v>
      </c>
      <c r="AB313" s="110" t="b">
        <f>IF(preDEL!$AG313,IFERROR(0/0,""),preDEL!AB313)</f>
        <v>0</v>
      </c>
      <c r="AC313" s="172">
        <f>IF(preDEL!$AG313,IFERROR(0/0,""),preDEL!AC313)</f>
        <v>495</v>
      </c>
      <c r="AD313" s="104" t="b">
        <f>IF(preDEL!$AG313,IFERROR(0/0,""),preDEL!AD313)</f>
        <v>0</v>
      </c>
      <c r="AE313" s="173">
        <f>IF(preDEL!$AG313,IFERROR(0/0,""),preDEL!AE313)</f>
        <v>160.7333333</v>
      </c>
      <c r="AF313" s="110" t="b">
        <f>IF(preDEL!$AG313,IFERROR(0/0,""),preDEL!AF313)</f>
        <v>0</v>
      </c>
      <c r="AG313" s="110" t="b">
        <f>IF(preDEL!$AG313,IFERROR(0/0,""),preDEL!AG313)</f>
        <v>0</v>
      </c>
      <c r="AH313" s="104" t="str">
        <f>IF(preDEL!$AG313,IFERROR(0/0,""),preDEL!AH313)</f>
        <v/>
      </c>
      <c r="AI313" s="105" t="str">
        <f>IF(preDEL!$AG313,IFERROR(0/0,""),preDEL!AI313)</f>
        <v/>
      </c>
      <c r="AJ313" s="112" t="str">
        <f>IF(preDEL!$AG313,IFERROR(0/0,""),preDEL!AJ313)</f>
        <v/>
      </c>
      <c r="AK313" s="105" t="str">
        <f>IF(preDEL!$AG313,IFERROR(0/0,""),preDEL!AK313)</f>
        <v>Negative</v>
      </c>
      <c r="AL313" s="112" t="str">
        <f>IF(preDEL!$AG313,IFERROR(0/0,""),preDEL!AL313)</f>
        <v/>
      </c>
      <c r="AM313" s="112" t="str">
        <f>IF(preDEL!$AG313,IFERROR(0/0,""),preDEL!AM313)</f>
        <v>SpBEND394154</v>
      </c>
      <c r="AN313" s="112" t="str">
        <f>IF(preDEL!$AG313,IFERROR(0/0,""),preDEL!AN313)</f>
        <v>BEND365993</v>
      </c>
      <c r="AO313" s="112" t="str">
        <f>IF(preDEL!$AG313,IFERROR(0/0,""),preDEL!AO313)</f>
        <v/>
      </c>
      <c r="AP313" s="112" t="str">
        <f>IF(preDEL!$AG313,IFERROR(0/0,""),preDEL!AP313)</f>
        <v/>
      </c>
      <c r="AQ313" s="112" t="str">
        <f>IF(preDEL!$AG313,IFERROR(0/0,""),preDEL!AQ313)</f>
        <v/>
      </c>
      <c r="AR313" s="112" t="str">
        <f>IF(preDEL!$AG313,IFERROR(0/0,""),preDEL!AR313)</f>
        <v/>
      </c>
      <c r="AS313" s="112" t="str">
        <f>IF(preDEL!$AG313,IFERROR(0/0,""),preDEL!AS313)</f>
        <v/>
      </c>
      <c r="AT313" s="112" t="b">
        <f>IF(preDEL!$AG313,IFERROR(0/0,""),preDEL!AT313)</f>
        <v>0</v>
      </c>
      <c r="AU313" s="112" t="str">
        <f>IF(preDEL!$AG313,IFERROR(0/0,""),preDEL!AU313)</f>
        <v/>
      </c>
      <c r="AV313" s="112" t="str">
        <f>IF(preDEL!$AG313,IFERROR(0/0,""),preDEL!AV313)</f>
        <v/>
      </c>
      <c r="AW313" s="112" t="str">
        <f>IF(preDEL!$AG313,IFERROR(0/0,""),preDEL!AW313)</f>
        <v/>
      </c>
      <c r="AX313" s="112" t="str">
        <f>IF(preDEL!$AG313,IFERROR(0/0,""),preDEL!AX313)</f>
        <v/>
      </c>
      <c r="AY313" s="112" t="str">
        <f>IF(preDEL!$AG313,IFERROR(0/0,""),preDEL!AY313)</f>
        <v/>
      </c>
      <c r="AZ313" s="174"/>
      <c r="BA313" s="174"/>
      <c r="BB313" s="174"/>
      <c r="BC313" s="174"/>
      <c r="BD313" s="174"/>
      <c r="BE313" s="174"/>
      <c r="BF313" s="174"/>
      <c r="BG313" s="174"/>
      <c r="BH313" s="174"/>
      <c r="BI313" s="174"/>
      <c r="BJ313" s="174"/>
      <c r="BK313" s="174"/>
      <c r="BL313" s="174"/>
      <c r="BM313" s="174"/>
      <c r="BN313" s="174"/>
      <c r="BO313" s="174"/>
      <c r="BP313" s="174"/>
      <c r="BQ313" s="174"/>
      <c r="BR313" s="174"/>
      <c r="BS313" s="174"/>
      <c r="BT313" s="174"/>
      <c r="BU313" s="174"/>
      <c r="BV313" s="174"/>
      <c r="BW313" s="174"/>
      <c r="BX313" s="174"/>
      <c r="BY313" s="174"/>
      <c r="BZ313" s="174"/>
      <c r="CA313" s="174"/>
      <c r="CB313" s="174"/>
      <c r="CC313" s="174"/>
      <c r="CD313" s="174"/>
    </row>
    <row r="314">
      <c r="A314" s="105" t="str">
        <f>IF(preDEL!$AG314,IFERROR(0/0,""),preDEL!A314)</f>
        <v>MA271</v>
      </c>
      <c r="B314" s="170">
        <f>IF(preDEL!$AG314,IFERROR(0/0,""),preDEL!B314)</f>
        <v>44589</v>
      </c>
      <c r="C314" s="171">
        <f>IF(preDEL!$AG314,IFERROR(0/0,""),preDEL!C314)</f>
        <v>0.314537037</v>
      </c>
      <c r="D314" s="105" t="str">
        <f>IF(preDEL!$AG314,IFERROR(0/0,""),preDEL!D314)</f>
        <v/>
      </c>
      <c r="E314" s="105" t="str">
        <f>IF(preDEL!$AG314,IFERROR(0/0,""),preDEL!E314)</f>
        <v/>
      </c>
      <c r="F314" s="112" t="str">
        <f>IF(preDEL!$AG314,IFERROR(0/0,""),preDEL!F314)</f>
        <v/>
      </c>
      <c r="G314" s="112" t="str">
        <f>IF(preDEL!$AG314,IFERROR(0/0,""),preDEL!G314)</f>
        <v/>
      </c>
      <c r="H314" s="112" t="str">
        <f>IF(preDEL!$AG314,IFERROR(0/0,""),preDEL!H314)</f>
        <v/>
      </c>
      <c r="I314" s="105" t="str">
        <f>IF(preDEL!$AG314,IFERROR(0/0,""),preDEL!I314)</f>
        <v/>
      </c>
      <c r="J314" s="105" t="str">
        <f>IF(preDEL!$AG314,IFERROR(0/0,""),preDEL!J314)</f>
        <v/>
      </c>
      <c r="K314" s="105" t="str">
        <f>IF(preDEL!$AG314,IFERROR(0/0,""),preDEL!K314)</f>
        <v>Negative</v>
      </c>
      <c r="L314" s="170">
        <f>IF(preDEL!$AG314,IFERROR(0/0,""),preDEL!L314)</f>
        <v>44589</v>
      </c>
      <c r="M314" s="171">
        <f>IF(preDEL!$AG314,IFERROR(0/0,""),preDEL!M314)</f>
        <v>0.483900463</v>
      </c>
      <c r="N314" s="112" t="str">
        <f>IF(preDEL!$AG314,IFERROR(0/0,""),preDEL!N314)</f>
        <v/>
      </c>
      <c r="O314" s="112" t="str">
        <f>IF(preDEL!$AG314,IFERROR(0/0,""),preDEL!O314)</f>
        <v/>
      </c>
      <c r="P314" s="110" t="b">
        <f>IF(preDEL!$AG314,IFERROR(0/0,""),preDEL!P314)</f>
        <v>0</v>
      </c>
      <c r="Q314" s="110" t="str">
        <f>IF(preDEL!$AG314,IFERROR(0/0,""),preDEL!Q314)</f>
        <v>Result</v>
      </c>
      <c r="R314" s="104" t="b">
        <f>IF(preDEL!$AG314,IFERROR(0/0,""),preDEL!R314)</f>
        <v>1</v>
      </c>
      <c r="S314" s="104">
        <f>IF(preDEL!$AG314,IFERROR(0/0,""),preDEL!S314)</f>
        <v>1</v>
      </c>
      <c r="T314" s="110" t="str">
        <f>IF(preDEL!$AG314,IFERROR(0/0,""),preDEL!T314)</f>
        <v/>
      </c>
      <c r="U314" s="112" t="str">
        <f>IF(preDEL!$AG314,IFERROR(0/0,""),preDEL!U314)</f>
        <v/>
      </c>
      <c r="V314" s="105" t="str">
        <f>IF(preDEL!$AG314,IFERROR(0/0,""),preDEL!V314)</f>
        <v/>
      </c>
      <c r="W314" s="112" t="str">
        <f>IF(preDEL!$AG314,IFERROR(0/0,""),preDEL!W314)</f>
        <v/>
      </c>
      <c r="X314" s="104" t="b">
        <f>IF(preDEL!$AG314,IFERROR(0/0,""),preDEL!X314)</f>
        <v>0</v>
      </c>
      <c r="Y314" s="110" t="b">
        <f>IF(preDEL!$AG314,IFERROR(0/0,""),preDEL!Y314)</f>
        <v>0</v>
      </c>
      <c r="Z314" s="105" t="str">
        <f>IF(preDEL!$AG314,IFERROR(0/0,""),preDEL!Z314)</f>
        <v/>
      </c>
      <c r="AA314" s="110" t="b">
        <f>IF(preDEL!$AG314,IFERROR(0/0,""),preDEL!AA314)</f>
        <v>0</v>
      </c>
      <c r="AB314" s="110" t="b">
        <f>IF(preDEL!$AG314,IFERROR(0/0,""),preDEL!AB314)</f>
        <v>0</v>
      </c>
      <c r="AC314" s="172">
        <f>IF(preDEL!$AG314,IFERROR(0/0,""),preDEL!AC314)</f>
        <v>494</v>
      </c>
      <c r="AD314" s="104" t="b">
        <f>IF(preDEL!$AG314,IFERROR(0/0,""),preDEL!AD314)</f>
        <v>0</v>
      </c>
      <c r="AE314" s="173">
        <f>IF(preDEL!$AG314,IFERROR(0/0,""),preDEL!AE314)</f>
        <v>243.8833333</v>
      </c>
      <c r="AF314" s="110" t="b">
        <f>IF(preDEL!$AG314,IFERROR(0/0,""),preDEL!AF314)</f>
        <v>0</v>
      </c>
      <c r="AG314" s="110" t="b">
        <f>IF(preDEL!$AG314,IFERROR(0/0,""),preDEL!AG314)</f>
        <v>0</v>
      </c>
      <c r="AH314" s="104" t="str">
        <f>IF(preDEL!$AG314,IFERROR(0/0,""),preDEL!AH314)</f>
        <v/>
      </c>
      <c r="AI314" s="105" t="str">
        <f>IF(preDEL!$AG314,IFERROR(0/0,""),preDEL!AI314)</f>
        <v/>
      </c>
      <c r="AJ314" s="112" t="str">
        <f>IF(preDEL!$AG314,IFERROR(0/0,""),preDEL!AJ314)</f>
        <v/>
      </c>
      <c r="AK314" s="105" t="str">
        <f>IF(preDEL!$AG314,IFERROR(0/0,""),preDEL!AK314)</f>
        <v>Negative</v>
      </c>
      <c r="AL314" s="112" t="str">
        <f>IF(preDEL!$AG314,IFERROR(0/0,""),preDEL!AL314)</f>
        <v/>
      </c>
      <c r="AM314" s="112" t="str">
        <f>IF(preDEL!$AG314,IFERROR(0/0,""),preDEL!AM314)</f>
        <v>SpBEND617677</v>
      </c>
      <c r="AN314" s="112" t="str">
        <f>IF(preDEL!$AG314,IFERROR(0/0,""),preDEL!AN314)</f>
        <v>BEND202183</v>
      </c>
      <c r="AO314" s="112" t="str">
        <f>IF(preDEL!$AG314,IFERROR(0/0,""),preDEL!AO314)</f>
        <v/>
      </c>
      <c r="AP314" s="112" t="str">
        <f>IF(preDEL!$AG314,IFERROR(0/0,""),preDEL!AP314)</f>
        <v/>
      </c>
      <c r="AQ314" s="112" t="str">
        <f>IF(preDEL!$AG314,IFERROR(0/0,""),preDEL!AQ314)</f>
        <v/>
      </c>
      <c r="AR314" s="112" t="str">
        <f>IF(preDEL!$AG314,IFERROR(0/0,""),preDEL!AR314)</f>
        <v/>
      </c>
      <c r="AS314" s="112" t="str">
        <f>IF(preDEL!$AG314,IFERROR(0/0,""),preDEL!AS314)</f>
        <v/>
      </c>
      <c r="AT314" s="112" t="b">
        <f>IF(preDEL!$AG314,IFERROR(0/0,""),preDEL!AT314)</f>
        <v>0</v>
      </c>
      <c r="AU314" s="112" t="str">
        <f>IF(preDEL!$AG314,IFERROR(0/0,""),preDEL!AU314)</f>
        <v/>
      </c>
      <c r="AV314" s="112" t="str">
        <f>IF(preDEL!$AG314,IFERROR(0/0,""),preDEL!AV314)</f>
        <v/>
      </c>
      <c r="AW314" s="112" t="str">
        <f>IF(preDEL!$AG314,IFERROR(0/0,""),preDEL!AW314)</f>
        <v/>
      </c>
      <c r="AX314" s="112" t="str">
        <f>IF(preDEL!$AG314,IFERROR(0/0,""),preDEL!AX314)</f>
        <v/>
      </c>
      <c r="AY314" s="112" t="str">
        <f>IF(preDEL!$AG314,IFERROR(0/0,""),preDEL!AY314)</f>
        <v/>
      </c>
      <c r="AZ314" s="174"/>
      <c r="BA314" s="174"/>
      <c r="BB314" s="174"/>
      <c r="BC314" s="174"/>
      <c r="BD314" s="174"/>
      <c r="BE314" s="174"/>
      <c r="BF314" s="174"/>
      <c r="BG314" s="174"/>
      <c r="BH314" s="174"/>
      <c r="BI314" s="174"/>
      <c r="BJ314" s="174"/>
      <c r="BK314" s="174"/>
      <c r="BL314" s="174"/>
      <c r="BM314" s="174"/>
      <c r="BN314" s="174"/>
      <c r="BO314" s="174"/>
      <c r="BP314" s="174"/>
      <c r="BQ314" s="174"/>
      <c r="BR314" s="174"/>
      <c r="BS314" s="174"/>
      <c r="BT314" s="174"/>
      <c r="BU314" s="174"/>
      <c r="BV314" s="174"/>
      <c r="BW314" s="174"/>
      <c r="BX314" s="174"/>
      <c r="BY314" s="174"/>
      <c r="BZ314" s="174"/>
      <c r="CA314" s="174"/>
      <c r="CB314" s="174"/>
      <c r="CC314" s="174"/>
      <c r="CD314" s="174"/>
    </row>
    <row r="315">
      <c r="A315" s="105" t="str">
        <f>IF(preDEL!$AG315,IFERROR(0/0,""),preDEL!A315)</f>
        <v>MA247</v>
      </c>
      <c r="B315" s="170">
        <f>IF(preDEL!$AG315,IFERROR(0/0,""),preDEL!B315)</f>
        <v>44589</v>
      </c>
      <c r="C315" s="171">
        <f>IF(preDEL!$AG315,IFERROR(0/0,""),preDEL!C315)</f>
        <v>0.3303703704</v>
      </c>
      <c r="D315" s="105" t="str">
        <f>IF(preDEL!$AG315,IFERROR(0/0,""),preDEL!D315)</f>
        <v/>
      </c>
      <c r="E315" s="105" t="str">
        <f>IF(preDEL!$AG315,IFERROR(0/0,""),preDEL!E315)</f>
        <v/>
      </c>
      <c r="F315" s="112" t="str">
        <f>IF(preDEL!$AG315,IFERROR(0/0,""),preDEL!F315)</f>
        <v/>
      </c>
      <c r="G315" s="112" t="str">
        <f>IF(preDEL!$AG315,IFERROR(0/0,""),preDEL!G315)</f>
        <v/>
      </c>
      <c r="H315" s="112" t="str">
        <f>IF(preDEL!$AG315,IFERROR(0/0,""),preDEL!H315)</f>
        <v/>
      </c>
      <c r="I315" s="105" t="str">
        <f>IF(preDEL!$AG315,IFERROR(0/0,""),preDEL!I315)</f>
        <v/>
      </c>
      <c r="J315" s="105" t="str">
        <f>IF(preDEL!$AG315,IFERROR(0/0,""),preDEL!J315)</f>
        <v/>
      </c>
      <c r="K315" s="105" t="str">
        <f>IF(preDEL!$AG315,IFERROR(0/0,""),preDEL!K315)</f>
        <v>Negative</v>
      </c>
      <c r="L315" s="170">
        <f>IF(preDEL!$AG315,IFERROR(0/0,""),preDEL!L315)</f>
        <v>44589</v>
      </c>
      <c r="M315" s="171">
        <f>IF(preDEL!$AG315,IFERROR(0/0,""),preDEL!M315)</f>
        <v>0.483900463</v>
      </c>
      <c r="N315" s="112" t="str">
        <f>IF(preDEL!$AG315,IFERROR(0/0,""),preDEL!N315)</f>
        <v/>
      </c>
      <c r="O315" s="112" t="str">
        <f>IF(preDEL!$AG315,IFERROR(0/0,""),preDEL!O315)</f>
        <v/>
      </c>
      <c r="P315" s="110" t="b">
        <f>IF(preDEL!$AG315,IFERROR(0/0,""),preDEL!P315)</f>
        <v>0</v>
      </c>
      <c r="Q315" s="110" t="str">
        <f>IF(preDEL!$AG315,IFERROR(0/0,""),preDEL!Q315)</f>
        <v>Result</v>
      </c>
      <c r="R315" s="104" t="b">
        <f>IF(preDEL!$AG315,IFERROR(0/0,""),preDEL!R315)</f>
        <v>1</v>
      </c>
      <c r="S315" s="104">
        <f>IF(preDEL!$AG315,IFERROR(0/0,""),preDEL!S315)</f>
        <v>1</v>
      </c>
      <c r="T315" s="110" t="str">
        <f>IF(preDEL!$AG315,IFERROR(0/0,""),preDEL!T315)</f>
        <v/>
      </c>
      <c r="U315" s="112" t="str">
        <f>IF(preDEL!$AG315,IFERROR(0/0,""),preDEL!U315)</f>
        <v/>
      </c>
      <c r="V315" s="105" t="str">
        <f>IF(preDEL!$AG315,IFERROR(0/0,""),preDEL!V315)</f>
        <v/>
      </c>
      <c r="W315" s="112" t="str">
        <f>IF(preDEL!$AG315,IFERROR(0/0,""),preDEL!W315)</f>
        <v/>
      </c>
      <c r="X315" s="104" t="b">
        <f>IF(preDEL!$AG315,IFERROR(0/0,""),preDEL!X315)</f>
        <v>0</v>
      </c>
      <c r="Y315" s="110" t="b">
        <f>IF(preDEL!$AG315,IFERROR(0/0,""),preDEL!Y315)</f>
        <v>0</v>
      </c>
      <c r="Z315" s="105" t="str">
        <f>IF(preDEL!$AG315,IFERROR(0/0,""),preDEL!Z315)</f>
        <v/>
      </c>
      <c r="AA315" s="110" t="b">
        <f>IF(preDEL!$AG315,IFERROR(0/0,""),preDEL!AA315)</f>
        <v>0</v>
      </c>
      <c r="AB315" s="110" t="b">
        <f>IF(preDEL!$AG315,IFERROR(0/0,""),preDEL!AB315)</f>
        <v>0</v>
      </c>
      <c r="AC315" s="172">
        <f>IF(preDEL!$AG315,IFERROR(0/0,""),preDEL!AC315)</f>
        <v>493</v>
      </c>
      <c r="AD315" s="104" t="b">
        <f>IF(preDEL!$AG315,IFERROR(0/0,""),preDEL!AD315)</f>
        <v>0</v>
      </c>
      <c r="AE315" s="173">
        <f>IF(preDEL!$AG315,IFERROR(0/0,""),preDEL!AE315)</f>
        <v>221.0833333</v>
      </c>
      <c r="AF315" s="110" t="b">
        <f>IF(preDEL!$AG315,IFERROR(0/0,""),preDEL!AF315)</f>
        <v>0</v>
      </c>
      <c r="AG315" s="110" t="b">
        <f>IF(preDEL!$AG315,IFERROR(0/0,""),preDEL!AG315)</f>
        <v>0</v>
      </c>
      <c r="AH315" s="104" t="str">
        <f>IF(preDEL!$AG315,IFERROR(0/0,""),preDEL!AH315)</f>
        <v/>
      </c>
      <c r="AI315" s="105" t="str">
        <f>IF(preDEL!$AG315,IFERROR(0/0,""),preDEL!AI315)</f>
        <v/>
      </c>
      <c r="AJ315" s="112" t="str">
        <f>IF(preDEL!$AG315,IFERROR(0/0,""),preDEL!AJ315)</f>
        <v/>
      </c>
      <c r="AK315" s="105" t="str">
        <f>IF(preDEL!$AG315,IFERROR(0/0,""),preDEL!AK315)</f>
        <v>Negative</v>
      </c>
      <c r="AL315" s="112" t="str">
        <f>IF(preDEL!$AG315,IFERROR(0/0,""),preDEL!AL315)</f>
        <v/>
      </c>
      <c r="AM315" s="112" t="str">
        <f>IF(preDEL!$AG315,IFERROR(0/0,""),preDEL!AM315)</f>
        <v>SpBEND387578</v>
      </c>
      <c r="AN315" s="112" t="str">
        <f>IF(preDEL!$AG315,IFERROR(0/0,""),preDEL!AN315)</f>
        <v>BEND375164</v>
      </c>
      <c r="AO315" s="112" t="str">
        <f>IF(preDEL!$AG315,IFERROR(0/0,""),preDEL!AO315)</f>
        <v/>
      </c>
      <c r="AP315" s="112" t="str">
        <f>IF(preDEL!$AG315,IFERROR(0/0,""),preDEL!AP315)</f>
        <v/>
      </c>
      <c r="AQ315" s="112" t="str">
        <f>IF(preDEL!$AG315,IFERROR(0/0,""),preDEL!AQ315)</f>
        <v/>
      </c>
      <c r="AR315" s="112" t="str">
        <f>IF(preDEL!$AG315,IFERROR(0/0,""),preDEL!AR315)</f>
        <v/>
      </c>
      <c r="AS315" s="112" t="str">
        <f>IF(preDEL!$AG315,IFERROR(0/0,""),preDEL!AS315)</f>
        <v/>
      </c>
      <c r="AT315" s="112" t="b">
        <f>IF(preDEL!$AG315,IFERROR(0/0,""),preDEL!AT315)</f>
        <v>0</v>
      </c>
      <c r="AU315" s="112" t="str">
        <f>IF(preDEL!$AG315,IFERROR(0/0,""),preDEL!AU315)</f>
        <v/>
      </c>
      <c r="AV315" s="112" t="str">
        <f>IF(preDEL!$AG315,IFERROR(0/0,""),preDEL!AV315)</f>
        <v/>
      </c>
      <c r="AW315" s="112" t="str">
        <f>IF(preDEL!$AG315,IFERROR(0/0,""),preDEL!AW315)</f>
        <v/>
      </c>
      <c r="AX315" s="112" t="str">
        <f>IF(preDEL!$AG315,IFERROR(0/0,""),preDEL!AX315)</f>
        <v/>
      </c>
      <c r="AY315" s="112" t="str">
        <f>IF(preDEL!$AG315,IFERROR(0/0,""),preDEL!AY315)</f>
        <v/>
      </c>
      <c r="AZ315" s="174"/>
      <c r="BA315" s="174"/>
      <c r="BB315" s="174"/>
      <c r="BC315" s="174"/>
      <c r="BD315" s="174"/>
      <c r="BE315" s="174"/>
      <c r="BF315" s="174"/>
      <c r="BG315" s="174"/>
      <c r="BH315" s="174"/>
      <c r="BI315" s="174"/>
      <c r="BJ315" s="174"/>
      <c r="BK315" s="174"/>
      <c r="BL315" s="174"/>
      <c r="BM315" s="174"/>
      <c r="BN315" s="174"/>
      <c r="BO315" s="174"/>
      <c r="BP315" s="174"/>
      <c r="BQ315" s="174"/>
      <c r="BR315" s="174"/>
      <c r="BS315" s="174"/>
      <c r="BT315" s="174"/>
      <c r="BU315" s="174"/>
      <c r="BV315" s="174"/>
      <c r="BW315" s="174"/>
      <c r="BX315" s="174"/>
      <c r="BY315" s="174"/>
      <c r="BZ315" s="174"/>
      <c r="CA315" s="174"/>
      <c r="CB315" s="174"/>
      <c r="CC315" s="174"/>
      <c r="CD315" s="174"/>
    </row>
    <row r="316">
      <c r="A316" s="105" t="str">
        <f>IF(preDEL!$AG316,IFERROR(0/0,""),preDEL!A316)</f>
        <v>MA607</v>
      </c>
      <c r="B316" s="170">
        <f>IF(preDEL!$AG316,IFERROR(0/0,""),preDEL!B316)</f>
        <v>44589</v>
      </c>
      <c r="C316" s="171">
        <f>IF(preDEL!$AG316,IFERROR(0/0,""),preDEL!C316)</f>
        <v>0.3315277778</v>
      </c>
      <c r="D316" s="105" t="str">
        <f>IF(preDEL!$AG316,IFERROR(0/0,""),preDEL!D316)</f>
        <v/>
      </c>
      <c r="E316" s="105" t="str">
        <f>IF(preDEL!$AG316,IFERROR(0/0,""),preDEL!E316)</f>
        <v/>
      </c>
      <c r="F316" s="112" t="str">
        <f>IF(preDEL!$AG316,IFERROR(0/0,""),preDEL!F316)</f>
        <v/>
      </c>
      <c r="G316" s="112" t="str">
        <f>IF(preDEL!$AG316,IFERROR(0/0,""),preDEL!G316)</f>
        <v/>
      </c>
      <c r="H316" s="112" t="str">
        <f>IF(preDEL!$AG316,IFERROR(0/0,""),preDEL!H316)</f>
        <v/>
      </c>
      <c r="I316" s="105" t="str">
        <f>IF(preDEL!$AG316,IFERROR(0/0,""),preDEL!I316)</f>
        <v/>
      </c>
      <c r="J316" s="105" t="str">
        <f>IF(preDEL!$AG316,IFERROR(0/0,""),preDEL!J316)</f>
        <v/>
      </c>
      <c r="K316" s="105" t="str">
        <f>IF(preDEL!$AG316,IFERROR(0/0,""),preDEL!K316)</f>
        <v>Negative</v>
      </c>
      <c r="L316" s="170">
        <f>IF(preDEL!$AG316,IFERROR(0/0,""),preDEL!L316)</f>
        <v>44589</v>
      </c>
      <c r="M316" s="171">
        <f>IF(preDEL!$AG316,IFERROR(0/0,""),preDEL!M316)</f>
        <v>0.483900463</v>
      </c>
      <c r="N316" s="112" t="str">
        <f>IF(preDEL!$AG316,IFERROR(0/0,""),preDEL!N316)</f>
        <v/>
      </c>
      <c r="O316" s="112" t="str">
        <f>IF(preDEL!$AG316,IFERROR(0/0,""),preDEL!O316)</f>
        <v/>
      </c>
      <c r="P316" s="110" t="b">
        <f>IF(preDEL!$AG316,IFERROR(0/0,""),preDEL!P316)</f>
        <v>0</v>
      </c>
      <c r="Q316" s="110" t="str">
        <f>IF(preDEL!$AG316,IFERROR(0/0,""),preDEL!Q316)</f>
        <v>Result</v>
      </c>
      <c r="R316" s="104" t="b">
        <f>IF(preDEL!$AG316,IFERROR(0/0,""),preDEL!R316)</f>
        <v>1</v>
      </c>
      <c r="S316" s="104">
        <f>IF(preDEL!$AG316,IFERROR(0/0,""),preDEL!S316)</f>
        <v>1</v>
      </c>
      <c r="T316" s="110">
        <f>IF(preDEL!$AG316,IFERROR(0/0,""),preDEL!T316)</f>
        <v>0</v>
      </c>
      <c r="U316" s="112" t="str">
        <f>IF(preDEL!$AG316,IFERROR(0/0,""),preDEL!U316)</f>
        <v/>
      </c>
      <c r="V316" s="105" t="str">
        <f>IF(preDEL!$AG316,IFERROR(0/0,""),preDEL!V316)</f>
        <v/>
      </c>
      <c r="W316" s="112" t="str">
        <f>IF(preDEL!$AG316,IFERROR(0/0,""),preDEL!W316)</f>
        <v/>
      </c>
      <c r="X316" s="104" t="b">
        <f>IF(preDEL!$AG316,IFERROR(0/0,""),preDEL!X316)</f>
        <v>0</v>
      </c>
      <c r="Y316" s="110" t="b">
        <f>IF(preDEL!$AG316,IFERROR(0/0,""),preDEL!Y316)</f>
        <v>0</v>
      </c>
      <c r="Z316" s="105" t="str">
        <f>IF(preDEL!$AG316,IFERROR(0/0,""),preDEL!Z316)</f>
        <v/>
      </c>
      <c r="AA316" s="110" t="b">
        <f>IF(preDEL!$AG316,IFERROR(0/0,""),preDEL!AA316)</f>
        <v>0</v>
      </c>
      <c r="AB316" s="110" t="b">
        <f>IF(preDEL!$AG316,IFERROR(0/0,""),preDEL!AB316)</f>
        <v>0</v>
      </c>
      <c r="AC316" s="172">
        <f>IF(preDEL!$AG316,IFERROR(0/0,""),preDEL!AC316)</f>
        <v>492</v>
      </c>
      <c r="AD316" s="104" t="b">
        <f>IF(preDEL!$AG316,IFERROR(0/0,""),preDEL!AD316)</f>
        <v>0</v>
      </c>
      <c r="AE316" s="173">
        <f>IF(preDEL!$AG316,IFERROR(0/0,""),preDEL!AE316)</f>
        <v>219.4166667</v>
      </c>
      <c r="AF316" s="110" t="b">
        <f>IF(preDEL!$AG316,IFERROR(0/0,""),preDEL!AF316)</f>
        <v>0</v>
      </c>
      <c r="AG316" s="110" t="b">
        <f>IF(preDEL!$AG316,IFERROR(0/0,""),preDEL!AG316)</f>
        <v>0</v>
      </c>
      <c r="AH316" s="104" t="str">
        <f>IF(preDEL!$AG316,IFERROR(0/0,""),preDEL!AH316)</f>
        <v/>
      </c>
      <c r="AI316" s="105" t="str">
        <f>IF(preDEL!$AG316,IFERROR(0/0,""),preDEL!AI316)</f>
        <v/>
      </c>
      <c r="AJ316" s="112" t="str">
        <f>IF(preDEL!$AG316,IFERROR(0/0,""),preDEL!AJ316)</f>
        <v/>
      </c>
      <c r="AK316" s="105" t="str">
        <f>IF(preDEL!$AG316,IFERROR(0/0,""),preDEL!AK316)</f>
        <v>Negative</v>
      </c>
      <c r="AL316" s="112" t="str">
        <f>IF(preDEL!$AG316,IFERROR(0/0,""),preDEL!AL316)</f>
        <v/>
      </c>
      <c r="AM316" s="112" t="str">
        <f>IF(preDEL!$AG316,IFERROR(0/0,""),preDEL!AM316)</f>
        <v>SpBEND551372</v>
      </c>
      <c r="AN316" s="112" t="str">
        <f>IF(preDEL!$AG316,IFERROR(0/0,""),preDEL!AN316)</f>
        <v>BEND628988</v>
      </c>
      <c r="AO316" s="112" t="str">
        <f>IF(preDEL!$AG316,IFERROR(0/0,""),preDEL!AO316)</f>
        <v/>
      </c>
      <c r="AP316" s="112" t="str">
        <f>IF(preDEL!$AG316,IFERROR(0/0,""),preDEL!AP316)</f>
        <v/>
      </c>
      <c r="AQ316" s="112" t="str">
        <f>IF(preDEL!$AG316,IFERROR(0/0,""),preDEL!AQ316)</f>
        <v/>
      </c>
      <c r="AR316" s="112" t="str">
        <f>IF(preDEL!$AG316,IFERROR(0/0,""),preDEL!AR316)</f>
        <v/>
      </c>
      <c r="AS316" s="112" t="str">
        <f>IF(preDEL!$AG316,IFERROR(0/0,""),preDEL!AS316)</f>
        <v/>
      </c>
      <c r="AT316" s="112" t="b">
        <f>IF(preDEL!$AG316,IFERROR(0/0,""),preDEL!AT316)</f>
        <v>0</v>
      </c>
      <c r="AU316" s="112" t="str">
        <f>IF(preDEL!$AG316,IFERROR(0/0,""),preDEL!AU316)</f>
        <v/>
      </c>
      <c r="AV316" s="112" t="str">
        <f>IF(preDEL!$AG316,IFERROR(0/0,""),preDEL!AV316)</f>
        <v/>
      </c>
      <c r="AW316" s="112" t="str">
        <f>IF(preDEL!$AG316,IFERROR(0/0,""),preDEL!AW316)</f>
        <v/>
      </c>
      <c r="AX316" s="112" t="str">
        <f>IF(preDEL!$AG316,IFERROR(0/0,""),preDEL!AX316)</f>
        <v/>
      </c>
      <c r="AY316" s="112" t="str">
        <f>IF(preDEL!$AG316,IFERROR(0/0,""),preDEL!AY316)</f>
        <v/>
      </c>
      <c r="AZ316" s="174"/>
      <c r="BA316" s="174"/>
      <c r="BB316" s="174"/>
      <c r="BC316" s="174"/>
      <c r="BD316" s="174"/>
      <c r="BE316" s="174"/>
      <c r="BF316" s="174"/>
      <c r="BG316" s="174"/>
      <c r="BH316" s="174"/>
      <c r="BI316" s="174"/>
      <c r="BJ316" s="174"/>
      <c r="BK316" s="174"/>
      <c r="BL316" s="174"/>
      <c r="BM316" s="174"/>
      <c r="BN316" s="174"/>
      <c r="BO316" s="174"/>
      <c r="BP316" s="174"/>
      <c r="BQ316" s="174"/>
      <c r="BR316" s="174"/>
      <c r="BS316" s="174"/>
      <c r="BT316" s="174"/>
      <c r="BU316" s="174"/>
      <c r="BV316" s="174"/>
      <c r="BW316" s="174"/>
      <c r="BX316" s="174"/>
      <c r="BY316" s="174"/>
      <c r="BZ316" s="174"/>
      <c r="CA316" s="174"/>
      <c r="CB316" s="174"/>
      <c r="CC316" s="174"/>
      <c r="CD316" s="174"/>
    </row>
    <row r="317">
      <c r="A317" s="105" t="str">
        <f>IF(preDEL!$AG317,IFERROR(0/0,""),preDEL!A317)</f>
        <v>MA1120</v>
      </c>
      <c r="B317" s="170">
        <f>IF(preDEL!$AG317,IFERROR(0/0,""),preDEL!B317)</f>
        <v>44589</v>
      </c>
      <c r="C317" s="171">
        <f>IF(preDEL!$AG317,IFERROR(0/0,""),preDEL!C317)</f>
        <v>0.3320833333</v>
      </c>
      <c r="D317" s="105" t="str">
        <f>IF(preDEL!$AG317,IFERROR(0/0,""),preDEL!D317)</f>
        <v/>
      </c>
      <c r="E317" s="105" t="str">
        <f>IF(preDEL!$AG317,IFERROR(0/0,""),preDEL!E317)</f>
        <v/>
      </c>
      <c r="F317" s="112" t="str">
        <f>IF(preDEL!$AG317,IFERROR(0/0,""),preDEL!F317)</f>
        <v/>
      </c>
      <c r="G317" s="112" t="str">
        <f>IF(preDEL!$AG317,IFERROR(0/0,""),preDEL!G317)</f>
        <v/>
      </c>
      <c r="H317" s="112" t="str">
        <f>IF(preDEL!$AG317,IFERROR(0/0,""),preDEL!H317)</f>
        <v/>
      </c>
      <c r="I317" s="105" t="str">
        <f>IF(preDEL!$AG317,IFERROR(0/0,""),preDEL!I317)</f>
        <v/>
      </c>
      <c r="J317" s="105" t="str">
        <f>IF(preDEL!$AG317,IFERROR(0/0,""),preDEL!J317)</f>
        <v/>
      </c>
      <c r="K317" s="105" t="str">
        <f>IF(preDEL!$AG317,IFERROR(0/0,""),preDEL!K317)</f>
        <v>Negative</v>
      </c>
      <c r="L317" s="170">
        <f>IF(preDEL!$AG317,IFERROR(0/0,""),preDEL!L317)</f>
        <v>44589</v>
      </c>
      <c r="M317" s="171">
        <f>IF(preDEL!$AG317,IFERROR(0/0,""),preDEL!M317)</f>
        <v>0.483900463</v>
      </c>
      <c r="N317" s="112" t="str">
        <f>IF(preDEL!$AG317,IFERROR(0/0,""),preDEL!N317)</f>
        <v/>
      </c>
      <c r="O317" s="112" t="str">
        <f>IF(preDEL!$AG317,IFERROR(0/0,""),preDEL!O317)</f>
        <v/>
      </c>
      <c r="P317" s="110" t="b">
        <f>IF(preDEL!$AG317,IFERROR(0/0,""),preDEL!P317)</f>
        <v>0</v>
      </c>
      <c r="Q317" s="110" t="str">
        <f>IF(preDEL!$AG317,IFERROR(0/0,""),preDEL!Q317)</f>
        <v>Result</v>
      </c>
      <c r="R317" s="104" t="b">
        <f>IF(preDEL!$AG317,IFERROR(0/0,""),preDEL!R317)</f>
        <v>1</v>
      </c>
      <c r="S317" s="104">
        <f>IF(preDEL!$AG317,IFERROR(0/0,""),preDEL!S317)</f>
        <v>1</v>
      </c>
      <c r="T317" s="110" t="str">
        <f>IF(preDEL!$AG317,IFERROR(0/0,""),preDEL!T317)</f>
        <v/>
      </c>
      <c r="U317" s="112" t="str">
        <f>IF(preDEL!$AG317,IFERROR(0/0,""),preDEL!U317)</f>
        <v/>
      </c>
      <c r="V317" s="105" t="str">
        <f>IF(preDEL!$AG317,IFERROR(0/0,""),preDEL!V317)</f>
        <v/>
      </c>
      <c r="W317" s="112" t="str">
        <f>IF(preDEL!$AG317,IFERROR(0/0,""),preDEL!W317)</f>
        <v/>
      </c>
      <c r="X317" s="104" t="b">
        <f>IF(preDEL!$AG317,IFERROR(0/0,""),preDEL!X317)</f>
        <v>0</v>
      </c>
      <c r="Y317" s="110" t="b">
        <f>IF(preDEL!$AG317,IFERROR(0/0,""),preDEL!Y317)</f>
        <v>0</v>
      </c>
      <c r="Z317" s="105" t="str">
        <f>IF(preDEL!$AG317,IFERROR(0/0,""),preDEL!Z317)</f>
        <v/>
      </c>
      <c r="AA317" s="110" t="b">
        <f>IF(preDEL!$AG317,IFERROR(0/0,""),preDEL!AA317)</f>
        <v>0</v>
      </c>
      <c r="AB317" s="110" t="b">
        <f>IF(preDEL!$AG317,IFERROR(0/0,""),preDEL!AB317)</f>
        <v>0</v>
      </c>
      <c r="AC317" s="172">
        <f>IF(preDEL!$AG317,IFERROR(0/0,""),preDEL!AC317)</f>
        <v>491</v>
      </c>
      <c r="AD317" s="104" t="b">
        <f>IF(preDEL!$AG317,IFERROR(0/0,""),preDEL!AD317)</f>
        <v>0</v>
      </c>
      <c r="AE317" s="173">
        <f>IF(preDEL!$AG317,IFERROR(0/0,""),preDEL!AE317)</f>
        <v>218.6166667</v>
      </c>
      <c r="AF317" s="110" t="b">
        <f>IF(preDEL!$AG317,IFERROR(0/0,""),preDEL!AF317)</f>
        <v>0</v>
      </c>
      <c r="AG317" s="110" t="b">
        <f>IF(preDEL!$AG317,IFERROR(0/0,""),preDEL!AG317)</f>
        <v>0</v>
      </c>
      <c r="AH317" s="104" t="str">
        <f>IF(preDEL!$AG317,IFERROR(0/0,""),preDEL!AH317)</f>
        <v/>
      </c>
      <c r="AI317" s="105" t="str">
        <f>IF(preDEL!$AG317,IFERROR(0/0,""),preDEL!AI317)</f>
        <v/>
      </c>
      <c r="AJ317" s="112" t="str">
        <f>IF(preDEL!$AG317,IFERROR(0/0,""),preDEL!AJ317)</f>
        <v/>
      </c>
      <c r="AK317" s="105" t="str">
        <f>IF(preDEL!$AG317,IFERROR(0/0,""),preDEL!AK317)</f>
        <v>Negative</v>
      </c>
      <c r="AL317" s="112" t="str">
        <f>IF(preDEL!$AG317,IFERROR(0/0,""),preDEL!AL317)</f>
        <v/>
      </c>
      <c r="AM317" s="112" t="str">
        <f>IF(preDEL!$AG317,IFERROR(0/0,""),preDEL!AM317)</f>
        <v>SpBEND551372</v>
      </c>
      <c r="AN317" s="112" t="str">
        <f>IF(preDEL!$AG317,IFERROR(0/0,""),preDEL!AN317)</f>
        <v>BEND475899</v>
      </c>
      <c r="AO317" s="112" t="str">
        <f>IF(preDEL!$AG317,IFERROR(0/0,""),preDEL!AO317)</f>
        <v/>
      </c>
      <c r="AP317" s="112" t="str">
        <f>IF(preDEL!$AG317,IFERROR(0/0,""),preDEL!AP317)</f>
        <v/>
      </c>
      <c r="AQ317" s="112" t="str">
        <f>IF(preDEL!$AG317,IFERROR(0/0,""),preDEL!AQ317)</f>
        <v/>
      </c>
      <c r="AR317" s="112" t="str">
        <f>IF(preDEL!$AG317,IFERROR(0/0,""),preDEL!AR317)</f>
        <v/>
      </c>
      <c r="AS317" s="112" t="str">
        <f>IF(preDEL!$AG317,IFERROR(0/0,""),preDEL!AS317)</f>
        <v/>
      </c>
      <c r="AT317" s="112" t="b">
        <f>IF(preDEL!$AG317,IFERROR(0/0,""),preDEL!AT317)</f>
        <v>0</v>
      </c>
      <c r="AU317" s="112" t="str">
        <f>IF(preDEL!$AG317,IFERROR(0/0,""),preDEL!AU317)</f>
        <v/>
      </c>
      <c r="AV317" s="112" t="str">
        <f>IF(preDEL!$AG317,IFERROR(0/0,""),preDEL!AV317)</f>
        <v/>
      </c>
      <c r="AW317" s="112" t="str">
        <f>IF(preDEL!$AG317,IFERROR(0/0,""),preDEL!AW317)</f>
        <v/>
      </c>
      <c r="AX317" s="112" t="str">
        <f>IF(preDEL!$AG317,IFERROR(0/0,""),preDEL!AX317)</f>
        <v/>
      </c>
      <c r="AY317" s="112" t="str">
        <f>IF(preDEL!$AG317,IFERROR(0/0,""),preDEL!AY317)</f>
        <v/>
      </c>
      <c r="AZ317" s="174"/>
      <c r="BA317" s="174"/>
      <c r="BB317" s="174"/>
      <c r="BC317" s="174"/>
      <c r="BD317" s="174"/>
      <c r="BE317" s="174"/>
      <c r="BF317" s="174"/>
      <c r="BG317" s="174"/>
      <c r="BH317" s="174"/>
      <c r="BI317" s="174"/>
      <c r="BJ317" s="174"/>
      <c r="BK317" s="174"/>
      <c r="BL317" s="174"/>
      <c r="BM317" s="174"/>
      <c r="BN317" s="174"/>
      <c r="BO317" s="174"/>
      <c r="BP317" s="174"/>
      <c r="BQ317" s="174"/>
      <c r="BR317" s="174"/>
      <c r="BS317" s="174"/>
      <c r="BT317" s="174"/>
      <c r="BU317" s="174"/>
      <c r="BV317" s="174"/>
      <c r="BW317" s="174"/>
      <c r="BX317" s="174"/>
      <c r="BY317" s="174"/>
      <c r="BZ317" s="174"/>
      <c r="CA317" s="174"/>
      <c r="CB317" s="174"/>
      <c r="CC317" s="174"/>
      <c r="CD317" s="174"/>
    </row>
    <row r="318">
      <c r="A318" s="105" t="str">
        <f>IF(preDEL!$AG318,IFERROR(0/0,""),preDEL!A318)</f>
        <v>MA283</v>
      </c>
      <c r="B318" s="170">
        <f>IF(preDEL!$AG318,IFERROR(0/0,""),preDEL!B318)</f>
        <v>44589</v>
      </c>
      <c r="C318" s="171">
        <f>IF(preDEL!$AG318,IFERROR(0/0,""),preDEL!C318)</f>
        <v>0.3442013889</v>
      </c>
      <c r="D318" s="105" t="str">
        <f>IF(preDEL!$AG318,IFERROR(0/0,""),preDEL!D318)</f>
        <v/>
      </c>
      <c r="E318" s="105" t="str">
        <f>IF(preDEL!$AG318,IFERROR(0/0,""),preDEL!E318)</f>
        <v/>
      </c>
      <c r="F318" s="112" t="str">
        <f>IF(preDEL!$AG318,IFERROR(0/0,""),preDEL!F318)</f>
        <v/>
      </c>
      <c r="G318" s="112" t="str">
        <f>IF(preDEL!$AG318,IFERROR(0/0,""),preDEL!G318)</f>
        <v/>
      </c>
      <c r="H318" s="112" t="str">
        <f>IF(preDEL!$AG318,IFERROR(0/0,""),preDEL!H318)</f>
        <v/>
      </c>
      <c r="I318" s="105" t="str">
        <f>IF(preDEL!$AG318,IFERROR(0/0,""),preDEL!I318)</f>
        <v/>
      </c>
      <c r="J318" s="105" t="str">
        <f>IF(preDEL!$AG318,IFERROR(0/0,""),preDEL!J318)</f>
        <v/>
      </c>
      <c r="K318" s="105" t="str">
        <f>IF(preDEL!$AG318,IFERROR(0/0,""),preDEL!K318)</f>
        <v>Negative</v>
      </c>
      <c r="L318" s="170">
        <f>IF(preDEL!$AG318,IFERROR(0/0,""),preDEL!L318)</f>
        <v>44589</v>
      </c>
      <c r="M318" s="171">
        <f>IF(preDEL!$AG318,IFERROR(0/0,""),preDEL!M318)</f>
        <v>0.483900463</v>
      </c>
      <c r="N318" s="112" t="str">
        <f>IF(preDEL!$AG318,IFERROR(0/0,""),preDEL!N318)</f>
        <v/>
      </c>
      <c r="O318" s="112" t="str">
        <f>IF(preDEL!$AG318,IFERROR(0/0,""),preDEL!O318)</f>
        <v/>
      </c>
      <c r="P318" s="110" t="b">
        <f>IF(preDEL!$AG318,IFERROR(0/0,""),preDEL!P318)</f>
        <v>0</v>
      </c>
      <c r="Q318" s="110" t="str">
        <f>IF(preDEL!$AG318,IFERROR(0/0,""),preDEL!Q318)</f>
        <v>Result</v>
      </c>
      <c r="R318" s="104" t="b">
        <f>IF(preDEL!$AG318,IFERROR(0/0,""),preDEL!R318)</f>
        <v>1</v>
      </c>
      <c r="S318" s="104">
        <f>IF(preDEL!$AG318,IFERROR(0/0,""),preDEL!S318)</f>
        <v>1</v>
      </c>
      <c r="T318" s="110" t="str">
        <f>IF(preDEL!$AG318,IFERROR(0/0,""),preDEL!T318)</f>
        <v/>
      </c>
      <c r="U318" s="112" t="str">
        <f>IF(preDEL!$AG318,IFERROR(0/0,""),preDEL!U318)</f>
        <v/>
      </c>
      <c r="V318" s="105" t="str">
        <f>IF(preDEL!$AG318,IFERROR(0/0,""),preDEL!V318)</f>
        <v/>
      </c>
      <c r="W318" s="112" t="str">
        <f>IF(preDEL!$AG318,IFERROR(0/0,""),preDEL!W318)</f>
        <v/>
      </c>
      <c r="X318" s="104" t="b">
        <f>IF(preDEL!$AG318,IFERROR(0/0,""),preDEL!X318)</f>
        <v>0</v>
      </c>
      <c r="Y318" s="110" t="b">
        <f>IF(preDEL!$AG318,IFERROR(0/0,""),preDEL!Y318)</f>
        <v>0</v>
      </c>
      <c r="Z318" s="105" t="str">
        <f>IF(preDEL!$AG318,IFERROR(0/0,""),preDEL!Z318)</f>
        <v/>
      </c>
      <c r="AA318" s="110" t="b">
        <f>IF(preDEL!$AG318,IFERROR(0/0,""),preDEL!AA318)</f>
        <v>0</v>
      </c>
      <c r="AB318" s="110" t="b">
        <f>IF(preDEL!$AG318,IFERROR(0/0,""),preDEL!AB318)</f>
        <v>0</v>
      </c>
      <c r="AC318" s="172">
        <f>IF(preDEL!$AG318,IFERROR(0/0,""),preDEL!AC318)</f>
        <v>490</v>
      </c>
      <c r="AD318" s="104" t="b">
        <f>IF(preDEL!$AG318,IFERROR(0/0,""),preDEL!AD318)</f>
        <v>0</v>
      </c>
      <c r="AE318" s="173">
        <f>IF(preDEL!$AG318,IFERROR(0/0,""),preDEL!AE318)</f>
        <v>201.1666667</v>
      </c>
      <c r="AF318" s="110" t="b">
        <f>IF(preDEL!$AG318,IFERROR(0/0,""),preDEL!AF318)</f>
        <v>0</v>
      </c>
      <c r="AG318" s="110" t="b">
        <f>IF(preDEL!$AG318,IFERROR(0/0,""),preDEL!AG318)</f>
        <v>0</v>
      </c>
      <c r="AH318" s="104" t="str">
        <f>IF(preDEL!$AG318,IFERROR(0/0,""),preDEL!AH318)</f>
        <v/>
      </c>
      <c r="AI318" s="105" t="str">
        <f>IF(preDEL!$AG318,IFERROR(0/0,""),preDEL!AI318)</f>
        <v/>
      </c>
      <c r="AJ318" s="112" t="str">
        <f>IF(preDEL!$AG318,IFERROR(0/0,""),preDEL!AJ318)</f>
        <v/>
      </c>
      <c r="AK318" s="105" t="str">
        <f>IF(preDEL!$AG318,IFERROR(0/0,""),preDEL!AK318)</f>
        <v>Negative</v>
      </c>
      <c r="AL318" s="112" t="str">
        <f>IF(preDEL!$AG318,IFERROR(0/0,""),preDEL!AL318)</f>
        <v/>
      </c>
      <c r="AM318" s="112" t="str">
        <f>IF(preDEL!$AG318,IFERROR(0/0,""),preDEL!AM318)</f>
        <v>SpBEND319298</v>
      </c>
      <c r="AN318" s="112" t="str">
        <f>IF(preDEL!$AG318,IFERROR(0/0,""),preDEL!AN318)</f>
        <v>BEND966643</v>
      </c>
      <c r="AO318" s="112" t="str">
        <f>IF(preDEL!$AG318,IFERROR(0/0,""),preDEL!AO318)</f>
        <v/>
      </c>
      <c r="AP318" s="112" t="str">
        <f>IF(preDEL!$AG318,IFERROR(0/0,""),preDEL!AP318)</f>
        <v/>
      </c>
      <c r="AQ318" s="112" t="str">
        <f>IF(preDEL!$AG318,IFERROR(0/0,""),preDEL!AQ318)</f>
        <v/>
      </c>
      <c r="AR318" s="112" t="str">
        <f>IF(preDEL!$AG318,IFERROR(0/0,""),preDEL!AR318)</f>
        <v/>
      </c>
      <c r="AS318" s="112" t="str">
        <f>IF(preDEL!$AG318,IFERROR(0/0,""),preDEL!AS318)</f>
        <v/>
      </c>
      <c r="AT318" s="112" t="b">
        <f>IF(preDEL!$AG318,IFERROR(0/0,""),preDEL!AT318)</f>
        <v>0</v>
      </c>
      <c r="AU318" s="112" t="str">
        <f>IF(preDEL!$AG318,IFERROR(0/0,""),preDEL!AU318)</f>
        <v/>
      </c>
      <c r="AV318" s="112" t="str">
        <f>IF(preDEL!$AG318,IFERROR(0/0,""),preDEL!AV318)</f>
        <v/>
      </c>
      <c r="AW318" s="112" t="str">
        <f>IF(preDEL!$AG318,IFERROR(0/0,""),preDEL!AW318)</f>
        <v/>
      </c>
      <c r="AX318" s="112" t="str">
        <f>IF(preDEL!$AG318,IFERROR(0/0,""),preDEL!AX318)</f>
        <v/>
      </c>
      <c r="AY318" s="112" t="str">
        <f>IF(preDEL!$AG318,IFERROR(0/0,""),preDEL!AY318)</f>
        <v/>
      </c>
      <c r="AZ318" s="174"/>
      <c r="BA318" s="174"/>
      <c r="BB318" s="174"/>
      <c r="BC318" s="174"/>
      <c r="BD318" s="174"/>
      <c r="BE318" s="174"/>
      <c r="BF318" s="174"/>
      <c r="BG318" s="174"/>
      <c r="BH318" s="174"/>
      <c r="BI318" s="174"/>
      <c r="BJ318" s="174"/>
      <c r="BK318" s="174"/>
      <c r="BL318" s="174"/>
      <c r="BM318" s="174"/>
      <c r="BN318" s="174"/>
      <c r="BO318" s="174"/>
      <c r="BP318" s="174"/>
      <c r="BQ318" s="174"/>
      <c r="BR318" s="174"/>
      <c r="BS318" s="174"/>
      <c r="BT318" s="174"/>
      <c r="BU318" s="174"/>
      <c r="BV318" s="174"/>
      <c r="BW318" s="174"/>
      <c r="BX318" s="174"/>
      <c r="BY318" s="174"/>
      <c r="BZ318" s="174"/>
      <c r="CA318" s="174"/>
      <c r="CB318" s="174"/>
      <c r="CC318" s="174"/>
      <c r="CD318" s="174"/>
    </row>
    <row r="319">
      <c r="A319" s="105" t="str">
        <f>IF(preDEL!$AG319,IFERROR(0/0,""),preDEL!A319)</f>
        <v>MA1135</v>
      </c>
      <c r="B319" s="170">
        <f>IF(preDEL!$AG319,IFERROR(0/0,""),preDEL!B319)</f>
        <v>44589</v>
      </c>
      <c r="C319" s="171">
        <f>IF(preDEL!$AG319,IFERROR(0/0,""),preDEL!C319)</f>
        <v>0.3478819444</v>
      </c>
      <c r="D319" s="105" t="str">
        <f>IF(preDEL!$AG319,IFERROR(0/0,""),preDEL!D319)</f>
        <v/>
      </c>
      <c r="E319" s="105" t="str">
        <f>IF(preDEL!$AG319,IFERROR(0/0,""),preDEL!E319)</f>
        <v/>
      </c>
      <c r="F319" s="112" t="str">
        <f>IF(preDEL!$AG319,IFERROR(0/0,""),preDEL!F319)</f>
        <v/>
      </c>
      <c r="G319" s="112" t="str">
        <f>IF(preDEL!$AG319,IFERROR(0/0,""),preDEL!G319)</f>
        <v/>
      </c>
      <c r="H319" s="112" t="str">
        <f>IF(preDEL!$AG319,IFERROR(0/0,""),preDEL!H319)</f>
        <v/>
      </c>
      <c r="I319" s="105" t="str">
        <f>IF(preDEL!$AG319,IFERROR(0/0,""),preDEL!I319)</f>
        <v/>
      </c>
      <c r="J319" s="105" t="str">
        <f>IF(preDEL!$AG319,IFERROR(0/0,""),preDEL!J319)</f>
        <v/>
      </c>
      <c r="K319" s="105" t="str">
        <f>IF(preDEL!$AG319,IFERROR(0/0,""),preDEL!K319)</f>
        <v>Negative</v>
      </c>
      <c r="L319" s="170">
        <f>IF(preDEL!$AG319,IFERROR(0/0,""),preDEL!L319)</f>
        <v>44589</v>
      </c>
      <c r="M319" s="171">
        <f>IF(preDEL!$AG319,IFERROR(0/0,""),preDEL!M319)</f>
        <v>0.483900463</v>
      </c>
      <c r="N319" s="112" t="str">
        <f>IF(preDEL!$AG319,IFERROR(0/0,""),preDEL!N319)</f>
        <v/>
      </c>
      <c r="O319" s="112" t="str">
        <f>IF(preDEL!$AG319,IFERROR(0/0,""),preDEL!O319)</f>
        <v/>
      </c>
      <c r="P319" s="110" t="b">
        <f>IF(preDEL!$AG319,IFERROR(0/0,""),preDEL!P319)</f>
        <v>0</v>
      </c>
      <c r="Q319" s="110" t="str">
        <f>IF(preDEL!$AG319,IFERROR(0/0,""),preDEL!Q319)</f>
        <v>Result</v>
      </c>
      <c r="R319" s="104" t="b">
        <f>IF(preDEL!$AG319,IFERROR(0/0,""),preDEL!R319)</f>
        <v>1</v>
      </c>
      <c r="S319" s="104">
        <f>IF(preDEL!$AG319,IFERROR(0/0,""),preDEL!S319)</f>
        <v>1</v>
      </c>
      <c r="T319" s="110" t="str">
        <f>IF(preDEL!$AG319,IFERROR(0/0,""),preDEL!T319)</f>
        <v/>
      </c>
      <c r="U319" s="112" t="str">
        <f>IF(preDEL!$AG319,IFERROR(0/0,""),preDEL!U319)</f>
        <v/>
      </c>
      <c r="V319" s="105" t="str">
        <f>IF(preDEL!$AG319,IFERROR(0/0,""),preDEL!V319)</f>
        <v/>
      </c>
      <c r="W319" s="112" t="str">
        <f>IF(preDEL!$AG319,IFERROR(0/0,""),preDEL!W319)</f>
        <v/>
      </c>
      <c r="X319" s="104" t="b">
        <f>IF(preDEL!$AG319,IFERROR(0/0,""),preDEL!X319)</f>
        <v>0</v>
      </c>
      <c r="Y319" s="110" t="b">
        <f>IF(preDEL!$AG319,IFERROR(0/0,""),preDEL!Y319)</f>
        <v>0</v>
      </c>
      <c r="Z319" s="105" t="str">
        <f>IF(preDEL!$AG319,IFERROR(0/0,""),preDEL!Z319)</f>
        <v/>
      </c>
      <c r="AA319" s="110" t="b">
        <f>IF(preDEL!$AG319,IFERROR(0/0,""),preDEL!AA319)</f>
        <v>0</v>
      </c>
      <c r="AB319" s="110" t="b">
        <f>IF(preDEL!$AG319,IFERROR(0/0,""),preDEL!AB319)</f>
        <v>0</v>
      </c>
      <c r="AC319" s="172">
        <f>IF(preDEL!$AG319,IFERROR(0/0,""),preDEL!AC319)</f>
        <v>489</v>
      </c>
      <c r="AD319" s="104" t="b">
        <f>IF(preDEL!$AG319,IFERROR(0/0,""),preDEL!AD319)</f>
        <v>0</v>
      </c>
      <c r="AE319" s="173">
        <f>IF(preDEL!$AG319,IFERROR(0/0,""),preDEL!AE319)</f>
        <v>195.8666667</v>
      </c>
      <c r="AF319" s="110" t="b">
        <f>IF(preDEL!$AG319,IFERROR(0/0,""),preDEL!AF319)</f>
        <v>0</v>
      </c>
      <c r="AG319" s="110" t="b">
        <f>IF(preDEL!$AG319,IFERROR(0/0,""),preDEL!AG319)</f>
        <v>0</v>
      </c>
      <c r="AH319" s="104" t="str">
        <f>IF(preDEL!$AG319,IFERROR(0/0,""),preDEL!AH319)</f>
        <v/>
      </c>
      <c r="AI319" s="105" t="str">
        <f>IF(preDEL!$AG319,IFERROR(0/0,""),preDEL!AI319)</f>
        <v/>
      </c>
      <c r="AJ319" s="112" t="str">
        <f>IF(preDEL!$AG319,IFERROR(0/0,""),preDEL!AJ319)</f>
        <v/>
      </c>
      <c r="AK319" s="105" t="str">
        <f>IF(preDEL!$AG319,IFERROR(0/0,""),preDEL!AK319)</f>
        <v>Negative</v>
      </c>
      <c r="AL319" s="112" t="str">
        <f>IF(preDEL!$AG319,IFERROR(0/0,""),preDEL!AL319)</f>
        <v/>
      </c>
      <c r="AM319" s="112" t="str">
        <f>IF(preDEL!$AG319,IFERROR(0/0,""),preDEL!AM319)</f>
        <v>SpBEND985296</v>
      </c>
      <c r="AN319" s="112" t="str">
        <f>IF(preDEL!$AG319,IFERROR(0/0,""),preDEL!AN319)</f>
        <v>BEND326601</v>
      </c>
      <c r="AO319" s="112" t="str">
        <f>IF(preDEL!$AG319,IFERROR(0/0,""),preDEL!AO319)</f>
        <v/>
      </c>
      <c r="AP319" s="112" t="str">
        <f>IF(preDEL!$AG319,IFERROR(0/0,""),preDEL!AP319)</f>
        <v/>
      </c>
      <c r="AQ319" s="112" t="str">
        <f>IF(preDEL!$AG319,IFERROR(0/0,""),preDEL!AQ319)</f>
        <v/>
      </c>
      <c r="AR319" s="112" t="str">
        <f>IF(preDEL!$AG319,IFERROR(0/0,""),preDEL!AR319)</f>
        <v/>
      </c>
      <c r="AS319" s="112" t="str">
        <f>IF(preDEL!$AG319,IFERROR(0/0,""),preDEL!AS319)</f>
        <v/>
      </c>
      <c r="AT319" s="112" t="b">
        <f>IF(preDEL!$AG319,IFERROR(0/0,""),preDEL!AT319)</f>
        <v>0</v>
      </c>
      <c r="AU319" s="112" t="str">
        <f>IF(preDEL!$AG319,IFERROR(0/0,""),preDEL!AU319)</f>
        <v/>
      </c>
      <c r="AV319" s="112" t="str">
        <f>IF(preDEL!$AG319,IFERROR(0/0,""),preDEL!AV319)</f>
        <v/>
      </c>
      <c r="AW319" s="112" t="str">
        <f>IF(preDEL!$AG319,IFERROR(0/0,""),preDEL!AW319)</f>
        <v/>
      </c>
      <c r="AX319" s="112" t="str">
        <f>IF(preDEL!$AG319,IFERROR(0/0,""),preDEL!AX319)</f>
        <v/>
      </c>
      <c r="AY319" s="112" t="str">
        <f>IF(preDEL!$AG319,IFERROR(0/0,""),preDEL!AY319)</f>
        <v/>
      </c>
      <c r="AZ319" s="174"/>
      <c r="BA319" s="174"/>
      <c r="BB319" s="174"/>
      <c r="BC319" s="174"/>
      <c r="BD319" s="174"/>
      <c r="BE319" s="174"/>
      <c r="BF319" s="174"/>
      <c r="BG319" s="174"/>
      <c r="BH319" s="174"/>
      <c r="BI319" s="174"/>
      <c r="BJ319" s="174"/>
      <c r="BK319" s="174"/>
      <c r="BL319" s="174"/>
      <c r="BM319" s="174"/>
      <c r="BN319" s="174"/>
      <c r="BO319" s="174"/>
      <c r="BP319" s="174"/>
      <c r="BQ319" s="174"/>
      <c r="BR319" s="174"/>
      <c r="BS319" s="174"/>
      <c r="BT319" s="174"/>
      <c r="BU319" s="174"/>
      <c r="BV319" s="174"/>
      <c r="BW319" s="174"/>
      <c r="BX319" s="174"/>
      <c r="BY319" s="174"/>
      <c r="BZ319" s="174"/>
      <c r="CA319" s="174"/>
      <c r="CB319" s="174"/>
      <c r="CC319" s="174"/>
      <c r="CD319" s="174"/>
    </row>
    <row r="320">
      <c r="A320" s="105" t="str">
        <f>IF(preDEL!$AG320,IFERROR(0/0,""),preDEL!A320)</f>
        <v>MA276</v>
      </c>
      <c r="B320" s="170">
        <f>IF(preDEL!$AG320,IFERROR(0/0,""),preDEL!B320)</f>
        <v>44589</v>
      </c>
      <c r="C320" s="171">
        <f>IF(preDEL!$AG320,IFERROR(0/0,""),preDEL!C320)</f>
        <v>0.3656828704</v>
      </c>
      <c r="D320" s="105" t="str">
        <f>IF(preDEL!$AG320,IFERROR(0/0,""),preDEL!D320)</f>
        <v/>
      </c>
      <c r="E320" s="105" t="str">
        <f>IF(preDEL!$AG320,IFERROR(0/0,""),preDEL!E320)</f>
        <v/>
      </c>
      <c r="F320" s="112" t="str">
        <f>IF(preDEL!$AG320,IFERROR(0/0,""),preDEL!F320)</f>
        <v/>
      </c>
      <c r="G320" s="112" t="str">
        <f>IF(preDEL!$AG320,IFERROR(0/0,""),preDEL!G320)</f>
        <v/>
      </c>
      <c r="H320" s="112" t="str">
        <f>IF(preDEL!$AG320,IFERROR(0/0,""),preDEL!H320)</f>
        <v/>
      </c>
      <c r="I320" s="105" t="str">
        <f>IF(preDEL!$AG320,IFERROR(0/0,""),preDEL!I320)</f>
        <v/>
      </c>
      <c r="J320" s="105" t="str">
        <f>IF(preDEL!$AG320,IFERROR(0/0,""),preDEL!J320)</f>
        <v/>
      </c>
      <c r="K320" s="105" t="str">
        <f>IF(preDEL!$AG320,IFERROR(0/0,""),preDEL!K320)</f>
        <v>Negative</v>
      </c>
      <c r="L320" s="170">
        <f>IF(preDEL!$AG320,IFERROR(0/0,""),preDEL!L320)</f>
        <v>44589</v>
      </c>
      <c r="M320" s="171">
        <f>IF(preDEL!$AG320,IFERROR(0/0,""),preDEL!M320)</f>
        <v>0.483912037</v>
      </c>
      <c r="N320" s="112" t="str">
        <f>IF(preDEL!$AG320,IFERROR(0/0,""),preDEL!N320)</f>
        <v/>
      </c>
      <c r="O320" s="112" t="str">
        <f>IF(preDEL!$AG320,IFERROR(0/0,""),preDEL!O320)</f>
        <v/>
      </c>
      <c r="P320" s="110" t="b">
        <f>IF(preDEL!$AG320,IFERROR(0/0,""),preDEL!P320)</f>
        <v>0</v>
      </c>
      <c r="Q320" s="110" t="str">
        <f>IF(preDEL!$AG320,IFERROR(0/0,""),preDEL!Q320)</f>
        <v>Result</v>
      </c>
      <c r="R320" s="104" t="b">
        <f>IF(preDEL!$AG320,IFERROR(0/0,""),preDEL!R320)</f>
        <v>1</v>
      </c>
      <c r="S320" s="104">
        <f>IF(preDEL!$AG320,IFERROR(0/0,""),preDEL!S320)</f>
        <v>1</v>
      </c>
      <c r="T320" s="110" t="str">
        <f>IF(preDEL!$AG320,IFERROR(0/0,""),preDEL!T320)</f>
        <v/>
      </c>
      <c r="U320" s="112" t="str">
        <f>IF(preDEL!$AG320,IFERROR(0/0,""),preDEL!U320)</f>
        <v/>
      </c>
      <c r="V320" s="105" t="str">
        <f>IF(preDEL!$AG320,IFERROR(0/0,""),preDEL!V320)</f>
        <v/>
      </c>
      <c r="W320" s="112" t="str">
        <f>IF(preDEL!$AG320,IFERROR(0/0,""),preDEL!W320)</f>
        <v/>
      </c>
      <c r="X320" s="104" t="b">
        <f>IF(preDEL!$AG320,IFERROR(0/0,""),preDEL!X320)</f>
        <v>0</v>
      </c>
      <c r="Y320" s="110" t="b">
        <f>IF(preDEL!$AG320,IFERROR(0/0,""),preDEL!Y320)</f>
        <v>0</v>
      </c>
      <c r="Z320" s="105" t="str">
        <f>IF(preDEL!$AG320,IFERROR(0/0,""),preDEL!Z320)</f>
        <v/>
      </c>
      <c r="AA320" s="110" t="b">
        <f>IF(preDEL!$AG320,IFERROR(0/0,""),preDEL!AA320)</f>
        <v>0</v>
      </c>
      <c r="AB320" s="110" t="b">
        <f>IF(preDEL!$AG320,IFERROR(0/0,""),preDEL!AB320)</f>
        <v>0</v>
      </c>
      <c r="AC320" s="172">
        <f>IF(preDEL!$AG320,IFERROR(0/0,""),preDEL!AC320)</f>
        <v>488</v>
      </c>
      <c r="AD320" s="104" t="b">
        <f>IF(preDEL!$AG320,IFERROR(0/0,""),preDEL!AD320)</f>
        <v>0</v>
      </c>
      <c r="AE320" s="173">
        <f>IF(preDEL!$AG320,IFERROR(0/0,""),preDEL!AE320)</f>
        <v>170.25</v>
      </c>
      <c r="AF320" s="110" t="b">
        <f>IF(preDEL!$AG320,IFERROR(0/0,""),preDEL!AF320)</f>
        <v>0</v>
      </c>
      <c r="AG320" s="110" t="b">
        <f>IF(preDEL!$AG320,IFERROR(0/0,""),preDEL!AG320)</f>
        <v>0</v>
      </c>
      <c r="AH320" s="104" t="str">
        <f>IF(preDEL!$AG320,IFERROR(0/0,""),preDEL!AH320)</f>
        <v/>
      </c>
      <c r="AI320" s="105" t="str">
        <f>IF(preDEL!$AG320,IFERROR(0/0,""),preDEL!AI320)</f>
        <v/>
      </c>
      <c r="AJ320" s="112" t="str">
        <f>IF(preDEL!$AG320,IFERROR(0/0,""),preDEL!AJ320)</f>
        <v/>
      </c>
      <c r="AK320" s="105" t="str">
        <f>IF(preDEL!$AG320,IFERROR(0/0,""),preDEL!AK320)</f>
        <v>Negative</v>
      </c>
      <c r="AL320" s="112" t="str">
        <f>IF(preDEL!$AG320,IFERROR(0/0,""),preDEL!AL320)</f>
        <v/>
      </c>
      <c r="AM320" s="112" t="str">
        <f>IF(preDEL!$AG320,IFERROR(0/0,""),preDEL!AM320)</f>
        <v>SpBEND394154</v>
      </c>
      <c r="AN320" s="112" t="str">
        <f>IF(preDEL!$AG320,IFERROR(0/0,""),preDEL!AN320)</f>
        <v>BEND229530</v>
      </c>
      <c r="AO320" s="112" t="str">
        <f>IF(preDEL!$AG320,IFERROR(0/0,""),preDEL!AO320)</f>
        <v/>
      </c>
      <c r="AP320" s="112" t="str">
        <f>IF(preDEL!$AG320,IFERROR(0/0,""),preDEL!AP320)</f>
        <v/>
      </c>
      <c r="AQ320" s="112" t="str">
        <f>IF(preDEL!$AG320,IFERROR(0/0,""),preDEL!AQ320)</f>
        <v/>
      </c>
      <c r="AR320" s="112" t="str">
        <f>IF(preDEL!$AG320,IFERROR(0/0,""),preDEL!AR320)</f>
        <v/>
      </c>
      <c r="AS320" s="112" t="str">
        <f>IF(preDEL!$AG320,IFERROR(0/0,""),preDEL!AS320)</f>
        <v/>
      </c>
      <c r="AT320" s="112" t="b">
        <f>IF(preDEL!$AG320,IFERROR(0/0,""),preDEL!AT320)</f>
        <v>0</v>
      </c>
      <c r="AU320" s="112" t="str">
        <f>IF(preDEL!$AG320,IFERROR(0/0,""),preDEL!AU320)</f>
        <v/>
      </c>
      <c r="AV320" s="112" t="str">
        <f>IF(preDEL!$AG320,IFERROR(0/0,""),preDEL!AV320)</f>
        <v/>
      </c>
      <c r="AW320" s="112" t="str">
        <f>IF(preDEL!$AG320,IFERROR(0/0,""),preDEL!AW320)</f>
        <v/>
      </c>
      <c r="AX320" s="112" t="str">
        <f>IF(preDEL!$AG320,IFERROR(0/0,""),preDEL!AX320)</f>
        <v/>
      </c>
      <c r="AY320" s="112" t="str">
        <f>IF(preDEL!$AG320,IFERROR(0/0,""),preDEL!AY320)</f>
        <v/>
      </c>
      <c r="AZ320" s="174"/>
      <c r="BA320" s="174"/>
      <c r="BB320" s="174"/>
      <c r="BC320" s="174"/>
      <c r="BD320" s="174"/>
      <c r="BE320" s="174"/>
      <c r="BF320" s="174"/>
      <c r="BG320" s="174"/>
      <c r="BH320" s="174"/>
      <c r="BI320" s="174"/>
      <c r="BJ320" s="174"/>
      <c r="BK320" s="174"/>
      <c r="BL320" s="174"/>
      <c r="BM320" s="174"/>
      <c r="BN320" s="174"/>
      <c r="BO320" s="174"/>
      <c r="BP320" s="174"/>
      <c r="BQ320" s="174"/>
      <c r="BR320" s="174"/>
      <c r="BS320" s="174"/>
      <c r="BT320" s="174"/>
      <c r="BU320" s="174"/>
      <c r="BV320" s="174"/>
      <c r="BW320" s="174"/>
      <c r="BX320" s="174"/>
      <c r="BY320" s="174"/>
      <c r="BZ320" s="174"/>
      <c r="CA320" s="174"/>
      <c r="CB320" s="174"/>
      <c r="CC320" s="174"/>
      <c r="CD320" s="174"/>
    </row>
    <row r="321">
      <c r="A321" s="105" t="str">
        <f>IF(preDEL!$AG321,IFERROR(0/0,""),preDEL!A321)</f>
        <v>MA917</v>
      </c>
      <c r="B321" s="170">
        <f>IF(preDEL!$AG321,IFERROR(0/0,""),preDEL!B321)</f>
        <v>44592</v>
      </c>
      <c r="C321" s="171">
        <f>IF(preDEL!$AG321,IFERROR(0/0,""),preDEL!C321)</f>
        <v>0.3242708333</v>
      </c>
      <c r="D321" s="105" t="str">
        <f>IF(preDEL!$AG321,IFERROR(0/0,""),preDEL!D321)</f>
        <v/>
      </c>
      <c r="E321" s="105" t="str">
        <f>IF(preDEL!$AG321,IFERROR(0/0,""),preDEL!E321)</f>
        <v/>
      </c>
      <c r="F321" s="112" t="str">
        <f>IF(preDEL!$AG321,IFERROR(0/0,""),preDEL!F321)</f>
        <v/>
      </c>
      <c r="G321" s="112" t="str">
        <f>IF(preDEL!$AG321,IFERROR(0/0,""),preDEL!G321)</f>
        <v/>
      </c>
      <c r="H321" s="112" t="str">
        <f>IF(preDEL!$AG321,IFERROR(0/0,""),preDEL!H321)</f>
        <v/>
      </c>
      <c r="I321" s="105" t="str">
        <f>IF(preDEL!$AG321,IFERROR(0/0,""),preDEL!I321)</f>
        <v/>
      </c>
      <c r="J321" s="105" t="str">
        <f>IF(preDEL!$AG321,IFERROR(0/0,""),preDEL!J321)</f>
        <v/>
      </c>
      <c r="K321" s="105" t="str">
        <f>IF(preDEL!$AG321,IFERROR(0/0,""),preDEL!K321)</f>
        <v>Negative</v>
      </c>
      <c r="L321" s="170">
        <f>IF(preDEL!$AG321,IFERROR(0/0,""),preDEL!L321)</f>
        <v>44592</v>
      </c>
      <c r="M321" s="171">
        <f>IF(preDEL!$AG321,IFERROR(0/0,""),preDEL!M321)</f>
        <v>0.4602314815</v>
      </c>
      <c r="N321" s="112" t="str">
        <f>IF(preDEL!$AG321,IFERROR(0/0,""),preDEL!N321)</f>
        <v/>
      </c>
      <c r="O321" s="112" t="str">
        <f>IF(preDEL!$AG321,IFERROR(0/0,""),preDEL!O321)</f>
        <v/>
      </c>
      <c r="P321" s="110" t="b">
        <f>IF(preDEL!$AG321,IFERROR(0/0,""),preDEL!P321)</f>
        <v>0</v>
      </c>
      <c r="Q321" s="110" t="str">
        <f>IF(preDEL!$AG321,IFERROR(0/0,""),preDEL!Q321)</f>
        <v>Result</v>
      </c>
      <c r="R321" s="104" t="b">
        <f>IF(preDEL!$AG321,IFERROR(0/0,""),preDEL!R321)</f>
        <v>1</v>
      </c>
      <c r="S321" s="104">
        <f>IF(preDEL!$AG321,IFERROR(0/0,""),preDEL!S321)</f>
        <v>1</v>
      </c>
      <c r="T321" s="110" t="str">
        <f>IF(preDEL!$AG321,IFERROR(0/0,""),preDEL!T321)</f>
        <v/>
      </c>
      <c r="U321" s="112" t="str">
        <f>IF(preDEL!$AG321,IFERROR(0/0,""),preDEL!U321)</f>
        <v/>
      </c>
      <c r="V321" s="105" t="str">
        <f>IF(preDEL!$AG321,IFERROR(0/0,""),preDEL!V321)</f>
        <v/>
      </c>
      <c r="W321" s="112" t="str">
        <f>IF(preDEL!$AG321,IFERROR(0/0,""),preDEL!W321)</f>
        <v/>
      </c>
      <c r="X321" s="104" t="b">
        <f>IF(preDEL!$AG321,IFERROR(0/0,""),preDEL!X321)</f>
        <v>0</v>
      </c>
      <c r="Y321" s="110" t="b">
        <f>IF(preDEL!$AG321,IFERROR(0/0,""),preDEL!Y321)</f>
        <v>0</v>
      </c>
      <c r="Z321" s="105" t="str">
        <f>IF(preDEL!$AG321,IFERROR(0/0,""),preDEL!Z321)</f>
        <v/>
      </c>
      <c r="AA321" s="110" t="b">
        <f>IF(preDEL!$AG321,IFERROR(0/0,""),preDEL!AA321)</f>
        <v>0</v>
      </c>
      <c r="AB321" s="110" t="b">
        <f>IF(preDEL!$AG321,IFERROR(0/0,""),preDEL!AB321)</f>
        <v>0</v>
      </c>
      <c r="AC321" s="172">
        <f>IF(preDEL!$AG321,IFERROR(0/0,""),preDEL!AC321)</f>
        <v>487</v>
      </c>
      <c r="AD321" s="104" t="b">
        <f>IF(preDEL!$AG321,IFERROR(0/0,""),preDEL!AD321)</f>
        <v>0</v>
      </c>
      <c r="AE321" s="173">
        <f>IF(preDEL!$AG321,IFERROR(0/0,""),preDEL!AE321)</f>
        <v>195.7833333</v>
      </c>
      <c r="AF321" s="110" t="b">
        <f>IF(preDEL!$AG321,IFERROR(0/0,""),preDEL!AF321)</f>
        <v>0</v>
      </c>
      <c r="AG321" s="110" t="b">
        <f>IF(preDEL!$AG321,IFERROR(0/0,""),preDEL!AG321)</f>
        <v>0</v>
      </c>
      <c r="AH321" s="104" t="str">
        <f>IF(preDEL!$AG321,IFERROR(0/0,""),preDEL!AH321)</f>
        <v/>
      </c>
      <c r="AI321" s="105" t="str">
        <f>IF(preDEL!$AG321,IFERROR(0/0,""),preDEL!AI321)</f>
        <v/>
      </c>
      <c r="AJ321" s="112" t="str">
        <f>IF(preDEL!$AG321,IFERROR(0/0,""),preDEL!AJ321)</f>
        <v/>
      </c>
      <c r="AK321" s="105" t="str">
        <f>IF(preDEL!$AG321,IFERROR(0/0,""),preDEL!AK321)</f>
        <v>Negative</v>
      </c>
      <c r="AL321" s="112" t="str">
        <f>IF(preDEL!$AG321,IFERROR(0/0,""),preDEL!AL321)</f>
        <v/>
      </c>
      <c r="AM321" s="112" t="str">
        <f>IF(preDEL!$AG321,IFERROR(0/0,""),preDEL!AM321)</f>
        <v>SpBEND214692</v>
      </c>
      <c r="AN321" s="112" t="str">
        <f>IF(preDEL!$AG321,IFERROR(0/0,""),preDEL!AN321)</f>
        <v>BEND886978</v>
      </c>
      <c r="AO321" s="112" t="str">
        <f>IF(preDEL!$AG321,IFERROR(0/0,""),preDEL!AO321)</f>
        <v/>
      </c>
      <c r="AP321" s="112" t="str">
        <f>IF(preDEL!$AG321,IFERROR(0/0,""),preDEL!AP321)</f>
        <v/>
      </c>
      <c r="AQ321" s="112" t="str">
        <f>IF(preDEL!$AG321,IFERROR(0/0,""),preDEL!AQ321)</f>
        <v/>
      </c>
      <c r="AR321" s="112" t="str">
        <f>IF(preDEL!$AG321,IFERROR(0/0,""),preDEL!AR321)</f>
        <v/>
      </c>
      <c r="AS321" s="112" t="str">
        <f>IF(preDEL!$AG321,IFERROR(0/0,""),preDEL!AS321)</f>
        <v/>
      </c>
      <c r="AT321" s="112" t="b">
        <f>IF(preDEL!$AG321,IFERROR(0/0,""),preDEL!AT321)</f>
        <v>0</v>
      </c>
      <c r="AU321" s="112" t="str">
        <f>IF(preDEL!$AG321,IFERROR(0/0,""),preDEL!AU321)</f>
        <v/>
      </c>
      <c r="AV321" s="112" t="str">
        <f>IF(preDEL!$AG321,IFERROR(0/0,""),preDEL!AV321)</f>
        <v/>
      </c>
      <c r="AW321" s="112" t="str">
        <f>IF(preDEL!$AG321,IFERROR(0/0,""),preDEL!AW321)</f>
        <v/>
      </c>
      <c r="AX321" s="112" t="str">
        <f>IF(preDEL!$AG321,IFERROR(0/0,""),preDEL!AX321)</f>
        <v/>
      </c>
      <c r="AY321" s="112" t="str">
        <f>IF(preDEL!$AG321,IFERROR(0/0,""),preDEL!AY321)</f>
        <v/>
      </c>
      <c r="AZ321" s="174"/>
      <c r="BA321" s="174"/>
      <c r="BB321" s="174"/>
      <c r="BC321" s="174"/>
      <c r="BD321" s="174"/>
      <c r="BE321" s="174"/>
      <c r="BF321" s="174"/>
      <c r="BG321" s="174"/>
      <c r="BH321" s="174"/>
      <c r="BI321" s="174"/>
      <c r="BJ321" s="174"/>
      <c r="BK321" s="174"/>
      <c r="BL321" s="174"/>
      <c r="BM321" s="174"/>
      <c r="BN321" s="174"/>
      <c r="BO321" s="174"/>
      <c r="BP321" s="174"/>
      <c r="BQ321" s="174"/>
      <c r="BR321" s="174"/>
      <c r="BS321" s="174"/>
      <c r="BT321" s="174"/>
      <c r="BU321" s="174"/>
      <c r="BV321" s="174"/>
      <c r="BW321" s="174"/>
      <c r="BX321" s="174"/>
      <c r="BY321" s="174"/>
      <c r="BZ321" s="174"/>
      <c r="CA321" s="174"/>
      <c r="CB321" s="174"/>
      <c r="CC321" s="174"/>
      <c r="CD321" s="174"/>
    </row>
    <row r="322">
      <c r="A322" s="105" t="str">
        <f>IF(preDEL!$AG322,IFERROR(0/0,""),preDEL!A322)</f>
        <v>MA256</v>
      </c>
      <c r="B322" s="170">
        <f>IF(preDEL!$AG322,IFERROR(0/0,""),preDEL!B322)</f>
        <v>44592</v>
      </c>
      <c r="C322" s="171">
        <f>IF(preDEL!$AG322,IFERROR(0/0,""),preDEL!C322)</f>
        <v>0.3260416667</v>
      </c>
      <c r="D322" s="105" t="str">
        <f>IF(preDEL!$AG322,IFERROR(0/0,""),preDEL!D322)</f>
        <v/>
      </c>
      <c r="E322" s="105" t="str">
        <f>IF(preDEL!$AG322,IFERROR(0/0,""),preDEL!E322)</f>
        <v/>
      </c>
      <c r="F322" s="112" t="str">
        <f>IF(preDEL!$AG322,IFERROR(0/0,""),preDEL!F322)</f>
        <v/>
      </c>
      <c r="G322" s="112" t="str">
        <f>IF(preDEL!$AG322,IFERROR(0/0,""),preDEL!G322)</f>
        <v/>
      </c>
      <c r="H322" s="112" t="str">
        <f>IF(preDEL!$AG322,IFERROR(0/0,""),preDEL!H322)</f>
        <v/>
      </c>
      <c r="I322" s="105" t="str">
        <f>IF(preDEL!$AG322,IFERROR(0/0,""),preDEL!I322)</f>
        <v/>
      </c>
      <c r="J322" s="105" t="str">
        <f>IF(preDEL!$AG322,IFERROR(0/0,""),preDEL!J322)</f>
        <v/>
      </c>
      <c r="K322" s="105" t="str">
        <f>IF(preDEL!$AG322,IFERROR(0/0,""),preDEL!K322)</f>
        <v>Negative</v>
      </c>
      <c r="L322" s="170">
        <f>IF(preDEL!$AG322,IFERROR(0/0,""),preDEL!L322)</f>
        <v>44592</v>
      </c>
      <c r="M322" s="171">
        <f>IF(preDEL!$AG322,IFERROR(0/0,""),preDEL!M322)</f>
        <v>0.4602430556</v>
      </c>
      <c r="N322" s="112" t="str">
        <f>IF(preDEL!$AG322,IFERROR(0/0,""),preDEL!N322)</f>
        <v/>
      </c>
      <c r="O322" s="112" t="str">
        <f>IF(preDEL!$AG322,IFERROR(0/0,""),preDEL!O322)</f>
        <v/>
      </c>
      <c r="P322" s="110" t="b">
        <f>IF(preDEL!$AG322,IFERROR(0/0,""),preDEL!P322)</f>
        <v>0</v>
      </c>
      <c r="Q322" s="110" t="str">
        <f>IF(preDEL!$AG322,IFERROR(0/0,""),preDEL!Q322)</f>
        <v>Result</v>
      </c>
      <c r="R322" s="104" t="b">
        <f>IF(preDEL!$AG322,IFERROR(0/0,""),preDEL!R322)</f>
        <v>1</v>
      </c>
      <c r="S322" s="104">
        <f>IF(preDEL!$AG322,IFERROR(0/0,""),preDEL!S322)</f>
        <v>1</v>
      </c>
      <c r="T322" s="110" t="str">
        <f>IF(preDEL!$AG322,IFERROR(0/0,""),preDEL!T322)</f>
        <v/>
      </c>
      <c r="U322" s="112" t="str">
        <f>IF(preDEL!$AG322,IFERROR(0/0,""),preDEL!U322)</f>
        <v/>
      </c>
      <c r="V322" s="105" t="str">
        <f>IF(preDEL!$AG322,IFERROR(0/0,""),preDEL!V322)</f>
        <v/>
      </c>
      <c r="W322" s="112" t="str">
        <f>IF(preDEL!$AG322,IFERROR(0/0,""),preDEL!W322)</f>
        <v/>
      </c>
      <c r="X322" s="104" t="b">
        <f>IF(preDEL!$AG322,IFERROR(0/0,""),preDEL!X322)</f>
        <v>0</v>
      </c>
      <c r="Y322" s="110" t="b">
        <f>IF(preDEL!$AG322,IFERROR(0/0,""),preDEL!Y322)</f>
        <v>0</v>
      </c>
      <c r="Z322" s="105" t="str">
        <f>IF(preDEL!$AG322,IFERROR(0/0,""),preDEL!Z322)</f>
        <v/>
      </c>
      <c r="AA322" s="110" t="b">
        <f>IF(preDEL!$AG322,IFERROR(0/0,""),preDEL!AA322)</f>
        <v>0</v>
      </c>
      <c r="AB322" s="110" t="b">
        <f>IF(preDEL!$AG322,IFERROR(0/0,""),preDEL!AB322)</f>
        <v>0</v>
      </c>
      <c r="AC322" s="172">
        <f>IF(preDEL!$AG322,IFERROR(0/0,""),preDEL!AC322)</f>
        <v>486</v>
      </c>
      <c r="AD322" s="104" t="b">
        <f>IF(preDEL!$AG322,IFERROR(0/0,""),preDEL!AD322)</f>
        <v>0</v>
      </c>
      <c r="AE322" s="173">
        <f>IF(preDEL!$AG322,IFERROR(0/0,""),preDEL!AE322)</f>
        <v>193.25</v>
      </c>
      <c r="AF322" s="110" t="b">
        <f>IF(preDEL!$AG322,IFERROR(0/0,""),preDEL!AF322)</f>
        <v>0</v>
      </c>
      <c r="AG322" s="110" t="b">
        <f>IF(preDEL!$AG322,IFERROR(0/0,""),preDEL!AG322)</f>
        <v>0</v>
      </c>
      <c r="AH322" s="104" t="str">
        <f>IF(preDEL!$AG322,IFERROR(0/0,""),preDEL!AH322)</f>
        <v/>
      </c>
      <c r="AI322" s="105" t="str">
        <f>IF(preDEL!$AG322,IFERROR(0/0,""),preDEL!AI322)</f>
        <v/>
      </c>
      <c r="AJ322" s="112" t="str">
        <f>IF(preDEL!$AG322,IFERROR(0/0,""),preDEL!AJ322)</f>
        <v/>
      </c>
      <c r="AK322" s="105" t="str">
        <f>IF(preDEL!$AG322,IFERROR(0/0,""),preDEL!AK322)</f>
        <v>Negative</v>
      </c>
      <c r="AL322" s="112" t="str">
        <f>IF(preDEL!$AG322,IFERROR(0/0,""),preDEL!AL322)</f>
        <v/>
      </c>
      <c r="AM322" s="112" t="str">
        <f>IF(preDEL!$AG322,IFERROR(0/0,""),preDEL!AM322)</f>
        <v>SpBEND825522</v>
      </c>
      <c r="AN322" s="112" t="str">
        <f>IF(preDEL!$AG322,IFERROR(0/0,""),preDEL!AN322)</f>
        <v>BEND140857</v>
      </c>
      <c r="AO322" s="112" t="str">
        <f>IF(preDEL!$AG322,IFERROR(0/0,""),preDEL!AO322)</f>
        <v/>
      </c>
      <c r="AP322" s="112" t="str">
        <f>IF(preDEL!$AG322,IFERROR(0/0,""),preDEL!AP322)</f>
        <v/>
      </c>
      <c r="AQ322" s="112" t="str">
        <f>IF(preDEL!$AG322,IFERROR(0/0,""),preDEL!AQ322)</f>
        <v/>
      </c>
      <c r="AR322" s="112" t="str">
        <f>IF(preDEL!$AG322,IFERROR(0/0,""),preDEL!AR322)</f>
        <v/>
      </c>
      <c r="AS322" s="112" t="str">
        <f>IF(preDEL!$AG322,IFERROR(0/0,""),preDEL!AS322)</f>
        <v/>
      </c>
      <c r="AT322" s="112" t="b">
        <f>IF(preDEL!$AG322,IFERROR(0/0,""),preDEL!AT322)</f>
        <v>0</v>
      </c>
      <c r="AU322" s="112" t="str">
        <f>IF(preDEL!$AG322,IFERROR(0/0,""),preDEL!AU322)</f>
        <v/>
      </c>
      <c r="AV322" s="112" t="str">
        <f>IF(preDEL!$AG322,IFERROR(0/0,""),preDEL!AV322)</f>
        <v/>
      </c>
      <c r="AW322" s="112" t="str">
        <f>IF(preDEL!$AG322,IFERROR(0/0,""),preDEL!AW322)</f>
        <v/>
      </c>
      <c r="AX322" s="112" t="str">
        <f>IF(preDEL!$AG322,IFERROR(0/0,""),preDEL!AX322)</f>
        <v/>
      </c>
      <c r="AY322" s="112" t="str">
        <f>IF(preDEL!$AG322,IFERROR(0/0,""),preDEL!AY322)</f>
        <v/>
      </c>
      <c r="AZ322" s="174"/>
      <c r="BA322" s="174"/>
      <c r="BB322" s="174"/>
      <c r="BC322" s="174"/>
      <c r="BD322" s="174"/>
      <c r="BE322" s="174"/>
      <c r="BF322" s="174"/>
      <c r="BG322" s="174"/>
      <c r="BH322" s="174"/>
      <c r="BI322" s="174"/>
      <c r="BJ322" s="174"/>
      <c r="BK322" s="174"/>
      <c r="BL322" s="174"/>
      <c r="BM322" s="174"/>
      <c r="BN322" s="174"/>
      <c r="BO322" s="174"/>
      <c r="BP322" s="174"/>
      <c r="BQ322" s="174"/>
      <c r="BR322" s="174"/>
      <c r="BS322" s="174"/>
      <c r="BT322" s="174"/>
      <c r="BU322" s="174"/>
      <c r="BV322" s="174"/>
      <c r="BW322" s="174"/>
      <c r="BX322" s="174"/>
      <c r="BY322" s="174"/>
      <c r="BZ322" s="174"/>
      <c r="CA322" s="174"/>
      <c r="CB322" s="174"/>
      <c r="CC322" s="174"/>
      <c r="CD322" s="174"/>
    </row>
    <row r="323">
      <c r="A323" s="105" t="str">
        <f>IF(preDEL!$AG323,IFERROR(0/0,""),preDEL!A323)</f>
        <v>MA1158</v>
      </c>
      <c r="B323" s="170">
        <f>IF(preDEL!$AG323,IFERROR(0/0,""),preDEL!B323)</f>
        <v>44592</v>
      </c>
      <c r="C323" s="171">
        <f>IF(preDEL!$AG323,IFERROR(0/0,""),preDEL!C323)</f>
        <v>0.3271759259</v>
      </c>
      <c r="D323" s="105" t="str">
        <f>IF(preDEL!$AG323,IFERROR(0/0,""),preDEL!D323)</f>
        <v/>
      </c>
      <c r="E323" s="105" t="str">
        <f>IF(preDEL!$AG323,IFERROR(0/0,""),preDEL!E323)</f>
        <v/>
      </c>
      <c r="F323" s="112" t="str">
        <f>IF(preDEL!$AG323,IFERROR(0/0,""),preDEL!F323)</f>
        <v/>
      </c>
      <c r="G323" s="112" t="str">
        <f>IF(preDEL!$AG323,IFERROR(0/0,""),preDEL!G323)</f>
        <v/>
      </c>
      <c r="H323" s="112" t="str">
        <f>IF(preDEL!$AG323,IFERROR(0/0,""),preDEL!H323)</f>
        <v/>
      </c>
      <c r="I323" s="105" t="str">
        <f>IF(preDEL!$AG323,IFERROR(0/0,""),preDEL!I323)</f>
        <v/>
      </c>
      <c r="J323" s="105" t="str">
        <f>IF(preDEL!$AG323,IFERROR(0/0,""),preDEL!J323)</f>
        <v/>
      </c>
      <c r="K323" s="105" t="str">
        <f>IF(preDEL!$AG323,IFERROR(0/0,""),preDEL!K323)</f>
        <v>Negative</v>
      </c>
      <c r="L323" s="170">
        <f>IF(preDEL!$AG323,IFERROR(0/0,""),preDEL!L323)</f>
        <v>44592</v>
      </c>
      <c r="M323" s="171">
        <f>IF(preDEL!$AG323,IFERROR(0/0,""),preDEL!M323)</f>
        <v>0.4602430556</v>
      </c>
      <c r="N323" s="112" t="str">
        <f>IF(preDEL!$AG323,IFERROR(0/0,""),preDEL!N323)</f>
        <v/>
      </c>
      <c r="O323" s="112" t="str">
        <f>IF(preDEL!$AG323,IFERROR(0/0,""),preDEL!O323)</f>
        <v/>
      </c>
      <c r="P323" s="110" t="b">
        <f>IF(preDEL!$AG323,IFERROR(0/0,""),preDEL!P323)</f>
        <v>0</v>
      </c>
      <c r="Q323" s="110" t="str">
        <f>IF(preDEL!$AG323,IFERROR(0/0,""),preDEL!Q323)</f>
        <v>Result</v>
      </c>
      <c r="R323" s="104" t="b">
        <f>IF(preDEL!$AG323,IFERROR(0/0,""),preDEL!R323)</f>
        <v>1</v>
      </c>
      <c r="S323" s="104">
        <f>IF(preDEL!$AG323,IFERROR(0/0,""),preDEL!S323)</f>
        <v>1</v>
      </c>
      <c r="T323" s="110" t="str">
        <f>IF(preDEL!$AG323,IFERROR(0/0,""),preDEL!T323)</f>
        <v/>
      </c>
      <c r="U323" s="112" t="str">
        <f>IF(preDEL!$AG323,IFERROR(0/0,""),preDEL!U323)</f>
        <v/>
      </c>
      <c r="V323" s="105" t="str">
        <f>IF(preDEL!$AG323,IFERROR(0/0,""),preDEL!V323)</f>
        <v/>
      </c>
      <c r="W323" s="112" t="str">
        <f>IF(preDEL!$AG323,IFERROR(0/0,""),preDEL!W323)</f>
        <v/>
      </c>
      <c r="X323" s="104" t="b">
        <f>IF(preDEL!$AG323,IFERROR(0/0,""),preDEL!X323)</f>
        <v>0</v>
      </c>
      <c r="Y323" s="110" t="b">
        <f>IF(preDEL!$AG323,IFERROR(0/0,""),preDEL!Y323)</f>
        <v>0</v>
      </c>
      <c r="Z323" s="105" t="str">
        <f>IF(preDEL!$AG323,IFERROR(0/0,""),preDEL!Z323)</f>
        <v/>
      </c>
      <c r="AA323" s="110" t="b">
        <f>IF(preDEL!$AG323,IFERROR(0/0,""),preDEL!AA323)</f>
        <v>0</v>
      </c>
      <c r="AB323" s="110" t="b">
        <f>IF(preDEL!$AG323,IFERROR(0/0,""),preDEL!AB323)</f>
        <v>0</v>
      </c>
      <c r="AC323" s="172">
        <f>IF(preDEL!$AG323,IFERROR(0/0,""),preDEL!AC323)</f>
        <v>485</v>
      </c>
      <c r="AD323" s="104" t="b">
        <f>IF(preDEL!$AG323,IFERROR(0/0,""),preDEL!AD323)</f>
        <v>0</v>
      </c>
      <c r="AE323" s="173">
        <f>IF(preDEL!$AG323,IFERROR(0/0,""),preDEL!AE323)</f>
        <v>191.6166667</v>
      </c>
      <c r="AF323" s="110" t="b">
        <f>IF(preDEL!$AG323,IFERROR(0/0,""),preDEL!AF323)</f>
        <v>0</v>
      </c>
      <c r="AG323" s="110" t="b">
        <f>IF(preDEL!$AG323,IFERROR(0/0,""),preDEL!AG323)</f>
        <v>0</v>
      </c>
      <c r="AH323" s="104" t="str">
        <f>IF(preDEL!$AG323,IFERROR(0/0,""),preDEL!AH323)</f>
        <v/>
      </c>
      <c r="AI323" s="105" t="str">
        <f>IF(preDEL!$AG323,IFERROR(0/0,""),preDEL!AI323)</f>
        <v/>
      </c>
      <c r="AJ323" s="112" t="str">
        <f>IF(preDEL!$AG323,IFERROR(0/0,""),preDEL!AJ323)</f>
        <v/>
      </c>
      <c r="AK323" s="105" t="str">
        <f>IF(preDEL!$AG323,IFERROR(0/0,""),preDEL!AK323)</f>
        <v>Negative</v>
      </c>
      <c r="AL323" s="112" t="str">
        <f>IF(preDEL!$AG323,IFERROR(0/0,""),preDEL!AL323)</f>
        <v/>
      </c>
      <c r="AM323" s="112" t="str">
        <f>IF(preDEL!$AG323,IFERROR(0/0,""),preDEL!AM323)</f>
        <v>SpBEND953422</v>
      </c>
      <c r="AN323" s="112" t="str">
        <f>IF(preDEL!$AG323,IFERROR(0/0,""),preDEL!AN323)</f>
        <v>BEND782925</v>
      </c>
      <c r="AO323" s="112" t="str">
        <f>IF(preDEL!$AG323,IFERROR(0/0,""),preDEL!AO323)</f>
        <v/>
      </c>
      <c r="AP323" s="112" t="str">
        <f>IF(preDEL!$AG323,IFERROR(0/0,""),preDEL!AP323)</f>
        <v/>
      </c>
      <c r="AQ323" s="112" t="str">
        <f>IF(preDEL!$AG323,IFERROR(0/0,""),preDEL!AQ323)</f>
        <v/>
      </c>
      <c r="AR323" s="112" t="str">
        <f>IF(preDEL!$AG323,IFERROR(0/0,""),preDEL!AR323)</f>
        <v/>
      </c>
      <c r="AS323" s="112" t="str">
        <f>IF(preDEL!$AG323,IFERROR(0/0,""),preDEL!AS323)</f>
        <v/>
      </c>
      <c r="AT323" s="112" t="b">
        <f>IF(preDEL!$AG323,IFERROR(0/0,""),preDEL!AT323)</f>
        <v>0</v>
      </c>
      <c r="AU323" s="112" t="str">
        <f>IF(preDEL!$AG323,IFERROR(0/0,""),preDEL!AU323)</f>
        <v/>
      </c>
      <c r="AV323" s="112" t="str">
        <f>IF(preDEL!$AG323,IFERROR(0/0,""),preDEL!AV323)</f>
        <v/>
      </c>
      <c r="AW323" s="112" t="str">
        <f>IF(preDEL!$AG323,IFERROR(0/0,""),preDEL!AW323)</f>
        <v/>
      </c>
      <c r="AX323" s="112" t="str">
        <f>IF(preDEL!$AG323,IFERROR(0/0,""),preDEL!AX323)</f>
        <v/>
      </c>
      <c r="AY323" s="112" t="str">
        <f>IF(preDEL!$AG323,IFERROR(0/0,""),preDEL!AY323)</f>
        <v/>
      </c>
      <c r="AZ323" s="174"/>
      <c r="BA323" s="174"/>
      <c r="BB323" s="174"/>
      <c r="BC323" s="174"/>
      <c r="BD323" s="174"/>
      <c r="BE323" s="174"/>
      <c r="BF323" s="174"/>
      <c r="BG323" s="174"/>
      <c r="BH323" s="174"/>
      <c r="BI323" s="174"/>
      <c r="BJ323" s="174"/>
      <c r="BK323" s="174"/>
      <c r="BL323" s="174"/>
      <c r="BM323" s="174"/>
      <c r="BN323" s="174"/>
      <c r="BO323" s="174"/>
      <c r="BP323" s="174"/>
      <c r="BQ323" s="174"/>
      <c r="BR323" s="174"/>
      <c r="BS323" s="174"/>
      <c r="BT323" s="174"/>
      <c r="BU323" s="174"/>
      <c r="BV323" s="174"/>
      <c r="BW323" s="174"/>
      <c r="BX323" s="174"/>
      <c r="BY323" s="174"/>
      <c r="BZ323" s="174"/>
      <c r="CA323" s="174"/>
      <c r="CB323" s="174"/>
      <c r="CC323" s="174"/>
      <c r="CD323" s="174"/>
    </row>
    <row r="324">
      <c r="A324" s="105" t="str">
        <f>IF(preDEL!$AG324,IFERROR(0/0,""),preDEL!A324)</f>
        <v>MA619</v>
      </c>
      <c r="B324" s="170">
        <f>IF(preDEL!$AG324,IFERROR(0/0,""),preDEL!B324)</f>
        <v>44592</v>
      </c>
      <c r="C324" s="171">
        <f>IF(preDEL!$AG324,IFERROR(0/0,""),preDEL!C324)</f>
        <v>0.3274421296</v>
      </c>
      <c r="D324" s="105" t="str">
        <f>IF(preDEL!$AG324,IFERROR(0/0,""),preDEL!D324)</f>
        <v/>
      </c>
      <c r="E324" s="105" t="str">
        <f>IF(preDEL!$AG324,IFERROR(0/0,""),preDEL!E324)</f>
        <v/>
      </c>
      <c r="F324" s="112" t="str">
        <f>IF(preDEL!$AG324,IFERROR(0/0,""),preDEL!F324)</f>
        <v/>
      </c>
      <c r="G324" s="112" t="str">
        <f>IF(preDEL!$AG324,IFERROR(0/0,""),preDEL!G324)</f>
        <v/>
      </c>
      <c r="H324" s="112" t="str">
        <f>IF(preDEL!$AG324,IFERROR(0/0,""),preDEL!H324)</f>
        <v/>
      </c>
      <c r="I324" s="105" t="str">
        <f>IF(preDEL!$AG324,IFERROR(0/0,""),preDEL!I324)</f>
        <v/>
      </c>
      <c r="J324" s="105" t="str">
        <f>IF(preDEL!$AG324,IFERROR(0/0,""),preDEL!J324)</f>
        <v/>
      </c>
      <c r="K324" s="105" t="str">
        <f>IF(preDEL!$AG324,IFERROR(0/0,""),preDEL!K324)</f>
        <v>Negative</v>
      </c>
      <c r="L324" s="170">
        <f>IF(preDEL!$AG324,IFERROR(0/0,""),preDEL!L324)</f>
        <v>44592</v>
      </c>
      <c r="M324" s="171">
        <f>IF(preDEL!$AG324,IFERROR(0/0,""),preDEL!M324)</f>
        <v>0.4602430556</v>
      </c>
      <c r="N324" s="112" t="str">
        <f>IF(preDEL!$AG324,IFERROR(0/0,""),preDEL!N324)</f>
        <v/>
      </c>
      <c r="O324" s="112" t="str">
        <f>IF(preDEL!$AG324,IFERROR(0/0,""),preDEL!O324)</f>
        <v/>
      </c>
      <c r="P324" s="110" t="b">
        <f>IF(preDEL!$AG324,IFERROR(0/0,""),preDEL!P324)</f>
        <v>0</v>
      </c>
      <c r="Q324" s="110" t="str">
        <f>IF(preDEL!$AG324,IFERROR(0/0,""),preDEL!Q324)</f>
        <v>Result</v>
      </c>
      <c r="R324" s="104" t="b">
        <f>IF(preDEL!$AG324,IFERROR(0/0,""),preDEL!R324)</f>
        <v>1</v>
      </c>
      <c r="S324" s="104">
        <f>IF(preDEL!$AG324,IFERROR(0/0,""),preDEL!S324)</f>
        <v>1</v>
      </c>
      <c r="T324" s="110" t="str">
        <f>IF(preDEL!$AG324,IFERROR(0/0,""),preDEL!T324)</f>
        <v/>
      </c>
      <c r="U324" s="112" t="str">
        <f>IF(preDEL!$AG324,IFERROR(0/0,""),preDEL!U324)</f>
        <v/>
      </c>
      <c r="V324" s="105" t="str">
        <f>IF(preDEL!$AG324,IFERROR(0/0,""),preDEL!V324)</f>
        <v/>
      </c>
      <c r="W324" s="112" t="str">
        <f>IF(preDEL!$AG324,IFERROR(0/0,""),preDEL!W324)</f>
        <v/>
      </c>
      <c r="X324" s="104" t="b">
        <f>IF(preDEL!$AG324,IFERROR(0/0,""),preDEL!X324)</f>
        <v>0</v>
      </c>
      <c r="Y324" s="110" t="b">
        <f>IF(preDEL!$AG324,IFERROR(0/0,""),preDEL!Y324)</f>
        <v>0</v>
      </c>
      <c r="Z324" s="105" t="str">
        <f>IF(preDEL!$AG324,IFERROR(0/0,""),preDEL!Z324)</f>
        <v/>
      </c>
      <c r="AA324" s="110" t="b">
        <f>IF(preDEL!$AG324,IFERROR(0/0,""),preDEL!AA324)</f>
        <v>0</v>
      </c>
      <c r="AB324" s="110" t="b">
        <f>IF(preDEL!$AG324,IFERROR(0/0,""),preDEL!AB324)</f>
        <v>0</v>
      </c>
      <c r="AC324" s="172">
        <f>IF(preDEL!$AG324,IFERROR(0/0,""),preDEL!AC324)</f>
        <v>484</v>
      </c>
      <c r="AD324" s="104" t="b">
        <f>IF(preDEL!$AG324,IFERROR(0/0,""),preDEL!AD324)</f>
        <v>0</v>
      </c>
      <c r="AE324" s="173">
        <f>IF(preDEL!$AG324,IFERROR(0/0,""),preDEL!AE324)</f>
        <v>191.2333333</v>
      </c>
      <c r="AF324" s="110" t="b">
        <f>IF(preDEL!$AG324,IFERROR(0/0,""),preDEL!AF324)</f>
        <v>0</v>
      </c>
      <c r="AG324" s="110" t="b">
        <f>IF(preDEL!$AG324,IFERROR(0/0,""),preDEL!AG324)</f>
        <v>0</v>
      </c>
      <c r="AH324" s="104" t="str">
        <f>IF(preDEL!$AG324,IFERROR(0/0,""),preDEL!AH324)</f>
        <v/>
      </c>
      <c r="AI324" s="105" t="str">
        <f>IF(preDEL!$AG324,IFERROR(0/0,""),preDEL!AI324)</f>
        <v/>
      </c>
      <c r="AJ324" s="112" t="str">
        <f>IF(preDEL!$AG324,IFERROR(0/0,""),preDEL!AJ324)</f>
        <v/>
      </c>
      <c r="AK324" s="105" t="str">
        <f>IF(preDEL!$AG324,IFERROR(0/0,""),preDEL!AK324)</f>
        <v>Negative</v>
      </c>
      <c r="AL324" s="112" t="str">
        <f>IF(preDEL!$AG324,IFERROR(0/0,""),preDEL!AL324)</f>
        <v/>
      </c>
      <c r="AM324" s="112" t="str">
        <f>IF(preDEL!$AG324,IFERROR(0/0,""),preDEL!AM324)</f>
        <v>SpBEND643855</v>
      </c>
      <c r="AN324" s="112" t="str">
        <f>IF(preDEL!$AG324,IFERROR(0/0,""),preDEL!AN324)</f>
        <v>BEND364074</v>
      </c>
      <c r="AO324" s="112" t="str">
        <f>IF(preDEL!$AG324,IFERROR(0/0,""),preDEL!AO324)</f>
        <v/>
      </c>
      <c r="AP324" s="112" t="str">
        <f>IF(preDEL!$AG324,IFERROR(0/0,""),preDEL!AP324)</f>
        <v/>
      </c>
      <c r="AQ324" s="112" t="str">
        <f>IF(preDEL!$AG324,IFERROR(0/0,""),preDEL!AQ324)</f>
        <v/>
      </c>
      <c r="AR324" s="112" t="str">
        <f>IF(preDEL!$AG324,IFERROR(0/0,""),preDEL!AR324)</f>
        <v/>
      </c>
      <c r="AS324" s="112" t="str">
        <f>IF(preDEL!$AG324,IFERROR(0/0,""),preDEL!AS324)</f>
        <v/>
      </c>
      <c r="AT324" s="112" t="b">
        <f>IF(preDEL!$AG324,IFERROR(0/0,""),preDEL!AT324)</f>
        <v>0</v>
      </c>
      <c r="AU324" s="112" t="str">
        <f>IF(preDEL!$AG324,IFERROR(0/0,""),preDEL!AU324)</f>
        <v/>
      </c>
      <c r="AV324" s="112" t="str">
        <f>IF(preDEL!$AG324,IFERROR(0/0,""),preDEL!AV324)</f>
        <v/>
      </c>
      <c r="AW324" s="112" t="str">
        <f>IF(preDEL!$AG324,IFERROR(0/0,""),preDEL!AW324)</f>
        <v/>
      </c>
      <c r="AX324" s="112" t="str">
        <f>IF(preDEL!$AG324,IFERROR(0/0,""),preDEL!AX324)</f>
        <v/>
      </c>
      <c r="AY324" s="112" t="str">
        <f>IF(preDEL!$AG324,IFERROR(0/0,""),preDEL!AY324)</f>
        <v/>
      </c>
      <c r="AZ324" s="174"/>
      <c r="BA324" s="174"/>
      <c r="BB324" s="174"/>
      <c r="BC324" s="174"/>
      <c r="BD324" s="174"/>
      <c r="BE324" s="174"/>
      <c r="BF324" s="174"/>
      <c r="BG324" s="174"/>
      <c r="BH324" s="174"/>
      <c r="BI324" s="174"/>
      <c r="BJ324" s="174"/>
      <c r="BK324" s="174"/>
      <c r="BL324" s="174"/>
      <c r="BM324" s="174"/>
      <c r="BN324" s="174"/>
      <c r="BO324" s="174"/>
      <c r="BP324" s="174"/>
      <c r="BQ324" s="174"/>
      <c r="BR324" s="174"/>
      <c r="BS324" s="174"/>
      <c r="BT324" s="174"/>
      <c r="BU324" s="174"/>
      <c r="BV324" s="174"/>
      <c r="BW324" s="174"/>
      <c r="BX324" s="174"/>
      <c r="BY324" s="174"/>
      <c r="BZ324" s="174"/>
      <c r="CA324" s="174"/>
      <c r="CB324" s="174"/>
      <c r="CC324" s="174"/>
      <c r="CD324" s="174"/>
    </row>
    <row r="325">
      <c r="A325" s="105" t="str">
        <f>IF(preDEL!$AG325,IFERROR(0/0,""),preDEL!A325)</f>
        <v>MA348</v>
      </c>
      <c r="B325" s="170">
        <f>IF(preDEL!$AG325,IFERROR(0/0,""),preDEL!B325)</f>
        <v>44592</v>
      </c>
      <c r="C325" s="171">
        <f>IF(preDEL!$AG325,IFERROR(0/0,""),preDEL!C325)</f>
        <v>0.3297337963</v>
      </c>
      <c r="D325" s="105" t="str">
        <f>IF(preDEL!$AG325,IFERROR(0/0,""),preDEL!D325)</f>
        <v/>
      </c>
      <c r="E325" s="105" t="str">
        <f>IF(preDEL!$AG325,IFERROR(0/0,""),preDEL!E325)</f>
        <v/>
      </c>
      <c r="F325" s="112" t="str">
        <f>IF(preDEL!$AG325,IFERROR(0/0,""),preDEL!F325)</f>
        <v/>
      </c>
      <c r="G325" s="112" t="str">
        <f>IF(preDEL!$AG325,IFERROR(0/0,""),preDEL!G325)</f>
        <v/>
      </c>
      <c r="H325" s="112" t="str">
        <f>IF(preDEL!$AG325,IFERROR(0/0,""),preDEL!H325)</f>
        <v/>
      </c>
      <c r="I325" s="105" t="str">
        <f>IF(preDEL!$AG325,IFERROR(0/0,""),preDEL!I325)</f>
        <v/>
      </c>
      <c r="J325" s="105" t="str">
        <f>IF(preDEL!$AG325,IFERROR(0/0,""),preDEL!J325)</f>
        <v/>
      </c>
      <c r="K325" s="105" t="str">
        <f>IF(preDEL!$AG325,IFERROR(0/0,""),preDEL!K325)</f>
        <v>Negative</v>
      </c>
      <c r="L325" s="170">
        <f>IF(preDEL!$AG325,IFERROR(0/0,""),preDEL!L325)</f>
        <v>44592</v>
      </c>
      <c r="M325" s="171">
        <f>IF(preDEL!$AG325,IFERROR(0/0,""),preDEL!M325)</f>
        <v>0.4602430556</v>
      </c>
      <c r="N325" s="112" t="str">
        <f>IF(preDEL!$AG325,IFERROR(0/0,""),preDEL!N325)</f>
        <v/>
      </c>
      <c r="O325" s="112" t="str">
        <f>IF(preDEL!$AG325,IFERROR(0/0,""),preDEL!O325)</f>
        <v/>
      </c>
      <c r="P325" s="110" t="b">
        <f>IF(preDEL!$AG325,IFERROR(0/0,""),preDEL!P325)</f>
        <v>0</v>
      </c>
      <c r="Q325" s="110" t="str">
        <f>IF(preDEL!$AG325,IFERROR(0/0,""),preDEL!Q325)</f>
        <v>Result</v>
      </c>
      <c r="R325" s="104" t="b">
        <f>IF(preDEL!$AG325,IFERROR(0/0,""),preDEL!R325)</f>
        <v>1</v>
      </c>
      <c r="S325" s="104">
        <f>IF(preDEL!$AG325,IFERROR(0/0,""),preDEL!S325)</f>
        <v>1</v>
      </c>
      <c r="T325" s="110" t="str">
        <f>IF(preDEL!$AG325,IFERROR(0/0,""),preDEL!T325)</f>
        <v/>
      </c>
      <c r="U325" s="112" t="str">
        <f>IF(preDEL!$AG325,IFERROR(0/0,""),preDEL!U325)</f>
        <v/>
      </c>
      <c r="V325" s="105" t="str">
        <f>IF(preDEL!$AG325,IFERROR(0/0,""),preDEL!V325)</f>
        <v/>
      </c>
      <c r="W325" s="112" t="str">
        <f>IF(preDEL!$AG325,IFERROR(0/0,""),preDEL!W325)</f>
        <v/>
      </c>
      <c r="X325" s="104" t="b">
        <f>IF(preDEL!$AG325,IFERROR(0/0,""),preDEL!X325)</f>
        <v>0</v>
      </c>
      <c r="Y325" s="110" t="b">
        <f>IF(preDEL!$AG325,IFERROR(0/0,""),preDEL!Y325)</f>
        <v>0</v>
      </c>
      <c r="Z325" s="105" t="str">
        <f>IF(preDEL!$AG325,IFERROR(0/0,""),preDEL!Z325)</f>
        <v/>
      </c>
      <c r="AA325" s="110" t="b">
        <f>IF(preDEL!$AG325,IFERROR(0/0,""),preDEL!AA325)</f>
        <v>0</v>
      </c>
      <c r="AB325" s="110" t="b">
        <f>IF(preDEL!$AG325,IFERROR(0/0,""),preDEL!AB325)</f>
        <v>0</v>
      </c>
      <c r="AC325" s="172">
        <f>IF(preDEL!$AG325,IFERROR(0/0,""),preDEL!AC325)</f>
        <v>483</v>
      </c>
      <c r="AD325" s="104" t="b">
        <f>IF(preDEL!$AG325,IFERROR(0/0,""),preDEL!AD325)</f>
        <v>0</v>
      </c>
      <c r="AE325" s="173">
        <f>IF(preDEL!$AG325,IFERROR(0/0,""),preDEL!AE325)</f>
        <v>187.9333333</v>
      </c>
      <c r="AF325" s="110" t="b">
        <f>IF(preDEL!$AG325,IFERROR(0/0,""),preDEL!AF325)</f>
        <v>0</v>
      </c>
      <c r="AG325" s="110" t="b">
        <f>IF(preDEL!$AG325,IFERROR(0/0,""),preDEL!AG325)</f>
        <v>0</v>
      </c>
      <c r="AH325" s="104" t="str">
        <f>IF(preDEL!$AG325,IFERROR(0/0,""),preDEL!AH325)</f>
        <v/>
      </c>
      <c r="AI325" s="105" t="str">
        <f>IF(preDEL!$AG325,IFERROR(0/0,""),preDEL!AI325)</f>
        <v/>
      </c>
      <c r="AJ325" s="112" t="str">
        <f>IF(preDEL!$AG325,IFERROR(0/0,""),preDEL!AJ325)</f>
        <v/>
      </c>
      <c r="AK325" s="105" t="str">
        <f>IF(preDEL!$AG325,IFERROR(0/0,""),preDEL!AK325)</f>
        <v>Negative</v>
      </c>
      <c r="AL325" s="112" t="str">
        <f>IF(preDEL!$AG325,IFERROR(0/0,""),preDEL!AL325)</f>
        <v/>
      </c>
      <c r="AM325" s="112" t="str">
        <f>IF(preDEL!$AG325,IFERROR(0/0,""),preDEL!AM325)</f>
        <v>SpBEND721986</v>
      </c>
      <c r="AN325" s="112" t="str">
        <f>IF(preDEL!$AG325,IFERROR(0/0,""),preDEL!AN325)</f>
        <v>BEND127889</v>
      </c>
      <c r="AO325" s="112" t="str">
        <f>IF(preDEL!$AG325,IFERROR(0/0,""),preDEL!AO325)</f>
        <v/>
      </c>
      <c r="AP325" s="112" t="str">
        <f>IF(preDEL!$AG325,IFERROR(0/0,""),preDEL!AP325)</f>
        <v/>
      </c>
      <c r="AQ325" s="112" t="str">
        <f>IF(preDEL!$AG325,IFERROR(0/0,""),preDEL!AQ325)</f>
        <v/>
      </c>
      <c r="AR325" s="112" t="str">
        <f>IF(preDEL!$AG325,IFERROR(0/0,""),preDEL!AR325)</f>
        <v/>
      </c>
      <c r="AS325" s="112" t="str">
        <f>IF(preDEL!$AG325,IFERROR(0/0,""),preDEL!AS325)</f>
        <v/>
      </c>
      <c r="AT325" s="112" t="b">
        <f>IF(preDEL!$AG325,IFERROR(0/0,""),preDEL!AT325)</f>
        <v>0</v>
      </c>
      <c r="AU325" s="112" t="str">
        <f>IF(preDEL!$AG325,IFERROR(0/0,""),preDEL!AU325)</f>
        <v/>
      </c>
      <c r="AV325" s="112" t="str">
        <f>IF(preDEL!$AG325,IFERROR(0/0,""),preDEL!AV325)</f>
        <v/>
      </c>
      <c r="AW325" s="112" t="str">
        <f>IF(preDEL!$AG325,IFERROR(0/0,""),preDEL!AW325)</f>
        <v/>
      </c>
      <c r="AX325" s="112" t="str">
        <f>IF(preDEL!$AG325,IFERROR(0/0,""),preDEL!AX325)</f>
        <v/>
      </c>
      <c r="AY325" s="112" t="str">
        <f>IF(preDEL!$AG325,IFERROR(0/0,""),preDEL!AY325)</f>
        <v/>
      </c>
      <c r="AZ325" s="174"/>
      <c r="BA325" s="174"/>
      <c r="BB325" s="174"/>
      <c r="BC325" s="174"/>
      <c r="BD325" s="174"/>
      <c r="BE325" s="174"/>
      <c r="BF325" s="174"/>
      <c r="BG325" s="174"/>
      <c r="BH325" s="174"/>
      <c r="BI325" s="174"/>
      <c r="BJ325" s="174"/>
      <c r="BK325" s="174"/>
      <c r="BL325" s="174"/>
      <c r="BM325" s="174"/>
      <c r="BN325" s="174"/>
      <c r="BO325" s="174"/>
      <c r="BP325" s="174"/>
      <c r="BQ325" s="174"/>
      <c r="BR325" s="174"/>
      <c r="BS325" s="174"/>
      <c r="BT325" s="174"/>
      <c r="BU325" s="174"/>
      <c r="BV325" s="174"/>
      <c r="BW325" s="174"/>
      <c r="BX325" s="174"/>
      <c r="BY325" s="174"/>
      <c r="BZ325" s="174"/>
      <c r="CA325" s="174"/>
      <c r="CB325" s="174"/>
      <c r="CC325" s="174"/>
      <c r="CD325" s="174"/>
    </row>
    <row r="326">
      <c r="A326" s="105" t="str">
        <f>IF(preDEL!$AG326,IFERROR(0/0,""),preDEL!A326)</f>
        <v>MA615</v>
      </c>
      <c r="B326" s="170">
        <f>IF(preDEL!$AG326,IFERROR(0/0,""),preDEL!B326)</f>
        <v>44592</v>
      </c>
      <c r="C326" s="171">
        <f>IF(preDEL!$AG326,IFERROR(0/0,""),preDEL!C326)</f>
        <v>0.333587963</v>
      </c>
      <c r="D326" s="105" t="str">
        <f>IF(preDEL!$AG326,IFERROR(0/0,""),preDEL!D326)</f>
        <v/>
      </c>
      <c r="E326" s="105" t="str">
        <f>IF(preDEL!$AG326,IFERROR(0/0,""),preDEL!E326)</f>
        <v/>
      </c>
      <c r="F326" s="112" t="str">
        <f>IF(preDEL!$AG326,IFERROR(0/0,""),preDEL!F326)</f>
        <v/>
      </c>
      <c r="G326" s="112" t="str">
        <f>IF(preDEL!$AG326,IFERROR(0/0,""),preDEL!G326)</f>
        <v/>
      </c>
      <c r="H326" s="112" t="str">
        <f>IF(preDEL!$AG326,IFERROR(0/0,""),preDEL!H326)</f>
        <v/>
      </c>
      <c r="I326" s="105" t="str">
        <f>IF(preDEL!$AG326,IFERROR(0/0,""),preDEL!I326)</f>
        <v/>
      </c>
      <c r="J326" s="105" t="str">
        <f>IF(preDEL!$AG326,IFERROR(0/0,""),preDEL!J326)</f>
        <v/>
      </c>
      <c r="K326" s="105" t="str">
        <f>IF(preDEL!$AG326,IFERROR(0/0,""),preDEL!K326)</f>
        <v>Negative</v>
      </c>
      <c r="L326" s="170">
        <f>IF(preDEL!$AG326,IFERROR(0/0,""),preDEL!L326)</f>
        <v>44592</v>
      </c>
      <c r="M326" s="171">
        <f>IF(preDEL!$AG326,IFERROR(0/0,""),preDEL!M326)</f>
        <v>0.4602430556</v>
      </c>
      <c r="N326" s="112" t="str">
        <f>IF(preDEL!$AG326,IFERROR(0/0,""),preDEL!N326)</f>
        <v/>
      </c>
      <c r="O326" s="112" t="str">
        <f>IF(preDEL!$AG326,IFERROR(0/0,""),preDEL!O326)</f>
        <v/>
      </c>
      <c r="P326" s="110" t="b">
        <f>IF(preDEL!$AG326,IFERROR(0/0,""),preDEL!P326)</f>
        <v>0</v>
      </c>
      <c r="Q326" s="110" t="str">
        <f>IF(preDEL!$AG326,IFERROR(0/0,""),preDEL!Q326)</f>
        <v>Result</v>
      </c>
      <c r="R326" s="104" t="b">
        <f>IF(preDEL!$AG326,IFERROR(0/0,""),preDEL!R326)</f>
        <v>1</v>
      </c>
      <c r="S326" s="104">
        <f>IF(preDEL!$AG326,IFERROR(0/0,""),preDEL!S326)</f>
        <v>1</v>
      </c>
      <c r="T326" s="110" t="str">
        <f>IF(preDEL!$AG326,IFERROR(0/0,""),preDEL!T326)</f>
        <v/>
      </c>
      <c r="U326" s="112" t="str">
        <f>IF(preDEL!$AG326,IFERROR(0/0,""),preDEL!U326)</f>
        <v/>
      </c>
      <c r="V326" s="105" t="str">
        <f>IF(preDEL!$AG326,IFERROR(0/0,""),preDEL!V326)</f>
        <v/>
      </c>
      <c r="W326" s="112" t="str">
        <f>IF(preDEL!$AG326,IFERROR(0/0,""),preDEL!W326)</f>
        <v/>
      </c>
      <c r="X326" s="104" t="b">
        <f>IF(preDEL!$AG326,IFERROR(0/0,""),preDEL!X326)</f>
        <v>0</v>
      </c>
      <c r="Y326" s="110" t="b">
        <f>IF(preDEL!$AG326,IFERROR(0/0,""),preDEL!Y326)</f>
        <v>0</v>
      </c>
      <c r="Z326" s="105" t="str">
        <f>IF(preDEL!$AG326,IFERROR(0/0,""),preDEL!Z326)</f>
        <v/>
      </c>
      <c r="AA326" s="110" t="b">
        <f>IF(preDEL!$AG326,IFERROR(0/0,""),preDEL!AA326)</f>
        <v>0</v>
      </c>
      <c r="AB326" s="110" t="b">
        <f>IF(preDEL!$AG326,IFERROR(0/0,""),preDEL!AB326)</f>
        <v>0</v>
      </c>
      <c r="AC326" s="172">
        <f>IF(preDEL!$AG326,IFERROR(0/0,""),preDEL!AC326)</f>
        <v>482</v>
      </c>
      <c r="AD326" s="104" t="b">
        <f>IF(preDEL!$AG326,IFERROR(0/0,""),preDEL!AD326)</f>
        <v>0</v>
      </c>
      <c r="AE326" s="173">
        <f>IF(preDEL!$AG326,IFERROR(0/0,""),preDEL!AE326)</f>
        <v>182.3833333</v>
      </c>
      <c r="AF326" s="110" t="b">
        <f>IF(preDEL!$AG326,IFERROR(0/0,""),preDEL!AF326)</f>
        <v>0</v>
      </c>
      <c r="AG326" s="110" t="b">
        <f>IF(preDEL!$AG326,IFERROR(0/0,""),preDEL!AG326)</f>
        <v>0</v>
      </c>
      <c r="AH326" s="104" t="str">
        <f>IF(preDEL!$AG326,IFERROR(0/0,""),preDEL!AH326)</f>
        <v/>
      </c>
      <c r="AI326" s="105" t="str">
        <f>IF(preDEL!$AG326,IFERROR(0/0,""),preDEL!AI326)</f>
        <v/>
      </c>
      <c r="AJ326" s="112" t="str">
        <f>IF(preDEL!$AG326,IFERROR(0/0,""),preDEL!AJ326)</f>
        <v/>
      </c>
      <c r="AK326" s="105" t="str">
        <f>IF(preDEL!$AG326,IFERROR(0/0,""),preDEL!AK326)</f>
        <v>Negative</v>
      </c>
      <c r="AL326" s="112" t="str">
        <f>IF(preDEL!$AG326,IFERROR(0/0,""),preDEL!AL326)</f>
        <v/>
      </c>
      <c r="AM326" s="112" t="str">
        <f>IF(preDEL!$AG326,IFERROR(0/0,""),preDEL!AM326)</f>
        <v>SpBEND349435</v>
      </c>
      <c r="AN326" s="112" t="str">
        <f>IF(preDEL!$AG326,IFERROR(0/0,""),preDEL!AN326)</f>
        <v>BEND759602</v>
      </c>
      <c r="AO326" s="112" t="str">
        <f>IF(preDEL!$AG326,IFERROR(0/0,""),preDEL!AO326)</f>
        <v/>
      </c>
      <c r="AP326" s="112" t="str">
        <f>IF(preDEL!$AG326,IFERROR(0/0,""),preDEL!AP326)</f>
        <v/>
      </c>
      <c r="AQ326" s="112" t="str">
        <f>IF(preDEL!$AG326,IFERROR(0/0,""),preDEL!AQ326)</f>
        <v/>
      </c>
      <c r="AR326" s="112" t="str">
        <f>IF(preDEL!$AG326,IFERROR(0/0,""),preDEL!AR326)</f>
        <v/>
      </c>
      <c r="AS326" s="112" t="str">
        <f>IF(preDEL!$AG326,IFERROR(0/0,""),preDEL!AS326)</f>
        <v/>
      </c>
      <c r="AT326" s="112" t="b">
        <f>IF(preDEL!$AG326,IFERROR(0/0,""),preDEL!AT326)</f>
        <v>0</v>
      </c>
      <c r="AU326" s="112" t="str">
        <f>IF(preDEL!$AG326,IFERROR(0/0,""),preDEL!AU326)</f>
        <v/>
      </c>
      <c r="AV326" s="112" t="str">
        <f>IF(preDEL!$AG326,IFERROR(0/0,""),preDEL!AV326)</f>
        <v/>
      </c>
      <c r="AW326" s="112" t="str">
        <f>IF(preDEL!$AG326,IFERROR(0/0,""),preDEL!AW326)</f>
        <v/>
      </c>
      <c r="AX326" s="112" t="str">
        <f>IF(preDEL!$AG326,IFERROR(0/0,""),preDEL!AX326)</f>
        <v/>
      </c>
      <c r="AY326" s="112" t="str">
        <f>IF(preDEL!$AG326,IFERROR(0/0,""),preDEL!AY326)</f>
        <v/>
      </c>
      <c r="AZ326" s="174"/>
      <c r="BA326" s="174"/>
      <c r="BB326" s="174"/>
      <c r="BC326" s="174"/>
      <c r="BD326" s="174"/>
      <c r="BE326" s="174"/>
      <c r="BF326" s="174"/>
      <c r="BG326" s="174"/>
      <c r="BH326" s="174"/>
      <c r="BI326" s="174"/>
      <c r="BJ326" s="174"/>
      <c r="BK326" s="174"/>
      <c r="BL326" s="174"/>
      <c r="BM326" s="174"/>
      <c r="BN326" s="174"/>
      <c r="BO326" s="174"/>
      <c r="BP326" s="174"/>
      <c r="BQ326" s="174"/>
      <c r="BR326" s="174"/>
      <c r="BS326" s="174"/>
      <c r="BT326" s="174"/>
      <c r="BU326" s="174"/>
      <c r="BV326" s="174"/>
      <c r="BW326" s="174"/>
      <c r="BX326" s="174"/>
      <c r="BY326" s="174"/>
      <c r="BZ326" s="174"/>
      <c r="CA326" s="174"/>
      <c r="CB326" s="174"/>
      <c r="CC326" s="174"/>
      <c r="CD326" s="174"/>
    </row>
    <row r="327">
      <c r="A327" s="105" t="str">
        <f>IF(preDEL!$AG327,IFERROR(0/0,""),preDEL!A327)</f>
        <v>MA613</v>
      </c>
      <c r="B327" s="170">
        <f>IF(preDEL!$AG327,IFERROR(0/0,""),preDEL!B327)</f>
        <v>44592</v>
      </c>
      <c r="C327" s="171">
        <f>IF(preDEL!$AG327,IFERROR(0/0,""),preDEL!C327)</f>
        <v>0.3336805556</v>
      </c>
      <c r="D327" s="105" t="str">
        <f>IF(preDEL!$AG327,IFERROR(0/0,""),preDEL!D327)</f>
        <v/>
      </c>
      <c r="E327" s="105" t="str">
        <f>IF(preDEL!$AG327,IFERROR(0/0,""),preDEL!E327)</f>
        <v/>
      </c>
      <c r="F327" s="112" t="str">
        <f>IF(preDEL!$AG327,IFERROR(0/0,""),preDEL!F327)</f>
        <v/>
      </c>
      <c r="G327" s="112" t="str">
        <f>IF(preDEL!$AG327,IFERROR(0/0,""),preDEL!G327)</f>
        <v/>
      </c>
      <c r="H327" s="112" t="str">
        <f>IF(preDEL!$AG327,IFERROR(0/0,""),preDEL!H327)</f>
        <v/>
      </c>
      <c r="I327" s="105" t="str">
        <f>IF(preDEL!$AG327,IFERROR(0/0,""),preDEL!I327)</f>
        <v/>
      </c>
      <c r="J327" s="105" t="str">
        <f>IF(preDEL!$AG327,IFERROR(0/0,""),preDEL!J327)</f>
        <v/>
      </c>
      <c r="K327" s="105" t="str">
        <f>IF(preDEL!$AG327,IFERROR(0/0,""),preDEL!K327)</f>
        <v>Negative</v>
      </c>
      <c r="L327" s="170">
        <f>IF(preDEL!$AG327,IFERROR(0/0,""),preDEL!L327)</f>
        <v>44592</v>
      </c>
      <c r="M327" s="171">
        <f>IF(preDEL!$AG327,IFERROR(0/0,""),preDEL!M327)</f>
        <v>0.4602430556</v>
      </c>
      <c r="N327" s="112" t="str">
        <f>IF(preDEL!$AG327,IFERROR(0/0,""),preDEL!N327)</f>
        <v/>
      </c>
      <c r="O327" s="112" t="str">
        <f>IF(preDEL!$AG327,IFERROR(0/0,""),preDEL!O327)</f>
        <v/>
      </c>
      <c r="P327" s="110" t="b">
        <f>IF(preDEL!$AG327,IFERROR(0/0,""),preDEL!P327)</f>
        <v>0</v>
      </c>
      <c r="Q327" s="110" t="str">
        <f>IF(preDEL!$AG327,IFERROR(0/0,""),preDEL!Q327)</f>
        <v>Result</v>
      </c>
      <c r="R327" s="104" t="b">
        <f>IF(preDEL!$AG327,IFERROR(0/0,""),preDEL!R327)</f>
        <v>1</v>
      </c>
      <c r="S327" s="104">
        <f>IF(preDEL!$AG327,IFERROR(0/0,""),preDEL!S327)</f>
        <v>1</v>
      </c>
      <c r="T327" s="110" t="str">
        <f>IF(preDEL!$AG327,IFERROR(0/0,""),preDEL!T327)</f>
        <v/>
      </c>
      <c r="U327" s="112" t="str">
        <f>IF(preDEL!$AG327,IFERROR(0/0,""),preDEL!U327)</f>
        <v/>
      </c>
      <c r="V327" s="105" t="str">
        <f>IF(preDEL!$AG327,IFERROR(0/0,""),preDEL!V327)</f>
        <v/>
      </c>
      <c r="W327" s="112" t="str">
        <f>IF(preDEL!$AG327,IFERROR(0/0,""),preDEL!W327)</f>
        <v/>
      </c>
      <c r="X327" s="104" t="b">
        <f>IF(preDEL!$AG327,IFERROR(0/0,""),preDEL!X327)</f>
        <v>0</v>
      </c>
      <c r="Y327" s="110" t="b">
        <f>IF(preDEL!$AG327,IFERROR(0/0,""),preDEL!Y327)</f>
        <v>0</v>
      </c>
      <c r="Z327" s="105" t="str">
        <f>IF(preDEL!$AG327,IFERROR(0/0,""),preDEL!Z327)</f>
        <v/>
      </c>
      <c r="AA327" s="110" t="b">
        <f>IF(preDEL!$AG327,IFERROR(0/0,""),preDEL!AA327)</f>
        <v>0</v>
      </c>
      <c r="AB327" s="110" t="b">
        <f>IF(preDEL!$AG327,IFERROR(0/0,""),preDEL!AB327)</f>
        <v>0</v>
      </c>
      <c r="AC327" s="172">
        <f>IF(preDEL!$AG327,IFERROR(0/0,""),preDEL!AC327)</f>
        <v>481</v>
      </c>
      <c r="AD327" s="104" t="b">
        <f>IF(preDEL!$AG327,IFERROR(0/0,""),preDEL!AD327)</f>
        <v>0</v>
      </c>
      <c r="AE327" s="173">
        <f>IF(preDEL!$AG327,IFERROR(0/0,""),preDEL!AE327)</f>
        <v>182.25</v>
      </c>
      <c r="AF327" s="110" t="b">
        <f>IF(preDEL!$AG327,IFERROR(0/0,""),preDEL!AF327)</f>
        <v>0</v>
      </c>
      <c r="AG327" s="110" t="b">
        <f>IF(preDEL!$AG327,IFERROR(0/0,""),preDEL!AG327)</f>
        <v>0</v>
      </c>
      <c r="AH327" s="104" t="str">
        <f>IF(preDEL!$AG327,IFERROR(0/0,""),preDEL!AH327)</f>
        <v/>
      </c>
      <c r="AI327" s="105" t="str">
        <f>IF(preDEL!$AG327,IFERROR(0/0,""),preDEL!AI327)</f>
        <v/>
      </c>
      <c r="AJ327" s="112" t="str">
        <f>IF(preDEL!$AG327,IFERROR(0/0,""),preDEL!AJ327)</f>
        <v/>
      </c>
      <c r="AK327" s="105" t="str">
        <f>IF(preDEL!$AG327,IFERROR(0/0,""),preDEL!AK327)</f>
        <v>Negative</v>
      </c>
      <c r="AL327" s="112" t="str">
        <f>IF(preDEL!$AG327,IFERROR(0/0,""),preDEL!AL327)</f>
        <v/>
      </c>
      <c r="AM327" s="112" t="str">
        <f>IF(preDEL!$AG327,IFERROR(0/0,""),preDEL!AM327)</f>
        <v>SpBEND768497</v>
      </c>
      <c r="AN327" s="112" t="str">
        <f>IF(preDEL!$AG327,IFERROR(0/0,""),preDEL!AN327)</f>
        <v>BEND900381</v>
      </c>
      <c r="AO327" s="112" t="str">
        <f>IF(preDEL!$AG327,IFERROR(0/0,""),preDEL!AO327)</f>
        <v/>
      </c>
      <c r="AP327" s="112" t="str">
        <f>IF(preDEL!$AG327,IFERROR(0/0,""),preDEL!AP327)</f>
        <v/>
      </c>
      <c r="AQ327" s="112" t="str">
        <f>IF(preDEL!$AG327,IFERROR(0/0,""),preDEL!AQ327)</f>
        <v/>
      </c>
      <c r="AR327" s="112" t="str">
        <f>IF(preDEL!$AG327,IFERROR(0/0,""),preDEL!AR327)</f>
        <v/>
      </c>
      <c r="AS327" s="112" t="str">
        <f>IF(preDEL!$AG327,IFERROR(0/0,""),preDEL!AS327)</f>
        <v/>
      </c>
      <c r="AT327" s="112" t="b">
        <f>IF(preDEL!$AG327,IFERROR(0/0,""),preDEL!AT327)</f>
        <v>0</v>
      </c>
      <c r="AU327" s="112" t="str">
        <f>IF(preDEL!$AG327,IFERROR(0/0,""),preDEL!AU327)</f>
        <v/>
      </c>
      <c r="AV327" s="112" t="str">
        <f>IF(preDEL!$AG327,IFERROR(0/0,""),preDEL!AV327)</f>
        <v/>
      </c>
      <c r="AW327" s="112" t="str">
        <f>IF(preDEL!$AG327,IFERROR(0/0,""),preDEL!AW327)</f>
        <v/>
      </c>
      <c r="AX327" s="112" t="str">
        <f>IF(preDEL!$AG327,IFERROR(0/0,""),preDEL!AX327)</f>
        <v/>
      </c>
      <c r="AY327" s="112" t="str">
        <f>IF(preDEL!$AG327,IFERROR(0/0,""),preDEL!AY327)</f>
        <v/>
      </c>
      <c r="AZ327" s="174"/>
      <c r="BA327" s="174"/>
      <c r="BB327" s="174"/>
      <c r="BC327" s="174"/>
      <c r="BD327" s="174"/>
      <c r="BE327" s="174"/>
      <c r="BF327" s="174"/>
      <c r="BG327" s="174"/>
      <c r="BH327" s="174"/>
      <c r="BI327" s="174"/>
      <c r="BJ327" s="174"/>
      <c r="BK327" s="174"/>
      <c r="BL327" s="174"/>
      <c r="BM327" s="174"/>
      <c r="BN327" s="174"/>
      <c r="BO327" s="174"/>
      <c r="BP327" s="174"/>
      <c r="BQ327" s="174"/>
      <c r="BR327" s="174"/>
      <c r="BS327" s="174"/>
      <c r="BT327" s="174"/>
      <c r="BU327" s="174"/>
      <c r="BV327" s="174"/>
      <c r="BW327" s="174"/>
      <c r="BX327" s="174"/>
      <c r="BY327" s="174"/>
      <c r="BZ327" s="174"/>
      <c r="CA327" s="174"/>
      <c r="CB327" s="174"/>
      <c r="CC327" s="174"/>
      <c r="CD327" s="174"/>
    </row>
    <row r="328">
      <c r="A328" s="105" t="str">
        <f>IF(preDEL!$AG328,IFERROR(0/0,""),preDEL!A328)</f>
        <v>MA625</v>
      </c>
      <c r="B328" s="170">
        <f>IF(preDEL!$AG328,IFERROR(0/0,""),preDEL!B328)</f>
        <v>44592</v>
      </c>
      <c r="C328" s="171">
        <f>IF(preDEL!$AG328,IFERROR(0/0,""),preDEL!C328)</f>
        <v>0.3434606481</v>
      </c>
      <c r="D328" s="105" t="str">
        <f>IF(preDEL!$AG328,IFERROR(0/0,""),preDEL!D328)</f>
        <v/>
      </c>
      <c r="E328" s="105" t="str">
        <f>IF(preDEL!$AG328,IFERROR(0/0,""),preDEL!E328)</f>
        <v/>
      </c>
      <c r="F328" s="112" t="str">
        <f>IF(preDEL!$AG328,IFERROR(0/0,""),preDEL!F328)</f>
        <v/>
      </c>
      <c r="G328" s="112" t="str">
        <f>IF(preDEL!$AG328,IFERROR(0/0,""),preDEL!G328)</f>
        <v/>
      </c>
      <c r="H328" s="112" t="str">
        <f>IF(preDEL!$AG328,IFERROR(0/0,""),preDEL!H328)</f>
        <v/>
      </c>
      <c r="I328" s="105" t="str">
        <f>IF(preDEL!$AG328,IFERROR(0/0,""),preDEL!I328)</f>
        <v/>
      </c>
      <c r="J328" s="105" t="str">
        <f>IF(preDEL!$AG328,IFERROR(0/0,""),preDEL!J328)</f>
        <v/>
      </c>
      <c r="K328" s="105" t="str">
        <f>IF(preDEL!$AG328,IFERROR(0/0,""),preDEL!K328)</f>
        <v>Negative</v>
      </c>
      <c r="L328" s="170">
        <f>IF(preDEL!$AG328,IFERROR(0/0,""),preDEL!L328)</f>
        <v>44592</v>
      </c>
      <c r="M328" s="171">
        <f>IF(preDEL!$AG328,IFERROR(0/0,""),preDEL!M328)</f>
        <v>0.4602430556</v>
      </c>
      <c r="N328" s="112" t="str">
        <f>IF(preDEL!$AG328,IFERROR(0/0,""),preDEL!N328)</f>
        <v/>
      </c>
      <c r="O328" s="112" t="str">
        <f>IF(preDEL!$AG328,IFERROR(0/0,""),preDEL!O328)</f>
        <v/>
      </c>
      <c r="P328" s="110" t="b">
        <f>IF(preDEL!$AG328,IFERROR(0/0,""),preDEL!P328)</f>
        <v>0</v>
      </c>
      <c r="Q328" s="110" t="str">
        <f>IF(preDEL!$AG328,IFERROR(0/0,""),preDEL!Q328)</f>
        <v>Result</v>
      </c>
      <c r="R328" s="104" t="b">
        <f>IF(preDEL!$AG328,IFERROR(0/0,""),preDEL!R328)</f>
        <v>1</v>
      </c>
      <c r="S328" s="104">
        <f>IF(preDEL!$AG328,IFERROR(0/0,""),preDEL!S328)</f>
        <v>1</v>
      </c>
      <c r="T328" s="110" t="str">
        <f>IF(preDEL!$AG328,IFERROR(0/0,""),preDEL!T328)</f>
        <v/>
      </c>
      <c r="U328" s="112" t="str">
        <f>IF(preDEL!$AG328,IFERROR(0/0,""),preDEL!U328)</f>
        <v/>
      </c>
      <c r="V328" s="105" t="str">
        <f>IF(preDEL!$AG328,IFERROR(0/0,""),preDEL!V328)</f>
        <v/>
      </c>
      <c r="W328" s="112" t="str">
        <f>IF(preDEL!$AG328,IFERROR(0/0,""),preDEL!W328)</f>
        <v/>
      </c>
      <c r="X328" s="104" t="b">
        <f>IF(preDEL!$AG328,IFERROR(0/0,""),preDEL!X328)</f>
        <v>0</v>
      </c>
      <c r="Y328" s="110" t="b">
        <f>IF(preDEL!$AG328,IFERROR(0/0,""),preDEL!Y328)</f>
        <v>0</v>
      </c>
      <c r="Z328" s="105" t="str">
        <f>IF(preDEL!$AG328,IFERROR(0/0,""),preDEL!Z328)</f>
        <v/>
      </c>
      <c r="AA328" s="110" t="b">
        <f>IF(preDEL!$AG328,IFERROR(0/0,""),preDEL!AA328)</f>
        <v>0</v>
      </c>
      <c r="AB328" s="110" t="b">
        <f>IF(preDEL!$AG328,IFERROR(0/0,""),preDEL!AB328)</f>
        <v>0</v>
      </c>
      <c r="AC328" s="172">
        <f>IF(preDEL!$AG328,IFERROR(0/0,""),preDEL!AC328)</f>
        <v>480</v>
      </c>
      <c r="AD328" s="104" t="b">
        <f>IF(preDEL!$AG328,IFERROR(0/0,""),preDEL!AD328)</f>
        <v>0</v>
      </c>
      <c r="AE328" s="173">
        <f>IF(preDEL!$AG328,IFERROR(0/0,""),preDEL!AE328)</f>
        <v>168.1666667</v>
      </c>
      <c r="AF328" s="110" t="b">
        <f>IF(preDEL!$AG328,IFERROR(0/0,""),preDEL!AF328)</f>
        <v>0</v>
      </c>
      <c r="AG328" s="110" t="b">
        <f>IF(preDEL!$AG328,IFERROR(0/0,""),preDEL!AG328)</f>
        <v>0</v>
      </c>
      <c r="AH328" s="104" t="str">
        <f>IF(preDEL!$AG328,IFERROR(0/0,""),preDEL!AH328)</f>
        <v/>
      </c>
      <c r="AI328" s="105" t="str">
        <f>IF(preDEL!$AG328,IFERROR(0/0,""),preDEL!AI328)</f>
        <v/>
      </c>
      <c r="AJ328" s="112" t="str">
        <f>IF(preDEL!$AG328,IFERROR(0/0,""),preDEL!AJ328)</f>
        <v/>
      </c>
      <c r="AK328" s="105" t="str">
        <f>IF(preDEL!$AG328,IFERROR(0/0,""),preDEL!AK328)</f>
        <v>Negative</v>
      </c>
      <c r="AL328" s="112" t="str">
        <f>IF(preDEL!$AG328,IFERROR(0/0,""),preDEL!AL328)</f>
        <v/>
      </c>
      <c r="AM328" s="112" t="str">
        <f>IF(preDEL!$AG328,IFERROR(0/0,""),preDEL!AM328)</f>
        <v>SpBEND136234</v>
      </c>
      <c r="AN328" s="112" t="str">
        <f>IF(preDEL!$AG328,IFERROR(0/0,""),preDEL!AN328)</f>
        <v>BEND350468</v>
      </c>
      <c r="AO328" s="112" t="str">
        <f>IF(preDEL!$AG328,IFERROR(0/0,""),preDEL!AO328)</f>
        <v/>
      </c>
      <c r="AP328" s="112" t="str">
        <f>IF(preDEL!$AG328,IFERROR(0/0,""),preDEL!AP328)</f>
        <v/>
      </c>
      <c r="AQ328" s="112" t="str">
        <f>IF(preDEL!$AG328,IFERROR(0/0,""),preDEL!AQ328)</f>
        <v/>
      </c>
      <c r="AR328" s="112" t="str">
        <f>IF(preDEL!$AG328,IFERROR(0/0,""),preDEL!AR328)</f>
        <v/>
      </c>
      <c r="AS328" s="112" t="str">
        <f>IF(preDEL!$AG328,IFERROR(0/0,""),preDEL!AS328)</f>
        <v/>
      </c>
      <c r="AT328" s="112" t="b">
        <f>IF(preDEL!$AG328,IFERROR(0/0,""),preDEL!AT328)</f>
        <v>0</v>
      </c>
      <c r="AU328" s="112" t="str">
        <f>IF(preDEL!$AG328,IFERROR(0/0,""),preDEL!AU328)</f>
        <v/>
      </c>
      <c r="AV328" s="112" t="str">
        <f>IF(preDEL!$AG328,IFERROR(0/0,""),preDEL!AV328)</f>
        <v/>
      </c>
      <c r="AW328" s="112" t="str">
        <f>IF(preDEL!$AG328,IFERROR(0/0,""),preDEL!AW328)</f>
        <v/>
      </c>
      <c r="AX328" s="112" t="str">
        <f>IF(preDEL!$AG328,IFERROR(0/0,""),preDEL!AX328)</f>
        <v/>
      </c>
      <c r="AY328" s="112" t="str">
        <f>IF(preDEL!$AG328,IFERROR(0/0,""),preDEL!AY328)</f>
        <v/>
      </c>
      <c r="AZ328" s="174"/>
      <c r="BA328" s="174"/>
      <c r="BB328" s="174"/>
      <c r="BC328" s="174"/>
      <c r="BD328" s="174"/>
      <c r="BE328" s="174"/>
      <c r="BF328" s="174"/>
      <c r="BG328" s="174"/>
      <c r="BH328" s="174"/>
      <c r="BI328" s="174"/>
      <c r="BJ328" s="174"/>
      <c r="BK328" s="174"/>
      <c r="BL328" s="174"/>
      <c r="BM328" s="174"/>
      <c r="BN328" s="174"/>
      <c r="BO328" s="174"/>
      <c r="BP328" s="174"/>
      <c r="BQ328" s="174"/>
      <c r="BR328" s="174"/>
      <c r="BS328" s="174"/>
      <c r="BT328" s="174"/>
      <c r="BU328" s="174"/>
      <c r="BV328" s="174"/>
      <c r="BW328" s="174"/>
      <c r="BX328" s="174"/>
      <c r="BY328" s="174"/>
      <c r="BZ328" s="174"/>
      <c r="CA328" s="174"/>
      <c r="CB328" s="174"/>
      <c r="CC328" s="174"/>
      <c r="CD328" s="174"/>
    </row>
    <row r="329">
      <c r="A329" s="105" t="str">
        <f>IF(preDEL!$AG329,IFERROR(0/0,""),preDEL!A329)</f>
        <v>MA397</v>
      </c>
      <c r="B329" s="170">
        <f>IF(preDEL!$AG329,IFERROR(0/0,""),preDEL!B329)</f>
        <v>44592</v>
      </c>
      <c r="C329" s="171">
        <f>IF(preDEL!$AG329,IFERROR(0/0,""),preDEL!C329)</f>
        <v>0.3622800926</v>
      </c>
      <c r="D329" s="105" t="str">
        <f>IF(preDEL!$AG329,IFERROR(0/0,""),preDEL!D329)</f>
        <v/>
      </c>
      <c r="E329" s="105" t="str">
        <f>IF(preDEL!$AG329,IFERROR(0/0,""),preDEL!E329)</f>
        <v/>
      </c>
      <c r="F329" s="112" t="str">
        <f>IF(preDEL!$AG329,IFERROR(0/0,""),preDEL!F329)</f>
        <v/>
      </c>
      <c r="G329" s="112" t="str">
        <f>IF(preDEL!$AG329,IFERROR(0/0,""),preDEL!G329)</f>
        <v/>
      </c>
      <c r="H329" s="112" t="str">
        <f>IF(preDEL!$AG329,IFERROR(0/0,""),preDEL!H329)</f>
        <v/>
      </c>
      <c r="I329" s="105" t="str">
        <f>IF(preDEL!$AG329,IFERROR(0/0,""),preDEL!I329)</f>
        <v/>
      </c>
      <c r="J329" s="105" t="str">
        <f>IF(preDEL!$AG329,IFERROR(0/0,""),preDEL!J329)</f>
        <v/>
      </c>
      <c r="K329" s="105" t="str">
        <f>IF(preDEL!$AG329,IFERROR(0/0,""),preDEL!K329)</f>
        <v>Negative</v>
      </c>
      <c r="L329" s="170">
        <f>IF(preDEL!$AG329,IFERROR(0/0,""),preDEL!L329)</f>
        <v>44592</v>
      </c>
      <c r="M329" s="171">
        <f>IF(preDEL!$AG329,IFERROR(0/0,""),preDEL!M329)</f>
        <v>0.4602430556</v>
      </c>
      <c r="N329" s="112" t="str">
        <f>IF(preDEL!$AG329,IFERROR(0/0,""),preDEL!N329)</f>
        <v/>
      </c>
      <c r="O329" s="112" t="str">
        <f>IF(preDEL!$AG329,IFERROR(0/0,""),preDEL!O329)</f>
        <v/>
      </c>
      <c r="P329" s="110" t="b">
        <f>IF(preDEL!$AG329,IFERROR(0/0,""),preDEL!P329)</f>
        <v>0</v>
      </c>
      <c r="Q329" s="110" t="str">
        <f>IF(preDEL!$AG329,IFERROR(0/0,""),preDEL!Q329)</f>
        <v>Result</v>
      </c>
      <c r="R329" s="104" t="b">
        <f>IF(preDEL!$AG329,IFERROR(0/0,""),preDEL!R329)</f>
        <v>1</v>
      </c>
      <c r="S329" s="104">
        <f>IF(preDEL!$AG329,IFERROR(0/0,""),preDEL!S329)</f>
        <v>1</v>
      </c>
      <c r="T329" s="110" t="str">
        <f>IF(preDEL!$AG329,IFERROR(0/0,""),preDEL!T329)</f>
        <v/>
      </c>
      <c r="U329" s="112" t="str">
        <f>IF(preDEL!$AG329,IFERROR(0/0,""),preDEL!U329)</f>
        <v/>
      </c>
      <c r="V329" s="105" t="str">
        <f>IF(preDEL!$AG329,IFERROR(0/0,""),preDEL!V329)</f>
        <v/>
      </c>
      <c r="W329" s="112" t="str">
        <f>IF(preDEL!$AG329,IFERROR(0/0,""),preDEL!W329)</f>
        <v/>
      </c>
      <c r="X329" s="104" t="b">
        <f>IF(preDEL!$AG329,IFERROR(0/0,""),preDEL!X329)</f>
        <v>0</v>
      </c>
      <c r="Y329" s="110" t="b">
        <f>IF(preDEL!$AG329,IFERROR(0/0,""),preDEL!Y329)</f>
        <v>0</v>
      </c>
      <c r="Z329" s="105" t="str">
        <f>IF(preDEL!$AG329,IFERROR(0/0,""),preDEL!Z329)</f>
        <v/>
      </c>
      <c r="AA329" s="110" t="b">
        <f>IF(preDEL!$AG329,IFERROR(0/0,""),preDEL!AA329)</f>
        <v>0</v>
      </c>
      <c r="AB329" s="110" t="b">
        <f>IF(preDEL!$AG329,IFERROR(0/0,""),preDEL!AB329)</f>
        <v>0</v>
      </c>
      <c r="AC329" s="172">
        <f>IF(preDEL!$AG329,IFERROR(0/0,""),preDEL!AC329)</f>
        <v>479</v>
      </c>
      <c r="AD329" s="104" t="b">
        <f>IF(preDEL!$AG329,IFERROR(0/0,""),preDEL!AD329)</f>
        <v>0</v>
      </c>
      <c r="AE329" s="173">
        <f>IF(preDEL!$AG329,IFERROR(0/0,""),preDEL!AE329)</f>
        <v>141.0666667</v>
      </c>
      <c r="AF329" s="110" t="b">
        <f>IF(preDEL!$AG329,IFERROR(0/0,""),preDEL!AF329)</f>
        <v>0</v>
      </c>
      <c r="AG329" s="110" t="b">
        <f>IF(preDEL!$AG329,IFERROR(0/0,""),preDEL!AG329)</f>
        <v>0</v>
      </c>
      <c r="AH329" s="104" t="str">
        <f>IF(preDEL!$AG329,IFERROR(0/0,""),preDEL!AH329)</f>
        <v/>
      </c>
      <c r="AI329" s="105" t="str">
        <f>IF(preDEL!$AG329,IFERROR(0/0,""),preDEL!AI329)</f>
        <v/>
      </c>
      <c r="AJ329" s="112" t="str">
        <f>IF(preDEL!$AG329,IFERROR(0/0,""),preDEL!AJ329)</f>
        <v/>
      </c>
      <c r="AK329" s="105" t="str">
        <f>IF(preDEL!$AG329,IFERROR(0/0,""),preDEL!AK329)</f>
        <v>Negative</v>
      </c>
      <c r="AL329" s="112" t="str">
        <f>IF(preDEL!$AG329,IFERROR(0/0,""),preDEL!AL329)</f>
        <v/>
      </c>
      <c r="AM329" s="112" t="str">
        <f>IF(preDEL!$AG329,IFERROR(0/0,""),preDEL!AM329)</f>
        <v>SpBEND541174</v>
      </c>
      <c r="AN329" s="112" t="str">
        <f>IF(preDEL!$AG329,IFERROR(0/0,""),preDEL!AN329)</f>
        <v>BEND785384</v>
      </c>
      <c r="AO329" s="112" t="str">
        <f>IF(preDEL!$AG329,IFERROR(0/0,""),preDEL!AO329)</f>
        <v/>
      </c>
      <c r="AP329" s="112" t="str">
        <f>IF(preDEL!$AG329,IFERROR(0/0,""),preDEL!AP329)</f>
        <v/>
      </c>
      <c r="AQ329" s="112" t="str">
        <f>IF(preDEL!$AG329,IFERROR(0/0,""),preDEL!AQ329)</f>
        <v/>
      </c>
      <c r="AR329" s="112" t="str">
        <f>IF(preDEL!$AG329,IFERROR(0/0,""),preDEL!AR329)</f>
        <v/>
      </c>
      <c r="AS329" s="112" t="str">
        <f>IF(preDEL!$AG329,IFERROR(0/0,""),preDEL!AS329)</f>
        <v/>
      </c>
      <c r="AT329" s="112" t="b">
        <f>IF(preDEL!$AG329,IFERROR(0/0,""),preDEL!AT329)</f>
        <v>0</v>
      </c>
      <c r="AU329" s="112" t="str">
        <f>IF(preDEL!$AG329,IFERROR(0/0,""),preDEL!AU329)</f>
        <v/>
      </c>
      <c r="AV329" s="112" t="str">
        <f>IF(preDEL!$AG329,IFERROR(0/0,""),preDEL!AV329)</f>
        <v/>
      </c>
      <c r="AW329" s="112" t="str">
        <f>IF(preDEL!$AG329,IFERROR(0/0,""),preDEL!AW329)</f>
        <v/>
      </c>
      <c r="AX329" s="112" t="str">
        <f>IF(preDEL!$AG329,IFERROR(0/0,""),preDEL!AX329)</f>
        <v/>
      </c>
      <c r="AY329" s="112" t="str">
        <f>IF(preDEL!$AG329,IFERROR(0/0,""),preDEL!AY329)</f>
        <v/>
      </c>
      <c r="AZ329" s="174"/>
      <c r="BA329" s="174"/>
      <c r="BB329" s="174"/>
      <c r="BC329" s="174"/>
      <c r="BD329" s="174"/>
      <c r="BE329" s="174"/>
      <c r="BF329" s="174"/>
      <c r="BG329" s="174"/>
      <c r="BH329" s="174"/>
      <c r="BI329" s="174"/>
      <c r="BJ329" s="174"/>
      <c r="BK329" s="174"/>
      <c r="BL329" s="174"/>
      <c r="BM329" s="174"/>
      <c r="BN329" s="174"/>
      <c r="BO329" s="174"/>
      <c r="BP329" s="174"/>
      <c r="BQ329" s="174"/>
      <c r="BR329" s="174"/>
      <c r="BS329" s="174"/>
      <c r="BT329" s="174"/>
      <c r="BU329" s="174"/>
      <c r="BV329" s="174"/>
      <c r="BW329" s="174"/>
      <c r="BX329" s="174"/>
      <c r="BY329" s="174"/>
      <c r="BZ329" s="174"/>
      <c r="CA329" s="174"/>
      <c r="CB329" s="174"/>
      <c r="CC329" s="174"/>
      <c r="CD329" s="174"/>
    </row>
    <row r="330">
      <c r="A330" s="105" t="str">
        <f>IF(preDEL!$AG330,IFERROR(0/0,""),preDEL!A330)</f>
        <v>MAX85</v>
      </c>
      <c r="B330" s="170">
        <f>IF(preDEL!$AG330,IFERROR(0/0,""),preDEL!B330)</f>
        <v>44592</v>
      </c>
      <c r="C330" s="171">
        <f>IF(preDEL!$AG330,IFERROR(0/0,""),preDEL!C330)</f>
        <v>0.429837963</v>
      </c>
      <c r="D330" s="105" t="str">
        <f>IF(preDEL!$AG330,IFERROR(0/0,""),preDEL!D330)</f>
        <v/>
      </c>
      <c r="E330" s="105" t="str">
        <f>IF(preDEL!$AG330,IFERROR(0/0,""),preDEL!E330)</f>
        <v/>
      </c>
      <c r="F330" s="112" t="str">
        <f>IF(preDEL!$AG330,IFERROR(0/0,""),preDEL!F330)</f>
        <v/>
      </c>
      <c r="G330" s="112" t="str">
        <f>IF(preDEL!$AG330,IFERROR(0/0,""),preDEL!G330)</f>
        <v/>
      </c>
      <c r="H330" s="112" t="str">
        <f>IF(preDEL!$AG330,IFERROR(0/0,""),preDEL!H330)</f>
        <v/>
      </c>
      <c r="I330" s="105" t="str">
        <f>IF(preDEL!$AG330,IFERROR(0/0,""),preDEL!I330)</f>
        <v/>
      </c>
      <c r="J330" s="105" t="str">
        <f>IF(preDEL!$AG330,IFERROR(0/0,""),preDEL!J330)</f>
        <v/>
      </c>
      <c r="K330" s="105" t="str">
        <f>IF(preDEL!$AG330,IFERROR(0/0,""),preDEL!K330)</f>
        <v>Negative</v>
      </c>
      <c r="L330" s="170">
        <f>IF(preDEL!$AG330,IFERROR(0/0,""),preDEL!L330)</f>
        <v>44592</v>
      </c>
      <c r="M330" s="171">
        <f>IF(preDEL!$AG330,IFERROR(0/0,""),preDEL!M330)</f>
        <v>0.4602430556</v>
      </c>
      <c r="N330" s="112" t="str">
        <f>IF(preDEL!$AG330,IFERROR(0/0,""),preDEL!N330)</f>
        <v/>
      </c>
      <c r="O330" s="112" t="str">
        <f>IF(preDEL!$AG330,IFERROR(0/0,""),preDEL!O330)</f>
        <v/>
      </c>
      <c r="P330" s="110" t="b">
        <f>IF(preDEL!$AG330,IFERROR(0/0,""),preDEL!P330)</f>
        <v>0</v>
      </c>
      <c r="Q330" s="110" t="str">
        <f>IF(preDEL!$AG330,IFERROR(0/0,""),preDEL!Q330)</f>
        <v>Result</v>
      </c>
      <c r="R330" s="104" t="b">
        <f>IF(preDEL!$AG330,IFERROR(0/0,""),preDEL!R330)</f>
        <v>1</v>
      </c>
      <c r="S330" s="104">
        <f>IF(preDEL!$AG330,IFERROR(0/0,""),preDEL!S330)</f>
        <v>1</v>
      </c>
      <c r="T330" s="110" t="str">
        <f>IF(preDEL!$AG330,IFERROR(0/0,""),preDEL!T330)</f>
        <v/>
      </c>
      <c r="U330" s="112" t="str">
        <f>IF(preDEL!$AG330,IFERROR(0/0,""),preDEL!U330)</f>
        <v/>
      </c>
      <c r="V330" s="105" t="str">
        <f>IF(preDEL!$AG330,IFERROR(0/0,""),preDEL!V330)</f>
        <v/>
      </c>
      <c r="W330" s="112" t="str">
        <f>IF(preDEL!$AG330,IFERROR(0/0,""),preDEL!W330)</f>
        <v/>
      </c>
      <c r="X330" s="104" t="b">
        <f>IF(preDEL!$AG330,IFERROR(0/0,""),preDEL!X330)</f>
        <v>0</v>
      </c>
      <c r="Y330" s="110" t="b">
        <f>IF(preDEL!$AG330,IFERROR(0/0,""),preDEL!Y330)</f>
        <v>0</v>
      </c>
      <c r="Z330" s="105" t="str">
        <f>IF(preDEL!$AG330,IFERROR(0/0,""),preDEL!Z330)</f>
        <v/>
      </c>
      <c r="AA330" s="110" t="b">
        <f>IF(preDEL!$AG330,IFERROR(0/0,""),preDEL!AA330)</f>
        <v>0</v>
      </c>
      <c r="AB330" s="110" t="b">
        <f>IF(preDEL!$AG330,IFERROR(0/0,""),preDEL!AB330)</f>
        <v>0</v>
      </c>
      <c r="AC330" s="172">
        <f>IF(preDEL!$AG330,IFERROR(0/0,""),preDEL!AC330)</f>
        <v>478</v>
      </c>
      <c r="AD330" s="104" t="b">
        <f>IF(preDEL!$AG330,IFERROR(0/0,""),preDEL!AD330)</f>
        <v>0</v>
      </c>
      <c r="AE330" s="173">
        <f>IF(preDEL!$AG330,IFERROR(0/0,""),preDEL!AE330)</f>
        <v>43.78333333</v>
      </c>
      <c r="AF330" s="110" t="b">
        <f>IF(preDEL!$AG330,IFERROR(0/0,""),preDEL!AF330)</f>
        <v>0</v>
      </c>
      <c r="AG330" s="110" t="b">
        <f>IF(preDEL!$AG330,IFERROR(0/0,""),preDEL!AG330)</f>
        <v>0</v>
      </c>
      <c r="AH330" s="104" t="str">
        <f>IF(preDEL!$AG330,IFERROR(0/0,""),preDEL!AH330)</f>
        <v/>
      </c>
      <c r="AI330" s="105" t="str">
        <f>IF(preDEL!$AG330,IFERROR(0/0,""),preDEL!AI330)</f>
        <v/>
      </c>
      <c r="AJ330" s="112" t="str">
        <f>IF(preDEL!$AG330,IFERROR(0/0,""),preDEL!AJ330)</f>
        <v/>
      </c>
      <c r="AK330" s="105" t="str">
        <f>IF(preDEL!$AG330,IFERROR(0/0,""),preDEL!AK330)</f>
        <v>Negative</v>
      </c>
      <c r="AL330" s="112" t="str">
        <f>IF(preDEL!$AG330,IFERROR(0/0,""),preDEL!AL330)</f>
        <v/>
      </c>
      <c r="AM330" s="112" t="str">
        <f>IF(preDEL!$AG330,IFERROR(0/0,""),preDEL!AM330)</f>
        <v>SpBEND305944</v>
      </c>
      <c r="AN330" s="112" t="str">
        <f>IF(preDEL!$AG330,IFERROR(0/0,""),preDEL!AN330)</f>
        <v>BEND538986</v>
      </c>
      <c r="AO330" s="112" t="str">
        <f>IF(preDEL!$AG330,IFERROR(0/0,""),preDEL!AO330)</f>
        <v/>
      </c>
      <c r="AP330" s="112" t="str">
        <f>IF(preDEL!$AG330,IFERROR(0/0,""),preDEL!AP330)</f>
        <v/>
      </c>
      <c r="AQ330" s="112" t="str">
        <f>IF(preDEL!$AG330,IFERROR(0/0,""),preDEL!AQ330)</f>
        <v/>
      </c>
      <c r="AR330" s="112" t="str">
        <f>IF(preDEL!$AG330,IFERROR(0/0,""),preDEL!AR330)</f>
        <v/>
      </c>
      <c r="AS330" s="112" t="str">
        <f>IF(preDEL!$AG330,IFERROR(0/0,""),preDEL!AS330)</f>
        <v/>
      </c>
      <c r="AT330" s="112" t="b">
        <f>IF(preDEL!$AG330,IFERROR(0/0,""),preDEL!AT330)</f>
        <v>0</v>
      </c>
      <c r="AU330" s="112" t="str">
        <f>IF(preDEL!$AG330,IFERROR(0/0,""),preDEL!AU330)</f>
        <v/>
      </c>
      <c r="AV330" s="112" t="str">
        <f>IF(preDEL!$AG330,IFERROR(0/0,""),preDEL!AV330)</f>
        <v/>
      </c>
      <c r="AW330" s="112" t="str">
        <f>IF(preDEL!$AG330,IFERROR(0/0,""),preDEL!AW330)</f>
        <v/>
      </c>
      <c r="AX330" s="112" t="str">
        <f>IF(preDEL!$AG330,IFERROR(0/0,""),preDEL!AX330)</f>
        <v/>
      </c>
      <c r="AY330" s="112" t="str">
        <f>IF(preDEL!$AG330,IFERROR(0/0,""),preDEL!AY330)</f>
        <v/>
      </c>
      <c r="AZ330" s="174"/>
      <c r="BA330" s="174"/>
      <c r="BB330" s="174"/>
      <c r="BC330" s="174"/>
      <c r="BD330" s="174"/>
      <c r="BE330" s="174"/>
      <c r="BF330" s="174"/>
      <c r="BG330" s="174"/>
      <c r="BH330" s="174"/>
      <c r="BI330" s="174"/>
      <c r="BJ330" s="174"/>
      <c r="BK330" s="174"/>
      <c r="BL330" s="174"/>
      <c r="BM330" s="174"/>
      <c r="BN330" s="174"/>
      <c r="BO330" s="174"/>
      <c r="BP330" s="174"/>
      <c r="BQ330" s="174"/>
      <c r="BR330" s="174"/>
      <c r="BS330" s="174"/>
      <c r="BT330" s="174"/>
      <c r="BU330" s="174"/>
      <c r="BV330" s="174"/>
      <c r="BW330" s="174"/>
      <c r="BX330" s="174"/>
      <c r="BY330" s="174"/>
      <c r="BZ330" s="174"/>
      <c r="CA330" s="174"/>
      <c r="CB330" s="174"/>
      <c r="CC330" s="174"/>
      <c r="CD330" s="174"/>
    </row>
    <row r="331">
      <c r="A331" s="105" t="str">
        <f>IF(preDEL!$AG331,IFERROR(0/0,""),preDEL!A331)</f>
        <v>MA310</v>
      </c>
      <c r="B331" s="170">
        <f>IF(preDEL!$AG331,IFERROR(0/0,""),preDEL!B331)</f>
        <v>44594</v>
      </c>
      <c r="C331" s="171">
        <f>IF(preDEL!$AG331,IFERROR(0/0,""),preDEL!C331)</f>
        <v>0.3244675926</v>
      </c>
      <c r="D331" s="105" t="str">
        <f>IF(preDEL!$AG331,IFERROR(0/0,""),preDEL!D331)</f>
        <v/>
      </c>
      <c r="E331" s="105" t="str">
        <f>IF(preDEL!$AG331,IFERROR(0/0,""),preDEL!E331)</f>
        <v/>
      </c>
      <c r="F331" s="112" t="str">
        <f>IF(preDEL!$AG331,IFERROR(0/0,""),preDEL!F331)</f>
        <v/>
      </c>
      <c r="G331" s="112" t="str">
        <f>IF(preDEL!$AG331,IFERROR(0/0,""),preDEL!G331)</f>
        <v/>
      </c>
      <c r="H331" s="112" t="str">
        <f>IF(preDEL!$AG331,IFERROR(0/0,""),preDEL!H331)</f>
        <v/>
      </c>
      <c r="I331" s="105" t="str">
        <f>IF(preDEL!$AG331,IFERROR(0/0,""),preDEL!I331)</f>
        <v/>
      </c>
      <c r="J331" s="105" t="str">
        <f>IF(preDEL!$AG331,IFERROR(0/0,""),preDEL!J331)</f>
        <v/>
      </c>
      <c r="K331" s="105" t="str">
        <f>IF(preDEL!$AG331,IFERROR(0/0,""),preDEL!K331)</f>
        <v>Positive</v>
      </c>
      <c r="L331" s="170">
        <f>IF(preDEL!$AG331,IFERROR(0/0,""),preDEL!L331)</f>
        <v>44594</v>
      </c>
      <c r="M331" s="171">
        <f>IF(preDEL!$AG331,IFERROR(0/0,""),preDEL!M331)</f>
        <v>0.483587963</v>
      </c>
      <c r="N331" s="112" t="str">
        <f>IF(preDEL!$AG331,IFERROR(0/0,""),preDEL!N331)</f>
        <v/>
      </c>
      <c r="O331" s="112" t="str">
        <f>IF(preDEL!$AG331,IFERROR(0/0,""),preDEL!O331)</f>
        <v/>
      </c>
      <c r="P331" s="110" t="b">
        <f>IF(preDEL!$AG331,IFERROR(0/0,""),preDEL!P331)</f>
        <v>0</v>
      </c>
      <c r="Q331" s="110" t="str">
        <f>IF(preDEL!$AG331,IFERROR(0/0,""),preDEL!Q331)</f>
        <v>Result</v>
      </c>
      <c r="R331" s="104" t="b">
        <f>IF(preDEL!$AG331,IFERROR(0/0,""),preDEL!R331)</f>
        <v>1</v>
      </c>
      <c r="S331" s="104">
        <f>IF(preDEL!$AG331,IFERROR(0/0,""),preDEL!S331)</f>
        <v>1</v>
      </c>
      <c r="T331" s="110" t="str">
        <f>IF(preDEL!$AG331,IFERROR(0/0,""),preDEL!T331)</f>
        <v/>
      </c>
      <c r="U331" s="112" t="str">
        <f>IF(preDEL!$AG331,IFERROR(0/0,""),preDEL!U331)</f>
        <v/>
      </c>
      <c r="V331" s="105" t="str">
        <f>IF(preDEL!$AG331,IFERROR(0/0,""),preDEL!V331)</f>
        <v/>
      </c>
      <c r="W331" s="112" t="str">
        <f>IF(preDEL!$AG331,IFERROR(0/0,""),preDEL!W331)</f>
        <v/>
      </c>
      <c r="X331" s="104" t="b">
        <f>IF(preDEL!$AG331,IFERROR(0/0,""),preDEL!X331)</f>
        <v>0</v>
      </c>
      <c r="Y331" s="110" t="b">
        <f>IF(preDEL!$AG331,IFERROR(0/0,""),preDEL!Y331)</f>
        <v>0</v>
      </c>
      <c r="Z331" s="105" t="str">
        <f>IF(preDEL!$AG331,IFERROR(0/0,""),preDEL!Z331)</f>
        <v/>
      </c>
      <c r="AA331" s="110" t="b">
        <f>IF(preDEL!$AG331,IFERROR(0/0,""),preDEL!AA331)</f>
        <v>0</v>
      </c>
      <c r="AB331" s="110" t="b">
        <f>IF(preDEL!$AG331,IFERROR(0/0,""),preDEL!AB331)</f>
        <v>0</v>
      </c>
      <c r="AC331" s="172">
        <f>IF(preDEL!$AG331,IFERROR(0/0,""),preDEL!AC331)</f>
        <v>477</v>
      </c>
      <c r="AD331" s="104" t="b">
        <f>IF(preDEL!$AG331,IFERROR(0/0,""),preDEL!AD331)</f>
        <v>0</v>
      </c>
      <c r="AE331" s="173">
        <f>IF(preDEL!$AG331,IFERROR(0/0,""),preDEL!AE331)</f>
        <v>229.1333333</v>
      </c>
      <c r="AF331" s="110" t="b">
        <f>IF(preDEL!$AG331,IFERROR(0/0,""),preDEL!AF331)</f>
        <v>0</v>
      </c>
      <c r="AG331" s="110" t="b">
        <f>IF(preDEL!$AG331,IFERROR(0/0,""),preDEL!AG331)</f>
        <v>0</v>
      </c>
      <c r="AH331" s="104" t="str">
        <f>IF(preDEL!$AG331,IFERROR(0/0,""),preDEL!AH331)</f>
        <v/>
      </c>
      <c r="AI331" s="105" t="str">
        <f>IF(preDEL!$AG331,IFERROR(0/0,""),preDEL!AI331)</f>
        <v/>
      </c>
      <c r="AJ331" s="112" t="str">
        <f>IF(preDEL!$AG331,IFERROR(0/0,""),preDEL!AJ331)</f>
        <v/>
      </c>
      <c r="AK331" s="105" t="str">
        <f>IF(preDEL!$AG331,IFERROR(0/0,""),preDEL!AK331)</f>
        <v>Positive</v>
      </c>
      <c r="AL331" s="112" t="str">
        <f>IF(preDEL!$AG331,IFERROR(0/0,""),preDEL!AL331)</f>
        <v/>
      </c>
      <c r="AM331" s="112" t="str">
        <f>IF(preDEL!$AG331,IFERROR(0/0,""),preDEL!AM331)</f>
        <v>SpBEND548976</v>
      </c>
      <c r="AN331" s="112" t="str">
        <f>IF(preDEL!$AG331,IFERROR(0/0,""),preDEL!AN331)</f>
        <v>BEND704851</v>
      </c>
      <c r="AO331" s="112" t="str">
        <f>IF(preDEL!$AG331,IFERROR(0/0,""),preDEL!AO331)</f>
        <v/>
      </c>
      <c r="AP331" s="112" t="str">
        <f>IF(preDEL!$AG331,IFERROR(0/0,""),preDEL!AP331)</f>
        <v/>
      </c>
      <c r="AQ331" s="112" t="str">
        <f>IF(preDEL!$AG331,IFERROR(0/0,""),preDEL!AQ331)</f>
        <v/>
      </c>
      <c r="AR331" s="112" t="str">
        <f>IF(preDEL!$AG331,IFERROR(0/0,""),preDEL!AR331)</f>
        <v/>
      </c>
      <c r="AS331" s="112" t="str">
        <f>IF(preDEL!$AG331,IFERROR(0/0,""),preDEL!AS331)</f>
        <v/>
      </c>
      <c r="AT331" s="112" t="b">
        <f>IF(preDEL!$AG331,IFERROR(0/0,""),preDEL!AT331)</f>
        <v>0</v>
      </c>
      <c r="AU331" s="112" t="str">
        <f>IF(preDEL!$AG331,IFERROR(0/0,""),preDEL!AU331)</f>
        <v/>
      </c>
      <c r="AV331" s="112" t="str">
        <f>IF(preDEL!$AG331,IFERROR(0/0,""),preDEL!AV331)</f>
        <v/>
      </c>
      <c r="AW331" s="112" t="str">
        <f>IF(preDEL!$AG331,IFERROR(0/0,""),preDEL!AW331)</f>
        <v/>
      </c>
      <c r="AX331" s="112" t="str">
        <f>IF(preDEL!$AG331,IFERROR(0/0,""),preDEL!AX331)</f>
        <v/>
      </c>
      <c r="AY331" s="112" t="str">
        <f>IF(preDEL!$AG331,IFERROR(0/0,""),preDEL!AY331)</f>
        <v/>
      </c>
      <c r="AZ331" s="174"/>
      <c r="BA331" s="174"/>
      <c r="BB331" s="174"/>
      <c r="BC331" s="174"/>
      <c r="BD331" s="174"/>
      <c r="BE331" s="174"/>
      <c r="BF331" s="174"/>
      <c r="BG331" s="174"/>
      <c r="BH331" s="174"/>
      <c r="BI331" s="174"/>
      <c r="BJ331" s="174"/>
      <c r="BK331" s="174"/>
      <c r="BL331" s="174"/>
      <c r="BM331" s="174"/>
      <c r="BN331" s="174"/>
      <c r="BO331" s="174"/>
      <c r="BP331" s="174"/>
      <c r="BQ331" s="174"/>
      <c r="BR331" s="174"/>
      <c r="BS331" s="174"/>
      <c r="BT331" s="174"/>
      <c r="BU331" s="174"/>
      <c r="BV331" s="174"/>
      <c r="BW331" s="174"/>
      <c r="BX331" s="174"/>
      <c r="BY331" s="174"/>
      <c r="BZ331" s="174"/>
      <c r="CA331" s="174"/>
      <c r="CB331" s="174"/>
      <c r="CC331" s="174"/>
      <c r="CD331" s="174"/>
    </row>
    <row r="332">
      <c r="A332" s="105" t="str">
        <f>IF(preDEL!$AG332,IFERROR(0/0,""),preDEL!A332)</f>
        <v>MA1209</v>
      </c>
      <c r="B332" s="170">
        <f>IF(preDEL!$AG332,IFERROR(0/0,""),preDEL!B332)</f>
        <v>44594</v>
      </c>
      <c r="C332" s="171">
        <f>IF(preDEL!$AG332,IFERROR(0/0,""),preDEL!C332)</f>
        <v>0.3348263889</v>
      </c>
      <c r="D332" s="105" t="str">
        <f>IF(preDEL!$AG332,IFERROR(0/0,""),preDEL!D332)</f>
        <v/>
      </c>
      <c r="E332" s="105" t="str">
        <f>IF(preDEL!$AG332,IFERROR(0/0,""),preDEL!E332)</f>
        <v/>
      </c>
      <c r="F332" s="112" t="str">
        <f>IF(preDEL!$AG332,IFERROR(0/0,""),preDEL!F332)</f>
        <v/>
      </c>
      <c r="G332" s="112" t="str">
        <f>IF(preDEL!$AG332,IFERROR(0/0,""),preDEL!G332)</f>
        <v/>
      </c>
      <c r="H332" s="112" t="str">
        <f>IF(preDEL!$AG332,IFERROR(0/0,""),preDEL!H332)</f>
        <v/>
      </c>
      <c r="I332" s="105" t="str">
        <f>IF(preDEL!$AG332,IFERROR(0/0,""),preDEL!I332)</f>
        <v/>
      </c>
      <c r="J332" s="105" t="str">
        <f>IF(preDEL!$AG332,IFERROR(0/0,""),preDEL!J332)</f>
        <v/>
      </c>
      <c r="K332" s="105" t="str">
        <f>IF(preDEL!$AG332,IFERROR(0/0,""),preDEL!K332)</f>
        <v>Negative</v>
      </c>
      <c r="L332" s="170">
        <f>IF(preDEL!$AG332,IFERROR(0/0,""),preDEL!L332)</f>
        <v>44596</v>
      </c>
      <c r="M332" s="171">
        <f>IF(preDEL!$AG332,IFERROR(0/0,""),preDEL!M332)</f>
        <v>0.4819328704</v>
      </c>
      <c r="N332" s="112" t="str">
        <f>IF(preDEL!$AG332,IFERROR(0/0,""),preDEL!N332)</f>
        <v/>
      </c>
      <c r="O332" s="112" t="str">
        <f>IF(preDEL!$AG332,IFERROR(0/0,""),preDEL!O332)</f>
        <v/>
      </c>
      <c r="P332" s="110" t="b">
        <f>IF(preDEL!$AG332,IFERROR(0/0,""),preDEL!P332)</f>
        <v>0</v>
      </c>
      <c r="Q332" s="110" t="str">
        <f>IF(preDEL!$AG332,IFERROR(0/0,""),preDEL!Q332)</f>
        <v>Result</v>
      </c>
      <c r="R332" s="104" t="b">
        <f>IF(preDEL!$AG332,IFERROR(0/0,""),preDEL!R332)</f>
        <v>1</v>
      </c>
      <c r="S332" s="104">
        <f>IF(preDEL!$AG332,IFERROR(0/0,""),preDEL!S332)</f>
        <v>1</v>
      </c>
      <c r="T332" s="110" t="str">
        <f>IF(preDEL!$AG332,IFERROR(0/0,""),preDEL!T332)</f>
        <v/>
      </c>
      <c r="U332" s="112" t="str">
        <f>IF(preDEL!$AG332,IFERROR(0/0,""),preDEL!U332)</f>
        <v/>
      </c>
      <c r="V332" s="105" t="str">
        <f>IF(preDEL!$AG332,IFERROR(0/0,""),preDEL!V332)</f>
        <v/>
      </c>
      <c r="W332" s="112" t="str">
        <f>IF(preDEL!$AG332,IFERROR(0/0,""),preDEL!W332)</f>
        <v/>
      </c>
      <c r="X332" s="104" t="b">
        <f>IF(preDEL!$AG332,IFERROR(0/0,""),preDEL!X332)</f>
        <v>0</v>
      </c>
      <c r="Y332" s="110" t="b">
        <f>IF(preDEL!$AG332,IFERROR(0/0,""),preDEL!Y332)</f>
        <v>0</v>
      </c>
      <c r="Z332" s="105" t="str">
        <f>IF(preDEL!$AG332,IFERROR(0/0,""),preDEL!Z332)</f>
        <v/>
      </c>
      <c r="AA332" s="110" t="b">
        <f>IF(preDEL!$AG332,IFERROR(0/0,""),preDEL!AA332)</f>
        <v>0</v>
      </c>
      <c r="AB332" s="110" t="b">
        <f>IF(preDEL!$AG332,IFERROR(0/0,""),preDEL!AB332)</f>
        <v>0</v>
      </c>
      <c r="AC332" s="172">
        <f>IF(preDEL!$AG332,IFERROR(0/0,""),preDEL!AC332)</f>
        <v>476</v>
      </c>
      <c r="AD332" s="104" t="b">
        <f>IF(preDEL!$AG332,IFERROR(0/0,""),preDEL!AD332)</f>
        <v>0</v>
      </c>
      <c r="AE332" s="173" t="str">
        <f>IF(preDEL!$AG332,IFERROR(0/0,""),preDEL!AE332)</f>
        <v/>
      </c>
      <c r="AF332" s="110" t="b">
        <f>IF(preDEL!$AG332,IFERROR(0/0,""),preDEL!AF332)</f>
        <v>0</v>
      </c>
      <c r="AG332" s="110" t="b">
        <f>IF(preDEL!$AG332,IFERROR(0/0,""),preDEL!AG332)</f>
        <v>0</v>
      </c>
      <c r="AH332" s="104" t="str">
        <f>IF(preDEL!$AG332,IFERROR(0/0,""),preDEL!AH332)</f>
        <v/>
      </c>
      <c r="AI332" s="105" t="str">
        <f>IF(preDEL!$AG332,IFERROR(0/0,""),preDEL!AI332)</f>
        <v/>
      </c>
      <c r="AJ332" s="112" t="str">
        <f>IF(preDEL!$AG332,IFERROR(0/0,""),preDEL!AJ332)</f>
        <v/>
      </c>
      <c r="AK332" s="105" t="str">
        <f>IF(preDEL!$AG332,IFERROR(0/0,""),preDEL!AK332)</f>
        <v>Negative</v>
      </c>
      <c r="AL332" s="112" t="str">
        <f>IF(preDEL!$AG332,IFERROR(0/0,""),preDEL!AL332)</f>
        <v/>
      </c>
      <c r="AM332" s="112" t="str">
        <f>IF(preDEL!$AG332,IFERROR(0/0,""),preDEL!AM332)</f>
        <v>SpBEND387578</v>
      </c>
      <c r="AN332" s="112" t="str">
        <f>IF(preDEL!$AG332,IFERROR(0/0,""),preDEL!AN332)</f>
        <v>BEND375164</v>
      </c>
      <c r="AO332" s="112" t="str">
        <f>IF(preDEL!$AG332,IFERROR(0/0,""),preDEL!AO332)</f>
        <v/>
      </c>
      <c r="AP332" s="112" t="str">
        <f>IF(preDEL!$AG332,IFERROR(0/0,""),preDEL!AP332)</f>
        <v/>
      </c>
      <c r="AQ332" s="112" t="str">
        <f>IF(preDEL!$AG332,IFERROR(0/0,""),preDEL!AQ332)</f>
        <v/>
      </c>
      <c r="AR332" s="112" t="str">
        <f>IF(preDEL!$AG332,IFERROR(0/0,""),preDEL!AR332)</f>
        <v/>
      </c>
      <c r="AS332" s="112" t="str">
        <f>IF(preDEL!$AG332,IFERROR(0/0,""),preDEL!AS332)</f>
        <v/>
      </c>
      <c r="AT332" s="112" t="b">
        <f>IF(preDEL!$AG332,IFERROR(0/0,""),preDEL!AT332)</f>
        <v>0</v>
      </c>
      <c r="AU332" s="112" t="str">
        <f>IF(preDEL!$AG332,IFERROR(0/0,""),preDEL!AU332)</f>
        <v/>
      </c>
      <c r="AV332" s="112" t="str">
        <f>IF(preDEL!$AG332,IFERROR(0/0,""),preDEL!AV332)</f>
        <v/>
      </c>
      <c r="AW332" s="112" t="str">
        <f>IF(preDEL!$AG332,IFERROR(0/0,""),preDEL!AW332)</f>
        <v/>
      </c>
      <c r="AX332" s="112" t="str">
        <f>IF(preDEL!$AG332,IFERROR(0/0,""),preDEL!AX332)</f>
        <v/>
      </c>
      <c r="AY332" s="112" t="str">
        <f>IF(preDEL!$AG332,IFERROR(0/0,""),preDEL!AY332)</f>
        <v/>
      </c>
      <c r="AZ332" s="174"/>
      <c r="BA332" s="174"/>
      <c r="BB332" s="174"/>
      <c r="BC332" s="174"/>
      <c r="BD332" s="174"/>
      <c r="BE332" s="174"/>
      <c r="BF332" s="174"/>
      <c r="BG332" s="174"/>
      <c r="BH332" s="174"/>
      <c r="BI332" s="174"/>
      <c r="BJ332" s="174"/>
      <c r="BK332" s="174"/>
      <c r="BL332" s="174"/>
      <c r="BM332" s="174"/>
      <c r="BN332" s="174"/>
      <c r="BO332" s="174"/>
      <c r="BP332" s="174"/>
      <c r="BQ332" s="174"/>
      <c r="BR332" s="174"/>
      <c r="BS332" s="174"/>
      <c r="BT332" s="174"/>
      <c r="BU332" s="174"/>
      <c r="BV332" s="174"/>
      <c r="BW332" s="174"/>
      <c r="BX332" s="174"/>
      <c r="BY332" s="174"/>
      <c r="BZ332" s="174"/>
      <c r="CA332" s="174"/>
      <c r="CB332" s="174"/>
      <c r="CC332" s="174"/>
      <c r="CD332" s="174"/>
    </row>
    <row r="333">
      <c r="A333" s="105" t="str">
        <f>IF(preDEL!$AG333,IFERROR(0/0,""),preDEL!A333)</f>
        <v>MA604</v>
      </c>
      <c r="B333" s="170">
        <f>IF(preDEL!$AG333,IFERROR(0/0,""),preDEL!B333)</f>
        <v>44594</v>
      </c>
      <c r="C333" s="171">
        <f>IF(preDEL!$AG333,IFERROR(0/0,""),preDEL!C333)</f>
        <v>0.3384606481</v>
      </c>
      <c r="D333" s="105" t="str">
        <f>IF(preDEL!$AG333,IFERROR(0/0,""),preDEL!D333)</f>
        <v/>
      </c>
      <c r="E333" s="105" t="str">
        <f>IF(preDEL!$AG333,IFERROR(0/0,""),preDEL!E333)</f>
        <v/>
      </c>
      <c r="F333" s="112" t="str">
        <f>IF(preDEL!$AG333,IFERROR(0/0,""),preDEL!F333)</f>
        <v/>
      </c>
      <c r="G333" s="112" t="str">
        <f>IF(preDEL!$AG333,IFERROR(0/0,""),preDEL!G333)</f>
        <v/>
      </c>
      <c r="H333" s="112" t="str">
        <f>IF(preDEL!$AG333,IFERROR(0/0,""),preDEL!H333)</f>
        <v/>
      </c>
      <c r="I333" s="105" t="str">
        <f>IF(preDEL!$AG333,IFERROR(0/0,""),preDEL!I333)</f>
        <v/>
      </c>
      <c r="J333" s="105" t="str">
        <f>IF(preDEL!$AG333,IFERROR(0/0,""),preDEL!J333)</f>
        <v/>
      </c>
      <c r="K333" s="105" t="str">
        <f>IF(preDEL!$AG333,IFERROR(0/0,""),preDEL!K333)</f>
        <v>Negative</v>
      </c>
      <c r="L333" s="170">
        <f>IF(preDEL!$AG333,IFERROR(0/0,""),preDEL!L333)</f>
        <v>44596</v>
      </c>
      <c r="M333" s="171">
        <f>IF(preDEL!$AG333,IFERROR(0/0,""),preDEL!M333)</f>
        <v>0.4819444444</v>
      </c>
      <c r="N333" s="112" t="str">
        <f>IF(preDEL!$AG333,IFERROR(0/0,""),preDEL!N333)</f>
        <v/>
      </c>
      <c r="O333" s="112" t="str">
        <f>IF(preDEL!$AG333,IFERROR(0/0,""),preDEL!O333)</f>
        <v/>
      </c>
      <c r="P333" s="110" t="b">
        <f>IF(preDEL!$AG333,IFERROR(0/0,""),preDEL!P333)</f>
        <v>0</v>
      </c>
      <c r="Q333" s="110" t="str">
        <f>IF(preDEL!$AG333,IFERROR(0/0,""),preDEL!Q333)</f>
        <v>Result</v>
      </c>
      <c r="R333" s="104" t="b">
        <f>IF(preDEL!$AG333,IFERROR(0/0,""),preDEL!R333)</f>
        <v>1</v>
      </c>
      <c r="S333" s="104">
        <f>IF(preDEL!$AG333,IFERROR(0/0,""),preDEL!S333)</f>
        <v>1</v>
      </c>
      <c r="T333" s="110" t="str">
        <f>IF(preDEL!$AG333,IFERROR(0/0,""),preDEL!T333)</f>
        <v/>
      </c>
      <c r="U333" s="112" t="str">
        <f>IF(preDEL!$AG333,IFERROR(0/0,""),preDEL!U333)</f>
        <v/>
      </c>
      <c r="V333" s="105" t="str">
        <f>IF(preDEL!$AG333,IFERROR(0/0,""),preDEL!V333)</f>
        <v/>
      </c>
      <c r="W333" s="112" t="str">
        <f>IF(preDEL!$AG333,IFERROR(0/0,""),preDEL!W333)</f>
        <v/>
      </c>
      <c r="X333" s="104" t="b">
        <f>IF(preDEL!$AG333,IFERROR(0/0,""),preDEL!X333)</f>
        <v>0</v>
      </c>
      <c r="Y333" s="110" t="b">
        <f>IF(preDEL!$AG333,IFERROR(0/0,""),preDEL!Y333)</f>
        <v>0</v>
      </c>
      <c r="Z333" s="105" t="str">
        <f>IF(preDEL!$AG333,IFERROR(0/0,""),preDEL!Z333)</f>
        <v/>
      </c>
      <c r="AA333" s="110" t="b">
        <f>IF(preDEL!$AG333,IFERROR(0/0,""),preDEL!AA333)</f>
        <v>0</v>
      </c>
      <c r="AB333" s="110" t="b">
        <f>IF(preDEL!$AG333,IFERROR(0/0,""),preDEL!AB333)</f>
        <v>0</v>
      </c>
      <c r="AC333" s="172">
        <f>IF(preDEL!$AG333,IFERROR(0/0,""),preDEL!AC333)</f>
        <v>475</v>
      </c>
      <c r="AD333" s="104" t="b">
        <f>IF(preDEL!$AG333,IFERROR(0/0,""),preDEL!AD333)</f>
        <v>0</v>
      </c>
      <c r="AE333" s="173" t="str">
        <f>IF(preDEL!$AG333,IFERROR(0/0,""),preDEL!AE333)</f>
        <v/>
      </c>
      <c r="AF333" s="110" t="b">
        <f>IF(preDEL!$AG333,IFERROR(0/0,""),preDEL!AF333)</f>
        <v>0</v>
      </c>
      <c r="AG333" s="110" t="b">
        <f>IF(preDEL!$AG333,IFERROR(0/0,""),preDEL!AG333)</f>
        <v>0</v>
      </c>
      <c r="AH333" s="104" t="str">
        <f>IF(preDEL!$AG333,IFERROR(0/0,""),preDEL!AH333)</f>
        <v/>
      </c>
      <c r="AI333" s="105" t="str">
        <f>IF(preDEL!$AG333,IFERROR(0/0,""),preDEL!AI333)</f>
        <v/>
      </c>
      <c r="AJ333" s="112" t="str">
        <f>IF(preDEL!$AG333,IFERROR(0/0,""),preDEL!AJ333)</f>
        <v/>
      </c>
      <c r="AK333" s="105" t="str">
        <f>IF(preDEL!$AG333,IFERROR(0/0,""),preDEL!AK333)</f>
        <v>Negative</v>
      </c>
      <c r="AL333" s="112" t="str">
        <f>IF(preDEL!$AG333,IFERROR(0/0,""),preDEL!AL333)</f>
        <v/>
      </c>
      <c r="AM333" s="112" t="str">
        <f>IF(preDEL!$AG333,IFERROR(0/0,""),preDEL!AM333)</f>
        <v>SpBEND985296</v>
      </c>
      <c r="AN333" s="112" t="str">
        <f>IF(preDEL!$AG333,IFERROR(0/0,""),preDEL!AN333)</f>
        <v>BEND326601</v>
      </c>
      <c r="AO333" s="112" t="str">
        <f>IF(preDEL!$AG333,IFERROR(0/0,""),preDEL!AO333)</f>
        <v/>
      </c>
      <c r="AP333" s="112" t="str">
        <f>IF(preDEL!$AG333,IFERROR(0/0,""),preDEL!AP333)</f>
        <v/>
      </c>
      <c r="AQ333" s="112" t="str">
        <f>IF(preDEL!$AG333,IFERROR(0/0,""),preDEL!AQ333)</f>
        <v/>
      </c>
      <c r="AR333" s="112" t="str">
        <f>IF(preDEL!$AG333,IFERROR(0/0,""),preDEL!AR333)</f>
        <v/>
      </c>
      <c r="AS333" s="112" t="str">
        <f>IF(preDEL!$AG333,IFERROR(0/0,""),preDEL!AS333)</f>
        <v/>
      </c>
      <c r="AT333" s="112" t="b">
        <f>IF(preDEL!$AG333,IFERROR(0/0,""),preDEL!AT333)</f>
        <v>0</v>
      </c>
      <c r="AU333" s="112" t="str">
        <f>IF(preDEL!$AG333,IFERROR(0/0,""),preDEL!AU333)</f>
        <v/>
      </c>
      <c r="AV333" s="112" t="str">
        <f>IF(preDEL!$AG333,IFERROR(0/0,""),preDEL!AV333)</f>
        <v/>
      </c>
      <c r="AW333" s="112" t="str">
        <f>IF(preDEL!$AG333,IFERROR(0/0,""),preDEL!AW333)</f>
        <v/>
      </c>
      <c r="AX333" s="112" t="str">
        <f>IF(preDEL!$AG333,IFERROR(0/0,""),preDEL!AX333)</f>
        <v/>
      </c>
      <c r="AY333" s="112" t="str">
        <f>IF(preDEL!$AG333,IFERROR(0/0,""),preDEL!AY333)</f>
        <v/>
      </c>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c r="CD333" s="174"/>
    </row>
    <row r="334">
      <c r="A334" s="105" t="str">
        <f>IF(preDEL!$AG334,IFERROR(0/0,""),preDEL!A334)</f>
        <v>MA1136</v>
      </c>
      <c r="B334" s="170">
        <f>IF(preDEL!$AG334,IFERROR(0/0,""),preDEL!B334)</f>
        <v>44594</v>
      </c>
      <c r="C334" s="171">
        <f>IF(preDEL!$AG334,IFERROR(0/0,""),preDEL!C334)</f>
        <v>0.3437731481</v>
      </c>
      <c r="D334" s="105" t="str">
        <f>IF(preDEL!$AG334,IFERROR(0/0,""),preDEL!D334)</f>
        <v/>
      </c>
      <c r="E334" s="105" t="str">
        <f>IF(preDEL!$AG334,IFERROR(0/0,""),preDEL!E334)</f>
        <v/>
      </c>
      <c r="F334" s="112" t="str">
        <f>IF(preDEL!$AG334,IFERROR(0/0,""),preDEL!F334)</f>
        <v/>
      </c>
      <c r="G334" s="112" t="str">
        <f>IF(preDEL!$AG334,IFERROR(0/0,""),preDEL!G334)</f>
        <v/>
      </c>
      <c r="H334" s="112" t="str">
        <f>IF(preDEL!$AG334,IFERROR(0/0,""),preDEL!H334)</f>
        <v/>
      </c>
      <c r="I334" s="105" t="str">
        <f>IF(preDEL!$AG334,IFERROR(0/0,""),preDEL!I334)</f>
        <v/>
      </c>
      <c r="J334" s="105" t="str">
        <f>IF(preDEL!$AG334,IFERROR(0/0,""),preDEL!J334)</f>
        <v/>
      </c>
      <c r="K334" s="105" t="str">
        <f>IF(preDEL!$AG334,IFERROR(0/0,""),preDEL!K334)</f>
        <v>Negative</v>
      </c>
      <c r="L334" s="170">
        <f>IF(preDEL!$AG334,IFERROR(0/0,""),preDEL!L334)</f>
        <v>44596</v>
      </c>
      <c r="M334" s="171">
        <f>IF(preDEL!$AG334,IFERROR(0/0,""),preDEL!M334)</f>
        <v>0.4819444444</v>
      </c>
      <c r="N334" s="112" t="str">
        <f>IF(preDEL!$AG334,IFERROR(0/0,""),preDEL!N334)</f>
        <v/>
      </c>
      <c r="O334" s="112" t="str">
        <f>IF(preDEL!$AG334,IFERROR(0/0,""),preDEL!O334)</f>
        <v/>
      </c>
      <c r="P334" s="110" t="b">
        <f>IF(preDEL!$AG334,IFERROR(0/0,""),preDEL!P334)</f>
        <v>0</v>
      </c>
      <c r="Q334" s="110" t="str">
        <f>IF(preDEL!$AG334,IFERROR(0/0,""),preDEL!Q334)</f>
        <v>Result</v>
      </c>
      <c r="R334" s="104" t="b">
        <f>IF(preDEL!$AG334,IFERROR(0/0,""),preDEL!R334)</f>
        <v>1</v>
      </c>
      <c r="S334" s="104">
        <f>IF(preDEL!$AG334,IFERROR(0/0,""),preDEL!S334)</f>
        <v>1</v>
      </c>
      <c r="T334" s="110" t="str">
        <f>IF(preDEL!$AG334,IFERROR(0/0,""),preDEL!T334)</f>
        <v/>
      </c>
      <c r="U334" s="112" t="str">
        <f>IF(preDEL!$AG334,IFERROR(0/0,""),preDEL!U334)</f>
        <v/>
      </c>
      <c r="V334" s="105" t="str">
        <f>IF(preDEL!$AG334,IFERROR(0/0,""),preDEL!V334)</f>
        <v/>
      </c>
      <c r="W334" s="112" t="str">
        <f>IF(preDEL!$AG334,IFERROR(0/0,""),preDEL!W334)</f>
        <v/>
      </c>
      <c r="X334" s="104" t="b">
        <f>IF(preDEL!$AG334,IFERROR(0/0,""),preDEL!X334)</f>
        <v>0</v>
      </c>
      <c r="Y334" s="110" t="b">
        <f>IF(preDEL!$AG334,IFERROR(0/0,""),preDEL!Y334)</f>
        <v>0</v>
      </c>
      <c r="Z334" s="105" t="str">
        <f>IF(preDEL!$AG334,IFERROR(0/0,""),preDEL!Z334)</f>
        <v/>
      </c>
      <c r="AA334" s="110" t="b">
        <f>IF(preDEL!$AG334,IFERROR(0/0,""),preDEL!AA334)</f>
        <v>0</v>
      </c>
      <c r="AB334" s="110" t="b">
        <f>IF(preDEL!$AG334,IFERROR(0/0,""),preDEL!AB334)</f>
        <v>0</v>
      </c>
      <c r="AC334" s="172">
        <f>IF(preDEL!$AG334,IFERROR(0/0,""),preDEL!AC334)</f>
        <v>474</v>
      </c>
      <c r="AD334" s="104" t="b">
        <f>IF(preDEL!$AG334,IFERROR(0/0,""),preDEL!AD334)</f>
        <v>0</v>
      </c>
      <c r="AE334" s="173" t="str">
        <f>IF(preDEL!$AG334,IFERROR(0/0,""),preDEL!AE334)</f>
        <v/>
      </c>
      <c r="AF334" s="110" t="b">
        <f>IF(preDEL!$AG334,IFERROR(0/0,""),preDEL!AF334)</f>
        <v>0</v>
      </c>
      <c r="AG334" s="110" t="b">
        <f>IF(preDEL!$AG334,IFERROR(0/0,""),preDEL!AG334)</f>
        <v>0</v>
      </c>
      <c r="AH334" s="104" t="str">
        <f>IF(preDEL!$AG334,IFERROR(0/0,""),preDEL!AH334)</f>
        <v/>
      </c>
      <c r="AI334" s="105" t="str">
        <f>IF(preDEL!$AG334,IFERROR(0/0,""),preDEL!AI334)</f>
        <v/>
      </c>
      <c r="AJ334" s="112" t="str">
        <f>IF(preDEL!$AG334,IFERROR(0/0,""),preDEL!AJ334)</f>
        <v/>
      </c>
      <c r="AK334" s="105" t="str">
        <f>IF(preDEL!$AG334,IFERROR(0/0,""),preDEL!AK334)</f>
        <v>Negative</v>
      </c>
      <c r="AL334" s="112" t="str">
        <f>IF(preDEL!$AG334,IFERROR(0/0,""),preDEL!AL334)</f>
        <v/>
      </c>
      <c r="AM334" s="112" t="str">
        <f>IF(preDEL!$AG334,IFERROR(0/0,""),preDEL!AM334)</f>
        <v>SpBEND528248</v>
      </c>
      <c r="AN334" s="112" t="str">
        <f>IF(preDEL!$AG334,IFERROR(0/0,""),preDEL!AN334)</f>
        <v>BEND229530</v>
      </c>
      <c r="AO334" s="112" t="str">
        <f>IF(preDEL!$AG334,IFERROR(0/0,""),preDEL!AO334)</f>
        <v/>
      </c>
      <c r="AP334" s="112" t="str">
        <f>IF(preDEL!$AG334,IFERROR(0/0,""),preDEL!AP334)</f>
        <v/>
      </c>
      <c r="AQ334" s="112" t="str">
        <f>IF(preDEL!$AG334,IFERROR(0/0,""),preDEL!AQ334)</f>
        <v/>
      </c>
      <c r="AR334" s="112" t="str">
        <f>IF(preDEL!$AG334,IFERROR(0/0,""),preDEL!AR334)</f>
        <v/>
      </c>
      <c r="AS334" s="112" t="str">
        <f>IF(preDEL!$AG334,IFERROR(0/0,""),preDEL!AS334)</f>
        <v/>
      </c>
      <c r="AT334" s="112" t="b">
        <f>IF(preDEL!$AG334,IFERROR(0/0,""),preDEL!AT334)</f>
        <v>0</v>
      </c>
      <c r="AU334" s="112" t="str">
        <f>IF(preDEL!$AG334,IFERROR(0/0,""),preDEL!AU334)</f>
        <v/>
      </c>
      <c r="AV334" s="112" t="str">
        <f>IF(preDEL!$AG334,IFERROR(0/0,""),preDEL!AV334)</f>
        <v/>
      </c>
      <c r="AW334" s="112" t="str">
        <f>IF(preDEL!$AG334,IFERROR(0/0,""),preDEL!AW334)</f>
        <v/>
      </c>
      <c r="AX334" s="112" t="str">
        <f>IF(preDEL!$AG334,IFERROR(0/0,""),preDEL!AX334)</f>
        <v/>
      </c>
      <c r="AY334" s="112" t="str">
        <f>IF(preDEL!$AG334,IFERROR(0/0,""),preDEL!AY334)</f>
        <v/>
      </c>
      <c r="AZ334" s="174"/>
      <c r="BA334" s="174"/>
      <c r="BB334" s="174"/>
      <c r="BC334" s="174"/>
      <c r="BD334" s="174"/>
      <c r="BE334" s="174"/>
      <c r="BF334" s="174"/>
      <c r="BG334" s="174"/>
      <c r="BH334" s="174"/>
      <c r="BI334" s="174"/>
      <c r="BJ334" s="174"/>
      <c r="BK334" s="174"/>
      <c r="BL334" s="174"/>
      <c r="BM334" s="174"/>
      <c r="BN334" s="174"/>
      <c r="BO334" s="174"/>
      <c r="BP334" s="174"/>
      <c r="BQ334" s="174"/>
      <c r="BR334" s="174"/>
      <c r="BS334" s="174"/>
      <c r="BT334" s="174"/>
      <c r="BU334" s="174"/>
      <c r="BV334" s="174"/>
      <c r="BW334" s="174"/>
      <c r="BX334" s="174"/>
      <c r="BY334" s="174"/>
      <c r="BZ334" s="174"/>
      <c r="CA334" s="174"/>
      <c r="CB334" s="174"/>
      <c r="CC334" s="174"/>
      <c r="CD334" s="174"/>
    </row>
    <row r="335">
      <c r="A335" s="105" t="str">
        <f>IF(preDEL!$AG335,IFERROR(0/0,""),preDEL!A335)</f>
        <v>MA1033</v>
      </c>
      <c r="B335" s="170">
        <f>IF(preDEL!$AG335,IFERROR(0/0,""),preDEL!B335)</f>
        <v>44594</v>
      </c>
      <c r="C335" s="171">
        <f>IF(preDEL!$AG335,IFERROR(0/0,""),preDEL!C335)</f>
        <v>0.3442361111</v>
      </c>
      <c r="D335" s="105" t="str">
        <f>IF(preDEL!$AG335,IFERROR(0/0,""),preDEL!D335)</f>
        <v/>
      </c>
      <c r="E335" s="105" t="str">
        <f>IF(preDEL!$AG335,IFERROR(0/0,""),preDEL!E335)</f>
        <v/>
      </c>
      <c r="F335" s="112" t="str">
        <f>IF(preDEL!$AG335,IFERROR(0/0,""),preDEL!F335)</f>
        <v/>
      </c>
      <c r="G335" s="112" t="str">
        <f>IF(preDEL!$AG335,IFERROR(0/0,""),preDEL!G335)</f>
        <v/>
      </c>
      <c r="H335" s="112" t="str">
        <f>IF(preDEL!$AG335,IFERROR(0/0,""),preDEL!H335)</f>
        <v/>
      </c>
      <c r="I335" s="105" t="str">
        <f>IF(preDEL!$AG335,IFERROR(0/0,""),preDEL!I335)</f>
        <v/>
      </c>
      <c r="J335" s="105" t="str">
        <f>IF(preDEL!$AG335,IFERROR(0/0,""),preDEL!J335)</f>
        <v/>
      </c>
      <c r="K335" s="105" t="str">
        <f>IF(preDEL!$AG335,IFERROR(0/0,""),preDEL!K335)</f>
        <v>Negative</v>
      </c>
      <c r="L335" s="170">
        <f>IF(preDEL!$AG335,IFERROR(0/0,""),preDEL!L335)</f>
        <v>44596</v>
      </c>
      <c r="M335" s="171">
        <f>IF(preDEL!$AG335,IFERROR(0/0,""),preDEL!M335)</f>
        <v>0.4819444444</v>
      </c>
      <c r="N335" s="112" t="str">
        <f>IF(preDEL!$AG335,IFERROR(0/0,""),preDEL!N335)</f>
        <v/>
      </c>
      <c r="O335" s="112" t="str">
        <f>IF(preDEL!$AG335,IFERROR(0/0,""),preDEL!O335)</f>
        <v/>
      </c>
      <c r="P335" s="110" t="b">
        <f>IF(preDEL!$AG335,IFERROR(0/0,""),preDEL!P335)</f>
        <v>0</v>
      </c>
      <c r="Q335" s="110" t="str">
        <f>IF(preDEL!$AG335,IFERROR(0/0,""),preDEL!Q335)</f>
        <v>Result</v>
      </c>
      <c r="R335" s="104" t="b">
        <f>IF(preDEL!$AG335,IFERROR(0/0,""),preDEL!R335)</f>
        <v>1</v>
      </c>
      <c r="S335" s="104">
        <f>IF(preDEL!$AG335,IFERROR(0/0,""),preDEL!S335)</f>
        <v>1</v>
      </c>
      <c r="T335" s="110">
        <f>IF(preDEL!$AG335,IFERROR(0/0,""),preDEL!T335)</f>
        <v>0</v>
      </c>
      <c r="U335" s="112" t="str">
        <f>IF(preDEL!$AG335,IFERROR(0/0,""),preDEL!U335)</f>
        <v/>
      </c>
      <c r="V335" s="105" t="str">
        <f>IF(preDEL!$AG335,IFERROR(0/0,""),preDEL!V335)</f>
        <v/>
      </c>
      <c r="W335" s="112" t="str">
        <f>IF(preDEL!$AG335,IFERROR(0/0,""),preDEL!W335)</f>
        <v/>
      </c>
      <c r="X335" s="104" t="b">
        <f>IF(preDEL!$AG335,IFERROR(0/0,""),preDEL!X335)</f>
        <v>0</v>
      </c>
      <c r="Y335" s="110" t="b">
        <f>IF(preDEL!$AG335,IFERROR(0/0,""),preDEL!Y335)</f>
        <v>0</v>
      </c>
      <c r="Z335" s="105" t="str">
        <f>IF(preDEL!$AG335,IFERROR(0/0,""),preDEL!Z335)</f>
        <v/>
      </c>
      <c r="AA335" s="110" t="b">
        <f>IF(preDEL!$AG335,IFERROR(0/0,""),preDEL!AA335)</f>
        <v>0</v>
      </c>
      <c r="AB335" s="110" t="b">
        <f>IF(preDEL!$AG335,IFERROR(0/0,""),preDEL!AB335)</f>
        <v>0</v>
      </c>
      <c r="AC335" s="172">
        <f>IF(preDEL!$AG335,IFERROR(0/0,""),preDEL!AC335)</f>
        <v>473</v>
      </c>
      <c r="AD335" s="104" t="b">
        <f>IF(preDEL!$AG335,IFERROR(0/0,""),preDEL!AD335)</f>
        <v>0</v>
      </c>
      <c r="AE335" s="173" t="str">
        <f>IF(preDEL!$AG335,IFERROR(0/0,""),preDEL!AE335)</f>
        <v/>
      </c>
      <c r="AF335" s="110" t="b">
        <f>IF(preDEL!$AG335,IFERROR(0/0,""),preDEL!AF335)</f>
        <v>0</v>
      </c>
      <c r="AG335" s="110" t="b">
        <f>IF(preDEL!$AG335,IFERROR(0/0,""),preDEL!AG335)</f>
        <v>0</v>
      </c>
      <c r="AH335" s="104" t="str">
        <f>IF(preDEL!$AG335,IFERROR(0/0,""),preDEL!AH335)</f>
        <v/>
      </c>
      <c r="AI335" s="105" t="str">
        <f>IF(preDEL!$AG335,IFERROR(0/0,""),preDEL!AI335)</f>
        <v/>
      </c>
      <c r="AJ335" s="112" t="str">
        <f>IF(preDEL!$AG335,IFERROR(0/0,""),preDEL!AJ335)</f>
        <v/>
      </c>
      <c r="AK335" s="105" t="str">
        <f>IF(preDEL!$AG335,IFERROR(0/0,""),preDEL!AK335)</f>
        <v>Negative</v>
      </c>
      <c r="AL335" s="112" t="str">
        <f>IF(preDEL!$AG335,IFERROR(0/0,""),preDEL!AL335)</f>
        <v/>
      </c>
      <c r="AM335" s="112" t="str">
        <f>IF(preDEL!$AG335,IFERROR(0/0,""),preDEL!AM335)</f>
        <v>SpBEND528248</v>
      </c>
      <c r="AN335" s="112" t="str">
        <f>IF(preDEL!$AG335,IFERROR(0/0,""),preDEL!AN335)</f>
        <v>BEND923779</v>
      </c>
      <c r="AO335" s="112" t="str">
        <f>IF(preDEL!$AG335,IFERROR(0/0,""),preDEL!AO335)</f>
        <v/>
      </c>
      <c r="AP335" s="112" t="str">
        <f>IF(preDEL!$AG335,IFERROR(0/0,""),preDEL!AP335)</f>
        <v/>
      </c>
      <c r="AQ335" s="112" t="str">
        <f>IF(preDEL!$AG335,IFERROR(0/0,""),preDEL!AQ335)</f>
        <v/>
      </c>
      <c r="AR335" s="112" t="str">
        <f>IF(preDEL!$AG335,IFERROR(0/0,""),preDEL!AR335)</f>
        <v/>
      </c>
      <c r="AS335" s="112" t="str">
        <f>IF(preDEL!$AG335,IFERROR(0/0,""),preDEL!AS335)</f>
        <v/>
      </c>
      <c r="AT335" s="112" t="b">
        <f>IF(preDEL!$AG335,IFERROR(0/0,""),preDEL!AT335)</f>
        <v>0</v>
      </c>
      <c r="AU335" s="112" t="str">
        <f>IF(preDEL!$AG335,IFERROR(0/0,""),preDEL!AU335)</f>
        <v/>
      </c>
      <c r="AV335" s="112" t="str">
        <f>IF(preDEL!$AG335,IFERROR(0/0,""),preDEL!AV335)</f>
        <v/>
      </c>
      <c r="AW335" s="112" t="str">
        <f>IF(preDEL!$AG335,IFERROR(0/0,""),preDEL!AW335)</f>
        <v/>
      </c>
      <c r="AX335" s="112" t="str">
        <f>IF(preDEL!$AG335,IFERROR(0/0,""),preDEL!AX335)</f>
        <v/>
      </c>
      <c r="AY335" s="112" t="str">
        <f>IF(preDEL!$AG335,IFERROR(0/0,""),preDEL!AY335)</f>
        <v/>
      </c>
      <c r="AZ335" s="174"/>
      <c r="BA335" s="174"/>
      <c r="BB335" s="174"/>
      <c r="BC335" s="174"/>
      <c r="BD335" s="174"/>
      <c r="BE335" s="174"/>
      <c r="BF335" s="174"/>
      <c r="BG335" s="174"/>
      <c r="BH335" s="174"/>
      <c r="BI335" s="174"/>
      <c r="BJ335" s="174"/>
      <c r="BK335" s="174"/>
      <c r="BL335" s="174"/>
      <c r="BM335" s="174"/>
      <c r="BN335" s="174"/>
      <c r="BO335" s="174"/>
      <c r="BP335" s="174"/>
      <c r="BQ335" s="174"/>
      <c r="BR335" s="174"/>
      <c r="BS335" s="174"/>
      <c r="BT335" s="174"/>
      <c r="BU335" s="174"/>
      <c r="BV335" s="174"/>
      <c r="BW335" s="174"/>
      <c r="BX335" s="174"/>
      <c r="BY335" s="174"/>
      <c r="BZ335" s="174"/>
      <c r="CA335" s="174"/>
      <c r="CB335" s="174"/>
      <c r="CC335" s="174"/>
      <c r="CD335" s="174"/>
    </row>
    <row r="336">
      <c r="A336" s="105" t="str">
        <f>IF(preDEL!$AG336,IFERROR(0/0,""),preDEL!A336)</f>
        <v>MA1195</v>
      </c>
      <c r="B336" s="170">
        <f>IF(preDEL!$AG336,IFERROR(0/0,""),preDEL!B336)</f>
        <v>44594</v>
      </c>
      <c r="C336" s="171">
        <f>IF(preDEL!$AG336,IFERROR(0/0,""),preDEL!C336)</f>
        <v>0.3473958333</v>
      </c>
      <c r="D336" s="105" t="str">
        <f>IF(preDEL!$AG336,IFERROR(0/0,""),preDEL!D336)</f>
        <v/>
      </c>
      <c r="E336" s="105" t="str">
        <f>IF(preDEL!$AG336,IFERROR(0/0,""),preDEL!E336)</f>
        <v/>
      </c>
      <c r="F336" s="112" t="str">
        <f>IF(preDEL!$AG336,IFERROR(0/0,""),preDEL!F336)</f>
        <v/>
      </c>
      <c r="G336" s="112" t="str">
        <f>IF(preDEL!$AG336,IFERROR(0/0,""),preDEL!G336)</f>
        <v/>
      </c>
      <c r="H336" s="112" t="str">
        <f>IF(preDEL!$AG336,IFERROR(0/0,""),preDEL!H336)</f>
        <v/>
      </c>
      <c r="I336" s="105" t="str">
        <f>IF(preDEL!$AG336,IFERROR(0/0,""),preDEL!I336)</f>
        <v/>
      </c>
      <c r="J336" s="105" t="str">
        <f>IF(preDEL!$AG336,IFERROR(0/0,""),preDEL!J336)</f>
        <v/>
      </c>
      <c r="K336" s="105" t="str">
        <f>IF(preDEL!$AG336,IFERROR(0/0,""),preDEL!K336)</f>
        <v>Negative</v>
      </c>
      <c r="L336" s="170">
        <f>IF(preDEL!$AG336,IFERROR(0/0,""),preDEL!L336)</f>
        <v>44596</v>
      </c>
      <c r="M336" s="171">
        <f>IF(preDEL!$AG336,IFERROR(0/0,""),preDEL!M336)</f>
        <v>0.4819444444</v>
      </c>
      <c r="N336" s="112" t="str">
        <f>IF(preDEL!$AG336,IFERROR(0/0,""),preDEL!N336)</f>
        <v/>
      </c>
      <c r="O336" s="112" t="str">
        <f>IF(preDEL!$AG336,IFERROR(0/0,""),preDEL!O336)</f>
        <v/>
      </c>
      <c r="P336" s="110" t="b">
        <f>IF(preDEL!$AG336,IFERROR(0/0,""),preDEL!P336)</f>
        <v>0</v>
      </c>
      <c r="Q336" s="110" t="str">
        <f>IF(preDEL!$AG336,IFERROR(0/0,""),preDEL!Q336)</f>
        <v>Result</v>
      </c>
      <c r="R336" s="104" t="b">
        <f>IF(preDEL!$AG336,IFERROR(0/0,""),preDEL!R336)</f>
        <v>1</v>
      </c>
      <c r="S336" s="104">
        <f>IF(preDEL!$AG336,IFERROR(0/0,""),preDEL!S336)</f>
        <v>1</v>
      </c>
      <c r="T336" s="110" t="str">
        <f>IF(preDEL!$AG336,IFERROR(0/0,""),preDEL!T336)</f>
        <v/>
      </c>
      <c r="U336" s="112" t="str">
        <f>IF(preDEL!$AG336,IFERROR(0/0,""),preDEL!U336)</f>
        <v/>
      </c>
      <c r="V336" s="105" t="str">
        <f>IF(preDEL!$AG336,IFERROR(0/0,""),preDEL!V336)</f>
        <v/>
      </c>
      <c r="W336" s="112" t="str">
        <f>IF(preDEL!$AG336,IFERROR(0/0,""),preDEL!W336)</f>
        <v/>
      </c>
      <c r="X336" s="104" t="b">
        <f>IF(preDEL!$AG336,IFERROR(0/0,""),preDEL!X336)</f>
        <v>0</v>
      </c>
      <c r="Y336" s="110" t="b">
        <f>IF(preDEL!$AG336,IFERROR(0/0,""),preDEL!Y336)</f>
        <v>0</v>
      </c>
      <c r="Z336" s="105" t="str">
        <f>IF(preDEL!$AG336,IFERROR(0/0,""),preDEL!Z336)</f>
        <v/>
      </c>
      <c r="AA336" s="110" t="b">
        <f>IF(preDEL!$AG336,IFERROR(0/0,""),preDEL!AA336)</f>
        <v>0</v>
      </c>
      <c r="AB336" s="110" t="b">
        <f>IF(preDEL!$AG336,IFERROR(0/0,""),preDEL!AB336)</f>
        <v>0</v>
      </c>
      <c r="AC336" s="172">
        <f>IF(preDEL!$AG336,IFERROR(0/0,""),preDEL!AC336)</f>
        <v>472</v>
      </c>
      <c r="AD336" s="104" t="b">
        <f>IF(preDEL!$AG336,IFERROR(0/0,""),preDEL!AD336)</f>
        <v>0</v>
      </c>
      <c r="AE336" s="173" t="str">
        <f>IF(preDEL!$AG336,IFERROR(0/0,""),preDEL!AE336)</f>
        <v/>
      </c>
      <c r="AF336" s="110" t="b">
        <f>IF(preDEL!$AG336,IFERROR(0/0,""),preDEL!AF336)</f>
        <v>0</v>
      </c>
      <c r="AG336" s="110" t="b">
        <f>IF(preDEL!$AG336,IFERROR(0/0,""),preDEL!AG336)</f>
        <v>0</v>
      </c>
      <c r="AH336" s="104" t="str">
        <f>IF(preDEL!$AG336,IFERROR(0/0,""),preDEL!AH336)</f>
        <v/>
      </c>
      <c r="AI336" s="105" t="str">
        <f>IF(preDEL!$AG336,IFERROR(0/0,""),preDEL!AI336)</f>
        <v/>
      </c>
      <c r="AJ336" s="112" t="str">
        <f>IF(preDEL!$AG336,IFERROR(0/0,""),preDEL!AJ336)</f>
        <v/>
      </c>
      <c r="AK336" s="105" t="str">
        <f>IF(preDEL!$AG336,IFERROR(0/0,""),preDEL!AK336)</f>
        <v>Negative</v>
      </c>
      <c r="AL336" s="112" t="str">
        <f>IF(preDEL!$AG336,IFERROR(0/0,""),preDEL!AL336)</f>
        <v/>
      </c>
      <c r="AM336" s="112" t="str">
        <f>IF(preDEL!$AG336,IFERROR(0/0,""),preDEL!AM336)</f>
        <v>SpBEND474338</v>
      </c>
      <c r="AN336" s="112" t="str">
        <f>IF(preDEL!$AG336,IFERROR(0/0,""),preDEL!AN336)</f>
        <v>BEND980447</v>
      </c>
      <c r="AO336" s="112" t="str">
        <f>IF(preDEL!$AG336,IFERROR(0/0,""),preDEL!AO336)</f>
        <v/>
      </c>
      <c r="AP336" s="112" t="str">
        <f>IF(preDEL!$AG336,IFERROR(0/0,""),preDEL!AP336)</f>
        <v/>
      </c>
      <c r="AQ336" s="112" t="str">
        <f>IF(preDEL!$AG336,IFERROR(0/0,""),preDEL!AQ336)</f>
        <v/>
      </c>
      <c r="AR336" s="112" t="str">
        <f>IF(preDEL!$AG336,IFERROR(0/0,""),preDEL!AR336)</f>
        <v/>
      </c>
      <c r="AS336" s="112" t="str">
        <f>IF(preDEL!$AG336,IFERROR(0/0,""),preDEL!AS336)</f>
        <v/>
      </c>
      <c r="AT336" s="112" t="b">
        <f>IF(preDEL!$AG336,IFERROR(0/0,""),preDEL!AT336)</f>
        <v>0</v>
      </c>
      <c r="AU336" s="112" t="str">
        <f>IF(preDEL!$AG336,IFERROR(0/0,""),preDEL!AU336)</f>
        <v/>
      </c>
      <c r="AV336" s="112" t="str">
        <f>IF(preDEL!$AG336,IFERROR(0/0,""),preDEL!AV336)</f>
        <v/>
      </c>
      <c r="AW336" s="112" t="str">
        <f>IF(preDEL!$AG336,IFERROR(0/0,""),preDEL!AW336)</f>
        <v/>
      </c>
      <c r="AX336" s="112" t="str">
        <f>IF(preDEL!$AG336,IFERROR(0/0,""),preDEL!AX336)</f>
        <v/>
      </c>
      <c r="AY336" s="112" t="str">
        <f>IF(preDEL!$AG336,IFERROR(0/0,""),preDEL!AY336)</f>
        <v/>
      </c>
      <c r="AZ336" s="174"/>
      <c r="BA336" s="174"/>
      <c r="BB336" s="174"/>
      <c r="BC336" s="174"/>
      <c r="BD336" s="174"/>
      <c r="BE336" s="174"/>
      <c r="BF336" s="174"/>
      <c r="BG336" s="174"/>
      <c r="BH336" s="174"/>
      <c r="BI336" s="174"/>
      <c r="BJ336" s="174"/>
      <c r="BK336" s="174"/>
      <c r="BL336" s="174"/>
      <c r="BM336" s="174"/>
      <c r="BN336" s="174"/>
      <c r="BO336" s="174"/>
      <c r="BP336" s="174"/>
      <c r="BQ336" s="174"/>
      <c r="BR336" s="174"/>
      <c r="BS336" s="174"/>
      <c r="BT336" s="174"/>
      <c r="BU336" s="174"/>
      <c r="BV336" s="174"/>
      <c r="BW336" s="174"/>
      <c r="BX336" s="174"/>
      <c r="BY336" s="174"/>
      <c r="BZ336" s="174"/>
      <c r="CA336" s="174"/>
      <c r="CB336" s="174"/>
      <c r="CC336" s="174"/>
      <c r="CD336" s="174"/>
    </row>
    <row r="337">
      <c r="A337" s="105" t="str">
        <f>IF(preDEL!$AG337,IFERROR(0/0,""),preDEL!A337)</f>
        <v>MA1161</v>
      </c>
      <c r="B337" s="170">
        <f>IF(preDEL!$AG337,IFERROR(0/0,""),preDEL!B337)</f>
        <v>44594</v>
      </c>
      <c r="C337" s="171">
        <f>IF(preDEL!$AG337,IFERROR(0/0,""),preDEL!C337)</f>
        <v>0.3539351852</v>
      </c>
      <c r="D337" s="105" t="str">
        <f>IF(preDEL!$AG337,IFERROR(0/0,""),preDEL!D337)</f>
        <v/>
      </c>
      <c r="E337" s="105" t="str">
        <f>IF(preDEL!$AG337,IFERROR(0/0,""),preDEL!E337)</f>
        <v/>
      </c>
      <c r="F337" s="112" t="str">
        <f>IF(preDEL!$AG337,IFERROR(0/0,""),preDEL!F337)</f>
        <v/>
      </c>
      <c r="G337" s="112" t="str">
        <f>IF(preDEL!$AG337,IFERROR(0/0,""),preDEL!G337)</f>
        <v/>
      </c>
      <c r="H337" s="112" t="str">
        <f>IF(preDEL!$AG337,IFERROR(0/0,""),preDEL!H337)</f>
        <v/>
      </c>
      <c r="I337" s="105" t="str">
        <f>IF(preDEL!$AG337,IFERROR(0/0,""),preDEL!I337)</f>
        <v/>
      </c>
      <c r="J337" s="105" t="str">
        <f>IF(preDEL!$AG337,IFERROR(0/0,""),preDEL!J337)</f>
        <v/>
      </c>
      <c r="K337" s="105" t="str">
        <f>IF(preDEL!$AG337,IFERROR(0/0,""),preDEL!K337)</f>
        <v>Negative</v>
      </c>
      <c r="L337" s="170">
        <f>IF(preDEL!$AG337,IFERROR(0/0,""),preDEL!L337)</f>
        <v>44596</v>
      </c>
      <c r="M337" s="171">
        <f>IF(preDEL!$AG337,IFERROR(0/0,""),preDEL!M337)</f>
        <v>0.4819444444</v>
      </c>
      <c r="N337" s="112" t="str">
        <f>IF(preDEL!$AG337,IFERROR(0/0,""),preDEL!N337)</f>
        <v/>
      </c>
      <c r="O337" s="112" t="str">
        <f>IF(preDEL!$AG337,IFERROR(0/0,""),preDEL!O337)</f>
        <v/>
      </c>
      <c r="P337" s="110" t="b">
        <f>IF(preDEL!$AG337,IFERROR(0/0,""),preDEL!P337)</f>
        <v>0</v>
      </c>
      <c r="Q337" s="110" t="str">
        <f>IF(preDEL!$AG337,IFERROR(0/0,""),preDEL!Q337)</f>
        <v>Result</v>
      </c>
      <c r="R337" s="104" t="b">
        <f>IF(preDEL!$AG337,IFERROR(0/0,""),preDEL!R337)</f>
        <v>1</v>
      </c>
      <c r="S337" s="104">
        <f>IF(preDEL!$AG337,IFERROR(0/0,""),preDEL!S337)</f>
        <v>1</v>
      </c>
      <c r="T337" s="110" t="str">
        <f>IF(preDEL!$AG337,IFERROR(0/0,""),preDEL!T337)</f>
        <v/>
      </c>
      <c r="U337" s="112" t="str">
        <f>IF(preDEL!$AG337,IFERROR(0/0,""),preDEL!U337)</f>
        <v/>
      </c>
      <c r="V337" s="105" t="str">
        <f>IF(preDEL!$AG337,IFERROR(0/0,""),preDEL!V337)</f>
        <v/>
      </c>
      <c r="W337" s="112" t="str">
        <f>IF(preDEL!$AG337,IFERROR(0/0,""),preDEL!W337)</f>
        <v/>
      </c>
      <c r="X337" s="104" t="b">
        <f>IF(preDEL!$AG337,IFERROR(0/0,""),preDEL!X337)</f>
        <v>0</v>
      </c>
      <c r="Y337" s="110" t="b">
        <f>IF(preDEL!$AG337,IFERROR(0/0,""),preDEL!Y337)</f>
        <v>0</v>
      </c>
      <c r="Z337" s="105" t="str">
        <f>IF(preDEL!$AG337,IFERROR(0/0,""),preDEL!Z337)</f>
        <v/>
      </c>
      <c r="AA337" s="110" t="b">
        <f>IF(preDEL!$AG337,IFERROR(0/0,""),preDEL!AA337)</f>
        <v>0</v>
      </c>
      <c r="AB337" s="110" t="b">
        <f>IF(preDEL!$AG337,IFERROR(0/0,""),preDEL!AB337)</f>
        <v>0</v>
      </c>
      <c r="AC337" s="172">
        <f>IF(preDEL!$AG337,IFERROR(0/0,""),preDEL!AC337)</f>
        <v>471</v>
      </c>
      <c r="AD337" s="104" t="b">
        <f>IF(preDEL!$AG337,IFERROR(0/0,""),preDEL!AD337)</f>
        <v>0</v>
      </c>
      <c r="AE337" s="173" t="str">
        <f>IF(preDEL!$AG337,IFERROR(0/0,""),preDEL!AE337)</f>
        <v/>
      </c>
      <c r="AF337" s="110" t="b">
        <f>IF(preDEL!$AG337,IFERROR(0/0,""),preDEL!AF337)</f>
        <v>0</v>
      </c>
      <c r="AG337" s="110" t="b">
        <f>IF(preDEL!$AG337,IFERROR(0/0,""),preDEL!AG337)</f>
        <v>0</v>
      </c>
      <c r="AH337" s="104" t="str">
        <f>IF(preDEL!$AG337,IFERROR(0/0,""),preDEL!AH337)</f>
        <v/>
      </c>
      <c r="AI337" s="105" t="str">
        <f>IF(preDEL!$AG337,IFERROR(0/0,""),preDEL!AI337)</f>
        <v/>
      </c>
      <c r="AJ337" s="112" t="str">
        <f>IF(preDEL!$AG337,IFERROR(0/0,""),preDEL!AJ337)</f>
        <v/>
      </c>
      <c r="AK337" s="105" t="str">
        <f>IF(preDEL!$AG337,IFERROR(0/0,""),preDEL!AK337)</f>
        <v>Negative</v>
      </c>
      <c r="AL337" s="112" t="str">
        <f>IF(preDEL!$AG337,IFERROR(0/0,""),preDEL!AL337)</f>
        <v/>
      </c>
      <c r="AM337" s="112" t="str">
        <f>IF(preDEL!$AG337,IFERROR(0/0,""),preDEL!AM337)</f>
        <v>SpBEND454594</v>
      </c>
      <c r="AN337" s="112" t="str">
        <f>IF(preDEL!$AG337,IFERROR(0/0,""),preDEL!AN337)</f>
        <v>BEND584284</v>
      </c>
      <c r="AO337" s="112" t="str">
        <f>IF(preDEL!$AG337,IFERROR(0/0,""),preDEL!AO337)</f>
        <v/>
      </c>
      <c r="AP337" s="112" t="str">
        <f>IF(preDEL!$AG337,IFERROR(0/0,""),preDEL!AP337)</f>
        <v/>
      </c>
      <c r="AQ337" s="112" t="str">
        <f>IF(preDEL!$AG337,IFERROR(0/0,""),preDEL!AQ337)</f>
        <v/>
      </c>
      <c r="AR337" s="112" t="str">
        <f>IF(preDEL!$AG337,IFERROR(0/0,""),preDEL!AR337)</f>
        <v/>
      </c>
      <c r="AS337" s="112" t="str">
        <f>IF(preDEL!$AG337,IFERROR(0/0,""),preDEL!AS337)</f>
        <v/>
      </c>
      <c r="AT337" s="112" t="b">
        <f>IF(preDEL!$AG337,IFERROR(0/0,""),preDEL!AT337)</f>
        <v>0</v>
      </c>
      <c r="AU337" s="112" t="str">
        <f>IF(preDEL!$AG337,IFERROR(0/0,""),preDEL!AU337)</f>
        <v/>
      </c>
      <c r="AV337" s="112" t="str">
        <f>IF(preDEL!$AG337,IFERROR(0/0,""),preDEL!AV337)</f>
        <v/>
      </c>
      <c r="AW337" s="112" t="str">
        <f>IF(preDEL!$AG337,IFERROR(0/0,""),preDEL!AW337)</f>
        <v/>
      </c>
      <c r="AX337" s="112" t="str">
        <f>IF(preDEL!$AG337,IFERROR(0/0,""),preDEL!AX337)</f>
        <v/>
      </c>
      <c r="AY337" s="112" t="str">
        <f>IF(preDEL!$AG337,IFERROR(0/0,""),preDEL!AY337)</f>
        <v/>
      </c>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row>
    <row r="338">
      <c r="A338" s="105" t="str">
        <f>IF(preDEL!$AG338,IFERROR(0/0,""),preDEL!A338)</f>
        <v>MAX105</v>
      </c>
      <c r="B338" s="170">
        <f>IF(preDEL!$AG338,IFERROR(0/0,""),preDEL!B338)</f>
        <v>44594</v>
      </c>
      <c r="C338" s="171">
        <f>IF(preDEL!$AG338,IFERROR(0/0,""),preDEL!C338)</f>
        <v>0.3751157407</v>
      </c>
      <c r="D338" s="105" t="str">
        <f>IF(preDEL!$AG338,IFERROR(0/0,""),preDEL!D338)</f>
        <v/>
      </c>
      <c r="E338" s="105" t="str">
        <f>IF(preDEL!$AG338,IFERROR(0/0,""),preDEL!E338)</f>
        <v/>
      </c>
      <c r="F338" s="112" t="str">
        <f>IF(preDEL!$AG338,IFERROR(0/0,""),preDEL!F338)</f>
        <v/>
      </c>
      <c r="G338" s="112" t="str">
        <f>IF(preDEL!$AG338,IFERROR(0/0,""),preDEL!G338)</f>
        <v/>
      </c>
      <c r="H338" s="112" t="str">
        <f>IF(preDEL!$AG338,IFERROR(0/0,""),preDEL!H338)</f>
        <v/>
      </c>
      <c r="I338" s="105" t="str">
        <f>IF(preDEL!$AG338,IFERROR(0/0,""),preDEL!I338)</f>
        <v/>
      </c>
      <c r="J338" s="105" t="str">
        <f>IF(preDEL!$AG338,IFERROR(0/0,""),preDEL!J338)</f>
        <v/>
      </c>
      <c r="K338" s="105" t="str">
        <f>IF(preDEL!$AG338,IFERROR(0/0,""),preDEL!K338)</f>
        <v>Negative</v>
      </c>
      <c r="L338" s="170">
        <f>IF(preDEL!$AG338,IFERROR(0/0,""),preDEL!L338)</f>
        <v>44596</v>
      </c>
      <c r="M338" s="171">
        <f>IF(preDEL!$AG338,IFERROR(0/0,""),preDEL!M338)</f>
        <v>0.4819444444</v>
      </c>
      <c r="N338" s="112" t="str">
        <f>IF(preDEL!$AG338,IFERROR(0/0,""),preDEL!N338)</f>
        <v/>
      </c>
      <c r="O338" s="112" t="str">
        <f>IF(preDEL!$AG338,IFERROR(0/0,""),preDEL!O338)</f>
        <v/>
      </c>
      <c r="P338" s="110" t="b">
        <f>IF(preDEL!$AG338,IFERROR(0/0,""),preDEL!P338)</f>
        <v>0</v>
      </c>
      <c r="Q338" s="110" t="str">
        <f>IF(preDEL!$AG338,IFERROR(0/0,""),preDEL!Q338)</f>
        <v>Result</v>
      </c>
      <c r="R338" s="104" t="b">
        <f>IF(preDEL!$AG338,IFERROR(0/0,""),preDEL!R338)</f>
        <v>1</v>
      </c>
      <c r="S338" s="104">
        <f>IF(preDEL!$AG338,IFERROR(0/0,""),preDEL!S338)</f>
        <v>1</v>
      </c>
      <c r="T338" s="110">
        <f>IF(preDEL!$AG338,IFERROR(0/0,""),preDEL!T338)</f>
        <v>0</v>
      </c>
      <c r="U338" s="112" t="str">
        <f>IF(preDEL!$AG338,IFERROR(0/0,""),preDEL!U338)</f>
        <v/>
      </c>
      <c r="V338" s="105" t="str">
        <f>IF(preDEL!$AG338,IFERROR(0/0,""),preDEL!V338)</f>
        <v/>
      </c>
      <c r="W338" s="112" t="str">
        <f>IF(preDEL!$AG338,IFERROR(0/0,""),preDEL!W338)</f>
        <v/>
      </c>
      <c r="X338" s="104" t="b">
        <f>IF(preDEL!$AG338,IFERROR(0/0,""),preDEL!X338)</f>
        <v>0</v>
      </c>
      <c r="Y338" s="110" t="b">
        <f>IF(preDEL!$AG338,IFERROR(0/0,""),preDEL!Y338)</f>
        <v>0</v>
      </c>
      <c r="Z338" s="105" t="str">
        <f>IF(preDEL!$AG338,IFERROR(0/0,""),preDEL!Z338)</f>
        <v/>
      </c>
      <c r="AA338" s="110" t="b">
        <f>IF(preDEL!$AG338,IFERROR(0/0,""),preDEL!AA338)</f>
        <v>0</v>
      </c>
      <c r="AB338" s="110" t="b">
        <f>IF(preDEL!$AG338,IFERROR(0/0,""),preDEL!AB338)</f>
        <v>0</v>
      </c>
      <c r="AC338" s="172">
        <f>IF(preDEL!$AG338,IFERROR(0/0,""),preDEL!AC338)</f>
        <v>470</v>
      </c>
      <c r="AD338" s="104" t="b">
        <f>IF(preDEL!$AG338,IFERROR(0/0,""),preDEL!AD338)</f>
        <v>0</v>
      </c>
      <c r="AE338" s="173" t="str">
        <f>IF(preDEL!$AG338,IFERROR(0/0,""),preDEL!AE338)</f>
        <v/>
      </c>
      <c r="AF338" s="110" t="b">
        <f>IF(preDEL!$AG338,IFERROR(0/0,""),preDEL!AF338)</f>
        <v>0</v>
      </c>
      <c r="AG338" s="110" t="b">
        <f>IF(preDEL!$AG338,IFERROR(0/0,""),preDEL!AG338)</f>
        <v>0</v>
      </c>
      <c r="AH338" s="104" t="str">
        <f>IF(preDEL!$AG338,IFERROR(0/0,""),preDEL!AH338)</f>
        <v/>
      </c>
      <c r="AI338" s="105" t="str">
        <f>IF(preDEL!$AG338,IFERROR(0/0,""),preDEL!AI338)</f>
        <v/>
      </c>
      <c r="AJ338" s="112" t="str">
        <f>IF(preDEL!$AG338,IFERROR(0/0,""),preDEL!AJ338)</f>
        <v/>
      </c>
      <c r="AK338" s="105" t="str">
        <f>IF(preDEL!$AG338,IFERROR(0/0,""),preDEL!AK338)</f>
        <v>Negative</v>
      </c>
      <c r="AL338" s="112" t="str">
        <f>IF(preDEL!$AG338,IFERROR(0/0,""),preDEL!AL338)</f>
        <v/>
      </c>
      <c r="AM338" s="112" t="str">
        <f>IF(preDEL!$AG338,IFERROR(0/0,""),preDEL!AM338)</f>
        <v>SpBEND394154</v>
      </c>
      <c r="AN338" s="112" t="str">
        <f>IF(preDEL!$AG338,IFERROR(0/0,""),preDEL!AN338)</f>
        <v>BEND905156</v>
      </c>
      <c r="AO338" s="112" t="str">
        <f>IF(preDEL!$AG338,IFERROR(0/0,""),preDEL!AO338)</f>
        <v/>
      </c>
      <c r="AP338" s="112" t="str">
        <f>IF(preDEL!$AG338,IFERROR(0/0,""),preDEL!AP338)</f>
        <v/>
      </c>
      <c r="AQ338" s="112" t="str">
        <f>IF(preDEL!$AG338,IFERROR(0/0,""),preDEL!AQ338)</f>
        <v/>
      </c>
      <c r="AR338" s="112" t="str">
        <f>IF(preDEL!$AG338,IFERROR(0/0,""),preDEL!AR338)</f>
        <v/>
      </c>
      <c r="AS338" s="112" t="str">
        <f>IF(preDEL!$AG338,IFERROR(0/0,""),preDEL!AS338)</f>
        <v/>
      </c>
      <c r="AT338" s="112" t="b">
        <f>IF(preDEL!$AG338,IFERROR(0/0,""),preDEL!AT338)</f>
        <v>0</v>
      </c>
      <c r="AU338" s="112" t="str">
        <f>IF(preDEL!$AG338,IFERROR(0/0,""),preDEL!AU338)</f>
        <v/>
      </c>
      <c r="AV338" s="112" t="str">
        <f>IF(preDEL!$AG338,IFERROR(0/0,""),preDEL!AV338)</f>
        <v/>
      </c>
      <c r="AW338" s="112" t="str">
        <f>IF(preDEL!$AG338,IFERROR(0/0,""),preDEL!AW338)</f>
        <v/>
      </c>
      <c r="AX338" s="112" t="str">
        <f>IF(preDEL!$AG338,IFERROR(0/0,""),preDEL!AX338)</f>
        <v/>
      </c>
      <c r="AY338" s="112" t="str">
        <f>IF(preDEL!$AG338,IFERROR(0/0,""),preDEL!AY338)</f>
        <v/>
      </c>
      <c r="AZ338" s="174"/>
      <c r="BA338" s="174"/>
      <c r="BB338" s="174"/>
      <c r="BC338" s="174"/>
      <c r="BD338" s="174"/>
      <c r="BE338" s="174"/>
      <c r="BF338" s="174"/>
      <c r="BG338" s="174"/>
      <c r="BH338" s="174"/>
      <c r="BI338" s="174"/>
      <c r="BJ338" s="174"/>
      <c r="BK338" s="174"/>
      <c r="BL338" s="174"/>
      <c r="BM338" s="174"/>
      <c r="BN338" s="174"/>
      <c r="BO338" s="174"/>
      <c r="BP338" s="174"/>
      <c r="BQ338" s="174"/>
      <c r="BR338" s="174"/>
      <c r="BS338" s="174"/>
      <c r="BT338" s="174"/>
      <c r="BU338" s="174"/>
      <c r="BV338" s="174"/>
      <c r="BW338" s="174"/>
      <c r="BX338" s="174"/>
      <c r="BY338" s="174"/>
      <c r="BZ338" s="174"/>
      <c r="CA338" s="174"/>
      <c r="CB338" s="174"/>
      <c r="CC338" s="174"/>
      <c r="CD338" s="174"/>
    </row>
    <row r="339">
      <c r="A339" s="105" t="str">
        <f>IF(preDEL!$AG339,IFERROR(0/0,""),preDEL!A339)</f>
        <v>MAX138</v>
      </c>
      <c r="B339" s="170">
        <f>IF(preDEL!$AG339,IFERROR(0/0,""),preDEL!B339)</f>
        <v>44594</v>
      </c>
      <c r="C339" s="171">
        <f>IF(preDEL!$AG339,IFERROR(0/0,""),preDEL!C339)</f>
        <v>0.3755555556</v>
      </c>
      <c r="D339" s="105" t="str">
        <f>IF(preDEL!$AG339,IFERROR(0/0,""),preDEL!D339)</f>
        <v/>
      </c>
      <c r="E339" s="105" t="str">
        <f>IF(preDEL!$AG339,IFERROR(0/0,""),preDEL!E339)</f>
        <v/>
      </c>
      <c r="F339" s="112" t="str">
        <f>IF(preDEL!$AG339,IFERROR(0/0,""),preDEL!F339)</f>
        <v/>
      </c>
      <c r="G339" s="112" t="str">
        <f>IF(preDEL!$AG339,IFERROR(0/0,""),preDEL!G339)</f>
        <v/>
      </c>
      <c r="H339" s="112" t="str">
        <f>IF(preDEL!$AG339,IFERROR(0/0,""),preDEL!H339)</f>
        <v/>
      </c>
      <c r="I339" s="105" t="str">
        <f>IF(preDEL!$AG339,IFERROR(0/0,""),preDEL!I339)</f>
        <v/>
      </c>
      <c r="J339" s="105" t="str">
        <f>IF(preDEL!$AG339,IFERROR(0/0,""),preDEL!J339)</f>
        <v/>
      </c>
      <c r="K339" s="105" t="str">
        <f>IF(preDEL!$AG339,IFERROR(0/0,""),preDEL!K339)</f>
        <v>Negative</v>
      </c>
      <c r="L339" s="170">
        <f>IF(preDEL!$AG339,IFERROR(0/0,""),preDEL!L339)</f>
        <v>44596</v>
      </c>
      <c r="M339" s="171">
        <f>IF(preDEL!$AG339,IFERROR(0/0,""),preDEL!M339)</f>
        <v>0.4819444444</v>
      </c>
      <c r="N339" s="112" t="str">
        <f>IF(preDEL!$AG339,IFERROR(0/0,""),preDEL!N339)</f>
        <v/>
      </c>
      <c r="O339" s="112" t="str">
        <f>IF(preDEL!$AG339,IFERROR(0/0,""),preDEL!O339)</f>
        <v/>
      </c>
      <c r="P339" s="110" t="b">
        <f>IF(preDEL!$AG339,IFERROR(0/0,""),preDEL!P339)</f>
        <v>0</v>
      </c>
      <c r="Q339" s="110" t="str">
        <f>IF(preDEL!$AG339,IFERROR(0/0,""),preDEL!Q339)</f>
        <v>Result</v>
      </c>
      <c r="R339" s="104" t="b">
        <f>IF(preDEL!$AG339,IFERROR(0/0,""),preDEL!R339)</f>
        <v>1</v>
      </c>
      <c r="S339" s="104">
        <f>IF(preDEL!$AG339,IFERROR(0/0,""),preDEL!S339)</f>
        <v>1</v>
      </c>
      <c r="T339" s="110" t="str">
        <f>IF(preDEL!$AG339,IFERROR(0/0,""),preDEL!T339)</f>
        <v/>
      </c>
      <c r="U339" s="112" t="str">
        <f>IF(preDEL!$AG339,IFERROR(0/0,""),preDEL!U339)</f>
        <v/>
      </c>
      <c r="V339" s="105" t="str">
        <f>IF(preDEL!$AG339,IFERROR(0/0,""),preDEL!V339)</f>
        <v/>
      </c>
      <c r="W339" s="112" t="str">
        <f>IF(preDEL!$AG339,IFERROR(0/0,""),preDEL!W339)</f>
        <v/>
      </c>
      <c r="X339" s="104" t="b">
        <f>IF(preDEL!$AG339,IFERROR(0/0,""),preDEL!X339)</f>
        <v>0</v>
      </c>
      <c r="Y339" s="110" t="b">
        <f>IF(preDEL!$AG339,IFERROR(0/0,""),preDEL!Y339)</f>
        <v>0</v>
      </c>
      <c r="Z339" s="105" t="str">
        <f>IF(preDEL!$AG339,IFERROR(0/0,""),preDEL!Z339)</f>
        <v/>
      </c>
      <c r="AA339" s="110" t="b">
        <f>IF(preDEL!$AG339,IFERROR(0/0,""),preDEL!AA339)</f>
        <v>0</v>
      </c>
      <c r="AB339" s="110" t="b">
        <f>IF(preDEL!$AG339,IFERROR(0/0,""),preDEL!AB339)</f>
        <v>0</v>
      </c>
      <c r="AC339" s="172">
        <f>IF(preDEL!$AG339,IFERROR(0/0,""),preDEL!AC339)</f>
        <v>469</v>
      </c>
      <c r="AD339" s="104" t="b">
        <f>IF(preDEL!$AG339,IFERROR(0/0,""),preDEL!AD339)</f>
        <v>0</v>
      </c>
      <c r="AE339" s="173" t="str">
        <f>IF(preDEL!$AG339,IFERROR(0/0,""),preDEL!AE339)</f>
        <v/>
      </c>
      <c r="AF339" s="110" t="b">
        <f>IF(preDEL!$AG339,IFERROR(0/0,""),preDEL!AF339)</f>
        <v>0</v>
      </c>
      <c r="AG339" s="110" t="b">
        <f>IF(preDEL!$AG339,IFERROR(0/0,""),preDEL!AG339)</f>
        <v>0</v>
      </c>
      <c r="AH339" s="104" t="str">
        <f>IF(preDEL!$AG339,IFERROR(0/0,""),preDEL!AH339)</f>
        <v/>
      </c>
      <c r="AI339" s="105" t="str">
        <f>IF(preDEL!$AG339,IFERROR(0/0,""),preDEL!AI339)</f>
        <v/>
      </c>
      <c r="AJ339" s="112" t="str">
        <f>IF(preDEL!$AG339,IFERROR(0/0,""),preDEL!AJ339)</f>
        <v/>
      </c>
      <c r="AK339" s="105" t="str">
        <f>IF(preDEL!$AG339,IFERROR(0/0,""),preDEL!AK339)</f>
        <v>Negative</v>
      </c>
      <c r="AL339" s="112" t="str">
        <f>IF(preDEL!$AG339,IFERROR(0/0,""),preDEL!AL339)</f>
        <v/>
      </c>
      <c r="AM339" s="112" t="str">
        <f>IF(preDEL!$AG339,IFERROR(0/0,""),preDEL!AM339)</f>
        <v>SpBEND394154</v>
      </c>
      <c r="AN339" s="112" t="str">
        <f>IF(preDEL!$AG339,IFERROR(0/0,""),preDEL!AN339)</f>
        <v>BEND365993</v>
      </c>
      <c r="AO339" s="112" t="str">
        <f>IF(preDEL!$AG339,IFERROR(0/0,""),preDEL!AO339)</f>
        <v/>
      </c>
      <c r="AP339" s="112" t="str">
        <f>IF(preDEL!$AG339,IFERROR(0/0,""),preDEL!AP339)</f>
        <v/>
      </c>
      <c r="AQ339" s="112" t="str">
        <f>IF(preDEL!$AG339,IFERROR(0/0,""),preDEL!AQ339)</f>
        <v/>
      </c>
      <c r="AR339" s="112" t="str">
        <f>IF(preDEL!$AG339,IFERROR(0/0,""),preDEL!AR339)</f>
        <v/>
      </c>
      <c r="AS339" s="112" t="str">
        <f>IF(preDEL!$AG339,IFERROR(0/0,""),preDEL!AS339)</f>
        <v/>
      </c>
      <c r="AT339" s="112" t="b">
        <f>IF(preDEL!$AG339,IFERROR(0/0,""),preDEL!AT339)</f>
        <v>0</v>
      </c>
      <c r="AU339" s="112" t="str">
        <f>IF(preDEL!$AG339,IFERROR(0/0,""),preDEL!AU339)</f>
        <v/>
      </c>
      <c r="AV339" s="112" t="str">
        <f>IF(preDEL!$AG339,IFERROR(0/0,""),preDEL!AV339)</f>
        <v/>
      </c>
      <c r="AW339" s="112" t="str">
        <f>IF(preDEL!$AG339,IFERROR(0/0,""),preDEL!AW339)</f>
        <v/>
      </c>
      <c r="AX339" s="112" t="str">
        <f>IF(preDEL!$AG339,IFERROR(0/0,""),preDEL!AX339)</f>
        <v/>
      </c>
      <c r="AY339" s="112" t="str">
        <f>IF(preDEL!$AG339,IFERROR(0/0,""),preDEL!AY339)</f>
        <v/>
      </c>
      <c r="AZ339" s="174"/>
      <c r="BA339" s="174"/>
      <c r="BB339" s="174"/>
      <c r="BC339" s="174"/>
      <c r="BD339" s="174"/>
      <c r="BE339" s="174"/>
      <c r="BF339" s="174"/>
      <c r="BG339" s="174"/>
      <c r="BH339" s="174"/>
      <c r="BI339" s="174"/>
      <c r="BJ339" s="174"/>
      <c r="BK339" s="174"/>
      <c r="BL339" s="174"/>
      <c r="BM339" s="174"/>
      <c r="BN339" s="174"/>
      <c r="BO339" s="174"/>
      <c r="BP339" s="174"/>
      <c r="BQ339" s="174"/>
      <c r="BR339" s="174"/>
      <c r="BS339" s="174"/>
      <c r="BT339" s="174"/>
      <c r="BU339" s="174"/>
      <c r="BV339" s="174"/>
      <c r="BW339" s="174"/>
      <c r="BX339" s="174"/>
      <c r="BY339" s="174"/>
      <c r="BZ339" s="174"/>
      <c r="CA339" s="174"/>
      <c r="CB339" s="174"/>
      <c r="CC339" s="174"/>
      <c r="CD339" s="174"/>
    </row>
    <row r="340">
      <c r="A340" s="105" t="str">
        <f>IF(preDEL!$AG340,IFERROR(0/0,""),preDEL!A340)</f>
        <v>MAX108</v>
      </c>
      <c r="B340" s="170">
        <f>IF(preDEL!$AG340,IFERROR(0/0,""),preDEL!B340)</f>
        <v>44596</v>
      </c>
      <c r="C340" s="171">
        <f>IF(preDEL!$AG340,IFERROR(0/0,""),preDEL!C340)</f>
        <v>0.3091782407</v>
      </c>
      <c r="D340" s="105" t="str">
        <f>IF(preDEL!$AG340,IFERROR(0/0,""),preDEL!D340)</f>
        <v/>
      </c>
      <c r="E340" s="105" t="str">
        <f>IF(preDEL!$AG340,IFERROR(0/0,""),preDEL!E340)</f>
        <v/>
      </c>
      <c r="F340" s="112" t="str">
        <f>IF(preDEL!$AG340,IFERROR(0/0,""),preDEL!F340)</f>
        <v/>
      </c>
      <c r="G340" s="112" t="str">
        <f>IF(preDEL!$AG340,IFERROR(0/0,""),preDEL!G340)</f>
        <v/>
      </c>
      <c r="H340" s="112" t="str">
        <f>IF(preDEL!$AG340,IFERROR(0/0,""),preDEL!H340)</f>
        <v/>
      </c>
      <c r="I340" s="105" t="str">
        <f>IF(preDEL!$AG340,IFERROR(0/0,""),preDEL!I340)</f>
        <v/>
      </c>
      <c r="J340" s="105" t="str">
        <f>IF(preDEL!$AG340,IFERROR(0/0,""),preDEL!J340)</f>
        <v/>
      </c>
      <c r="K340" s="105" t="str">
        <f>IF(preDEL!$AG340,IFERROR(0/0,""),preDEL!K340)</f>
        <v>Negative</v>
      </c>
      <c r="L340" s="170">
        <f>IF(preDEL!$AG340,IFERROR(0/0,""),preDEL!L340)</f>
        <v>44596</v>
      </c>
      <c r="M340" s="171">
        <f>IF(preDEL!$AG340,IFERROR(0/0,""),preDEL!M340)</f>
        <v>0.4819328704</v>
      </c>
      <c r="N340" s="112" t="str">
        <f>IF(preDEL!$AG340,IFERROR(0/0,""),preDEL!N340)</f>
        <v/>
      </c>
      <c r="O340" s="112" t="str">
        <f>IF(preDEL!$AG340,IFERROR(0/0,""),preDEL!O340)</f>
        <v/>
      </c>
      <c r="P340" s="110" t="b">
        <f>IF(preDEL!$AG340,IFERROR(0/0,""),preDEL!P340)</f>
        <v>0</v>
      </c>
      <c r="Q340" s="110" t="str">
        <f>IF(preDEL!$AG340,IFERROR(0/0,""),preDEL!Q340)</f>
        <v>Result</v>
      </c>
      <c r="R340" s="104" t="b">
        <f>IF(preDEL!$AG340,IFERROR(0/0,""),preDEL!R340)</f>
        <v>1</v>
      </c>
      <c r="S340" s="104">
        <f>IF(preDEL!$AG340,IFERROR(0/0,""),preDEL!S340)</f>
        <v>1</v>
      </c>
      <c r="T340" s="110">
        <f>IF(preDEL!$AG340,IFERROR(0/0,""),preDEL!T340)</f>
        <v>0</v>
      </c>
      <c r="U340" s="112" t="str">
        <f>IF(preDEL!$AG340,IFERROR(0/0,""),preDEL!U340)</f>
        <v/>
      </c>
      <c r="V340" s="105" t="str">
        <f>IF(preDEL!$AG340,IFERROR(0/0,""),preDEL!V340)</f>
        <v/>
      </c>
      <c r="W340" s="112" t="str">
        <f>IF(preDEL!$AG340,IFERROR(0/0,""),preDEL!W340)</f>
        <v/>
      </c>
      <c r="X340" s="104" t="b">
        <f>IF(preDEL!$AG340,IFERROR(0/0,""),preDEL!X340)</f>
        <v>0</v>
      </c>
      <c r="Y340" s="110" t="b">
        <f>IF(preDEL!$AG340,IFERROR(0/0,""),preDEL!Y340)</f>
        <v>0</v>
      </c>
      <c r="Z340" s="105" t="str">
        <f>IF(preDEL!$AG340,IFERROR(0/0,""),preDEL!Z340)</f>
        <v/>
      </c>
      <c r="AA340" s="110" t="b">
        <f>IF(preDEL!$AG340,IFERROR(0/0,""),preDEL!AA340)</f>
        <v>0</v>
      </c>
      <c r="AB340" s="110" t="b">
        <f>IF(preDEL!$AG340,IFERROR(0/0,""),preDEL!AB340)</f>
        <v>0</v>
      </c>
      <c r="AC340" s="172">
        <f>IF(preDEL!$AG340,IFERROR(0/0,""),preDEL!AC340)</f>
        <v>468</v>
      </c>
      <c r="AD340" s="104" t="b">
        <f>IF(preDEL!$AG340,IFERROR(0/0,""),preDEL!AD340)</f>
        <v>0</v>
      </c>
      <c r="AE340" s="173">
        <f>IF(preDEL!$AG340,IFERROR(0/0,""),preDEL!AE340)</f>
        <v>248.7666667</v>
      </c>
      <c r="AF340" s="110" t="b">
        <f>IF(preDEL!$AG340,IFERROR(0/0,""),preDEL!AF340)</f>
        <v>0</v>
      </c>
      <c r="AG340" s="110" t="b">
        <f>IF(preDEL!$AG340,IFERROR(0/0,""),preDEL!AG340)</f>
        <v>0</v>
      </c>
      <c r="AH340" s="104" t="str">
        <f>IF(preDEL!$AG340,IFERROR(0/0,""),preDEL!AH340)</f>
        <v/>
      </c>
      <c r="AI340" s="105" t="str">
        <f>IF(preDEL!$AG340,IFERROR(0/0,""),preDEL!AI340)</f>
        <v/>
      </c>
      <c r="AJ340" s="112" t="str">
        <f>IF(preDEL!$AG340,IFERROR(0/0,""),preDEL!AJ340)</f>
        <v/>
      </c>
      <c r="AK340" s="105" t="str">
        <f>IF(preDEL!$AG340,IFERROR(0/0,""),preDEL!AK340)</f>
        <v>Negative</v>
      </c>
      <c r="AL340" s="112" t="str">
        <f>IF(preDEL!$AG340,IFERROR(0/0,""),preDEL!AL340)</f>
        <v/>
      </c>
      <c r="AM340" s="112" t="str">
        <f>IF(preDEL!$AG340,IFERROR(0/0,""),preDEL!AM340)</f>
        <v>SpBEND394154</v>
      </c>
      <c r="AN340" s="112" t="str">
        <f>IF(preDEL!$AG340,IFERROR(0/0,""),preDEL!AN340)</f>
        <v>BEND777226</v>
      </c>
      <c r="AO340" s="112" t="str">
        <f>IF(preDEL!$AG340,IFERROR(0/0,""),preDEL!AO340)</f>
        <v/>
      </c>
      <c r="AP340" s="112" t="str">
        <f>IF(preDEL!$AG340,IFERROR(0/0,""),preDEL!AP340)</f>
        <v/>
      </c>
      <c r="AQ340" s="112" t="str">
        <f>IF(preDEL!$AG340,IFERROR(0/0,""),preDEL!AQ340)</f>
        <v/>
      </c>
      <c r="AR340" s="112" t="str">
        <f>IF(preDEL!$AG340,IFERROR(0/0,""),preDEL!AR340)</f>
        <v/>
      </c>
      <c r="AS340" s="112" t="str">
        <f>IF(preDEL!$AG340,IFERROR(0/0,""),preDEL!AS340)</f>
        <v/>
      </c>
      <c r="AT340" s="112" t="b">
        <f>IF(preDEL!$AG340,IFERROR(0/0,""),preDEL!AT340)</f>
        <v>0</v>
      </c>
      <c r="AU340" s="112" t="str">
        <f>IF(preDEL!$AG340,IFERROR(0/0,""),preDEL!AU340)</f>
        <v/>
      </c>
      <c r="AV340" s="112" t="str">
        <f>IF(preDEL!$AG340,IFERROR(0/0,""),preDEL!AV340)</f>
        <v/>
      </c>
      <c r="AW340" s="112" t="str">
        <f>IF(preDEL!$AG340,IFERROR(0/0,""),preDEL!AW340)</f>
        <v/>
      </c>
      <c r="AX340" s="112" t="str">
        <f>IF(preDEL!$AG340,IFERROR(0/0,""),preDEL!AX340)</f>
        <v/>
      </c>
      <c r="AY340" s="112" t="str">
        <f>IF(preDEL!$AG340,IFERROR(0/0,""),preDEL!AY340)</f>
        <v/>
      </c>
      <c r="AZ340" s="174"/>
      <c r="BA340" s="174"/>
      <c r="BB340" s="174"/>
      <c r="BC340" s="174"/>
      <c r="BD340" s="174"/>
      <c r="BE340" s="174"/>
      <c r="BF340" s="174"/>
      <c r="BG340" s="174"/>
      <c r="BH340" s="174"/>
      <c r="BI340" s="174"/>
      <c r="BJ340" s="174"/>
      <c r="BK340" s="174"/>
      <c r="BL340" s="174"/>
      <c r="BM340" s="174"/>
      <c r="BN340" s="174"/>
      <c r="BO340" s="174"/>
      <c r="BP340" s="174"/>
      <c r="BQ340" s="174"/>
      <c r="BR340" s="174"/>
      <c r="BS340" s="174"/>
      <c r="BT340" s="174"/>
      <c r="BU340" s="174"/>
      <c r="BV340" s="174"/>
      <c r="BW340" s="174"/>
      <c r="BX340" s="174"/>
      <c r="BY340" s="174"/>
      <c r="BZ340" s="174"/>
      <c r="CA340" s="174"/>
      <c r="CB340" s="174"/>
      <c r="CC340" s="174"/>
      <c r="CD340" s="174"/>
    </row>
    <row r="341">
      <c r="A341" s="105" t="str">
        <f>IF(preDEL!$AG341,IFERROR(0/0,""),preDEL!A341)</f>
        <v>MA1257</v>
      </c>
      <c r="B341" s="170">
        <f>IF(preDEL!$AG341,IFERROR(0/0,""),preDEL!B341)</f>
        <v>44596</v>
      </c>
      <c r="C341" s="171">
        <f>IF(preDEL!$AG341,IFERROR(0/0,""),preDEL!C341)</f>
        <v>0.3431712963</v>
      </c>
      <c r="D341" s="105" t="str">
        <f>IF(preDEL!$AG341,IFERROR(0/0,""),preDEL!D341)</f>
        <v/>
      </c>
      <c r="E341" s="105" t="str">
        <f>IF(preDEL!$AG341,IFERROR(0/0,""),preDEL!E341)</f>
        <v/>
      </c>
      <c r="F341" s="112" t="str">
        <f>IF(preDEL!$AG341,IFERROR(0/0,""),preDEL!F341)</f>
        <v/>
      </c>
      <c r="G341" s="112" t="str">
        <f>IF(preDEL!$AG341,IFERROR(0/0,""),preDEL!G341)</f>
        <v/>
      </c>
      <c r="H341" s="112" t="str">
        <f>IF(preDEL!$AG341,IFERROR(0/0,""),preDEL!H341)</f>
        <v/>
      </c>
      <c r="I341" s="105" t="str">
        <f>IF(preDEL!$AG341,IFERROR(0/0,""),preDEL!I341)</f>
        <v/>
      </c>
      <c r="J341" s="105" t="str">
        <f>IF(preDEL!$AG341,IFERROR(0/0,""),preDEL!J341)</f>
        <v/>
      </c>
      <c r="K341" s="105" t="str">
        <f>IF(preDEL!$AG341,IFERROR(0/0,""),preDEL!K341)</f>
        <v>Negative</v>
      </c>
      <c r="L341" s="170">
        <f>IF(preDEL!$AG341,IFERROR(0/0,""),preDEL!L341)</f>
        <v>44596</v>
      </c>
      <c r="M341" s="171">
        <f>IF(preDEL!$AG341,IFERROR(0/0,""),preDEL!M341)</f>
        <v>0.4819328704</v>
      </c>
      <c r="N341" s="112" t="str">
        <f>IF(preDEL!$AG341,IFERROR(0/0,""),preDEL!N341)</f>
        <v/>
      </c>
      <c r="O341" s="112" t="str">
        <f>IF(preDEL!$AG341,IFERROR(0/0,""),preDEL!O341)</f>
        <v/>
      </c>
      <c r="P341" s="110" t="b">
        <f>IF(preDEL!$AG341,IFERROR(0/0,""),preDEL!P341)</f>
        <v>0</v>
      </c>
      <c r="Q341" s="110" t="str">
        <f>IF(preDEL!$AG341,IFERROR(0/0,""),preDEL!Q341)</f>
        <v>Result</v>
      </c>
      <c r="R341" s="104" t="b">
        <f>IF(preDEL!$AG341,IFERROR(0/0,""),preDEL!R341)</f>
        <v>1</v>
      </c>
      <c r="S341" s="104">
        <f>IF(preDEL!$AG341,IFERROR(0/0,""),preDEL!S341)</f>
        <v>1</v>
      </c>
      <c r="T341" s="110" t="str">
        <f>IF(preDEL!$AG341,IFERROR(0/0,""),preDEL!T341)</f>
        <v/>
      </c>
      <c r="U341" s="112" t="str">
        <f>IF(preDEL!$AG341,IFERROR(0/0,""),preDEL!U341)</f>
        <v/>
      </c>
      <c r="V341" s="105" t="str">
        <f>IF(preDEL!$AG341,IFERROR(0/0,""),preDEL!V341)</f>
        <v/>
      </c>
      <c r="W341" s="112" t="str">
        <f>IF(preDEL!$AG341,IFERROR(0/0,""),preDEL!W341)</f>
        <v/>
      </c>
      <c r="X341" s="104" t="b">
        <f>IF(preDEL!$AG341,IFERROR(0/0,""),preDEL!X341)</f>
        <v>0</v>
      </c>
      <c r="Y341" s="110" t="b">
        <f>IF(preDEL!$AG341,IFERROR(0/0,""),preDEL!Y341)</f>
        <v>0</v>
      </c>
      <c r="Z341" s="105" t="str">
        <f>IF(preDEL!$AG341,IFERROR(0/0,""),preDEL!Z341)</f>
        <v/>
      </c>
      <c r="AA341" s="110" t="b">
        <f>IF(preDEL!$AG341,IFERROR(0/0,""),preDEL!AA341)</f>
        <v>0</v>
      </c>
      <c r="AB341" s="110" t="b">
        <f>IF(preDEL!$AG341,IFERROR(0/0,""),preDEL!AB341)</f>
        <v>0</v>
      </c>
      <c r="AC341" s="172">
        <f>IF(preDEL!$AG341,IFERROR(0/0,""),preDEL!AC341)</f>
        <v>467</v>
      </c>
      <c r="AD341" s="104" t="b">
        <f>IF(preDEL!$AG341,IFERROR(0/0,""),preDEL!AD341)</f>
        <v>0</v>
      </c>
      <c r="AE341" s="173">
        <f>IF(preDEL!$AG341,IFERROR(0/0,""),preDEL!AE341)</f>
        <v>199.8166667</v>
      </c>
      <c r="AF341" s="110" t="b">
        <f>IF(preDEL!$AG341,IFERROR(0/0,""),preDEL!AF341)</f>
        <v>0</v>
      </c>
      <c r="AG341" s="110" t="b">
        <f>IF(preDEL!$AG341,IFERROR(0/0,""),preDEL!AG341)</f>
        <v>0</v>
      </c>
      <c r="AH341" s="104" t="str">
        <f>IF(preDEL!$AG341,IFERROR(0/0,""),preDEL!AH341)</f>
        <v/>
      </c>
      <c r="AI341" s="105" t="str">
        <f>IF(preDEL!$AG341,IFERROR(0/0,""),preDEL!AI341)</f>
        <v/>
      </c>
      <c r="AJ341" s="112" t="str">
        <f>IF(preDEL!$AG341,IFERROR(0/0,""),preDEL!AJ341)</f>
        <v/>
      </c>
      <c r="AK341" s="105" t="str">
        <f>IF(preDEL!$AG341,IFERROR(0/0,""),preDEL!AK341)</f>
        <v>Negative</v>
      </c>
      <c r="AL341" s="112" t="str">
        <f>IF(preDEL!$AG341,IFERROR(0/0,""),preDEL!AL341)</f>
        <v/>
      </c>
      <c r="AM341" s="112" t="str">
        <f>IF(preDEL!$AG341,IFERROR(0/0,""),preDEL!AM341)</f>
        <v>SpBEND387578</v>
      </c>
      <c r="AN341" s="112" t="str">
        <f>IF(preDEL!$AG341,IFERROR(0/0,""),preDEL!AN341)</f>
        <v>BEND375164</v>
      </c>
      <c r="AO341" s="112" t="str">
        <f>IF(preDEL!$AG341,IFERROR(0/0,""),preDEL!AO341)</f>
        <v/>
      </c>
      <c r="AP341" s="112" t="str">
        <f>IF(preDEL!$AG341,IFERROR(0/0,""),preDEL!AP341)</f>
        <v/>
      </c>
      <c r="AQ341" s="112" t="str">
        <f>IF(preDEL!$AG341,IFERROR(0/0,""),preDEL!AQ341)</f>
        <v/>
      </c>
      <c r="AR341" s="112" t="str">
        <f>IF(preDEL!$AG341,IFERROR(0/0,""),preDEL!AR341)</f>
        <v/>
      </c>
      <c r="AS341" s="112" t="str">
        <f>IF(preDEL!$AG341,IFERROR(0/0,""),preDEL!AS341)</f>
        <v/>
      </c>
      <c r="AT341" s="112" t="b">
        <f>IF(preDEL!$AG341,IFERROR(0/0,""),preDEL!AT341)</f>
        <v>0</v>
      </c>
      <c r="AU341" s="112" t="str">
        <f>IF(preDEL!$AG341,IFERROR(0/0,""),preDEL!AU341)</f>
        <v/>
      </c>
      <c r="AV341" s="112" t="str">
        <f>IF(preDEL!$AG341,IFERROR(0/0,""),preDEL!AV341)</f>
        <v/>
      </c>
      <c r="AW341" s="112" t="str">
        <f>IF(preDEL!$AG341,IFERROR(0/0,""),preDEL!AW341)</f>
        <v/>
      </c>
      <c r="AX341" s="112" t="str">
        <f>IF(preDEL!$AG341,IFERROR(0/0,""),preDEL!AX341)</f>
        <v/>
      </c>
      <c r="AY341" s="112" t="str">
        <f>IF(preDEL!$AG341,IFERROR(0/0,""),preDEL!AY341)</f>
        <v/>
      </c>
      <c r="AZ341" s="174"/>
      <c r="BA341" s="174"/>
      <c r="BB341" s="174"/>
      <c r="BC341" s="174"/>
      <c r="BD341" s="174"/>
      <c r="BE341" s="174"/>
      <c r="BF341" s="174"/>
      <c r="BG341" s="174"/>
      <c r="BH341" s="174"/>
      <c r="BI341" s="174"/>
      <c r="BJ341" s="174"/>
      <c r="BK341" s="174"/>
      <c r="BL341" s="174"/>
      <c r="BM341" s="174"/>
      <c r="BN341" s="174"/>
      <c r="BO341" s="174"/>
      <c r="BP341" s="174"/>
      <c r="BQ341" s="174"/>
      <c r="BR341" s="174"/>
      <c r="BS341" s="174"/>
      <c r="BT341" s="174"/>
      <c r="BU341" s="174"/>
      <c r="BV341" s="174"/>
      <c r="BW341" s="174"/>
      <c r="BX341" s="174"/>
      <c r="BY341" s="174"/>
      <c r="BZ341" s="174"/>
      <c r="CA341" s="174"/>
      <c r="CB341" s="174"/>
      <c r="CC341" s="174"/>
      <c r="CD341" s="174"/>
    </row>
    <row r="342">
      <c r="A342" s="105" t="str">
        <f>IF(preDEL!$AG342,IFERROR(0/0,""),preDEL!A342)</f>
        <v>MAX142</v>
      </c>
      <c r="B342" s="170">
        <f>IF(preDEL!$AG342,IFERROR(0/0,""),preDEL!B342)</f>
        <v>44596</v>
      </c>
      <c r="C342" s="171">
        <f>IF(preDEL!$AG342,IFERROR(0/0,""),preDEL!C342)</f>
        <v>0.351875</v>
      </c>
      <c r="D342" s="105" t="str">
        <f>IF(preDEL!$AG342,IFERROR(0/0,""),preDEL!D342)</f>
        <v/>
      </c>
      <c r="E342" s="105" t="str">
        <f>IF(preDEL!$AG342,IFERROR(0/0,""),preDEL!E342)</f>
        <v/>
      </c>
      <c r="F342" s="112" t="str">
        <f>IF(preDEL!$AG342,IFERROR(0/0,""),preDEL!F342)</f>
        <v/>
      </c>
      <c r="G342" s="112" t="str">
        <f>IF(preDEL!$AG342,IFERROR(0/0,""),preDEL!G342)</f>
        <v/>
      </c>
      <c r="H342" s="112" t="str">
        <f>IF(preDEL!$AG342,IFERROR(0/0,""),preDEL!H342)</f>
        <v/>
      </c>
      <c r="I342" s="105" t="str">
        <f>IF(preDEL!$AG342,IFERROR(0/0,""),preDEL!I342)</f>
        <v/>
      </c>
      <c r="J342" s="105" t="str">
        <f>IF(preDEL!$AG342,IFERROR(0/0,""),preDEL!J342)</f>
        <v/>
      </c>
      <c r="K342" s="105" t="str">
        <f>IF(preDEL!$AG342,IFERROR(0/0,""),preDEL!K342)</f>
        <v>Negative</v>
      </c>
      <c r="L342" s="170">
        <f>IF(preDEL!$AG342,IFERROR(0/0,""),preDEL!L342)</f>
        <v>44596</v>
      </c>
      <c r="M342" s="171">
        <f>IF(preDEL!$AG342,IFERROR(0/0,""),preDEL!M342)</f>
        <v>0.4819328704</v>
      </c>
      <c r="N342" s="112" t="str">
        <f>IF(preDEL!$AG342,IFERROR(0/0,""),preDEL!N342)</f>
        <v/>
      </c>
      <c r="O342" s="112" t="str">
        <f>IF(preDEL!$AG342,IFERROR(0/0,""),preDEL!O342)</f>
        <v/>
      </c>
      <c r="P342" s="110" t="b">
        <f>IF(preDEL!$AG342,IFERROR(0/0,""),preDEL!P342)</f>
        <v>0</v>
      </c>
      <c r="Q342" s="110" t="str">
        <f>IF(preDEL!$AG342,IFERROR(0/0,""),preDEL!Q342)</f>
        <v>Result</v>
      </c>
      <c r="R342" s="104" t="b">
        <f>IF(preDEL!$AG342,IFERROR(0/0,""),preDEL!R342)</f>
        <v>1</v>
      </c>
      <c r="S342" s="104">
        <f>IF(preDEL!$AG342,IFERROR(0/0,""),preDEL!S342)</f>
        <v>1</v>
      </c>
      <c r="T342" s="110">
        <f>IF(preDEL!$AG342,IFERROR(0/0,""),preDEL!T342)</f>
        <v>0</v>
      </c>
      <c r="U342" s="112" t="str">
        <f>IF(preDEL!$AG342,IFERROR(0/0,""),preDEL!U342)</f>
        <v/>
      </c>
      <c r="V342" s="105" t="str">
        <f>IF(preDEL!$AG342,IFERROR(0/0,""),preDEL!V342)</f>
        <v/>
      </c>
      <c r="W342" s="112" t="str">
        <f>IF(preDEL!$AG342,IFERROR(0/0,""),preDEL!W342)</f>
        <v/>
      </c>
      <c r="X342" s="104" t="b">
        <f>IF(preDEL!$AG342,IFERROR(0/0,""),preDEL!X342)</f>
        <v>0</v>
      </c>
      <c r="Y342" s="110" t="b">
        <f>IF(preDEL!$AG342,IFERROR(0/0,""),preDEL!Y342)</f>
        <v>0</v>
      </c>
      <c r="Z342" s="105" t="str">
        <f>IF(preDEL!$AG342,IFERROR(0/0,""),preDEL!Z342)</f>
        <v/>
      </c>
      <c r="AA342" s="110" t="b">
        <f>IF(preDEL!$AG342,IFERROR(0/0,""),preDEL!AA342)</f>
        <v>0</v>
      </c>
      <c r="AB342" s="110" t="b">
        <f>IF(preDEL!$AG342,IFERROR(0/0,""),preDEL!AB342)</f>
        <v>0</v>
      </c>
      <c r="AC342" s="172">
        <f>IF(preDEL!$AG342,IFERROR(0/0,""),preDEL!AC342)</f>
        <v>466</v>
      </c>
      <c r="AD342" s="104" t="b">
        <f>IF(preDEL!$AG342,IFERROR(0/0,""),preDEL!AD342)</f>
        <v>0</v>
      </c>
      <c r="AE342" s="173">
        <f>IF(preDEL!$AG342,IFERROR(0/0,""),preDEL!AE342)</f>
        <v>187.2833333</v>
      </c>
      <c r="AF342" s="110" t="b">
        <f>IF(preDEL!$AG342,IFERROR(0/0,""),preDEL!AF342)</f>
        <v>0</v>
      </c>
      <c r="AG342" s="110" t="b">
        <f>IF(preDEL!$AG342,IFERROR(0/0,""),preDEL!AG342)</f>
        <v>0</v>
      </c>
      <c r="AH342" s="104" t="str">
        <f>IF(preDEL!$AG342,IFERROR(0/0,""),preDEL!AH342)</f>
        <v/>
      </c>
      <c r="AI342" s="105" t="str">
        <f>IF(preDEL!$AG342,IFERROR(0/0,""),preDEL!AI342)</f>
        <v/>
      </c>
      <c r="AJ342" s="112" t="str">
        <f>IF(preDEL!$AG342,IFERROR(0/0,""),preDEL!AJ342)</f>
        <v/>
      </c>
      <c r="AK342" s="105" t="str">
        <f>IF(preDEL!$AG342,IFERROR(0/0,""),preDEL!AK342)</f>
        <v>Negative</v>
      </c>
      <c r="AL342" s="112" t="str">
        <f>IF(preDEL!$AG342,IFERROR(0/0,""),preDEL!AL342)</f>
        <v/>
      </c>
      <c r="AM342" s="112" t="str">
        <f>IF(preDEL!$AG342,IFERROR(0/0,""),preDEL!AM342)</f>
        <v>SpBEND394154</v>
      </c>
      <c r="AN342" s="112" t="str">
        <f>IF(preDEL!$AG342,IFERROR(0/0,""),preDEL!AN342)</f>
        <v>BEND495995</v>
      </c>
      <c r="AO342" s="112" t="str">
        <f>IF(preDEL!$AG342,IFERROR(0/0,""),preDEL!AO342)</f>
        <v/>
      </c>
      <c r="AP342" s="112" t="str">
        <f>IF(preDEL!$AG342,IFERROR(0/0,""),preDEL!AP342)</f>
        <v/>
      </c>
      <c r="AQ342" s="112" t="str">
        <f>IF(preDEL!$AG342,IFERROR(0/0,""),preDEL!AQ342)</f>
        <v/>
      </c>
      <c r="AR342" s="112" t="str">
        <f>IF(preDEL!$AG342,IFERROR(0/0,""),preDEL!AR342)</f>
        <v/>
      </c>
      <c r="AS342" s="112" t="str">
        <f>IF(preDEL!$AG342,IFERROR(0/0,""),preDEL!AS342)</f>
        <v/>
      </c>
      <c r="AT342" s="112" t="b">
        <f>IF(preDEL!$AG342,IFERROR(0/0,""),preDEL!AT342)</f>
        <v>0</v>
      </c>
      <c r="AU342" s="112" t="str">
        <f>IF(preDEL!$AG342,IFERROR(0/0,""),preDEL!AU342)</f>
        <v/>
      </c>
      <c r="AV342" s="112" t="str">
        <f>IF(preDEL!$AG342,IFERROR(0/0,""),preDEL!AV342)</f>
        <v/>
      </c>
      <c r="AW342" s="112" t="str">
        <f>IF(preDEL!$AG342,IFERROR(0/0,""),preDEL!AW342)</f>
        <v/>
      </c>
      <c r="AX342" s="112" t="str">
        <f>IF(preDEL!$AG342,IFERROR(0/0,""),preDEL!AX342)</f>
        <v/>
      </c>
      <c r="AY342" s="112" t="str">
        <f>IF(preDEL!$AG342,IFERROR(0/0,""),preDEL!AY342)</f>
        <v/>
      </c>
      <c r="AZ342" s="174"/>
      <c r="BA342" s="174"/>
      <c r="BB342" s="174"/>
      <c r="BC342" s="174"/>
      <c r="BD342" s="174"/>
      <c r="BE342" s="174"/>
      <c r="BF342" s="174"/>
      <c r="BG342" s="174"/>
      <c r="BH342" s="174"/>
      <c r="BI342" s="174"/>
      <c r="BJ342" s="174"/>
      <c r="BK342" s="174"/>
      <c r="BL342" s="174"/>
      <c r="BM342" s="174"/>
      <c r="BN342" s="174"/>
      <c r="BO342" s="174"/>
      <c r="BP342" s="174"/>
      <c r="BQ342" s="174"/>
      <c r="BR342" s="174"/>
      <c r="BS342" s="174"/>
      <c r="BT342" s="174"/>
      <c r="BU342" s="174"/>
      <c r="BV342" s="174"/>
      <c r="BW342" s="174"/>
      <c r="BX342" s="174"/>
      <c r="BY342" s="174"/>
      <c r="BZ342" s="174"/>
      <c r="CA342" s="174"/>
      <c r="CB342" s="174"/>
      <c r="CC342" s="174"/>
      <c r="CD342" s="174"/>
    </row>
    <row r="343">
      <c r="A343" s="105" t="str">
        <f>IF(preDEL!$AG343,IFERROR(0/0,""),preDEL!A343)</f>
        <v>MA635</v>
      </c>
      <c r="B343" s="170">
        <f>IF(preDEL!$AG343,IFERROR(0/0,""),preDEL!B343)</f>
        <v>44596</v>
      </c>
      <c r="C343" s="171">
        <f>IF(preDEL!$AG343,IFERROR(0/0,""),preDEL!C343)</f>
        <v>0.3522569444</v>
      </c>
      <c r="D343" s="105" t="str">
        <f>IF(preDEL!$AG343,IFERROR(0/0,""),preDEL!D343)</f>
        <v/>
      </c>
      <c r="E343" s="105" t="str">
        <f>IF(preDEL!$AG343,IFERROR(0/0,""),preDEL!E343)</f>
        <v/>
      </c>
      <c r="F343" s="112" t="str">
        <f>IF(preDEL!$AG343,IFERROR(0/0,""),preDEL!F343)</f>
        <v/>
      </c>
      <c r="G343" s="112" t="str">
        <f>IF(preDEL!$AG343,IFERROR(0/0,""),preDEL!G343)</f>
        <v/>
      </c>
      <c r="H343" s="112" t="str">
        <f>IF(preDEL!$AG343,IFERROR(0/0,""),preDEL!H343)</f>
        <v/>
      </c>
      <c r="I343" s="105" t="str">
        <f>IF(preDEL!$AG343,IFERROR(0/0,""),preDEL!I343)</f>
        <v/>
      </c>
      <c r="J343" s="105" t="str">
        <f>IF(preDEL!$AG343,IFERROR(0/0,""),preDEL!J343)</f>
        <v/>
      </c>
      <c r="K343" s="105" t="str">
        <f>IF(preDEL!$AG343,IFERROR(0/0,""),preDEL!K343)</f>
        <v>Negative</v>
      </c>
      <c r="L343" s="170">
        <f>IF(preDEL!$AG343,IFERROR(0/0,""),preDEL!L343)</f>
        <v>44596</v>
      </c>
      <c r="M343" s="171">
        <f>IF(preDEL!$AG343,IFERROR(0/0,""),preDEL!M343)</f>
        <v>0.4819328704</v>
      </c>
      <c r="N343" s="112" t="str">
        <f>IF(preDEL!$AG343,IFERROR(0/0,""),preDEL!N343)</f>
        <v/>
      </c>
      <c r="O343" s="112" t="str">
        <f>IF(preDEL!$AG343,IFERROR(0/0,""),preDEL!O343)</f>
        <v/>
      </c>
      <c r="P343" s="110" t="b">
        <f>IF(preDEL!$AG343,IFERROR(0/0,""),preDEL!P343)</f>
        <v>0</v>
      </c>
      <c r="Q343" s="110" t="str">
        <f>IF(preDEL!$AG343,IFERROR(0/0,""),preDEL!Q343)</f>
        <v>Result</v>
      </c>
      <c r="R343" s="104" t="b">
        <f>IF(preDEL!$AG343,IFERROR(0/0,""),preDEL!R343)</f>
        <v>1</v>
      </c>
      <c r="S343" s="104">
        <f>IF(preDEL!$AG343,IFERROR(0/0,""),preDEL!S343)</f>
        <v>1</v>
      </c>
      <c r="T343" s="110" t="str">
        <f>IF(preDEL!$AG343,IFERROR(0/0,""),preDEL!T343)</f>
        <v/>
      </c>
      <c r="U343" s="112" t="str">
        <f>IF(preDEL!$AG343,IFERROR(0/0,""),preDEL!U343)</f>
        <v/>
      </c>
      <c r="V343" s="105" t="str">
        <f>IF(preDEL!$AG343,IFERROR(0/0,""),preDEL!V343)</f>
        <v/>
      </c>
      <c r="W343" s="112" t="str">
        <f>IF(preDEL!$AG343,IFERROR(0/0,""),preDEL!W343)</f>
        <v/>
      </c>
      <c r="X343" s="104" t="b">
        <f>IF(preDEL!$AG343,IFERROR(0/0,""),preDEL!X343)</f>
        <v>0</v>
      </c>
      <c r="Y343" s="110" t="b">
        <f>IF(preDEL!$AG343,IFERROR(0/0,""),preDEL!Y343)</f>
        <v>0</v>
      </c>
      <c r="Z343" s="105" t="str">
        <f>IF(preDEL!$AG343,IFERROR(0/0,""),preDEL!Z343)</f>
        <v/>
      </c>
      <c r="AA343" s="110" t="b">
        <f>IF(preDEL!$AG343,IFERROR(0/0,""),preDEL!AA343)</f>
        <v>0</v>
      </c>
      <c r="AB343" s="110" t="b">
        <f>IF(preDEL!$AG343,IFERROR(0/0,""),preDEL!AB343)</f>
        <v>0</v>
      </c>
      <c r="AC343" s="172">
        <f>IF(preDEL!$AG343,IFERROR(0/0,""),preDEL!AC343)</f>
        <v>465</v>
      </c>
      <c r="AD343" s="104" t="b">
        <f>IF(preDEL!$AG343,IFERROR(0/0,""),preDEL!AD343)</f>
        <v>0</v>
      </c>
      <c r="AE343" s="173">
        <f>IF(preDEL!$AG343,IFERROR(0/0,""),preDEL!AE343)</f>
        <v>186.7333333</v>
      </c>
      <c r="AF343" s="110" t="b">
        <f>IF(preDEL!$AG343,IFERROR(0/0,""),preDEL!AF343)</f>
        <v>0</v>
      </c>
      <c r="AG343" s="110" t="b">
        <f>IF(preDEL!$AG343,IFERROR(0/0,""),preDEL!AG343)</f>
        <v>0</v>
      </c>
      <c r="AH343" s="104" t="str">
        <f>IF(preDEL!$AG343,IFERROR(0/0,""),preDEL!AH343)</f>
        <v/>
      </c>
      <c r="AI343" s="105" t="str">
        <f>IF(preDEL!$AG343,IFERROR(0/0,""),preDEL!AI343)</f>
        <v/>
      </c>
      <c r="AJ343" s="112" t="str">
        <f>IF(preDEL!$AG343,IFERROR(0/0,""),preDEL!AJ343)</f>
        <v/>
      </c>
      <c r="AK343" s="105" t="str">
        <f>IF(preDEL!$AG343,IFERROR(0/0,""),preDEL!AK343)</f>
        <v>Negative</v>
      </c>
      <c r="AL343" s="112" t="str">
        <f>IF(preDEL!$AG343,IFERROR(0/0,""),preDEL!AL343)</f>
        <v/>
      </c>
      <c r="AM343" s="112" t="str">
        <f>IF(preDEL!$AG343,IFERROR(0/0,""),preDEL!AM343)</f>
        <v>SpBEND139600</v>
      </c>
      <c r="AN343" s="112" t="str">
        <f>IF(preDEL!$AG343,IFERROR(0/0,""),preDEL!AN343)</f>
        <v>BEND133778</v>
      </c>
      <c r="AO343" s="112" t="str">
        <f>IF(preDEL!$AG343,IFERROR(0/0,""),preDEL!AO343)</f>
        <v/>
      </c>
      <c r="AP343" s="112" t="str">
        <f>IF(preDEL!$AG343,IFERROR(0/0,""),preDEL!AP343)</f>
        <v/>
      </c>
      <c r="AQ343" s="112" t="str">
        <f>IF(preDEL!$AG343,IFERROR(0/0,""),preDEL!AQ343)</f>
        <v/>
      </c>
      <c r="AR343" s="112" t="str">
        <f>IF(preDEL!$AG343,IFERROR(0/0,""),preDEL!AR343)</f>
        <v/>
      </c>
      <c r="AS343" s="112" t="str">
        <f>IF(preDEL!$AG343,IFERROR(0/0,""),preDEL!AS343)</f>
        <v/>
      </c>
      <c r="AT343" s="112" t="b">
        <f>IF(preDEL!$AG343,IFERROR(0/0,""),preDEL!AT343)</f>
        <v>0</v>
      </c>
      <c r="AU343" s="112" t="str">
        <f>IF(preDEL!$AG343,IFERROR(0/0,""),preDEL!AU343)</f>
        <v/>
      </c>
      <c r="AV343" s="112" t="str">
        <f>IF(preDEL!$AG343,IFERROR(0/0,""),preDEL!AV343)</f>
        <v/>
      </c>
      <c r="AW343" s="112" t="str">
        <f>IF(preDEL!$AG343,IFERROR(0/0,""),preDEL!AW343)</f>
        <v/>
      </c>
      <c r="AX343" s="112" t="str">
        <f>IF(preDEL!$AG343,IFERROR(0/0,""),preDEL!AX343)</f>
        <v/>
      </c>
      <c r="AY343" s="112" t="str">
        <f>IF(preDEL!$AG343,IFERROR(0/0,""),preDEL!AY343)</f>
        <v/>
      </c>
      <c r="AZ343" s="174"/>
      <c r="BA343" s="174"/>
      <c r="BB343" s="174"/>
      <c r="BC343" s="174"/>
      <c r="BD343" s="174"/>
      <c r="BE343" s="174"/>
      <c r="BF343" s="174"/>
      <c r="BG343" s="174"/>
      <c r="BH343" s="174"/>
      <c r="BI343" s="174"/>
      <c r="BJ343" s="174"/>
      <c r="BK343" s="174"/>
      <c r="BL343" s="174"/>
      <c r="BM343" s="174"/>
      <c r="BN343" s="174"/>
      <c r="BO343" s="174"/>
      <c r="BP343" s="174"/>
      <c r="BQ343" s="174"/>
      <c r="BR343" s="174"/>
      <c r="BS343" s="174"/>
      <c r="BT343" s="174"/>
      <c r="BU343" s="174"/>
      <c r="BV343" s="174"/>
      <c r="BW343" s="174"/>
      <c r="BX343" s="174"/>
      <c r="BY343" s="174"/>
      <c r="BZ343" s="174"/>
      <c r="CA343" s="174"/>
      <c r="CB343" s="174"/>
      <c r="CC343" s="174"/>
      <c r="CD343" s="174"/>
    </row>
    <row r="344">
      <c r="A344" s="105" t="str">
        <f>IF(preDEL!$AG344,IFERROR(0/0,""),preDEL!A344)</f>
        <v>MAX134</v>
      </c>
      <c r="B344" s="170">
        <f>IF(preDEL!$AG344,IFERROR(0/0,""),preDEL!B344)</f>
        <v>44596</v>
      </c>
      <c r="C344" s="171">
        <f>IF(preDEL!$AG344,IFERROR(0/0,""),preDEL!C344)</f>
        <v>0.3524189815</v>
      </c>
      <c r="D344" s="105" t="str">
        <f>IF(preDEL!$AG344,IFERROR(0/0,""),preDEL!D344)</f>
        <v/>
      </c>
      <c r="E344" s="105" t="str">
        <f>IF(preDEL!$AG344,IFERROR(0/0,""),preDEL!E344)</f>
        <v/>
      </c>
      <c r="F344" s="112" t="str">
        <f>IF(preDEL!$AG344,IFERROR(0/0,""),preDEL!F344)</f>
        <v/>
      </c>
      <c r="G344" s="112" t="str">
        <f>IF(preDEL!$AG344,IFERROR(0/0,""),preDEL!G344)</f>
        <v/>
      </c>
      <c r="H344" s="112" t="str">
        <f>IF(preDEL!$AG344,IFERROR(0/0,""),preDEL!H344)</f>
        <v/>
      </c>
      <c r="I344" s="105" t="str">
        <f>IF(preDEL!$AG344,IFERROR(0/0,""),preDEL!I344)</f>
        <v/>
      </c>
      <c r="J344" s="105" t="str">
        <f>IF(preDEL!$AG344,IFERROR(0/0,""),preDEL!J344)</f>
        <v/>
      </c>
      <c r="K344" s="105" t="str">
        <f>IF(preDEL!$AG344,IFERROR(0/0,""),preDEL!K344)</f>
        <v>Negative</v>
      </c>
      <c r="L344" s="170">
        <f>IF(preDEL!$AG344,IFERROR(0/0,""),preDEL!L344)</f>
        <v>44596</v>
      </c>
      <c r="M344" s="171">
        <f>IF(preDEL!$AG344,IFERROR(0/0,""),preDEL!M344)</f>
        <v>0.4819328704</v>
      </c>
      <c r="N344" s="112" t="str">
        <f>IF(preDEL!$AG344,IFERROR(0/0,""),preDEL!N344)</f>
        <v/>
      </c>
      <c r="O344" s="112" t="str">
        <f>IF(preDEL!$AG344,IFERROR(0/0,""),preDEL!O344)</f>
        <v/>
      </c>
      <c r="P344" s="110" t="b">
        <f>IF(preDEL!$AG344,IFERROR(0/0,""),preDEL!P344)</f>
        <v>0</v>
      </c>
      <c r="Q344" s="110" t="str">
        <f>IF(preDEL!$AG344,IFERROR(0/0,""),preDEL!Q344)</f>
        <v>Result</v>
      </c>
      <c r="R344" s="104" t="b">
        <f>IF(preDEL!$AG344,IFERROR(0/0,""),preDEL!R344)</f>
        <v>1</v>
      </c>
      <c r="S344" s="104">
        <f>IF(preDEL!$AG344,IFERROR(0/0,""),preDEL!S344)</f>
        <v>1</v>
      </c>
      <c r="T344" s="110" t="str">
        <f>IF(preDEL!$AG344,IFERROR(0/0,""),preDEL!T344)</f>
        <v/>
      </c>
      <c r="U344" s="112" t="str">
        <f>IF(preDEL!$AG344,IFERROR(0/0,""),preDEL!U344)</f>
        <v/>
      </c>
      <c r="V344" s="105" t="str">
        <f>IF(preDEL!$AG344,IFERROR(0/0,""),preDEL!V344)</f>
        <v/>
      </c>
      <c r="W344" s="112" t="str">
        <f>IF(preDEL!$AG344,IFERROR(0/0,""),preDEL!W344)</f>
        <v/>
      </c>
      <c r="X344" s="104" t="b">
        <f>IF(preDEL!$AG344,IFERROR(0/0,""),preDEL!X344)</f>
        <v>0</v>
      </c>
      <c r="Y344" s="110" t="b">
        <f>IF(preDEL!$AG344,IFERROR(0/0,""),preDEL!Y344)</f>
        <v>0</v>
      </c>
      <c r="Z344" s="105" t="str">
        <f>IF(preDEL!$AG344,IFERROR(0/0,""),preDEL!Z344)</f>
        <v/>
      </c>
      <c r="AA344" s="110" t="b">
        <f>IF(preDEL!$AG344,IFERROR(0/0,""),preDEL!AA344)</f>
        <v>0</v>
      </c>
      <c r="AB344" s="110" t="b">
        <f>IF(preDEL!$AG344,IFERROR(0/0,""),preDEL!AB344)</f>
        <v>0</v>
      </c>
      <c r="AC344" s="172">
        <f>IF(preDEL!$AG344,IFERROR(0/0,""),preDEL!AC344)</f>
        <v>464</v>
      </c>
      <c r="AD344" s="104" t="b">
        <f>IF(preDEL!$AG344,IFERROR(0/0,""),preDEL!AD344)</f>
        <v>0</v>
      </c>
      <c r="AE344" s="173">
        <f>IF(preDEL!$AG344,IFERROR(0/0,""),preDEL!AE344)</f>
        <v>186.5</v>
      </c>
      <c r="AF344" s="110" t="b">
        <f>IF(preDEL!$AG344,IFERROR(0/0,""),preDEL!AF344)</f>
        <v>0</v>
      </c>
      <c r="AG344" s="110" t="b">
        <f>IF(preDEL!$AG344,IFERROR(0/0,""),preDEL!AG344)</f>
        <v>0</v>
      </c>
      <c r="AH344" s="104" t="str">
        <f>IF(preDEL!$AG344,IFERROR(0/0,""),preDEL!AH344)</f>
        <v/>
      </c>
      <c r="AI344" s="105" t="str">
        <f>IF(preDEL!$AG344,IFERROR(0/0,""),preDEL!AI344)</f>
        <v/>
      </c>
      <c r="AJ344" s="112" t="str">
        <f>IF(preDEL!$AG344,IFERROR(0/0,""),preDEL!AJ344)</f>
        <v/>
      </c>
      <c r="AK344" s="105" t="str">
        <f>IF(preDEL!$AG344,IFERROR(0/0,""),preDEL!AK344)</f>
        <v>Negative</v>
      </c>
      <c r="AL344" s="112" t="str">
        <f>IF(preDEL!$AG344,IFERROR(0/0,""),preDEL!AL344)</f>
        <v/>
      </c>
      <c r="AM344" s="112" t="str">
        <f>IF(preDEL!$AG344,IFERROR(0/0,""),preDEL!AM344)</f>
        <v>SpBEND394154</v>
      </c>
      <c r="AN344" s="112" t="str">
        <f>IF(preDEL!$AG344,IFERROR(0/0,""),preDEL!AN344)</f>
        <v>BEND230018</v>
      </c>
      <c r="AO344" s="112" t="str">
        <f>IF(preDEL!$AG344,IFERROR(0/0,""),preDEL!AO344)</f>
        <v/>
      </c>
      <c r="AP344" s="112" t="str">
        <f>IF(preDEL!$AG344,IFERROR(0/0,""),preDEL!AP344)</f>
        <v/>
      </c>
      <c r="AQ344" s="112" t="str">
        <f>IF(preDEL!$AG344,IFERROR(0/0,""),preDEL!AQ344)</f>
        <v/>
      </c>
      <c r="AR344" s="112" t="str">
        <f>IF(preDEL!$AG344,IFERROR(0/0,""),preDEL!AR344)</f>
        <v/>
      </c>
      <c r="AS344" s="112" t="str">
        <f>IF(preDEL!$AG344,IFERROR(0/0,""),preDEL!AS344)</f>
        <v/>
      </c>
      <c r="AT344" s="112" t="b">
        <f>IF(preDEL!$AG344,IFERROR(0/0,""),preDEL!AT344)</f>
        <v>0</v>
      </c>
      <c r="AU344" s="112" t="str">
        <f>IF(preDEL!$AG344,IFERROR(0/0,""),preDEL!AU344)</f>
        <v/>
      </c>
      <c r="AV344" s="112" t="str">
        <f>IF(preDEL!$AG344,IFERROR(0/0,""),preDEL!AV344)</f>
        <v/>
      </c>
      <c r="AW344" s="112" t="str">
        <f>IF(preDEL!$AG344,IFERROR(0/0,""),preDEL!AW344)</f>
        <v/>
      </c>
      <c r="AX344" s="112" t="str">
        <f>IF(preDEL!$AG344,IFERROR(0/0,""),preDEL!AX344)</f>
        <v/>
      </c>
      <c r="AY344" s="112" t="str">
        <f>IF(preDEL!$AG344,IFERROR(0/0,""),preDEL!AY344)</f>
        <v/>
      </c>
      <c r="AZ344" s="174"/>
      <c r="BA344" s="174"/>
      <c r="BB344" s="174"/>
      <c r="BC344" s="174"/>
      <c r="BD344" s="174"/>
      <c r="BE344" s="174"/>
      <c r="BF344" s="174"/>
      <c r="BG344" s="174"/>
      <c r="BH344" s="174"/>
      <c r="BI344" s="174"/>
      <c r="BJ344" s="174"/>
      <c r="BK344" s="174"/>
      <c r="BL344" s="174"/>
      <c r="BM344" s="174"/>
      <c r="BN344" s="174"/>
      <c r="BO344" s="174"/>
      <c r="BP344" s="174"/>
      <c r="BQ344" s="174"/>
      <c r="BR344" s="174"/>
      <c r="BS344" s="174"/>
      <c r="BT344" s="174"/>
      <c r="BU344" s="174"/>
      <c r="BV344" s="174"/>
      <c r="BW344" s="174"/>
      <c r="BX344" s="174"/>
      <c r="BY344" s="174"/>
      <c r="BZ344" s="174"/>
      <c r="CA344" s="174"/>
      <c r="CB344" s="174"/>
      <c r="CC344" s="174"/>
      <c r="CD344" s="174"/>
    </row>
    <row r="345">
      <c r="A345" s="105" t="str">
        <f>IF(preDEL!$AG345,IFERROR(0/0,""),preDEL!A345)</f>
        <v>MA390</v>
      </c>
      <c r="B345" s="170">
        <f>IF(preDEL!$AG345,IFERROR(0/0,""),preDEL!B345)</f>
        <v>44599</v>
      </c>
      <c r="C345" s="171">
        <f>IF(preDEL!$AG345,IFERROR(0/0,""),preDEL!C345)</f>
        <v>0.2763541667</v>
      </c>
      <c r="D345" s="105" t="str">
        <f>IF(preDEL!$AG345,IFERROR(0/0,""),preDEL!D345)</f>
        <v/>
      </c>
      <c r="E345" s="105" t="str">
        <f>IF(preDEL!$AG345,IFERROR(0/0,""),preDEL!E345)</f>
        <v/>
      </c>
      <c r="F345" s="112" t="str">
        <f>IF(preDEL!$AG345,IFERROR(0/0,""),preDEL!F345)</f>
        <v/>
      </c>
      <c r="G345" s="112" t="str">
        <f>IF(preDEL!$AG345,IFERROR(0/0,""),preDEL!G345)</f>
        <v/>
      </c>
      <c r="H345" s="112" t="str">
        <f>IF(preDEL!$AG345,IFERROR(0/0,""),preDEL!H345)</f>
        <v/>
      </c>
      <c r="I345" s="105" t="str">
        <f>IF(preDEL!$AG345,IFERROR(0/0,""),preDEL!I345)</f>
        <v/>
      </c>
      <c r="J345" s="105" t="str">
        <f>IF(preDEL!$AG345,IFERROR(0/0,""),preDEL!J345)</f>
        <v/>
      </c>
      <c r="K345" s="105" t="str">
        <f>IF(preDEL!$AG345,IFERROR(0/0,""),preDEL!K345)</f>
        <v>Negative</v>
      </c>
      <c r="L345" s="170">
        <f>IF(preDEL!$AG345,IFERROR(0/0,""),preDEL!L345)</f>
        <v>44599</v>
      </c>
      <c r="M345" s="171">
        <f>IF(preDEL!$AG345,IFERROR(0/0,""),preDEL!M345)</f>
        <v>0.4875347222</v>
      </c>
      <c r="N345" s="112" t="str">
        <f>IF(preDEL!$AG345,IFERROR(0/0,""),preDEL!N345)</f>
        <v/>
      </c>
      <c r="O345" s="112" t="str">
        <f>IF(preDEL!$AG345,IFERROR(0/0,""),preDEL!O345)</f>
        <v/>
      </c>
      <c r="P345" s="110" t="b">
        <f>IF(preDEL!$AG345,IFERROR(0/0,""),preDEL!P345)</f>
        <v>0</v>
      </c>
      <c r="Q345" s="110" t="str">
        <f>IF(preDEL!$AG345,IFERROR(0/0,""),preDEL!Q345)</f>
        <v>Result</v>
      </c>
      <c r="R345" s="104" t="b">
        <f>IF(preDEL!$AG345,IFERROR(0/0,""),preDEL!R345)</f>
        <v>1</v>
      </c>
      <c r="S345" s="104">
        <f>IF(preDEL!$AG345,IFERROR(0/0,""),preDEL!S345)</f>
        <v>1</v>
      </c>
      <c r="T345" s="110" t="str">
        <f>IF(preDEL!$AG345,IFERROR(0/0,""),preDEL!T345)</f>
        <v/>
      </c>
      <c r="U345" s="112" t="str">
        <f>IF(preDEL!$AG345,IFERROR(0/0,""),preDEL!U345)</f>
        <v/>
      </c>
      <c r="V345" s="105" t="str">
        <f>IF(preDEL!$AG345,IFERROR(0/0,""),preDEL!V345)</f>
        <v/>
      </c>
      <c r="W345" s="112" t="str">
        <f>IF(preDEL!$AG345,IFERROR(0/0,""),preDEL!W345)</f>
        <v/>
      </c>
      <c r="X345" s="104" t="b">
        <f>IF(preDEL!$AG345,IFERROR(0/0,""),preDEL!X345)</f>
        <v>0</v>
      </c>
      <c r="Y345" s="110" t="b">
        <f>IF(preDEL!$AG345,IFERROR(0/0,""),preDEL!Y345)</f>
        <v>0</v>
      </c>
      <c r="Z345" s="105" t="str">
        <f>IF(preDEL!$AG345,IFERROR(0/0,""),preDEL!Z345)</f>
        <v/>
      </c>
      <c r="AA345" s="110" t="b">
        <f>IF(preDEL!$AG345,IFERROR(0/0,""),preDEL!AA345)</f>
        <v>0</v>
      </c>
      <c r="AB345" s="110" t="b">
        <f>IF(preDEL!$AG345,IFERROR(0/0,""),preDEL!AB345)</f>
        <v>0</v>
      </c>
      <c r="AC345" s="172">
        <f>IF(preDEL!$AG345,IFERROR(0/0,""),preDEL!AC345)</f>
        <v>463</v>
      </c>
      <c r="AD345" s="104" t="b">
        <f>IF(preDEL!$AG345,IFERROR(0/0,""),preDEL!AD345)</f>
        <v>0</v>
      </c>
      <c r="AE345" s="173">
        <f>IF(preDEL!$AG345,IFERROR(0/0,""),preDEL!AE345)</f>
        <v>304.1</v>
      </c>
      <c r="AF345" s="110" t="b">
        <f>IF(preDEL!$AG345,IFERROR(0/0,""),preDEL!AF345)</f>
        <v>0</v>
      </c>
      <c r="AG345" s="110" t="b">
        <f>IF(preDEL!$AG345,IFERROR(0/0,""),preDEL!AG345)</f>
        <v>0</v>
      </c>
      <c r="AH345" s="104" t="str">
        <f>IF(preDEL!$AG345,IFERROR(0/0,""),preDEL!AH345)</f>
        <v/>
      </c>
      <c r="AI345" s="105" t="str">
        <f>IF(preDEL!$AG345,IFERROR(0/0,""),preDEL!AI345)</f>
        <v/>
      </c>
      <c r="AJ345" s="112" t="str">
        <f>IF(preDEL!$AG345,IFERROR(0/0,""),preDEL!AJ345)</f>
        <v/>
      </c>
      <c r="AK345" s="105" t="str">
        <f>IF(preDEL!$AG345,IFERROR(0/0,""),preDEL!AK345)</f>
        <v>Negative</v>
      </c>
      <c r="AL345" s="112" t="str">
        <f>IF(preDEL!$AG345,IFERROR(0/0,""),preDEL!AL345)</f>
        <v/>
      </c>
      <c r="AM345" s="112" t="str">
        <f>IF(preDEL!$AG345,IFERROR(0/0,""),preDEL!AM345)</f>
        <v>SpBEND953422</v>
      </c>
      <c r="AN345" s="112" t="str">
        <f>IF(preDEL!$AG345,IFERROR(0/0,""),preDEL!AN345)</f>
        <v>BEND782925</v>
      </c>
      <c r="AO345" s="112" t="str">
        <f>IF(preDEL!$AG345,IFERROR(0/0,""),preDEL!AO345)</f>
        <v/>
      </c>
      <c r="AP345" s="112" t="str">
        <f>IF(preDEL!$AG345,IFERROR(0/0,""),preDEL!AP345)</f>
        <v/>
      </c>
      <c r="AQ345" s="112" t="str">
        <f>IF(preDEL!$AG345,IFERROR(0/0,""),preDEL!AQ345)</f>
        <v/>
      </c>
      <c r="AR345" s="112" t="str">
        <f>IF(preDEL!$AG345,IFERROR(0/0,""),preDEL!AR345)</f>
        <v/>
      </c>
      <c r="AS345" s="112" t="str">
        <f>IF(preDEL!$AG345,IFERROR(0/0,""),preDEL!AS345)</f>
        <v/>
      </c>
      <c r="AT345" s="112" t="b">
        <f>IF(preDEL!$AG345,IFERROR(0/0,""),preDEL!AT345)</f>
        <v>0</v>
      </c>
      <c r="AU345" s="112" t="str">
        <f>IF(preDEL!$AG345,IFERROR(0/0,""),preDEL!AU345)</f>
        <v/>
      </c>
      <c r="AV345" s="112" t="str">
        <f>IF(preDEL!$AG345,IFERROR(0/0,""),preDEL!AV345)</f>
        <v/>
      </c>
      <c r="AW345" s="112" t="str">
        <f>IF(preDEL!$AG345,IFERROR(0/0,""),preDEL!AW345)</f>
        <v/>
      </c>
      <c r="AX345" s="112" t="str">
        <f>IF(preDEL!$AG345,IFERROR(0/0,""),preDEL!AX345)</f>
        <v/>
      </c>
      <c r="AY345" s="112" t="str">
        <f>IF(preDEL!$AG345,IFERROR(0/0,""),preDEL!AY345)</f>
        <v/>
      </c>
      <c r="AZ345" s="174"/>
      <c r="BA345" s="174"/>
      <c r="BB345" s="174"/>
      <c r="BC345" s="174"/>
      <c r="BD345" s="174"/>
      <c r="BE345" s="174"/>
      <c r="BF345" s="174"/>
      <c r="BG345" s="174"/>
      <c r="BH345" s="174"/>
      <c r="BI345" s="174"/>
      <c r="BJ345" s="174"/>
      <c r="BK345" s="174"/>
      <c r="BL345" s="174"/>
      <c r="BM345" s="174"/>
      <c r="BN345" s="174"/>
      <c r="BO345" s="174"/>
      <c r="BP345" s="174"/>
      <c r="BQ345" s="174"/>
      <c r="BR345" s="174"/>
      <c r="BS345" s="174"/>
      <c r="BT345" s="174"/>
      <c r="BU345" s="174"/>
      <c r="BV345" s="174"/>
      <c r="BW345" s="174"/>
      <c r="BX345" s="174"/>
      <c r="BY345" s="174"/>
      <c r="BZ345" s="174"/>
      <c r="CA345" s="174"/>
      <c r="CB345" s="174"/>
      <c r="CC345" s="174"/>
      <c r="CD345" s="174"/>
    </row>
    <row r="346">
      <c r="A346" s="105" t="str">
        <f>IF(preDEL!$AG346,IFERROR(0/0,""),preDEL!A346)</f>
        <v>MA368</v>
      </c>
      <c r="B346" s="170">
        <f>IF(preDEL!$AG346,IFERROR(0/0,""),preDEL!B346)</f>
        <v>44599</v>
      </c>
      <c r="C346" s="171">
        <f>IF(preDEL!$AG346,IFERROR(0/0,""),preDEL!C346)</f>
        <v>0.3005902778</v>
      </c>
      <c r="D346" s="105" t="str">
        <f>IF(preDEL!$AG346,IFERROR(0/0,""),preDEL!D346)</f>
        <v/>
      </c>
      <c r="E346" s="105" t="str">
        <f>IF(preDEL!$AG346,IFERROR(0/0,""),preDEL!E346)</f>
        <v/>
      </c>
      <c r="F346" s="112" t="str">
        <f>IF(preDEL!$AG346,IFERROR(0/0,""),preDEL!F346)</f>
        <v/>
      </c>
      <c r="G346" s="112" t="str">
        <f>IF(preDEL!$AG346,IFERROR(0/0,""),preDEL!G346)</f>
        <v/>
      </c>
      <c r="H346" s="112" t="str">
        <f>IF(preDEL!$AG346,IFERROR(0/0,""),preDEL!H346)</f>
        <v/>
      </c>
      <c r="I346" s="105" t="str">
        <f>IF(preDEL!$AG346,IFERROR(0/0,""),preDEL!I346)</f>
        <v/>
      </c>
      <c r="J346" s="105" t="str">
        <f>IF(preDEL!$AG346,IFERROR(0/0,""),preDEL!J346)</f>
        <v/>
      </c>
      <c r="K346" s="105" t="str">
        <f>IF(preDEL!$AG346,IFERROR(0/0,""),preDEL!K346)</f>
        <v>Negative</v>
      </c>
      <c r="L346" s="170">
        <f>IF(preDEL!$AG346,IFERROR(0/0,""),preDEL!L346)</f>
        <v>44599</v>
      </c>
      <c r="M346" s="171">
        <f>IF(preDEL!$AG346,IFERROR(0/0,""),preDEL!M346)</f>
        <v>0.4875347222</v>
      </c>
      <c r="N346" s="112" t="str">
        <f>IF(preDEL!$AG346,IFERROR(0/0,""),preDEL!N346)</f>
        <v/>
      </c>
      <c r="O346" s="112" t="str">
        <f>IF(preDEL!$AG346,IFERROR(0/0,""),preDEL!O346)</f>
        <v/>
      </c>
      <c r="P346" s="110" t="b">
        <f>IF(preDEL!$AG346,IFERROR(0/0,""),preDEL!P346)</f>
        <v>0</v>
      </c>
      <c r="Q346" s="110" t="str">
        <f>IF(preDEL!$AG346,IFERROR(0/0,""),preDEL!Q346)</f>
        <v>Result</v>
      </c>
      <c r="R346" s="104" t="b">
        <f>IF(preDEL!$AG346,IFERROR(0/0,""),preDEL!R346)</f>
        <v>1</v>
      </c>
      <c r="S346" s="104">
        <f>IF(preDEL!$AG346,IFERROR(0/0,""),preDEL!S346)</f>
        <v>1</v>
      </c>
      <c r="T346" s="110" t="str">
        <f>IF(preDEL!$AG346,IFERROR(0/0,""),preDEL!T346)</f>
        <v/>
      </c>
      <c r="U346" s="112" t="str">
        <f>IF(preDEL!$AG346,IFERROR(0/0,""),preDEL!U346)</f>
        <v/>
      </c>
      <c r="V346" s="105" t="str">
        <f>IF(preDEL!$AG346,IFERROR(0/0,""),preDEL!V346)</f>
        <v/>
      </c>
      <c r="W346" s="112" t="str">
        <f>IF(preDEL!$AG346,IFERROR(0/0,""),preDEL!W346)</f>
        <v/>
      </c>
      <c r="X346" s="104" t="b">
        <f>IF(preDEL!$AG346,IFERROR(0/0,""),preDEL!X346)</f>
        <v>0</v>
      </c>
      <c r="Y346" s="110" t="b">
        <f>IF(preDEL!$AG346,IFERROR(0/0,""),preDEL!Y346)</f>
        <v>0</v>
      </c>
      <c r="Z346" s="105" t="str">
        <f>IF(preDEL!$AG346,IFERROR(0/0,""),preDEL!Z346)</f>
        <v/>
      </c>
      <c r="AA346" s="110" t="b">
        <f>IF(preDEL!$AG346,IFERROR(0/0,""),preDEL!AA346)</f>
        <v>0</v>
      </c>
      <c r="AB346" s="110" t="b">
        <f>IF(preDEL!$AG346,IFERROR(0/0,""),preDEL!AB346)</f>
        <v>0</v>
      </c>
      <c r="AC346" s="172">
        <f>IF(preDEL!$AG346,IFERROR(0/0,""),preDEL!AC346)</f>
        <v>462</v>
      </c>
      <c r="AD346" s="104" t="b">
        <f>IF(preDEL!$AG346,IFERROR(0/0,""),preDEL!AD346)</f>
        <v>0</v>
      </c>
      <c r="AE346" s="173">
        <f>IF(preDEL!$AG346,IFERROR(0/0,""),preDEL!AE346)</f>
        <v>269.2</v>
      </c>
      <c r="AF346" s="110" t="b">
        <f>IF(preDEL!$AG346,IFERROR(0/0,""),preDEL!AF346)</f>
        <v>0</v>
      </c>
      <c r="AG346" s="110" t="b">
        <f>IF(preDEL!$AG346,IFERROR(0/0,""),preDEL!AG346)</f>
        <v>0</v>
      </c>
      <c r="AH346" s="104" t="str">
        <f>IF(preDEL!$AG346,IFERROR(0/0,""),preDEL!AH346)</f>
        <v/>
      </c>
      <c r="AI346" s="105" t="str">
        <f>IF(preDEL!$AG346,IFERROR(0/0,""),preDEL!AI346)</f>
        <v/>
      </c>
      <c r="AJ346" s="112" t="str">
        <f>IF(preDEL!$AG346,IFERROR(0/0,""),preDEL!AJ346)</f>
        <v/>
      </c>
      <c r="AK346" s="105" t="str">
        <f>IF(preDEL!$AG346,IFERROR(0/0,""),preDEL!AK346)</f>
        <v>Negative</v>
      </c>
      <c r="AL346" s="112" t="str">
        <f>IF(preDEL!$AG346,IFERROR(0/0,""),preDEL!AL346)</f>
        <v/>
      </c>
      <c r="AM346" s="112" t="str">
        <f>IF(preDEL!$AG346,IFERROR(0/0,""),preDEL!AM346)</f>
        <v>SpBEND721986</v>
      </c>
      <c r="AN346" s="112" t="str">
        <f>IF(preDEL!$AG346,IFERROR(0/0,""),preDEL!AN346)</f>
        <v>BEND127889</v>
      </c>
      <c r="AO346" s="112" t="str">
        <f>IF(preDEL!$AG346,IFERROR(0/0,""),preDEL!AO346)</f>
        <v/>
      </c>
      <c r="AP346" s="112" t="str">
        <f>IF(preDEL!$AG346,IFERROR(0/0,""),preDEL!AP346)</f>
        <v/>
      </c>
      <c r="AQ346" s="112" t="str">
        <f>IF(preDEL!$AG346,IFERROR(0/0,""),preDEL!AQ346)</f>
        <v/>
      </c>
      <c r="AR346" s="112" t="str">
        <f>IF(preDEL!$AG346,IFERROR(0/0,""),preDEL!AR346)</f>
        <v/>
      </c>
      <c r="AS346" s="112" t="str">
        <f>IF(preDEL!$AG346,IFERROR(0/0,""),preDEL!AS346)</f>
        <v/>
      </c>
      <c r="AT346" s="112" t="b">
        <f>IF(preDEL!$AG346,IFERROR(0/0,""),preDEL!AT346)</f>
        <v>0</v>
      </c>
      <c r="AU346" s="112" t="str">
        <f>IF(preDEL!$AG346,IFERROR(0/0,""),preDEL!AU346)</f>
        <v/>
      </c>
      <c r="AV346" s="112" t="str">
        <f>IF(preDEL!$AG346,IFERROR(0/0,""),preDEL!AV346)</f>
        <v/>
      </c>
      <c r="AW346" s="112" t="str">
        <f>IF(preDEL!$AG346,IFERROR(0/0,""),preDEL!AW346)</f>
        <v/>
      </c>
      <c r="AX346" s="112" t="str">
        <f>IF(preDEL!$AG346,IFERROR(0/0,""),preDEL!AX346)</f>
        <v/>
      </c>
      <c r="AY346" s="112" t="str">
        <f>IF(preDEL!$AG346,IFERROR(0/0,""),preDEL!AY346)</f>
        <v/>
      </c>
      <c r="AZ346" s="174"/>
      <c r="BA346" s="174"/>
      <c r="BB346" s="174"/>
      <c r="BC346" s="174"/>
      <c r="BD346" s="174"/>
      <c r="BE346" s="174"/>
      <c r="BF346" s="174"/>
      <c r="BG346" s="174"/>
      <c r="BH346" s="174"/>
      <c r="BI346" s="174"/>
      <c r="BJ346" s="174"/>
      <c r="BK346" s="174"/>
      <c r="BL346" s="174"/>
      <c r="BM346" s="174"/>
      <c r="BN346" s="174"/>
      <c r="BO346" s="174"/>
      <c r="BP346" s="174"/>
      <c r="BQ346" s="174"/>
      <c r="BR346" s="174"/>
      <c r="BS346" s="174"/>
      <c r="BT346" s="174"/>
      <c r="BU346" s="174"/>
      <c r="BV346" s="174"/>
      <c r="BW346" s="174"/>
      <c r="BX346" s="174"/>
      <c r="BY346" s="174"/>
      <c r="BZ346" s="174"/>
      <c r="CA346" s="174"/>
      <c r="CB346" s="174"/>
      <c r="CC346" s="174"/>
      <c r="CD346" s="174"/>
    </row>
    <row r="347">
      <c r="A347" s="105" t="str">
        <f>IF(preDEL!$AG347,IFERROR(0/0,""),preDEL!A347)</f>
        <v>MA1190</v>
      </c>
      <c r="B347" s="170">
        <f>IF(preDEL!$AG347,IFERROR(0/0,""),preDEL!B347)</f>
        <v>44599</v>
      </c>
      <c r="C347" s="171">
        <f>IF(preDEL!$AG347,IFERROR(0/0,""),preDEL!C347)</f>
        <v>0.3059143519</v>
      </c>
      <c r="D347" s="105" t="str">
        <f>IF(preDEL!$AG347,IFERROR(0/0,""),preDEL!D347)</f>
        <v/>
      </c>
      <c r="E347" s="105" t="str">
        <f>IF(preDEL!$AG347,IFERROR(0/0,""),preDEL!E347)</f>
        <v/>
      </c>
      <c r="F347" s="112" t="str">
        <f>IF(preDEL!$AG347,IFERROR(0/0,""),preDEL!F347)</f>
        <v/>
      </c>
      <c r="G347" s="112" t="str">
        <f>IF(preDEL!$AG347,IFERROR(0/0,""),preDEL!G347)</f>
        <v/>
      </c>
      <c r="H347" s="112" t="str">
        <f>IF(preDEL!$AG347,IFERROR(0/0,""),preDEL!H347)</f>
        <v/>
      </c>
      <c r="I347" s="105" t="str">
        <f>IF(preDEL!$AG347,IFERROR(0/0,""),preDEL!I347)</f>
        <v/>
      </c>
      <c r="J347" s="105" t="str">
        <f>IF(preDEL!$AG347,IFERROR(0/0,""),preDEL!J347)</f>
        <v/>
      </c>
      <c r="K347" s="105" t="str">
        <f>IF(preDEL!$AG347,IFERROR(0/0,""),preDEL!K347)</f>
        <v>Negative</v>
      </c>
      <c r="L347" s="170">
        <f>IF(preDEL!$AG347,IFERROR(0/0,""),preDEL!L347)</f>
        <v>44599</v>
      </c>
      <c r="M347" s="171">
        <f>IF(preDEL!$AG347,IFERROR(0/0,""),preDEL!M347)</f>
        <v>0.4875347222</v>
      </c>
      <c r="N347" s="112" t="str">
        <f>IF(preDEL!$AG347,IFERROR(0/0,""),preDEL!N347)</f>
        <v/>
      </c>
      <c r="O347" s="112" t="str">
        <f>IF(preDEL!$AG347,IFERROR(0/0,""),preDEL!O347)</f>
        <v/>
      </c>
      <c r="P347" s="110" t="b">
        <f>IF(preDEL!$AG347,IFERROR(0/0,""),preDEL!P347)</f>
        <v>0</v>
      </c>
      <c r="Q347" s="110" t="str">
        <f>IF(preDEL!$AG347,IFERROR(0/0,""),preDEL!Q347)</f>
        <v>Result</v>
      </c>
      <c r="R347" s="104" t="b">
        <f>IF(preDEL!$AG347,IFERROR(0/0,""),preDEL!R347)</f>
        <v>1</v>
      </c>
      <c r="S347" s="104">
        <f>IF(preDEL!$AG347,IFERROR(0/0,""),preDEL!S347)</f>
        <v>1</v>
      </c>
      <c r="T347" s="110" t="str">
        <f>IF(preDEL!$AG347,IFERROR(0/0,""),preDEL!T347)</f>
        <v/>
      </c>
      <c r="U347" s="112" t="str">
        <f>IF(preDEL!$AG347,IFERROR(0/0,""),preDEL!U347)</f>
        <v/>
      </c>
      <c r="V347" s="105" t="str">
        <f>IF(preDEL!$AG347,IFERROR(0/0,""),preDEL!V347)</f>
        <v/>
      </c>
      <c r="W347" s="112" t="str">
        <f>IF(preDEL!$AG347,IFERROR(0/0,""),preDEL!W347)</f>
        <v/>
      </c>
      <c r="X347" s="104" t="b">
        <f>IF(preDEL!$AG347,IFERROR(0/0,""),preDEL!X347)</f>
        <v>0</v>
      </c>
      <c r="Y347" s="110" t="b">
        <f>IF(preDEL!$AG347,IFERROR(0/0,""),preDEL!Y347)</f>
        <v>0</v>
      </c>
      <c r="Z347" s="105" t="str">
        <f>IF(preDEL!$AG347,IFERROR(0/0,""),preDEL!Z347)</f>
        <v/>
      </c>
      <c r="AA347" s="110" t="b">
        <f>IF(preDEL!$AG347,IFERROR(0/0,""),preDEL!AA347)</f>
        <v>0</v>
      </c>
      <c r="AB347" s="110" t="b">
        <f>IF(preDEL!$AG347,IFERROR(0/0,""),preDEL!AB347)</f>
        <v>0</v>
      </c>
      <c r="AC347" s="172">
        <f>IF(preDEL!$AG347,IFERROR(0/0,""),preDEL!AC347)</f>
        <v>461</v>
      </c>
      <c r="AD347" s="104" t="b">
        <f>IF(preDEL!$AG347,IFERROR(0/0,""),preDEL!AD347)</f>
        <v>0</v>
      </c>
      <c r="AE347" s="173">
        <f>IF(preDEL!$AG347,IFERROR(0/0,""),preDEL!AE347)</f>
        <v>261.5333333</v>
      </c>
      <c r="AF347" s="110" t="b">
        <f>IF(preDEL!$AG347,IFERROR(0/0,""),preDEL!AF347)</f>
        <v>0</v>
      </c>
      <c r="AG347" s="110" t="b">
        <f>IF(preDEL!$AG347,IFERROR(0/0,""),preDEL!AG347)</f>
        <v>0</v>
      </c>
      <c r="AH347" s="104" t="str">
        <f>IF(preDEL!$AG347,IFERROR(0/0,""),preDEL!AH347)</f>
        <v/>
      </c>
      <c r="AI347" s="105" t="str">
        <f>IF(preDEL!$AG347,IFERROR(0/0,""),preDEL!AI347)</f>
        <v/>
      </c>
      <c r="AJ347" s="112" t="str">
        <f>IF(preDEL!$AG347,IFERROR(0/0,""),preDEL!AJ347)</f>
        <v/>
      </c>
      <c r="AK347" s="105" t="str">
        <f>IF(preDEL!$AG347,IFERROR(0/0,""),preDEL!AK347)</f>
        <v>Negative</v>
      </c>
      <c r="AL347" s="112" t="str">
        <f>IF(preDEL!$AG347,IFERROR(0/0,""),preDEL!AL347)</f>
        <v/>
      </c>
      <c r="AM347" s="112" t="str">
        <f>IF(preDEL!$AG347,IFERROR(0/0,""),preDEL!AM347)</f>
        <v>SpBEND214692</v>
      </c>
      <c r="AN347" s="112" t="str">
        <f>IF(preDEL!$AG347,IFERROR(0/0,""),preDEL!AN347)</f>
        <v>BEND886978</v>
      </c>
      <c r="AO347" s="112" t="str">
        <f>IF(preDEL!$AG347,IFERROR(0/0,""),preDEL!AO347)</f>
        <v/>
      </c>
      <c r="AP347" s="112" t="str">
        <f>IF(preDEL!$AG347,IFERROR(0/0,""),preDEL!AP347)</f>
        <v/>
      </c>
      <c r="AQ347" s="112" t="str">
        <f>IF(preDEL!$AG347,IFERROR(0/0,""),preDEL!AQ347)</f>
        <v/>
      </c>
      <c r="AR347" s="112" t="str">
        <f>IF(preDEL!$AG347,IFERROR(0/0,""),preDEL!AR347)</f>
        <v/>
      </c>
      <c r="AS347" s="112" t="str">
        <f>IF(preDEL!$AG347,IFERROR(0/0,""),preDEL!AS347)</f>
        <v/>
      </c>
      <c r="AT347" s="112" t="b">
        <f>IF(preDEL!$AG347,IFERROR(0/0,""),preDEL!AT347)</f>
        <v>0</v>
      </c>
      <c r="AU347" s="112" t="str">
        <f>IF(preDEL!$AG347,IFERROR(0/0,""),preDEL!AU347)</f>
        <v/>
      </c>
      <c r="AV347" s="112" t="str">
        <f>IF(preDEL!$AG347,IFERROR(0/0,""),preDEL!AV347)</f>
        <v/>
      </c>
      <c r="AW347" s="112" t="str">
        <f>IF(preDEL!$AG347,IFERROR(0/0,""),preDEL!AW347)</f>
        <v/>
      </c>
      <c r="AX347" s="112" t="str">
        <f>IF(preDEL!$AG347,IFERROR(0/0,""),preDEL!AX347)</f>
        <v/>
      </c>
      <c r="AY347" s="112" t="str">
        <f>IF(preDEL!$AG347,IFERROR(0/0,""),preDEL!AY347)</f>
        <v/>
      </c>
      <c r="AZ347" s="174"/>
      <c r="BA347" s="174"/>
      <c r="BB347" s="174"/>
      <c r="BC347" s="174"/>
      <c r="BD347" s="174"/>
      <c r="BE347" s="174"/>
      <c r="BF347" s="174"/>
      <c r="BG347" s="174"/>
      <c r="BH347" s="174"/>
      <c r="BI347" s="174"/>
      <c r="BJ347" s="174"/>
      <c r="BK347" s="174"/>
      <c r="BL347" s="174"/>
      <c r="BM347" s="174"/>
      <c r="BN347" s="174"/>
      <c r="BO347" s="174"/>
      <c r="BP347" s="174"/>
      <c r="BQ347" s="174"/>
      <c r="BR347" s="174"/>
      <c r="BS347" s="174"/>
      <c r="BT347" s="174"/>
      <c r="BU347" s="174"/>
      <c r="BV347" s="174"/>
      <c r="BW347" s="174"/>
      <c r="BX347" s="174"/>
      <c r="BY347" s="174"/>
      <c r="BZ347" s="174"/>
      <c r="CA347" s="174"/>
      <c r="CB347" s="174"/>
      <c r="CC347" s="174"/>
      <c r="CD347" s="174"/>
    </row>
    <row r="348">
      <c r="A348" s="105" t="str">
        <f>IF(preDEL!$AG348,IFERROR(0/0,""),preDEL!A348)</f>
        <v>MA1174</v>
      </c>
      <c r="B348" s="170">
        <f>IF(preDEL!$AG348,IFERROR(0/0,""),preDEL!B348)</f>
        <v>44599</v>
      </c>
      <c r="C348" s="171">
        <f>IF(preDEL!$AG348,IFERROR(0/0,""),preDEL!C348)</f>
        <v>0.3065393519</v>
      </c>
      <c r="D348" s="105" t="str">
        <f>IF(preDEL!$AG348,IFERROR(0/0,""),preDEL!D348)</f>
        <v/>
      </c>
      <c r="E348" s="105" t="str">
        <f>IF(preDEL!$AG348,IFERROR(0/0,""),preDEL!E348)</f>
        <v/>
      </c>
      <c r="F348" s="112" t="str">
        <f>IF(preDEL!$AG348,IFERROR(0/0,""),preDEL!F348)</f>
        <v/>
      </c>
      <c r="G348" s="112" t="str">
        <f>IF(preDEL!$AG348,IFERROR(0/0,""),preDEL!G348)</f>
        <v/>
      </c>
      <c r="H348" s="112" t="str">
        <f>IF(preDEL!$AG348,IFERROR(0/0,""),preDEL!H348)</f>
        <v/>
      </c>
      <c r="I348" s="105" t="str">
        <f>IF(preDEL!$AG348,IFERROR(0/0,""),preDEL!I348)</f>
        <v/>
      </c>
      <c r="J348" s="105" t="str">
        <f>IF(preDEL!$AG348,IFERROR(0/0,""),preDEL!J348)</f>
        <v/>
      </c>
      <c r="K348" s="105" t="str">
        <f>IF(preDEL!$AG348,IFERROR(0/0,""),preDEL!K348)</f>
        <v>Negative</v>
      </c>
      <c r="L348" s="170">
        <f>IF(preDEL!$AG348,IFERROR(0/0,""),preDEL!L348)</f>
        <v>44599</v>
      </c>
      <c r="M348" s="171">
        <f>IF(preDEL!$AG348,IFERROR(0/0,""),preDEL!M348)</f>
        <v>0.4875347222</v>
      </c>
      <c r="N348" s="112" t="str">
        <f>IF(preDEL!$AG348,IFERROR(0/0,""),preDEL!N348)</f>
        <v/>
      </c>
      <c r="O348" s="112" t="str">
        <f>IF(preDEL!$AG348,IFERROR(0/0,""),preDEL!O348)</f>
        <v/>
      </c>
      <c r="P348" s="110" t="b">
        <f>IF(preDEL!$AG348,IFERROR(0/0,""),preDEL!P348)</f>
        <v>0</v>
      </c>
      <c r="Q348" s="110" t="str">
        <f>IF(preDEL!$AG348,IFERROR(0/0,""),preDEL!Q348)</f>
        <v>Result</v>
      </c>
      <c r="R348" s="104" t="b">
        <f>IF(preDEL!$AG348,IFERROR(0/0,""),preDEL!R348)</f>
        <v>1</v>
      </c>
      <c r="S348" s="104">
        <f>IF(preDEL!$AG348,IFERROR(0/0,""),preDEL!S348)</f>
        <v>1</v>
      </c>
      <c r="T348" s="110" t="str">
        <f>IF(preDEL!$AG348,IFERROR(0/0,""),preDEL!T348)</f>
        <v/>
      </c>
      <c r="U348" s="112" t="str">
        <f>IF(preDEL!$AG348,IFERROR(0/0,""),preDEL!U348)</f>
        <v/>
      </c>
      <c r="V348" s="105" t="str">
        <f>IF(preDEL!$AG348,IFERROR(0/0,""),preDEL!V348)</f>
        <v/>
      </c>
      <c r="W348" s="112" t="str">
        <f>IF(preDEL!$AG348,IFERROR(0/0,""),preDEL!W348)</f>
        <v/>
      </c>
      <c r="X348" s="104" t="b">
        <f>IF(preDEL!$AG348,IFERROR(0/0,""),preDEL!X348)</f>
        <v>0</v>
      </c>
      <c r="Y348" s="110" t="b">
        <f>IF(preDEL!$AG348,IFERROR(0/0,""),preDEL!Y348)</f>
        <v>0</v>
      </c>
      <c r="Z348" s="105" t="str">
        <f>IF(preDEL!$AG348,IFERROR(0/0,""),preDEL!Z348)</f>
        <v/>
      </c>
      <c r="AA348" s="110" t="b">
        <f>IF(preDEL!$AG348,IFERROR(0/0,""),preDEL!AA348)</f>
        <v>0</v>
      </c>
      <c r="AB348" s="110" t="b">
        <f>IF(preDEL!$AG348,IFERROR(0/0,""),preDEL!AB348)</f>
        <v>0</v>
      </c>
      <c r="AC348" s="172">
        <f>IF(preDEL!$AG348,IFERROR(0/0,""),preDEL!AC348)</f>
        <v>460</v>
      </c>
      <c r="AD348" s="104" t="b">
        <f>IF(preDEL!$AG348,IFERROR(0/0,""),preDEL!AD348)</f>
        <v>0</v>
      </c>
      <c r="AE348" s="173">
        <f>IF(preDEL!$AG348,IFERROR(0/0,""),preDEL!AE348)</f>
        <v>260.6333333</v>
      </c>
      <c r="AF348" s="110" t="b">
        <f>IF(preDEL!$AG348,IFERROR(0/0,""),preDEL!AF348)</f>
        <v>0</v>
      </c>
      <c r="AG348" s="110" t="b">
        <f>IF(preDEL!$AG348,IFERROR(0/0,""),preDEL!AG348)</f>
        <v>0</v>
      </c>
      <c r="AH348" s="104" t="str">
        <f>IF(preDEL!$AG348,IFERROR(0/0,""),preDEL!AH348)</f>
        <v/>
      </c>
      <c r="AI348" s="105" t="str">
        <f>IF(preDEL!$AG348,IFERROR(0/0,""),preDEL!AI348)</f>
        <v/>
      </c>
      <c r="AJ348" s="112" t="str">
        <f>IF(preDEL!$AG348,IFERROR(0/0,""),preDEL!AJ348)</f>
        <v/>
      </c>
      <c r="AK348" s="105" t="str">
        <f>IF(preDEL!$AG348,IFERROR(0/0,""),preDEL!AK348)</f>
        <v>Negative</v>
      </c>
      <c r="AL348" s="112" t="str">
        <f>IF(preDEL!$AG348,IFERROR(0/0,""),preDEL!AL348)</f>
        <v/>
      </c>
      <c r="AM348" s="112" t="str">
        <f>IF(preDEL!$AG348,IFERROR(0/0,""),preDEL!AM348)</f>
        <v>SpBEND541174</v>
      </c>
      <c r="AN348" s="112" t="str">
        <f>IF(preDEL!$AG348,IFERROR(0/0,""),preDEL!AN348)</f>
        <v>BEND785384</v>
      </c>
      <c r="AO348" s="112" t="str">
        <f>IF(preDEL!$AG348,IFERROR(0/0,""),preDEL!AO348)</f>
        <v/>
      </c>
      <c r="AP348" s="112" t="str">
        <f>IF(preDEL!$AG348,IFERROR(0/0,""),preDEL!AP348)</f>
        <v/>
      </c>
      <c r="AQ348" s="112" t="str">
        <f>IF(preDEL!$AG348,IFERROR(0/0,""),preDEL!AQ348)</f>
        <v/>
      </c>
      <c r="AR348" s="112" t="str">
        <f>IF(preDEL!$AG348,IFERROR(0/0,""),preDEL!AR348)</f>
        <v/>
      </c>
      <c r="AS348" s="112" t="str">
        <f>IF(preDEL!$AG348,IFERROR(0/0,""),preDEL!AS348)</f>
        <v/>
      </c>
      <c r="AT348" s="112" t="b">
        <f>IF(preDEL!$AG348,IFERROR(0/0,""),preDEL!AT348)</f>
        <v>0</v>
      </c>
      <c r="AU348" s="112" t="str">
        <f>IF(preDEL!$AG348,IFERROR(0/0,""),preDEL!AU348)</f>
        <v/>
      </c>
      <c r="AV348" s="112" t="str">
        <f>IF(preDEL!$AG348,IFERROR(0/0,""),preDEL!AV348)</f>
        <v/>
      </c>
      <c r="AW348" s="112" t="str">
        <f>IF(preDEL!$AG348,IFERROR(0/0,""),preDEL!AW348)</f>
        <v/>
      </c>
      <c r="AX348" s="112" t="str">
        <f>IF(preDEL!$AG348,IFERROR(0/0,""),preDEL!AX348)</f>
        <v/>
      </c>
      <c r="AY348" s="112" t="str">
        <f>IF(preDEL!$AG348,IFERROR(0/0,""),preDEL!AY348)</f>
        <v/>
      </c>
      <c r="AZ348" s="174"/>
      <c r="BA348" s="174"/>
      <c r="BB348" s="174"/>
      <c r="BC348" s="174"/>
      <c r="BD348" s="174"/>
      <c r="BE348" s="174"/>
      <c r="BF348" s="174"/>
      <c r="BG348" s="174"/>
      <c r="BH348" s="174"/>
      <c r="BI348" s="174"/>
      <c r="BJ348" s="174"/>
      <c r="BK348" s="174"/>
      <c r="BL348" s="174"/>
      <c r="BM348" s="174"/>
      <c r="BN348" s="174"/>
      <c r="BO348" s="174"/>
      <c r="BP348" s="174"/>
      <c r="BQ348" s="174"/>
      <c r="BR348" s="174"/>
      <c r="BS348" s="174"/>
      <c r="BT348" s="174"/>
      <c r="BU348" s="174"/>
      <c r="BV348" s="174"/>
      <c r="BW348" s="174"/>
      <c r="BX348" s="174"/>
      <c r="BY348" s="174"/>
      <c r="BZ348" s="174"/>
      <c r="CA348" s="174"/>
      <c r="CB348" s="174"/>
      <c r="CC348" s="174"/>
      <c r="CD348" s="174"/>
    </row>
    <row r="349">
      <c r="A349" s="105" t="str">
        <f>IF(preDEL!$AG349,IFERROR(0/0,""),preDEL!A349)</f>
        <v>MA440</v>
      </c>
      <c r="B349" s="170">
        <f>IF(preDEL!$AG349,IFERROR(0/0,""),preDEL!B349)</f>
        <v>44599</v>
      </c>
      <c r="C349" s="171">
        <f>IF(preDEL!$AG349,IFERROR(0/0,""),preDEL!C349)</f>
        <v>0.3181365741</v>
      </c>
      <c r="D349" s="105" t="str">
        <f>IF(preDEL!$AG349,IFERROR(0/0,""),preDEL!D349)</f>
        <v/>
      </c>
      <c r="E349" s="105" t="str">
        <f>IF(preDEL!$AG349,IFERROR(0/0,""),preDEL!E349)</f>
        <v/>
      </c>
      <c r="F349" s="112" t="str">
        <f>IF(preDEL!$AG349,IFERROR(0/0,""),preDEL!F349)</f>
        <v/>
      </c>
      <c r="G349" s="112" t="str">
        <f>IF(preDEL!$AG349,IFERROR(0/0,""),preDEL!G349)</f>
        <v/>
      </c>
      <c r="H349" s="112" t="str">
        <f>IF(preDEL!$AG349,IFERROR(0/0,""),preDEL!H349)</f>
        <v/>
      </c>
      <c r="I349" s="105" t="str">
        <f>IF(preDEL!$AG349,IFERROR(0/0,""),preDEL!I349)</f>
        <v/>
      </c>
      <c r="J349" s="105" t="str">
        <f>IF(preDEL!$AG349,IFERROR(0/0,""),preDEL!J349)</f>
        <v/>
      </c>
      <c r="K349" s="105" t="str">
        <f>IF(preDEL!$AG349,IFERROR(0/0,""),preDEL!K349)</f>
        <v>Negative</v>
      </c>
      <c r="L349" s="170">
        <f>IF(preDEL!$AG349,IFERROR(0/0,""),preDEL!L349)</f>
        <v>44599</v>
      </c>
      <c r="M349" s="171">
        <f>IF(preDEL!$AG349,IFERROR(0/0,""),preDEL!M349)</f>
        <v>0.4875462963</v>
      </c>
      <c r="N349" s="112" t="str">
        <f>IF(preDEL!$AG349,IFERROR(0/0,""),preDEL!N349)</f>
        <v/>
      </c>
      <c r="O349" s="112" t="str">
        <f>IF(preDEL!$AG349,IFERROR(0/0,""),preDEL!O349)</f>
        <v/>
      </c>
      <c r="P349" s="110" t="b">
        <f>IF(preDEL!$AG349,IFERROR(0/0,""),preDEL!P349)</f>
        <v>0</v>
      </c>
      <c r="Q349" s="110" t="str">
        <f>IF(preDEL!$AG349,IFERROR(0/0,""),preDEL!Q349)</f>
        <v>Result</v>
      </c>
      <c r="R349" s="104" t="b">
        <f>IF(preDEL!$AG349,IFERROR(0/0,""),preDEL!R349)</f>
        <v>1</v>
      </c>
      <c r="S349" s="104">
        <f>IF(preDEL!$AG349,IFERROR(0/0,""),preDEL!S349)</f>
        <v>1</v>
      </c>
      <c r="T349" s="110" t="str">
        <f>IF(preDEL!$AG349,IFERROR(0/0,""),preDEL!T349)</f>
        <v/>
      </c>
      <c r="U349" s="112" t="str">
        <f>IF(preDEL!$AG349,IFERROR(0/0,""),preDEL!U349)</f>
        <v/>
      </c>
      <c r="V349" s="105" t="str">
        <f>IF(preDEL!$AG349,IFERROR(0/0,""),preDEL!V349)</f>
        <v/>
      </c>
      <c r="W349" s="112" t="str">
        <f>IF(preDEL!$AG349,IFERROR(0/0,""),preDEL!W349)</f>
        <v/>
      </c>
      <c r="X349" s="104" t="b">
        <f>IF(preDEL!$AG349,IFERROR(0/0,""),preDEL!X349)</f>
        <v>0</v>
      </c>
      <c r="Y349" s="110" t="b">
        <f>IF(preDEL!$AG349,IFERROR(0/0,""),preDEL!Y349)</f>
        <v>0</v>
      </c>
      <c r="Z349" s="105" t="str">
        <f>IF(preDEL!$AG349,IFERROR(0/0,""),preDEL!Z349)</f>
        <v/>
      </c>
      <c r="AA349" s="110" t="b">
        <f>IF(preDEL!$AG349,IFERROR(0/0,""),preDEL!AA349)</f>
        <v>0</v>
      </c>
      <c r="AB349" s="110" t="b">
        <f>IF(preDEL!$AG349,IFERROR(0/0,""),preDEL!AB349)</f>
        <v>0</v>
      </c>
      <c r="AC349" s="172">
        <f>IF(preDEL!$AG349,IFERROR(0/0,""),preDEL!AC349)</f>
        <v>459</v>
      </c>
      <c r="AD349" s="104" t="b">
        <f>IF(preDEL!$AG349,IFERROR(0/0,""),preDEL!AD349)</f>
        <v>0</v>
      </c>
      <c r="AE349" s="173">
        <f>IF(preDEL!$AG349,IFERROR(0/0,""),preDEL!AE349)</f>
        <v>243.95</v>
      </c>
      <c r="AF349" s="110" t="b">
        <f>IF(preDEL!$AG349,IFERROR(0/0,""),preDEL!AF349)</f>
        <v>0</v>
      </c>
      <c r="AG349" s="110" t="b">
        <f>IF(preDEL!$AG349,IFERROR(0/0,""),preDEL!AG349)</f>
        <v>0</v>
      </c>
      <c r="AH349" s="104" t="str">
        <f>IF(preDEL!$AG349,IFERROR(0/0,""),preDEL!AH349)</f>
        <v/>
      </c>
      <c r="AI349" s="105" t="str">
        <f>IF(preDEL!$AG349,IFERROR(0/0,""),preDEL!AI349)</f>
        <v/>
      </c>
      <c r="AJ349" s="112" t="str">
        <f>IF(preDEL!$AG349,IFERROR(0/0,""),preDEL!AJ349)</f>
        <v/>
      </c>
      <c r="AK349" s="105" t="str">
        <f>IF(preDEL!$AG349,IFERROR(0/0,""),preDEL!AK349)</f>
        <v>Negative</v>
      </c>
      <c r="AL349" s="112" t="str">
        <f>IF(preDEL!$AG349,IFERROR(0/0,""),preDEL!AL349)</f>
        <v/>
      </c>
      <c r="AM349" s="112" t="str">
        <f>IF(preDEL!$AG349,IFERROR(0/0,""),preDEL!AM349)</f>
        <v>SpBEND136234</v>
      </c>
      <c r="AN349" s="112" t="str">
        <f>IF(preDEL!$AG349,IFERROR(0/0,""),preDEL!AN349)</f>
        <v>BEND350468</v>
      </c>
      <c r="AO349" s="112" t="str">
        <f>IF(preDEL!$AG349,IFERROR(0/0,""),preDEL!AO349)</f>
        <v/>
      </c>
      <c r="AP349" s="112" t="str">
        <f>IF(preDEL!$AG349,IFERROR(0/0,""),preDEL!AP349)</f>
        <v/>
      </c>
      <c r="AQ349" s="112" t="str">
        <f>IF(preDEL!$AG349,IFERROR(0/0,""),preDEL!AQ349)</f>
        <v/>
      </c>
      <c r="AR349" s="112" t="str">
        <f>IF(preDEL!$AG349,IFERROR(0/0,""),preDEL!AR349)</f>
        <v/>
      </c>
      <c r="AS349" s="112" t="str">
        <f>IF(preDEL!$AG349,IFERROR(0/0,""),preDEL!AS349)</f>
        <v/>
      </c>
      <c r="AT349" s="112" t="b">
        <f>IF(preDEL!$AG349,IFERROR(0/0,""),preDEL!AT349)</f>
        <v>0</v>
      </c>
      <c r="AU349" s="112" t="str">
        <f>IF(preDEL!$AG349,IFERROR(0/0,""),preDEL!AU349)</f>
        <v/>
      </c>
      <c r="AV349" s="112" t="str">
        <f>IF(preDEL!$AG349,IFERROR(0/0,""),preDEL!AV349)</f>
        <v/>
      </c>
      <c r="AW349" s="112" t="str">
        <f>IF(preDEL!$AG349,IFERROR(0/0,""),preDEL!AW349)</f>
        <v/>
      </c>
      <c r="AX349" s="112" t="str">
        <f>IF(preDEL!$AG349,IFERROR(0/0,""),preDEL!AX349)</f>
        <v/>
      </c>
      <c r="AY349" s="112" t="str">
        <f>IF(preDEL!$AG349,IFERROR(0/0,""),preDEL!AY349)</f>
        <v/>
      </c>
      <c r="AZ349" s="174"/>
      <c r="BA349" s="174"/>
      <c r="BB349" s="174"/>
      <c r="BC349" s="174"/>
      <c r="BD349" s="174"/>
      <c r="BE349" s="174"/>
      <c r="BF349" s="174"/>
      <c r="BG349" s="174"/>
      <c r="BH349" s="174"/>
      <c r="BI349" s="174"/>
      <c r="BJ349" s="174"/>
      <c r="BK349" s="174"/>
      <c r="BL349" s="174"/>
      <c r="BM349" s="174"/>
      <c r="BN349" s="174"/>
      <c r="BO349" s="174"/>
      <c r="BP349" s="174"/>
      <c r="BQ349" s="174"/>
      <c r="BR349" s="174"/>
      <c r="BS349" s="174"/>
      <c r="BT349" s="174"/>
      <c r="BU349" s="174"/>
      <c r="BV349" s="174"/>
      <c r="BW349" s="174"/>
      <c r="BX349" s="174"/>
      <c r="BY349" s="174"/>
      <c r="BZ349" s="174"/>
      <c r="CA349" s="174"/>
      <c r="CB349" s="174"/>
      <c r="CC349" s="174"/>
      <c r="CD349" s="174"/>
    </row>
    <row r="350">
      <c r="A350" s="105" t="str">
        <f>IF(preDEL!$AG350,IFERROR(0/0,""),preDEL!A350)</f>
        <v>MA959</v>
      </c>
      <c r="B350" s="170">
        <f>IF(preDEL!$AG350,IFERROR(0/0,""),preDEL!B350)</f>
        <v>44599</v>
      </c>
      <c r="C350" s="171">
        <f>IF(preDEL!$AG350,IFERROR(0/0,""),preDEL!C350)</f>
        <v>0.3188425926</v>
      </c>
      <c r="D350" s="105" t="str">
        <f>IF(preDEL!$AG350,IFERROR(0/0,""),preDEL!D350)</f>
        <v/>
      </c>
      <c r="E350" s="105" t="str">
        <f>IF(preDEL!$AG350,IFERROR(0/0,""),preDEL!E350)</f>
        <v/>
      </c>
      <c r="F350" s="112" t="str">
        <f>IF(preDEL!$AG350,IFERROR(0/0,""),preDEL!F350)</f>
        <v/>
      </c>
      <c r="G350" s="112" t="str">
        <f>IF(preDEL!$AG350,IFERROR(0/0,""),preDEL!G350)</f>
        <v/>
      </c>
      <c r="H350" s="112" t="str">
        <f>IF(preDEL!$AG350,IFERROR(0/0,""),preDEL!H350)</f>
        <v/>
      </c>
      <c r="I350" s="105" t="str">
        <f>IF(preDEL!$AG350,IFERROR(0/0,""),preDEL!I350)</f>
        <v/>
      </c>
      <c r="J350" s="105" t="str">
        <f>IF(preDEL!$AG350,IFERROR(0/0,""),preDEL!J350)</f>
        <v/>
      </c>
      <c r="K350" s="105" t="str">
        <f>IF(preDEL!$AG350,IFERROR(0/0,""),preDEL!K350)</f>
        <v>Negative</v>
      </c>
      <c r="L350" s="170">
        <f>IF(preDEL!$AG350,IFERROR(0/0,""),preDEL!L350)</f>
        <v>44599</v>
      </c>
      <c r="M350" s="171">
        <f>IF(preDEL!$AG350,IFERROR(0/0,""),preDEL!M350)</f>
        <v>0.4875462963</v>
      </c>
      <c r="N350" s="112" t="str">
        <f>IF(preDEL!$AG350,IFERROR(0/0,""),preDEL!N350)</f>
        <v/>
      </c>
      <c r="O350" s="112" t="str">
        <f>IF(preDEL!$AG350,IFERROR(0/0,""),preDEL!O350)</f>
        <v/>
      </c>
      <c r="P350" s="110" t="b">
        <f>IF(preDEL!$AG350,IFERROR(0/0,""),preDEL!P350)</f>
        <v>0</v>
      </c>
      <c r="Q350" s="110" t="str">
        <f>IF(preDEL!$AG350,IFERROR(0/0,""),preDEL!Q350)</f>
        <v>Result</v>
      </c>
      <c r="R350" s="104" t="b">
        <f>IF(preDEL!$AG350,IFERROR(0/0,""),preDEL!R350)</f>
        <v>1</v>
      </c>
      <c r="S350" s="104">
        <f>IF(preDEL!$AG350,IFERROR(0/0,""),preDEL!S350)</f>
        <v>1</v>
      </c>
      <c r="T350" s="110" t="str">
        <f>IF(preDEL!$AG350,IFERROR(0/0,""),preDEL!T350)</f>
        <v/>
      </c>
      <c r="U350" s="112" t="str">
        <f>IF(preDEL!$AG350,IFERROR(0/0,""),preDEL!U350)</f>
        <v/>
      </c>
      <c r="V350" s="105" t="str">
        <f>IF(preDEL!$AG350,IFERROR(0/0,""),preDEL!V350)</f>
        <v/>
      </c>
      <c r="W350" s="112" t="str">
        <f>IF(preDEL!$AG350,IFERROR(0/0,""),preDEL!W350)</f>
        <v/>
      </c>
      <c r="X350" s="104" t="b">
        <f>IF(preDEL!$AG350,IFERROR(0/0,""),preDEL!X350)</f>
        <v>0</v>
      </c>
      <c r="Y350" s="110" t="b">
        <f>IF(preDEL!$AG350,IFERROR(0/0,""),preDEL!Y350)</f>
        <v>0</v>
      </c>
      <c r="Z350" s="105" t="str">
        <f>IF(preDEL!$AG350,IFERROR(0/0,""),preDEL!Z350)</f>
        <v/>
      </c>
      <c r="AA350" s="110" t="b">
        <f>IF(preDEL!$AG350,IFERROR(0/0,""),preDEL!AA350)</f>
        <v>0</v>
      </c>
      <c r="AB350" s="110" t="b">
        <f>IF(preDEL!$AG350,IFERROR(0/0,""),preDEL!AB350)</f>
        <v>0</v>
      </c>
      <c r="AC350" s="172">
        <f>IF(preDEL!$AG350,IFERROR(0/0,""),preDEL!AC350)</f>
        <v>458</v>
      </c>
      <c r="AD350" s="104" t="b">
        <f>IF(preDEL!$AG350,IFERROR(0/0,""),preDEL!AD350)</f>
        <v>0</v>
      </c>
      <c r="AE350" s="173">
        <f>IF(preDEL!$AG350,IFERROR(0/0,""),preDEL!AE350)</f>
        <v>242.9333333</v>
      </c>
      <c r="AF350" s="110" t="b">
        <f>IF(preDEL!$AG350,IFERROR(0/0,""),preDEL!AF350)</f>
        <v>0</v>
      </c>
      <c r="AG350" s="110" t="b">
        <f>IF(preDEL!$AG350,IFERROR(0/0,""),preDEL!AG350)</f>
        <v>0</v>
      </c>
      <c r="AH350" s="104" t="str">
        <f>IF(preDEL!$AG350,IFERROR(0/0,""),preDEL!AH350)</f>
        <v/>
      </c>
      <c r="AI350" s="105" t="str">
        <f>IF(preDEL!$AG350,IFERROR(0/0,""),preDEL!AI350)</f>
        <v/>
      </c>
      <c r="AJ350" s="112" t="str">
        <f>IF(preDEL!$AG350,IFERROR(0/0,""),preDEL!AJ350)</f>
        <v/>
      </c>
      <c r="AK350" s="105" t="str">
        <f>IF(preDEL!$AG350,IFERROR(0/0,""),preDEL!AK350)</f>
        <v>Negative</v>
      </c>
      <c r="AL350" s="112" t="str">
        <f>IF(preDEL!$AG350,IFERROR(0/0,""),preDEL!AL350)</f>
        <v/>
      </c>
      <c r="AM350" s="112" t="str">
        <f>IF(preDEL!$AG350,IFERROR(0/0,""),preDEL!AM350)</f>
        <v>SpBEND492052</v>
      </c>
      <c r="AN350" s="112" t="str">
        <f>IF(preDEL!$AG350,IFERROR(0/0,""),preDEL!AN350)</f>
        <v>BEND350325</v>
      </c>
      <c r="AO350" s="112" t="str">
        <f>IF(preDEL!$AG350,IFERROR(0/0,""),preDEL!AO350)</f>
        <v/>
      </c>
      <c r="AP350" s="112" t="str">
        <f>IF(preDEL!$AG350,IFERROR(0/0,""),preDEL!AP350)</f>
        <v/>
      </c>
      <c r="AQ350" s="112" t="str">
        <f>IF(preDEL!$AG350,IFERROR(0/0,""),preDEL!AQ350)</f>
        <v/>
      </c>
      <c r="AR350" s="112" t="str">
        <f>IF(preDEL!$AG350,IFERROR(0/0,""),preDEL!AR350)</f>
        <v/>
      </c>
      <c r="AS350" s="112" t="str">
        <f>IF(preDEL!$AG350,IFERROR(0/0,""),preDEL!AS350)</f>
        <v/>
      </c>
      <c r="AT350" s="112" t="b">
        <f>IF(preDEL!$AG350,IFERROR(0/0,""),preDEL!AT350)</f>
        <v>0</v>
      </c>
      <c r="AU350" s="112" t="str">
        <f>IF(preDEL!$AG350,IFERROR(0/0,""),preDEL!AU350)</f>
        <v/>
      </c>
      <c r="AV350" s="112" t="str">
        <f>IF(preDEL!$AG350,IFERROR(0/0,""),preDEL!AV350)</f>
        <v/>
      </c>
      <c r="AW350" s="112" t="str">
        <f>IF(preDEL!$AG350,IFERROR(0/0,""),preDEL!AW350)</f>
        <v/>
      </c>
      <c r="AX350" s="112" t="str">
        <f>IF(preDEL!$AG350,IFERROR(0/0,""),preDEL!AX350)</f>
        <v/>
      </c>
      <c r="AY350" s="112" t="str">
        <f>IF(preDEL!$AG350,IFERROR(0/0,""),preDEL!AY350)</f>
        <v/>
      </c>
      <c r="AZ350" s="174"/>
      <c r="BA350" s="174"/>
      <c r="BB350" s="174"/>
      <c r="BC350" s="174"/>
      <c r="BD350" s="174"/>
      <c r="BE350" s="174"/>
      <c r="BF350" s="174"/>
      <c r="BG350" s="174"/>
      <c r="BH350" s="174"/>
      <c r="BI350" s="174"/>
      <c r="BJ350" s="174"/>
      <c r="BK350" s="174"/>
      <c r="BL350" s="174"/>
      <c r="BM350" s="174"/>
      <c r="BN350" s="174"/>
      <c r="BO350" s="174"/>
      <c r="BP350" s="174"/>
      <c r="BQ350" s="174"/>
      <c r="BR350" s="174"/>
      <c r="BS350" s="174"/>
      <c r="BT350" s="174"/>
      <c r="BU350" s="174"/>
      <c r="BV350" s="174"/>
      <c r="BW350" s="174"/>
      <c r="BX350" s="174"/>
      <c r="BY350" s="174"/>
      <c r="BZ350" s="174"/>
      <c r="CA350" s="174"/>
      <c r="CB350" s="174"/>
      <c r="CC350" s="174"/>
      <c r="CD350" s="174"/>
    </row>
    <row r="351">
      <c r="A351" s="105" t="str">
        <f>IF(preDEL!$AG351,IFERROR(0/0,""),preDEL!A351)</f>
        <v>MA274</v>
      </c>
      <c r="B351" s="170">
        <f>IF(preDEL!$AG351,IFERROR(0/0,""),preDEL!B351)</f>
        <v>44599</v>
      </c>
      <c r="C351" s="171">
        <f>IF(preDEL!$AG351,IFERROR(0/0,""),preDEL!C351)</f>
        <v>0.3245949074</v>
      </c>
      <c r="D351" s="105" t="str">
        <f>IF(preDEL!$AG351,IFERROR(0/0,""),preDEL!D351)</f>
        <v/>
      </c>
      <c r="E351" s="105" t="str">
        <f>IF(preDEL!$AG351,IFERROR(0/0,""),preDEL!E351)</f>
        <v/>
      </c>
      <c r="F351" s="112" t="str">
        <f>IF(preDEL!$AG351,IFERROR(0/0,""),preDEL!F351)</f>
        <v/>
      </c>
      <c r="G351" s="112" t="str">
        <f>IF(preDEL!$AG351,IFERROR(0/0,""),preDEL!G351)</f>
        <v/>
      </c>
      <c r="H351" s="112" t="str">
        <f>IF(preDEL!$AG351,IFERROR(0/0,""),preDEL!H351)</f>
        <v/>
      </c>
      <c r="I351" s="105" t="str">
        <f>IF(preDEL!$AG351,IFERROR(0/0,""),preDEL!I351)</f>
        <v/>
      </c>
      <c r="J351" s="105" t="str">
        <f>IF(preDEL!$AG351,IFERROR(0/0,""),preDEL!J351)</f>
        <v/>
      </c>
      <c r="K351" s="105" t="str">
        <f>IF(preDEL!$AG351,IFERROR(0/0,""),preDEL!K351)</f>
        <v>Negative</v>
      </c>
      <c r="L351" s="170">
        <f>IF(preDEL!$AG351,IFERROR(0/0,""),preDEL!L351)</f>
        <v>44599</v>
      </c>
      <c r="M351" s="171">
        <f>IF(preDEL!$AG351,IFERROR(0/0,""),preDEL!M351)</f>
        <v>0.4875462963</v>
      </c>
      <c r="N351" s="112" t="str">
        <f>IF(preDEL!$AG351,IFERROR(0/0,""),preDEL!N351)</f>
        <v/>
      </c>
      <c r="O351" s="112" t="str">
        <f>IF(preDEL!$AG351,IFERROR(0/0,""),preDEL!O351)</f>
        <v/>
      </c>
      <c r="P351" s="110" t="b">
        <f>IF(preDEL!$AG351,IFERROR(0/0,""),preDEL!P351)</f>
        <v>0</v>
      </c>
      <c r="Q351" s="110" t="str">
        <f>IF(preDEL!$AG351,IFERROR(0/0,""),preDEL!Q351)</f>
        <v>Result</v>
      </c>
      <c r="R351" s="104" t="b">
        <f>IF(preDEL!$AG351,IFERROR(0/0,""),preDEL!R351)</f>
        <v>1</v>
      </c>
      <c r="S351" s="104">
        <f>IF(preDEL!$AG351,IFERROR(0/0,""),preDEL!S351)</f>
        <v>1</v>
      </c>
      <c r="T351" s="110" t="str">
        <f>IF(preDEL!$AG351,IFERROR(0/0,""),preDEL!T351)</f>
        <v/>
      </c>
      <c r="U351" s="112" t="str">
        <f>IF(preDEL!$AG351,IFERROR(0/0,""),preDEL!U351)</f>
        <v/>
      </c>
      <c r="V351" s="105" t="str">
        <f>IF(preDEL!$AG351,IFERROR(0/0,""),preDEL!V351)</f>
        <v/>
      </c>
      <c r="W351" s="112" t="str">
        <f>IF(preDEL!$AG351,IFERROR(0/0,""),preDEL!W351)</f>
        <v/>
      </c>
      <c r="X351" s="104" t="b">
        <f>IF(preDEL!$AG351,IFERROR(0/0,""),preDEL!X351)</f>
        <v>0</v>
      </c>
      <c r="Y351" s="110" t="b">
        <f>IF(preDEL!$AG351,IFERROR(0/0,""),preDEL!Y351)</f>
        <v>0</v>
      </c>
      <c r="Z351" s="105" t="str">
        <f>IF(preDEL!$AG351,IFERROR(0/0,""),preDEL!Z351)</f>
        <v/>
      </c>
      <c r="AA351" s="110" t="b">
        <f>IF(preDEL!$AG351,IFERROR(0/0,""),preDEL!AA351)</f>
        <v>0</v>
      </c>
      <c r="AB351" s="110" t="b">
        <f>IF(preDEL!$AG351,IFERROR(0/0,""),preDEL!AB351)</f>
        <v>0</v>
      </c>
      <c r="AC351" s="172">
        <f>IF(preDEL!$AG351,IFERROR(0/0,""),preDEL!AC351)</f>
        <v>457</v>
      </c>
      <c r="AD351" s="104" t="b">
        <f>IF(preDEL!$AG351,IFERROR(0/0,""),preDEL!AD351)</f>
        <v>0</v>
      </c>
      <c r="AE351" s="173">
        <f>IF(preDEL!$AG351,IFERROR(0/0,""),preDEL!AE351)</f>
        <v>234.65</v>
      </c>
      <c r="AF351" s="110" t="b">
        <f>IF(preDEL!$AG351,IFERROR(0/0,""),preDEL!AF351)</f>
        <v>0</v>
      </c>
      <c r="AG351" s="110" t="b">
        <f>IF(preDEL!$AG351,IFERROR(0/0,""),preDEL!AG351)</f>
        <v>0</v>
      </c>
      <c r="AH351" s="104" t="str">
        <f>IF(preDEL!$AG351,IFERROR(0/0,""),preDEL!AH351)</f>
        <v/>
      </c>
      <c r="AI351" s="105" t="str">
        <f>IF(preDEL!$AG351,IFERROR(0/0,""),preDEL!AI351)</f>
        <v/>
      </c>
      <c r="AJ351" s="112" t="str">
        <f>IF(preDEL!$AG351,IFERROR(0/0,""),preDEL!AJ351)</f>
        <v/>
      </c>
      <c r="AK351" s="105" t="str">
        <f>IF(preDEL!$AG351,IFERROR(0/0,""),preDEL!AK351)</f>
        <v>Negative</v>
      </c>
      <c r="AL351" s="112" t="str">
        <f>IF(preDEL!$AG351,IFERROR(0/0,""),preDEL!AL351)</f>
        <v/>
      </c>
      <c r="AM351" s="112" t="str">
        <f>IF(preDEL!$AG351,IFERROR(0/0,""),preDEL!AM351)</f>
        <v>SpBEND767550</v>
      </c>
      <c r="AN351" s="112" t="str">
        <f>IF(preDEL!$AG351,IFERROR(0/0,""),preDEL!AN351)</f>
        <v>BEND245933</v>
      </c>
      <c r="AO351" s="112" t="str">
        <f>IF(preDEL!$AG351,IFERROR(0/0,""),preDEL!AO351)</f>
        <v/>
      </c>
      <c r="AP351" s="112" t="str">
        <f>IF(preDEL!$AG351,IFERROR(0/0,""),preDEL!AP351)</f>
        <v/>
      </c>
      <c r="AQ351" s="112" t="str">
        <f>IF(preDEL!$AG351,IFERROR(0/0,""),preDEL!AQ351)</f>
        <v/>
      </c>
      <c r="AR351" s="112" t="str">
        <f>IF(preDEL!$AG351,IFERROR(0/0,""),preDEL!AR351)</f>
        <v/>
      </c>
      <c r="AS351" s="112" t="str">
        <f>IF(preDEL!$AG351,IFERROR(0/0,""),preDEL!AS351)</f>
        <v/>
      </c>
      <c r="AT351" s="112" t="b">
        <f>IF(preDEL!$AG351,IFERROR(0/0,""),preDEL!AT351)</f>
        <v>0</v>
      </c>
      <c r="AU351" s="112" t="str">
        <f>IF(preDEL!$AG351,IFERROR(0/0,""),preDEL!AU351)</f>
        <v/>
      </c>
      <c r="AV351" s="112" t="str">
        <f>IF(preDEL!$AG351,IFERROR(0/0,""),preDEL!AV351)</f>
        <v/>
      </c>
      <c r="AW351" s="112" t="str">
        <f>IF(preDEL!$AG351,IFERROR(0/0,""),preDEL!AW351)</f>
        <v/>
      </c>
      <c r="AX351" s="112" t="str">
        <f>IF(preDEL!$AG351,IFERROR(0/0,""),preDEL!AX351)</f>
        <v/>
      </c>
      <c r="AY351" s="112" t="str">
        <f>IF(preDEL!$AG351,IFERROR(0/0,""),preDEL!AY351)</f>
        <v/>
      </c>
      <c r="AZ351" s="174"/>
      <c r="BA351" s="174"/>
      <c r="BB351" s="174"/>
      <c r="BC351" s="174"/>
      <c r="BD351" s="174"/>
      <c r="BE351" s="174"/>
      <c r="BF351" s="174"/>
      <c r="BG351" s="174"/>
      <c r="BH351" s="174"/>
      <c r="BI351" s="174"/>
      <c r="BJ351" s="174"/>
      <c r="BK351" s="174"/>
      <c r="BL351" s="174"/>
      <c r="BM351" s="174"/>
      <c r="BN351" s="174"/>
      <c r="BO351" s="174"/>
      <c r="BP351" s="174"/>
      <c r="BQ351" s="174"/>
      <c r="BR351" s="174"/>
      <c r="BS351" s="174"/>
      <c r="BT351" s="174"/>
      <c r="BU351" s="174"/>
      <c r="BV351" s="174"/>
      <c r="BW351" s="174"/>
      <c r="BX351" s="174"/>
      <c r="BY351" s="174"/>
      <c r="BZ351" s="174"/>
      <c r="CA351" s="174"/>
      <c r="CB351" s="174"/>
      <c r="CC351" s="174"/>
      <c r="CD351" s="174"/>
    </row>
    <row r="352">
      <c r="A352" s="105" t="str">
        <f>IF(preDEL!$AG352,IFERROR(0/0,""),preDEL!A352)</f>
        <v>MA253</v>
      </c>
      <c r="B352" s="170">
        <f>IF(preDEL!$AG352,IFERROR(0/0,""),preDEL!B352)</f>
        <v>44599</v>
      </c>
      <c r="C352" s="171">
        <f>IF(preDEL!$AG352,IFERROR(0/0,""),preDEL!C352)</f>
        <v>0.3328819444</v>
      </c>
      <c r="D352" s="105" t="str">
        <f>IF(preDEL!$AG352,IFERROR(0/0,""),preDEL!D352)</f>
        <v/>
      </c>
      <c r="E352" s="105" t="str">
        <f>IF(preDEL!$AG352,IFERROR(0/0,""),preDEL!E352)</f>
        <v/>
      </c>
      <c r="F352" s="112" t="str">
        <f>IF(preDEL!$AG352,IFERROR(0/0,""),preDEL!F352)</f>
        <v/>
      </c>
      <c r="G352" s="112" t="str">
        <f>IF(preDEL!$AG352,IFERROR(0/0,""),preDEL!G352)</f>
        <v/>
      </c>
      <c r="H352" s="112" t="str">
        <f>IF(preDEL!$AG352,IFERROR(0/0,""),preDEL!H352)</f>
        <v/>
      </c>
      <c r="I352" s="105" t="str">
        <f>IF(preDEL!$AG352,IFERROR(0/0,""),preDEL!I352)</f>
        <v/>
      </c>
      <c r="J352" s="105" t="str">
        <f>IF(preDEL!$AG352,IFERROR(0/0,""),preDEL!J352)</f>
        <v/>
      </c>
      <c r="K352" s="105" t="str">
        <f>IF(preDEL!$AG352,IFERROR(0/0,""),preDEL!K352)</f>
        <v>Positive</v>
      </c>
      <c r="L352" s="170">
        <f>IF(preDEL!$AG352,IFERROR(0/0,""),preDEL!L352)</f>
        <v>44599</v>
      </c>
      <c r="M352" s="171">
        <f>IF(preDEL!$AG352,IFERROR(0/0,""),preDEL!M352)</f>
        <v>0.4875347222</v>
      </c>
      <c r="N352" s="112" t="str">
        <f>IF(preDEL!$AG352,IFERROR(0/0,""),preDEL!N352)</f>
        <v/>
      </c>
      <c r="O352" s="112" t="str">
        <f>IF(preDEL!$AG352,IFERROR(0/0,""),preDEL!O352)</f>
        <v/>
      </c>
      <c r="P352" s="110" t="b">
        <f>IF(preDEL!$AG352,IFERROR(0/0,""),preDEL!P352)</f>
        <v>0</v>
      </c>
      <c r="Q352" s="110" t="str">
        <f>IF(preDEL!$AG352,IFERROR(0/0,""),preDEL!Q352)</f>
        <v>Result</v>
      </c>
      <c r="R352" s="104" t="b">
        <f>IF(preDEL!$AG352,IFERROR(0/0,""),preDEL!R352)</f>
        <v>1</v>
      </c>
      <c r="S352" s="104">
        <f>IF(preDEL!$AG352,IFERROR(0/0,""),preDEL!S352)</f>
        <v>1</v>
      </c>
      <c r="T352" s="110" t="str">
        <f>IF(preDEL!$AG352,IFERROR(0/0,""),preDEL!T352)</f>
        <v/>
      </c>
      <c r="U352" s="112" t="str">
        <f>IF(preDEL!$AG352,IFERROR(0/0,""),preDEL!U352)</f>
        <v/>
      </c>
      <c r="V352" s="105" t="str">
        <f>IF(preDEL!$AG352,IFERROR(0/0,""),preDEL!V352)</f>
        <v/>
      </c>
      <c r="W352" s="112" t="str">
        <f>IF(preDEL!$AG352,IFERROR(0/0,""),preDEL!W352)</f>
        <v/>
      </c>
      <c r="X352" s="104" t="b">
        <f>IF(preDEL!$AG352,IFERROR(0/0,""),preDEL!X352)</f>
        <v>0</v>
      </c>
      <c r="Y352" s="110" t="b">
        <f>IF(preDEL!$AG352,IFERROR(0/0,""),preDEL!Y352)</f>
        <v>0</v>
      </c>
      <c r="Z352" s="105" t="str">
        <f>IF(preDEL!$AG352,IFERROR(0/0,""),preDEL!Z352)</f>
        <v/>
      </c>
      <c r="AA352" s="110" t="b">
        <f>IF(preDEL!$AG352,IFERROR(0/0,""),preDEL!AA352)</f>
        <v>0</v>
      </c>
      <c r="AB352" s="110" t="b">
        <f>IF(preDEL!$AG352,IFERROR(0/0,""),preDEL!AB352)</f>
        <v>0</v>
      </c>
      <c r="AC352" s="172">
        <f>IF(preDEL!$AG352,IFERROR(0/0,""),preDEL!AC352)</f>
        <v>456</v>
      </c>
      <c r="AD352" s="104" t="b">
        <f>IF(preDEL!$AG352,IFERROR(0/0,""),preDEL!AD352)</f>
        <v>0</v>
      </c>
      <c r="AE352" s="173">
        <f>IF(preDEL!$AG352,IFERROR(0/0,""),preDEL!AE352)</f>
        <v>222.7</v>
      </c>
      <c r="AF352" s="110" t="b">
        <f>IF(preDEL!$AG352,IFERROR(0/0,""),preDEL!AF352)</f>
        <v>0</v>
      </c>
      <c r="AG352" s="110" t="b">
        <f>IF(preDEL!$AG352,IFERROR(0/0,""),preDEL!AG352)</f>
        <v>0</v>
      </c>
      <c r="AH352" s="104" t="str">
        <f>IF(preDEL!$AG352,IFERROR(0/0,""),preDEL!AH352)</f>
        <v/>
      </c>
      <c r="AI352" s="105" t="str">
        <f>IF(preDEL!$AG352,IFERROR(0/0,""),preDEL!AI352)</f>
        <v/>
      </c>
      <c r="AJ352" s="112" t="str">
        <f>IF(preDEL!$AG352,IFERROR(0/0,""),preDEL!AJ352)</f>
        <v/>
      </c>
      <c r="AK352" s="105" t="str">
        <f>IF(preDEL!$AG352,IFERROR(0/0,""),preDEL!AK352)</f>
        <v>Positive</v>
      </c>
      <c r="AL352" s="112" t="str">
        <f>IF(preDEL!$AG352,IFERROR(0/0,""),preDEL!AL352)</f>
        <v/>
      </c>
      <c r="AM352" s="112" t="str">
        <f>IF(preDEL!$AG352,IFERROR(0/0,""),preDEL!AM352)</f>
        <v>SpBEND757435</v>
      </c>
      <c r="AN352" s="112" t="str">
        <f>IF(preDEL!$AG352,IFERROR(0/0,""),preDEL!AN352)</f>
        <v>BEND281843</v>
      </c>
      <c r="AO352" s="112" t="str">
        <f>IF(preDEL!$AG352,IFERROR(0/0,""),preDEL!AO352)</f>
        <v/>
      </c>
      <c r="AP352" s="112" t="str">
        <f>IF(preDEL!$AG352,IFERROR(0/0,""),preDEL!AP352)</f>
        <v/>
      </c>
      <c r="AQ352" s="112" t="str">
        <f>IF(preDEL!$AG352,IFERROR(0/0,""),preDEL!AQ352)</f>
        <v/>
      </c>
      <c r="AR352" s="112" t="str">
        <f>IF(preDEL!$AG352,IFERROR(0/0,""),preDEL!AR352)</f>
        <v/>
      </c>
      <c r="AS352" s="112" t="str">
        <f>IF(preDEL!$AG352,IFERROR(0/0,""),preDEL!AS352)</f>
        <v/>
      </c>
      <c r="AT352" s="112" t="b">
        <f>IF(preDEL!$AG352,IFERROR(0/0,""),preDEL!AT352)</f>
        <v>0</v>
      </c>
      <c r="AU352" s="112" t="str">
        <f>IF(preDEL!$AG352,IFERROR(0/0,""),preDEL!AU352)</f>
        <v/>
      </c>
      <c r="AV352" s="112" t="str">
        <f>IF(preDEL!$AG352,IFERROR(0/0,""),preDEL!AV352)</f>
        <v/>
      </c>
      <c r="AW352" s="112" t="str">
        <f>IF(preDEL!$AG352,IFERROR(0/0,""),preDEL!AW352)</f>
        <v/>
      </c>
      <c r="AX352" s="112" t="str">
        <f>IF(preDEL!$AG352,IFERROR(0/0,""),preDEL!AX352)</f>
        <v/>
      </c>
      <c r="AY352" s="112" t="str">
        <f>IF(preDEL!$AG352,IFERROR(0/0,""),preDEL!AY352)</f>
        <v/>
      </c>
      <c r="AZ352" s="174"/>
      <c r="BA352" s="174"/>
      <c r="BB352" s="174"/>
      <c r="BC352" s="174"/>
      <c r="BD352" s="174"/>
      <c r="BE352" s="174"/>
      <c r="BF352" s="174"/>
      <c r="BG352" s="174"/>
      <c r="BH352" s="174"/>
      <c r="BI352" s="174"/>
      <c r="BJ352" s="174"/>
      <c r="BK352" s="174"/>
      <c r="BL352" s="174"/>
      <c r="BM352" s="174"/>
      <c r="BN352" s="174"/>
      <c r="BO352" s="174"/>
      <c r="BP352" s="174"/>
      <c r="BQ352" s="174"/>
      <c r="BR352" s="174"/>
      <c r="BS352" s="174"/>
      <c r="BT352" s="174"/>
      <c r="BU352" s="174"/>
      <c r="BV352" s="174"/>
      <c r="BW352" s="174"/>
      <c r="BX352" s="174"/>
      <c r="BY352" s="174"/>
      <c r="BZ352" s="174"/>
      <c r="CA352" s="174"/>
      <c r="CB352" s="174"/>
      <c r="CC352" s="174"/>
      <c r="CD352" s="174"/>
    </row>
    <row r="353">
      <c r="A353" s="105" t="str">
        <f>IF(preDEL!$AG353,IFERROR(0/0,""),preDEL!A353)</f>
        <v>MA423</v>
      </c>
      <c r="B353" s="170">
        <f>IF(preDEL!$AG353,IFERROR(0/0,""),preDEL!B353)</f>
        <v>44599</v>
      </c>
      <c r="C353" s="171">
        <f>IF(preDEL!$AG353,IFERROR(0/0,""),preDEL!C353)</f>
        <v>0.3376736111</v>
      </c>
      <c r="D353" s="105" t="str">
        <f>IF(preDEL!$AG353,IFERROR(0/0,""),preDEL!D353)</f>
        <v/>
      </c>
      <c r="E353" s="105" t="str">
        <f>IF(preDEL!$AG353,IFERROR(0/0,""),preDEL!E353)</f>
        <v/>
      </c>
      <c r="F353" s="112" t="str">
        <f>IF(preDEL!$AG353,IFERROR(0/0,""),preDEL!F353)</f>
        <v/>
      </c>
      <c r="G353" s="112" t="str">
        <f>IF(preDEL!$AG353,IFERROR(0/0,""),preDEL!G353)</f>
        <v/>
      </c>
      <c r="H353" s="112" t="str">
        <f>IF(preDEL!$AG353,IFERROR(0/0,""),preDEL!H353)</f>
        <v/>
      </c>
      <c r="I353" s="105" t="str">
        <f>IF(preDEL!$AG353,IFERROR(0/0,""),preDEL!I353)</f>
        <v/>
      </c>
      <c r="J353" s="105" t="str">
        <f>IF(preDEL!$AG353,IFERROR(0/0,""),preDEL!J353)</f>
        <v/>
      </c>
      <c r="K353" s="105" t="str">
        <f>IF(preDEL!$AG353,IFERROR(0/0,""),preDEL!K353)</f>
        <v>Negative</v>
      </c>
      <c r="L353" s="170">
        <f>IF(preDEL!$AG353,IFERROR(0/0,""),preDEL!L353)</f>
        <v>44599</v>
      </c>
      <c r="M353" s="171">
        <f>IF(preDEL!$AG353,IFERROR(0/0,""),preDEL!M353)</f>
        <v>0.4875462963</v>
      </c>
      <c r="N353" s="112" t="str">
        <f>IF(preDEL!$AG353,IFERROR(0/0,""),preDEL!N353)</f>
        <v/>
      </c>
      <c r="O353" s="112" t="str">
        <f>IF(preDEL!$AG353,IFERROR(0/0,""),preDEL!O353)</f>
        <v/>
      </c>
      <c r="P353" s="110" t="b">
        <f>IF(preDEL!$AG353,IFERROR(0/0,""),preDEL!P353)</f>
        <v>0</v>
      </c>
      <c r="Q353" s="110" t="str">
        <f>IF(preDEL!$AG353,IFERROR(0/0,""),preDEL!Q353)</f>
        <v>Result</v>
      </c>
      <c r="R353" s="104" t="b">
        <f>IF(preDEL!$AG353,IFERROR(0/0,""),preDEL!R353)</f>
        <v>1</v>
      </c>
      <c r="S353" s="104">
        <f>IF(preDEL!$AG353,IFERROR(0/0,""),preDEL!S353)</f>
        <v>1</v>
      </c>
      <c r="T353" s="110" t="str">
        <f>IF(preDEL!$AG353,IFERROR(0/0,""),preDEL!T353)</f>
        <v/>
      </c>
      <c r="U353" s="112" t="str">
        <f>IF(preDEL!$AG353,IFERROR(0/0,""),preDEL!U353)</f>
        <v/>
      </c>
      <c r="V353" s="105" t="str">
        <f>IF(preDEL!$AG353,IFERROR(0/0,""),preDEL!V353)</f>
        <v/>
      </c>
      <c r="W353" s="112" t="str">
        <f>IF(preDEL!$AG353,IFERROR(0/0,""),preDEL!W353)</f>
        <v/>
      </c>
      <c r="X353" s="104" t="b">
        <f>IF(preDEL!$AG353,IFERROR(0/0,""),preDEL!X353)</f>
        <v>0</v>
      </c>
      <c r="Y353" s="110" t="b">
        <f>IF(preDEL!$AG353,IFERROR(0/0,""),preDEL!Y353)</f>
        <v>0</v>
      </c>
      <c r="Z353" s="105" t="str">
        <f>IF(preDEL!$AG353,IFERROR(0/0,""),preDEL!Z353)</f>
        <v/>
      </c>
      <c r="AA353" s="110" t="b">
        <f>IF(preDEL!$AG353,IFERROR(0/0,""),preDEL!AA353)</f>
        <v>0</v>
      </c>
      <c r="AB353" s="110" t="b">
        <f>IF(preDEL!$AG353,IFERROR(0/0,""),preDEL!AB353)</f>
        <v>0</v>
      </c>
      <c r="AC353" s="172">
        <f>IF(preDEL!$AG353,IFERROR(0/0,""),preDEL!AC353)</f>
        <v>455</v>
      </c>
      <c r="AD353" s="104" t="b">
        <f>IF(preDEL!$AG353,IFERROR(0/0,""),preDEL!AD353)</f>
        <v>0</v>
      </c>
      <c r="AE353" s="173">
        <f>IF(preDEL!$AG353,IFERROR(0/0,""),preDEL!AE353)</f>
        <v>215.8166667</v>
      </c>
      <c r="AF353" s="110" t="b">
        <f>IF(preDEL!$AG353,IFERROR(0/0,""),preDEL!AF353)</f>
        <v>0</v>
      </c>
      <c r="AG353" s="110" t="b">
        <f>IF(preDEL!$AG353,IFERROR(0/0,""),preDEL!AG353)</f>
        <v>0</v>
      </c>
      <c r="AH353" s="104" t="str">
        <f>IF(preDEL!$AG353,IFERROR(0/0,""),preDEL!AH353)</f>
        <v/>
      </c>
      <c r="AI353" s="105" t="str">
        <f>IF(preDEL!$AG353,IFERROR(0/0,""),preDEL!AI353)</f>
        <v/>
      </c>
      <c r="AJ353" s="112" t="str">
        <f>IF(preDEL!$AG353,IFERROR(0/0,""),preDEL!AJ353)</f>
        <v/>
      </c>
      <c r="AK353" s="105" t="str">
        <f>IF(preDEL!$AG353,IFERROR(0/0,""),preDEL!AK353)</f>
        <v>Negative</v>
      </c>
      <c r="AL353" s="112" t="str">
        <f>IF(preDEL!$AG353,IFERROR(0/0,""),preDEL!AL353)</f>
        <v/>
      </c>
      <c r="AM353" s="112" t="str">
        <f>IF(preDEL!$AG353,IFERROR(0/0,""),preDEL!AM353)</f>
        <v>SpBEND643855</v>
      </c>
      <c r="AN353" s="112" t="str">
        <f>IF(preDEL!$AG353,IFERROR(0/0,""),preDEL!AN353)</f>
        <v>BEND364074</v>
      </c>
      <c r="AO353" s="112" t="str">
        <f>IF(preDEL!$AG353,IFERROR(0/0,""),preDEL!AO353)</f>
        <v/>
      </c>
      <c r="AP353" s="112" t="str">
        <f>IF(preDEL!$AG353,IFERROR(0/0,""),preDEL!AP353)</f>
        <v/>
      </c>
      <c r="AQ353" s="112" t="str">
        <f>IF(preDEL!$AG353,IFERROR(0/0,""),preDEL!AQ353)</f>
        <v/>
      </c>
      <c r="AR353" s="112" t="str">
        <f>IF(preDEL!$AG353,IFERROR(0/0,""),preDEL!AR353)</f>
        <v/>
      </c>
      <c r="AS353" s="112" t="str">
        <f>IF(preDEL!$AG353,IFERROR(0/0,""),preDEL!AS353)</f>
        <v/>
      </c>
      <c r="AT353" s="112" t="b">
        <f>IF(preDEL!$AG353,IFERROR(0/0,""),preDEL!AT353)</f>
        <v>0</v>
      </c>
      <c r="AU353" s="112" t="str">
        <f>IF(preDEL!$AG353,IFERROR(0/0,""),preDEL!AU353)</f>
        <v/>
      </c>
      <c r="AV353" s="112" t="str">
        <f>IF(preDEL!$AG353,IFERROR(0/0,""),preDEL!AV353)</f>
        <v/>
      </c>
      <c r="AW353" s="112" t="str">
        <f>IF(preDEL!$AG353,IFERROR(0/0,""),preDEL!AW353)</f>
        <v/>
      </c>
      <c r="AX353" s="112" t="str">
        <f>IF(preDEL!$AG353,IFERROR(0/0,""),preDEL!AX353)</f>
        <v/>
      </c>
      <c r="AY353" s="112" t="str">
        <f>IF(preDEL!$AG353,IFERROR(0/0,""),preDEL!AY353)</f>
        <v/>
      </c>
      <c r="AZ353" s="174"/>
      <c r="BA353" s="174"/>
      <c r="BB353" s="174"/>
      <c r="BC353" s="174"/>
      <c r="BD353" s="174"/>
      <c r="BE353" s="174"/>
      <c r="BF353" s="174"/>
      <c r="BG353" s="174"/>
      <c r="BH353" s="174"/>
      <c r="BI353" s="174"/>
      <c r="BJ353" s="174"/>
      <c r="BK353" s="174"/>
      <c r="BL353" s="174"/>
      <c r="BM353" s="174"/>
      <c r="BN353" s="174"/>
      <c r="BO353" s="174"/>
      <c r="BP353" s="174"/>
      <c r="BQ353" s="174"/>
      <c r="BR353" s="174"/>
      <c r="BS353" s="174"/>
      <c r="BT353" s="174"/>
      <c r="BU353" s="174"/>
      <c r="BV353" s="174"/>
      <c r="BW353" s="174"/>
      <c r="BX353" s="174"/>
      <c r="BY353" s="174"/>
      <c r="BZ353" s="174"/>
      <c r="CA353" s="174"/>
      <c r="CB353" s="174"/>
      <c r="CC353" s="174"/>
      <c r="CD353" s="174"/>
    </row>
    <row r="354">
      <c r="A354" s="105" t="str">
        <f>IF(preDEL!$AG354,IFERROR(0/0,""),preDEL!A354)</f>
        <v>MA1229</v>
      </c>
      <c r="B354" s="170">
        <f>IF(preDEL!$AG354,IFERROR(0/0,""),preDEL!B354)</f>
        <v>44599</v>
      </c>
      <c r="C354" s="171">
        <f>IF(preDEL!$AG354,IFERROR(0/0,""),preDEL!C354)</f>
        <v>0.347037037</v>
      </c>
      <c r="D354" s="105" t="str">
        <f>IF(preDEL!$AG354,IFERROR(0/0,""),preDEL!D354)</f>
        <v/>
      </c>
      <c r="E354" s="105" t="str">
        <f>IF(preDEL!$AG354,IFERROR(0/0,""),preDEL!E354)</f>
        <v/>
      </c>
      <c r="F354" s="112" t="str">
        <f>IF(preDEL!$AG354,IFERROR(0/0,""),preDEL!F354)</f>
        <v/>
      </c>
      <c r="G354" s="112" t="str">
        <f>IF(preDEL!$AG354,IFERROR(0/0,""),preDEL!G354)</f>
        <v/>
      </c>
      <c r="H354" s="112" t="str">
        <f>IF(preDEL!$AG354,IFERROR(0/0,""),preDEL!H354)</f>
        <v/>
      </c>
      <c r="I354" s="105" t="str">
        <f>IF(preDEL!$AG354,IFERROR(0/0,""),preDEL!I354)</f>
        <v/>
      </c>
      <c r="J354" s="105" t="str">
        <f>IF(preDEL!$AG354,IFERROR(0/0,""),preDEL!J354)</f>
        <v/>
      </c>
      <c r="K354" s="105" t="str">
        <f>IF(preDEL!$AG354,IFERROR(0/0,""),preDEL!K354)</f>
        <v>Negative</v>
      </c>
      <c r="L354" s="170">
        <f>IF(preDEL!$AG354,IFERROR(0/0,""),preDEL!L354)</f>
        <v>44599</v>
      </c>
      <c r="M354" s="171">
        <f>IF(preDEL!$AG354,IFERROR(0/0,""),preDEL!M354)</f>
        <v>0.4875462963</v>
      </c>
      <c r="N354" s="112" t="str">
        <f>IF(preDEL!$AG354,IFERROR(0/0,""),preDEL!N354)</f>
        <v/>
      </c>
      <c r="O354" s="112" t="str">
        <f>IF(preDEL!$AG354,IFERROR(0/0,""),preDEL!O354)</f>
        <v/>
      </c>
      <c r="P354" s="110" t="b">
        <f>IF(preDEL!$AG354,IFERROR(0/0,""),preDEL!P354)</f>
        <v>0</v>
      </c>
      <c r="Q354" s="110" t="str">
        <f>IF(preDEL!$AG354,IFERROR(0/0,""),preDEL!Q354)</f>
        <v>Result</v>
      </c>
      <c r="R354" s="104" t="b">
        <f>IF(preDEL!$AG354,IFERROR(0/0,""),preDEL!R354)</f>
        <v>1</v>
      </c>
      <c r="S354" s="104">
        <f>IF(preDEL!$AG354,IFERROR(0/0,""),preDEL!S354)</f>
        <v>1</v>
      </c>
      <c r="T354" s="110" t="str">
        <f>IF(preDEL!$AG354,IFERROR(0/0,""),preDEL!T354)</f>
        <v/>
      </c>
      <c r="U354" s="112" t="str">
        <f>IF(preDEL!$AG354,IFERROR(0/0,""),preDEL!U354)</f>
        <v/>
      </c>
      <c r="V354" s="105" t="str">
        <f>IF(preDEL!$AG354,IFERROR(0/0,""),preDEL!V354)</f>
        <v/>
      </c>
      <c r="W354" s="112" t="str">
        <f>IF(preDEL!$AG354,IFERROR(0/0,""),preDEL!W354)</f>
        <v/>
      </c>
      <c r="X354" s="104" t="b">
        <f>IF(preDEL!$AG354,IFERROR(0/0,""),preDEL!X354)</f>
        <v>0</v>
      </c>
      <c r="Y354" s="110" t="b">
        <f>IF(preDEL!$AG354,IFERROR(0/0,""),preDEL!Y354)</f>
        <v>0</v>
      </c>
      <c r="Z354" s="105" t="str">
        <f>IF(preDEL!$AG354,IFERROR(0/0,""),preDEL!Z354)</f>
        <v/>
      </c>
      <c r="AA354" s="110" t="b">
        <f>IF(preDEL!$AG354,IFERROR(0/0,""),preDEL!AA354)</f>
        <v>0</v>
      </c>
      <c r="AB354" s="110" t="b">
        <f>IF(preDEL!$AG354,IFERROR(0/0,""),preDEL!AB354)</f>
        <v>0</v>
      </c>
      <c r="AC354" s="172">
        <f>IF(preDEL!$AG354,IFERROR(0/0,""),preDEL!AC354)</f>
        <v>454</v>
      </c>
      <c r="AD354" s="104" t="b">
        <f>IF(preDEL!$AG354,IFERROR(0/0,""),preDEL!AD354)</f>
        <v>0</v>
      </c>
      <c r="AE354" s="173">
        <f>IF(preDEL!$AG354,IFERROR(0/0,""),preDEL!AE354)</f>
        <v>202.3333333</v>
      </c>
      <c r="AF354" s="110" t="b">
        <f>IF(preDEL!$AG354,IFERROR(0/0,""),preDEL!AF354)</f>
        <v>0</v>
      </c>
      <c r="AG354" s="110" t="b">
        <f>IF(preDEL!$AG354,IFERROR(0/0,""),preDEL!AG354)</f>
        <v>0</v>
      </c>
      <c r="AH354" s="104" t="str">
        <f>IF(preDEL!$AG354,IFERROR(0/0,""),preDEL!AH354)</f>
        <v/>
      </c>
      <c r="AI354" s="105" t="str">
        <f>IF(preDEL!$AG354,IFERROR(0/0,""),preDEL!AI354)</f>
        <v/>
      </c>
      <c r="AJ354" s="112" t="str">
        <f>IF(preDEL!$AG354,IFERROR(0/0,""),preDEL!AJ354)</f>
        <v/>
      </c>
      <c r="AK354" s="105" t="str">
        <f>IF(preDEL!$AG354,IFERROR(0/0,""),preDEL!AK354)</f>
        <v>Negative</v>
      </c>
      <c r="AL354" s="112" t="str">
        <f>IF(preDEL!$AG354,IFERROR(0/0,""),preDEL!AL354)</f>
        <v/>
      </c>
      <c r="AM354" s="112" t="str">
        <f>IF(preDEL!$AG354,IFERROR(0/0,""),preDEL!AM354)</f>
        <v>SpBEND825522</v>
      </c>
      <c r="AN354" s="112" t="str">
        <f>IF(preDEL!$AG354,IFERROR(0/0,""),preDEL!AN354)</f>
        <v>BEND140857</v>
      </c>
      <c r="AO354" s="112" t="str">
        <f>IF(preDEL!$AG354,IFERROR(0/0,""),preDEL!AO354)</f>
        <v/>
      </c>
      <c r="AP354" s="112" t="str">
        <f>IF(preDEL!$AG354,IFERROR(0/0,""),preDEL!AP354)</f>
        <v/>
      </c>
      <c r="AQ354" s="112" t="str">
        <f>IF(preDEL!$AG354,IFERROR(0/0,""),preDEL!AQ354)</f>
        <v/>
      </c>
      <c r="AR354" s="112" t="str">
        <f>IF(preDEL!$AG354,IFERROR(0/0,""),preDEL!AR354)</f>
        <v/>
      </c>
      <c r="AS354" s="112" t="str">
        <f>IF(preDEL!$AG354,IFERROR(0/0,""),preDEL!AS354)</f>
        <v/>
      </c>
      <c r="AT354" s="112" t="b">
        <f>IF(preDEL!$AG354,IFERROR(0/0,""),preDEL!AT354)</f>
        <v>0</v>
      </c>
      <c r="AU354" s="112" t="str">
        <f>IF(preDEL!$AG354,IFERROR(0/0,""),preDEL!AU354)</f>
        <v/>
      </c>
      <c r="AV354" s="112" t="str">
        <f>IF(preDEL!$AG354,IFERROR(0/0,""),preDEL!AV354)</f>
        <v/>
      </c>
      <c r="AW354" s="112" t="str">
        <f>IF(preDEL!$AG354,IFERROR(0/0,""),preDEL!AW354)</f>
        <v/>
      </c>
      <c r="AX354" s="112" t="str">
        <f>IF(preDEL!$AG354,IFERROR(0/0,""),preDEL!AX354)</f>
        <v/>
      </c>
      <c r="AY354" s="112" t="str">
        <f>IF(preDEL!$AG354,IFERROR(0/0,""),preDEL!AY354)</f>
        <v/>
      </c>
      <c r="AZ354" s="174"/>
      <c r="BA354" s="174"/>
      <c r="BB354" s="174"/>
      <c r="BC354" s="174"/>
      <c r="BD354" s="174"/>
      <c r="BE354" s="174"/>
      <c r="BF354" s="174"/>
      <c r="BG354" s="174"/>
      <c r="BH354" s="174"/>
      <c r="BI354" s="174"/>
      <c r="BJ354" s="174"/>
      <c r="BK354" s="174"/>
      <c r="BL354" s="174"/>
      <c r="BM354" s="174"/>
      <c r="BN354" s="174"/>
      <c r="BO354" s="174"/>
      <c r="BP354" s="174"/>
      <c r="BQ354" s="174"/>
      <c r="BR354" s="174"/>
      <c r="BS354" s="174"/>
      <c r="BT354" s="174"/>
      <c r="BU354" s="174"/>
      <c r="BV354" s="174"/>
      <c r="BW354" s="174"/>
      <c r="BX354" s="174"/>
      <c r="BY354" s="174"/>
      <c r="BZ354" s="174"/>
      <c r="CA354" s="174"/>
      <c r="CB354" s="174"/>
      <c r="CC354" s="174"/>
      <c r="CD354" s="174"/>
    </row>
    <row r="355">
      <c r="A355" s="105" t="str">
        <f>IF(preDEL!$AG355,IFERROR(0/0,""),preDEL!A355)</f>
        <v>MA424</v>
      </c>
      <c r="B355" s="170">
        <f>IF(preDEL!$AG355,IFERROR(0/0,""),preDEL!B355)</f>
        <v>44599</v>
      </c>
      <c r="C355" s="171">
        <f>IF(preDEL!$AG355,IFERROR(0/0,""),preDEL!C355)</f>
        <v>0.4626388889</v>
      </c>
      <c r="D355" s="105" t="str">
        <f>IF(preDEL!$AG355,IFERROR(0/0,""),preDEL!D355)</f>
        <v/>
      </c>
      <c r="E355" s="105" t="str">
        <f>IF(preDEL!$AG355,IFERROR(0/0,""),preDEL!E355)</f>
        <v/>
      </c>
      <c r="F355" s="112" t="str">
        <f>IF(preDEL!$AG355,IFERROR(0/0,""),preDEL!F355)</f>
        <v/>
      </c>
      <c r="G355" s="112" t="str">
        <f>IF(preDEL!$AG355,IFERROR(0/0,""),preDEL!G355)</f>
        <v/>
      </c>
      <c r="H355" s="112" t="str">
        <f>IF(preDEL!$AG355,IFERROR(0/0,""),preDEL!H355)</f>
        <v/>
      </c>
      <c r="I355" s="105" t="str">
        <f>IF(preDEL!$AG355,IFERROR(0/0,""),preDEL!I355)</f>
        <v/>
      </c>
      <c r="J355" s="105" t="str">
        <f>IF(preDEL!$AG355,IFERROR(0/0,""),preDEL!J355)</f>
        <v/>
      </c>
      <c r="K355" s="105" t="str">
        <f>IF(preDEL!$AG355,IFERROR(0/0,""),preDEL!K355)</f>
        <v>Negative</v>
      </c>
      <c r="L355" s="170">
        <f>IF(preDEL!$AG355,IFERROR(0/0,""),preDEL!L355)</f>
        <v>44599</v>
      </c>
      <c r="M355" s="171">
        <f>IF(preDEL!$AG355,IFERROR(0/0,""),preDEL!M355)</f>
        <v>0.4875462963</v>
      </c>
      <c r="N355" s="112" t="str">
        <f>IF(preDEL!$AG355,IFERROR(0/0,""),preDEL!N355)</f>
        <v/>
      </c>
      <c r="O355" s="112" t="str">
        <f>IF(preDEL!$AG355,IFERROR(0/0,""),preDEL!O355)</f>
        <v/>
      </c>
      <c r="P355" s="110" t="b">
        <f>IF(preDEL!$AG355,IFERROR(0/0,""),preDEL!P355)</f>
        <v>0</v>
      </c>
      <c r="Q355" s="110" t="str">
        <f>IF(preDEL!$AG355,IFERROR(0/0,""),preDEL!Q355)</f>
        <v>Result</v>
      </c>
      <c r="R355" s="104" t="b">
        <f>IF(preDEL!$AG355,IFERROR(0/0,""),preDEL!R355)</f>
        <v>1</v>
      </c>
      <c r="S355" s="104">
        <f>IF(preDEL!$AG355,IFERROR(0/0,""),preDEL!S355)</f>
        <v>1</v>
      </c>
      <c r="T355" s="110">
        <f>IF(preDEL!$AG355,IFERROR(0/0,""),preDEL!T355)</f>
        <v>0</v>
      </c>
      <c r="U355" s="112" t="str">
        <f>IF(preDEL!$AG355,IFERROR(0/0,""),preDEL!U355)</f>
        <v/>
      </c>
      <c r="V355" s="105" t="str">
        <f>IF(preDEL!$AG355,IFERROR(0/0,""),preDEL!V355)</f>
        <v/>
      </c>
      <c r="W355" s="112" t="str">
        <f>IF(preDEL!$AG355,IFERROR(0/0,""),preDEL!W355)</f>
        <v/>
      </c>
      <c r="X355" s="104" t="b">
        <f>IF(preDEL!$AG355,IFERROR(0/0,""),preDEL!X355)</f>
        <v>0</v>
      </c>
      <c r="Y355" s="110" t="b">
        <f>IF(preDEL!$AG355,IFERROR(0/0,""),preDEL!Y355)</f>
        <v>0</v>
      </c>
      <c r="Z355" s="105" t="str">
        <f>IF(preDEL!$AG355,IFERROR(0/0,""),preDEL!Z355)</f>
        <v/>
      </c>
      <c r="AA355" s="110" t="b">
        <f>IF(preDEL!$AG355,IFERROR(0/0,""),preDEL!AA355)</f>
        <v>0</v>
      </c>
      <c r="AB355" s="110" t="b">
        <f>IF(preDEL!$AG355,IFERROR(0/0,""),preDEL!AB355)</f>
        <v>0</v>
      </c>
      <c r="AC355" s="172">
        <f>IF(preDEL!$AG355,IFERROR(0/0,""),preDEL!AC355)</f>
        <v>453</v>
      </c>
      <c r="AD355" s="104" t="b">
        <f>IF(preDEL!$AG355,IFERROR(0/0,""),preDEL!AD355)</f>
        <v>0</v>
      </c>
      <c r="AE355" s="173">
        <f>IF(preDEL!$AG355,IFERROR(0/0,""),preDEL!AE355)</f>
        <v>35.86666667</v>
      </c>
      <c r="AF355" s="110" t="b">
        <f>IF(preDEL!$AG355,IFERROR(0/0,""),preDEL!AF355)</f>
        <v>0</v>
      </c>
      <c r="AG355" s="110" t="b">
        <f>IF(preDEL!$AG355,IFERROR(0/0,""),preDEL!AG355)</f>
        <v>0</v>
      </c>
      <c r="AH355" s="104" t="str">
        <f>IF(preDEL!$AG355,IFERROR(0/0,""),preDEL!AH355)</f>
        <v/>
      </c>
      <c r="AI355" s="105" t="str">
        <f>IF(preDEL!$AG355,IFERROR(0/0,""),preDEL!AI355)</f>
        <v/>
      </c>
      <c r="AJ355" s="112" t="str">
        <f>IF(preDEL!$AG355,IFERROR(0/0,""),preDEL!AJ355)</f>
        <v/>
      </c>
      <c r="AK355" s="105" t="str">
        <f>IF(preDEL!$AG355,IFERROR(0/0,""),preDEL!AK355)</f>
        <v>Negative</v>
      </c>
      <c r="AL355" s="112" t="str">
        <f>IF(preDEL!$AG355,IFERROR(0/0,""),preDEL!AL355)</f>
        <v/>
      </c>
      <c r="AM355" s="112" t="str">
        <f>IF(preDEL!$AG355,IFERROR(0/0,""),preDEL!AM355)</f>
        <v>SpBEND394154</v>
      </c>
      <c r="AN355" s="112" t="str">
        <f>IF(preDEL!$AG355,IFERROR(0/0,""),preDEL!AN355)</f>
        <v>BEND738994</v>
      </c>
      <c r="AO355" s="112" t="str">
        <f>IF(preDEL!$AG355,IFERROR(0/0,""),preDEL!AO355)</f>
        <v/>
      </c>
      <c r="AP355" s="112" t="str">
        <f>IF(preDEL!$AG355,IFERROR(0/0,""),preDEL!AP355)</f>
        <v/>
      </c>
      <c r="AQ355" s="112" t="str">
        <f>IF(preDEL!$AG355,IFERROR(0/0,""),preDEL!AQ355)</f>
        <v/>
      </c>
      <c r="AR355" s="112" t="str">
        <f>IF(preDEL!$AG355,IFERROR(0/0,""),preDEL!AR355)</f>
        <v/>
      </c>
      <c r="AS355" s="112" t="str">
        <f>IF(preDEL!$AG355,IFERROR(0/0,""),preDEL!AS355)</f>
        <v/>
      </c>
      <c r="AT355" s="112" t="b">
        <f>IF(preDEL!$AG355,IFERROR(0/0,""),preDEL!AT355)</f>
        <v>0</v>
      </c>
      <c r="AU355" s="112" t="str">
        <f>IF(preDEL!$AG355,IFERROR(0/0,""),preDEL!AU355)</f>
        <v/>
      </c>
      <c r="AV355" s="112" t="str">
        <f>IF(preDEL!$AG355,IFERROR(0/0,""),preDEL!AV355)</f>
        <v/>
      </c>
      <c r="AW355" s="112" t="str">
        <f>IF(preDEL!$AG355,IFERROR(0/0,""),preDEL!AW355)</f>
        <v/>
      </c>
      <c r="AX355" s="112" t="str">
        <f>IF(preDEL!$AG355,IFERROR(0/0,""),preDEL!AX355)</f>
        <v/>
      </c>
      <c r="AY355" s="112" t="str">
        <f>IF(preDEL!$AG355,IFERROR(0/0,""),preDEL!AY355)</f>
        <v/>
      </c>
      <c r="AZ355" s="174"/>
      <c r="BA355" s="174"/>
      <c r="BB355" s="174"/>
      <c r="BC355" s="174"/>
      <c r="BD355" s="174"/>
      <c r="BE355" s="174"/>
      <c r="BF355" s="174"/>
      <c r="BG355" s="174"/>
      <c r="BH355" s="174"/>
      <c r="BI355" s="174"/>
      <c r="BJ355" s="174"/>
      <c r="BK355" s="174"/>
      <c r="BL355" s="174"/>
      <c r="BM355" s="174"/>
      <c r="BN355" s="174"/>
      <c r="BO355" s="174"/>
      <c r="BP355" s="174"/>
      <c r="BQ355" s="174"/>
      <c r="BR355" s="174"/>
      <c r="BS355" s="174"/>
      <c r="BT355" s="174"/>
      <c r="BU355" s="174"/>
      <c r="BV355" s="174"/>
      <c r="BW355" s="174"/>
      <c r="BX355" s="174"/>
      <c r="BY355" s="174"/>
      <c r="BZ355" s="174"/>
      <c r="CA355" s="174"/>
      <c r="CB355" s="174"/>
      <c r="CC355" s="174"/>
      <c r="CD355" s="174"/>
    </row>
    <row r="356">
      <c r="A356" s="105" t="str">
        <f>IF(preDEL!$AG356,IFERROR(0/0,""),preDEL!A356)</f>
        <v>MA659</v>
      </c>
      <c r="B356" s="170">
        <f>IF(preDEL!$AG356,IFERROR(0/0,""),preDEL!B356)</f>
        <v>44599</v>
      </c>
      <c r="C356" s="171">
        <f>IF(preDEL!$AG356,IFERROR(0/0,""),preDEL!C356)</f>
        <v>0.4630439815</v>
      </c>
      <c r="D356" s="105" t="str">
        <f>IF(preDEL!$AG356,IFERROR(0/0,""),preDEL!D356)</f>
        <v/>
      </c>
      <c r="E356" s="105" t="str">
        <f>IF(preDEL!$AG356,IFERROR(0/0,""),preDEL!E356)</f>
        <v/>
      </c>
      <c r="F356" s="112" t="str">
        <f>IF(preDEL!$AG356,IFERROR(0/0,""),preDEL!F356)</f>
        <v/>
      </c>
      <c r="G356" s="112" t="str">
        <f>IF(preDEL!$AG356,IFERROR(0/0,""),preDEL!G356)</f>
        <v/>
      </c>
      <c r="H356" s="112" t="str">
        <f>IF(preDEL!$AG356,IFERROR(0/0,""),preDEL!H356)</f>
        <v/>
      </c>
      <c r="I356" s="105" t="str">
        <f>IF(preDEL!$AG356,IFERROR(0/0,""),preDEL!I356)</f>
        <v/>
      </c>
      <c r="J356" s="105" t="str">
        <f>IF(preDEL!$AG356,IFERROR(0/0,""),preDEL!J356)</f>
        <v/>
      </c>
      <c r="K356" s="105" t="str">
        <f>IF(preDEL!$AG356,IFERROR(0/0,""),preDEL!K356)</f>
        <v>Negative</v>
      </c>
      <c r="L356" s="170">
        <f>IF(preDEL!$AG356,IFERROR(0/0,""),preDEL!L356)</f>
        <v>44599</v>
      </c>
      <c r="M356" s="171">
        <f>IF(preDEL!$AG356,IFERROR(0/0,""),preDEL!M356)</f>
        <v>0.4875462963</v>
      </c>
      <c r="N356" s="112" t="str">
        <f>IF(preDEL!$AG356,IFERROR(0/0,""),preDEL!N356)</f>
        <v/>
      </c>
      <c r="O356" s="112" t="str">
        <f>IF(preDEL!$AG356,IFERROR(0/0,""),preDEL!O356)</f>
        <v/>
      </c>
      <c r="P356" s="110" t="b">
        <f>IF(preDEL!$AG356,IFERROR(0/0,""),preDEL!P356)</f>
        <v>0</v>
      </c>
      <c r="Q356" s="110" t="str">
        <f>IF(preDEL!$AG356,IFERROR(0/0,""),preDEL!Q356)</f>
        <v>Result</v>
      </c>
      <c r="R356" s="104" t="b">
        <f>IF(preDEL!$AG356,IFERROR(0/0,""),preDEL!R356)</f>
        <v>1</v>
      </c>
      <c r="S356" s="104">
        <f>IF(preDEL!$AG356,IFERROR(0/0,""),preDEL!S356)</f>
        <v>1</v>
      </c>
      <c r="T356" s="110">
        <f>IF(preDEL!$AG356,IFERROR(0/0,""),preDEL!T356)</f>
        <v>0</v>
      </c>
      <c r="U356" s="112" t="str">
        <f>IF(preDEL!$AG356,IFERROR(0/0,""),preDEL!U356)</f>
        <v/>
      </c>
      <c r="V356" s="105" t="str">
        <f>IF(preDEL!$AG356,IFERROR(0/0,""),preDEL!V356)</f>
        <v/>
      </c>
      <c r="W356" s="112" t="str">
        <f>IF(preDEL!$AG356,IFERROR(0/0,""),preDEL!W356)</f>
        <v/>
      </c>
      <c r="X356" s="104" t="b">
        <f>IF(preDEL!$AG356,IFERROR(0/0,""),preDEL!X356)</f>
        <v>0</v>
      </c>
      <c r="Y356" s="110" t="b">
        <f>IF(preDEL!$AG356,IFERROR(0/0,""),preDEL!Y356)</f>
        <v>0</v>
      </c>
      <c r="Z356" s="105" t="str">
        <f>IF(preDEL!$AG356,IFERROR(0/0,""),preDEL!Z356)</f>
        <v/>
      </c>
      <c r="AA356" s="110" t="b">
        <f>IF(preDEL!$AG356,IFERROR(0/0,""),preDEL!AA356)</f>
        <v>0</v>
      </c>
      <c r="AB356" s="110" t="b">
        <f>IF(preDEL!$AG356,IFERROR(0/0,""),preDEL!AB356)</f>
        <v>0</v>
      </c>
      <c r="AC356" s="172">
        <f>IF(preDEL!$AG356,IFERROR(0/0,""),preDEL!AC356)</f>
        <v>452</v>
      </c>
      <c r="AD356" s="104" t="b">
        <f>IF(preDEL!$AG356,IFERROR(0/0,""),preDEL!AD356)</f>
        <v>0</v>
      </c>
      <c r="AE356" s="173">
        <f>IF(preDEL!$AG356,IFERROR(0/0,""),preDEL!AE356)</f>
        <v>35.28333333</v>
      </c>
      <c r="AF356" s="110" t="b">
        <f>IF(preDEL!$AG356,IFERROR(0/0,""),preDEL!AF356)</f>
        <v>0</v>
      </c>
      <c r="AG356" s="110" t="b">
        <f>IF(preDEL!$AG356,IFERROR(0/0,""),preDEL!AG356)</f>
        <v>0</v>
      </c>
      <c r="AH356" s="104" t="str">
        <f>IF(preDEL!$AG356,IFERROR(0/0,""),preDEL!AH356)</f>
        <v/>
      </c>
      <c r="AI356" s="105" t="str">
        <f>IF(preDEL!$AG356,IFERROR(0/0,""),preDEL!AI356)</f>
        <v/>
      </c>
      <c r="AJ356" s="112" t="str">
        <f>IF(preDEL!$AG356,IFERROR(0/0,""),preDEL!AJ356)</f>
        <v/>
      </c>
      <c r="AK356" s="105" t="str">
        <f>IF(preDEL!$AG356,IFERROR(0/0,""),preDEL!AK356)</f>
        <v>Negative</v>
      </c>
      <c r="AL356" s="112" t="str">
        <f>IF(preDEL!$AG356,IFERROR(0/0,""),preDEL!AL356)</f>
        <v/>
      </c>
      <c r="AM356" s="112" t="str">
        <f>IF(preDEL!$AG356,IFERROR(0/0,""),preDEL!AM356)</f>
        <v>SpBEND394154</v>
      </c>
      <c r="AN356" s="112" t="str">
        <f>IF(preDEL!$AG356,IFERROR(0/0,""),preDEL!AN356)</f>
        <v>BEND369361</v>
      </c>
      <c r="AO356" s="112" t="str">
        <f>IF(preDEL!$AG356,IFERROR(0/0,""),preDEL!AO356)</f>
        <v/>
      </c>
      <c r="AP356" s="112" t="str">
        <f>IF(preDEL!$AG356,IFERROR(0/0,""),preDEL!AP356)</f>
        <v/>
      </c>
      <c r="AQ356" s="112" t="str">
        <f>IF(preDEL!$AG356,IFERROR(0/0,""),preDEL!AQ356)</f>
        <v/>
      </c>
      <c r="AR356" s="112" t="str">
        <f>IF(preDEL!$AG356,IFERROR(0/0,""),preDEL!AR356)</f>
        <v/>
      </c>
      <c r="AS356" s="112" t="str">
        <f>IF(preDEL!$AG356,IFERROR(0/0,""),preDEL!AS356)</f>
        <v/>
      </c>
      <c r="AT356" s="112" t="b">
        <f>IF(preDEL!$AG356,IFERROR(0/0,""),preDEL!AT356)</f>
        <v>0</v>
      </c>
      <c r="AU356" s="112" t="str">
        <f>IF(preDEL!$AG356,IFERROR(0/0,""),preDEL!AU356)</f>
        <v/>
      </c>
      <c r="AV356" s="112" t="str">
        <f>IF(preDEL!$AG356,IFERROR(0/0,""),preDEL!AV356)</f>
        <v/>
      </c>
      <c r="AW356" s="112" t="str">
        <f>IF(preDEL!$AG356,IFERROR(0/0,""),preDEL!AW356)</f>
        <v/>
      </c>
      <c r="AX356" s="112" t="str">
        <f>IF(preDEL!$AG356,IFERROR(0/0,""),preDEL!AX356)</f>
        <v/>
      </c>
      <c r="AY356" s="112" t="str">
        <f>IF(preDEL!$AG356,IFERROR(0/0,""),preDEL!AY356)</f>
        <v/>
      </c>
      <c r="AZ356" s="174"/>
      <c r="BA356" s="174"/>
      <c r="BB356" s="174"/>
      <c r="BC356" s="174"/>
      <c r="BD356" s="174"/>
      <c r="BE356" s="174"/>
      <c r="BF356" s="174"/>
      <c r="BG356" s="174"/>
      <c r="BH356" s="174"/>
      <c r="BI356" s="174"/>
      <c r="BJ356" s="174"/>
      <c r="BK356" s="174"/>
      <c r="BL356" s="174"/>
      <c r="BM356" s="174"/>
      <c r="BN356" s="174"/>
      <c r="BO356" s="174"/>
      <c r="BP356" s="174"/>
      <c r="BQ356" s="174"/>
      <c r="BR356" s="174"/>
      <c r="BS356" s="174"/>
      <c r="BT356" s="174"/>
      <c r="BU356" s="174"/>
      <c r="BV356" s="174"/>
      <c r="BW356" s="174"/>
      <c r="BX356" s="174"/>
      <c r="BY356" s="174"/>
      <c r="BZ356" s="174"/>
      <c r="CA356" s="174"/>
      <c r="CB356" s="174"/>
      <c r="CC356" s="174"/>
      <c r="CD356" s="174"/>
    </row>
    <row r="357">
      <c r="A357" s="105" t="str">
        <f>IF(preDEL!$AG357,IFERROR(0/0,""),preDEL!A357)</f>
        <v>MA426</v>
      </c>
      <c r="B357" s="170">
        <f>IF(preDEL!$AG357,IFERROR(0/0,""),preDEL!B357)</f>
        <v>44599</v>
      </c>
      <c r="C357" s="171">
        <f>IF(preDEL!$AG357,IFERROR(0/0,""),preDEL!C357)</f>
        <v>0.4706944444</v>
      </c>
      <c r="D357" s="105" t="str">
        <f>IF(preDEL!$AG357,IFERROR(0/0,""),preDEL!D357)</f>
        <v/>
      </c>
      <c r="E357" s="105" t="str">
        <f>IF(preDEL!$AG357,IFERROR(0/0,""),preDEL!E357)</f>
        <v/>
      </c>
      <c r="F357" s="112" t="str">
        <f>IF(preDEL!$AG357,IFERROR(0/0,""),preDEL!F357)</f>
        <v/>
      </c>
      <c r="G357" s="112" t="str">
        <f>IF(preDEL!$AG357,IFERROR(0/0,""),preDEL!G357)</f>
        <v/>
      </c>
      <c r="H357" s="112" t="str">
        <f>IF(preDEL!$AG357,IFERROR(0/0,""),preDEL!H357)</f>
        <v/>
      </c>
      <c r="I357" s="105" t="str">
        <f>IF(preDEL!$AG357,IFERROR(0/0,""),preDEL!I357)</f>
        <v/>
      </c>
      <c r="J357" s="105" t="str">
        <f>IF(preDEL!$AG357,IFERROR(0/0,""),preDEL!J357)</f>
        <v/>
      </c>
      <c r="K357" s="105" t="str">
        <f>IF(preDEL!$AG357,IFERROR(0/0,""),preDEL!K357)</f>
        <v>Negative</v>
      </c>
      <c r="L357" s="170">
        <f>IF(preDEL!$AG357,IFERROR(0/0,""),preDEL!L357)</f>
        <v>44599</v>
      </c>
      <c r="M357" s="171">
        <f>IF(preDEL!$AG357,IFERROR(0/0,""),preDEL!M357)</f>
        <v>0.4875462963</v>
      </c>
      <c r="N357" s="112" t="str">
        <f>IF(preDEL!$AG357,IFERROR(0/0,""),preDEL!N357)</f>
        <v/>
      </c>
      <c r="O357" s="112" t="str">
        <f>IF(preDEL!$AG357,IFERROR(0/0,""),preDEL!O357)</f>
        <v/>
      </c>
      <c r="P357" s="110" t="b">
        <f>IF(preDEL!$AG357,IFERROR(0/0,""),preDEL!P357)</f>
        <v>0</v>
      </c>
      <c r="Q357" s="110" t="str">
        <f>IF(preDEL!$AG357,IFERROR(0/0,""),preDEL!Q357)</f>
        <v>Result</v>
      </c>
      <c r="R357" s="104" t="b">
        <f>IF(preDEL!$AG357,IFERROR(0/0,""),preDEL!R357)</f>
        <v>1</v>
      </c>
      <c r="S357" s="104">
        <f>IF(preDEL!$AG357,IFERROR(0/0,""),preDEL!S357)</f>
        <v>1</v>
      </c>
      <c r="T357" s="110" t="str">
        <f>IF(preDEL!$AG357,IFERROR(0/0,""),preDEL!T357)</f>
        <v/>
      </c>
      <c r="U357" s="112" t="str">
        <f>IF(preDEL!$AG357,IFERROR(0/0,""),preDEL!U357)</f>
        <v/>
      </c>
      <c r="V357" s="105" t="str">
        <f>IF(preDEL!$AG357,IFERROR(0/0,""),preDEL!V357)</f>
        <v/>
      </c>
      <c r="W357" s="112" t="str">
        <f>IF(preDEL!$AG357,IFERROR(0/0,""),preDEL!W357)</f>
        <v/>
      </c>
      <c r="X357" s="104" t="b">
        <f>IF(preDEL!$AG357,IFERROR(0/0,""),preDEL!X357)</f>
        <v>0</v>
      </c>
      <c r="Y357" s="110" t="b">
        <f>IF(preDEL!$AG357,IFERROR(0/0,""),preDEL!Y357)</f>
        <v>0</v>
      </c>
      <c r="Z357" s="105" t="str">
        <f>IF(preDEL!$AG357,IFERROR(0/0,""),preDEL!Z357)</f>
        <v/>
      </c>
      <c r="AA357" s="110" t="b">
        <f>IF(preDEL!$AG357,IFERROR(0/0,""),preDEL!AA357)</f>
        <v>0</v>
      </c>
      <c r="AB357" s="110" t="b">
        <f>IF(preDEL!$AG357,IFERROR(0/0,""),preDEL!AB357)</f>
        <v>0</v>
      </c>
      <c r="AC357" s="172">
        <f>IF(preDEL!$AG357,IFERROR(0/0,""),preDEL!AC357)</f>
        <v>451</v>
      </c>
      <c r="AD357" s="104" t="b">
        <f>IF(preDEL!$AG357,IFERROR(0/0,""),preDEL!AD357)</f>
        <v>0</v>
      </c>
      <c r="AE357" s="173">
        <f>IF(preDEL!$AG357,IFERROR(0/0,""),preDEL!AE357)</f>
        <v>24.26666667</v>
      </c>
      <c r="AF357" s="110" t="b">
        <f>IF(preDEL!$AG357,IFERROR(0/0,""),preDEL!AF357)</f>
        <v>0</v>
      </c>
      <c r="AG357" s="110" t="b">
        <f>IF(preDEL!$AG357,IFERROR(0/0,""),preDEL!AG357)</f>
        <v>0</v>
      </c>
      <c r="AH357" s="104" t="str">
        <f>IF(preDEL!$AG357,IFERROR(0/0,""),preDEL!AH357)</f>
        <v/>
      </c>
      <c r="AI357" s="105" t="str">
        <f>IF(preDEL!$AG357,IFERROR(0/0,""),preDEL!AI357)</f>
        <v/>
      </c>
      <c r="AJ357" s="112" t="str">
        <f>IF(preDEL!$AG357,IFERROR(0/0,""),preDEL!AJ357)</f>
        <v/>
      </c>
      <c r="AK357" s="105" t="str">
        <f>IF(preDEL!$AG357,IFERROR(0/0,""),preDEL!AK357)</f>
        <v>Negative</v>
      </c>
      <c r="AL357" s="112" t="str">
        <f>IF(preDEL!$AG357,IFERROR(0/0,""),preDEL!AL357)</f>
        <v/>
      </c>
      <c r="AM357" s="112" t="str">
        <f>IF(preDEL!$AG357,IFERROR(0/0,""),preDEL!AM357)</f>
        <v>SpBEND394154</v>
      </c>
      <c r="AN357" s="112" t="str">
        <f>IF(preDEL!$AG357,IFERROR(0/0,""),preDEL!AN357)</f>
        <v>BEND759602</v>
      </c>
      <c r="AO357" s="112" t="str">
        <f>IF(preDEL!$AG357,IFERROR(0/0,""),preDEL!AO357)</f>
        <v/>
      </c>
      <c r="AP357" s="112" t="str">
        <f>IF(preDEL!$AG357,IFERROR(0/0,""),preDEL!AP357)</f>
        <v/>
      </c>
      <c r="AQ357" s="112" t="str">
        <f>IF(preDEL!$AG357,IFERROR(0/0,""),preDEL!AQ357)</f>
        <v/>
      </c>
      <c r="AR357" s="112" t="str">
        <f>IF(preDEL!$AG357,IFERROR(0/0,""),preDEL!AR357)</f>
        <v/>
      </c>
      <c r="AS357" s="112" t="str">
        <f>IF(preDEL!$AG357,IFERROR(0/0,""),preDEL!AS357)</f>
        <v/>
      </c>
      <c r="AT357" s="112" t="b">
        <f>IF(preDEL!$AG357,IFERROR(0/0,""),preDEL!AT357)</f>
        <v>0</v>
      </c>
      <c r="AU357" s="112" t="str">
        <f>IF(preDEL!$AG357,IFERROR(0/0,""),preDEL!AU357)</f>
        <v/>
      </c>
      <c r="AV357" s="112" t="str">
        <f>IF(preDEL!$AG357,IFERROR(0/0,""),preDEL!AV357)</f>
        <v/>
      </c>
      <c r="AW357" s="112" t="str">
        <f>IF(preDEL!$AG357,IFERROR(0/0,""),preDEL!AW357)</f>
        <v/>
      </c>
      <c r="AX357" s="112" t="str">
        <f>IF(preDEL!$AG357,IFERROR(0/0,""),preDEL!AX357)</f>
        <v/>
      </c>
      <c r="AY357" s="112" t="str">
        <f>IF(preDEL!$AG357,IFERROR(0/0,""),preDEL!AY357)</f>
        <v/>
      </c>
      <c r="AZ357" s="174"/>
      <c r="BA357" s="174"/>
      <c r="BB357" s="174"/>
      <c r="BC357" s="174"/>
      <c r="BD357" s="174"/>
      <c r="BE357" s="174"/>
      <c r="BF357" s="174"/>
      <c r="BG357" s="174"/>
      <c r="BH357" s="174"/>
      <c r="BI357" s="174"/>
      <c r="BJ357" s="174"/>
      <c r="BK357" s="174"/>
      <c r="BL357" s="174"/>
      <c r="BM357" s="174"/>
      <c r="BN357" s="174"/>
      <c r="BO357" s="174"/>
      <c r="BP357" s="174"/>
      <c r="BQ357" s="174"/>
      <c r="BR357" s="174"/>
      <c r="BS357" s="174"/>
      <c r="BT357" s="174"/>
      <c r="BU357" s="174"/>
      <c r="BV357" s="174"/>
      <c r="BW357" s="174"/>
      <c r="BX357" s="174"/>
      <c r="BY357" s="174"/>
      <c r="BZ357" s="174"/>
      <c r="CA357" s="174"/>
      <c r="CB357" s="174"/>
      <c r="CC357" s="174"/>
      <c r="CD357" s="174"/>
    </row>
    <row r="358">
      <c r="A358" s="105" t="str">
        <f>IF(preDEL!$AG358,IFERROR(0/0,""),preDEL!A358)</f>
        <v>FM501</v>
      </c>
      <c r="B358" s="170">
        <f>IF(preDEL!$AG358,IFERROR(0/0,""),preDEL!B358)</f>
        <v>44601</v>
      </c>
      <c r="C358" s="171">
        <f>IF(preDEL!$AG358,IFERROR(0/0,""),preDEL!C358)</f>
        <v>0.2631018519</v>
      </c>
      <c r="D358" s="105" t="str">
        <f>IF(preDEL!$AG358,IFERROR(0/0,""),preDEL!D358)</f>
        <v/>
      </c>
      <c r="E358" s="105" t="str">
        <f>IF(preDEL!$AG358,IFERROR(0/0,""),preDEL!E358)</f>
        <v/>
      </c>
      <c r="F358" s="112" t="str">
        <f>IF(preDEL!$AG358,IFERROR(0/0,""),preDEL!F358)</f>
        <v/>
      </c>
      <c r="G358" s="112" t="str">
        <f>IF(preDEL!$AG358,IFERROR(0/0,""),preDEL!G358)</f>
        <v/>
      </c>
      <c r="H358" s="112" t="str">
        <f>IF(preDEL!$AG358,IFERROR(0/0,""),preDEL!H358)</f>
        <v/>
      </c>
      <c r="I358" s="105" t="str">
        <f>IF(preDEL!$AG358,IFERROR(0/0,""),preDEL!I358)</f>
        <v/>
      </c>
      <c r="J358" s="105" t="str">
        <f>IF(preDEL!$AG358,IFERROR(0/0,""),preDEL!J358)</f>
        <v/>
      </c>
      <c r="K358" s="105" t="str">
        <f>IF(preDEL!$AG358,IFERROR(0/0,""),preDEL!K358)</f>
        <v>Negative</v>
      </c>
      <c r="L358" s="170">
        <f>IF(preDEL!$AG358,IFERROR(0/0,""),preDEL!L358)</f>
        <v>44601</v>
      </c>
      <c r="M358" s="171">
        <f>IF(preDEL!$AG358,IFERROR(0/0,""),preDEL!M358)</f>
        <v>0.482025463</v>
      </c>
      <c r="N358" s="112" t="str">
        <f>IF(preDEL!$AG358,IFERROR(0/0,""),preDEL!N358)</f>
        <v/>
      </c>
      <c r="O358" s="112" t="str">
        <f>IF(preDEL!$AG358,IFERROR(0/0,""),preDEL!O358)</f>
        <v/>
      </c>
      <c r="P358" s="110" t="b">
        <f>IF(preDEL!$AG358,IFERROR(0/0,""),preDEL!P358)</f>
        <v>0</v>
      </c>
      <c r="Q358" s="110" t="str">
        <f>IF(preDEL!$AG358,IFERROR(0/0,""),preDEL!Q358)</f>
        <v>Result</v>
      </c>
      <c r="R358" s="104" t="b">
        <f>IF(preDEL!$AG358,IFERROR(0/0,""),preDEL!R358)</f>
        <v>1</v>
      </c>
      <c r="S358" s="104">
        <f>IF(preDEL!$AG358,IFERROR(0/0,""),preDEL!S358)</f>
        <v>1</v>
      </c>
      <c r="T358" s="110" t="str">
        <f>IF(preDEL!$AG358,IFERROR(0/0,""),preDEL!T358)</f>
        <v/>
      </c>
      <c r="U358" s="112" t="str">
        <f>IF(preDEL!$AG358,IFERROR(0/0,""),preDEL!U358)</f>
        <v/>
      </c>
      <c r="V358" s="105" t="str">
        <f>IF(preDEL!$AG358,IFERROR(0/0,""),preDEL!V358)</f>
        <v/>
      </c>
      <c r="W358" s="112" t="str">
        <f>IF(preDEL!$AG358,IFERROR(0/0,""),preDEL!W358)</f>
        <v/>
      </c>
      <c r="X358" s="104" t="b">
        <f>IF(preDEL!$AG358,IFERROR(0/0,""),preDEL!X358)</f>
        <v>0</v>
      </c>
      <c r="Y358" s="110" t="b">
        <f>IF(preDEL!$AG358,IFERROR(0/0,""),preDEL!Y358)</f>
        <v>0</v>
      </c>
      <c r="Z358" s="105" t="str">
        <f>IF(preDEL!$AG358,IFERROR(0/0,""),preDEL!Z358)</f>
        <v/>
      </c>
      <c r="AA358" s="110" t="b">
        <f>IF(preDEL!$AG358,IFERROR(0/0,""),preDEL!AA358)</f>
        <v>0</v>
      </c>
      <c r="AB358" s="110" t="b">
        <f>IF(preDEL!$AG358,IFERROR(0/0,""),preDEL!AB358)</f>
        <v>0</v>
      </c>
      <c r="AC358" s="172">
        <f>IF(preDEL!$AG358,IFERROR(0/0,""),preDEL!AC358)</f>
        <v>450</v>
      </c>
      <c r="AD358" s="104" t="b">
        <f>IF(preDEL!$AG358,IFERROR(0/0,""),preDEL!AD358)</f>
        <v>0</v>
      </c>
      <c r="AE358" s="173">
        <f>IF(preDEL!$AG358,IFERROR(0/0,""),preDEL!AE358)</f>
        <v>315.25</v>
      </c>
      <c r="AF358" s="110" t="b">
        <f>IF(preDEL!$AG358,IFERROR(0/0,""),preDEL!AF358)</f>
        <v>0</v>
      </c>
      <c r="AG358" s="110" t="b">
        <f>IF(preDEL!$AG358,IFERROR(0/0,""),preDEL!AG358)</f>
        <v>0</v>
      </c>
      <c r="AH358" s="104" t="str">
        <f>IF(preDEL!$AG358,IFERROR(0/0,""),preDEL!AH358)</f>
        <v/>
      </c>
      <c r="AI358" s="105" t="str">
        <f>IF(preDEL!$AG358,IFERROR(0/0,""),preDEL!AI358)</f>
        <v/>
      </c>
      <c r="AJ358" s="112" t="str">
        <f>IF(preDEL!$AG358,IFERROR(0/0,""),preDEL!AJ358)</f>
        <v/>
      </c>
      <c r="AK358" s="105" t="str">
        <f>IF(preDEL!$AG358,IFERROR(0/0,""),preDEL!AK358)</f>
        <v>Negative</v>
      </c>
      <c r="AL358" s="112" t="str">
        <f>IF(preDEL!$AG358,IFERROR(0/0,""),preDEL!AL358)</f>
        <v/>
      </c>
      <c r="AM358" s="112" t="str">
        <f>IF(preDEL!$AG358,IFERROR(0/0,""),preDEL!AM358)</f>
        <v>SpBEND845568</v>
      </c>
      <c r="AN358" s="112" t="str">
        <f>IF(preDEL!$AG358,IFERROR(0/0,""),preDEL!AN358)</f>
        <v>BEND601151</v>
      </c>
      <c r="AO358" s="112" t="str">
        <f>IF(preDEL!$AG358,IFERROR(0/0,""),preDEL!AO358)</f>
        <v/>
      </c>
      <c r="AP358" s="112" t="str">
        <f>IF(preDEL!$AG358,IFERROR(0/0,""),preDEL!AP358)</f>
        <v/>
      </c>
      <c r="AQ358" s="112" t="str">
        <f>IF(preDEL!$AG358,IFERROR(0/0,""),preDEL!AQ358)</f>
        <v/>
      </c>
      <c r="AR358" s="112" t="str">
        <f>IF(preDEL!$AG358,IFERROR(0/0,""),preDEL!AR358)</f>
        <v/>
      </c>
      <c r="AS358" s="112" t="str">
        <f>IF(preDEL!$AG358,IFERROR(0/0,""),preDEL!AS358)</f>
        <v/>
      </c>
      <c r="AT358" s="112" t="b">
        <f>IF(preDEL!$AG358,IFERROR(0/0,""),preDEL!AT358)</f>
        <v>0</v>
      </c>
      <c r="AU358" s="112" t="str">
        <f>IF(preDEL!$AG358,IFERROR(0/0,""),preDEL!AU358)</f>
        <v/>
      </c>
      <c r="AV358" s="112" t="str">
        <f>IF(preDEL!$AG358,IFERROR(0/0,""),preDEL!AV358)</f>
        <v/>
      </c>
      <c r="AW358" s="112" t="str">
        <f>IF(preDEL!$AG358,IFERROR(0/0,""),preDEL!AW358)</f>
        <v/>
      </c>
      <c r="AX358" s="112" t="str">
        <f>IF(preDEL!$AG358,IFERROR(0/0,""),preDEL!AX358)</f>
        <v/>
      </c>
      <c r="AY358" s="112" t="str">
        <f>IF(preDEL!$AG358,IFERROR(0/0,""),preDEL!AY358)</f>
        <v/>
      </c>
      <c r="AZ358" s="174"/>
      <c r="BA358" s="174"/>
      <c r="BB358" s="174"/>
      <c r="BC358" s="174"/>
      <c r="BD358" s="174"/>
      <c r="BE358" s="174"/>
      <c r="BF358" s="174"/>
      <c r="BG358" s="174"/>
      <c r="BH358" s="174"/>
      <c r="BI358" s="174"/>
      <c r="BJ358" s="174"/>
      <c r="BK358" s="174"/>
      <c r="BL358" s="174"/>
      <c r="BM358" s="174"/>
      <c r="BN358" s="174"/>
      <c r="BO358" s="174"/>
      <c r="BP358" s="174"/>
      <c r="BQ358" s="174"/>
      <c r="BR358" s="174"/>
      <c r="BS358" s="174"/>
      <c r="BT358" s="174"/>
      <c r="BU358" s="174"/>
      <c r="BV358" s="174"/>
      <c r="BW358" s="174"/>
      <c r="BX358" s="174"/>
      <c r="BY358" s="174"/>
      <c r="BZ358" s="174"/>
      <c r="CA358" s="174"/>
      <c r="CB358" s="174"/>
      <c r="CC358" s="174"/>
      <c r="CD358" s="174"/>
    </row>
    <row r="359">
      <c r="A359" s="105" t="str">
        <f>IF(preDEL!$AG359,IFERROR(0/0,""),preDEL!A359)</f>
        <v>FM431</v>
      </c>
      <c r="B359" s="170">
        <f>IF(preDEL!$AG359,IFERROR(0/0,""),preDEL!B359)</f>
        <v>44601</v>
      </c>
      <c r="C359" s="171">
        <f>IF(preDEL!$AG359,IFERROR(0/0,""),preDEL!C359)</f>
        <v>0.2634606481</v>
      </c>
      <c r="D359" s="105" t="str">
        <f>IF(preDEL!$AG359,IFERROR(0/0,""),preDEL!D359)</f>
        <v/>
      </c>
      <c r="E359" s="105" t="str">
        <f>IF(preDEL!$AG359,IFERROR(0/0,""),preDEL!E359)</f>
        <v/>
      </c>
      <c r="F359" s="112" t="str">
        <f>IF(preDEL!$AG359,IFERROR(0/0,""),preDEL!F359)</f>
        <v/>
      </c>
      <c r="G359" s="112" t="str">
        <f>IF(preDEL!$AG359,IFERROR(0/0,""),preDEL!G359)</f>
        <v/>
      </c>
      <c r="H359" s="112" t="str">
        <f>IF(preDEL!$AG359,IFERROR(0/0,""),preDEL!H359)</f>
        <v/>
      </c>
      <c r="I359" s="105" t="str">
        <f>IF(preDEL!$AG359,IFERROR(0/0,""),preDEL!I359)</f>
        <v/>
      </c>
      <c r="J359" s="105" t="str">
        <f>IF(preDEL!$AG359,IFERROR(0/0,""),preDEL!J359)</f>
        <v/>
      </c>
      <c r="K359" s="105" t="str">
        <f>IF(preDEL!$AG359,IFERROR(0/0,""),preDEL!K359)</f>
        <v>Positive</v>
      </c>
      <c r="L359" s="170">
        <f>IF(preDEL!$AG359,IFERROR(0/0,""),preDEL!L359)</f>
        <v>44601</v>
      </c>
      <c r="M359" s="171">
        <f>IF(preDEL!$AG359,IFERROR(0/0,""),preDEL!M359)</f>
        <v>0.482037037</v>
      </c>
      <c r="N359" s="112" t="str">
        <f>IF(preDEL!$AG359,IFERROR(0/0,""),preDEL!N359)</f>
        <v/>
      </c>
      <c r="O359" s="112" t="str">
        <f>IF(preDEL!$AG359,IFERROR(0/0,""),preDEL!O359)</f>
        <v/>
      </c>
      <c r="P359" s="110" t="b">
        <f>IF(preDEL!$AG359,IFERROR(0/0,""),preDEL!P359)</f>
        <v>0</v>
      </c>
      <c r="Q359" s="110" t="str">
        <f>IF(preDEL!$AG359,IFERROR(0/0,""),preDEL!Q359)</f>
        <v>Result</v>
      </c>
      <c r="R359" s="104" t="b">
        <f>IF(preDEL!$AG359,IFERROR(0/0,""),preDEL!R359)</f>
        <v>1</v>
      </c>
      <c r="S359" s="104">
        <f>IF(preDEL!$AG359,IFERROR(0/0,""),preDEL!S359)</f>
        <v>1</v>
      </c>
      <c r="T359" s="110">
        <f>IF(preDEL!$AG359,IFERROR(0/0,""),preDEL!T359)</f>
        <v>0</v>
      </c>
      <c r="U359" s="112" t="str">
        <f>IF(preDEL!$AG359,IFERROR(0/0,""),preDEL!U359)</f>
        <v/>
      </c>
      <c r="V359" s="105" t="str">
        <f>IF(preDEL!$AG359,IFERROR(0/0,""),preDEL!V359)</f>
        <v/>
      </c>
      <c r="W359" s="112" t="str">
        <f>IF(preDEL!$AG359,IFERROR(0/0,""),preDEL!W359)</f>
        <v/>
      </c>
      <c r="X359" s="104" t="b">
        <f>IF(preDEL!$AG359,IFERROR(0/0,""),preDEL!X359)</f>
        <v>0</v>
      </c>
      <c r="Y359" s="110" t="b">
        <f>IF(preDEL!$AG359,IFERROR(0/0,""),preDEL!Y359)</f>
        <v>0</v>
      </c>
      <c r="Z359" s="105" t="str">
        <f>IF(preDEL!$AG359,IFERROR(0/0,""),preDEL!Z359)</f>
        <v/>
      </c>
      <c r="AA359" s="110" t="b">
        <f>IF(preDEL!$AG359,IFERROR(0/0,""),preDEL!AA359)</f>
        <v>0</v>
      </c>
      <c r="AB359" s="110" t="b">
        <f>IF(preDEL!$AG359,IFERROR(0/0,""),preDEL!AB359)</f>
        <v>0</v>
      </c>
      <c r="AC359" s="172">
        <f>IF(preDEL!$AG359,IFERROR(0/0,""),preDEL!AC359)</f>
        <v>449</v>
      </c>
      <c r="AD359" s="104" t="b">
        <f>IF(preDEL!$AG359,IFERROR(0/0,""),preDEL!AD359)</f>
        <v>0</v>
      </c>
      <c r="AE359" s="173">
        <f>IF(preDEL!$AG359,IFERROR(0/0,""),preDEL!AE359)</f>
        <v>314.75</v>
      </c>
      <c r="AF359" s="110" t="b">
        <f>IF(preDEL!$AG359,IFERROR(0/0,""),preDEL!AF359)</f>
        <v>0</v>
      </c>
      <c r="AG359" s="110" t="b">
        <f>IF(preDEL!$AG359,IFERROR(0/0,""),preDEL!AG359)</f>
        <v>0</v>
      </c>
      <c r="AH359" s="104" t="str">
        <f>IF(preDEL!$AG359,IFERROR(0/0,""),preDEL!AH359)</f>
        <v/>
      </c>
      <c r="AI359" s="105" t="str">
        <f>IF(preDEL!$AG359,IFERROR(0/0,""),preDEL!AI359)</f>
        <v/>
      </c>
      <c r="AJ359" s="112" t="str">
        <f>IF(preDEL!$AG359,IFERROR(0/0,""),preDEL!AJ359)</f>
        <v/>
      </c>
      <c r="AK359" s="105" t="str">
        <f>IF(preDEL!$AG359,IFERROR(0/0,""),preDEL!AK359)</f>
        <v>Positive</v>
      </c>
      <c r="AL359" s="112" t="str">
        <f>IF(preDEL!$AG359,IFERROR(0/0,""),preDEL!AL359)</f>
        <v/>
      </c>
      <c r="AM359" s="112" t="str">
        <f>IF(preDEL!$AG359,IFERROR(0/0,""),preDEL!AM359)</f>
        <v>SpBEND845568</v>
      </c>
      <c r="AN359" s="112" t="str">
        <f>IF(preDEL!$AG359,IFERROR(0/0,""),preDEL!AN359)</f>
        <v>BEND682107</v>
      </c>
      <c r="AO359" s="112" t="str">
        <f>IF(preDEL!$AG359,IFERROR(0/0,""),preDEL!AO359)</f>
        <v/>
      </c>
      <c r="AP359" s="112" t="str">
        <f>IF(preDEL!$AG359,IFERROR(0/0,""),preDEL!AP359)</f>
        <v/>
      </c>
      <c r="AQ359" s="112" t="str">
        <f>IF(preDEL!$AG359,IFERROR(0/0,""),preDEL!AQ359)</f>
        <v/>
      </c>
      <c r="AR359" s="112" t="str">
        <f>IF(preDEL!$AG359,IFERROR(0/0,""),preDEL!AR359)</f>
        <v/>
      </c>
      <c r="AS359" s="112" t="str">
        <f>IF(preDEL!$AG359,IFERROR(0/0,""),preDEL!AS359)</f>
        <v/>
      </c>
      <c r="AT359" s="112" t="b">
        <f>IF(preDEL!$AG359,IFERROR(0/0,""),preDEL!AT359)</f>
        <v>0</v>
      </c>
      <c r="AU359" s="112" t="str">
        <f>IF(preDEL!$AG359,IFERROR(0/0,""),preDEL!AU359)</f>
        <v/>
      </c>
      <c r="AV359" s="112" t="str">
        <f>IF(preDEL!$AG359,IFERROR(0/0,""),preDEL!AV359)</f>
        <v/>
      </c>
      <c r="AW359" s="112" t="str">
        <f>IF(preDEL!$AG359,IFERROR(0/0,""),preDEL!AW359)</f>
        <v/>
      </c>
      <c r="AX359" s="112" t="str">
        <f>IF(preDEL!$AG359,IFERROR(0/0,""),preDEL!AX359)</f>
        <v/>
      </c>
      <c r="AY359" s="112" t="str">
        <f>IF(preDEL!$AG359,IFERROR(0/0,""),preDEL!AY359)</f>
        <v/>
      </c>
      <c r="AZ359" s="174"/>
      <c r="BA359" s="174"/>
      <c r="BB359" s="174"/>
      <c r="BC359" s="174"/>
      <c r="BD359" s="174"/>
      <c r="BE359" s="174"/>
      <c r="BF359" s="174"/>
      <c r="BG359" s="174"/>
      <c r="BH359" s="174"/>
      <c r="BI359" s="174"/>
      <c r="BJ359" s="174"/>
      <c r="BK359" s="174"/>
      <c r="BL359" s="174"/>
      <c r="BM359" s="174"/>
      <c r="BN359" s="174"/>
      <c r="BO359" s="174"/>
      <c r="BP359" s="174"/>
      <c r="BQ359" s="174"/>
      <c r="BR359" s="174"/>
      <c r="BS359" s="174"/>
      <c r="BT359" s="174"/>
      <c r="BU359" s="174"/>
      <c r="BV359" s="174"/>
      <c r="BW359" s="174"/>
      <c r="BX359" s="174"/>
      <c r="BY359" s="174"/>
      <c r="BZ359" s="174"/>
      <c r="CA359" s="174"/>
      <c r="CB359" s="174"/>
      <c r="CC359" s="174"/>
      <c r="CD359" s="174"/>
    </row>
    <row r="360">
      <c r="A360" s="105" t="str">
        <f>IF(preDEL!$AG360,IFERROR(0/0,""),preDEL!A360)</f>
        <v>MAX60</v>
      </c>
      <c r="B360" s="170">
        <f>IF(preDEL!$AG360,IFERROR(0/0,""),preDEL!B360)</f>
        <v>44601</v>
      </c>
      <c r="C360" s="171">
        <f>IF(preDEL!$AG360,IFERROR(0/0,""),preDEL!C360)</f>
        <v>0.3012037037</v>
      </c>
      <c r="D360" s="105" t="str">
        <f>IF(preDEL!$AG360,IFERROR(0/0,""),preDEL!D360)</f>
        <v/>
      </c>
      <c r="E360" s="105" t="str">
        <f>IF(preDEL!$AG360,IFERROR(0/0,""),preDEL!E360)</f>
        <v/>
      </c>
      <c r="F360" s="112" t="str">
        <f>IF(preDEL!$AG360,IFERROR(0/0,""),preDEL!F360)</f>
        <v/>
      </c>
      <c r="G360" s="112" t="str">
        <f>IF(preDEL!$AG360,IFERROR(0/0,""),preDEL!G360)</f>
        <v/>
      </c>
      <c r="H360" s="112" t="str">
        <f>IF(preDEL!$AG360,IFERROR(0/0,""),preDEL!H360)</f>
        <v/>
      </c>
      <c r="I360" s="105" t="str">
        <f>IF(preDEL!$AG360,IFERROR(0/0,""),preDEL!I360)</f>
        <v/>
      </c>
      <c r="J360" s="105" t="str">
        <f>IF(preDEL!$AG360,IFERROR(0/0,""),preDEL!J360)</f>
        <v/>
      </c>
      <c r="K360" s="105" t="str">
        <f>IF(preDEL!$AG360,IFERROR(0/0,""),preDEL!K360)</f>
        <v>Negative</v>
      </c>
      <c r="L360" s="170">
        <f>IF(preDEL!$AG360,IFERROR(0/0,""),preDEL!L360)</f>
        <v>44601</v>
      </c>
      <c r="M360" s="171">
        <f>IF(preDEL!$AG360,IFERROR(0/0,""),preDEL!M360)</f>
        <v>0.482037037</v>
      </c>
      <c r="N360" s="112" t="str">
        <f>IF(preDEL!$AG360,IFERROR(0/0,""),preDEL!N360)</f>
        <v/>
      </c>
      <c r="O360" s="112" t="str">
        <f>IF(preDEL!$AG360,IFERROR(0/0,""),preDEL!O360)</f>
        <v/>
      </c>
      <c r="P360" s="110" t="b">
        <f>IF(preDEL!$AG360,IFERROR(0/0,""),preDEL!P360)</f>
        <v>0</v>
      </c>
      <c r="Q360" s="110" t="str">
        <f>IF(preDEL!$AG360,IFERROR(0/0,""),preDEL!Q360)</f>
        <v>Result</v>
      </c>
      <c r="R360" s="104" t="b">
        <f>IF(preDEL!$AG360,IFERROR(0/0,""),preDEL!R360)</f>
        <v>1</v>
      </c>
      <c r="S360" s="104">
        <f>IF(preDEL!$AG360,IFERROR(0/0,""),preDEL!S360)</f>
        <v>1</v>
      </c>
      <c r="T360" s="110">
        <f>IF(preDEL!$AG360,IFERROR(0/0,""),preDEL!T360)</f>
        <v>0</v>
      </c>
      <c r="U360" s="112" t="str">
        <f>IF(preDEL!$AG360,IFERROR(0/0,""),preDEL!U360)</f>
        <v/>
      </c>
      <c r="V360" s="105" t="str">
        <f>IF(preDEL!$AG360,IFERROR(0/0,""),preDEL!V360)</f>
        <v/>
      </c>
      <c r="W360" s="112" t="str">
        <f>IF(preDEL!$AG360,IFERROR(0/0,""),preDEL!W360)</f>
        <v/>
      </c>
      <c r="X360" s="104" t="b">
        <f>IF(preDEL!$AG360,IFERROR(0/0,""),preDEL!X360)</f>
        <v>0</v>
      </c>
      <c r="Y360" s="110" t="b">
        <f>IF(preDEL!$AG360,IFERROR(0/0,""),preDEL!Y360)</f>
        <v>0</v>
      </c>
      <c r="Z360" s="105" t="str">
        <f>IF(preDEL!$AG360,IFERROR(0/0,""),preDEL!Z360)</f>
        <v/>
      </c>
      <c r="AA360" s="110" t="b">
        <f>IF(preDEL!$AG360,IFERROR(0/0,""),preDEL!AA360)</f>
        <v>0</v>
      </c>
      <c r="AB360" s="110" t="b">
        <f>IF(preDEL!$AG360,IFERROR(0/0,""),preDEL!AB360)</f>
        <v>0</v>
      </c>
      <c r="AC360" s="172">
        <f>IF(preDEL!$AG360,IFERROR(0/0,""),preDEL!AC360)</f>
        <v>448</v>
      </c>
      <c r="AD360" s="104" t="b">
        <f>IF(preDEL!$AG360,IFERROR(0/0,""),preDEL!AD360)</f>
        <v>0</v>
      </c>
      <c r="AE360" s="173">
        <f>IF(preDEL!$AG360,IFERROR(0/0,""),preDEL!AE360)</f>
        <v>260.4</v>
      </c>
      <c r="AF360" s="110" t="b">
        <f>IF(preDEL!$AG360,IFERROR(0/0,""),preDEL!AF360)</f>
        <v>0</v>
      </c>
      <c r="AG360" s="110" t="b">
        <f>IF(preDEL!$AG360,IFERROR(0/0,""),preDEL!AG360)</f>
        <v>0</v>
      </c>
      <c r="AH360" s="104" t="str">
        <f>IF(preDEL!$AG360,IFERROR(0/0,""),preDEL!AH360)</f>
        <v/>
      </c>
      <c r="AI360" s="105" t="str">
        <f>IF(preDEL!$AG360,IFERROR(0/0,""),preDEL!AI360)</f>
        <v/>
      </c>
      <c r="AJ360" s="112" t="str">
        <f>IF(preDEL!$AG360,IFERROR(0/0,""),preDEL!AJ360)</f>
        <v/>
      </c>
      <c r="AK360" s="105" t="str">
        <f>IF(preDEL!$AG360,IFERROR(0/0,""),preDEL!AK360)</f>
        <v>Negative</v>
      </c>
      <c r="AL360" s="112" t="str">
        <f>IF(preDEL!$AG360,IFERROR(0/0,""),preDEL!AL360)</f>
        <v/>
      </c>
      <c r="AM360" s="112" t="str">
        <f>IF(preDEL!$AG360,IFERROR(0/0,""),preDEL!AM360)</f>
        <v>SpBEND394154</v>
      </c>
      <c r="AN360" s="112" t="str">
        <f>IF(preDEL!$AG360,IFERROR(0/0,""),preDEL!AN360)</f>
        <v>BEND905156</v>
      </c>
      <c r="AO360" s="112" t="str">
        <f>IF(preDEL!$AG360,IFERROR(0/0,""),preDEL!AO360)</f>
        <v/>
      </c>
      <c r="AP360" s="112" t="str">
        <f>IF(preDEL!$AG360,IFERROR(0/0,""),preDEL!AP360)</f>
        <v/>
      </c>
      <c r="AQ360" s="112" t="str">
        <f>IF(preDEL!$AG360,IFERROR(0/0,""),preDEL!AQ360)</f>
        <v/>
      </c>
      <c r="AR360" s="112" t="str">
        <f>IF(preDEL!$AG360,IFERROR(0/0,""),preDEL!AR360)</f>
        <v/>
      </c>
      <c r="AS360" s="112" t="str">
        <f>IF(preDEL!$AG360,IFERROR(0/0,""),preDEL!AS360)</f>
        <v/>
      </c>
      <c r="AT360" s="112" t="b">
        <f>IF(preDEL!$AG360,IFERROR(0/0,""),preDEL!AT360)</f>
        <v>0</v>
      </c>
      <c r="AU360" s="112" t="str">
        <f>IF(preDEL!$AG360,IFERROR(0/0,""),preDEL!AU360)</f>
        <v/>
      </c>
      <c r="AV360" s="112" t="str">
        <f>IF(preDEL!$AG360,IFERROR(0/0,""),preDEL!AV360)</f>
        <v/>
      </c>
      <c r="AW360" s="112" t="str">
        <f>IF(preDEL!$AG360,IFERROR(0/0,""),preDEL!AW360)</f>
        <v/>
      </c>
      <c r="AX360" s="112" t="str">
        <f>IF(preDEL!$AG360,IFERROR(0/0,""),preDEL!AX360)</f>
        <v/>
      </c>
      <c r="AY360" s="112" t="str">
        <f>IF(preDEL!$AG360,IFERROR(0/0,""),preDEL!AY360)</f>
        <v/>
      </c>
      <c r="AZ360" s="174"/>
      <c r="BA360" s="174"/>
      <c r="BB360" s="174"/>
      <c r="BC360" s="174"/>
      <c r="BD360" s="174"/>
      <c r="BE360" s="174"/>
      <c r="BF360" s="174"/>
      <c r="BG360" s="174"/>
      <c r="BH360" s="174"/>
      <c r="BI360" s="174"/>
      <c r="BJ360" s="174"/>
      <c r="BK360" s="174"/>
      <c r="BL360" s="174"/>
      <c r="BM360" s="174"/>
      <c r="BN360" s="174"/>
      <c r="BO360" s="174"/>
      <c r="BP360" s="174"/>
      <c r="BQ360" s="174"/>
      <c r="BR360" s="174"/>
      <c r="BS360" s="174"/>
      <c r="BT360" s="174"/>
      <c r="BU360" s="174"/>
      <c r="BV360" s="174"/>
      <c r="BW360" s="174"/>
      <c r="BX360" s="174"/>
      <c r="BY360" s="174"/>
      <c r="BZ360" s="174"/>
      <c r="CA360" s="174"/>
      <c r="CB360" s="174"/>
      <c r="CC360" s="174"/>
      <c r="CD360" s="174"/>
    </row>
    <row r="361">
      <c r="A361" s="105" t="str">
        <f>IF(preDEL!$AG361,IFERROR(0/0,""),preDEL!A361)</f>
        <v>MAX132</v>
      </c>
      <c r="B361" s="170">
        <f>IF(preDEL!$AG361,IFERROR(0/0,""),preDEL!B361)</f>
        <v>44601</v>
      </c>
      <c r="C361" s="171">
        <f>IF(preDEL!$AG361,IFERROR(0/0,""),preDEL!C361)</f>
        <v>0.3015046296</v>
      </c>
      <c r="D361" s="105" t="str">
        <f>IF(preDEL!$AG361,IFERROR(0/0,""),preDEL!D361)</f>
        <v/>
      </c>
      <c r="E361" s="105" t="str">
        <f>IF(preDEL!$AG361,IFERROR(0/0,""),preDEL!E361)</f>
        <v/>
      </c>
      <c r="F361" s="112" t="str">
        <f>IF(preDEL!$AG361,IFERROR(0/0,""),preDEL!F361)</f>
        <v/>
      </c>
      <c r="G361" s="112" t="str">
        <f>IF(preDEL!$AG361,IFERROR(0/0,""),preDEL!G361)</f>
        <v/>
      </c>
      <c r="H361" s="112" t="str">
        <f>IF(preDEL!$AG361,IFERROR(0/0,""),preDEL!H361)</f>
        <v/>
      </c>
      <c r="I361" s="105" t="str">
        <f>IF(preDEL!$AG361,IFERROR(0/0,""),preDEL!I361)</f>
        <v/>
      </c>
      <c r="J361" s="105" t="str">
        <f>IF(preDEL!$AG361,IFERROR(0/0,""),preDEL!J361)</f>
        <v/>
      </c>
      <c r="K361" s="105" t="str">
        <f>IF(preDEL!$AG361,IFERROR(0/0,""),preDEL!K361)</f>
        <v>Negative</v>
      </c>
      <c r="L361" s="170">
        <f>IF(preDEL!$AG361,IFERROR(0/0,""),preDEL!L361)</f>
        <v>44601</v>
      </c>
      <c r="M361" s="171">
        <f>IF(preDEL!$AG361,IFERROR(0/0,""),preDEL!M361)</f>
        <v>0.482037037</v>
      </c>
      <c r="N361" s="112" t="str">
        <f>IF(preDEL!$AG361,IFERROR(0/0,""),preDEL!N361)</f>
        <v/>
      </c>
      <c r="O361" s="112" t="str">
        <f>IF(preDEL!$AG361,IFERROR(0/0,""),preDEL!O361)</f>
        <v/>
      </c>
      <c r="P361" s="110" t="b">
        <f>IF(preDEL!$AG361,IFERROR(0/0,""),preDEL!P361)</f>
        <v>0</v>
      </c>
      <c r="Q361" s="110" t="str">
        <f>IF(preDEL!$AG361,IFERROR(0/0,""),preDEL!Q361)</f>
        <v>Result</v>
      </c>
      <c r="R361" s="104" t="b">
        <f>IF(preDEL!$AG361,IFERROR(0/0,""),preDEL!R361)</f>
        <v>1</v>
      </c>
      <c r="S361" s="104">
        <f>IF(preDEL!$AG361,IFERROR(0/0,""),preDEL!S361)</f>
        <v>1</v>
      </c>
      <c r="T361" s="110">
        <f>IF(preDEL!$AG361,IFERROR(0/0,""),preDEL!T361)</f>
        <v>0</v>
      </c>
      <c r="U361" s="112" t="str">
        <f>IF(preDEL!$AG361,IFERROR(0/0,""),preDEL!U361)</f>
        <v/>
      </c>
      <c r="V361" s="105" t="str">
        <f>IF(preDEL!$AG361,IFERROR(0/0,""),preDEL!V361)</f>
        <v/>
      </c>
      <c r="W361" s="112" t="str">
        <f>IF(preDEL!$AG361,IFERROR(0/0,""),preDEL!W361)</f>
        <v/>
      </c>
      <c r="X361" s="104" t="b">
        <f>IF(preDEL!$AG361,IFERROR(0/0,""),preDEL!X361)</f>
        <v>0</v>
      </c>
      <c r="Y361" s="110" t="b">
        <f>IF(preDEL!$AG361,IFERROR(0/0,""),preDEL!Y361)</f>
        <v>0</v>
      </c>
      <c r="Z361" s="105" t="str">
        <f>IF(preDEL!$AG361,IFERROR(0/0,""),preDEL!Z361)</f>
        <v/>
      </c>
      <c r="AA361" s="110" t="b">
        <f>IF(preDEL!$AG361,IFERROR(0/0,""),preDEL!AA361)</f>
        <v>0</v>
      </c>
      <c r="AB361" s="110" t="b">
        <f>IF(preDEL!$AG361,IFERROR(0/0,""),preDEL!AB361)</f>
        <v>0</v>
      </c>
      <c r="AC361" s="172">
        <f>IF(preDEL!$AG361,IFERROR(0/0,""),preDEL!AC361)</f>
        <v>447</v>
      </c>
      <c r="AD361" s="104" t="b">
        <f>IF(preDEL!$AG361,IFERROR(0/0,""),preDEL!AD361)</f>
        <v>0</v>
      </c>
      <c r="AE361" s="173">
        <f>IF(preDEL!$AG361,IFERROR(0/0,""),preDEL!AE361)</f>
        <v>259.9666667</v>
      </c>
      <c r="AF361" s="110" t="b">
        <f>IF(preDEL!$AG361,IFERROR(0/0,""),preDEL!AF361)</f>
        <v>0</v>
      </c>
      <c r="AG361" s="110" t="b">
        <f>IF(preDEL!$AG361,IFERROR(0/0,""),preDEL!AG361)</f>
        <v>0</v>
      </c>
      <c r="AH361" s="104" t="str">
        <f>IF(preDEL!$AG361,IFERROR(0/0,""),preDEL!AH361)</f>
        <v/>
      </c>
      <c r="AI361" s="105" t="str">
        <f>IF(preDEL!$AG361,IFERROR(0/0,""),preDEL!AI361)</f>
        <v/>
      </c>
      <c r="AJ361" s="112" t="str">
        <f>IF(preDEL!$AG361,IFERROR(0/0,""),preDEL!AJ361)</f>
        <v/>
      </c>
      <c r="AK361" s="105" t="str">
        <f>IF(preDEL!$AG361,IFERROR(0/0,""),preDEL!AK361)</f>
        <v>Negative</v>
      </c>
      <c r="AL361" s="112" t="str">
        <f>IF(preDEL!$AG361,IFERROR(0/0,""),preDEL!AL361)</f>
        <v/>
      </c>
      <c r="AM361" s="112" t="str">
        <f>IF(preDEL!$AG361,IFERROR(0/0,""),preDEL!AM361)</f>
        <v>SpBEND394154</v>
      </c>
      <c r="AN361" s="112" t="str">
        <f>IF(preDEL!$AG361,IFERROR(0/0,""),preDEL!AN361)</f>
        <v>BEND777226</v>
      </c>
      <c r="AO361" s="112" t="str">
        <f>IF(preDEL!$AG361,IFERROR(0/0,""),preDEL!AO361)</f>
        <v/>
      </c>
      <c r="AP361" s="112" t="str">
        <f>IF(preDEL!$AG361,IFERROR(0/0,""),preDEL!AP361)</f>
        <v/>
      </c>
      <c r="AQ361" s="112" t="str">
        <f>IF(preDEL!$AG361,IFERROR(0/0,""),preDEL!AQ361)</f>
        <v/>
      </c>
      <c r="AR361" s="112" t="str">
        <f>IF(preDEL!$AG361,IFERROR(0/0,""),preDEL!AR361)</f>
        <v/>
      </c>
      <c r="AS361" s="112" t="str">
        <f>IF(preDEL!$AG361,IFERROR(0/0,""),preDEL!AS361)</f>
        <v/>
      </c>
      <c r="AT361" s="112" t="b">
        <f>IF(preDEL!$AG361,IFERROR(0/0,""),preDEL!AT361)</f>
        <v>0</v>
      </c>
      <c r="AU361" s="112" t="str">
        <f>IF(preDEL!$AG361,IFERROR(0/0,""),preDEL!AU361)</f>
        <v/>
      </c>
      <c r="AV361" s="112" t="str">
        <f>IF(preDEL!$AG361,IFERROR(0/0,""),preDEL!AV361)</f>
        <v/>
      </c>
      <c r="AW361" s="112" t="str">
        <f>IF(preDEL!$AG361,IFERROR(0/0,""),preDEL!AW361)</f>
        <v/>
      </c>
      <c r="AX361" s="112" t="str">
        <f>IF(preDEL!$AG361,IFERROR(0/0,""),preDEL!AX361)</f>
        <v/>
      </c>
      <c r="AY361" s="112" t="str">
        <f>IF(preDEL!$AG361,IFERROR(0/0,""),preDEL!AY361)</f>
        <v/>
      </c>
      <c r="AZ361" s="174"/>
      <c r="BA361" s="174"/>
      <c r="BB361" s="174"/>
      <c r="BC361" s="174"/>
      <c r="BD361" s="174"/>
      <c r="BE361" s="174"/>
      <c r="BF361" s="174"/>
      <c r="BG361" s="174"/>
      <c r="BH361" s="174"/>
      <c r="BI361" s="174"/>
      <c r="BJ361" s="174"/>
      <c r="BK361" s="174"/>
      <c r="BL361" s="174"/>
      <c r="BM361" s="174"/>
      <c r="BN361" s="174"/>
      <c r="BO361" s="174"/>
      <c r="BP361" s="174"/>
      <c r="BQ361" s="174"/>
      <c r="BR361" s="174"/>
      <c r="BS361" s="174"/>
      <c r="BT361" s="174"/>
      <c r="BU361" s="174"/>
      <c r="BV361" s="174"/>
      <c r="BW361" s="174"/>
      <c r="BX361" s="174"/>
      <c r="BY361" s="174"/>
      <c r="BZ361" s="174"/>
      <c r="CA361" s="174"/>
      <c r="CB361" s="174"/>
      <c r="CC361" s="174"/>
      <c r="CD361" s="174"/>
    </row>
    <row r="362">
      <c r="A362" s="105" t="str">
        <f>IF(preDEL!$AG362,IFERROR(0/0,""),preDEL!A362)</f>
        <v>FM87</v>
      </c>
      <c r="B362" s="170">
        <f>IF(preDEL!$AG362,IFERROR(0/0,""),preDEL!B362)</f>
        <v>44601</v>
      </c>
      <c r="C362" s="171">
        <f>IF(preDEL!$AG362,IFERROR(0/0,""),preDEL!C362)</f>
        <v>0.3118171296</v>
      </c>
      <c r="D362" s="105" t="str">
        <f>IF(preDEL!$AG362,IFERROR(0/0,""),preDEL!D362)</f>
        <v/>
      </c>
      <c r="E362" s="105" t="str">
        <f>IF(preDEL!$AG362,IFERROR(0/0,""),preDEL!E362)</f>
        <v/>
      </c>
      <c r="F362" s="112" t="str">
        <f>IF(preDEL!$AG362,IFERROR(0/0,""),preDEL!F362)</f>
        <v/>
      </c>
      <c r="G362" s="112" t="str">
        <f>IF(preDEL!$AG362,IFERROR(0/0,""),preDEL!G362)</f>
        <v/>
      </c>
      <c r="H362" s="112" t="str">
        <f>IF(preDEL!$AG362,IFERROR(0/0,""),preDEL!H362)</f>
        <v/>
      </c>
      <c r="I362" s="105" t="str">
        <f>IF(preDEL!$AG362,IFERROR(0/0,""),preDEL!I362)</f>
        <v/>
      </c>
      <c r="J362" s="105" t="str">
        <f>IF(preDEL!$AG362,IFERROR(0/0,""),preDEL!J362)</f>
        <v/>
      </c>
      <c r="K362" s="105" t="str">
        <f>IF(preDEL!$AG362,IFERROR(0/0,""),preDEL!K362)</f>
        <v>Negative</v>
      </c>
      <c r="L362" s="170">
        <f>IF(preDEL!$AG362,IFERROR(0/0,""),preDEL!L362)</f>
        <v>44601</v>
      </c>
      <c r="M362" s="171">
        <f>IF(preDEL!$AG362,IFERROR(0/0,""),preDEL!M362)</f>
        <v>0.482037037</v>
      </c>
      <c r="N362" s="112" t="str">
        <f>IF(preDEL!$AG362,IFERROR(0/0,""),preDEL!N362)</f>
        <v/>
      </c>
      <c r="O362" s="112" t="str">
        <f>IF(preDEL!$AG362,IFERROR(0/0,""),preDEL!O362)</f>
        <v/>
      </c>
      <c r="P362" s="110" t="b">
        <f>IF(preDEL!$AG362,IFERROR(0/0,""),preDEL!P362)</f>
        <v>0</v>
      </c>
      <c r="Q362" s="110" t="str">
        <f>IF(preDEL!$AG362,IFERROR(0/0,""),preDEL!Q362)</f>
        <v>Result</v>
      </c>
      <c r="R362" s="104" t="b">
        <f>IF(preDEL!$AG362,IFERROR(0/0,""),preDEL!R362)</f>
        <v>1</v>
      </c>
      <c r="S362" s="104">
        <f>IF(preDEL!$AG362,IFERROR(0/0,""),preDEL!S362)</f>
        <v>1</v>
      </c>
      <c r="T362" s="110" t="str">
        <f>IF(preDEL!$AG362,IFERROR(0/0,""),preDEL!T362)</f>
        <v/>
      </c>
      <c r="U362" s="112" t="str">
        <f>IF(preDEL!$AG362,IFERROR(0/0,""),preDEL!U362)</f>
        <v/>
      </c>
      <c r="V362" s="105" t="str">
        <f>IF(preDEL!$AG362,IFERROR(0/0,""),preDEL!V362)</f>
        <v/>
      </c>
      <c r="W362" s="112" t="str">
        <f>IF(preDEL!$AG362,IFERROR(0/0,""),preDEL!W362)</f>
        <v/>
      </c>
      <c r="X362" s="104" t="b">
        <f>IF(preDEL!$AG362,IFERROR(0/0,""),preDEL!X362)</f>
        <v>0</v>
      </c>
      <c r="Y362" s="110" t="b">
        <f>IF(preDEL!$AG362,IFERROR(0/0,""),preDEL!Y362)</f>
        <v>0</v>
      </c>
      <c r="Z362" s="105" t="str">
        <f>IF(preDEL!$AG362,IFERROR(0/0,""),preDEL!Z362)</f>
        <v/>
      </c>
      <c r="AA362" s="110" t="b">
        <f>IF(preDEL!$AG362,IFERROR(0/0,""),preDEL!AA362)</f>
        <v>0</v>
      </c>
      <c r="AB362" s="110" t="b">
        <f>IF(preDEL!$AG362,IFERROR(0/0,""),preDEL!AB362)</f>
        <v>0</v>
      </c>
      <c r="AC362" s="172">
        <f>IF(preDEL!$AG362,IFERROR(0/0,""),preDEL!AC362)</f>
        <v>446</v>
      </c>
      <c r="AD362" s="104" t="b">
        <f>IF(preDEL!$AG362,IFERROR(0/0,""),preDEL!AD362)</f>
        <v>0</v>
      </c>
      <c r="AE362" s="173">
        <f>IF(preDEL!$AG362,IFERROR(0/0,""),preDEL!AE362)</f>
        <v>245.1166667</v>
      </c>
      <c r="AF362" s="110" t="b">
        <f>IF(preDEL!$AG362,IFERROR(0/0,""),preDEL!AF362)</f>
        <v>0</v>
      </c>
      <c r="AG362" s="110" t="b">
        <f>IF(preDEL!$AG362,IFERROR(0/0,""),preDEL!AG362)</f>
        <v>0</v>
      </c>
      <c r="AH362" s="104" t="str">
        <f>IF(preDEL!$AG362,IFERROR(0/0,""),preDEL!AH362)</f>
        <v/>
      </c>
      <c r="AI362" s="105" t="str">
        <f>IF(preDEL!$AG362,IFERROR(0/0,""),preDEL!AI362)</f>
        <v/>
      </c>
      <c r="AJ362" s="112" t="str">
        <f>IF(preDEL!$AG362,IFERROR(0/0,""),preDEL!AJ362)</f>
        <v/>
      </c>
      <c r="AK362" s="105" t="str">
        <f>IF(preDEL!$AG362,IFERROR(0/0,""),preDEL!AK362)</f>
        <v>Negative</v>
      </c>
      <c r="AL362" s="112" t="str">
        <f>IF(preDEL!$AG362,IFERROR(0/0,""),preDEL!AL362)</f>
        <v/>
      </c>
      <c r="AM362" s="112" t="str">
        <f>IF(preDEL!$AG362,IFERROR(0/0,""),preDEL!AM362)</f>
        <v>SpBEND139600</v>
      </c>
      <c r="AN362" s="112" t="str">
        <f>IF(preDEL!$AG362,IFERROR(0/0,""),preDEL!AN362)</f>
        <v>BEND133778</v>
      </c>
      <c r="AO362" s="112" t="str">
        <f>IF(preDEL!$AG362,IFERROR(0/0,""),preDEL!AO362)</f>
        <v/>
      </c>
      <c r="AP362" s="112" t="str">
        <f>IF(preDEL!$AG362,IFERROR(0/0,""),preDEL!AP362)</f>
        <v/>
      </c>
      <c r="AQ362" s="112" t="str">
        <f>IF(preDEL!$AG362,IFERROR(0/0,""),preDEL!AQ362)</f>
        <v/>
      </c>
      <c r="AR362" s="112" t="str">
        <f>IF(preDEL!$AG362,IFERROR(0/0,""),preDEL!AR362)</f>
        <v/>
      </c>
      <c r="AS362" s="112" t="str">
        <f>IF(preDEL!$AG362,IFERROR(0/0,""),preDEL!AS362)</f>
        <v/>
      </c>
      <c r="AT362" s="112" t="b">
        <f>IF(preDEL!$AG362,IFERROR(0/0,""),preDEL!AT362)</f>
        <v>0</v>
      </c>
      <c r="AU362" s="112" t="str">
        <f>IF(preDEL!$AG362,IFERROR(0/0,""),preDEL!AU362)</f>
        <v/>
      </c>
      <c r="AV362" s="112" t="str">
        <f>IF(preDEL!$AG362,IFERROR(0/0,""),preDEL!AV362)</f>
        <v/>
      </c>
      <c r="AW362" s="112" t="str">
        <f>IF(preDEL!$AG362,IFERROR(0/0,""),preDEL!AW362)</f>
        <v/>
      </c>
      <c r="AX362" s="112" t="str">
        <f>IF(preDEL!$AG362,IFERROR(0/0,""),preDEL!AX362)</f>
        <v/>
      </c>
      <c r="AY362" s="112" t="str">
        <f>IF(preDEL!$AG362,IFERROR(0/0,""),preDEL!AY362)</f>
        <v/>
      </c>
      <c r="AZ362" s="174"/>
      <c r="BA362" s="174"/>
      <c r="BB362" s="174"/>
      <c r="BC362" s="174"/>
      <c r="BD362" s="174"/>
      <c r="BE362" s="174"/>
      <c r="BF362" s="174"/>
      <c r="BG362" s="174"/>
      <c r="BH362" s="174"/>
      <c r="BI362" s="174"/>
      <c r="BJ362" s="174"/>
      <c r="BK362" s="174"/>
      <c r="BL362" s="174"/>
      <c r="BM362" s="174"/>
      <c r="BN362" s="174"/>
      <c r="BO362" s="174"/>
      <c r="BP362" s="174"/>
      <c r="BQ362" s="174"/>
      <c r="BR362" s="174"/>
      <c r="BS362" s="174"/>
      <c r="BT362" s="174"/>
      <c r="BU362" s="174"/>
      <c r="BV362" s="174"/>
      <c r="BW362" s="174"/>
      <c r="BX362" s="174"/>
      <c r="BY362" s="174"/>
      <c r="BZ362" s="174"/>
      <c r="CA362" s="174"/>
      <c r="CB362" s="174"/>
      <c r="CC362" s="174"/>
      <c r="CD362" s="174"/>
    </row>
    <row r="363">
      <c r="A363" s="105" t="str">
        <f>IF(preDEL!$AG363,IFERROR(0/0,""),preDEL!A363)</f>
        <v>MA252</v>
      </c>
      <c r="B363" s="170">
        <f>IF(preDEL!$AG363,IFERROR(0/0,""),preDEL!B363)</f>
        <v>44601</v>
      </c>
      <c r="C363" s="171">
        <f>IF(preDEL!$AG363,IFERROR(0/0,""),preDEL!C363)</f>
        <v>0.3174074074</v>
      </c>
      <c r="D363" s="105" t="str">
        <f>IF(preDEL!$AG363,IFERROR(0/0,""),preDEL!D363)</f>
        <v/>
      </c>
      <c r="E363" s="105" t="str">
        <f>IF(preDEL!$AG363,IFERROR(0/0,""),preDEL!E363)</f>
        <v/>
      </c>
      <c r="F363" s="112" t="str">
        <f>IF(preDEL!$AG363,IFERROR(0/0,""),preDEL!F363)</f>
        <v/>
      </c>
      <c r="G363" s="112" t="str">
        <f>IF(preDEL!$AG363,IFERROR(0/0,""),preDEL!G363)</f>
        <v/>
      </c>
      <c r="H363" s="112" t="str">
        <f>IF(preDEL!$AG363,IFERROR(0/0,""),preDEL!H363)</f>
        <v/>
      </c>
      <c r="I363" s="105" t="str">
        <f>IF(preDEL!$AG363,IFERROR(0/0,""),preDEL!I363)</f>
        <v/>
      </c>
      <c r="J363" s="105" t="str">
        <f>IF(preDEL!$AG363,IFERROR(0/0,""),preDEL!J363)</f>
        <v/>
      </c>
      <c r="K363" s="105" t="str">
        <f>IF(preDEL!$AG363,IFERROR(0/0,""),preDEL!K363)</f>
        <v>Negative</v>
      </c>
      <c r="L363" s="170">
        <f>IF(preDEL!$AG363,IFERROR(0/0,""),preDEL!L363)</f>
        <v>44601</v>
      </c>
      <c r="M363" s="171">
        <f>IF(preDEL!$AG363,IFERROR(0/0,""),preDEL!M363)</f>
        <v>0.482037037</v>
      </c>
      <c r="N363" s="112" t="str">
        <f>IF(preDEL!$AG363,IFERROR(0/0,""),preDEL!N363)</f>
        <v/>
      </c>
      <c r="O363" s="112" t="str">
        <f>IF(preDEL!$AG363,IFERROR(0/0,""),preDEL!O363)</f>
        <v/>
      </c>
      <c r="P363" s="110" t="b">
        <f>IF(preDEL!$AG363,IFERROR(0/0,""),preDEL!P363)</f>
        <v>0</v>
      </c>
      <c r="Q363" s="110" t="str">
        <f>IF(preDEL!$AG363,IFERROR(0/0,""),preDEL!Q363)</f>
        <v>Result</v>
      </c>
      <c r="R363" s="104" t="b">
        <f>IF(preDEL!$AG363,IFERROR(0/0,""),preDEL!R363)</f>
        <v>1</v>
      </c>
      <c r="S363" s="104">
        <f>IF(preDEL!$AG363,IFERROR(0/0,""),preDEL!S363)</f>
        <v>1</v>
      </c>
      <c r="T363" s="110" t="str">
        <f>IF(preDEL!$AG363,IFERROR(0/0,""),preDEL!T363)</f>
        <v/>
      </c>
      <c r="U363" s="112" t="str">
        <f>IF(preDEL!$AG363,IFERROR(0/0,""),preDEL!U363)</f>
        <v/>
      </c>
      <c r="V363" s="105" t="str">
        <f>IF(preDEL!$AG363,IFERROR(0/0,""),preDEL!V363)</f>
        <v/>
      </c>
      <c r="W363" s="112" t="str">
        <f>IF(preDEL!$AG363,IFERROR(0/0,""),preDEL!W363)</f>
        <v/>
      </c>
      <c r="X363" s="104" t="b">
        <f>IF(preDEL!$AG363,IFERROR(0/0,""),preDEL!X363)</f>
        <v>0</v>
      </c>
      <c r="Y363" s="110" t="b">
        <f>IF(preDEL!$AG363,IFERROR(0/0,""),preDEL!Y363)</f>
        <v>0</v>
      </c>
      <c r="Z363" s="105" t="str">
        <f>IF(preDEL!$AG363,IFERROR(0/0,""),preDEL!Z363)</f>
        <v/>
      </c>
      <c r="AA363" s="110" t="b">
        <f>IF(preDEL!$AG363,IFERROR(0/0,""),preDEL!AA363)</f>
        <v>0</v>
      </c>
      <c r="AB363" s="110" t="b">
        <f>IF(preDEL!$AG363,IFERROR(0/0,""),preDEL!AB363)</f>
        <v>0</v>
      </c>
      <c r="AC363" s="172">
        <f>IF(preDEL!$AG363,IFERROR(0/0,""),preDEL!AC363)</f>
        <v>445</v>
      </c>
      <c r="AD363" s="104" t="b">
        <f>IF(preDEL!$AG363,IFERROR(0/0,""),preDEL!AD363)</f>
        <v>0</v>
      </c>
      <c r="AE363" s="173">
        <f>IF(preDEL!$AG363,IFERROR(0/0,""),preDEL!AE363)</f>
        <v>237.0666667</v>
      </c>
      <c r="AF363" s="110" t="b">
        <f>IF(preDEL!$AG363,IFERROR(0/0,""),preDEL!AF363)</f>
        <v>0</v>
      </c>
      <c r="AG363" s="110" t="b">
        <f>IF(preDEL!$AG363,IFERROR(0/0,""),preDEL!AG363)</f>
        <v>0</v>
      </c>
      <c r="AH363" s="104" t="str">
        <f>IF(preDEL!$AG363,IFERROR(0/0,""),preDEL!AH363)</f>
        <v/>
      </c>
      <c r="AI363" s="105" t="str">
        <f>IF(preDEL!$AG363,IFERROR(0/0,""),preDEL!AI363)</f>
        <v/>
      </c>
      <c r="AJ363" s="112" t="str">
        <f>IF(preDEL!$AG363,IFERROR(0/0,""),preDEL!AJ363)</f>
        <v/>
      </c>
      <c r="AK363" s="105" t="str">
        <f>IF(preDEL!$AG363,IFERROR(0/0,""),preDEL!AK363)</f>
        <v>Negative</v>
      </c>
      <c r="AL363" s="112" t="str">
        <f>IF(preDEL!$AG363,IFERROR(0/0,""),preDEL!AL363)</f>
        <v/>
      </c>
      <c r="AM363" s="112" t="str">
        <f>IF(preDEL!$AG363,IFERROR(0/0,""),preDEL!AM363)</f>
        <v>SpBEND617677</v>
      </c>
      <c r="AN363" s="112" t="str">
        <f>IF(preDEL!$AG363,IFERROR(0/0,""),preDEL!AN363)</f>
        <v>BEND202183</v>
      </c>
      <c r="AO363" s="112" t="str">
        <f>IF(preDEL!$AG363,IFERROR(0/0,""),preDEL!AO363)</f>
        <v/>
      </c>
      <c r="AP363" s="112" t="str">
        <f>IF(preDEL!$AG363,IFERROR(0/0,""),preDEL!AP363)</f>
        <v/>
      </c>
      <c r="AQ363" s="112" t="str">
        <f>IF(preDEL!$AG363,IFERROR(0/0,""),preDEL!AQ363)</f>
        <v/>
      </c>
      <c r="AR363" s="112" t="str">
        <f>IF(preDEL!$AG363,IFERROR(0/0,""),preDEL!AR363)</f>
        <v/>
      </c>
      <c r="AS363" s="112" t="str">
        <f>IF(preDEL!$AG363,IFERROR(0/0,""),preDEL!AS363)</f>
        <v/>
      </c>
      <c r="AT363" s="112" t="b">
        <f>IF(preDEL!$AG363,IFERROR(0/0,""),preDEL!AT363)</f>
        <v>0</v>
      </c>
      <c r="AU363" s="112" t="str">
        <f>IF(preDEL!$AG363,IFERROR(0/0,""),preDEL!AU363)</f>
        <v/>
      </c>
      <c r="AV363" s="112" t="str">
        <f>IF(preDEL!$AG363,IFERROR(0/0,""),preDEL!AV363)</f>
        <v/>
      </c>
      <c r="AW363" s="112" t="str">
        <f>IF(preDEL!$AG363,IFERROR(0/0,""),preDEL!AW363)</f>
        <v/>
      </c>
      <c r="AX363" s="112" t="str">
        <f>IF(preDEL!$AG363,IFERROR(0/0,""),preDEL!AX363)</f>
        <v/>
      </c>
      <c r="AY363" s="112" t="str">
        <f>IF(preDEL!$AG363,IFERROR(0/0,""),preDEL!AY363)</f>
        <v/>
      </c>
      <c r="AZ363" s="174"/>
      <c r="BA363" s="174"/>
      <c r="BB363" s="174"/>
      <c r="BC363" s="174"/>
      <c r="BD363" s="174"/>
      <c r="BE363" s="174"/>
      <c r="BF363" s="174"/>
      <c r="BG363" s="174"/>
      <c r="BH363" s="174"/>
      <c r="BI363" s="174"/>
      <c r="BJ363" s="174"/>
      <c r="BK363" s="174"/>
      <c r="BL363" s="174"/>
      <c r="BM363" s="174"/>
      <c r="BN363" s="174"/>
      <c r="BO363" s="174"/>
      <c r="BP363" s="174"/>
      <c r="BQ363" s="174"/>
      <c r="BR363" s="174"/>
      <c r="BS363" s="174"/>
      <c r="BT363" s="174"/>
      <c r="BU363" s="174"/>
      <c r="BV363" s="174"/>
      <c r="BW363" s="174"/>
      <c r="BX363" s="174"/>
      <c r="BY363" s="174"/>
      <c r="BZ363" s="174"/>
      <c r="CA363" s="174"/>
      <c r="CB363" s="174"/>
      <c r="CC363" s="174"/>
      <c r="CD363" s="174"/>
    </row>
    <row r="364">
      <c r="A364" s="105" t="str">
        <f>IF(preDEL!$AG364,IFERROR(0/0,""),preDEL!A364)</f>
        <v>MAX124</v>
      </c>
      <c r="B364" s="170">
        <f>IF(preDEL!$AG364,IFERROR(0/0,""),preDEL!B364)</f>
        <v>44601</v>
      </c>
      <c r="C364" s="171">
        <f>IF(preDEL!$AG364,IFERROR(0/0,""),preDEL!C364)</f>
        <v>0.3438310185</v>
      </c>
      <c r="D364" s="105" t="str">
        <f>IF(preDEL!$AG364,IFERROR(0/0,""),preDEL!D364)</f>
        <v/>
      </c>
      <c r="E364" s="105" t="str">
        <f>IF(preDEL!$AG364,IFERROR(0/0,""),preDEL!E364)</f>
        <v/>
      </c>
      <c r="F364" s="112" t="str">
        <f>IF(preDEL!$AG364,IFERROR(0/0,""),preDEL!F364)</f>
        <v/>
      </c>
      <c r="G364" s="112" t="str">
        <f>IF(preDEL!$AG364,IFERROR(0/0,""),preDEL!G364)</f>
        <v/>
      </c>
      <c r="H364" s="112" t="str">
        <f>IF(preDEL!$AG364,IFERROR(0/0,""),preDEL!H364)</f>
        <v/>
      </c>
      <c r="I364" s="105" t="str">
        <f>IF(preDEL!$AG364,IFERROR(0/0,""),preDEL!I364)</f>
        <v/>
      </c>
      <c r="J364" s="105" t="str">
        <f>IF(preDEL!$AG364,IFERROR(0/0,""),preDEL!J364)</f>
        <v/>
      </c>
      <c r="K364" s="105" t="str">
        <f>IF(preDEL!$AG364,IFERROR(0/0,""),preDEL!K364)</f>
        <v>Negative</v>
      </c>
      <c r="L364" s="170">
        <f>IF(preDEL!$AG364,IFERROR(0/0,""),preDEL!L364)</f>
        <v>44601</v>
      </c>
      <c r="M364" s="171">
        <f>IF(preDEL!$AG364,IFERROR(0/0,""),preDEL!M364)</f>
        <v>0.482037037</v>
      </c>
      <c r="N364" s="112" t="str">
        <f>IF(preDEL!$AG364,IFERROR(0/0,""),preDEL!N364)</f>
        <v/>
      </c>
      <c r="O364" s="112" t="str">
        <f>IF(preDEL!$AG364,IFERROR(0/0,""),preDEL!O364)</f>
        <v/>
      </c>
      <c r="P364" s="110" t="b">
        <f>IF(preDEL!$AG364,IFERROR(0/0,""),preDEL!P364)</f>
        <v>0</v>
      </c>
      <c r="Q364" s="110" t="str">
        <f>IF(preDEL!$AG364,IFERROR(0/0,""),preDEL!Q364)</f>
        <v>Result</v>
      </c>
      <c r="R364" s="104" t="b">
        <f>IF(preDEL!$AG364,IFERROR(0/0,""),preDEL!R364)</f>
        <v>1</v>
      </c>
      <c r="S364" s="104">
        <f>IF(preDEL!$AG364,IFERROR(0/0,""),preDEL!S364)</f>
        <v>1</v>
      </c>
      <c r="T364" s="110" t="str">
        <f>IF(preDEL!$AG364,IFERROR(0/0,""),preDEL!T364)</f>
        <v/>
      </c>
      <c r="U364" s="112" t="str">
        <f>IF(preDEL!$AG364,IFERROR(0/0,""),preDEL!U364)</f>
        <v/>
      </c>
      <c r="V364" s="105" t="str">
        <f>IF(preDEL!$AG364,IFERROR(0/0,""),preDEL!V364)</f>
        <v/>
      </c>
      <c r="W364" s="112" t="str">
        <f>IF(preDEL!$AG364,IFERROR(0/0,""),preDEL!W364)</f>
        <v/>
      </c>
      <c r="X364" s="104" t="b">
        <f>IF(preDEL!$AG364,IFERROR(0/0,""),preDEL!X364)</f>
        <v>0</v>
      </c>
      <c r="Y364" s="110" t="b">
        <f>IF(preDEL!$AG364,IFERROR(0/0,""),preDEL!Y364)</f>
        <v>0</v>
      </c>
      <c r="Z364" s="105" t="str">
        <f>IF(preDEL!$AG364,IFERROR(0/0,""),preDEL!Z364)</f>
        <v/>
      </c>
      <c r="AA364" s="110" t="b">
        <f>IF(preDEL!$AG364,IFERROR(0/0,""),preDEL!AA364)</f>
        <v>0</v>
      </c>
      <c r="AB364" s="110" t="b">
        <f>IF(preDEL!$AG364,IFERROR(0/0,""),preDEL!AB364)</f>
        <v>0</v>
      </c>
      <c r="AC364" s="172">
        <f>IF(preDEL!$AG364,IFERROR(0/0,""),preDEL!AC364)</f>
        <v>444</v>
      </c>
      <c r="AD364" s="104" t="b">
        <f>IF(preDEL!$AG364,IFERROR(0/0,""),preDEL!AD364)</f>
        <v>0</v>
      </c>
      <c r="AE364" s="173">
        <f>IF(preDEL!$AG364,IFERROR(0/0,""),preDEL!AE364)</f>
        <v>199.0166667</v>
      </c>
      <c r="AF364" s="110" t="b">
        <f>IF(preDEL!$AG364,IFERROR(0/0,""),preDEL!AF364)</f>
        <v>0</v>
      </c>
      <c r="AG364" s="110" t="b">
        <f>IF(preDEL!$AG364,IFERROR(0/0,""),preDEL!AG364)</f>
        <v>0</v>
      </c>
      <c r="AH364" s="104" t="str">
        <f>IF(preDEL!$AG364,IFERROR(0/0,""),preDEL!AH364)</f>
        <v/>
      </c>
      <c r="AI364" s="105" t="str">
        <f>IF(preDEL!$AG364,IFERROR(0/0,""),preDEL!AI364)</f>
        <v/>
      </c>
      <c r="AJ364" s="112" t="str">
        <f>IF(preDEL!$AG364,IFERROR(0/0,""),preDEL!AJ364)</f>
        <v/>
      </c>
      <c r="AK364" s="105" t="str">
        <f>IF(preDEL!$AG364,IFERROR(0/0,""),preDEL!AK364)</f>
        <v>Negative</v>
      </c>
      <c r="AL364" s="112" t="str">
        <f>IF(preDEL!$AG364,IFERROR(0/0,""),preDEL!AL364)</f>
        <v/>
      </c>
      <c r="AM364" s="112" t="str">
        <f>IF(preDEL!$AG364,IFERROR(0/0,""),preDEL!AM364)</f>
        <v>SpBEND394154</v>
      </c>
      <c r="AN364" s="112" t="str">
        <f>IF(preDEL!$AG364,IFERROR(0/0,""),preDEL!AN364)</f>
        <v>BEND273237</v>
      </c>
      <c r="AO364" s="112" t="str">
        <f>IF(preDEL!$AG364,IFERROR(0/0,""),preDEL!AO364)</f>
        <v/>
      </c>
      <c r="AP364" s="112" t="str">
        <f>IF(preDEL!$AG364,IFERROR(0/0,""),preDEL!AP364)</f>
        <v/>
      </c>
      <c r="AQ364" s="112" t="str">
        <f>IF(preDEL!$AG364,IFERROR(0/0,""),preDEL!AQ364)</f>
        <v/>
      </c>
      <c r="AR364" s="112" t="str">
        <f>IF(preDEL!$AG364,IFERROR(0/0,""),preDEL!AR364)</f>
        <v/>
      </c>
      <c r="AS364" s="112" t="str">
        <f>IF(preDEL!$AG364,IFERROR(0/0,""),preDEL!AS364)</f>
        <v/>
      </c>
      <c r="AT364" s="112" t="b">
        <f>IF(preDEL!$AG364,IFERROR(0/0,""),preDEL!AT364)</f>
        <v>0</v>
      </c>
      <c r="AU364" s="112" t="str">
        <f>IF(preDEL!$AG364,IFERROR(0/0,""),preDEL!AU364)</f>
        <v/>
      </c>
      <c r="AV364" s="112" t="str">
        <f>IF(preDEL!$AG364,IFERROR(0/0,""),preDEL!AV364)</f>
        <v/>
      </c>
      <c r="AW364" s="112" t="str">
        <f>IF(preDEL!$AG364,IFERROR(0/0,""),preDEL!AW364)</f>
        <v/>
      </c>
      <c r="AX364" s="112" t="str">
        <f>IF(preDEL!$AG364,IFERROR(0/0,""),preDEL!AX364)</f>
        <v/>
      </c>
      <c r="AY364" s="112" t="str">
        <f>IF(preDEL!$AG364,IFERROR(0/0,""),preDEL!AY364)</f>
        <v/>
      </c>
      <c r="AZ364" s="174"/>
      <c r="BA364" s="174"/>
      <c r="BB364" s="174"/>
      <c r="BC364" s="174"/>
      <c r="BD364" s="174"/>
      <c r="BE364" s="174"/>
      <c r="BF364" s="174"/>
      <c r="BG364" s="174"/>
      <c r="BH364" s="174"/>
      <c r="BI364" s="174"/>
      <c r="BJ364" s="174"/>
      <c r="BK364" s="174"/>
      <c r="BL364" s="174"/>
      <c r="BM364" s="174"/>
      <c r="BN364" s="174"/>
      <c r="BO364" s="174"/>
      <c r="BP364" s="174"/>
      <c r="BQ364" s="174"/>
      <c r="BR364" s="174"/>
      <c r="BS364" s="174"/>
      <c r="BT364" s="174"/>
      <c r="BU364" s="174"/>
      <c r="BV364" s="174"/>
      <c r="BW364" s="174"/>
      <c r="BX364" s="174"/>
      <c r="BY364" s="174"/>
      <c r="BZ364" s="174"/>
      <c r="CA364" s="174"/>
      <c r="CB364" s="174"/>
      <c r="CC364" s="174"/>
      <c r="CD364" s="174"/>
    </row>
    <row r="365">
      <c r="A365" s="105" t="str">
        <f>IF(preDEL!$AG365,IFERROR(0/0,""),preDEL!A365)</f>
        <v>MAX12</v>
      </c>
      <c r="B365" s="170">
        <f>IF(preDEL!$AG365,IFERROR(0/0,""),preDEL!B365)</f>
        <v>44601</v>
      </c>
      <c r="C365" s="171">
        <f>IF(preDEL!$AG365,IFERROR(0/0,""),preDEL!C365)</f>
        <v>0.3444212963</v>
      </c>
      <c r="D365" s="105" t="str">
        <f>IF(preDEL!$AG365,IFERROR(0/0,""),preDEL!D365)</f>
        <v/>
      </c>
      <c r="E365" s="105" t="str">
        <f>IF(preDEL!$AG365,IFERROR(0/0,""),preDEL!E365)</f>
        <v/>
      </c>
      <c r="F365" s="112" t="str">
        <f>IF(preDEL!$AG365,IFERROR(0/0,""),preDEL!F365)</f>
        <v/>
      </c>
      <c r="G365" s="112" t="str">
        <f>IF(preDEL!$AG365,IFERROR(0/0,""),preDEL!G365)</f>
        <v/>
      </c>
      <c r="H365" s="112" t="str">
        <f>IF(preDEL!$AG365,IFERROR(0/0,""),preDEL!H365)</f>
        <v/>
      </c>
      <c r="I365" s="105" t="str">
        <f>IF(preDEL!$AG365,IFERROR(0/0,""),preDEL!I365)</f>
        <v/>
      </c>
      <c r="J365" s="105" t="str">
        <f>IF(preDEL!$AG365,IFERROR(0/0,""),preDEL!J365)</f>
        <v/>
      </c>
      <c r="K365" s="105" t="str">
        <f>IF(preDEL!$AG365,IFERROR(0/0,""),preDEL!K365)</f>
        <v>Negative</v>
      </c>
      <c r="L365" s="170">
        <f>IF(preDEL!$AG365,IFERROR(0/0,""),preDEL!L365)</f>
        <v>44601</v>
      </c>
      <c r="M365" s="171">
        <f>IF(preDEL!$AG365,IFERROR(0/0,""),preDEL!M365)</f>
        <v>0.482037037</v>
      </c>
      <c r="N365" s="112" t="str">
        <f>IF(preDEL!$AG365,IFERROR(0/0,""),preDEL!N365)</f>
        <v/>
      </c>
      <c r="O365" s="112" t="str">
        <f>IF(preDEL!$AG365,IFERROR(0/0,""),preDEL!O365)</f>
        <v/>
      </c>
      <c r="P365" s="110" t="b">
        <f>IF(preDEL!$AG365,IFERROR(0/0,""),preDEL!P365)</f>
        <v>0</v>
      </c>
      <c r="Q365" s="110" t="str">
        <f>IF(preDEL!$AG365,IFERROR(0/0,""),preDEL!Q365)</f>
        <v>Result</v>
      </c>
      <c r="R365" s="104" t="b">
        <f>IF(preDEL!$AG365,IFERROR(0/0,""),preDEL!R365)</f>
        <v>1</v>
      </c>
      <c r="S365" s="104">
        <f>IF(preDEL!$AG365,IFERROR(0/0,""),preDEL!S365)</f>
        <v>1</v>
      </c>
      <c r="T365" s="110" t="str">
        <f>IF(preDEL!$AG365,IFERROR(0/0,""),preDEL!T365)</f>
        <v/>
      </c>
      <c r="U365" s="112" t="str">
        <f>IF(preDEL!$AG365,IFERROR(0/0,""),preDEL!U365)</f>
        <v/>
      </c>
      <c r="V365" s="105" t="str">
        <f>IF(preDEL!$AG365,IFERROR(0/0,""),preDEL!V365)</f>
        <v/>
      </c>
      <c r="W365" s="112" t="str">
        <f>IF(preDEL!$AG365,IFERROR(0/0,""),preDEL!W365)</f>
        <v/>
      </c>
      <c r="X365" s="104" t="b">
        <f>IF(preDEL!$AG365,IFERROR(0/0,""),preDEL!X365)</f>
        <v>0</v>
      </c>
      <c r="Y365" s="110" t="b">
        <f>IF(preDEL!$AG365,IFERROR(0/0,""),preDEL!Y365)</f>
        <v>0</v>
      </c>
      <c r="Z365" s="105" t="str">
        <f>IF(preDEL!$AG365,IFERROR(0/0,""),preDEL!Z365)</f>
        <v/>
      </c>
      <c r="AA365" s="110" t="b">
        <f>IF(preDEL!$AG365,IFERROR(0/0,""),preDEL!AA365)</f>
        <v>0</v>
      </c>
      <c r="AB365" s="110" t="b">
        <f>IF(preDEL!$AG365,IFERROR(0/0,""),preDEL!AB365)</f>
        <v>0</v>
      </c>
      <c r="AC365" s="172">
        <f>IF(preDEL!$AG365,IFERROR(0/0,""),preDEL!AC365)</f>
        <v>443</v>
      </c>
      <c r="AD365" s="104" t="b">
        <f>IF(preDEL!$AG365,IFERROR(0/0,""),preDEL!AD365)</f>
        <v>0</v>
      </c>
      <c r="AE365" s="173">
        <f>IF(preDEL!$AG365,IFERROR(0/0,""),preDEL!AE365)</f>
        <v>198.1666667</v>
      </c>
      <c r="AF365" s="110" t="b">
        <f>IF(preDEL!$AG365,IFERROR(0/0,""),preDEL!AF365)</f>
        <v>0</v>
      </c>
      <c r="AG365" s="110" t="b">
        <f>IF(preDEL!$AG365,IFERROR(0/0,""),preDEL!AG365)</f>
        <v>0</v>
      </c>
      <c r="AH365" s="104" t="str">
        <f>IF(preDEL!$AG365,IFERROR(0/0,""),preDEL!AH365)</f>
        <v/>
      </c>
      <c r="AI365" s="105" t="str">
        <f>IF(preDEL!$AG365,IFERROR(0/0,""),preDEL!AI365)</f>
        <v/>
      </c>
      <c r="AJ365" s="112" t="str">
        <f>IF(preDEL!$AG365,IFERROR(0/0,""),preDEL!AJ365)</f>
        <v/>
      </c>
      <c r="AK365" s="105" t="str">
        <f>IF(preDEL!$AG365,IFERROR(0/0,""),preDEL!AK365)</f>
        <v>Negative</v>
      </c>
      <c r="AL365" s="112" t="str">
        <f>IF(preDEL!$AG365,IFERROR(0/0,""),preDEL!AL365)</f>
        <v/>
      </c>
      <c r="AM365" s="112" t="str">
        <f>IF(preDEL!$AG365,IFERROR(0/0,""),preDEL!AM365)</f>
        <v>SpBEND394154</v>
      </c>
      <c r="AN365" s="112" t="str">
        <f>IF(preDEL!$AG365,IFERROR(0/0,""),preDEL!AN365)</f>
        <v>BEND186672</v>
      </c>
      <c r="AO365" s="112" t="str">
        <f>IF(preDEL!$AG365,IFERROR(0/0,""),preDEL!AO365)</f>
        <v/>
      </c>
      <c r="AP365" s="112" t="str">
        <f>IF(preDEL!$AG365,IFERROR(0/0,""),preDEL!AP365)</f>
        <v/>
      </c>
      <c r="AQ365" s="112" t="str">
        <f>IF(preDEL!$AG365,IFERROR(0/0,""),preDEL!AQ365)</f>
        <v/>
      </c>
      <c r="AR365" s="112" t="str">
        <f>IF(preDEL!$AG365,IFERROR(0/0,""),preDEL!AR365)</f>
        <v/>
      </c>
      <c r="AS365" s="112" t="str">
        <f>IF(preDEL!$AG365,IFERROR(0/0,""),preDEL!AS365)</f>
        <v/>
      </c>
      <c r="AT365" s="112" t="b">
        <f>IF(preDEL!$AG365,IFERROR(0/0,""),preDEL!AT365)</f>
        <v>0</v>
      </c>
      <c r="AU365" s="112" t="str">
        <f>IF(preDEL!$AG365,IFERROR(0/0,""),preDEL!AU365)</f>
        <v/>
      </c>
      <c r="AV365" s="112" t="str">
        <f>IF(preDEL!$AG365,IFERROR(0/0,""),preDEL!AV365)</f>
        <v/>
      </c>
      <c r="AW365" s="112" t="str">
        <f>IF(preDEL!$AG365,IFERROR(0/0,""),preDEL!AW365)</f>
        <v/>
      </c>
      <c r="AX365" s="112" t="str">
        <f>IF(preDEL!$AG365,IFERROR(0/0,""),preDEL!AX365)</f>
        <v/>
      </c>
      <c r="AY365" s="112" t="str">
        <f>IF(preDEL!$AG365,IFERROR(0/0,""),preDEL!AY365)</f>
        <v/>
      </c>
      <c r="AZ365" s="174"/>
      <c r="BA365" s="174"/>
      <c r="BB365" s="174"/>
      <c r="BC365" s="174"/>
      <c r="BD365" s="174"/>
      <c r="BE365" s="174"/>
      <c r="BF365" s="174"/>
      <c r="BG365" s="174"/>
      <c r="BH365" s="174"/>
      <c r="BI365" s="174"/>
      <c r="BJ365" s="174"/>
      <c r="BK365" s="174"/>
      <c r="BL365" s="174"/>
      <c r="BM365" s="174"/>
      <c r="BN365" s="174"/>
      <c r="BO365" s="174"/>
      <c r="BP365" s="174"/>
      <c r="BQ365" s="174"/>
      <c r="BR365" s="174"/>
      <c r="BS365" s="174"/>
      <c r="BT365" s="174"/>
      <c r="BU365" s="174"/>
      <c r="BV365" s="174"/>
      <c r="BW365" s="174"/>
      <c r="BX365" s="174"/>
      <c r="BY365" s="174"/>
      <c r="BZ365" s="174"/>
      <c r="CA365" s="174"/>
      <c r="CB365" s="174"/>
      <c r="CC365" s="174"/>
      <c r="CD365" s="174"/>
    </row>
    <row r="366">
      <c r="A366" s="105" t="str">
        <f>IF(preDEL!$AG366,IFERROR(0/0,""),preDEL!A366)</f>
        <v>MAX116</v>
      </c>
      <c r="B366" s="170">
        <f>IF(preDEL!$AG366,IFERROR(0/0,""),preDEL!B366)</f>
        <v>44601</v>
      </c>
      <c r="C366" s="171">
        <f>IF(preDEL!$AG366,IFERROR(0/0,""),preDEL!C366)</f>
        <v>0.3448726852</v>
      </c>
      <c r="D366" s="105" t="str">
        <f>IF(preDEL!$AG366,IFERROR(0/0,""),preDEL!D366)</f>
        <v/>
      </c>
      <c r="E366" s="105" t="str">
        <f>IF(preDEL!$AG366,IFERROR(0/0,""),preDEL!E366)</f>
        <v/>
      </c>
      <c r="F366" s="112" t="str">
        <f>IF(preDEL!$AG366,IFERROR(0/0,""),preDEL!F366)</f>
        <v/>
      </c>
      <c r="G366" s="112" t="str">
        <f>IF(preDEL!$AG366,IFERROR(0/0,""),preDEL!G366)</f>
        <v/>
      </c>
      <c r="H366" s="112" t="str">
        <f>IF(preDEL!$AG366,IFERROR(0/0,""),preDEL!H366)</f>
        <v/>
      </c>
      <c r="I366" s="105" t="str">
        <f>IF(preDEL!$AG366,IFERROR(0/0,""),preDEL!I366)</f>
        <v/>
      </c>
      <c r="J366" s="105" t="str">
        <f>IF(preDEL!$AG366,IFERROR(0/0,""),preDEL!J366)</f>
        <v/>
      </c>
      <c r="K366" s="105" t="str">
        <f>IF(preDEL!$AG366,IFERROR(0/0,""),preDEL!K366)</f>
        <v>Negative</v>
      </c>
      <c r="L366" s="170">
        <f>IF(preDEL!$AG366,IFERROR(0/0,""),preDEL!L366)</f>
        <v>44601</v>
      </c>
      <c r="M366" s="171">
        <f>IF(preDEL!$AG366,IFERROR(0/0,""),preDEL!M366)</f>
        <v>0.482037037</v>
      </c>
      <c r="N366" s="112" t="str">
        <f>IF(preDEL!$AG366,IFERROR(0/0,""),preDEL!N366)</f>
        <v/>
      </c>
      <c r="O366" s="112" t="str">
        <f>IF(preDEL!$AG366,IFERROR(0/0,""),preDEL!O366)</f>
        <v/>
      </c>
      <c r="P366" s="110" t="b">
        <f>IF(preDEL!$AG366,IFERROR(0/0,""),preDEL!P366)</f>
        <v>0</v>
      </c>
      <c r="Q366" s="110" t="str">
        <f>IF(preDEL!$AG366,IFERROR(0/0,""),preDEL!Q366)</f>
        <v>Result</v>
      </c>
      <c r="R366" s="104" t="b">
        <f>IF(preDEL!$AG366,IFERROR(0/0,""),preDEL!R366)</f>
        <v>1</v>
      </c>
      <c r="S366" s="104">
        <f>IF(preDEL!$AG366,IFERROR(0/0,""),preDEL!S366)</f>
        <v>1</v>
      </c>
      <c r="T366" s="110" t="str">
        <f>IF(preDEL!$AG366,IFERROR(0/0,""),preDEL!T366)</f>
        <v/>
      </c>
      <c r="U366" s="112" t="str">
        <f>IF(preDEL!$AG366,IFERROR(0/0,""),preDEL!U366)</f>
        <v/>
      </c>
      <c r="V366" s="105" t="str">
        <f>IF(preDEL!$AG366,IFERROR(0/0,""),preDEL!V366)</f>
        <v/>
      </c>
      <c r="W366" s="112" t="str">
        <f>IF(preDEL!$AG366,IFERROR(0/0,""),preDEL!W366)</f>
        <v/>
      </c>
      <c r="X366" s="104" t="b">
        <f>IF(preDEL!$AG366,IFERROR(0/0,""),preDEL!X366)</f>
        <v>0</v>
      </c>
      <c r="Y366" s="110" t="b">
        <f>IF(preDEL!$AG366,IFERROR(0/0,""),preDEL!Y366)</f>
        <v>0</v>
      </c>
      <c r="Z366" s="105" t="str">
        <f>IF(preDEL!$AG366,IFERROR(0/0,""),preDEL!Z366)</f>
        <v/>
      </c>
      <c r="AA366" s="110" t="b">
        <f>IF(preDEL!$AG366,IFERROR(0/0,""),preDEL!AA366)</f>
        <v>0</v>
      </c>
      <c r="AB366" s="110" t="b">
        <f>IF(preDEL!$AG366,IFERROR(0/0,""),preDEL!AB366)</f>
        <v>0</v>
      </c>
      <c r="AC366" s="172">
        <f>IF(preDEL!$AG366,IFERROR(0/0,""),preDEL!AC366)</f>
        <v>442</v>
      </c>
      <c r="AD366" s="104" t="b">
        <f>IF(preDEL!$AG366,IFERROR(0/0,""),preDEL!AD366)</f>
        <v>0</v>
      </c>
      <c r="AE366" s="173">
        <f>IF(preDEL!$AG366,IFERROR(0/0,""),preDEL!AE366)</f>
        <v>197.5166667</v>
      </c>
      <c r="AF366" s="110" t="b">
        <f>IF(preDEL!$AG366,IFERROR(0/0,""),preDEL!AF366)</f>
        <v>0</v>
      </c>
      <c r="AG366" s="110" t="b">
        <f>IF(preDEL!$AG366,IFERROR(0/0,""),preDEL!AG366)</f>
        <v>0</v>
      </c>
      <c r="AH366" s="104" t="str">
        <f>IF(preDEL!$AG366,IFERROR(0/0,""),preDEL!AH366)</f>
        <v/>
      </c>
      <c r="AI366" s="105" t="str">
        <f>IF(preDEL!$AG366,IFERROR(0/0,""),preDEL!AI366)</f>
        <v/>
      </c>
      <c r="AJ366" s="112" t="str">
        <f>IF(preDEL!$AG366,IFERROR(0/0,""),preDEL!AJ366)</f>
        <v/>
      </c>
      <c r="AK366" s="105" t="str">
        <f>IF(preDEL!$AG366,IFERROR(0/0,""),preDEL!AK366)</f>
        <v>Negative</v>
      </c>
      <c r="AL366" s="112" t="str">
        <f>IF(preDEL!$AG366,IFERROR(0/0,""),preDEL!AL366)</f>
        <v/>
      </c>
      <c r="AM366" s="112" t="str">
        <f>IF(preDEL!$AG366,IFERROR(0/0,""),preDEL!AM366)</f>
        <v>SpBEND394154</v>
      </c>
      <c r="AN366" s="112" t="str">
        <f>IF(preDEL!$AG366,IFERROR(0/0,""),preDEL!AN366)</f>
        <v>BEND949070</v>
      </c>
      <c r="AO366" s="112" t="str">
        <f>IF(preDEL!$AG366,IFERROR(0/0,""),preDEL!AO366)</f>
        <v/>
      </c>
      <c r="AP366" s="112" t="str">
        <f>IF(preDEL!$AG366,IFERROR(0/0,""),preDEL!AP366)</f>
        <v/>
      </c>
      <c r="AQ366" s="112" t="str">
        <f>IF(preDEL!$AG366,IFERROR(0/0,""),preDEL!AQ366)</f>
        <v/>
      </c>
      <c r="AR366" s="112" t="str">
        <f>IF(preDEL!$AG366,IFERROR(0/0,""),preDEL!AR366)</f>
        <v/>
      </c>
      <c r="AS366" s="112" t="str">
        <f>IF(preDEL!$AG366,IFERROR(0/0,""),preDEL!AS366)</f>
        <v/>
      </c>
      <c r="AT366" s="112" t="b">
        <f>IF(preDEL!$AG366,IFERROR(0/0,""),preDEL!AT366)</f>
        <v>0</v>
      </c>
      <c r="AU366" s="112" t="str">
        <f>IF(preDEL!$AG366,IFERROR(0/0,""),preDEL!AU366)</f>
        <v/>
      </c>
      <c r="AV366" s="112" t="str">
        <f>IF(preDEL!$AG366,IFERROR(0/0,""),preDEL!AV366)</f>
        <v/>
      </c>
      <c r="AW366" s="112" t="str">
        <f>IF(preDEL!$AG366,IFERROR(0/0,""),preDEL!AW366)</f>
        <v/>
      </c>
      <c r="AX366" s="112" t="str">
        <f>IF(preDEL!$AG366,IFERROR(0/0,""),preDEL!AX366)</f>
        <v/>
      </c>
      <c r="AY366" s="112" t="str">
        <f>IF(preDEL!$AG366,IFERROR(0/0,""),preDEL!AY366)</f>
        <v/>
      </c>
      <c r="AZ366" s="174"/>
      <c r="BA366" s="174"/>
      <c r="BB366" s="174"/>
      <c r="BC366" s="174"/>
      <c r="BD366" s="174"/>
      <c r="BE366" s="174"/>
      <c r="BF366" s="174"/>
      <c r="BG366" s="174"/>
      <c r="BH366" s="174"/>
      <c r="BI366" s="174"/>
      <c r="BJ366" s="174"/>
      <c r="BK366" s="174"/>
      <c r="BL366" s="174"/>
      <c r="BM366" s="174"/>
      <c r="BN366" s="174"/>
      <c r="BO366" s="174"/>
      <c r="BP366" s="174"/>
      <c r="BQ366" s="174"/>
      <c r="BR366" s="174"/>
      <c r="BS366" s="174"/>
      <c r="BT366" s="174"/>
      <c r="BU366" s="174"/>
      <c r="BV366" s="174"/>
      <c r="BW366" s="174"/>
      <c r="BX366" s="174"/>
      <c r="BY366" s="174"/>
      <c r="BZ366" s="174"/>
      <c r="CA366" s="174"/>
      <c r="CB366" s="174"/>
      <c r="CC366" s="174"/>
      <c r="CD366" s="174"/>
    </row>
    <row r="367">
      <c r="A367" s="105" t="str">
        <f>IF(preDEL!$AG367,IFERROR(0/0,""),preDEL!A367)</f>
        <v>MAX67</v>
      </c>
      <c r="B367" s="170">
        <f>IF(preDEL!$AG367,IFERROR(0/0,""),preDEL!B367)</f>
        <v>44601</v>
      </c>
      <c r="C367" s="171">
        <f>IF(preDEL!$AG367,IFERROR(0/0,""),preDEL!C367)</f>
        <v>0.345462963</v>
      </c>
      <c r="D367" s="105" t="str">
        <f>IF(preDEL!$AG367,IFERROR(0/0,""),preDEL!D367)</f>
        <v/>
      </c>
      <c r="E367" s="105" t="str">
        <f>IF(preDEL!$AG367,IFERROR(0/0,""),preDEL!E367)</f>
        <v/>
      </c>
      <c r="F367" s="112" t="str">
        <f>IF(preDEL!$AG367,IFERROR(0/0,""),preDEL!F367)</f>
        <v/>
      </c>
      <c r="G367" s="112" t="str">
        <f>IF(preDEL!$AG367,IFERROR(0/0,""),preDEL!G367)</f>
        <v/>
      </c>
      <c r="H367" s="112" t="str">
        <f>IF(preDEL!$AG367,IFERROR(0/0,""),preDEL!H367)</f>
        <v/>
      </c>
      <c r="I367" s="105" t="str">
        <f>IF(preDEL!$AG367,IFERROR(0/0,""),preDEL!I367)</f>
        <v/>
      </c>
      <c r="J367" s="105" t="str">
        <f>IF(preDEL!$AG367,IFERROR(0/0,""),preDEL!J367)</f>
        <v/>
      </c>
      <c r="K367" s="105" t="str">
        <f>IF(preDEL!$AG367,IFERROR(0/0,""),preDEL!K367)</f>
        <v>Negative</v>
      </c>
      <c r="L367" s="170">
        <f>IF(preDEL!$AG367,IFERROR(0/0,""),preDEL!L367)</f>
        <v>44601</v>
      </c>
      <c r="M367" s="171">
        <f>IF(preDEL!$AG367,IFERROR(0/0,""),preDEL!M367)</f>
        <v>0.482037037</v>
      </c>
      <c r="N367" s="112" t="str">
        <f>IF(preDEL!$AG367,IFERROR(0/0,""),preDEL!N367)</f>
        <v/>
      </c>
      <c r="O367" s="112" t="str">
        <f>IF(preDEL!$AG367,IFERROR(0/0,""),preDEL!O367)</f>
        <v/>
      </c>
      <c r="P367" s="110" t="b">
        <f>IF(preDEL!$AG367,IFERROR(0/0,""),preDEL!P367)</f>
        <v>0</v>
      </c>
      <c r="Q367" s="110" t="str">
        <f>IF(preDEL!$AG367,IFERROR(0/0,""),preDEL!Q367)</f>
        <v>Result</v>
      </c>
      <c r="R367" s="104" t="b">
        <f>IF(preDEL!$AG367,IFERROR(0/0,""),preDEL!R367)</f>
        <v>1</v>
      </c>
      <c r="S367" s="104">
        <f>IF(preDEL!$AG367,IFERROR(0/0,""),preDEL!S367)</f>
        <v>1</v>
      </c>
      <c r="T367" s="110">
        <f>IF(preDEL!$AG367,IFERROR(0/0,""),preDEL!T367)</f>
        <v>0</v>
      </c>
      <c r="U367" s="112" t="str">
        <f>IF(preDEL!$AG367,IFERROR(0/0,""),preDEL!U367)</f>
        <v/>
      </c>
      <c r="V367" s="105" t="str">
        <f>IF(preDEL!$AG367,IFERROR(0/0,""),preDEL!V367)</f>
        <v/>
      </c>
      <c r="W367" s="112" t="str">
        <f>IF(preDEL!$AG367,IFERROR(0/0,""),preDEL!W367)</f>
        <v/>
      </c>
      <c r="X367" s="104" t="b">
        <f>IF(preDEL!$AG367,IFERROR(0/0,""),preDEL!X367)</f>
        <v>0</v>
      </c>
      <c r="Y367" s="110" t="b">
        <f>IF(preDEL!$AG367,IFERROR(0/0,""),preDEL!Y367)</f>
        <v>0</v>
      </c>
      <c r="Z367" s="105" t="str">
        <f>IF(preDEL!$AG367,IFERROR(0/0,""),preDEL!Z367)</f>
        <v/>
      </c>
      <c r="AA367" s="110" t="b">
        <f>IF(preDEL!$AG367,IFERROR(0/0,""),preDEL!AA367)</f>
        <v>0</v>
      </c>
      <c r="AB367" s="110" t="b">
        <f>IF(preDEL!$AG367,IFERROR(0/0,""),preDEL!AB367)</f>
        <v>0</v>
      </c>
      <c r="AC367" s="172">
        <f>IF(preDEL!$AG367,IFERROR(0/0,""),preDEL!AC367)</f>
        <v>441</v>
      </c>
      <c r="AD367" s="104" t="b">
        <f>IF(preDEL!$AG367,IFERROR(0/0,""),preDEL!AD367)</f>
        <v>0</v>
      </c>
      <c r="AE367" s="173">
        <f>IF(preDEL!$AG367,IFERROR(0/0,""),preDEL!AE367)</f>
        <v>196.6666667</v>
      </c>
      <c r="AF367" s="110" t="b">
        <f>IF(preDEL!$AG367,IFERROR(0/0,""),preDEL!AF367)</f>
        <v>0</v>
      </c>
      <c r="AG367" s="110" t="b">
        <f>IF(preDEL!$AG367,IFERROR(0/0,""),preDEL!AG367)</f>
        <v>0</v>
      </c>
      <c r="AH367" s="104" t="str">
        <f>IF(preDEL!$AG367,IFERROR(0/0,""),preDEL!AH367)</f>
        <v/>
      </c>
      <c r="AI367" s="105" t="str">
        <f>IF(preDEL!$AG367,IFERROR(0/0,""),preDEL!AI367)</f>
        <v/>
      </c>
      <c r="AJ367" s="112" t="str">
        <f>IF(preDEL!$AG367,IFERROR(0/0,""),preDEL!AJ367)</f>
        <v/>
      </c>
      <c r="AK367" s="105" t="str">
        <f>IF(preDEL!$AG367,IFERROR(0/0,""),preDEL!AK367)</f>
        <v>Negative</v>
      </c>
      <c r="AL367" s="112" t="str">
        <f>IF(preDEL!$AG367,IFERROR(0/0,""),preDEL!AL367)</f>
        <v/>
      </c>
      <c r="AM367" s="112" t="str">
        <f>IF(preDEL!$AG367,IFERROR(0/0,""),preDEL!AM367)</f>
        <v>SpBEND394154</v>
      </c>
      <c r="AN367" s="112" t="str">
        <f>IF(preDEL!$AG367,IFERROR(0/0,""),preDEL!AN367)</f>
        <v>BEND974264</v>
      </c>
      <c r="AO367" s="112" t="str">
        <f>IF(preDEL!$AG367,IFERROR(0/0,""),preDEL!AO367)</f>
        <v/>
      </c>
      <c r="AP367" s="112" t="str">
        <f>IF(preDEL!$AG367,IFERROR(0/0,""),preDEL!AP367)</f>
        <v/>
      </c>
      <c r="AQ367" s="112" t="str">
        <f>IF(preDEL!$AG367,IFERROR(0/0,""),preDEL!AQ367)</f>
        <v/>
      </c>
      <c r="AR367" s="112" t="str">
        <f>IF(preDEL!$AG367,IFERROR(0/0,""),preDEL!AR367)</f>
        <v/>
      </c>
      <c r="AS367" s="112" t="str">
        <f>IF(preDEL!$AG367,IFERROR(0/0,""),preDEL!AS367)</f>
        <v/>
      </c>
      <c r="AT367" s="112" t="b">
        <f>IF(preDEL!$AG367,IFERROR(0/0,""),preDEL!AT367)</f>
        <v>0</v>
      </c>
      <c r="AU367" s="112" t="str">
        <f>IF(preDEL!$AG367,IFERROR(0/0,""),preDEL!AU367)</f>
        <v/>
      </c>
      <c r="AV367" s="112" t="str">
        <f>IF(preDEL!$AG367,IFERROR(0/0,""),preDEL!AV367)</f>
        <v/>
      </c>
      <c r="AW367" s="112" t="str">
        <f>IF(preDEL!$AG367,IFERROR(0/0,""),preDEL!AW367)</f>
        <v/>
      </c>
      <c r="AX367" s="112" t="str">
        <f>IF(preDEL!$AG367,IFERROR(0/0,""),preDEL!AX367)</f>
        <v/>
      </c>
      <c r="AY367" s="112" t="str">
        <f>IF(preDEL!$AG367,IFERROR(0/0,""),preDEL!AY367)</f>
        <v/>
      </c>
      <c r="AZ367" s="174"/>
      <c r="BA367" s="174"/>
      <c r="BB367" s="174"/>
      <c r="BC367" s="174"/>
      <c r="BD367" s="174"/>
      <c r="BE367" s="174"/>
      <c r="BF367" s="174"/>
      <c r="BG367" s="174"/>
      <c r="BH367" s="174"/>
      <c r="BI367" s="174"/>
      <c r="BJ367" s="174"/>
      <c r="BK367" s="174"/>
      <c r="BL367" s="174"/>
      <c r="BM367" s="174"/>
      <c r="BN367" s="174"/>
      <c r="BO367" s="174"/>
      <c r="BP367" s="174"/>
      <c r="BQ367" s="174"/>
      <c r="BR367" s="174"/>
      <c r="BS367" s="174"/>
      <c r="BT367" s="174"/>
      <c r="BU367" s="174"/>
      <c r="BV367" s="174"/>
      <c r="BW367" s="174"/>
      <c r="BX367" s="174"/>
      <c r="BY367" s="174"/>
      <c r="BZ367" s="174"/>
      <c r="CA367" s="174"/>
      <c r="CB367" s="174"/>
      <c r="CC367" s="174"/>
      <c r="CD367" s="174"/>
    </row>
    <row r="368">
      <c r="A368" s="105" t="str">
        <f>IF(preDEL!$AG368,IFERROR(0/0,""),preDEL!A368)</f>
        <v>MAX75</v>
      </c>
      <c r="B368" s="170">
        <f>IF(preDEL!$AG368,IFERROR(0/0,""),preDEL!B368)</f>
        <v>44601</v>
      </c>
      <c r="C368" s="171">
        <f>IF(preDEL!$AG368,IFERROR(0/0,""),preDEL!C368)</f>
        <v>0.345787037</v>
      </c>
      <c r="D368" s="105" t="str">
        <f>IF(preDEL!$AG368,IFERROR(0/0,""),preDEL!D368)</f>
        <v/>
      </c>
      <c r="E368" s="105" t="str">
        <f>IF(preDEL!$AG368,IFERROR(0/0,""),preDEL!E368)</f>
        <v/>
      </c>
      <c r="F368" s="112" t="str">
        <f>IF(preDEL!$AG368,IFERROR(0/0,""),preDEL!F368)</f>
        <v/>
      </c>
      <c r="G368" s="112" t="str">
        <f>IF(preDEL!$AG368,IFERROR(0/0,""),preDEL!G368)</f>
        <v/>
      </c>
      <c r="H368" s="112" t="str">
        <f>IF(preDEL!$AG368,IFERROR(0/0,""),preDEL!H368)</f>
        <v/>
      </c>
      <c r="I368" s="105" t="str">
        <f>IF(preDEL!$AG368,IFERROR(0/0,""),preDEL!I368)</f>
        <v/>
      </c>
      <c r="J368" s="105" t="str">
        <f>IF(preDEL!$AG368,IFERROR(0/0,""),preDEL!J368)</f>
        <v/>
      </c>
      <c r="K368" s="105" t="str">
        <f>IF(preDEL!$AG368,IFERROR(0/0,""),preDEL!K368)</f>
        <v>Negative</v>
      </c>
      <c r="L368" s="170">
        <f>IF(preDEL!$AG368,IFERROR(0/0,""),preDEL!L368)</f>
        <v>44601</v>
      </c>
      <c r="M368" s="171">
        <f>IF(preDEL!$AG368,IFERROR(0/0,""),preDEL!M368)</f>
        <v>0.482037037</v>
      </c>
      <c r="N368" s="112" t="str">
        <f>IF(preDEL!$AG368,IFERROR(0/0,""),preDEL!N368)</f>
        <v/>
      </c>
      <c r="O368" s="112" t="str">
        <f>IF(preDEL!$AG368,IFERROR(0/0,""),preDEL!O368)</f>
        <v/>
      </c>
      <c r="P368" s="110" t="b">
        <f>IF(preDEL!$AG368,IFERROR(0/0,""),preDEL!P368)</f>
        <v>0</v>
      </c>
      <c r="Q368" s="110" t="str">
        <f>IF(preDEL!$AG368,IFERROR(0/0,""),preDEL!Q368)</f>
        <v>Result</v>
      </c>
      <c r="R368" s="104" t="b">
        <f>IF(preDEL!$AG368,IFERROR(0/0,""),preDEL!R368)</f>
        <v>1</v>
      </c>
      <c r="S368" s="104">
        <f>IF(preDEL!$AG368,IFERROR(0/0,""),preDEL!S368)</f>
        <v>1</v>
      </c>
      <c r="T368" s="110">
        <f>IF(preDEL!$AG368,IFERROR(0/0,""),preDEL!T368)</f>
        <v>0</v>
      </c>
      <c r="U368" s="112" t="str">
        <f>IF(preDEL!$AG368,IFERROR(0/0,""),preDEL!U368)</f>
        <v/>
      </c>
      <c r="V368" s="105" t="str">
        <f>IF(preDEL!$AG368,IFERROR(0/0,""),preDEL!V368)</f>
        <v/>
      </c>
      <c r="W368" s="112" t="str">
        <f>IF(preDEL!$AG368,IFERROR(0/0,""),preDEL!W368)</f>
        <v/>
      </c>
      <c r="X368" s="104" t="b">
        <f>IF(preDEL!$AG368,IFERROR(0/0,""),preDEL!X368)</f>
        <v>0</v>
      </c>
      <c r="Y368" s="110" t="b">
        <f>IF(preDEL!$AG368,IFERROR(0/0,""),preDEL!Y368)</f>
        <v>0</v>
      </c>
      <c r="Z368" s="105" t="str">
        <f>IF(preDEL!$AG368,IFERROR(0/0,""),preDEL!Z368)</f>
        <v/>
      </c>
      <c r="AA368" s="110" t="b">
        <f>IF(preDEL!$AG368,IFERROR(0/0,""),preDEL!AA368)</f>
        <v>0</v>
      </c>
      <c r="AB368" s="110" t="b">
        <f>IF(preDEL!$AG368,IFERROR(0/0,""),preDEL!AB368)</f>
        <v>0</v>
      </c>
      <c r="AC368" s="172">
        <f>IF(preDEL!$AG368,IFERROR(0/0,""),preDEL!AC368)</f>
        <v>440</v>
      </c>
      <c r="AD368" s="104" t="b">
        <f>IF(preDEL!$AG368,IFERROR(0/0,""),preDEL!AD368)</f>
        <v>0</v>
      </c>
      <c r="AE368" s="173">
        <f>IF(preDEL!$AG368,IFERROR(0/0,""),preDEL!AE368)</f>
        <v>196.2</v>
      </c>
      <c r="AF368" s="110" t="b">
        <f>IF(preDEL!$AG368,IFERROR(0/0,""),preDEL!AF368)</f>
        <v>0</v>
      </c>
      <c r="AG368" s="110" t="b">
        <f>IF(preDEL!$AG368,IFERROR(0/0,""),preDEL!AG368)</f>
        <v>0</v>
      </c>
      <c r="AH368" s="104" t="str">
        <f>IF(preDEL!$AG368,IFERROR(0/0,""),preDEL!AH368)</f>
        <v/>
      </c>
      <c r="AI368" s="105" t="str">
        <f>IF(preDEL!$AG368,IFERROR(0/0,""),preDEL!AI368)</f>
        <v/>
      </c>
      <c r="AJ368" s="112" t="str">
        <f>IF(preDEL!$AG368,IFERROR(0/0,""),preDEL!AJ368)</f>
        <v/>
      </c>
      <c r="AK368" s="105" t="str">
        <f>IF(preDEL!$AG368,IFERROR(0/0,""),preDEL!AK368)</f>
        <v>Negative</v>
      </c>
      <c r="AL368" s="112" t="str">
        <f>IF(preDEL!$AG368,IFERROR(0/0,""),preDEL!AL368)</f>
        <v/>
      </c>
      <c r="AM368" s="112" t="str">
        <f>IF(preDEL!$AG368,IFERROR(0/0,""),preDEL!AM368)</f>
        <v>SpBEND394154</v>
      </c>
      <c r="AN368" s="112" t="str">
        <f>IF(preDEL!$AG368,IFERROR(0/0,""),preDEL!AN368)</f>
        <v>BEND856015</v>
      </c>
      <c r="AO368" s="112" t="str">
        <f>IF(preDEL!$AG368,IFERROR(0/0,""),preDEL!AO368)</f>
        <v/>
      </c>
      <c r="AP368" s="112" t="str">
        <f>IF(preDEL!$AG368,IFERROR(0/0,""),preDEL!AP368)</f>
        <v/>
      </c>
      <c r="AQ368" s="112" t="str">
        <f>IF(preDEL!$AG368,IFERROR(0/0,""),preDEL!AQ368)</f>
        <v/>
      </c>
      <c r="AR368" s="112" t="str">
        <f>IF(preDEL!$AG368,IFERROR(0/0,""),preDEL!AR368)</f>
        <v/>
      </c>
      <c r="AS368" s="112" t="str">
        <f>IF(preDEL!$AG368,IFERROR(0/0,""),preDEL!AS368)</f>
        <v/>
      </c>
      <c r="AT368" s="112" t="b">
        <f>IF(preDEL!$AG368,IFERROR(0/0,""),preDEL!AT368)</f>
        <v>0</v>
      </c>
      <c r="AU368" s="112" t="str">
        <f>IF(preDEL!$AG368,IFERROR(0/0,""),preDEL!AU368)</f>
        <v/>
      </c>
      <c r="AV368" s="112" t="str">
        <f>IF(preDEL!$AG368,IFERROR(0/0,""),preDEL!AV368)</f>
        <v/>
      </c>
      <c r="AW368" s="112" t="str">
        <f>IF(preDEL!$AG368,IFERROR(0/0,""),preDEL!AW368)</f>
        <v/>
      </c>
      <c r="AX368" s="112" t="str">
        <f>IF(preDEL!$AG368,IFERROR(0/0,""),preDEL!AX368)</f>
        <v/>
      </c>
      <c r="AY368" s="112" t="str">
        <f>IF(preDEL!$AG368,IFERROR(0/0,""),preDEL!AY368)</f>
        <v/>
      </c>
      <c r="AZ368" s="174"/>
      <c r="BA368" s="174"/>
      <c r="BB368" s="174"/>
      <c r="BC368" s="174"/>
      <c r="BD368" s="174"/>
      <c r="BE368" s="174"/>
      <c r="BF368" s="174"/>
      <c r="BG368" s="174"/>
      <c r="BH368" s="174"/>
      <c r="BI368" s="174"/>
      <c r="BJ368" s="174"/>
      <c r="BK368" s="174"/>
      <c r="BL368" s="174"/>
      <c r="BM368" s="174"/>
      <c r="BN368" s="174"/>
      <c r="BO368" s="174"/>
      <c r="BP368" s="174"/>
      <c r="BQ368" s="174"/>
      <c r="BR368" s="174"/>
      <c r="BS368" s="174"/>
      <c r="BT368" s="174"/>
      <c r="BU368" s="174"/>
      <c r="BV368" s="174"/>
      <c r="BW368" s="174"/>
      <c r="BX368" s="174"/>
      <c r="BY368" s="174"/>
      <c r="BZ368" s="174"/>
      <c r="CA368" s="174"/>
      <c r="CB368" s="174"/>
      <c r="CC368" s="174"/>
      <c r="CD368" s="174"/>
    </row>
    <row r="369">
      <c r="A369" s="105" t="str">
        <f>IF(preDEL!$AG369,IFERROR(0/0,""),preDEL!A369)</f>
        <v>MAX131</v>
      </c>
      <c r="B369" s="170">
        <f>IF(preDEL!$AG369,IFERROR(0/0,""),preDEL!B369)</f>
        <v>44601</v>
      </c>
      <c r="C369" s="171">
        <f>IF(preDEL!$AG369,IFERROR(0/0,""),preDEL!C369)</f>
        <v>0.3461921296</v>
      </c>
      <c r="D369" s="105" t="str">
        <f>IF(preDEL!$AG369,IFERROR(0/0,""),preDEL!D369)</f>
        <v/>
      </c>
      <c r="E369" s="105" t="str">
        <f>IF(preDEL!$AG369,IFERROR(0/0,""),preDEL!E369)</f>
        <v/>
      </c>
      <c r="F369" s="112" t="str">
        <f>IF(preDEL!$AG369,IFERROR(0/0,""),preDEL!F369)</f>
        <v/>
      </c>
      <c r="G369" s="112" t="str">
        <f>IF(preDEL!$AG369,IFERROR(0/0,""),preDEL!G369)</f>
        <v/>
      </c>
      <c r="H369" s="112" t="str">
        <f>IF(preDEL!$AG369,IFERROR(0/0,""),preDEL!H369)</f>
        <v/>
      </c>
      <c r="I369" s="105" t="str">
        <f>IF(preDEL!$AG369,IFERROR(0/0,""),preDEL!I369)</f>
        <v/>
      </c>
      <c r="J369" s="105" t="str">
        <f>IF(preDEL!$AG369,IFERROR(0/0,""),preDEL!J369)</f>
        <v/>
      </c>
      <c r="K369" s="105" t="str">
        <f>IF(preDEL!$AG369,IFERROR(0/0,""),preDEL!K369)</f>
        <v>Negative</v>
      </c>
      <c r="L369" s="170">
        <f>IF(preDEL!$AG369,IFERROR(0/0,""),preDEL!L369)</f>
        <v>44601</v>
      </c>
      <c r="M369" s="171">
        <f>IF(preDEL!$AG369,IFERROR(0/0,""),preDEL!M369)</f>
        <v>0.482037037</v>
      </c>
      <c r="N369" s="112" t="str">
        <f>IF(preDEL!$AG369,IFERROR(0/0,""),preDEL!N369)</f>
        <v/>
      </c>
      <c r="O369" s="112" t="str">
        <f>IF(preDEL!$AG369,IFERROR(0/0,""),preDEL!O369)</f>
        <v/>
      </c>
      <c r="P369" s="110" t="b">
        <f>IF(preDEL!$AG369,IFERROR(0/0,""),preDEL!P369)</f>
        <v>0</v>
      </c>
      <c r="Q369" s="110" t="str">
        <f>IF(preDEL!$AG369,IFERROR(0/0,""),preDEL!Q369)</f>
        <v>Result</v>
      </c>
      <c r="R369" s="104" t="b">
        <f>IF(preDEL!$AG369,IFERROR(0/0,""),preDEL!R369)</f>
        <v>1</v>
      </c>
      <c r="S369" s="104">
        <f>IF(preDEL!$AG369,IFERROR(0/0,""),preDEL!S369)</f>
        <v>1</v>
      </c>
      <c r="T369" s="110">
        <f>IF(preDEL!$AG369,IFERROR(0/0,""),preDEL!T369)</f>
        <v>0</v>
      </c>
      <c r="U369" s="112" t="str">
        <f>IF(preDEL!$AG369,IFERROR(0/0,""),preDEL!U369)</f>
        <v/>
      </c>
      <c r="V369" s="105" t="str">
        <f>IF(preDEL!$AG369,IFERROR(0/0,""),preDEL!V369)</f>
        <v/>
      </c>
      <c r="W369" s="112" t="str">
        <f>IF(preDEL!$AG369,IFERROR(0/0,""),preDEL!W369)</f>
        <v/>
      </c>
      <c r="X369" s="104" t="b">
        <f>IF(preDEL!$AG369,IFERROR(0/0,""),preDEL!X369)</f>
        <v>0</v>
      </c>
      <c r="Y369" s="110" t="b">
        <f>IF(preDEL!$AG369,IFERROR(0/0,""),preDEL!Y369)</f>
        <v>0</v>
      </c>
      <c r="Z369" s="105" t="str">
        <f>IF(preDEL!$AG369,IFERROR(0/0,""),preDEL!Z369)</f>
        <v/>
      </c>
      <c r="AA369" s="110" t="b">
        <f>IF(preDEL!$AG369,IFERROR(0/0,""),preDEL!AA369)</f>
        <v>0</v>
      </c>
      <c r="AB369" s="110" t="b">
        <f>IF(preDEL!$AG369,IFERROR(0/0,""),preDEL!AB369)</f>
        <v>0</v>
      </c>
      <c r="AC369" s="172">
        <f>IF(preDEL!$AG369,IFERROR(0/0,""),preDEL!AC369)</f>
        <v>439</v>
      </c>
      <c r="AD369" s="104" t="b">
        <f>IF(preDEL!$AG369,IFERROR(0/0,""),preDEL!AD369)</f>
        <v>0</v>
      </c>
      <c r="AE369" s="173">
        <f>IF(preDEL!$AG369,IFERROR(0/0,""),preDEL!AE369)</f>
        <v>195.6166667</v>
      </c>
      <c r="AF369" s="110" t="b">
        <f>IF(preDEL!$AG369,IFERROR(0/0,""),preDEL!AF369)</f>
        <v>0</v>
      </c>
      <c r="AG369" s="110" t="b">
        <f>IF(preDEL!$AG369,IFERROR(0/0,""),preDEL!AG369)</f>
        <v>0</v>
      </c>
      <c r="AH369" s="104" t="str">
        <f>IF(preDEL!$AG369,IFERROR(0/0,""),preDEL!AH369)</f>
        <v/>
      </c>
      <c r="AI369" s="105" t="str">
        <f>IF(preDEL!$AG369,IFERROR(0/0,""),preDEL!AI369)</f>
        <v/>
      </c>
      <c r="AJ369" s="112" t="str">
        <f>IF(preDEL!$AG369,IFERROR(0/0,""),preDEL!AJ369)</f>
        <v/>
      </c>
      <c r="AK369" s="105" t="str">
        <f>IF(preDEL!$AG369,IFERROR(0/0,""),preDEL!AK369)</f>
        <v>Negative</v>
      </c>
      <c r="AL369" s="112" t="str">
        <f>IF(preDEL!$AG369,IFERROR(0/0,""),preDEL!AL369)</f>
        <v/>
      </c>
      <c r="AM369" s="112" t="str">
        <f>IF(preDEL!$AG369,IFERROR(0/0,""),preDEL!AM369)</f>
        <v>SpBEND394154</v>
      </c>
      <c r="AN369" s="112" t="str">
        <f>IF(preDEL!$AG369,IFERROR(0/0,""),preDEL!AN369)</f>
        <v>BEND921886</v>
      </c>
      <c r="AO369" s="112" t="str">
        <f>IF(preDEL!$AG369,IFERROR(0/0,""),preDEL!AO369)</f>
        <v/>
      </c>
      <c r="AP369" s="112" t="str">
        <f>IF(preDEL!$AG369,IFERROR(0/0,""),preDEL!AP369)</f>
        <v/>
      </c>
      <c r="AQ369" s="112" t="str">
        <f>IF(preDEL!$AG369,IFERROR(0/0,""),preDEL!AQ369)</f>
        <v/>
      </c>
      <c r="AR369" s="112" t="str">
        <f>IF(preDEL!$AG369,IFERROR(0/0,""),preDEL!AR369)</f>
        <v/>
      </c>
      <c r="AS369" s="112" t="str">
        <f>IF(preDEL!$AG369,IFERROR(0/0,""),preDEL!AS369)</f>
        <v/>
      </c>
      <c r="AT369" s="112" t="b">
        <f>IF(preDEL!$AG369,IFERROR(0/0,""),preDEL!AT369)</f>
        <v>0</v>
      </c>
      <c r="AU369" s="112" t="str">
        <f>IF(preDEL!$AG369,IFERROR(0/0,""),preDEL!AU369)</f>
        <v/>
      </c>
      <c r="AV369" s="112" t="str">
        <f>IF(preDEL!$AG369,IFERROR(0/0,""),preDEL!AV369)</f>
        <v/>
      </c>
      <c r="AW369" s="112" t="str">
        <f>IF(preDEL!$AG369,IFERROR(0/0,""),preDEL!AW369)</f>
        <v/>
      </c>
      <c r="AX369" s="112" t="str">
        <f>IF(preDEL!$AG369,IFERROR(0/0,""),preDEL!AX369)</f>
        <v/>
      </c>
      <c r="AY369" s="112" t="str">
        <f>IF(preDEL!$AG369,IFERROR(0/0,""),preDEL!AY369)</f>
        <v/>
      </c>
      <c r="AZ369" s="174"/>
      <c r="BA369" s="174"/>
      <c r="BB369" s="174"/>
      <c r="BC369" s="174"/>
      <c r="BD369" s="174"/>
      <c r="BE369" s="174"/>
      <c r="BF369" s="174"/>
      <c r="BG369" s="174"/>
      <c r="BH369" s="174"/>
      <c r="BI369" s="174"/>
      <c r="BJ369" s="174"/>
      <c r="BK369" s="174"/>
      <c r="BL369" s="174"/>
      <c r="BM369" s="174"/>
      <c r="BN369" s="174"/>
      <c r="BO369" s="174"/>
      <c r="BP369" s="174"/>
      <c r="BQ369" s="174"/>
      <c r="BR369" s="174"/>
      <c r="BS369" s="174"/>
      <c r="BT369" s="174"/>
      <c r="BU369" s="174"/>
      <c r="BV369" s="174"/>
      <c r="BW369" s="174"/>
      <c r="BX369" s="174"/>
      <c r="BY369" s="174"/>
      <c r="BZ369" s="174"/>
      <c r="CA369" s="174"/>
      <c r="CB369" s="174"/>
      <c r="CC369" s="174"/>
      <c r="CD369" s="174"/>
    </row>
    <row r="370">
      <c r="A370" s="105" t="str">
        <f>IF(preDEL!$AG370,IFERROR(0/0,""),preDEL!A370)</f>
        <v>MAX120</v>
      </c>
      <c r="B370" s="170">
        <f>IF(preDEL!$AG370,IFERROR(0/0,""),preDEL!B370)</f>
        <v>44601</v>
      </c>
      <c r="C370" s="171">
        <f>IF(preDEL!$AG370,IFERROR(0/0,""),preDEL!C370)</f>
        <v>0.3908912037</v>
      </c>
      <c r="D370" s="105" t="str">
        <f>IF(preDEL!$AG370,IFERROR(0/0,""),preDEL!D370)</f>
        <v/>
      </c>
      <c r="E370" s="105" t="str">
        <f>IF(preDEL!$AG370,IFERROR(0/0,""),preDEL!E370)</f>
        <v/>
      </c>
      <c r="F370" s="112" t="str">
        <f>IF(preDEL!$AG370,IFERROR(0/0,""),preDEL!F370)</f>
        <v/>
      </c>
      <c r="G370" s="112" t="str">
        <f>IF(preDEL!$AG370,IFERROR(0/0,""),preDEL!G370)</f>
        <v/>
      </c>
      <c r="H370" s="112" t="str">
        <f>IF(preDEL!$AG370,IFERROR(0/0,""),preDEL!H370)</f>
        <v/>
      </c>
      <c r="I370" s="105" t="str">
        <f>IF(preDEL!$AG370,IFERROR(0/0,""),preDEL!I370)</f>
        <v/>
      </c>
      <c r="J370" s="105" t="str">
        <f>IF(preDEL!$AG370,IFERROR(0/0,""),preDEL!J370)</f>
        <v/>
      </c>
      <c r="K370" s="105" t="str">
        <f>IF(preDEL!$AG370,IFERROR(0/0,""),preDEL!K370)</f>
        <v>Negative</v>
      </c>
      <c r="L370" s="170">
        <f>IF(preDEL!$AG370,IFERROR(0/0,""),preDEL!L370)</f>
        <v>44601</v>
      </c>
      <c r="M370" s="171">
        <f>IF(preDEL!$AG370,IFERROR(0/0,""),preDEL!M370)</f>
        <v>0.482037037</v>
      </c>
      <c r="N370" s="112" t="str">
        <f>IF(preDEL!$AG370,IFERROR(0/0,""),preDEL!N370)</f>
        <v/>
      </c>
      <c r="O370" s="112" t="str">
        <f>IF(preDEL!$AG370,IFERROR(0/0,""),preDEL!O370)</f>
        <v/>
      </c>
      <c r="P370" s="110" t="b">
        <f>IF(preDEL!$AG370,IFERROR(0/0,""),preDEL!P370)</f>
        <v>0</v>
      </c>
      <c r="Q370" s="110" t="str">
        <f>IF(preDEL!$AG370,IFERROR(0/0,""),preDEL!Q370)</f>
        <v>Result</v>
      </c>
      <c r="R370" s="104" t="b">
        <f>IF(preDEL!$AG370,IFERROR(0/0,""),preDEL!R370)</f>
        <v>1</v>
      </c>
      <c r="S370" s="104">
        <f>IF(preDEL!$AG370,IFERROR(0/0,""),preDEL!S370)</f>
        <v>1</v>
      </c>
      <c r="T370" s="110" t="str">
        <f>IF(preDEL!$AG370,IFERROR(0/0,""),preDEL!T370)</f>
        <v/>
      </c>
      <c r="U370" s="112" t="str">
        <f>IF(preDEL!$AG370,IFERROR(0/0,""),preDEL!U370)</f>
        <v/>
      </c>
      <c r="V370" s="105" t="str">
        <f>IF(preDEL!$AG370,IFERROR(0/0,""),preDEL!V370)</f>
        <v/>
      </c>
      <c r="W370" s="112" t="str">
        <f>IF(preDEL!$AG370,IFERROR(0/0,""),preDEL!W370)</f>
        <v/>
      </c>
      <c r="X370" s="104" t="b">
        <f>IF(preDEL!$AG370,IFERROR(0/0,""),preDEL!X370)</f>
        <v>0</v>
      </c>
      <c r="Y370" s="110" t="b">
        <f>IF(preDEL!$AG370,IFERROR(0/0,""),preDEL!Y370)</f>
        <v>0</v>
      </c>
      <c r="Z370" s="105" t="str">
        <f>IF(preDEL!$AG370,IFERROR(0/0,""),preDEL!Z370)</f>
        <v/>
      </c>
      <c r="AA370" s="110" t="b">
        <f>IF(preDEL!$AG370,IFERROR(0/0,""),preDEL!AA370)</f>
        <v>0</v>
      </c>
      <c r="AB370" s="110" t="b">
        <f>IF(preDEL!$AG370,IFERROR(0/0,""),preDEL!AB370)</f>
        <v>0</v>
      </c>
      <c r="AC370" s="172">
        <f>IF(preDEL!$AG370,IFERROR(0/0,""),preDEL!AC370)</f>
        <v>438</v>
      </c>
      <c r="AD370" s="104" t="b">
        <f>IF(preDEL!$AG370,IFERROR(0/0,""),preDEL!AD370)</f>
        <v>0</v>
      </c>
      <c r="AE370" s="173">
        <f>IF(preDEL!$AG370,IFERROR(0/0,""),preDEL!AE370)</f>
        <v>131.25</v>
      </c>
      <c r="AF370" s="110" t="b">
        <f>IF(preDEL!$AG370,IFERROR(0/0,""),preDEL!AF370)</f>
        <v>0</v>
      </c>
      <c r="AG370" s="110" t="b">
        <f>IF(preDEL!$AG370,IFERROR(0/0,""),preDEL!AG370)</f>
        <v>0</v>
      </c>
      <c r="AH370" s="104" t="str">
        <f>IF(preDEL!$AG370,IFERROR(0/0,""),preDEL!AH370)</f>
        <v/>
      </c>
      <c r="AI370" s="105" t="str">
        <f>IF(preDEL!$AG370,IFERROR(0/0,""),preDEL!AI370)</f>
        <v/>
      </c>
      <c r="AJ370" s="112" t="str">
        <f>IF(preDEL!$AG370,IFERROR(0/0,""),preDEL!AJ370)</f>
        <v/>
      </c>
      <c r="AK370" s="105" t="str">
        <f>IF(preDEL!$AG370,IFERROR(0/0,""),preDEL!AK370)</f>
        <v>Negative</v>
      </c>
      <c r="AL370" s="112" t="str">
        <f>IF(preDEL!$AG370,IFERROR(0/0,""),preDEL!AL370)</f>
        <v/>
      </c>
      <c r="AM370" s="112" t="str">
        <f>IF(preDEL!$AG370,IFERROR(0/0,""),preDEL!AM370)</f>
        <v>SpBEND394154</v>
      </c>
      <c r="AN370" s="112" t="str">
        <f>IF(preDEL!$AG370,IFERROR(0/0,""),preDEL!AN370)</f>
        <v>BEND365993</v>
      </c>
      <c r="AO370" s="112" t="str">
        <f>IF(preDEL!$AG370,IFERROR(0/0,""),preDEL!AO370)</f>
        <v/>
      </c>
      <c r="AP370" s="112" t="str">
        <f>IF(preDEL!$AG370,IFERROR(0/0,""),preDEL!AP370)</f>
        <v/>
      </c>
      <c r="AQ370" s="112" t="str">
        <f>IF(preDEL!$AG370,IFERROR(0/0,""),preDEL!AQ370)</f>
        <v/>
      </c>
      <c r="AR370" s="112" t="str">
        <f>IF(preDEL!$AG370,IFERROR(0/0,""),preDEL!AR370)</f>
        <v/>
      </c>
      <c r="AS370" s="112" t="str">
        <f>IF(preDEL!$AG370,IFERROR(0/0,""),preDEL!AS370)</f>
        <v/>
      </c>
      <c r="AT370" s="112" t="b">
        <f>IF(preDEL!$AG370,IFERROR(0/0,""),preDEL!AT370)</f>
        <v>0</v>
      </c>
      <c r="AU370" s="112" t="str">
        <f>IF(preDEL!$AG370,IFERROR(0/0,""),preDEL!AU370)</f>
        <v/>
      </c>
      <c r="AV370" s="112" t="str">
        <f>IF(preDEL!$AG370,IFERROR(0/0,""),preDEL!AV370)</f>
        <v/>
      </c>
      <c r="AW370" s="112" t="str">
        <f>IF(preDEL!$AG370,IFERROR(0/0,""),preDEL!AW370)</f>
        <v/>
      </c>
      <c r="AX370" s="112" t="str">
        <f>IF(preDEL!$AG370,IFERROR(0/0,""),preDEL!AX370)</f>
        <v/>
      </c>
      <c r="AY370" s="112" t="str">
        <f>IF(preDEL!$AG370,IFERROR(0/0,""),preDEL!AY370)</f>
        <v/>
      </c>
      <c r="AZ370" s="174"/>
      <c r="BA370" s="174"/>
      <c r="BB370" s="174"/>
      <c r="BC370" s="174"/>
      <c r="BD370" s="174"/>
      <c r="BE370" s="174"/>
      <c r="BF370" s="174"/>
      <c r="BG370" s="174"/>
      <c r="BH370" s="174"/>
      <c r="BI370" s="174"/>
      <c r="BJ370" s="174"/>
      <c r="BK370" s="174"/>
      <c r="BL370" s="174"/>
      <c r="BM370" s="174"/>
      <c r="BN370" s="174"/>
      <c r="BO370" s="174"/>
      <c r="BP370" s="174"/>
      <c r="BQ370" s="174"/>
      <c r="BR370" s="174"/>
      <c r="BS370" s="174"/>
      <c r="BT370" s="174"/>
      <c r="BU370" s="174"/>
      <c r="BV370" s="174"/>
      <c r="BW370" s="174"/>
      <c r="BX370" s="174"/>
      <c r="BY370" s="174"/>
      <c r="BZ370" s="174"/>
      <c r="CA370" s="174"/>
      <c r="CB370" s="174"/>
      <c r="CC370" s="174"/>
      <c r="CD370" s="174"/>
    </row>
    <row r="371">
      <c r="A371" s="105" t="str">
        <f>IF(preDEL!$AG371,IFERROR(0/0,""),preDEL!A371)</f>
        <v>MA1490</v>
      </c>
      <c r="B371" s="170">
        <f>IF(preDEL!$AG371,IFERROR(0/0,""),preDEL!B371)</f>
        <v>44601</v>
      </c>
      <c r="C371" s="171">
        <f>IF(preDEL!$AG371,IFERROR(0/0,""),preDEL!C371)</f>
        <v>0.3924884259</v>
      </c>
      <c r="D371" s="105" t="str">
        <f>IF(preDEL!$AG371,IFERROR(0/0,""),preDEL!D371)</f>
        <v/>
      </c>
      <c r="E371" s="105" t="str">
        <f>IF(preDEL!$AG371,IFERROR(0/0,""),preDEL!E371)</f>
        <v/>
      </c>
      <c r="F371" s="112" t="str">
        <f>IF(preDEL!$AG371,IFERROR(0/0,""),preDEL!F371)</f>
        <v/>
      </c>
      <c r="G371" s="112" t="str">
        <f>IF(preDEL!$AG371,IFERROR(0/0,""),preDEL!G371)</f>
        <v/>
      </c>
      <c r="H371" s="112" t="str">
        <f>IF(preDEL!$AG371,IFERROR(0/0,""),preDEL!H371)</f>
        <v/>
      </c>
      <c r="I371" s="105" t="str">
        <f>IF(preDEL!$AG371,IFERROR(0/0,""),preDEL!I371)</f>
        <v/>
      </c>
      <c r="J371" s="105" t="str">
        <f>IF(preDEL!$AG371,IFERROR(0/0,""),preDEL!J371)</f>
        <v/>
      </c>
      <c r="K371" s="105" t="str">
        <f>IF(preDEL!$AG371,IFERROR(0/0,""),preDEL!K371)</f>
        <v>Negative</v>
      </c>
      <c r="L371" s="170">
        <f>IF(preDEL!$AG371,IFERROR(0/0,""),preDEL!L371)</f>
        <v>44601</v>
      </c>
      <c r="M371" s="171">
        <f>IF(preDEL!$AG371,IFERROR(0/0,""),preDEL!M371)</f>
        <v>0.482037037</v>
      </c>
      <c r="N371" s="112" t="str">
        <f>IF(preDEL!$AG371,IFERROR(0/0,""),preDEL!N371)</f>
        <v/>
      </c>
      <c r="O371" s="112" t="str">
        <f>IF(preDEL!$AG371,IFERROR(0/0,""),preDEL!O371)</f>
        <v/>
      </c>
      <c r="P371" s="110" t="b">
        <f>IF(preDEL!$AG371,IFERROR(0/0,""),preDEL!P371)</f>
        <v>0</v>
      </c>
      <c r="Q371" s="110" t="str">
        <f>IF(preDEL!$AG371,IFERROR(0/0,""),preDEL!Q371)</f>
        <v>Result</v>
      </c>
      <c r="R371" s="104" t="b">
        <f>IF(preDEL!$AG371,IFERROR(0/0,""),preDEL!R371)</f>
        <v>1</v>
      </c>
      <c r="S371" s="104">
        <f>IF(preDEL!$AG371,IFERROR(0/0,""),preDEL!S371)</f>
        <v>1</v>
      </c>
      <c r="T371" s="110">
        <f>IF(preDEL!$AG371,IFERROR(0/0,""),preDEL!T371)</f>
        <v>0</v>
      </c>
      <c r="U371" s="112" t="str">
        <f>IF(preDEL!$AG371,IFERROR(0/0,""),preDEL!U371)</f>
        <v/>
      </c>
      <c r="V371" s="105" t="str">
        <f>IF(preDEL!$AG371,IFERROR(0/0,""),preDEL!V371)</f>
        <v/>
      </c>
      <c r="W371" s="112" t="str">
        <f>IF(preDEL!$AG371,IFERROR(0/0,""),preDEL!W371)</f>
        <v/>
      </c>
      <c r="X371" s="104" t="b">
        <f>IF(preDEL!$AG371,IFERROR(0/0,""),preDEL!X371)</f>
        <v>0</v>
      </c>
      <c r="Y371" s="110" t="b">
        <f>IF(preDEL!$AG371,IFERROR(0/0,""),preDEL!Y371)</f>
        <v>0</v>
      </c>
      <c r="Z371" s="105" t="str">
        <f>IF(preDEL!$AG371,IFERROR(0/0,""),preDEL!Z371)</f>
        <v/>
      </c>
      <c r="AA371" s="110" t="b">
        <f>IF(preDEL!$AG371,IFERROR(0/0,""),preDEL!AA371)</f>
        <v>0</v>
      </c>
      <c r="AB371" s="110" t="b">
        <f>IF(preDEL!$AG371,IFERROR(0/0,""),preDEL!AB371)</f>
        <v>0</v>
      </c>
      <c r="AC371" s="172">
        <f>IF(preDEL!$AG371,IFERROR(0/0,""),preDEL!AC371)</f>
        <v>437</v>
      </c>
      <c r="AD371" s="104" t="b">
        <f>IF(preDEL!$AG371,IFERROR(0/0,""),preDEL!AD371)</f>
        <v>0</v>
      </c>
      <c r="AE371" s="173">
        <f>IF(preDEL!$AG371,IFERROR(0/0,""),preDEL!AE371)</f>
        <v>128.95</v>
      </c>
      <c r="AF371" s="110" t="b">
        <f>IF(preDEL!$AG371,IFERROR(0/0,""),preDEL!AF371)</f>
        <v>0</v>
      </c>
      <c r="AG371" s="110" t="b">
        <f>IF(preDEL!$AG371,IFERROR(0/0,""),preDEL!AG371)</f>
        <v>0</v>
      </c>
      <c r="AH371" s="104" t="str">
        <f>IF(preDEL!$AG371,IFERROR(0/0,""),preDEL!AH371)</f>
        <v/>
      </c>
      <c r="AI371" s="105" t="str">
        <f>IF(preDEL!$AG371,IFERROR(0/0,""),preDEL!AI371)</f>
        <v/>
      </c>
      <c r="AJ371" s="112" t="str">
        <f>IF(preDEL!$AG371,IFERROR(0/0,""),preDEL!AJ371)</f>
        <v/>
      </c>
      <c r="AK371" s="105" t="str">
        <f>IF(preDEL!$AG371,IFERROR(0/0,""),preDEL!AK371)</f>
        <v>Negative</v>
      </c>
      <c r="AL371" s="112" t="str">
        <f>IF(preDEL!$AG371,IFERROR(0/0,""),preDEL!AL371)</f>
        <v/>
      </c>
      <c r="AM371" s="112" t="str">
        <f>IF(preDEL!$AG371,IFERROR(0/0,""),preDEL!AM371)</f>
        <v>SpBEND394154</v>
      </c>
      <c r="AN371" s="112" t="str">
        <f>IF(preDEL!$AG371,IFERROR(0/0,""),preDEL!AN371)</f>
        <v>BEND786181</v>
      </c>
      <c r="AO371" s="112" t="str">
        <f>IF(preDEL!$AG371,IFERROR(0/0,""),preDEL!AO371)</f>
        <v/>
      </c>
      <c r="AP371" s="112" t="str">
        <f>IF(preDEL!$AG371,IFERROR(0/0,""),preDEL!AP371)</f>
        <v/>
      </c>
      <c r="AQ371" s="112" t="str">
        <f>IF(preDEL!$AG371,IFERROR(0/0,""),preDEL!AQ371)</f>
        <v/>
      </c>
      <c r="AR371" s="112" t="str">
        <f>IF(preDEL!$AG371,IFERROR(0/0,""),preDEL!AR371)</f>
        <v/>
      </c>
      <c r="AS371" s="112" t="str">
        <f>IF(preDEL!$AG371,IFERROR(0/0,""),preDEL!AS371)</f>
        <v/>
      </c>
      <c r="AT371" s="112" t="b">
        <f>IF(preDEL!$AG371,IFERROR(0/0,""),preDEL!AT371)</f>
        <v>0</v>
      </c>
      <c r="AU371" s="112" t="str">
        <f>IF(preDEL!$AG371,IFERROR(0/0,""),preDEL!AU371)</f>
        <v/>
      </c>
      <c r="AV371" s="112" t="str">
        <f>IF(preDEL!$AG371,IFERROR(0/0,""),preDEL!AV371)</f>
        <v/>
      </c>
      <c r="AW371" s="112" t="str">
        <f>IF(preDEL!$AG371,IFERROR(0/0,""),preDEL!AW371)</f>
        <v/>
      </c>
      <c r="AX371" s="112" t="str">
        <f>IF(preDEL!$AG371,IFERROR(0/0,""),preDEL!AX371)</f>
        <v/>
      </c>
      <c r="AY371" s="112" t="str">
        <f>IF(preDEL!$AG371,IFERROR(0/0,""),preDEL!AY371)</f>
        <v/>
      </c>
      <c r="AZ371" s="174"/>
      <c r="BA371" s="174"/>
      <c r="BB371" s="174"/>
      <c r="BC371" s="174"/>
      <c r="BD371" s="174"/>
      <c r="BE371" s="174"/>
      <c r="BF371" s="174"/>
      <c r="BG371" s="174"/>
      <c r="BH371" s="174"/>
      <c r="BI371" s="174"/>
      <c r="BJ371" s="174"/>
      <c r="BK371" s="174"/>
      <c r="BL371" s="174"/>
      <c r="BM371" s="174"/>
      <c r="BN371" s="174"/>
      <c r="BO371" s="174"/>
      <c r="BP371" s="174"/>
      <c r="BQ371" s="174"/>
      <c r="BR371" s="174"/>
      <c r="BS371" s="174"/>
      <c r="BT371" s="174"/>
      <c r="BU371" s="174"/>
      <c r="BV371" s="174"/>
      <c r="BW371" s="174"/>
      <c r="BX371" s="174"/>
      <c r="BY371" s="174"/>
      <c r="BZ371" s="174"/>
      <c r="CA371" s="174"/>
      <c r="CB371" s="174"/>
      <c r="CC371" s="174"/>
      <c r="CD371" s="174"/>
    </row>
    <row r="372">
      <c r="A372" s="105" t="str">
        <f>IF(preDEL!$AG372,IFERROR(0/0,""),preDEL!A372)</f>
        <v>MA203</v>
      </c>
      <c r="B372" s="170">
        <f>IF(preDEL!$AG372,IFERROR(0/0,""),preDEL!B372)</f>
        <v>44603</v>
      </c>
      <c r="C372" s="171">
        <f>IF(preDEL!$AG372,IFERROR(0/0,""),preDEL!C372)</f>
        <v>0.2881018519</v>
      </c>
      <c r="D372" s="105" t="str">
        <f>IF(preDEL!$AG372,IFERROR(0/0,""),preDEL!D372)</f>
        <v/>
      </c>
      <c r="E372" s="105" t="str">
        <f>IF(preDEL!$AG372,IFERROR(0/0,""),preDEL!E372)</f>
        <v/>
      </c>
      <c r="F372" s="112" t="str">
        <f>IF(preDEL!$AG372,IFERROR(0/0,""),preDEL!F372)</f>
        <v/>
      </c>
      <c r="G372" s="112" t="str">
        <f>IF(preDEL!$AG372,IFERROR(0/0,""),preDEL!G372)</f>
        <v/>
      </c>
      <c r="H372" s="112" t="str">
        <f>IF(preDEL!$AG372,IFERROR(0/0,""),preDEL!H372)</f>
        <v/>
      </c>
      <c r="I372" s="105" t="str">
        <f>IF(preDEL!$AG372,IFERROR(0/0,""),preDEL!I372)</f>
        <v/>
      </c>
      <c r="J372" s="105" t="str">
        <f>IF(preDEL!$AG372,IFERROR(0/0,""),preDEL!J372)</f>
        <v/>
      </c>
      <c r="K372" s="105" t="str">
        <f>IF(preDEL!$AG372,IFERROR(0/0,""),preDEL!K372)</f>
        <v>Negative</v>
      </c>
      <c r="L372" s="170">
        <f>IF(preDEL!$AG372,IFERROR(0/0,""),preDEL!L372)</f>
        <v>44603</v>
      </c>
      <c r="M372" s="171">
        <f>IF(preDEL!$AG372,IFERROR(0/0,""),preDEL!M372)</f>
        <v>0.4697916667</v>
      </c>
      <c r="N372" s="112" t="str">
        <f>IF(preDEL!$AG372,IFERROR(0/0,""),preDEL!N372)</f>
        <v/>
      </c>
      <c r="O372" s="112" t="str">
        <f>IF(preDEL!$AG372,IFERROR(0/0,""),preDEL!O372)</f>
        <v/>
      </c>
      <c r="P372" s="110" t="b">
        <f>IF(preDEL!$AG372,IFERROR(0/0,""),preDEL!P372)</f>
        <v>0</v>
      </c>
      <c r="Q372" s="110" t="str">
        <f>IF(preDEL!$AG372,IFERROR(0/0,""),preDEL!Q372)</f>
        <v>Result</v>
      </c>
      <c r="R372" s="104" t="b">
        <f>IF(preDEL!$AG372,IFERROR(0/0,""),preDEL!R372)</f>
        <v>1</v>
      </c>
      <c r="S372" s="104">
        <f>IF(preDEL!$AG372,IFERROR(0/0,""),preDEL!S372)</f>
        <v>1</v>
      </c>
      <c r="T372" s="110" t="str">
        <f>IF(preDEL!$AG372,IFERROR(0/0,""),preDEL!T372)</f>
        <v/>
      </c>
      <c r="U372" s="112" t="str">
        <f>IF(preDEL!$AG372,IFERROR(0/0,""),preDEL!U372)</f>
        <v/>
      </c>
      <c r="V372" s="105" t="str">
        <f>IF(preDEL!$AG372,IFERROR(0/0,""),preDEL!V372)</f>
        <v/>
      </c>
      <c r="W372" s="112" t="str">
        <f>IF(preDEL!$AG372,IFERROR(0/0,""),preDEL!W372)</f>
        <v/>
      </c>
      <c r="X372" s="104" t="b">
        <f>IF(preDEL!$AG372,IFERROR(0/0,""),preDEL!X372)</f>
        <v>0</v>
      </c>
      <c r="Y372" s="110" t="b">
        <f>IF(preDEL!$AG372,IFERROR(0/0,""),preDEL!Y372)</f>
        <v>0</v>
      </c>
      <c r="Z372" s="105" t="str">
        <f>IF(preDEL!$AG372,IFERROR(0/0,""),preDEL!Z372)</f>
        <v/>
      </c>
      <c r="AA372" s="110" t="b">
        <f>IF(preDEL!$AG372,IFERROR(0/0,""),preDEL!AA372)</f>
        <v>0</v>
      </c>
      <c r="AB372" s="110" t="b">
        <f>IF(preDEL!$AG372,IFERROR(0/0,""),preDEL!AB372)</f>
        <v>0</v>
      </c>
      <c r="AC372" s="172">
        <f>IF(preDEL!$AG372,IFERROR(0/0,""),preDEL!AC372)</f>
        <v>436</v>
      </c>
      <c r="AD372" s="104" t="b">
        <f>IF(preDEL!$AG372,IFERROR(0/0,""),preDEL!AD372)</f>
        <v>0</v>
      </c>
      <c r="AE372" s="173">
        <f>IF(preDEL!$AG372,IFERROR(0/0,""),preDEL!AE372)</f>
        <v>261.6333333</v>
      </c>
      <c r="AF372" s="110" t="b">
        <f>IF(preDEL!$AG372,IFERROR(0/0,""),preDEL!AF372)</f>
        <v>0</v>
      </c>
      <c r="AG372" s="110" t="b">
        <f>IF(preDEL!$AG372,IFERROR(0/0,""),preDEL!AG372)</f>
        <v>0</v>
      </c>
      <c r="AH372" s="104" t="str">
        <f>IF(preDEL!$AG372,IFERROR(0/0,""),preDEL!AH372)</f>
        <v/>
      </c>
      <c r="AI372" s="105" t="str">
        <f>IF(preDEL!$AG372,IFERROR(0/0,""),preDEL!AI372)</f>
        <v/>
      </c>
      <c r="AJ372" s="112" t="str">
        <f>IF(preDEL!$AG372,IFERROR(0/0,""),preDEL!AJ372)</f>
        <v/>
      </c>
      <c r="AK372" s="105" t="str">
        <f>IF(preDEL!$AG372,IFERROR(0/0,""),preDEL!AK372)</f>
        <v>Negative</v>
      </c>
      <c r="AL372" s="112" t="str">
        <f>IF(preDEL!$AG372,IFERROR(0/0,""),preDEL!AL372)</f>
        <v/>
      </c>
      <c r="AM372" s="112" t="str">
        <f>IF(preDEL!$AG372,IFERROR(0/0,""),preDEL!AM372)</f>
        <v>SpBEND528248</v>
      </c>
      <c r="AN372" s="112" t="str">
        <f>IF(preDEL!$AG372,IFERROR(0/0,""),preDEL!AN372)</f>
        <v>BEND229530</v>
      </c>
      <c r="AO372" s="112" t="str">
        <f>IF(preDEL!$AG372,IFERROR(0/0,""),preDEL!AO372)</f>
        <v/>
      </c>
      <c r="AP372" s="112" t="str">
        <f>IF(preDEL!$AG372,IFERROR(0/0,""),preDEL!AP372)</f>
        <v/>
      </c>
      <c r="AQ372" s="112" t="str">
        <f>IF(preDEL!$AG372,IFERROR(0/0,""),preDEL!AQ372)</f>
        <v/>
      </c>
      <c r="AR372" s="112" t="str">
        <f>IF(preDEL!$AG372,IFERROR(0/0,""),preDEL!AR372)</f>
        <v/>
      </c>
      <c r="AS372" s="112" t="str">
        <f>IF(preDEL!$AG372,IFERROR(0/0,""),preDEL!AS372)</f>
        <v/>
      </c>
      <c r="AT372" s="112" t="b">
        <f>IF(preDEL!$AG372,IFERROR(0/0,""),preDEL!AT372)</f>
        <v>0</v>
      </c>
      <c r="AU372" s="112" t="str">
        <f>IF(preDEL!$AG372,IFERROR(0/0,""),preDEL!AU372)</f>
        <v/>
      </c>
      <c r="AV372" s="112" t="str">
        <f>IF(preDEL!$AG372,IFERROR(0/0,""),preDEL!AV372)</f>
        <v/>
      </c>
      <c r="AW372" s="112" t="str">
        <f>IF(preDEL!$AG372,IFERROR(0/0,""),preDEL!AW372)</f>
        <v/>
      </c>
      <c r="AX372" s="112" t="str">
        <f>IF(preDEL!$AG372,IFERROR(0/0,""),preDEL!AX372)</f>
        <v/>
      </c>
      <c r="AY372" s="112" t="str">
        <f>IF(preDEL!$AG372,IFERROR(0/0,""),preDEL!AY372)</f>
        <v/>
      </c>
      <c r="AZ372" s="174"/>
      <c r="BA372" s="174"/>
      <c r="BB372" s="174"/>
      <c r="BC372" s="174"/>
      <c r="BD372" s="174"/>
      <c r="BE372" s="174"/>
      <c r="BF372" s="174"/>
      <c r="BG372" s="174"/>
      <c r="BH372" s="174"/>
      <c r="BI372" s="174"/>
      <c r="BJ372" s="174"/>
      <c r="BK372" s="174"/>
      <c r="BL372" s="174"/>
      <c r="BM372" s="174"/>
      <c r="BN372" s="174"/>
      <c r="BO372" s="174"/>
      <c r="BP372" s="174"/>
      <c r="BQ372" s="174"/>
      <c r="BR372" s="174"/>
      <c r="BS372" s="174"/>
      <c r="BT372" s="174"/>
      <c r="BU372" s="174"/>
      <c r="BV372" s="174"/>
      <c r="BW372" s="174"/>
      <c r="BX372" s="174"/>
      <c r="BY372" s="174"/>
      <c r="BZ372" s="174"/>
      <c r="CA372" s="174"/>
      <c r="CB372" s="174"/>
      <c r="CC372" s="174"/>
      <c r="CD372" s="174"/>
    </row>
    <row r="373">
      <c r="A373" s="105" t="str">
        <f>IF(preDEL!$AG373,IFERROR(0/0,""),preDEL!A373)</f>
        <v>FM804</v>
      </c>
      <c r="B373" s="170">
        <f>IF(preDEL!$AG373,IFERROR(0/0,""),preDEL!B373)</f>
        <v>44603</v>
      </c>
      <c r="C373" s="171">
        <f>IF(preDEL!$AG373,IFERROR(0/0,""),preDEL!C373)</f>
        <v>0.3151736111</v>
      </c>
      <c r="D373" s="105" t="str">
        <f>IF(preDEL!$AG373,IFERROR(0/0,""),preDEL!D373)</f>
        <v/>
      </c>
      <c r="E373" s="105" t="str">
        <f>IF(preDEL!$AG373,IFERROR(0/0,""),preDEL!E373)</f>
        <v/>
      </c>
      <c r="F373" s="112" t="str">
        <f>IF(preDEL!$AG373,IFERROR(0/0,""),preDEL!F373)</f>
        <v/>
      </c>
      <c r="G373" s="112" t="str">
        <f>IF(preDEL!$AG373,IFERROR(0/0,""),preDEL!G373)</f>
        <v/>
      </c>
      <c r="H373" s="112" t="str">
        <f>IF(preDEL!$AG373,IFERROR(0/0,""),preDEL!H373)</f>
        <v/>
      </c>
      <c r="I373" s="105" t="str">
        <f>IF(preDEL!$AG373,IFERROR(0/0,""),preDEL!I373)</f>
        <v/>
      </c>
      <c r="J373" s="105" t="str">
        <f>IF(preDEL!$AG373,IFERROR(0/0,""),preDEL!J373)</f>
        <v/>
      </c>
      <c r="K373" s="105" t="str">
        <f>IF(preDEL!$AG373,IFERROR(0/0,""),preDEL!K373)</f>
        <v>Negative</v>
      </c>
      <c r="L373" s="170">
        <f>IF(preDEL!$AG373,IFERROR(0/0,""),preDEL!L373)</f>
        <v>44603</v>
      </c>
      <c r="M373" s="171">
        <f>IF(preDEL!$AG373,IFERROR(0/0,""),preDEL!M373)</f>
        <v>0.4697916667</v>
      </c>
      <c r="N373" s="112" t="str">
        <f>IF(preDEL!$AG373,IFERROR(0/0,""),preDEL!N373)</f>
        <v/>
      </c>
      <c r="O373" s="112" t="str">
        <f>IF(preDEL!$AG373,IFERROR(0/0,""),preDEL!O373)</f>
        <v/>
      </c>
      <c r="P373" s="110" t="b">
        <f>IF(preDEL!$AG373,IFERROR(0/0,""),preDEL!P373)</f>
        <v>0</v>
      </c>
      <c r="Q373" s="110" t="str">
        <f>IF(preDEL!$AG373,IFERROR(0/0,""),preDEL!Q373)</f>
        <v>Result</v>
      </c>
      <c r="R373" s="104" t="b">
        <f>IF(preDEL!$AG373,IFERROR(0/0,""),preDEL!R373)</f>
        <v>1</v>
      </c>
      <c r="S373" s="104">
        <f>IF(preDEL!$AG373,IFERROR(0/0,""),preDEL!S373)</f>
        <v>1</v>
      </c>
      <c r="T373" s="110" t="str">
        <f>IF(preDEL!$AG373,IFERROR(0/0,""),preDEL!T373)</f>
        <v/>
      </c>
      <c r="U373" s="112" t="str">
        <f>IF(preDEL!$AG373,IFERROR(0/0,""),preDEL!U373)</f>
        <v/>
      </c>
      <c r="V373" s="105" t="str">
        <f>IF(preDEL!$AG373,IFERROR(0/0,""),preDEL!V373)</f>
        <v/>
      </c>
      <c r="W373" s="112" t="str">
        <f>IF(preDEL!$AG373,IFERROR(0/0,""),preDEL!W373)</f>
        <v/>
      </c>
      <c r="X373" s="104" t="b">
        <f>IF(preDEL!$AG373,IFERROR(0/0,""),preDEL!X373)</f>
        <v>0</v>
      </c>
      <c r="Y373" s="110" t="b">
        <f>IF(preDEL!$AG373,IFERROR(0/0,""),preDEL!Y373)</f>
        <v>0</v>
      </c>
      <c r="Z373" s="105" t="str">
        <f>IF(preDEL!$AG373,IFERROR(0/0,""),preDEL!Z373)</f>
        <v/>
      </c>
      <c r="AA373" s="110" t="b">
        <f>IF(preDEL!$AG373,IFERROR(0/0,""),preDEL!AA373)</f>
        <v>0</v>
      </c>
      <c r="AB373" s="110" t="b">
        <f>IF(preDEL!$AG373,IFERROR(0/0,""),preDEL!AB373)</f>
        <v>0</v>
      </c>
      <c r="AC373" s="172">
        <f>IF(preDEL!$AG373,IFERROR(0/0,""),preDEL!AC373)</f>
        <v>435</v>
      </c>
      <c r="AD373" s="104" t="b">
        <f>IF(preDEL!$AG373,IFERROR(0/0,""),preDEL!AD373)</f>
        <v>0</v>
      </c>
      <c r="AE373" s="173">
        <f>IF(preDEL!$AG373,IFERROR(0/0,""),preDEL!AE373)</f>
        <v>222.65</v>
      </c>
      <c r="AF373" s="110" t="b">
        <f>IF(preDEL!$AG373,IFERROR(0/0,""),preDEL!AF373)</f>
        <v>0</v>
      </c>
      <c r="AG373" s="110" t="b">
        <f>IF(preDEL!$AG373,IFERROR(0/0,""),preDEL!AG373)</f>
        <v>0</v>
      </c>
      <c r="AH373" s="104" t="str">
        <f>IF(preDEL!$AG373,IFERROR(0/0,""),preDEL!AH373)</f>
        <v/>
      </c>
      <c r="AI373" s="105" t="str">
        <f>IF(preDEL!$AG373,IFERROR(0/0,""),preDEL!AI373)</f>
        <v/>
      </c>
      <c r="AJ373" s="112" t="str">
        <f>IF(preDEL!$AG373,IFERROR(0/0,""),preDEL!AJ373)</f>
        <v/>
      </c>
      <c r="AK373" s="105" t="str">
        <f>IF(preDEL!$AG373,IFERROR(0/0,""),preDEL!AK373)</f>
        <v>Negative</v>
      </c>
      <c r="AL373" s="112" t="str">
        <f>IF(preDEL!$AG373,IFERROR(0/0,""),preDEL!AL373)</f>
        <v/>
      </c>
      <c r="AM373" s="112" t="str">
        <f>IF(preDEL!$AG373,IFERROR(0/0,""),preDEL!AM373)</f>
        <v>SpBEND548976</v>
      </c>
      <c r="AN373" s="112" t="str">
        <f>IF(preDEL!$AG373,IFERROR(0/0,""),preDEL!AN373)</f>
        <v>BEND704851</v>
      </c>
      <c r="AO373" s="112" t="str">
        <f>IF(preDEL!$AG373,IFERROR(0/0,""),preDEL!AO373)</f>
        <v/>
      </c>
      <c r="AP373" s="112" t="str">
        <f>IF(preDEL!$AG373,IFERROR(0/0,""),preDEL!AP373)</f>
        <v/>
      </c>
      <c r="AQ373" s="112" t="str">
        <f>IF(preDEL!$AG373,IFERROR(0/0,""),preDEL!AQ373)</f>
        <v/>
      </c>
      <c r="AR373" s="112" t="str">
        <f>IF(preDEL!$AG373,IFERROR(0/0,""),preDEL!AR373)</f>
        <v/>
      </c>
      <c r="AS373" s="112" t="str">
        <f>IF(preDEL!$AG373,IFERROR(0/0,""),preDEL!AS373)</f>
        <v/>
      </c>
      <c r="AT373" s="112" t="b">
        <f>IF(preDEL!$AG373,IFERROR(0/0,""),preDEL!AT373)</f>
        <v>0</v>
      </c>
      <c r="AU373" s="112" t="str">
        <f>IF(preDEL!$AG373,IFERROR(0/0,""),preDEL!AU373)</f>
        <v/>
      </c>
      <c r="AV373" s="112" t="str">
        <f>IF(preDEL!$AG373,IFERROR(0/0,""),preDEL!AV373)</f>
        <v/>
      </c>
      <c r="AW373" s="112" t="str">
        <f>IF(preDEL!$AG373,IFERROR(0/0,""),preDEL!AW373)</f>
        <v/>
      </c>
      <c r="AX373" s="112" t="str">
        <f>IF(preDEL!$AG373,IFERROR(0/0,""),preDEL!AX373)</f>
        <v/>
      </c>
      <c r="AY373" s="112" t="str">
        <f>IF(preDEL!$AG373,IFERROR(0/0,""),preDEL!AY373)</f>
        <v/>
      </c>
      <c r="AZ373" s="174"/>
      <c r="BA373" s="174"/>
      <c r="BB373" s="174"/>
      <c r="BC373" s="174"/>
      <c r="BD373" s="174"/>
      <c r="BE373" s="174"/>
      <c r="BF373" s="174"/>
      <c r="BG373" s="174"/>
      <c r="BH373" s="174"/>
      <c r="BI373" s="174"/>
      <c r="BJ373" s="174"/>
      <c r="BK373" s="174"/>
      <c r="BL373" s="174"/>
      <c r="BM373" s="174"/>
      <c r="BN373" s="174"/>
      <c r="BO373" s="174"/>
      <c r="BP373" s="174"/>
      <c r="BQ373" s="174"/>
      <c r="BR373" s="174"/>
      <c r="BS373" s="174"/>
      <c r="BT373" s="174"/>
      <c r="BU373" s="174"/>
      <c r="BV373" s="174"/>
      <c r="BW373" s="174"/>
      <c r="BX373" s="174"/>
      <c r="BY373" s="174"/>
      <c r="BZ373" s="174"/>
      <c r="CA373" s="174"/>
      <c r="CB373" s="174"/>
      <c r="CC373" s="174"/>
      <c r="CD373" s="174"/>
    </row>
    <row r="374">
      <c r="A374" s="105" t="str">
        <f>IF(preDEL!$AG374,IFERROR(0/0,""),preDEL!A374)</f>
        <v>MA1233</v>
      </c>
      <c r="B374" s="170">
        <f>IF(preDEL!$AG374,IFERROR(0/0,""),preDEL!B374)</f>
        <v>44603</v>
      </c>
      <c r="C374" s="171">
        <f>IF(preDEL!$AG374,IFERROR(0/0,""),preDEL!C374)</f>
        <v>0.3179861111</v>
      </c>
      <c r="D374" s="105" t="str">
        <f>IF(preDEL!$AG374,IFERROR(0/0,""),preDEL!D374)</f>
        <v/>
      </c>
      <c r="E374" s="105" t="str">
        <f>IF(preDEL!$AG374,IFERROR(0/0,""),preDEL!E374)</f>
        <v/>
      </c>
      <c r="F374" s="112" t="str">
        <f>IF(preDEL!$AG374,IFERROR(0/0,""),preDEL!F374)</f>
        <v/>
      </c>
      <c r="G374" s="112" t="str">
        <f>IF(preDEL!$AG374,IFERROR(0/0,""),preDEL!G374)</f>
        <v/>
      </c>
      <c r="H374" s="112" t="str">
        <f>IF(preDEL!$AG374,IFERROR(0/0,""),preDEL!H374)</f>
        <v/>
      </c>
      <c r="I374" s="105" t="str">
        <f>IF(preDEL!$AG374,IFERROR(0/0,""),preDEL!I374)</f>
        <v/>
      </c>
      <c r="J374" s="105" t="str">
        <f>IF(preDEL!$AG374,IFERROR(0/0,""),preDEL!J374)</f>
        <v/>
      </c>
      <c r="K374" s="105" t="str">
        <f>IF(preDEL!$AG374,IFERROR(0/0,""),preDEL!K374)</f>
        <v>Negative</v>
      </c>
      <c r="L374" s="170">
        <f>IF(preDEL!$AG374,IFERROR(0/0,""),preDEL!L374)</f>
        <v>44603</v>
      </c>
      <c r="M374" s="171">
        <f>IF(preDEL!$AG374,IFERROR(0/0,""),preDEL!M374)</f>
        <v>0.4697916667</v>
      </c>
      <c r="N374" s="112" t="str">
        <f>IF(preDEL!$AG374,IFERROR(0/0,""),preDEL!N374)</f>
        <v/>
      </c>
      <c r="O374" s="112" t="str">
        <f>IF(preDEL!$AG374,IFERROR(0/0,""),preDEL!O374)</f>
        <v/>
      </c>
      <c r="P374" s="110" t="b">
        <f>IF(preDEL!$AG374,IFERROR(0/0,""),preDEL!P374)</f>
        <v>0</v>
      </c>
      <c r="Q374" s="110" t="str">
        <f>IF(preDEL!$AG374,IFERROR(0/0,""),preDEL!Q374)</f>
        <v>Result</v>
      </c>
      <c r="R374" s="104" t="b">
        <f>IF(preDEL!$AG374,IFERROR(0/0,""),preDEL!R374)</f>
        <v>1</v>
      </c>
      <c r="S374" s="104">
        <f>IF(preDEL!$AG374,IFERROR(0/0,""),preDEL!S374)</f>
        <v>1</v>
      </c>
      <c r="T374" s="110" t="str">
        <f>IF(preDEL!$AG374,IFERROR(0/0,""),preDEL!T374)</f>
        <v/>
      </c>
      <c r="U374" s="112" t="str">
        <f>IF(preDEL!$AG374,IFERROR(0/0,""),preDEL!U374)</f>
        <v/>
      </c>
      <c r="V374" s="105" t="str">
        <f>IF(preDEL!$AG374,IFERROR(0/0,""),preDEL!V374)</f>
        <v/>
      </c>
      <c r="W374" s="112" t="str">
        <f>IF(preDEL!$AG374,IFERROR(0/0,""),preDEL!W374)</f>
        <v/>
      </c>
      <c r="X374" s="104" t="b">
        <f>IF(preDEL!$AG374,IFERROR(0/0,""),preDEL!X374)</f>
        <v>0</v>
      </c>
      <c r="Y374" s="110" t="b">
        <f>IF(preDEL!$AG374,IFERROR(0/0,""),preDEL!Y374)</f>
        <v>0</v>
      </c>
      <c r="Z374" s="105" t="str">
        <f>IF(preDEL!$AG374,IFERROR(0/0,""),preDEL!Z374)</f>
        <v/>
      </c>
      <c r="AA374" s="110" t="b">
        <f>IF(preDEL!$AG374,IFERROR(0/0,""),preDEL!AA374)</f>
        <v>0</v>
      </c>
      <c r="AB374" s="110" t="b">
        <f>IF(preDEL!$AG374,IFERROR(0/0,""),preDEL!AB374)</f>
        <v>0</v>
      </c>
      <c r="AC374" s="172">
        <f>IF(preDEL!$AG374,IFERROR(0/0,""),preDEL!AC374)</f>
        <v>434</v>
      </c>
      <c r="AD374" s="104" t="b">
        <f>IF(preDEL!$AG374,IFERROR(0/0,""),preDEL!AD374)</f>
        <v>0</v>
      </c>
      <c r="AE374" s="173">
        <f>IF(preDEL!$AG374,IFERROR(0/0,""),preDEL!AE374)</f>
        <v>218.6</v>
      </c>
      <c r="AF374" s="110" t="b">
        <f>IF(preDEL!$AG374,IFERROR(0/0,""),preDEL!AF374)</f>
        <v>0</v>
      </c>
      <c r="AG374" s="110" t="b">
        <f>IF(preDEL!$AG374,IFERROR(0/0,""),preDEL!AG374)</f>
        <v>0</v>
      </c>
      <c r="AH374" s="104" t="str">
        <f>IF(preDEL!$AG374,IFERROR(0/0,""),preDEL!AH374)</f>
        <v/>
      </c>
      <c r="AI374" s="105" t="str">
        <f>IF(preDEL!$AG374,IFERROR(0/0,""),preDEL!AI374)</f>
        <v/>
      </c>
      <c r="AJ374" s="112" t="str">
        <f>IF(preDEL!$AG374,IFERROR(0/0,""),preDEL!AJ374)</f>
        <v/>
      </c>
      <c r="AK374" s="105" t="str">
        <f>IF(preDEL!$AG374,IFERROR(0/0,""),preDEL!AK374)</f>
        <v>Negative</v>
      </c>
      <c r="AL374" s="112" t="str">
        <f>IF(preDEL!$AG374,IFERROR(0/0,""),preDEL!AL374)</f>
        <v/>
      </c>
      <c r="AM374" s="112" t="str">
        <f>IF(preDEL!$AG374,IFERROR(0/0,""),preDEL!AM374)</f>
        <v>SpBEND492052</v>
      </c>
      <c r="AN374" s="112" t="str">
        <f>IF(preDEL!$AG374,IFERROR(0/0,""),preDEL!AN374)</f>
        <v>BEND350325</v>
      </c>
      <c r="AO374" s="112" t="str">
        <f>IF(preDEL!$AG374,IFERROR(0/0,""),preDEL!AO374)</f>
        <v/>
      </c>
      <c r="AP374" s="112" t="str">
        <f>IF(preDEL!$AG374,IFERROR(0/0,""),preDEL!AP374)</f>
        <v/>
      </c>
      <c r="AQ374" s="112" t="str">
        <f>IF(preDEL!$AG374,IFERROR(0/0,""),preDEL!AQ374)</f>
        <v/>
      </c>
      <c r="AR374" s="112" t="str">
        <f>IF(preDEL!$AG374,IFERROR(0/0,""),preDEL!AR374)</f>
        <v/>
      </c>
      <c r="AS374" s="112" t="str">
        <f>IF(preDEL!$AG374,IFERROR(0/0,""),preDEL!AS374)</f>
        <v/>
      </c>
      <c r="AT374" s="112" t="b">
        <f>IF(preDEL!$AG374,IFERROR(0/0,""),preDEL!AT374)</f>
        <v>0</v>
      </c>
      <c r="AU374" s="112" t="str">
        <f>IF(preDEL!$AG374,IFERROR(0/0,""),preDEL!AU374)</f>
        <v/>
      </c>
      <c r="AV374" s="112" t="str">
        <f>IF(preDEL!$AG374,IFERROR(0/0,""),preDEL!AV374)</f>
        <v/>
      </c>
      <c r="AW374" s="112" t="str">
        <f>IF(preDEL!$AG374,IFERROR(0/0,""),preDEL!AW374)</f>
        <v/>
      </c>
      <c r="AX374" s="112" t="str">
        <f>IF(preDEL!$AG374,IFERROR(0/0,""),preDEL!AX374)</f>
        <v/>
      </c>
      <c r="AY374" s="112" t="str">
        <f>IF(preDEL!$AG374,IFERROR(0/0,""),preDEL!AY374)</f>
        <v/>
      </c>
      <c r="AZ374" s="174"/>
      <c r="BA374" s="174"/>
      <c r="BB374" s="174"/>
      <c r="BC374" s="174"/>
      <c r="BD374" s="174"/>
      <c r="BE374" s="174"/>
      <c r="BF374" s="174"/>
      <c r="BG374" s="174"/>
      <c r="BH374" s="174"/>
      <c r="BI374" s="174"/>
      <c r="BJ374" s="174"/>
      <c r="BK374" s="174"/>
      <c r="BL374" s="174"/>
      <c r="BM374" s="174"/>
      <c r="BN374" s="174"/>
      <c r="BO374" s="174"/>
      <c r="BP374" s="174"/>
      <c r="BQ374" s="174"/>
      <c r="BR374" s="174"/>
      <c r="BS374" s="174"/>
      <c r="BT374" s="174"/>
      <c r="BU374" s="174"/>
      <c r="BV374" s="174"/>
      <c r="BW374" s="174"/>
      <c r="BX374" s="174"/>
      <c r="BY374" s="174"/>
      <c r="BZ374" s="174"/>
      <c r="CA374" s="174"/>
      <c r="CB374" s="174"/>
      <c r="CC374" s="174"/>
      <c r="CD374" s="174"/>
    </row>
    <row r="375">
      <c r="A375" s="105" t="str">
        <f>IF(preDEL!$AG375,IFERROR(0/0,""),preDEL!A375)</f>
        <v>FM90</v>
      </c>
      <c r="B375" s="170">
        <f>IF(preDEL!$AG375,IFERROR(0/0,""),preDEL!B375)</f>
        <v>44603</v>
      </c>
      <c r="C375" s="171">
        <f>IF(preDEL!$AG375,IFERROR(0/0,""),preDEL!C375)</f>
        <v>0.3190972222</v>
      </c>
      <c r="D375" s="105" t="str">
        <f>IF(preDEL!$AG375,IFERROR(0/0,""),preDEL!D375)</f>
        <v/>
      </c>
      <c r="E375" s="105" t="str">
        <f>IF(preDEL!$AG375,IFERROR(0/0,""),preDEL!E375)</f>
        <v/>
      </c>
      <c r="F375" s="112" t="str">
        <f>IF(preDEL!$AG375,IFERROR(0/0,""),preDEL!F375)</f>
        <v/>
      </c>
      <c r="G375" s="112" t="str">
        <f>IF(preDEL!$AG375,IFERROR(0/0,""),preDEL!G375)</f>
        <v/>
      </c>
      <c r="H375" s="112" t="str">
        <f>IF(preDEL!$AG375,IFERROR(0/0,""),preDEL!H375)</f>
        <v/>
      </c>
      <c r="I375" s="105" t="str">
        <f>IF(preDEL!$AG375,IFERROR(0/0,""),preDEL!I375)</f>
        <v/>
      </c>
      <c r="J375" s="105" t="str">
        <f>IF(preDEL!$AG375,IFERROR(0/0,""),preDEL!J375)</f>
        <v/>
      </c>
      <c r="K375" s="105" t="str">
        <f>IF(preDEL!$AG375,IFERROR(0/0,""),preDEL!K375)</f>
        <v>Negative</v>
      </c>
      <c r="L375" s="170">
        <f>IF(preDEL!$AG375,IFERROR(0/0,""),preDEL!L375)</f>
        <v>44603</v>
      </c>
      <c r="M375" s="171">
        <f>IF(preDEL!$AG375,IFERROR(0/0,""),preDEL!M375)</f>
        <v>0.4697916667</v>
      </c>
      <c r="N375" s="112" t="str">
        <f>IF(preDEL!$AG375,IFERROR(0/0,""),preDEL!N375)</f>
        <v/>
      </c>
      <c r="O375" s="112" t="str">
        <f>IF(preDEL!$AG375,IFERROR(0/0,""),preDEL!O375)</f>
        <v/>
      </c>
      <c r="P375" s="110" t="b">
        <f>IF(preDEL!$AG375,IFERROR(0/0,""),preDEL!P375)</f>
        <v>0</v>
      </c>
      <c r="Q375" s="110" t="str">
        <f>IF(preDEL!$AG375,IFERROR(0/0,""),preDEL!Q375)</f>
        <v>Result</v>
      </c>
      <c r="R375" s="104" t="b">
        <f>IF(preDEL!$AG375,IFERROR(0/0,""),preDEL!R375)</f>
        <v>1</v>
      </c>
      <c r="S375" s="104">
        <f>IF(preDEL!$AG375,IFERROR(0/0,""),preDEL!S375)</f>
        <v>1</v>
      </c>
      <c r="T375" s="110" t="str">
        <f>IF(preDEL!$AG375,IFERROR(0/0,""),preDEL!T375)</f>
        <v/>
      </c>
      <c r="U375" s="112" t="str">
        <f>IF(preDEL!$AG375,IFERROR(0/0,""),preDEL!U375)</f>
        <v/>
      </c>
      <c r="V375" s="105" t="str">
        <f>IF(preDEL!$AG375,IFERROR(0/0,""),preDEL!V375)</f>
        <v/>
      </c>
      <c r="W375" s="112" t="str">
        <f>IF(preDEL!$AG375,IFERROR(0/0,""),preDEL!W375)</f>
        <v/>
      </c>
      <c r="X375" s="104" t="b">
        <f>IF(preDEL!$AG375,IFERROR(0/0,""),preDEL!X375)</f>
        <v>0</v>
      </c>
      <c r="Y375" s="110" t="b">
        <f>IF(preDEL!$AG375,IFERROR(0/0,""),preDEL!Y375)</f>
        <v>0</v>
      </c>
      <c r="Z375" s="105" t="str">
        <f>IF(preDEL!$AG375,IFERROR(0/0,""),preDEL!Z375)</f>
        <v/>
      </c>
      <c r="AA375" s="110" t="b">
        <f>IF(preDEL!$AG375,IFERROR(0/0,""),preDEL!AA375)</f>
        <v>0</v>
      </c>
      <c r="AB375" s="110" t="b">
        <f>IF(preDEL!$AG375,IFERROR(0/0,""),preDEL!AB375)</f>
        <v>0</v>
      </c>
      <c r="AC375" s="172">
        <f>IF(preDEL!$AG375,IFERROR(0/0,""),preDEL!AC375)</f>
        <v>433</v>
      </c>
      <c r="AD375" s="104" t="b">
        <f>IF(preDEL!$AG375,IFERROR(0/0,""),preDEL!AD375)</f>
        <v>0</v>
      </c>
      <c r="AE375" s="173">
        <f>IF(preDEL!$AG375,IFERROR(0/0,""),preDEL!AE375)</f>
        <v>217</v>
      </c>
      <c r="AF375" s="110" t="b">
        <f>IF(preDEL!$AG375,IFERROR(0/0,""),preDEL!AF375)</f>
        <v>0</v>
      </c>
      <c r="AG375" s="110" t="b">
        <f>IF(preDEL!$AG375,IFERROR(0/0,""),preDEL!AG375)</f>
        <v>0</v>
      </c>
      <c r="AH375" s="104" t="str">
        <f>IF(preDEL!$AG375,IFERROR(0/0,""),preDEL!AH375)</f>
        <v/>
      </c>
      <c r="AI375" s="105" t="str">
        <f>IF(preDEL!$AG375,IFERROR(0/0,""),preDEL!AI375)</f>
        <v/>
      </c>
      <c r="AJ375" s="112" t="str">
        <f>IF(preDEL!$AG375,IFERROR(0/0,""),preDEL!AJ375)</f>
        <v/>
      </c>
      <c r="AK375" s="105" t="str">
        <f>IF(preDEL!$AG375,IFERROR(0/0,""),preDEL!AK375)</f>
        <v>Negative</v>
      </c>
      <c r="AL375" s="112" t="str">
        <f>IF(preDEL!$AG375,IFERROR(0/0,""),preDEL!AL375)</f>
        <v/>
      </c>
      <c r="AM375" s="112" t="str">
        <f>IF(preDEL!$AG375,IFERROR(0/0,""),preDEL!AM375)</f>
        <v>SpBEND349435</v>
      </c>
      <c r="AN375" s="112" t="str">
        <f>IF(preDEL!$AG375,IFERROR(0/0,""),preDEL!AN375)</f>
        <v>BEND759602</v>
      </c>
      <c r="AO375" s="112" t="str">
        <f>IF(preDEL!$AG375,IFERROR(0/0,""),preDEL!AO375)</f>
        <v/>
      </c>
      <c r="AP375" s="112" t="str">
        <f>IF(preDEL!$AG375,IFERROR(0/0,""),preDEL!AP375)</f>
        <v/>
      </c>
      <c r="AQ375" s="112" t="str">
        <f>IF(preDEL!$AG375,IFERROR(0/0,""),preDEL!AQ375)</f>
        <v/>
      </c>
      <c r="AR375" s="112" t="str">
        <f>IF(preDEL!$AG375,IFERROR(0/0,""),preDEL!AR375)</f>
        <v/>
      </c>
      <c r="AS375" s="112" t="str">
        <f>IF(preDEL!$AG375,IFERROR(0/0,""),preDEL!AS375)</f>
        <v/>
      </c>
      <c r="AT375" s="112" t="b">
        <f>IF(preDEL!$AG375,IFERROR(0/0,""),preDEL!AT375)</f>
        <v>0</v>
      </c>
      <c r="AU375" s="112" t="str">
        <f>IF(preDEL!$AG375,IFERROR(0/0,""),preDEL!AU375)</f>
        <v/>
      </c>
      <c r="AV375" s="112" t="str">
        <f>IF(preDEL!$AG375,IFERROR(0/0,""),preDEL!AV375)</f>
        <v/>
      </c>
      <c r="AW375" s="112" t="str">
        <f>IF(preDEL!$AG375,IFERROR(0/0,""),preDEL!AW375)</f>
        <v/>
      </c>
      <c r="AX375" s="112" t="str">
        <f>IF(preDEL!$AG375,IFERROR(0/0,""),preDEL!AX375)</f>
        <v/>
      </c>
      <c r="AY375" s="112" t="str">
        <f>IF(preDEL!$AG375,IFERROR(0/0,""),preDEL!AY375)</f>
        <v/>
      </c>
      <c r="AZ375" s="174"/>
      <c r="BA375" s="174"/>
      <c r="BB375" s="174"/>
      <c r="BC375" s="174"/>
      <c r="BD375" s="174"/>
      <c r="BE375" s="174"/>
      <c r="BF375" s="174"/>
      <c r="BG375" s="174"/>
      <c r="BH375" s="174"/>
      <c r="BI375" s="174"/>
      <c r="BJ375" s="174"/>
      <c r="BK375" s="174"/>
      <c r="BL375" s="174"/>
      <c r="BM375" s="174"/>
      <c r="BN375" s="174"/>
      <c r="BO375" s="174"/>
      <c r="BP375" s="174"/>
      <c r="BQ375" s="174"/>
      <c r="BR375" s="174"/>
      <c r="BS375" s="174"/>
      <c r="BT375" s="174"/>
      <c r="BU375" s="174"/>
      <c r="BV375" s="174"/>
      <c r="BW375" s="174"/>
      <c r="BX375" s="174"/>
      <c r="BY375" s="174"/>
      <c r="BZ375" s="174"/>
      <c r="CA375" s="174"/>
      <c r="CB375" s="174"/>
      <c r="CC375" s="174"/>
      <c r="CD375" s="174"/>
    </row>
    <row r="376">
      <c r="A376" s="105" t="str">
        <f>IF(preDEL!$AG376,IFERROR(0/0,""),preDEL!A376)</f>
        <v>FM71</v>
      </c>
      <c r="B376" s="170">
        <f>IF(preDEL!$AG376,IFERROR(0/0,""),preDEL!B376)</f>
        <v>44603</v>
      </c>
      <c r="C376" s="171">
        <f>IF(preDEL!$AG376,IFERROR(0/0,""),preDEL!C376)</f>
        <v>0.3376851852</v>
      </c>
      <c r="D376" s="105" t="str">
        <f>IF(preDEL!$AG376,IFERROR(0/0,""),preDEL!D376)</f>
        <v/>
      </c>
      <c r="E376" s="105" t="str">
        <f>IF(preDEL!$AG376,IFERROR(0/0,""),preDEL!E376)</f>
        <v/>
      </c>
      <c r="F376" s="112" t="str">
        <f>IF(preDEL!$AG376,IFERROR(0/0,""),preDEL!F376)</f>
        <v/>
      </c>
      <c r="G376" s="112" t="str">
        <f>IF(preDEL!$AG376,IFERROR(0/0,""),preDEL!G376)</f>
        <v/>
      </c>
      <c r="H376" s="112" t="str">
        <f>IF(preDEL!$AG376,IFERROR(0/0,""),preDEL!H376)</f>
        <v/>
      </c>
      <c r="I376" s="105" t="str">
        <f>IF(preDEL!$AG376,IFERROR(0/0,""),preDEL!I376)</f>
        <v/>
      </c>
      <c r="J376" s="105" t="str">
        <f>IF(preDEL!$AG376,IFERROR(0/0,""),preDEL!J376)</f>
        <v/>
      </c>
      <c r="K376" s="105" t="str">
        <f>IF(preDEL!$AG376,IFERROR(0/0,""),preDEL!K376)</f>
        <v>Negative</v>
      </c>
      <c r="L376" s="170">
        <f>IF(preDEL!$AG376,IFERROR(0/0,""),preDEL!L376)</f>
        <v>44603</v>
      </c>
      <c r="M376" s="171">
        <f>IF(preDEL!$AG376,IFERROR(0/0,""),preDEL!M376)</f>
        <v>0.4697916667</v>
      </c>
      <c r="N376" s="112" t="str">
        <f>IF(preDEL!$AG376,IFERROR(0/0,""),preDEL!N376)</f>
        <v/>
      </c>
      <c r="O376" s="112" t="str">
        <f>IF(preDEL!$AG376,IFERROR(0/0,""),preDEL!O376)</f>
        <v/>
      </c>
      <c r="P376" s="110" t="b">
        <f>IF(preDEL!$AG376,IFERROR(0/0,""),preDEL!P376)</f>
        <v>0</v>
      </c>
      <c r="Q376" s="110" t="str">
        <f>IF(preDEL!$AG376,IFERROR(0/0,""),preDEL!Q376)</f>
        <v>Result</v>
      </c>
      <c r="R376" s="104" t="b">
        <f>IF(preDEL!$AG376,IFERROR(0/0,""),preDEL!R376)</f>
        <v>1</v>
      </c>
      <c r="S376" s="104">
        <f>IF(preDEL!$AG376,IFERROR(0/0,""),preDEL!S376)</f>
        <v>1</v>
      </c>
      <c r="T376" s="110" t="str">
        <f>IF(preDEL!$AG376,IFERROR(0/0,""),preDEL!T376)</f>
        <v/>
      </c>
      <c r="U376" s="112" t="str">
        <f>IF(preDEL!$AG376,IFERROR(0/0,""),preDEL!U376)</f>
        <v/>
      </c>
      <c r="V376" s="105" t="str">
        <f>IF(preDEL!$AG376,IFERROR(0/0,""),preDEL!V376)</f>
        <v/>
      </c>
      <c r="W376" s="112" t="str">
        <f>IF(preDEL!$AG376,IFERROR(0/0,""),preDEL!W376)</f>
        <v/>
      </c>
      <c r="X376" s="104" t="b">
        <f>IF(preDEL!$AG376,IFERROR(0/0,""),preDEL!X376)</f>
        <v>0</v>
      </c>
      <c r="Y376" s="110" t="b">
        <f>IF(preDEL!$AG376,IFERROR(0/0,""),preDEL!Y376)</f>
        <v>0</v>
      </c>
      <c r="Z376" s="105" t="str">
        <f>IF(preDEL!$AG376,IFERROR(0/0,""),preDEL!Z376)</f>
        <v/>
      </c>
      <c r="AA376" s="110" t="b">
        <f>IF(preDEL!$AG376,IFERROR(0/0,""),preDEL!AA376)</f>
        <v>0</v>
      </c>
      <c r="AB376" s="110" t="b">
        <f>IF(preDEL!$AG376,IFERROR(0/0,""),preDEL!AB376)</f>
        <v>0</v>
      </c>
      <c r="AC376" s="172">
        <f>IF(preDEL!$AG376,IFERROR(0/0,""),preDEL!AC376)</f>
        <v>432</v>
      </c>
      <c r="AD376" s="104" t="b">
        <f>IF(preDEL!$AG376,IFERROR(0/0,""),preDEL!AD376)</f>
        <v>0</v>
      </c>
      <c r="AE376" s="173">
        <f>IF(preDEL!$AG376,IFERROR(0/0,""),preDEL!AE376)</f>
        <v>190.2333333</v>
      </c>
      <c r="AF376" s="110" t="b">
        <f>IF(preDEL!$AG376,IFERROR(0/0,""),preDEL!AF376)</f>
        <v>0</v>
      </c>
      <c r="AG376" s="110" t="b">
        <f>IF(preDEL!$AG376,IFERROR(0/0,""),preDEL!AG376)</f>
        <v>0</v>
      </c>
      <c r="AH376" s="104" t="str">
        <f>IF(preDEL!$AG376,IFERROR(0/0,""),preDEL!AH376)</f>
        <v/>
      </c>
      <c r="AI376" s="105" t="str">
        <f>IF(preDEL!$AG376,IFERROR(0/0,""),preDEL!AI376)</f>
        <v/>
      </c>
      <c r="AJ376" s="112" t="str">
        <f>IF(preDEL!$AG376,IFERROR(0/0,""),preDEL!AJ376)</f>
        <v/>
      </c>
      <c r="AK376" s="105" t="str">
        <f>IF(preDEL!$AG376,IFERROR(0/0,""),preDEL!AK376)</f>
        <v>Negative</v>
      </c>
      <c r="AL376" s="112" t="str">
        <f>IF(preDEL!$AG376,IFERROR(0/0,""),preDEL!AL376)</f>
        <v/>
      </c>
      <c r="AM376" s="112" t="str">
        <f>IF(preDEL!$AG376,IFERROR(0/0,""),preDEL!AM376)</f>
        <v>SpBEND768497</v>
      </c>
      <c r="AN376" s="112" t="str">
        <f>IF(preDEL!$AG376,IFERROR(0/0,""),preDEL!AN376)</f>
        <v>BEND900381</v>
      </c>
      <c r="AO376" s="112" t="str">
        <f>IF(preDEL!$AG376,IFERROR(0/0,""),preDEL!AO376)</f>
        <v/>
      </c>
      <c r="AP376" s="112" t="str">
        <f>IF(preDEL!$AG376,IFERROR(0/0,""),preDEL!AP376)</f>
        <v/>
      </c>
      <c r="AQ376" s="112" t="str">
        <f>IF(preDEL!$AG376,IFERROR(0/0,""),preDEL!AQ376)</f>
        <v/>
      </c>
      <c r="AR376" s="112" t="str">
        <f>IF(preDEL!$AG376,IFERROR(0/0,""),preDEL!AR376)</f>
        <v/>
      </c>
      <c r="AS376" s="112" t="str">
        <f>IF(preDEL!$AG376,IFERROR(0/0,""),preDEL!AS376)</f>
        <v/>
      </c>
      <c r="AT376" s="112" t="b">
        <f>IF(preDEL!$AG376,IFERROR(0/0,""),preDEL!AT376)</f>
        <v>0</v>
      </c>
      <c r="AU376" s="112" t="str">
        <f>IF(preDEL!$AG376,IFERROR(0/0,""),preDEL!AU376)</f>
        <v/>
      </c>
      <c r="AV376" s="112" t="str">
        <f>IF(preDEL!$AG376,IFERROR(0/0,""),preDEL!AV376)</f>
        <v/>
      </c>
      <c r="AW376" s="112" t="str">
        <f>IF(preDEL!$AG376,IFERROR(0/0,""),preDEL!AW376)</f>
        <v/>
      </c>
      <c r="AX376" s="112" t="str">
        <f>IF(preDEL!$AG376,IFERROR(0/0,""),preDEL!AX376)</f>
        <v/>
      </c>
      <c r="AY376" s="112" t="str">
        <f>IF(preDEL!$AG376,IFERROR(0/0,""),preDEL!AY376)</f>
        <v/>
      </c>
      <c r="AZ376" s="174"/>
      <c r="BA376" s="174"/>
      <c r="BB376" s="174"/>
      <c r="BC376" s="174"/>
      <c r="BD376" s="174"/>
      <c r="BE376" s="174"/>
      <c r="BF376" s="174"/>
      <c r="BG376" s="174"/>
      <c r="BH376" s="174"/>
      <c r="BI376" s="174"/>
      <c r="BJ376" s="174"/>
      <c r="BK376" s="174"/>
      <c r="BL376" s="174"/>
      <c r="BM376" s="174"/>
      <c r="BN376" s="174"/>
      <c r="BO376" s="174"/>
      <c r="BP376" s="174"/>
      <c r="BQ376" s="174"/>
      <c r="BR376" s="174"/>
      <c r="BS376" s="174"/>
      <c r="BT376" s="174"/>
      <c r="BU376" s="174"/>
      <c r="BV376" s="174"/>
      <c r="BW376" s="174"/>
      <c r="BX376" s="174"/>
      <c r="BY376" s="174"/>
      <c r="BZ376" s="174"/>
      <c r="CA376" s="174"/>
      <c r="CB376" s="174"/>
      <c r="CC376" s="174"/>
      <c r="CD376" s="174"/>
    </row>
    <row r="377">
      <c r="A377" s="105" t="str">
        <f>IF(preDEL!$AG377,IFERROR(0/0,""),preDEL!A377)</f>
        <v>MA632</v>
      </c>
      <c r="B377" s="170">
        <f>IF(preDEL!$AG377,IFERROR(0/0,""),preDEL!B377)</f>
        <v>44603</v>
      </c>
      <c r="C377" s="171">
        <f>IF(preDEL!$AG377,IFERROR(0/0,""),preDEL!C377)</f>
        <v>0.3391550926</v>
      </c>
      <c r="D377" s="105" t="str">
        <f>IF(preDEL!$AG377,IFERROR(0/0,""),preDEL!D377)</f>
        <v/>
      </c>
      <c r="E377" s="105" t="str">
        <f>IF(preDEL!$AG377,IFERROR(0/0,""),preDEL!E377)</f>
        <v/>
      </c>
      <c r="F377" s="112" t="str">
        <f>IF(preDEL!$AG377,IFERROR(0/0,""),preDEL!F377)</f>
        <v/>
      </c>
      <c r="G377" s="112" t="str">
        <f>IF(preDEL!$AG377,IFERROR(0/0,""),preDEL!G377)</f>
        <v/>
      </c>
      <c r="H377" s="112" t="str">
        <f>IF(preDEL!$AG377,IFERROR(0/0,""),preDEL!H377)</f>
        <v/>
      </c>
      <c r="I377" s="105" t="str">
        <f>IF(preDEL!$AG377,IFERROR(0/0,""),preDEL!I377)</f>
        <v/>
      </c>
      <c r="J377" s="105" t="str">
        <f>IF(preDEL!$AG377,IFERROR(0/0,""),preDEL!J377)</f>
        <v/>
      </c>
      <c r="K377" s="105" t="str">
        <f>IF(preDEL!$AG377,IFERROR(0/0,""),preDEL!K377)</f>
        <v>Positive</v>
      </c>
      <c r="L377" s="170">
        <f>IF(preDEL!$AG377,IFERROR(0/0,""),preDEL!L377)</f>
        <v>44603</v>
      </c>
      <c r="M377" s="171">
        <f>IF(preDEL!$AG377,IFERROR(0/0,""),preDEL!M377)</f>
        <v>0.4697916667</v>
      </c>
      <c r="N377" s="112" t="str">
        <f>IF(preDEL!$AG377,IFERROR(0/0,""),preDEL!N377)</f>
        <v/>
      </c>
      <c r="O377" s="112" t="str">
        <f>IF(preDEL!$AG377,IFERROR(0/0,""),preDEL!O377)</f>
        <v/>
      </c>
      <c r="P377" s="110" t="b">
        <f>IF(preDEL!$AG377,IFERROR(0/0,""),preDEL!P377)</f>
        <v>0</v>
      </c>
      <c r="Q377" s="110" t="str">
        <f>IF(preDEL!$AG377,IFERROR(0/0,""),preDEL!Q377)</f>
        <v>Result</v>
      </c>
      <c r="R377" s="104" t="b">
        <f>IF(preDEL!$AG377,IFERROR(0/0,""),preDEL!R377)</f>
        <v>1</v>
      </c>
      <c r="S377" s="104">
        <f>IF(preDEL!$AG377,IFERROR(0/0,""),preDEL!S377)</f>
        <v>1</v>
      </c>
      <c r="T377" s="110" t="str">
        <f>IF(preDEL!$AG377,IFERROR(0/0,""),preDEL!T377)</f>
        <v/>
      </c>
      <c r="U377" s="112" t="str">
        <f>IF(preDEL!$AG377,IFERROR(0/0,""),preDEL!U377)</f>
        <v/>
      </c>
      <c r="V377" s="105" t="str">
        <f>IF(preDEL!$AG377,IFERROR(0/0,""),preDEL!V377)</f>
        <v/>
      </c>
      <c r="W377" s="112" t="str">
        <f>IF(preDEL!$AG377,IFERROR(0/0,""),preDEL!W377)</f>
        <v/>
      </c>
      <c r="X377" s="104" t="b">
        <f>IF(preDEL!$AG377,IFERROR(0/0,""),preDEL!X377)</f>
        <v>0</v>
      </c>
      <c r="Y377" s="110" t="b">
        <f>IF(preDEL!$AG377,IFERROR(0/0,""),preDEL!Y377)</f>
        <v>0</v>
      </c>
      <c r="Z377" s="105" t="str">
        <f>IF(preDEL!$AG377,IFERROR(0/0,""),preDEL!Z377)</f>
        <v/>
      </c>
      <c r="AA377" s="110" t="b">
        <f>IF(preDEL!$AG377,IFERROR(0/0,""),preDEL!AA377)</f>
        <v>0</v>
      </c>
      <c r="AB377" s="110" t="b">
        <f>IF(preDEL!$AG377,IFERROR(0/0,""),preDEL!AB377)</f>
        <v>0</v>
      </c>
      <c r="AC377" s="172">
        <f>IF(preDEL!$AG377,IFERROR(0/0,""),preDEL!AC377)</f>
        <v>431</v>
      </c>
      <c r="AD377" s="104" t="b">
        <f>IF(preDEL!$AG377,IFERROR(0/0,""),preDEL!AD377)</f>
        <v>0</v>
      </c>
      <c r="AE377" s="173">
        <f>IF(preDEL!$AG377,IFERROR(0/0,""),preDEL!AE377)</f>
        <v>188.1166667</v>
      </c>
      <c r="AF377" s="110" t="b">
        <f>IF(preDEL!$AG377,IFERROR(0/0,""),preDEL!AF377)</f>
        <v>0</v>
      </c>
      <c r="AG377" s="110" t="b">
        <f>IF(preDEL!$AG377,IFERROR(0/0,""),preDEL!AG377)</f>
        <v>0</v>
      </c>
      <c r="AH377" s="104" t="str">
        <f>IF(preDEL!$AG377,IFERROR(0/0,""),preDEL!AH377)</f>
        <v/>
      </c>
      <c r="AI377" s="105" t="str">
        <f>IF(preDEL!$AG377,IFERROR(0/0,""),preDEL!AI377)</f>
        <v/>
      </c>
      <c r="AJ377" s="112" t="str">
        <f>IF(preDEL!$AG377,IFERROR(0/0,""),preDEL!AJ377)</f>
        <v/>
      </c>
      <c r="AK377" s="105" t="str">
        <f>IF(preDEL!$AG377,IFERROR(0/0,""),preDEL!AK377)</f>
        <v>Positive</v>
      </c>
      <c r="AL377" s="112" t="str">
        <f>IF(preDEL!$AG377,IFERROR(0/0,""),preDEL!AL377)</f>
        <v/>
      </c>
      <c r="AM377" s="112" t="str">
        <f>IF(preDEL!$AG377,IFERROR(0/0,""),preDEL!AM377)</f>
        <v>SpBEND483335</v>
      </c>
      <c r="AN377" s="112" t="str">
        <f>IF(preDEL!$AG377,IFERROR(0/0,""),preDEL!AN377)</f>
        <v>BEND785869</v>
      </c>
      <c r="AO377" s="112" t="str">
        <f>IF(preDEL!$AG377,IFERROR(0/0,""),preDEL!AO377)</f>
        <v/>
      </c>
      <c r="AP377" s="112" t="str">
        <f>IF(preDEL!$AG377,IFERROR(0/0,""),preDEL!AP377)</f>
        <v/>
      </c>
      <c r="AQ377" s="112" t="str">
        <f>IF(preDEL!$AG377,IFERROR(0/0,""),preDEL!AQ377)</f>
        <v/>
      </c>
      <c r="AR377" s="112" t="str">
        <f>IF(preDEL!$AG377,IFERROR(0/0,""),preDEL!AR377)</f>
        <v/>
      </c>
      <c r="AS377" s="112" t="str">
        <f>IF(preDEL!$AG377,IFERROR(0/0,""),preDEL!AS377)</f>
        <v/>
      </c>
      <c r="AT377" s="112" t="b">
        <f>IF(preDEL!$AG377,IFERROR(0/0,""),preDEL!AT377)</f>
        <v>0</v>
      </c>
      <c r="AU377" s="112" t="str">
        <f>IF(preDEL!$AG377,IFERROR(0/0,""),preDEL!AU377)</f>
        <v/>
      </c>
      <c r="AV377" s="112" t="str">
        <f>IF(preDEL!$AG377,IFERROR(0/0,""),preDEL!AV377)</f>
        <v/>
      </c>
      <c r="AW377" s="112" t="str">
        <f>IF(preDEL!$AG377,IFERROR(0/0,""),preDEL!AW377)</f>
        <v/>
      </c>
      <c r="AX377" s="112" t="str">
        <f>IF(preDEL!$AG377,IFERROR(0/0,""),preDEL!AX377)</f>
        <v/>
      </c>
      <c r="AY377" s="112" t="str">
        <f>IF(preDEL!$AG377,IFERROR(0/0,""),preDEL!AY377)</f>
        <v/>
      </c>
      <c r="AZ377" s="174"/>
      <c r="BA377" s="174"/>
      <c r="BB377" s="174"/>
      <c r="BC377" s="174"/>
      <c r="BD377" s="174"/>
      <c r="BE377" s="174"/>
      <c r="BF377" s="174"/>
      <c r="BG377" s="174"/>
      <c r="BH377" s="174"/>
      <c r="BI377" s="174"/>
      <c r="BJ377" s="174"/>
      <c r="BK377" s="174"/>
      <c r="BL377" s="174"/>
      <c r="BM377" s="174"/>
      <c r="BN377" s="174"/>
      <c r="BO377" s="174"/>
      <c r="BP377" s="174"/>
      <c r="BQ377" s="174"/>
      <c r="BR377" s="174"/>
      <c r="BS377" s="174"/>
      <c r="BT377" s="174"/>
      <c r="BU377" s="174"/>
      <c r="BV377" s="174"/>
      <c r="BW377" s="174"/>
      <c r="BX377" s="174"/>
      <c r="BY377" s="174"/>
      <c r="BZ377" s="174"/>
      <c r="CA377" s="174"/>
      <c r="CB377" s="174"/>
      <c r="CC377" s="174"/>
      <c r="CD377" s="174"/>
    </row>
    <row r="378">
      <c r="A378" s="105" t="str">
        <f>IF(preDEL!$AG378,IFERROR(0/0,""),preDEL!A378)</f>
        <v>MA620</v>
      </c>
      <c r="B378" s="170">
        <f>IF(preDEL!$AG378,IFERROR(0/0,""),preDEL!B378)</f>
        <v>44603</v>
      </c>
      <c r="C378" s="171">
        <f>IF(preDEL!$AG378,IFERROR(0/0,""),preDEL!C378)</f>
        <v>0.3394675926</v>
      </c>
      <c r="D378" s="105" t="str">
        <f>IF(preDEL!$AG378,IFERROR(0/0,""),preDEL!D378)</f>
        <v/>
      </c>
      <c r="E378" s="105" t="str">
        <f>IF(preDEL!$AG378,IFERROR(0/0,""),preDEL!E378)</f>
        <v/>
      </c>
      <c r="F378" s="112" t="str">
        <f>IF(preDEL!$AG378,IFERROR(0/0,""),preDEL!F378)</f>
        <v/>
      </c>
      <c r="G378" s="112" t="str">
        <f>IF(preDEL!$AG378,IFERROR(0/0,""),preDEL!G378)</f>
        <v/>
      </c>
      <c r="H378" s="112" t="str">
        <f>IF(preDEL!$AG378,IFERROR(0/0,""),preDEL!H378)</f>
        <v/>
      </c>
      <c r="I378" s="105" t="str">
        <f>IF(preDEL!$AG378,IFERROR(0/0,""),preDEL!I378)</f>
        <v/>
      </c>
      <c r="J378" s="105" t="str">
        <f>IF(preDEL!$AG378,IFERROR(0/0,""),preDEL!J378)</f>
        <v/>
      </c>
      <c r="K378" s="105" t="str">
        <f>IF(preDEL!$AG378,IFERROR(0/0,""),preDEL!K378)</f>
        <v>Positive</v>
      </c>
      <c r="L378" s="170">
        <f>IF(preDEL!$AG378,IFERROR(0/0,""),preDEL!L378)</f>
        <v>44603</v>
      </c>
      <c r="M378" s="171">
        <f>IF(preDEL!$AG378,IFERROR(0/0,""),preDEL!M378)</f>
        <v>0.4697916667</v>
      </c>
      <c r="N378" s="112" t="str">
        <f>IF(preDEL!$AG378,IFERROR(0/0,""),preDEL!N378)</f>
        <v/>
      </c>
      <c r="O378" s="112" t="str">
        <f>IF(preDEL!$AG378,IFERROR(0/0,""),preDEL!O378)</f>
        <v/>
      </c>
      <c r="P378" s="110" t="b">
        <f>IF(preDEL!$AG378,IFERROR(0/0,""),preDEL!P378)</f>
        <v>0</v>
      </c>
      <c r="Q378" s="110" t="str">
        <f>IF(preDEL!$AG378,IFERROR(0/0,""),preDEL!Q378)</f>
        <v>Result</v>
      </c>
      <c r="R378" s="104" t="b">
        <f>IF(preDEL!$AG378,IFERROR(0/0,""),preDEL!R378)</f>
        <v>1</v>
      </c>
      <c r="S378" s="104">
        <f>IF(preDEL!$AG378,IFERROR(0/0,""),preDEL!S378)</f>
        <v>1</v>
      </c>
      <c r="T378" s="110" t="str">
        <f>IF(preDEL!$AG378,IFERROR(0/0,""),preDEL!T378)</f>
        <v/>
      </c>
      <c r="U378" s="112" t="str">
        <f>IF(preDEL!$AG378,IFERROR(0/0,""),preDEL!U378)</f>
        <v/>
      </c>
      <c r="V378" s="105" t="str">
        <f>IF(preDEL!$AG378,IFERROR(0/0,""),preDEL!V378)</f>
        <v/>
      </c>
      <c r="W378" s="112" t="str">
        <f>IF(preDEL!$AG378,IFERROR(0/0,""),preDEL!W378)</f>
        <v/>
      </c>
      <c r="X378" s="104" t="b">
        <f>IF(preDEL!$AG378,IFERROR(0/0,""),preDEL!X378)</f>
        <v>0</v>
      </c>
      <c r="Y378" s="110" t="b">
        <f>IF(preDEL!$AG378,IFERROR(0/0,""),preDEL!Y378)</f>
        <v>0</v>
      </c>
      <c r="Z378" s="105" t="str">
        <f>IF(preDEL!$AG378,IFERROR(0/0,""),preDEL!Z378)</f>
        <v/>
      </c>
      <c r="AA378" s="110" t="b">
        <f>IF(preDEL!$AG378,IFERROR(0/0,""),preDEL!AA378)</f>
        <v>0</v>
      </c>
      <c r="AB378" s="110" t="b">
        <f>IF(preDEL!$AG378,IFERROR(0/0,""),preDEL!AB378)</f>
        <v>0</v>
      </c>
      <c r="AC378" s="172">
        <f>IF(preDEL!$AG378,IFERROR(0/0,""),preDEL!AC378)</f>
        <v>430</v>
      </c>
      <c r="AD378" s="104" t="b">
        <f>IF(preDEL!$AG378,IFERROR(0/0,""),preDEL!AD378)</f>
        <v>0</v>
      </c>
      <c r="AE378" s="173">
        <f>IF(preDEL!$AG378,IFERROR(0/0,""),preDEL!AE378)</f>
        <v>187.6666667</v>
      </c>
      <c r="AF378" s="110" t="b">
        <f>IF(preDEL!$AG378,IFERROR(0/0,""),preDEL!AF378)</f>
        <v>0</v>
      </c>
      <c r="AG378" s="110" t="b">
        <f>IF(preDEL!$AG378,IFERROR(0/0,""),preDEL!AG378)</f>
        <v>0</v>
      </c>
      <c r="AH378" s="104" t="str">
        <f>IF(preDEL!$AG378,IFERROR(0/0,""),preDEL!AH378)</f>
        <v/>
      </c>
      <c r="AI378" s="105" t="str">
        <f>IF(preDEL!$AG378,IFERROR(0/0,""),preDEL!AI378)</f>
        <v/>
      </c>
      <c r="AJ378" s="112" t="str">
        <f>IF(preDEL!$AG378,IFERROR(0/0,""),preDEL!AJ378)</f>
        <v/>
      </c>
      <c r="AK378" s="105" t="str">
        <f>IF(preDEL!$AG378,IFERROR(0/0,""),preDEL!AK378)</f>
        <v>Positive</v>
      </c>
      <c r="AL378" s="112" t="str">
        <f>IF(preDEL!$AG378,IFERROR(0/0,""),preDEL!AL378)</f>
        <v/>
      </c>
      <c r="AM378" s="112" t="str">
        <f>IF(preDEL!$AG378,IFERROR(0/0,""),preDEL!AM378)</f>
        <v>SpBEND483335</v>
      </c>
      <c r="AN378" s="112" t="str">
        <f>IF(preDEL!$AG378,IFERROR(0/0,""),preDEL!AN378)</f>
        <v>BEND785869</v>
      </c>
      <c r="AO378" s="112" t="str">
        <f>IF(preDEL!$AG378,IFERROR(0/0,""),preDEL!AO378)</f>
        <v/>
      </c>
      <c r="AP378" s="112" t="str">
        <f>IF(preDEL!$AG378,IFERROR(0/0,""),preDEL!AP378)</f>
        <v/>
      </c>
      <c r="AQ378" s="112" t="str">
        <f>IF(preDEL!$AG378,IFERROR(0/0,""),preDEL!AQ378)</f>
        <v/>
      </c>
      <c r="AR378" s="112" t="str">
        <f>IF(preDEL!$AG378,IFERROR(0/0,""),preDEL!AR378)</f>
        <v/>
      </c>
      <c r="AS378" s="112" t="str">
        <f>IF(preDEL!$AG378,IFERROR(0/0,""),preDEL!AS378)</f>
        <v/>
      </c>
      <c r="AT378" s="112" t="b">
        <f>IF(preDEL!$AG378,IFERROR(0/0,""),preDEL!AT378)</f>
        <v>0</v>
      </c>
      <c r="AU378" s="112" t="str">
        <f>IF(preDEL!$AG378,IFERROR(0/0,""),preDEL!AU378)</f>
        <v/>
      </c>
      <c r="AV378" s="112" t="str">
        <f>IF(preDEL!$AG378,IFERROR(0/0,""),preDEL!AV378)</f>
        <v/>
      </c>
      <c r="AW378" s="112" t="str">
        <f>IF(preDEL!$AG378,IFERROR(0/0,""),preDEL!AW378)</f>
        <v/>
      </c>
      <c r="AX378" s="112" t="str">
        <f>IF(preDEL!$AG378,IFERROR(0/0,""),preDEL!AX378)</f>
        <v/>
      </c>
      <c r="AY378" s="112" t="str">
        <f>IF(preDEL!$AG378,IFERROR(0/0,""),preDEL!AY378)</f>
        <v/>
      </c>
      <c r="AZ378" s="174"/>
      <c r="BA378" s="174"/>
      <c r="BB378" s="174"/>
      <c r="BC378" s="174"/>
      <c r="BD378" s="174"/>
      <c r="BE378" s="174"/>
      <c r="BF378" s="174"/>
      <c r="BG378" s="174"/>
      <c r="BH378" s="174"/>
      <c r="BI378" s="174"/>
      <c r="BJ378" s="174"/>
      <c r="BK378" s="174"/>
      <c r="BL378" s="174"/>
      <c r="BM378" s="174"/>
      <c r="BN378" s="174"/>
      <c r="BO378" s="174"/>
      <c r="BP378" s="174"/>
      <c r="BQ378" s="174"/>
      <c r="BR378" s="174"/>
      <c r="BS378" s="174"/>
      <c r="BT378" s="174"/>
      <c r="BU378" s="174"/>
      <c r="BV378" s="174"/>
      <c r="BW378" s="174"/>
      <c r="BX378" s="174"/>
      <c r="BY378" s="174"/>
      <c r="BZ378" s="174"/>
      <c r="CA378" s="174"/>
      <c r="CB378" s="174"/>
      <c r="CC378" s="174"/>
      <c r="CD378" s="174"/>
    </row>
    <row r="379">
      <c r="A379" s="105" t="str">
        <f>IF(preDEL!$AG379,IFERROR(0/0,""),preDEL!A379)</f>
        <v>MAX102</v>
      </c>
      <c r="B379" s="170">
        <f>IF(preDEL!$AG379,IFERROR(0/0,""),preDEL!B379)</f>
        <v>44603</v>
      </c>
      <c r="C379" s="171">
        <f>IF(preDEL!$AG379,IFERROR(0/0,""),preDEL!C379)</f>
        <v>0.3788888889</v>
      </c>
      <c r="D379" s="105" t="str">
        <f>IF(preDEL!$AG379,IFERROR(0/0,""),preDEL!D379)</f>
        <v/>
      </c>
      <c r="E379" s="105" t="str">
        <f>IF(preDEL!$AG379,IFERROR(0/0,""),preDEL!E379)</f>
        <v/>
      </c>
      <c r="F379" s="112" t="str">
        <f>IF(preDEL!$AG379,IFERROR(0/0,""),preDEL!F379)</f>
        <v/>
      </c>
      <c r="G379" s="112" t="str">
        <f>IF(preDEL!$AG379,IFERROR(0/0,""),preDEL!G379)</f>
        <v/>
      </c>
      <c r="H379" s="112" t="str">
        <f>IF(preDEL!$AG379,IFERROR(0/0,""),preDEL!H379)</f>
        <v/>
      </c>
      <c r="I379" s="105" t="str">
        <f>IF(preDEL!$AG379,IFERROR(0/0,""),preDEL!I379)</f>
        <v/>
      </c>
      <c r="J379" s="105" t="str">
        <f>IF(preDEL!$AG379,IFERROR(0/0,""),preDEL!J379)</f>
        <v/>
      </c>
      <c r="K379" s="105" t="str">
        <f>IF(preDEL!$AG379,IFERROR(0/0,""),preDEL!K379)</f>
        <v>Negative</v>
      </c>
      <c r="L379" s="170">
        <f>IF(preDEL!$AG379,IFERROR(0/0,""),preDEL!L379)</f>
        <v>44603</v>
      </c>
      <c r="M379" s="171">
        <f>IF(preDEL!$AG379,IFERROR(0/0,""),preDEL!M379)</f>
        <v>0.4697916667</v>
      </c>
      <c r="N379" s="112" t="str">
        <f>IF(preDEL!$AG379,IFERROR(0/0,""),preDEL!N379)</f>
        <v/>
      </c>
      <c r="O379" s="112" t="str">
        <f>IF(preDEL!$AG379,IFERROR(0/0,""),preDEL!O379)</f>
        <v/>
      </c>
      <c r="P379" s="110" t="b">
        <f>IF(preDEL!$AG379,IFERROR(0/0,""),preDEL!P379)</f>
        <v>0</v>
      </c>
      <c r="Q379" s="110" t="str">
        <f>IF(preDEL!$AG379,IFERROR(0/0,""),preDEL!Q379)</f>
        <v>Result</v>
      </c>
      <c r="R379" s="104" t="b">
        <f>IF(preDEL!$AG379,IFERROR(0/0,""),preDEL!R379)</f>
        <v>1</v>
      </c>
      <c r="S379" s="104">
        <f>IF(preDEL!$AG379,IFERROR(0/0,""),preDEL!S379)</f>
        <v>1</v>
      </c>
      <c r="T379" s="110" t="str">
        <f>IF(preDEL!$AG379,IFERROR(0/0,""),preDEL!T379)</f>
        <v/>
      </c>
      <c r="U379" s="112" t="str">
        <f>IF(preDEL!$AG379,IFERROR(0/0,""),preDEL!U379)</f>
        <v/>
      </c>
      <c r="V379" s="105" t="str">
        <f>IF(preDEL!$AG379,IFERROR(0/0,""),preDEL!V379)</f>
        <v/>
      </c>
      <c r="W379" s="112" t="str">
        <f>IF(preDEL!$AG379,IFERROR(0/0,""),preDEL!W379)</f>
        <v/>
      </c>
      <c r="X379" s="104" t="b">
        <f>IF(preDEL!$AG379,IFERROR(0/0,""),preDEL!X379)</f>
        <v>0</v>
      </c>
      <c r="Y379" s="110" t="b">
        <f>IF(preDEL!$AG379,IFERROR(0/0,""),preDEL!Y379)</f>
        <v>0</v>
      </c>
      <c r="Z379" s="105" t="str">
        <f>IF(preDEL!$AG379,IFERROR(0/0,""),preDEL!Z379)</f>
        <v/>
      </c>
      <c r="AA379" s="110" t="b">
        <f>IF(preDEL!$AG379,IFERROR(0/0,""),preDEL!AA379)</f>
        <v>0</v>
      </c>
      <c r="AB379" s="110" t="b">
        <f>IF(preDEL!$AG379,IFERROR(0/0,""),preDEL!AB379)</f>
        <v>0</v>
      </c>
      <c r="AC379" s="172">
        <f>IF(preDEL!$AG379,IFERROR(0/0,""),preDEL!AC379)</f>
        <v>429</v>
      </c>
      <c r="AD379" s="104" t="b">
        <f>IF(preDEL!$AG379,IFERROR(0/0,""),preDEL!AD379)</f>
        <v>0</v>
      </c>
      <c r="AE379" s="173">
        <f>IF(preDEL!$AG379,IFERROR(0/0,""),preDEL!AE379)</f>
        <v>130.9</v>
      </c>
      <c r="AF379" s="110" t="b">
        <f>IF(preDEL!$AG379,IFERROR(0/0,""),preDEL!AF379)</f>
        <v>0</v>
      </c>
      <c r="AG379" s="110" t="b">
        <f>IF(preDEL!$AG379,IFERROR(0/0,""),preDEL!AG379)</f>
        <v>0</v>
      </c>
      <c r="AH379" s="104" t="str">
        <f>IF(preDEL!$AG379,IFERROR(0/0,""),preDEL!AH379)</f>
        <v/>
      </c>
      <c r="AI379" s="105" t="str">
        <f>IF(preDEL!$AG379,IFERROR(0/0,""),preDEL!AI379)</f>
        <v/>
      </c>
      <c r="AJ379" s="112" t="str">
        <f>IF(preDEL!$AG379,IFERROR(0/0,""),preDEL!AJ379)</f>
        <v/>
      </c>
      <c r="AK379" s="105" t="str">
        <f>IF(preDEL!$AG379,IFERROR(0/0,""),preDEL!AK379)</f>
        <v>Negative</v>
      </c>
      <c r="AL379" s="112" t="str">
        <f>IF(preDEL!$AG379,IFERROR(0/0,""),preDEL!AL379)</f>
        <v/>
      </c>
      <c r="AM379" s="112" t="str">
        <f>IF(preDEL!$AG379,IFERROR(0/0,""),preDEL!AM379)</f>
        <v>SpBEND394154</v>
      </c>
      <c r="AN379" s="112" t="str">
        <f>IF(preDEL!$AG379,IFERROR(0/0,""),preDEL!AN379)</f>
        <v>BEND538986</v>
      </c>
      <c r="AO379" s="112" t="str">
        <f>IF(preDEL!$AG379,IFERROR(0/0,""),preDEL!AO379)</f>
        <v/>
      </c>
      <c r="AP379" s="112" t="str">
        <f>IF(preDEL!$AG379,IFERROR(0/0,""),preDEL!AP379)</f>
        <v/>
      </c>
      <c r="AQ379" s="112" t="str">
        <f>IF(preDEL!$AG379,IFERROR(0/0,""),preDEL!AQ379)</f>
        <v/>
      </c>
      <c r="AR379" s="112" t="str">
        <f>IF(preDEL!$AG379,IFERROR(0/0,""),preDEL!AR379)</f>
        <v/>
      </c>
      <c r="AS379" s="112" t="str">
        <f>IF(preDEL!$AG379,IFERROR(0/0,""),preDEL!AS379)</f>
        <v/>
      </c>
      <c r="AT379" s="112" t="b">
        <f>IF(preDEL!$AG379,IFERROR(0/0,""),preDEL!AT379)</f>
        <v>0</v>
      </c>
      <c r="AU379" s="112" t="str">
        <f>IF(preDEL!$AG379,IFERROR(0/0,""),preDEL!AU379)</f>
        <v/>
      </c>
      <c r="AV379" s="112" t="str">
        <f>IF(preDEL!$AG379,IFERROR(0/0,""),preDEL!AV379)</f>
        <v/>
      </c>
      <c r="AW379" s="112" t="str">
        <f>IF(preDEL!$AG379,IFERROR(0/0,""),preDEL!AW379)</f>
        <v/>
      </c>
      <c r="AX379" s="112" t="str">
        <f>IF(preDEL!$AG379,IFERROR(0/0,""),preDEL!AX379)</f>
        <v/>
      </c>
      <c r="AY379" s="112" t="str">
        <f>IF(preDEL!$AG379,IFERROR(0/0,""),preDEL!AY379)</f>
        <v/>
      </c>
      <c r="AZ379" s="174"/>
      <c r="BA379" s="174"/>
      <c r="BB379" s="174"/>
      <c r="BC379" s="174"/>
      <c r="BD379" s="174"/>
      <c r="BE379" s="174"/>
      <c r="BF379" s="174"/>
      <c r="BG379" s="174"/>
      <c r="BH379" s="174"/>
      <c r="BI379" s="174"/>
      <c r="BJ379" s="174"/>
      <c r="BK379" s="174"/>
      <c r="BL379" s="174"/>
      <c r="BM379" s="174"/>
      <c r="BN379" s="174"/>
      <c r="BO379" s="174"/>
      <c r="BP379" s="174"/>
      <c r="BQ379" s="174"/>
      <c r="BR379" s="174"/>
      <c r="BS379" s="174"/>
      <c r="BT379" s="174"/>
      <c r="BU379" s="174"/>
      <c r="BV379" s="174"/>
      <c r="BW379" s="174"/>
      <c r="BX379" s="174"/>
      <c r="BY379" s="174"/>
      <c r="BZ379" s="174"/>
      <c r="CA379" s="174"/>
      <c r="CB379" s="174"/>
      <c r="CC379" s="174"/>
      <c r="CD379" s="174"/>
    </row>
    <row r="380">
      <c r="A380" s="105" t="str">
        <f>IF(preDEL!$AG380,IFERROR(0/0,""),preDEL!A380)</f>
        <v>MA1032</v>
      </c>
      <c r="B380" s="170">
        <f>IF(preDEL!$AG380,IFERROR(0/0,""),preDEL!B380)</f>
        <v>44603</v>
      </c>
      <c r="C380" s="171">
        <f>IF(preDEL!$AG380,IFERROR(0/0,""),preDEL!C380)</f>
        <v>0.4231134259</v>
      </c>
      <c r="D380" s="105" t="str">
        <f>IF(preDEL!$AG380,IFERROR(0/0,""),preDEL!D380)</f>
        <v/>
      </c>
      <c r="E380" s="105" t="str">
        <f>IF(preDEL!$AG380,IFERROR(0/0,""),preDEL!E380)</f>
        <v/>
      </c>
      <c r="F380" s="112" t="str">
        <f>IF(preDEL!$AG380,IFERROR(0/0,""),preDEL!F380)</f>
        <v/>
      </c>
      <c r="G380" s="112" t="str">
        <f>IF(preDEL!$AG380,IFERROR(0/0,""),preDEL!G380)</f>
        <v/>
      </c>
      <c r="H380" s="112" t="str">
        <f>IF(preDEL!$AG380,IFERROR(0/0,""),preDEL!H380)</f>
        <v/>
      </c>
      <c r="I380" s="105" t="str">
        <f>IF(preDEL!$AG380,IFERROR(0/0,""),preDEL!I380)</f>
        <v/>
      </c>
      <c r="J380" s="105" t="str">
        <f>IF(preDEL!$AG380,IFERROR(0/0,""),preDEL!J380)</f>
        <v/>
      </c>
      <c r="K380" s="105" t="str">
        <f>IF(preDEL!$AG380,IFERROR(0/0,""),preDEL!K380)</f>
        <v>Negative</v>
      </c>
      <c r="L380" s="170">
        <f>IF(preDEL!$AG380,IFERROR(0/0,""),preDEL!L380)</f>
        <v>44603</v>
      </c>
      <c r="M380" s="171">
        <f>IF(preDEL!$AG380,IFERROR(0/0,""),preDEL!M380)</f>
        <v>0.4697916667</v>
      </c>
      <c r="N380" s="112" t="str">
        <f>IF(preDEL!$AG380,IFERROR(0/0,""),preDEL!N380)</f>
        <v/>
      </c>
      <c r="O380" s="112" t="str">
        <f>IF(preDEL!$AG380,IFERROR(0/0,""),preDEL!O380)</f>
        <v/>
      </c>
      <c r="P380" s="110" t="b">
        <f>IF(preDEL!$AG380,IFERROR(0/0,""),preDEL!P380)</f>
        <v>0</v>
      </c>
      <c r="Q380" s="110" t="str">
        <f>IF(preDEL!$AG380,IFERROR(0/0,""),preDEL!Q380)</f>
        <v>Result</v>
      </c>
      <c r="R380" s="104" t="b">
        <f>IF(preDEL!$AG380,IFERROR(0/0,""),preDEL!R380)</f>
        <v>1</v>
      </c>
      <c r="S380" s="104">
        <f>IF(preDEL!$AG380,IFERROR(0/0,""),preDEL!S380)</f>
        <v>1</v>
      </c>
      <c r="T380" s="110" t="str">
        <f>IF(preDEL!$AG380,IFERROR(0/0,""),preDEL!T380)</f>
        <v/>
      </c>
      <c r="U380" s="112" t="str">
        <f>IF(preDEL!$AG380,IFERROR(0/0,""),preDEL!U380)</f>
        <v/>
      </c>
      <c r="V380" s="105" t="str">
        <f>IF(preDEL!$AG380,IFERROR(0/0,""),preDEL!V380)</f>
        <v/>
      </c>
      <c r="W380" s="112" t="str">
        <f>IF(preDEL!$AG380,IFERROR(0/0,""),preDEL!W380)</f>
        <v/>
      </c>
      <c r="X380" s="104" t="b">
        <f>IF(preDEL!$AG380,IFERROR(0/0,""),preDEL!X380)</f>
        <v>0</v>
      </c>
      <c r="Y380" s="110" t="b">
        <f>IF(preDEL!$AG380,IFERROR(0/0,""),preDEL!Y380)</f>
        <v>0</v>
      </c>
      <c r="Z380" s="105" t="str">
        <f>IF(preDEL!$AG380,IFERROR(0/0,""),preDEL!Z380)</f>
        <v/>
      </c>
      <c r="AA380" s="110" t="b">
        <f>IF(preDEL!$AG380,IFERROR(0/0,""),preDEL!AA380)</f>
        <v>0</v>
      </c>
      <c r="AB380" s="110" t="b">
        <f>IF(preDEL!$AG380,IFERROR(0/0,""),preDEL!AB380)</f>
        <v>0</v>
      </c>
      <c r="AC380" s="172">
        <f>IF(preDEL!$AG380,IFERROR(0/0,""),preDEL!AC380)</f>
        <v>428</v>
      </c>
      <c r="AD380" s="104" t="b">
        <f>IF(preDEL!$AG380,IFERROR(0/0,""),preDEL!AD380)</f>
        <v>0</v>
      </c>
      <c r="AE380" s="173">
        <f>IF(preDEL!$AG380,IFERROR(0/0,""),preDEL!AE380)</f>
        <v>67.21666667</v>
      </c>
      <c r="AF380" s="110" t="b">
        <f>IF(preDEL!$AG380,IFERROR(0/0,""),preDEL!AF380)</f>
        <v>0</v>
      </c>
      <c r="AG380" s="110" t="b">
        <f>IF(preDEL!$AG380,IFERROR(0/0,""),preDEL!AG380)</f>
        <v>0</v>
      </c>
      <c r="AH380" s="104" t="str">
        <f>IF(preDEL!$AG380,IFERROR(0/0,""),preDEL!AH380)</f>
        <v/>
      </c>
      <c r="AI380" s="105" t="str">
        <f>IF(preDEL!$AG380,IFERROR(0/0,""),preDEL!AI380)</f>
        <v/>
      </c>
      <c r="AJ380" s="112" t="str">
        <f>IF(preDEL!$AG380,IFERROR(0/0,""),preDEL!AJ380)</f>
        <v/>
      </c>
      <c r="AK380" s="105" t="str">
        <f>IF(preDEL!$AG380,IFERROR(0/0,""),preDEL!AK380)</f>
        <v>Negative</v>
      </c>
      <c r="AL380" s="112" t="str">
        <f>IF(preDEL!$AG380,IFERROR(0/0,""),preDEL!AL380)</f>
        <v/>
      </c>
      <c r="AM380" s="112" t="str">
        <f>IF(preDEL!$AG380,IFERROR(0/0,""),preDEL!AM380)</f>
        <v>SpBEND825522</v>
      </c>
      <c r="AN380" s="112" t="str">
        <f>IF(preDEL!$AG380,IFERROR(0/0,""),preDEL!AN380)</f>
        <v>BEND140857</v>
      </c>
      <c r="AO380" s="112" t="str">
        <f>IF(preDEL!$AG380,IFERROR(0/0,""),preDEL!AO380)</f>
        <v/>
      </c>
      <c r="AP380" s="112" t="str">
        <f>IF(preDEL!$AG380,IFERROR(0/0,""),preDEL!AP380)</f>
        <v/>
      </c>
      <c r="AQ380" s="112" t="str">
        <f>IF(preDEL!$AG380,IFERROR(0/0,""),preDEL!AQ380)</f>
        <v/>
      </c>
      <c r="AR380" s="112" t="str">
        <f>IF(preDEL!$AG380,IFERROR(0/0,""),preDEL!AR380)</f>
        <v/>
      </c>
      <c r="AS380" s="112" t="str">
        <f>IF(preDEL!$AG380,IFERROR(0/0,""),preDEL!AS380)</f>
        <v/>
      </c>
      <c r="AT380" s="112" t="b">
        <f>IF(preDEL!$AG380,IFERROR(0/0,""),preDEL!AT380)</f>
        <v>0</v>
      </c>
      <c r="AU380" s="112" t="str">
        <f>IF(preDEL!$AG380,IFERROR(0/0,""),preDEL!AU380)</f>
        <v/>
      </c>
      <c r="AV380" s="112" t="str">
        <f>IF(preDEL!$AG380,IFERROR(0/0,""),preDEL!AV380)</f>
        <v/>
      </c>
      <c r="AW380" s="112" t="str">
        <f>IF(preDEL!$AG380,IFERROR(0/0,""),preDEL!AW380)</f>
        <v/>
      </c>
      <c r="AX380" s="112" t="str">
        <f>IF(preDEL!$AG380,IFERROR(0/0,""),preDEL!AX380)</f>
        <v/>
      </c>
      <c r="AY380" s="112" t="str">
        <f>IF(preDEL!$AG380,IFERROR(0/0,""),preDEL!AY380)</f>
        <v/>
      </c>
      <c r="AZ380" s="174"/>
      <c r="BA380" s="174"/>
      <c r="BB380" s="174"/>
      <c r="BC380" s="174"/>
      <c r="BD380" s="174"/>
      <c r="BE380" s="174"/>
      <c r="BF380" s="174"/>
      <c r="BG380" s="174"/>
      <c r="BH380" s="174"/>
      <c r="BI380" s="174"/>
      <c r="BJ380" s="174"/>
      <c r="BK380" s="174"/>
      <c r="BL380" s="174"/>
      <c r="BM380" s="174"/>
      <c r="BN380" s="174"/>
      <c r="BO380" s="174"/>
      <c r="BP380" s="174"/>
      <c r="BQ380" s="174"/>
      <c r="BR380" s="174"/>
      <c r="BS380" s="174"/>
      <c r="BT380" s="174"/>
      <c r="BU380" s="174"/>
      <c r="BV380" s="174"/>
      <c r="BW380" s="174"/>
      <c r="BX380" s="174"/>
      <c r="BY380" s="174"/>
      <c r="BZ380" s="174"/>
      <c r="CA380" s="174"/>
      <c r="CB380" s="174"/>
      <c r="CC380" s="174"/>
      <c r="CD380" s="174"/>
    </row>
    <row r="381">
      <c r="A381" s="105" t="str">
        <f>IF(preDEL!$AG381,IFERROR(0/0,""),preDEL!A381)</f>
        <v>MA1079</v>
      </c>
      <c r="B381" s="170">
        <f>IF(preDEL!$AG381,IFERROR(0/0,""),preDEL!B381)</f>
        <v>44604</v>
      </c>
      <c r="C381" s="171">
        <f>IF(preDEL!$AG381,IFERROR(0/0,""),preDEL!C381)</f>
        <v>0.3235763889</v>
      </c>
      <c r="D381" s="105" t="str">
        <f>IF(preDEL!$AG381,IFERROR(0/0,""),preDEL!D381)</f>
        <v/>
      </c>
      <c r="E381" s="105" t="str">
        <f>IF(preDEL!$AG381,IFERROR(0/0,""),preDEL!E381)</f>
        <v/>
      </c>
      <c r="F381" s="112" t="str">
        <f>IF(preDEL!$AG381,IFERROR(0/0,""),preDEL!F381)</f>
        <v/>
      </c>
      <c r="G381" s="112" t="str">
        <f>IF(preDEL!$AG381,IFERROR(0/0,""),preDEL!G381)</f>
        <v/>
      </c>
      <c r="H381" s="112" t="str">
        <f>IF(preDEL!$AG381,IFERROR(0/0,""),preDEL!H381)</f>
        <v/>
      </c>
      <c r="I381" s="105" t="str">
        <f>IF(preDEL!$AG381,IFERROR(0/0,""),preDEL!I381)</f>
        <v/>
      </c>
      <c r="J381" s="105" t="str">
        <f>IF(preDEL!$AG381,IFERROR(0/0,""),preDEL!J381)</f>
        <v/>
      </c>
      <c r="K381" s="105" t="str">
        <f>IF(preDEL!$AG381,IFERROR(0/0,""),preDEL!K381)</f>
        <v>Positive</v>
      </c>
      <c r="L381" s="170">
        <f>IF(preDEL!$AG381,IFERROR(0/0,""),preDEL!L381)</f>
        <v>44604</v>
      </c>
      <c r="M381" s="171">
        <f>IF(preDEL!$AG381,IFERROR(0/0,""),preDEL!M381)</f>
        <v>0.3936689815</v>
      </c>
      <c r="N381" s="112" t="str">
        <f>IF(preDEL!$AG381,IFERROR(0/0,""),preDEL!N381)</f>
        <v/>
      </c>
      <c r="O381" s="112" t="str">
        <f>IF(preDEL!$AG381,IFERROR(0/0,""),preDEL!O381)</f>
        <v/>
      </c>
      <c r="P381" s="110" t="b">
        <f>IF(preDEL!$AG381,IFERROR(0/0,""),preDEL!P381)</f>
        <v>0</v>
      </c>
      <c r="Q381" s="110" t="str">
        <f>IF(preDEL!$AG381,IFERROR(0/0,""),preDEL!Q381)</f>
        <v>Result</v>
      </c>
      <c r="R381" s="104" t="b">
        <f>IF(preDEL!$AG381,IFERROR(0/0,""),preDEL!R381)</f>
        <v>1</v>
      </c>
      <c r="S381" s="104">
        <f>IF(preDEL!$AG381,IFERROR(0/0,""),preDEL!S381)</f>
        <v>1</v>
      </c>
      <c r="T381" s="110" t="str">
        <f>IF(preDEL!$AG381,IFERROR(0/0,""),preDEL!T381)</f>
        <v/>
      </c>
      <c r="U381" s="112" t="str">
        <f>IF(preDEL!$AG381,IFERROR(0/0,""),preDEL!U381)</f>
        <v/>
      </c>
      <c r="V381" s="105" t="str">
        <f>IF(preDEL!$AG381,IFERROR(0/0,""),preDEL!V381)</f>
        <v/>
      </c>
      <c r="W381" s="112" t="str">
        <f>IF(preDEL!$AG381,IFERROR(0/0,""),preDEL!W381)</f>
        <v/>
      </c>
      <c r="X381" s="104" t="b">
        <f>IF(preDEL!$AG381,IFERROR(0/0,""),preDEL!X381)</f>
        <v>0</v>
      </c>
      <c r="Y381" s="110" t="b">
        <f>IF(preDEL!$AG381,IFERROR(0/0,""),preDEL!Y381)</f>
        <v>0</v>
      </c>
      <c r="Z381" s="105" t="str">
        <f>IF(preDEL!$AG381,IFERROR(0/0,""),preDEL!Z381)</f>
        <v/>
      </c>
      <c r="AA381" s="110" t="b">
        <f>IF(preDEL!$AG381,IFERROR(0/0,""),preDEL!AA381)</f>
        <v>0</v>
      </c>
      <c r="AB381" s="110" t="b">
        <f>IF(preDEL!$AG381,IFERROR(0/0,""),preDEL!AB381)</f>
        <v>0</v>
      </c>
      <c r="AC381" s="172">
        <f>IF(preDEL!$AG381,IFERROR(0/0,""),preDEL!AC381)</f>
        <v>427</v>
      </c>
      <c r="AD381" s="104" t="b">
        <f>IF(preDEL!$AG381,IFERROR(0/0,""),preDEL!AD381)</f>
        <v>0</v>
      </c>
      <c r="AE381" s="173">
        <f>IF(preDEL!$AG381,IFERROR(0/0,""),preDEL!AE381)</f>
        <v>100.9333333</v>
      </c>
      <c r="AF381" s="110" t="b">
        <f>IF(preDEL!$AG381,IFERROR(0/0,""),preDEL!AF381)</f>
        <v>0</v>
      </c>
      <c r="AG381" s="110" t="b">
        <f>IF(preDEL!$AG381,IFERROR(0/0,""),preDEL!AG381)</f>
        <v>0</v>
      </c>
      <c r="AH381" s="104" t="str">
        <f>IF(preDEL!$AG381,IFERROR(0/0,""),preDEL!AH381)</f>
        <v/>
      </c>
      <c r="AI381" s="105" t="str">
        <f>IF(preDEL!$AG381,IFERROR(0/0,""),preDEL!AI381)</f>
        <v/>
      </c>
      <c r="AJ381" s="112" t="str">
        <f>IF(preDEL!$AG381,IFERROR(0/0,""),preDEL!AJ381)</f>
        <v/>
      </c>
      <c r="AK381" s="105" t="str">
        <f>IF(preDEL!$AG381,IFERROR(0/0,""),preDEL!AK381)</f>
        <v>Positive</v>
      </c>
      <c r="AL381" s="112" t="str">
        <f>IF(preDEL!$AG381,IFERROR(0/0,""),preDEL!AL381)</f>
        <v/>
      </c>
      <c r="AM381" s="112" t="str">
        <f>IF(preDEL!$AG381,IFERROR(0/0,""),preDEL!AM381)</f>
        <v>SpBEND483335</v>
      </c>
      <c r="AN381" s="112" t="str">
        <f>IF(preDEL!$AG381,IFERROR(0/0,""),preDEL!AN381)</f>
        <v>BEND785869</v>
      </c>
      <c r="AO381" s="112" t="str">
        <f>IF(preDEL!$AG381,IFERROR(0/0,""),preDEL!AO381)</f>
        <v/>
      </c>
      <c r="AP381" s="112" t="str">
        <f>IF(preDEL!$AG381,IFERROR(0/0,""),preDEL!AP381)</f>
        <v/>
      </c>
      <c r="AQ381" s="112" t="str">
        <f>IF(preDEL!$AG381,IFERROR(0/0,""),preDEL!AQ381)</f>
        <v/>
      </c>
      <c r="AR381" s="112" t="str">
        <f>IF(preDEL!$AG381,IFERROR(0/0,""),preDEL!AR381)</f>
        <v/>
      </c>
      <c r="AS381" s="112" t="str">
        <f>IF(preDEL!$AG381,IFERROR(0/0,""),preDEL!AS381)</f>
        <v/>
      </c>
      <c r="AT381" s="112" t="b">
        <f>IF(preDEL!$AG381,IFERROR(0/0,""),preDEL!AT381)</f>
        <v>0</v>
      </c>
      <c r="AU381" s="112" t="str">
        <f>IF(preDEL!$AG381,IFERROR(0/0,""),preDEL!AU381)</f>
        <v/>
      </c>
      <c r="AV381" s="112" t="str">
        <f>IF(preDEL!$AG381,IFERROR(0/0,""),preDEL!AV381)</f>
        <v/>
      </c>
      <c r="AW381" s="112" t="str">
        <f>IF(preDEL!$AG381,IFERROR(0/0,""),preDEL!AW381)</f>
        <v/>
      </c>
      <c r="AX381" s="112" t="str">
        <f>IF(preDEL!$AG381,IFERROR(0/0,""),preDEL!AX381)</f>
        <v/>
      </c>
      <c r="AY381" s="112" t="str">
        <f>IF(preDEL!$AG381,IFERROR(0/0,""),preDEL!AY381)</f>
        <v/>
      </c>
      <c r="AZ381" s="174"/>
      <c r="BA381" s="174"/>
      <c r="BB381" s="174"/>
      <c r="BC381" s="174"/>
      <c r="BD381" s="174"/>
      <c r="BE381" s="174"/>
      <c r="BF381" s="174"/>
      <c r="BG381" s="174"/>
      <c r="BH381" s="174"/>
      <c r="BI381" s="174"/>
      <c r="BJ381" s="174"/>
      <c r="BK381" s="174"/>
      <c r="BL381" s="174"/>
      <c r="BM381" s="174"/>
      <c r="BN381" s="174"/>
      <c r="BO381" s="174"/>
      <c r="BP381" s="174"/>
      <c r="BQ381" s="174"/>
      <c r="BR381" s="174"/>
      <c r="BS381" s="174"/>
      <c r="BT381" s="174"/>
      <c r="BU381" s="174"/>
      <c r="BV381" s="174"/>
      <c r="BW381" s="174"/>
      <c r="BX381" s="174"/>
      <c r="BY381" s="174"/>
      <c r="BZ381" s="174"/>
      <c r="CA381" s="174"/>
      <c r="CB381" s="174"/>
      <c r="CC381" s="174"/>
      <c r="CD381" s="174"/>
    </row>
    <row r="382">
      <c r="A382" s="105" t="str">
        <f>IF(preDEL!$AG382,IFERROR(0/0,""),preDEL!A382)</f>
        <v>MA1111</v>
      </c>
      <c r="B382" s="170">
        <f>IF(preDEL!$AG382,IFERROR(0/0,""),preDEL!B382)</f>
        <v>44604</v>
      </c>
      <c r="C382" s="171">
        <f>IF(preDEL!$AG382,IFERROR(0/0,""),preDEL!C382)</f>
        <v>0.3247569444</v>
      </c>
      <c r="D382" s="105" t="str">
        <f>IF(preDEL!$AG382,IFERROR(0/0,""),preDEL!D382)</f>
        <v/>
      </c>
      <c r="E382" s="105" t="str">
        <f>IF(preDEL!$AG382,IFERROR(0/0,""),preDEL!E382)</f>
        <v/>
      </c>
      <c r="F382" s="112" t="str">
        <f>IF(preDEL!$AG382,IFERROR(0/0,""),preDEL!F382)</f>
        <v/>
      </c>
      <c r="G382" s="112" t="str">
        <f>IF(preDEL!$AG382,IFERROR(0/0,""),preDEL!G382)</f>
        <v/>
      </c>
      <c r="H382" s="112" t="str">
        <f>IF(preDEL!$AG382,IFERROR(0/0,""),preDEL!H382)</f>
        <v/>
      </c>
      <c r="I382" s="105" t="str">
        <f>IF(preDEL!$AG382,IFERROR(0/0,""),preDEL!I382)</f>
        <v/>
      </c>
      <c r="J382" s="105" t="str">
        <f>IF(preDEL!$AG382,IFERROR(0/0,""),preDEL!J382)</f>
        <v/>
      </c>
      <c r="K382" s="105" t="str">
        <f>IF(preDEL!$AG382,IFERROR(0/0,""),preDEL!K382)</f>
        <v>Positive</v>
      </c>
      <c r="L382" s="170">
        <f>IF(preDEL!$AG382,IFERROR(0/0,""),preDEL!L382)</f>
        <v>44604</v>
      </c>
      <c r="M382" s="171">
        <f>IF(preDEL!$AG382,IFERROR(0/0,""),preDEL!M382)</f>
        <v>0.3936689815</v>
      </c>
      <c r="N382" s="112" t="str">
        <f>IF(preDEL!$AG382,IFERROR(0/0,""),preDEL!N382)</f>
        <v/>
      </c>
      <c r="O382" s="112" t="str">
        <f>IF(preDEL!$AG382,IFERROR(0/0,""),preDEL!O382)</f>
        <v/>
      </c>
      <c r="P382" s="110" t="b">
        <f>IF(preDEL!$AG382,IFERROR(0/0,""),preDEL!P382)</f>
        <v>0</v>
      </c>
      <c r="Q382" s="110" t="str">
        <f>IF(preDEL!$AG382,IFERROR(0/0,""),preDEL!Q382)</f>
        <v>Result</v>
      </c>
      <c r="R382" s="104" t="b">
        <f>IF(preDEL!$AG382,IFERROR(0/0,""),preDEL!R382)</f>
        <v>1</v>
      </c>
      <c r="S382" s="104">
        <f>IF(preDEL!$AG382,IFERROR(0/0,""),preDEL!S382)</f>
        <v>1</v>
      </c>
      <c r="T382" s="110">
        <f>IF(preDEL!$AG382,IFERROR(0/0,""),preDEL!T382)</f>
        <v>0</v>
      </c>
      <c r="U382" s="112" t="str">
        <f>IF(preDEL!$AG382,IFERROR(0/0,""),preDEL!U382)</f>
        <v/>
      </c>
      <c r="V382" s="105" t="str">
        <f>IF(preDEL!$AG382,IFERROR(0/0,""),preDEL!V382)</f>
        <v/>
      </c>
      <c r="W382" s="112" t="str">
        <f>IF(preDEL!$AG382,IFERROR(0/0,""),preDEL!W382)</f>
        <v/>
      </c>
      <c r="X382" s="104" t="b">
        <f>IF(preDEL!$AG382,IFERROR(0/0,""),preDEL!X382)</f>
        <v>0</v>
      </c>
      <c r="Y382" s="110" t="b">
        <f>IF(preDEL!$AG382,IFERROR(0/0,""),preDEL!Y382)</f>
        <v>0</v>
      </c>
      <c r="Z382" s="105" t="str">
        <f>IF(preDEL!$AG382,IFERROR(0/0,""),preDEL!Z382)</f>
        <v/>
      </c>
      <c r="AA382" s="110" t="b">
        <f>IF(preDEL!$AG382,IFERROR(0/0,""),preDEL!AA382)</f>
        <v>0</v>
      </c>
      <c r="AB382" s="110" t="b">
        <f>IF(preDEL!$AG382,IFERROR(0/0,""),preDEL!AB382)</f>
        <v>0</v>
      </c>
      <c r="AC382" s="172">
        <f>IF(preDEL!$AG382,IFERROR(0/0,""),preDEL!AC382)</f>
        <v>426</v>
      </c>
      <c r="AD382" s="104" t="b">
        <f>IF(preDEL!$AG382,IFERROR(0/0,""),preDEL!AD382)</f>
        <v>0</v>
      </c>
      <c r="AE382" s="173">
        <f>IF(preDEL!$AG382,IFERROR(0/0,""),preDEL!AE382)</f>
        <v>99.23333333</v>
      </c>
      <c r="AF382" s="110" t="b">
        <f>IF(preDEL!$AG382,IFERROR(0/0,""),preDEL!AF382)</f>
        <v>0</v>
      </c>
      <c r="AG382" s="110" t="b">
        <f>IF(preDEL!$AG382,IFERROR(0/0,""),preDEL!AG382)</f>
        <v>0</v>
      </c>
      <c r="AH382" s="104" t="str">
        <f>IF(preDEL!$AG382,IFERROR(0/0,""),preDEL!AH382)</f>
        <v/>
      </c>
      <c r="AI382" s="105" t="str">
        <f>IF(preDEL!$AG382,IFERROR(0/0,""),preDEL!AI382)</f>
        <v/>
      </c>
      <c r="AJ382" s="112" t="str">
        <f>IF(preDEL!$AG382,IFERROR(0/0,""),preDEL!AJ382)</f>
        <v/>
      </c>
      <c r="AK382" s="105" t="str">
        <f>IF(preDEL!$AG382,IFERROR(0/0,""),preDEL!AK382)</f>
        <v>Positive</v>
      </c>
      <c r="AL382" s="112" t="str">
        <f>IF(preDEL!$AG382,IFERROR(0/0,""),preDEL!AL382)</f>
        <v/>
      </c>
      <c r="AM382" s="112" t="str">
        <f>IF(preDEL!$AG382,IFERROR(0/0,""),preDEL!AM382)</f>
        <v>SpBEND483335</v>
      </c>
      <c r="AN382" s="112" t="str">
        <f>IF(preDEL!$AG382,IFERROR(0/0,""),preDEL!AN382)</f>
        <v>BEND215511</v>
      </c>
      <c r="AO382" s="112" t="str">
        <f>IF(preDEL!$AG382,IFERROR(0/0,""),preDEL!AO382)</f>
        <v/>
      </c>
      <c r="AP382" s="112" t="str">
        <f>IF(preDEL!$AG382,IFERROR(0/0,""),preDEL!AP382)</f>
        <v/>
      </c>
      <c r="AQ382" s="112" t="str">
        <f>IF(preDEL!$AG382,IFERROR(0/0,""),preDEL!AQ382)</f>
        <v/>
      </c>
      <c r="AR382" s="112" t="str">
        <f>IF(preDEL!$AG382,IFERROR(0/0,""),preDEL!AR382)</f>
        <v/>
      </c>
      <c r="AS382" s="112" t="str">
        <f>IF(preDEL!$AG382,IFERROR(0/0,""),preDEL!AS382)</f>
        <v/>
      </c>
      <c r="AT382" s="112" t="b">
        <f>IF(preDEL!$AG382,IFERROR(0/0,""),preDEL!AT382)</f>
        <v>0</v>
      </c>
      <c r="AU382" s="112" t="str">
        <f>IF(preDEL!$AG382,IFERROR(0/0,""),preDEL!AU382)</f>
        <v/>
      </c>
      <c r="AV382" s="112" t="str">
        <f>IF(preDEL!$AG382,IFERROR(0/0,""),preDEL!AV382)</f>
        <v/>
      </c>
      <c r="AW382" s="112" t="str">
        <f>IF(preDEL!$AG382,IFERROR(0/0,""),preDEL!AW382)</f>
        <v/>
      </c>
      <c r="AX382" s="112" t="str">
        <f>IF(preDEL!$AG382,IFERROR(0/0,""),preDEL!AX382)</f>
        <v/>
      </c>
      <c r="AY382" s="112" t="str">
        <f>IF(preDEL!$AG382,IFERROR(0/0,""),preDEL!AY382)</f>
        <v/>
      </c>
      <c r="AZ382" s="174"/>
      <c r="BA382" s="174"/>
      <c r="BB382" s="174"/>
      <c r="BC382" s="174"/>
      <c r="BD382" s="174"/>
      <c r="BE382" s="174"/>
      <c r="BF382" s="174"/>
      <c r="BG382" s="174"/>
      <c r="BH382" s="174"/>
      <c r="BI382" s="174"/>
      <c r="BJ382" s="174"/>
      <c r="BK382" s="174"/>
      <c r="BL382" s="174"/>
      <c r="BM382" s="174"/>
      <c r="BN382" s="174"/>
      <c r="BO382" s="174"/>
      <c r="BP382" s="174"/>
      <c r="BQ382" s="174"/>
      <c r="BR382" s="174"/>
      <c r="BS382" s="174"/>
      <c r="BT382" s="174"/>
      <c r="BU382" s="174"/>
      <c r="BV382" s="174"/>
      <c r="BW382" s="174"/>
      <c r="BX382" s="174"/>
      <c r="BY382" s="174"/>
      <c r="BZ382" s="174"/>
      <c r="CA382" s="174"/>
      <c r="CB382" s="174"/>
      <c r="CC382" s="174"/>
      <c r="CD382" s="174"/>
    </row>
    <row r="383">
      <c r="A383" s="105" t="str">
        <f>IF(preDEL!$AG383,IFERROR(0/0,""),preDEL!A383)</f>
        <v/>
      </c>
      <c r="B383" s="170" t="str">
        <f>IF(preDEL!$AG383,IFERROR(0/0,""),preDEL!B383)</f>
        <v/>
      </c>
      <c r="C383" s="171" t="str">
        <f>IF(preDEL!$AG383,IFERROR(0/0,""),preDEL!C383)</f>
        <v/>
      </c>
      <c r="D383" s="105" t="str">
        <f>IF(preDEL!$AG383,IFERROR(0/0,""),preDEL!D383)</f>
        <v/>
      </c>
      <c r="E383" s="105" t="str">
        <f>IF(preDEL!$AG383,IFERROR(0/0,""),preDEL!E383)</f>
        <v/>
      </c>
      <c r="F383" s="112" t="str">
        <f>IF(preDEL!$AG383,IFERROR(0/0,""),preDEL!F383)</f>
        <v/>
      </c>
      <c r="G383" s="112" t="str">
        <f>IF(preDEL!$AG383,IFERROR(0/0,""),preDEL!G383)</f>
        <v/>
      </c>
      <c r="H383" s="112" t="str">
        <f>IF(preDEL!$AG383,IFERROR(0/0,""),preDEL!H383)</f>
        <v/>
      </c>
      <c r="I383" s="105" t="str">
        <f>IF(preDEL!$AG383,IFERROR(0/0,""),preDEL!I383)</f>
        <v/>
      </c>
      <c r="J383" s="105" t="str">
        <f>IF(preDEL!$AG383,IFERROR(0/0,""),preDEL!J383)</f>
        <v/>
      </c>
      <c r="K383" s="105" t="str">
        <f>IF(preDEL!$AG383,IFERROR(0/0,""),preDEL!K383)</f>
        <v/>
      </c>
      <c r="L383" s="170" t="str">
        <f>IF(preDEL!$AG383,IFERROR(0/0,""),preDEL!L383)</f>
        <v/>
      </c>
      <c r="M383" s="171" t="str">
        <f>IF(preDEL!$AG383,IFERROR(0/0,""),preDEL!M383)</f>
        <v/>
      </c>
      <c r="N383" s="112" t="str">
        <f>IF(preDEL!$AG383,IFERROR(0/0,""),preDEL!N383)</f>
        <v/>
      </c>
      <c r="O383" s="112" t="str">
        <f>IF(preDEL!$AG383,IFERROR(0/0,""),preDEL!O383)</f>
        <v/>
      </c>
      <c r="P383" s="110" t="str">
        <f>IF(preDEL!$AG383,IFERROR(0/0,""),preDEL!P383)</f>
        <v/>
      </c>
      <c r="Q383" s="110" t="str">
        <f>IF(preDEL!$AG383,IFERROR(0/0,""),preDEL!Q383)</f>
        <v/>
      </c>
      <c r="R383" s="104" t="str">
        <f>IF(preDEL!$AG383,IFERROR(0/0,""),preDEL!R383)</f>
        <v/>
      </c>
      <c r="S383" s="104" t="str">
        <f>IF(preDEL!$AG383,IFERROR(0/0,""),preDEL!S383)</f>
        <v/>
      </c>
      <c r="T383" s="110" t="str">
        <f>IF(preDEL!$AG383,IFERROR(0/0,""),preDEL!T383)</f>
        <v/>
      </c>
      <c r="U383" s="112" t="str">
        <f>IF(preDEL!$AG383,IFERROR(0/0,""),preDEL!U383)</f>
        <v/>
      </c>
      <c r="V383" s="105" t="str">
        <f>IF(preDEL!$AG383,IFERROR(0/0,""),preDEL!V383)</f>
        <v/>
      </c>
      <c r="W383" s="112" t="str">
        <f>IF(preDEL!$AG383,IFERROR(0/0,""),preDEL!W383)</f>
        <v/>
      </c>
      <c r="X383" s="104" t="str">
        <f>IF(preDEL!$AG383,IFERROR(0/0,""),preDEL!X383)</f>
        <v/>
      </c>
      <c r="Y383" s="110" t="str">
        <f>IF(preDEL!$AG383,IFERROR(0/0,""),preDEL!Y383)</f>
        <v/>
      </c>
      <c r="Z383" s="105" t="str">
        <f>IF(preDEL!$AG383,IFERROR(0/0,""),preDEL!Z383)</f>
        <v/>
      </c>
      <c r="AA383" s="110" t="str">
        <f>IF(preDEL!$AG383,IFERROR(0/0,""),preDEL!AA383)</f>
        <v/>
      </c>
      <c r="AB383" s="110" t="str">
        <f>IF(preDEL!$AG383,IFERROR(0/0,""),preDEL!AB383)</f>
        <v/>
      </c>
      <c r="AC383" s="172" t="str">
        <f>IF(preDEL!$AG383,IFERROR(0/0,""),preDEL!AC383)</f>
        <v/>
      </c>
      <c r="AD383" s="104" t="str">
        <f>IF(preDEL!$AG383,IFERROR(0/0,""),preDEL!AD383)</f>
        <v/>
      </c>
      <c r="AE383" s="173" t="str">
        <f>IF(preDEL!$AG383,IFERROR(0/0,""),preDEL!AE383)</f>
        <v/>
      </c>
      <c r="AF383" s="110" t="str">
        <f>IF(preDEL!$AG383,IFERROR(0/0,""),preDEL!AF383)</f>
        <v/>
      </c>
      <c r="AG383" s="110" t="str">
        <f>IF(preDEL!$AG383,IFERROR(0/0,""),preDEL!AG383)</f>
        <v/>
      </c>
      <c r="AH383" s="104" t="str">
        <f>IF(preDEL!$AG383,IFERROR(0/0,""),preDEL!AH383)</f>
        <v/>
      </c>
      <c r="AI383" s="105" t="str">
        <f>IF(preDEL!$AG383,IFERROR(0/0,""),preDEL!AI383)</f>
        <v/>
      </c>
      <c r="AJ383" s="112" t="str">
        <f>IF(preDEL!$AG383,IFERROR(0/0,""),preDEL!AJ383)</f>
        <v/>
      </c>
      <c r="AK383" s="105" t="str">
        <f>IF(preDEL!$AG383,IFERROR(0/0,""),preDEL!AK383)</f>
        <v/>
      </c>
      <c r="AL383" s="112" t="str">
        <f>IF(preDEL!$AG383,IFERROR(0/0,""),preDEL!AL383)</f>
        <v/>
      </c>
      <c r="AM383" s="112" t="str">
        <f>IF(preDEL!$AG383,IFERROR(0/0,""),preDEL!AM383)</f>
        <v/>
      </c>
      <c r="AN383" s="112" t="str">
        <f>IF(preDEL!$AG383,IFERROR(0/0,""),preDEL!AN383)</f>
        <v/>
      </c>
      <c r="AO383" s="112" t="str">
        <f>IF(preDEL!$AG383,IFERROR(0/0,""),preDEL!AO383)</f>
        <v/>
      </c>
      <c r="AP383" s="112" t="str">
        <f>IF(preDEL!$AG383,IFERROR(0/0,""),preDEL!AP383)</f>
        <v/>
      </c>
      <c r="AQ383" s="112" t="str">
        <f>IF(preDEL!$AG383,IFERROR(0/0,""),preDEL!AQ383)</f>
        <v/>
      </c>
      <c r="AR383" s="112" t="str">
        <f>IF(preDEL!$AG383,IFERROR(0/0,""),preDEL!AR383)</f>
        <v/>
      </c>
      <c r="AS383" s="112" t="str">
        <f>IF(preDEL!$AG383,IFERROR(0/0,""),preDEL!AS383)</f>
        <v/>
      </c>
      <c r="AT383" s="112" t="str">
        <f>IF(preDEL!$AG383,IFERROR(0/0,""),preDEL!AT383)</f>
        <v/>
      </c>
      <c r="AU383" s="112" t="str">
        <f>IF(preDEL!$AG383,IFERROR(0/0,""),preDEL!AU383)</f>
        <v/>
      </c>
      <c r="AV383" s="112" t="str">
        <f>IF(preDEL!$AG383,IFERROR(0/0,""),preDEL!AV383)</f>
        <v/>
      </c>
      <c r="AW383" s="112" t="str">
        <f>IF(preDEL!$AG383,IFERROR(0/0,""),preDEL!AW383)</f>
        <v/>
      </c>
      <c r="AX383" s="112" t="str">
        <f>IF(preDEL!$AG383,IFERROR(0/0,""),preDEL!AX383)</f>
        <v/>
      </c>
      <c r="AY383" s="112" t="str">
        <f>IF(preDEL!$AG383,IFERROR(0/0,""),preDEL!AY383)</f>
        <v/>
      </c>
      <c r="AZ383" s="174"/>
      <c r="BA383" s="174"/>
      <c r="BB383" s="174"/>
      <c r="BC383" s="174"/>
      <c r="BD383" s="174"/>
      <c r="BE383" s="174"/>
      <c r="BF383" s="174"/>
      <c r="BG383" s="174"/>
      <c r="BH383" s="174"/>
      <c r="BI383" s="174"/>
      <c r="BJ383" s="174"/>
      <c r="BK383" s="174"/>
      <c r="BL383" s="174"/>
      <c r="BM383" s="174"/>
      <c r="BN383" s="174"/>
      <c r="BO383" s="174"/>
      <c r="BP383" s="174"/>
      <c r="BQ383" s="174"/>
      <c r="BR383" s="174"/>
      <c r="BS383" s="174"/>
      <c r="BT383" s="174"/>
      <c r="BU383" s="174"/>
      <c r="BV383" s="174"/>
      <c r="BW383" s="174"/>
      <c r="BX383" s="174"/>
      <c r="BY383" s="174"/>
      <c r="BZ383" s="174"/>
      <c r="CA383" s="174"/>
      <c r="CB383" s="174"/>
      <c r="CC383" s="174"/>
      <c r="CD383" s="174"/>
    </row>
    <row r="384">
      <c r="A384" s="105" t="str">
        <f>IF(preDEL!$AG384,IFERROR(0/0,""),preDEL!A384)</f>
        <v/>
      </c>
      <c r="B384" s="170" t="str">
        <f>IF(preDEL!$AG384,IFERROR(0/0,""),preDEL!B384)</f>
        <v/>
      </c>
      <c r="C384" s="171" t="str">
        <f>IF(preDEL!$AG384,IFERROR(0/0,""),preDEL!C384)</f>
        <v/>
      </c>
      <c r="D384" s="105" t="str">
        <f>IF(preDEL!$AG384,IFERROR(0/0,""),preDEL!D384)</f>
        <v/>
      </c>
      <c r="E384" s="105" t="str">
        <f>IF(preDEL!$AG384,IFERROR(0/0,""),preDEL!E384)</f>
        <v/>
      </c>
      <c r="F384" s="112" t="str">
        <f>IF(preDEL!$AG384,IFERROR(0/0,""),preDEL!F384)</f>
        <v/>
      </c>
      <c r="G384" s="112" t="str">
        <f>IF(preDEL!$AG384,IFERROR(0/0,""),preDEL!G384)</f>
        <v/>
      </c>
      <c r="H384" s="112" t="str">
        <f>IF(preDEL!$AG384,IFERROR(0/0,""),preDEL!H384)</f>
        <v/>
      </c>
      <c r="I384" s="105" t="str">
        <f>IF(preDEL!$AG384,IFERROR(0/0,""),preDEL!I384)</f>
        <v/>
      </c>
      <c r="J384" s="105" t="str">
        <f>IF(preDEL!$AG384,IFERROR(0/0,""),preDEL!J384)</f>
        <v/>
      </c>
      <c r="K384" s="105" t="str">
        <f>IF(preDEL!$AG384,IFERROR(0/0,""),preDEL!K384)</f>
        <v/>
      </c>
      <c r="L384" s="170" t="str">
        <f>IF(preDEL!$AG384,IFERROR(0/0,""),preDEL!L384)</f>
        <v/>
      </c>
      <c r="M384" s="171" t="str">
        <f>IF(preDEL!$AG384,IFERROR(0/0,""),preDEL!M384)</f>
        <v/>
      </c>
      <c r="N384" s="112" t="str">
        <f>IF(preDEL!$AG384,IFERROR(0/0,""),preDEL!N384)</f>
        <v/>
      </c>
      <c r="O384" s="112" t="str">
        <f>IF(preDEL!$AG384,IFERROR(0/0,""),preDEL!O384)</f>
        <v/>
      </c>
      <c r="P384" s="110" t="str">
        <f>IF(preDEL!$AG384,IFERROR(0/0,""),preDEL!P384)</f>
        <v/>
      </c>
      <c r="Q384" s="110" t="str">
        <f>IF(preDEL!$AG384,IFERROR(0/0,""),preDEL!Q384)</f>
        <v/>
      </c>
      <c r="R384" s="104" t="str">
        <f>IF(preDEL!$AG384,IFERROR(0/0,""),preDEL!R384)</f>
        <v/>
      </c>
      <c r="S384" s="104" t="str">
        <f>IF(preDEL!$AG384,IFERROR(0/0,""),preDEL!S384)</f>
        <v/>
      </c>
      <c r="T384" s="110" t="str">
        <f>IF(preDEL!$AG384,IFERROR(0/0,""),preDEL!T384)</f>
        <v/>
      </c>
      <c r="U384" s="112" t="str">
        <f>IF(preDEL!$AG384,IFERROR(0/0,""),preDEL!U384)</f>
        <v/>
      </c>
      <c r="V384" s="105" t="str">
        <f>IF(preDEL!$AG384,IFERROR(0/0,""),preDEL!V384)</f>
        <v/>
      </c>
      <c r="W384" s="112" t="str">
        <f>IF(preDEL!$AG384,IFERROR(0/0,""),preDEL!W384)</f>
        <v/>
      </c>
      <c r="X384" s="104" t="str">
        <f>IF(preDEL!$AG384,IFERROR(0/0,""),preDEL!X384)</f>
        <v/>
      </c>
      <c r="Y384" s="110" t="str">
        <f>IF(preDEL!$AG384,IFERROR(0/0,""),preDEL!Y384)</f>
        <v/>
      </c>
      <c r="Z384" s="105" t="str">
        <f>IF(preDEL!$AG384,IFERROR(0/0,""),preDEL!Z384)</f>
        <v/>
      </c>
      <c r="AA384" s="110" t="str">
        <f>IF(preDEL!$AG384,IFERROR(0/0,""),preDEL!AA384)</f>
        <v/>
      </c>
      <c r="AB384" s="110" t="str">
        <f>IF(preDEL!$AG384,IFERROR(0/0,""),preDEL!AB384)</f>
        <v/>
      </c>
      <c r="AC384" s="172" t="str">
        <f>IF(preDEL!$AG384,IFERROR(0/0,""),preDEL!AC384)</f>
        <v/>
      </c>
      <c r="AD384" s="104" t="str">
        <f>IF(preDEL!$AG384,IFERROR(0/0,""),preDEL!AD384)</f>
        <v/>
      </c>
      <c r="AE384" s="173" t="str">
        <f>IF(preDEL!$AG384,IFERROR(0/0,""),preDEL!AE384)</f>
        <v/>
      </c>
      <c r="AF384" s="110" t="str">
        <f>IF(preDEL!$AG384,IFERROR(0/0,""),preDEL!AF384)</f>
        <v/>
      </c>
      <c r="AG384" s="110" t="str">
        <f>IF(preDEL!$AG384,IFERROR(0/0,""),preDEL!AG384)</f>
        <v/>
      </c>
      <c r="AH384" s="104" t="str">
        <f>IF(preDEL!$AG384,IFERROR(0/0,""),preDEL!AH384)</f>
        <v/>
      </c>
      <c r="AI384" s="105" t="str">
        <f>IF(preDEL!$AG384,IFERROR(0/0,""),preDEL!AI384)</f>
        <v/>
      </c>
      <c r="AJ384" s="112" t="str">
        <f>IF(preDEL!$AG384,IFERROR(0/0,""),preDEL!AJ384)</f>
        <v/>
      </c>
      <c r="AK384" s="105" t="str">
        <f>IF(preDEL!$AG384,IFERROR(0/0,""),preDEL!AK384)</f>
        <v/>
      </c>
      <c r="AL384" s="112" t="str">
        <f>IF(preDEL!$AG384,IFERROR(0/0,""),preDEL!AL384)</f>
        <v/>
      </c>
      <c r="AM384" s="112" t="str">
        <f>IF(preDEL!$AG384,IFERROR(0/0,""),preDEL!AM384)</f>
        <v/>
      </c>
      <c r="AN384" s="112" t="str">
        <f>IF(preDEL!$AG384,IFERROR(0/0,""),preDEL!AN384)</f>
        <v/>
      </c>
      <c r="AO384" s="112" t="str">
        <f>IF(preDEL!$AG384,IFERROR(0/0,""),preDEL!AO384)</f>
        <v/>
      </c>
      <c r="AP384" s="112" t="str">
        <f>IF(preDEL!$AG384,IFERROR(0/0,""),preDEL!AP384)</f>
        <v/>
      </c>
      <c r="AQ384" s="112" t="str">
        <f>IF(preDEL!$AG384,IFERROR(0/0,""),preDEL!AQ384)</f>
        <v/>
      </c>
      <c r="AR384" s="112" t="str">
        <f>IF(preDEL!$AG384,IFERROR(0/0,""),preDEL!AR384)</f>
        <v/>
      </c>
      <c r="AS384" s="112" t="str">
        <f>IF(preDEL!$AG384,IFERROR(0/0,""),preDEL!AS384)</f>
        <v/>
      </c>
      <c r="AT384" s="112" t="str">
        <f>IF(preDEL!$AG384,IFERROR(0/0,""),preDEL!AT384)</f>
        <v/>
      </c>
      <c r="AU384" s="112" t="str">
        <f>IF(preDEL!$AG384,IFERROR(0/0,""),preDEL!AU384)</f>
        <v/>
      </c>
      <c r="AV384" s="112" t="str">
        <f>IF(preDEL!$AG384,IFERROR(0/0,""),preDEL!AV384)</f>
        <v/>
      </c>
      <c r="AW384" s="112" t="str">
        <f>IF(preDEL!$AG384,IFERROR(0/0,""),preDEL!AW384)</f>
        <v/>
      </c>
      <c r="AX384" s="112" t="str">
        <f>IF(preDEL!$AG384,IFERROR(0/0,""),preDEL!AX384)</f>
        <v/>
      </c>
      <c r="AY384" s="112" t="str">
        <f>IF(preDEL!$AG384,IFERROR(0/0,""),preDEL!AY384)</f>
        <v/>
      </c>
      <c r="AZ384" s="174"/>
      <c r="BA384" s="174"/>
      <c r="BB384" s="174"/>
      <c r="BC384" s="174"/>
      <c r="BD384" s="174"/>
      <c r="BE384" s="174"/>
      <c r="BF384" s="174"/>
      <c r="BG384" s="174"/>
      <c r="BH384" s="174"/>
      <c r="BI384" s="174"/>
      <c r="BJ384" s="174"/>
      <c r="BK384" s="174"/>
      <c r="BL384" s="174"/>
      <c r="BM384" s="174"/>
      <c r="BN384" s="174"/>
      <c r="BO384" s="174"/>
      <c r="BP384" s="174"/>
      <c r="BQ384" s="174"/>
      <c r="BR384" s="174"/>
      <c r="BS384" s="174"/>
      <c r="BT384" s="174"/>
      <c r="BU384" s="174"/>
      <c r="BV384" s="174"/>
      <c r="BW384" s="174"/>
      <c r="BX384" s="174"/>
      <c r="BY384" s="174"/>
      <c r="BZ384" s="174"/>
      <c r="CA384" s="174"/>
      <c r="CB384" s="174"/>
      <c r="CC384" s="174"/>
      <c r="CD384" s="174"/>
    </row>
    <row r="385">
      <c r="A385" s="105" t="str">
        <f>IF(preDEL!$AG385,IFERROR(0/0,""),preDEL!A385)</f>
        <v/>
      </c>
      <c r="B385" s="170" t="str">
        <f>IF(preDEL!$AG385,IFERROR(0/0,""),preDEL!B385)</f>
        <v/>
      </c>
      <c r="C385" s="171" t="str">
        <f>IF(preDEL!$AG385,IFERROR(0/0,""),preDEL!C385)</f>
        <v/>
      </c>
      <c r="D385" s="105" t="str">
        <f>IF(preDEL!$AG385,IFERROR(0/0,""),preDEL!D385)</f>
        <v/>
      </c>
      <c r="E385" s="105" t="str">
        <f>IF(preDEL!$AG385,IFERROR(0/0,""),preDEL!E385)</f>
        <v/>
      </c>
      <c r="F385" s="112" t="str">
        <f>IF(preDEL!$AG385,IFERROR(0/0,""),preDEL!F385)</f>
        <v/>
      </c>
      <c r="G385" s="112" t="str">
        <f>IF(preDEL!$AG385,IFERROR(0/0,""),preDEL!G385)</f>
        <v/>
      </c>
      <c r="H385" s="112" t="str">
        <f>IF(preDEL!$AG385,IFERROR(0/0,""),preDEL!H385)</f>
        <v/>
      </c>
      <c r="I385" s="105" t="str">
        <f>IF(preDEL!$AG385,IFERROR(0/0,""),preDEL!I385)</f>
        <v/>
      </c>
      <c r="J385" s="105" t="str">
        <f>IF(preDEL!$AG385,IFERROR(0/0,""),preDEL!J385)</f>
        <v/>
      </c>
      <c r="K385" s="105" t="str">
        <f>IF(preDEL!$AG385,IFERROR(0/0,""),preDEL!K385)</f>
        <v/>
      </c>
      <c r="L385" s="170" t="str">
        <f>IF(preDEL!$AG385,IFERROR(0/0,""),preDEL!L385)</f>
        <v/>
      </c>
      <c r="M385" s="171" t="str">
        <f>IF(preDEL!$AG385,IFERROR(0/0,""),preDEL!M385)</f>
        <v/>
      </c>
      <c r="N385" s="112" t="str">
        <f>IF(preDEL!$AG385,IFERROR(0/0,""),preDEL!N385)</f>
        <v/>
      </c>
      <c r="O385" s="112" t="str">
        <f>IF(preDEL!$AG385,IFERROR(0/0,""),preDEL!O385)</f>
        <v/>
      </c>
      <c r="P385" s="110" t="str">
        <f>IF(preDEL!$AG385,IFERROR(0/0,""),preDEL!P385)</f>
        <v/>
      </c>
      <c r="Q385" s="110" t="str">
        <f>IF(preDEL!$AG385,IFERROR(0/0,""),preDEL!Q385)</f>
        <v/>
      </c>
      <c r="R385" s="104" t="str">
        <f>IF(preDEL!$AG385,IFERROR(0/0,""),preDEL!R385)</f>
        <v/>
      </c>
      <c r="S385" s="104" t="str">
        <f>IF(preDEL!$AG385,IFERROR(0/0,""),preDEL!S385)</f>
        <v/>
      </c>
      <c r="T385" s="110" t="str">
        <f>IF(preDEL!$AG385,IFERROR(0/0,""),preDEL!T385)</f>
        <v/>
      </c>
      <c r="U385" s="112" t="str">
        <f>IF(preDEL!$AG385,IFERROR(0/0,""),preDEL!U385)</f>
        <v/>
      </c>
      <c r="V385" s="105" t="str">
        <f>IF(preDEL!$AG385,IFERROR(0/0,""),preDEL!V385)</f>
        <v/>
      </c>
      <c r="W385" s="112" t="str">
        <f>IF(preDEL!$AG385,IFERROR(0/0,""),preDEL!W385)</f>
        <v/>
      </c>
      <c r="X385" s="104" t="str">
        <f>IF(preDEL!$AG385,IFERROR(0/0,""),preDEL!X385)</f>
        <v/>
      </c>
      <c r="Y385" s="110" t="str">
        <f>IF(preDEL!$AG385,IFERROR(0/0,""),preDEL!Y385)</f>
        <v/>
      </c>
      <c r="Z385" s="105" t="str">
        <f>IF(preDEL!$AG385,IFERROR(0/0,""),preDEL!Z385)</f>
        <v/>
      </c>
      <c r="AA385" s="110" t="str">
        <f>IF(preDEL!$AG385,IFERROR(0/0,""),preDEL!AA385)</f>
        <v/>
      </c>
      <c r="AB385" s="110" t="str">
        <f>IF(preDEL!$AG385,IFERROR(0/0,""),preDEL!AB385)</f>
        <v/>
      </c>
      <c r="AC385" s="172" t="str">
        <f>IF(preDEL!$AG385,IFERROR(0/0,""),preDEL!AC385)</f>
        <v/>
      </c>
      <c r="AD385" s="104" t="str">
        <f>IF(preDEL!$AG385,IFERROR(0/0,""),preDEL!AD385)</f>
        <v/>
      </c>
      <c r="AE385" s="173" t="str">
        <f>IF(preDEL!$AG385,IFERROR(0/0,""),preDEL!AE385)</f>
        <v/>
      </c>
      <c r="AF385" s="110" t="str">
        <f>IF(preDEL!$AG385,IFERROR(0/0,""),preDEL!AF385)</f>
        <v/>
      </c>
      <c r="AG385" s="110" t="str">
        <f>IF(preDEL!$AG385,IFERROR(0/0,""),preDEL!AG385)</f>
        <v/>
      </c>
      <c r="AH385" s="104" t="str">
        <f>IF(preDEL!$AG385,IFERROR(0/0,""),preDEL!AH385)</f>
        <v/>
      </c>
      <c r="AI385" s="105" t="str">
        <f>IF(preDEL!$AG385,IFERROR(0/0,""),preDEL!AI385)</f>
        <v/>
      </c>
      <c r="AJ385" s="112" t="str">
        <f>IF(preDEL!$AG385,IFERROR(0/0,""),preDEL!AJ385)</f>
        <v/>
      </c>
      <c r="AK385" s="105" t="str">
        <f>IF(preDEL!$AG385,IFERROR(0/0,""),preDEL!AK385)</f>
        <v/>
      </c>
      <c r="AL385" s="112" t="str">
        <f>IF(preDEL!$AG385,IFERROR(0/0,""),preDEL!AL385)</f>
        <v/>
      </c>
      <c r="AM385" s="112" t="str">
        <f>IF(preDEL!$AG385,IFERROR(0/0,""),preDEL!AM385)</f>
        <v/>
      </c>
      <c r="AN385" s="112" t="str">
        <f>IF(preDEL!$AG385,IFERROR(0/0,""),preDEL!AN385)</f>
        <v/>
      </c>
      <c r="AO385" s="112" t="str">
        <f>IF(preDEL!$AG385,IFERROR(0/0,""),preDEL!AO385)</f>
        <v/>
      </c>
      <c r="AP385" s="112" t="str">
        <f>IF(preDEL!$AG385,IFERROR(0/0,""),preDEL!AP385)</f>
        <v/>
      </c>
      <c r="AQ385" s="112" t="str">
        <f>IF(preDEL!$AG385,IFERROR(0/0,""),preDEL!AQ385)</f>
        <v/>
      </c>
      <c r="AR385" s="112" t="str">
        <f>IF(preDEL!$AG385,IFERROR(0/0,""),preDEL!AR385)</f>
        <v/>
      </c>
      <c r="AS385" s="112" t="str">
        <f>IF(preDEL!$AG385,IFERROR(0/0,""),preDEL!AS385)</f>
        <v/>
      </c>
      <c r="AT385" s="112" t="str">
        <f>IF(preDEL!$AG385,IFERROR(0/0,""),preDEL!AT385)</f>
        <v/>
      </c>
      <c r="AU385" s="112" t="str">
        <f>IF(preDEL!$AG385,IFERROR(0/0,""),preDEL!AU385)</f>
        <v/>
      </c>
      <c r="AV385" s="112" t="str">
        <f>IF(preDEL!$AG385,IFERROR(0/0,""),preDEL!AV385)</f>
        <v/>
      </c>
      <c r="AW385" s="112" t="str">
        <f>IF(preDEL!$AG385,IFERROR(0/0,""),preDEL!AW385)</f>
        <v/>
      </c>
      <c r="AX385" s="112" t="str">
        <f>IF(preDEL!$AG385,IFERROR(0/0,""),preDEL!AX385)</f>
        <v/>
      </c>
      <c r="AY385" s="112" t="str">
        <f>IF(preDEL!$AG385,IFERROR(0/0,""),preDEL!AY385)</f>
        <v/>
      </c>
      <c r="AZ385" s="174"/>
      <c r="BA385" s="174"/>
      <c r="BB385" s="174"/>
      <c r="BC385" s="174"/>
      <c r="BD385" s="174"/>
      <c r="BE385" s="174"/>
      <c r="BF385" s="174"/>
      <c r="BG385" s="174"/>
      <c r="BH385" s="174"/>
      <c r="BI385" s="174"/>
      <c r="BJ385" s="174"/>
      <c r="BK385" s="174"/>
      <c r="BL385" s="174"/>
      <c r="BM385" s="174"/>
      <c r="BN385" s="174"/>
      <c r="BO385" s="174"/>
      <c r="BP385" s="174"/>
      <c r="BQ385" s="174"/>
      <c r="BR385" s="174"/>
      <c r="BS385" s="174"/>
      <c r="BT385" s="174"/>
      <c r="BU385" s="174"/>
      <c r="BV385" s="174"/>
      <c r="BW385" s="174"/>
      <c r="BX385" s="174"/>
      <c r="BY385" s="174"/>
      <c r="BZ385" s="174"/>
      <c r="CA385" s="174"/>
      <c r="CB385" s="174"/>
      <c r="CC385" s="174"/>
      <c r="CD385" s="174"/>
    </row>
    <row r="386">
      <c r="A386" s="105" t="str">
        <f>IF(preDEL!$AG386,IFERROR(0/0,""),preDEL!A386)</f>
        <v/>
      </c>
      <c r="B386" s="170" t="str">
        <f>IF(preDEL!$AG386,IFERROR(0/0,""),preDEL!B386)</f>
        <v/>
      </c>
      <c r="C386" s="171" t="str">
        <f>IF(preDEL!$AG386,IFERROR(0/0,""),preDEL!C386)</f>
        <v/>
      </c>
      <c r="D386" s="105" t="str">
        <f>IF(preDEL!$AG386,IFERROR(0/0,""),preDEL!D386)</f>
        <v/>
      </c>
      <c r="E386" s="105" t="str">
        <f>IF(preDEL!$AG386,IFERROR(0/0,""),preDEL!E386)</f>
        <v/>
      </c>
      <c r="F386" s="112" t="str">
        <f>IF(preDEL!$AG386,IFERROR(0/0,""),preDEL!F386)</f>
        <v/>
      </c>
      <c r="G386" s="112" t="str">
        <f>IF(preDEL!$AG386,IFERROR(0/0,""),preDEL!G386)</f>
        <v/>
      </c>
      <c r="H386" s="112" t="str">
        <f>IF(preDEL!$AG386,IFERROR(0/0,""),preDEL!H386)</f>
        <v/>
      </c>
      <c r="I386" s="105" t="str">
        <f>IF(preDEL!$AG386,IFERROR(0/0,""),preDEL!I386)</f>
        <v/>
      </c>
      <c r="J386" s="105" t="str">
        <f>IF(preDEL!$AG386,IFERROR(0/0,""),preDEL!J386)</f>
        <v/>
      </c>
      <c r="K386" s="105" t="str">
        <f>IF(preDEL!$AG386,IFERROR(0/0,""),preDEL!K386)</f>
        <v/>
      </c>
      <c r="L386" s="170" t="str">
        <f>IF(preDEL!$AG386,IFERROR(0/0,""),preDEL!L386)</f>
        <v/>
      </c>
      <c r="M386" s="171" t="str">
        <f>IF(preDEL!$AG386,IFERROR(0/0,""),preDEL!M386)</f>
        <v/>
      </c>
      <c r="N386" s="112" t="str">
        <f>IF(preDEL!$AG386,IFERROR(0/0,""),preDEL!N386)</f>
        <v/>
      </c>
      <c r="O386" s="112" t="str">
        <f>IF(preDEL!$AG386,IFERROR(0/0,""),preDEL!O386)</f>
        <v/>
      </c>
      <c r="P386" s="110" t="str">
        <f>IF(preDEL!$AG386,IFERROR(0/0,""),preDEL!P386)</f>
        <v/>
      </c>
      <c r="Q386" s="110" t="str">
        <f>IF(preDEL!$AG386,IFERROR(0/0,""),preDEL!Q386)</f>
        <v/>
      </c>
      <c r="R386" s="104" t="str">
        <f>IF(preDEL!$AG386,IFERROR(0/0,""),preDEL!R386)</f>
        <v/>
      </c>
      <c r="S386" s="104" t="str">
        <f>IF(preDEL!$AG386,IFERROR(0/0,""),preDEL!S386)</f>
        <v/>
      </c>
      <c r="T386" s="110" t="str">
        <f>IF(preDEL!$AG386,IFERROR(0/0,""),preDEL!T386)</f>
        <v/>
      </c>
      <c r="U386" s="112" t="str">
        <f>IF(preDEL!$AG386,IFERROR(0/0,""),preDEL!U386)</f>
        <v/>
      </c>
      <c r="V386" s="105" t="str">
        <f>IF(preDEL!$AG386,IFERROR(0/0,""),preDEL!V386)</f>
        <v/>
      </c>
      <c r="W386" s="112" t="str">
        <f>IF(preDEL!$AG386,IFERROR(0/0,""),preDEL!W386)</f>
        <v/>
      </c>
      <c r="X386" s="104" t="str">
        <f>IF(preDEL!$AG386,IFERROR(0/0,""),preDEL!X386)</f>
        <v/>
      </c>
      <c r="Y386" s="110" t="str">
        <f>IF(preDEL!$AG386,IFERROR(0/0,""),preDEL!Y386)</f>
        <v/>
      </c>
      <c r="Z386" s="105" t="str">
        <f>IF(preDEL!$AG386,IFERROR(0/0,""),preDEL!Z386)</f>
        <v/>
      </c>
      <c r="AA386" s="110" t="str">
        <f>IF(preDEL!$AG386,IFERROR(0/0,""),preDEL!AA386)</f>
        <v/>
      </c>
      <c r="AB386" s="110" t="str">
        <f>IF(preDEL!$AG386,IFERROR(0/0,""),preDEL!AB386)</f>
        <v/>
      </c>
      <c r="AC386" s="172" t="str">
        <f>IF(preDEL!$AG386,IFERROR(0/0,""),preDEL!AC386)</f>
        <v/>
      </c>
      <c r="AD386" s="104" t="str">
        <f>IF(preDEL!$AG386,IFERROR(0/0,""),preDEL!AD386)</f>
        <v/>
      </c>
      <c r="AE386" s="173" t="str">
        <f>IF(preDEL!$AG386,IFERROR(0/0,""),preDEL!AE386)</f>
        <v/>
      </c>
      <c r="AF386" s="110" t="str">
        <f>IF(preDEL!$AG386,IFERROR(0/0,""),preDEL!AF386)</f>
        <v/>
      </c>
      <c r="AG386" s="110" t="str">
        <f>IF(preDEL!$AG386,IFERROR(0/0,""),preDEL!AG386)</f>
        <v/>
      </c>
      <c r="AH386" s="104" t="str">
        <f>IF(preDEL!$AG386,IFERROR(0/0,""),preDEL!AH386)</f>
        <v/>
      </c>
      <c r="AI386" s="105" t="str">
        <f>IF(preDEL!$AG386,IFERROR(0/0,""),preDEL!AI386)</f>
        <v/>
      </c>
      <c r="AJ386" s="112" t="str">
        <f>IF(preDEL!$AG386,IFERROR(0/0,""),preDEL!AJ386)</f>
        <v/>
      </c>
      <c r="AK386" s="105" t="str">
        <f>IF(preDEL!$AG386,IFERROR(0/0,""),preDEL!AK386)</f>
        <v/>
      </c>
      <c r="AL386" s="112" t="str">
        <f>IF(preDEL!$AG386,IFERROR(0/0,""),preDEL!AL386)</f>
        <v/>
      </c>
      <c r="AM386" s="112" t="str">
        <f>IF(preDEL!$AG386,IFERROR(0/0,""),preDEL!AM386)</f>
        <v/>
      </c>
      <c r="AN386" s="112" t="str">
        <f>IF(preDEL!$AG386,IFERROR(0/0,""),preDEL!AN386)</f>
        <v/>
      </c>
      <c r="AO386" s="112" t="str">
        <f>IF(preDEL!$AG386,IFERROR(0/0,""),preDEL!AO386)</f>
        <v/>
      </c>
      <c r="AP386" s="112" t="str">
        <f>IF(preDEL!$AG386,IFERROR(0/0,""),preDEL!AP386)</f>
        <v/>
      </c>
      <c r="AQ386" s="112" t="str">
        <f>IF(preDEL!$AG386,IFERROR(0/0,""),preDEL!AQ386)</f>
        <v/>
      </c>
      <c r="AR386" s="112" t="str">
        <f>IF(preDEL!$AG386,IFERROR(0/0,""),preDEL!AR386)</f>
        <v/>
      </c>
      <c r="AS386" s="112" t="str">
        <f>IF(preDEL!$AG386,IFERROR(0/0,""),preDEL!AS386)</f>
        <v/>
      </c>
      <c r="AT386" s="112" t="str">
        <f>IF(preDEL!$AG386,IFERROR(0/0,""),preDEL!AT386)</f>
        <v/>
      </c>
      <c r="AU386" s="112" t="str">
        <f>IF(preDEL!$AG386,IFERROR(0/0,""),preDEL!AU386)</f>
        <v/>
      </c>
      <c r="AV386" s="112" t="str">
        <f>IF(preDEL!$AG386,IFERROR(0/0,""),preDEL!AV386)</f>
        <v/>
      </c>
      <c r="AW386" s="112" t="str">
        <f>IF(preDEL!$AG386,IFERROR(0/0,""),preDEL!AW386)</f>
        <v/>
      </c>
      <c r="AX386" s="112" t="str">
        <f>IF(preDEL!$AG386,IFERROR(0/0,""),preDEL!AX386)</f>
        <v/>
      </c>
      <c r="AY386" s="112" t="str">
        <f>IF(preDEL!$AG386,IFERROR(0/0,""),preDEL!AY386)</f>
        <v/>
      </c>
      <c r="AZ386" s="174"/>
      <c r="BA386" s="174"/>
      <c r="BB386" s="174"/>
      <c r="BC386" s="174"/>
      <c r="BD386" s="174"/>
      <c r="BE386" s="174"/>
      <c r="BF386" s="174"/>
      <c r="BG386" s="174"/>
      <c r="BH386" s="174"/>
      <c r="BI386" s="174"/>
      <c r="BJ386" s="174"/>
      <c r="BK386" s="174"/>
      <c r="BL386" s="174"/>
      <c r="BM386" s="174"/>
      <c r="BN386" s="174"/>
      <c r="BO386" s="174"/>
      <c r="BP386" s="174"/>
      <c r="BQ386" s="174"/>
      <c r="BR386" s="174"/>
      <c r="BS386" s="174"/>
      <c r="BT386" s="174"/>
      <c r="BU386" s="174"/>
      <c r="BV386" s="174"/>
      <c r="BW386" s="174"/>
      <c r="BX386" s="174"/>
      <c r="BY386" s="174"/>
      <c r="BZ386" s="174"/>
      <c r="CA386" s="174"/>
      <c r="CB386" s="174"/>
      <c r="CC386" s="174"/>
      <c r="CD386" s="174"/>
    </row>
    <row r="387">
      <c r="A387" s="105" t="str">
        <f>IF(preDEL!$AG387,IFERROR(0/0,""),preDEL!A387)</f>
        <v/>
      </c>
      <c r="B387" s="170" t="str">
        <f>IF(preDEL!$AG387,IFERROR(0/0,""),preDEL!B387)</f>
        <v/>
      </c>
      <c r="C387" s="171" t="str">
        <f>IF(preDEL!$AG387,IFERROR(0/0,""),preDEL!C387)</f>
        <v/>
      </c>
      <c r="D387" s="105" t="str">
        <f>IF(preDEL!$AG387,IFERROR(0/0,""),preDEL!D387)</f>
        <v/>
      </c>
      <c r="E387" s="105" t="str">
        <f>IF(preDEL!$AG387,IFERROR(0/0,""),preDEL!E387)</f>
        <v/>
      </c>
      <c r="F387" s="112" t="str">
        <f>IF(preDEL!$AG387,IFERROR(0/0,""),preDEL!F387)</f>
        <v/>
      </c>
      <c r="G387" s="112" t="str">
        <f>IF(preDEL!$AG387,IFERROR(0/0,""),preDEL!G387)</f>
        <v/>
      </c>
      <c r="H387" s="112" t="str">
        <f>IF(preDEL!$AG387,IFERROR(0/0,""),preDEL!H387)</f>
        <v/>
      </c>
      <c r="I387" s="105" t="str">
        <f>IF(preDEL!$AG387,IFERROR(0/0,""),preDEL!I387)</f>
        <v/>
      </c>
      <c r="J387" s="105" t="str">
        <f>IF(preDEL!$AG387,IFERROR(0/0,""),preDEL!J387)</f>
        <v/>
      </c>
      <c r="K387" s="105" t="str">
        <f>IF(preDEL!$AG387,IFERROR(0/0,""),preDEL!K387)</f>
        <v/>
      </c>
      <c r="L387" s="170" t="str">
        <f>IF(preDEL!$AG387,IFERROR(0/0,""),preDEL!L387)</f>
        <v/>
      </c>
      <c r="M387" s="171" t="str">
        <f>IF(preDEL!$AG387,IFERROR(0/0,""),preDEL!M387)</f>
        <v/>
      </c>
      <c r="N387" s="112" t="str">
        <f>IF(preDEL!$AG387,IFERROR(0/0,""),preDEL!N387)</f>
        <v/>
      </c>
      <c r="O387" s="112" t="str">
        <f>IF(preDEL!$AG387,IFERROR(0/0,""),preDEL!O387)</f>
        <v/>
      </c>
      <c r="P387" s="110" t="str">
        <f>IF(preDEL!$AG387,IFERROR(0/0,""),preDEL!P387)</f>
        <v/>
      </c>
      <c r="Q387" s="110" t="str">
        <f>IF(preDEL!$AG387,IFERROR(0/0,""),preDEL!Q387)</f>
        <v/>
      </c>
      <c r="R387" s="104" t="str">
        <f>IF(preDEL!$AG387,IFERROR(0/0,""),preDEL!R387)</f>
        <v/>
      </c>
      <c r="S387" s="104" t="str">
        <f>IF(preDEL!$AG387,IFERROR(0/0,""),preDEL!S387)</f>
        <v/>
      </c>
      <c r="T387" s="110" t="str">
        <f>IF(preDEL!$AG387,IFERROR(0/0,""),preDEL!T387)</f>
        <v/>
      </c>
      <c r="U387" s="112" t="str">
        <f>IF(preDEL!$AG387,IFERROR(0/0,""),preDEL!U387)</f>
        <v/>
      </c>
      <c r="V387" s="105" t="str">
        <f>IF(preDEL!$AG387,IFERROR(0/0,""),preDEL!V387)</f>
        <v/>
      </c>
      <c r="W387" s="112" t="str">
        <f>IF(preDEL!$AG387,IFERROR(0/0,""),preDEL!W387)</f>
        <v/>
      </c>
      <c r="X387" s="104" t="str">
        <f>IF(preDEL!$AG387,IFERROR(0/0,""),preDEL!X387)</f>
        <v/>
      </c>
      <c r="Y387" s="110" t="str">
        <f>IF(preDEL!$AG387,IFERROR(0/0,""),preDEL!Y387)</f>
        <v/>
      </c>
      <c r="Z387" s="105" t="str">
        <f>IF(preDEL!$AG387,IFERROR(0/0,""),preDEL!Z387)</f>
        <v/>
      </c>
      <c r="AA387" s="110" t="str">
        <f>IF(preDEL!$AG387,IFERROR(0/0,""),preDEL!AA387)</f>
        <v/>
      </c>
      <c r="AB387" s="110" t="str">
        <f>IF(preDEL!$AG387,IFERROR(0/0,""),preDEL!AB387)</f>
        <v/>
      </c>
      <c r="AC387" s="172" t="str">
        <f>IF(preDEL!$AG387,IFERROR(0/0,""),preDEL!AC387)</f>
        <v/>
      </c>
      <c r="AD387" s="104" t="str">
        <f>IF(preDEL!$AG387,IFERROR(0/0,""),preDEL!AD387)</f>
        <v/>
      </c>
      <c r="AE387" s="173" t="str">
        <f>IF(preDEL!$AG387,IFERROR(0/0,""),preDEL!AE387)</f>
        <v/>
      </c>
      <c r="AF387" s="110" t="str">
        <f>IF(preDEL!$AG387,IFERROR(0/0,""),preDEL!AF387)</f>
        <v/>
      </c>
      <c r="AG387" s="110" t="str">
        <f>IF(preDEL!$AG387,IFERROR(0/0,""),preDEL!AG387)</f>
        <v/>
      </c>
      <c r="AH387" s="104" t="str">
        <f>IF(preDEL!$AG387,IFERROR(0/0,""),preDEL!AH387)</f>
        <v/>
      </c>
      <c r="AI387" s="105" t="str">
        <f>IF(preDEL!$AG387,IFERROR(0/0,""),preDEL!AI387)</f>
        <v/>
      </c>
      <c r="AJ387" s="112" t="str">
        <f>IF(preDEL!$AG387,IFERROR(0/0,""),preDEL!AJ387)</f>
        <v/>
      </c>
      <c r="AK387" s="105" t="str">
        <f>IF(preDEL!$AG387,IFERROR(0/0,""),preDEL!AK387)</f>
        <v/>
      </c>
      <c r="AL387" s="112" t="str">
        <f>IF(preDEL!$AG387,IFERROR(0/0,""),preDEL!AL387)</f>
        <v/>
      </c>
      <c r="AM387" s="112" t="str">
        <f>IF(preDEL!$AG387,IFERROR(0/0,""),preDEL!AM387)</f>
        <v/>
      </c>
      <c r="AN387" s="112" t="str">
        <f>IF(preDEL!$AG387,IFERROR(0/0,""),preDEL!AN387)</f>
        <v/>
      </c>
      <c r="AO387" s="112" t="str">
        <f>IF(preDEL!$AG387,IFERROR(0/0,""),preDEL!AO387)</f>
        <v/>
      </c>
      <c r="AP387" s="112" t="str">
        <f>IF(preDEL!$AG387,IFERROR(0/0,""),preDEL!AP387)</f>
        <v/>
      </c>
      <c r="AQ387" s="112" t="str">
        <f>IF(preDEL!$AG387,IFERROR(0/0,""),preDEL!AQ387)</f>
        <v/>
      </c>
      <c r="AR387" s="112" t="str">
        <f>IF(preDEL!$AG387,IFERROR(0/0,""),preDEL!AR387)</f>
        <v/>
      </c>
      <c r="AS387" s="112" t="str">
        <f>IF(preDEL!$AG387,IFERROR(0/0,""),preDEL!AS387)</f>
        <v/>
      </c>
      <c r="AT387" s="112" t="str">
        <f>IF(preDEL!$AG387,IFERROR(0/0,""),preDEL!AT387)</f>
        <v/>
      </c>
      <c r="AU387" s="112" t="str">
        <f>IF(preDEL!$AG387,IFERROR(0/0,""),preDEL!AU387)</f>
        <v/>
      </c>
      <c r="AV387" s="112" t="str">
        <f>IF(preDEL!$AG387,IFERROR(0/0,""),preDEL!AV387)</f>
        <v/>
      </c>
      <c r="AW387" s="112" t="str">
        <f>IF(preDEL!$AG387,IFERROR(0/0,""),preDEL!AW387)</f>
        <v/>
      </c>
      <c r="AX387" s="112" t="str">
        <f>IF(preDEL!$AG387,IFERROR(0/0,""),preDEL!AX387)</f>
        <v/>
      </c>
      <c r="AY387" s="112" t="str">
        <f>IF(preDEL!$AG387,IFERROR(0/0,""),preDEL!AY387)</f>
        <v/>
      </c>
      <c r="AZ387" s="174"/>
      <c r="BA387" s="174"/>
      <c r="BB387" s="174"/>
      <c r="BC387" s="174"/>
      <c r="BD387" s="174"/>
      <c r="BE387" s="174"/>
      <c r="BF387" s="174"/>
      <c r="BG387" s="174"/>
      <c r="BH387" s="174"/>
      <c r="BI387" s="174"/>
      <c r="BJ387" s="174"/>
      <c r="BK387" s="174"/>
      <c r="BL387" s="174"/>
      <c r="BM387" s="174"/>
      <c r="BN387" s="174"/>
      <c r="BO387" s="174"/>
      <c r="BP387" s="174"/>
      <c r="BQ387" s="174"/>
      <c r="BR387" s="174"/>
      <c r="BS387" s="174"/>
      <c r="BT387" s="174"/>
      <c r="BU387" s="174"/>
      <c r="BV387" s="174"/>
      <c r="BW387" s="174"/>
      <c r="BX387" s="174"/>
      <c r="BY387" s="174"/>
      <c r="BZ387" s="174"/>
      <c r="CA387" s="174"/>
      <c r="CB387" s="174"/>
      <c r="CC387" s="174"/>
      <c r="CD387" s="174"/>
    </row>
    <row r="388">
      <c r="A388" s="105" t="str">
        <f>IF(preDEL!$AG388,IFERROR(0/0,""),preDEL!A388)</f>
        <v>FM1</v>
      </c>
      <c r="B388" s="170">
        <f>IF(preDEL!$AG388,IFERROR(0/0,""),preDEL!B388)</f>
        <v>44607</v>
      </c>
      <c r="C388" s="171">
        <f>IF(preDEL!$AG388,IFERROR(0/0,""),preDEL!C388)</f>
        <v>0.2629282407</v>
      </c>
      <c r="D388" s="105" t="str">
        <f>IF(preDEL!$AG388,IFERROR(0/0,""),preDEL!D388)</f>
        <v/>
      </c>
      <c r="E388" s="105" t="str">
        <f>IF(preDEL!$AG388,IFERROR(0/0,""),preDEL!E388)</f>
        <v/>
      </c>
      <c r="F388" s="112" t="str">
        <f>IF(preDEL!$AG388,IFERROR(0/0,""),preDEL!F388)</f>
        <v/>
      </c>
      <c r="G388" s="112" t="str">
        <f>IF(preDEL!$AG388,IFERROR(0/0,""),preDEL!G388)</f>
        <v/>
      </c>
      <c r="H388" s="112" t="str">
        <f>IF(preDEL!$AG388,IFERROR(0/0,""),preDEL!H388)</f>
        <v/>
      </c>
      <c r="I388" s="105" t="str">
        <f>IF(preDEL!$AG388,IFERROR(0/0,""),preDEL!I388)</f>
        <v/>
      </c>
      <c r="J388" s="105" t="str">
        <f>IF(preDEL!$AG388,IFERROR(0/0,""),preDEL!J388)</f>
        <v/>
      </c>
      <c r="K388" s="105" t="str">
        <f>IF(preDEL!$AG388,IFERROR(0/0,""),preDEL!K388)</f>
        <v>Negative</v>
      </c>
      <c r="L388" s="170">
        <f>IF(preDEL!$AG388,IFERROR(0/0,""),preDEL!L388)</f>
        <v>44607</v>
      </c>
      <c r="M388" s="171">
        <f>IF(preDEL!$AG388,IFERROR(0/0,""),preDEL!M388)</f>
        <v>0.5867939815</v>
      </c>
      <c r="N388" s="112" t="str">
        <f>IF(preDEL!$AG388,IFERROR(0/0,""),preDEL!N388)</f>
        <v/>
      </c>
      <c r="O388" s="112" t="str">
        <f>IF(preDEL!$AG388,IFERROR(0/0,""),preDEL!O388)</f>
        <v/>
      </c>
      <c r="P388" s="110" t="b">
        <f>IF(preDEL!$AG388,IFERROR(0/0,""),preDEL!P388)</f>
        <v>0</v>
      </c>
      <c r="Q388" s="110" t="str">
        <f>IF(preDEL!$AG388,IFERROR(0/0,""),preDEL!Q388)</f>
        <v>Result</v>
      </c>
      <c r="R388" s="104" t="b">
        <f>IF(preDEL!$AG388,IFERROR(0/0,""),preDEL!R388)</f>
        <v>1</v>
      </c>
      <c r="S388" s="104">
        <f>IF(preDEL!$AG388,IFERROR(0/0,""),preDEL!S388)</f>
        <v>1</v>
      </c>
      <c r="T388" s="110" t="str">
        <f>IF(preDEL!$AG388,IFERROR(0/0,""),preDEL!T388)</f>
        <v/>
      </c>
      <c r="U388" s="112" t="str">
        <f>IF(preDEL!$AG388,IFERROR(0/0,""),preDEL!U388)</f>
        <v/>
      </c>
      <c r="V388" s="105" t="str">
        <f>IF(preDEL!$AG388,IFERROR(0/0,""),preDEL!V388)</f>
        <v/>
      </c>
      <c r="W388" s="112" t="str">
        <f>IF(preDEL!$AG388,IFERROR(0/0,""),preDEL!W388)</f>
        <v/>
      </c>
      <c r="X388" s="104" t="b">
        <f>IF(preDEL!$AG388,IFERROR(0/0,""),preDEL!X388)</f>
        <v>0</v>
      </c>
      <c r="Y388" s="110" t="b">
        <f>IF(preDEL!$AG388,IFERROR(0/0,""),preDEL!Y388)</f>
        <v>0</v>
      </c>
      <c r="Z388" s="105" t="str">
        <f>IF(preDEL!$AG388,IFERROR(0/0,""),preDEL!Z388)</f>
        <v/>
      </c>
      <c r="AA388" s="110" t="b">
        <f>IF(preDEL!$AG388,IFERROR(0/0,""),preDEL!AA388)</f>
        <v>0</v>
      </c>
      <c r="AB388" s="110" t="b">
        <f>IF(preDEL!$AG388,IFERROR(0/0,""),preDEL!AB388)</f>
        <v>0</v>
      </c>
      <c r="AC388" s="172">
        <f>IF(preDEL!$AG388,IFERROR(0/0,""),preDEL!AC388)</f>
        <v>420</v>
      </c>
      <c r="AD388" s="104" t="b">
        <f>IF(preDEL!$AG388,IFERROR(0/0,""),preDEL!AD388)</f>
        <v>0</v>
      </c>
      <c r="AE388" s="173">
        <f>IF(preDEL!$AG388,IFERROR(0/0,""),preDEL!AE388)</f>
        <v>466.3666667</v>
      </c>
      <c r="AF388" s="110" t="b">
        <f>IF(preDEL!$AG388,IFERROR(0/0,""),preDEL!AF388)</f>
        <v>0</v>
      </c>
      <c r="AG388" s="110" t="b">
        <f>IF(preDEL!$AG388,IFERROR(0/0,""),preDEL!AG388)</f>
        <v>0</v>
      </c>
      <c r="AH388" s="104" t="str">
        <f>IF(preDEL!$AG388,IFERROR(0/0,""),preDEL!AH388)</f>
        <v/>
      </c>
      <c r="AI388" s="105" t="str">
        <f>IF(preDEL!$AG388,IFERROR(0/0,""),preDEL!AI388)</f>
        <v/>
      </c>
      <c r="AJ388" s="112" t="str">
        <f>IF(preDEL!$AG388,IFERROR(0/0,""),preDEL!AJ388)</f>
        <v/>
      </c>
      <c r="AK388" s="105" t="str">
        <f>IF(preDEL!$AG388,IFERROR(0/0,""),preDEL!AK388)</f>
        <v>Negative</v>
      </c>
      <c r="AL388" s="112" t="str">
        <f>IF(preDEL!$AG388,IFERROR(0/0,""),preDEL!AL388)</f>
        <v/>
      </c>
      <c r="AM388" s="112" t="str">
        <f>IF(preDEL!$AG388,IFERROR(0/0,""),preDEL!AM388)</f>
        <v>SpBEND617677</v>
      </c>
      <c r="AN388" s="112" t="str">
        <f>IF(preDEL!$AG388,IFERROR(0/0,""),preDEL!AN388)</f>
        <v>BEND202183</v>
      </c>
      <c r="AO388" s="112" t="str">
        <f>IF(preDEL!$AG388,IFERROR(0/0,""),preDEL!AO388)</f>
        <v/>
      </c>
      <c r="AP388" s="112" t="str">
        <f>IF(preDEL!$AG388,IFERROR(0/0,""),preDEL!AP388)</f>
        <v/>
      </c>
      <c r="AQ388" s="112" t="str">
        <f>IF(preDEL!$AG388,IFERROR(0/0,""),preDEL!AQ388)</f>
        <v/>
      </c>
      <c r="AR388" s="112" t="str">
        <f>IF(preDEL!$AG388,IFERROR(0/0,""),preDEL!AR388)</f>
        <v/>
      </c>
      <c r="AS388" s="112" t="str">
        <f>IF(preDEL!$AG388,IFERROR(0/0,""),preDEL!AS388)</f>
        <v/>
      </c>
      <c r="AT388" s="112" t="b">
        <f>IF(preDEL!$AG388,IFERROR(0/0,""),preDEL!AT388)</f>
        <v>0</v>
      </c>
      <c r="AU388" s="112" t="str">
        <f>IF(preDEL!$AG388,IFERROR(0/0,""),preDEL!AU388)</f>
        <v/>
      </c>
      <c r="AV388" s="112" t="str">
        <f>IF(preDEL!$AG388,IFERROR(0/0,""),preDEL!AV388)</f>
        <v/>
      </c>
      <c r="AW388" s="112" t="str">
        <f>IF(preDEL!$AG388,IFERROR(0/0,""),preDEL!AW388)</f>
        <v/>
      </c>
      <c r="AX388" s="112" t="str">
        <f>IF(preDEL!$AG388,IFERROR(0/0,""),preDEL!AX388)</f>
        <v/>
      </c>
      <c r="AY388" s="112" t="str">
        <f>IF(preDEL!$AG388,IFERROR(0/0,""),preDEL!AY388)</f>
        <v/>
      </c>
      <c r="AZ388" s="174"/>
      <c r="BA388" s="174"/>
      <c r="BB388" s="174"/>
      <c r="BC388" s="174"/>
      <c r="BD388" s="174"/>
      <c r="BE388" s="174"/>
      <c r="BF388" s="174"/>
      <c r="BG388" s="174"/>
      <c r="BH388" s="174"/>
      <c r="BI388" s="174"/>
      <c r="BJ388" s="174"/>
      <c r="BK388" s="174"/>
      <c r="BL388" s="174"/>
      <c r="BM388" s="174"/>
      <c r="BN388" s="174"/>
      <c r="BO388" s="174"/>
      <c r="BP388" s="174"/>
      <c r="BQ388" s="174"/>
      <c r="BR388" s="174"/>
      <c r="BS388" s="174"/>
      <c r="BT388" s="174"/>
      <c r="BU388" s="174"/>
      <c r="BV388" s="174"/>
      <c r="BW388" s="174"/>
      <c r="BX388" s="174"/>
      <c r="BY388" s="174"/>
      <c r="BZ388" s="174"/>
      <c r="CA388" s="174"/>
      <c r="CB388" s="174"/>
      <c r="CC388" s="174"/>
      <c r="CD388" s="174"/>
    </row>
    <row r="389">
      <c r="A389" s="105" t="str">
        <f>IF(preDEL!$AG389,IFERROR(0/0,""),preDEL!A389)</f>
        <v>MA362</v>
      </c>
      <c r="B389" s="170">
        <f>IF(preDEL!$AG389,IFERROR(0/0,""),preDEL!B389)</f>
        <v>44607</v>
      </c>
      <c r="C389" s="171">
        <f>IF(preDEL!$AG389,IFERROR(0/0,""),preDEL!C389)</f>
        <v>0.2821412037</v>
      </c>
      <c r="D389" s="105" t="str">
        <f>IF(preDEL!$AG389,IFERROR(0/0,""),preDEL!D389)</f>
        <v/>
      </c>
      <c r="E389" s="105" t="str">
        <f>IF(preDEL!$AG389,IFERROR(0/0,""),preDEL!E389)</f>
        <v/>
      </c>
      <c r="F389" s="112" t="str">
        <f>IF(preDEL!$AG389,IFERROR(0/0,""),preDEL!F389)</f>
        <v/>
      </c>
      <c r="G389" s="112" t="str">
        <f>IF(preDEL!$AG389,IFERROR(0/0,""),preDEL!G389)</f>
        <v/>
      </c>
      <c r="H389" s="112" t="str">
        <f>IF(preDEL!$AG389,IFERROR(0/0,""),preDEL!H389)</f>
        <v/>
      </c>
      <c r="I389" s="105" t="str">
        <f>IF(preDEL!$AG389,IFERROR(0/0,""),preDEL!I389)</f>
        <v/>
      </c>
      <c r="J389" s="105" t="str">
        <f>IF(preDEL!$AG389,IFERROR(0/0,""),preDEL!J389)</f>
        <v/>
      </c>
      <c r="K389" s="105" t="str">
        <f>IF(preDEL!$AG389,IFERROR(0/0,""),preDEL!K389)</f>
        <v>Negative</v>
      </c>
      <c r="L389" s="170">
        <f>IF(preDEL!$AG389,IFERROR(0/0,""),preDEL!L389)</f>
        <v>44607</v>
      </c>
      <c r="M389" s="171">
        <f>IF(preDEL!$AG389,IFERROR(0/0,""),preDEL!M389)</f>
        <v>0.5867939815</v>
      </c>
      <c r="N389" s="112" t="str">
        <f>IF(preDEL!$AG389,IFERROR(0/0,""),preDEL!N389)</f>
        <v/>
      </c>
      <c r="O389" s="112" t="str">
        <f>IF(preDEL!$AG389,IFERROR(0/0,""),preDEL!O389)</f>
        <v/>
      </c>
      <c r="P389" s="110" t="b">
        <f>IF(preDEL!$AG389,IFERROR(0/0,""),preDEL!P389)</f>
        <v>0</v>
      </c>
      <c r="Q389" s="110" t="str">
        <f>IF(preDEL!$AG389,IFERROR(0/0,""),preDEL!Q389)</f>
        <v>Result</v>
      </c>
      <c r="R389" s="104" t="b">
        <f>IF(preDEL!$AG389,IFERROR(0/0,""),preDEL!R389)</f>
        <v>1</v>
      </c>
      <c r="S389" s="104">
        <f>IF(preDEL!$AG389,IFERROR(0/0,""),preDEL!S389)</f>
        <v>1</v>
      </c>
      <c r="T389" s="110" t="str">
        <f>IF(preDEL!$AG389,IFERROR(0/0,""),preDEL!T389)</f>
        <v/>
      </c>
      <c r="U389" s="112" t="str">
        <f>IF(preDEL!$AG389,IFERROR(0/0,""),preDEL!U389)</f>
        <v/>
      </c>
      <c r="V389" s="105" t="str">
        <f>IF(preDEL!$AG389,IFERROR(0/0,""),preDEL!V389)</f>
        <v/>
      </c>
      <c r="W389" s="112" t="str">
        <f>IF(preDEL!$AG389,IFERROR(0/0,""),preDEL!W389)</f>
        <v/>
      </c>
      <c r="X389" s="104" t="b">
        <f>IF(preDEL!$AG389,IFERROR(0/0,""),preDEL!X389)</f>
        <v>0</v>
      </c>
      <c r="Y389" s="110" t="b">
        <f>IF(preDEL!$AG389,IFERROR(0/0,""),preDEL!Y389)</f>
        <v>0</v>
      </c>
      <c r="Z389" s="105" t="str">
        <f>IF(preDEL!$AG389,IFERROR(0/0,""),preDEL!Z389)</f>
        <v/>
      </c>
      <c r="AA389" s="110" t="b">
        <f>IF(preDEL!$AG389,IFERROR(0/0,""),preDEL!AA389)</f>
        <v>0</v>
      </c>
      <c r="AB389" s="110" t="b">
        <f>IF(preDEL!$AG389,IFERROR(0/0,""),preDEL!AB389)</f>
        <v>0</v>
      </c>
      <c r="AC389" s="172">
        <f>IF(preDEL!$AG389,IFERROR(0/0,""),preDEL!AC389)</f>
        <v>419</v>
      </c>
      <c r="AD389" s="104" t="b">
        <f>IF(preDEL!$AG389,IFERROR(0/0,""),preDEL!AD389)</f>
        <v>0</v>
      </c>
      <c r="AE389" s="173">
        <f>IF(preDEL!$AG389,IFERROR(0/0,""),preDEL!AE389)</f>
        <v>438.7</v>
      </c>
      <c r="AF389" s="110" t="b">
        <f>IF(preDEL!$AG389,IFERROR(0/0,""),preDEL!AF389)</f>
        <v>0</v>
      </c>
      <c r="AG389" s="110" t="b">
        <f>IF(preDEL!$AG389,IFERROR(0/0,""),preDEL!AG389)</f>
        <v>0</v>
      </c>
      <c r="AH389" s="104" t="str">
        <f>IF(preDEL!$AG389,IFERROR(0/0,""),preDEL!AH389)</f>
        <v/>
      </c>
      <c r="AI389" s="105" t="str">
        <f>IF(preDEL!$AG389,IFERROR(0/0,""),preDEL!AI389)</f>
        <v/>
      </c>
      <c r="AJ389" s="112" t="str">
        <f>IF(preDEL!$AG389,IFERROR(0/0,""),preDEL!AJ389)</f>
        <v/>
      </c>
      <c r="AK389" s="105" t="str">
        <f>IF(preDEL!$AG389,IFERROR(0/0,""),preDEL!AK389)</f>
        <v>Negative</v>
      </c>
      <c r="AL389" s="112" t="str">
        <f>IF(preDEL!$AG389,IFERROR(0/0,""),preDEL!AL389)</f>
        <v/>
      </c>
      <c r="AM389" s="112" t="str">
        <f>IF(preDEL!$AG389,IFERROR(0/0,""),preDEL!AM389)</f>
        <v>SpBEND947055</v>
      </c>
      <c r="AN389" s="112" t="str">
        <f>IF(preDEL!$AG389,IFERROR(0/0,""),preDEL!AN389)</f>
        <v>BEND371889</v>
      </c>
      <c r="AO389" s="112" t="str">
        <f>IF(preDEL!$AG389,IFERROR(0/0,""),preDEL!AO389)</f>
        <v/>
      </c>
      <c r="AP389" s="112" t="str">
        <f>IF(preDEL!$AG389,IFERROR(0/0,""),preDEL!AP389)</f>
        <v/>
      </c>
      <c r="AQ389" s="112" t="str">
        <f>IF(preDEL!$AG389,IFERROR(0/0,""),preDEL!AQ389)</f>
        <v/>
      </c>
      <c r="AR389" s="112" t="str">
        <f>IF(preDEL!$AG389,IFERROR(0/0,""),preDEL!AR389)</f>
        <v/>
      </c>
      <c r="AS389" s="112" t="str">
        <f>IF(preDEL!$AG389,IFERROR(0/0,""),preDEL!AS389)</f>
        <v/>
      </c>
      <c r="AT389" s="112" t="b">
        <f>IF(preDEL!$AG389,IFERROR(0/0,""),preDEL!AT389)</f>
        <v>0</v>
      </c>
      <c r="AU389" s="112" t="str">
        <f>IF(preDEL!$AG389,IFERROR(0/0,""),preDEL!AU389)</f>
        <v/>
      </c>
      <c r="AV389" s="112" t="str">
        <f>IF(preDEL!$AG389,IFERROR(0/0,""),preDEL!AV389)</f>
        <v/>
      </c>
      <c r="AW389" s="112" t="str">
        <f>IF(preDEL!$AG389,IFERROR(0/0,""),preDEL!AW389)</f>
        <v/>
      </c>
      <c r="AX389" s="112" t="str">
        <f>IF(preDEL!$AG389,IFERROR(0/0,""),preDEL!AX389)</f>
        <v/>
      </c>
      <c r="AY389" s="112" t="str">
        <f>IF(preDEL!$AG389,IFERROR(0/0,""),preDEL!AY389)</f>
        <v/>
      </c>
      <c r="AZ389" s="174"/>
      <c r="BA389" s="174"/>
      <c r="BB389" s="174"/>
      <c r="BC389" s="174"/>
      <c r="BD389" s="174"/>
      <c r="BE389" s="174"/>
      <c r="BF389" s="174"/>
      <c r="BG389" s="174"/>
      <c r="BH389" s="174"/>
      <c r="BI389" s="174"/>
      <c r="BJ389" s="174"/>
      <c r="BK389" s="174"/>
      <c r="BL389" s="174"/>
      <c r="BM389" s="174"/>
      <c r="BN389" s="174"/>
      <c r="BO389" s="174"/>
      <c r="BP389" s="174"/>
      <c r="BQ389" s="174"/>
      <c r="BR389" s="174"/>
      <c r="BS389" s="174"/>
      <c r="BT389" s="174"/>
      <c r="BU389" s="174"/>
      <c r="BV389" s="174"/>
      <c r="BW389" s="174"/>
      <c r="BX389" s="174"/>
      <c r="BY389" s="174"/>
      <c r="BZ389" s="174"/>
      <c r="CA389" s="174"/>
      <c r="CB389" s="174"/>
      <c r="CC389" s="174"/>
      <c r="CD389" s="174"/>
    </row>
    <row r="390">
      <c r="A390" s="105" t="str">
        <f>IF(preDEL!$AG390,IFERROR(0/0,""),preDEL!A390)</f>
        <v/>
      </c>
      <c r="B390" s="170" t="str">
        <f>IF(preDEL!$AG390,IFERROR(0/0,""),preDEL!B390)</f>
        <v/>
      </c>
      <c r="C390" s="171" t="str">
        <f>IF(preDEL!$AG390,IFERROR(0/0,""),preDEL!C390)</f>
        <v/>
      </c>
      <c r="D390" s="105" t="str">
        <f>IF(preDEL!$AG390,IFERROR(0/0,""),preDEL!D390)</f>
        <v/>
      </c>
      <c r="E390" s="105" t="str">
        <f>IF(preDEL!$AG390,IFERROR(0/0,""),preDEL!E390)</f>
        <v/>
      </c>
      <c r="F390" s="112" t="str">
        <f>IF(preDEL!$AG390,IFERROR(0/0,""),preDEL!F390)</f>
        <v/>
      </c>
      <c r="G390" s="112" t="str">
        <f>IF(preDEL!$AG390,IFERROR(0/0,""),preDEL!G390)</f>
        <v/>
      </c>
      <c r="H390" s="112" t="str">
        <f>IF(preDEL!$AG390,IFERROR(0/0,""),preDEL!H390)</f>
        <v/>
      </c>
      <c r="I390" s="105" t="str">
        <f>IF(preDEL!$AG390,IFERROR(0/0,""),preDEL!I390)</f>
        <v/>
      </c>
      <c r="J390" s="105" t="str">
        <f>IF(preDEL!$AG390,IFERROR(0/0,""),preDEL!J390)</f>
        <v/>
      </c>
      <c r="K390" s="105" t="str">
        <f>IF(preDEL!$AG390,IFERROR(0/0,""),preDEL!K390)</f>
        <v/>
      </c>
      <c r="L390" s="170" t="str">
        <f>IF(preDEL!$AG390,IFERROR(0/0,""),preDEL!L390)</f>
        <v/>
      </c>
      <c r="M390" s="171" t="str">
        <f>IF(preDEL!$AG390,IFERROR(0/0,""),preDEL!M390)</f>
        <v/>
      </c>
      <c r="N390" s="112" t="str">
        <f>IF(preDEL!$AG390,IFERROR(0/0,""),preDEL!N390)</f>
        <v/>
      </c>
      <c r="O390" s="112" t="str">
        <f>IF(preDEL!$AG390,IFERROR(0/0,""),preDEL!O390)</f>
        <v/>
      </c>
      <c r="P390" s="110" t="str">
        <f>IF(preDEL!$AG390,IFERROR(0/0,""),preDEL!P390)</f>
        <v/>
      </c>
      <c r="Q390" s="110" t="str">
        <f>IF(preDEL!$AG390,IFERROR(0/0,""),preDEL!Q390)</f>
        <v/>
      </c>
      <c r="R390" s="104" t="str">
        <f>IF(preDEL!$AG390,IFERROR(0/0,""),preDEL!R390)</f>
        <v/>
      </c>
      <c r="S390" s="104" t="str">
        <f>IF(preDEL!$AG390,IFERROR(0/0,""),preDEL!S390)</f>
        <v/>
      </c>
      <c r="T390" s="110" t="str">
        <f>IF(preDEL!$AG390,IFERROR(0/0,""),preDEL!T390)</f>
        <v/>
      </c>
      <c r="U390" s="112" t="str">
        <f>IF(preDEL!$AG390,IFERROR(0/0,""),preDEL!U390)</f>
        <v/>
      </c>
      <c r="V390" s="105" t="str">
        <f>IF(preDEL!$AG390,IFERROR(0/0,""),preDEL!V390)</f>
        <v/>
      </c>
      <c r="W390" s="112" t="str">
        <f>IF(preDEL!$AG390,IFERROR(0/0,""),preDEL!W390)</f>
        <v/>
      </c>
      <c r="X390" s="104" t="str">
        <f>IF(preDEL!$AG390,IFERROR(0/0,""),preDEL!X390)</f>
        <v/>
      </c>
      <c r="Y390" s="110" t="str">
        <f>IF(preDEL!$AG390,IFERROR(0/0,""),preDEL!Y390)</f>
        <v/>
      </c>
      <c r="Z390" s="105" t="str">
        <f>IF(preDEL!$AG390,IFERROR(0/0,""),preDEL!Z390)</f>
        <v/>
      </c>
      <c r="AA390" s="110" t="str">
        <f>IF(preDEL!$AG390,IFERROR(0/0,""),preDEL!AA390)</f>
        <v/>
      </c>
      <c r="AB390" s="110" t="str">
        <f>IF(preDEL!$AG390,IFERROR(0/0,""),preDEL!AB390)</f>
        <v/>
      </c>
      <c r="AC390" s="172" t="str">
        <f>IF(preDEL!$AG390,IFERROR(0/0,""),preDEL!AC390)</f>
        <v/>
      </c>
      <c r="AD390" s="104" t="str">
        <f>IF(preDEL!$AG390,IFERROR(0/0,""),preDEL!AD390)</f>
        <v/>
      </c>
      <c r="AE390" s="173" t="str">
        <f>IF(preDEL!$AG390,IFERROR(0/0,""),preDEL!AE390)</f>
        <v/>
      </c>
      <c r="AF390" s="110" t="str">
        <f>IF(preDEL!$AG390,IFERROR(0/0,""),preDEL!AF390)</f>
        <v/>
      </c>
      <c r="AG390" s="110" t="str">
        <f>IF(preDEL!$AG390,IFERROR(0/0,""),preDEL!AG390)</f>
        <v/>
      </c>
      <c r="AH390" s="104" t="str">
        <f>IF(preDEL!$AG390,IFERROR(0/0,""),preDEL!AH390)</f>
        <v/>
      </c>
      <c r="AI390" s="105" t="str">
        <f>IF(preDEL!$AG390,IFERROR(0/0,""),preDEL!AI390)</f>
        <v/>
      </c>
      <c r="AJ390" s="112" t="str">
        <f>IF(preDEL!$AG390,IFERROR(0/0,""),preDEL!AJ390)</f>
        <v/>
      </c>
      <c r="AK390" s="105" t="str">
        <f>IF(preDEL!$AG390,IFERROR(0/0,""),preDEL!AK390)</f>
        <v/>
      </c>
      <c r="AL390" s="112" t="str">
        <f>IF(preDEL!$AG390,IFERROR(0/0,""),preDEL!AL390)</f>
        <v/>
      </c>
      <c r="AM390" s="112" t="str">
        <f>IF(preDEL!$AG390,IFERROR(0/0,""),preDEL!AM390)</f>
        <v/>
      </c>
      <c r="AN390" s="112" t="str">
        <f>IF(preDEL!$AG390,IFERROR(0/0,""),preDEL!AN390)</f>
        <v/>
      </c>
      <c r="AO390" s="112" t="str">
        <f>IF(preDEL!$AG390,IFERROR(0/0,""),preDEL!AO390)</f>
        <v/>
      </c>
      <c r="AP390" s="112" t="str">
        <f>IF(preDEL!$AG390,IFERROR(0/0,""),preDEL!AP390)</f>
        <v/>
      </c>
      <c r="AQ390" s="112" t="str">
        <f>IF(preDEL!$AG390,IFERROR(0/0,""),preDEL!AQ390)</f>
        <v/>
      </c>
      <c r="AR390" s="112" t="str">
        <f>IF(preDEL!$AG390,IFERROR(0/0,""),preDEL!AR390)</f>
        <v/>
      </c>
      <c r="AS390" s="112" t="str">
        <f>IF(preDEL!$AG390,IFERROR(0/0,""),preDEL!AS390)</f>
        <v/>
      </c>
      <c r="AT390" s="112" t="str">
        <f>IF(preDEL!$AG390,IFERROR(0/0,""),preDEL!AT390)</f>
        <v/>
      </c>
      <c r="AU390" s="112" t="str">
        <f>IF(preDEL!$AG390,IFERROR(0/0,""),preDEL!AU390)</f>
        <v/>
      </c>
      <c r="AV390" s="112" t="str">
        <f>IF(preDEL!$AG390,IFERROR(0/0,""),preDEL!AV390)</f>
        <v/>
      </c>
      <c r="AW390" s="112" t="str">
        <f>IF(preDEL!$AG390,IFERROR(0/0,""),preDEL!AW390)</f>
        <v/>
      </c>
      <c r="AX390" s="112" t="str">
        <f>IF(preDEL!$AG390,IFERROR(0/0,""),preDEL!AX390)</f>
        <v/>
      </c>
      <c r="AY390" s="112" t="str">
        <f>IF(preDEL!$AG390,IFERROR(0/0,""),preDEL!AY390)</f>
        <v/>
      </c>
      <c r="AZ390" s="174"/>
      <c r="BA390" s="174"/>
      <c r="BB390" s="174"/>
      <c r="BC390" s="174"/>
      <c r="BD390" s="174"/>
      <c r="BE390" s="174"/>
      <c r="BF390" s="174"/>
      <c r="BG390" s="174"/>
      <c r="BH390" s="174"/>
      <c r="BI390" s="174"/>
      <c r="BJ390" s="174"/>
      <c r="BK390" s="174"/>
      <c r="BL390" s="174"/>
      <c r="BM390" s="174"/>
      <c r="BN390" s="174"/>
      <c r="BO390" s="174"/>
      <c r="BP390" s="174"/>
      <c r="BQ390" s="174"/>
      <c r="BR390" s="174"/>
      <c r="BS390" s="174"/>
      <c r="BT390" s="174"/>
      <c r="BU390" s="174"/>
      <c r="BV390" s="174"/>
      <c r="BW390" s="174"/>
      <c r="BX390" s="174"/>
      <c r="BY390" s="174"/>
      <c r="BZ390" s="174"/>
      <c r="CA390" s="174"/>
      <c r="CB390" s="174"/>
      <c r="CC390" s="174"/>
      <c r="CD390" s="174"/>
    </row>
    <row r="391">
      <c r="A391" s="105" t="str">
        <f>IF(preDEL!$AG391,IFERROR(0/0,""),preDEL!A391)</f>
        <v/>
      </c>
      <c r="B391" s="170" t="str">
        <f>IF(preDEL!$AG391,IFERROR(0/0,""),preDEL!B391)</f>
        <v/>
      </c>
      <c r="C391" s="171" t="str">
        <f>IF(preDEL!$AG391,IFERROR(0/0,""),preDEL!C391)</f>
        <v/>
      </c>
      <c r="D391" s="105" t="str">
        <f>IF(preDEL!$AG391,IFERROR(0/0,""),preDEL!D391)</f>
        <v/>
      </c>
      <c r="E391" s="105" t="str">
        <f>IF(preDEL!$AG391,IFERROR(0/0,""),preDEL!E391)</f>
        <v/>
      </c>
      <c r="F391" s="112" t="str">
        <f>IF(preDEL!$AG391,IFERROR(0/0,""),preDEL!F391)</f>
        <v/>
      </c>
      <c r="G391" s="112" t="str">
        <f>IF(preDEL!$AG391,IFERROR(0/0,""),preDEL!G391)</f>
        <v/>
      </c>
      <c r="H391" s="112" t="str">
        <f>IF(preDEL!$AG391,IFERROR(0/0,""),preDEL!H391)</f>
        <v/>
      </c>
      <c r="I391" s="105" t="str">
        <f>IF(preDEL!$AG391,IFERROR(0/0,""),preDEL!I391)</f>
        <v/>
      </c>
      <c r="J391" s="105" t="str">
        <f>IF(preDEL!$AG391,IFERROR(0/0,""),preDEL!J391)</f>
        <v/>
      </c>
      <c r="K391" s="105" t="str">
        <f>IF(preDEL!$AG391,IFERROR(0/0,""),preDEL!K391)</f>
        <v/>
      </c>
      <c r="L391" s="170" t="str">
        <f>IF(preDEL!$AG391,IFERROR(0/0,""),preDEL!L391)</f>
        <v/>
      </c>
      <c r="M391" s="171" t="str">
        <f>IF(preDEL!$AG391,IFERROR(0/0,""),preDEL!M391)</f>
        <v/>
      </c>
      <c r="N391" s="112" t="str">
        <f>IF(preDEL!$AG391,IFERROR(0/0,""),preDEL!N391)</f>
        <v/>
      </c>
      <c r="O391" s="112" t="str">
        <f>IF(preDEL!$AG391,IFERROR(0/0,""),preDEL!O391)</f>
        <v/>
      </c>
      <c r="P391" s="110" t="str">
        <f>IF(preDEL!$AG391,IFERROR(0/0,""),preDEL!P391)</f>
        <v/>
      </c>
      <c r="Q391" s="110" t="str">
        <f>IF(preDEL!$AG391,IFERROR(0/0,""),preDEL!Q391)</f>
        <v/>
      </c>
      <c r="R391" s="104" t="str">
        <f>IF(preDEL!$AG391,IFERROR(0/0,""),preDEL!R391)</f>
        <v/>
      </c>
      <c r="S391" s="104" t="str">
        <f>IF(preDEL!$AG391,IFERROR(0/0,""),preDEL!S391)</f>
        <v/>
      </c>
      <c r="T391" s="110" t="str">
        <f>IF(preDEL!$AG391,IFERROR(0/0,""),preDEL!T391)</f>
        <v/>
      </c>
      <c r="U391" s="112" t="str">
        <f>IF(preDEL!$AG391,IFERROR(0/0,""),preDEL!U391)</f>
        <v/>
      </c>
      <c r="V391" s="105" t="str">
        <f>IF(preDEL!$AG391,IFERROR(0/0,""),preDEL!V391)</f>
        <v/>
      </c>
      <c r="W391" s="112" t="str">
        <f>IF(preDEL!$AG391,IFERROR(0/0,""),preDEL!W391)</f>
        <v/>
      </c>
      <c r="X391" s="104" t="str">
        <f>IF(preDEL!$AG391,IFERROR(0/0,""),preDEL!X391)</f>
        <v/>
      </c>
      <c r="Y391" s="110" t="str">
        <f>IF(preDEL!$AG391,IFERROR(0/0,""),preDEL!Y391)</f>
        <v/>
      </c>
      <c r="Z391" s="105" t="str">
        <f>IF(preDEL!$AG391,IFERROR(0/0,""),preDEL!Z391)</f>
        <v/>
      </c>
      <c r="AA391" s="110" t="str">
        <f>IF(preDEL!$AG391,IFERROR(0/0,""),preDEL!AA391)</f>
        <v/>
      </c>
      <c r="AB391" s="110" t="str">
        <f>IF(preDEL!$AG391,IFERROR(0/0,""),preDEL!AB391)</f>
        <v/>
      </c>
      <c r="AC391" s="172" t="str">
        <f>IF(preDEL!$AG391,IFERROR(0/0,""),preDEL!AC391)</f>
        <v/>
      </c>
      <c r="AD391" s="104" t="str">
        <f>IF(preDEL!$AG391,IFERROR(0/0,""),preDEL!AD391)</f>
        <v/>
      </c>
      <c r="AE391" s="173" t="str">
        <f>IF(preDEL!$AG391,IFERROR(0/0,""),preDEL!AE391)</f>
        <v/>
      </c>
      <c r="AF391" s="110" t="str">
        <f>IF(preDEL!$AG391,IFERROR(0/0,""),preDEL!AF391)</f>
        <v/>
      </c>
      <c r="AG391" s="110" t="str">
        <f>IF(preDEL!$AG391,IFERROR(0/0,""),preDEL!AG391)</f>
        <v/>
      </c>
      <c r="AH391" s="104" t="str">
        <f>IF(preDEL!$AG391,IFERROR(0/0,""),preDEL!AH391)</f>
        <v/>
      </c>
      <c r="AI391" s="105" t="str">
        <f>IF(preDEL!$AG391,IFERROR(0/0,""),preDEL!AI391)</f>
        <v/>
      </c>
      <c r="AJ391" s="112" t="str">
        <f>IF(preDEL!$AG391,IFERROR(0/0,""),preDEL!AJ391)</f>
        <v/>
      </c>
      <c r="AK391" s="105" t="str">
        <f>IF(preDEL!$AG391,IFERROR(0/0,""),preDEL!AK391)</f>
        <v/>
      </c>
      <c r="AL391" s="112" t="str">
        <f>IF(preDEL!$AG391,IFERROR(0/0,""),preDEL!AL391)</f>
        <v/>
      </c>
      <c r="AM391" s="112" t="str">
        <f>IF(preDEL!$AG391,IFERROR(0/0,""),preDEL!AM391)</f>
        <v/>
      </c>
      <c r="AN391" s="112" t="str">
        <f>IF(preDEL!$AG391,IFERROR(0/0,""),preDEL!AN391)</f>
        <v/>
      </c>
      <c r="AO391" s="112" t="str">
        <f>IF(preDEL!$AG391,IFERROR(0/0,""),preDEL!AO391)</f>
        <v/>
      </c>
      <c r="AP391" s="112" t="str">
        <f>IF(preDEL!$AG391,IFERROR(0/0,""),preDEL!AP391)</f>
        <v/>
      </c>
      <c r="AQ391" s="112" t="str">
        <f>IF(preDEL!$AG391,IFERROR(0/0,""),preDEL!AQ391)</f>
        <v/>
      </c>
      <c r="AR391" s="112" t="str">
        <f>IF(preDEL!$AG391,IFERROR(0/0,""),preDEL!AR391)</f>
        <v/>
      </c>
      <c r="AS391" s="112" t="str">
        <f>IF(preDEL!$AG391,IFERROR(0/0,""),preDEL!AS391)</f>
        <v/>
      </c>
      <c r="AT391" s="112" t="str">
        <f>IF(preDEL!$AG391,IFERROR(0/0,""),preDEL!AT391)</f>
        <v/>
      </c>
      <c r="AU391" s="112" t="str">
        <f>IF(preDEL!$AG391,IFERROR(0/0,""),preDEL!AU391)</f>
        <v/>
      </c>
      <c r="AV391" s="112" t="str">
        <f>IF(preDEL!$AG391,IFERROR(0/0,""),preDEL!AV391)</f>
        <v/>
      </c>
      <c r="AW391" s="112" t="str">
        <f>IF(preDEL!$AG391,IFERROR(0/0,""),preDEL!AW391)</f>
        <v/>
      </c>
      <c r="AX391" s="112" t="str">
        <f>IF(preDEL!$AG391,IFERROR(0/0,""),preDEL!AX391)</f>
        <v/>
      </c>
      <c r="AY391" s="112" t="str">
        <f>IF(preDEL!$AG391,IFERROR(0/0,""),preDEL!AY391)</f>
        <v/>
      </c>
      <c r="AZ391" s="174"/>
      <c r="BA391" s="174"/>
      <c r="BB391" s="174"/>
      <c r="BC391" s="174"/>
      <c r="BD391" s="174"/>
      <c r="BE391" s="174"/>
      <c r="BF391" s="174"/>
      <c r="BG391" s="174"/>
      <c r="BH391" s="174"/>
      <c r="BI391" s="174"/>
      <c r="BJ391" s="174"/>
      <c r="BK391" s="174"/>
      <c r="BL391" s="174"/>
      <c r="BM391" s="174"/>
      <c r="BN391" s="174"/>
      <c r="BO391" s="174"/>
      <c r="BP391" s="174"/>
      <c r="BQ391" s="174"/>
      <c r="BR391" s="174"/>
      <c r="BS391" s="174"/>
      <c r="BT391" s="174"/>
      <c r="BU391" s="174"/>
      <c r="BV391" s="174"/>
      <c r="BW391" s="174"/>
      <c r="BX391" s="174"/>
      <c r="BY391" s="174"/>
      <c r="BZ391" s="174"/>
      <c r="CA391" s="174"/>
      <c r="CB391" s="174"/>
      <c r="CC391" s="174"/>
      <c r="CD391" s="174"/>
    </row>
    <row r="392">
      <c r="A392" s="105" t="str">
        <f>IF(preDEL!$AG392,IFERROR(0/0,""),preDEL!A392)</f>
        <v>MA1050</v>
      </c>
      <c r="B392" s="170">
        <f>IF(preDEL!$AG392,IFERROR(0/0,""),preDEL!B392)</f>
        <v>44607</v>
      </c>
      <c r="C392" s="171">
        <f>IF(preDEL!$AG392,IFERROR(0/0,""),preDEL!C392)</f>
        <v>0.2953240741</v>
      </c>
      <c r="D392" s="105" t="str">
        <f>IF(preDEL!$AG392,IFERROR(0/0,""),preDEL!D392)</f>
        <v/>
      </c>
      <c r="E392" s="105" t="str">
        <f>IF(preDEL!$AG392,IFERROR(0/0,""),preDEL!E392)</f>
        <v/>
      </c>
      <c r="F392" s="112" t="str">
        <f>IF(preDEL!$AG392,IFERROR(0/0,""),preDEL!F392)</f>
        <v/>
      </c>
      <c r="G392" s="112" t="str">
        <f>IF(preDEL!$AG392,IFERROR(0/0,""),preDEL!G392)</f>
        <v/>
      </c>
      <c r="H392" s="112" t="str">
        <f>IF(preDEL!$AG392,IFERROR(0/0,""),preDEL!H392)</f>
        <v/>
      </c>
      <c r="I392" s="105" t="str">
        <f>IF(preDEL!$AG392,IFERROR(0/0,""),preDEL!I392)</f>
        <v/>
      </c>
      <c r="J392" s="105" t="str">
        <f>IF(preDEL!$AG392,IFERROR(0/0,""),preDEL!J392)</f>
        <v/>
      </c>
      <c r="K392" s="105" t="str">
        <f>IF(preDEL!$AG392,IFERROR(0/0,""),preDEL!K392)</f>
        <v>Negative</v>
      </c>
      <c r="L392" s="170">
        <f>IF(preDEL!$AG392,IFERROR(0/0,""),preDEL!L392)</f>
        <v>44607</v>
      </c>
      <c r="M392" s="171">
        <f>IF(preDEL!$AG392,IFERROR(0/0,""),preDEL!M392)</f>
        <v>0.5867939815</v>
      </c>
      <c r="N392" s="112" t="str">
        <f>IF(preDEL!$AG392,IFERROR(0/0,""),preDEL!N392)</f>
        <v/>
      </c>
      <c r="O392" s="112" t="str">
        <f>IF(preDEL!$AG392,IFERROR(0/0,""),preDEL!O392)</f>
        <v/>
      </c>
      <c r="P392" s="110" t="b">
        <f>IF(preDEL!$AG392,IFERROR(0/0,""),preDEL!P392)</f>
        <v>0</v>
      </c>
      <c r="Q392" s="110" t="str">
        <f>IF(preDEL!$AG392,IFERROR(0/0,""),preDEL!Q392)</f>
        <v>Result</v>
      </c>
      <c r="R392" s="104" t="b">
        <f>IF(preDEL!$AG392,IFERROR(0/0,""),preDEL!R392)</f>
        <v>1</v>
      </c>
      <c r="S392" s="104">
        <f>IF(preDEL!$AG392,IFERROR(0/0,""),preDEL!S392)</f>
        <v>1</v>
      </c>
      <c r="T392" s="110" t="str">
        <f>IF(preDEL!$AG392,IFERROR(0/0,""),preDEL!T392)</f>
        <v/>
      </c>
      <c r="U392" s="112" t="str">
        <f>IF(preDEL!$AG392,IFERROR(0/0,""),preDEL!U392)</f>
        <v/>
      </c>
      <c r="V392" s="105" t="str">
        <f>IF(preDEL!$AG392,IFERROR(0/0,""),preDEL!V392)</f>
        <v/>
      </c>
      <c r="W392" s="112" t="str">
        <f>IF(preDEL!$AG392,IFERROR(0/0,""),preDEL!W392)</f>
        <v/>
      </c>
      <c r="X392" s="104" t="b">
        <f>IF(preDEL!$AG392,IFERROR(0/0,""),preDEL!X392)</f>
        <v>0</v>
      </c>
      <c r="Y392" s="110" t="b">
        <f>IF(preDEL!$AG392,IFERROR(0/0,""),preDEL!Y392)</f>
        <v>0</v>
      </c>
      <c r="Z392" s="105" t="str">
        <f>IF(preDEL!$AG392,IFERROR(0/0,""),preDEL!Z392)</f>
        <v/>
      </c>
      <c r="AA392" s="110" t="b">
        <f>IF(preDEL!$AG392,IFERROR(0/0,""),preDEL!AA392)</f>
        <v>0</v>
      </c>
      <c r="AB392" s="110" t="b">
        <f>IF(preDEL!$AG392,IFERROR(0/0,""),preDEL!AB392)</f>
        <v>0</v>
      </c>
      <c r="AC392" s="172">
        <f>IF(preDEL!$AG392,IFERROR(0/0,""),preDEL!AC392)</f>
        <v>416</v>
      </c>
      <c r="AD392" s="104" t="b">
        <f>IF(preDEL!$AG392,IFERROR(0/0,""),preDEL!AD392)</f>
        <v>0</v>
      </c>
      <c r="AE392" s="173">
        <f>IF(preDEL!$AG392,IFERROR(0/0,""),preDEL!AE392)</f>
        <v>419.7166667</v>
      </c>
      <c r="AF392" s="110" t="b">
        <f>IF(preDEL!$AG392,IFERROR(0/0,""),preDEL!AF392)</f>
        <v>0</v>
      </c>
      <c r="AG392" s="110" t="b">
        <f>IF(preDEL!$AG392,IFERROR(0/0,""),preDEL!AG392)</f>
        <v>0</v>
      </c>
      <c r="AH392" s="104" t="str">
        <f>IF(preDEL!$AG392,IFERROR(0/0,""),preDEL!AH392)</f>
        <v/>
      </c>
      <c r="AI392" s="105" t="str">
        <f>IF(preDEL!$AG392,IFERROR(0/0,""),preDEL!AI392)</f>
        <v/>
      </c>
      <c r="AJ392" s="112" t="str">
        <f>IF(preDEL!$AG392,IFERROR(0/0,""),preDEL!AJ392)</f>
        <v/>
      </c>
      <c r="AK392" s="105" t="str">
        <f>IF(preDEL!$AG392,IFERROR(0/0,""),preDEL!AK392)</f>
        <v>Negative</v>
      </c>
      <c r="AL392" s="112" t="str">
        <f>IF(preDEL!$AG392,IFERROR(0/0,""),preDEL!AL392)</f>
        <v/>
      </c>
      <c r="AM392" s="112" t="str">
        <f>IF(preDEL!$AG392,IFERROR(0/0,""),preDEL!AM392)</f>
        <v>SpBEND271847</v>
      </c>
      <c r="AN392" s="112" t="str">
        <f>IF(preDEL!$AG392,IFERROR(0/0,""),preDEL!AN392)</f>
        <v>BEND273237</v>
      </c>
      <c r="AO392" s="112" t="str">
        <f>IF(preDEL!$AG392,IFERROR(0/0,""),preDEL!AO392)</f>
        <v/>
      </c>
      <c r="AP392" s="112" t="str">
        <f>IF(preDEL!$AG392,IFERROR(0/0,""),preDEL!AP392)</f>
        <v/>
      </c>
      <c r="AQ392" s="112" t="str">
        <f>IF(preDEL!$AG392,IFERROR(0/0,""),preDEL!AQ392)</f>
        <v/>
      </c>
      <c r="AR392" s="112" t="str">
        <f>IF(preDEL!$AG392,IFERROR(0/0,""),preDEL!AR392)</f>
        <v/>
      </c>
      <c r="AS392" s="112" t="str">
        <f>IF(preDEL!$AG392,IFERROR(0/0,""),preDEL!AS392)</f>
        <v/>
      </c>
      <c r="AT392" s="112" t="b">
        <f>IF(preDEL!$AG392,IFERROR(0/0,""),preDEL!AT392)</f>
        <v>0</v>
      </c>
      <c r="AU392" s="112" t="str">
        <f>IF(preDEL!$AG392,IFERROR(0/0,""),preDEL!AU392)</f>
        <v/>
      </c>
      <c r="AV392" s="112" t="str">
        <f>IF(preDEL!$AG392,IFERROR(0/0,""),preDEL!AV392)</f>
        <v/>
      </c>
      <c r="AW392" s="112" t="str">
        <f>IF(preDEL!$AG392,IFERROR(0/0,""),preDEL!AW392)</f>
        <v/>
      </c>
      <c r="AX392" s="112" t="str">
        <f>IF(preDEL!$AG392,IFERROR(0/0,""),preDEL!AX392)</f>
        <v/>
      </c>
      <c r="AY392" s="112" t="str">
        <f>IF(preDEL!$AG392,IFERROR(0/0,""),preDEL!AY392)</f>
        <v/>
      </c>
      <c r="AZ392" s="174"/>
      <c r="BA392" s="174"/>
      <c r="BB392" s="174"/>
      <c r="BC392" s="174"/>
      <c r="BD392" s="174"/>
      <c r="BE392" s="174"/>
      <c r="BF392" s="174"/>
      <c r="BG392" s="174"/>
      <c r="BH392" s="174"/>
      <c r="BI392" s="174"/>
      <c r="BJ392" s="174"/>
      <c r="BK392" s="174"/>
      <c r="BL392" s="174"/>
      <c r="BM392" s="174"/>
      <c r="BN392" s="174"/>
      <c r="BO392" s="174"/>
      <c r="BP392" s="174"/>
      <c r="BQ392" s="174"/>
      <c r="BR392" s="174"/>
      <c r="BS392" s="174"/>
      <c r="BT392" s="174"/>
      <c r="BU392" s="174"/>
      <c r="BV392" s="174"/>
      <c r="BW392" s="174"/>
      <c r="BX392" s="174"/>
      <c r="BY392" s="174"/>
      <c r="BZ392" s="174"/>
      <c r="CA392" s="174"/>
      <c r="CB392" s="174"/>
      <c r="CC392" s="174"/>
      <c r="CD392" s="174"/>
    </row>
    <row r="393">
      <c r="A393" s="105" t="str">
        <f>IF(preDEL!$AG393,IFERROR(0/0,""),preDEL!A393)</f>
        <v>MA398</v>
      </c>
      <c r="B393" s="170">
        <f>IF(preDEL!$AG393,IFERROR(0/0,""),preDEL!B393)</f>
        <v>44607</v>
      </c>
      <c r="C393" s="171">
        <f>IF(preDEL!$AG393,IFERROR(0/0,""),preDEL!C393)</f>
        <v>0.2986226852</v>
      </c>
      <c r="D393" s="105" t="str">
        <f>IF(preDEL!$AG393,IFERROR(0/0,""),preDEL!D393)</f>
        <v/>
      </c>
      <c r="E393" s="105" t="str">
        <f>IF(preDEL!$AG393,IFERROR(0/0,""),preDEL!E393)</f>
        <v/>
      </c>
      <c r="F393" s="112" t="str">
        <f>IF(preDEL!$AG393,IFERROR(0/0,""),preDEL!F393)</f>
        <v/>
      </c>
      <c r="G393" s="112" t="str">
        <f>IF(preDEL!$AG393,IFERROR(0/0,""),preDEL!G393)</f>
        <v/>
      </c>
      <c r="H393" s="112" t="str">
        <f>IF(preDEL!$AG393,IFERROR(0/0,""),preDEL!H393)</f>
        <v/>
      </c>
      <c r="I393" s="105" t="str">
        <f>IF(preDEL!$AG393,IFERROR(0/0,""),preDEL!I393)</f>
        <v/>
      </c>
      <c r="J393" s="105" t="str">
        <f>IF(preDEL!$AG393,IFERROR(0/0,""),preDEL!J393)</f>
        <v/>
      </c>
      <c r="K393" s="105" t="str">
        <f>IF(preDEL!$AG393,IFERROR(0/0,""),preDEL!K393)</f>
        <v>Negative</v>
      </c>
      <c r="L393" s="170">
        <f>IF(preDEL!$AG393,IFERROR(0/0,""),preDEL!L393)</f>
        <v>44607</v>
      </c>
      <c r="M393" s="171">
        <f>IF(preDEL!$AG393,IFERROR(0/0,""),preDEL!M393)</f>
        <v>0.5867939815</v>
      </c>
      <c r="N393" s="112" t="str">
        <f>IF(preDEL!$AG393,IFERROR(0/0,""),preDEL!N393)</f>
        <v/>
      </c>
      <c r="O393" s="112" t="str">
        <f>IF(preDEL!$AG393,IFERROR(0/0,""),preDEL!O393)</f>
        <v/>
      </c>
      <c r="P393" s="110" t="b">
        <f>IF(preDEL!$AG393,IFERROR(0/0,""),preDEL!P393)</f>
        <v>0</v>
      </c>
      <c r="Q393" s="110" t="str">
        <f>IF(preDEL!$AG393,IFERROR(0/0,""),preDEL!Q393)</f>
        <v>Result</v>
      </c>
      <c r="R393" s="104" t="b">
        <f>IF(preDEL!$AG393,IFERROR(0/0,""),preDEL!R393)</f>
        <v>1</v>
      </c>
      <c r="S393" s="104">
        <f>IF(preDEL!$AG393,IFERROR(0/0,""),preDEL!S393)</f>
        <v>1</v>
      </c>
      <c r="T393" s="110" t="str">
        <f>IF(preDEL!$AG393,IFERROR(0/0,""),preDEL!T393)</f>
        <v/>
      </c>
      <c r="U393" s="112" t="str">
        <f>IF(preDEL!$AG393,IFERROR(0/0,""),preDEL!U393)</f>
        <v/>
      </c>
      <c r="V393" s="105" t="str">
        <f>IF(preDEL!$AG393,IFERROR(0/0,""),preDEL!V393)</f>
        <v/>
      </c>
      <c r="W393" s="112" t="str">
        <f>IF(preDEL!$AG393,IFERROR(0/0,""),preDEL!W393)</f>
        <v/>
      </c>
      <c r="X393" s="104" t="b">
        <f>IF(preDEL!$AG393,IFERROR(0/0,""),preDEL!X393)</f>
        <v>0</v>
      </c>
      <c r="Y393" s="110" t="b">
        <f>IF(preDEL!$AG393,IFERROR(0/0,""),preDEL!Y393)</f>
        <v>0</v>
      </c>
      <c r="Z393" s="105" t="str">
        <f>IF(preDEL!$AG393,IFERROR(0/0,""),preDEL!Z393)</f>
        <v/>
      </c>
      <c r="AA393" s="110" t="b">
        <f>IF(preDEL!$AG393,IFERROR(0/0,""),preDEL!AA393)</f>
        <v>0</v>
      </c>
      <c r="AB393" s="110" t="b">
        <f>IF(preDEL!$AG393,IFERROR(0/0,""),preDEL!AB393)</f>
        <v>0</v>
      </c>
      <c r="AC393" s="172">
        <f>IF(preDEL!$AG393,IFERROR(0/0,""),preDEL!AC393)</f>
        <v>415</v>
      </c>
      <c r="AD393" s="104" t="b">
        <f>IF(preDEL!$AG393,IFERROR(0/0,""),preDEL!AD393)</f>
        <v>0</v>
      </c>
      <c r="AE393" s="173">
        <f>IF(preDEL!$AG393,IFERROR(0/0,""),preDEL!AE393)</f>
        <v>414.9666667</v>
      </c>
      <c r="AF393" s="110" t="b">
        <f>IF(preDEL!$AG393,IFERROR(0/0,""),preDEL!AF393)</f>
        <v>0</v>
      </c>
      <c r="AG393" s="110" t="b">
        <f>IF(preDEL!$AG393,IFERROR(0/0,""),preDEL!AG393)</f>
        <v>0</v>
      </c>
      <c r="AH393" s="104" t="str">
        <f>IF(preDEL!$AG393,IFERROR(0/0,""),preDEL!AH393)</f>
        <v/>
      </c>
      <c r="AI393" s="105" t="str">
        <f>IF(preDEL!$AG393,IFERROR(0/0,""),preDEL!AI393)</f>
        <v/>
      </c>
      <c r="AJ393" s="112" t="str">
        <f>IF(preDEL!$AG393,IFERROR(0/0,""),preDEL!AJ393)</f>
        <v/>
      </c>
      <c r="AK393" s="105" t="str">
        <f>IF(preDEL!$AG393,IFERROR(0/0,""),preDEL!AK393)</f>
        <v>Negative</v>
      </c>
      <c r="AL393" s="112" t="str">
        <f>IF(preDEL!$AG393,IFERROR(0/0,""),preDEL!AL393)</f>
        <v/>
      </c>
      <c r="AM393" s="112" t="str">
        <f>IF(preDEL!$AG393,IFERROR(0/0,""),preDEL!AM393)</f>
        <v>SpBEND842248</v>
      </c>
      <c r="AN393" s="112" t="str">
        <f>IF(preDEL!$AG393,IFERROR(0/0,""),preDEL!AN393)</f>
        <v>BEND296589</v>
      </c>
      <c r="AO393" s="112" t="str">
        <f>IF(preDEL!$AG393,IFERROR(0/0,""),preDEL!AO393)</f>
        <v/>
      </c>
      <c r="AP393" s="112" t="str">
        <f>IF(preDEL!$AG393,IFERROR(0/0,""),preDEL!AP393)</f>
        <v/>
      </c>
      <c r="AQ393" s="112" t="str">
        <f>IF(preDEL!$AG393,IFERROR(0/0,""),preDEL!AQ393)</f>
        <v/>
      </c>
      <c r="AR393" s="112" t="str">
        <f>IF(preDEL!$AG393,IFERROR(0/0,""),preDEL!AR393)</f>
        <v/>
      </c>
      <c r="AS393" s="112" t="str">
        <f>IF(preDEL!$AG393,IFERROR(0/0,""),preDEL!AS393)</f>
        <v/>
      </c>
      <c r="AT393" s="112" t="b">
        <f>IF(preDEL!$AG393,IFERROR(0/0,""),preDEL!AT393)</f>
        <v>0</v>
      </c>
      <c r="AU393" s="112" t="str">
        <f>IF(preDEL!$AG393,IFERROR(0/0,""),preDEL!AU393)</f>
        <v/>
      </c>
      <c r="AV393" s="112" t="str">
        <f>IF(preDEL!$AG393,IFERROR(0/0,""),preDEL!AV393)</f>
        <v/>
      </c>
      <c r="AW393" s="112" t="str">
        <f>IF(preDEL!$AG393,IFERROR(0/0,""),preDEL!AW393)</f>
        <v/>
      </c>
      <c r="AX393" s="112" t="str">
        <f>IF(preDEL!$AG393,IFERROR(0/0,""),preDEL!AX393)</f>
        <v/>
      </c>
      <c r="AY393" s="112" t="str">
        <f>IF(preDEL!$AG393,IFERROR(0/0,""),preDEL!AY393)</f>
        <v/>
      </c>
      <c r="AZ393" s="174"/>
      <c r="BA393" s="174"/>
      <c r="BB393" s="174"/>
      <c r="BC393" s="174"/>
      <c r="BD393" s="174"/>
      <c r="BE393" s="174"/>
      <c r="BF393" s="174"/>
      <c r="BG393" s="174"/>
      <c r="BH393" s="174"/>
      <c r="BI393" s="174"/>
      <c r="BJ393" s="174"/>
      <c r="BK393" s="174"/>
      <c r="BL393" s="174"/>
      <c r="BM393" s="174"/>
      <c r="BN393" s="174"/>
      <c r="BO393" s="174"/>
      <c r="BP393" s="174"/>
      <c r="BQ393" s="174"/>
      <c r="BR393" s="174"/>
      <c r="BS393" s="174"/>
      <c r="BT393" s="174"/>
      <c r="BU393" s="174"/>
      <c r="BV393" s="174"/>
      <c r="BW393" s="174"/>
      <c r="BX393" s="174"/>
      <c r="BY393" s="174"/>
      <c r="BZ393" s="174"/>
      <c r="CA393" s="174"/>
      <c r="CB393" s="174"/>
      <c r="CC393" s="174"/>
      <c r="CD393" s="174"/>
    </row>
    <row r="394">
      <c r="A394" s="105" t="str">
        <f>IF(preDEL!$AG394,IFERROR(0/0,""),preDEL!A394)</f>
        <v>FM459</v>
      </c>
      <c r="B394" s="170">
        <f>IF(preDEL!$AG394,IFERROR(0/0,""),preDEL!B394)</f>
        <v>44607</v>
      </c>
      <c r="C394" s="171">
        <f>IF(preDEL!$AG394,IFERROR(0/0,""),preDEL!C394)</f>
        <v>0.2989583333</v>
      </c>
      <c r="D394" s="105" t="str">
        <f>IF(preDEL!$AG394,IFERROR(0/0,""),preDEL!D394)</f>
        <v/>
      </c>
      <c r="E394" s="105" t="str">
        <f>IF(preDEL!$AG394,IFERROR(0/0,""),preDEL!E394)</f>
        <v/>
      </c>
      <c r="F394" s="112" t="str">
        <f>IF(preDEL!$AG394,IFERROR(0/0,""),preDEL!F394)</f>
        <v/>
      </c>
      <c r="G394" s="112" t="str">
        <f>IF(preDEL!$AG394,IFERROR(0/0,""),preDEL!G394)</f>
        <v/>
      </c>
      <c r="H394" s="112" t="str">
        <f>IF(preDEL!$AG394,IFERROR(0/0,""),preDEL!H394)</f>
        <v/>
      </c>
      <c r="I394" s="105" t="str">
        <f>IF(preDEL!$AG394,IFERROR(0/0,""),preDEL!I394)</f>
        <v/>
      </c>
      <c r="J394" s="105" t="str">
        <f>IF(preDEL!$AG394,IFERROR(0/0,""),preDEL!J394)</f>
        <v/>
      </c>
      <c r="K394" s="105" t="str">
        <f>IF(preDEL!$AG394,IFERROR(0/0,""),preDEL!K394)</f>
        <v>Negative</v>
      </c>
      <c r="L394" s="170">
        <f>IF(preDEL!$AG394,IFERROR(0/0,""),preDEL!L394)</f>
        <v>44607</v>
      </c>
      <c r="M394" s="171">
        <f>IF(preDEL!$AG394,IFERROR(0/0,""),preDEL!M394)</f>
        <v>0.5867939815</v>
      </c>
      <c r="N394" s="112" t="str">
        <f>IF(preDEL!$AG394,IFERROR(0/0,""),preDEL!N394)</f>
        <v/>
      </c>
      <c r="O394" s="112" t="str">
        <f>IF(preDEL!$AG394,IFERROR(0/0,""),preDEL!O394)</f>
        <v/>
      </c>
      <c r="P394" s="110" t="b">
        <f>IF(preDEL!$AG394,IFERROR(0/0,""),preDEL!P394)</f>
        <v>0</v>
      </c>
      <c r="Q394" s="110" t="str">
        <f>IF(preDEL!$AG394,IFERROR(0/0,""),preDEL!Q394)</f>
        <v>Result</v>
      </c>
      <c r="R394" s="104" t="b">
        <f>IF(preDEL!$AG394,IFERROR(0/0,""),preDEL!R394)</f>
        <v>1</v>
      </c>
      <c r="S394" s="104">
        <f>IF(preDEL!$AG394,IFERROR(0/0,""),preDEL!S394)</f>
        <v>1</v>
      </c>
      <c r="T394" s="110" t="str">
        <f>IF(preDEL!$AG394,IFERROR(0/0,""),preDEL!T394)</f>
        <v/>
      </c>
      <c r="U394" s="112" t="str">
        <f>IF(preDEL!$AG394,IFERROR(0/0,""),preDEL!U394)</f>
        <v/>
      </c>
      <c r="V394" s="105" t="str">
        <f>IF(preDEL!$AG394,IFERROR(0/0,""),preDEL!V394)</f>
        <v/>
      </c>
      <c r="W394" s="112" t="str">
        <f>IF(preDEL!$AG394,IFERROR(0/0,""),preDEL!W394)</f>
        <v/>
      </c>
      <c r="X394" s="104" t="b">
        <f>IF(preDEL!$AG394,IFERROR(0/0,""),preDEL!X394)</f>
        <v>0</v>
      </c>
      <c r="Y394" s="110" t="b">
        <f>IF(preDEL!$AG394,IFERROR(0/0,""),preDEL!Y394)</f>
        <v>0</v>
      </c>
      <c r="Z394" s="105" t="str">
        <f>IF(preDEL!$AG394,IFERROR(0/0,""),preDEL!Z394)</f>
        <v/>
      </c>
      <c r="AA394" s="110" t="b">
        <f>IF(preDEL!$AG394,IFERROR(0/0,""),preDEL!AA394)</f>
        <v>0</v>
      </c>
      <c r="AB394" s="110" t="b">
        <f>IF(preDEL!$AG394,IFERROR(0/0,""),preDEL!AB394)</f>
        <v>0</v>
      </c>
      <c r="AC394" s="172">
        <f>IF(preDEL!$AG394,IFERROR(0/0,""),preDEL!AC394)</f>
        <v>414</v>
      </c>
      <c r="AD394" s="104" t="b">
        <f>IF(preDEL!$AG394,IFERROR(0/0,""),preDEL!AD394)</f>
        <v>0</v>
      </c>
      <c r="AE394" s="173">
        <f>IF(preDEL!$AG394,IFERROR(0/0,""),preDEL!AE394)</f>
        <v>414.4833333</v>
      </c>
      <c r="AF394" s="110" t="b">
        <f>IF(preDEL!$AG394,IFERROR(0/0,""),preDEL!AF394)</f>
        <v>0</v>
      </c>
      <c r="AG394" s="110" t="b">
        <f>IF(preDEL!$AG394,IFERROR(0/0,""),preDEL!AG394)</f>
        <v>0</v>
      </c>
      <c r="AH394" s="104" t="str">
        <f>IF(preDEL!$AG394,IFERROR(0/0,""),preDEL!AH394)</f>
        <v/>
      </c>
      <c r="AI394" s="105" t="str">
        <f>IF(preDEL!$AG394,IFERROR(0/0,""),preDEL!AI394)</f>
        <v/>
      </c>
      <c r="AJ394" s="112" t="str">
        <f>IF(preDEL!$AG394,IFERROR(0/0,""),preDEL!AJ394)</f>
        <v/>
      </c>
      <c r="AK394" s="105" t="str">
        <f>IF(preDEL!$AG394,IFERROR(0/0,""),preDEL!AK394)</f>
        <v>Negative</v>
      </c>
      <c r="AL394" s="112" t="str">
        <f>IF(preDEL!$AG394,IFERROR(0/0,""),preDEL!AL394)</f>
        <v/>
      </c>
      <c r="AM394" s="112" t="str">
        <f>IF(preDEL!$AG394,IFERROR(0/0,""),preDEL!AM394)</f>
        <v>SpBEND734943</v>
      </c>
      <c r="AN394" s="112" t="str">
        <f>IF(preDEL!$AG394,IFERROR(0/0,""),preDEL!AN394)</f>
        <v>BEND710690</v>
      </c>
      <c r="AO394" s="112" t="str">
        <f>IF(preDEL!$AG394,IFERROR(0/0,""),preDEL!AO394)</f>
        <v/>
      </c>
      <c r="AP394" s="112" t="str">
        <f>IF(preDEL!$AG394,IFERROR(0/0,""),preDEL!AP394)</f>
        <v/>
      </c>
      <c r="AQ394" s="112" t="str">
        <f>IF(preDEL!$AG394,IFERROR(0/0,""),preDEL!AQ394)</f>
        <v/>
      </c>
      <c r="AR394" s="112" t="str">
        <f>IF(preDEL!$AG394,IFERROR(0/0,""),preDEL!AR394)</f>
        <v/>
      </c>
      <c r="AS394" s="112" t="str">
        <f>IF(preDEL!$AG394,IFERROR(0/0,""),preDEL!AS394)</f>
        <v/>
      </c>
      <c r="AT394" s="112" t="b">
        <f>IF(preDEL!$AG394,IFERROR(0/0,""),preDEL!AT394)</f>
        <v>0</v>
      </c>
      <c r="AU394" s="112" t="str">
        <f>IF(preDEL!$AG394,IFERROR(0/0,""),preDEL!AU394)</f>
        <v/>
      </c>
      <c r="AV394" s="112" t="str">
        <f>IF(preDEL!$AG394,IFERROR(0/0,""),preDEL!AV394)</f>
        <v/>
      </c>
      <c r="AW394" s="112" t="str">
        <f>IF(preDEL!$AG394,IFERROR(0/0,""),preDEL!AW394)</f>
        <v/>
      </c>
      <c r="AX394" s="112" t="str">
        <f>IF(preDEL!$AG394,IFERROR(0/0,""),preDEL!AX394)</f>
        <v/>
      </c>
      <c r="AY394" s="112" t="str">
        <f>IF(preDEL!$AG394,IFERROR(0/0,""),preDEL!AY394)</f>
        <v/>
      </c>
      <c r="AZ394" s="174"/>
      <c r="BA394" s="174"/>
      <c r="BB394" s="174"/>
      <c r="BC394" s="174"/>
      <c r="BD394" s="174"/>
      <c r="BE394" s="174"/>
      <c r="BF394" s="174"/>
      <c r="BG394" s="174"/>
      <c r="BH394" s="174"/>
      <c r="BI394" s="174"/>
      <c r="BJ394" s="174"/>
      <c r="BK394" s="174"/>
      <c r="BL394" s="174"/>
      <c r="BM394" s="174"/>
      <c r="BN394" s="174"/>
      <c r="BO394" s="174"/>
      <c r="BP394" s="174"/>
      <c r="BQ394" s="174"/>
      <c r="BR394" s="174"/>
      <c r="BS394" s="174"/>
      <c r="BT394" s="174"/>
      <c r="BU394" s="174"/>
      <c r="BV394" s="174"/>
      <c r="BW394" s="174"/>
      <c r="BX394" s="174"/>
      <c r="BY394" s="174"/>
      <c r="BZ394" s="174"/>
      <c r="CA394" s="174"/>
      <c r="CB394" s="174"/>
      <c r="CC394" s="174"/>
      <c r="CD394" s="174"/>
    </row>
    <row r="395">
      <c r="A395" s="105" t="str">
        <f>IF(preDEL!$AG395,IFERROR(0/0,""),preDEL!A395)</f>
        <v>FM485</v>
      </c>
      <c r="B395" s="170">
        <f>IF(preDEL!$AG395,IFERROR(0/0,""),preDEL!B395)</f>
        <v>44607</v>
      </c>
      <c r="C395" s="171">
        <f>IF(preDEL!$AG395,IFERROR(0/0,""),preDEL!C395)</f>
        <v>0.3003356481</v>
      </c>
      <c r="D395" s="105" t="str">
        <f>IF(preDEL!$AG395,IFERROR(0/0,""),preDEL!D395)</f>
        <v/>
      </c>
      <c r="E395" s="105" t="str">
        <f>IF(preDEL!$AG395,IFERROR(0/0,""),preDEL!E395)</f>
        <v/>
      </c>
      <c r="F395" s="112" t="str">
        <f>IF(preDEL!$AG395,IFERROR(0/0,""),preDEL!F395)</f>
        <v/>
      </c>
      <c r="G395" s="112" t="str">
        <f>IF(preDEL!$AG395,IFERROR(0/0,""),preDEL!G395)</f>
        <v/>
      </c>
      <c r="H395" s="112" t="str">
        <f>IF(preDEL!$AG395,IFERROR(0/0,""),preDEL!H395)</f>
        <v/>
      </c>
      <c r="I395" s="105" t="str">
        <f>IF(preDEL!$AG395,IFERROR(0/0,""),preDEL!I395)</f>
        <v/>
      </c>
      <c r="J395" s="105" t="str">
        <f>IF(preDEL!$AG395,IFERROR(0/0,""),preDEL!J395)</f>
        <v/>
      </c>
      <c r="K395" s="105" t="str">
        <f>IF(preDEL!$AG395,IFERROR(0/0,""),preDEL!K395)</f>
        <v>Negative</v>
      </c>
      <c r="L395" s="170">
        <f>IF(preDEL!$AG395,IFERROR(0/0,""),preDEL!L395)</f>
        <v>44607</v>
      </c>
      <c r="M395" s="171">
        <f>IF(preDEL!$AG395,IFERROR(0/0,""),preDEL!M395)</f>
        <v>0.5867939815</v>
      </c>
      <c r="N395" s="112" t="str">
        <f>IF(preDEL!$AG395,IFERROR(0/0,""),preDEL!N395)</f>
        <v/>
      </c>
      <c r="O395" s="112" t="str">
        <f>IF(preDEL!$AG395,IFERROR(0/0,""),preDEL!O395)</f>
        <v/>
      </c>
      <c r="P395" s="110" t="b">
        <f>IF(preDEL!$AG395,IFERROR(0/0,""),preDEL!P395)</f>
        <v>0</v>
      </c>
      <c r="Q395" s="110" t="str">
        <f>IF(preDEL!$AG395,IFERROR(0/0,""),preDEL!Q395)</f>
        <v>Result</v>
      </c>
      <c r="R395" s="104" t="b">
        <f>IF(preDEL!$AG395,IFERROR(0/0,""),preDEL!R395)</f>
        <v>1</v>
      </c>
      <c r="S395" s="104">
        <f>IF(preDEL!$AG395,IFERROR(0/0,""),preDEL!S395)</f>
        <v>1</v>
      </c>
      <c r="T395" s="110" t="str">
        <f>IF(preDEL!$AG395,IFERROR(0/0,""),preDEL!T395)</f>
        <v/>
      </c>
      <c r="U395" s="112" t="str">
        <f>IF(preDEL!$AG395,IFERROR(0/0,""),preDEL!U395)</f>
        <v/>
      </c>
      <c r="V395" s="105" t="str">
        <f>IF(preDEL!$AG395,IFERROR(0/0,""),preDEL!V395)</f>
        <v/>
      </c>
      <c r="W395" s="112" t="str">
        <f>IF(preDEL!$AG395,IFERROR(0/0,""),preDEL!W395)</f>
        <v/>
      </c>
      <c r="X395" s="104" t="b">
        <f>IF(preDEL!$AG395,IFERROR(0/0,""),preDEL!X395)</f>
        <v>0</v>
      </c>
      <c r="Y395" s="110" t="b">
        <f>IF(preDEL!$AG395,IFERROR(0/0,""),preDEL!Y395)</f>
        <v>0</v>
      </c>
      <c r="Z395" s="105" t="str">
        <f>IF(preDEL!$AG395,IFERROR(0/0,""),preDEL!Z395)</f>
        <v/>
      </c>
      <c r="AA395" s="110" t="b">
        <f>IF(preDEL!$AG395,IFERROR(0/0,""),preDEL!AA395)</f>
        <v>0</v>
      </c>
      <c r="AB395" s="110" t="b">
        <f>IF(preDEL!$AG395,IFERROR(0/0,""),preDEL!AB395)</f>
        <v>0</v>
      </c>
      <c r="AC395" s="172">
        <f>IF(preDEL!$AG395,IFERROR(0/0,""),preDEL!AC395)</f>
        <v>413</v>
      </c>
      <c r="AD395" s="104" t="b">
        <f>IF(preDEL!$AG395,IFERROR(0/0,""),preDEL!AD395)</f>
        <v>0</v>
      </c>
      <c r="AE395" s="173">
        <f>IF(preDEL!$AG395,IFERROR(0/0,""),preDEL!AE395)</f>
        <v>412.5</v>
      </c>
      <c r="AF395" s="110" t="b">
        <f>IF(preDEL!$AG395,IFERROR(0/0,""),preDEL!AF395)</f>
        <v>0</v>
      </c>
      <c r="AG395" s="110" t="b">
        <f>IF(preDEL!$AG395,IFERROR(0/0,""),preDEL!AG395)</f>
        <v>0</v>
      </c>
      <c r="AH395" s="104" t="str">
        <f>IF(preDEL!$AG395,IFERROR(0/0,""),preDEL!AH395)</f>
        <v/>
      </c>
      <c r="AI395" s="105" t="str">
        <f>IF(preDEL!$AG395,IFERROR(0/0,""),preDEL!AI395)</f>
        <v/>
      </c>
      <c r="AJ395" s="112" t="str">
        <f>IF(preDEL!$AG395,IFERROR(0/0,""),preDEL!AJ395)</f>
        <v/>
      </c>
      <c r="AK395" s="105" t="str">
        <f>IF(preDEL!$AG395,IFERROR(0/0,""),preDEL!AK395)</f>
        <v>Negative</v>
      </c>
      <c r="AL395" s="112" t="str">
        <f>IF(preDEL!$AG395,IFERROR(0/0,""),preDEL!AL395)</f>
        <v/>
      </c>
      <c r="AM395" s="112" t="str">
        <f>IF(preDEL!$AG395,IFERROR(0/0,""),preDEL!AM395)</f>
        <v>SpBEND551372</v>
      </c>
      <c r="AN395" s="112" t="str">
        <f>IF(preDEL!$AG395,IFERROR(0/0,""),preDEL!AN395)</f>
        <v>BEND475899</v>
      </c>
      <c r="AO395" s="112" t="str">
        <f>IF(preDEL!$AG395,IFERROR(0/0,""),preDEL!AO395)</f>
        <v/>
      </c>
      <c r="AP395" s="112" t="str">
        <f>IF(preDEL!$AG395,IFERROR(0/0,""),preDEL!AP395)</f>
        <v/>
      </c>
      <c r="AQ395" s="112" t="str">
        <f>IF(preDEL!$AG395,IFERROR(0/0,""),preDEL!AQ395)</f>
        <v/>
      </c>
      <c r="AR395" s="112" t="str">
        <f>IF(preDEL!$AG395,IFERROR(0/0,""),preDEL!AR395)</f>
        <v/>
      </c>
      <c r="AS395" s="112" t="str">
        <f>IF(preDEL!$AG395,IFERROR(0/0,""),preDEL!AS395)</f>
        <v/>
      </c>
      <c r="AT395" s="112" t="b">
        <f>IF(preDEL!$AG395,IFERROR(0/0,""),preDEL!AT395)</f>
        <v>0</v>
      </c>
      <c r="AU395" s="112" t="str">
        <f>IF(preDEL!$AG395,IFERROR(0/0,""),preDEL!AU395)</f>
        <v/>
      </c>
      <c r="AV395" s="112" t="str">
        <f>IF(preDEL!$AG395,IFERROR(0/0,""),preDEL!AV395)</f>
        <v/>
      </c>
      <c r="AW395" s="112" t="str">
        <f>IF(preDEL!$AG395,IFERROR(0/0,""),preDEL!AW395)</f>
        <v/>
      </c>
      <c r="AX395" s="112" t="str">
        <f>IF(preDEL!$AG395,IFERROR(0/0,""),preDEL!AX395)</f>
        <v/>
      </c>
      <c r="AY395" s="112" t="str">
        <f>IF(preDEL!$AG395,IFERROR(0/0,""),preDEL!AY395)</f>
        <v/>
      </c>
      <c r="AZ395" s="174"/>
      <c r="BA395" s="174"/>
      <c r="BB395" s="174"/>
      <c r="BC395" s="174"/>
      <c r="BD395" s="174"/>
      <c r="BE395" s="174"/>
      <c r="BF395" s="174"/>
      <c r="BG395" s="174"/>
      <c r="BH395" s="174"/>
      <c r="BI395" s="174"/>
      <c r="BJ395" s="174"/>
      <c r="BK395" s="174"/>
      <c r="BL395" s="174"/>
      <c r="BM395" s="174"/>
      <c r="BN395" s="174"/>
      <c r="BO395" s="174"/>
      <c r="BP395" s="174"/>
      <c r="BQ395" s="174"/>
      <c r="BR395" s="174"/>
      <c r="BS395" s="174"/>
      <c r="BT395" s="174"/>
      <c r="BU395" s="174"/>
      <c r="BV395" s="174"/>
      <c r="BW395" s="174"/>
      <c r="BX395" s="174"/>
      <c r="BY395" s="174"/>
      <c r="BZ395" s="174"/>
      <c r="CA395" s="174"/>
      <c r="CB395" s="174"/>
      <c r="CC395" s="174"/>
      <c r="CD395" s="174"/>
    </row>
    <row r="396">
      <c r="A396" s="105" t="str">
        <f>IF(preDEL!$AG396,IFERROR(0/0,""),preDEL!A396)</f>
        <v/>
      </c>
      <c r="B396" s="170" t="str">
        <f>IF(preDEL!$AG396,IFERROR(0/0,""),preDEL!B396)</f>
        <v/>
      </c>
      <c r="C396" s="171" t="str">
        <f>IF(preDEL!$AG396,IFERROR(0/0,""),preDEL!C396)</f>
        <v/>
      </c>
      <c r="D396" s="105" t="str">
        <f>IF(preDEL!$AG396,IFERROR(0/0,""),preDEL!D396)</f>
        <v/>
      </c>
      <c r="E396" s="105" t="str">
        <f>IF(preDEL!$AG396,IFERROR(0/0,""),preDEL!E396)</f>
        <v/>
      </c>
      <c r="F396" s="112" t="str">
        <f>IF(preDEL!$AG396,IFERROR(0/0,""),preDEL!F396)</f>
        <v/>
      </c>
      <c r="G396" s="112" t="str">
        <f>IF(preDEL!$AG396,IFERROR(0/0,""),preDEL!G396)</f>
        <v/>
      </c>
      <c r="H396" s="112" t="str">
        <f>IF(preDEL!$AG396,IFERROR(0/0,""),preDEL!H396)</f>
        <v/>
      </c>
      <c r="I396" s="105" t="str">
        <f>IF(preDEL!$AG396,IFERROR(0/0,""),preDEL!I396)</f>
        <v/>
      </c>
      <c r="J396" s="105" t="str">
        <f>IF(preDEL!$AG396,IFERROR(0/0,""),preDEL!J396)</f>
        <v/>
      </c>
      <c r="K396" s="105" t="str">
        <f>IF(preDEL!$AG396,IFERROR(0/0,""),preDEL!K396)</f>
        <v/>
      </c>
      <c r="L396" s="170" t="str">
        <f>IF(preDEL!$AG396,IFERROR(0/0,""),preDEL!L396)</f>
        <v/>
      </c>
      <c r="M396" s="171" t="str">
        <f>IF(preDEL!$AG396,IFERROR(0/0,""),preDEL!M396)</f>
        <v/>
      </c>
      <c r="N396" s="112" t="str">
        <f>IF(preDEL!$AG396,IFERROR(0/0,""),preDEL!N396)</f>
        <v/>
      </c>
      <c r="O396" s="112" t="str">
        <f>IF(preDEL!$AG396,IFERROR(0/0,""),preDEL!O396)</f>
        <v/>
      </c>
      <c r="P396" s="110" t="str">
        <f>IF(preDEL!$AG396,IFERROR(0/0,""),preDEL!P396)</f>
        <v/>
      </c>
      <c r="Q396" s="110" t="str">
        <f>IF(preDEL!$AG396,IFERROR(0/0,""),preDEL!Q396)</f>
        <v/>
      </c>
      <c r="R396" s="104" t="str">
        <f>IF(preDEL!$AG396,IFERROR(0/0,""),preDEL!R396)</f>
        <v/>
      </c>
      <c r="S396" s="104" t="str">
        <f>IF(preDEL!$AG396,IFERROR(0/0,""),preDEL!S396)</f>
        <v/>
      </c>
      <c r="T396" s="110" t="str">
        <f>IF(preDEL!$AG396,IFERROR(0/0,""),preDEL!T396)</f>
        <v/>
      </c>
      <c r="U396" s="112" t="str">
        <f>IF(preDEL!$AG396,IFERROR(0/0,""),preDEL!U396)</f>
        <v/>
      </c>
      <c r="V396" s="105" t="str">
        <f>IF(preDEL!$AG396,IFERROR(0/0,""),preDEL!V396)</f>
        <v/>
      </c>
      <c r="W396" s="112" t="str">
        <f>IF(preDEL!$AG396,IFERROR(0/0,""),preDEL!W396)</f>
        <v/>
      </c>
      <c r="X396" s="104" t="str">
        <f>IF(preDEL!$AG396,IFERROR(0/0,""),preDEL!X396)</f>
        <v/>
      </c>
      <c r="Y396" s="110" t="str">
        <f>IF(preDEL!$AG396,IFERROR(0/0,""),preDEL!Y396)</f>
        <v/>
      </c>
      <c r="Z396" s="105" t="str">
        <f>IF(preDEL!$AG396,IFERROR(0/0,""),preDEL!Z396)</f>
        <v/>
      </c>
      <c r="AA396" s="110" t="str">
        <f>IF(preDEL!$AG396,IFERROR(0/0,""),preDEL!AA396)</f>
        <v/>
      </c>
      <c r="AB396" s="110" t="str">
        <f>IF(preDEL!$AG396,IFERROR(0/0,""),preDEL!AB396)</f>
        <v/>
      </c>
      <c r="AC396" s="172" t="str">
        <f>IF(preDEL!$AG396,IFERROR(0/0,""),preDEL!AC396)</f>
        <v/>
      </c>
      <c r="AD396" s="104" t="str">
        <f>IF(preDEL!$AG396,IFERROR(0/0,""),preDEL!AD396)</f>
        <v/>
      </c>
      <c r="AE396" s="173" t="str">
        <f>IF(preDEL!$AG396,IFERROR(0/0,""),preDEL!AE396)</f>
        <v/>
      </c>
      <c r="AF396" s="110" t="str">
        <f>IF(preDEL!$AG396,IFERROR(0/0,""),preDEL!AF396)</f>
        <v/>
      </c>
      <c r="AG396" s="110" t="str">
        <f>IF(preDEL!$AG396,IFERROR(0/0,""),preDEL!AG396)</f>
        <v/>
      </c>
      <c r="AH396" s="104" t="str">
        <f>IF(preDEL!$AG396,IFERROR(0/0,""),preDEL!AH396)</f>
        <v/>
      </c>
      <c r="AI396" s="105" t="str">
        <f>IF(preDEL!$AG396,IFERROR(0/0,""),preDEL!AI396)</f>
        <v/>
      </c>
      <c r="AJ396" s="112" t="str">
        <f>IF(preDEL!$AG396,IFERROR(0/0,""),preDEL!AJ396)</f>
        <v/>
      </c>
      <c r="AK396" s="105" t="str">
        <f>IF(preDEL!$AG396,IFERROR(0/0,""),preDEL!AK396)</f>
        <v/>
      </c>
      <c r="AL396" s="112" t="str">
        <f>IF(preDEL!$AG396,IFERROR(0/0,""),preDEL!AL396)</f>
        <v/>
      </c>
      <c r="AM396" s="112" t="str">
        <f>IF(preDEL!$AG396,IFERROR(0/0,""),preDEL!AM396)</f>
        <v/>
      </c>
      <c r="AN396" s="112" t="str">
        <f>IF(preDEL!$AG396,IFERROR(0/0,""),preDEL!AN396)</f>
        <v/>
      </c>
      <c r="AO396" s="112" t="str">
        <f>IF(preDEL!$AG396,IFERROR(0/0,""),preDEL!AO396)</f>
        <v/>
      </c>
      <c r="AP396" s="112" t="str">
        <f>IF(preDEL!$AG396,IFERROR(0/0,""),preDEL!AP396)</f>
        <v/>
      </c>
      <c r="AQ396" s="112" t="str">
        <f>IF(preDEL!$AG396,IFERROR(0/0,""),preDEL!AQ396)</f>
        <v/>
      </c>
      <c r="AR396" s="112" t="str">
        <f>IF(preDEL!$AG396,IFERROR(0/0,""),preDEL!AR396)</f>
        <v/>
      </c>
      <c r="AS396" s="112" t="str">
        <f>IF(preDEL!$AG396,IFERROR(0/0,""),preDEL!AS396)</f>
        <v/>
      </c>
      <c r="AT396" s="112" t="str">
        <f>IF(preDEL!$AG396,IFERROR(0/0,""),preDEL!AT396)</f>
        <v/>
      </c>
      <c r="AU396" s="112" t="str">
        <f>IF(preDEL!$AG396,IFERROR(0/0,""),preDEL!AU396)</f>
        <v/>
      </c>
      <c r="AV396" s="112" t="str">
        <f>IF(preDEL!$AG396,IFERROR(0/0,""),preDEL!AV396)</f>
        <v/>
      </c>
      <c r="AW396" s="112" t="str">
        <f>IF(preDEL!$AG396,IFERROR(0/0,""),preDEL!AW396)</f>
        <v/>
      </c>
      <c r="AX396" s="112" t="str">
        <f>IF(preDEL!$AG396,IFERROR(0/0,""),preDEL!AX396)</f>
        <v/>
      </c>
      <c r="AY396" s="112" t="str">
        <f>IF(preDEL!$AG396,IFERROR(0/0,""),preDEL!AY396)</f>
        <v/>
      </c>
      <c r="AZ396" s="174"/>
      <c r="BA396" s="174"/>
      <c r="BB396" s="174"/>
      <c r="BC396" s="174"/>
      <c r="BD396" s="174"/>
      <c r="BE396" s="174"/>
      <c r="BF396" s="174"/>
      <c r="BG396" s="174"/>
      <c r="BH396" s="174"/>
      <c r="BI396" s="174"/>
      <c r="BJ396" s="174"/>
      <c r="BK396" s="174"/>
      <c r="BL396" s="174"/>
      <c r="BM396" s="174"/>
      <c r="BN396" s="174"/>
      <c r="BO396" s="174"/>
      <c r="BP396" s="174"/>
      <c r="BQ396" s="174"/>
      <c r="BR396" s="174"/>
      <c r="BS396" s="174"/>
      <c r="BT396" s="174"/>
      <c r="BU396" s="174"/>
      <c r="BV396" s="174"/>
      <c r="BW396" s="174"/>
      <c r="BX396" s="174"/>
      <c r="BY396" s="174"/>
      <c r="BZ396" s="174"/>
      <c r="CA396" s="174"/>
      <c r="CB396" s="174"/>
      <c r="CC396" s="174"/>
      <c r="CD396" s="174"/>
    </row>
    <row r="397">
      <c r="A397" s="105" t="str">
        <f>IF(preDEL!$AG397,IFERROR(0/0,""),preDEL!A397)</f>
        <v>MA189</v>
      </c>
      <c r="B397" s="170">
        <f>IF(preDEL!$AG397,IFERROR(0/0,""),preDEL!B397)</f>
        <v>44607</v>
      </c>
      <c r="C397" s="171">
        <f>IF(preDEL!$AG397,IFERROR(0/0,""),preDEL!C397)</f>
        <v>0.3116782407</v>
      </c>
      <c r="D397" s="105" t="str">
        <f>IF(preDEL!$AG397,IFERROR(0/0,""),preDEL!D397)</f>
        <v/>
      </c>
      <c r="E397" s="105" t="str">
        <f>IF(preDEL!$AG397,IFERROR(0/0,""),preDEL!E397)</f>
        <v/>
      </c>
      <c r="F397" s="112" t="str">
        <f>IF(preDEL!$AG397,IFERROR(0/0,""),preDEL!F397)</f>
        <v/>
      </c>
      <c r="G397" s="112" t="str">
        <f>IF(preDEL!$AG397,IFERROR(0/0,""),preDEL!G397)</f>
        <v/>
      </c>
      <c r="H397" s="112" t="str">
        <f>IF(preDEL!$AG397,IFERROR(0/0,""),preDEL!H397)</f>
        <v/>
      </c>
      <c r="I397" s="105" t="str">
        <f>IF(preDEL!$AG397,IFERROR(0/0,""),preDEL!I397)</f>
        <v/>
      </c>
      <c r="J397" s="105" t="str">
        <f>IF(preDEL!$AG397,IFERROR(0/0,""),preDEL!J397)</f>
        <v/>
      </c>
      <c r="K397" s="105" t="str">
        <f>IF(preDEL!$AG397,IFERROR(0/0,""),preDEL!K397)</f>
        <v>Negative</v>
      </c>
      <c r="L397" s="170">
        <f>IF(preDEL!$AG397,IFERROR(0/0,""),preDEL!L397)</f>
        <v>44607</v>
      </c>
      <c r="M397" s="171">
        <f>IF(preDEL!$AG397,IFERROR(0/0,""),preDEL!M397)</f>
        <v>0.5867939815</v>
      </c>
      <c r="N397" s="112" t="str">
        <f>IF(preDEL!$AG397,IFERROR(0/0,""),preDEL!N397)</f>
        <v/>
      </c>
      <c r="O397" s="112" t="str">
        <f>IF(preDEL!$AG397,IFERROR(0/0,""),preDEL!O397)</f>
        <v/>
      </c>
      <c r="P397" s="110" t="b">
        <f>IF(preDEL!$AG397,IFERROR(0/0,""),preDEL!P397)</f>
        <v>0</v>
      </c>
      <c r="Q397" s="110" t="str">
        <f>IF(preDEL!$AG397,IFERROR(0/0,""),preDEL!Q397)</f>
        <v>Result</v>
      </c>
      <c r="R397" s="104" t="b">
        <f>IF(preDEL!$AG397,IFERROR(0/0,""),preDEL!R397)</f>
        <v>1</v>
      </c>
      <c r="S397" s="104">
        <f>IF(preDEL!$AG397,IFERROR(0/0,""),preDEL!S397)</f>
        <v>1</v>
      </c>
      <c r="T397" s="110" t="str">
        <f>IF(preDEL!$AG397,IFERROR(0/0,""),preDEL!T397)</f>
        <v/>
      </c>
      <c r="U397" s="112" t="str">
        <f>IF(preDEL!$AG397,IFERROR(0/0,""),preDEL!U397)</f>
        <v/>
      </c>
      <c r="V397" s="105" t="str">
        <f>IF(preDEL!$AG397,IFERROR(0/0,""),preDEL!V397)</f>
        <v/>
      </c>
      <c r="W397" s="112" t="str">
        <f>IF(preDEL!$AG397,IFERROR(0/0,""),preDEL!W397)</f>
        <v/>
      </c>
      <c r="X397" s="104" t="b">
        <f>IF(preDEL!$AG397,IFERROR(0/0,""),preDEL!X397)</f>
        <v>0</v>
      </c>
      <c r="Y397" s="110" t="b">
        <f>IF(preDEL!$AG397,IFERROR(0/0,""),preDEL!Y397)</f>
        <v>0</v>
      </c>
      <c r="Z397" s="105" t="str">
        <f>IF(preDEL!$AG397,IFERROR(0/0,""),preDEL!Z397)</f>
        <v/>
      </c>
      <c r="AA397" s="110" t="b">
        <f>IF(preDEL!$AG397,IFERROR(0/0,""),preDEL!AA397)</f>
        <v>0</v>
      </c>
      <c r="AB397" s="110" t="b">
        <f>IF(preDEL!$AG397,IFERROR(0/0,""),preDEL!AB397)</f>
        <v>0</v>
      </c>
      <c r="AC397" s="172">
        <f>IF(preDEL!$AG397,IFERROR(0/0,""),preDEL!AC397)</f>
        <v>411</v>
      </c>
      <c r="AD397" s="104" t="b">
        <f>IF(preDEL!$AG397,IFERROR(0/0,""),preDEL!AD397)</f>
        <v>0</v>
      </c>
      <c r="AE397" s="173">
        <f>IF(preDEL!$AG397,IFERROR(0/0,""),preDEL!AE397)</f>
        <v>396.1666667</v>
      </c>
      <c r="AF397" s="110" t="b">
        <f>IF(preDEL!$AG397,IFERROR(0/0,""),preDEL!AF397)</f>
        <v>0</v>
      </c>
      <c r="AG397" s="110" t="b">
        <f>IF(preDEL!$AG397,IFERROR(0/0,""),preDEL!AG397)</f>
        <v>0</v>
      </c>
      <c r="AH397" s="104" t="str">
        <f>IF(preDEL!$AG397,IFERROR(0/0,""),preDEL!AH397)</f>
        <v/>
      </c>
      <c r="AI397" s="105" t="str">
        <f>IF(preDEL!$AG397,IFERROR(0/0,""),preDEL!AI397)</f>
        <v/>
      </c>
      <c r="AJ397" s="112" t="str">
        <f>IF(preDEL!$AG397,IFERROR(0/0,""),preDEL!AJ397)</f>
        <v/>
      </c>
      <c r="AK397" s="105" t="str">
        <f>IF(preDEL!$AG397,IFERROR(0/0,""),preDEL!AK397)</f>
        <v>Negative</v>
      </c>
      <c r="AL397" s="112" t="str">
        <f>IF(preDEL!$AG397,IFERROR(0/0,""),preDEL!AL397)</f>
        <v/>
      </c>
      <c r="AM397" s="112" t="str">
        <f>IF(preDEL!$AG397,IFERROR(0/0,""),preDEL!AM397)</f>
        <v>SpBEND591184</v>
      </c>
      <c r="AN397" s="112" t="str">
        <f>IF(preDEL!$AG397,IFERROR(0/0,""),preDEL!AN397)</f>
        <v>BEND408435</v>
      </c>
      <c r="AO397" s="112" t="str">
        <f>IF(preDEL!$AG397,IFERROR(0/0,""),preDEL!AO397)</f>
        <v/>
      </c>
      <c r="AP397" s="112" t="str">
        <f>IF(preDEL!$AG397,IFERROR(0/0,""),preDEL!AP397)</f>
        <v/>
      </c>
      <c r="AQ397" s="112" t="str">
        <f>IF(preDEL!$AG397,IFERROR(0/0,""),preDEL!AQ397)</f>
        <v/>
      </c>
      <c r="AR397" s="112" t="str">
        <f>IF(preDEL!$AG397,IFERROR(0/0,""),preDEL!AR397)</f>
        <v/>
      </c>
      <c r="AS397" s="112" t="str">
        <f>IF(preDEL!$AG397,IFERROR(0/0,""),preDEL!AS397)</f>
        <v/>
      </c>
      <c r="AT397" s="112" t="b">
        <f>IF(preDEL!$AG397,IFERROR(0/0,""),preDEL!AT397)</f>
        <v>0</v>
      </c>
      <c r="AU397" s="112" t="str">
        <f>IF(preDEL!$AG397,IFERROR(0/0,""),preDEL!AU397)</f>
        <v/>
      </c>
      <c r="AV397" s="112" t="str">
        <f>IF(preDEL!$AG397,IFERROR(0/0,""),preDEL!AV397)</f>
        <v/>
      </c>
      <c r="AW397" s="112" t="str">
        <f>IF(preDEL!$AG397,IFERROR(0/0,""),preDEL!AW397)</f>
        <v/>
      </c>
      <c r="AX397" s="112" t="str">
        <f>IF(preDEL!$AG397,IFERROR(0/0,""),preDEL!AX397)</f>
        <v/>
      </c>
      <c r="AY397" s="112" t="str">
        <f>IF(preDEL!$AG397,IFERROR(0/0,""),preDEL!AY397)</f>
        <v/>
      </c>
      <c r="AZ397" s="174"/>
      <c r="BA397" s="174"/>
      <c r="BB397" s="174"/>
      <c r="BC397" s="174"/>
      <c r="BD397" s="174"/>
      <c r="BE397" s="174"/>
      <c r="BF397" s="174"/>
      <c r="BG397" s="174"/>
      <c r="BH397" s="174"/>
      <c r="BI397" s="174"/>
      <c r="BJ397" s="174"/>
      <c r="BK397" s="174"/>
      <c r="BL397" s="174"/>
      <c r="BM397" s="174"/>
      <c r="BN397" s="174"/>
      <c r="BO397" s="174"/>
      <c r="BP397" s="174"/>
      <c r="BQ397" s="174"/>
      <c r="BR397" s="174"/>
      <c r="BS397" s="174"/>
      <c r="BT397" s="174"/>
      <c r="BU397" s="174"/>
      <c r="BV397" s="174"/>
      <c r="BW397" s="174"/>
      <c r="BX397" s="174"/>
      <c r="BY397" s="174"/>
      <c r="BZ397" s="174"/>
      <c r="CA397" s="174"/>
      <c r="CB397" s="174"/>
      <c r="CC397" s="174"/>
      <c r="CD397" s="174"/>
    </row>
    <row r="398">
      <c r="A398" s="105" t="str">
        <f>IF(preDEL!$AG398,IFERROR(0/0,""),preDEL!A398)</f>
        <v>FM73</v>
      </c>
      <c r="B398" s="170">
        <f>IF(preDEL!$AG398,IFERROR(0/0,""),preDEL!B398)</f>
        <v>44607</v>
      </c>
      <c r="C398" s="171">
        <f>IF(preDEL!$AG398,IFERROR(0/0,""),preDEL!C398)</f>
        <v>0.3127083333</v>
      </c>
      <c r="D398" s="105" t="str">
        <f>IF(preDEL!$AG398,IFERROR(0/0,""),preDEL!D398)</f>
        <v/>
      </c>
      <c r="E398" s="105" t="str">
        <f>IF(preDEL!$AG398,IFERROR(0/0,""),preDEL!E398)</f>
        <v/>
      </c>
      <c r="F398" s="112" t="str">
        <f>IF(preDEL!$AG398,IFERROR(0/0,""),preDEL!F398)</f>
        <v/>
      </c>
      <c r="G398" s="112" t="str">
        <f>IF(preDEL!$AG398,IFERROR(0/0,""),preDEL!G398)</f>
        <v/>
      </c>
      <c r="H398" s="112" t="str">
        <f>IF(preDEL!$AG398,IFERROR(0/0,""),preDEL!H398)</f>
        <v/>
      </c>
      <c r="I398" s="105" t="str">
        <f>IF(preDEL!$AG398,IFERROR(0/0,""),preDEL!I398)</f>
        <v/>
      </c>
      <c r="J398" s="105" t="str">
        <f>IF(preDEL!$AG398,IFERROR(0/0,""),preDEL!J398)</f>
        <v/>
      </c>
      <c r="K398" s="105" t="str">
        <f>IF(preDEL!$AG398,IFERROR(0/0,""),preDEL!K398)</f>
        <v>Negative</v>
      </c>
      <c r="L398" s="170">
        <f>IF(preDEL!$AG398,IFERROR(0/0,""),preDEL!L398)</f>
        <v>44607</v>
      </c>
      <c r="M398" s="171">
        <f>IF(preDEL!$AG398,IFERROR(0/0,""),preDEL!M398)</f>
        <v>0.5867939815</v>
      </c>
      <c r="N398" s="112" t="str">
        <f>IF(preDEL!$AG398,IFERROR(0/0,""),preDEL!N398)</f>
        <v/>
      </c>
      <c r="O398" s="112" t="str">
        <f>IF(preDEL!$AG398,IFERROR(0/0,""),preDEL!O398)</f>
        <v/>
      </c>
      <c r="P398" s="110" t="b">
        <f>IF(preDEL!$AG398,IFERROR(0/0,""),preDEL!P398)</f>
        <v>0</v>
      </c>
      <c r="Q398" s="110" t="str">
        <f>IF(preDEL!$AG398,IFERROR(0/0,""),preDEL!Q398)</f>
        <v>Result</v>
      </c>
      <c r="R398" s="104" t="b">
        <f>IF(preDEL!$AG398,IFERROR(0/0,""),preDEL!R398)</f>
        <v>1</v>
      </c>
      <c r="S398" s="104">
        <f>IF(preDEL!$AG398,IFERROR(0/0,""),preDEL!S398)</f>
        <v>1</v>
      </c>
      <c r="T398" s="110" t="str">
        <f>IF(preDEL!$AG398,IFERROR(0/0,""),preDEL!T398)</f>
        <v/>
      </c>
      <c r="U398" s="112" t="str">
        <f>IF(preDEL!$AG398,IFERROR(0/0,""),preDEL!U398)</f>
        <v/>
      </c>
      <c r="V398" s="105" t="str">
        <f>IF(preDEL!$AG398,IFERROR(0/0,""),preDEL!V398)</f>
        <v/>
      </c>
      <c r="W398" s="112" t="str">
        <f>IF(preDEL!$AG398,IFERROR(0/0,""),preDEL!W398)</f>
        <v/>
      </c>
      <c r="X398" s="104" t="b">
        <f>IF(preDEL!$AG398,IFERROR(0/0,""),preDEL!X398)</f>
        <v>0</v>
      </c>
      <c r="Y398" s="110" t="b">
        <f>IF(preDEL!$AG398,IFERROR(0/0,""),preDEL!Y398)</f>
        <v>0</v>
      </c>
      <c r="Z398" s="105" t="str">
        <f>IF(preDEL!$AG398,IFERROR(0/0,""),preDEL!Z398)</f>
        <v/>
      </c>
      <c r="AA398" s="110" t="b">
        <f>IF(preDEL!$AG398,IFERROR(0/0,""),preDEL!AA398)</f>
        <v>0</v>
      </c>
      <c r="AB398" s="110" t="b">
        <f>IF(preDEL!$AG398,IFERROR(0/0,""),preDEL!AB398)</f>
        <v>0</v>
      </c>
      <c r="AC398" s="172">
        <f>IF(preDEL!$AG398,IFERROR(0/0,""),preDEL!AC398)</f>
        <v>410</v>
      </c>
      <c r="AD398" s="104" t="b">
        <f>IF(preDEL!$AG398,IFERROR(0/0,""),preDEL!AD398)</f>
        <v>0</v>
      </c>
      <c r="AE398" s="173">
        <f>IF(preDEL!$AG398,IFERROR(0/0,""),preDEL!AE398)</f>
        <v>394.6833333</v>
      </c>
      <c r="AF398" s="110" t="b">
        <f>IF(preDEL!$AG398,IFERROR(0/0,""),preDEL!AF398)</f>
        <v>0</v>
      </c>
      <c r="AG398" s="110" t="b">
        <f>IF(preDEL!$AG398,IFERROR(0/0,""),preDEL!AG398)</f>
        <v>0</v>
      </c>
      <c r="AH398" s="104" t="str">
        <f>IF(preDEL!$AG398,IFERROR(0/0,""),preDEL!AH398)</f>
        <v/>
      </c>
      <c r="AI398" s="105" t="str">
        <f>IF(preDEL!$AG398,IFERROR(0/0,""),preDEL!AI398)</f>
        <v/>
      </c>
      <c r="AJ398" s="112" t="str">
        <f>IF(preDEL!$AG398,IFERROR(0/0,""),preDEL!AJ398)</f>
        <v/>
      </c>
      <c r="AK398" s="105" t="str">
        <f>IF(preDEL!$AG398,IFERROR(0/0,""),preDEL!AK398)</f>
        <v>Negative</v>
      </c>
      <c r="AL398" s="112" t="str">
        <f>IF(preDEL!$AG398,IFERROR(0/0,""),preDEL!AL398)</f>
        <v/>
      </c>
      <c r="AM398" s="112" t="str">
        <f>IF(preDEL!$AG398,IFERROR(0/0,""),preDEL!AM398)</f>
        <v>SpBEND136234</v>
      </c>
      <c r="AN398" s="112" t="str">
        <f>IF(preDEL!$AG398,IFERROR(0/0,""),preDEL!AN398)</f>
        <v>BEND350468</v>
      </c>
      <c r="AO398" s="112" t="str">
        <f>IF(preDEL!$AG398,IFERROR(0/0,""),preDEL!AO398)</f>
        <v/>
      </c>
      <c r="AP398" s="112" t="str">
        <f>IF(preDEL!$AG398,IFERROR(0/0,""),preDEL!AP398)</f>
        <v/>
      </c>
      <c r="AQ398" s="112" t="str">
        <f>IF(preDEL!$AG398,IFERROR(0/0,""),preDEL!AQ398)</f>
        <v/>
      </c>
      <c r="AR398" s="112" t="str">
        <f>IF(preDEL!$AG398,IFERROR(0/0,""),preDEL!AR398)</f>
        <v/>
      </c>
      <c r="AS398" s="112" t="str">
        <f>IF(preDEL!$AG398,IFERROR(0/0,""),preDEL!AS398)</f>
        <v/>
      </c>
      <c r="AT398" s="112" t="b">
        <f>IF(preDEL!$AG398,IFERROR(0/0,""),preDEL!AT398)</f>
        <v>0</v>
      </c>
      <c r="AU398" s="112" t="str">
        <f>IF(preDEL!$AG398,IFERROR(0/0,""),preDEL!AU398)</f>
        <v/>
      </c>
      <c r="AV398" s="112" t="str">
        <f>IF(preDEL!$AG398,IFERROR(0/0,""),preDEL!AV398)</f>
        <v/>
      </c>
      <c r="AW398" s="112" t="str">
        <f>IF(preDEL!$AG398,IFERROR(0/0,""),preDEL!AW398)</f>
        <v/>
      </c>
      <c r="AX398" s="112" t="str">
        <f>IF(preDEL!$AG398,IFERROR(0/0,""),preDEL!AX398)</f>
        <v/>
      </c>
      <c r="AY398" s="112" t="str">
        <f>IF(preDEL!$AG398,IFERROR(0/0,""),preDEL!AY398)</f>
        <v/>
      </c>
      <c r="AZ398" s="174"/>
      <c r="BA398" s="174"/>
      <c r="BB398" s="174"/>
      <c r="BC398" s="174"/>
      <c r="BD398" s="174"/>
      <c r="BE398" s="174"/>
      <c r="BF398" s="174"/>
      <c r="BG398" s="174"/>
      <c r="BH398" s="174"/>
      <c r="BI398" s="174"/>
      <c r="BJ398" s="174"/>
      <c r="BK398" s="174"/>
      <c r="BL398" s="174"/>
      <c r="BM398" s="174"/>
      <c r="BN398" s="174"/>
      <c r="BO398" s="174"/>
      <c r="BP398" s="174"/>
      <c r="BQ398" s="174"/>
      <c r="BR398" s="174"/>
      <c r="BS398" s="174"/>
      <c r="BT398" s="174"/>
      <c r="BU398" s="174"/>
      <c r="BV398" s="174"/>
      <c r="BW398" s="174"/>
      <c r="BX398" s="174"/>
      <c r="BY398" s="174"/>
      <c r="BZ398" s="174"/>
      <c r="CA398" s="174"/>
      <c r="CB398" s="174"/>
      <c r="CC398" s="174"/>
      <c r="CD398" s="174"/>
    </row>
    <row r="399">
      <c r="A399" s="105" t="str">
        <f>IF(preDEL!$AG399,IFERROR(0/0,""),preDEL!A399)</f>
        <v>MA294</v>
      </c>
      <c r="B399" s="170">
        <f>IF(preDEL!$AG399,IFERROR(0/0,""),preDEL!B399)</f>
        <v>44607</v>
      </c>
      <c r="C399" s="171">
        <f>IF(preDEL!$AG399,IFERROR(0/0,""),preDEL!C399)</f>
        <v>0.3132060185</v>
      </c>
      <c r="D399" s="105" t="str">
        <f>IF(preDEL!$AG399,IFERROR(0/0,""),preDEL!D399)</f>
        <v/>
      </c>
      <c r="E399" s="105" t="str">
        <f>IF(preDEL!$AG399,IFERROR(0/0,""),preDEL!E399)</f>
        <v/>
      </c>
      <c r="F399" s="112" t="str">
        <f>IF(preDEL!$AG399,IFERROR(0/0,""),preDEL!F399)</f>
        <v/>
      </c>
      <c r="G399" s="112" t="str">
        <f>IF(preDEL!$AG399,IFERROR(0/0,""),preDEL!G399)</f>
        <v/>
      </c>
      <c r="H399" s="112" t="str">
        <f>IF(preDEL!$AG399,IFERROR(0/0,""),preDEL!H399)</f>
        <v/>
      </c>
      <c r="I399" s="105" t="str">
        <f>IF(preDEL!$AG399,IFERROR(0/0,""),preDEL!I399)</f>
        <v/>
      </c>
      <c r="J399" s="105" t="str">
        <f>IF(preDEL!$AG399,IFERROR(0/0,""),preDEL!J399)</f>
        <v/>
      </c>
      <c r="K399" s="105" t="str">
        <f>IF(preDEL!$AG399,IFERROR(0/0,""),preDEL!K399)</f>
        <v>Negative</v>
      </c>
      <c r="L399" s="170">
        <f>IF(preDEL!$AG399,IFERROR(0/0,""),preDEL!L399)</f>
        <v>44607</v>
      </c>
      <c r="M399" s="171">
        <f>IF(preDEL!$AG399,IFERROR(0/0,""),preDEL!M399)</f>
        <v>0.5868055556</v>
      </c>
      <c r="N399" s="112" t="str">
        <f>IF(preDEL!$AG399,IFERROR(0/0,""),preDEL!N399)</f>
        <v/>
      </c>
      <c r="O399" s="112" t="str">
        <f>IF(preDEL!$AG399,IFERROR(0/0,""),preDEL!O399)</f>
        <v/>
      </c>
      <c r="P399" s="110" t="b">
        <f>IF(preDEL!$AG399,IFERROR(0/0,""),preDEL!P399)</f>
        <v>0</v>
      </c>
      <c r="Q399" s="110" t="str">
        <f>IF(preDEL!$AG399,IFERROR(0/0,""),preDEL!Q399)</f>
        <v>Result</v>
      </c>
      <c r="R399" s="104" t="b">
        <f>IF(preDEL!$AG399,IFERROR(0/0,""),preDEL!R399)</f>
        <v>1</v>
      </c>
      <c r="S399" s="104">
        <f>IF(preDEL!$AG399,IFERROR(0/0,""),preDEL!S399)</f>
        <v>1</v>
      </c>
      <c r="T399" s="110" t="str">
        <f>IF(preDEL!$AG399,IFERROR(0/0,""),preDEL!T399)</f>
        <v/>
      </c>
      <c r="U399" s="112" t="str">
        <f>IF(preDEL!$AG399,IFERROR(0/0,""),preDEL!U399)</f>
        <v/>
      </c>
      <c r="V399" s="105" t="str">
        <f>IF(preDEL!$AG399,IFERROR(0/0,""),preDEL!V399)</f>
        <v/>
      </c>
      <c r="W399" s="112" t="str">
        <f>IF(preDEL!$AG399,IFERROR(0/0,""),preDEL!W399)</f>
        <v/>
      </c>
      <c r="X399" s="104" t="b">
        <f>IF(preDEL!$AG399,IFERROR(0/0,""),preDEL!X399)</f>
        <v>0</v>
      </c>
      <c r="Y399" s="110" t="b">
        <f>IF(preDEL!$AG399,IFERROR(0/0,""),preDEL!Y399)</f>
        <v>0</v>
      </c>
      <c r="Z399" s="105" t="str">
        <f>IF(preDEL!$AG399,IFERROR(0/0,""),preDEL!Z399)</f>
        <v/>
      </c>
      <c r="AA399" s="110" t="b">
        <f>IF(preDEL!$AG399,IFERROR(0/0,""),preDEL!AA399)</f>
        <v>0</v>
      </c>
      <c r="AB399" s="110" t="b">
        <f>IF(preDEL!$AG399,IFERROR(0/0,""),preDEL!AB399)</f>
        <v>0</v>
      </c>
      <c r="AC399" s="172">
        <f>IF(preDEL!$AG399,IFERROR(0/0,""),preDEL!AC399)</f>
        <v>409</v>
      </c>
      <c r="AD399" s="104" t="b">
        <f>IF(preDEL!$AG399,IFERROR(0/0,""),preDEL!AD399)</f>
        <v>0</v>
      </c>
      <c r="AE399" s="173">
        <f>IF(preDEL!$AG399,IFERROR(0/0,""),preDEL!AE399)</f>
        <v>393.9833333</v>
      </c>
      <c r="AF399" s="110" t="b">
        <f>IF(preDEL!$AG399,IFERROR(0/0,""),preDEL!AF399)</f>
        <v>0</v>
      </c>
      <c r="AG399" s="110" t="b">
        <f>IF(preDEL!$AG399,IFERROR(0/0,""),preDEL!AG399)</f>
        <v>0</v>
      </c>
      <c r="AH399" s="104" t="str">
        <f>IF(preDEL!$AG399,IFERROR(0/0,""),preDEL!AH399)</f>
        <v/>
      </c>
      <c r="AI399" s="105" t="str">
        <f>IF(preDEL!$AG399,IFERROR(0/0,""),preDEL!AI399)</f>
        <v/>
      </c>
      <c r="AJ399" s="112" t="str">
        <f>IF(preDEL!$AG399,IFERROR(0/0,""),preDEL!AJ399)</f>
        <v/>
      </c>
      <c r="AK399" s="105" t="str">
        <f>IF(preDEL!$AG399,IFERROR(0/0,""),preDEL!AK399)</f>
        <v>Negative</v>
      </c>
      <c r="AL399" s="112" t="str">
        <f>IF(preDEL!$AG399,IFERROR(0/0,""),preDEL!AL399)</f>
        <v/>
      </c>
      <c r="AM399" s="112" t="str">
        <f>IF(preDEL!$AG399,IFERROR(0/0,""),preDEL!AM399)</f>
        <v>SpBEND708976</v>
      </c>
      <c r="AN399" s="112" t="str">
        <f>IF(preDEL!$AG399,IFERROR(0/0,""),preDEL!AN399)</f>
        <v>BEND525784</v>
      </c>
      <c r="AO399" s="112" t="str">
        <f>IF(preDEL!$AG399,IFERROR(0/0,""),preDEL!AO399)</f>
        <v/>
      </c>
      <c r="AP399" s="112" t="str">
        <f>IF(preDEL!$AG399,IFERROR(0/0,""),preDEL!AP399)</f>
        <v/>
      </c>
      <c r="AQ399" s="112" t="str">
        <f>IF(preDEL!$AG399,IFERROR(0/0,""),preDEL!AQ399)</f>
        <v/>
      </c>
      <c r="AR399" s="112" t="str">
        <f>IF(preDEL!$AG399,IFERROR(0/0,""),preDEL!AR399)</f>
        <v/>
      </c>
      <c r="AS399" s="112" t="str">
        <f>IF(preDEL!$AG399,IFERROR(0/0,""),preDEL!AS399)</f>
        <v/>
      </c>
      <c r="AT399" s="112" t="b">
        <f>IF(preDEL!$AG399,IFERROR(0/0,""),preDEL!AT399)</f>
        <v>0</v>
      </c>
      <c r="AU399" s="112" t="str">
        <f>IF(preDEL!$AG399,IFERROR(0/0,""),preDEL!AU399)</f>
        <v/>
      </c>
      <c r="AV399" s="112" t="str">
        <f>IF(preDEL!$AG399,IFERROR(0/0,""),preDEL!AV399)</f>
        <v/>
      </c>
      <c r="AW399" s="112" t="str">
        <f>IF(preDEL!$AG399,IFERROR(0/0,""),preDEL!AW399)</f>
        <v/>
      </c>
      <c r="AX399" s="112" t="str">
        <f>IF(preDEL!$AG399,IFERROR(0/0,""),preDEL!AX399)</f>
        <v/>
      </c>
      <c r="AY399" s="112" t="str">
        <f>IF(preDEL!$AG399,IFERROR(0/0,""),preDEL!AY399)</f>
        <v/>
      </c>
      <c r="AZ399" s="174"/>
      <c r="BA399" s="174"/>
      <c r="BB399" s="174"/>
      <c r="BC399" s="174"/>
      <c r="BD399" s="174"/>
      <c r="BE399" s="174"/>
      <c r="BF399" s="174"/>
      <c r="BG399" s="174"/>
      <c r="BH399" s="174"/>
      <c r="BI399" s="174"/>
      <c r="BJ399" s="174"/>
      <c r="BK399" s="174"/>
      <c r="BL399" s="174"/>
      <c r="BM399" s="174"/>
      <c r="BN399" s="174"/>
      <c r="BO399" s="174"/>
      <c r="BP399" s="174"/>
      <c r="BQ399" s="174"/>
      <c r="BR399" s="174"/>
      <c r="BS399" s="174"/>
      <c r="BT399" s="174"/>
      <c r="BU399" s="174"/>
      <c r="BV399" s="174"/>
      <c r="BW399" s="174"/>
      <c r="BX399" s="174"/>
      <c r="BY399" s="174"/>
      <c r="BZ399" s="174"/>
      <c r="CA399" s="174"/>
      <c r="CB399" s="174"/>
      <c r="CC399" s="174"/>
      <c r="CD399" s="174"/>
    </row>
    <row r="400">
      <c r="A400" s="105" t="str">
        <f>IF(preDEL!$AG400,IFERROR(0/0,""),preDEL!A400)</f>
        <v>MA290</v>
      </c>
      <c r="B400" s="170">
        <f>IF(preDEL!$AG400,IFERROR(0/0,""),preDEL!B400)</f>
        <v>44607</v>
      </c>
      <c r="C400" s="171">
        <f>IF(preDEL!$AG400,IFERROR(0/0,""),preDEL!C400)</f>
        <v>0.313287037</v>
      </c>
      <c r="D400" s="105" t="str">
        <f>IF(preDEL!$AG400,IFERROR(0/0,""),preDEL!D400)</f>
        <v/>
      </c>
      <c r="E400" s="105" t="str">
        <f>IF(preDEL!$AG400,IFERROR(0/0,""),preDEL!E400)</f>
        <v/>
      </c>
      <c r="F400" s="112" t="str">
        <f>IF(preDEL!$AG400,IFERROR(0/0,""),preDEL!F400)</f>
        <v/>
      </c>
      <c r="G400" s="112" t="str">
        <f>IF(preDEL!$AG400,IFERROR(0/0,""),preDEL!G400)</f>
        <v/>
      </c>
      <c r="H400" s="112" t="str">
        <f>IF(preDEL!$AG400,IFERROR(0/0,""),preDEL!H400)</f>
        <v/>
      </c>
      <c r="I400" s="105" t="str">
        <f>IF(preDEL!$AG400,IFERROR(0/0,""),preDEL!I400)</f>
        <v/>
      </c>
      <c r="J400" s="105" t="str">
        <f>IF(preDEL!$AG400,IFERROR(0/0,""),preDEL!J400)</f>
        <v/>
      </c>
      <c r="K400" s="105" t="str">
        <f>IF(preDEL!$AG400,IFERROR(0/0,""),preDEL!K400)</f>
        <v>Negative</v>
      </c>
      <c r="L400" s="170">
        <f>IF(preDEL!$AG400,IFERROR(0/0,""),preDEL!L400)</f>
        <v>44607</v>
      </c>
      <c r="M400" s="171">
        <f>IF(preDEL!$AG400,IFERROR(0/0,""),preDEL!M400)</f>
        <v>0.5868055556</v>
      </c>
      <c r="N400" s="112" t="str">
        <f>IF(preDEL!$AG400,IFERROR(0/0,""),preDEL!N400)</f>
        <v/>
      </c>
      <c r="O400" s="112" t="str">
        <f>IF(preDEL!$AG400,IFERROR(0/0,""),preDEL!O400)</f>
        <v/>
      </c>
      <c r="P400" s="110" t="b">
        <f>IF(preDEL!$AG400,IFERROR(0/0,""),preDEL!P400)</f>
        <v>0</v>
      </c>
      <c r="Q400" s="110" t="str">
        <f>IF(preDEL!$AG400,IFERROR(0/0,""),preDEL!Q400)</f>
        <v>Result</v>
      </c>
      <c r="R400" s="104" t="b">
        <f>IF(preDEL!$AG400,IFERROR(0/0,""),preDEL!R400)</f>
        <v>1</v>
      </c>
      <c r="S400" s="104">
        <f>IF(preDEL!$AG400,IFERROR(0/0,""),preDEL!S400)</f>
        <v>1</v>
      </c>
      <c r="T400" s="110" t="str">
        <f>IF(preDEL!$AG400,IFERROR(0/0,""),preDEL!T400)</f>
        <v/>
      </c>
      <c r="U400" s="112" t="str">
        <f>IF(preDEL!$AG400,IFERROR(0/0,""),preDEL!U400)</f>
        <v/>
      </c>
      <c r="V400" s="105" t="str">
        <f>IF(preDEL!$AG400,IFERROR(0/0,""),preDEL!V400)</f>
        <v/>
      </c>
      <c r="W400" s="112" t="str">
        <f>IF(preDEL!$AG400,IFERROR(0/0,""),preDEL!W400)</f>
        <v/>
      </c>
      <c r="X400" s="104" t="b">
        <f>IF(preDEL!$AG400,IFERROR(0/0,""),preDEL!X400)</f>
        <v>0</v>
      </c>
      <c r="Y400" s="110" t="b">
        <f>IF(preDEL!$AG400,IFERROR(0/0,""),preDEL!Y400)</f>
        <v>0</v>
      </c>
      <c r="Z400" s="105" t="str">
        <f>IF(preDEL!$AG400,IFERROR(0/0,""),preDEL!Z400)</f>
        <v/>
      </c>
      <c r="AA400" s="110" t="b">
        <f>IF(preDEL!$AG400,IFERROR(0/0,""),preDEL!AA400)</f>
        <v>0</v>
      </c>
      <c r="AB400" s="110" t="b">
        <f>IF(preDEL!$AG400,IFERROR(0/0,""),preDEL!AB400)</f>
        <v>0</v>
      </c>
      <c r="AC400" s="172">
        <f>IF(preDEL!$AG400,IFERROR(0/0,""),preDEL!AC400)</f>
        <v>408</v>
      </c>
      <c r="AD400" s="104" t="b">
        <f>IF(preDEL!$AG400,IFERROR(0/0,""),preDEL!AD400)</f>
        <v>0</v>
      </c>
      <c r="AE400" s="173">
        <f>IF(preDEL!$AG400,IFERROR(0/0,""),preDEL!AE400)</f>
        <v>393.8666667</v>
      </c>
      <c r="AF400" s="110" t="b">
        <f>IF(preDEL!$AG400,IFERROR(0/0,""),preDEL!AF400)</f>
        <v>0</v>
      </c>
      <c r="AG400" s="110" t="b">
        <f>IF(preDEL!$AG400,IFERROR(0/0,""),preDEL!AG400)</f>
        <v>0</v>
      </c>
      <c r="AH400" s="104" t="str">
        <f>IF(preDEL!$AG400,IFERROR(0/0,""),preDEL!AH400)</f>
        <v/>
      </c>
      <c r="AI400" s="105" t="str">
        <f>IF(preDEL!$AG400,IFERROR(0/0,""),preDEL!AI400)</f>
        <v/>
      </c>
      <c r="AJ400" s="112" t="str">
        <f>IF(preDEL!$AG400,IFERROR(0/0,""),preDEL!AJ400)</f>
        <v/>
      </c>
      <c r="AK400" s="105" t="str">
        <f>IF(preDEL!$AG400,IFERROR(0/0,""),preDEL!AK400)</f>
        <v>Negative</v>
      </c>
      <c r="AL400" s="112" t="str">
        <f>IF(preDEL!$AG400,IFERROR(0/0,""),preDEL!AL400)</f>
        <v/>
      </c>
      <c r="AM400" s="112" t="str">
        <f>IF(preDEL!$AG400,IFERROR(0/0,""),preDEL!AM400)</f>
        <v>SpBEND634692</v>
      </c>
      <c r="AN400" s="112" t="str">
        <f>IF(preDEL!$AG400,IFERROR(0/0,""),preDEL!AN400)</f>
        <v>BEND885483</v>
      </c>
      <c r="AO400" s="112" t="str">
        <f>IF(preDEL!$AG400,IFERROR(0/0,""),preDEL!AO400)</f>
        <v/>
      </c>
      <c r="AP400" s="112" t="str">
        <f>IF(preDEL!$AG400,IFERROR(0/0,""),preDEL!AP400)</f>
        <v/>
      </c>
      <c r="AQ400" s="112" t="str">
        <f>IF(preDEL!$AG400,IFERROR(0/0,""),preDEL!AQ400)</f>
        <v/>
      </c>
      <c r="AR400" s="112" t="str">
        <f>IF(preDEL!$AG400,IFERROR(0/0,""),preDEL!AR400)</f>
        <v/>
      </c>
      <c r="AS400" s="112" t="str">
        <f>IF(preDEL!$AG400,IFERROR(0/0,""),preDEL!AS400)</f>
        <v/>
      </c>
      <c r="AT400" s="112" t="b">
        <f>IF(preDEL!$AG400,IFERROR(0/0,""),preDEL!AT400)</f>
        <v>0</v>
      </c>
      <c r="AU400" s="112" t="str">
        <f>IF(preDEL!$AG400,IFERROR(0/0,""),preDEL!AU400)</f>
        <v/>
      </c>
      <c r="AV400" s="112" t="str">
        <f>IF(preDEL!$AG400,IFERROR(0/0,""),preDEL!AV400)</f>
        <v/>
      </c>
      <c r="AW400" s="112" t="str">
        <f>IF(preDEL!$AG400,IFERROR(0/0,""),preDEL!AW400)</f>
        <v/>
      </c>
      <c r="AX400" s="112" t="str">
        <f>IF(preDEL!$AG400,IFERROR(0/0,""),preDEL!AX400)</f>
        <v/>
      </c>
      <c r="AY400" s="112" t="str">
        <f>IF(preDEL!$AG400,IFERROR(0/0,""),preDEL!AY400)</f>
        <v/>
      </c>
      <c r="AZ400" s="174"/>
      <c r="BA400" s="174"/>
      <c r="BB400" s="174"/>
      <c r="BC400" s="174"/>
      <c r="BD400" s="174"/>
      <c r="BE400" s="174"/>
      <c r="BF400" s="174"/>
      <c r="BG400" s="174"/>
      <c r="BH400" s="174"/>
      <c r="BI400" s="174"/>
      <c r="BJ400" s="174"/>
      <c r="BK400" s="174"/>
      <c r="BL400" s="174"/>
      <c r="BM400" s="174"/>
      <c r="BN400" s="174"/>
      <c r="BO400" s="174"/>
      <c r="BP400" s="174"/>
      <c r="BQ400" s="174"/>
      <c r="BR400" s="174"/>
      <c r="BS400" s="174"/>
      <c r="BT400" s="174"/>
      <c r="BU400" s="174"/>
      <c r="BV400" s="174"/>
      <c r="BW400" s="174"/>
      <c r="BX400" s="174"/>
      <c r="BY400" s="174"/>
      <c r="BZ400" s="174"/>
      <c r="CA400" s="174"/>
      <c r="CB400" s="174"/>
      <c r="CC400" s="174"/>
      <c r="CD400" s="174"/>
    </row>
    <row r="401">
      <c r="A401" s="105" t="str">
        <f>IF(preDEL!$AG401,IFERROR(0/0,""),preDEL!A401)</f>
        <v>FM19</v>
      </c>
      <c r="B401" s="170">
        <f>IF(preDEL!$AG401,IFERROR(0/0,""),preDEL!B401)</f>
        <v>44607</v>
      </c>
      <c r="C401" s="171">
        <f>IF(preDEL!$AG401,IFERROR(0/0,""),preDEL!C401)</f>
        <v>0.3134259259</v>
      </c>
      <c r="D401" s="105" t="str">
        <f>IF(preDEL!$AG401,IFERROR(0/0,""),preDEL!D401)</f>
        <v/>
      </c>
      <c r="E401" s="105" t="str">
        <f>IF(preDEL!$AG401,IFERROR(0/0,""),preDEL!E401)</f>
        <v/>
      </c>
      <c r="F401" s="112" t="str">
        <f>IF(preDEL!$AG401,IFERROR(0/0,""),preDEL!F401)</f>
        <v/>
      </c>
      <c r="G401" s="112" t="str">
        <f>IF(preDEL!$AG401,IFERROR(0/0,""),preDEL!G401)</f>
        <v/>
      </c>
      <c r="H401" s="112" t="str">
        <f>IF(preDEL!$AG401,IFERROR(0/0,""),preDEL!H401)</f>
        <v/>
      </c>
      <c r="I401" s="105" t="str">
        <f>IF(preDEL!$AG401,IFERROR(0/0,""),preDEL!I401)</f>
        <v/>
      </c>
      <c r="J401" s="105" t="str">
        <f>IF(preDEL!$AG401,IFERROR(0/0,""),preDEL!J401)</f>
        <v/>
      </c>
      <c r="K401" s="105" t="str">
        <f>IF(preDEL!$AG401,IFERROR(0/0,""),preDEL!K401)</f>
        <v>Negative</v>
      </c>
      <c r="L401" s="170">
        <f>IF(preDEL!$AG401,IFERROR(0/0,""),preDEL!L401)</f>
        <v>44607</v>
      </c>
      <c r="M401" s="171">
        <f>IF(preDEL!$AG401,IFERROR(0/0,""),preDEL!M401)</f>
        <v>0.5868055556</v>
      </c>
      <c r="N401" s="112" t="str">
        <f>IF(preDEL!$AG401,IFERROR(0/0,""),preDEL!N401)</f>
        <v/>
      </c>
      <c r="O401" s="112" t="str">
        <f>IF(preDEL!$AG401,IFERROR(0/0,""),preDEL!O401)</f>
        <v/>
      </c>
      <c r="P401" s="110" t="b">
        <f>IF(preDEL!$AG401,IFERROR(0/0,""),preDEL!P401)</f>
        <v>0</v>
      </c>
      <c r="Q401" s="110" t="str">
        <f>IF(preDEL!$AG401,IFERROR(0/0,""),preDEL!Q401)</f>
        <v>Result</v>
      </c>
      <c r="R401" s="104" t="b">
        <f>IF(preDEL!$AG401,IFERROR(0/0,""),preDEL!R401)</f>
        <v>1</v>
      </c>
      <c r="S401" s="104">
        <f>IF(preDEL!$AG401,IFERROR(0/0,""),preDEL!S401)</f>
        <v>1</v>
      </c>
      <c r="T401" s="110" t="str">
        <f>IF(preDEL!$AG401,IFERROR(0/0,""),preDEL!T401)</f>
        <v/>
      </c>
      <c r="U401" s="112" t="str">
        <f>IF(preDEL!$AG401,IFERROR(0/0,""),preDEL!U401)</f>
        <v/>
      </c>
      <c r="V401" s="105" t="str">
        <f>IF(preDEL!$AG401,IFERROR(0/0,""),preDEL!V401)</f>
        <v/>
      </c>
      <c r="W401" s="112" t="str">
        <f>IF(preDEL!$AG401,IFERROR(0/0,""),preDEL!W401)</f>
        <v/>
      </c>
      <c r="X401" s="104" t="b">
        <f>IF(preDEL!$AG401,IFERROR(0/0,""),preDEL!X401)</f>
        <v>0</v>
      </c>
      <c r="Y401" s="110" t="b">
        <f>IF(preDEL!$AG401,IFERROR(0/0,""),preDEL!Y401)</f>
        <v>0</v>
      </c>
      <c r="Z401" s="105" t="str">
        <f>IF(preDEL!$AG401,IFERROR(0/0,""),preDEL!Z401)</f>
        <v/>
      </c>
      <c r="AA401" s="110" t="b">
        <f>IF(preDEL!$AG401,IFERROR(0/0,""),preDEL!AA401)</f>
        <v>0</v>
      </c>
      <c r="AB401" s="110" t="b">
        <f>IF(preDEL!$AG401,IFERROR(0/0,""),preDEL!AB401)</f>
        <v>0</v>
      </c>
      <c r="AC401" s="172">
        <f>IF(preDEL!$AG401,IFERROR(0/0,""),preDEL!AC401)</f>
        <v>407</v>
      </c>
      <c r="AD401" s="104" t="b">
        <f>IF(preDEL!$AG401,IFERROR(0/0,""),preDEL!AD401)</f>
        <v>0</v>
      </c>
      <c r="AE401" s="173">
        <f>IF(preDEL!$AG401,IFERROR(0/0,""),preDEL!AE401)</f>
        <v>393.6666667</v>
      </c>
      <c r="AF401" s="110" t="b">
        <f>IF(preDEL!$AG401,IFERROR(0/0,""),preDEL!AF401)</f>
        <v>0</v>
      </c>
      <c r="AG401" s="110" t="b">
        <f>IF(preDEL!$AG401,IFERROR(0/0,""),preDEL!AG401)</f>
        <v>0</v>
      </c>
      <c r="AH401" s="104" t="str">
        <f>IF(preDEL!$AG401,IFERROR(0/0,""),preDEL!AH401)</f>
        <v/>
      </c>
      <c r="AI401" s="105" t="str">
        <f>IF(preDEL!$AG401,IFERROR(0/0,""),preDEL!AI401)</f>
        <v/>
      </c>
      <c r="AJ401" s="112" t="str">
        <f>IF(preDEL!$AG401,IFERROR(0/0,""),preDEL!AJ401)</f>
        <v/>
      </c>
      <c r="AK401" s="105" t="str">
        <f>IF(preDEL!$AG401,IFERROR(0/0,""),preDEL!AK401)</f>
        <v>Negative</v>
      </c>
      <c r="AL401" s="112" t="str">
        <f>IF(preDEL!$AG401,IFERROR(0/0,""),preDEL!AL401)</f>
        <v/>
      </c>
      <c r="AM401" s="112" t="str">
        <f>IF(preDEL!$AG401,IFERROR(0/0,""),preDEL!AM401)</f>
        <v>SpBEND481988</v>
      </c>
      <c r="AN401" s="112" t="str">
        <f>IF(preDEL!$AG401,IFERROR(0/0,""),preDEL!AN401)</f>
        <v>BEND223874</v>
      </c>
      <c r="AO401" s="112" t="str">
        <f>IF(preDEL!$AG401,IFERROR(0/0,""),preDEL!AO401)</f>
        <v/>
      </c>
      <c r="AP401" s="112" t="str">
        <f>IF(preDEL!$AG401,IFERROR(0/0,""),preDEL!AP401)</f>
        <v/>
      </c>
      <c r="AQ401" s="112" t="str">
        <f>IF(preDEL!$AG401,IFERROR(0/0,""),preDEL!AQ401)</f>
        <v/>
      </c>
      <c r="AR401" s="112" t="str">
        <f>IF(preDEL!$AG401,IFERROR(0/0,""),preDEL!AR401)</f>
        <v/>
      </c>
      <c r="AS401" s="112" t="str">
        <f>IF(preDEL!$AG401,IFERROR(0/0,""),preDEL!AS401)</f>
        <v/>
      </c>
      <c r="AT401" s="112" t="b">
        <f>IF(preDEL!$AG401,IFERROR(0/0,""),preDEL!AT401)</f>
        <v>0</v>
      </c>
      <c r="AU401" s="112" t="str">
        <f>IF(preDEL!$AG401,IFERROR(0/0,""),preDEL!AU401)</f>
        <v/>
      </c>
      <c r="AV401" s="112" t="str">
        <f>IF(preDEL!$AG401,IFERROR(0/0,""),preDEL!AV401)</f>
        <v/>
      </c>
      <c r="AW401" s="112" t="str">
        <f>IF(preDEL!$AG401,IFERROR(0/0,""),preDEL!AW401)</f>
        <v/>
      </c>
      <c r="AX401" s="112" t="str">
        <f>IF(preDEL!$AG401,IFERROR(0/0,""),preDEL!AX401)</f>
        <v/>
      </c>
      <c r="AY401" s="112" t="str">
        <f>IF(preDEL!$AG401,IFERROR(0/0,""),preDEL!AY401)</f>
        <v/>
      </c>
      <c r="AZ401" s="174"/>
      <c r="BA401" s="174"/>
      <c r="BB401" s="174"/>
      <c r="BC401" s="174"/>
      <c r="BD401" s="174"/>
      <c r="BE401" s="174"/>
      <c r="BF401" s="174"/>
      <c r="BG401" s="174"/>
      <c r="BH401" s="174"/>
      <c r="BI401" s="174"/>
      <c r="BJ401" s="174"/>
      <c r="BK401" s="174"/>
      <c r="BL401" s="174"/>
      <c r="BM401" s="174"/>
      <c r="BN401" s="174"/>
      <c r="BO401" s="174"/>
      <c r="BP401" s="174"/>
      <c r="BQ401" s="174"/>
      <c r="BR401" s="174"/>
      <c r="BS401" s="174"/>
      <c r="BT401" s="174"/>
      <c r="BU401" s="174"/>
      <c r="BV401" s="174"/>
      <c r="BW401" s="174"/>
      <c r="BX401" s="174"/>
      <c r="BY401" s="174"/>
      <c r="BZ401" s="174"/>
      <c r="CA401" s="174"/>
      <c r="CB401" s="174"/>
      <c r="CC401" s="174"/>
      <c r="CD401" s="174"/>
    </row>
    <row r="402">
      <c r="A402" s="105" t="str">
        <f>IF(preDEL!$AG402,IFERROR(0/0,""),preDEL!A402)</f>
        <v>FM782</v>
      </c>
      <c r="B402" s="170">
        <f>IF(preDEL!$AG402,IFERROR(0/0,""),preDEL!B402)</f>
        <v>44607</v>
      </c>
      <c r="C402" s="171">
        <f>IF(preDEL!$AG402,IFERROR(0/0,""),preDEL!C402)</f>
        <v>0.3134953704</v>
      </c>
      <c r="D402" s="105" t="str">
        <f>IF(preDEL!$AG402,IFERROR(0/0,""),preDEL!D402)</f>
        <v/>
      </c>
      <c r="E402" s="105" t="str">
        <f>IF(preDEL!$AG402,IFERROR(0/0,""),preDEL!E402)</f>
        <v/>
      </c>
      <c r="F402" s="112" t="str">
        <f>IF(preDEL!$AG402,IFERROR(0/0,""),preDEL!F402)</f>
        <v/>
      </c>
      <c r="G402" s="112" t="str">
        <f>IF(preDEL!$AG402,IFERROR(0/0,""),preDEL!G402)</f>
        <v/>
      </c>
      <c r="H402" s="112" t="str">
        <f>IF(preDEL!$AG402,IFERROR(0/0,""),preDEL!H402)</f>
        <v/>
      </c>
      <c r="I402" s="105" t="str">
        <f>IF(preDEL!$AG402,IFERROR(0/0,""),preDEL!I402)</f>
        <v/>
      </c>
      <c r="J402" s="105" t="str">
        <f>IF(preDEL!$AG402,IFERROR(0/0,""),preDEL!J402)</f>
        <v/>
      </c>
      <c r="K402" s="105" t="str">
        <f>IF(preDEL!$AG402,IFERROR(0/0,""),preDEL!K402)</f>
        <v>Negative</v>
      </c>
      <c r="L402" s="170">
        <f>IF(preDEL!$AG402,IFERROR(0/0,""),preDEL!L402)</f>
        <v>44607</v>
      </c>
      <c r="M402" s="171">
        <f>IF(preDEL!$AG402,IFERROR(0/0,""),preDEL!M402)</f>
        <v>0.5868055556</v>
      </c>
      <c r="N402" s="112" t="str">
        <f>IF(preDEL!$AG402,IFERROR(0/0,""),preDEL!N402)</f>
        <v/>
      </c>
      <c r="O402" s="112" t="str">
        <f>IF(preDEL!$AG402,IFERROR(0/0,""),preDEL!O402)</f>
        <v/>
      </c>
      <c r="P402" s="110" t="b">
        <f>IF(preDEL!$AG402,IFERROR(0/0,""),preDEL!P402)</f>
        <v>0</v>
      </c>
      <c r="Q402" s="110" t="str">
        <f>IF(preDEL!$AG402,IFERROR(0/0,""),preDEL!Q402)</f>
        <v>Result</v>
      </c>
      <c r="R402" s="104" t="b">
        <f>IF(preDEL!$AG402,IFERROR(0/0,""),preDEL!R402)</f>
        <v>1</v>
      </c>
      <c r="S402" s="104">
        <f>IF(preDEL!$AG402,IFERROR(0/0,""),preDEL!S402)</f>
        <v>1</v>
      </c>
      <c r="T402" s="110" t="str">
        <f>IF(preDEL!$AG402,IFERROR(0/0,""),preDEL!T402)</f>
        <v/>
      </c>
      <c r="U402" s="112" t="str">
        <f>IF(preDEL!$AG402,IFERROR(0/0,""),preDEL!U402)</f>
        <v/>
      </c>
      <c r="V402" s="105" t="str">
        <f>IF(preDEL!$AG402,IFERROR(0/0,""),preDEL!V402)</f>
        <v/>
      </c>
      <c r="W402" s="112" t="str">
        <f>IF(preDEL!$AG402,IFERROR(0/0,""),preDEL!W402)</f>
        <v/>
      </c>
      <c r="X402" s="104" t="b">
        <f>IF(preDEL!$AG402,IFERROR(0/0,""),preDEL!X402)</f>
        <v>0</v>
      </c>
      <c r="Y402" s="110" t="b">
        <f>IF(preDEL!$AG402,IFERROR(0/0,""),preDEL!Y402)</f>
        <v>0</v>
      </c>
      <c r="Z402" s="105" t="str">
        <f>IF(preDEL!$AG402,IFERROR(0/0,""),preDEL!Z402)</f>
        <v/>
      </c>
      <c r="AA402" s="110" t="b">
        <f>IF(preDEL!$AG402,IFERROR(0/0,""),preDEL!AA402)</f>
        <v>0</v>
      </c>
      <c r="AB402" s="110" t="b">
        <f>IF(preDEL!$AG402,IFERROR(0/0,""),preDEL!AB402)</f>
        <v>0</v>
      </c>
      <c r="AC402" s="172">
        <f>IF(preDEL!$AG402,IFERROR(0/0,""),preDEL!AC402)</f>
        <v>406</v>
      </c>
      <c r="AD402" s="104" t="b">
        <f>IF(preDEL!$AG402,IFERROR(0/0,""),preDEL!AD402)</f>
        <v>0</v>
      </c>
      <c r="AE402" s="173">
        <f>IF(preDEL!$AG402,IFERROR(0/0,""),preDEL!AE402)</f>
        <v>393.5666667</v>
      </c>
      <c r="AF402" s="110" t="b">
        <f>IF(preDEL!$AG402,IFERROR(0/0,""),preDEL!AF402)</f>
        <v>0</v>
      </c>
      <c r="AG402" s="110" t="b">
        <f>IF(preDEL!$AG402,IFERROR(0/0,""),preDEL!AG402)</f>
        <v>0</v>
      </c>
      <c r="AH402" s="104" t="str">
        <f>IF(preDEL!$AG402,IFERROR(0/0,""),preDEL!AH402)</f>
        <v/>
      </c>
      <c r="AI402" s="105" t="str">
        <f>IF(preDEL!$AG402,IFERROR(0/0,""),preDEL!AI402)</f>
        <v/>
      </c>
      <c r="AJ402" s="112" t="str">
        <f>IF(preDEL!$AG402,IFERROR(0/0,""),preDEL!AJ402)</f>
        <v/>
      </c>
      <c r="AK402" s="105" t="str">
        <f>IF(preDEL!$AG402,IFERROR(0/0,""),preDEL!AK402)</f>
        <v>Negative</v>
      </c>
      <c r="AL402" s="112" t="str">
        <f>IF(preDEL!$AG402,IFERROR(0/0,""),preDEL!AL402)</f>
        <v/>
      </c>
      <c r="AM402" s="112" t="str">
        <f>IF(preDEL!$AG402,IFERROR(0/0,""),preDEL!AM402)</f>
        <v>SpBEND691307</v>
      </c>
      <c r="AN402" s="112" t="str">
        <f>IF(preDEL!$AG402,IFERROR(0/0,""),preDEL!AN402)</f>
        <v>BEND608194</v>
      </c>
      <c r="AO402" s="112" t="str">
        <f>IF(preDEL!$AG402,IFERROR(0/0,""),preDEL!AO402)</f>
        <v/>
      </c>
      <c r="AP402" s="112" t="str">
        <f>IF(preDEL!$AG402,IFERROR(0/0,""),preDEL!AP402)</f>
        <v/>
      </c>
      <c r="AQ402" s="112" t="str">
        <f>IF(preDEL!$AG402,IFERROR(0/0,""),preDEL!AQ402)</f>
        <v/>
      </c>
      <c r="AR402" s="112" t="str">
        <f>IF(preDEL!$AG402,IFERROR(0/0,""),preDEL!AR402)</f>
        <v/>
      </c>
      <c r="AS402" s="112" t="str">
        <f>IF(preDEL!$AG402,IFERROR(0/0,""),preDEL!AS402)</f>
        <v/>
      </c>
      <c r="AT402" s="112" t="b">
        <f>IF(preDEL!$AG402,IFERROR(0/0,""),preDEL!AT402)</f>
        <v>0</v>
      </c>
      <c r="AU402" s="112" t="str">
        <f>IF(preDEL!$AG402,IFERROR(0/0,""),preDEL!AU402)</f>
        <v/>
      </c>
      <c r="AV402" s="112" t="str">
        <f>IF(preDEL!$AG402,IFERROR(0/0,""),preDEL!AV402)</f>
        <v/>
      </c>
      <c r="AW402" s="112" t="str">
        <f>IF(preDEL!$AG402,IFERROR(0/0,""),preDEL!AW402)</f>
        <v/>
      </c>
      <c r="AX402" s="112" t="str">
        <f>IF(preDEL!$AG402,IFERROR(0/0,""),preDEL!AX402)</f>
        <v/>
      </c>
      <c r="AY402" s="112" t="str">
        <f>IF(preDEL!$AG402,IFERROR(0/0,""),preDEL!AY402)</f>
        <v/>
      </c>
      <c r="AZ402" s="174"/>
      <c r="BA402" s="174"/>
      <c r="BB402" s="174"/>
      <c r="BC402" s="174"/>
      <c r="BD402" s="174"/>
      <c r="BE402" s="174"/>
      <c r="BF402" s="174"/>
      <c r="BG402" s="174"/>
      <c r="BH402" s="174"/>
      <c r="BI402" s="174"/>
      <c r="BJ402" s="174"/>
      <c r="BK402" s="174"/>
      <c r="BL402" s="174"/>
      <c r="BM402" s="174"/>
      <c r="BN402" s="174"/>
      <c r="BO402" s="174"/>
      <c r="BP402" s="174"/>
      <c r="BQ402" s="174"/>
      <c r="BR402" s="174"/>
      <c r="BS402" s="174"/>
      <c r="BT402" s="174"/>
      <c r="BU402" s="174"/>
      <c r="BV402" s="174"/>
      <c r="BW402" s="174"/>
      <c r="BX402" s="174"/>
      <c r="BY402" s="174"/>
      <c r="BZ402" s="174"/>
      <c r="CA402" s="174"/>
      <c r="CB402" s="174"/>
      <c r="CC402" s="174"/>
      <c r="CD402" s="174"/>
    </row>
    <row r="403">
      <c r="A403" s="105" t="str">
        <f>IF(preDEL!$AG403,IFERROR(0/0,""),preDEL!A403)</f>
        <v>MA1064</v>
      </c>
      <c r="B403" s="170">
        <f>IF(preDEL!$AG403,IFERROR(0/0,""),preDEL!B403)</f>
        <v>44607</v>
      </c>
      <c r="C403" s="171">
        <f>IF(preDEL!$AG403,IFERROR(0/0,""),preDEL!C403)</f>
        <v>0.314224537</v>
      </c>
      <c r="D403" s="105" t="str">
        <f>IF(preDEL!$AG403,IFERROR(0/0,""),preDEL!D403)</f>
        <v/>
      </c>
      <c r="E403" s="105" t="str">
        <f>IF(preDEL!$AG403,IFERROR(0/0,""),preDEL!E403)</f>
        <v/>
      </c>
      <c r="F403" s="112" t="str">
        <f>IF(preDEL!$AG403,IFERROR(0/0,""),preDEL!F403)</f>
        <v/>
      </c>
      <c r="G403" s="112" t="str">
        <f>IF(preDEL!$AG403,IFERROR(0/0,""),preDEL!G403)</f>
        <v/>
      </c>
      <c r="H403" s="112" t="str">
        <f>IF(preDEL!$AG403,IFERROR(0/0,""),preDEL!H403)</f>
        <v/>
      </c>
      <c r="I403" s="105" t="str">
        <f>IF(preDEL!$AG403,IFERROR(0/0,""),preDEL!I403)</f>
        <v/>
      </c>
      <c r="J403" s="105" t="str">
        <f>IF(preDEL!$AG403,IFERROR(0/0,""),preDEL!J403)</f>
        <v/>
      </c>
      <c r="K403" s="105" t="str">
        <f>IF(preDEL!$AG403,IFERROR(0/0,""),preDEL!K403)</f>
        <v>Negative</v>
      </c>
      <c r="L403" s="170">
        <f>IF(preDEL!$AG403,IFERROR(0/0,""),preDEL!L403)</f>
        <v>44607</v>
      </c>
      <c r="M403" s="171">
        <f>IF(preDEL!$AG403,IFERROR(0/0,""),preDEL!M403)</f>
        <v>0.5868055556</v>
      </c>
      <c r="N403" s="112" t="str">
        <f>IF(preDEL!$AG403,IFERROR(0/0,""),preDEL!N403)</f>
        <v/>
      </c>
      <c r="O403" s="112" t="str">
        <f>IF(preDEL!$AG403,IFERROR(0/0,""),preDEL!O403)</f>
        <v/>
      </c>
      <c r="P403" s="110" t="b">
        <f>IF(preDEL!$AG403,IFERROR(0/0,""),preDEL!P403)</f>
        <v>0</v>
      </c>
      <c r="Q403" s="110" t="str">
        <f>IF(preDEL!$AG403,IFERROR(0/0,""),preDEL!Q403)</f>
        <v>Result</v>
      </c>
      <c r="R403" s="104" t="b">
        <f>IF(preDEL!$AG403,IFERROR(0/0,""),preDEL!R403)</f>
        <v>1</v>
      </c>
      <c r="S403" s="104">
        <f>IF(preDEL!$AG403,IFERROR(0/0,""),preDEL!S403)</f>
        <v>1</v>
      </c>
      <c r="T403" s="110" t="str">
        <f>IF(preDEL!$AG403,IFERROR(0/0,""),preDEL!T403)</f>
        <v/>
      </c>
      <c r="U403" s="112" t="str">
        <f>IF(preDEL!$AG403,IFERROR(0/0,""),preDEL!U403)</f>
        <v/>
      </c>
      <c r="V403" s="105" t="str">
        <f>IF(preDEL!$AG403,IFERROR(0/0,""),preDEL!V403)</f>
        <v/>
      </c>
      <c r="W403" s="112" t="str">
        <f>IF(preDEL!$AG403,IFERROR(0/0,""),preDEL!W403)</f>
        <v/>
      </c>
      <c r="X403" s="104" t="b">
        <f>IF(preDEL!$AG403,IFERROR(0/0,""),preDEL!X403)</f>
        <v>0</v>
      </c>
      <c r="Y403" s="110" t="b">
        <f>IF(preDEL!$AG403,IFERROR(0/0,""),preDEL!Y403)</f>
        <v>0</v>
      </c>
      <c r="Z403" s="105" t="str">
        <f>IF(preDEL!$AG403,IFERROR(0/0,""),preDEL!Z403)</f>
        <v/>
      </c>
      <c r="AA403" s="110" t="b">
        <f>IF(preDEL!$AG403,IFERROR(0/0,""),preDEL!AA403)</f>
        <v>0</v>
      </c>
      <c r="AB403" s="110" t="b">
        <f>IF(preDEL!$AG403,IFERROR(0/0,""),preDEL!AB403)</f>
        <v>0</v>
      </c>
      <c r="AC403" s="172">
        <f>IF(preDEL!$AG403,IFERROR(0/0,""),preDEL!AC403)</f>
        <v>405</v>
      </c>
      <c r="AD403" s="104" t="b">
        <f>IF(preDEL!$AG403,IFERROR(0/0,""),preDEL!AD403)</f>
        <v>0</v>
      </c>
      <c r="AE403" s="173">
        <f>IF(preDEL!$AG403,IFERROR(0/0,""),preDEL!AE403)</f>
        <v>392.5166667</v>
      </c>
      <c r="AF403" s="110" t="b">
        <f>IF(preDEL!$AG403,IFERROR(0/0,""),preDEL!AF403)</f>
        <v>0</v>
      </c>
      <c r="AG403" s="110" t="b">
        <f>IF(preDEL!$AG403,IFERROR(0/0,""),preDEL!AG403)</f>
        <v>0</v>
      </c>
      <c r="AH403" s="104" t="str">
        <f>IF(preDEL!$AG403,IFERROR(0/0,""),preDEL!AH403)</f>
        <v/>
      </c>
      <c r="AI403" s="105" t="str">
        <f>IF(preDEL!$AG403,IFERROR(0/0,""),preDEL!AI403)</f>
        <v/>
      </c>
      <c r="AJ403" s="112" t="str">
        <f>IF(preDEL!$AG403,IFERROR(0/0,""),preDEL!AJ403)</f>
        <v/>
      </c>
      <c r="AK403" s="105" t="str">
        <f>IF(preDEL!$AG403,IFERROR(0/0,""),preDEL!AK403)</f>
        <v>Negative</v>
      </c>
      <c r="AL403" s="112" t="str">
        <f>IF(preDEL!$AG403,IFERROR(0/0,""),preDEL!AL403)</f>
        <v/>
      </c>
      <c r="AM403" s="112" t="str">
        <f>IF(preDEL!$AG403,IFERROR(0/0,""),preDEL!AM403)</f>
        <v>SpBEND985296</v>
      </c>
      <c r="AN403" s="112" t="str">
        <f>IF(preDEL!$AG403,IFERROR(0/0,""),preDEL!AN403)</f>
        <v>BEND326601</v>
      </c>
      <c r="AO403" s="112" t="str">
        <f>IF(preDEL!$AG403,IFERROR(0/0,""),preDEL!AO403)</f>
        <v/>
      </c>
      <c r="AP403" s="112" t="str">
        <f>IF(preDEL!$AG403,IFERROR(0/0,""),preDEL!AP403)</f>
        <v/>
      </c>
      <c r="AQ403" s="112" t="str">
        <f>IF(preDEL!$AG403,IFERROR(0/0,""),preDEL!AQ403)</f>
        <v/>
      </c>
      <c r="AR403" s="112" t="str">
        <f>IF(preDEL!$AG403,IFERROR(0/0,""),preDEL!AR403)</f>
        <v/>
      </c>
      <c r="AS403" s="112" t="str">
        <f>IF(preDEL!$AG403,IFERROR(0/0,""),preDEL!AS403)</f>
        <v/>
      </c>
      <c r="AT403" s="112" t="b">
        <f>IF(preDEL!$AG403,IFERROR(0/0,""),preDEL!AT403)</f>
        <v>0</v>
      </c>
      <c r="AU403" s="112" t="str">
        <f>IF(preDEL!$AG403,IFERROR(0/0,""),preDEL!AU403)</f>
        <v/>
      </c>
      <c r="AV403" s="112" t="str">
        <f>IF(preDEL!$AG403,IFERROR(0/0,""),preDEL!AV403)</f>
        <v/>
      </c>
      <c r="AW403" s="112" t="str">
        <f>IF(preDEL!$AG403,IFERROR(0/0,""),preDEL!AW403)</f>
        <v/>
      </c>
      <c r="AX403" s="112" t="str">
        <f>IF(preDEL!$AG403,IFERROR(0/0,""),preDEL!AX403)</f>
        <v/>
      </c>
      <c r="AY403" s="112" t="str">
        <f>IF(preDEL!$AG403,IFERROR(0/0,""),preDEL!AY403)</f>
        <v/>
      </c>
      <c r="AZ403" s="174"/>
      <c r="BA403" s="174"/>
      <c r="BB403" s="174"/>
      <c r="BC403" s="174"/>
      <c r="BD403" s="174"/>
      <c r="BE403" s="174"/>
      <c r="BF403" s="174"/>
      <c r="BG403" s="174"/>
      <c r="BH403" s="174"/>
      <c r="BI403" s="174"/>
      <c r="BJ403" s="174"/>
      <c r="BK403" s="174"/>
      <c r="BL403" s="174"/>
      <c r="BM403" s="174"/>
      <c r="BN403" s="174"/>
      <c r="BO403" s="174"/>
      <c r="BP403" s="174"/>
      <c r="BQ403" s="174"/>
      <c r="BR403" s="174"/>
      <c r="BS403" s="174"/>
      <c r="BT403" s="174"/>
      <c r="BU403" s="174"/>
      <c r="BV403" s="174"/>
      <c r="BW403" s="174"/>
      <c r="BX403" s="174"/>
      <c r="BY403" s="174"/>
      <c r="BZ403" s="174"/>
      <c r="CA403" s="174"/>
      <c r="CB403" s="174"/>
      <c r="CC403" s="174"/>
      <c r="CD403" s="174"/>
    </row>
    <row r="404">
      <c r="A404" s="105" t="str">
        <f>IF(preDEL!$AG404,IFERROR(0/0,""),preDEL!A404)</f>
        <v>MA1103</v>
      </c>
      <c r="B404" s="170">
        <f>IF(preDEL!$AG404,IFERROR(0/0,""),preDEL!B404)</f>
        <v>44607</v>
      </c>
      <c r="C404" s="171">
        <f>IF(preDEL!$AG404,IFERROR(0/0,""),preDEL!C404)</f>
        <v>0.3147337963</v>
      </c>
      <c r="D404" s="105" t="str">
        <f>IF(preDEL!$AG404,IFERROR(0/0,""),preDEL!D404)</f>
        <v/>
      </c>
      <c r="E404" s="105" t="str">
        <f>IF(preDEL!$AG404,IFERROR(0/0,""),preDEL!E404)</f>
        <v/>
      </c>
      <c r="F404" s="112" t="str">
        <f>IF(preDEL!$AG404,IFERROR(0/0,""),preDEL!F404)</f>
        <v/>
      </c>
      <c r="G404" s="112" t="str">
        <f>IF(preDEL!$AG404,IFERROR(0/0,""),preDEL!G404)</f>
        <v/>
      </c>
      <c r="H404" s="112" t="str">
        <f>IF(preDEL!$AG404,IFERROR(0/0,""),preDEL!H404)</f>
        <v/>
      </c>
      <c r="I404" s="105" t="str">
        <f>IF(preDEL!$AG404,IFERROR(0/0,""),preDEL!I404)</f>
        <v/>
      </c>
      <c r="J404" s="105" t="str">
        <f>IF(preDEL!$AG404,IFERROR(0/0,""),preDEL!J404)</f>
        <v/>
      </c>
      <c r="K404" s="105" t="str">
        <f>IF(preDEL!$AG404,IFERROR(0/0,""),preDEL!K404)</f>
        <v>Negative</v>
      </c>
      <c r="L404" s="170">
        <f>IF(preDEL!$AG404,IFERROR(0/0,""),preDEL!L404)</f>
        <v>44607</v>
      </c>
      <c r="M404" s="171">
        <f>IF(preDEL!$AG404,IFERROR(0/0,""),preDEL!M404)</f>
        <v>0.5868055556</v>
      </c>
      <c r="N404" s="112" t="str">
        <f>IF(preDEL!$AG404,IFERROR(0/0,""),preDEL!N404)</f>
        <v/>
      </c>
      <c r="O404" s="112" t="str">
        <f>IF(preDEL!$AG404,IFERROR(0/0,""),preDEL!O404)</f>
        <v/>
      </c>
      <c r="P404" s="110" t="b">
        <f>IF(preDEL!$AG404,IFERROR(0/0,""),preDEL!P404)</f>
        <v>0</v>
      </c>
      <c r="Q404" s="110" t="str">
        <f>IF(preDEL!$AG404,IFERROR(0/0,""),preDEL!Q404)</f>
        <v>Result</v>
      </c>
      <c r="R404" s="104" t="b">
        <f>IF(preDEL!$AG404,IFERROR(0/0,""),preDEL!R404)</f>
        <v>1</v>
      </c>
      <c r="S404" s="104">
        <f>IF(preDEL!$AG404,IFERROR(0/0,""),preDEL!S404)</f>
        <v>1</v>
      </c>
      <c r="T404" s="110" t="str">
        <f>IF(preDEL!$AG404,IFERROR(0/0,""),preDEL!T404)</f>
        <v/>
      </c>
      <c r="U404" s="112" t="str">
        <f>IF(preDEL!$AG404,IFERROR(0/0,""),preDEL!U404)</f>
        <v/>
      </c>
      <c r="V404" s="105" t="str">
        <f>IF(preDEL!$AG404,IFERROR(0/0,""),preDEL!V404)</f>
        <v/>
      </c>
      <c r="W404" s="112" t="str">
        <f>IF(preDEL!$AG404,IFERROR(0/0,""),preDEL!W404)</f>
        <v/>
      </c>
      <c r="X404" s="104" t="b">
        <f>IF(preDEL!$AG404,IFERROR(0/0,""),preDEL!X404)</f>
        <v>0</v>
      </c>
      <c r="Y404" s="110" t="b">
        <f>IF(preDEL!$AG404,IFERROR(0/0,""),preDEL!Y404)</f>
        <v>0</v>
      </c>
      <c r="Z404" s="105" t="str">
        <f>IF(preDEL!$AG404,IFERROR(0/0,""),preDEL!Z404)</f>
        <v/>
      </c>
      <c r="AA404" s="110" t="b">
        <f>IF(preDEL!$AG404,IFERROR(0/0,""),preDEL!AA404)</f>
        <v>0</v>
      </c>
      <c r="AB404" s="110" t="b">
        <f>IF(preDEL!$AG404,IFERROR(0/0,""),preDEL!AB404)</f>
        <v>0</v>
      </c>
      <c r="AC404" s="172">
        <f>IF(preDEL!$AG404,IFERROR(0/0,""),preDEL!AC404)</f>
        <v>404</v>
      </c>
      <c r="AD404" s="104" t="b">
        <f>IF(preDEL!$AG404,IFERROR(0/0,""),preDEL!AD404)</f>
        <v>0</v>
      </c>
      <c r="AE404" s="173">
        <f>IF(preDEL!$AG404,IFERROR(0/0,""),preDEL!AE404)</f>
        <v>391.7833333</v>
      </c>
      <c r="AF404" s="110" t="b">
        <f>IF(preDEL!$AG404,IFERROR(0/0,""),preDEL!AF404)</f>
        <v>0</v>
      </c>
      <c r="AG404" s="110" t="b">
        <f>IF(preDEL!$AG404,IFERROR(0/0,""),preDEL!AG404)</f>
        <v>0</v>
      </c>
      <c r="AH404" s="104" t="str">
        <f>IF(preDEL!$AG404,IFERROR(0/0,""),preDEL!AH404)</f>
        <v/>
      </c>
      <c r="AI404" s="105" t="str">
        <f>IF(preDEL!$AG404,IFERROR(0/0,""),preDEL!AI404)</f>
        <v/>
      </c>
      <c r="AJ404" s="112" t="str">
        <f>IF(preDEL!$AG404,IFERROR(0/0,""),preDEL!AJ404)</f>
        <v/>
      </c>
      <c r="AK404" s="105" t="str">
        <f>IF(preDEL!$AG404,IFERROR(0/0,""),preDEL!AK404)</f>
        <v>Negative</v>
      </c>
      <c r="AL404" s="112" t="str">
        <f>IF(preDEL!$AG404,IFERROR(0/0,""),preDEL!AL404)</f>
        <v/>
      </c>
      <c r="AM404" s="112" t="str">
        <f>IF(preDEL!$AG404,IFERROR(0/0,""),preDEL!AM404)</f>
        <v>SpBEND501019</v>
      </c>
      <c r="AN404" s="112" t="str">
        <f>IF(preDEL!$AG404,IFERROR(0/0,""),preDEL!AN404)</f>
        <v>BEND941934</v>
      </c>
      <c r="AO404" s="112" t="str">
        <f>IF(preDEL!$AG404,IFERROR(0/0,""),preDEL!AO404)</f>
        <v/>
      </c>
      <c r="AP404" s="112" t="str">
        <f>IF(preDEL!$AG404,IFERROR(0/0,""),preDEL!AP404)</f>
        <v/>
      </c>
      <c r="AQ404" s="112" t="str">
        <f>IF(preDEL!$AG404,IFERROR(0/0,""),preDEL!AQ404)</f>
        <v/>
      </c>
      <c r="AR404" s="112" t="str">
        <f>IF(preDEL!$AG404,IFERROR(0/0,""),preDEL!AR404)</f>
        <v/>
      </c>
      <c r="AS404" s="112" t="str">
        <f>IF(preDEL!$AG404,IFERROR(0/0,""),preDEL!AS404)</f>
        <v/>
      </c>
      <c r="AT404" s="112" t="b">
        <f>IF(preDEL!$AG404,IFERROR(0/0,""),preDEL!AT404)</f>
        <v>0</v>
      </c>
      <c r="AU404" s="112" t="str">
        <f>IF(preDEL!$AG404,IFERROR(0/0,""),preDEL!AU404)</f>
        <v/>
      </c>
      <c r="AV404" s="112" t="str">
        <f>IF(preDEL!$AG404,IFERROR(0/0,""),preDEL!AV404)</f>
        <v/>
      </c>
      <c r="AW404" s="112" t="str">
        <f>IF(preDEL!$AG404,IFERROR(0/0,""),preDEL!AW404)</f>
        <v/>
      </c>
      <c r="AX404" s="112" t="str">
        <f>IF(preDEL!$AG404,IFERROR(0/0,""),preDEL!AX404)</f>
        <v/>
      </c>
      <c r="AY404" s="112" t="str">
        <f>IF(preDEL!$AG404,IFERROR(0/0,""),preDEL!AY404)</f>
        <v/>
      </c>
      <c r="AZ404" s="174"/>
      <c r="BA404" s="174"/>
      <c r="BB404" s="174"/>
      <c r="BC404" s="174"/>
      <c r="BD404" s="174"/>
      <c r="BE404" s="174"/>
      <c r="BF404" s="174"/>
      <c r="BG404" s="174"/>
      <c r="BH404" s="174"/>
      <c r="BI404" s="174"/>
      <c r="BJ404" s="174"/>
      <c r="BK404" s="174"/>
      <c r="BL404" s="174"/>
      <c r="BM404" s="174"/>
      <c r="BN404" s="174"/>
      <c r="BO404" s="174"/>
      <c r="BP404" s="174"/>
      <c r="BQ404" s="174"/>
      <c r="BR404" s="174"/>
      <c r="BS404" s="174"/>
      <c r="BT404" s="174"/>
      <c r="BU404" s="174"/>
      <c r="BV404" s="174"/>
      <c r="BW404" s="174"/>
      <c r="BX404" s="174"/>
      <c r="BY404" s="174"/>
      <c r="BZ404" s="174"/>
      <c r="CA404" s="174"/>
      <c r="CB404" s="174"/>
      <c r="CC404" s="174"/>
      <c r="CD404" s="174"/>
    </row>
    <row r="405">
      <c r="A405" s="105" t="str">
        <f>IF(preDEL!$AG405,IFERROR(0/0,""),preDEL!A405)</f>
        <v>MA1259</v>
      </c>
      <c r="B405" s="170">
        <f>IF(preDEL!$AG405,IFERROR(0/0,""),preDEL!B405)</f>
        <v>44607</v>
      </c>
      <c r="C405" s="171">
        <f>IF(preDEL!$AG405,IFERROR(0/0,""),preDEL!C405)</f>
        <v>0.3195833333</v>
      </c>
      <c r="D405" s="105" t="str">
        <f>IF(preDEL!$AG405,IFERROR(0/0,""),preDEL!D405)</f>
        <v/>
      </c>
      <c r="E405" s="105" t="str">
        <f>IF(preDEL!$AG405,IFERROR(0/0,""),preDEL!E405)</f>
        <v/>
      </c>
      <c r="F405" s="112" t="str">
        <f>IF(preDEL!$AG405,IFERROR(0/0,""),preDEL!F405)</f>
        <v/>
      </c>
      <c r="G405" s="112" t="str">
        <f>IF(preDEL!$AG405,IFERROR(0/0,""),preDEL!G405)</f>
        <v/>
      </c>
      <c r="H405" s="112" t="str">
        <f>IF(preDEL!$AG405,IFERROR(0/0,""),preDEL!H405)</f>
        <v/>
      </c>
      <c r="I405" s="105" t="str">
        <f>IF(preDEL!$AG405,IFERROR(0/0,""),preDEL!I405)</f>
        <v/>
      </c>
      <c r="J405" s="105" t="str">
        <f>IF(preDEL!$AG405,IFERROR(0/0,""),preDEL!J405)</f>
        <v/>
      </c>
      <c r="K405" s="105" t="str">
        <f>IF(preDEL!$AG405,IFERROR(0/0,""),preDEL!K405)</f>
        <v>Negative</v>
      </c>
      <c r="L405" s="170">
        <f>IF(preDEL!$AG405,IFERROR(0/0,""),preDEL!L405)</f>
        <v>44607</v>
      </c>
      <c r="M405" s="171">
        <f>IF(preDEL!$AG405,IFERROR(0/0,""),preDEL!M405)</f>
        <v>0.5868055556</v>
      </c>
      <c r="N405" s="112" t="str">
        <f>IF(preDEL!$AG405,IFERROR(0/0,""),preDEL!N405)</f>
        <v/>
      </c>
      <c r="O405" s="112" t="str">
        <f>IF(preDEL!$AG405,IFERROR(0/0,""),preDEL!O405)</f>
        <v/>
      </c>
      <c r="P405" s="110" t="b">
        <f>IF(preDEL!$AG405,IFERROR(0/0,""),preDEL!P405)</f>
        <v>0</v>
      </c>
      <c r="Q405" s="110" t="str">
        <f>IF(preDEL!$AG405,IFERROR(0/0,""),preDEL!Q405)</f>
        <v>Result</v>
      </c>
      <c r="R405" s="104" t="b">
        <f>IF(preDEL!$AG405,IFERROR(0/0,""),preDEL!R405)</f>
        <v>1</v>
      </c>
      <c r="S405" s="104">
        <f>IF(preDEL!$AG405,IFERROR(0/0,""),preDEL!S405)</f>
        <v>1</v>
      </c>
      <c r="T405" s="110" t="str">
        <f>IF(preDEL!$AG405,IFERROR(0/0,""),preDEL!T405)</f>
        <v/>
      </c>
      <c r="U405" s="112" t="str">
        <f>IF(preDEL!$AG405,IFERROR(0/0,""),preDEL!U405)</f>
        <v/>
      </c>
      <c r="V405" s="105" t="str">
        <f>IF(preDEL!$AG405,IFERROR(0/0,""),preDEL!V405)</f>
        <v/>
      </c>
      <c r="W405" s="112" t="str">
        <f>IF(preDEL!$AG405,IFERROR(0/0,""),preDEL!W405)</f>
        <v/>
      </c>
      <c r="X405" s="104" t="b">
        <f>IF(preDEL!$AG405,IFERROR(0/0,""),preDEL!X405)</f>
        <v>0</v>
      </c>
      <c r="Y405" s="110" t="b">
        <f>IF(preDEL!$AG405,IFERROR(0/0,""),preDEL!Y405)</f>
        <v>0</v>
      </c>
      <c r="Z405" s="105" t="str">
        <f>IF(preDEL!$AG405,IFERROR(0/0,""),preDEL!Z405)</f>
        <v/>
      </c>
      <c r="AA405" s="110" t="b">
        <f>IF(preDEL!$AG405,IFERROR(0/0,""),preDEL!AA405)</f>
        <v>0</v>
      </c>
      <c r="AB405" s="110" t="b">
        <f>IF(preDEL!$AG405,IFERROR(0/0,""),preDEL!AB405)</f>
        <v>0</v>
      </c>
      <c r="AC405" s="172">
        <f>IF(preDEL!$AG405,IFERROR(0/0,""),preDEL!AC405)</f>
        <v>403</v>
      </c>
      <c r="AD405" s="104" t="b">
        <f>IF(preDEL!$AG405,IFERROR(0/0,""),preDEL!AD405)</f>
        <v>0</v>
      </c>
      <c r="AE405" s="173">
        <f>IF(preDEL!$AG405,IFERROR(0/0,""),preDEL!AE405)</f>
        <v>384.8</v>
      </c>
      <c r="AF405" s="110" t="b">
        <f>IF(preDEL!$AG405,IFERROR(0/0,""),preDEL!AF405)</f>
        <v>0</v>
      </c>
      <c r="AG405" s="110" t="b">
        <f>IF(preDEL!$AG405,IFERROR(0/0,""),preDEL!AG405)</f>
        <v>0</v>
      </c>
      <c r="AH405" s="104" t="str">
        <f>IF(preDEL!$AG405,IFERROR(0/0,""),preDEL!AH405)</f>
        <v/>
      </c>
      <c r="AI405" s="105" t="str">
        <f>IF(preDEL!$AG405,IFERROR(0/0,""),preDEL!AI405)</f>
        <v/>
      </c>
      <c r="AJ405" s="112" t="str">
        <f>IF(preDEL!$AG405,IFERROR(0/0,""),preDEL!AJ405)</f>
        <v/>
      </c>
      <c r="AK405" s="105" t="str">
        <f>IF(preDEL!$AG405,IFERROR(0/0,""),preDEL!AK405)</f>
        <v>Negative</v>
      </c>
      <c r="AL405" s="112" t="str">
        <f>IF(preDEL!$AG405,IFERROR(0/0,""),preDEL!AL405)</f>
        <v/>
      </c>
      <c r="AM405" s="112" t="str">
        <f>IF(preDEL!$AG405,IFERROR(0/0,""),preDEL!AM405)</f>
        <v>SpBEND183210</v>
      </c>
      <c r="AN405" s="112" t="str">
        <f>IF(preDEL!$AG405,IFERROR(0/0,""),preDEL!AN405)</f>
        <v>BEND992347</v>
      </c>
      <c r="AO405" s="112" t="str">
        <f>IF(preDEL!$AG405,IFERROR(0/0,""),preDEL!AO405)</f>
        <v/>
      </c>
      <c r="AP405" s="112" t="str">
        <f>IF(preDEL!$AG405,IFERROR(0/0,""),preDEL!AP405)</f>
        <v/>
      </c>
      <c r="AQ405" s="112" t="str">
        <f>IF(preDEL!$AG405,IFERROR(0/0,""),preDEL!AQ405)</f>
        <v/>
      </c>
      <c r="AR405" s="112" t="str">
        <f>IF(preDEL!$AG405,IFERROR(0/0,""),preDEL!AR405)</f>
        <v/>
      </c>
      <c r="AS405" s="112" t="str">
        <f>IF(preDEL!$AG405,IFERROR(0/0,""),preDEL!AS405)</f>
        <v/>
      </c>
      <c r="AT405" s="112" t="b">
        <f>IF(preDEL!$AG405,IFERROR(0/0,""),preDEL!AT405)</f>
        <v>0</v>
      </c>
      <c r="AU405" s="112" t="str">
        <f>IF(preDEL!$AG405,IFERROR(0/0,""),preDEL!AU405)</f>
        <v/>
      </c>
      <c r="AV405" s="112" t="str">
        <f>IF(preDEL!$AG405,IFERROR(0/0,""),preDEL!AV405)</f>
        <v/>
      </c>
      <c r="AW405" s="112" t="str">
        <f>IF(preDEL!$AG405,IFERROR(0/0,""),preDEL!AW405)</f>
        <v/>
      </c>
      <c r="AX405" s="112" t="str">
        <f>IF(preDEL!$AG405,IFERROR(0/0,""),preDEL!AX405)</f>
        <v/>
      </c>
      <c r="AY405" s="112" t="str">
        <f>IF(preDEL!$AG405,IFERROR(0/0,""),preDEL!AY405)</f>
        <v/>
      </c>
      <c r="AZ405" s="174"/>
      <c r="BA405" s="174"/>
      <c r="BB405" s="174"/>
      <c r="BC405" s="174"/>
      <c r="BD405" s="174"/>
      <c r="BE405" s="174"/>
      <c r="BF405" s="174"/>
      <c r="BG405" s="174"/>
      <c r="BH405" s="174"/>
      <c r="BI405" s="174"/>
      <c r="BJ405" s="174"/>
      <c r="BK405" s="174"/>
      <c r="BL405" s="174"/>
      <c r="BM405" s="174"/>
      <c r="BN405" s="174"/>
      <c r="BO405" s="174"/>
      <c r="BP405" s="174"/>
      <c r="BQ405" s="174"/>
      <c r="BR405" s="174"/>
      <c r="BS405" s="174"/>
      <c r="BT405" s="174"/>
      <c r="BU405" s="174"/>
      <c r="BV405" s="174"/>
      <c r="BW405" s="174"/>
      <c r="BX405" s="174"/>
      <c r="BY405" s="174"/>
      <c r="BZ405" s="174"/>
      <c r="CA405" s="174"/>
      <c r="CB405" s="174"/>
      <c r="CC405" s="174"/>
      <c r="CD405" s="174"/>
    </row>
    <row r="406">
      <c r="A406" s="105" t="str">
        <f>IF(preDEL!$AG406,IFERROR(0/0,""),preDEL!A406)</f>
        <v>MA1261</v>
      </c>
      <c r="B406" s="170">
        <f>IF(preDEL!$AG406,IFERROR(0/0,""),preDEL!B406)</f>
        <v>44607</v>
      </c>
      <c r="C406" s="171">
        <f>IF(preDEL!$AG406,IFERROR(0/0,""),preDEL!C406)</f>
        <v>0.3202430556</v>
      </c>
      <c r="D406" s="105" t="str">
        <f>IF(preDEL!$AG406,IFERROR(0/0,""),preDEL!D406)</f>
        <v/>
      </c>
      <c r="E406" s="105" t="str">
        <f>IF(preDEL!$AG406,IFERROR(0/0,""),preDEL!E406)</f>
        <v/>
      </c>
      <c r="F406" s="112" t="str">
        <f>IF(preDEL!$AG406,IFERROR(0/0,""),preDEL!F406)</f>
        <v/>
      </c>
      <c r="G406" s="112" t="str">
        <f>IF(preDEL!$AG406,IFERROR(0/0,""),preDEL!G406)</f>
        <v/>
      </c>
      <c r="H406" s="112" t="str">
        <f>IF(preDEL!$AG406,IFERROR(0/0,""),preDEL!H406)</f>
        <v/>
      </c>
      <c r="I406" s="105" t="str">
        <f>IF(preDEL!$AG406,IFERROR(0/0,""),preDEL!I406)</f>
        <v/>
      </c>
      <c r="J406" s="105" t="str">
        <f>IF(preDEL!$AG406,IFERROR(0/0,""),preDEL!J406)</f>
        <v/>
      </c>
      <c r="K406" s="105" t="str">
        <f>IF(preDEL!$AG406,IFERROR(0/0,""),preDEL!K406)</f>
        <v>Negative</v>
      </c>
      <c r="L406" s="170">
        <f>IF(preDEL!$AG406,IFERROR(0/0,""),preDEL!L406)</f>
        <v>44607</v>
      </c>
      <c r="M406" s="171">
        <f>IF(preDEL!$AG406,IFERROR(0/0,""),preDEL!M406)</f>
        <v>0.5868055556</v>
      </c>
      <c r="N406" s="112" t="str">
        <f>IF(preDEL!$AG406,IFERROR(0/0,""),preDEL!N406)</f>
        <v/>
      </c>
      <c r="O406" s="112" t="str">
        <f>IF(preDEL!$AG406,IFERROR(0/0,""),preDEL!O406)</f>
        <v/>
      </c>
      <c r="P406" s="110" t="b">
        <f>IF(preDEL!$AG406,IFERROR(0/0,""),preDEL!P406)</f>
        <v>0</v>
      </c>
      <c r="Q406" s="110" t="str">
        <f>IF(preDEL!$AG406,IFERROR(0/0,""),preDEL!Q406)</f>
        <v>Result</v>
      </c>
      <c r="R406" s="104" t="b">
        <f>IF(preDEL!$AG406,IFERROR(0/0,""),preDEL!R406)</f>
        <v>1</v>
      </c>
      <c r="S406" s="104">
        <f>IF(preDEL!$AG406,IFERROR(0/0,""),preDEL!S406)</f>
        <v>1</v>
      </c>
      <c r="T406" s="110" t="str">
        <f>IF(preDEL!$AG406,IFERROR(0/0,""),preDEL!T406)</f>
        <v/>
      </c>
      <c r="U406" s="112" t="str">
        <f>IF(preDEL!$AG406,IFERROR(0/0,""),preDEL!U406)</f>
        <v/>
      </c>
      <c r="V406" s="105" t="str">
        <f>IF(preDEL!$AG406,IFERROR(0/0,""),preDEL!V406)</f>
        <v/>
      </c>
      <c r="W406" s="112" t="str">
        <f>IF(preDEL!$AG406,IFERROR(0/0,""),preDEL!W406)</f>
        <v/>
      </c>
      <c r="X406" s="104" t="b">
        <f>IF(preDEL!$AG406,IFERROR(0/0,""),preDEL!X406)</f>
        <v>0</v>
      </c>
      <c r="Y406" s="110" t="b">
        <f>IF(preDEL!$AG406,IFERROR(0/0,""),preDEL!Y406)</f>
        <v>0</v>
      </c>
      <c r="Z406" s="105" t="str">
        <f>IF(preDEL!$AG406,IFERROR(0/0,""),preDEL!Z406)</f>
        <v/>
      </c>
      <c r="AA406" s="110" t="b">
        <f>IF(preDEL!$AG406,IFERROR(0/0,""),preDEL!AA406)</f>
        <v>0</v>
      </c>
      <c r="AB406" s="110" t="b">
        <f>IF(preDEL!$AG406,IFERROR(0/0,""),preDEL!AB406)</f>
        <v>0</v>
      </c>
      <c r="AC406" s="172">
        <f>IF(preDEL!$AG406,IFERROR(0/0,""),preDEL!AC406)</f>
        <v>402</v>
      </c>
      <c r="AD406" s="104" t="b">
        <f>IF(preDEL!$AG406,IFERROR(0/0,""),preDEL!AD406)</f>
        <v>0</v>
      </c>
      <c r="AE406" s="173">
        <f>IF(preDEL!$AG406,IFERROR(0/0,""),preDEL!AE406)</f>
        <v>383.85</v>
      </c>
      <c r="AF406" s="110" t="b">
        <f>IF(preDEL!$AG406,IFERROR(0/0,""),preDEL!AF406)</f>
        <v>0</v>
      </c>
      <c r="AG406" s="110" t="b">
        <f>IF(preDEL!$AG406,IFERROR(0/0,""),preDEL!AG406)</f>
        <v>0</v>
      </c>
      <c r="AH406" s="104" t="str">
        <f>IF(preDEL!$AG406,IFERROR(0/0,""),preDEL!AH406)</f>
        <v/>
      </c>
      <c r="AI406" s="105" t="str">
        <f>IF(preDEL!$AG406,IFERROR(0/0,""),preDEL!AI406)</f>
        <v/>
      </c>
      <c r="AJ406" s="112" t="str">
        <f>IF(preDEL!$AG406,IFERROR(0/0,""),preDEL!AJ406)</f>
        <v/>
      </c>
      <c r="AK406" s="105" t="str">
        <f>IF(preDEL!$AG406,IFERROR(0/0,""),preDEL!AK406)</f>
        <v>Negative</v>
      </c>
      <c r="AL406" s="112" t="str">
        <f>IF(preDEL!$AG406,IFERROR(0/0,""),preDEL!AL406)</f>
        <v/>
      </c>
      <c r="AM406" s="112" t="str">
        <f>IF(preDEL!$AG406,IFERROR(0/0,""),preDEL!AM406)</f>
        <v>SpBEND815974</v>
      </c>
      <c r="AN406" s="112" t="str">
        <f>IF(preDEL!$AG406,IFERROR(0/0,""),preDEL!AN406)</f>
        <v>BEND381818</v>
      </c>
      <c r="AO406" s="112" t="str">
        <f>IF(preDEL!$AG406,IFERROR(0/0,""),preDEL!AO406)</f>
        <v/>
      </c>
      <c r="AP406" s="112" t="str">
        <f>IF(preDEL!$AG406,IFERROR(0/0,""),preDEL!AP406)</f>
        <v/>
      </c>
      <c r="AQ406" s="112" t="str">
        <f>IF(preDEL!$AG406,IFERROR(0/0,""),preDEL!AQ406)</f>
        <v/>
      </c>
      <c r="AR406" s="112" t="str">
        <f>IF(preDEL!$AG406,IFERROR(0/0,""),preDEL!AR406)</f>
        <v/>
      </c>
      <c r="AS406" s="112" t="str">
        <f>IF(preDEL!$AG406,IFERROR(0/0,""),preDEL!AS406)</f>
        <v/>
      </c>
      <c r="AT406" s="112" t="b">
        <f>IF(preDEL!$AG406,IFERROR(0/0,""),preDEL!AT406)</f>
        <v>0</v>
      </c>
      <c r="AU406" s="112" t="str">
        <f>IF(preDEL!$AG406,IFERROR(0/0,""),preDEL!AU406)</f>
        <v/>
      </c>
      <c r="AV406" s="112" t="str">
        <f>IF(preDEL!$AG406,IFERROR(0/0,""),preDEL!AV406)</f>
        <v/>
      </c>
      <c r="AW406" s="112" t="str">
        <f>IF(preDEL!$AG406,IFERROR(0/0,""),preDEL!AW406)</f>
        <v/>
      </c>
      <c r="AX406" s="112" t="str">
        <f>IF(preDEL!$AG406,IFERROR(0/0,""),preDEL!AX406)</f>
        <v/>
      </c>
      <c r="AY406" s="112" t="str">
        <f>IF(preDEL!$AG406,IFERROR(0/0,""),preDEL!AY406)</f>
        <v/>
      </c>
      <c r="AZ406" s="174"/>
      <c r="BA406" s="174"/>
      <c r="BB406" s="174"/>
      <c r="BC406" s="174"/>
      <c r="BD406" s="174"/>
      <c r="BE406" s="174"/>
      <c r="BF406" s="174"/>
      <c r="BG406" s="174"/>
      <c r="BH406" s="174"/>
      <c r="BI406" s="174"/>
      <c r="BJ406" s="174"/>
      <c r="BK406" s="174"/>
      <c r="BL406" s="174"/>
      <c r="BM406" s="174"/>
      <c r="BN406" s="174"/>
      <c r="BO406" s="174"/>
      <c r="BP406" s="174"/>
      <c r="BQ406" s="174"/>
      <c r="BR406" s="174"/>
      <c r="BS406" s="174"/>
      <c r="BT406" s="174"/>
      <c r="BU406" s="174"/>
      <c r="BV406" s="174"/>
      <c r="BW406" s="174"/>
      <c r="BX406" s="174"/>
      <c r="BY406" s="174"/>
      <c r="BZ406" s="174"/>
      <c r="CA406" s="174"/>
      <c r="CB406" s="174"/>
      <c r="CC406" s="174"/>
      <c r="CD406" s="174"/>
    </row>
    <row r="407">
      <c r="A407" s="105" t="str">
        <f>IF(preDEL!$AG407,IFERROR(0/0,""),preDEL!A407)</f>
        <v>FM513</v>
      </c>
      <c r="B407" s="170">
        <f>IF(preDEL!$AG407,IFERROR(0/0,""),preDEL!B407)</f>
        <v>44607</v>
      </c>
      <c r="C407" s="171">
        <f>IF(preDEL!$AG407,IFERROR(0/0,""),preDEL!C407)</f>
        <v>0.3231481481</v>
      </c>
      <c r="D407" s="105" t="str">
        <f>IF(preDEL!$AG407,IFERROR(0/0,""),preDEL!D407)</f>
        <v/>
      </c>
      <c r="E407" s="105" t="str">
        <f>IF(preDEL!$AG407,IFERROR(0/0,""),preDEL!E407)</f>
        <v/>
      </c>
      <c r="F407" s="112" t="str">
        <f>IF(preDEL!$AG407,IFERROR(0/0,""),preDEL!F407)</f>
        <v/>
      </c>
      <c r="G407" s="112" t="str">
        <f>IF(preDEL!$AG407,IFERROR(0/0,""),preDEL!G407)</f>
        <v/>
      </c>
      <c r="H407" s="112" t="str">
        <f>IF(preDEL!$AG407,IFERROR(0/0,""),preDEL!H407)</f>
        <v/>
      </c>
      <c r="I407" s="105" t="str">
        <f>IF(preDEL!$AG407,IFERROR(0/0,""),preDEL!I407)</f>
        <v/>
      </c>
      <c r="J407" s="105" t="str">
        <f>IF(preDEL!$AG407,IFERROR(0/0,""),preDEL!J407)</f>
        <v/>
      </c>
      <c r="K407" s="105" t="str">
        <f>IF(preDEL!$AG407,IFERROR(0/0,""),preDEL!K407)</f>
        <v>Negative</v>
      </c>
      <c r="L407" s="170">
        <f>IF(preDEL!$AG407,IFERROR(0/0,""),preDEL!L407)</f>
        <v>44607</v>
      </c>
      <c r="M407" s="171">
        <f>IF(preDEL!$AG407,IFERROR(0/0,""),preDEL!M407)</f>
        <v>0.5868055556</v>
      </c>
      <c r="N407" s="112" t="str">
        <f>IF(preDEL!$AG407,IFERROR(0/0,""),preDEL!N407)</f>
        <v/>
      </c>
      <c r="O407" s="112" t="str">
        <f>IF(preDEL!$AG407,IFERROR(0/0,""),preDEL!O407)</f>
        <v/>
      </c>
      <c r="P407" s="110" t="b">
        <f>IF(preDEL!$AG407,IFERROR(0/0,""),preDEL!P407)</f>
        <v>0</v>
      </c>
      <c r="Q407" s="110" t="str">
        <f>IF(preDEL!$AG407,IFERROR(0/0,""),preDEL!Q407)</f>
        <v>Result</v>
      </c>
      <c r="R407" s="104" t="b">
        <f>IF(preDEL!$AG407,IFERROR(0/0,""),preDEL!R407)</f>
        <v>1</v>
      </c>
      <c r="S407" s="104">
        <f>IF(preDEL!$AG407,IFERROR(0/0,""),preDEL!S407)</f>
        <v>1</v>
      </c>
      <c r="T407" s="110" t="str">
        <f>IF(preDEL!$AG407,IFERROR(0/0,""),preDEL!T407)</f>
        <v/>
      </c>
      <c r="U407" s="112" t="str">
        <f>IF(preDEL!$AG407,IFERROR(0/0,""),preDEL!U407)</f>
        <v/>
      </c>
      <c r="V407" s="105" t="str">
        <f>IF(preDEL!$AG407,IFERROR(0/0,""),preDEL!V407)</f>
        <v/>
      </c>
      <c r="W407" s="112" t="str">
        <f>IF(preDEL!$AG407,IFERROR(0/0,""),preDEL!W407)</f>
        <v/>
      </c>
      <c r="X407" s="104" t="b">
        <f>IF(preDEL!$AG407,IFERROR(0/0,""),preDEL!X407)</f>
        <v>0</v>
      </c>
      <c r="Y407" s="110" t="b">
        <f>IF(preDEL!$AG407,IFERROR(0/0,""),preDEL!Y407)</f>
        <v>0</v>
      </c>
      <c r="Z407" s="105" t="str">
        <f>IF(preDEL!$AG407,IFERROR(0/0,""),preDEL!Z407)</f>
        <v/>
      </c>
      <c r="AA407" s="110" t="b">
        <f>IF(preDEL!$AG407,IFERROR(0/0,""),preDEL!AA407)</f>
        <v>0</v>
      </c>
      <c r="AB407" s="110" t="b">
        <f>IF(preDEL!$AG407,IFERROR(0/0,""),preDEL!AB407)</f>
        <v>0</v>
      </c>
      <c r="AC407" s="172">
        <f>IF(preDEL!$AG407,IFERROR(0/0,""),preDEL!AC407)</f>
        <v>401</v>
      </c>
      <c r="AD407" s="104" t="b">
        <f>IF(preDEL!$AG407,IFERROR(0/0,""),preDEL!AD407)</f>
        <v>0</v>
      </c>
      <c r="AE407" s="173">
        <f>IF(preDEL!$AG407,IFERROR(0/0,""),preDEL!AE407)</f>
        <v>379.6666667</v>
      </c>
      <c r="AF407" s="110" t="b">
        <f>IF(preDEL!$AG407,IFERROR(0/0,""),preDEL!AF407)</f>
        <v>0</v>
      </c>
      <c r="AG407" s="110" t="b">
        <f>IF(preDEL!$AG407,IFERROR(0/0,""),preDEL!AG407)</f>
        <v>0</v>
      </c>
      <c r="AH407" s="104" t="str">
        <f>IF(preDEL!$AG407,IFERROR(0/0,""),preDEL!AH407)</f>
        <v/>
      </c>
      <c r="AI407" s="105" t="str">
        <f>IF(preDEL!$AG407,IFERROR(0/0,""),preDEL!AI407)</f>
        <v/>
      </c>
      <c r="AJ407" s="112" t="str">
        <f>IF(preDEL!$AG407,IFERROR(0/0,""),preDEL!AJ407)</f>
        <v/>
      </c>
      <c r="AK407" s="105" t="str">
        <f>IF(preDEL!$AG407,IFERROR(0/0,""),preDEL!AK407)</f>
        <v>Negative</v>
      </c>
      <c r="AL407" s="112" t="str">
        <f>IF(preDEL!$AG407,IFERROR(0/0,""),preDEL!AL407)</f>
        <v/>
      </c>
      <c r="AM407" s="112" t="str">
        <f>IF(preDEL!$AG407,IFERROR(0/0,""),preDEL!AM407)</f>
        <v>SpBEND672680</v>
      </c>
      <c r="AN407" s="112" t="str">
        <f>IF(preDEL!$AG407,IFERROR(0/0,""),preDEL!AN407)</f>
        <v>BEND955524</v>
      </c>
      <c r="AO407" s="112" t="str">
        <f>IF(preDEL!$AG407,IFERROR(0/0,""),preDEL!AO407)</f>
        <v/>
      </c>
      <c r="AP407" s="112" t="str">
        <f>IF(preDEL!$AG407,IFERROR(0/0,""),preDEL!AP407)</f>
        <v/>
      </c>
      <c r="AQ407" s="112" t="str">
        <f>IF(preDEL!$AG407,IFERROR(0/0,""),preDEL!AQ407)</f>
        <v/>
      </c>
      <c r="AR407" s="112" t="str">
        <f>IF(preDEL!$AG407,IFERROR(0/0,""),preDEL!AR407)</f>
        <v/>
      </c>
      <c r="AS407" s="112" t="str">
        <f>IF(preDEL!$AG407,IFERROR(0/0,""),preDEL!AS407)</f>
        <v/>
      </c>
      <c r="AT407" s="112" t="b">
        <f>IF(preDEL!$AG407,IFERROR(0/0,""),preDEL!AT407)</f>
        <v>0</v>
      </c>
      <c r="AU407" s="112" t="str">
        <f>IF(preDEL!$AG407,IFERROR(0/0,""),preDEL!AU407)</f>
        <v/>
      </c>
      <c r="AV407" s="112" t="str">
        <f>IF(preDEL!$AG407,IFERROR(0/0,""),preDEL!AV407)</f>
        <v/>
      </c>
      <c r="AW407" s="112" t="str">
        <f>IF(preDEL!$AG407,IFERROR(0/0,""),preDEL!AW407)</f>
        <v/>
      </c>
      <c r="AX407" s="112" t="str">
        <f>IF(preDEL!$AG407,IFERROR(0/0,""),preDEL!AX407)</f>
        <v/>
      </c>
      <c r="AY407" s="112" t="str">
        <f>IF(preDEL!$AG407,IFERROR(0/0,""),preDEL!AY407)</f>
        <v/>
      </c>
      <c r="AZ407" s="174"/>
      <c r="BA407" s="174"/>
      <c r="BB407" s="174"/>
      <c r="BC407" s="174"/>
      <c r="BD407" s="174"/>
      <c r="BE407" s="174"/>
      <c r="BF407" s="174"/>
      <c r="BG407" s="174"/>
      <c r="BH407" s="174"/>
      <c r="BI407" s="174"/>
      <c r="BJ407" s="174"/>
      <c r="BK407" s="174"/>
      <c r="BL407" s="174"/>
      <c r="BM407" s="174"/>
      <c r="BN407" s="174"/>
      <c r="BO407" s="174"/>
      <c r="BP407" s="174"/>
      <c r="BQ407" s="174"/>
      <c r="BR407" s="174"/>
      <c r="BS407" s="174"/>
      <c r="BT407" s="174"/>
      <c r="BU407" s="174"/>
      <c r="BV407" s="174"/>
      <c r="BW407" s="174"/>
      <c r="BX407" s="174"/>
      <c r="BY407" s="174"/>
      <c r="BZ407" s="174"/>
      <c r="CA407" s="174"/>
      <c r="CB407" s="174"/>
      <c r="CC407" s="174"/>
      <c r="CD407" s="174"/>
    </row>
    <row r="408">
      <c r="A408" s="105" t="str">
        <f>IF(preDEL!$AG408,IFERROR(0/0,""),preDEL!A408)</f>
        <v>MA296</v>
      </c>
      <c r="B408" s="170">
        <f>IF(preDEL!$AG408,IFERROR(0/0,""),preDEL!B408)</f>
        <v>44607</v>
      </c>
      <c r="C408" s="171">
        <f>IF(preDEL!$AG408,IFERROR(0/0,""),preDEL!C408)</f>
        <v>0.3235069444</v>
      </c>
      <c r="D408" s="105" t="str">
        <f>IF(preDEL!$AG408,IFERROR(0/0,""),preDEL!D408)</f>
        <v/>
      </c>
      <c r="E408" s="105" t="str">
        <f>IF(preDEL!$AG408,IFERROR(0/0,""),preDEL!E408)</f>
        <v/>
      </c>
      <c r="F408" s="112" t="str">
        <f>IF(preDEL!$AG408,IFERROR(0/0,""),preDEL!F408)</f>
        <v/>
      </c>
      <c r="G408" s="112" t="str">
        <f>IF(preDEL!$AG408,IFERROR(0/0,""),preDEL!G408)</f>
        <v/>
      </c>
      <c r="H408" s="112" t="str">
        <f>IF(preDEL!$AG408,IFERROR(0/0,""),preDEL!H408)</f>
        <v/>
      </c>
      <c r="I408" s="105" t="str">
        <f>IF(preDEL!$AG408,IFERROR(0/0,""),preDEL!I408)</f>
        <v/>
      </c>
      <c r="J408" s="105" t="str">
        <f>IF(preDEL!$AG408,IFERROR(0/0,""),preDEL!J408)</f>
        <v/>
      </c>
      <c r="K408" s="105" t="str">
        <f>IF(preDEL!$AG408,IFERROR(0/0,""),preDEL!K408)</f>
        <v>Negative</v>
      </c>
      <c r="L408" s="170">
        <f>IF(preDEL!$AG408,IFERROR(0/0,""),preDEL!L408)</f>
        <v>44607</v>
      </c>
      <c r="M408" s="171">
        <f>IF(preDEL!$AG408,IFERROR(0/0,""),preDEL!M408)</f>
        <v>0.5868055556</v>
      </c>
      <c r="N408" s="112" t="str">
        <f>IF(preDEL!$AG408,IFERROR(0/0,""),preDEL!N408)</f>
        <v/>
      </c>
      <c r="O408" s="112" t="str">
        <f>IF(preDEL!$AG408,IFERROR(0/0,""),preDEL!O408)</f>
        <v/>
      </c>
      <c r="P408" s="110" t="b">
        <f>IF(preDEL!$AG408,IFERROR(0/0,""),preDEL!P408)</f>
        <v>0</v>
      </c>
      <c r="Q408" s="110" t="str">
        <f>IF(preDEL!$AG408,IFERROR(0/0,""),preDEL!Q408)</f>
        <v>Result</v>
      </c>
      <c r="R408" s="104" t="b">
        <f>IF(preDEL!$AG408,IFERROR(0/0,""),preDEL!R408)</f>
        <v>1</v>
      </c>
      <c r="S408" s="104">
        <f>IF(preDEL!$AG408,IFERROR(0/0,""),preDEL!S408)</f>
        <v>1</v>
      </c>
      <c r="T408" s="110" t="str">
        <f>IF(preDEL!$AG408,IFERROR(0/0,""),preDEL!T408)</f>
        <v/>
      </c>
      <c r="U408" s="112" t="str">
        <f>IF(preDEL!$AG408,IFERROR(0/0,""),preDEL!U408)</f>
        <v/>
      </c>
      <c r="V408" s="105" t="str">
        <f>IF(preDEL!$AG408,IFERROR(0/0,""),preDEL!V408)</f>
        <v/>
      </c>
      <c r="W408" s="112" t="str">
        <f>IF(preDEL!$AG408,IFERROR(0/0,""),preDEL!W408)</f>
        <v/>
      </c>
      <c r="X408" s="104" t="b">
        <f>IF(preDEL!$AG408,IFERROR(0/0,""),preDEL!X408)</f>
        <v>0</v>
      </c>
      <c r="Y408" s="110" t="b">
        <f>IF(preDEL!$AG408,IFERROR(0/0,""),preDEL!Y408)</f>
        <v>0</v>
      </c>
      <c r="Z408" s="105" t="str">
        <f>IF(preDEL!$AG408,IFERROR(0/0,""),preDEL!Z408)</f>
        <v/>
      </c>
      <c r="AA408" s="110" t="b">
        <f>IF(preDEL!$AG408,IFERROR(0/0,""),preDEL!AA408)</f>
        <v>0</v>
      </c>
      <c r="AB408" s="110" t="b">
        <f>IF(preDEL!$AG408,IFERROR(0/0,""),preDEL!AB408)</f>
        <v>0</v>
      </c>
      <c r="AC408" s="172">
        <f>IF(preDEL!$AG408,IFERROR(0/0,""),preDEL!AC408)</f>
        <v>400</v>
      </c>
      <c r="AD408" s="104" t="b">
        <f>IF(preDEL!$AG408,IFERROR(0/0,""),preDEL!AD408)</f>
        <v>0</v>
      </c>
      <c r="AE408" s="173">
        <f>IF(preDEL!$AG408,IFERROR(0/0,""),preDEL!AE408)</f>
        <v>379.15</v>
      </c>
      <c r="AF408" s="110" t="b">
        <f>IF(preDEL!$AG408,IFERROR(0/0,""),preDEL!AF408)</f>
        <v>0</v>
      </c>
      <c r="AG408" s="110" t="b">
        <f>IF(preDEL!$AG408,IFERROR(0/0,""),preDEL!AG408)</f>
        <v>0</v>
      </c>
      <c r="AH408" s="104" t="str">
        <f>IF(preDEL!$AG408,IFERROR(0/0,""),preDEL!AH408)</f>
        <v/>
      </c>
      <c r="AI408" s="105" t="str">
        <f>IF(preDEL!$AG408,IFERROR(0/0,""),preDEL!AI408)</f>
        <v/>
      </c>
      <c r="AJ408" s="112" t="str">
        <f>IF(preDEL!$AG408,IFERROR(0/0,""),preDEL!AJ408)</f>
        <v/>
      </c>
      <c r="AK408" s="105" t="str">
        <f>IF(preDEL!$AG408,IFERROR(0/0,""),preDEL!AK408)</f>
        <v>Negative</v>
      </c>
      <c r="AL408" s="112" t="str">
        <f>IF(preDEL!$AG408,IFERROR(0/0,""),preDEL!AL408)</f>
        <v/>
      </c>
      <c r="AM408" s="112" t="str">
        <f>IF(preDEL!$AG408,IFERROR(0/0,""),preDEL!AM408)</f>
        <v>SpBEND302553</v>
      </c>
      <c r="AN408" s="112" t="str">
        <f>IF(preDEL!$AG408,IFERROR(0/0,""),preDEL!AN408)</f>
        <v>BEND219101</v>
      </c>
      <c r="AO408" s="112" t="str">
        <f>IF(preDEL!$AG408,IFERROR(0/0,""),preDEL!AO408)</f>
        <v/>
      </c>
      <c r="AP408" s="112" t="str">
        <f>IF(preDEL!$AG408,IFERROR(0/0,""),preDEL!AP408)</f>
        <v/>
      </c>
      <c r="AQ408" s="112" t="str">
        <f>IF(preDEL!$AG408,IFERROR(0/0,""),preDEL!AQ408)</f>
        <v/>
      </c>
      <c r="AR408" s="112" t="str">
        <f>IF(preDEL!$AG408,IFERROR(0/0,""),preDEL!AR408)</f>
        <v/>
      </c>
      <c r="AS408" s="112" t="str">
        <f>IF(preDEL!$AG408,IFERROR(0/0,""),preDEL!AS408)</f>
        <v/>
      </c>
      <c r="AT408" s="112" t="b">
        <f>IF(preDEL!$AG408,IFERROR(0/0,""),preDEL!AT408)</f>
        <v>0</v>
      </c>
      <c r="AU408" s="112" t="str">
        <f>IF(preDEL!$AG408,IFERROR(0/0,""),preDEL!AU408)</f>
        <v/>
      </c>
      <c r="AV408" s="112" t="str">
        <f>IF(preDEL!$AG408,IFERROR(0/0,""),preDEL!AV408)</f>
        <v/>
      </c>
      <c r="AW408" s="112" t="str">
        <f>IF(preDEL!$AG408,IFERROR(0/0,""),preDEL!AW408)</f>
        <v/>
      </c>
      <c r="AX408" s="112" t="str">
        <f>IF(preDEL!$AG408,IFERROR(0/0,""),preDEL!AX408)</f>
        <v/>
      </c>
      <c r="AY408" s="112" t="str">
        <f>IF(preDEL!$AG408,IFERROR(0/0,""),preDEL!AY408)</f>
        <v/>
      </c>
      <c r="AZ408" s="174"/>
      <c r="BA408" s="174"/>
      <c r="BB408" s="174"/>
      <c r="BC408" s="174"/>
      <c r="BD408" s="174"/>
      <c r="BE408" s="174"/>
      <c r="BF408" s="174"/>
      <c r="BG408" s="174"/>
      <c r="BH408" s="174"/>
      <c r="BI408" s="174"/>
      <c r="BJ408" s="174"/>
      <c r="BK408" s="174"/>
      <c r="BL408" s="174"/>
      <c r="BM408" s="174"/>
      <c r="BN408" s="174"/>
      <c r="BO408" s="174"/>
      <c r="BP408" s="174"/>
      <c r="BQ408" s="174"/>
      <c r="BR408" s="174"/>
      <c r="BS408" s="174"/>
      <c r="BT408" s="174"/>
      <c r="BU408" s="174"/>
      <c r="BV408" s="174"/>
      <c r="BW408" s="174"/>
      <c r="BX408" s="174"/>
      <c r="BY408" s="174"/>
      <c r="BZ408" s="174"/>
      <c r="CA408" s="174"/>
      <c r="CB408" s="174"/>
      <c r="CC408" s="174"/>
      <c r="CD408" s="174"/>
    </row>
    <row r="409">
      <c r="A409" s="105" t="str">
        <f>IF(preDEL!$AG409,IFERROR(0/0,""),preDEL!A409)</f>
        <v>MAX135</v>
      </c>
      <c r="B409" s="170">
        <f>IF(preDEL!$AG409,IFERROR(0/0,""),preDEL!B409)</f>
        <v>44607</v>
      </c>
      <c r="C409" s="171">
        <f>IF(preDEL!$AG409,IFERROR(0/0,""),preDEL!C409)</f>
        <v>0.3248726852</v>
      </c>
      <c r="D409" s="105" t="str">
        <f>IF(preDEL!$AG409,IFERROR(0/0,""),preDEL!D409)</f>
        <v/>
      </c>
      <c r="E409" s="105" t="str">
        <f>IF(preDEL!$AG409,IFERROR(0/0,""),preDEL!E409)</f>
        <v/>
      </c>
      <c r="F409" s="112" t="str">
        <f>IF(preDEL!$AG409,IFERROR(0/0,""),preDEL!F409)</f>
        <v/>
      </c>
      <c r="G409" s="112" t="str">
        <f>IF(preDEL!$AG409,IFERROR(0/0,""),preDEL!G409)</f>
        <v/>
      </c>
      <c r="H409" s="112" t="str">
        <f>IF(preDEL!$AG409,IFERROR(0/0,""),preDEL!H409)</f>
        <v/>
      </c>
      <c r="I409" s="105" t="str">
        <f>IF(preDEL!$AG409,IFERROR(0/0,""),preDEL!I409)</f>
        <v/>
      </c>
      <c r="J409" s="105" t="str">
        <f>IF(preDEL!$AG409,IFERROR(0/0,""),preDEL!J409)</f>
        <v/>
      </c>
      <c r="K409" s="105" t="str">
        <f>IF(preDEL!$AG409,IFERROR(0/0,""),preDEL!K409)</f>
        <v>Negative</v>
      </c>
      <c r="L409" s="170">
        <f>IF(preDEL!$AG409,IFERROR(0/0,""),preDEL!L409)</f>
        <v>44607</v>
      </c>
      <c r="M409" s="171">
        <f>IF(preDEL!$AG409,IFERROR(0/0,""),preDEL!M409)</f>
        <v>0.5868055556</v>
      </c>
      <c r="N409" s="112" t="str">
        <f>IF(preDEL!$AG409,IFERROR(0/0,""),preDEL!N409)</f>
        <v/>
      </c>
      <c r="O409" s="112" t="str">
        <f>IF(preDEL!$AG409,IFERROR(0/0,""),preDEL!O409)</f>
        <v/>
      </c>
      <c r="P409" s="110" t="b">
        <f>IF(preDEL!$AG409,IFERROR(0/0,""),preDEL!P409)</f>
        <v>0</v>
      </c>
      <c r="Q409" s="110" t="str">
        <f>IF(preDEL!$AG409,IFERROR(0/0,""),preDEL!Q409)</f>
        <v>Result</v>
      </c>
      <c r="R409" s="104" t="b">
        <f>IF(preDEL!$AG409,IFERROR(0/0,""),preDEL!R409)</f>
        <v>1</v>
      </c>
      <c r="S409" s="104">
        <f>IF(preDEL!$AG409,IFERROR(0/0,""),preDEL!S409)</f>
        <v>1</v>
      </c>
      <c r="T409" s="110" t="str">
        <f>IF(preDEL!$AG409,IFERROR(0/0,""),preDEL!T409)</f>
        <v/>
      </c>
      <c r="U409" s="112" t="str">
        <f>IF(preDEL!$AG409,IFERROR(0/0,""),preDEL!U409)</f>
        <v/>
      </c>
      <c r="V409" s="105" t="str">
        <f>IF(preDEL!$AG409,IFERROR(0/0,""),preDEL!V409)</f>
        <v/>
      </c>
      <c r="W409" s="112" t="str">
        <f>IF(preDEL!$AG409,IFERROR(0/0,""),preDEL!W409)</f>
        <v/>
      </c>
      <c r="X409" s="104" t="b">
        <f>IF(preDEL!$AG409,IFERROR(0/0,""),preDEL!X409)</f>
        <v>0</v>
      </c>
      <c r="Y409" s="110" t="b">
        <f>IF(preDEL!$AG409,IFERROR(0/0,""),preDEL!Y409)</f>
        <v>0</v>
      </c>
      <c r="Z409" s="105" t="str">
        <f>IF(preDEL!$AG409,IFERROR(0/0,""),preDEL!Z409)</f>
        <v/>
      </c>
      <c r="AA409" s="110" t="b">
        <f>IF(preDEL!$AG409,IFERROR(0/0,""),preDEL!AA409)</f>
        <v>0</v>
      </c>
      <c r="AB409" s="110" t="b">
        <f>IF(preDEL!$AG409,IFERROR(0/0,""),preDEL!AB409)</f>
        <v>0</v>
      </c>
      <c r="AC409" s="172">
        <f>IF(preDEL!$AG409,IFERROR(0/0,""),preDEL!AC409)</f>
        <v>399</v>
      </c>
      <c r="AD409" s="104" t="b">
        <f>IF(preDEL!$AG409,IFERROR(0/0,""),preDEL!AD409)</f>
        <v>0</v>
      </c>
      <c r="AE409" s="173">
        <f>IF(preDEL!$AG409,IFERROR(0/0,""),preDEL!AE409)</f>
        <v>377.1833333</v>
      </c>
      <c r="AF409" s="110" t="b">
        <f>IF(preDEL!$AG409,IFERROR(0/0,""),preDEL!AF409)</f>
        <v>0</v>
      </c>
      <c r="AG409" s="110" t="b">
        <f>IF(preDEL!$AG409,IFERROR(0/0,""),preDEL!AG409)</f>
        <v>0</v>
      </c>
      <c r="AH409" s="104" t="str">
        <f>IF(preDEL!$AG409,IFERROR(0/0,""),preDEL!AH409)</f>
        <v/>
      </c>
      <c r="AI409" s="105" t="str">
        <f>IF(preDEL!$AG409,IFERROR(0/0,""),preDEL!AI409)</f>
        <v/>
      </c>
      <c r="AJ409" s="112" t="str">
        <f>IF(preDEL!$AG409,IFERROR(0/0,""),preDEL!AJ409)</f>
        <v/>
      </c>
      <c r="AK409" s="105" t="str">
        <f>IF(preDEL!$AG409,IFERROR(0/0,""),preDEL!AK409)</f>
        <v>Negative</v>
      </c>
      <c r="AL409" s="112" t="str">
        <f>IF(preDEL!$AG409,IFERROR(0/0,""),preDEL!AL409)</f>
        <v/>
      </c>
      <c r="AM409" s="112" t="str">
        <f>IF(preDEL!$AG409,IFERROR(0/0,""),preDEL!AM409)</f>
        <v>SpBEND139816</v>
      </c>
      <c r="AN409" s="112" t="str">
        <f>IF(preDEL!$AG409,IFERROR(0/0,""),preDEL!AN409)</f>
        <v>BEND492855</v>
      </c>
      <c r="AO409" s="112" t="str">
        <f>IF(preDEL!$AG409,IFERROR(0/0,""),preDEL!AO409)</f>
        <v/>
      </c>
      <c r="AP409" s="112" t="str">
        <f>IF(preDEL!$AG409,IFERROR(0/0,""),preDEL!AP409)</f>
        <v/>
      </c>
      <c r="AQ409" s="112" t="str">
        <f>IF(preDEL!$AG409,IFERROR(0/0,""),preDEL!AQ409)</f>
        <v/>
      </c>
      <c r="AR409" s="112" t="str">
        <f>IF(preDEL!$AG409,IFERROR(0/0,""),preDEL!AR409)</f>
        <v/>
      </c>
      <c r="AS409" s="112" t="str">
        <f>IF(preDEL!$AG409,IFERROR(0/0,""),preDEL!AS409)</f>
        <v/>
      </c>
      <c r="AT409" s="112" t="b">
        <f>IF(preDEL!$AG409,IFERROR(0/0,""),preDEL!AT409)</f>
        <v>0</v>
      </c>
      <c r="AU409" s="112" t="str">
        <f>IF(preDEL!$AG409,IFERROR(0/0,""),preDEL!AU409)</f>
        <v/>
      </c>
      <c r="AV409" s="112" t="str">
        <f>IF(preDEL!$AG409,IFERROR(0/0,""),preDEL!AV409)</f>
        <v/>
      </c>
      <c r="AW409" s="112" t="str">
        <f>IF(preDEL!$AG409,IFERROR(0/0,""),preDEL!AW409)</f>
        <v/>
      </c>
      <c r="AX409" s="112" t="str">
        <f>IF(preDEL!$AG409,IFERROR(0/0,""),preDEL!AX409)</f>
        <v/>
      </c>
      <c r="AY409" s="112" t="str">
        <f>IF(preDEL!$AG409,IFERROR(0/0,""),preDEL!AY409)</f>
        <v/>
      </c>
      <c r="AZ409" s="174"/>
      <c r="BA409" s="174"/>
      <c r="BB409" s="174"/>
      <c r="BC409" s="174"/>
      <c r="BD409" s="174"/>
      <c r="BE409" s="174"/>
      <c r="BF409" s="174"/>
      <c r="BG409" s="174"/>
      <c r="BH409" s="174"/>
      <c r="BI409" s="174"/>
      <c r="BJ409" s="174"/>
      <c r="BK409" s="174"/>
      <c r="BL409" s="174"/>
      <c r="BM409" s="174"/>
      <c r="BN409" s="174"/>
      <c r="BO409" s="174"/>
      <c r="BP409" s="174"/>
      <c r="BQ409" s="174"/>
      <c r="BR409" s="174"/>
      <c r="BS409" s="174"/>
      <c r="BT409" s="174"/>
      <c r="BU409" s="174"/>
      <c r="BV409" s="174"/>
      <c r="BW409" s="174"/>
      <c r="BX409" s="174"/>
      <c r="BY409" s="174"/>
      <c r="BZ409" s="174"/>
      <c r="CA409" s="174"/>
      <c r="CB409" s="174"/>
      <c r="CC409" s="174"/>
      <c r="CD409" s="174"/>
    </row>
    <row r="410">
      <c r="A410" s="105" t="str">
        <f>IF(preDEL!$AG410,IFERROR(0/0,""),preDEL!A410)</f>
        <v>MA1069</v>
      </c>
      <c r="B410" s="170">
        <f>IF(preDEL!$AG410,IFERROR(0/0,""),preDEL!B410)</f>
        <v>44607</v>
      </c>
      <c r="C410" s="171">
        <f>IF(preDEL!$AG410,IFERROR(0/0,""),preDEL!C410)</f>
        <v>0.3253819444</v>
      </c>
      <c r="D410" s="105" t="str">
        <f>IF(preDEL!$AG410,IFERROR(0/0,""),preDEL!D410)</f>
        <v/>
      </c>
      <c r="E410" s="105" t="str">
        <f>IF(preDEL!$AG410,IFERROR(0/0,""),preDEL!E410)</f>
        <v/>
      </c>
      <c r="F410" s="112" t="str">
        <f>IF(preDEL!$AG410,IFERROR(0/0,""),preDEL!F410)</f>
        <v/>
      </c>
      <c r="G410" s="112" t="str">
        <f>IF(preDEL!$AG410,IFERROR(0/0,""),preDEL!G410)</f>
        <v/>
      </c>
      <c r="H410" s="112" t="str">
        <f>IF(preDEL!$AG410,IFERROR(0/0,""),preDEL!H410)</f>
        <v/>
      </c>
      <c r="I410" s="105" t="str">
        <f>IF(preDEL!$AG410,IFERROR(0/0,""),preDEL!I410)</f>
        <v/>
      </c>
      <c r="J410" s="105" t="str">
        <f>IF(preDEL!$AG410,IFERROR(0/0,""),preDEL!J410)</f>
        <v/>
      </c>
      <c r="K410" s="105" t="str">
        <f>IF(preDEL!$AG410,IFERROR(0/0,""),preDEL!K410)</f>
        <v>Negative</v>
      </c>
      <c r="L410" s="170">
        <f>IF(preDEL!$AG410,IFERROR(0/0,""),preDEL!L410)</f>
        <v>44607</v>
      </c>
      <c r="M410" s="171">
        <f>IF(preDEL!$AG410,IFERROR(0/0,""),preDEL!M410)</f>
        <v>0.5868055556</v>
      </c>
      <c r="N410" s="112" t="str">
        <f>IF(preDEL!$AG410,IFERROR(0/0,""),preDEL!N410)</f>
        <v/>
      </c>
      <c r="O410" s="112" t="str">
        <f>IF(preDEL!$AG410,IFERROR(0/0,""),preDEL!O410)</f>
        <v/>
      </c>
      <c r="P410" s="110" t="b">
        <f>IF(preDEL!$AG410,IFERROR(0/0,""),preDEL!P410)</f>
        <v>0</v>
      </c>
      <c r="Q410" s="110" t="str">
        <f>IF(preDEL!$AG410,IFERROR(0/0,""),preDEL!Q410)</f>
        <v>Result</v>
      </c>
      <c r="R410" s="104" t="b">
        <f>IF(preDEL!$AG410,IFERROR(0/0,""),preDEL!R410)</f>
        <v>1</v>
      </c>
      <c r="S410" s="104">
        <f>IF(preDEL!$AG410,IFERROR(0/0,""),preDEL!S410)</f>
        <v>1</v>
      </c>
      <c r="T410" s="110" t="str">
        <f>IF(preDEL!$AG410,IFERROR(0/0,""),preDEL!T410)</f>
        <v/>
      </c>
      <c r="U410" s="112" t="str">
        <f>IF(preDEL!$AG410,IFERROR(0/0,""),preDEL!U410)</f>
        <v/>
      </c>
      <c r="V410" s="105" t="str">
        <f>IF(preDEL!$AG410,IFERROR(0/0,""),preDEL!V410)</f>
        <v/>
      </c>
      <c r="W410" s="112" t="str">
        <f>IF(preDEL!$AG410,IFERROR(0/0,""),preDEL!W410)</f>
        <v/>
      </c>
      <c r="X410" s="104" t="b">
        <f>IF(preDEL!$AG410,IFERROR(0/0,""),preDEL!X410)</f>
        <v>0</v>
      </c>
      <c r="Y410" s="110" t="b">
        <f>IF(preDEL!$AG410,IFERROR(0/0,""),preDEL!Y410)</f>
        <v>0</v>
      </c>
      <c r="Z410" s="105" t="str">
        <f>IF(preDEL!$AG410,IFERROR(0/0,""),preDEL!Z410)</f>
        <v/>
      </c>
      <c r="AA410" s="110" t="b">
        <f>IF(preDEL!$AG410,IFERROR(0/0,""),preDEL!AA410)</f>
        <v>0</v>
      </c>
      <c r="AB410" s="110" t="b">
        <f>IF(preDEL!$AG410,IFERROR(0/0,""),preDEL!AB410)</f>
        <v>0</v>
      </c>
      <c r="AC410" s="172">
        <f>IF(preDEL!$AG410,IFERROR(0/0,""),preDEL!AC410)</f>
        <v>398</v>
      </c>
      <c r="AD410" s="104" t="b">
        <f>IF(preDEL!$AG410,IFERROR(0/0,""),preDEL!AD410)</f>
        <v>0</v>
      </c>
      <c r="AE410" s="173">
        <f>IF(preDEL!$AG410,IFERROR(0/0,""),preDEL!AE410)</f>
        <v>376.45</v>
      </c>
      <c r="AF410" s="110" t="b">
        <f>IF(preDEL!$AG410,IFERROR(0/0,""),preDEL!AF410)</f>
        <v>0</v>
      </c>
      <c r="AG410" s="110" t="b">
        <f>IF(preDEL!$AG410,IFERROR(0/0,""),preDEL!AG410)</f>
        <v>0</v>
      </c>
      <c r="AH410" s="104" t="str">
        <f>IF(preDEL!$AG410,IFERROR(0/0,""),preDEL!AH410)</f>
        <v/>
      </c>
      <c r="AI410" s="105" t="str">
        <f>IF(preDEL!$AG410,IFERROR(0/0,""),preDEL!AI410)</f>
        <v/>
      </c>
      <c r="AJ410" s="112" t="str">
        <f>IF(preDEL!$AG410,IFERROR(0/0,""),preDEL!AJ410)</f>
        <v/>
      </c>
      <c r="AK410" s="105" t="str">
        <f>IF(preDEL!$AG410,IFERROR(0/0,""),preDEL!AK410)</f>
        <v>Negative</v>
      </c>
      <c r="AL410" s="112" t="str">
        <f>IF(preDEL!$AG410,IFERROR(0/0,""),preDEL!AL410)</f>
        <v/>
      </c>
      <c r="AM410" s="112" t="str">
        <f>IF(preDEL!$AG410,IFERROR(0/0,""),preDEL!AM410)</f>
        <v>SpBEND967817</v>
      </c>
      <c r="AN410" s="112" t="str">
        <f>IF(preDEL!$AG410,IFERROR(0/0,""),preDEL!AN410)</f>
        <v>BEND525341</v>
      </c>
      <c r="AO410" s="112" t="str">
        <f>IF(preDEL!$AG410,IFERROR(0/0,""),preDEL!AO410)</f>
        <v/>
      </c>
      <c r="AP410" s="112" t="str">
        <f>IF(preDEL!$AG410,IFERROR(0/0,""),preDEL!AP410)</f>
        <v/>
      </c>
      <c r="AQ410" s="112" t="str">
        <f>IF(preDEL!$AG410,IFERROR(0/0,""),preDEL!AQ410)</f>
        <v/>
      </c>
      <c r="AR410" s="112" t="str">
        <f>IF(preDEL!$AG410,IFERROR(0/0,""),preDEL!AR410)</f>
        <v/>
      </c>
      <c r="AS410" s="112" t="str">
        <f>IF(preDEL!$AG410,IFERROR(0/0,""),preDEL!AS410)</f>
        <v/>
      </c>
      <c r="AT410" s="112" t="b">
        <f>IF(preDEL!$AG410,IFERROR(0/0,""),preDEL!AT410)</f>
        <v>0</v>
      </c>
      <c r="AU410" s="112" t="str">
        <f>IF(preDEL!$AG410,IFERROR(0/0,""),preDEL!AU410)</f>
        <v/>
      </c>
      <c r="AV410" s="112" t="str">
        <f>IF(preDEL!$AG410,IFERROR(0/0,""),preDEL!AV410)</f>
        <v/>
      </c>
      <c r="AW410" s="112" t="str">
        <f>IF(preDEL!$AG410,IFERROR(0/0,""),preDEL!AW410)</f>
        <v/>
      </c>
      <c r="AX410" s="112" t="str">
        <f>IF(preDEL!$AG410,IFERROR(0/0,""),preDEL!AX410)</f>
        <v/>
      </c>
      <c r="AY410" s="112" t="str">
        <f>IF(preDEL!$AG410,IFERROR(0/0,""),preDEL!AY410)</f>
        <v/>
      </c>
      <c r="AZ410" s="174"/>
      <c r="BA410" s="174"/>
      <c r="BB410" s="174"/>
      <c r="BC410" s="174"/>
      <c r="BD410" s="174"/>
      <c r="BE410" s="174"/>
      <c r="BF410" s="174"/>
      <c r="BG410" s="174"/>
      <c r="BH410" s="174"/>
      <c r="BI410" s="174"/>
      <c r="BJ410" s="174"/>
      <c r="BK410" s="174"/>
      <c r="BL410" s="174"/>
      <c r="BM410" s="174"/>
      <c r="BN410" s="174"/>
      <c r="BO410" s="174"/>
      <c r="BP410" s="174"/>
      <c r="BQ410" s="174"/>
      <c r="BR410" s="174"/>
      <c r="BS410" s="174"/>
      <c r="BT410" s="174"/>
      <c r="BU410" s="174"/>
      <c r="BV410" s="174"/>
      <c r="BW410" s="174"/>
      <c r="BX410" s="174"/>
      <c r="BY410" s="174"/>
      <c r="BZ410" s="174"/>
      <c r="CA410" s="174"/>
      <c r="CB410" s="174"/>
      <c r="CC410" s="174"/>
      <c r="CD410" s="174"/>
    </row>
    <row r="411">
      <c r="A411" s="105" t="str">
        <f>IF(preDEL!$AG411,IFERROR(0/0,""),preDEL!A411)</f>
        <v>MA391</v>
      </c>
      <c r="B411" s="170">
        <f>IF(preDEL!$AG411,IFERROR(0/0,""),preDEL!B411)</f>
        <v>44607</v>
      </c>
      <c r="C411" s="171">
        <f>IF(preDEL!$AG411,IFERROR(0/0,""),preDEL!C411)</f>
        <v>0.3254398148</v>
      </c>
      <c r="D411" s="105" t="str">
        <f>IF(preDEL!$AG411,IFERROR(0/0,""),preDEL!D411)</f>
        <v/>
      </c>
      <c r="E411" s="105" t="str">
        <f>IF(preDEL!$AG411,IFERROR(0/0,""),preDEL!E411)</f>
        <v/>
      </c>
      <c r="F411" s="112" t="str">
        <f>IF(preDEL!$AG411,IFERROR(0/0,""),preDEL!F411)</f>
        <v/>
      </c>
      <c r="G411" s="112" t="str">
        <f>IF(preDEL!$AG411,IFERROR(0/0,""),preDEL!G411)</f>
        <v/>
      </c>
      <c r="H411" s="112" t="str">
        <f>IF(preDEL!$AG411,IFERROR(0/0,""),preDEL!H411)</f>
        <v/>
      </c>
      <c r="I411" s="105" t="str">
        <f>IF(preDEL!$AG411,IFERROR(0/0,""),preDEL!I411)</f>
        <v/>
      </c>
      <c r="J411" s="105" t="str">
        <f>IF(preDEL!$AG411,IFERROR(0/0,""),preDEL!J411)</f>
        <v/>
      </c>
      <c r="K411" s="105" t="str">
        <f>IF(preDEL!$AG411,IFERROR(0/0,""),preDEL!K411)</f>
        <v>Negative</v>
      </c>
      <c r="L411" s="170">
        <f>IF(preDEL!$AG411,IFERROR(0/0,""),preDEL!L411)</f>
        <v>44607</v>
      </c>
      <c r="M411" s="171">
        <f>IF(preDEL!$AG411,IFERROR(0/0,""),preDEL!M411)</f>
        <v>0.5868055556</v>
      </c>
      <c r="N411" s="112" t="str">
        <f>IF(preDEL!$AG411,IFERROR(0/0,""),preDEL!N411)</f>
        <v/>
      </c>
      <c r="O411" s="112" t="str">
        <f>IF(preDEL!$AG411,IFERROR(0/0,""),preDEL!O411)</f>
        <v/>
      </c>
      <c r="P411" s="110" t="b">
        <f>IF(preDEL!$AG411,IFERROR(0/0,""),preDEL!P411)</f>
        <v>0</v>
      </c>
      <c r="Q411" s="110" t="str">
        <f>IF(preDEL!$AG411,IFERROR(0/0,""),preDEL!Q411)</f>
        <v>Result</v>
      </c>
      <c r="R411" s="104" t="b">
        <f>IF(preDEL!$AG411,IFERROR(0/0,""),preDEL!R411)</f>
        <v>1</v>
      </c>
      <c r="S411" s="104">
        <f>IF(preDEL!$AG411,IFERROR(0/0,""),preDEL!S411)</f>
        <v>1</v>
      </c>
      <c r="T411" s="110" t="str">
        <f>IF(preDEL!$AG411,IFERROR(0/0,""),preDEL!T411)</f>
        <v/>
      </c>
      <c r="U411" s="112" t="str">
        <f>IF(preDEL!$AG411,IFERROR(0/0,""),preDEL!U411)</f>
        <v/>
      </c>
      <c r="V411" s="105" t="str">
        <f>IF(preDEL!$AG411,IFERROR(0/0,""),preDEL!V411)</f>
        <v/>
      </c>
      <c r="W411" s="112" t="str">
        <f>IF(preDEL!$AG411,IFERROR(0/0,""),preDEL!W411)</f>
        <v/>
      </c>
      <c r="X411" s="104" t="b">
        <f>IF(preDEL!$AG411,IFERROR(0/0,""),preDEL!X411)</f>
        <v>0</v>
      </c>
      <c r="Y411" s="110" t="b">
        <f>IF(preDEL!$AG411,IFERROR(0/0,""),preDEL!Y411)</f>
        <v>0</v>
      </c>
      <c r="Z411" s="105" t="str">
        <f>IF(preDEL!$AG411,IFERROR(0/0,""),preDEL!Z411)</f>
        <v/>
      </c>
      <c r="AA411" s="110" t="b">
        <f>IF(preDEL!$AG411,IFERROR(0/0,""),preDEL!AA411)</f>
        <v>0</v>
      </c>
      <c r="AB411" s="110" t="b">
        <f>IF(preDEL!$AG411,IFERROR(0/0,""),preDEL!AB411)</f>
        <v>0</v>
      </c>
      <c r="AC411" s="172">
        <f>IF(preDEL!$AG411,IFERROR(0/0,""),preDEL!AC411)</f>
        <v>397</v>
      </c>
      <c r="AD411" s="104" t="b">
        <f>IF(preDEL!$AG411,IFERROR(0/0,""),preDEL!AD411)</f>
        <v>0</v>
      </c>
      <c r="AE411" s="173">
        <f>IF(preDEL!$AG411,IFERROR(0/0,""),preDEL!AE411)</f>
        <v>376.3666667</v>
      </c>
      <c r="AF411" s="110" t="b">
        <f>IF(preDEL!$AG411,IFERROR(0/0,""),preDEL!AF411)</f>
        <v>0</v>
      </c>
      <c r="AG411" s="110" t="b">
        <f>IF(preDEL!$AG411,IFERROR(0/0,""),preDEL!AG411)</f>
        <v>0</v>
      </c>
      <c r="AH411" s="104" t="str">
        <f>IF(preDEL!$AG411,IFERROR(0/0,""),preDEL!AH411)</f>
        <v/>
      </c>
      <c r="AI411" s="105" t="str">
        <f>IF(preDEL!$AG411,IFERROR(0/0,""),preDEL!AI411)</f>
        <v/>
      </c>
      <c r="AJ411" s="112" t="str">
        <f>IF(preDEL!$AG411,IFERROR(0/0,""),preDEL!AJ411)</f>
        <v/>
      </c>
      <c r="AK411" s="105" t="str">
        <f>IF(preDEL!$AG411,IFERROR(0/0,""),preDEL!AK411)</f>
        <v>Negative</v>
      </c>
      <c r="AL411" s="112" t="str">
        <f>IF(preDEL!$AG411,IFERROR(0/0,""),preDEL!AL411)</f>
        <v/>
      </c>
      <c r="AM411" s="112" t="str">
        <f>IF(preDEL!$AG411,IFERROR(0/0,""),preDEL!AM411)</f>
        <v>SpBEND490402</v>
      </c>
      <c r="AN411" s="112" t="str">
        <f>IF(preDEL!$AG411,IFERROR(0/0,""),preDEL!AN411)</f>
        <v>BEND842997</v>
      </c>
      <c r="AO411" s="112" t="str">
        <f>IF(preDEL!$AG411,IFERROR(0/0,""),preDEL!AO411)</f>
        <v/>
      </c>
      <c r="AP411" s="112" t="str">
        <f>IF(preDEL!$AG411,IFERROR(0/0,""),preDEL!AP411)</f>
        <v/>
      </c>
      <c r="AQ411" s="112" t="str">
        <f>IF(preDEL!$AG411,IFERROR(0/0,""),preDEL!AQ411)</f>
        <v/>
      </c>
      <c r="AR411" s="112" t="str">
        <f>IF(preDEL!$AG411,IFERROR(0/0,""),preDEL!AR411)</f>
        <v/>
      </c>
      <c r="AS411" s="112" t="str">
        <f>IF(preDEL!$AG411,IFERROR(0/0,""),preDEL!AS411)</f>
        <v/>
      </c>
      <c r="AT411" s="112" t="b">
        <f>IF(preDEL!$AG411,IFERROR(0/0,""),preDEL!AT411)</f>
        <v>0</v>
      </c>
      <c r="AU411" s="112" t="str">
        <f>IF(preDEL!$AG411,IFERROR(0/0,""),preDEL!AU411)</f>
        <v/>
      </c>
      <c r="AV411" s="112" t="str">
        <f>IF(preDEL!$AG411,IFERROR(0/0,""),preDEL!AV411)</f>
        <v/>
      </c>
      <c r="AW411" s="112" t="str">
        <f>IF(preDEL!$AG411,IFERROR(0/0,""),preDEL!AW411)</f>
        <v/>
      </c>
      <c r="AX411" s="112" t="str">
        <f>IF(preDEL!$AG411,IFERROR(0/0,""),preDEL!AX411)</f>
        <v/>
      </c>
      <c r="AY411" s="112" t="str">
        <f>IF(preDEL!$AG411,IFERROR(0/0,""),preDEL!AY411)</f>
        <v/>
      </c>
      <c r="AZ411" s="174"/>
      <c r="BA411" s="174"/>
      <c r="BB411" s="174"/>
      <c r="BC411" s="174"/>
      <c r="BD411" s="174"/>
      <c r="BE411" s="174"/>
      <c r="BF411" s="174"/>
      <c r="BG411" s="174"/>
      <c r="BH411" s="174"/>
      <c r="BI411" s="174"/>
      <c r="BJ411" s="174"/>
      <c r="BK411" s="174"/>
      <c r="BL411" s="174"/>
      <c r="BM411" s="174"/>
      <c r="BN411" s="174"/>
      <c r="BO411" s="174"/>
      <c r="BP411" s="174"/>
      <c r="BQ411" s="174"/>
      <c r="BR411" s="174"/>
      <c r="BS411" s="174"/>
      <c r="BT411" s="174"/>
      <c r="BU411" s="174"/>
      <c r="BV411" s="174"/>
      <c r="BW411" s="174"/>
      <c r="BX411" s="174"/>
      <c r="BY411" s="174"/>
      <c r="BZ411" s="174"/>
      <c r="CA411" s="174"/>
      <c r="CB411" s="174"/>
      <c r="CC411" s="174"/>
      <c r="CD411" s="174"/>
    </row>
    <row r="412">
      <c r="A412" s="105" t="str">
        <f>IF(preDEL!$AG412,IFERROR(0/0,""),preDEL!A412)</f>
        <v>FM452</v>
      </c>
      <c r="B412" s="170">
        <f>IF(preDEL!$AG412,IFERROR(0/0,""),preDEL!B412)</f>
        <v>44607</v>
      </c>
      <c r="C412" s="171">
        <f>IF(preDEL!$AG412,IFERROR(0/0,""),preDEL!C412)</f>
        <v>0.3266666667</v>
      </c>
      <c r="D412" s="105" t="str">
        <f>IF(preDEL!$AG412,IFERROR(0/0,""),preDEL!D412)</f>
        <v/>
      </c>
      <c r="E412" s="105" t="str">
        <f>IF(preDEL!$AG412,IFERROR(0/0,""),preDEL!E412)</f>
        <v/>
      </c>
      <c r="F412" s="112" t="str">
        <f>IF(preDEL!$AG412,IFERROR(0/0,""),preDEL!F412)</f>
        <v/>
      </c>
      <c r="G412" s="112" t="str">
        <f>IF(preDEL!$AG412,IFERROR(0/0,""),preDEL!G412)</f>
        <v/>
      </c>
      <c r="H412" s="112" t="str">
        <f>IF(preDEL!$AG412,IFERROR(0/0,""),preDEL!H412)</f>
        <v/>
      </c>
      <c r="I412" s="105" t="str">
        <f>IF(preDEL!$AG412,IFERROR(0/0,""),preDEL!I412)</f>
        <v/>
      </c>
      <c r="J412" s="105" t="str">
        <f>IF(preDEL!$AG412,IFERROR(0/0,""),preDEL!J412)</f>
        <v/>
      </c>
      <c r="K412" s="105" t="str">
        <f>IF(preDEL!$AG412,IFERROR(0/0,""),preDEL!K412)</f>
        <v>Negative</v>
      </c>
      <c r="L412" s="170">
        <f>IF(preDEL!$AG412,IFERROR(0/0,""),preDEL!L412)</f>
        <v>44607</v>
      </c>
      <c r="M412" s="171">
        <f>IF(preDEL!$AG412,IFERROR(0/0,""),preDEL!M412)</f>
        <v>0.5868055556</v>
      </c>
      <c r="N412" s="112" t="str">
        <f>IF(preDEL!$AG412,IFERROR(0/0,""),preDEL!N412)</f>
        <v/>
      </c>
      <c r="O412" s="112" t="str">
        <f>IF(preDEL!$AG412,IFERROR(0/0,""),preDEL!O412)</f>
        <v/>
      </c>
      <c r="P412" s="110" t="b">
        <f>IF(preDEL!$AG412,IFERROR(0/0,""),preDEL!P412)</f>
        <v>0</v>
      </c>
      <c r="Q412" s="110" t="str">
        <f>IF(preDEL!$AG412,IFERROR(0/0,""),preDEL!Q412)</f>
        <v>Result</v>
      </c>
      <c r="R412" s="104" t="b">
        <f>IF(preDEL!$AG412,IFERROR(0/0,""),preDEL!R412)</f>
        <v>1</v>
      </c>
      <c r="S412" s="104">
        <f>IF(preDEL!$AG412,IFERROR(0/0,""),preDEL!S412)</f>
        <v>1</v>
      </c>
      <c r="T412" s="110" t="str">
        <f>IF(preDEL!$AG412,IFERROR(0/0,""),preDEL!T412)</f>
        <v/>
      </c>
      <c r="U412" s="112" t="str">
        <f>IF(preDEL!$AG412,IFERROR(0/0,""),preDEL!U412)</f>
        <v/>
      </c>
      <c r="V412" s="105" t="str">
        <f>IF(preDEL!$AG412,IFERROR(0/0,""),preDEL!V412)</f>
        <v/>
      </c>
      <c r="W412" s="112" t="str">
        <f>IF(preDEL!$AG412,IFERROR(0/0,""),preDEL!W412)</f>
        <v/>
      </c>
      <c r="X412" s="104" t="b">
        <f>IF(preDEL!$AG412,IFERROR(0/0,""),preDEL!X412)</f>
        <v>0</v>
      </c>
      <c r="Y412" s="110" t="b">
        <f>IF(preDEL!$AG412,IFERROR(0/0,""),preDEL!Y412)</f>
        <v>0</v>
      </c>
      <c r="Z412" s="105" t="str">
        <f>IF(preDEL!$AG412,IFERROR(0/0,""),preDEL!Z412)</f>
        <v/>
      </c>
      <c r="AA412" s="110" t="b">
        <f>IF(preDEL!$AG412,IFERROR(0/0,""),preDEL!AA412)</f>
        <v>0</v>
      </c>
      <c r="AB412" s="110" t="b">
        <f>IF(preDEL!$AG412,IFERROR(0/0,""),preDEL!AB412)</f>
        <v>0</v>
      </c>
      <c r="AC412" s="172">
        <f>IF(preDEL!$AG412,IFERROR(0/0,""),preDEL!AC412)</f>
        <v>396</v>
      </c>
      <c r="AD412" s="104" t="b">
        <f>IF(preDEL!$AG412,IFERROR(0/0,""),preDEL!AD412)</f>
        <v>0</v>
      </c>
      <c r="AE412" s="173">
        <f>IF(preDEL!$AG412,IFERROR(0/0,""),preDEL!AE412)</f>
        <v>374.6</v>
      </c>
      <c r="AF412" s="110" t="b">
        <f>IF(preDEL!$AG412,IFERROR(0/0,""),preDEL!AF412)</f>
        <v>0</v>
      </c>
      <c r="AG412" s="110" t="b">
        <f>IF(preDEL!$AG412,IFERROR(0/0,""),preDEL!AG412)</f>
        <v>0</v>
      </c>
      <c r="AH412" s="104" t="str">
        <f>IF(preDEL!$AG412,IFERROR(0/0,""),preDEL!AH412)</f>
        <v/>
      </c>
      <c r="AI412" s="105" t="str">
        <f>IF(preDEL!$AG412,IFERROR(0/0,""),preDEL!AI412)</f>
        <v/>
      </c>
      <c r="AJ412" s="112" t="str">
        <f>IF(preDEL!$AG412,IFERROR(0/0,""),preDEL!AJ412)</f>
        <v/>
      </c>
      <c r="AK412" s="105" t="str">
        <f>IF(preDEL!$AG412,IFERROR(0/0,""),preDEL!AK412)</f>
        <v>Negative</v>
      </c>
      <c r="AL412" s="112" t="str">
        <f>IF(preDEL!$AG412,IFERROR(0/0,""),preDEL!AL412)</f>
        <v/>
      </c>
      <c r="AM412" s="112" t="str">
        <f>IF(preDEL!$AG412,IFERROR(0/0,""),preDEL!AM412)</f>
        <v>SpBEND642175</v>
      </c>
      <c r="AN412" s="112" t="str">
        <f>IF(preDEL!$AG412,IFERROR(0/0,""),preDEL!AN412)</f>
        <v>BEND883134</v>
      </c>
      <c r="AO412" s="112" t="str">
        <f>IF(preDEL!$AG412,IFERROR(0/0,""),preDEL!AO412)</f>
        <v/>
      </c>
      <c r="AP412" s="112" t="str">
        <f>IF(preDEL!$AG412,IFERROR(0/0,""),preDEL!AP412)</f>
        <v/>
      </c>
      <c r="AQ412" s="112" t="str">
        <f>IF(preDEL!$AG412,IFERROR(0/0,""),preDEL!AQ412)</f>
        <v/>
      </c>
      <c r="AR412" s="112" t="str">
        <f>IF(preDEL!$AG412,IFERROR(0/0,""),preDEL!AR412)</f>
        <v/>
      </c>
      <c r="AS412" s="112" t="str">
        <f>IF(preDEL!$AG412,IFERROR(0/0,""),preDEL!AS412)</f>
        <v/>
      </c>
      <c r="AT412" s="112" t="b">
        <f>IF(preDEL!$AG412,IFERROR(0/0,""),preDEL!AT412)</f>
        <v>0</v>
      </c>
      <c r="AU412" s="112" t="str">
        <f>IF(preDEL!$AG412,IFERROR(0/0,""),preDEL!AU412)</f>
        <v/>
      </c>
      <c r="AV412" s="112" t="str">
        <f>IF(preDEL!$AG412,IFERROR(0/0,""),preDEL!AV412)</f>
        <v/>
      </c>
      <c r="AW412" s="112" t="str">
        <f>IF(preDEL!$AG412,IFERROR(0/0,""),preDEL!AW412)</f>
        <v/>
      </c>
      <c r="AX412" s="112" t="str">
        <f>IF(preDEL!$AG412,IFERROR(0/0,""),preDEL!AX412)</f>
        <v/>
      </c>
      <c r="AY412" s="112" t="str">
        <f>IF(preDEL!$AG412,IFERROR(0/0,""),preDEL!AY412)</f>
        <v/>
      </c>
      <c r="AZ412" s="174"/>
      <c r="BA412" s="174"/>
      <c r="BB412" s="174"/>
      <c r="BC412" s="174"/>
      <c r="BD412" s="174"/>
      <c r="BE412" s="174"/>
      <c r="BF412" s="174"/>
      <c r="BG412" s="174"/>
      <c r="BH412" s="174"/>
      <c r="BI412" s="174"/>
      <c r="BJ412" s="174"/>
      <c r="BK412" s="174"/>
      <c r="BL412" s="174"/>
      <c r="BM412" s="174"/>
      <c r="BN412" s="174"/>
      <c r="BO412" s="174"/>
      <c r="BP412" s="174"/>
      <c r="BQ412" s="174"/>
      <c r="BR412" s="174"/>
      <c r="BS412" s="174"/>
      <c r="BT412" s="174"/>
      <c r="BU412" s="174"/>
      <c r="BV412" s="174"/>
      <c r="BW412" s="174"/>
      <c r="BX412" s="174"/>
      <c r="BY412" s="174"/>
      <c r="BZ412" s="174"/>
      <c r="CA412" s="174"/>
      <c r="CB412" s="174"/>
      <c r="CC412" s="174"/>
      <c r="CD412" s="174"/>
    </row>
    <row r="413">
      <c r="A413" s="105" t="str">
        <f>IF(preDEL!$AG413,IFERROR(0/0,""),preDEL!A413)</f>
        <v/>
      </c>
      <c r="B413" s="170" t="str">
        <f>IF(preDEL!$AG413,IFERROR(0/0,""),preDEL!B413)</f>
        <v/>
      </c>
      <c r="C413" s="171" t="str">
        <f>IF(preDEL!$AG413,IFERROR(0/0,""),preDEL!C413)</f>
        <v/>
      </c>
      <c r="D413" s="105" t="str">
        <f>IF(preDEL!$AG413,IFERROR(0/0,""),preDEL!D413)</f>
        <v/>
      </c>
      <c r="E413" s="105" t="str">
        <f>IF(preDEL!$AG413,IFERROR(0/0,""),preDEL!E413)</f>
        <v/>
      </c>
      <c r="F413" s="112" t="str">
        <f>IF(preDEL!$AG413,IFERROR(0/0,""),preDEL!F413)</f>
        <v/>
      </c>
      <c r="G413" s="112" t="str">
        <f>IF(preDEL!$AG413,IFERROR(0/0,""),preDEL!G413)</f>
        <v/>
      </c>
      <c r="H413" s="112" t="str">
        <f>IF(preDEL!$AG413,IFERROR(0/0,""),preDEL!H413)</f>
        <v/>
      </c>
      <c r="I413" s="105" t="str">
        <f>IF(preDEL!$AG413,IFERROR(0/0,""),preDEL!I413)</f>
        <v/>
      </c>
      <c r="J413" s="105" t="str">
        <f>IF(preDEL!$AG413,IFERROR(0/0,""),preDEL!J413)</f>
        <v/>
      </c>
      <c r="K413" s="105" t="str">
        <f>IF(preDEL!$AG413,IFERROR(0/0,""),preDEL!K413)</f>
        <v/>
      </c>
      <c r="L413" s="170" t="str">
        <f>IF(preDEL!$AG413,IFERROR(0/0,""),preDEL!L413)</f>
        <v/>
      </c>
      <c r="M413" s="171" t="str">
        <f>IF(preDEL!$AG413,IFERROR(0/0,""),preDEL!M413)</f>
        <v/>
      </c>
      <c r="N413" s="112" t="str">
        <f>IF(preDEL!$AG413,IFERROR(0/0,""),preDEL!N413)</f>
        <v/>
      </c>
      <c r="O413" s="112" t="str">
        <f>IF(preDEL!$AG413,IFERROR(0/0,""),preDEL!O413)</f>
        <v/>
      </c>
      <c r="P413" s="110" t="str">
        <f>IF(preDEL!$AG413,IFERROR(0/0,""),preDEL!P413)</f>
        <v/>
      </c>
      <c r="Q413" s="110" t="str">
        <f>IF(preDEL!$AG413,IFERROR(0/0,""),preDEL!Q413)</f>
        <v/>
      </c>
      <c r="R413" s="104" t="str">
        <f>IF(preDEL!$AG413,IFERROR(0/0,""),preDEL!R413)</f>
        <v/>
      </c>
      <c r="S413" s="104" t="str">
        <f>IF(preDEL!$AG413,IFERROR(0/0,""),preDEL!S413)</f>
        <v/>
      </c>
      <c r="T413" s="110" t="str">
        <f>IF(preDEL!$AG413,IFERROR(0/0,""),preDEL!T413)</f>
        <v/>
      </c>
      <c r="U413" s="112" t="str">
        <f>IF(preDEL!$AG413,IFERROR(0/0,""),preDEL!U413)</f>
        <v/>
      </c>
      <c r="V413" s="105" t="str">
        <f>IF(preDEL!$AG413,IFERROR(0/0,""),preDEL!V413)</f>
        <v/>
      </c>
      <c r="W413" s="112" t="str">
        <f>IF(preDEL!$AG413,IFERROR(0/0,""),preDEL!W413)</f>
        <v/>
      </c>
      <c r="X413" s="104" t="str">
        <f>IF(preDEL!$AG413,IFERROR(0/0,""),preDEL!X413)</f>
        <v/>
      </c>
      <c r="Y413" s="110" t="str">
        <f>IF(preDEL!$AG413,IFERROR(0/0,""),preDEL!Y413)</f>
        <v/>
      </c>
      <c r="Z413" s="105" t="str">
        <f>IF(preDEL!$AG413,IFERROR(0/0,""),preDEL!Z413)</f>
        <v/>
      </c>
      <c r="AA413" s="110" t="str">
        <f>IF(preDEL!$AG413,IFERROR(0/0,""),preDEL!AA413)</f>
        <v/>
      </c>
      <c r="AB413" s="110" t="str">
        <f>IF(preDEL!$AG413,IFERROR(0/0,""),preDEL!AB413)</f>
        <v/>
      </c>
      <c r="AC413" s="172" t="str">
        <f>IF(preDEL!$AG413,IFERROR(0/0,""),preDEL!AC413)</f>
        <v/>
      </c>
      <c r="AD413" s="104" t="str">
        <f>IF(preDEL!$AG413,IFERROR(0/0,""),preDEL!AD413)</f>
        <v/>
      </c>
      <c r="AE413" s="173" t="str">
        <f>IF(preDEL!$AG413,IFERROR(0/0,""),preDEL!AE413)</f>
        <v/>
      </c>
      <c r="AF413" s="110" t="str">
        <f>IF(preDEL!$AG413,IFERROR(0/0,""),preDEL!AF413)</f>
        <v/>
      </c>
      <c r="AG413" s="110" t="str">
        <f>IF(preDEL!$AG413,IFERROR(0/0,""),preDEL!AG413)</f>
        <v/>
      </c>
      <c r="AH413" s="104" t="str">
        <f>IF(preDEL!$AG413,IFERROR(0/0,""),preDEL!AH413)</f>
        <v/>
      </c>
      <c r="AI413" s="105" t="str">
        <f>IF(preDEL!$AG413,IFERROR(0/0,""),preDEL!AI413)</f>
        <v/>
      </c>
      <c r="AJ413" s="112" t="str">
        <f>IF(preDEL!$AG413,IFERROR(0/0,""),preDEL!AJ413)</f>
        <v/>
      </c>
      <c r="AK413" s="105" t="str">
        <f>IF(preDEL!$AG413,IFERROR(0/0,""),preDEL!AK413)</f>
        <v/>
      </c>
      <c r="AL413" s="112" t="str">
        <f>IF(preDEL!$AG413,IFERROR(0/0,""),preDEL!AL413)</f>
        <v/>
      </c>
      <c r="AM413" s="112" t="str">
        <f>IF(preDEL!$AG413,IFERROR(0/0,""),preDEL!AM413)</f>
        <v/>
      </c>
      <c r="AN413" s="112" t="str">
        <f>IF(preDEL!$AG413,IFERROR(0/0,""),preDEL!AN413)</f>
        <v/>
      </c>
      <c r="AO413" s="112" t="str">
        <f>IF(preDEL!$AG413,IFERROR(0/0,""),preDEL!AO413)</f>
        <v/>
      </c>
      <c r="AP413" s="112" t="str">
        <f>IF(preDEL!$AG413,IFERROR(0/0,""),preDEL!AP413)</f>
        <v/>
      </c>
      <c r="AQ413" s="112" t="str">
        <f>IF(preDEL!$AG413,IFERROR(0/0,""),preDEL!AQ413)</f>
        <v/>
      </c>
      <c r="AR413" s="112" t="str">
        <f>IF(preDEL!$AG413,IFERROR(0/0,""),preDEL!AR413)</f>
        <v/>
      </c>
      <c r="AS413" s="112" t="str">
        <f>IF(preDEL!$AG413,IFERROR(0/0,""),preDEL!AS413)</f>
        <v/>
      </c>
      <c r="AT413" s="112" t="str">
        <f>IF(preDEL!$AG413,IFERROR(0/0,""),preDEL!AT413)</f>
        <v/>
      </c>
      <c r="AU413" s="112" t="str">
        <f>IF(preDEL!$AG413,IFERROR(0/0,""),preDEL!AU413)</f>
        <v/>
      </c>
      <c r="AV413" s="112" t="str">
        <f>IF(preDEL!$AG413,IFERROR(0/0,""),preDEL!AV413)</f>
        <v/>
      </c>
      <c r="AW413" s="112" t="str">
        <f>IF(preDEL!$AG413,IFERROR(0/0,""),preDEL!AW413)</f>
        <v/>
      </c>
      <c r="AX413" s="112" t="str">
        <f>IF(preDEL!$AG413,IFERROR(0/0,""),preDEL!AX413)</f>
        <v/>
      </c>
      <c r="AY413" s="112" t="str">
        <f>IF(preDEL!$AG413,IFERROR(0/0,""),preDEL!AY413)</f>
        <v/>
      </c>
      <c r="AZ413" s="174"/>
      <c r="BA413" s="174"/>
      <c r="BB413" s="174"/>
      <c r="BC413" s="174"/>
      <c r="BD413" s="174"/>
      <c r="BE413" s="174"/>
      <c r="BF413" s="174"/>
      <c r="BG413" s="174"/>
      <c r="BH413" s="174"/>
      <c r="BI413" s="174"/>
      <c r="BJ413" s="174"/>
      <c r="BK413" s="174"/>
      <c r="BL413" s="174"/>
      <c r="BM413" s="174"/>
      <c r="BN413" s="174"/>
      <c r="BO413" s="174"/>
      <c r="BP413" s="174"/>
      <c r="BQ413" s="174"/>
      <c r="BR413" s="174"/>
      <c r="BS413" s="174"/>
      <c r="BT413" s="174"/>
      <c r="BU413" s="174"/>
      <c r="BV413" s="174"/>
      <c r="BW413" s="174"/>
      <c r="BX413" s="174"/>
      <c r="BY413" s="174"/>
      <c r="BZ413" s="174"/>
      <c r="CA413" s="174"/>
      <c r="CB413" s="174"/>
      <c r="CC413" s="174"/>
      <c r="CD413" s="174"/>
    </row>
    <row r="414">
      <c r="A414" s="105" t="str">
        <f>IF(preDEL!$AG414,IFERROR(0/0,""),preDEL!A414)</f>
        <v>FM59</v>
      </c>
      <c r="B414" s="170">
        <f>IF(preDEL!$AG414,IFERROR(0/0,""),preDEL!B414)</f>
        <v>44607</v>
      </c>
      <c r="C414" s="171">
        <f>IF(preDEL!$AG414,IFERROR(0/0,""),preDEL!C414)</f>
        <v>0.3287384259</v>
      </c>
      <c r="D414" s="105" t="str">
        <f>IF(preDEL!$AG414,IFERROR(0/0,""),preDEL!D414)</f>
        <v/>
      </c>
      <c r="E414" s="105" t="str">
        <f>IF(preDEL!$AG414,IFERROR(0/0,""),preDEL!E414)</f>
        <v/>
      </c>
      <c r="F414" s="112" t="str">
        <f>IF(preDEL!$AG414,IFERROR(0/0,""),preDEL!F414)</f>
        <v/>
      </c>
      <c r="G414" s="112" t="str">
        <f>IF(preDEL!$AG414,IFERROR(0/0,""),preDEL!G414)</f>
        <v/>
      </c>
      <c r="H414" s="112" t="str">
        <f>IF(preDEL!$AG414,IFERROR(0/0,""),preDEL!H414)</f>
        <v/>
      </c>
      <c r="I414" s="105" t="str">
        <f>IF(preDEL!$AG414,IFERROR(0/0,""),preDEL!I414)</f>
        <v/>
      </c>
      <c r="J414" s="105" t="str">
        <f>IF(preDEL!$AG414,IFERROR(0/0,""),preDEL!J414)</f>
        <v/>
      </c>
      <c r="K414" s="105" t="str">
        <f>IF(preDEL!$AG414,IFERROR(0/0,""),preDEL!K414)</f>
        <v>Negative</v>
      </c>
      <c r="L414" s="170">
        <f>IF(preDEL!$AG414,IFERROR(0/0,""),preDEL!L414)</f>
        <v>44607</v>
      </c>
      <c r="M414" s="171">
        <f>IF(preDEL!$AG414,IFERROR(0/0,""),preDEL!M414)</f>
        <v>0.5868055556</v>
      </c>
      <c r="N414" s="112" t="str">
        <f>IF(preDEL!$AG414,IFERROR(0/0,""),preDEL!N414)</f>
        <v/>
      </c>
      <c r="O414" s="112" t="str">
        <f>IF(preDEL!$AG414,IFERROR(0/0,""),preDEL!O414)</f>
        <v/>
      </c>
      <c r="P414" s="110" t="b">
        <f>IF(preDEL!$AG414,IFERROR(0/0,""),preDEL!P414)</f>
        <v>0</v>
      </c>
      <c r="Q414" s="110" t="str">
        <f>IF(preDEL!$AG414,IFERROR(0/0,""),preDEL!Q414)</f>
        <v>Result</v>
      </c>
      <c r="R414" s="104" t="b">
        <f>IF(preDEL!$AG414,IFERROR(0/0,""),preDEL!R414)</f>
        <v>1</v>
      </c>
      <c r="S414" s="104">
        <f>IF(preDEL!$AG414,IFERROR(0/0,""),preDEL!S414)</f>
        <v>1</v>
      </c>
      <c r="T414" s="110" t="str">
        <f>IF(preDEL!$AG414,IFERROR(0/0,""),preDEL!T414)</f>
        <v/>
      </c>
      <c r="U414" s="112" t="str">
        <f>IF(preDEL!$AG414,IFERROR(0/0,""),preDEL!U414)</f>
        <v/>
      </c>
      <c r="V414" s="105" t="str">
        <f>IF(preDEL!$AG414,IFERROR(0/0,""),preDEL!V414)</f>
        <v/>
      </c>
      <c r="W414" s="112" t="str">
        <f>IF(preDEL!$AG414,IFERROR(0/0,""),preDEL!W414)</f>
        <v/>
      </c>
      <c r="X414" s="104" t="b">
        <f>IF(preDEL!$AG414,IFERROR(0/0,""),preDEL!X414)</f>
        <v>0</v>
      </c>
      <c r="Y414" s="110" t="b">
        <f>IF(preDEL!$AG414,IFERROR(0/0,""),preDEL!Y414)</f>
        <v>0</v>
      </c>
      <c r="Z414" s="105" t="str">
        <f>IF(preDEL!$AG414,IFERROR(0/0,""),preDEL!Z414)</f>
        <v/>
      </c>
      <c r="AA414" s="110" t="b">
        <f>IF(preDEL!$AG414,IFERROR(0/0,""),preDEL!AA414)</f>
        <v>0</v>
      </c>
      <c r="AB414" s="110" t="b">
        <f>IF(preDEL!$AG414,IFERROR(0/0,""),preDEL!AB414)</f>
        <v>0</v>
      </c>
      <c r="AC414" s="172">
        <f>IF(preDEL!$AG414,IFERROR(0/0,""),preDEL!AC414)</f>
        <v>394</v>
      </c>
      <c r="AD414" s="104" t="b">
        <f>IF(preDEL!$AG414,IFERROR(0/0,""),preDEL!AD414)</f>
        <v>0</v>
      </c>
      <c r="AE414" s="173">
        <f>IF(preDEL!$AG414,IFERROR(0/0,""),preDEL!AE414)</f>
        <v>371.6166667</v>
      </c>
      <c r="AF414" s="110" t="b">
        <f>IF(preDEL!$AG414,IFERROR(0/0,""),preDEL!AF414)</f>
        <v>0</v>
      </c>
      <c r="AG414" s="110" t="b">
        <f>IF(preDEL!$AG414,IFERROR(0/0,""),preDEL!AG414)</f>
        <v>0</v>
      </c>
      <c r="AH414" s="104" t="str">
        <f>IF(preDEL!$AG414,IFERROR(0/0,""),preDEL!AH414)</f>
        <v/>
      </c>
      <c r="AI414" s="105" t="str">
        <f>IF(preDEL!$AG414,IFERROR(0/0,""),preDEL!AI414)</f>
        <v/>
      </c>
      <c r="AJ414" s="112" t="str">
        <f>IF(preDEL!$AG414,IFERROR(0/0,""),preDEL!AJ414)</f>
        <v/>
      </c>
      <c r="AK414" s="105" t="str">
        <f>IF(preDEL!$AG414,IFERROR(0/0,""),preDEL!AK414)</f>
        <v>Negative</v>
      </c>
      <c r="AL414" s="112" t="str">
        <f>IF(preDEL!$AG414,IFERROR(0/0,""),preDEL!AL414)</f>
        <v/>
      </c>
      <c r="AM414" s="112" t="str">
        <f>IF(preDEL!$AG414,IFERROR(0/0,""),preDEL!AM414)</f>
        <v>SpBEND643855</v>
      </c>
      <c r="AN414" s="112" t="str">
        <f>IF(preDEL!$AG414,IFERROR(0/0,""),preDEL!AN414)</f>
        <v>BEND364074</v>
      </c>
      <c r="AO414" s="112" t="str">
        <f>IF(preDEL!$AG414,IFERROR(0/0,""),preDEL!AO414)</f>
        <v/>
      </c>
      <c r="AP414" s="112" t="str">
        <f>IF(preDEL!$AG414,IFERROR(0/0,""),preDEL!AP414)</f>
        <v/>
      </c>
      <c r="AQ414" s="112" t="str">
        <f>IF(preDEL!$AG414,IFERROR(0/0,""),preDEL!AQ414)</f>
        <v/>
      </c>
      <c r="AR414" s="112" t="str">
        <f>IF(preDEL!$AG414,IFERROR(0/0,""),preDEL!AR414)</f>
        <v/>
      </c>
      <c r="AS414" s="112" t="str">
        <f>IF(preDEL!$AG414,IFERROR(0/0,""),preDEL!AS414)</f>
        <v/>
      </c>
      <c r="AT414" s="112" t="b">
        <f>IF(preDEL!$AG414,IFERROR(0/0,""),preDEL!AT414)</f>
        <v>0</v>
      </c>
      <c r="AU414" s="112" t="str">
        <f>IF(preDEL!$AG414,IFERROR(0/0,""),preDEL!AU414)</f>
        <v/>
      </c>
      <c r="AV414" s="112" t="str">
        <f>IF(preDEL!$AG414,IFERROR(0/0,""),preDEL!AV414)</f>
        <v/>
      </c>
      <c r="AW414" s="112" t="str">
        <f>IF(preDEL!$AG414,IFERROR(0/0,""),preDEL!AW414)</f>
        <v/>
      </c>
      <c r="AX414" s="112" t="str">
        <f>IF(preDEL!$AG414,IFERROR(0/0,""),preDEL!AX414)</f>
        <v/>
      </c>
      <c r="AY414" s="112" t="str">
        <f>IF(preDEL!$AG414,IFERROR(0/0,""),preDEL!AY414)</f>
        <v/>
      </c>
      <c r="AZ414" s="174"/>
      <c r="BA414" s="174"/>
      <c r="BB414" s="174"/>
      <c r="BC414" s="174"/>
      <c r="BD414" s="174"/>
      <c r="BE414" s="174"/>
      <c r="BF414" s="174"/>
      <c r="BG414" s="174"/>
      <c r="BH414" s="174"/>
      <c r="BI414" s="174"/>
      <c r="BJ414" s="174"/>
      <c r="BK414" s="174"/>
      <c r="BL414" s="174"/>
      <c r="BM414" s="174"/>
      <c r="BN414" s="174"/>
      <c r="BO414" s="174"/>
      <c r="BP414" s="174"/>
      <c r="BQ414" s="174"/>
      <c r="BR414" s="174"/>
      <c r="BS414" s="174"/>
      <c r="BT414" s="174"/>
      <c r="BU414" s="174"/>
      <c r="BV414" s="174"/>
      <c r="BW414" s="174"/>
      <c r="BX414" s="174"/>
      <c r="BY414" s="174"/>
      <c r="BZ414" s="174"/>
      <c r="CA414" s="174"/>
      <c r="CB414" s="174"/>
      <c r="CC414" s="174"/>
      <c r="CD414" s="174"/>
    </row>
    <row r="415">
      <c r="A415" s="105" t="str">
        <f>IF(preDEL!$AG415,IFERROR(0/0,""),preDEL!A415)</f>
        <v>MA211</v>
      </c>
      <c r="B415" s="170">
        <f>IF(preDEL!$AG415,IFERROR(0/0,""),preDEL!B415)</f>
        <v>44607</v>
      </c>
      <c r="C415" s="171">
        <f>IF(preDEL!$AG415,IFERROR(0/0,""),preDEL!C415)</f>
        <v>0.3297685185</v>
      </c>
      <c r="D415" s="105" t="str">
        <f>IF(preDEL!$AG415,IFERROR(0/0,""),preDEL!D415)</f>
        <v/>
      </c>
      <c r="E415" s="105" t="str">
        <f>IF(preDEL!$AG415,IFERROR(0/0,""),preDEL!E415)</f>
        <v/>
      </c>
      <c r="F415" s="112" t="str">
        <f>IF(preDEL!$AG415,IFERROR(0/0,""),preDEL!F415)</f>
        <v/>
      </c>
      <c r="G415" s="112" t="str">
        <f>IF(preDEL!$AG415,IFERROR(0/0,""),preDEL!G415)</f>
        <v/>
      </c>
      <c r="H415" s="112" t="str">
        <f>IF(preDEL!$AG415,IFERROR(0/0,""),preDEL!H415)</f>
        <v/>
      </c>
      <c r="I415" s="105" t="str">
        <f>IF(preDEL!$AG415,IFERROR(0/0,""),preDEL!I415)</f>
        <v/>
      </c>
      <c r="J415" s="105" t="str">
        <f>IF(preDEL!$AG415,IFERROR(0/0,""),preDEL!J415)</f>
        <v/>
      </c>
      <c r="K415" s="105" t="str">
        <f>IF(preDEL!$AG415,IFERROR(0/0,""),preDEL!K415)</f>
        <v>Negative</v>
      </c>
      <c r="L415" s="170">
        <f>IF(preDEL!$AG415,IFERROR(0/0,""),preDEL!L415)</f>
        <v>44607</v>
      </c>
      <c r="M415" s="171">
        <f>IF(preDEL!$AG415,IFERROR(0/0,""),preDEL!M415)</f>
        <v>0.5868171296</v>
      </c>
      <c r="N415" s="112" t="str">
        <f>IF(preDEL!$AG415,IFERROR(0/0,""),preDEL!N415)</f>
        <v/>
      </c>
      <c r="O415" s="112" t="str">
        <f>IF(preDEL!$AG415,IFERROR(0/0,""),preDEL!O415)</f>
        <v/>
      </c>
      <c r="P415" s="110" t="b">
        <f>IF(preDEL!$AG415,IFERROR(0/0,""),preDEL!P415)</f>
        <v>0</v>
      </c>
      <c r="Q415" s="110" t="str">
        <f>IF(preDEL!$AG415,IFERROR(0/0,""),preDEL!Q415)</f>
        <v>Result</v>
      </c>
      <c r="R415" s="104" t="b">
        <f>IF(preDEL!$AG415,IFERROR(0/0,""),preDEL!R415)</f>
        <v>1</v>
      </c>
      <c r="S415" s="104">
        <f>IF(preDEL!$AG415,IFERROR(0/0,""),preDEL!S415)</f>
        <v>1</v>
      </c>
      <c r="T415" s="110" t="str">
        <f>IF(preDEL!$AG415,IFERROR(0/0,""),preDEL!T415)</f>
        <v/>
      </c>
      <c r="U415" s="112" t="str">
        <f>IF(preDEL!$AG415,IFERROR(0/0,""),preDEL!U415)</f>
        <v/>
      </c>
      <c r="V415" s="105" t="str">
        <f>IF(preDEL!$AG415,IFERROR(0/0,""),preDEL!V415)</f>
        <v/>
      </c>
      <c r="W415" s="112" t="str">
        <f>IF(preDEL!$AG415,IFERROR(0/0,""),preDEL!W415)</f>
        <v/>
      </c>
      <c r="X415" s="104" t="b">
        <f>IF(preDEL!$AG415,IFERROR(0/0,""),preDEL!X415)</f>
        <v>0</v>
      </c>
      <c r="Y415" s="110" t="b">
        <f>IF(preDEL!$AG415,IFERROR(0/0,""),preDEL!Y415)</f>
        <v>0</v>
      </c>
      <c r="Z415" s="105" t="str">
        <f>IF(preDEL!$AG415,IFERROR(0/0,""),preDEL!Z415)</f>
        <v/>
      </c>
      <c r="AA415" s="110" t="b">
        <f>IF(preDEL!$AG415,IFERROR(0/0,""),preDEL!AA415)</f>
        <v>0</v>
      </c>
      <c r="AB415" s="110" t="b">
        <f>IF(preDEL!$AG415,IFERROR(0/0,""),preDEL!AB415)</f>
        <v>0</v>
      </c>
      <c r="AC415" s="172">
        <f>IF(preDEL!$AG415,IFERROR(0/0,""),preDEL!AC415)</f>
        <v>393</v>
      </c>
      <c r="AD415" s="104" t="b">
        <f>IF(preDEL!$AG415,IFERROR(0/0,""),preDEL!AD415)</f>
        <v>0</v>
      </c>
      <c r="AE415" s="173">
        <f>IF(preDEL!$AG415,IFERROR(0/0,""),preDEL!AE415)</f>
        <v>370.15</v>
      </c>
      <c r="AF415" s="110" t="b">
        <f>IF(preDEL!$AG415,IFERROR(0/0,""),preDEL!AF415)</f>
        <v>0</v>
      </c>
      <c r="AG415" s="110" t="b">
        <f>IF(preDEL!$AG415,IFERROR(0/0,""),preDEL!AG415)</f>
        <v>0</v>
      </c>
      <c r="AH415" s="104" t="str">
        <f>IF(preDEL!$AG415,IFERROR(0/0,""),preDEL!AH415)</f>
        <v/>
      </c>
      <c r="AI415" s="105" t="str">
        <f>IF(preDEL!$AG415,IFERROR(0/0,""),preDEL!AI415)</f>
        <v/>
      </c>
      <c r="AJ415" s="112" t="str">
        <f>IF(preDEL!$AG415,IFERROR(0/0,""),preDEL!AJ415)</f>
        <v/>
      </c>
      <c r="AK415" s="105" t="str">
        <f>IF(preDEL!$AG415,IFERROR(0/0,""),preDEL!AK415)</f>
        <v>Negative</v>
      </c>
      <c r="AL415" s="112" t="str">
        <f>IF(preDEL!$AG415,IFERROR(0/0,""),preDEL!AL415)</f>
        <v/>
      </c>
      <c r="AM415" s="112" t="str">
        <f>IF(preDEL!$AG415,IFERROR(0/0,""),preDEL!AM415)</f>
        <v>SpBEND454594</v>
      </c>
      <c r="AN415" s="112" t="str">
        <f>IF(preDEL!$AG415,IFERROR(0/0,""),preDEL!AN415)</f>
        <v>BEND584284</v>
      </c>
      <c r="AO415" s="112" t="str">
        <f>IF(preDEL!$AG415,IFERROR(0/0,""),preDEL!AO415)</f>
        <v/>
      </c>
      <c r="AP415" s="112" t="str">
        <f>IF(preDEL!$AG415,IFERROR(0/0,""),preDEL!AP415)</f>
        <v/>
      </c>
      <c r="AQ415" s="112" t="str">
        <f>IF(preDEL!$AG415,IFERROR(0/0,""),preDEL!AQ415)</f>
        <v/>
      </c>
      <c r="AR415" s="112" t="str">
        <f>IF(preDEL!$AG415,IFERROR(0/0,""),preDEL!AR415)</f>
        <v/>
      </c>
      <c r="AS415" s="112" t="str">
        <f>IF(preDEL!$AG415,IFERROR(0/0,""),preDEL!AS415)</f>
        <v/>
      </c>
      <c r="AT415" s="112" t="b">
        <f>IF(preDEL!$AG415,IFERROR(0/0,""),preDEL!AT415)</f>
        <v>0</v>
      </c>
      <c r="AU415" s="112" t="str">
        <f>IF(preDEL!$AG415,IFERROR(0/0,""),preDEL!AU415)</f>
        <v/>
      </c>
      <c r="AV415" s="112" t="str">
        <f>IF(preDEL!$AG415,IFERROR(0/0,""),preDEL!AV415)</f>
        <v/>
      </c>
      <c r="AW415" s="112" t="str">
        <f>IF(preDEL!$AG415,IFERROR(0/0,""),preDEL!AW415)</f>
        <v/>
      </c>
      <c r="AX415" s="112" t="str">
        <f>IF(preDEL!$AG415,IFERROR(0/0,""),preDEL!AX415)</f>
        <v/>
      </c>
      <c r="AY415" s="112" t="str">
        <f>IF(preDEL!$AG415,IFERROR(0/0,""),preDEL!AY415)</f>
        <v/>
      </c>
      <c r="AZ415" s="174"/>
      <c r="BA415" s="174"/>
      <c r="BB415" s="174"/>
      <c r="BC415" s="174"/>
      <c r="BD415" s="174"/>
      <c r="BE415" s="174"/>
      <c r="BF415" s="174"/>
      <c r="BG415" s="174"/>
      <c r="BH415" s="174"/>
      <c r="BI415" s="174"/>
      <c r="BJ415" s="174"/>
      <c r="BK415" s="174"/>
      <c r="BL415" s="174"/>
      <c r="BM415" s="174"/>
      <c r="BN415" s="174"/>
      <c r="BO415" s="174"/>
      <c r="BP415" s="174"/>
      <c r="BQ415" s="174"/>
      <c r="BR415" s="174"/>
      <c r="BS415" s="174"/>
      <c r="BT415" s="174"/>
      <c r="BU415" s="174"/>
      <c r="BV415" s="174"/>
      <c r="BW415" s="174"/>
      <c r="BX415" s="174"/>
      <c r="BY415" s="174"/>
      <c r="BZ415" s="174"/>
      <c r="CA415" s="174"/>
      <c r="CB415" s="174"/>
      <c r="CC415" s="174"/>
      <c r="CD415" s="174"/>
    </row>
    <row r="416">
      <c r="A416" s="105" t="str">
        <f>IF(preDEL!$AG416,IFERROR(0/0,""),preDEL!A416)</f>
        <v>MA1055</v>
      </c>
      <c r="B416" s="170">
        <f>IF(preDEL!$AG416,IFERROR(0/0,""),preDEL!B416)</f>
        <v>44607</v>
      </c>
      <c r="C416" s="171">
        <f>IF(preDEL!$AG416,IFERROR(0/0,""),preDEL!C416)</f>
        <v>0.3323958333</v>
      </c>
      <c r="D416" s="105" t="str">
        <f>IF(preDEL!$AG416,IFERROR(0/0,""),preDEL!D416)</f>
        <v/>
      </c>
      <c r="E416" s="105" t="str">
        <f>IF(preDEL!$AG416,IFERROR(0/0,""),preDEL!E416)</f>
        <v/>
      </c>
      <c r="F416" s="112" t="str">
        <f>IF(preDEL!$AG416,IFERROR(0/0,""),preDEL!F416)</f>
        <v/>
      </c>
      <c r="G416" s="112" t="str">
        <f>IF(preDEL!$AG416,IFERROR(0/0,""),preDEL!G416)</f>
        <v/>
      </c>
      <c r="H416" s="112" t="str">
        <f>IF(preDEL!$AG416,IFERROR(0/0,""),preDEL!H416)</f>
        <v/>
      </c>
      <c r="I416" s="105" t="str">
        <f>IF(preDEL!$AG416,IFERROR(0/0,""),preDEL!I416)</f>
        <v/>
      </c>
      <c r="J416" s="105" t="str">
        <f>IF(preDEL!$AG416,IFERROR(0/0,""),preDEL!J416)</f>
        <v/>
      </c>
      <c r="K416" s="105" t="str">
        <f>IF(preDEL!$AG416,IFERROR(0/0,""),preDEL!K416)</f>
        <v>Negative</v>
      </c>
      <c r="L416" s="170">
        <f>IF(preDEL!$AG416,IFERROR(0/0,""),preDEL!L416)</f>
        <v>44607</v>
      </c>
      <c r="M416" s="171">
        <f>IF(preDEL!$AG416,IFERROR(0/0,""),preDEL!M416)</f>
        <v>0.5868171296</v>
      </c>
      <c r="N416" s="112" t="str">
        <f>IF(preDEL!$AG416,IFERROR(0/0,""),preDEL!N416)</f>
        <v/>
      </c>
      <c r="O416" s="112" t="str">
        <f>IF(preDEL!$AG416,IFERROR(0/0,""),preDEL!O416)</f>
        <v/>
      </c>
      <c r="P416" s="110" t="b">
        <f>IF(preDEL!$AG416,IFERROR(0/0,""),preDEL!P416)</f>
        <v>0</v>
      </c>
      <c r="Q416" s="110" t="str">
        <f>IF(preDEL!$AG416,IFERROR(0/0,""),preDEL!Q416)</f>
        <v>Result</v>
      </c>
      <c r="R416" s="104" t="b">
        <f>IF(preDEL!$AG416,IFERROR(0/0,""),preDEL!R416)</f>
        <v>1</v>
      </c>
      <c r="S416" s="104">
        <f>IF(preDEL!$AG416,IFERROR(0/0,""),preDEL!S416)</f>
        <v>1</v>
      </c>
      <c r="T416" s="110" t="str">
        <f>IF(preDEL!$AG416,IFERROR(0/0,""),preDEL!T416)</f>
        <v/>
      </c>
      <c r="U416" s="112" t="str">
        <f>IF(preDEL!$AG416,IFERROR(0/0,""),preDEL!U416)</f>
        <v/>
      </c>
      <c r="V416" s="105" t="str">
        <f>IF(preDEL!$AG416,IFERROR(0/0,""),preDEL!V416)</f>
        <v/>
      </c>
      <c r="W416" s="112" t="str">
        <f>IF(preDEL!$AG416,IFERROR(0/0,""),preDEL!W416)</f>
        <v/>
      </c>
      <c r="X416" s="104" t="b">
        <f>IF(preDEL!$AG416,IFERROR(0/0,""),preDEL!X416)</f>
        <v>0</v>
      </c>
      <c r="Y416" s="110" t="b">
        <f>IF(preDEL!$AG416,IFERROR(0/0,""),preDEL!Y416)</f>
        <v>0</v>
      </c>
      <c r="Z416" s="105" t="str">
        <f>IF(preDEL!$AG416,IFERROR(0/0,""),preDEL!Z416)</f>
        <v/>
      </c>
      <c r="AA416" s="110" t="b">
        <f>IF(preDEL!$AG416,IFERROR(0/0,""),preDEL!AA416)</f>
        <v>0</v>
      </c>
      <c r="AB416" s="110" t="b">
        <f>IF(preDEL!$AG416,IFERROR(0/0,""),preDEL!AB416)</f>
        <v>0</v>
      </c>
      <c r="AC416" s="172">
        <f>IF(preDEL!$AG416,IFERROR(0/0,""),preDEL!AC416)</f>
        <v>392</v>
      </c>
      <c r="AD416" s="104" t="b">
        <f>IF(preDEL!$AG416,IFERROR(0/0,""),preDEL!AD416)</f>
        <v>0</v>
      </c>
      <c r="AE416" s="173">
        <f>IF(preDEL!$AG416,IFERROR(0/0,""),preDEL!AE416)</f>
        <v>366.3666667</v>
      </c>
      <c r="AF416" s="110" t="b">
        <f>IF(preDEL!$AG416,IFERROR(0/0,""),preDEL!AF416)</f>
        <v>0</v>
      </c>
      <c r="AG416" s="110" t="b">
        <f>IF(preDEL!$AG416,IFERROR(0/0,""),preDEL!AG416)</f>
        <v>0</v>
      </c>
      <c r="AH416" s="104" t="str">
        <f>IF(preDEL!$AG416,IFERROR(0/0,""),preDEL!AH416)</f>
        <v/>
      </c>
      <c r="AI416" s="105" t="str">
        <f>IF(preDEL!$AG416,IFERROR(0/0,""),preDEL!AI416)</f>
        <v/>
      </c>
      <c r="AJ416" s="112" t="str">
        <f>IF(preDEL!$AG416,IFERROR(0/0,""),preDEL!AJ416)</f>
        <v/>
      </c>
      <c r="AK416" s="105" t="str">
        <f>IF(preDEL!$AG416,IFERROR(0/0,""),preDEL!AK416)</f>
        <v>Negative</v>
      </c>
      <c r="AL416" s="112" t="str">
        <f>IF(preDEL!$AG416,IFERROR(0/0,""),preDEL!AL416)</f>
        <v/>
      </c>
      <c r="AM416" s="112" t="str">
        <f>IF(preDEL!$AG416,IFERROR(0/0,""),preDEL!AM416)</f>
        <v>SpBEND382241</v>
      </c>
      <c r="AN416" s="112" t="str">
        <f>IF(preDEL!$AG416,IFERROR(0/0,""),preDEL!AN416)</f>
        <v>BEND761743</v>
      </c>
      <c r="AO416" s="112" t="str">
        <f>IF(preDEL!$AG416,IFERROR(0/0,""),preDEL!AO416)</f>
        <v/>
      </c>
      <c r="AP416" s="112" t="str">
        <f>IF(preDEL!$AG416,IFERROR(0/0,""),preDEL!AP416)</f>
        <v/>
      </c>
      <c r="AQ416" s="112" t="str">
        <f>IF(preDEL!$AG416,IFERROR(0/0,""),preDEL!AQ416)</f>
        <v/>
      </c>
      <c r="AR416" s="112" t="str">
        <f>IF(preDEL!$AG416,IFERROR(0/0,""),preDEL!AR416)</f>
        <v/>
      </c>
      <c r="AS416" s="112" t="str">
        <f>IF(preDEL!$AG416,IFERROR(0/0,""),preDEL!AS416)</f>
        <v/>
      </c>
      <c r="AT416" s="112" t="b">
        <f>IF(preDEL!$AG416,IFERROR(0/0,""),preDEL!AT416)</f>
        <v>0</v>
      </c>
      <c r="AU416" s="112" t="str">
        <f>IF(preDEL!$AG416,IFERROR(0/0,""),preDEL!AU416)</f>
        <v/>
      </c>
      <c r="AV416" s="112" t="str">
        <f>IF(preDEL!$AG416,IFERROR(0/0,""),preDEL!AV416)</f>
        <v/>
      </c>
      <c r="AW416" s="112" t="str">
        <f>IF(preDEL!$AG416,IFERROR(0/0,""),preDEL!AW416)</f>
        <v/>
      </c>
      <c r="AX416" s="112" t="str">
        <f>IF(preDEL!$AG416,IFERROR(0/0,""),preDEL!AX416)</f>
        <v/>
      </c>
      <c r="AY416" s="112" t="str">
        <f>IF(preDEL!$AG416,IFERROR(0/0,""),preDEL!AY416)</f>
        <v/>
      </c>
      <c r="AZ416" s="174"/>
      <c r="BA416" s="174"/>
      <c r="BB416" s="174"/>
      <c r="BC416" s="174"/>
      <c r="BD416" s="174"/>
      <c r="BE416" s="174"/>
      <c r="BF416" s="174"/>
      <c r="BG416" s="174"/>
      <c r="BH416" s="174"/>
      <c r="BI416" s="174"/>
      <c r="BJ416" s="174"/>
      <c r="BK416" s="174"/>
      <c r="BL416" s="174"/>
      <c r="BM416" s="174"/>
      <c r="BN416" s="174"/>
      <c r="BO416" s="174"/>
      <c r="BP416" s="174"/>
      <c r="BQ416" s="174"/>
      <c r="BR416" s="174"/>
      <c r="BS416" s="174"/>
      <c r="BT416" s="174"/>
      <c r="BU416" s="174"/>
      <c r="BV416" s="174"/>
      <c r="BW416" s="174"/>
      <c r="BX416" s="174"/>
      <c r="BY416" s="174"/>
      <c r="BZ416" s="174"/>
      <c r="CA416" s="174"/>
      <c r="CB416" s="174"/>
      <c r="CC416" s="174"/>
      <c r="CD416" s="174"/>
    </row>
    <row r="417">
      <c r="A417" s="105" t="str">
        <f>IF(preDEL!$AG417,IFERROR(0/0,""),preDEL!A417)</f>
        <v>FM442</v>
      </c>
      <c r="B417" s="170">
        <f>IF(preDEL!$AG417,IFERROR(0/0,""),preDEL!B417)</f>
        <v>44607</v>
      </c>
      <c r="C417" s="171">
        <f>IF(preDEL!$AG417,IFERROR(0/0,""),preDEL!C417)</f>
        <v>0.3341782407</v>
      </c>
      <c r="D417" s="105" t="str">
        <f>IF(preDEL!$AG417,IFERROR(0/0,""),preDEL!D417)</f>
        <v/>
      </c>
      <c r="E417" s="105" t="str">
        <f>IF(preDEL!$AG417,IFERROR(0/0,""),preDEL!E417)</f>
        <v/>
      </c>
      <c r="F417" s="112" t="str">
        <f>IF(preDEL!$AG417,IFERROR(0/0,""),preDEL!F417)</f>
        <v/>
      </c>
      <c r="G417" s="112" t="str">
        <f>IF(preDEL!$AG417,IFERROR(0/0,""),preDEL!G417)</f>
        <v/>
      </c>
      <c r="H417" s="112" t="str">
        <f>IF(preDEL!$AG417,IFERROR(0/0,""),preDEL!H417)</f>
        <v/>
      </c>
      <c r="I417" s="105" t="str">
        <f>IF(preDEL!$AG417,IFERROR(0/0,""),preDEL!I417)</f>
        <v/>
      </c>
      <c r="J417" s="105" t="str">
        <f>IF(preDEL!$AG417,IFERROR(0/0,""),preDEL!J417)</f>
        <v/>
      </c>
      <c r="K417" s="105" t="str">
        <f>IF(preDEL!$AG417,IFERROR(0/0,""),preDEL!K417)</f>
        <v>Negative</v>
      </c>
      <c r="L417" s="170">
        <f>IF(preDEL!$AG417,IFERROR(0/0,""),preDEL!L417)</f>
        <v>44607</v>
      </c>
      <c r="M417" s="171">
        <f>IF(preDEL!$AG417,IFERROR(0/0,""),preDEL!M417)</f>
        <v>0.5868171296</v>
      </c>
      <c r="N417" s="112" t="str">
        <f>IF(preDEL!$AG417,IFERROR(0/0,""),preDEL!N417)</f>
        <v/>
      </c>
      <c r="O417" s="112" t="str">
        <f>IF(preDEL!$AG417,IFERROR(0/0,""),preDEL!O417)</f>
        <v/>
      </c>
      <c r="P417" s="110" t="b">
        <f>IF(preDEL!$AG417,IFERROR(0/0,""),preDEL!P417)</f>
        <v>0</v>
      </c>
      <c r="Q417" s="110" t="str">
        <f>IF(preDEL!$AG417,IFERROR(0/0,""),preDEL!Q417)</f>
        <v>Result</v>
      </c>
      <c r="R417" s="104" t="b">
        <f>IF(preDEL!$AG417,IFERROR(0/0,""),preDEL!R417)</f>
        <v>1</v>
      </c>
      <c r="S417" s="104">
        <f>IF(preDEL!$AG417,IFERROR(0/0,""),preDEL!S417)</f>
        <v>1</v>
      </c>
      <c r="T417" s="110" t="str">
        <f>IF(preDEL!$AG417,IFERROR(0/0,""),preDEL!T417)</f>
        <v/>
      </c>
      <c r="U417" s="112" t="str">
        <f>IF(preDEL!$AG417,IFERROR(0/0,""),preDEL!U417)</f>
        <v/>
      </c>
      <c r="V417" s="105" t="str">
        <f>IF(preDEL!$AG417,IFERROR(0/0,""),preDEL!V417)</f>
        <v/>
      </c>
      <c r="W417" s="112" t="str">
        <f>IF(preDEL!$AG417,IFERROR(0/0,""),preDEL!W417)</f>
        <v/>
      </c>
      <c r="X417" s="104" t="b">
        <f>IF(preDEL!$AG417,IFERROR(0/0,""),preDEL!X417)</f>
        <v>0</v>
      </c>
      <c r="Y417" s="110" t="b">
        <f>IF(preDEL!$AG417,IFERROR(0/0,""),preDEL!Y417)</f>
        <v>0</v>
      </c>
      <c r="Z417" s="105" t="str">
        <f>IF(preDEL!$AG417,IFERROR(0/0,""),preDEL!Z417)</f>
        <v/>
      </c>
      <c r="AA417" s="110" t="b">
        <f>IF(preDEL!$AG417,IFERROR(0/0,""),preDEL!AA417)</f>
        <v>0</v>
      </c>
      <c r="AB417" s="110" t="b">
        <f>IF(preDEL!$AG417,IFERROR(0/0,""),preDEL!AB417)</f>
        <v>0</v>
      </c>
      <c r="AC417" s="172">
        <f>IF(preDEL!$AG417,IFERROR(0/0,""),preDEL!AC417)</f>
        <v>391</v>
      </c>
      <c r="AD417" s="104" t="b">
        <f>IF(preDEL!$AG417,IFERROR(0/0,""),preDEL!AD417)</f>
        <v>0</v>
      </c>
      <c r="AE417" s="173">
        <f>IF(preDEL!$AG417,IFERROR(0/0,""),preDEL!AE417)</f>
        <v>363.8</v>
      </c>
      <c r="AF417" s="110" t="b">
        <f>IF(preDEL!$AG417,IFERROR(0/0,""),preDEL!AF417)</f>
        <v>0</v>
      </c>
      <c r="AG417" s="110" t="b">
        <f>IF(preDEL!$AG417,IFERROR(0/0,""),preDEL!AG417)</f>
        <v>0</v>
      </c>
      <c r="AH417" s="104" t="str">
        <f>IF(preDEL!$AG417,IFERROR(0/0,""),preDEL!AH417)</f>
        <v/>
      </c>
      <c r="AI417" s="105" t="str">
        <f>IF(preDEL!$AG417,IFERROR(0/0,""),preDEL!AI417)</f>
        <v/>
      </c>
      <c r="AJ417" s="112" t="str">
        <f>IF(preDEL!$AG417,IFERROR(0/0,""),preDEL!AJ417)</f>
        <v/>
      </c>
      <c r="AK417" s="105" t="str">
        <f>IF(preDEL!$AG417,IFERROR(0/0,""),preDEL!AK417)</f>
        <v>Negative</v>
      </c>
      <c r="AL417" s="112" t="str">
        <f>IF(preDEL!$AG417,IFERROR(0/0,""),preDEL!AL417)</f>
        <v/>
      </c>
      <c r="AM417" s="112" t="str">
        <f>IF(preDEL!$AG417,IFERROR(0/0,""),preDEL!AM417)</f>
        <v>SpBEND216695</v>
      </c>
      <c r="AN417" s="112" t="str">
        <f>IF(preDEL!$AG417,IFERROR(0/0,""),preDEL!AN417)</f>
        <v>BEND835613</v>
      </c>
      <c r="AO417" s="112" t="str">
        <f>IF(preDEL!$AG417,IFERROR(0/0,""),preDEL!AO417)</f>
        <v/>
      </c>
      <c r="AP417" s="112" t="str">
        <f>IF(preDEL!$AG417,IFERROR(0/0,""),preDEL!AP417)</f>
        <v/>
      </c>
      <c r="AQ417" s="112" t="str">
        <f>IF(preDEL!$AG417,IFERROR(0/0,""),preDEL!AQ417)</f>
        <v/>
      </c>
      <c r="AR417" s="112" t="str">
        <f>IF(preDEL!$AG417,IFERROR(0/0,""),preDEL!AR417)</f>
        <v/>
      </c>
      <c r="AS417" s="112" t="str">
        <f>IF(preDEL!$AG417,IFERROR(0/0,""),preDEL!AS417)</f>
        <v/>
      </c>
      <c r="AT417" s="112" t="b">
        <f>IF(preDEL!$AG417,IFERROR(0/0,""),preDEL!AT417)</f>
        <v>0</v>
      </c>
      <c r="AU417" s="112" t="str">
        <f>IF(preDEL!$AG417,IFERROR(0/0,""),preDEL!AU417)</f>
        <v/>
      </c>
      <c r="AV417" s="112" t="str">
        <f>IF(preDEL!$AG417,IFERROR(0/0,""),preDEL!AV417)</f>
        <v/>
      </c>
      <c r="AW417" s="112" t="str">
        <f>IF(preDEL!$AG417,IFERROR(0/0,""),preDEL!AW417)</f>
        <v/>
      </c>
      <c r="AX417" s="112" t="str">
        <f>IF(preDEL!$AG417,IFERROR(0/0,""),preDEL!AX417)</f>
        <v/>
      </c>
      <c r="AY417" s="112" t="str">
        <f>IF(preDEL!$AG417,IFERROR(0/0,""),preDEL!AY417)</f>
        <v/>
      </c>
      <c r="AZ417" s="174"/>
      <c r="BA417" s="174"/>
      <c r="BB417" s="174"/>
      <c r="BC417" s="174"/>
      <c r="BD417" s="174"/>
      <c r="BE417" s="174"/>
      <c r="BF417" s="174"/>
      <c r="BG417" s="174"/>
      <c r="BH417" s="174"/>
      <c r="BI417" s="174"/>
      <c r="BJ417" s="174"/>
      <c r="BK417" s="174"/>
      <c r="BL417" s="174"/>
      <c r="BM417" s="174"/>
      <c r="BN417" s="174"/>
      <c r="BO417" s="174"/>
      <c r="BP417" s="174"/>
      <c r="BQ417" s="174"/>
      <c r="BR417" s="174"/>
      <c r="BS417" s="174"/>
      <c r="BT417" s="174"/>
      <c r="BU417" s="174"/>
      <c r="BV417" s="174"/>
      <c r="BW417" s="174"/>
      <c r="BX417" s="174"/>
      <c r="BY417" s="174"/>
      <c r="BZ417" s="174"/>
      <c r="CA417" s="174"/>
      <c r="CB417" s="174"/>
      <c r="CC417" s="174"/>
      <c r="CD417" s="174"/>
    </row>
    <row r="418">
      <c r="A418" s="105" t="str">
        <f>IF(preDEL!$AG418,IFERROR(0/0,""),preDEL!A418)</f>
        <v>MA301</v>
      </c>
      <c r="B418" s="170">
        <f>IF(preDEL!$AG418,IFERROR(0/0,""),preDEL!B418)</f>
        <v>44607</v>
      </c>
      <c r="C418" s="171">
        <f>IF(preDEL!$AG418,IFERROR(0/0,""),preDEL!C418)</f>
        <v>0.3381481481</v>
      </c>
      <c r="D418" s="105" t="str">
        <f>IF(preDEL!$AG418,IFERROR(0/0,""),preDEL!D418)</f>
        <v/>
      </c>
      <c r="E418" s="105" t="str">
        <f>IF(preDEL!$AG418,IFERROR(0/0,""),preDEL!E418)</f>
        <v/>
      </c>
      <c r="F418" s="112" t="str">
        <f>IF(preDEL!$AG418,IFERROR(0/0,""),preDEL!F418)</f>
        <v/>
      </c>
      <c r="G418" s="112" t="str">
        <f>IF(preDEL!$AG418,IFERROR(0/0,""),preDEL!G418)</f>
        <v/>
      </c>
      <c r="H418" s="112" t="str">
        <f>IF(preDEL!$AG418,IFERROR(0/0,""),preDEL!H418)</f>
        <v/>
      </c>
      <c r="I418" s="105" t="str">
        <f>IF(preDEL!$AG418,IFERROR(0/0,""),preDEL!I418)</f>
        <v/>
      </c>
      <c r="J418" s="105" t="str">
        <f>IF(preDEL!$AG418,IFERROR(0/0,""),preDEL!J418)</f>
        <v/>
      </c>
      <c r="K418" s="105" t="str">
        <f>IF(preDEL!$AG418,IFERROR(0/0,""),preDEL!K418)</f>
        <v>Negative</v>
      </c>
      <c r="L418" s="170">
        <f>IF(preDEL!$AG418,IFERROR(0/0,""),preDEL!L418)</f>
        <v>44607</v>
      </c>
      <c r="M418" s="171">
        <f>IF(preDEL!$AG418,IFERROR(0/0,""),preDEL!M418)</f>
        <v>0.5868171296</v>
      </c>
      <c r="N418" s="112" t="str">
        <f>IF(preDEL!$AG418,IFERROR(0/0,""),preDEL!N418)</f>
        <v/>
      </c>
      <c r="O418" s="112" t="str">
        <f>IF(preDEL!$AG418,IFERROR(0/0,""),preDEL!O418)</f>
        <v/>
      </c>
      <c r="P418" s="110" t="b">
        <f>IF(preDEL!$AG418,IFERROR(0/0,""),preDEL!P418)</f>
        <v>0</v>
      </c>
      <c r="Q418" s="110" t="str">
        <f>IF(preDEL!$AG418,IFERROR(0/0,""),preDEL!Q418)</f>
        <v>Result</v>
      </c>
      <c r="R418" s="104" t="b">
        <f>IF(preDEL!$AG418,IFERROR(0/0,""),preDEL!R418)</f>
        <v>1</v>
      </c>
      <c r="S418" s="104">
        <f>IF(preDEL!$AG418,IFERROR(0/0,""),preDEL!S418)</f>
        <v>1</v>
      </c>
      <c r="T418" s="110" t="str">
        <f>IF(preDEL!$AG418,IFERROR(0/0,""),preDEL!T418)</f>
        <v/>
      </c>
      <c r="U418" s="112" t="str">
        <f>IF(preDEL!$AG418,IFERROR(0/0,""),preDEL!U418)</f>
        <v/>
      </c>
      <c r="V418" s="105" t="str">
        <f>IF(preDEL!$AG418,IFERROR(0/0,""),preDEL!V418)</f>
        <v/>
      </c>
      <c r="W418" s="112" t="str">
        <f>IF(preDEL!$AG418,IFERROR(0/0,""),preDEL!W418)</f>
        <v/>
      </c>
      <c r="X418" s="104" t="b">
        <f>IF(preDEL!$AG418,IFERROR(0/0,""),preDEL!X418)</f>
        <v>0</v>
      </c>
      <c r="Y418" s="110" t="b">
        <f>IF(preDEL!$AG418,IFERROR(0/0,""),preDEL!Y418)</f>
        <v>0</v>
      </c>
      <c r="Z418" s="105" t="str">
        <f>IF(preDEL!$AG418,IFERROR(0/0,""),preDEL!Z418)</f>
        <v/>
      </c>
      <c r="AA418" s="110" t="b">
        <f>IF(preDEL!$AG418,IFERROR(0/0,""),preDEL!AA418)</f>
        <v>0</v>
      </c>
      <c r="AB418" s="110" t="b">
        <f>IF(preDEL!$AG418,IFERROR(0/0,""),preDEL!AB418)</f>
        <v>0</v>
      </c>
      <c r="AC418" s="172">
        <f>IF(preDEL!$AG418,IFERROR(0/0,""),preDEL!AC418)</f>
        <v>390</v>
      </c>
      <c r="AD418" s="104" t="b">
        <f>IF(preDEL!$AG418,IFERROR(0/0,""),preDEL!AD418)</f>
        <v>0</v>
      </c>
      <c r="AE418" s="173">
        <f>IF(preDEL!$AG418,IFERROR(0/0,""),preDEL!AE418)</f>
        <v>358.0833333</v>
      </c>
      <c r="AF418" s="110" t="b">
        <f>IF(preDEL!$AG418,IFERROR(0/0,""),preDEL!AF418)</f>
        <v>0</v>
      </c>
      <c r="AG418" s="110" t="b">
        <f>IF(preDEL!$AG418,IFERROR(0/0,""),preDEL!AG418)</f>
        <v>0</v>
      </c>
      <c r="AH418" s="104" t="str">
        <f>IF(preDEL!$AG418,IFERROR(0/0,""),preDEL!AH418)</f>
        <v/>
      </c>
      <c r="AI418" s="105" t="str">
        <f>IF(preDEL!$AG418,IFERROR(0/0,""),preDEL!AI418)</f>
        <v/>
      </c>
      <c r="AJ418" s="112" t="str">
        <f>IF(preDEL!$AG418,IFERROR(0/0,""),preDEL!AJ418)</f>
        <v/>
      </c>
      <c r="AK418" s="105" t="str">
        <f>IF(preDEL!$AG418,IFERROR(0/0,""),preDEL!AK418)</f>
        <v>Negative</v>
      </c>
      <c r="AL418" s="112" t="str">
        <f>IF(preDEL!$AG418,IFERROR(0/0,""),preDEL!AL418)</f>
        <v/>
      </c>
      <c r="AM418" s="112" t="str">
        <f>IF(preDEL!$AG418,IFERROR(0/0,""),preDEL!AM418)</f>
        <v>SpBEND435789</v>
      </c>
      <c r="AN418" s="112" t="str">
        <f>IF(preDEL!$AG418,IFERROR(0/0,""),preDEL!AN418)</f>
        <v>BEND741633</v>
      </c>
      <c r="AO418" s="112" t="str">
        <f>IF(preDEL!$AG418,IFERROR(0/0,""),preDEL!AO418)</f>
        <v/>
      </c>
      <c r="AP418" s="112" t="str">
        <f>IF(preDEL!$AG418,IFERROR(0/0,""),preDEL!AP418)</f>
        <v/>
      </c>
      <c r="AQ418" s="112" t="str">
        <f>IF(preDEL!$AG418,IFERROR(0/0,""),preDEL!AQ418)</f>
        <v/>
      </c>
      <c r="AR418" s="112" t="str">
        <f>IF(preDEL!$AG418,IFERROR(0/0,""),preDEL!AR418)</f>
        <v/>
      </c>
      <c r="AS418" s="112" t="str">
        <f>IF(preDEL!$AG418,IFERROR(0/0,""),preDEL!AS418)</f>
        <v/>
      </c>
      <c r="AT418" s="112" t="b">
        <f>IF(preDEL!$AG418,IFERROR(0/0,""),preDEL!AT418)</f>
        <v>0</v>
      </c>
      <c r="AU418" s="112" t="str">
        <f>IF(preDEL!$AG418,IFERROR(0/0,""),preDEL!AU418)</f>
        <v/>
      </c>
      <c r="AV418" s="112" t="str">
        <f>IF(preDEL!$AG418,IFERROR(0/0,""),preDEL!AV418)</f>
        <v/>
      </c>
      <c r="AW418" s="112" t="str">
        <f>IF(preDEL!$AG418,IFERROR(0/0,""),preDEL!AW418)</f>
        <v/>
      </c>
      <c r="AX418" s="112" t="str">
        <f>IF(preDEL!$AG418,IFERROR(0/0,""),preDEL!AX418)</f>
        <v/>
      </c>
      <c r="AY418" s="112" t="str">
        <f>IF(preDEL!$AG418,IFERROR(0/0,""),preDEL!AY418)</f>
        <v/>
      </c>
      <c r="AZ418" s="174"/>
      <c r="BA418" s="174"/>
      <c r="BB418" s="174"/>
      <c r="BC418" s="174"/>
      <c r="BD418" s="174"/>
      <c r="BE418" s="174"/>
      <c r="BF418" s="174"/>
      <c r="BG418" s="174"/>
      <c r="BH418" s="174"/>
      <c r="BI418" s="174"/>
      <c r="BJ418" s="174"/>
      <c r="BK418" s="174"/>
      <c r="BL418" s="174"/>
      <c r="BM418" s="174"/>
      <c r="BN418" s="174"/>
      <c r="BO418" s="174"/>
      <c r="BP418" s="174"/>
      <c r="BQ418" s="174"/>
      <c r="BR418" s="174"/>
      <c r="BS418" s="174"/>
      <c r="BT418" s="174"/>
      <c r="BU418" s="174"/>
      <c r="BV418" s="174"/>
      <c r="BW418" s="174"/>
      <c r="BX418" s="174"/>
      <c r="BY418" s="174"/>
      <c r="BZ418" s="174"/>
      <c r="CA418" s="174"/>
      <c r="CB418" s="174"/>
      <c r="CC418" s="174"/>
      <c r="CD418" s="174"/>
    </row>
    <row r="419">
      <c r="A419" s="105" t="str">
        <f>IF(preDEL!$AG419,IFERROR(0/0,""),preDEL!A419)</f>
        <v>MA412</v>
      </c>
      <c r="B419" s="170">
        <f>IF(preDEL!$AG419,IFERROR(0/0,""),preDEL!B419)</f>
        <v>44607</v>
      </c>
      <c r="C419" s="171">
        <f>IF(preDEL!$AG419,IFERROR(0/0,""),preDEL!C419)</f>
        <v>0.3416435185</v>
      </c>
      <c r="D419" s="105" t="str">
        <f>IF(preDEL!$AG419,IFERROR(0/0,""),preDEL!D419)</f>
        <v/>
      </c>
      <c r="E419" s="105" t="str">
        <f>IF(preDEL!$AG419,IFERROR(0/0,""),preDEL!E419)</f>
        <v/>
      </c>
      <c r="F419" s="112" t="str">
        <f>IF(preDEL!$AG419,IFERROR(0/0,""),preDEL!F419)</f>
        <v/>
      </c>
      <c r="G419" s="112" t="str">
        <f>IF(preDEL!$AG419,IFERROR(0/0,""),preDEL!G419)</f>
        <v/>
      </c>
      <c r="H419" s="112" t="str">
        <f>IF(preDEL!$AG419,IFERROR(0/0,""),preDEL!H419)</f>
        <v/>
      </c>
      <c r="I419" s="105" t="str">
        <f>IF(preDEL!$AG419,IFERROR(0/0,""),preDEL!I419)</f>
        <v/>
      </c>
      <c r="J419" s="105" t="str">
        <f>IF(preDEL!$AG419,IFERROR(0/0,""),preDEL!J419)</f>
        <v/>
      </c>
      <c r="K419" s="105" t="str">
        <f>IF(preDEL!$AG419,IFERROR(0/0,""),preDEL!K419)</f>
        <v>Negative</v>
      </c>
      <c r="L419" s="170">
        <f>IF(preDEL!$AG419,IFERROR(0/0,""),preDEL!L419)</f>
        <v>44607</v>
      </c>
      <c r="M419" s="171">
        <f>IF(preDEL!$AG419,IFERROR(0/0,""),preDEL!M419)</f>
        <v>0.5868171296</v>
      </c>
      <c r="N419" s="112" t="str">
        <f>IF(preDEL!$AG419,IFERROR(0/0,""),preDEL!N419)</f>
        <v/>
      </c>
      <c r="O419" s="112" t="str">
        <f>IF(preDEL!$AG419,IFERROR(0/0,""),preDEL!O419)</f>
        <v/>
      </c>
      <c r="P419" s="110" t="b">
        <f>IF(preDEL!$AG419,IFERROR(0/0,""),preDEL!P419)</f>
        <v>0</v>
      </c>
      <c r="Q419" s="110" t="str">
        <f>IF(preDEL!$AG419,IFERROR(0/0,""),preDEL!Q419)</f>
        <v>Result</v>
      </c>
      <c r="R419" s="104" t="b">
        <f>IF(preDEL!$AG419,IFERROR(0/0,""),preDEL!R419)</f>
        <v>1</v>
      </c>
      <c r="S419" s="104">
        <f>IF(preDEL!$AG419,IFERROR(0/0,""),preDEL!S419)</f>
        <v>1</v>
      </c>
      <c r="T419" s="110" t="str">
        <f>IF(preDEL!$AG419,IFERROR(0/0,""),preDEL!T419)</f>
        <v/>
      </c>
      <c r="U419" s="112" t="str">
        <f>IF(preDEL!$AG419,IFERROR(0/0,""),preDEL!U419)</f>
        <v/>
      </c>
      <c r="V419" s="105" t="str">
        <f>IF(preDEL!$AG419,IFERROR(0/0,""),preDEL!V419)</f>
        <v/>
      </c>
      <c r="W419" s="112" t="str">
        <f>IF(preDEL!$AG419,IFERROR(0/0,""),preDEL!W419)</f>
        <v/>
      </c>
      <c r="X419" s="104" t="b">
        <f>IF(preDEL!$AG419,IFERROR(0/0,""),preDEL!X419)</f>
        <v>0</v>
      </c>
      <c r="Y419" s="110" t="b">
        <f>IF(preDEL!$AG419,IFERROR(0/0,""),preDEL!Y419)</f>
        <v>0</v>
      </c>
      <c r="Z419" s="105" t="str">
        <f>IF(preDEL!$AG419,IFERROR(0/0,""),preDEL!Z419)</f>
        <v/>
      </c>
      <c r="AA419" s="110" t="b">
        <f>IF(preDEL!$AG419,IFERROR(0/0,""),preDEL!AA419)</f>
        <v>0</v>
      </c>
      <c r="AB419" s="110" t="b">
        <f>IF(preDEL!$AG419,IFERROR(0/0,""),preDEL!AB419)</f>
        <v>0</v>
      </c>
      <c r="AC419" s="172">
        <f>IF(preDEL!$AG419,IFERROR(0/0,""),preDEL!AC419)</f>
        <v>389</v>
      </c>
      <c r="AD419" s="104" t="b">
        <f>IF(preDEL!$AG419,IFERROR(0/0,""),preDEL!AD419)</f>
        <v>0</v>
      </c>
      <c r="AE419" s="173">
        <f>IF(preDEL!$AG419,IFERROR(0/0,""),preDEL!AE419)</f>
        <v>353.05</v>
      </c>
      <c r="AF419" s="110" t="b">
        <f>IF(preDEL!$AG419,IFERROR(0/0,""),preDEL!AF419)</f>
        <v>0</v>
      </c>
      <c r="AG419" s="110" t="b">
        <f>IF(preDEL!$AG419,IFERROR(0/0,""),preDEL!AG419)</f>
        <v>0</v>
      </c>
      <c r="AH419" s="104" t="str">
        <f>IF(preDEL!$AG419,IFERROR(0/0,""),preDEL!AH419)</f>
        <v/>
      </c>
      <c r="AI419" s="105" t="str">
        <f>IF(preDEL!$AG419,IFERROR(0/0,""),preDEL!AI419)</f>
        <v/>
      </c>
      <c r="AJ419" s="112" t="str">
        <f>IF(preDEL!$AG419,IFERROR(0/0,""),preDEL!AJ419)</f>
        <v/>
      </c>
      <c r="AK419" s="105" t="str">
        <f>IF(preDEL!$AG419,IFERROR(0/0,""),preDEL!AK419)</f>
        <v>Negative</v>
      </c>
      <c r="AL419" s="112" t="str">
        <f>IF(preDEL!$AG419,IFERROR(0/0,""),preDEL!AL419)</f>
        <v/>
      </c>
      <c r="AM419" s="112" t="str">
        <f>IF(preDEL!$AG419,IFERROR(0/0,""),preDEL!AM419)</f>
        <v>SpBEND824412</v>
      </c>
      <c r="AN419" s="112" t="str">
        <f>IF(preDEL!$AG419,IFERROR(0/0,""),preDEL!AN419)</f>
        <v>BEND918814</v>
      </c>
      <c r="AO419" s="112" t="str">
        <f>IF(preDEL!$AG419,IFERROR(0/0,""),preDEL!AO419)</f>
        <v/>
      </c>
      <c r="AP419" s="112" t="str">
        <f>IF(preDEL!$AG419,IFERROR(0/0,""),preDEL!AP419)</f>
        <v/>
      </c>
      <c r="AQ419" s="112" t="str">
        <f>IF(preDEL!$AG419,IFERROR(0/0,""),preDEL!AQ419)</f>
        <v/>
      </c>
      <c r="AR419" s="112" t="str">
        <f>IF(preDEL!$AG419,IFERROR(0/0,""),preDEL!AR419)</f>
        <v/>
      </c>
      <c r="AS419" s="112" t="str">
        <f>IF(preDEL!$AG419,IFERROR(0/0,""),preDEL!AS419)</f>
        <v/>
      </c>
      <c r="AT419" s="112" t="b">
        <f>IF(preDEL!$AG419,IFERROR(0/0,""),preDEL!AT419)</f>
        <v>0</v>
      </c>
      <c r="AU419" s="112" t="str">
        <f>IF(preDEL!$AG419,IFERROR(0/0,""),preDEL!AU419)</f>
        <v/>
      </c>
      <c r="AV419" s="112" t="str">
        <f>IF(preDEL!$AG419,IFERROR(0/0,""),preDEL!AV419)</f>
        <v/>
      </c>
      <c r="AW419" s="112" t="str">
        <f>IF(preDEL!$AG419,IFERROR(0/0,""),preDEL!AW419)</f>
        <v/>
      </c>
      <c r="AX419" s="112" t="str">
        <f>IF(preDEL!$AG419,IFERROR(0/0,""),preDEL!AX419)</f>
        <v/>
      </c>
      <c r="AY419" s="112" t="str">
        <f>IF(preDEL!$AG419,IFERROR(0/0,""),preDEL!AY419)</f>
        <v/>
      </c>
      <c r="AZ419" s="174"/>
      <c r="BA419" s="174"/>
      <c r="BB419" s="174"/>
      <c r="BC419" s="174"/>
      <c r="BD419" s="174"/>
      <c r="BE419" s="174"/>
      <c r="BF419" s="174"/>
      <c r="BG419" s="174"/>
      <c r="BH419" s="174"/>
      <c r="BI419" s="174"/>
      <c r="BJ419" s="174"/>
      <c r="BK419" s="174"/>
      <c r="BL419" s="174"/>
      <c r="BM419" s="174"/>
      <c r="BN419" s="174"/>
      <c r="BO419" s="174"/>
      <c r="BP419" s="174"/>
      <c r="BQ419" s="174"/>
      <c r="BR419" s="174"/>
      <c r="BS419" s="174"/>
      <c r="BT419" s="174"/>
      <c r="BU419" s="174"/>
      <c r="BV419" s="174"/>
      <c r="BW419" s="174"/>
      <c r="BX419" s="174"/>
      <c r="BY419" s="174"/>
      <c r="BZ419" s="174"/>
      <c r="CA419" s="174"/>
      <c r="CB419" s="174"/>
      <c r="CC419" s="174"/>
      <c r="CD419" s="174"/>
    </row>
    <row r="420">
      <c r="A420" s="105" t="str">
        <f>IF(preDEL!$AG420,IFERROR(0/0,""),preDEL!A420)</f>
        <v>FM34</v>
      </c>
      <c r="B420" s="170">
        <f>IF(preDEL!$AG420,IFERROR(0/0,""),preDEL!B420)</f>
        <v>44607</v>
      </c>
      <c r="C420" s="171">
        <f>IF(preDEL!$AG420,IFERROR(0/0,""),preDEL!C420)</f>
        <v>0.3449537037</v>
      </c>
      <c r="D420" s="105" t="str">
        <f>IF(preDEL!$AG420,IFERROR(0/0,""),preDEL!D420)</f>
        <v/>
      </c>
      <c r="E420" s="105" t="str">
        <f>IF(preDEL!$AG420,IFERROR(0/0,""),preDEL!E420)</f>
        <v/>
      </c>
      <c r="F420" s="112" t="str">
        <f>IF(preDEL!$AG420,IFERROR(0/0,""),preDEL!F420)</f>
        <v/>
      </c>
      <c r="G420" s="112" t="str">
        <f>IF(preDEL!$AG420,IFERROR(0/0,""),preDEL!G420)</f>
        <v/>
      </c>
      <c r="H420" s="112" t="str">
        <f>IF(preDEL!$AG420,IFERROR(0/0,""),preDEL!H420)</f>
        <v/>
      </c>
      <c r="I420" s="105" t="str">
        <f>IF(preDEL!$AG420,IFERROR(0/0,""),preDEL!I420)</f>
        <v/>
      </c>
      <c r="J420" s="105" t="str">
        <f>IF(preDEL!$AG420,IFERROR(0/0,""),preDEL!J420)</f>
        <v/>
      </c>
      <c r="K420" s="105" t="str">
        <f>IF(preDEL!$AG420,IFERROR(0/0,""),preDEL!K420)</f>
        <v>Negative</v>
      </c>
      <c r="L420" s="170">
        <f>IF(preDEL!$AG420,IFERROR(0/0,""),preDEL!L420)</f>
        <v>44607</v>
      </c>
      <c r="M420" s="171">
        <f>IF(preDEL!$AG420,IFERROR(0/0,""),preDEL!M420)</f>
        <v>0.5868171296</v>
      </c>
      <c r="N420" s="112" t="str">
        <f>IF(preDEL!$AG420,IFERROR(0/0,""),preDEL!N420)</f>
        <v/>
      </c>
      <c r="O420" s="112" t="str">
        <f>IF(preDEL!$AG420,IFERROR(0/0,""),preDEL!O420)</f>
        <v/>
      </c>
      <c r="P420" s="110" t="b">
        <f>IF(preDEL!$AG420,IFERROR(0/0,""),preDEL!P420)</f>
        <v>0</v>
      </c>
      <c r="Q420" s="110" t="str">
        <f>IF(preDEL!$AG420,IFERROR(0/0,""),preDEL!Q420)</f>
        <v>Result</v>
      </c>
      <c r="R420" s="104" t="b">
        <f>IF(preDEL!$AG420,IFERROR(0/0,""),preDEL!R420)</f>
        <v>1</v>
      </c>
      <c r="S420" s="104">
        <f>IF(preDEL!$AG420,IFERROR(0/0,""),preDEL!S420)</f>
        <v>1</v>
      </c>
      <c r="T420" s="110" t="str">
        <f>IF(preDEL!$AG420,IFERROR(0/0,""),preDEL!T420)</f>
        <v/>
      </c>
      <c r="U420" s="112" t="str">
        <f>IF(preDEL!$AG420,IFERROR(0/0,""),preDEL!U420)</f>
        <v/>
      </c>
      <c r="V420" s="105" t="str">
        <f>IF(preDEL!$AG420,IFERROR(0/0,""),preDEL!V420)</f>
        <v/>
      </c>
      <c r="W420" s="112" t="str">
        <f>IF(preDEL!$AG420,IFERROR(0/0,""),preDEL!W420)</f>
        <v/>
      </c>
      <c r="X420" s="104" t="b">
        <f>IF(preDEL!$AG420,IFERROR(0/0,""),preDEL!X420)</f>
        <v>0</v>
      </c>
      <c r="Y420" s="110" t="b">
        <f>IF(preDEL!$AG420,IFERROR(0/0,""),preDEL!Y420)</f>
        <v>0</v>
      </c>
      <c r="Z420" s="105" t="str">
        <f>IF(preDEL!$AG420,IFERROR(0/0,""),preDEL!Z420)</f>
        <v/>
      </c>
      <c r="AA420" s="110" t="b">
        <f>IF(preDEL!$AG420,IFERROR(0/0,""),preDEL!AA420)</f>
        <v>0</v>
      </c>
      <c r="AB420" s="110" t="b">
        <f>IF(preDEL!$AG420,IFERROR(0/0,""),preDEL!AB420)</f>
        <v>0</v>
      </c>
      <c r="AC420" s="172">
        <f>IF(preDEL!$AG420,IFERROR(0/0,""),preDEL!AC420)</f>
        <v>388</v>
      </c>
      <c r="AD420" s="104" t="b">
        <f>IF(preDEL!$AG420,IFERROR(0/0,""),preDEL!AD420)</f>
        <v>0</v>
      </c>
      <c r="AE420" s="173">
        <f>IF(preDEL!$AG420,IFERROR(0/0,""),preDEL!AE420)</f>
        <v>348.2833333</v>
      </c>
      <c r="AF420" s="110" t="b">
        <f>IF(preDEL!$AG420,IFERROR(0/0,""),preDEL!AF420)</f>
        <v>0</v>
      </c>
      <c r="AG420" s="110" t="b">
        <f>IF(preDEL!$AG420,IFERROR(0/0,""),preDEL!AG420)</f>
        <v>0</v>
      </c>
      <c r="AH420" s="104" t="str">
        <f>IF(preDEL!$AG420,IFERROR(0/0,""),preDEL!AH420)</f>
        <v/>
      </c>
      <c r="AI420" s="105" t="str">
        <f>IF(preDEL!$AG420,IFERROR(0/0,""),preDEL!AI420)</f>
        <v/>
      </c>
      <c r="AJ420" s="112" t="str">
        <f>IF(preDEL!$AG420,IFERROR(0/0,""),preDEL!AJ420)</f>
        <v/>
      </c>
      <c r="AK420" s="105" t="str">
        <f>IF(preDEL!$AG420,IFERROR(0/0,""),preDEL!AK420)</f>
        <v>Negative</v>
      </c>
      <c r="AL420" s="112" t="str">
        <f>IF(preDEL!$AG420,IFERROR(0/0,""),preDEL!AL420)</f>
        <v/>
      </c>
      <c r="AM420" s="112" t="str">
        <f>IF(preDEL!$AG420,IFERROR(0/0,""),preDEL!AM420)</f>
        <v>SpBEND899578</v>
      </c>
      <c r="AN420" s="112" t="str">
        <f>IF(preDEL!$AG420,IFERROR(0/0,""),preDEL!AN420)</f>
        <v>BEND949070</v>
      </c>
      <c r="AO420" s="112" t="str">
        <f>IF(preDEL!$AG420,IFERROR(0/0,""),preDEL!AO420)</f>
        <v/>
      </c>
      <c r="AP420" s="112" t="str">
        <f>IF(preDEL!$AG420,IFERROR(0/0,""),preDEL!AP420)</f>
        <v/>
      </c>
      <c r="AQ420" s="112" t="str">
        <f>IF(preDEL!$AG420,IFERROR(0/0,""),preDEL!AQ420)</f>
        <v/>
      </c>
      <c r="AR420" s="112" t="str">
        <f>IF(preDEL!$AG420,IFERROR(0/0,""),preDEL!AR420)</f>
        <v/>
      </c>
      <c r="AS420" s="112" t="str">
        <f>IF(preDEL!$AG420,IFERROR(0/0,""),preDEL!AS420)</f>
        <v/>
      </c>
      <c r="AT420" s="112" t="b">
        <f>IF(preDEL!$AG420,IFERROR(0/0,""),preDEL!AT420)</f>
        <v>0</v>
      </c>
      <c r="AU420" s="112" t="str">
        <f>IF(preDEL!$AG420,IFERROR(0/0,""),preDEL!AU420)</f>
        <v/>
      </c>
      <c r="AV420" s="112" t="str">
        <f>IF(preDEL!$AG420,IFERROR(0/0,""),preDEL!AV420)</f>
        <v/>
      </c>
      <c r="AW420" s="112" t="str">
        <f>IF(preDEL!$AG420,IFERROR(0/0,""),preDEL!AW420)</f>
        <v/>
      </c>
      <c r="AX420" s="112" t="str">
        <f>IF(preDEL!$AG420,IFERROR(0/0,""),preDEL!AX420)</f>
        <v/>
      </c>
      <c r="AY420" s="112" t="str">
        <f>IF(preDEL!$AG420,IFERROR(0/0,""),preDEL!AY420)</f>
        <v/>
      </c>
      <c r="AZ420" s="174"/>
      <c r="BA420" s="174"/>
      <c r="BB420" s="174"/>
      <c r="BC420" s="174"/>
      <c r="BD420" s="174"/>
      <c r="BE420" s="174"/>
      <c r="BF420" s="174"/>
      <c r="BG420" s="174"/>
      <c r="BH420" s="174"/>
      <c r="BI420" s="174"/>
      <c r="BJ420" s="174"/>
      <c r="BK420" s="174"/>
      <c r="BL420" s="174"/>
      <c r="BM420" s="174"/>
      <c r="BN420" s="174"/>
      <c r="BO420" s="174"/>
      <c r="BP420" s="174"/>
      <c r="BQ420" s="174"/>
      <c r="BR420" s="174"/>
      <c r="BS420" s="174"/>
      <c r="BT420" s="174"/>
      <c r="BU420" s="174"/>
      <c r="BV420" s="174"/>
      <c r="BW420" s="174"/>
      <c r="BX420" s="174"/>
      <c r="BY420" s="174"/>
      <c r="BZ420" s="174"/>
      <c r="CA420" s="174"/>
      <c r="CB420" s="174"/>
      <c r="CC420" s="174"/>
      <c r="CD420" s="174"/>
    </row>
    <row r="421">
      <c r="A421" s="105" t="str">
        <f>IF(preDEL!$AG421,IFERROR(0/0,""),preDEL!A421)</f>
        <v>MA1029</v>
      </c>
      <c r="B421" s="170">
        <f>IF(preDEL!$AG421,IFERROR(0/0,""),preDEL!B421)</f>
        <v>44607</v>
      </c>
      <c r="C421" s="171">
        <f>IF(preDEL!$AG421,IFERROR(0/0,""),preDEL!C421)</f>
        <v>0.3477546296</v>
      </c>
      <c r="D421" s="105" t="str">
        <f>IF(preDEL!$AG421,IFERROR(0/0,""),preDEL!D421)</f>
        <v/>
      </c>
      <c r="E421" s="105" t="str">
        <f>IF(preDEL!$AG421,IFERROR(0/0,""),preDEL!E421)</f>
        <v/>
      </c>
      <c r="F421" s="112" t="str">
        <f>IF(preDEL!$AG421,IFERROR(0/0,""),preDEL!F421)</f>
        <v/>
      </c>
      <c r="G421" s="112" t="str">
        <f>IF(preDEL!$AG421,IFERROR(0/0,""),preDEL!G421)</f>
        <v/>
      </c>
      <c r="H421" s="112" t="str">
        <f>IF(preDEL!$AG421,IFERROR(0/0,""),preDEL!H421)</f>
        <v/>
      </c>
      <c r="I421" s="105" t="str">
        <f>IF(preDEL!$AG421,IFERROR(0/0,""),preDEL!I421)</f>
        <v/>
      </c>
      <c r="J421" s="105" t="str">
        <f>IF(preDEL!$AG421,IFERROR(0/0,""),preDEL!J421)</f>
        <v/>
      </c>
      <c r="K421" s="105" t="str">
        <f>IF(preDEL!$AG421,IFERROR(0/0,""),preDEL!K421)</f>
        <v>Negative</v>
      </c>
      <c r="L421" s="170">
        <f>IF(preDEL!$AG421,IFERROR(0/0,""),preDEL!L421)</f>
        <v>44607</v>
      </c>
      <c r="M421" s="171">
        <f>IF(preDEL!$AG421,IFERROR(0/0,""),preDEL!M421)</f>
        <v>0.5868171296</v>
      </c>
      <c r="N421" s="112" t="str">
        <f>IF(preDEL!$AG421,IFERROR(0/0,""),preDEL!N421)</f>
        <v/>
      </c>
      <c r="O421" s="112" t="str">
        <f>IF(preDEL!$AG421,IFERROR(0/0,""),preDEL!O421)</f>
        <v/>
      </c>
      <c r="P421" s="110" t="b">
        <f>IF(preDEL!$AG421,IFERROR(0/0,""),preDEL!P421)</f>
        <v>0</v>
      </c>
      <c r="Q421" s="110" t="str">
        <f>IF(preDEL!$AG421,IFERROR(0/0,""),preDEL!Q421)</f>
        <v>Result</v>
      </c>
      <c r="R421" s="104" t="b">
        <f>IF(preDEL!$AG421,IFERROR(0/0,""),preDEL!R421)</f>
        <v>1</v>
      </c>
      <c r="S421" s="104">
        <f>IF(preDEL!$AG421,IFERROR(0/0,""),preDEL!S421)</f>
        <v>1</v>
      </c>
      <c r="T421" s="110" t="str">
        <f>IF(preDEL!$AG421,IFERROR(0/0,""),preDEL!T421)</f>
        <v/>
      </c>
      <c r="U421" s="112" t="str">
        <f>IF(preDEL!$AG421,IFERROR(0/0,""),preDEL!U421)</f>
        <v/>
      </c>
      <c r="V421" s="105" t="str">
        <f>IF(preDEL!$AG421,IFERROR(0/0,""),preDEL!V421)</f>
        <v/>
      </c>
      <c r="W421" s="112" t="str">
        <f>IF(preDEL!$AG421,IFERROR(0/0,""),preDEL!W421)</f>
        <v/>
      </c>
      <c r="X421" s="104" t="b">
        <f>IF(preDEL!$AG421,IFERROR(0/0,""),preDEL!X421)</f>
        <v>0</v>
      </c>
      <c r="Y421" s="110" t="b">
        <f>IF(preDEL!$AG421,IFERROR(0/0,""),preDEL!Y421)</f>
        <v>0</v>
      </c>
      <c r="Z421" s="105" t="str">
        <f>IF(preDEL!$AG421,IFERROR(0/0,""),preDEL!Z421)</f>
        <v/>
      </c>
      <c r="AA421" s="110" t="b">
        <f>IF(preDEL!$AG421,IFERROR(0/0,""),preDEL!AA421)</f>
        <v>0</v>
      </c>
      <c r="AB421" s="110" t="b">
        <f>IF(preDEL!$AG421,IFERROR(0/0,""),preDEL!AB421)</f>
        <v>0</v>
      </c>
      <c r="AC421" s="172">
        <f>IF(preDEL!$AG421,IFERROR(0/0,""),preDEL!AC421)</f>
        <v>387</v>
      </c>
      <c r="AD421" s="104" t="b">
        <f>IF(preDEL!$AG421,IFERROR(0/0,""),preDEL!AD421)</f>
        <v>0</v>
      </c>
      <c r="AE421" s="173">
        <f>IF(preDEL!$AG421,IFERROR(0/0,""),preDEL!AE421)</f>
        <v>344.25</v>
      </c>
      <c r="AF421" s="110" t="b">
        <f>IF(preDEL!$AG421,IFERROR(0/0,""),preDEL!AF421)</f>
        <v>0</v>
      </c>
      <c r="AG421" s="110" t="b">
        <f>IF(preDEL!$AG421,IFERROR(0/0,""),preDEL!AG421)</f>
        <v>0</v>
      </c>
      <c r="AH421" s="104" t="str">
        <f>IF(preDEL!$AG421,IFERROR(0/0,""),preDEL!AH421)</f>
        <v/>
      </c>
      <c r="AI421" s="105" t="str">
        <f>IF(preDEL!$AG421,IFERROR(0/0,""),preDEL!AI421)</f>
        <v/>
      </c>
      <c r="AJ421" s="112" t="str">
        <f>IF(preDEL!$AG421,IFERROR(0/0,""),preDEL!AJ421)</f>
        <v/>
      </c>
      <c r="AK421" s="105" t="str">
        <f>IF(preDEL!$AG421,IFERROR(0/0,""),preDEL!AK421)</f>
        <v>Negative</v>
      </c>
      <c r="AL421" s="112" t="str">
        <f>IF(preDEL!$AG421,IFERROR(0/0,""),preDEL!AL421)</f>
        <v/>
      </c>
      <c r="AM421" s="112" t="str">
        <f>IF(preDEL!$AG421,IFERROR(0/0,""),preDEL!AM421)</f>
        <v>SpBEND372845</v>
      </c>
      <c r="AN421" s="112" t="str">
        <f>IF(preDEL!$AG421,IFERROR(0/0,""),preDEL!AN421)</f>
        <v>BEND940774</v>
      </c>
      <c r="AO421" s="112" t="str">
        <f>IF(preDEL!$AG421,IFERROR(0/0,""),preDEL!AO421)</f>
        <v/>
      </c>
      <c r="AP421" s="112" t="str">
        <f>IF(preDEL!$AG421,IFERROR(0/0,""),preDEL!AP421)</f>
        <v/>
      </c>
      <c r="AQ421" s="112" t="str">
        <f>IF(preDEL!$AG421,IFERROR(0/0,""),preDEL!AQ421)</f>
        <v/>
      </c>
      <c r="AR421" s="112" t="str">
        <f>IF(preDEL!$AG421,IFERROR(0/0,""),preDEL!AR421)</f>
        <v/>
      </c>
      <c r="AS421" s="112" t="str">
        <f>IF(preDEL!$AG421,IFERROR(0/0,""),preDEL!AS421)</f>
        <v/>
      </c>
      <c r="AT421" s="112" t="b">
        <f>IF(preDEL!$AG421,IFERROR(0/0,""),preDEL!AT421)</f>
        <v>0</v>
      </c>
      <c r="AU421" s="112" t="str">
        <f>IF(preDEL!$AG421,IFERROR(0/0,""),preDEL!AU421)</f>
        <v/>
      </c>
      <c r="AV421" s="112" t="str">
        <f>IF(preDEL!$AG421,IFERROR(0/0,""),preDEL!AV421)</f>
        <v/>
      </c>
      <c r="AW421" s="112" t="str">
        <f>IF(preDEL!$AG421,IFERROR(0/0,""),preDEL!AW421)</f>
        <v/>
      </c>
      <c r="AX421" s="112" t="str">
        <f>IF(preDEL!$AG421,IFERROR(0/0,""),preDEL!AX421)</f>
        <v/>
      </c>
      <c r="AY421" s="112" t="str">
        <f>IF(preDEL!$AG421,IFERROR(0/0,""),preDEL!AY421)</f>
        <v/>
      </c>
      <c r="AZ421" s="174"/>
      <c r="BA421" s="174"/>
      <c r="BB421" s="174"/>
      <c r="BC421" s="174"/>
      <c r="BD421" s="174"/>
      <c r="BE421" s="174"/>
      <c r="BF421" s="174"/>
      <c r="BG421" s="174"/>
      <c r="BH421" s="174"/>
      <c r="BI421" s="174"/>
      <c r="BJ421" s="174"/>
      <c r="BK421" s="174"/>
      <c r="BL421" s="174"/>
      <c r="BM421" s="174"/>
      <c r="BN421" s="174"/>
      <c r="BO421" s="174"/>
      <c r="BP421" s="174"/>
      <c r="BQ421" s="174"/>
      <c r="BR421" s="174"/>
      <c r="BS421" s="174"/>
      <c r="BT421" s="174"/>
      <c r="BU421" s="174"/>
      <c r="BV421" s="174"/>
      <c r="BW421" s="174"/>
      <c r="BX421" s="174"/>
      <c r="BY421" s="174"/>
      <c r="BZ421" s="174"/>
      <c r="CA421" s="174"/>
      <c r="CB421" s="174"/>
      <c r="CC421" s="174"/>
      <c r="CD421" s="174"/>
    </row>
    <row r="422">
      <c r="A422" s="105" t="str">
        <f>IF(preDEL!$AG422,IFERROR(0/0,""),preDEL!A422)</f>
        <v>FM428</v>
      </c>
      <c r="B422" s="170">
        <f>IF(preDEL!$AG422,IFERROR(0/0,""),preDEL!B422)</f>
        <v>44607</v>
      </c>
      <c r="C422" s="171">
        <f>IF(preDEL!$AG422,IFERROR(0/0,""),preDEL!C422)</f>
        <v>0.3717361111</v>
      </c>
      <c r="D422" s="105" t="str">
        <f>IF(preDEL!$AG422,IFERROR(0/0,""),preDEL!D422)</f>
        <v/>
      </c>
      <c r="E422" s="105" t="str">
        <f>IF(preDEL!$AG422,IFERROR(0/0,""),preDEL!E422)</f>
        <v/>
      </c>
      <c r="F422" s="112" t="str">
        <f>IF(preDEL!$AG422,IFERROR(0/0,""),preDEL!F422)</f>
        <v/>
      </c>
      <c r="G422" s="112" t="str">
        <f>IF(preDEL!$AG422,IFERROR(0/0,""),preDEL!G422)</f>
        <v/>
      </c>
      <c r="H422" s="112" t="str">
        <f>IF(preDEL!$AG422,IFERROR(0/0,""),preDEL!H422)</f>
        <v/>
      </c>
      <c r="I422" s="105" t="str">
        <f>IF(preDEL!$AG422,IFERROR(0/0,""),preDEL!I422)</f>
        <v/>
      </c>
      <c r="J422" s="105" t="str">
        <f>IF(preDEL!$AG422,IFERROR(0/0,""),preDEL!J422)</f>
        <v/>
      </c>
      <c r="K422" s="105" t="str">
        <f>IF(preDEL!$AG422,IFERROR(0/0,""),preDEL!K422)</f>
        <v>Negative</v>
      </c>
      <c r="L422" s="170">
        <f>IF(preDEL!$AG422,IFERROR(0/0,""),preDEL!L422)</f>
        <v>44607</v>
      </c>
      <c r="M422" s="171">
        <f>IF(preDEL!$AG422,IFERROR(0/0,""),preDEL!M422)</f>
        <v>0.5868171296</v>
      </c>
      <c r="N422" s="112" t="str">
        <f>IF(preDEL!$AG422,IFERROR(0/0,""),preDEL!N422)</f>
        <v/>
      </c>
      <c r="O422" s="112" t="str">
        <f>IF(preDEL!$AG422,IFERROR(0/0,""),preDEL!O422)</f>
        <v/>
      </c>
      <c r="P422" s="110" t="b">
        <f>IF(preDEL!$AG422,IFERROR(0/0,""),preDEL!P422)</f>
        <v>0</v>
      </c>
      <c r="Q422" s="110" t="str">
        <f>IF(preDEL!$AG422,IFERROR(0/0,""),preDEL!Q422)</f>
        <v>Result</v>
      </c>
      <c r="R422" s="104" t="b">
        <f>IF(preDEL!$AG422,IFERROR(0/0,""),preDEL!R422)</f>
        <v>1</v>
      </c>
      <c r="S422" s="104">
        <f>IF(preDEL!$AG422,IFERROR(0/0,""),preDEL!S422)</f>
        <v>1</v>
      </c>
      <c r="T422" s="110" t="str">
        <f>IF(preDEL!$AG422,IFERROR(0/0,""),preDEL!T422)</f>
        <v/>
      </c>
      <c r="U422" s="112" t="str">
        <f>IF(preDEL!$AG422,IFERROR(0/0,""),preDEL!U422)</f>
        <v/>
      </c>
      <c r="V422" s="105" t="str">
        <f>IF(preDEL!$AG422,IFERROR(0/0,""),preDEL!V422)</f>
        <v/>
      </c>
      <c r="W422" s="112" t="str">
        <f>IF(preDEL!$AG422,IFERROR(0/0,""),preDEL!W422)</f>
        <v/>
      </c>
      <c r="X422" s="104" t="b">
        <f>IF(preDEL!$AG422,IFERROR(0/0,""),preDEL!X422)</f>
        <v>0</v>
      </c>
      <c r="Y422" s="110" t="b">
        <f>IF(preDEL!$AG422,IFERROR(0/0,""),preDEL!Y422)</f>
        <v>0</v>
      </c>
      <c r="Z422" s="105" t="str">
        <f>IF(preDEL!$AG422,IFERROR(0/0,""),preDEL!Z422)</f>
        <v/>
      </c>
      <c r="AA422" s="110" t="b">
        <f>IF(preDEL!$AG422,IFERROR(0/0,""),preDEL!AA422)</f>
        <v>0</v>
      </c>
      <c r="AB422" s="110" t="b">
        <f>IF(preDEL!$AG422,IFERROR(0/0,""),preDEL!AB422)</f>
        <v>0</v>
      </c>
      <c r="AC422" s="172">
        <f>IF(preDEL!$AG422,IFERROR(0/0,""),preDEL!AC422)</f>
        <v>386</v>
      </c>
      <c r="AD422" s="104" t="b">
        <f>IF(preDEL!$AG422,IFERROR(0/0,""),preDEL!AD422)</f>
        <v>0</v>
      </c>
      <c r="AE422" s="173">
        <f>IF(preDEL!$AG422,IFERROR(0/0,""),preDEL!AE422)</f>
        <v>309.7166667</v>
      </c>
      <c r="AF422" s="110" t="b">
        <f>IF(preDEL!$AG422,IFERROR(0/0,""),preDEL!AF422)</f>
        <v>0</v>
      </c>
      <c r="AG422" s="110" t="b">
        <f>IF(preDEL!$AG422,IFERROR(0/0,""),preDEL!AG422)</f>
        <v>0</v>
      </c>
      <c r="AH422" s="104" t="str">
        <f>IF(preDEL!$AG422,IFERROR(0/0,""),preDEL!AH422)</f>
        <v/>
      </c>
      <c r="AI422" s="105" t="str">
        <f>IF(preDEL!$AG422,IFERROR(0/0,""),preDEL!AI422)</f>
        <v/>
      </c>
      <c r="AJ422" s="112" t="str">
        <f>IF(preDEL!$AG422,IFERROR(0/0,""),preDEL!AJ422)</f>
        <v/>
      </c>
      <c r="AK422" s="105" t="str">
        <f>IF(preDEL!$AG422,IFERROR(0/0,""),preDEL!AK422)</f>
        <v>Negative</v>
      </c>
      <c r="AL422" s="112" t="str">
        <f>IF(preDEL!$AG422,IFERROR(0/0,""),preDEL!AL422)</f>
        <v/>
      </c>
      <c r="AM422" s="112" t="str">
        <f>IF(preDEL!$AG422,IFERROR(0/0,""),preDEL!AM422)</f>
        <v>SpBEND737678</v>
      </c>
      <c r="AN422" s="112" t="str">
        <f>IF(preDEL!$AG422,IFERROR(0/0,""),preDEL!AN422)</f>
        <v>BEND944448</v>
      </c>
      <c r="AO422" s="112" t="str">
        <f>IF(preDEL!$AG422,IFERROR(0/0,""),preDEL!AO422)</f>
        <v/>
      </c>
      <c r="AP422" s="112" t="str">
        <f>IF(preDEL!$AG422,IFERROR(0/0,""),preDEL!AP422)</f>
        <v/>
      </c>
      <c r="AQ422" s="112" t="str">
        <f>IF(preDEL!$AG422,IFERROR(0/0,""),preDEL!AQ422)</f>
        <v/>
      </c>
      <c r="AR422" s="112" t="str">
        <f>IF(preDEL!$AG422,IFERROR(0/0,""),preDEL!AR422)</f>
        <v/>
      </c>
      <c r="AS422" s="112" t="str">
        <f>IF(preDEL!$AG422,IFERROR(0/0,""),preDEL!AS422)</f>
        <v/>
      </c>
      <c r="AT422" s="112" t="b">
        <f>IF(preDEL!$AG422,IFERROR(0/0,""),preDEL!AT422)</f>
        <v>0</v>
      </c>
      <c r="AU422" s="112" t="str">
        <f>IF(preDEL!$AG422,IFERROR(0/0,""),preDEL!AU422)</f>
        <v/>
      </c>
      <c r="AV422" s="112" t="str">
        <f>IF(preDEL!$AG422,IFERROR(0/0,""),preDEL!AV422)</f>
        <v/>
      </c>
      <c r="AW422" s="112" t="str">
        <f>IF(preDEL!$AG422,IFERROR(0/0,""),preDEL!AW422)</f>
        <v/>
      </c>
      <c r="AX422" s="112" t="str">
        <f>IF(preDEL!$AG422,IFERROR(0/0,""),preDEL!AX422)</f>
        <v/>
      </c>
      <c r="AY422" s="112" t="str">
        <f>IF(preDEL!$AG422,IFERROR(0/0,""),preDEL!AY422)</f>
        <v/>
      </c>
      <c r="AZ422" s="174"/>
      <c r="BA422" s="174"/>
      <c r="BB422" s="174"/>
      <c r="BC422" s="174"/>
      <c r="BD422" s="174"/>
      <c r="BE422" s="174"/>
      <c r="BF422" s="174"/>
      <c r="BG422" s="174"/>
      <c r="BH422" s="174"/>
      <c r="BI422" s="174"/>
      <c r="BJ422" s="174"/>
      <c r="BK422" s="174"/>
      <c r="BL422" s="174"/>
      <c r="BM422" s="174"/>
      <c r="BN422" s="174"/>
      <c r="BO422" s="174"/>
      <c r="BP422" s="174"/>
      <c r="BQ422" s="174"/>
      <c r="BR422" s="174"/>
      <c r="BS422" s="174"/>
      <c r="BT422" s="174"/>
      <c r="BU422" s="174"/>
      <c r="BV422" s="174"/>
      <c r="BW422" s="174"/>
      <c r="BX422" s="174"/>
      <c r="BY422" s="174"/>
      <c r="BZ422" s="174"/>
      <c r="CA422" s="174"/>
      <c r="CB422" s="174"/>
      <c r="CC422" s="174"/>
      <c r="CD422" s="174"/>
    </row>
    <row r="423">
      <c r="A423" s="105" t="str">
        <f>IF(preDEL!$AG423,IFERROR(0/0,""),preDEL!A423)</f>
        <v/>
      </c>
      <c r="B423" s="170" t="str">
        <f>IF(preDEL!$AG423,IFERROR(0/0,""),preDEL!B423)</f>
        <v/>
      </c>
      <c r="C423" s="171" t="str">
        <f>IF(preDEL!$AG423,IFERROR(0/0,""),preDEL!C423)</f>
        <v/>
      </c>
      <c r="D423" s="105" t="str">
        <f>IF(preDEL!$AG423,IFERROR(0/0,""),preDEL!D423)</f>
        <v/>
      </c>
      <c r="E423" s="105" t="str">
        <f>IF(preDEL!$AG423,IFERROR(0/0,""),preDEL!E423)</f>
        <v/>
      </c>
      <c r="F423" s="112" t="str">
        <f>IF(preDEL!$AG423,IFERROR(0/0,""),preDEL!F423)</f>
        <v/>
      </c>
      <c r="G423" s="112" t="str">
        <f>IF(preDEL!$AG423,IFERROR(0/0,""),preDEL!G423)</f>
        <v/>
      </c>
      <c r="H423" s="112" t="str">
        <f>IF(preDEL!$AG423,IFERROR(0/0,""),preDEL!H423)</f>
        <v/>
      </c>
      <c r="I423" s="105" t="str">
        <f>IF(preDEL!$AG423,IFERROR(0/0,""),preDEL!I423)</f>
        <v/>
      </c>
      <c r="J423" s="105" t="str">
        <f>IF(preDEL!$AG423,IFERROR(0/0,""),preDEL!J423)</f>
        <v/>
      </c>
      <c r="K423" s="105" t="str">
        <f>IF(preDEL!$AG423,IFERROR(0/0,""),preDEL!K423)</f>
        <v/>
      </c>
      <c r="L423" s="170" t="str">
        <f>IF(preDEL!$AG423,IFERROR(0/0,""),preDEL!L423)</f>
        <v/>
      </c>
      <c r="M423" s="171" t="str">
        <f>IF(preDEL!$AG423,IFERROR(0/0,""),preDEL!M423)</f>
        <v/>
      </c>
      <c r="N423" s="112" t="str">
        <f>IF(preDEL!$AG423,IFERROR(0/0,""),preDEL!N423)</f>
        <v/>
      </c>
      <c r="O423" s="112" t="str">
        <f>IF(preDEL!$AG423,IFERROR(0/0,""),preDEL!O423)</f>
        <v/>
      </c>
      <c r="P423" s="110" t="str">
        <f>IF(preDEL!$AG423,IFERROR(0/0,""),preDEL!P423)</f>
        <v/>
      </c>
      <c r="Q423" s="110" t="str">
        <f>IF(preDEL!$AG423,IFERROR(0/0,""),preDEL!Q423)</f>
        <v/>
      </c>
      <c r="R423" s="104" t="str">
        <f>IF(preDEL!$AG423,IFERROR(0/0,""),preDEL!R423)</f>
        <v/>
      </c>
      <c r="S423" s="104" t="str">
        <f>IF(preDEL!$AG423,IFERROR(0/0,""),preDEL!S423)</f>
        <v/>
      </c>
      <c r="T423" s="110" t="str">
        <f>IF(preDEL!$AG423,IFERROR(0/0,""),preDEL!T423)</f>
        <v/>
      </c>
      <c r="U423" s="112" t="str">
        <f>IF(preDEL!$AG423,IFERROR(0/0,""),preDEL!U423)</f>
        <v/>
      </c>
      <c r="V423" s="105" t="str">
        <f>IF(preDEL!$AG423,IFERROR(0/0,""),preDEL!V423)</f>
        <v/>
      </c>
      <c r="W423" s="112" t="str">
        <f>IF(preDEL!$AG423,IFERROR(0/0,""),preDEL!W423)</f>
        <v/>
      </c>
      <c r="X423" s="104" t="str">
        <f>IF(preDEL!$AG423,IFERROR(0/0,""),preDEL!X423)</f>
        <v/>
      </c>
      <c r="Y423" s="110" t="str">
        <f>IF(preDEL!$AG423,IFERROR(0/0,""),preDEL!Y423)</f>
        <v/>
      </c>
      <c r="Z423" s="105" t="str">
        <f>IF(preDEL!$AG423,IFERROR(0/0,""),preDEL!Z423)</f>
        <v/>
      </c>
      <c r="AA423" s="110" t="str">
        <f>IF(preDEL!$AG423,IFERROR(0/0,""),preDEL!AA423)</f>
        <v/>
      </c>
      <c r="AB423" s="110" t="str">
        <f>IF(preDEL!$AG423,IFERROR(0/0,""),preDEL!AB423)</f>
        <v/>
      </c>
      <c r="AC423" s="172" t="str">
        <f>IF(preDEL!$AG423,IFERROR(0/0,""),preDEL!AC423)</f>
        <v/>
      </c>
      <c r="AD423" s="104" t="str">
        <f>IF(preDEL!$AG423,IFERROR(0/0,""),preDEL!AD423)</f>
        <v/>
      </c>
      <c r="AE423" s="173" t="str">
        <f>IF(preDEL!$AG423,IFERROR(0/0,""),preDEL!AE423)</f>
        <v/>
      </c>
      <c r="AF423" s="110" t="str">
        <f>IF(preDEL!$AG423,IFERROR(0/0,""),preDEL!AF423)</f>
        <v/>
      </c>
      <c r="AG423" s="110" t="str">
        <f>IF(preDEL!$AG423,IFERROR(0/0,""),preDEL!AG423)</f>
        <v/>
      </c>
      <c r="AH423" s="104" t="str">
        <f>IF(preDEL!$AG423,IFERROR(0/0,""),preDEL!AH423)</f>
        <v/>
      </c>
      <c r="AI423" s="105" t="str">
        <f>IF(preDEL!$AG423,IFERROR(0/0,""),preDEL!AI423)</f>
        <v/>
      </c>
      <c r="AJ423" s="112" t="str">
        <f>IF(preDEL!$AG423,IFERROR(0/0,""),preDEL!AJ423)</f>
        <v/>
      </c>
      <c r="AK423" s="105" t="str">
        <f>IF(preDEL!$AG423,IFERROR(0/0,""),preDEL!AK423)</f>
        <v/>
      </c>
      <c r="AL423" s="112" t="str">
        <f>IF(preDEL!$AG423,IFERROR(0/0,""),preDEL!AL423)</f>
        <v/>
      </c>
      <c r="AM423" s="112" t="str">
        <f>IF(preDEL!$AG423,IFERROR(0/0,""),preDEL!AM423)</f>
        <v/>
      </c>
      <c r="AN423" s="112" t="str">
        <f>IF(preDEL!$AG423,IFERROR(0/0,""),preDEL!AN423)</f>
        <v/>
      </c>
      <c r="AO423" s="112" t="str">
        <f>IF(preDEL!$AG423,IFERROR(0/0,""),preDEL!AO423)</f>
        <v/>
      </c>
      <c r="AP423" s="112" t="str">
        <f>IF(preDEL!$AG423,IFERROR(0/0,""),preDEL!AP423)</f>
        <v/>
      </c>
      <c r="AQ423" s="112" t="str">
        <f>IF(preDEL!$AG423,IFERROR(0/0,""),preDEL!AQ423)</f>
        <v/>
      </c>
      <c r="AR423" s="112" t="str">
        <f>IF(preDEL!$AG423,IFERROR(0/0,""),preDEL!AR423)</f>
        <v/>
      </c>
      <c r="AS423" s="112" t="str">
        <f>IF(preDEL!$AG423,IFERROR(0/0,""),preDEL!AS423)</f>
        <v/>
      </c>
      <c r="AT423" s="112" t="str">
        <f>IF(preDEL!$AG423,IFERROR(0/0,""),preDEL!AT423)</f>
        <v/>
      </c>
      <c r="AU423" s="112" t="str">
        <f>IF(preDEL!$AG423,IFERROR(0/0,""),preDEL!AU423)</f>
        <v/>
      </c>
      <c r="AV423" s="112" t="str">
        <f>IF(preDEL!$AG423,IFERROR(0/0,""),preDEL!AV423)</f>
        <v/>
      </c>
      <c r="AW423" s="112" t="str">
        <f>IF(preDEL!$AG423,IFERROR(0/0,""),preDEL!AW423)</f>
        <v/>
      </c>
      <c r="AX423" s="112" t="str">
        <f>IF(preDEL!$AG423,IFERROR(0/0,""),preDEL!AX423)</f>
        <v/>
      </c>
      <c r="AY423" s="112" t="str">
        <f>IF(preDEL!$AG423,IFERROR(0/0,""),preDEL!AY423)</f>
        <v/>
      </c>
      <c r="AZ423" s="174"/>
      <c r="BA423" s="174"/>
      <c r="BB423" s="174"/>
      <c r="BC423" s="174"/>
      <c r="BD423" s="174"/>
      <c r="BE423" s="174"/>
      <c r="BF423" s="174"/>
      <c r="BG423" s="174"/>
      <c r="BH423" s="174"/>
      <c r="BI423" s="174"/>
      <c r="BJ423" s="174"/>
      <c r="BK423" s="174"/>
      <c r="BL423" s="174"/>
      <c r="BM423" s="174"/>
      <c r="BN423" s="174"/>
      <c r="BO423" s="174"/>
      <c r="BP423" s="174"/>
      <c r="BQ423" s="174"/>
      <c r="BR423" s="174"/>
      <c r="BS423" s="174"/>
      <c r="BT423" s="174"/>
      <c r="BU423" s="174"/>
      <c r="BV423" s="174"/>
      <c r="BW423" s="174"/>
      <c r="BX423" s="174"/>
      <c r="BY423" s="174"/>
      <c r="BZ423" s="174"/>
      <c r="CA423" s="174"/>
      <c r="CB423" s="174"/>
      <c r="CC423" s="174"/>
      <c r="CD423" s="174"/>
    </row>
    <row r="424">
      <c r="A424" s="105" t="str">
        <f>IF(preDEL!$AG424,IFERROR(0/0,""),preDEL!A424)</f>
        <v/>
      </c>
      <c r="B424" s="170" t="str">
        <f>IF(preDEL!$AG424,IFERROR(0/0,""),preDEL!B424)</f>
        <v/>
      </c>
      <c r="C424" s="171" t="str">
        <f>IF(preDEL!$AG424,IFERROR(0/0,""),preDEL!C424)</f>
        <v/>
      </c>
      <c r="D424" s="105" t="str">
        <f>IF(preDEL!$AG424,IFERROR(0/0,""),preDEL!D424)</f>
        <v/>
      </c>
      <c r="E424" s="105" t="str">
        <f>IF(preDEL!$AG424,IFERROR(0/0,""),preDEL!E424)</f>
        <v/>
      </c>
      <c r="F424" s="112" t="str">
        <f>IF(preDEL!$AG424,IFERROR(0/0,""),preDEL!F424)</f>
        <v/>
      </c>
      <c r="G424" s="112" t="str">
        <f>IF(preDEL!$AG424,IFERROR(0/0,""),preDEL!G424)</f>
        <v/>
      </c>
      <c r="H424" s="112" t="str">
        <f>IF(preDEL!$AG424,IFERROR(0/0,""),preDEL!H424)</f>
        <v/>
      </c>
      <c r="I424" s="105" t="str">
        <f>IF(preDEL!$AG424,IFERROR(0/0,""),preDEL!I424)</f>
        <v/>
      </c>
      <c r="J424" s="105" t="str">
        <f>IF(preDEL!$AG424,IFERROR(0/0,""),preDEL!J424)</f>
        <v/>
      </c>
      <c r="K424" s="105" t="str">
        <f>IF(preDEL!$AG424,IFERROR(0/0,""),preDEL!K424)</f>
        <v/>
      </c>
      <c r="L424" s="170" t="str">
        <f>IF(preDEL!$AG424,IFERROR(0/0,""),preDEL!L424)</f>
        <v/>
      </c>
      <c r="M424" s="171" t="str">
        <f>IF(preDEL!$AG424,IFERROR(0/0,""),preDEL!M424)</f>
        <v/>
      </c>
      <c r="N424" s="112" t="str">
        <f>IF(preDEL!$AG424,IFERROR(0/0,""),preDEL!N424)</f>
        <v/>
      </c>
      <c r="O424" s="112" t="str">
        <f>IF(preDEL!$AG424,IFERROR(0/0,""),preDEL!O424)</f>
        <v/>
      </c>
      <c r="P424" s="110" t="str">
        <f>IF(preDEL!$AG424,IFERROR(0/0,""),preDEL!P424)</f>
        <v/>
      </c>
      <c r="Q424" s="110" t="str">
        <f>IF(preDEL!$AG424,IFERROR(0/0,""),preDEL!Q424)</f>
        <v/>
      </c>
      <c r="R424" s="104" t="str">
        <f>IF(preDEL!$AG424,IFERROR(0/0,""),preDEL!R424)</f>
        <v/>
      </c>
      <c r="S424" s="104" t="str">
        <f>IF(preDEL!$AG424,IFERROR(0/0,""),preDEL!S424)</f>
        <v/>
      </c>
      <c r="T424" s="110" t="str">
        <f>IF(preDEL!$AG424,IFERROR(0/0,""),preDEL!T424)</f>
        <v/>
      </c>
      <c r="U424" s="112" t="str">
        <f>IF(preDEL!$AG424,IFERROR(0/0,""),preDEL!U424)</f>
        <v/>
      </c>
      <c r="V424" s="105" t="str">
        <f>IF(preDEL!$AG424,IFERROR(0/0,""),preDEL!V424)</f>
        <v/>
      </c>
      <c r="W424" s="112" t="str">
        <f>IF(preDEL!$AG424,IFERROR(0/0,""),preDEL!W424)</f>
        <v/>
      </c>
      <c r="X424" s="104" t="str">
        <f>IF(preDEL!$AG424,IFERROR(0/0,""),preDEL!X424)</f>
        <v/>
      </c>
      <c r="Y424" s="110" t="str">
        <f>IF(preDEL!$AG424,IFERROR(0/0,""),preDEL!Y424)</f>
        <v/>
      </c>
      <c r="Z424" s="105" t="str">
        <f>IF(preDEL!$AG424,IFERROR(0/0,""),preDEL!Z424)</f>
        <v/>
      </c>
      <c r="AA424" s="110" t="str">
        <f>IF(preDEL!$AG424,IFERROR(0/0,""),preDEL!AA424)</f>
        <v/>
      </c>
      <c r="AB424" s="110" t="str">
        <f>IF(preDEL!$AG424,IFERROR(0/0,""),preDEL!AB424)</f>
        <v/>
      </c>
      <c r="AC424" s="172" t="str">
        <f>IF(preDEL!$AG424,IFERROR(0/0,""),preDEL!AC424)</f>
        <v/>
      </c>
      <c r="AD424" s="104" t="str">
        <f>IF(preDEL!$AG424,IFERROR(0/0,""),preDEL!AD424)</f>
        <v/>
      </c>
      <c r="AE424" s="173" t="str">
        <f>IF(preDEL!$AG424,IFERROR(0/0,""),preDEL!AE424)</f>
        <v/>
      </c>
      <c r="AF424" s="110" t="str">
        <f>IF(preDEL!$AG424,IFERROR(0/0,""),preDEL!AF424)</f>
        <v/>
      </c>
      <c r="AG424" s="110" t="str">
        <f>IF(preDEL!$AG424,IFERROR(0/0,""),preDEL!AG424)</f>
        <v/>
      </c>
      <c r="AH424" s="104" t="str">
        <f>IF(preDEL!$AG424,IFERROR(0/0,""),preDEL!AH424)</f>
        <v/>
      </c>
      <c r="AI424" s="105" t="str">
        <f>IF(preDEL!$AG424,IFERROR(0/0,""),preDEL!AI424)</f>
        <v/>
      </c>
      <c r="AJ424" s="112" t="str">
        <f>IF(preDEL!$AG424,IFERROR(0/0,""),preDEL!AJ424)</f>
        <v/>
      </c>
      <c r="AK424" s="105" t="str">
        <f>IF(preDEL!$AG424,IFERROR(0/0,""),preDEL!AK424)</f>
        <v/>
      </c>
      <c r="AL424" s="112" t="str">
        <f>IF(preDEL!$AG424,IFERROR(0/0,""),preDEL!AL424)</f>
        <v/>
      </c>
      <c r="AM424" s="112" t="str">
        <f>IF(preDEL!$AG424,IFERROR(0/0,""),preDEL!AM424)</f>
        <v/>
      </c>
      <c r="AN424" s="112" t="str">
        <f>IF(preDEL!$AG424,IFERROR(0/0,""),preDEL!AN424)</f>
        <v/>
      </c>
      <c r="AO424" s="112" t="str">
        <f>IF(preDEL!$AG424,IFERROR(0/0,""),preDEL!AO424)</f>
        <v/>
      </c>
      <c r="AP424" s="112" t="str">
        <f>IF(preDEL!$AG424,IFERROR(0/0,""),preDEL!AP424)</f>
        <v/>
      </c>
      <c r="AQ424" s="112" t="str">
        <f>IF(preDEL!$AG424,IFERROR(0/0,""),preDEL!AQ424)</f>
        <v/>
      </c>
      <c r="AR424" s="112" t="str">
        <f>IF(preDEL!$AG424,IFERROR(0/0,""),preDEL!AR424)</f>
        <v/>
      </c>
      <c r="AS424" s="112" t="str">
        <f>IF(preDEL!$AG424,IFERROR(0/0,""),preDEL!AS424)</f>
        <v/>
      </c>
      <c r="AT424" s="112" t="str">
        <f>IF(preDEL!$AG424,IFERROR(0/0,""),preDEL!AT424)</f>
        <v/>
      </c>
      <c r="AU424" s="112" t="str">
        <f>IF(preDEL!$AG424,IFERROR(0/0,""),preDEL!AU424)</f>
        <v/>
      </c>
      <c r="AV424" s="112" t="str">
        <f>IF(preDEL!$AG424,IFERROR(0/0,""),preDEL!AV424)</f>
        <v/>
      </c>
      <c r="AW424" s="112" t="str">
        <f>IF(preDEL!$AG424,IFERROR(0/0,""),preDEL!AW424)</f>
        <v/>
      </c>
      <c r="AX424" s="112" t="str">
        <f>IF(preDEL!$AG424,IFERROR(0/0,""),preDEL!AX424)</f>
        <v/>
      </c>
      <c r="AY424" s="112" t="str">
        <f>IF(preDEL!$AG424,IFERROR(0/0,""),preDEL!AY424)</f>
        <v/>
      </c>
      <c r="AZ424" s="174"/>
      <c r="BA424" s="174"/>
      <c r="BB424" s="174"/>
      <c r="BC424" s="174"/>
      <c r="BD424" s="174"/>
      <c r="BE424" s="174"/>
      <c r="BF424" s="174"/>
      <c r="BG424" s="174"/>
      <c r="BH424" s="174"/>
      <c r="BI424" s="174"/>
      <c r="BJ424" s="174"/>
      <c r="BK424" s="174"/>
      <c r="BL424" s="174"/>
      <c r="BM424" s="174"/>
      <c r="BN424" s="174"/>
      <c r="BO424" s="174"/>
      <c r="BP424" s="174"/>
      <c r="BQ424" s="174"/>
      <c r="BR424" s="174"/>
      <c r="BS424" s="174"/>
      <c r="BT424" s="174"/>
      <c r="BU424" s="174"/>
      <c r="BV424" s="174"/>
      <c r="BW424" s="174"/>
      <c r="BX424" s="174"/>
      <c r="BY424" s="174"/>
      <c r="BZ424" s="174"/>
      <c r="CA424" s="174"/>
      <c r="CB424" s="174"/>
      <c r="CC424" s="174"/>
      <c r="CD424" s="174"/>
    </row>
    <row r="425">
      <c r="A425" s="105" t="str">
        <f>IF(preDEL!$AG425,IFERROR(0/0,""),preDEL!A425)</f>
        <v/>
      </c>
      <c r="B425" s="170" t="str">
        <f>IF(preDEL!$AG425,IFERROR(0/0,""),preDEL!B425)</f>
        <v/>
      </c>
      <c r="C425" s="171" t="str">
        <f>IF(preDEL!$AG425,IFERROR(0/0,""),preDEL!C425)</f>
        <v/>
      </c>
      <c r="D425" s="105" t="str">
        <f>IF(preDEL!$AG425,IFERROR(0/0,""),preDEL!D425)</f>
        <v/>
      </c>
      <c r="E425" s="105" t="str">
        <f>IF(preDEL!$AG425,IFERROR(0/0,""),preDEL!E425)</f>
        <v/>
      </c>
      <c r="F425" s="112" t="str">
        <f>IF(preDEL!$AG425,IFERROR(0/0,""),preDEL!F425)</f>
        <v/>
      </c>
      <c r="G425" s="112" t="str">
        <f>IF(preDEL!$AG425,IFERROR(0/0,""),preDEL!G425)</f>
        <v/>
      </c>
      <c r="H425" s="112" t="str">
        <f>IF(preDEL!$AG425,IFERROR(0/0,""),preDEL!H425)</f>
        <v/>
      </c>
      <c r="I425" s="105" t="str">
        <f>IF(preDEL!$AG425,IFERROR(0/0,""),preDEL!I425)</f>
        <v/>
      </c>
      <c r="J425" s="105" t="str">
        <f>IF(preDEL!$AG425,IFERROR(0/0,""),preDEL!J425)</f>
        <v/>
      </c>
      <c r="K425" s="105" t="str">
        <f>IF(preDEL!$AG425,IFERROR(0/0,""),preDEL!K425)</f>
        <v/>
      </c>
      <c r="L425" s="170" t="str">
        <f>IF(preDEL!$AG425,IFERROR(0/0,""),preDEL!L425)</f>
        <v/>
      </c>
      <c r="M425" s="171" t="str">
        <f>IF(preDEL!$AG425,IFERROR(0/0,""),preDEL!M425)</f>
        <v/>
      </c>
      <c r="N425" s="112" t="str">
        <f>IF(preDEL!$AG425,IFERROR(0/0,""),preDEL!N425)</f>
        <v/>
      </c>
      <c r="O425" s="112" t="str">
        <f>IF(preDEL!$AG425,IFERROR(0/0,""),preDEL!O425)</f>
        <v/>
      </c>
      <c r="P425" s="110" t="str">
        <f>IF(preDEL!$AG425,IFERROR(0/0,""),preDEL!P425)</f>
        <v/>
      </c>
      <c r="Q425" s="110" t="str">
        <f>IF(preDEL!$AG425,IFERROR(0/0,""),preDEL!Q425)</f>
        <v/>
      </c>
      <c r="R425" s="104" t="str">
        <f>IF(preDEL!$AG425,IFERROR(0/0,""),preDEL!R425)</f>
        <v/>
      </c>
      <c r="S425" s="104" t="str">
        <f>IF(preDEL!$AG425,IFERROR(0/0,""),preDEL!S425)</f>
        <v/>
      </c>
      <c r="T425" s="110" t="str">
        <f>IF(preDEL!$AG425,IFERROR(0/0,""),preDEL!T425)</f>
        <v/>
      </c>
      <c r="U425" s="112" t="str">
        <f>IF(preDEL!$AG425,IFERROR(0/0,""),preDEL!U425)</f>
        <v/>
      </c>
      <c r="V425" s="105" t="str">
        <f>IF(preDEL!$AG425,IFERROR(0/0,""),preDEL!V425)</f>
        <v/>
      </c>
      <c r="W425" s="112" t="str">
        <f>IF(preDEL!$AG425,IFERROR(0/0,""),preDEL!W425)</f>
        <v/>
      </c>
      <c r="X425" s="104" t="str">
        <f>IF(preDEL!$AG425,IFERROR(0/0,""),preDEL!X425)</f>
        <v/>
      </c>
      <c r="Y425" s="110" t="str">
        <f>IF(preDEL!$AG425,IFERROR(0/0,""),preDEL!Y425)</f>
        <v/>
      </c>
      <c r="Z425" s="105" t="str">
        <f>IF(preDEL!$AG425,IFERROR(0/0,""),preDEL!Z425)</f>
        <v/>
      </c>
      <c r="AA425" s="110" t="str">
        <f>IF(preDEL!$AG425,IFERROR(0/0,""),preDEL!AA425)</f>
        <v/>
      </c>
      <c r="AB425" s="110" t="str">
        <f>IF(preDEL!$AG425,IFERROR(0/0,""),preDEL!AB425)</f>
        <v/>
      </c>
      <c r="AC425" s="172" t="str">
        <f>IF(preDEL!$AG425,IFERROR(0/0,""),preDEL!AC425)</f>
        <v/>
      </c>
      <c r="AD425" s="104" t="str">
        <f>IF(preDEL!$AG425,IFERROR(0/0,""),preDEL!AD425)</f>
        <v/>
      </c>
      <c r="AE425" s="173" t="str">
        <f>IF(preDEL!$AG425,IFERROR(0/0,""),preDEL!AE425)</f>
        <v/>
      </c>
      <c r="AF425" s="110" t="str">
        <f>IF(preDEL!$AG425,IFERROR(0/0,""),preDEL!AF425)</f>
        <v/>
      </c>
      <c r="AG425" s="110" t="str">
        <f>IF(preDEL!$AG425,IFERROR(0/0,""),preDEL!AG425)</f>
        <v/>
      </c>
      <c r="AH425" s="104" t="str">
        <f>IF(preDEL!$AG425,IFERROR(0/0,""),preDEL!AH425)</f>
        <v/>
      </c>
      <c r="AI425" s="105" t="str">
        <f>IF(preDEL!$AG425,IFERROR(0/0,""),preDEL!AI425)</f>
        <v/>
      </c>
      <c r="AJ425" s="112" t="str">
        <f>IF(preDEL!$AG425,IFERROR(0/0,""),preDEL!AJ425)</f>
        <v/>
      </c>
      <c r="AK425" s="105" t="str">
        <f>IF(preDEL!$AG425,IFERROR(0/0,""),preDEL!AK425)</f>
        <v/>
      </c>
      <c r="AL425" s="112" t="str">
        <f>IF(preDEL!$AG425,IFERROR(0/0,""),preDEL!AL425)</f>
        <v/>
      </c>
      <c r="AM425" s="112" t="str">
        <f>IF(preDEL!$AG425,IFERROR(0/0,""),preDEL!AM425)</f>
        <v/>
      </c>
      <c r="AN425" s="112" t="str">
        <f>IF(preDEL!$AG425,IFERROR(0/0,""),preDEL!AN425)</f>
        <v/>
      </c>
      <c r="AO425" s="112" t="str">
        <f>IF(preDEL!$AG425,IFERROR(0/0,""),preDEL!AO425)</f>
        <v/>
      </c>
      <c r="AP425" s="112" t="str">
        <f>IF(preDEL!$AG425,IFERROR(0/0,""),preDEL!AP425)</f>
        <v/>
      </c>
      <c r="AQ425" s="112" t="str">
        <f>IF(preDEL!$AG425,IFERROR(0/0,""),preDEL!AQ425)</f>
        <v/>
      </c>
      <c r="AR425" s="112" t="str">
        <f>IF(preDEL!$AG425,IFERROR(0/0,""),preDEL!AR425)</f>
        <v/>
      </c>
      <c r="AS425" s="112" t="str">
        <f>IF(preDEL!$AG425,IFERROR(0/0,""),preDEL!AS425)</f>
        <v/>
      </c>
      <c r="AT425" s="112" t="str">
        <f>IF(preDEL!$AG425,IFERROR(0/0,""),preDEL!AT425)</f>
        <v/>
      </c>
      <c r="AU425" s="112" t="str">
        <f>IF(preDEL!$AG425,IFERROR(0/0,""),preDEL!AU425)</f>
        <v/>
      </c>
      <c r="AV425" s="112" t="str">
        <f>IF(preDEL!$AG425,IFERROR(0/0,""),preDEL!AV425)</f>
        <v/>
      </c>
      <c r="AW425" s="112" t="str">
        <f>IF(preDEL!$AG425,IFERROR(0/0,""),preDEL!AW425)</f>
        <v/>
      </c>
      <c r="AX425" s="112" t="str">
        <f>IF(preDEL!$AG425,IFERROR(0/0,""),preDEL!AX425)</f>
        <v/>
      </c>
      <c r="AY425" s="112" t="str">
        <f>IF(preDEL!$AG425,IFERROR(0/0,""),preDEL!AY425)</f>
        <v/>
      </c>
      <c r="AZ425" s="174"/>
      <c r="BA425" s="174"/>
      <c r="BB425" s="174"/>
      <c r="BC425" s="174"/>
      <c r="BD425" s="174"/>
      <c r="BE425" s="174"/>
      <c r="BF425" s="174"/>
      <c r="BG425" s="174"/>
      <c r="BH425" s="174"/>
      <c r="BI425" s="174"/>
      <c r="BJ425" s="174"/>
      <c r="BK425" s="174"/>
      <c r="BL425" s="174"/>
      <c r="BM425" s="174"/>
      <c r="BN425" s="174"/>
      <c r="BO425" s="174"/>
      <c r="BP425" s="174"/>
      <c r="BQ425" s="174"/>
      <c r="BR425" s="174"/>
      <c r="BS425" s="174"/>
      <c r="BT425" s="174"/>
      <c r="BU425" s="174"/>
      <c r="BV425" s="174"/>
      <c r="BW425" s="174"/>
      <c r="BX425" s="174"/>
      <c r="BY425" s="174"/>
      <c r="BZ425" s="174"/>
      <c r="CA425" s="174"/>
      <c r="CB425" s="174"/>
      <c r="CC425" s="174"/>
      <c r="CD425" s="174"/>
    </row>
    <row r="426">
      <c r="A426" s="105" t="str">
        <f>IF(preDEL!$AG426,IFERROR(0/0,""),preDEL!A426)</f>
        <v>MA312</v>
      </c>
      <c r="B426" s="170">
        <f>IF(preDEL!$AG426,IFERROR(0/0,""),preDEL!B426)</f>
        <v>44607</v>
      </c>
      <c r="C426" s="171">
        <f>IF(preDEL!$AG426,IFERROR(0/0,""),preDEL!C426)</f>
        <v>0.3924884259</v>
      </c>
      <c r="D426" s="105" t="str">
        <f>IF(preDEL!$AG426,IFERROR(0/0,""),preDEL!D426)</f>
        <v/>
      </c>
      <c r="E426" s="105" t="str">
        <f>IF(preDEL!$AG426,IFERROR(0/0,""),preDEL!E426)</f>
        <v/>
      </c>
      <c r="F426" s="112" t="str">
        <f>IF(preDEL!$AG426,IFERROR(0/0,""),preDEL!F426)</f>
        <v/>
      </c>
      <c r="G426" s="112" t="str">
        <f>IF(preDEL!$AG426,IFERROR(0/0,""),preDEL!G426)</f>
        <v/>
      </c>
      <c r="H426" s="112" t="str">
        <f>IF(preDEL!$AG426,IFERROR(0/0,""),preDEL!H426)</f>
        <v/>
      </c>
      <c r="I426" s="105" t="str">
        <f>IF(preDEL!$AG426,IFERROR(0/0,""),preDEL!I426)</f>
        <v/>
      </c>
      <c r="J426" s="105" t="str">
        <f>IF(preDEL!$AG426,IFERROR(0/0,""),preDEL!J426)</f>
        <v/>
      </c>
      <c r="K426" s="105" t="str">
        <f>IF(preDEL!$AG426,IFERROR(0/0,""),preDEL!K426)</f>
        <v>Negative</v>
      </c>
      <c r="L426" s="170">
        <f>IF(preDEL!$AG426,IFERROR(0/0,""),preDEL!L426)</f>
        <v>44607</v>
      </c>
      <c r="M426" s="171">
        <f>IF(preDEL!$AG426,IFERROR(0/0,""),preDEL!M426)</f>
        <v>0.5868171296</v>
      </c>
      <c r="N426" s="112" t="str">
        <f>IF(preDEL!$AG426,IFERROR(0/0,""),preDEL!N426)</f>
        <v/>
      </c>
      <c r="O426" s="112" t="str">
        <f>IF(preDEL!$AG426,IFERROR(0/0,""),preDEL!O426)</f>
        <v/>
      </c>
      <c r="P426" s="110" t="b">
        <f>IF(preDEL!$AG426,IFERROR(0/0,""),preDEL!P426)</f>
        <v>0</v>
      </c>
      <c r="Q426" s="110" t="str">
        <f>IF(preDEL!$AG426,IFERROR(0/0,""),preDEL!Q426)</f>
        <v>Result</v>
      </c>
      <c r="R426" s="104" t="b">
        <f>IF(preDEL!$AG426,IFERROR(0/0,""),preDEL!R426)</f>
        <v>0</v>
      </c>
      <c r="S426" s="104">
        <f>IF(preDEL!$AG426,IFERROR(0/0,""),preDEL!S426)</f>
        <v>4</v>
      </c>
      <c r="T426" s="110" t="str">
        <f>IF(preDEL!$AG426,IFERROR(0/0,""),preDEL!T426)</f>
        <v/>
      </c>
      <c r="U426" s="112" t="str">
        <f>IF(preDEL!$AG426,IFERROR(0/0,""),preDEL!U426)</f>
        <v/>
      </c>
      <c r="V426" s="105" t="str">
        <f>IF(preDEL!$AG426,IFERROR(0/0,""),preDEL!V426)</f>
        <v/>
      </c>
      <c r="W426" s="112" t="str">
        <f>IF(preDEL!$AG426,IFERROR(0/0,""),preDEL!W426)</f>
        <v/>
      </c>
      <c r="X426" s="104" t="b">
        <f>IF(preDEL!$AG426,IFERROR(0/0,""),preDEL!X426)</f>
        <v>0</v>
      </c>
      <c r="Y426" s="110" t="b">
        <f>IF(preDEL!$AG426,IFERROR(0/0,""),preDEL!Y426)</f>
        <v>0</v>
      </c>
      <c r="Z426" s="105" t="str">
        <f>IF(preDEL!$AG426,IFERROR(0/0,""),preDEL!Z426)</f>
        <v/>
      </c>
      <c r="AA426" s="110" t="b">
        <f>IF(preDEL!$AG426,IFERROR(0/0,""),preDEL!AA426)</f>
        <v>0</v>
      </c>
      <c r="AB426" s="110" t="b">
        <f>IF(preDEL!$AG426,IFERROR(0/0,""),preDEL!AB426)</f>
        <v>0</v>
      </c>
      <c r="AC426" s="172">
        <f>IF(preDEL!$AG426,IFERROR(0/0,""),preDEL!AC426)</f>
        <v>384</v>
      </c>
      <c r="AD426" s="104" t="b">
        <f>IF(preDEL!$AG426,IFERROR(0/0,""),preDEL!AD426)</f>
        <v>0</v>
      </c>
      <c r="AE426" s="173">
        <f>IF(preDEL!$AG426,IFERROR(0/0,""),preDEL!AE426)</f>
        <v>279.8333333</v>
      </c>
      <c r="AF426" s="110" t="b">
        <f>IF(preDEL!$AG426,IFERROR(0/0,""),preDEL!AF426)</f>
        <v>0</v>
      </c>
      <c r="AG426" s="110" t="b">
        <f>IF(preDEL!$AG426,IFERROR(0/0,""),preDEL!AG426)</f>
        <v>0</v>
      </c>
      <c r="AH426" s="104" t="str">
        <f>IF(preDEL!$AG426,IFERROR(0/0,""),preDEL!AH426)</f>
        <v/>
      </c>
      <c r="AI426" s="105" t="str">
        <f>IF(preDEL!$AG426,IFERROR(0/0,""),preDEL!AI426)</f>
        <v/>
      </c>
      <c r="AJ426" s="112" t="str">
        <f>IF(preDEL!$AG426,IFERROR(0/0,""),preDEL!AJ426)</f>
        <v/>
      </c>
      <c r="AK426" s="105" t="str">
        <f>IF(preDEL!$AG426,IFERROR(0/0,""),preDEL!AK426)</f>
        <v>Negative</v>
      </c>
      <c r="AL426" s="112" t="str">
        <f>IF(preDEL!$AG426,IFERROR(0/0,""),preDEL!AL426)</f>
        <v/>
      </c>
      <c r="AM426" s="112" t="str">
        <f>IF(preDEL!$AG426,IFERROR(0/0,""),preDEL!AM426)</f>
        <v>SpBEND670368</v>
      </c>
      <c r="AN426" s="112" t="str">
        <f>IF(preDEL!$AG426,IFERROR(0/0,""),preDEL!AN426)</f>
        <v>BEND741633</v>
      </c>
      <c r="AO426" s="112" t="str">
        <f>IF(preDEL!$AG426,IFERROR(0/0,""),preDEL!AO426)</f>
        <v/>
      </c>
      <c r="AP426" s="112" t="str">
        <f>IF(preDEL!$AG426,IFERROR(0/0,""),preDEL!AP426)</f>
        <v/>
      </c>
      <c r="AQ426" s="112" t="str">
        <f>IF(preDEL!$AG426,IFERROR(0/0,""),preDEL!AQ426)</f>
        <v/>
      </c>
      <c r="AR426" s="112" t="str">
        <f>IF(preDEL!$AG426,IFERROR(0/0,""),preDEL!AR426)</f>
        <v/>
      </c>
      <c r="AS426" s="112" t="str">
        <f>IF(preDEL!$AG426,IFERROR(0/0,""),preDEL!AS426)</f>
        <v/>
      </c>
      <c r="AT426" s="112" t="b">
        <f>IF(preDEL!$AG426,IFERROR(0/0,""),preDEL!AT426)</f>
        <v>0</v>
      </c>
      <c r="AU426" s="112" t="str">
        <f>IF(preDEL!$AG426,IFERROR(0/0,""),preDEL!AU426)</f>
        <v/>
      </c>
      <c r="AV426" s="112" t="str">
        <f>IF(preDEL!$AG426,IFERROR(0/0,""),preDEL!AV426)</f>
        <v/>
      </c>
      <c r="AW426" s="112" t="str">
        <f>IF(preDEL!$AG426,IFERROR(0/0,""),preDEL!AW426)</f>
        <v/>
      </c>
      <c r="AX426" s="112" t="str">
        <f>IF(preDEL!$AG426,IFERROR(0/0,""),preDEL!AX426)</f>
        <v/>
      </c>
      <c r="AY426" s="112" t="str">
        <f>IF(preDEL!$AG426,IFERROR(0/0,""),preDEL!AY426)</f>
        <v/>
      </c>
      <c r="AZ426" s="174"/>
      <c r="BA426" s="174"/>
      <c r="BB426" s="174"/>
      <c r="BC426" s="174"/>
      <c r="BD426" s="174"/>
      <c r="BE426" s="174"/>
      <c r="BF426" s="174"/>
      <c r="BG426" s="174"/>
      <c r="BH426" s="174"/>
      <c r="BI426" s="174"/>
      <c r="BJ426" s="174"/>
      <c r="BK426" s="174"/>
      <c r="BL426" s="174"/>
      <c r="BM426" s="174"/>
      <c r="BN426" s="174"/>
      <c r="BO426" s="174"/>
      <c r="BP426" s="174"/>
      <c r="BQ426" s="174"/>
      <c r="BR426" s="174"/>
      <c r="BS426" s="174"/>
      <c r="BT426" s="174"/>
      <c r="BU426" s="174"/>
      <c r="BV426" s="174"/>
      <c r="BW426" s="174"/>
      <c r="BX426" s="174"/>
      <c r="BY426" s="174"/>
      <c r="BZ426" s="174"/>
      <c r="CA426" s="174"/>
      <c r="CB426" s="174"/>
      <c r="CC426" s="174"/>
      <c r="CD426" s="174"/>
    </row>
    <row r="427">
      <c r="A427" s="105" t="str">
        <f>IF(preDEL!$AG427,IFERROR(0/0,""),preDEL!A427)</f>
        <v>FM50</v>
      </c>
      <c r="B427" s="170">
        <f>IF(preDEL!$AG427,IFERROR(0/0,""),preDEL!B427)</f>
        <v>44607</v>
      </c>
      <c r="C427" s="171">
        <f>IF(preDEL!$AG427,IFERROR(0/0,""),preDEL!C427)</f>
        <v>0.5372106481</v>
      </c>
      <c r="D427" s="105" t="str">
        <f>IF(preDEL!$AG427,IFERROR(0/0,""),preDEL!D427)</f>
        <v/>
      </c>
      <c r="E427" s="105" t="str">
        <f>IF(preDEL!$AG427,IFERROR(0/0,""),preDEL!E427)</f>
        <v/>
      </c>
      <c r="F427" s="112" t="str">
        <f>IF(preDEL!$AG427,IFERROR(0/0,""),preDEL!F427)</f>
        <v/>
      </c>
      <c r="G427" s="112" t="str">
        <f>IF(preDEL!$AG427,IFERROR(0/0,""),preDEL!G427)</f>
        <v/>
      </c>
      <c r="H427" s="112" t="str">
        <f>IF(preDEL!$AG427,IFERROR(0/0,""),preDEL!H427)</f>
        <v/>
      </c>
      <c r="I427" s="105" t="str">
        <f>IF(preDEL!$AG427,IFERROR(0/0,""),preDEL!I427)</f>
        <v/>
      </c>
      <c r="J427" s="105" t="str">
        <f>IF(preDEL!$AG427,IFERROR(0/0,""),preDEL!J427)</f>
        <v/>
      </c>
      <c r="K427" s="105" t="str">
        <f>IF(preDEL!$AG427,IFERROR(0/0,""),preDEL!K427)</f>
        <v>Null</v>
      </c>
      <c r="L427" s="170" t="str">
        <f>IF(preDEL!$AG427,IFERROR(0/0,""),preDEL!L427)</f>
        <v/>
      </c>
      <c r="M427" s="171" t="str">
        <f>IF(preDEL!$AG427,IFERROR(0/0,""),preDEL!M427)</f>
        <v/>
      </c>
      <c r="N427" s="112" t="str">
        <f>IF(preDEL!$AG427,IFERROR(0/0,""),preDEL!N427)</f>
        <v/>
      </c>
      <c r="O427" s="112" t="str">
        <f>IF(preDEL!$AG427,IFERROR(0/0,""),preDEL!O427)</f>
        <v/>
      </c>
      <c r="P427" s="110" t="b">
        <f>IF(preDEL!$AG427,IFERROR(0/0,""),preDEL!P427)</f>
        <v>0</v>
      </c>
      <c r="Q427" s="110" t="str">
        <f>IF(preDEL!$AG427,IFERROR(0/0,""),preDEL!Q427)</f>
        <v>Collected</v>
      </c>
      <c r="R427" s="104" t="b">
        <f>IF(preDEL!$AG427,IFERROR(0/0,""),preDEL!R427)</f>
        <v>1</v>
      </c>
      <c r="S427" s="104">
        <f>IF(preDEL!$AG427,IFERROR(0/0,""),preDEL!S427)</f>
        <v>1</v>
      </c>
      <c r="T427" s="110">
        <f>IF(preDEL!$AG427,IFERROR(0/0,""),preDEL!T427)</f>
        <v>0</v>
      </c>
      <c r="U427" s="112" t="str">
        <f>IF(preDEL!$AG427,IFERROR(0/0,""),preDEL!U427)</f>
        <v/>
      </c>
      <c r="V427" s="105" t="str">
        <f>IF(preDEL!$AG427,IFERROR(0/0,""),preDEL!V427)</f>
        <v/>
      </c>
      <c r="W427" s="112" t="str">
        <f>IF(preDEL!$AG427,IFERROR(0/0,""),preDEL!W427)</f>
        <v/>
      </c>
      <c r="X427" s="104" t="b">
        <f>IF(preDEL!$AG427,IFERROR(0/0,""),preDEL!X427)</f>
        <v>0</v>
      </c>
      <c r="Y427" s="110" t="b">
        <f>IF(preDEL!$AG427,IFERROR(0/0,""),preDEL!Y427)</f>
        <v>0</v>
      </c>
      <c r="Z427" s="105" t="str">
        <f>IF(preDEL!$AG427,IFERROR(0/0,""),preDEL!Z427)</f>
        <v/>
      </c>
      <c r="AA427" s="110" t="b">
        <f>IF(preDEL!$AG427,IFERROR(0/0,""),preDEL!AA427)</f>
        <v>0</v>
      </c>
      <c r="AB427" s="110" t="b">
        <f>IF(preDEL!$AG427,IFERROR(0/0,""),preDEL!AB427)</f>
        <v>0</v>
      </c>
      <c r="AC427" s="172">
        <f>IF(preDEL!$AG427,IFERROR(0/0,""),preDEL!AC427)</f>
        <v>381</v>
      </c>
      <c r="AD427" s="104" t="b">
        <f>IF(preDEL!$AG427,IFERROR(0/0,""),preDEL!AD427)</f>
        <v>0</v>
      </c>
      <c r="AE427" s="173" t="str">
        <f>IF(preDEL!$AG427,IFERROR(0/0,""),preDEL!AE427)</f>
        <v/>
      </c>
      <c r="AF427" s="110" t="b">
        <f>IF(preDEL!$AG427,IFERROR(0/0,""),preDEL!AF427)</f>
        <v>0</v>
      </c>
      <c r="AG427" s="110" t="b">
        <f>IF(preDEL!$AG427,IFERROR(0/0,""),preDEL!AG427)</f>
        <v>0</v>
      </c>
      <c r="AH427" s="104" t="str">
        <f>IF(preDEL!$AG427,IFERROR(0/0,""),preDEL!AH427)</f>
        <v/>
      </c>
      <c r="AI427" s="105" t="str">
        <f>IF(preDEL!$AG427,IFERROR(0/0,""),preDEL!AI427)</f>
        <v/>
      </c>
      <c r="AJ427" s="112">
        <f>IF(preDEL!$AG427,IFERROR(0/0,""),preDEL!AJ427)</f>
        <v>2</v>
      </c>
      <c r="AK427" s="105" t="str">
        <f>IF(preDEL!$AG427,IFERROR(0/0,""),preDEL!AK427)</f>
        <v>Negative</v>
      </c>
      <c r="AL427" s="112" t="str">
        <f>IF(preDEL!$AG427,IFERROR(0/0,""),preDEL!AL427)</f>
        <v/>
      </c>
      <c r="AM427" s="112" t="str">
        <f>IF(preDEL!$AG427,IFERROR(0/0,""),preDEL!AM427)</f>
        <v>SpBEND394154</v>
      </c>
      <c r="AN427" s="112" t="str">
        <f>IF(preDEL!$AG427,IFERROR(0/0,""),preDEL!AN427)</f>
        <v>BEND369361</v>
      </c>
      <c r="AO427" s="112" t="str">
        <f>IF(preDEL!$AG427,IFERROR(0/0,""),preDEL!AO427)</f>
        <v/>
      </c>
      <c r="AP427" s="112" t="str">
        <f>IF(preDEL!$AG427,IFERROR(0/0,""),preDEL!AP427)</f>
        <v/>
      </c>
      <c r="AQ427" s="112" t="str">
        <f>IF(preDEL!$AG427,IFERROR(0/0,""),preDEL!AQ427)</f>
        <v/>
      </c>
      <c r="AR427" s="112" t="str">
        <f>IF(preDEL!$AG427,IFERROR(0/0,""),preDEL!AR427)</f>
        <v/>
      </c>
      <c r="AS427" s="112" t="str">
        <f>IF(preDEL!$AG427,IFERROR(0/0,""),preDEL!AS427)</f>
        <v/>
      </c>
      <c r="AT427" s="112" t="b">
        <f>IF(preDEL!$AG427,IFERROR(0/0,""),preDEL!AT427)</f>
        <v>0</v>
      </c>
      <c r="AU427" s="112" t="str">
        <f>IF(preDEL!$AG427,IFERROR(0/0,""),preDEL!AU427)</f>
        <v/>
      </c>
      <c r="AV427" s="112" t="str">
        <f>IF(preDEL!$AG427,IFERROR(0/0,""),preDEL!AV427)</f>
        <v/>
      </c>
      <c r="AW427" s="112" t="str">
        <f>IF(preDEL!$AG427,IFERROR(0/0,""),preDEL!AW427)</f>
        <v/>
      </c>
      <c r="AX427" s="112" t="str">
        <f>IF(preDEL!$AG427,IFERROR(0/0,""),preDEL!AX427)</f>
        <v/>
      </c>
      <c r="AY427" s="112" t="str">
        <f>IF(preDEL!$AG427,IFERROR(0/0,""),preDEL!AY427)</f>
        <v/>
      </c>
      <c r="AZ427" s="174"/>
      <c r="BA427" s="174"/>
      <c r="BB427" s="174"/>
      <c r="BC427" s="174"/>
      <c r="BD427" s="174"/>
      <c r="BE427" s="174"/>
      <c r="BF427" s="174"/>
      <c r="BG427" s="174"/>
      <c r="BH427" s="174"/>
      <c r="BI427" s="174"/>
      <c r="BJ427" s="174"/>
      <c r="BK427" s="174"/>
      <c r="BL427" s="174"/>
      <c r="BM427" s="174"/>
      <c r="BN427" s="174"/>
      <c r="BO427" s="174"/>
      <c r="BP427" s="174"/>
      <c r="BQ427" s="174"/>
      <c r="BR427" s="174"/>
      <c r="BS427" s="174"/>
      <c r="BT427" s="174"/>
      <c r="BU427" s="174"/>
      <c r="BV427" s="174"/>
      <c r="BW427" s="174"/>
      <c r="BX427" s="174"/>
      <c r="BY427" s="174"/>
      <c r="BZ427" s="174"/>
      <c r="CA427" s="174"/>
      <c r="CB427" s="174"/>
      <c r="CC427" s="174"/>
      <c r="CD427" s="174"/>
    </row>
    <row r="428">
      <c r="A428" s="105" t="str">
        <f>IF(preDEL!$AG428,IFERROR(0/0,""),preDEL!A428)</f>
        <v>MA408</v>
      </c>
      <c r="B428" s="170">
        <f>IF(preDEL!$AG428,IFERROR(0/0,""),preDEL!B428)</f>
        <v>44609</v>
      </c>
      <c r="C428" s="171">
        <f>IF(preDEL!$AG428,IFERROR(0/0,""),preDEL!C428)</f>
        <v>0.2828240741</v>
      </c>
      <c r="D428" s="105" t="str">
        <f>IF(preDEL!$AG428,IFERROR(0/0,""),preDEL!D428)</f>
        <v/>
      </c>
      <c r="E428" s="105" t="str">
        <f>IF(preDEL!$AG428,IFERROR(0/0,""),preDEL!E428)</f>
        <v/>
      </c>
      <c r="F428" s="112" t="str">
        <f>IF(preDEL!$AG428,IFERROR(0/0,""),preDEL!F428)</f>
        <v/>
      </c>
      <c r="G428" s="112" t="str">
        <f>IF(preDEL!$AG428,IFERROR(0/0,""),preDEL!G428)</f>
        <v/>
      </c>
      <c r="H428" s="112" t="str">
        <f>IF(preDEL!$AG428,IFERROR(0/0,""),preDEL!H428)</f>
        <v/>
      </c>
      <c r="I428" s="105" t="str">
        <f>IF(preDEL!$AG428,IFERROR(0/0,""),preDEL!I428)</f>
        <v/>
      </c>
      <c r="J428" s="105" t="str">
        <f>IF(preDEL!$AG428,IFERROR(0/0,""),preDEL!J428)</f>
        <v/>
      </c>
      <c r="K428" s="105" t="str">
        <f>IF(preDEL!$AG428,IFERROR(0/0,""),preDEL!K428)</f>
        <v>Negative</v>
      </c>
      <c r="L428" s="170">
        <f>IF(preDEL!$AG428,IFERROR(0/0,""),preDEL!L428)</f>
        <v>44611</v>
      </c>
      <c r="M428" s="171">
        <f>IF(preDEL!$AG428,IFERROR(0/0,""),preDEL!M428)</f>
        <v>0.3895601852</v>
      </c>
      <c r="N428" s="112" t="str">
        <f>IF(preDEL!$AG428,IFERROR(0/0,""),preDEL!N428)</f>
        <v/>
      </c>
      <c r="O428" s="112" t="str">
        <f>IF(preDEL!$AG428,IFERROR(0/0,""),preDEL!O428)</f>
        <v/>
      </c>
      <c r="P428" s="110" t="b">
        <f>IF(preDEL!$AG428,IFERROR(0/0,""),preDEL!P428)</f>
        <v>0</v>
      </c>
      <c r="Q428" s="110" t="str">
        <f>IF(preDEL!$AG428,IFERROR(0/0,""),preDEL!Q428)</f>
        <v>Result</v>
      </c>
      <c r="R428" s="104" t="b">
        <f>IF(preDEL!$AG428,IFERROR(0/0,""),preDEL!R428)</f>
        <v>1</v>
      </c>
      <c r="S428" s="104">
        <f>IF(preDEL!$AG428,IFERROR(0/0,""),preDEL!S428)</f>
        <v>1</v>
      </c>
      <c r="T428" s="110" t="str">
        <f>IF(preDEL!$AG428,IFERROR(0/0,""),preDEL!T428)</f>
        <v/>
      </c>
      <c r="U428" s="112" t="str">
        <f>IF(preDEL!$AG428,IFERROR(0/0,""),preDEL!U428)</f>
        <v/>
      </c>
      <c r="V428" s="105" t="str">
        <f>IF(preDEL!$AG428,IFERROR(0/0,""),preDEL!V428)</f>
        <v/>
      </c>
      <c r="W428" s="112" t="str">
        <f>IF(preDEL!$AG428,IFERROR(0/0,""),preDEL!W428)</f>
        <v/>
      </c>
      <c r="X428" s="104" t="b">
        <f>IF(preDEL!$AG428,IFERROR(0/0,""),preDEL!X428)</f>
        <v>0</v>
      </c>
      <c r="Y428" s="110" t="b">
        <f>IF(preDEL!$AG428,IFERROR(0/0,""),preDEL!Y428)</f>
        <v>0</v>
      </c>
      <c r="Z428" s="105" t="str">
        <f>IF(preDEL!$AG428,IFERROR(0/0,""),preDEL!Z428)</f>
        <v/>
      </c>
      <c r="AA428" s="110" t="b">
        <f>IF(preDEL!$AG428,IFERROR(0/0,""),preDEL!AA428)</f>
        <v>0</v>
      </c>
      <c r="AB428" s="110" t="b">
        <f>IF(preDEL!$AG428,IFERROR(0/0,""),preDEL!AB428)</f>
        <v>0</v>
      </c>
      <c r="AC428" s="172">
        <f>IF(preDEL!$AG428,IFERROR(0/0,""),preDEL!AC428)</f>
        <v>380</v>
      </c>
      <c r="AD428" s="104" t="b">
        <f>IF(preDEL!$AG428,IFERROR(0/0,""),preDEL!AD428)</f>
        <v>0</v>
      </c>
      <c r="AE428" s="173" t="str">
        <f>IF(preDEL!$AG428,IFERROR(0/0,""),preDEL!AE428)</f>
        <v/>
      </c>
      <c r="AF428" s="110" t="b">
        <f>IF(preDEL!$AG428,IFERROR(0/0,""),preDEL!AF428)</f>
        <v>0</v>
      </c>
      <c r="AG428" s="110" t="b">
        <f>IF(preDEL!$AG428,IFERROR(0/0,""),preDEL!AG428)</f>
        <v>0</v>
      </c>
      <c r="AH428" s="104" t="str">
        <f>IF(preDEL!$AG428,IFERROR(0/0,""),preDEL!AH428)</f>
        <v/>
      </c>
      <c r="AI428" s="105" t="str">
        <f>IF(preDEL!$AG428,IFERROR(0/0,""),preDEL!AI428)</f>
        <v/>
      </c>
      <c r="AJ428" s="112" t="str">
        <f>IF(preDEL!$AG428,IFERROR(0/0,""),preDEL!AJ428)</f>
        <v/>
      </c>
      <c r="AK428" s="105" t="str">
        <f>IF(preDEL!$AG428,IFERROR(0/0,""),preDEL!AK428)</f>
        <v>Negative</v>
      </c>
      <c r="AL428" s="112" t="str">
        <f>IF(preDEL!$AG428,IFERROR(0/0,""),preDEL!AL428)</f>
        <v/>
      </c>
      <c r="AM428" s="112" t="str">
        <f>IF(preDEL!$AG428,IFERROR(0/0,""),preDEL!AM428)</f>
        <v>SpBEND982195</v>
      </c>
      <c r="AN428" s="112" t="str">
        <f>IF(preDEL!$AG428,IFERROR(0/0,""),preDEL!AN428)</f>
        <v>BEND601742</v>
      </c>
      <c r="AO428" s="112" t="str">
        <f>IF(preDEL!$AG428,IFERROR(0/0,""),preDEL!AO428)</f>
        <v/>
      </c>
      <c r="AP428" s="112" t="str">
        <f>IF(preDEL!$AG428,IFERROR(0/0,""),preDEL!AP428)</f>
        <v/>
      </c>
      <c r="AQ428" s="112" t="str">
        <f>IF(preDEL!$AG428,IFERROR(0/0,""),preDEL!AQ428)</f>
        <v/>
      </c>
      <c r="AR428" s="112" t="str">
        <f>IF(preDEL!$AG428,IFERROR(0/0,""),preDEL!AR428)</f>
        <v/>
      </c>
      <c r="AS428" s="112" t="str">
        <f>IF(preDEL!$AG428,IFERROR(0/0,""),preDEL!AS428)</f>
        <v/>
      </c>
      <c r="AT428" s="112" t="b">
        <f>IF(preDEL!$AG428,IFERROR(0/0,""),preDEL!AT428)</f>
        <v>0</v>
      </c>
      <c r="AU428" s="112" t="str">
        <f>IF(preDEL!$AG428,IFERROR(0/0,""),preDEL!AU428)</f>
        <v/>
      </c>
      <c r="AV428" s="112" t="str">
        <f>IF(preDEL!$AG428,IFERROR(0/0,""),preDEL!AV428)</f>
        <v/>
      </c>
      <c r="AW428" s="112" t="str">
        <f>IF(preDEL!$AG428,IFERROR(0/0,""),preDEL!AW428)</f>
        <v/>
      </c>
      <c r="AX428" s="112" t="str">
        <f>IF(preDEL!$AG428,IFERROR(0/0,""),preDEL!AX428)</f>
        <v/>
      </c>
      <c r="AY428" s="112" t="str">
        <f>IF(preDEL!$AG428,IFERROR(0/0,""),preDEL!AY428)</f>
        <v/>
      </c>
      <c r="AZ428" s="174"/>
      <c r="BA428" s="174"/>
      <c r="BB428" s="174"/>
      <c r="BC428" s="174"/>
      <c r="BD428" s="174"/>
      <c r="BE428" s="174"/>
      <c r="BF428" s="174"/>
      <c r="BG428" s="174"/>
      <c r="BH428" s="174"/>
      <c r="BI428" s="174"/>
      <c r="BJ428" s="174"/>
      <c r="BK428" s="174"/>
      <c r="BL428" s="174"/>
      <c r="BM428" s="174"/>
      <c r="BN428" s="174"/>
      <c r="BO428" s="174"/>
      <c r="BP428" s="174"/>
      <c r="BQ428" s="174"/>
      <c r="BR428" s="174"/>
      <c r="BS428" s="174"/>
      <c r="BT428" s="174"/>
      <c r="BU428" s="174"/>
      <c r="BV428" s="174"/>
      <c r="BW428" s="174"/>
      <c r="BX428" s="174"/>
      <c r="BY428" s="174"/>
      <c r="BZ428" s="174"/>
      <c r="CA428" s="174"/>
      <c r="CB428" s="174"/>
      <c r="CC428" s="174"/>
      <c r="CD428" s="174"/>
    </row>
    <row r="429">
      <c r="A429" s="105" t="str">
        <f>IF(preDEL!$AG429,IFERROR(0/0,""),preDEL!A429)</f>
        <v>MA226</v>
      </c>
      <c r="B429" s="170">
        <f>IF(preDEL!$AG429,IFERROR(0/0,""),preDEL!B429)</f>
        <v>44609</v>
      </c>
      <c r="C429" s="171">
        <f>IF(preDEL!$AG429,IFERROR(0/0,""),preDEL!C429)</f>
        <v>0.2925578704</v>
      </c>
      <c r="D429" s="105" t="str">
        <f>IF(preDEL!$AG429,IFERROR(0/0,""),preDEL!D429)</f>
        <v/>
      </c>
      <c r="E429" s="105" t="str">
        <f>IF(preDEL!$AG429,IFERROR(0/0,""),preDEL!E429)</f>
        <v/>
      </c>
      <c r="F429" s="112" t="str">
        <f>IF(preDEL!$AG429,IFERROR(0/0,""),preDEL!F429)</f>
        <v/>
      </c>
      <c r="G429" s="112" t="str">
        <f>IF(preDEL!$AG429,IFERROR(0/0,""),preDEL!G429)</f>
        <v/>
      </c>
      <c r="H429" s="112" t="str">
        <f>IF(preDEL!$AG429,IFERROR(0/0,""),preDEL!H429)</f>
        <v/>
      </c>
      <c r="I429" s="105" t="str">
        <f>IF(preDEL!$AG429,IFERROR(0/0,""),preDEL!I429)</f>
        <v/>
      </c>
      <c r="J429" s="105" t="str">
        <f>IF(preDEL!$AG429,IFERROR(0/0,""),preDEL!J429)</f>
        <v/>
      </c>
      <c r="K429" s="105" t="str">
        <f>IF(preDEL!$AG429,IFERROR(0/0,""),preDEL!K429)</f>
        <v>Negative</v>
      </c>
      <c r="L429" s="170">
        <f>IF(preDEL!$AG429,IFERROR(0/0,""),preDEL!L429)</f>
        <v>44611</v>
      </c>
      <c r="M429" s="171">
        <f>IF(preDEL!$AG429,IFERROR(0/0,""),preDEL!M429)</f>
        <v>0.3895601852</v>
      </c>
      <c r="N429" s="112" t="str">
        <f>IF(preDEL!$AG429,IFERROR(0/0,""),preDEL!N429)</f>
        <v/>
      </c>
      <c r="O429" s="112" t="str">
        <f>IF(preDEL!$AG429,IFERROR(0/0,""),preDEL!O429)</f>
        <v/>
      </c>
      <c r="P429" s="110" t="b">
        <f>IF(preDEL!$AG429,IFERROR(0/0,""),preDEL!P429)</f>
        <v>0</v>
      </c>
      <c r="Q429" s="110" t="str">
        <f>IF(preDEL!$AG429,IFERROR(0/0,""),preDEL!Q429)</f>
        <v>Result</v>
      </c>
      <c r="R429" s="104" t="b">
        <f>IF(preDEL!$AG429,IFERROR(0/0,""),preDEL!R429)</f>
        <v>1</v>
      </c>
      <c r="S429" s="104">
        <f>IF(preDEL!$AG429,IFERROR(0/0,""),preDEL!S429)</f>
        <v>1</v>
      </c>
      <c r="T429" s="110" t="str">
        <f>IF(preDEL!$AG429,IFERROR(0/0,""),preDEL!T429)</f>
        <v/>
      </c>
      <c r="U429" s="112" t="str">
        <f>IF(preDEL!$AG429,IFERROR(0/0,""),preDEL!U429)</f>
        <v/>
      </c>
      <c r="V429" s="105" t="str">
        <f>IF(preDEL!$AG429,IFERROR(0/0,""),preDEL!V429)</f>
        <v/>
      </c>
      <c r="W429" s="112" t="str">
        <f>IF(preDEL!$AG429,IFERROR(0/0,""),preDEL!W429)</f>
        <v/>
      </c>
      <c r="X429" s="104" t="b">
        <f>IF(preDEL!$AG429,IFERROR(0/0,""),preDEL!X429)</f>
        <v>0</v>
      </c>
      <c r="Y429" s="110" t="b">
        <f>IF(preDEL!$AG429,IFERROR(0/0,""),preDEL!Y429)</f>
        <v>0</v>
      </c>
      <c r="Z429" s="105" t="str">
        <f>IF(preDEL!$AG429,IFERROR(0/0,""),preDEL!Z429)</f>
        <v/>
      </c>
      <c r="AA429" s="110" t="b">
        <f>IF(preDEL!$AG429,IFERROR(0/0,""),preDEL!AA429)</f>
        <v>0</v>
      </c>
      <c r="AB429" s="110" t="b">
        <f>IF(preDEL!$AG429,IFERROR(0/0,""),preDEL!AB429)</f>
        <v>0</v>
      </c>
      <c r="AC429" s="172">
        <f>IF(preDEL!$AG429,IFERROR(0/0,""),preDEL!AC429)</f>
        <v>376</v>
      </c>
      <c r="AD429" s="104" t="b">
        <f>IF(preDEL!$AG429,IFERROR(0/0,""),preDEL!AD429)</f>
        <v>0</v>
      </c>
      <c r="AE429" s="173" t="str">
        <f>IF(preDEL!$AG429,IFERROR(0/0,""),preDEL!AE429)</f>
        <v/>
      </c>
      <c r="AF429" s="110" t="b">
        <f>IF(preDEL!$AG429,IFERROR(0/0,""),preDEL!AF429)</f>
        <v>0</v>
      </c>
      <c r="AG429" s="110" t="b">
        <f>IF(preDEL!$AG429,IFERROR(0/0,""),preDEL!AG429)</f>
        <v>0</v>
      </c>
      <c r="AH429" s="104" t="str">
        <f>IF(preDEL!$AG429,IFERROR(0/0,""),preDEL!AH429)</f>
        <v/>
      </c>
      <c r="AI429" s="105" t="str">
        <f>IF(preDEL!$AG429,IFERROR(0/0,""),preDEL!AI429)</f>
        <v/>
      </c>
      <c r="AJ429" s="112" t="str">
        <f>IF(preDEL!$AG429,IFERROR(0/0,""),preDEL!AJ429)</f>
        <v/>
      </c>
      <c r="AK429" s="105" t="str">
        <f>IF(preDEL!$AG429,IFERROR(0/0,""),preDEL!AK429)</f>
        <v>Negative</v>
      </c>
      <c r="AL429" s="112" t="str">
        <f>IF(preDEL!$AG429,IFERROR(0/0,""),preDEL!AL429)</f>
        <v/>
      </c>
      <c r="AM429" s="112" t="str">
        <f>IF(preDEL!$AG429,IFERROR(0/0,""),preDEL!AM429)</f>
        <v>SpBEND264858</v>
      </c>
      <c r="AN429" s="112" t="str">
        <f>IF(preDEL!$AG429,IFERROR(0/0,""),preDEL!AN429)</f>
        <v>BEND939689</v>
      </c>
      <c r="AO429" s="112" t="str">
        <f>IF(preDEL!$AG429,IFERROR(0/0,""),preDEL!AO429)</f>
        <v/>
      </c>
      <c r="AP429" s="112" t="str">
        <f>IF(preDEL!$AG429,IFERROR(0/0,""),preDEL!AP429)</f>
        <v/>
      </c>
      <c r="AQ429" s="112" t="str">
        <f>IF(preDEL!$AG429,IFERROR(0/0,""),preDEL!AQ429)</f>
        <v/>
      </c>
      <c r="AR429" s="112" t="str">
        <f>IF(preDEL!$AG429,IFERROR(0/0,""),preDEL!AR429)</f>
        <v/>
      </c>
      <c r="AS429" s="112" t="str">
        <f>IF(preDEL!$AG429,IFERROR(0/0,""),preDEL!AS429)</f>
        <v/>
      </c>
      <c r="AT429" s="112" t="b">
        <f>IF(preDEL!$AG429,IFERROR(0/0,""),preDEL!AT429)</f>
        <v>0</v>
      </c>
      <c r="AU429" s="112" t="str">
        <f>IF(preDEL!$AG429,IFERROR(0/0,""),preDEL!AU429)</f>
        <v/>
      </c>
      <c r="AV429" s="112" t="str">
        <f>IF(preDEL!$AG429,IFERROR(0/0,""),preDEL!AV429)</f>
        <v/>
      </c>
      <c r="AW429" s="112" t="str">
        <f>IF(preDEL!$AG429,IFERROR(0/0,""),preDEL!AW429)</f>
        <v/>
      </c>
      <c r="AX429" s="112" t="str">
        <f>IF(preDEL!$AG429,IFERROR(0/0,""),preDEL!AX429)</f>
        <v/>
      </c>
      <c r="AY429" s="112" t="str">
        <f>IF(preDEL!$AG429,IFERROR(0/0,""),preDEL!AY429)</f>
        <v/>
      </c>
      <c r="AZ429" s="174"/>
      <c r="BA429" s="174"/>
      <c r="BB429" s="174"/>
      <c r="BC429" s="174"/>
      <c r="BD429" s="174"/>
      <c r="BE429" s="174"/>
      <c r="BF429" s="174"/>
      <c r="BG429" s="174"/>
      <c r="BH429" s="174"/>
      <c r="BI429" s="174"/>
      <c r="BJ429" s="174"/>
      <c r="BK429" s="174"/>
      <c r="BL429" s="174"/>
      <c r="BM429" s="174"/>
      <c r="BN429" s="174"/>
      <c r="BO429" s="174"/>
      <c r="BP429" s="174"/>
      <c r="BQ429" s="174"/>
      <c r="BR429" s="174"/>
      <c r="BS429" s="174"/>
      <c r="BT429" s="174"/>
      <c r="BU429" s="174"/>
      <c r="BV429" s="174"/>
      <c r="BW429" s="174"/>
      <c r="BX429" s="174"/>
      <c r="BY429" s="174"/>
      <c r="BZ429" s="174"/>
      <c r="CA429" s="174"/>
      <c r="CB429" s="174"/>
      <c r="CC429" s="174"/>
      <c r="CD429" s="174"/>
    </row>
    <row r="430">
      <c r="A430" s="105" t="str">
        <f>IF(preDEL!$AG430,IFERROR(0/0,""),preDEL!A430)</f>
        <v>MAX117</v>
      </c>
      <c r="B430" s="170">
        <f>IF(preDEL!$AG430,IFERROR(0/0,""),preDEL!B430)</f>
        <v>44609</v>
      </c>
      <c r="C430" s="171">
        <f>IF(preDEL!$AG430,IFERROR(0/0,""),preDEL!C430)</f>
        <v>0.2935185185</v>
      </c>
      <c r="D430" s="105" t="str">
        <f>IF(preDEL!$AG430,IFERROR(0/0,""),preDEL!D430)</f>
        <v/>
      </c>
      <c r="E430" s="105" t="str">
        <f>IF(preDEL!$AG430,IFERROR(0/0,""),preDEL!E430)</f>
        <v/>
      </c>
      <c r="F430" s="112" t="str">
        <f>IF(preDEL!$AG430,IFERROR(0/0,""),preDEL!F430)</f>
        <v/>
      </c>
      <c r="G430" s="112" t="str">
        <f>IF(preDEL!$AG430,IFERROR(0/0,""),preDEL!G430)</f>
        <v/>
      </c>
      <c r="H430" s="112" t="str">
        <f>IF(preDEL!$AG430,IFERROR(0/0,""),preDEL!H430)</f>
        <v/>
      </c>
      <c r="I430" s="105" t="str">
        <f>IF(preDEL!$AG430,IFERROR(0/0,""),preDEL!I430)</f>
        <v/>
      </c>
      <c r="J430" s="105" t="str">
        <f>IF(preDEL!$AG430,IFERROR(0/0,""),preDEL!J430)</f>
        <v/>
      </c>
      <c r="K430" s="105" t="str">
        <f>IF(preDEL!$AG430,IFERROR(0/0,""),preDEL!K430)</f>
        <v>Negative</v>
      </c>
      <c r="L430" s="170">
        <f>IF(preDEL!$AG430,IFERROR(0/0,""),preDEL!L430)</f>
        <v>44611</v>
      </c>
      <c r="M430" s="171">
        <f>IF(preDEL!$AG430,IFERROR(0/0,""),preDEL!M430)</f>
        <v>0.3895601852</v>
      </c>
      <c r="N430" s="112" t="str">
        <f>IF(preDEL!$AG430,IFERROR(0/0,""),preDEL!N430)</f>
        <v/>
      </c>
      <c r="O430" s="112" t="str">
        <f>IF(preDEL!$AG430,IFERROR(0/0,""),preDEL!O430)</f>
        <v/>
      </c>
      <c r="P430" s="110" t="b">
        <f>IF(preDEL!$AG430,IFERROR(0/0,""),preDEL!P430)</f>
        <v>0</v>
      </c>
      <c r="Q430" s="110" t="str">
        <f>IF(preDEL!$AG430,IFERROR(0/0,""),preDEL!Q430)</f>
        <v>Result</v>
      </c>
      <c r="R430" s="104" t="b">
        <f>IF(preDEL!$AG430,IFERROR(0/0,""),preDEL!R430)</f>
        <v>1</v>
      </c>
      <c r="S430" s="104">
        <f>IF(preDEL!$AG430,IFERROR(0/0,""),preDEL!S430)</f>
        <v>1</v>
      </c>
      <c r="T430" s="110">
        <f>IF(preDEL!$AG430,IFERROR(0/0,""),preDEL!T430)</f>
        <v>0</v>
      </c>
      <c r="U430" s="112" t="str">
        <f>IF(preDEL!$AG430,IFERROR(0/0,""),preDEL!U430)</f>
        <v/>
      </c>
      <c r="V430" s="105" t="str">
        <f>IF(preDEL!$AG430,IFERROR(0/0,""),preDEL!V430)</f>
        <v/>
      </c>
      <c r="W430" s="112" t="str">
        <f>IF(preDEL!$AG430,IFERROR(0/0,""),preDEL!W430)</f>
        <v/>
      </c>
      <c r="X430" s="104" t="b">
        <f>IF(preDEL!$AG430,IFERROR(0/0,""),preDEL!X430)</f>
        <v>0</v>
      </c>
      <c r="Y430" s="110" t="b">
        <f>IF(preDEL!$AG430,IFERROR(0/0,""),preDEL!Y430)</f>
        <v>0</v>
      </c>
      <c r="Z430" s="105" t="str">
        <f>IF(preDEL!$AG430,IFERROR(0/0,""),preDEL!Z430)</f>
        <v/>
      </c>
      <c r="AA430" s="110" t="b">
        <f>IF(preDEL!$AG430,IFERROR(0/0,""),preDEL!AA430)</f>
        <v>0</v>
      </c>
      <c r="AB430" s="110" t="b">
        <f>IF(preDEL!$AG430,IFERROR(0/0,""),preDEL!AB430)</f>
        <v>0</v>
      </c>
      <c r="AC430" s="172">
        <f>IF(preDEL!$AG430,IFERROR(0/0,""),preDEL!AC430)</f>
        <v>379</v>
      </c>
      <c r="AD430" s="104" t="b">
        <f>IF(preDEL!$AG430,IFERROR(0/0,""),preDEL!AD430)</f>
        <v>0</v>
      </c>
      <c r="AE430" s="173" t="str">
        <f>IF(preDEL!$AG430,IFERROR(0/0,""),preDEL!AE430)</f>
        <v/>
      </c>
      <c r="AF430" s="110" t="b">
        <f>IF(preDEL!$AG430,IFERROR(0/0,""),preDEL!AF430)</f>
        <v>0</v>
      </c>
      <c r="AG430" s="110" t="b">
        <f>IF(preDEL!$AG430,IFERROR(0/0,""),preDEL!AG430)</f>
        <v>0</v>
      </c>
      <c r="AH430" s="104" t="str">
        <f>IF(preDEL!$AG430,IFERROR(0/0,""),preDEL!AH430)</f>
        <v/>
      </c>
      <c r="AI430" s="105" t="str">
        <f>IF(preDEL!$AG430,IFERROR(0/0,""),preDEL!AI430)</f>
        <v/>
      </c>
      <c r="AJ430" s="112" t="str">
        <f>IF(preDEL!$AG430,IFERROR(0/0,""),preDEL!AJ430)</f>
        <v/>
      </c>
      <c r="AK430" s="105" t="str">
        <f>IF(preDEL!$AG430,IFERROR(0/0,""),preDEL!AK430)</f>
        <v>Negative</v>
      </c>
      <c r="AL430" s="112" t="str">
        <f>IF(preDEL!$AG430,IFERROR(0/0,""),preDEL!AL430)</f>
        <v/>
      </c>
      <c r="AM430" s="112" t="str">
        <f>IF(preDEL!$AG430,IFERROR(0/0,""),preDEL!AM430)</f>
        <v>SpBEND394154</v>
      </c>
      <c r="AN430" s="112" t="str">
        <f>IF(preDEL!$AG430,IFERROR(0/0,""),preDEL!AN430)</f>
        <v>BEND905156</v>
      </c>
      <c r="AO430" s="112" t="str">
        <f>IF(preDEL!$AG430,IFERROR(0/0,""),preDEL!AO430)</f>
        <v/>
      </c>
      <c r="AP430" s="112" t="str">
        <f>IF(preDEL!$AG430,IFERROR(0/0,""),preDEL!AP430)</f>
        <v/>
      </c>
      <c r="AQ430" s="112" t="str">
        <f>IF(preDEL!$AG430,IFERROR(0/0,""),preDEL!AQ430)</f>
        <v/>
      </c>
      <c r="AR430" s="112" t="str">
        <f>IF(preDEL!$AG430,IFERROR(0/0,""),preDEL!AR430)</f>
        <v/>
      </c>
      <c r="AS430" s="112" t="str">
        <f>IF(preDEL!$AG430,IFERROR(0/0,""),preDEL!AS430)</f>
        <v/>
      </c>
      <c r="AT430" s="112" t="b">
        <f>IF(preDEL!$AG430,IFERROR(0/0,""),preDEL!AT430)</f>
        <v>0</v>
      </c>
      <c r="AU430" s="112" t="str">
        <f>IF(preDEL!$AG430,IFERROR(0/0,""),preDEL!AU430)</f>
        <v/>
      </c>
      <c r="AV430" s="112" t="str">
        <f>IF(preDEL!$AG430,IFERROR(0/0,""),preDEL!AV430)</f>
        <v/>
      </c>
      <c r="AW430" s="112" t="str">
        <f>IF(preDEL!$AG430,IFERROR(0/0,""),preDEL!AW430)</f>
        <v/>
      </c>
      <c r="AX430" s="112" t="str">
        <f>IF(preDEL!$AG430,IFERROR(0/0,""),preDEL!AX430)</f>
        <v/>
      </c>
      <c r="AY430" s="112" t="str">
        <f>IF(preDEL!$AG430,IFERROR(0/0,""),preDEL!AY430)</f>
        <v/>
      </c>
      <c r="AZ430" s="174"/>
      <c r="BA430" s="174"/>
      <c r="BB430" s="174"/>
      <c r="BC430" s="174"/>
      <c r="BD430" s="174"/>
      <c r="BE430" s="174"/>
      <c r="BF430" s="174"/>
      <c r="BG430" s="174"/>
      <c r="BH430" s="174"/>
      <c r="BI430" s="174"/>
      <c r="BJ430" s="174"/>
      <c r="BK430" s="174"/>
      <c r="BL430" s="174"/>
      <c r="BM430" s="174"/>
      <c r="BN430" s="174"/>
      <c r="BO430" s="174"/>
      <c r="BP430" s="174"/>
      <c r="BQ430" s="174"/>
      <c r="BR430" s="174"/>
      <c r="BS430" s="174"/>
      <c r="BT430" s="174"/>
      <c r="BU430" s="174"/>
      <c r="BV430" s="174"/>
      <c r="BW430" s="174"/>
      <c r="BX430" s="174"/>
      <c r="BY430" s="174"/>
      <c r="BZ430" s="174"/>
      <c r="CA430" s="174"/>
      <c r="CB430" s="174"/>
      <c r="CC430" s="174"/>
      <c r="CD430" s="174"/>
    </row>
    <row r="431">
      <c r="A431" s="105" t="str">
        <f>IF(preDEL!$AG431,IFERROR(0/0,""),preDEL!A431)</f>
        <v>MAX115</v>
      </c>
      <c r="B431" s="170">
        <f>IF(preDEL!$AG431,IFERROR(0/0,""),preDEL!B431)</f>
        <v>44609</v>
      </c>
      <c r="C431" s="171">
        <f>IF(preDEL!$AG431,IFERROR(0/0,""),preDEL!C431)</f>
        <v>0.2938541667</v>
      </c>
      <c r="D431" s="105" t="str">
        <f>IF(preDEL!$AG431,IFERROR(0/0,""),preDEL!D431)</f>
        <v/>
      </c>
      <c r="E431" s="105" t="str">
        <f>IF(preDEL!$AG431,IFERROR(0/0,""),preDEL!E431)</f>
        <v/>
      </c>
      <c r="F431" s="112" t="str">
        <f>IF(preDEL!$AG431,IFERROR(0/0,""),preDEL!F431)</f>
        <v/>
      </c>
      <c r="G431" s="112" t="str">
        <f>IF(preDEL!$AG431,IFERROR(0/0,""),preDEL!G431)</f>
        <v/>
      </c>
      <c r="H431" s="112" t="str">
        <f>IF(preDEL!$AG431,IFERROR(0/0,""),preDEL!H431)</f>
        <v/>
      </c>
      <c r="I431" s="105" t="str">
        <f>IF(preDEL!$AG431,IFERROR(0/0,""),preDEL!I431)</f>
        <v/>
      </c>
      <c r="J431" s="105" t="str">
        <f>IF(preDEL!$AG431,IFERROR(0/0,""),preDEL!J431)</f>
        <v/>
      </c>
      <c r="K431" s="105" t="str">
        <f>IF(preDEL!$AG431,IFERROR(0/0,""),preDEL!K431)</f>
        <v>Negative</v>
      </c>
      <c r="L431" s="170">
        <f>IF(preDEL!$AG431,IFERROR(0/0,""),preDEL!L431)</f>
        <v>44611</v>
      </c>
      <c r="M431" s="171">
        <f>IF(preDEL!$AG431,IFERROR(0/0,""),preDEL!M431)</f>
        <v>0.3895601852</v>
      </c>
      <c r="N431" s="112" t="str">
        <f>IF(preDEL!$AG431,IFERROR(0/0,""),preDEL!N431)</f>
        <v/>
      </c>
      <c r="O431" s="112" t="str">
        <f>IF(preDEL!$AG431,IFERROR(0/0,""),preDEL!O431)</f>
        <v/>
      </c>
      <c r="P431" s="110" t="b">
        <f>IF(preDEL!$AG431,IFERROR(0/0,""),preDEL!P431)</f>
        <v>0</v>
      </c>
      <c r="Q431" s="110" t="str">
        <f>IF(preDEL!$AG431,IFERROR(0/0,""),preDEL!Q431)</f>
        <v>Result</v>
      </c>
      <c r="R431" s="104" t="b">
        <f>IF(preDEL!$AG431,IFERROR(0/0,""),preDEL!R431)</f>
        <v>1</v>
      </c>
      <c r="S431" s="104">
        <f>IF(preDEL!$AG431,IFERROR(0/0,""),preDEL!S431)</f>
        <v>1</v>
      </c>
      <c r="T431" s="110">
        <f>IF(preDEL!$AG431,IFERROR(0/0,""),preDEL!T431)</f>
        <v>0</v>
      </c>
      <c r="U431" s="112" t="str">
        <f>IF(preDEL!$AG431,IFERROR(0/0,""),preDEL!U431)</f>
        <v/>
      </c>
      <c r="V431" s="105" t="str">
        <f>IF(preDEL!$AG431,IFERROR(0/0,""),preDEL!V431)</f>
        <v/>
      </c>
      <c r="W431" s="112" t="str">
        <f>IF(preDEL!$AG431,IFERROR(0/0,""),preDEL!W431)</f>
        <v/>
      </c>
      <c r="X431" s="104" t="b">
        <f>IF(preDEL!$AG431,IFERROR(0/0,""),preDEL!X431)</f>
        <v>0</v>
      </c>
      <c r="Y431" s="110" t="b">
        <f>IF(preDEL!$AG431,IFERROR(0/0,""),preDEL!Y431)</f>
        <v>0</v>
      </c>
      <c r="Z431" s="105" t="str">
        <f>IF(preDEL!$AG431,IFERROR(0/0,""),preDEL!Z431)</f>
        <v/>
      </c>
      <c r="AA431" s="110" t="b">
        <f>IF(preDEL!$AG431,IFERROR(0/0,""),preDEL!AA431)</f>
        <v>0</v>
      </c>
      <c r="AB431" s="110" t="b">
        <f>IF(preDEL!$AG431,IFERROR(0/0,""),preDEL!AB431)</f>
        <v>0</v>
      </c>
      <c r="AC431" s="172">
        <f>IF(preDEL!$AG431,IFERROR(0/0,""),preDEL!AC431)</f>
        <v>378</v>
      </c>
      <c r="AD431" s="104" t="b">
        <f>IF(preDEL!$AG431,IFERROR(0/0,""),preDEL!AD431)</f>
        <v>0</v>
      </c>
      <c r="AE431" s="173" t="str">
        <f>IF(preDEL!$AG431,IFERROR(0/0,""),preDEL!AE431)</f>
        <v/>
      </c>
      <c r="AF431" s="110" t="b">
        <f>IF(preDEL!$AG431,IFERROR(0/0,""),preDEL!AF431)</f>
        <v>0</v>
      </c>
      <c r="AG431" s="110" t="b">
        <f>IF(preDEL!$AG431,IFERROR(0/0,""),preDEL!AG431)</f>
        <v>0</v>
      </c>
      <c r="AH431" s="104" t="str">
        <f>IF(preDEL!$AG431,IFERROR(0/0,""),preDEL!AH431)</f>
        <v/>
      </c>
      <c r="AI431" s="105" t="str">
        <f>IF(preDEL!$AG431,IFERROR(0/0,""),preDEL!AI431)</f>
        <v/>
      </c>
      <c r="AJ431" s="112" t="str">
        <f>IF(preDEL!$AG431,IFERROR(0/0,""),preDEL!AJ431)</f>
        <v/>
      </c>
      <c r="AK431" s="105" t="str">
        <f>IF(preDEL!$AG431,IFERROR(0/0,""),preDEL!AK431)</f>
        <v>Negative</v>
      </c>
      <c r="AL431" s="112" t="str">
        <f>IF(preDEL!$AG431,IFERROR(0/0,""),preDEL!AL431)</f>
        <v/>
      </c>
      <c r="AM431" s="112" t="str">
        <f>IF(preDEL!$AG431,IFERROR(0/0,""),preDEL!AM431)</f>
        <v>SpBEND394154</v>
      </c>
      <c r="AN431" s="112" t="str">
        <f>IF(preDEL!$AG431,IFERROR(0/0,""),preDEL!AN431)</f>
        <v>BEND777226</v>
      </c>
      <c r="AO431" s="112" t="str">
        <f>IF(preDEL!$AG431,IFERROR(0/0,""),preDEL!AO431)</f>
        <v/>
      </c>
      <c r="AP431" s="112" t="str">
        <f>IF(preDEL!$AG431,IFERROR(0/0,""),preDEL!AP431)</f>
        <v/>
      </c>
      <c r="AQ431" s="112" t="str">
        <f>IF(preDEL!$AG431,IFERROR(0/0,""),preDEL!AQ431)</f>
        <v/>
      </c>
      <c r="AR431" s="112" t="str">
        <f>IF(preDEL!$AG431,IFERROR(0/0,""),preDEL!AR431)</f>
        <v/>
      </c>
      <c r="AS431" s="112" t="str">
        <f>IF(preDEL!$AG431,IFERROR(0/0,""),preDEL!AS431)</f>
        <v/>
      </c>
      <c r="AT431" s="112" t="b">
        <f>IF(preDEL!$AG431,IFERROR(0/0,""),preDEL!AT431)</f>
        <v>0</v>
      </c>
      <c r="AU431" s="112" t="str">
        <f>IF(preDEL!$AG431,IFERROR(0/0,""),preDEL!AU431)</f>
        <v/>
      </c>
      <c r="AV431" s="112" t="str">
        <f>IF(preDEL!$AG431,IFERROR(0/0,""),preDEL!AV431)</f>
        <v/>
      </c>
      <c r="AW431" s="112" t="str">
        <f>IF(preDEL!$AG431,IFERROR(0/0,""),preDEL!AW431)</f>
        <v/>
      </c>
      <c r="AX431" s="112" t="str">
        <f>IF(preDEL!$AG431,IFERROR(0/0,""),preDEL!AX431)</f>
        <v/>
      </c>
      <c r="AY431" s="112" t="str">
        <f>IF(preDEL!$AG431,IFERROR(0/0,""),preDEL!AY431)</f>
        <v/>
      </c>
      <c r="AZ431" s="174"/>
      <c r="BA431" s="174"/>
      <c r="BB431" s="174"/>
      <c r="BC431" s="174"/>
      <c r="BD431" s="174"/>
      <c r="BE431" s="174"/>
      <c r="BF431" s="174"/>
      <c r="BG431" s="174"/>
      <c r="BH431" s="174"/>
      <c r="BI431" s="174"/>
      <c r="BJ431" s="174"/>
      <c r="BK431" s="174"/>
      <c r="BL431" s="174"/>
      <c r="BM431" s="174"/>
      <c r="BN431" s="174"/>
      <c r="BO431" s="174"/>
      <c r="BP431" s="174"/>
      <c r="BQ431" s="174"/>
      <c r="BR431" s="174"/>
      <c r="BS431" s="174"/>
      <c r="BT431" s="174"/>
      <c r="BU431" s="174"/>
      <c r="BV431" s="174"/>
      <c r="BW431" s="174"/>
      <c r="BX431" s="174"/>
      <c r="BY431" s="174"/>
      <c r="BZ431" s="174"/>
      <c r="CA431" s="174"/>
      <c r="CB431" s="174"/>
      <c r="CC431" s="174"/>
      <c r="CD431" s="174"/>
    </row>
    <row r="432">
      <c r="A432" s="105" t="str">
        <f>IF(preDEL!$AG432,IFERROR(0/0,""),preDEL!A432)</f>
        <v>MAX8</v>
      </c>
      <c r="B432" s="170">
        <f>IF(preDEL!$AG432,IFERROR(0/0,""),preDEL!B432)</f>
        <v>44609</v>
      </c>
      <c r="C432" s="171">
        <f>IF(preDEL!$AG432,IFERROR(0/0,""),preDEL!C432)</f>
        <v>0.2951736111</v>
      </c>
      <c r="D432" s="105" t="str">
        <f>IF(preDEL!$AG432,IFERROR(0/0,""),preDEL!D432)</f>
        <v/>
      </c>
      <c r="E432" s="105" t="str">
        <f>IF(preDEL!$AG432,IFERROR(0/0,""),preDEL!E432)</f>
        <v/>
      </c>
      <c r="F432" s="112" t="str">
        <f>IF(preDEL!$AG432,IFERROR(0/0,""),preDEL!F432)</f>
        <v/>
      </c>
      <c r="G432" s="112" t="str">
        <f>IF(preDEL!$AG432,IFERROR(0/0,""),preDEL!G432)</f>
        <v/>
      </c>
      <c r="H432" s="112" t="str">
        <f>IF(preDEL!$AG432,IFERROR(0/0,""),preDEL!H432)</f>
        <v/>
      </c>
      <c r="I432" s="105" t="str">
        <f>IF(preDEL!$AG432,IFERROR(0/0,""),preDEL!I432)</f>
        <v/>
      </c>
      <c r="J432" s="105" t="str">
        <f>IF(preDEL!$AG432,IFERROR(0/0,""),preDEL!J432)</f>
        <v/>
      </c>
      <c r="K432" s="105" t="str">
        <f>IF(preDEL!$AG432,IFERROR(0/0,""),preDEL!K432)</f>
        <v>Negative</v>
      </c>
      <c r="L432" s="170">
        <f>IF(preDEL!$AG432,IFERROR(0/0,""),preDEL!L432)</f>
        <v>44611</v>
      </c>
      <c r="M432" s="171">
        <f>IF(preDEL!$AG432,IFERROR(0/0,""),preDEL!M432)</f>
        <v>0.3895601852</v>
      </c>
      <c r="N432" s="112" t="str">
        <f>IF(preDEL!$AG432,IFERROR(0/0,""),preDEL!N432)</f>
        <v/>
      </c>
      <c r="O432" s="112" t="str">
        <f>IF(preDEL!$AG432,IFERROR(0/0,""),preDEL!O432)</f>
        <v/>
      </c>
      <c r="P432" s="110" t="b">
        <f>IF(preDEL!$AG432,IFERROR(0/0,""),preDEL!P432)</f>
        <v>0</v>
      </c>
      <c r="Q432" s="110" t="str">
        <f>IF(preDEL!$AG432,IFERROR(0/0,""),preDEL!Q432)</f>
        <v>Result</v>
      </c>
      <c r="R432" s="104" t="b">
        <f>IF(preDEL!$AG432,IFERROR(0/0,""),preDEL!R432)</f>
        <v>1</v>
      </c>
      <c r="S432" s="104">
        <f>IF(preDEL!$AG432,IFERROR(0/0,""),preDEL!S432)</f>
        <v>1</v>
      </c>
      <c r="T432" s="110" t="str">
        <f>IF(preDEL!$AG432,IFERROR(0/0,""),preDEL!T432)</f>
        <v/>
      </c>
      <c r="U432" s="112" t="str">
        <f>IF(preDEL!$AG432,IFERROR(0/0,""),preDEL!U432)</f>
        <v/>
      </c>
      <c r="V432" s="105" t="str">
        <f>IF(preDEL!$AG432,IFERROR(0/0,""),preDEL!V432)</f>
        <v/>
      </c>
      <c r="W432" s="112" t="str">
        <f>IF(preDEL!$AG432,IFERROR(0/0,""),preDEL!W432)</f>
        <v/>
      </c>
      <c r="X432" s="104" t="b">
        <f>IF(preDEL!$AG432,IFERROR(0/0,""),preDEL!X432)</f>
        <v>0</v>
      </c>
      <c r="Y432" s="110" t="b">
        <f>IF(preDEL!$AG432,IFERROR(0/0,""),preDEL!Y432)</f>
        <v>0</v>
      </c>
      <c r="Z432" s="105" t="str">
        <f>IF(preDEL!$AG432,IFERROR(0/0,""),preDEL!Z432)</f>
        <v/>
      </c>
      <c r="AA432" s="110" t="b">
        <f>IF(preDEL!$AG432,IFERROR(0/0,""),preDEL!AA432)</f>
        <v>0</v>
      </c>
      <c r="AB432" s="110" t="b">
        <f>IF(preDEL!$AG432,IFERROR(0/0,""),preDEL!AB432)</f>
        <v>0</v>
      </c>
      <c r="AC432" s="172">
        <f>IF(preDEL!$AG432,IFERROR(0/0,""),preDEL!AC432)</f>
        <v>377</v>
      </c>
      <c r="AD432" s="104" t="b">
        <f>IF(preDEL!$AG432,IFERROR(0/0,""),preDEL!AD432)</f>
        <v>0</v>
      </c>
      <c r="AE432" s="173" t="str">
        <f>IF(preDEL!$AG432,IFERROR(0/0,""),preDEL!AE432)</f>
        <v/>
      </c>
      <c r="AF432" s="110" t="b">
        <f>IF(preDEL!$AG432,IFERROR(0/0,""),preDEL!AF432)</f>
        <v>0</v>
      </c>
      <c r="AG432" s="110" t="b">
        <f>IF(preDEL!$AG432,IFERROR(0/0,""),preDEL!AG432)</f>
        <v>0</v>
      </c>
      <c r="AH432" s="104" t="str">
        <f>IF(preDEL!$AG432,IFERROR(0/0,""),preDEL!AH432)</f>
        <v/>
      </c>
      <c r="AI432" s="105" t="str">
        <f>IF(preDEL!$AG432,IFERROR(0/0,""),preDEL!AI432)</f>
        <v/>
      </c>
      <c r="AJ432" s="112" t="str">
        <f>IF(preDEL!$AG432,IFERROR(0/0,""),preDEL!AJ432)</f>
        <v/>
      </c>
      <c r="AK432" s="105" t="str">
        <f>IF(preDEL!$AG432,IFERROR(0/0,""),preDEL!AK432)</f>
        <v>Negative</v>
      </c>
      <c r="AL432" s="112" t="str">
        <f>IF(preDEL!$AG432,IFERROR(0/0,""),preDEL!AL432)</f>
        <v/>
      </c>
      <c r="AM432" s="112" t="str">
        <f>IF(preDEL!$AG432,IFERROR(0/0,""),preDEL!AM432)</f>
        <v>SpBEND394154</v>
      </c>
      <c r="AN432" s="112" t="str">
        <f>IF(preDEL!$AG432,IFERROR(0/0,""),preDEL!AN432)</f>
        <v>BEND365993</v>
      </c>
      <c r="AO432" s="112" t="str">
        <f>IF(preDEL!$AG432,IFERROR(0/0,""),preDEL!AO432)</f>
        <v/>
      </c>
      <c r="AP432" s="112" t="str">
        <f>IF(preDEL!$AG432,IFERROR(0/0,""),preDEL!AP432)</f>
        <v/>
      </c>
      <c r="AQ432" s="112" t="str">
        <f>IF(preDEL!$AG432,IFERROR(0/0,""),preDEL!AQ432)</f>
        <v/>
      </c>
      <c r="AR432" s="112" t="str">
        <f>IF(preDEL!$AG432,IFERROR(0/0,""),preDEL!AR432)</f>
        <v/>
      </c>
      <c r="AS432" s="112" t="str">
        <f>IF(preDEL!$AG432,IFERROR(0/0,""),preDEL!AS432)</f>
        <v/>
      </c>
      <c r="AT432" s="112" t="b">
        <f>IF(preDEL!$AG432,IFERROR(0/0,""),preDEL!AT432)</f>
        <v>0</v>
      </c>
      <c r="AU432" s="112" t="str">
        <f>IF(preDEL!$AG432,IFERROR(0/0,""),preDEL!AU432)</f>
        <v/>
      </c>
      <c r="AV432" s="112" t="str">
        <f>IF(preDEL!$AG432,IFERROR(0/0,""),preDEL!AV432)</f>
        <v/>
      </c>
      <c r="AW432" s="112" t="str">
        <f>IF(preDEL!$AG432,IFERROR(0/0,""),preDEL!AW432)</f>
        <v/>
      </c>
      <c r="AX432" s="112" t="str">
        <f>IF(preDEL!$AG432,IFERROR(0/0,""),preDEL!AX432)</f>
        <v/>
      </c>
      <c r="AY432" s="112" t="str">
        <f>IF(preDEL!$AG432,IFERROR(0/0,""),preDEL!AY432)</f>
        <v/>
      </c>
      <c r="AZ432" s="174"/>
      <c r="BA432" s="174"/>
      <c r="BB432" s="174"/>
      <c r="BC432" s="174"/>
      <c r="BD432" s="174"/>
      <c r="BE432" s="174"/>
      <c r="BF432" s="174"/>
      <c r="BG432" s="174"/>
      <c r="BH432" s="174"/>
      <c r="BI432" s="174"/>
      <c r="BJ432" s="174"/>
      <c r="BK432" s="174"/>
      <c r="BL432" s="174"/>
      <c r="BM432" s="174"/>
      <c r="BN432" s="174"/>
      <c r="BO432" s="174"/>
      <c r="BP432" s="174"/>
      <c r="BQ432" s="174"/>
      <c r="BR432" s="174"/>
      <c r="BS432" s="174"/>
      <c r="BT432" s="174"/>
      <c r="BU432" s="174"/>
      <c r="BV432" s="174"/>
      <c r="BW432" s="174"/>
      <c r="BX432" s="174"/>
      <c r="BY432" s="174"/>
      <c r="BZ432" s="174"/>
      <c r="CA432" s="174"/>
      <c r="CB432" s="174"/>
      <c r="CC432" s="174"/>
      <c r="CD432" s="174"/>
    </row>
    <row r="433">
      <c r="A433" s="105" t="str">
        <f>IF(preDEL!$AG433,IFERROR(0/0,""),preDEL!A433)</f>
        <v>FM3</v>
      </c>
      <c r="B433" s="170">
        <f>IF(preDEL!$AG433,IFERROR(0/0,""),preDEL!B433)</f>
        <v>44609</v>
      </c>
      <c r="C433" s="171">
        <f>IF(preDEL!$AG433,IFERROR(0/0,""),preDEL!C433)</f>
        <v>0.3042824074</v>
      </c>
      <c r="D433" s="105" t="str">
        <f>IF(preDEL!$AG433,IFERROR(0/0,""),preDEL!D433)</f>
        <v/>
      </c>
      <c r="E433" s="105" t="str">
        <f>IF(preDEL!$AG433,IFERROR(0/0,""),preDEL!E433)</f>
        <v/>
      </c>
      <c r="F433" s="112" t="str">
        <f>IF(preDEL!$AG433,IFERROR(0/0,""),preDEL!F433)</f>
        <v/>
      </c>
      <c r="G433" s="112" t="str">
        <f>IF(preDEL!$AG433,IFERROR(0/0,""),preDEL!G433)</f>
        <v/>
      </c>
      <c r="H433" s="112" t="str">
        <f>IF(preDEL!$AG433,IFERROR(0/0,""),preDEL!H433)</f>
        <v/>
      </c>
      <c r="I433" s="105" t="str">
        <f>IF(preDEL!$AG433,IFERROR(0/0,""),preDEL!I433)</f>
        <v/>
      </c>
      <c r="J433" s="105" t="str">
        <f>IF(preDEL!$AG433,IFERROR(0/0,""),preDEL!J433)</f>
        <v/>
      </c>
      <c r="K433" s="105" t="str">
        <f>IF(preDEL!$AG433,IFERROR(0/0,""),preDEL!K433)</f>
        <v>Negative</v>
      </c>
      <c r="L433" s="170">
        <f>IF(preDEL!$AG433,IFERROR(0/0,""),preDEL!L433)</f>
        <v>44611</v>
      </c>
      <c r="M433" s="171">
        <f>IF(preDEL!$AG433,IFERROR(0/0,""),preDEL!M433)</f>
        <v>0.3895601852</v>
      </c>
      <c r="N433" s="112" t="str">
        <f>IF(preDEL!$AG433,IFERROR(0/0,""),preDEL!N433)</f>
        <v/>
      </c>
      <c r="O433" s="112" t="str">
        <f>IF(preDEL!$AG433,IFERROR(0/0,""),preDEL!O433)</f>
        <v/>
      </c>
      <c r="P433" s="110" t="b">
        <f>IF(preDEL!$AG433,IFERROR(0/0,""),preDEL!P433)</f>
        <v>0</v>
      </c>
      <c r="Q433" s="110" t="str">
        <f>IF(preDEL!$AG433,IFERROR(0/0,""),preDEL!Q433)</f>
        <v>Result</v>
      </c>
      <c r="R433" s="104" t="b">
        <f>IF(preDEL!$AG433,IFERROR(0/0,""),preDEL!R433)</f>
        <v>1</v>
      </c>
      <c r="S433" s="104">
        <f>IF(preDEL!$AG433,IFERROR(0/0,""),preDEL!S433)</f>
        <v>1</v>
      </c>
      <c r="T433" s="110" t="str">
        <f>IF(preDEL!$AG433,IFERROR(0/0,""),preDEL!T433)</f>
        <v/>
      </c>
      <c r="U433" s="112" t="str">
        <f>IF(preDEL!$AG433,IFERROR(0/0,""),preDEL!U433)</f>
        <v/>
      </c>
      <c r="V433" s="105" t="str">
        <f>IF(preDEL!$AG433,IFERROR(0/0,""),preDEL!V433)</f>
        <v/>
      </c>
      <c r="W433" s="112" t="str">
        <f>IF(preDEL!$AG433,IFERROR(0/0,""),preDEL!W433)</f>
        <v/>
      </c>
      <c r="X433" s="104" t="b">
        <f>IF(preDEL!$AG433,IFERROR(0/0,""),preDEL!X433)</f>
        <v>0</v>
      </c>
      <c r="Y433" s="110" t="b">
        <f>IF(preDEL!$AG433,IFERROR(0/0,""),preDEL!Y433)</f>
        <v>0</v>
      </c>
      <c r="Z433" s="105" t="str">
        <f>IF(preDEL!$AG433,IFERROR(0/0,""),preDEL!Z433)</f>
        <v/>
      </c>
      <c r="AA433" s="110" t="b">
        <f>IF(preDEL!$AG433,IFERROR(0/0,""),preDEL!AA433)</f>
        <v>0</v>
      </c>
      <c r="AB433" s="110" t="b">
        <f>IF(preDEL!$AG433,IFERROR(0/0,""),preDEL!AB433)</f>
        <v>0</v>
      </c>
      <c r="AC433" s="172">
        <f>IF(preDEL!$AG433,IFERROR(0/0,""),preDEL!AC433)</f>
        <v>375</v>
      </c>
      <c r="AD433" s="104" t="b">
        <f>IF(preDEL!$AG433,IFERROR(0/0,""),preDEL!AD433)</f>
        <v>0</v>
      </c>
      <c r="AE433" s="173" t="str">
        <f>IF(preDEL!$AG433,IFERROR(0/0,""),preDEL!AE433)</f>
        <v/>
      </c>
      <c r="AF433" s="110" t="b">
        <f>IF(preDEL!$AG433,IFERROR(0/0,""),preDEL!AF433)</f>
        <v>0</v>
      </c>
      <c r="AG433" s="110" t="b">
        <f>IF(preDEL!$AG433,IFERROR(0/0,""),preDEL!AG433)</f>
        <v>0</v>
      </c>
      <c r="AH433" s="104" t="str">
        <f>IF(preDEL!$AG433,IFERROR(0/0,""),preDEL!AH433)</f>
        <v/>
      </c>
      <c r="AI433" s="105" t="str">
        <f>IF(preDEL!$AG433,IFERROR(0/0,""),preDEL!AI433)</f>
        <v/>
      </c>
      <c r="AJ433" s="112" t="str">
        <f>IF(preDEL!$AG433,IFERROR(0/0,""),preDEL!AJ433)</f>
        <v/>
      </c>
      <c r="AK433" s="105" t="str">
        <f>IF(preDEL!$AG433,IFERROR(0/0,""),preDEL!AK433)</f>
        <v>Negative</v>
      </c>
      <c r="AL433" s="112" t="str">
        <f>IF(preDEL!$AG433,IFERROR(0/0,""),preDEL!AL433)</f>
        <v/>
      </c>
      <c r="AM433" s="112" t="str">
        <f>IF(preDEL!$AG433,IFERROR(0/0,""),preDEL!AM433)</f>
        <v>SpBEND349435</v>
      </c>
      <c r="AN433" s="112" t="str">
        <f>IF(preDEL!$AG433,IFERROR(0/0,""),preDEL!AN433)</f>
        <v>BEND759602</v>
      </c>
      <c r="AO433" s="112" t="str">
        <f>IF(preDEL!$AG433,IFERROR(0/0,""),preDEL!AO433)</f>
        <v/>
      </c>
      <c r="AP433" s="112" t="str">
        <f>IF(preDEL!$AG433,IFERROR(0/0,""),preDEL!AP433)</f>
        <v/>
      </c>
      <c r="AQ433" s="112" t="str">
        <f>IF(preDEL!$AG433,IFERROR(0/0,""),preDEL!AQ433)</f>
        <v/>
      </c>
      <c r="AR433" s="112" t="str">
        <f>IF(preDEL!$AG433,IFERROR(0/0,""),preDEL!AR433)</f>
        <v/>
      </c>
      <c r="AS433" s="112" t="str">
        <f>IF(preDEL!$AG433,IFERROR(0/0,""),preDEL!AS433)</f>
        <v/>
      </c>
      <c r="AT433" s="112" t="b">
        <f>IF(preDEL!$AG433,IFERROR(0/0,""),preDEL!AT433)</f>
        <v>0</v>
      </c>
      <c r="AU433" s="112" t="str">
        <f>IF(preDEL!$AG433,IFERROR(0/0,""),preDEL!AU433)</f>
        <v/>
      </c>
      <c r="AV433" s="112" t="str">
        <f>IF(preDEL!$AG433,IFERROR(0/0,""),preDEL!AV433)</f>
        <v/>
      </c>
      <c r="AW433" s="112" t="str">
        <f>IF(preDEL!$AG433,IFERROR(0/0,""),preDEL!AW433)</f>
        <v/>
      </c>
      <c r="AX433" s="112" t="str">
        <f>IF(preDEL!$AG433,IFERROR(0/0,""),preDEL!AX433)</f>
        <v/>
      </c>
      <c r="AY433" s="112" t="str">
        <f>IF(preDEL!$AG433,IFERROR(0/0,""),preDEL!AY433)</f>
        <v/>
      </c>
      <c r="AZ433" s="174"/>
      <c r="BA433" s="174"/>
      <c r="BB433" s="174"/>
      <c r="BC433" s="174"/>
      <c r="BD433" s="174"/>
      <c r="BE433" s="174"/>
      <c r="BF433" s="174"/>
      <c r="BG433" s="174"/>
      <c r="BH433" s="174"/>
      <c r="BI433" s="174"/>
      <c r="BJ433" s="174"/>
      <c r="BK433" s="174"/>
      <c r="BL433" s="174"/>
      <c r="BM433" s="174"/>
      <c r="BN433" s="174"/>
      <c r="BO433" s="174"/>
      <c r="BP433" s="174"/>
      <c r="BQ433" s="174"/>
      <c r="BR433" s="174"/>
      <c r="BS433" s="174"/>
      <c r="BT433" s="174"/>
      <c r="BU433" s="174"/>
      <c r="BV433" s="174"/>
      <c r="BW433" s="174"/>
      <c r="BX433" s="174"/>
      <c r="BY433" s="174"/>
      <c r="BZ433" s="174"/>
      <c r="CA433" s="174"/>
      <c r="CB433" s="174"/>
      <c r="CC433" s="174"/>
      <c r="CD433" s="174"/>
    </row>
    <row r="434">
      <c r="A434" s="105" t="str">
        <f>IF(preDEL!$AG434,IFERROR(0/0,""),preDEL!A434)</f>
        <v>FM57</v>
      </c>
      <c r="B434" s="170">
        <f>IF(preDEL!$AG434,IFERROR(0/0,""),preDEL!B434)</f>
        <v>44609</v>
      </c>
      <c r="C434" s="171">
        <f>IF(preDEL!$AG434,IFERROR(0/0,""),preDEL!C434)</f>
        <v>0.3059953704</v>
      </c>
      <c r="D434" s="105" t="str">
        <f>IF(preDEL!$AG434,IFERROR(0/0,""),preDEL!D434)</f>
        <v/>
      </c>
      <c r="E434" s="105" t="str">
        <f>IF(preDEL!$AG434,IFERROR(0/0,""),preDEL!E434)</f>
        <v/>
      </c>
      <c r="F434" s="112" t="str">
        <f>IF(preDEL!$AG434,IFERROR(0/0,""),preDEL!F434)</f>
        <v/>
      </c>
      <c r="G434" s="112" t="str">
        <f>IF(preDEL!$AG434,IFERROR(0/0,""),preDEL!G434)</f>
        <v/>
      </c>
      <c r="H434" s="112" t="str">
        <f>IF(preDEL!$AG434,IFERROR(0/0,""),preDEL!H434)</f>
        <v/>
      </c>
      <c r="I434" s="105" t="str">
        <f>IF(preDEL!$AG434,IFERROR(0/0,""),preDEL!I434)</f>
        <v/>
      </c>
      <c r="J434" s="105" t="str">
        <f>IF(preDEL!$AG434,IFERROR(0/0,""),preDEL!J434)</f>
        <v/>
      </c>
      <c r="K434" s="105" t="str">
        <f>IF(preDEL!$AG434,IFERROR(0/0,""),preDEL!K434)</f>
        <v>Negative</v>
      </c>
      <c r="L434" s="170">
        <f>IF(preDEL!$AG434,IFERROR(0/0,""),preDEL!L434)</f>
        <v>44611</v>
      </c>
      <c r="M434" s="171">
        <f>IF(preDEL!$AG434,IFERROR(0/0,""),preDEL!M434)</f>
        <v>0.3895717593</v>
      </c>
      <c r="N434" s="112" t="str">
        <f>IF(preDEL!$AG434,IFERROR(0/0,""),preDEL!N434)</f>
        <v/>
      </c>
      <c r="O434" s="112" t="str">
        <f>IF(preDEL!$AG434,IFERROR(0/0,""),preDEL!O434)</f>
        <v/>
      </c>
      <c r="P434" s="110" t="b">
        <f>IF(preDEL!$AG434,IFERROR(0/0,""),preDEL!P434)</f>
        <v>0</v>
      </c>
      <c r="Q434" s="110" t="str">
        <f>IF(preDEL!$AG434,IFERROR(0/0,""),preDEL!Q434)</f>
        <v>Result</v>
      </c>
      <c r="R434" s="104" t="b">
        <f>IF(preDEL!$AG434,IFERROR(0/0,""),preDEL!R434)</f>
        <v>1</v>
      </c>
      <c r="S434" s="104">
        <f>IF(preDEL!$AG434,IFERROR(0/0,""),preDEL!S434)</f>
        <v>1</v>
      </c>
      <c r="T434" s="110" t="str">
        <f>IF(preDEL!$AG434,IFERROR(0/0,""),preDEL!T434)</f>
        <v/>
      </c>
      <c r="U434" s="112" t="str">
        <f>IF(preDEL!$AG434,IFERROR(0/0,""),preDEL!U434)</f>
        <v/>
      </c>
      <c r="V434" s="105" t="str">
        <f>IF(preDEL!$AG434,IFERROR(0/0,""),preDEL!V434)</f>
        <v/>
      </c>
      <c r="W434" s="112" t="str">
        <f>IF(preDEL!$AG434,IFERROR(0/0,""),preDEL!W434)</f>
        <v/>
      </c>
      <c r="X434" s="104" t="b">
        <f>IF(preDEL!$AG434,IFERROR(0/0,""),preDEL!X434)</f>
        <v>0</v>
      </c>
      <c r="Y434" s="110" t="b">
        <f>IF(preDEL!$AG434,IFERROR(0/0,""),preDEL!Y434)</f>
        <v>0</v>
      </c>
      <c r="Z434" s="105" t="str">
        <f>IF(preDEL!$AG434,IFERROR(0/0,""),preDEL!Z434)</f>
        <v/>
      </c>
      <c r="AA434" s="110" t="b">
        <f>IF(preDEL!$AG434,IFERROR(0/0,""),preDEL!AA434)</f>
        <v>0</v>
      </c>
      <c r="AB434" s="110" t="b">
        <f>IF(preDEL!$AG434,IFERROR(0/0,""),preDEL!AB434)</f>
        <v>0</v>
      </c>
      <c r="AC434" s="172">
        <f>IF(preDEL!$AG434,IFERROR(0/0,""),preDEL!AC434)</f>
        <v>374</v>
      </c>
      <c r="AD434" s="104" t="b">
        <f>IF(preDEL!$AG434,IFERROR(0/0,""),preDEL!AD434)</f>
        <v>0</v>
      </c>
      <c r="AE434" s="173" t="str">
        <f>IF(preDEL!$AG434,IFERROR(0/0,""),preDEL!AE434)</f>
        <v/>
      </c>
      <c r="AF434" s="110" t="b">
        <f>IF(preDEL!$AG434,IFERROR(0/0,""),preDEL!AF434)</f>
        <v>0</v>
      </c>
      <c r="AG434" s="110" t="b">
        <f>IF(preDEL!$AG434,IFERROR(0/0,""),preDEL!AG434)</f>
        <v>0</v>
      </c>
      <c r="AH434" s="104" t="str">
        <f>IF(preDEL!$AG434,IFERROR(0/0,""),preDEL!AH434)</f>
        <v/>
      </c>
      <c r="AI434" s="105" t="str">
        <f>IF(preDEL!$AG434,IFERROR(0/0,""),preDEL!AI434)</f>
        <v/>
      </c>
      <c r="AJ434" s="112" t="str">
        <f>IF(preDEL!$AG434,IFERROR(0/0,""),preDEL!AJ434)</f>
        <v/>
      </c>
      <c r="AK434" s="105" t="str">
        <f>IF(preDEL!$AG434,IFERROR(0/0,""),preDEL!AK434)</f>
        <v>Negative</v>
      </c>
      <c r="AL434" s="112" t="str">
        <f>IF(preDEL!$AG434,IFERROR(0/0,""),preDEL!AL434)</f>
        <v/>
      </c>
      <c r="AM434" s="112" t="str">
        <f>IF(preDEL!$AG434,IFERROR(0/0,""),preDEL!AM434)</f>
        <v>SpBEND481988</v>
      </c>
      <c r="AN434" s="112" t="str">
        <f>IF(preDEL!$AG434,IFERROR(0/0,""),preDEL!AN434)</f>
        <v>BEND223874</v>
      </c>
      <c r="AO434" s="112" t="str">
        <f>IF(preDEL!$AG434,IFERROR(0/0,""),preDEL!AO434)</f>
        <v/>
      </c>
      <c r="AP434" s="112" t="str">
        <f>IF(preDEL!$AG434,IFERROR(0/0,""),preDEL!AP434)</f>
        <v/>
      </c>
      <c r="AQ434" s="112" t="str">
        <f>IF(preDEL!$AG434,IFERROR(0/0,""),preDEL!AQ434)</f>
        <v/>
      </c>
      <c r="AR434" s="112" t="str">
        <f>IF(preDEL!$AG434,IFERROR(0/0,""),preDEL!AR434)</f>
        <v/>
      </c>
      <c r="AS434" s="112" t="str">
        <f>IF(preDEL!$AG434,IFERROR(0/0,""),preDEL!AS434)</f>
        <v/>
      </c>
      <c r="AT434" s="112" t="b">
        <f>IF(preDEL!$AG434,IFERROR(0/0,""),preDEL!AT434)</f>
        <v>0</v>
      </c>
      <c r="AU434" s="112" t="str">
        <f>IF(preDEL!$AG434,IFERROR(0/0,""),preDEL!AU434)</f>
        <v/>
      </c>
      <c r="AV434" s="112" t="str">
        <f>IF(preDEL!$AG434,IFERROR(0/0,""),preDEL!AV434)</f>
        <v/>
      </c>
      <c r="AW434" s="112" t="str">
        <f>IF(preDEL!$AG434,IFERROR(0/0,""),preDEL!AW434)</f>
        <v/>
      </c>
      <c r="AX434" s="112" t="str">
        <f>IF(preDEL!$AG434,IFERROR(0/0,""),preDEL!AX434)</f>
        <v/>
      </c>
      <c r="AY434" s="112" t="str">
        <f>IF(preDEL!$AG434,IFERROR(0/0,""),preDEL!AY434)</f>
        <v/>
      </c>
      <c r="AZ434" s="174"/>
      <c r="BA434" s="174"/>
      <c r="BB434" s="174"/>
      <c r="BC434" s="174"/>
      <c r="BD434" s="174"/>
      <c r="BE434" s="174"/>
      <c r="BF434" s="174"/>
      <c r="BG434" s="174"/>
      <c r="BH434" s="174"/>
      <c r="BI434" s="174"/>
      <c r="BJ434" s="174"/>
      <c r="BK434" s="174"/>
      <c r="BL434" s="174"/>
      <c r="BM434" s="174"/>
      <c r="BN434" s="174"/>
      <c r="BO434" s="174"/>
      <c r="BP434" s="174"/>
      <c r="BQ434" s="174"/>
      <c r="BR434" s="174"/>
      <c r="BS434" s="174"/>
      <c r="BT434" s="174"/>
      <c r="BU434" s="174"/>
      <c r="BV434" s="174"/>
      <c r="BW434" s="174"/>
      <c r="BX434" s="174"/>
      <c r="BY434" s="174"/>
      <c r="BZ434" s="174"/>
      <c r="CA434" s="174"/>
      <c r="CB434" s="174"/>
      <c r="CC434" s="174"/>
      <c r="CD434" s="174"/>
    </row>
    <row r="435">
      <c r="A435" s="105" t="str">
        <f>IF(preDEL!$AG435,IFERROR(0/0,""),preDEL!A435)</f>
        <v>FM432</v>
      </c>
      <c r="B435" s="170">
        <f>IF(preDEL!$AG435,IFERROR(0/0,""),preDEL!B435)</f>
        <v>44609</v>
      </c>
      <c r="C435" s="171">
        <f>IF(preDEL!$AG435,IFERROR(0/0,""),preDEL!C435)</f>
        <v>0.3083680556</v>
      </c>
      <c r="D435" s="105" t="str">
        <f>IF(preDEL!$AG435,IFERROR(0/0,""),preDEL!D435)</f>
        <v/>
      </c>
      <c r="E435" s="105" t="str">
        <f>IF(preDEL!$AG435,IFERROR(0/0,""),preDEL!E435)</f>
        <v/>
      </c>
      <c r="F435" s="112" t="str">
        <f>IF(preDEL!$AG435,IFERROR(0/0,""),preDEL!F435)</f>
        <v/>
      </c>
      <c r="G435" s="112" t="str">
        <f>IF(preDEL!$AG435,IFERROR(0/0,""),preDEL!G435)</f>
        <v/>
      </c>
      <c r="H435" s="112" t="str">
        <f>IF(preDEL!$AG435,IFERROR(0/0,""),preDEL!H435)</f>
        <v/>
      </c>
      <c r="I435" s="105" t="str">
        <f>IF(preDEL!$AG435,IFERROR(0/0,""),preDEL!I435)</f>
        <v/>
      </c>
      <c r="J435" s="105" t="str">
        <f>IF(preDEL!$AG435,IFERROR(0/0,""),preDEL!J435)</f>
        <v/>
      </c>
      <c r="K435" s="105" t="str">
        <f>IF(preDEL!$AG435,IFERROR(0/0,""),preDEL!K435)</f>
        <v>Negative</v>
      </c>
      <c r="L435" s="170">
        <f>IF(preDEL!$AG435,IFERROR(0/0,""),preDEL!L435)</f>
        <v>44611</v>
      </c>
      <c r="M435" s="171">
        <f>IF(preDEL!$AG435,IFERROR(0/0,""),preDEL!M435)</f>
        <v>0.3895717593</v>
      </c>
      <c r="N435" s="112" t="str">
        <f>IF(preDEL!$AG435,IFERROR(0/0,""),preDEL!N435)</f>
        <v/>
      </c>
      <c r="O435" s="112" t="str">
        <f>IF(preDEL!$AG435,IFERROR(0/0,""),preDEL!O435)</f>
        <v/>
      </c>
      <c r="P435" s="110" t="b">
        <f>IF(preDEL!$AG435,IFERROR(0/0,""),preDEL!P435)</f>
        <v>0</v>
      </c>
      <c r="Q435" s="110" t="str">
        <f>IF(preDEL!$AG435,IFERROR(0/0,""),preDEL!Q435)</f>
        <v>Result</v>
      </c>
      <c r="R435" s="104" t="b">
        <f>IF(preDEL!$AG435,IFERROR(0/0,""),preDEL!R435)</f>
        <v>1</v>
      </c>
      <c r="S435" s="104">
        <f>IF(preDEL!$AG435,IFERROR(0/0,""),preDEL!S435)</f>
        <v>1</v>
      </c>
      <c r="T435" s="110" t="str">
        <f>IF(preDEL!$AG435,IFERROR(0/0,""),preDEL!T435)</f>
        <v/>
      </c>
      <c r="U435" s="112" t="str">
        <f>IF(preDEL!$AG435,IFERROR(0/0,""),preDEL!U435)</f>
        <v/>
      </c>
      <c r="V435" s="105" t="str">
        <f>IF(preDEL!$AG435,IFERROR(0/0,""),preDEL!V435)</f>
        <v/>
      </c>
      <c r="W435" s="112" t="str">
        <f>IF(preDEL!$AG435,IFERROR(0/0,""),preDEL!W435)</f>
        <v/>
      </c>
      <c r="X435" s="104" t="b">
        <f>IF(preDEL!$AG435,IFERROR(0/0,""),preDEL!X435)</f>
        <v>0</v>
      </c>
      <c r="Y435" s="110" t="b">
        <f>IF(preDEL!$AG435,IFERROR(0/0,""),preDEL!Y435)</f>
        <v>0</v>
      </c>
      <c r="Z435" s="105" t="str">
        <f>IF(preDEL!$AG435,IFERROR(0/0,""),preDEL!Z435)</f>
        <v/>
      </c>
      <c r="AA435" s="110" t="b">
        <f>IF(preDEL!$AG435,IFERROR(0/0,""),preDEL!AA435)</f>
        <v>0</v>
      </c>
      <c r="AB435" s="110" t="b">
        <f>IF(preDEL!$AG435,IFERROR(0/0,""),preDEL!AB435)</f>
        <v>0</v>
      </c>
      <c r="AC435" s="172">
        <f>IF(preDEL!$AG435,IFERROR(0/0,""),preDEL!AC435)</f>
        <v>373</v>
      </c>
      <c r="AD435" s="104" t="b">
        <f>IF(preDEL!$AG435,IFERROR(0/0,""),preDEL!AD435)</f>
        <v>0</v>
      </c>
      <c r="AE435" s="173" t="str">
        <f>IF(preDEL!$AG435,IFERROR(0/0,""),preDEL!AE435)</f>
        <v/>
      </c>
      <c r="AF435" s="110" t="b">
        <f>IF(preDEL!$AG435,IFERROR(0/0,""),preDEL!AF435)</f>
        <v>0</v>
      </c>
      <c r="AG435" s="110" t="b">
        <f>IF(preDEL!$AG435,IFERROR(0/0,""),preDEL!AG435)</f>
        <v>0</v>
      </c>
      <c r="AH435" s="104" t="str">
        <f>IF(preDEL!$AG435,IFERROR(0/0,""),preDEL!AH435)</f>
        <v/>
      </c>
      <c r="AI435" s="105" t="str">
        <f>IF(preDEL!$AG435,IFERROR(0/0,""),preDEL!AI435)</f>
        <v/>
      </c>
      <c r="AJ435" s="112" t="str">
        <f>IF(preDEL!$AG435,IFERROR(0/0,""),preDEL!AJ435)</f>
        <v/>
      </c>
      <c r="AK435" s="105" t="str">
        <f>IF(preDEL!$AG435,IFERROR(0/0,""),preDEL!AK435)</f>
        <v>Negative</v>
      </c>
      <c r="AL435" s="112" t="str">
        <f>IF(preDEL!$AG435,IFERROR(0/0,""),preDEL!AL435)</f>
        <v/>
      </c>
      <c r="AM435" s="112" t="str">
        <f>IF(preDEL!$AG435,IFERROR(0/0,""),preDEL!AM435)</f>
        <v>SpBEND541174</v>
      </c>
      <c r="AN435" s="112" t="str">
        <f>IF(preDEL!$AG435,IFERROR(0/0,""),preDEL!AN435)</f>
        <v>BEND785384</v>
      </c>
      <c r="AO435" s="112" t="str">
        <f>IF(preDEL!$AG435,IFERROR(0/0,""),preDEL!AO435)</f>
        <v/>
      </c>
      <c r="AP435" s="112" t="str">
        <f>IF(preDEL!$AG435,IFERROR(0/0,""),preDEL!AP435)</f>
        <v/>
      </c>
      <c r="AQ435" s="112" t="str">
        <f>IF(preDEL!$AG435,IFERROR(0/0,""),preDEL!AQ435)</f>
        <v/>
      </c>
      <c r="AR435" s="112" t="str">
        <f>IF(preDEL!$AG435,IFERROR(0/0,""),preDEL!AR435)</f>
        <v/>
      </c>
      <c r="AS435" s="112" t="str">
        <f>IF(preDEL!$AG435,IFERROR(0/0,""),preDEL!AS435)</f>
        <v/>
      </c>
      <c r="AT435" s="112" t="b">
        <f>IF(preDEL!$AG435,IFERROR(0/0,""),preDEL!AT435)</f>
        <v>0</v>
      </c>
      <c r="AU435" s="112" t="str">
        <f>IF(preDEL!$AG435,IFERROR(0/0,""),preDEL!AU435)</f>
        <v/>
      </c>
      <c r="AV435" s="112" t="str">
        <f>IF(preDEL!$AG435,IFERROR(0/0,""),preDEL!AV435)</f>
        <v/>
      </c>
      <c r="AW435" s="112" t="str">
        <f>IF(preDEL!$AG435,IFERROR(0/0,""),preDEL!AW435)</f>
        <v/>
      </c>
      <c r="AX435" s="112" t="str">
        <f>IF(preDEL!$AG435,IFERROR(0/0,""),preDEL!AX435)</f>
        <v/>
      </c>
      <c r="AY435" s="112" t="str">
        <f>IF(preDEL!$AG435,IFERROR(0/0,""),preDEL!AY435)</f>
        <v/>
      </c>
      <c r="AZ435" s="174"/>
      <c r="BA435" s="174"/>
      <c r="BB435" s="174"/>
      <c r="BC435" s="174"/>
      <c r="BD435" s="174"/>
      <c r="BE435" s="174"/>
      <c r="BF435" s="174"/>
      <c r="BG435" s="174"/>
      <c r="BH435" s="174"/>
      <c r="BI435" s="174"/>
      <c r="BJ435" s="174"/>
      <c r="BK435" s="174"/>
      <c r="BL435" s="174"/>
      <c r="BM435" s="174"/>
      <c r="BN435" s="174"/>
      <c r="BO435" s="174"/>
      <c r="BP435" s="174"/>
      <c r="BQ435" s="174"/>
      <c r="BR435" s="174"/>
      <c r="BS435" s="174"/>
      <c r="BT435" s="174"/>
      <c r="BU435" s="174"/>
      <c r="BV435" s="174"/>
      <c r="BW435" s="174"/>
      <c r="BX435" s="174"/>
      <c r="BY435" s="174"/>
      <c r="BZ435" s="174"/>
      <c r="CA435" s="174"/>
      <c r="CB435" s="174"/>
      <c r="CC435" s="174"/>
      <c r="CD435" s="174"/>
    </row>
    <row r="436">
      <c r="A436" s="105" t="str">
        <f>IF(preDEL!$AG436,IFERROR(0/0,""),preDEL!A436)</f>
        <v>FM429</v>
      </c>
      <c r="B436" s="170">
        <f>IF(preDEL!$AG436,IFERROR(0/0,""),preDEL!B436)</f>
        <v>44609</v>
      </c>
      <c r="C436" s="171">
        <f>IF(preDEL!$AG436,IFERROR(0/0,""),preDEL!C436)</f>
        <v>0.3095833333</v>
      </c>
      <c r="D436" s="105" t="str">
        <f>IF(preDEL!$AG436,IFERROR(0/0,""),preDEL!D436)</f>
        <v/>
      </c>
      <c r="E436" s="105" t="str">
        <f>IF(preDEL!$AG436,IFERROR(0/0,""),preDEL!E436)</f>
        <v/>
      </c>
      <c r="F436" s="112" t="str">
        <f>IF(preDEL!$AG436,IFERROR(0/0,""),preDEL!F436)</f>
        <v/>
      </c>
      <c r="G436" s="112" t="str">
        <f>IF(preDEL!$AG436,IFERROR(0/0,""),preDEL!G436)</f>
        <v/>
      </c>
      <c r="H436" s="112" t="str">
        <f>IF(preDEL!$AG436,IFERROR(0/0,""),preDEL!H436)</f>
        <v/>
      </c>
      <c r="I436" s="105" t="str">
        <f>IF(preDEL!$AG436,IFERROR(0/0,""),preDEL!I436)</f>
        <v/>
      </c>
      <c r="J436" s="105" t="str">
        <f>IF(preDEL!$AG436,IFERROR(0/0,""),preDEL!J436)</f>
        <v/>
      </c>
      <c r="K436" s="105" t="str">
        <f>IF(preDEL!$AG436,IFERROR(0/0,""),preDEL!K436)</f>
        <v>Negative</v>
      </c>
      <c r="L436" s="170">
        <f>IF(preDEL!$AG436,IFERROR(0/0,""),preDEL!L436)</f>
        <v>44611</v>
      </c>
      <c r="M436" s="171">
        <f>IF(preDEL!$AG436,IFERROR(0/0,""),preDEL!M436)</f>
        <v>0.3895717593</v>
      </c>
      <c r="N436" s="112" t="str">
        <f>IF(preDEL!$AG436,IFERROR(0/0,""),preDEL!N436)</f>
        <v/>
      </c>
      <c r="O436" s="112" t="str">
        <f>IF(preDEL!$AG436,IFERROR(0/0,""),preDEL!O436)</f>
        <v/>
      </c>
      <c r="P436" s="110" t="b">
        <f>IF(preDEL!$AG436,IFERROR(0/0,""),preDEL!P436)</f>
        <v>0</v>
      </c>
      <c r="Q436" s="110" t="str">
        <f>IF(preDEL!$AG436,IFERROR(0/0,""),preDEL!Q436)</f>
        <v>Result</v>
      </c>
      <c r="R436" s="104" t="b">
        <f>IF(preDEL!$AG436,IFERROR(0/0,""),preDEL!R436)</f>
        <v>1</v>
      </c>
      <c r="S436" s="104">
        <f>IF(preDEL!$AG436,IFERROR(0/0,""),preDEL!S436)</f>
        <v>1</v>
      </c>
      <c r="T436" s="110" t="str">
        <f>IF(preDEL!$AG436,IFERROR(0/0,""),preDEL!T436)</f>
        <v/>
      </c>
      <c r="U436" s="112" t="str">
        <f>IF(preDEL!$AG436,IFERROR(0/0,""),preDEL!U436)</f>
        <v/>
      </c>
      <c r="V436" s="105" t="str">
        <f>IF(preDEL!$AG436,IFERROR(0/0,""),preDEL!V436)</f>
        <v/>
      </c>
      <c r="W436" s="112" t="str">
        <f>IF(preDEL!$AG436,IFERROR(0/0,""),preDEL!W436)</f>
        <v/>
      </c>
      <c r="X436" s="104" t="b">
        <f>IF(preDEL!$AG436,IFERROR(0/0,""),preDEL!X436)</f>
        <v>0</v>
      </c>
      <c r="Y436" s="110" t="b">
        <f>IF(preDEL!$AG436,IFERROR(0/0,""),preDEL!Y436)</f>
        <v>0</v>
      </c>
      <c r="Z436" s="105" t="str">
        <f>IF(preDEL!$AG436,IFERROR(0/0,""),preDEL!Z436)</f>
        <v/>
      </c>
      <c r="AA436" s="110" t="b">
        <f>IF(preDEL!$AG436,IFERROR(0/0,""),preDEL!AA436)</f>
        <v>0</v>
      </c>
      <c r="AB436" s="110" t="b">
        <f>IF(preDEL!$AG436,IFERROR(0/0,""),preDEL!AB436)</f>
        <v>0</v>
      </c>
      <c r="AC436" s="172">
        <f>IF(preDEL!$AG436,IFERROR(0/0,""),preDEL!AC436)</f>
        <v>372</v>
      </c>
      <c r="AD436" s="104" t="b">
        <f>IF(preDEL!$AG436,IFERROR(0/0,""),preDEL!AD436)</f>
        <v>0</v>
      </c>
      <c r="AE436" s="173" t="str">
        <f>IF(preDEL!$AG436,IFERROR(0/0,""),preDEL!AE436)</f>
        <v/>
      </c>
      <c r="AF436" s="110" t="b">
        <f>IF(preDEL!$AG436,IFERROR(0/0,""),preDEL!AF436)</f>
        <v>0</v>
      </c>
      <c r="AG436" s="110" t="b">
        <f>IF(preDEL!$AG436,IFERROR(0/0,""),preDEL!AG436)</f>
        <v>0</v>
      </c>
      <c r="AH436" s="104" t="str">
        <f>IF(preDEL!$AG436,IFERROR(0/0,""),preDEL!AH436)</f>
        <v/>
      </c>
      <c r="AI436" s="105" t="str">
        <f>IF(preDEL!$AG436,IFERROR(0/0,""),preDEL!AI436)</f>
        <v/>
      </c>
      <c r="AJ436" s="112" t="str">
        <f>IF(preDEL!$AG436,IFERROR(0/0,""),preDEL!AJ436)</f>
        <v/>
      </c>
      <c r="AK436" s="105" t="str">
        <f>IF(preDEL!$AG436,IFERROR(0/0,""),preDEL!AK436)</f>
        <v>Negative</v>
      </c>
      <c r="AL436" s="112" t="str">
        <f>IF(preDEL!$AG436,IFERROR(0/0,""),preDEL!AL436)</f>
        <v/>
      </c>
      <c r="AM436" s="112" t="str">
        <f>IF(preDEL!$AG436,IFERROR(0/0,""),preDEL!AM436)</f>
        <v>SpBEND292213</v>
      </c>
      <c r="AN436" s="112" t="str">
        <f>IF(preDEL!$AG436,IFERROR(0/0,""),preDEL!AN436)</f>
        <v>BEND121582</v>
      </c>
      <c r="AO436" s="112" t="str">
        <f>IF(preDEL!$AG436,IFERROR(0/0,""),preDEL!AO436)</f>
        <v/>
      </c>
      <c r="AP436" s="112" t="str">
        <f>IF(preDEL!$AG436,IFERROR(0/0,""),preDEL!AP436)</f>
        <v/>
      </c>
      <c r="AQ436" s="112" t="str">
        <f>IF(preDEL!$AG436,IFERROR(0/0,""),preDEL!AQ436)</f>
        <v/>
      </c>
      <c r="AR436" s="112" t="str">
        <f>IF(preDEL!$AG436,IFERROR(0/0,""),preDEL!AR436)</f>
        <v/>
      </c>
      <c r="AS436" s="112" t="str">
        <f>IF(preDEL!$AG436,IFERROR(0/0,""),preDEL!AS436)</f>
        <v/>
      </c>
      <c r="AT436" s="112" t="b">
        <f>IF(preDEL!$AG436,IFERROR(0/0,""),preDEL!AT436)</f>
        <v>0</v>
      </c>
      <c r="AU436" s="112" t="str">
        <f>IF(preDEL!$AG436,IFERROR(0/0,""),preDEL!AU436)</f>
        <v/>
      </c>
      <c r="AV436" s="112" t="str">
        <f>IF(preDEL!$AG436,IFERROR(0/0,""),preDEL!AV436)</f>
        <v/>
      </c>
      <c r="AW436" s="112" t="str">
        <f>IF(preDEL!$AG436,IFERROR(0/0,""),preDEL!AW436)</f>
        <v/>
      </c>
      <c r="AX436" s="112" t="str">
        <f>IF(preDEL!$AG436,IFERROR(0/0,""),preDEL!AX436)</f>
        <v/>
      </c>
      <c r="AY436" s="112" t="str">
        <f>IF(preDEL!$AG436,IFERROR(0/0,""),preDEL!AY436)</f>
        <v/>
      </c>
      <c r="AZ436" s="174"/>
      <c r="BA436" s="174"/>
      <c r="BB436" s="174"/>
      <c r="BC436" s="174"/>
      <c r="BD436" s="174"/>
      <c r="BE436" s="174"/>
      <c r="BF436" s="174"/>
      <c r="BG436" s="174"/>
      <c r="BH436" s="174"/>
      <c r="BI436" s="174"/>
      <c r="BJ436" s="174"/>
      <c r="BK436" s="174"/>
      <c r="BL436" s="174"/>
      <c r="BM436" s="174"/>
      <c r="BN436" s="174"/>
      <c r="BO436" s="174"/>
      <c r="BP436" s="174"/>
      <c r="BQ436" s="174"/>
      <c r="BR436" s="174"/>
      <c r="BS436" s="174"/>
      <c r="BT436" s="174"/>
      <c r="BU436" s="174"/>
      <c r="BV436" s="174"/>
      <c r="BW436" s="174"/>
      <c r="BX436" s="174"/>
      <c r="BY436" s="174"/>
      <c r="BZ436" s="174"/>
      <c r="CA436" s="174"/>
      <c r="CB436" s="174"/>
      <c r="CC436" s="174"/>
      <c r="CD436" s="174"/>
    </row>
    <row r="437">
      <c r="A437" s="105" t="str">
        <f>IF(preDEL!$AG437,IFERROR(0/0,""),preDEL!A437)</f>
        <v>FM443</v>
      </c>
      <c r="B437" s="170">
        <f>IF(preDEL!$AG437,IFERROR(0/0,""),preDEL!B437)</f>
        <v>44609</v>
      </c>
      <c r="C437" s="171">
        <f>IF(preDEL!$AG437,IFERROR(0/0,""),preDEL!C437)</f>
        <v>0.3115625</v>
      </c>
      <c r="D437" s="105" t="str">
        <f>IF(preDEL!$AG437,IFERROR(0/0,""),preDEL!D437)</f>
        <v/>
      </c>
      <c r="E437" s="105" t="str">
        <f>IF(preDEL!$AG437,IFERROR(0/0,""),preDEL!E437)</f>
        <v/>
      </c>
      <c r="F437" s="112" t="str">
        <f>IF(preDEL!$AG437,IFERROR(0/0,""),preDEL!F437)</f>
        <v/>
      </c>
      <c r="G437" s="112" t="str">
        <f>IF(preDEL!$AG437,IFERROR(0/0,""),preDEL!G437)</f>
        <v/>
      </c>
      <c r="H437" s="112" t="str">
        <f>IF(preDEL!$AG437,IFERROR(0/0,""),preDEL!H437)</f>
        <v/>
      </c>
      <c r="I437" s="105" t="str">
        <f>IF(preDEL!$AG437,IFERROR(0/0,""),preDEL!I437)</f>
        <v/>
      </c>
      <c r="J437" s="105" t="str">
        <f>IF(preDEL!$AG437,IFERROR(0/0,""),preDEL!J437)</f>
        <v/>
      </c>
      <c r="K437" s="105" t="str">
        <f>IF(preDEL!$AG437,IFERROR(0/0,""),preDEL!K437)</f>
        <v>Negative</v>
      </c>
      <c r="L437" s="170">
        <f>IF(preDEL!$AG437,IFERROR(0/0,""),preDEL!L437)</f>
        <v>44611</v>
      </c>
      <c r="M437" s="171">
        <f>IF(preDEL!$AG437,IFERROR(0/0,""),preDEL!M437)</f>
        <v>0.3895717593</v>
      </c>
      <c r="N437" s="112" t="str">
        <f>IF(preDEL!$AG437,IFERROR(0/0,""),preDEL!N437)</f>
        <v/>
      </c>
      <c r="O437" s="112" t="str">
        <f>IF(preDEL!$AG437,IFERROR(0/0,""),preDEL!O437)</f>
        <v/>
      </c>
      <c r="P437" s="110" t="b">
        <f>IF(preDEL!$AG437,IFERROR(0/0,""),preDEL!P437)</f>
        <v>0</v>
      </c>
      <c r="Q437" s="110" t="str">
        <f>IF(preDEL!$AG437,IFERROR(0/0,""),preDEL!Q437)</f>
        <v>Result</v>
      </c>
      <c r="R437" s="104" t="b">
        <f>IF(preDEL!$AG437,IFERROR(0/0,""),preDEL!R437)</f>
        <v>1</v>
      </c>
      <c r="S437" s="104">
        <f>IF(preDEL!$AG437,IFERROR(0/0,""),preDEL!S437)</f>
        <v>1</v>
      </c>
      <c r="T437" s="110" t="str">
        <f>IF(preDEL!$AG437,IFERROR(0/0,""),preDEL!T437)</f>
        <v/>
      </c>
      <c r="U437" s="112" t="str">
        <f>IF(preDEL!$AG437,IFERROR(0/0,""),preDEL!U437)</f>
        <v/>
      </c>
      <c r="V437" s="105" t="str">
        <f>IF(preDEL!$AG437,IFERROR(0/0,""),preDEL!V437)</f>
        <v/>
      </c>
      <c r="W437" s="112" t="str">
        <f>IF(preDEL!$AG437,IFERROR(0/0,""),preDEL!W437)</f>
        <v/>
      </c>
      <c r="X437" s="104" t="b">
        <f>IF(preDEL!$AG437,IFERROR(0/0,""),preDEL!X437)</f>
        <v>0</v>
      </c>
      <c r="Y437" s="110" t="b">
        <f>IF(preDEL!$AG437,IFERROR(0/0,""),preDEL!Y437)</f>
        <v>0</v>
      </c>
      <c r="Z437" s="105" t="str">
        <f>IF(preDEL!$AG437,IFERROR(0/0,""),preDEL!Z437)</f>
        <v/>
      </c>
      <c r="AA437" s="110" t="b">
        <f>IF(preDEL!$AG437,IFERROR(0/0,""),preDEL!AA437)</f>
        <v>0</v>
      </c>
      <c r="AB437" s="110" t="b">
        <f>IF(preDEL!$AG437,IFERROR(0/0,""),preDEL!AB437)</f>
        <v>0</v>
      </c>
      <c r="AC437" s="172">
        <f>IF(preDEL!$AG437,IFERROR(0/0,""),preDEL!AC437)</f>
        <v>371</v>
      </c>
      <c r="AD437" s="104" t="b">
        <f>IF(preDEL!$AG437,IFERROR(0/0,""),preDEL!AD437)</f>
        <v>0</v>
      </c>
      <c r="AE437" s="173" t="str">
        <f>IF(preDEL!$AG437,IFERROR(0/0,""),preDEL!AE437)</f>
        <v/>
      </c>
      <c r="AF437" s="110" t="b">
        <f>IF(preDEL!$AG437,IFERROR(0/0,""),preDEL!AF437)</f>
        <v>0</v>
      </c>
      <c r="AG437" s="110" t="b">
        <f>IF(preDEL!$AG437,IFERROR(0/0,""),preDEL!AG437)</f>
        <v>0</v>
      </c>
      <c r="AH437" s="104" t="str">
        <f>IF(preDEL!$AG437,IFERROR(0/0,""),preDEL!AH437)</f>
        <v/>
      </c>
      <c r="AI437" s="105" t="str">
        <f>IF(preDEL!$AG437,IFERROR(0/0,""),preDEL!AI437)</f>
        <v/>
      </c>
      <c r="AJ437" s="112" t="str">
        <f>IF(preDEL!$AG437,IFERROR(0/0,""),preDEL!AJ437)</f>
        <v/>
      </c>
      <c r="AK437" s="105" t="str">
        <f>IF(preDEL!$AG437,IFERROR(0/0,""),preDEL!AK437)</f>
        <v>Negative</v>
      </c>
      <c r="AL437" s="112" t="str">
        <f>IF(preDEL!$AG437,IFERROR(0/0,""),preDEL!AL437)</f>
        <v/>
      </c>
      <c r="AM437" s="112" t="str">
        <f>IF(preDEL!$AG437,IFERROR(0/0,""),preDEL!AM437)</f>
        <v>SpBEND953422</v>
      </c>
      <c r="AN437" s="112" t="str">
        <f>IF(preDEL!$AG437,IFERROR(0/0,""),preDEL!AN437)</f>
        <v>BEND782925</v>
      </c>
      <c r="AO437" s="112" t="str">
        <f>IF(preDEL!$AG437,IFERROR(0/0,""),preDEL!AO437)</f>
        <v/>
      </c>
      <c r="AP437" s="112" t="str">
        <f>IF(preDEL!$AG437,IFERROR(0/0,""),preDEL!AP437)</f>
        <v/>
      </c>
      <c r="AQ437" s="112" t="str">
        <f>IF(preDEL!$AG437,IFERROR(0/0,""),preDEL!AQ437)</f>
        <v/>
      </c>
      <c r="AR437" s="112" t="str">
        <f>IF(preDEL!$AG437,IFERROR(0/0,""),preDEL!AR437)</f>
        <v/>
      </c>
      <c r="AS437" s="112" t="str">
        <f>IF(preDEL!$AG437,IFERROR(0/0,""),preDEL!AS437)</f>
        <v/>
      </c>
      <c r="AT437" s="112" t="b">
        <f>IF(preDEL!$AG437,IFERROR(0/0,""),preDEL!AT437)</f>
        <v>0</v>
      </c>
      <c r="AU437" s="112" t="str">
        <f>IF(preDEL!$AG437,IFERROR(0/0,""),preDEL!AU437)</f>
        <v/>
      </c>
      <c r="AV437" s="112" t="str">
        <f>IF(preDEL!$AG437,IFERROR(0/0,""),preDEL!AV437)</f>
        <v/>
      </c>
      <c r="AW437" s="112" t="str">
        <f>IF(preDEL!$AG437,IFERROR(0/0,""),preDEL!AW437)</f>
        <v/>
      </c>
      <c r="AX437" s="112" t="str">
        <f>IF(preDEL!$AG437,IFERROR(0/0,""),preDEL!AX437)</f>
        <v/>
      </c>
      <c r="AY437" s="112" t="str">
        <f>IF(preDEL!$AG437,IFERROR(0/0,""),preDEL!AY437)</f>
        <v/>
      </c>
      <c r="AZ437" s="174"/>
      <c r="BA437" s="174"/>
      <c r="BB437" s="174"/>
      <c r="BC437" s="174"/>
      <c r="BD437" s="174"/>
      <c r="BE437" s="174"/>
      <c r="BF437" s="174"/>
      <c r="BG437" s="174"/>
      <c r="BH437" s="174"/>
      <c r="BI437" s="174"/>
      <c r="BJ437" s="174"/>
      <c r="BK437" s="174"/>
      <c r="BL437" s="174"/>
      <c r="BM437" s="174"/>
      <c r="BN437" s="174"/>
      <c r="BO437" s="174"/>
      <c r="BP437" s="174"/>
      <c r="BQ437" s="174"/>
      <c r="BR437" s="174"/>
      <c r="BS437" s="174"/>
      <c r="BT437" s="174"/>
      <c r="BU437" s="174"/>
      <c r="BV437" s="174"/>
      <c r="BW437" s="174"/>
      <c r="BX437" s="174"/>
      <c r="BY437" s="174"/>
      <c r="BZ437" s="174"/>
      <c r="CA437" s="174"/>
      <c r="CB437" s="174"/>
      <c r="CC437" s="174"/>
      <c r="CD437" s="174"/>
    </row>
    <row r="438">
      <c r="A438" s="105" t="str">
        <f>IF(preDEL!$AG438,IFERROR(0/0,""),preDEL!A438)</f>
        <v>FM9</v>
      </c>
      <c r="B438" s="170">
        <f>IF(preDEL!$AG438,IFERROR(0/0,""),preDEL!B438)</f>
        <v>44609</v>
      </c>
      <c r="C438" s="171">
        <f>IF(preDEL!$AG438,IFERROR(0/0,""),preDEL!C438)</f>
        <v>0.3116898148</v>
      </c>
      <c r="D438" s="105" t="str">
        <f>IF(preDEL!$AG438,IFERROR(0/0,""),preDEL!D438)</f>
        <v/>
      </c>
      <c r="E438" s="105" t="str">
        <f>IF(preDEL!$AG438,IFERROR(0/0,""),preDEL!E438)</f>
        <v/>
      </c>
      <c r="F438" s="112" t="str">
        <f>IF(preDEL!$AG438,IFERROR(0/0,""),preDEL!F438)</f>
        <v/>
      </c>
      <c r="G438" s="112" t="str">
        <f>IF(preDEL!$AG438,IFERROR(0/0,""),preDEL!G438)</f>
        <v/>
      </c>
      <c r="H438" s="112" t="str">
        <f>IF(preDEL!$AG438,IFERROR(0/0,""),preDEL!H438)</f>
        <v/>
      </c>
      <c r="I438" s="105" t="str">
        <f>IF(preDEL!$AG438,IFERROR(0/0,""),preDEL!I438)</f>
        <v/>
      </c>
      <c r="J438" s="105" t="str">
        <f>IF(preDEL!$AG438,IFERROR(0/0,""),preDEL!J438)</f>
        <v/>
      </c>
      <c r="K438" s="105" t="str">
        <f>IF(preDEL!$AG438,IFERROR(0/0,""),preDEL!K438)</f>
        <v>Negative</v>
      </c>
      <c r="L438" s="170">
        <f>IF(preDEL!$AG438,IFERROR(0/0,""),preDEL!L438)</f>
        <v>44611</v>
      </c>
      <c r="M438" s="171">
        <f>IF(preDEL!$AG438,IFERROR(0/0,""),preDEL!M438)</f>
        <v>0.3895717593</v>
      </c>
      <c r="N438" s="112" t="str">
        <f>IF(preDEL!$AG438,IFERROR(0/0,""),preDEL!N438)</f>
        <v/>
      </c>
      <c r="O438" s="112" t="str">
        <f>IF(preDEL!$AG438,IFERROR(0/0,""),preDEL!O438)</f>
        <v/>
      </c>
      <c r="P438" s="110" t="b">
        <f>IF(preDEL!$AG438,IFERROR(0/0,""),preDEL!P438)</f>
        <v>0</v>
      </c>
      <c r="Q438" s="110" t="str">
        <f>IF(preDEL!$AG438,IFERROR(0/0,""),preDEL!Q438)</f>
        <v>Result</v>
      </c>
      <c r="R438" s="104" t="b">
        <f>IF(preDEL!$AG438,IFERROR(0/0,""),preDEL!R438)</f>
        <v>1</v>
      </c>
      <c r="S438" s="104">
        <f>IF(preDEL!$AG438,IFERROR(0/0,""),preDEL!S438)</f>
        <v>1</v>
      </c>
      <c r="T438" s="110" t="str">
        <f>IF(preDEL!$AG438,IFERROR(0/0,""),preDEL!T438)</f>
        <v/>
      </c>
      <c r="U438" s="112" t="str">
        <f>IF(preDEL!$AG438,IFERROR(0/0,""),preDEL!U438)</f>
        <v/>
      </c>
      <c r="V438" s="105" t="str">
        <f>IF(preDEL!$AG438,IFERROR(0/0,""),preDEL!V438)</f>
        <v/>
      </c>
      <c r="W438" s="112" t="str">
        <f>IF(preDEL!$AG438,IFERROR(0/0,""),preDEL!W438)</f>
        <v/>
      </c>
      <c r="X438" s="104" t="b">
        <f>IF(preDEL!$AG438,IFERROR(0/0,""),preDEL!X438)</f>
        <v>0</v>
      </c>
      <c r="Y438" s="110" t="b">
        <f>IF(preDEL!$AG438,IFERROR(0/0,""),preDEL!Y438)</f>
        <v>0</v>
      </c>
      <c r="Z438" s="105" t="str">
        <f>IF(preDEL!$AG438,IFERROR(0/0,""),preDEL!Z438)</f>
        <v/>
      </c>
      <c r="AA438" s="110" t="b">
        <f>IF(preDEL!$AG438,IFERROR(0/0,""),preDEL!AA438)</f>
        <v>0</v>
      </c>
      <c r="AB438" s="110" t="b">
        <f>IF(preDEL!$AG438,IFERROR(0/0,""),preDEL!AB438)</f>
        <v>0</v>
      </c>
      <c r="AC438" s="172">
        <f>IF(preDEL!$AG438,IFERROR(0/0,""),preDEL!AC438)</f>
        <v>370</v>
      </c>
      <c r="AD438" s="104" t="b">
        <f>IF(preDEL!$AG438,IFERROR(0/0,""),preDEL!AD438)</f>
        <v>0</v>
      </c>
      <c r="AE438" s="173" t="str">
        <f>IF(preDEL!$AG438,IFERROR(0/0,""),preDEL!AE438)</f>
        <v/>
      </c>
      <c r="AF438" s="110" t="b">
        <f>IF(preDEL!$AG438,IFERROR(0/0,""),preDEL!AF438)</f>
        <v>0</v>
      </c>
      <c r="AG438" s="110" t="b">
        <f>IF(preDEL!$AG438,IFERROR(0/0,""),preDEL!AG438)</f>
        <v>0</v>
      </c>
      <c r="AH438" s="104" t="str">
        <f>IF(preDEL!$AG438,IFERROR(0/0,""),preDEL!AH438)</f>
        <v/>
      </c>
      <c r="AI438" s="105" t="str">
        <f>IF(preDEL!$AG438,IFERROR(0/0,""),preDEL!AI438)</f>
        <v/>
      </c>
      <c r="AJ438" s="112" t="str">
        <f>IF(preDEL!$AG438,IFERROR(0/0,""),preDEL!AJ438)</f>
        <v/>
      </c>
      <c r="AK438" s="105" t="str">
        <f>IF(preDEL!$AG438,IFERROR(0/0,""),preDEL!AK438)</f>
        <v>Negative</v>
      </c>
      <c r="AL438" s="112" t="str">
        <f>IF(preDEL!$AG438,IFERROR(0/0,""),preDEL!AL438)</f>
        <v/>
      </c>
      <c r="AM438" s="112" t="str">
        <f>IF(preDEL!$AG438,IFERROR(0/0,""),preDEL!AM438)</f>
        <v>SpBEND842248</v>
      </c>
      <c r="AN438" s="112" t="str">
        <f>IF(preDEL!$AG438,IFERROR(0/0,""),preDEL!AN438)</f>
        <v>BEND296589</v>
      </c>
      <c r="AO438" s="112" t="str">
        <f>IF(preDEL!$AG438,IFERROR(0/0,""),preDEL!AO438)</f>
        <v/>
      </c>
      <c r="AP438" s="112" t="str">
        <f>IF(preDEL!$AG438,IFERROR(0/0,""),preDEL!AP438)</f>
        <v/>
      </c>
      <c r="AQ438" s="112" t="str">
        <f>IF(preDEL!$AG438,IFERROR(0/0,""),preDEL!AQ438)</f>
        <v/>
      </c>
      <c r="AR438" s="112" t="str">
        <f>IF(preDEL!$AG438,IFERROR(0/0,""),preDEL!AR438)</f>
        <v/>
      </c>
      <c r="AS438" s="112" t="str">
        <f>IF(preDEL!$AG438,IFERROR(0/0,""),preDEL!AS438)</f>
        <v/>
      </c>
      <c r="AT438" s="112" t="b">
        <f>IF(preDEL!$AG438,IFERROR(0/0,""),preDEL!AT438)</f>
        <v>0</v>
      </c>
      <c r="AU438" s="112" t="str">
        <f>IF(preDEL!$AG438,IFERROR(0/0,""),preDEL!AU438)</f>
        <v/>
      </c>
      <c r="AV438" s="112" t="str">
        <f>IF(preDEL!$AG438,IFERROR(0/0,""),preDEL!AV438)</f>
        <v/>
      </c>
      <c r="AW438" s="112" t="str">
        <f>IF(preDEL!$AG438,IFERROR(0/0,""),preDEL!AW438)</f>
        <v/>
      </c>
      <c r="AX438" s="112" t="str">
        <f>IF(preDEL!$AG438,IFERROR(0/0,""),preDEL!AX438)</f>
        <v/>
      </c>
      <c r="AY438" s="112" t="str">
        <f>IF(preDEL!$AG438,IFERROR(0/0,""),preDEL!AY438)</f>
        <v/>
      </c>
      <c r="AZ438" s="174"/>
      <c r="BA438" s="174"/>
      <c r="BB438" s="174"/>
      <c r="BC438" s="174"/>
      <c r="BD438" s="174"/>
      <c r="BE438" s="174"/>
      <c r="BF438" s="174"/>
      <c r="BG438" s="174"/>
      <c r="BH438" s="174"/>
      <c r="BI438" s="174"/>
      <c r="BJ438" s="174"/>
      <c r="BK438" s="174"/>
      <c r="BL438" s="174"/>
      <c r="BM438" s="174"/>
      <c r="BN438" s="174"/>
      <c r="BO438" s="174"/>
      <c r="BP438" s="174"/>
      <c r="BQ438" s="174"/>
      <c r="BR438" s="174"/>
      <c r="BS438" s="174"/>
      <c r="BT438" s="174"/>
      <c r="BU438" s="174"/>
      <c r="BV438" s="174"/>
      <c r="BW438" s="174"/>
      <c r="BX438" s="174"/>
      <c r="BY438" s="174"/>
      <c r="BZ438" s="174"/>
      <c r="CA438" s="174"/>
      <c r="CB438" s="174"/>
      <c r="CC438" s="174"/>
      <c r="CD438" s="174"/>
    </row>
    <row r="439">
      <c r="A439" s="105" t="str">
        <f>IF(preDEL!$AG439,IFERROR(0/0,""),preDEL!A439)</f>
        <v>MA182</v>
      </c>
      <c r="B439" s="170">
        <f>IF(preDEL!$AG439,IFERROR(0/0,""),preDEL!B439)</f>
        <v>44609</v>
      </c>
      <c r="C439" s="171">
        <f>IF(preDEL!$AG439,IFERROR(0/0,""),preDEL!C439)</f>
        <v>0.3155902778</v>
      </c>
      <c r="D439" s="105" t="str">
        <f>IF(preDEL!$AG439,IFERROR(0/0,""),preDEL!D439)</f>
        <v/>
      </c>
      <c r="E439" s="105" t="str">
        <f>IF(preDEL!$AG439,IFERROR(0/0,""),preDEL!E439)</f>
        <v/>
      </c>
      <c r="F439" s="112" t="str">
        <f>IF(preDEL!$AG439,IFERROR(0/0,""),preDEL!F439)</f>
        <v/>
      </c>
      <c r="G439" s="112" t="str">
        <f>IF(preDEL!$AG439,IFERROR(0/0,""),preDEL!G439)</f>
        <v/>
      </c>
      <c r="H439" s="112" t="str">
        <f>IF(preDEL!$AG439,IFERROR(0/0,""),preDEL!H439)</f>
        <v/>
      </c>
      <c r="I439" s="105" t="str">
        <f>IF(preDEL!$AG439,IFERROR(0/0,""),preDEL!I439)</f>
        <v/>
      </c>
      <c r="J439" s="105" t="str">
        <f>IF(preDEL!$AG439,IFERROR(0/0,""),preDEL!J439)</f>
        <v/>
      </c>
      <c r="K439" s="105" t="str">
        <f>IF(preDEL!$AG439,IFERROR(0/0,""),preDEL!K439)</f>
        <v>Negative</v>
      </c>
      <c r="L439" s="170">
        <f>IF(preDEL!$AG439,IFERROR(0/0,""),preDEL!L439)</f>
        <v>44611</v>
      </c>
      <c r="M439" s="171">
        <f>IF(preDEL!$AG439,IFERROR(0/0,""),preDEL!M439)</f>
        <v>0.3895717593</v>
      </c>
      <c r="N439" s="112" t="str">
        <f>IF(preDEL!$AG439,IFERROR(0/0,""),preDEL!N439)</f>
        <v/>
      </c>
      <c r="O439" s="112" t="str">
        <f>IF(preDEL!$AG439,IFERROR(0/0,""),preDEL!O439)</f>
        <v/>
      </c>
      <c r="P439" s="110" t="b">
        <f>IF(preDEL!$AG439,IFERROR(0/0,""),preDEL!P439)</f>
        <v>0</v>
      </c>
      <c r="Q439" s="110" t="str">
        <f>IF(preDEL!$AG439,IFERROR(0/0,""),preDEL!Q439)</f>
        <v>Result</v>
      </c>
      <c r="R439" s="104" t="b">
        <f>IF(preDEL!$AG439,IFERROR(0/0,""),preDEL!R439)</f>
        <v>1</v>
      </c>
      <c r="S439" s="104">
        <f>IF(preDEL!$AG439,IFERROR(0/0,""),preDEL!S439)</f>
        <v>1</v>
      </c>
      <c r="T439" s="110" t="str">
        <f>IF(preDEL!$AG439,IFERROR(0/0,""),preDEL!T439)</f>
        <v/>
      </c>
      <c r="U439" s="112" t="str">
        <f>IF(preDEL!$AG439,IFERROR(0/0,""),preDEL!U439)</f>
        <v/>
      </c>
      <c r="V439" s="105" t="str">
        <f>IF(preDEL!$AG439,IFERROR(0/0,""),preDEL!V439)</f>
        <v/>
      </c>
      <c r="W439" s="112" t="str">
        <f>IF(preDEL!$AG439,IFERROR(0/0,""),preDEL!W439)</f>
        <v/>
      </c>
      <c r="X439" s="104" t="b">
        <f>IF(preDEL!$AG439,IFERROR(0/0,""),preDEL!X439)</f>
        <v>0</v>
      </c>
      <c r="Y439" s="110" t="b">
        <f>IF(preDEL!$AG439,IFERROR(0/0,""),preDEL!Y439)</f>
        <v>0</v>
      </c>
      <c r="Z439" s="105" t="str">
        <f>IF(preDEL!$AG439,IFERROR(0/0,""),preDEL!Z439)</f>
        <v/>
      </c>
      <c r="AA439" s="110" t="b">
        <f>IF(preDEL!$AG439,IFERROR(0/0,""),preDEL!AA439)</f>
        <v>0</v>
      </c>
      <c r="AB439" s="110" t="b">
        <f>IF(preDEL!$AG439,IFERROR(0/0,""),preDEL!AB439)</f>
        <v>0</v>
      </c>
      <c r="AC439" s="172">
        <f>IF(preDEL!$AG439,IFERROR(0/0,""),preDEL!AC439)</f>
        <v>369</v>
      </c>
      <c r="AD439" s="104" t="b">
        <f>IF(preDEL!$AG439,IFERROR(0/0,""),preDEL!AD439)</f>
        <v>0</v>
      </c>
      <c r="AE439" s="173" t="str">
        <f>IF(preDEL!$AG439,IFERROR(0/0,""),preDEL!AE439)</f>
        <v/>
      </c>
      <c r="AF439" s="110" t="b">
        <f>IF(preDEL!$AG439,IFERROR(0/0,""),preDEL!AF439)</f>
        <v>0</v>
      </c>
      <c r="AG439" s="110" t="b">
        <f>IF(preDEL!$AG439,IFERROR(0/0,""),preDEL!AG439)</f>
        <v>0</v>
      </c>
      <c r="AH439" s="104" t="str">
        <f>IF(preDEL!$AG439,IFERROR(0/0,""),preDEL!AH439)</f>
        <v/>
      </c>
      <c r="AI439" s="105" t="str">
        <f>IF(preDEL!$AG439,IFERROR(0/0,""),preDEL!AI439)</f>
        <v/>
      </c>
      <c r="AJ439" s="112" t="str">
        <f>IF(preDEL!$AG439,IFERROR(0/0,""),preDEL!AJ439)</f>
        <v/>
      </c>
      <c r="AK439" s="105" t="str">
        <f>IF(preDEL!$AG439,IFERROR(0/0,""),preDEL!AK439)</f>
        <v>Negative</v>
      </c>
      <c r="AL439" s="112" t="str">
        <f>IF(preDEL!$AG439,IFERROR(0/0,""),preDEL!AL439)</f>
        <v/>
      </c>
      <c r="AM439" s="112" t="str">
        <f>IF(preDEL!$AG439,IFERROR(0/0,""),preDEL!AM439)</f>
        <v>SpBEND584950</v>
      </c>
      <c r="AN439" s="112" t="str">
        <f>IF(preDEL!$AG439,IFERROR(0/0,""),preDEL!AN439)</f>
        <v>BEND749260</v>
      </c>
      <c r="AO439" s="112" t="str">
        <f>IF(preDEL!$AG439,IFERROR(0/0,""),preDEL!AO439)</f>
        <v/>
      </c>
      <c r="AP439" s="112" t="str">
        <f>IF(preDEL!$AG439,IFERROR(0/0,""),preDEL!AP439)</f>
        <v/>
      </c>
      <c r="AQ439" s="112" t="str">
        <f>IF(preDEL!$AG439,IFERROR(0/0,""),preDEL!AQ439)</f>
        <v/>
      </c>
      <c r="AR439" s="112" t="str">
        <f>IF(preDEL!$AG439,IFERROR(0/0,""),preDEL!AR439)</f>
        <v/>
      </c>
      <c r="AS439" s="112" t="str">
        <f>IF(preDEL!$AG439,IFERROR(0/0,""),preDEL!AS439)</f>
        <v/>
      </c>
      <c r="AT439" s="112" t="b">
        <f>IF(preDEL!$AG439,IFERROR(0/0,""),preDEL!AT439)</f>
        <v>0</v>
      </c>
      <c r="AU439" s="112" t="str">
        <f>IF(preDEL!$AG439,IFERROR(0/0,""),preDEL!AU439)</f>
        <v/>
      </c>
      <c r="AV439" s="112" t="str">
        <f>IF(preDEL!$AG439,IFERROR(0/0,""),preDEL!AV439)</f>
        <v/>
      </c>
      <c r="AW439" s="112" t="str">
        <f>IF(preDEL!$AG439,IFERROR(0/0,""),preDEL!AW439)</f>
        <v/>
      </c>
      <c r="AX439" s="112" t="str">
        <f>IF(preDEL!$AG439,IFERROR(0/0,""),preDEL!AX439)</f>
        <v/>
      </c>
      <c r="AY439" s="112" t="str">
        <f>IF(preDEL!$AG439,IFERROR(0/0,""),preDEL!AY439)</f>
        <v/>
      </c>
      <c r="AZ439" s="174"/>
      <c r="BA439" s="174"/>
      <c r="BB439" s="174"/>
      <c r="BC439" s="174"/>
      <c r="BD439" s="174"/>
      <c r="BE439" s="174"/>
      <c r="BF439" s="174"/>
      <c r="BG439" s="174"/>
      <c r="BH439" s="174"/>
      <c r="BI439" s="174"/>
      <c r="BJ439" s="174"/>
      <c r="BK439" s="174"/>
      <c r="BL439" s="174"/>
      <c r="BM439" s="174"/>
      <c r="BN439" s="174"/>
      <c r="BO439" s="174"/>
      <c r="BP439" s="174"/>
      <c r="BQ439" s="174"/>
      <c r="BR439" s="174"/>
      <c r="BS439" s="174"/>
      <c r="BT439" s="174"/>
      <c r="BU439" s="174"/>
      <c r="BV439" s="174"/>
      <c r="BW439" s="174"/>
      <c r="BX439" s="174"/>
      <c r="BY439" s="174"/>
      <c r="BZ439" s="174"/>
      <c r="CA439" s="174"/>
      <c r="CB439" s="174"/>
      <c r="CC439" s="174"/>
      <c r="CD439" s="174"/>
    </row>
    <row r="440">
      <c r="A440" s="105" t="str">
        <f>IF(preDEL!$AG440,IFERROR(0/0,""),preDEL!A440)</f>
        <v>MA206</v>
      </c>
      <c r="B440" s="170">
        <f>IF(preDEL!$AG440,IFERROR(0/0,""),preDEL!B440)</f>
        <v>44609</v>
      </c>
      <c r="C440" s="171">
        <f>IF(preDEL!$AG440,IFERROR(0/0,""),preDEL!C440)</f>
        <v>0.3156365741</v>
      </c>
      <c r="D440" s="105" t="str">
        <f>IF(preDEL!$AG440,IFERROR(0/0,""),preDEL!D440)</f>
        <v/>
      </c>
      <c r="E440" s="105" t="str">
        <f>IF(preDEL!$AG440,IFERROR(0/0,""),preDEL!E440)</f>
        <v/>
      </c>
      <c r="F440" s="112" t="str">
        <f>IF(preDEL!$AG440,IFERROR(0/0,""),preDEL!F440)</f>
        <v/>
      </c>
      <c r="G440" s="112" t="str">
        <f>IF(preDEL!$AG440,IFERROR(0/0,""),preDEL!G440)</f>
        <v/>
      </c>
      <c r="H440" s="112" t="str">
        <f>IF(preDEL!$AG440,IFERROR(0/0,""),preDEL!H440)</f>
        <v/>
      </c>
      <c r="I440" s="105" t="str">
        <f>IF(preDEL!$AG440,IFERROR(0/0,""),preDEL!I440)</f>
        <v/>
      </c>
      <c r="J440" s="105" t="str">
        <f>IF(preDEL!$AG440,IFERROR(0/0,""),preDEL!J440)</f>
        <v/>
      </c>
      <c r="K440" s="105" t="str">
        <f>IF(preDEL!$AG440,IFERROR(0/0,""),preDEL!K440)</f>
        <v>Negative</v>
      </c>
      <c r="L440" s="170">
        <f>IF(preDEL!$AG440,IFERROR(0/0,""),preDEL!L440)</f>
        <v>44611</v>
      </c>
      <c r="M440" s="171">
        <f>IF(preDEL!$AG440,IFERROR(0/0,""),preDEL!M440)</f>
        <v>0.3895717593</v>
      </c>
      <c r="N440" s="112" t="str">
        <f>IF(preDEL!$AG440,IFERROR(0/0,""),preDEL!N440)</f>
        <v/>
      </c>
      <c r="O440" s="112" t="str">
        <f>IF(preDEL!$AG440,IFERROR(0/0,""),preDEL!O440)</f>
        <v/>
      </c>
      <c r="P440" s="110" t="b">
        <f>IF(preDEL!$AG440,IFERROR(0/0,""),preDEL!P440)</f>
        <v>0</v>
      </c>
      <c r="Q440" s="110" t="str">
        <f>IF(preDEL!$AG440,IFERROR(0/0,""),preDEL!Q440)</f>
        <v>Result</v>
      </c>
      <c r="R440" s="104" t="b">
        <f>IF(preDEL!$AG440,IFERROR(0/0,""),preDEL!R440)</f>
        <v>1</v>
      </c>
      <c r="S440" s="104">
        <f>IF(preDEL!$AG440,IFERROR(0/0,""),preDEL!S440)</f>
        <v>1</v>
      </c>
      <c r="T440" s="110" t="str">
        <f>IF(preDEL!$AG440,IFERROR(0/0,""),preDEL!T440)</f>
        <v/>
      </c>
      <c r="U440" s="112" t="str">
        <f>IF(preDEL!$AG440,IFERROR(0/0,""),preDEL!U440)</f>
        <v/>
      </c>
      <c r="V440" s="105" t="str">
        <f>IF(preDEL!$AG440,IFERROR(0/0,""),preDEL!V440)</f>
        <v/>
      </c>
      <c r="W440" s="112" t="str">
        <f>IF(preDEL!$AG440,IFERROR(0/0,""),preDEL!W440)</f>
        <v/>
      </c>
      <c r="X440" s="104" t="b">
        <f>IF(preDEL!$AG440,IFERROR(0/0,""),preDEL!X440)</f>
        <v>0</v>
      </c>
      <c r="Y440" s="110" t="b">
        <f>IF(preDEL!$AG440,IFERROR(0/0,""),preDEL!Y440)</f>
        <v>0</v>
      </c>
      <c r="Z440" s="105" t="str">
        <f>IF(preDEL!$AG440,IFERROR(0/0,""),preDEL!Z440)</f>
        <v/>
      </c>
      <c r="AA440" s="110" t="b">
        <f>IF(preDEL!$AG440,IFERROR(0/0,""),preDEL!AA440)</f>
        <v>0</v>
      </c>
      <c r="AB440" s="110" t="b">
        <f>IF(preDEL!$AG440,IFERROR(0/0,""),preDEL!AB440)</f>
        <v>0</v>
      </c>
      <c r="AC440" s="172">
        <f>IF(preDEL!$AG440,IFERROR(0/0,""),preDEL!AC440)</f>
        <v>368</v>
      </c>
      <c r="AD440" s="104" t="b">
        <f>IF(preDEL!$AG440,IFERROR(0/0,""),preDEL!AD440)</f>
        <v>0</v>
      </c>
      <c r="AE440" s="173" t="str">
        <f>IF(preDEL!$AG440,IFERROR(0/0,""),preDEL!AE440)</f>
        <v/>
      </c>
      <c r="AF440" s="110" t="b">
        <f>IF(preDEL!$AG440,IFERROR(0/0,""),preDEL!AF440)</f>
        <v>0</v>
      </c>
      <c r="AG440" s="110" t="b">
        <f>IF(preDEL!$AG440,IFERROR(0/0,""),preDEL!AG440)</f>
        <v>0</v>
      </c>
      <c r="AH440" s="104" t="str">
        <f>IF(preDEL!$AG440,IFERROR(0/0,""),preDEL!AH440)</f>
        <v/>
      </c>
      <c r="AI440" s="105" t="str">
        <f>IF(preDEL!$AG440,IFERROR(0/0,""),preDEL!AI440)</f>
        <v/>
      </c>
      <c r="AJ440" s="112" t="str">
        <f>IF(preDEL!$AG440,IFERROR(0/0,""),preDEL!AJ440)</f>
        <v/>
      </c>
      <c r="AK440" s="105" t="str">
        <f>IF(preDEL!$AG440,IFERROR(0/0,""),preDEL!AK440)</f>
        <v>Negative</v>
      </c>
      <c r="AL440" s="112" t="str">
        <f>IF(preDEL!$AG440,IFERROR(0/0,""),preDEL!AL440)</f>
        <v/>
      </c>
      <c r="AM440" s="112" t="str">
        <f>IF(preDEL!$AG440,IFERROR(0/0,""),preDEL!AM440)</f>
        <v>SpBEND492052</v>
      </c>
      <c r="AN440" s="112" t="str">
        <f>IF(preDEL!$AG440,IFERROR(0/0,""),preDEL!AN440)</f>
        <v>BEND350325</v>
      </c>
      <c r="AO440" s="112" t="str">
        <f>IF(preDEL!$AG440,IFERROR(0/0,""),preDEL!AO440)</f>
        <v/>
      </c>
      <c r="AP440" s="112" t="str">
        <f>IF(preDEL!$AG440,IFERROR(0/0,""),preDEL!AP440)</f>
        <v/>
      </c>
      <c r="AQ440" s="112" t="str">
        <f>IF(preDEL!$AG440,IFERROR(0/0,""),preDEL!AQ440)</f>
        <v/>
      </c>
      <c r="AR440" s="112" t="str">
        <f>IF(preDEL!$AG440,IFERROR(0/0,""),preDEL!AR440)</f>
        <v/>
      </c>
      <c r="AS440" s="112" t="str">
        <f>IF(preDEL!$AG440,IFERROR(0/0,""),preDEL!AS440)</f>
        <v/>
      </c>
      <c r="AT440" s="112" t="b">
        <f>IF(preDEL!$AG440,IFERROR(0/0,""),preDEL!AT440)</f>
        <v>0</v>
      </c>
      <c r="AU440" s="112" t="str">
        <f>IF(preDEL!$AG440,IFERROR(0/0,""),preDEL!AU440)</f>
        <v/>
      </c>
      <c r="AV440" s="112" t="str">
        <f>IF(preDEL!$AG440,IFERROR(0/0,""),preDEL!AV440)</f>
        <v/>
      </c>
      <c r="AW440" s="112" t="str">
        <f>IF(preDEL!$AG440,IFERROR(0/0,""),preDEL!AW440)</f>
        <v/>
      </c>
      <c r="AX440" s="112" t="str">
        <f>IF(preDEL!$AG440,IFERROR(0/0,""),preDEL!AX440)</f>
        <v/>
      </c>
      <c r="AY440" s="112" t="str">
        <f>IF(preDEL!$AG440,IFERROR(0/0,""),preDEL!AY440)</f>
        <v/>
      </c>
      <c r="AZ440" s="174"/>
      <c r="BA440" s="174"/>
      <c r="BB440" s="174"/>
      <c r="BC440" s="174"/>
      <c r="BD440" s="174"/>
      <c r="BE440" s="174"/>
      <c r="BF440" s="174"/>
      <c r="BG440" s="174"/>
      <c r="BH440" s="174"/>
      <c r="BI440" s="174"/>
      <c r="BJ440" s="174"/>
      <c r="BK440" s="174"/>
      <c r="BL440" s="174"/>
      <c r="BM440" s="174"/>
      <c r="BN440" s="174"/>
      <c r="BO440" s="174"/>
      <c r="BP440" s="174"/>
      <c r="BQ440" s="174"/>
      <c r="BR440" s="174"/>
      <c r="BS440" s="174"/>
      <c r="BT440" s="174"/>
      <c r="BU440" s="174"/>
      <c r="BV440" s="174"/>
      <c r="BW440" s="174"/>
      <c r="BX440" s="174"/>
      <c r="BY440" s="174"/>
      <c r="BZ440" s="174"/>
      <c r="CA440" s="174"/>
      <c r="CB440" s="174"/>
      <c r="CC440" s="174"/>
      <c r="CD440" s="174"/>
    </row>
    <row r="441">
      <c r="A441" s="105" t="str">
        <f>IF(preDEL!$AG441,IFERROR(0/0,""),preDEL!A441)</f>
        <v>MA255</v>
      </c>
      <c r="B441" s="170">
        <f>IF(preDEL!$AG441,IFERROR(0/0,""),preDEL!B441)</f>
        <v>44609</v>
      </c>
      <c r="C441" s="171">
        <f>IF(preDEL!$AG441,IFERROR(0/0,""),preDEL!C441)</f>
        <v>0.3160300926</v>
      </c>
      <c r="D441" s="105" t="str">
        <f>IF(preDEL!$AG441,IFERROR(0/0,""),preDEL!D441)</f>
        <v/>
      </c>
      <c r="E441" s="105" t="str">
        <f>IF(preDEL!$AG441,IFERROR(0/0,""),preDEL!E441)</f>
        <v/>
      </c>
      <c r="F441" s="112" t="str">
        <f>IF(preDEL!$AG441,IFERROR(0/0,""),preDEL!F441)</f>
        <v/>
      </c>
      <c r="G441" s="112" t="str">
        <f>IF(preDEL!$AG441,IFERROR(0/0,""),preDEL!G441)</f>
        <v/>
      </c>
      <c r="H441" s="112" t="str">
        <f>IF(preDEL!$AG441,IFERROR(0/0,""),preDEL!H441)</f>
        <v/>
      </c>
      <c r="I441" s="105" t="str">
        <f>IF(preDEL!$AG441,IFERROR(0/0,""),preDEL!I441)</f>
        <v/>
      </c>
      <c r="J441" s="105" t="str">
        <f>IF(preDEL!$AG441,IFERROR(0/0,""),preDEL!J441)</f>
        <v/>
      </c>
      <c r="K441" s="105" t="str">
        <f>IF(preDEL!$AG441,IFERROR(0/0,""),preDEL!K441)</f>
        <v>Negative</v>
      </c>
      <c r="L441" s="170">
        <f>IF(preDEL!$AG441,IFERROR(0/0,""),preDEL!L441)</f>
        <v>44611</v>
      </c>
      <c r="M441" s="171">
        <f>IF(preDEL!$AG441,IFERROR(0/0,""),preDEL!M441)</f>
        <v>0.3895717593</v>
      </c>
      <c r="N441" s="112" t="str">
        <f>IF(preDEL!$AG441,IFERROR(0/0,""),preDEL!N441)</f>
        <v/>
      </c>
      <c r="O441" s="112" t="str">
        <f>IF(preDEL!$AG441,IFERROR(0/0,""),preDEL!O441)</f>
        <v/>
      </c>
      <c r="P441" s="110" t="b">
        <f>IF(preDEL!$AG441,IFERROR(0/0,""),preDEL!P441)</f>
        <v>0</v>
      </c>
      <c r="Q441" s="110" t="str">
        <f>IF(preDEL!$AG441,IFERROR(0/0,""),preDEL!Q441)</f>
        <v>Result</v>
      </c>
      <c r="R441" s="104" t="b">
        <f>IF(preDEL!$AG441,IFERROR(0/0,""),preDEL!R441)</f>
        <v>1</v>
      </c>
      <c r="S441" s="104">
        <f>IF(preDEL!$AG441,IFERROR(0/0,""),preDEL!S441)</f>
        <v>1</v>
      </c>
      <c r="T441" s="110" t="str">
        <f>IF(preDEL!$AG441,IFERROR(0/0,""),preDEL!T441)</f>
        <v/>
      </c>
      <c r="U441" s="112" t="str">
        <f>IF(preDEL!$AG441,IFERROR(0/0,""),preDEL!U441)</f>
        <v/>
      </c>
      <c r="V441" s="105" t="str">
        <f>IF(preDEL!$AG441,IFERROR(0/0,""),preDEL!V441)</f>
        <v/>
      </c>
      <c r="W441" s="112" t="str">
        <f>IF(preDEL!$AG441,IFERROR(0/0,""),preDEL!W441)</f>
        <v/>
      </c>
      <c r="X441" s="104" t="b">
        <f>IF(preDEL!$AG441,IFERROR(0/0,""),preDEL!X441)</f>
        <v>0</v>
      </c>
      <c r="Y441" s="110" t="b">
        <f>IF(preDEL!$AG441,IFERROR(0/0,""),preDEL!Y441)</f>
        <v>0</v>
      </c>
      <c r="Z441" s="105" t="str">
        <f>IF(preDEL!$AG441,IFERROR(0/0,""),preDEL!Z441)</f>
        <v/>
      </c>
      <c r="AA441" s="110" t="b">
        <f>IF(preDEL!$AG441,IFERROR(0/0,""),preDEL!AA441)</f>
        <v>0</v>
      </c>
      <c r="AB441" s="110" t="b">
        <f>IF(preDEL!$AG441,IFERROR(0/0,""),preDEL!AB441)</f>
        <v>0</v>
      </c>
      <c r="AC441" s="172">
        <f>IF(preDEL!$AG441,IFERROR(0/0,""),preDEL!AC441)</f>
        <v>367</v>
      </c>
      <c r="AD441" s="104" t="b">
        <f>IF(preDEL!$AG441,IFERROR(0/0,""),preDEL!AD441)</f>
        <v>0</v>
      </c>
      <c r="AE441" s="173" t="str">
        <f>IF(preDEL!$AG441,IFERROR(0/0,""),preDEL!AE441)</f>
        <v/>
      </c>
      <c r="AF441" s="110" t="b">
        <f>IF(preDEL!$AG441,IFERROR(0/0,""),preDEL!AF441)</f>
        <v>0</v>
      </c>
      <c r="AG441" s="110" t="b">
        <f>IF(preDEL!$AG441,IFERROR(0/0,""),preDEL!AG441)</f>
        <v>0</v>
      </c>
      <c r="AH441" s="104" t="str">
        <f>IF(preDEL!$AG441,IFERROR(0/0,""),preDEL!AH441)</f>
        <v/>
      </c>
      <c r="AI441" s="105" t="str">
        <f>IF(preDEL!$AG441,IFERROR(0/0,""),preDEL!AI441)</f>
        <v/>
      </c>
      <c r="AJ441" s="112" t="str">
        <f>IF(preDEL!$AG441,IFERROR(0/0,""),preDEL!AJ441)</f>
        <v/>
      </c>
      <c r="AK441" s="105" t="str">
        <f>IF(preDEL!$AG441,IFERROR(0/0,""),preDEL!AK441)</f>
        <v>Negative</v>
      </c>
      <c r="AL441" s="112" t="str">
        <f>IF(preDEL!$AG441,IFERROR(0/0,""),preDEL!AL441)</f>
        <v/>
      </c>
      <c r="AM441" s="112" t="str">
        <f>IF(preDEL!$AG441,IFERROR(0/0,""),preDEL!AM441)</f>
        <v>SpBEND305944</v>
      </c>
      <c r="AN441" s="112" t="str">
        <f>IF(preDEL!$AG441,IFERROR(0/0,""),preDEL!AN441)</f>
        <v>BEND538986</v>
      </c>
      <c r="AO441" s="112" t="str">
        <f>IF(preDEL!$AG441,IFERROR(0/0,""),preDEL!AO441)</f>
        <v/>
      </c>
      <c r="AP441" s="112" t="str">
        <f>IF(preDEL!$AG441,IFERROR(0/0,""),preDEL!AP441)</f>
        <v/>
      </c>
      <c r="AQ441" s="112" t="str">
        <f>IF(preDEL!$AG441,IFERROR(0/0,""),preDEL!AQ441)</f>
        <v/>
      </c>
      <c r="AR441" s="112" t="str">
        <f>IF(preDEL!$AG441,IFERROR(0/0,""),preDEL!AR441)</f>
        <v/>
      </c>
      <c r="AS441" s="112" t="str">
        <f>IF(preDEL!$AG441,IFERROR(0/0,""),preDEL!AS441)</f>
        <v/>
      </c>
      <c r="AT441" s="112" t="b">
        <f>IF(preDEL!$AG441,IFERROR(0/0,""),preDEL!AT441)</f>
        <v>0</v>
      </c>
      <c r="AU441" s="112" t="str">
        <f>IF(preDEL!$AG441,IFERROR(0/0,""),preDEL!AU441)</f>
        <v/>
      </c>
      <c r="AV441" s="112" t="str">
        <f>IF(preDEL!$AG441,IFERROR(0/0,""),preDEL!AV441)</f>
        <v/>
      </c>
      <c r="AW441" s="112" t="str">
        <f>IF(preDEL!$AG441,IFERROR(0/0,""),preDEL!AW441)</f>
        <v/>
      </c>
      <c r="AX441" s="112" t="str">
        <f>IF(preDEL!$AG441,IFERROR(0/0,""),preDEL!AX441)</f>
        <v/>
      </c>
      <c r="AY441" s="112" t="str">
        <f>IF(preDEL!$AG441,IFERROR(0/0,""),preDEL!AY441)</f>
        <v/>
      </c>
      <c r="AZ441" s="174"/>
      <c r="BA441" s="174"/>
      <c r="BB441" s="174"/>
      <c r="BC441" s="174"/>
      <c r="BD441" s="174"/>
      <c r="BE441" s="174"/>
      <c r="BF441" s="174"/>
      <c r="BG441" s="174"/>
      <c r="BH441" s="174"/>
      <c r="BI441" s="174"/>
      <c r="BJ441" s="174"/>
      <c r="BK441" s="174"/>
      <c r="BL441" s="174"/>
      <c r="BM441" s="174"/>
      <c r="BN441" s="174"/>
      <c r="BO441" s="174"/>
      <c r="BP441" s="174"/>
      <c r="BQ441" s="174"/>
      <c r="BR441" s="174"/>
      <c r="BS441" s="174"/>
      <c r="BT441" s="174"/>
      <c r="BU441" s="174"/>
      <c r="BV441" s="174"/>
      <c r="BW441" s="174"/>
      <c r="BX441" s="174"/>
      <c r="BY441" s="174"/>
      <c r="BZ441" s="174"/>
      <c r="CA441" s="174"/>
      <c r="CB441" s="174"/>
      <c r="CC441" s="174"/>
      <c r="CD441" s="174"/>
    </row>
    <row r="442">
      <c r="A442" s="105" t="str">
        <f>IF(preDEL!$AG442,IFERROR(0/0,""),preDEL!A442)</f>
        <v>FM819</v>
      </c>
      <c r="B442" s="170">
        <f>IF(preDEL!$AG442,IFERROR(0/0,""),preDEL!B442)</f>
        <v>44609</v>
      </c>
      <c r="C442" s="171">
        <f>IF(preDEL!$AG442,IFERROR(0/0,""),preDEL!C442)</f>
        <v>0.3175347222</v>
      </c>
      <c r="D442" s="105" t="str">
        <f>IF(preDEL!$AG442,IFERROR(0/0,""),preDEL!D442)</f>
        <v/>
      </c>
      <c r="E442" s="105" t="str">
        <f>IF(preDEL!$AG442,IFERROR(0/0,""),preDEL!E442)</f>
        <v/>
      </c>
      <c r="F442" s="112" t="str">
        <f>IF(preDEL!$AG442,IFERROR(0/0,""),preDEL!F442)</f>
        <v/>
      </c>
      <c r="G442" s="112" t="str">
        <f>IF(preDEL!$AG442,IFERROR(0/0,""),preDEL!G442)</f>
        <v/>
      </c>
      <c r="H442" s="112" t="str">
        <f>IF(preDEL!$AG442,IFERROR(0/0,""),preDEL!H442)</f>
        <v/>
      </c>
      <c r="I442" s="105" t="str">
        <f>IF(preDEL!$AG442,IFERROR(0/0,""),preDEL!I442)</f>
        <v/>
      </c>
      <c r="J442" s="105" t="str">
        <f>IF(preDEL!$AG442,IFERROR(0/0,""),preDEL!J442)</f>
        <v/>
      </c>
      <c r="K442" s="105" t="str">
        <f>IF(preDEL!$AG442,IFERROR(0/0,""),preDEL!K442)</f>
        <v>Negative</v>
      </c>
      <c r="L442" s="170">
        <f>IF(preDEL!$AG442,IFERROR(0/0,""),preDEL!L442)</f>
        <v>44611</v>
      </c>
      <c r="M442" s="171">
        <f>IF(preDEL!$AG442,IFERROR(0/0,""),preDEL!M442)</f>
        <v>0.3895717593</v>
      </c>
      <c r="N442" s="112" t="str">
        <f>IF(preDEL!$AG442,IFERROR(0/0,""),preDEL!N442)</f>
        <v/>
      </c>
      <c r="O442" s="112" t="str">
        <f>IF(preDEL!$AG442,IFERROR(0/0,""),preDEL!O442)</f>
        <v/>
      </c>
      <c r="P442" s="110" t="b">
        <f>IF(preDEL!$AG442,IFERROR(0/0,""),preDEL!P442)</f>
        <v>0</v>
      </c>
      <c r="Q442" s="110" t="str">
        <f>IF(preDEL!$AG442,IFERROR(0/0,""),preDEL!Q442)</f>
        <v>Result</v>
      </c>
      <c r="R442" s="104" t="b">
        <f>IF(preDEL!$AG442,IFERROR(0/0,""),preDEL!R442)</f>
        <v>1</v>
      </c>
      <c r="S442" s="104">
        <f>IF(preDEL!$AG442,IFERROR(0/0,""),preDEL!S442)</f>
        <v>1</v>
      </c>
      <c r="T442" s="110" t="str">
        <f>IF(preDEL!$AG442,IFERROR(0/0,""),preDEL!T442)</f>
        <v/>
      </c>
      <c r="U442" s="112" t="str">
        <f>IF(preDEL!$AG442,IFERROR(0/0,""),preDEL!U442)</f>
        <v/>
      </c>
      <c r="V442" s="105" t="str">
        <f>IF(preDEL!$AG442,IFERROR(0/0,""),preDEL!V442)</f>
        <v/>
      </c>
      <c r="W442" s="112" t="str">
        <f>IF(preDEL!$AG442,IFERROR(0/0,""),preDEL!W442)</f>
        <v/>
      </c>
      <c r="X442" s="104" t="b">
        <f>IF(preDEL!$AG442,IFERROR(0/0,""),preDEL!X442)</f>
        <v>0</v>
      </c>
      <c r="Y442" s="110" t="b">
        <f>IF(preDEL!$AG442,IFERROR(0/0,""),preDEL!Y442)</f>
        <v>0</v>
      </c>
      <c r="Z442" s="105" t="str">
        <f>IF(preDEL!$AG442,IFERROR(0/0,""),preDEL!Z442)</f>
        <v/>
      </c>
      <c r="AA442" s="110" t="b">
        <f>IF(preDEL!$AG442,IFERROR(0/0,""),preDEL!AA442)</f>
        <v>0</v>
      </c>
      <c r="AB442" s="110" t="b">
        <f>IF(preDEL!$AG442,IFERROR(0/0,""),preDEL!AB442)</f>
        <v>0</v>
      </c>
      <c r="AC442" s="172">
        <f>IF(preDEL!$AG442,IFERROR(0/0,""),preDEL!AC442)</f>
        <v>366</v>
      </c>
      <c r="AD442" s="104" t="b">
        <f>IF(preDEL!$AG442,IFERROR(0/0,""),preDEL!AD442)</f>
        <v>0</v>
      </c>
      <c r="AE442" s="173" t="str">
        <f>IF(preDEL!$AG442,IFERROR(0/0,""),preDEL!AE442)</f>
        <v/>
      </c>
      <c r="AF442" s="110" t="b">
        <f>IF(preDEL!$AG442,IFERROR(0/0,""),preDEL!AF442)</f>
        <v>0</v>
      </c>
      <c r="AG442" s="110" t="b">
        <f>IF(preDEL!$AG442,IFERROR(0/0,""),preDEL!AG442)</f>
        <v>0</v>
      </c>
      <c r="AH442" s="104" t="str">
        <f>IF(preDEL!$AG442,IFERROR(0/0,""),preDEL!AH442)</f>
        <v/>
      </c>
      <c r="AI442" s="105" t="str">
        <f>IF(preDEL!$AG442,IFERROR(0/0,""),preDEL!AI442)</f>
        <v/>
      </c>
      <c r="AJ442" s="112" t="str">
        <f>IF(preDEL!$AG442,IFERROR(0/0,""),preDEL!AJ442)</f>
        <v/>
      </c>
      <c r="AK442" s="105" t="str">
        <f>IF(preDEL!$AG442,IFERROR(0/0,""),preDEL!AK442)</f>
        <v>Negative</v>
      </c>
      <c r="AL442" s="112" t="str">
        <f>IF(preDEL!$AG442,IFERROR(0/0,""),preDEL!AL442)</f>
        <v/>
      </c>
      <c r="AM442" s="112" t="str">
        <f>IF(preDEL!$AG442,IFERROR(0/0,""),preDEL!AM442)</f>
        <v>SpBEND825522</v>
      </c>
      <c r="AN442" s="112" t="str">
        <f>IF(preDEL!$AG442,IFERROR(0/0,""),preDEL!AN442)</f>
        <v>BEND140857</v>
      </c>
      <c r="AO442" s="112" t="str">
        <f>IF(preDEL!$AG442,IFERROR(0/0,""),preDEL!AO442)</f>
        <v/>
      </c>
      <c r="AP442" s="112" t="str">
        <f>IF(preDEL!$AG442,IFERROR(0/0,""),preDEL!AP442)</f>
        <v/>
      </c>
      <c r="AQ442" s="112" t="str">
        <f>IF(preDEL!$AG442,IFERROR(0/0,""),preDEL!AQ442)</f>
        <v/>
      </c>
      <c r="AR442" s="112" t="str">
        <f>IF(preDEL!$AG442,IFERROR(0/0,""),preDEL!AR442)</f>
        <v/>
      </c>
      <c r="AS442" s="112" t="str">
        <f>IF(preDEL!$AG442,IFERROR(0/0,""),preDEL!AS442)</f>
        <v/>
      </c>
      <c r="AT442" s="112" t="b">
        <f>IF(preDEL!$AG442,IFERROR(0/0,""),preDEL!AT442)</f>
        <v>0</v>
      </c>
      <c r="AU442" s="112" t="str">
        <f>IF(preDEL!$AG442,IFERROR(0/0,""),preDEL!AU442)</f>
        <v/>
      </c>
      <c r="AV442" s="112" t="str">
        <f>IF(preDEL!$AG442,IFERROR(0/0,""),preDEL!AV442)</f>
        <v/>
      </c>
      <c r="AW442" s="112" t="str">
        <f>IF(preDEL!$AG442,IFERROR(0/0,""),preDEL!AW442)</f>
        <v/>
      </c>
      <c r="AX442" s="112" t="str">
        <f>IF(preDEL!$AG442,IFERROR(0/0,""),preDEL!AX442)</f>
        <v/>
      </c>
      <c r="AY442" s="112" t="str">
        <f>IF(preDEL!$AG442,IFERROR(0/0,""),preDEL!AY442)</f>
        <v/>
      </c>
      <c r="AZ442" s="174"/>
      <c r="BA442" s="174"/>
      <c r="BB442" s="174"/>
      <c r="BC442" s="174"/>
      <c r="BD442" s="174"/>
      <c r="BE442" s="174"/>
      <c r="BF442" s="174"/>
      <c r="BG442" s="174"/>
      <c r="BH442" s="174"/>
      <c r="BI442" s="174"/>
      <c r="BJ442" s="174"/>
      <c r="BK442" s="174"/>
      <c r="BL442" s="174"/>
      <c r="BM442" s="174"/>
      <c r="BN442" s="174"/>
      <c r="BO442" s="174"/>
      <c r="BP442" s="174"/>
      <c r="BQ442" s="174"/>
      <c r="BR442" s="174"/>
      <c r="BS442" s="174"/>
      <c r="BT442" s="174"/>
      <c r="BU442" s="174"/>
      <c r="BV442" s="174"/>
      <c r="BW442" s="174"/>
      <c r="BX442" s="174"/>
      <c r="BY442" s="174"/>
      <c r="BZ442" s="174"/>
      <c r="CA442" s="174"/>
      <c r="CB442" s="174"/>
      <c r="CC442" s="174"/>
      <c r="CD442" s="174"/>
    </row>
    <row r="443">
      <c r="A443" s="105" t="str">
        <f>IF(preDEL!$AG443,IFERROR(0/0,""),preDEL!A443)</f>
        <v>MA259</v>
      </c>
      <c r="B443" s="170">
        <f>IF(preDEL!$AG443,IFERROR(0/0,""),preDEL!B443)</f>
        <v>44609</v>
      </c>
      <c r="C443" s="171">
        <f>IF(preDEL!$AG443,IFERROR(0/0,""),preDEL!C443)</f>
        <v>0.3187384259</v>
      </c>
      <c r="D443" s="105" t="str">
        <f>IF(preDEL!$AG443,IFERROR(0/0,""),preDEL!D443)</f>
        <v/>
      </c>
      <c r="E443" s="105" t="str">
        <f>IF(preDEL!$AG443,IFERROR(0/0,""),preDEL!E443)</f>
        <v/>
      </c>
      <c r="F443" s="112" t="str">
        <f>IF(preDEL!$AG443,IFERROR(0/0,""),preDEL!F443)</f>
        <v/>
      </c>
      <c r="G443" s="112" t="str">
        <f>IF(preDEL!$AG443,IFERROR(0/0,""),preDEL!G443)</f>
        <v/>
      </c>
      <c r="H443" s="112" t="str">
        <f>IF(preDEL!$AG443,IFERROR(0/0,""),preDEL!H443)</f>
        <v/>
      </c>
      <c r="I443" s="105" t="str">
        <f>IF(preDEL!$AG443,IFERROR(0/0,""),preDEL!I443)</f>
        <v/>
      </c>
      <c r="J443" s="105" t="str">
        <f>IF(preDEL!$AG443,IFERROR(0/0,""),preDEL!J443)</f>
        <v/>
      </c>
      <c r="K443" s="105" t="str">
        <f>IF(preDEL!$AG443,IFERROR(0/0,""),preDEL!K443)</f>
        <v>Negative</v>
      </c>
      <c r="L443" s="170">
        <f>IF(preDEL!$AG443,IFERROR(0/0,""),preDEL!L443)</f>
        <v>44611</v>
      </c>
      <c r="M443" s="171">
        <f>IF(preDEL!$AG443,IFERROR(0/0,""),preDEL!M443)</f>
        <v>0.3895717593</v>
      </c>
      <c r="N443" s="112" t="str">
        <f>IF(preDEL!$AG443,IFERROR(0/0,""),preDEL!N443)</f>
        <v/>
      </c>
      <c r="O443" s="112" t="str">
        <f>IF(preDEL!$AG443,IFERROR(0/0,""),preDEL!O443)</f>
        <v/>
      </c>
      <c r="P443" s="110" t="b">
        <f>IF(preDEL!$AG443,IFERROR(0/0,""),preDEL!P443)</f>
        <v>0</v>
      </c>
      <c r="Q443" s="110" t="str">
        <f>IF(preDEL!$AG443,IFERROR(0/0,""),preDEL!Q443)</f>
        <v>Result</v>
      </c>
      <c r="R443" s="104" t="b">
        <f>IF(preDEL!$AG443,IFERROR(0/0,""),preDEL!R443)</f>
        <v>1</v>
      </c>
      <c r="S443" s="104">
        <f>IF(preDEL!$AG443,IFERROR(0/0,""),preDEL!S443)</f>
        <v>1</v>
      </c>
      <c r="T443" s="110" t="str">
        <f>IF(preDEL!$AG443,IFERROR(0/0,""),preDEL!T443)</f>
        <v/>
      </c>
      <c r="U443" s="112" t="str">
        <f>IF(preDEL!$AG443,IFERROR(0/0,""),preDEL!U443)</f>
        <v/>
      </c>
      <c r="V443" s="105" t="str">
        <f>IF(preDEL!$AG443,IFERROR(0/0,""),preDEL!V443)</f>
        <v/>
      </c>
      <c r="W443" s="112" t="str">
        <f>IF(preDEL!$AG443,IFERROR(0/0,""),preDEL!W443)</f>
        <v/>
      </c>
      <c r="X443" s="104" t="b">
        <f>IF(preDEL!$AG443,IFERROR(0/0,""),preDEL!X443)</f>
        <v>0</v>
      </c>
      <c r="Y443" s="110" t="b">
        <f>IF(preDEL!$AG443,IFERROR(0/0,""),preDEL!Y443)</f>
        <v>0</v>
      </c>
      <c r="Z443" s="105" t="str">
        <f>IF(preDEL!$AG443,IFERROR(0/0,""),preDEL!Z443)</f>
        <v/>
      </c>
      <c r="AA443" s="110" t="b">
        <f>IF(preDEL!$AG443,IFERROR(0/0,""),preDEL!AA443)</f>
        <v>0</v>
      </c>
      <c r="AB443" s="110" t="b">
        <f>IF(preDEL!$AG443,IFERROR(0/0,""),preDEL!AB443)</f>
        <v>0</v>
      </c>
      <c r="AC443" s="172">
        <f>IF(preDEL!$AG443,IFERROR(0/0,""),preDEL!AC443)</f>
        <v>364</v>
      </c>
      <c r="AD443" s="104" t="b">
        <f>IF(preDEL!$AG443,IFERROR(0/0,""),preDEL!AD443)</f>
        <v>0</v>
      </c>
      <c r="AE443" s="173" t="str">
        <f>IF(preDEL!$AG443,IFERROR(0/0,""),preDEL!AE443)</f>
        <v/>
      </c>
      <c r="AF443" s="110" t="b">
        <f>IF(preDEL!$AG443,IFERROR(0/0,""),preDEL!AF443)</f>
        <v>0</v>
      </c>
      <c r="AG443" s="110" t="b">
        <f>IF(preDEL!$AG443,IFERROR(0/0,""),preDEL!AG443)</f>
        <v>0</v>
      </c>
      <c r="AH443" s="104" t="str">
        <f>IF(preDEL!$AG443,IFERROR(0/0,""),preDEL!AH443)</f>
        <v/>
      </c>
      <c r="AI443" s="105" t="str">
        <f>IF(preDEL!$AG443,IFERROR(0/0,""),preDEL!AI443)</f>
        <v/>
      </c>
      <c r="AJ443" s="112" t="str">
        <f>IF(preDEL!$AG443,IFERROR(0/0,""),preDEL!AJ443)</f>
        <v/>
      </c>
      <c r="AK443" s="105" t="str">
        <f>IF(preDEL!$AG443,IFERROR(0/0,""),preDEL!AK443)</f>
        <v>Negative</v>
      </c>
      <c r="AL443" s="112" t="str">
        <f>IF(preDEL!$AG443,IFERROR(0/0,""),preDEL!AL443)</f>
        <v/>
      </c>
      <c r="AM443" s="112" t="str">
        <f>IF(preDEL!$AG443,IFERROR(0/0,""),preDEL!AM443)</f>
        <v>SpBEND184203</v>
      </c>
      <c r="AN443" s="112" t="str">
        <f>IF(preDEL!$AG443,IFERROR(0/0,""),preDEL!AN443)</f>
        <v>BEND821009</v>
      </c>
      <c r="AO443" s="112" t="str">
        <f>IF(preDEL!$AG443,IFERROR(0/0,""),preDEL!AO443)</f>
        <v/>
      </c>
      <c r="AP443" s="112" t="str">
        <f>IF(preDEL!$AG443,IFERROR(0/0,""),preDEL!AP443)</f>
        <v/>
      </c>
      <c r="AQ443" s="112" t="str">
        <f>IF(preDEL!$AG443,IFERROR(0/0,""),preDEL!AQ443)</f>
        <v/>
      </c>
      <c r="AR443" s="112" t="str">
        <f>IF(preDEL!$AG443,IFERROR(0/0,""),preDEL!AR443)</f>
        <v/>
      </c>
      <c r="AS443" s="112" t="str">
        <f>IF(preDEL!$AG443,IFERROR(0/0,""),preDEL!AS443)</f>
        <v/>
      </c>
      <c r="AT443" s="112" t="b">
        <f>IF(preDEL!$AG443,IFERROR(0/0,""),preDEL!AT443)</f>
        <v>0</v>
      </c>
      <c r="AU443" s="112" t="str">
        <f>IF(preDEL!$AG443,IFERROR(0/0,""),preDEL!AU443)</f>
        <v/>
      </c>
      <c r="AV443" s="112" t="str">
        <f>IF(preDEL!$AG443,IFERROR(0/0,""),preDEL!AV443)</f>
        <v/>
      </c>
      <c r="AW443" s="112" t="str">
        <f>IF(preDEL!$AG443,IFERROR(0/0,""),preDEL!AW443)</f>
        <v/>
      </c>
      <c r="AX443" s="112" t="str">
        <f>IF(preDEL!$AG443,IFERROR(0/0,""),preDEL!AX443)</f>
        <v/>
      </c>
      <c r="AY443" s="112" t="str">
        <f>IF(preDEL!$AG443,IFERROR(0/0,""),preDEL!AY443)</f>
        <v/>
      </c>
      <c r="AZ443" s="174"/>
      <c r="BA443" s="174"/>
      <c r="BB443" s="174"/>
      <c r="BC443" s="174"/>
      <c r="BD443" s="174"/>
      <c r="BE443" s="174"/>
      <c r="BF443" s="174"/>
      <c r="BG443" s="174"/>
      <c r="BH443" s="174"/>
      <c r="BI443" s="174"/>
      <c r="BJ443" s="174"/>
      <c r="BK443" s="174"/>
      <c r="BL443" s="174"/>
      <c r="BM443" s="174"/>
      <c r="BN443" s="174"/>
      <c r="BO443" s="174"/>
      <c r="BP443" s="174"/>
      <c r="BQ443" s="174"/>
      <c r="BR443" s="174"/>
      <c r="BS443" s="174"/>
      <c r="BT443" s="174"/>
      <c r="BU443" s="174"/>
      <c r="BV443" s="174"/>
      <c r="BW443" s="174"/>
      <c r="BX443" s="174"/>
      <c r="BY443" s="174"/>
      <c r="BZ443" s="174"/>
      <c r="CA443" s="174"/>
      <c r="CB443" s="174"/>
      <c r="CC443" s="174"/>
      <c r="CD443" s="174"/>
    </row>
    <row r="444">
      <c r="A444" s="105" t="str">
        <f>IF(preDEL!$AG444,IFERROR(0/0,""),preDEL!A444)</f>
        <v>MA181</v>
      </c>
      <c r="B444" s="170">
        <f>IF(preDEL!$AG444,IFERROR(0/0,""),preDEL!B444)</f>
        <v>44609</v>
      </c>
      <c r="C444" s="171">
        <f>IF(preDEL!$AG444,IFERROR(0/0,""),preDEL!C444)</f>
        <v>0.3194328704</v>
      </c>
      <c r="D444" s="105" t="str">
        <f>IF(preDEL!$AG444,IFERROR(0/0,""),preDEL!D444)</f>
        <v/>
      </c>
      <c r="E444" s="105" t="str">
        <f>IF(preDEL!$AG444,IFERROR(0/0,""),preDEL!E444)</f>
        <v/>
      </c>
      <c r="F444" s="112" t="str">
        <f>IF(preDEL!$AG444,IFERROR(0/0,""),preDEL!F444)</f>
        <v/>
      </c>
      <c r="G444" s="112" t="str">
        <f>IF(preDEL!$AG444,IFERROR(0/0,""),preDEL!G444)</f>
        <v/>
      </c>
      <c r="H444" s="112" t="str">
        <f>IF(preDEL!$AG444,IFERROR(0/0,""),preDEL!H444)</f>
        <v/>
      </c>
      <c r="I444" s="105" t="str">
        <f>IF(preDEL!$AG444,IFERROR(0/0,""),preDEL!I444)</f>
        <v/>
      </c>
      <c r="J444" s="105" t="str">
        <f>IF(preDEL!$AG444,IFERROR(0/0,""),preDEL!J444)</f>
        <v/>
      </c>
      <c r="K444" s="105" t="str">
        <f>IF(preDEL!$AG444,IFERROR(0/0,""),preDEL!K444)</f>
        <v>Negative</v>
      </c>
      <c r="L444" s="170">
        <f>IF(preDEL!$AG444,IFERROR(0/0,""),preDEL!L444)</f>
        <v>44611</v>
      </c>
      <c r="M444" s="171">
        <f>IF(preDEL!$AG444,IFERROR(0/0,""),preDEL!M444)</f>
        <v>0.3895717593</v>
      </c>
      <c r="N444" s="112" t="str">
        <f>IF(preDEL!$AG444,IFERROR(0/0,""),preDEL!N444)</f>
        <v/>
      </c>
      <c r="O444" s="112" t="str">
        <f>IF(preDEL!$AG444,IFERROR(0/0,""),preDEL!O444)</f>
        <v/>
      </c>
      <c r="P444" s="110" t="b">
        <f>IF(preDEL!$AG444,IFERROR(0/0,""),preDEL!P444)</f>
        <v>0</v>
      </c>
      <c r="Q444" s="110" t="str">
        <f>IF(preDEL!$AG444,IFERROR(0/0,""),preDEL!Q444)</f>
        <v>Result</v>
      </c>
      <c r="R444" s="104" t="b">
        <f>IF(preDEL!$AG444,IFERROR(0/0,""),preDEL!R444)</f>
        <v>1</v>
      </c>
      <c r="S444" s="104">
        <f>IF(preDEL!$AG444,IFERROR(0/0,""),preDEL!S444)</f>
        <v>1</v>
      </c>
      <c r="T444" s="110" t="str">
        <f>IF(preDEL!$AG444,IFERROR(0/0,""),preDEL!T444)</f>
        <v/>
      </c>
      <c r="U444" s="112" t="str">
        <f>IF(preDEL!$AG444,IFERROR(0/0,""),preDEL!U444)</f>
        <v/>
      </c>
      <c r="V444" s="105" t="str">
        <f>IF(preDEL!$AG444,IFERROR(0/0,""),preDEL!V444)</f>
        <v/>
      </c>
      <c r="W444" s="112" t="str">
        <f>IF(preDEL!$AG444,IFERROR(0/0,""),preDEL!W444)</f>
        <v/>
      </c>
      <c r="X444" s="104" t="b">
        <f>IF(preDEL!$AG444,IFERROR(0/0,""),preDEL!X444)</f>
        <v>0</v>
      </c>
      <c r="Y444" s="110" t="b">
        <f>IF(preDEL!$AG444,IFERROR(0/0,""),preDEL!Y444)</f>
        <v>0</v>
      </c>
      <c r="Z444" s="105" t="str">
        <f>IF(preDEL!$AG444,IFERROR(0/0,""),preDEL!Z444)</f>
        <v/>
      </c>
      <c r="AA444" s="110" t="b">
        <f>IF(preDEL!$AG444,IFERROR(0/0,""),preDEL!AA444)</f>
        <v>0</v>
      </c>
      <c r="AB444" s="110" t="b">
        <f>IF(preDEL!$AG444,IFERROR(0/0,""),preDEL!AB444)</f>
        <v>0</v>
      </c>
      <c r="AC444" s="172">
        <f>IF(preDEL!$AG444,IFERROR(0/0,""),preDEL!AC444)</f>
        <v>365</v>
      </c>
      <c r="AD444" s="104" t="b">
        <f>IF(preDEL!$AG444,IFERROR(0/0,""),preDEL!AD444)</f>
        <v>0</v>
      </c>
      <c r="AE444" s="173" t="str">
        <f>IF(preDEL!$AG444,IFERROR(0/0,""),preDEL!AE444)</f>
        <v/>
      </c>
      <c r="AF444" s="110" t="b">
        <f>IF(preDEL!$AG444,IFERROR(0/0,""),preDEL!AF444)</f>
        <v>0</v>
      </c>
      <c r="AG444" s="110" t="b">
        <f>IF(preDEL!$AG444,IFERROR(0/0,""),preDEL!AG444)</f>
        <v>0</v>
      </c>
      <c r="AH444" s="104" t="str">
        <f>IF(preDEL!$AG444,IFERROR(0/0,""),preDEL!AH444)</f>
        <v/>
      </c>
      <c r="AI444" s="105" t="str">
        <f>IF(preDEL!$AG444,IFERROR(0/0,""),preDEL!AI444)</f>
        <v/>
      </c>
      <c r="AJ444" s="112" t="str">
        <f>IF(preDEL!$AG444,IFERROR(0/0,""),preDEL!AJ444)</f>
        <v/>
      </c>
      <c r="AK444" s="105" t="str">
        <f>IF(preDEL!$AG444,IFERROR(0/0,""),preDEL!AK444)</f>
        <v>Negative</v>
      </c>
      <c r="AL444" s="112" t="str">
        <f>IF(preDEL!$AG444,IFERROR(0/0,""),preDEL!AL444)</f>
        <v/>
      </c>
      <c r="AM444" s="112" t="str">
        <f>IF(preDEL!$AG444,IFERROR(0/0,""),preDEL!AM444)</f>
        <v>SpBEND862115</v>
      </c>
      <c r="AN444" s="112" t="str">
        <f>IF(preDEL!$AG444,IFERROR(0/0,""),preDEL!AN444)</f>
        <v>BEND317332</v>
      </c>
      <c r="AO444" s="112" t="str">
        <f>IF(preDEL!$AG444,IFERROR(0/0,""),preDEL!AO444)</f>
        <v/>
      </c>
      <c r="AP444" s="112" t="str">
        <f>IF(preDEL!$AG444,IFERROR(0/0,""),preDEL!AP444)</f>
        <v/>
      </c>
      <c r="AQ444" s="112" t="str">
        <f>IF(preDEL!$AG444,IFERROR(0/0,""),preDEL!AQ444)</f>
        <v/>
      </c>
      <c r="AR444" s="112" t="str">
        <f>IF(preDEL!$AG444,IFERROR(0/0,""),preDEL!AR444)</f>
        <v/>
      </c>
      <c r="AS444" s="112" t="str">
        <f>IF(preDEL!$AG444,IFERROR(0/0,""),preDEL!AS444)</f>
        <v/>
      </c>
      <c r="AT444" s="112" t="b">
        <f>IF(preDEL!$AG444,IFERROR(0/0,""),preDEL!AT444)</f>
        <v>0</v>
      </c>
      <c r="AU444" s="112" t="str">
        <f>IF(preDEL!$AG444,IFERROR(0/0,""),preDEL!AU444)</f>
        <v/>
      </c>
      <c r="AV444" s="112" t="str">
        <f>IF(preDEL!$AG444,IFERROR(0/0,""),preDEL!AV444)</f>
        <v/>
      </c>
      <c r="AW444" s="112" t="str">
        <f>IF(preDEL!$AG444,IFERROR(0/0,""),preDEL!AW444)</f>
        <v/>
      </c>
      <c r="AX444" s="112" t="str">
        <f>IF(preDEL!$AG444,IFERROR(0/0,""),preDEL!AX444)</f>
        <v/>
      </c>
      <c r="AY444" s="112" t="str">
        <f>IF(preDEL!$AG444,IFERROR(0/0,""),preDEL!AY444)</f>
        <v/>
      </c>
      <c r="AZ444" s="174"/>
      <c r="BA444" s="174"/>
      <c r="BB444" s="174"/>
      <c r="BC444" s="174"/>
      <c r="BD444" s="174"/>
      <c r="BE444" s="174"/>
      <c r="BF444" s="174"/>
      <c r="BG444" s="174"/>
      <c r="BH444" s="174"/>
      <c r="BI444" s="174"/>
      <c r="BJ444" s="174"/>
      <c r="BK444" s="174"/>
      <c r="BL444" s="174"/>
      <c r="BM444" s="174"/>
      <c r="BN444" s="174"/>
      <c r="BO444" s="174"/>
      <c r="BP444" s="174"/>
      <c r="BQ444" s="174"/>
      <c r="BR444" s="174"/>
      <c r="BS444" s="174"/>
      <c r="BT444" s="174"/>
      <c r="BU444" s="174"/>
      <c r="BV444" s="174"/>
      <c r="BW444" s="174"/>
      <c r="BX444" s="174"/>
      <c r="BY444" s="174"/>
      <c r="BZ444" s="174"/>
      <c r="CA444" s="174"/>
      <c r="CB444" s="174"/>
      <c r="CC444" s="174"/>
      <c r="CD444" s="174"/>
    </row>
    <row r="445">
      <c r="A445" s="105" t="str">
        <f>IF(preDEL!$AG445,IFERROR(0/0,""),preDEL!A445)</f>
        <v>MAX101</v>
      </c>
      <c r="B445" s="170">
        <f>IF(preDEL!$AG445,IFERROR(0/0,""),preDEL!B445)</f>
        <v>44609</v>
      </c>
      <c r="C445" s="171">
        <f>IF(preDEL!$AG445,IFERROR(0/0,""),preDEL!C445)</f>
        <v>0.3199768519</v>
      </c>
      <c r="D445" s="105" t="str">
        <f>IF(preDEL!$AG445,IFERROR(0/0,""),preDEL!D445)</f>
        <v/>
      </c>
      <c r="E445" s="105" t="str">
        <f>IF(preDEL!$AG445,IFERROR(0/0,""),preDEL!E445)</f>
        <v/>
      </c>
      <c r="F445" s="112" t="str">
        <f>IF(preDEL!$AG445,IFERROR(0/0,""),preDEL!F445)</f>
        <v/>
      </c>
      <c r="G445" s="112" t="str">
        <f>IF(preDEL!$AG445,IFERROR(0/0,""),preDEL!G445)</f>
        <v/>
      </c>
      <c r="H445" s="112" t="str">
        <f>IF(preDEL!$AG445,IFERROR(0/0,""),preDEL!H445)</f>
        <v/>
      </c>
      <c r="I445" s="105" t="str">
        <f>IF(preDEL!$AG445,IFERROR(0/0,""),preDEL!I445)</f>
        <v/>
      </c>
      <c r="J445" s="105" t="str">
        <f>IF(preDEL!$AG445,IFERROR(0/0,""),preDEL!J445)</f>
        <v/>
      </c>
      <c r="K445" s="105" t="str">
        <f>IF(preDEL!$AG445,IFERROR(0/0,""),preDEL!K445)</f>
        <v>Negative</v>
      </c>
      <c r="L445" s="170">
        <f>IF(preDEL!$AG445,IFERROR(0/0,""),preDEL!L445)</f>
        <v>44611</v>
      </c>
      <c r="M445" s="171">
        <f>IF(preDEL!$AG445,IFERROR(0/0,""),preDEL!M445)</f>
        <v>0.3895717593</v>
      </c>
      <c r="N445" s="112" t="str">
        <f>IF(preDEL!$AG445,IFERROR(0/0,""),preDEL!N445)</f>
        <v/>
      </c>
      <c r="O445" s="112" t="str">
        <f>IF(preDEL!$AG445,IFERROR(0/0,""),preDEL!O445)</f>
        <v/>
      </c>
      <c r="P445" s="110" t="b">
        <f>IF(preDEL!$AG445,IFERROR(0/0,""),preDEL!P445)</f>
        <v>0</v>
      </c>
      <c r="Q445" s="110" t="str">
        <f>IF(preDEL!$AG445,IFERROR(0/0,""),preDEL!Q445)</f>
        <v>Result</v>
      </c>
      <c r="R445" s="104" t="b">
        <f>IF(preDEL!$AG445,IFERROR(0/0,""),preDEL!R445)</f>
        <v>1</v>
      </c>
      <c r="S445" s="104">
        <f>IF(preDEL!$AG445,IFERROR(0/0,""),preDEL!S445)</f>
        <v>1</v>
      </c>
      <c r="T445" s="110" t="str">
        <f>IF(preDEL!$AG445,IFERROR(0/0,""),preDEL!T445)</f>
        <v/>
      </c>
      <c r="U445" s="112" t="str">
        <f>IF(preDEL!$AG445,IFERROR(0/0,""),preDEL!U445)</f>
        <v/>
      </c>
      <c r="V445" s="105" t="str">
        <f>IF(preDEL!$AG445,IFERROR(0/0,""),preDEL!V445)</f>
        <v/>
      </c>
      <c r="W445" s="112" t="str">
        <f>IF(preDEL!$AG445,IFERROR(0/0,""),preDEL!W445)</f>
        <v/>
      </c>
      <c r="X445" s="104" t="b">
        <f>IF(preDEL!$AG445,IFERROR(0/0,""),preDEL!X445)</f>
        <v>0</v>
      </c>
      <c r="Y445" s="110" t="b">
        <f>IF(preDEL!$AG445,IFERROR(0/0,""),preDEL!Y445)</f>
        <v>0</v>
      </c>
      <c r="Z445" s="105" t="str">
        <f>IF(preDEL!$AG445,IFERROR(0/0,""),preDEL!Z445)</f>
        <v/>
      </c>
      <c r="AA445" s="110" t="b">
        <f>IF(preDEL!$AG445,IFERROR(0/0,""),preDEL!AA445)</f>
        <v>0</v>
      </c>
      <c r="AB445" s="110" t="b">
        <f>IF(preDEL!$AG445,IFERROR(0/0,""),preDEL!AB445)</f>
        <v>0</v>
      </c>
      <c r="AC445" s="172">
        <f>IF(preDEL!$AG445,IFERROR(0/0,""),preDEL!AC445)</f>
        <v>363</v>
      </c>
      <c r="AD445" s="104" t="b">
        <f>IF(preDEL!$AG445,IFERROR(0/0,""),preDEL!AD445)</f>
        <v>0</v>
      </c>
      <c r="AE445" s="173" t="str">
        <f>IF(preDEL!$AG445,IFERROR(0/0,""),preDEL!AE445)</f>
        <v/>
      </c>
      <c r="AF445" s="110" t="b">
        <f>IF(preDEL!$AG445,IFERROR(0/0,""),preDEL!AF445)</f>
        <v>0</v>
      </c>
      <c r="AG445" s="110" t="b">
        <f>IF(preDEL!$AG445,IFERROR(0/0,""),preDEL!AG445)</f>
        <v>0</v>
      </c>
      <c r="AH445" s="104" t="str">
        <f>IF(preDEL!$AG445,IFERROR(0/0,""),preDEL!AH445)</f>
        <v/>
      </c>
      <c r="AI445" s="105" t="str">
        <f>IF(preDEL!$AG445,IFERROR(0/0,""),preDEL!AI445)</f>
        <v/>
      </c>
      <c r="AJ445" s="112" t="str">
        <f>IF(preDEL!$AG445,IFERROR(0/0,""),preDEL!AJ445)</f>
        <v/>
      </c>
      <c r="AK445" s="105" t="str">
        <f>IF(preDEL!$AG445,IFERROR(0/0,""),preDEL!AK445)</f>
        <v>Negative</v>
      </c>
      <c r="AL445" s="112" t="str">
        <f>IF(preDEL!$AG445,IFERROR(0/0,""),preDEL!AL445)</f>
        <v/>
      </c>
      <c r="AM445" s="112" t="str">
        <f>IF(preDEL!$AG445,IFERROR(0/0,""),preDEL!AM445)</f>
        <v>SpBEND363177</v>
      </c>
      <c r="AN445" s="112" t="str">
        <f>IF(preDEL!$AG445,IFERROR(0/0,""),preDEL!AN445)</f>
        <v>BEND213287</v>
      </c>
      <c r="AO445" s="112" t="str">
        <f>IF(preDEL!$AG445,IFERROR(0/0,""),preDEL!AO445)</f>
        <v/>
      </c>
      <c r="AP445" s="112" t="str">
        <f>IF(preDEL!$AG445,IFERROR(0/0,""),preDEL!AP445)</f>
        <v/>
      </c>
      <c r="AQ445" s="112" t="str">
        <f>IF(preDEL!$AG445,IFERROR(0/0,""),preDEL!AQ445)</f>
        <v/>
      </c>
      <c r="AR445" s="112" t="str">
        <f>IF(preDEL!$AG445,IFERROR(0/0,""),preDEL!AR445)</f>
        <v/>
      </c>
      <c r="AS445" s="112" t="str">
        <f>IF(preDEL!$AG445,IFERROR(0/0,""),preDEL!AS445)</f>
        <v/>
      </c>
      <c r="AT445" s="112" t="b">
        <f>IF(preDEL!$AG445,IFERROR(0/0,""),preDEL!AT445)</f>
        <v>0</v>
      </c>
      <c r="AU445" s="112" t="str">
        <f>IF(preDEL!$AG445,IFERROR(0/0,""),preDEL!AU445)</f>
        <v/>
      </c>
      <c r="AV445" s="112" t="str">
        <f>IF(preDEL!$AG445,IFERROR(0/0,""),preDEL!AV445)</f>
        <v/>
      </c>
      <c r="AW445" s="112" t="str">
        <f>IF(preDEL!$AG445,IFERROR(0/0,""),preDEL!AW445)</f>
        <v/>
      </c>
      <c r="AX445" s="112" t="str">
        <f>IF(preDEL!$AG445,IFERROR(0/0,""),preDEL!AX445)</f>
        <v/>
      </c>
      <c r="AY445" s="112" t="str">
        <f>IF(preDEL!$AG445,IFERROR(0/0,""),preDEL!AY445)</f>
        <v/>
      </c>
      <c r="AZ445" s="174"/>
      <c r="BA445" s="174"/>
      <c r="BB445" s="174"/>
      <c r="BC445" s="174"/>
      <c r="BD445" s="174"/>
      <c r="BE445" s="174"/>
      <c r="BF445" s="174"/>
      <c r="BG445" s="174"/>
      <c r="BH445" s="174"/>
      <c r="BI445" s="174"/>
      <c r="BJ445" s="174"/>
      <c r="BK445" s="174"/>
      <c r="BL445" s="174"/>
      <c r="BM445" s="174"/>
      <c r="BN445" s="174"/>
      <c r="BO445" s="174"/>
      <c r="BP445" s="174"/>
      <c r="BQ445" s="174"/>
      <c r="BR445" s="174"/>
      <c r="BS445" s="174"/>
      <c r="BT445" s="174"/>
      <c r="BU445" s="174"/>
      <c r="BV445" s="174"/>
      <c r="BW445" s="174"/>
      <c r="BX445" s="174"/>
      <c r="BY445" s="174"/>
      <c r="BZ445" s="174"/>
      <c r="CA445" s="174"/>
      <c r="CB445" s="174"/>
      <c r="CC445" s="174"/>
      <c r="CD445" s="174"/>
    </row>
    <row r="446">
      <c r="A446" s="105" t="str">
        <f>IF(preDEL!$AG446,IFERROR(0/0,""),preDEL!A446)</f>
        <v>FM996</v>
      </c>
      <c r="B446" s="170">
        <f>IF(preDEL!$AG446,IFERROR(0/0,""),preDEL!B446)</f>
        <v>44609</v>
      </c>
      <c r="C446" s="171">
        <f>IF(preDEL!$AG446,IFERROR(0/0,""),preDEL!C446)</f>
        <v>0.3274884259</v>
      </c>
      <c r="D446" s="105" t="str">
        <f>IF(preDEL!$AG446,IFERROR(0/0,""),preDEL!D446)</f>
        <v/>
      </c>
      <c r="E446" s="105" t="str">
        <f>IF(preDEL!$AG446,IFERROR(0/0,""),preDEL!E446)</f>
        <v/>
      </c>
      <c r="F446" s="112" t="str">
        <f>IF(preDEL!$AG446,IFERROR(0/0,""),preDEL!F446)</f>
        <v/>
      </c>
      <c r="G446" s="112" t="str">
        <f>IF(preDEL!$AG446,IFERROR(0/0,""),preDEL!G446)</f>
        <v/>
      </c>
      <c r="H446" s="112" t="str">
        <f>IF(preDEL!$AG446,IFERROR(0/0,""),preDEL!H446)</f>
        <v/>
      </c>
      <c r="I446" s="105" t="str">
        <f>IF(preDEL!$AG446,IFERROR(0/0,""),preDEL!I446)</f>
        <v/>
      </c>
      <c r="J446" s="105" t="str">
        <f>IF(preDEL!$AG446,IFERROR(0/0,""),preDEL!J446)</f>
        <v/>
      </c>
      <c r="K446" s="105" t="str">
        <f>IF(preDEL!$AG446,IFERROR(0/0,""),preDEL!K446)</f>
        <v>Negative</v>
      </c>
      <c r="L446" s="170">
        <f>IF(preDEL!$AG446,IFERROR(0/0,""),preDEL!L446)</f>
        <v>44611</v>
      </c>
      <c r="M446" s="171">
        <f>IF(preDEL!$AG446,IFERROR(0/0,""),preDEL!M446)</f>
        <v>0.3895601852</v>
      </c>
      <c r="N446" s="112" t="str">
        <f>IF(preDEL!$AG446,IFERROR(0/0,""),preDEL!N446)</f>
        <v/>
      </c>
      <c r="O446" s="112" t="str">
        <f>IF(preDEL!$AG446,IFERROR(0/0,""),preDEL!O446)</f>
        <v/>
      </c>
      <c r="P446" s="110" t="b">
        <f>IF(preDEL!$AG446,IFERROR(0/0,""),preDEL!P446)</f>
        <v>0</v>
      </c>
      <c r="Q446" s="110" t="str">
        <f>IF(preDEL!$AG446,IFERROR(0/0,""),preDEL!Q446)</f>
        <v>Result</v>
      </c>
      <c r="R446" s="104" t="b">
        <f>IF(preDEL!$AG446,IFERROR(0/0,""),preDEL!R446)</f>
        <v>1</v>
      </c>
      <c r="S446" s="104">
        <f>IF(preDEL!$AG446,IFERROR(0/0,""),preDEL!S446)</f>
        <v>1</v>
      </c>
      <c r="T446" s="110" t="str">
        <f>IF(preDEL!$AG446,IFERROR(0/0,""),preDEL!T446)</f>
        <v/>
      </c>
      <c r="U446" s="112" t="str">
        <f>IF(preDEL!$AG446,IFERROR(0/0,""),preDEL!U446)</f>
        <v/>
      </c>
      <c r="V446" s="105" t="str">
        <f>IF(preDEL!$AG446,IFERROR(0/0,""),preDEL!V446)</f>
        <v/>
      </c>
      <c r="W446" s="112" t="str">
        <f>IF(preDEL!$AG446,IFERROR(0/0,""),preDEL!W446)</f>
        <v/>
      </c>
      <c r="X446" s="104" t="b">
        <f>IF(preDEL!$AG446,IFERROR(0/0,""),preDEL!X446)</f>
        <v>0</v>
      </c>
      <c r="Y446" s="110" t="b">
        <f>IF(preDEL!$AG446,IFERROR(0/0,""),preDEL!Y446)</f>
        <v>0</v>
      </c>
      <c r="Z446" s="105" t="str">
        <f>IF(preDEL!$AG446,IFERROR(0/0,""),preDEL!Z446)</f>
        <v/>
      </c>
      <c r="AA446" s="110" t="b">
        <f>IF(preDEL!$AG446,IFERROR(0/0,""),preDEL!AA446)</f>
        <v>0</v>
      </c>
      <c r="AB446" s="110" t="b">
        <f>IF(preDEL!$AG446,IFERROR(0/0,""),preDEL!AB446)</f>
        <v>0</v>
      </c>
      <c r="AC446" s="172">
        <f>IF(preDEL!$AG446,IFERROR(0/0,""),preDEL!AC446)</f>
        <v>362</v>
      </c>
      <c r="AD446" s="104" t="b">
        <f>IF(preDEL!$AG446,IFERROR(0/0,""),preDEL!AD446)</f>
        <v>0</v>
      </c>
      <c r="AE446" s="173" t="str">
        <f>IF(preDEL!$AG446,IFERROR(0/0,""),preDEL!AE446)</f>
        <v/>
      </c>
      <c r="AF446" s="110" t="b">
        <f>IF(preDEL!$AG446,IFERROR(0/0,""),preDEL!AF446)</f>
        <v>0</v>
      </c>
      <c r="AG446" s="110" t="b">
        <f>IF(preDEL!$AG446,IFERROR(0/0,""),preDEL!AG446)</f>
        <v>0</v>
      </c>
      <c r="AH446" s="104" t="str">
        <f>IF(preDEL!$AG446,IFERROR(0/0,""),preDEL!AH446)</f>
        <v/>
      </c>
      <c r="AI446" s="105" t="str">
        <f>IF(preDEL!$AG446,IFERROR(0/0,""),preDEL!AI446)</f>
        <v/>
      </c>
      <c r="AJ446" s="112">
        <f>IF(preDEL!$AG446,IFERROR(0/0,""),preDEL!AJ446)</f>
        <v>4.1</v>
      </c>
      <c r="AK446" s="105" t="str">
        <f>IF(preDEL!$AG446,IFERROR(0/0,""),preDEL!AK446)</f>
        <v>Inconclusive</v>
      </c>
      <c r="AL446" s="112" t="str">
        <f>IF(preDEL!$AG446,IFERROR(0/0,""),preDEL!AL446)</f>
        <v>Negative to Inconclusive based  on RFR Audit and LUM (RT Jan26)</v>
      </c>
      <c r="AM446" s="112" t="str">
        <f>IF(preDEL!$AG446,IFERROR(0/0,""),preDEL!AM446)</f>
        <v>SpBEND328905</v>
      </c>
      <c r="AN446" s="112" t="str">
        <f>IF(preDEL!$AG446,IFERROR(0/0,""),preDEL!AN446)</f>
        <v>BEND972161</v>
      </c>
      <c r="AO446" s="112" t="str">
        <f>IF(preDEL!$AG446,IFERROR(0/0,""),preDEL!AO446)</f>
        <v/>
      </c>
      <c r="AP446" s="112" t="str">
        <f>IF(preDEL!$AG446,IFERROR(0/0,""),preDEL!AP446)</f>
        <v/>
      </c>
      <c r="AQ446" s="112" t="str">
        <f>IF(preDEL!$AG446,IFERROR(0/0,""),preDEL!AQ446)</f>
        <v/>
      </c>
      <c r="AR446" s="112" t="str">
        <f>IF(preDEL!$AG446,IFERROR(0/0,""),preDEL!AR446)</f>
        <v/>
      </c>
      <c r="AS446" s="112" t="str">
        <f>IF(preDEL!$AG446,IFERROR(0/0,""),preDEL!AS446)</f>
        <v/>
      </c>
      <c r="AT446" s="112" t="b">
        <f>IF(preDEL!$AG446,IFERROR(0/0,""),preDEL!AT446)</f>
        <v>0</v>
      </c>
      <c r="AU446" s="112" t="str">
        <f>IF(preDEL!$AG446,IFERROR(0/0,""),preDEL!AU446)</f>
        <v/>
      </c>
      <c r="AV446" s="112" t="str">
        <f>IF(preDEL!$AG446,IFERROR(0/0,""),preDEL!AV446)</f>
        <v/>
      </c>
      <c r="AW446" s="112" t="str">
        <f>IF(preDEL!$AG446,IFERROR(0/0,""),preDEL!AW446)</f>
        <v/>
      </c>
      <c r="AX446" s="112" t="str">
        <f>IF(preDEL!$AG446,IFERROR(0/0,""),preDEL!AX446)</f>
        <v/>
      </c>
      <c r="AY446" s="112" t="str">
        <f>IF(preDEL!$AG446,IFERROR(0/0,""),preDEL!AY446)</f>
        <v/>
      </c>
      <c r="AZ446" s="174"/>
      <c r="BA446" s="174"/>
      <c r="BB446" s="174"/>
      <c r="BC446" s="174"/>
      <c r="BD446" s="174"/>
      <c r="BE446" s="174"/>
      <c r="BF446" s="174"/>
      <c r="BG446" s="174"/>
      <c r="BH446" s="174"/>
      <c r="BI446" s="174"/>
      <c r="BJ446" s="174"/>
      <c r="BK446" s="174"/>
      <c r="BL446" s="174"/>
      <c r="BM446" s="174"/>
      <c r="BN446" s="174"/>
      <c r="BO446" s="174"/>
      <c r="BP446" s="174"/>
      <c r="BQ446" s="174"/>
      <c r="BR446" s="174"/>
      <c r="BS446" s="174"/>
      <c r="BT446" s="174"/>
      <c r="BU446" s="174"/>
      <c r="BV446" s="174"/>
      <c r="BW446" s="174"/>
      <c r="BX446" s="174"/>
      <c r="BY446" s="174"/>
      <c r="BZ446" s="174"/>
      <c r="CA446" s="174"/>
      <c r="CB446" s="174"/>
      <c r="CC446" s="174"/>
      <c r="CD446" s="174"/>
    </row>
    <row r="447">
      <c r="A447" s="105" t="str">
        <f>IF(preDEL!$AG447,IFERROR(0/0,""),preDEL!A447)</f>
        <v>FM56</v>
      </c>
      <c r="B447" s="170">
        <f>IF(preDEL!$AG447,IFERROR(0/0,""),preDEL!B447)</f>
        <v>44609</v>
      </c>
      <c r="C447" s="171">
        <f>IF(preDEL!$AG447,IFERROR(0/0,""),preDEL!C447)</f>
        <v>0.3275578704</v>
      </c>
      <c r="D447" s="105" t="str">
        <f>IF(preDEL!$AG447,IFERROR(0/0,""),preDEL!D447)</f>
        <v/>
      </c>
      <c r="E447" s="105" t="str">
        <f>IF(preDEL!$AG447,IFERROR(0/0,""),preDEL!E447)</f>
        <v/>
      </c>
      <c r="F447" s="112" t="str">
        <f>IF(preDEL!$AG447,IFERROR(0/0,""),preDEL!F447)</f>
        <v/>
      </c>
      <c r="G447" s="112" t="str">
        <f>IF(preDEL!$AG447,IFERROR(0/0,""),preDEL!G447)</f>
        <v/>
      </c>
      <c r="H447" s="112" t="str">
        <f>IF(preDEL!$AG447,IFERROR(0/0,""),preDEL!H447)</f>
        <v/>
      </c>
      <c r="I447" s="105" t="str">
        <f>IF(preDEL!$AG447,IFERROR(0/0,""),preDEL!I447)</f>
        <v/>
      </c>
      <c r="J447" s="105" t="str">
        <f>IF(preDEL!$AG447,IFERROR(0/0,""),preDEL!J447)</f>
        <v/>
      </c>
      <c r="K447" s="105" t="str">
        <f>IF(preDEL!$AG447,IFERROR(0/0,""),preDEL!K447)</f>
        <v>Negative</v>
      </c>
      <c r="L447" s="170">
        <f>IF(preDEL!$AG447,IFERROR(0/0,""),preDEL!L447)</f>
        <v>44611</v>
      </c>
      <c r="M447" s="171">
        <f>IF(preDEL!$AG447,IFERROR(0/0,""),preDEL!M447)</f>
        <v>0.3895717593</v>
      </c>
      <c r="N447" s="112" t="str">
        <f>IF(preDEL!$AG447,IFERROR(0/0,""),preDEL!N447)</f>
        <v/>
      </c>
      <c r="O447" s="112" t="str">
        <f>IF(preDEL!$AG447,IFERROR(0/0,""),preDEL!O447)</f>
        <v/>
      </c>
      <c r="P447" s="110" t="b">
        <f>IF(preDEL!$AG447,IFERROR(0/0,""),preDEL!P447)</f>
        <v>0</v>
      </c>
      <c r="Q447" s="110" t="str">
        <f>IF(preDEL!$AG447,IFERROR(0/0,""),preDEL!Q447)</f>
        <v>Result</v>
      </c>
      <c r="R447" s="104" t="b">
        <f>IF(preDEL!$AG447,IFERROR(0/0,""),preDEL!R447)</f>
        <v>1</v>
      </c>
      <c r="S447" s="104">
        <f>IF(preDEL!$AG447,IFERROR(0/0,""),preDEL!S447)</f>
        <v>1</v>
      </c>
      <c r="T447" s="110" t="str">
        <f>IF(preDEL!$AG447,IFERROR(0/0,""),preDEL!T447)</f>
        <v/>
      </c>
      <c r="U447" s="112" t="str">
        <f>IF(preDEL!$AG447,IFERROR(0/0,""),preDEL!U447)</f>
        <v/>
      </c>
      <c r="V447" s="105" t="str">
        <f>IF(preDEL!$AG447,IFERROR(0/0,""),preDEL!V447)</f>
        <v/>
      </c>
      <c r="W447" s="112" t="str">
        <f>IF(preDEL!$AG447,IFERROR(0/0,""),preDEL!W447)</f>
        <v/>
      </c>
      <c r="X447" s="104" t="b">
        <f>IF(preDEL!$AG447,IFERROR(0/0,""),preDEL!X447)</f>
        <v>0</v>
      </c>
      <c r="Y447" s="110" t="b">
        <f>IF(preDEL!$AG447,IFERROR(0/0,""),preDEL!Y447)</f>
        <v>0</v>
      </c>
      <c r="Z447" s="105" t="str">
        <f>IF(preDEL!$AG447,IFERROR(0/0,""),preDEL!Z447)</f>
        <v/>
      </c>
      <c r="AA447" s="110" t="b">
        <f>IF(preDEL!$AG447,IFERROR(0/0,""),preDEL!AA447)</f>
        <v>0</v>
      </c>
      <c r="AB447" s="110" t="b">
        <f>IF(preDEL!$AG447,IFERROR(0/0,""),preDEL!AB447)</f>
        <v>0</v>
      </c>
      <c r="AC447" s="172">
        <f>IF(preDEL!$AG447,IFERROR(0/0,""),preDEL!AC447)</f>
        <v>361</v>
      </c>
      <c r="AD447" s="104" t="b">
        <f>IF(preDEL!$AG447,IFERROR(0/0,""),preDEL!AD447)</f>
        <v>0</v>
      </c>
      <c r="AE447" s="173" t="str">
        <f>IF(preDEL!$AG447,IFERROR(0/0,""),preDEL!AE447)</f>
        <v/>
      </c>
      <c r="AF447" s="110" t="b">
        <f>IF(preDEL!$AG447,IFERROR(0/0,""),preDEL!AF447)</f>
        <v>0</v>
      </c>
      <c r="AG447" s="110" t="b">
        <f>IF(preDEL!$AG447,IFERROR(0/0,""),preDEL!AG447)</f>
        <v>0</v>
      </c>
      <c r="AH447" s="104" t="str">
        <f>IF(preDEL!$AG447,IFERROR(0/0,""),preDEL!AH447)</f>
        <v/>
      </c>
      <c r="AI447" s="105" t="str">
        <f>IF(preDEL!$AG447,IFERROR(0/0,""),preDEL!AI447)</f>
        <v/>
      </c>
      <c r="AJ447" s="112" t="str">
        <f>IF(preDEL!$AG447,IFERROR(0/0,""),preDEL!AJ447)</f>
        <v/>
      </c>
      <c r="AK447" s="105" t="str">
        <f>IF(preDEL!$AG447,IFERROR(0/0,""),preDEL!AK447)</f>
        <v>Negative</v>
      </c>
      <c r="AL447" s="112" t="str">
        <f>IF(preDEL!$AG447,IFERROR(0/0,""),preDEL!AL447)</f>
        <v/>
      </c>
      <c r="AM447" s="112" t="str">
        <f>IF(preDEL!$AG447,IFERROR(0/0,""),preDEL!AM447)</f>
        <v>SpBEND643855</v>
      </c>
      <c r="AN447" s="112" t="str">
        <f>IF(preDEL!$AG447,IFERROR(0/0,""),preDEL!AN447)</f>
        <v>BEND364074</v>
      </c>
      <c r="AO447" s="112" t="str">
        <f>IF(preDEL!$AG447,IFERROR(0/0,""),preDEL!AO447)</f>
        <v/>
      </c>
      <c r="AP447" s="112" t="str">
        <f>IF(preDEL!$AG447,IFERROR(0/0,""),preDEL!AP447)</f>
        <v/>
      </c>
      <c r="AQ447" s="112" t="str">
        <f>IF(preDEL!$AG447,IFERROR(0/0,""),preDEL!AQ447)</f>
        <v/>
      </c>
      <c r="AR447" s="112" t="str">
        <f>IF(preDEL!$AG447,IFERROR(0/0,""),preDEL!AR447)</f>
        <v/>
      </c>
      <c r="AS447" s="112" t="str">
        <f>IF(preDEL!$AG447,IFERROR(0/0,""),preDEL!AS447)</f>
        <v/>
      </c>
      <c r="AT447" s="112" t="b">
        <f>IF(preDEL!$AG447,IFERROR(0/0,""),preDEL!AT447)</f>
        <v>0</v>
      </c>
      <c r="AU447" s="112" t="str">
        <f>IF(preDEL!$AG447,IFERROR(0/0,""),preDEL!AU447)</f>
        <v/>
      </c>
      <c r="AV447" s="112" t="str">
        <f>IF(preDEL!$AG447,IFERROR(0/0,""),preDEL!AV447)</f>
        <v/>
      </c>
      <c r="AW447" s="112" t="str">
        <f>IF(preDEL!$AG447,IFERROR(0/0,""),preDEL!AW447)</f>
        <v/>
      </c>
      <c r="AX447" s="112" t="str">
        <f>IF(preDEL!$AG447,IFERROR(0/0,""),preDEL!AX447)</f>
        <v/>
      </c>
      <c r="AY447" s="112" t="str">
        <f>IF(preDEL!$AG447,IFERROR(0/0,""),preDEL!AY447)</f>
        <v/>
      </c>
      <c r="AZ447" s="174"/>
      <c r="BA447" s="174"/>
      <c r="BB447" s="174"/>
      <c r="BC447" s="174"/>
      <c r="BD447" s="174"/>
      <c r="BE447" s="174"/>
      <c r="BF447" s="174"/>
      <c r="BG447" s="174"/>
      <c r="BH447" s="174"/>
      <c r="BI447" s="174"/>
      <c r="BJ447" s="174"/>
      <c r="BK447" s="174"/>
      <c r="BL447" s="174"/>
      <c r="BM447" s="174"/>
      <c r="BN447" s="174"/>
      <c r="BO447" s="174"/>
      <c r="BP447" s="174"/>
      <c r="BQ447" s="174"/>
      <c r="BR447" s="174"/>
      <c r="BS447" s="174"/>
      <c r="BT447" s="174"/>
      <c r="BU447" s="174"/>
      <c r="BV447" s="174"/>
      <c r="BW447" s="174"/>
      <c r="BX447" s="174"/>
      <c r="BY447" s="174"/>
      <c r="BZ447" s="174"/>
      <c r="CA447" s="174"/>
      <c r="CB447" s="174"/>
      <c r="CC447" s="174"/>
      <c r="CD447" s="174"/>
    </row>
    <row r="448">
      <c r="A448" s="105" t="str">
        <f>IF(preDEL!$AG448,IFERROR(0/0,""),preDEL!A448)</f>
        <v>FM33</v>
      </c>
      <c r="B448" s="170">
        <f>IF(preDEL!$AG448,IFERROR(0/0,""),preDEL!B448)</f>
        <v>44609</v>
      </c>
      <c r="C448" s="171">
        <f>IF(preDEL!$AG448,IFERROR(0/0,""),preDEL!C448)</f>
        <v>0.3276041667</v>
      </c>
      <c r="D448" s="105" t="str">
        <f>IF(preDEL!$AG448,IFERROR(0/0,""),preDEL!D448)</f>
        <v/>
      </c>
      <c r="E448" s="105" t="str">
        <f>IF(preDEL!$AG448,IFERROR(0/0,""),preDEL!E448)</f>
        <v/>
      </c>
      <c r="F448" s="112" t="str">
        <f>IF(preDEL!$AG448,IFERROR(0/0,""),preDEL!F448)</f>
        <v/>
      </c>
      <c r="G448" s="112" t="str">
        <f>IF(preDEL!$AG448,IFERROR(0/0,""),preDEL!G448)</f>
        <v/>
      </c>
      <c r="H448" s="112" t="str">
        <f>IF(preDEL!$AG448,IFERROR(0/0,""),preDEL!H448)</f>
        <v/>
      </c>
      <c r="I448" s="105" t="str">
        <f>IF(preDEL!$AG448,IFERROR(0/0,""),preDEL!I448)</f>
        <v/>
      </c>
      <c r="J448" s="105" t="str">
        <f>IF(preDEL!$AG448,IFERROR(0/0,""),preDEL!J448)</f>
        <v/>
      </c>
      <c r="K448" s="105" t="str">
        <f>IF(preDEL!$AG448,IFERROR(0/0,""),preDEL!K448)</f>
        <v>Negative</v>
      </c>
      <c r="L448" s="170">
        <f>IF(preDEL!$AG448,IFERROR(0/0,""),preDEL!L448)</f>
        <v>44611</v>
      </c>
      <c r="M448" s="171">
        <f>IF(preDEL!$AG448,IFERROR(0/0,""),preDEL!M448)</f>
        <v>0.3895833333</v>
      </c>
      <c r="N448" s="112" t="str">
        <f>IF(preDEL!$AG448,IFERROR(0/0,""),preDEL!N448)</f>
        <v/>
      </c>
      <c r="O448" s="112" t="str">
        <f>IF(preDEL!$AG448,IFERROR(0/0,""),preDEL!O448)</f>
        <v/>
      </c>
      <c r="P448" s="110" t="b">
        <f>IF(preDEL!$AG448,IFERROR(0/0,""),preDEL!P448)</f>
        <v>0</v>
      </c>
      <c r="Q448" s="110" t="str">
        <f>IF(preDEL!$AG448,IFERROR(0/0,""),preDEL!Q448)</f>
        <v>Result</v>
      </c>
      <c r="R448" s="104" t="b">
        <f>IF(preDEL!$AG448,IFERROR(0/0,""),preDEL!R448)</f>
        <v>1</v>
      </c>
      <c r="S448" s="104">
        <f>IF(preDEL!$AG448,IFERROR(0/0,""),preDEL!S448)</f>
        <v>1</v>
      </c>
      <c r="T448" s="110" t="str">
        <f>IF(preDEL!$AG448,IFERROR(0/0,""),preDEL!T448)</f>
        <v/>
      </c>
      <c r="U448" s="112" t="str">
        <f>IF(preDEL!$AG448,IFERROR(0/0,""),preDEL!U448)</f>
        <v/>
      </c>
      <c r="V448" s="105" t="str">
        <f>IF(preDEL!$AG448,IFERROR(0/0,""),preDEL!V448)</f>
        <v/>
      </c>
      <c r="W448" s="112" t="str">
        <f>IF(preDEL!$AG448,IFERROR(0/0,""),preDEL!W448)</f>
        <v/>
      </c>
      <c r="X448" s="104" t="b">
        <f>IF(preDEL!$AG448,IFERROR(0/0,""),preDEL!X448)</f>
        <v>0</v>
      </c>
      <c r="Y448" s="110" t="b">
        <f>IF(preDEL!$AG448,IFERROR(0/0,""),preDEL!Y448)</f>
        <v>0</v>
      </c>
      <c r="Z448" s="105" t="str">
        <f>IF(preDEL!$AG448,IFERROR(0/0,""),preDEL!Z448)</f>
        <v/>
      </c>
      <c r="AA448" s="110" t="b">
        <f>IF(preDEL!$AG448,IFERROR(0/0,""),preDEL!AA448)</f>
        <v>0</v>
      </c>
      <c r="AB448" s="110" t="b">
        <f>IF(preDEL!$AG448,IFERROR(0/0,""),preDEL!AB448)</f>
        <v>0</v>
      </c>
      <c r="AC448" s="172">
        <f>IF(preDEL!$AG448,IFERROR(0/0,""),preDEL!AC448)</f>
        <v>360</v>
      </c>
      <c r="AD448" s="104" t="b">
        <f>IF(preDEL!$AG448,IFERROR(0/0,""),preDEL!AD448)</f>
        <v>0</v>
      </c>
      <c r="AE448" s="173" t="str">
        <f>IF(preDEL!$AG448,IFERROR(0/0,""),preDEL!AE448)</f>
        <v/>
      </c>
      <c r="AF448" s="110" t="b">
        <f>IF(preDEL!$AG448,IFERROR(0/0,""),preDEL!AF448)</f>
        <v>0</v>
      </c>
      <c r="AG448" s="110" t="b">
        <f>IF(preDEL!$AG448,IFERROR(0/0,""),preDEL!AG448)</f>
        <v>0</v>
      </c>
      <c r="AH448" s="104" t="str">
        <f>IF(preDEL!$AG448,IFERROR(0/0,""),preDEL!AH448)</f>
        <v/>
      </c>
      <c r="AI448" s="105" t="str">
        <f>IF(preDEL!$AG448,IFERROR(0/0,""),preDEL!AI448)</f>
        <v/>
      </c>
      <c r="AJ448" s="112" t="str">
        <f>IF(preDEL!$AG448,IFERROR(0/0,""),preDEL!AJ448)</f>
        <v/>
      </c>
      <c r="AK448" s="105" t="str">
        <f>IF(preDEL!$AG448,IFERROR(0/0,""),preDEL!AK448)</f>
        <v>Negative</v>
      </c>
      <c r="AL448" s="112" t="str">
        <f>IF(preDEL!$AG448,IFERROR(0/0,""),preDEL!AL448)</f>
        <v/>
      </c>
      <c r="AM448" s="112" t="str">
        <f>IF(preDEL!$AG448,IFERROR(0/0,""),preDEL!AM448)</f>
        <v>SpBEND768497</v>
      </c>
      <c r="AN448" s="112" t="str">
        <f>IF(preDEL!$AG448,IFERROR(0/0,""),preDEL!AN448)</f>
        <v>BEND900381</v>
      </c>
      <c r="AO448" s="112" t="str">
        <f>IF(preDEL!$AG448,IFERROR(0/0,""),preDEL!AO448)</f>
        <v/>
      </c>
      <c r="AP448" s="112" t="str">
        <f>IF(preDEL!$AG448,IFERROR(0/0,""),preDEL!AP448)</f>
        <v/>
      </c>
      <c r="AQ448" s="112" t="str">
        <f>IF(preDEL!$AG448,IFERROR(0/0,""),preDEL!AQ448)</f>
        <v/>
      </c>
      <c r="AR448" s="112" t="str">
        <f>IF(preDEL!$AG448,IFERROR(0/0,""),preDEL!AR448)</f>
        <v/>
      </c>
      <c r="AS448" s="112" t="str">
        <f>IF(preDEL!$AG448,IFERROR(0/0,""),preDEL!AS448)</f>
        <v/>
      </c>
      <c r="AT448" s="112" t="b">
        <f>IF(preDEL!$AG448,IFERROR(0/0,""),preDEL!AT448)</f>
        <v>0</v>
      </c>
      <c r="AU448" s="112" t="str">
        <f>IF(preDEL!$AG448,IFERROR(0/0,""),preDEL!AU448)</f>
        <v/>
      </c>
      <c r="AV448" s="112" t="str">
        <f>IF(preDEL!$AG448,IFERROR(0/0,""),preDEL!AV448)</f>
        <v/>
      </c>
      <c r="AW448" s="112" t="str">
        <f>IF(preDEL!$AG448,IFERROR(0/0,""),preDEL!AW448)</f>
        <v/>
      </c>
      <c r="AX448" s="112" t="str">
        <f>IF(preDEL!$AG448,IFERROR(0/0,""),preDEL!AX448)</f>
        <v/>
      </c>
      <c r="AY448" s="112" t="str">
        <f>IF(preDEL!$AG448,IFERROR(0/0,""),preDEL!AY448)</f>
        <v/>
      </c>
      <c r="AZ448" s="174"/>
      <c r="BA448" s="174"/>
      <c r="BB448" s="174"/>
      <c r="BC448" s="174"/>
      <c r="BD448" s="174"/>
      <c r="BE448" s="174"/>
      <c r="BF448" s="174"/>
      <c r="BG448" s="174"/>
      <c r="BH448" s="174"/>
      <c r="BI448" s="174"/>
      <c r="BJ448" s="174"/>
      <c r="BK448" s="174"/>
      <c r="BL448" s="174"/>
      <c r="BM448" s="174"/>
      <c r="BN448" s="174"/>
      <c r="BO448" s="174"/>
      <c r="BP448" s="174"/>
      <c r="BQ448" s="174"/>
      <c r="BR448" s="174"/>
      <c r="BS448" s="174"/>
      <c r="BT448" s="174"/>
      <c r="BU448" s="174"/>
      <c r="BV448" s="174"/>
      <c r="BW448" s="174"/>
      <c r="BX448" s="174"/>
      <c r="BY448" s="174"/>
      <c r="BZ448" s="174"/>
      <c r="CA448" s="174"/>
      <c r="CB448" s="174"/>
      <c r="CC448" s="174"/>
      <c r="CD448" s="174"/>
    </row>
    <row r="449">
      <c r="A449" s="105" t="str">
        <f>IF(preDEL!$AG449,IFERROR(0/0,""),preDEL!A449)</f>
        <v>FM472</v>
      </c>
      <c r="B449" s="170">
        <f>IF(preDEL!$AG449,IFERROR(0/0,""),preDEL!B449)</f>
        <v>44609</v>
      </c>
      <c r="C449" s="171">
        <f>IF(preDEL!$AG449,IFERROR(0/0,""),preDEL!C449)</f>
        <v>0.327662037</v>
      </c>
      <c r="D449" s="105" t="str">
        <f>IF(preDEL!$AG449,IFERROR(0/0,""),preDEL!D449)</f>
        <v/>
      </c>
      <c r="E449" s="105" t="str">
        <f>IF(preDEL!$AG449,IFERROR(0/0,""),preDEL!E449)</f>
        <v/>
      </c>
      <c r="F449" s="112" t="str">
        <f>IF(preDEL!$AG449,IFERROR(0/0,""),preDEL!F449)</f>
        <v/>
      </c>
      <c r="G449" s="112" t="str">
        <f>IF(preDEL!$AG449,IFERROR(0/0,""),preDEL!G449)</f>
        <v/>
      </c>
      <c r="H449" s="112" t="str">
        <f>IF(preDEL!$AG449,IFERROR(0/0,""),preDEL!H449)</f>
        <v/>
      </c>
      <c r="I449" s="105" t="str">
        <f>IF(preDEL!$AG449,IFERROR(0/0,""),preDEL!I449)</f>
        <v/>
      </c>
      <c r="J449" s="105" t="str">
        <f>IF(preDEL!$AG449,IFERROR(0/0,""),preDEL!J449)</f>
        <v/>
      </c>
      <c r="K449" s="105" t="str">
        <f>IF(preDEL!$AG449,IFERROR(0/0,""),preDEL!K449)</f>
        <v>Negative</v>
      </c>
      <c r="L449" s="170">
        <f>IF(preDEL!$AG449,IFERROR(0/0,""),preDEL!L449)</f>
        <v>44611</v>
      </c>
      <c r="M449" s="171">
        <f>IF(preDEL!$AG449,IFERROR(0/0,""),preDEL!M449)</f>
        <v>0.3895833333</v>
      </c>
      <c r="N449" s="112" t="str">
        <f>IF(preDEL!$AG449,IFERROR(0/0,""),preDEL!N449)</f>
        <v/>
      </c>
      <c r="O449" s="112" t="str">
        <f>IF(preDEL!$AG449,IFERROR(0/0,""),preDEL!O449)</f>
        <v/>
      </c>
      <c r="P449" s="110" t="b">
        <f>IF(preDEL!$AG449,IFERROR(0/0,""),preDEL!P449)</f>
        <v>0</v>
      </c>
      <c r="Q449" s="110" t="str">
        <f>IF(preDEL!$AG449,IFERROR(0/0,""),preDEL!Q449)</f>
        <v>Result</v>
      </c>
      <c r="R449" s="104" t="b">
        <f>IF(preDEL!$AG449,IFERROR(0/0,""),preDEL!R449)</f>
        <v>1</v>
      </c>
      <c r="S449" s="104">
        <f>IF(preDEL!$AG449,IFERROR(0/0,""),preDEL!S449)</f>
        <v>1</v>
      </c>
      <c r="T449" s="110" t="str">
        <f>IF(preDEL!$AG449,IFERROR(0/0,""),preDEL!T449)</f>
        <v/>
      </c>
      <c r="U449" s="112" t="str">
        <f>IF(preDEL!$AG449,IFERROR(0/0,""),preDEL!U449)</f>
        <v/>
      </c>
      <c r="V449" s="105" t="str">
        <f>IF(preDEL!$AG449,IFERROR(0/0,""),preDEL!V449)</f>
        <v/>
      </c>
      <c r="W449" s="112" t="str">
        <f>IF(preDEL!$AG449,IFERROR(0/0,""),preDEL!W449)</f>
        <v/>
      </c>
      <c r="X449" s="104" t="b">
        <f>IF(preDEL!$AG449,IFERROR(0/0,""),preDEL!X449)</f>
        <v>0</v>
      </c>
      <c r="Y449" s="110" t="b">
        <f>IF(preDEL!$AG449,IFERROR(0/0,""),preDEL!Y449)</f>
        <v>0</v>
      </c>
      <c r="Z449" s="105" t="str">
        <f>IF(preDEL!$AG449,IFERROR(0/0,""),preDEL!Z449)</f>
        <v/>
      </c>
      <c r="AA449" s="110" t="b">
        <f>IF(preDEL!$AG449,IFERROR(0/0,""),preDEL!AA449)</f>
        <v>0</v>
      </c>
      <c r="AB449" s="110" t="b">
        <f>IF(preDEL!$AG449,IFERROR(0/0,""),preDEL!AB449)</f>
        <v>0</v>
      </c>
      <c r="AC449" s="172">
        <f>IF(preDEL!$AG449,IFERROR(0/0,""),preDEL!AC449)</f>
        <v>359</v>
      </c>
      <c r="AD449" s="104" t="b">
        <f>IF(preDEL!$AG449,IFERROR(0/0,""),preDEL!AD449)</f>
        <v>0</v>
      </c>
      <c r="AE449" s="173" t="str">
        <f>IF(preDEL!$AG449,IFERROR(0/0,""),preDEL!AE449)</f>
        <v/>
      </c>
      <c r="AF449" s="110" t="b">
        <f>IF(preDEL!$AG449,IFERROR(0/0,""),preDEL!AF449)</f>
        <v>0</v>
      </c>
      <c r="AG449" s="110" t="b">
        <f>IF(preDEL!$AG449,IFERROR(0/0,""),preDEL!AG449)</f>
        <v>0</v>
      </c>
      <c r="AH449" s="104" t="str">
        <f>IF(preDEL!$AG449,IFERROR(0/0,""),preDEL!AH449)</f>
        <v/>
      </c>
      <c r="AI449" s="105" t="str">
        <f>IF(preDEL!$AG449,IFERROR(0/0,""),preDEL!AI449)</f>
        <v/>
      </c>
      <c r="AJ449" s="112" t="str">
        <f>IF(preDEL!$AG449,IFERROR(0/0,""),preDEL!AJ449)</f>
        <v/>
      </c>
      <c r="AK449" s="105" t="str">
        <f>IF(preDEL!$AG449,IFERROR(0/0,""),preDEL!AK449)</f>
        <v>Negative</v>
      </c>
      <c r="AL449" s="112" t="str">
        <f>IF(preDEL!$AG449,IFERROR(0/0,""),preDEL!AL449)</f>
        <v/>
      </c>
      <c r="AM449" s="112" t="str">
        <f>IF(preDEL!$AG449,IFERROR(0/0,""),preDEL!AM449)</f>
        <v>SpBEND214692</v>
      </c>
      <c r="AN449" s="112" t="str">
        <f>IF(preDEL!$AG449,IFERROR(0/0,""),preDEL!AN449)</f>
        <v>BEND886978</v>
      </c>
      <c r="AO449" s="112" t="str">
        <f>IF(preDEL!$AG449,IFERROR(0/0,""),preDEL!AO449)</f>
        <v/>
      </c>
      <c r="AP449" s="112" t="str">
        <f>IF(preDEL!$AG449,IFERROR(0/0,""),preDEL!AP449)</f>
        <v/>
      </c>
      <c r="AQ449" s="112" t="str">
        <f>IF(preDEL!$AG449,IFERROR(0/0,""),preDEL!AQ449)</f>
        <v/>
      </c>
      <c r="AR449" s="112" t="str">
        <f>IF(preDEL!$AG449,IFERROR(0/0,""),preDEL!AR449)</f>
        <v/>
      </c>
      <c r="AS449" s="112" t="str">
        <f>IF(preDEL!$AG449,IFERROR(0/0,""),preDEL!AS449)</f>
        <v/>
      </c>
      <c r="AT449" s="112" t="b">
        <f>IF(preDEL!$AG449,IFERROR(0/0,""),preDEL!AT449)</f>
        <v>0</v>
      </c>
      <c r="AU449" s="112" t="str">
        <f>IF(preDEL!$AG449,IFERROR(0/0,""),preDEL!AU449)</f>
        <v/>
      </c>
      <c r="AV449" s="112" t="str">
        <f>IF(preDEL!$AG449,IFERROR(0/0,""),preDEL!AV449)</f>
        <v/>
      </c>
      <c r="AW449" s="112" t="str">
        <f>IF(preDEL!$AG449,IFERROR(0/0,""),preDEL!AW449)</f>
        <v/>
      </c>
      <c r="AX449" s="112" t="str">
        <f>IF(preDEL!$AG449,IFERROR(0/0,""),preDEL!AX449)</f>
        <v/>
      </c>
      <c r="AY449" s="112" t="str">
        <f>IF(preDEL!$AG449,IFERROR(0/0,""),preDEL!AY449)</f>
        <v/>
      </c>
      <c r="AZ449" s="174"/>
      <c r="BA449" s="174"/>
      <c r="BB449" s="174"/>
      <c r="BC449" s="174"/>
      <c r="BD449" s="174"/>
      <c r="BE449" s="174"/>
      <c r="BF449" s="174"/>
      <c r="BG449" s="174"/>
      <c r="BH449" s="174"/>
      <c r="BI449" s="174"/>
      <c r="BJ449" s="174"/>
      <c r="BK449" s="174"/>
      <c r="BL449" s="174"/>
      <c r="BM449" s="174"/>
      <c r="BN449" s="174"/>
      <c r="BO449" s="174"/>
      <c r="BP449" s="174"/>
      <c r="BQ449" s="174"/>
      <c r="BR449" s="174"/>
      <c r="BS449" s="174"/>
      <c r="BT449" s="174"/>
      <c r="BU449" s="174"/>
      <c r="BV449" s="174"/>
      <c r="BW449" s="174"/>
      <c r="BX449" s="174"/>
      <c r="BY449" s="174"/>
      <c r="BZ449" s="174"/>
      <c r="CA449" s="174"/>
      <c r="CB449" s="174"/>
      <c r="CC449" s="174"/>
      <c r="CD449" s="174"/>
    </row>
    <row r="450">
      <c r="A450" s="105" t="str">
        <f>IF(preDEL!$AG450,IFERROR(0/0,""),preDEL!A450)</f>
        <v>FM967</v>
      </c>
      <c r="B450" s="170">
        <f>IF(preDEL!$AG450,IFERROR(0/0,""),preDEL!B450)</f>
        <v>44609</v>
      </c>
      <c r="C450" s="171">
        <f>IF(preDEL!$AG450,IFERROR(0/0,""),preDEL!C450)</f>
        <v>0.3283101852</v>
      </c>
      <c r="D450" s="105" t="str">
        <f>IF(preDEL!$AG450,IFERROR(0/0,""),preDEL!D450)</f>
        <v/>
      </c>
      <c r="E450" s="105" t="str">
        <f>IF(preDEL!$AG450,IFERROR(0/0,""),preDEL!E450)</f>
        <v/>
      </c>
      <c r="F450" s="112" t="str">
        <f>IF(preDEL!$AG450,IFERROR(0/0,""),preDEL!F450)</f>
        <v/>
      </c>
      <c r="G450" s="112" t="str">
        <f>IF(preDEL!$AG450,IFERROR(0/0,""),preDEL!G450)</f>
        <v/>
      </c>
      <c r="H450" s="112" t="str">
        <f>IF(preDEL!$AG450,IFERROR(0/0,""),preDEL!H450)</f>
        <v/>
      </c>
      <c r="I450" s="105" t="str">
        <f>IF(preDEL!$AG450,IFERROR(0/0,""),preDEL!I450)</f>
        <v/>
      </c>
      <c r="J450" s="105" t="str">
        <f>IF(preDEL!$AG450,IFERROR(0/0,""),preDEL!J450)</f>
        <v/>
      </c>
      <c r="K450" s="105" t="str">
        <f>IF(preDEL!$AG450,IFERROR(0/0,""),preDEL!K450)</f>
        <v>Negative</v>
      </c>
      <c r="L450" s="170">
        <f>IF(preDEL!$AG450,IFERROR(0/0,""),preDEL!L450)</f>
        <v>44611</v>
      </c>
      <c r="M450" s="171">
        <f>IF(preDEL!$AG450,IFERROR(0/0,""),preDEL!M450)</f>
        <v>0.3895833333</v>
      </c>
      <c r="N450" s="112" t="str">
        <f>IF(preDEL!$AG450,IFERROR(0/0,""),preDEL!N450)</f>
        <v/>
      </c>
      <c r="O450" s="112" t="str">
        <f>IF(preDEL!$AG450,IFERROR(0/0,""),preDEL!O450)</f>
        <v/>
      </c>
      <c r="P450" s="110" t="b">
        <f>IF(preDEL!$AG450,IFERROR(0/0,""),preDEL!P450)</f>
        <v>0</v>
      </c>
      <c r="Q450" s="110" t="str">
        <f>IF(preDEL!$AG450,IFERROR(0/0,""),preDEL!Q450)</f>
        <v>Result</v>
      </c>
      <c r="R450" s="104" t="b">
        <f>IF(preDEL!$AG450,IFERROR(0/0,""),preDEL!R450)</f>
        <v>1</v>
      </c>
      <c r="S450" s="104">
        <f>IF(preDEL!$AG450,IFERROR(0/0,""),preDEL!S450)</f>
        <v>1</v>
      </c>
      <c r="T450" s="110" t="str">
        <f>IF(preDEL!$AG450,IFERROR(0/0,""),preDEL!T450)</f>
        <v/>
      </c>
      <c r="U450" s="112" t="str">
        <f>IF(preDEL!$AG450,IFERROR(0/0,""),preDEL!U450)</f>
        <v/>
      </c>
      <c r="V450" s="105" t="str">
        <f>IF(preDEL!$AG450,IFERROR(0/0,""),preDEL!V450)</f>
        <v/>
      </c>
      <c r="W450" s="112" t="str">
        <f>IF(preDEL!$AG450,IFERROR(0/0,""),preDEL!W450)</f>
        <v/>
      </c>
      <c r="X450" s="104" t="b">
        <f>IF(preDEL!$AG450,IFERROR(0/0,""),preDEL!X450)</f>
        <v>0</v>
      </c>
      <c r="Y450" s="110" t="b">
        <f>IF(preDEL!$AG450,IFERROR(0/0,""),preDEL!Y450)</f>
        <v>0</v>
      </c>
      <c r="Z450" s="105" t="str">
        <f>IF(preDEL!$AG450,IFERROR(0/0,""),preDEL!Z450)</f>
        <v/>
      </c>
      <c r="AA450" s="110" t="b">
        <f>IF(preDEL!$AG450,IFERROR(0/0,""),preDEL!AA450)</f>
        <v>0</v>
      </c>
      <c r="AB450" s="110" t="b">
        <f>IF(preDEL!$AG450,IFERROR(0/0,""),preDEL!AB450)</f>
        <v>0</v>
      </c>
      <c r="AC450" s="172">
        <f>IF(preDEL!$AG450,IFERROR(0/0,""),preDEL!AC450)</f>
        <v>358</v>
      </c>
      <c r="AD450" s="104" t="b">
        <f>IF(preDEL!$AG450,IFERROR(0/0,""),preDEL!AD450)</f>
        <v>0</v>
      </c>
      <c r="AE450" s="173" t="str">
        <f>IF(preDEL!$AG450,IFERROR(0/0,""),preDEL!AE450)</f>
        <v/>
      </c>
      <c r="AF450" s="110" t="b">
        <f>IF(preDEL!$AG450,IFERROR(0/0,""),preDEL!AF450)</f>
        <v>0</v>
      </c>
      <c r="AG450" s="110" t="b">
        <f>IF(preDEL!$AG450,IFERROR(0/0,""),preDEL!AG450)</f>
        <v>0</v>
      </c>
      <c r="AH450" s="104" t="str">
        <f>IF(preDEL!$AG450,IFERROR(0/0,""),preDEL!AH450)</f>
        <v/>
      </c>
      <c r="AI450" s="105" t="str">
        <f>IF(preDEL!$AG450,IFERROR(0/0,""),preDEL!AI450)</f>
        <v/>
      </c>
      <c r="AJ450" s="112" t="str">
        <f>IF(preDEL!$AG450,IFERROR(0/0,""),preDEL!AJ450)</f>
        <v/>
      </c>
      <c r="AK450" s="105" t="str">
        <f>IF(preDEL!$AG450,IFERROR(0/0,""),preDEL!AK450)</f>
        <v>Negative</v>
      </c>
      <c r="AL450" s="112" t="str">
        <f>IF(preDEL!$AG450,IFERROR(0/0,""),preDEL!AL450)</f>
        <v/>
      </c>
      <c r="AM450" s="112" t="str">
        <f>IF(preDEL!$AG450,IFERROR(0/0,""),preDEL!AM450)</f>
        <v>SpBEND982485</v>
      </c>
      <c r="AN450" s="112" t="str">
        <f>IF(preDEL!$AG450,IFERROR(0/0,""),preDEL!AN450)</f>
        <v>BEND192592</v>
      </c>
      <c r="AO450" s="112" t="str">
        <f>IF(preDEL!$AG450,IFERROR(0/0,""),preDEL!AO450)</f>
        <v/>
      </c>
      <c r="AP450" s="112" t="str">
        <f>IF(preDEL!$AG450,IFERROR(0/0,""),preDEL!AP450)</f>
        <v/>
      </c>
      <c r="AQ450" s="112" t="str">
        <f>IF(preDEL!$AG450,IFERROR(0/0,""),preDEL!AQ450)</f>
        <v/>
      </c>
      <c r="AR450" s="112" t="str">
        <f>IF(preDEL!$AG450,IFERROR(0/0,""),preDEL!AR450)</f>
        <v/>
      </c>
      <c r="AS450" s="112" t="str">
        <f>IF(preDEL!$AG450,IFERROR(0/0,""),preDEL!AS450)</f>
        <v/>
      </c>
      <c r="AT450" s="112" t="b">
        <f>IF(preDEL!$AG450,IFERROR(0/0,""),preDEL!AT450)</f>
        <v>0</v>
      </c>
      <c r="AU450" s="112" t="str">
        <f>IF(preDEL!$AG450,IFERROR(0/0,""),preDEL!AU450)</f>
        <v/>
      </c>
      <c r="AV450" s="112" t="str">
        <f>IF(preDEL!$AG450,IFERROR(0/0,""),preDEL!AV450)</f>
        <v/>
      </c>
      <c r="AW450" s="112" t="str">
        <f>IF(preDEL!$AG450,IFERROR(0/0,""),preDEL!AW450)</f>
        <v/>
      </c>
      <c r="AX450" s="112" t="str">
        <f>IF(preDEL!$AG450,IFERROR(0/0,""),preDEL!AX450)</f>
        <v/>
      </c>
      <c r="AY450" s="112" t="str">
        <f>IF(preDEL!$AG450,IFERROR(0/0,""),preDEL!AY450)</f>
        <v/>
      </c>
      <c r="AZ450" s="174"/>
      <c r="BA450" s="174"/>
      <c r="BB450" s="174"/>
      <c r="BC450" s="174"/>
      <c r="BD450" s="174"/>
      <c r="BE450" s="174"/>
      <c r="BF450" s="174"/>
      <c r="BG450" s="174"/>
      <c r="BH450" s="174"/>
      <c r="BI450" s="174"/>
      <c r="BJ450" s="174"/>
      <c r="BK450" s="174"/>
      <c r="BL450" s="174"/>
      <c r="BM450" s="174"/>
      <c r="BN450" s="174"/>
      <c r="BO450" s="174"/>
      <c r="BP450" s="174"/>
      <c r="BQ450" s="174"/>
      <c r="BR450" s="174"/>
      <c r="BS450" s="174"/>
      <c r="BT450" s="174"/>
      <c r="BU450" s="174"/>
      <c r="BV450" s="174"/>
      <c r="BW450" s="174"/>
      <c r="BX450" s="174"/>
      <c r="BY450" s="174"/>
      <c r="BZ450" s="174"/>
      <c r="CA450" s="174"/>
      <c r="CB450" s="174"/>
      <c r="CC450" s="174"/>
      <c r="CD450" s="174"/>
    </row>
    <row r="451">
      <c r="A451" s="105" t="str">
        <f>IF(preDEL!$AG451,IFERROR(0/0,""),preDEL!A451)</f>
        <v>FM816</v>
      </c>
      <c r="B451" s="170">
        <f>IF(preDEL!$AG451,IFERROR(0/0,""),preDEL!B451)</f>
        <v>44609</v>
      </c>
      <c r="C451" s="171">
        <f>IF(preDEL!$AG451,IFERROR(0/0,""),preDEL!C451)</f>
        <v>0.3318981481</v>
      </c>
      <c r="D451" s="105" t="str">
        <f>IF(preDEL!$AG451,IFERROR(0/0,""),preDEL!D451)</f>
        <v/>
      </c>
      <c r="E451" s="105" t="str">
        <f>IF(preDEL!$AG451,IFERROR(0/0,""),preDEL!E451)</f>
        <v/>
      </c>
      <c r="F451" s="112" t="str">
        <f>IF(preDEL!$AG451,IFERROR(0/0,""),preDEL!F451)</f>
        <v/>
      </c>
      <c r="G451" s="112" t="str">
        <f>IF(preDEL!$AG451,IFERROR(0/0,""),preDEL!G451)</f>
        <v/>
      </c>
      <c r="H451" s="112" t="str">
        <f>IF(preDEL!$AG451,IFERROR(0/0,""),preDEL!H451)</f>
        <v/>
      </c>
      <c r="I451" s="105" t="str">
        <f>IF(preDEL!$AG451,IFERROR(0/0,""),preDEL!I451)</f>
        <v/>
      </c>
      <c r="J451" s="105" t="str">
        <f>IF(preDEL!$AG451,IFERROR(0/0,""),preDEL!J451)</f>
        <v/>
      </c>
      <c r="K451" s="105" t="str">
        <f>IF(preDEL!$AG451,IFERROR(0/0,""),preDEL!K451)</f>
        <v>Negative</v>
      </c>
      <c r="L451" s="170">
        <f>IF(preDEL!$AG451,IFERROR(0/0,""),preDEL!L451)</f>
        <v>44611</v>
      </c>
      <c r="M451" s="171">
        <f>IF(preDEL!$AG451,IFERROR(0/0,""),preDEL!M451)</f>
        <v>0.3895833333</v>
      </c>
      <c r="N451" s="112" t="str">
        <f>IF(preDEL!$AG451,IFERROR(0/0,""),preDEL!N451)</f>
        <v/>
      </c>
      <c r="O451" s="112" t="str">
        <f>IF(preDEL!$AG451,IFERROR(0/0,""),preDEL!O451)</f>
        <v/>
      </c>
      <c r="P451" s="110" t="b">
        <f>IF(preDEL!$AG451,IFERROR(0/0,""),preDEL!P451)</f>
        <v>0</v>
      </c>
      <c r="Q451" s="110" t="str">
        <f>IF(preDEL!$AG451,IFERROR(0/0,""),preDEL!Q451)</f>
        <v>Result</v>
      </c>
      <c r="R451" s="104" t="b">
        <f>IF(preDEL!$AG451,IFERROR(0/0,""),preDEL!R451)</f>
        <v>1</v>
      </c>
      <c r="S451" s="104">
        <f>IF(preDEL!$AG451,IFERROR(0/0,""),preDEL!S451)</f>
        <v>1</v>
      </c>
      <c r="T451" s="110" t="str">
        <f>IF(preDEL!$AG451,IFERROR(0/0,""),preDEL!T451)</f>
        <v/>
      </c>
      <c r="U451" s="112" t="str">
        <f>IF(preDEL!$AG451,IFERROR(0/0,""),preDEL!U451)</f>
        <v/>
      </c>
      <c r="V451" s="105" t="str">
        <f>IF(preDEL!$AG451,IFERROR(0/0,""),preDEL!V451)</f>
        <v/>
      </c>
      <c r="W451" s="112" t="str">
        <f>IF(preDEL!$AG451,IFERROR(0/0,""),preDEL!W451)</f>
        <v/>
      </c>
      <c r="X451" s="104" t="b">
        <f>IF(preDEL!$AG451,IFERROR(0/0,""),preDEL!X451)</f>
        <v>0</v>
      </c>
      <c r="Y451" s="110" t="b">
        <f>IF(preDEL!$AG451,IFERROR(0/0,""),preDEL!Y451)</f>
        <v>0</v>
      </c>
      <c r="Z451" s="105" t="str">
        <f>IF(preDEL!$AG451,IFERROR(0/0,""),preDEL!Z451)</f>
        <v/>
      </c>
      <c r="AA451" s="110" t="b">
        <f>IF(preDEL!$AG451,IFERROR(0/0,""),preDEL!AA451)</f>
        <v>0</v>
      </c>
      <c r="AB451" s="110" t="b">
        <f>IF(preDEL!$AG451,IFERROR(0/0,""),preDEL!AB451)</f>
        <v>0</v>
      </c>
      <c r="AC451" s="172">
        <f>IF(preDEL!$AG451,IFERROR(0/0,""),preDEL!AC451)</f>
        <v>357</v>
      </c>
      <c r="AD451" s="104" t="b">
        <f>IF(preDEL!$AG451,IFERROR(0/0,""),preDEL!AD451)</f>
        <v>0</v>
      </c>
      <c r="AE451" s="173" t="str">
        <f>IF(preDEL!$AG451,IFERROR(0/0,""),preDEL!AE451)</f>
        <v/>
      </c>
      <c r="AF451" s="110" t="b">
        <f>IF(preDEL!$AG451,IFERROR(0/0,""),preDEL!AF451)</f>
        <v>0</v>
      </c>
      <c r="AG451" s="110" t="b">
        <f>IF(preDEL!$AG451,IFERROR(0/0,""),preDEL!AG451)</f>
        <v>0</v>
      </c>
      <c r="AH451" s="104" t="str">
        <f>IF(preDEL!$AG451,IFERROR(0/0,""),preDEL!AH451)</f>
        <v/>
      </c>
      <c r="AI451" s="105" t="str">
        <f>IF(preDEL!$AG451,IFERROR(0/0,""),preDEL!AI451)</f>
        <v/>
      </c>
      <c r="AJ451" s="112" t="str">
        <f>IF(preDEL!$AG451,IFERROR(0/0,""),preDEL!AJ451)</f>
        <v/>
      </c>
      <c r="AK451" s="105" t="str">
        <f>IF(preDEL!$AG451,IFERROR(0/0,""),preDEL!AK451)</f>
        <v>Negative</v>
      </c>
      <c r="AL451" s="112" t="str">
        <f>IF(preDEL!$AG451,IFERROR(0/0,""),preDEL!AL451)</f>
        <v/>
      </c>
      <c r="AM451" s="112" t="str">
        <f>IF(preDEL!$AG451,IFERROR(0/0,""),preDEL!AM451)</f>
        <v>SpBEND914710</v>
      </c>
      <c r="AN451" s="112" t="str">
        <f>IF(preDEL!$AG451,IFERROR(0/0,""),preDEL!AN451)</f>
        <v>BEND199320</v>
      </c>
      <c r="AO451" s="112" t="str">
        <f>IF(preDEL!$AG451,IFERROR(0/0,""),preDEL!AO451)</f>
        <v/>
      </c>
      <c r="AP451" s="112" t="str">
        <f>IF(preDEL!$AG451,IFERROR(0/0,""),preDEL!AP451)</f>
        <v/>
      </c>
      <c r="AQ451" s="112" t="str">
        <f>IF(preDEL!$AG451,IFERROR(0/0,""),preDEL!AQ451)</f>
        <v/>
      </c>
      <c r="AR451" s="112" t="str">
        <f>IF(preDEL!$AG451,IFERROR(0/0,""),preDEL!AR451)</f>
        <v/>
      </c>
      <c r="AS451" s="112" t="str">
        <f>IF(preDEL!$AG451,IFERROR(0/0,""),preDEL!AS451)</f>
        <v/>
      </c>
      <c r="AT451" s="112" t="b">
        <f>IF(preDEL!$AG451,IFERROR(0/0,""),preDEL!AT451)</f>
        <v>0</v>
      </c>
      <c r="AU451" s="112" t="str">
        <f>IF(preDEL!$AG451,IFERROR(0/0,""),preDEL!AU451)</f>
        <v/>
      </c>
      <c r="AV451" s="112" t="str">
        <f>IF(preDEL!$AG451,IFERROR(0/0,""),preDEL!AV451)</f>
        <v/>
      </c>
      <c r="AW451" s="112" t="str">
        <f>IF(preDEL!$AG451,IFERROR(0/0,""),preDEL!AW451)</f>
        <v/>
      </c>
      <c r="AX451" s="112" t="str">
        <f>IF(preDEL!$AG451,IFERROR(0/0,""),preDEL!AX451)</f>
        <v/>
      </c>
      <c r="AY451" s="112" t="str">
        <f>IF(preDEL!$AG451,IFERROR(0/0,""),preDEL!AY451)</f>
        <v/>
      </c>
      <c r="AZ451" s="174"/>
      <c r="BA451" s="174"/>
      <c r="BB451" s="174"/>
      <c r="BC451" s="174"/>
      <c r="BD451" s="174"/>
      <c r="BE451" s="174"/>
      <c r="BF451" s="174"/>
      <c r="BG451" s="174"/>
      <c r="BH451" s="174"/>
      <c r="BI451" s="174"/>
      <c r="BJ451" s="174"/>
      <c r="BK451" s="174"/>
      <c r="BL451" s="174"/>
      <c r="BM451" s="174"/>
      <c r="BN451" s="174"/>
      <c r="BO451" s="174"/>
      <c r="BP451" s="174"/>
      <c r="BQ451" s="174"/>
      <c r="BR451" s="174"/>
      <c r="BS451" s="174"/>
      <c r="BT451" s="174"/>
      <c r="BU451" s="174"/>
      <c r="BV451" s="174"/>
      <c r="BW451" s="174"/>
      <c r="BX451" s="174"/>
      <c r="BY451" s="174"/>
      <c r="BZ451" s="174"/>
      <c r="CA451" s="174"/>
      <c r="CB451" s="174"/>
      <c r="CC451" s="174"/>
      <c r="CD451" s="174"/>
    </row>
    <row r="452">
      <c r="A452" s="105" t="str">
        <f>IF(preDEL!$AG452,IFERROR(0/0,""),preDEL!A452)</f>
        <v>FM972</v>
      </c>
      <c r="B452" s="170">
        <f>IF(preDEL!$AG452,IFERROR(0/0,""),preDEL!B452)</f>
        <v>44609</v>
      </c>
      <c r="C452" s="171">
        <f>IF(preDEL!$AG452,IFERROR(0/0,""),preDEL!C452)</f>
        <v>0.3327199074</v>
      </c>
      <c r="D452" s="105" t="str">
        <f>IF(preDEL!$AG452,IFERROR(0/0,""),preDEL!D452)</f>
        <v/>
      </c>
      <c r="E452" s="105" t="str">
        <f>IF(preDEL!$AG452,IFERROR(0/0,""),preDEL!E452)</f>
        <v/>
      </c>
      <c r="F452" s="112" t="str">
        <f>IF(preDEL!$AG452,IFERROR(0/0,""),preDEL!F452)</f>
        <v/>
      </c>
      <c r="G452" s="112" t="str">
        <f>IF(preDEL!$AG452,IFERROR(0/0,""),preDEL!G452)</f>
        <v/>
      </c>
      <c r="H452" s="112" t="str">
        <f>IF(preDEL!$AG452,IFERROR(0/0,""),preDEL!H452)</f>
        <v/>
      </c>
      <c r="I452" s="105" t="str">
        <f>IF(preDEL!$AG452,IFERROR(0/0,""),preDEL!I452)</f>
        <v/>
      </c>
      <c r="J452" s="105" t="str">
        <f>IF(preDEL!$AG452,IFERROR(0/0,""),preDEL!J452)</f>
        <v/>
      </c>
      <c r="K452" s="105" t="str">
        <f>IF(preDEL!$AG452,IFERROR(0/0,""),preDEL!K452)</f>
        <v>Negative</v>
      </c>
      <c r="L452" s="170">
        <f>IF(preDEL!$AG452,IFERROR(0/0,""),preDEL!L452)</f>
        <v>44611</v>
      </c>
      <c r="M452" s="171">
        <f>IF(preDEL!$AG452,IFERROR(0/0,""),preDEL!M452)</f>
        <v>0.3895833333</v>
      </c>
      <c r="N452" s="112" t="str">
        <f>IF(preDEL!$AG452,IFERROR(0/0,""),preDEL!N452)</f>
        <v/>
      </c>
      <c r="O452" s="112" t="str">
        <f>IF(preDEL!$AG452,IFERROR(0/0,""),preDEL!O452)</f>
        <v/>
      </c>
      <c r="P452" s="110" t="b">
        <f>IF(preDEL!$AG452,IFERROR(0/0,""),preDEL!P452)</f>
        <v>0</v>
      </c>
      <c r="Q452" s="110" t="str">
        <f>IF(preDEL!$AG452,IFERROR(0/0,""),preDEL!Q452)</f>
        <v>Result</v>
      </c>
      <c r="R452" s="104" t="b">
        <f>IF(preDEL!$AG452,IFERROR(0/0,""),preDEL!R452)</f>
        <v>1</v>
      </c>
      <c r="S452" s="104">
        <f>IF(preDEL!$AG452,IFERROR(0/0,""),preDEL!S452)</f>
        <v>1</v>
      </c>
      <c r="T452" s="110" t="str">
        <f>IF(preDEL!$AG452,IFERROR(0/0,""),preDEL!T452)</f>
        <v/>
      </c>
      <c r="U452" s="112" t="str">
        <f>IF(preDEL!$AG452,IFERROR(0/0,""),preDEL!U452)</f>
        <v/>
      </c>
      <c r="V452" s="105" t="str">
        <f>IF(preDEL!$AG452,IFERROR(0/0,""),preDEL!V452)</f>
        <v/>
      </c>
      <c r="W452" s="112" t="str">
        <f>IF(preDEL!$AG452,IFERROR(0/0,""),preDEL!W452)</f>
        <v/>
      </c>
      <c r="X452" s="104" t="b">
        <f>IF(preDEL!$AG452,IFERROR(0/0,""),preDEL!X452)</f>
        <v>0</v>
      </c>
      <c r="Y452" s="110" t="b">
        <f>IF(preDEL!$AG452,IFERROR(0/0,""),preDEL!Y452)</f>
        <v>0</v>
      </c>
      <c r="Z452" s="105" t="str">
        <f>IF(preDEL!$AG452,IFERROR(0/0,""),preDEL!Z452)</f>
        <v/>
      </c>
      <c r="AA452" s="110" t="b">
        <f>IF(preDEL!$AG452,IFERROR(0/0,""),preDEL!AA452)</f>
        <v>0</v>
      </c>
      <c r="AB452" s="110" t="b">
        <f>IF(preDEL!$AG452,IFERROR(0/0,""),preDEL!AB452)</f>
        <v>0</v>
      </c>
      <c r="AC452" s="172">
        <f>IF(preDEL!$AG452,IFERROR(0/0,""),preDEL!AC452)</f>
        <v>356</v>
      </c>
      <c r="AD452" s="104" t="b">
        <f>IF(preDEL!$AG452,IFERROR(0/0,""),preDEL!AD452)</f>
        <v>0</v>
      </c>
      <c r="AE452" s="173" t="str">
        <f>IF(preDEL!$AG452,IFERROR(0/0,""),preDEL!AE452)</f>
        <v/>
      </c>
      <c r="AF452" s="110" t="b">
        <f>IF(preDEL!$AG452,IFERROR(0/0,""),preDEL!AF452)</f>
        <v>0</v>
      </c>
      <c r="AG452" s="110" t="b">
        <f>IF(preDEL!$AG452,IFERROR(0/0,""),preDEL!AG452)</f>
        <v>0</v>
      </c>
      <c r="AH452" s="104" t="str">
        <f>IF(preDEL!$AG452,IFERROR(0/0,""),preDEL!AH452)</f>
        <v/>
      </c>
      <c r="AI452" s="105" t="str">
        <f>IF(preDEL!$AG452,IFERROR(0/0,""),preDEL!AI452)</f>
        <v/>
      </c>
      <c r="AJ452" s="112" t="str">
        <f>IF(preDEL!$AG452,IFERROR(0/0,""),preDEL!AJ452)</f>
        <v/>
      </c>
      <c r="AK452" s="105" t="str">
        <f>IF(preDEL!$AG452,IFERROR(0/0,""),preDEL!AK452)</f>
        <v>Negative</v>
      </c>
      <c r="AL452" s="112" t="str">
        <f>IF(preDEL!$AG452,IFERROR(0/0,""),preDEL!AL452)</f>
        <v/>
      </c>
      <c r="AM452" s="112" t="str">
        <f>IF(preDEL!$AG452,IFERROR(0/0,""),preDEL!AM452)</f>
        <v>SpBEND914710</v>
      </c>
      <c r="AN452" s="112" t="str">
        <f>IF(preDEL!$AG452,IFERROR(0/0,""),preDEL!AN452)</f>
        <v>BEND186672</v>
      </c>
      <c r="AO452" s="112" t="str">
        <f>IF(preDEL!$AG452,IFERROR(0/0,""),preDEL!AO452)</f>
        <v/>
      </c>
      <c r="AP452" s="112" t="str">
        <f>IF(preDEL!$AG452,IFERROR(0/0,""),preDEL!AP452)</f>
        <v/>
      </c>
      <c r="AQ452" s="112" t="str">
        <f>IF(preDEL!$AG452,IFERROR(0/0,""),preDEL!AQ452)</f>
        <v/>
      </c>
      <c r="AR452" s="112" t="str">
        <f>IF(preDEL!$AG452,IFERROR(0/0,""),preDEL!AR452)</f>
        <v/>
      </c>
      <c r="AS452" s="112" t="str">
        <f>IF(preDEL!$AG452,IFERROR(0/0,""),preDEL!AS452)</f>
        <v/>
      </c>
      <c r="AT452" s="112" t="b">
        <f>IF(preDEL!$AG452,IFERROR(0/0,""),preDEL!AT452)</f>
        <v>0</v>
      </c>
      <c r="AU452" s="112" t="str">
        <f>IF(preDEL!$AG452,IFERROR(0/0,""),preDEL!AU452)</f>
        <v/>
      </c>
      <c r="AV452" s="112" t="str">
        <f>IF(preDEL!$AG452,IFERROR(0/0,""),preDEL!AV452)</f>
        <v/>
      </c>
      <c r="AW452" s="112" t="str">
        <f>IF(preDEL!$AG452,IFERROR(0/0,""),preDEL!AW452)</f>
        <v/>
      </c>
      <c r="AX452" s="112" t="str">
        <f>IF(preDEL!$AG452,IFERROR(0/0,""),preDEL!AX452)</f>
        <v/>
      </c>
      <c r="AY452" s="112" t="str">
        <f>IF(preDEL!$AG452,IFERROR(0/0,""),preDEL!AY452)</f>
        <v/>
      </c>
      <c r="AZ452" s="174"/>
      <c r="BA452" s="174"/>
      <c r="BB452" s="174"/>
      <c r="BC452" s="174"/>
      <c r="BD452" s="174"/>
      <c r="BE452" s="174"/>
      <c r="BF452" s="174"/>
      <c r="BG452" s="174"/>
      <c r="BH452" s="174"/>
      <c r="BI452" s="174"/>
      <c r="BJ452" s="174"/>
      <c r="BK452" s="174"/>
      <c r="BL452" s="174"/>
      <c r="BM452" s="174"/>
      <c r="BN452" s="174"/>
      <c r="BO452" s="174"/>
      <c r="BP452" s="174"/>
      <c r="BQ452" s="174"/>
      <c r="BR452" s="174"/>
      <c r="BS452" s="174"/>
      <c r="BT452" s="174"/>
      <c r="BU452" s="174"/>
      <c r="BV452" s="174"/>
      <c r="BW452" s="174"/>
      <c r="BX452" s="174"/>
      <c r="BY452" s="174"/>
      <c r="BZ452" s="174"/>
      <c r="CA452" s="174"/>
      <c r="CB452" s="174"/>
      <c r="CC452" s="174"/>
      <c r="CD452" s="174"/>
    </row>
    <row r="453">
      <c r="A453" s="105" t="str">
        <f>IF(preDEL!$AG453,IFERROR(0/0,""),preDEL!A453)</f>
        <v>MA292</v>
      </c>
      <c r="B453" s="170">
        <f>IF(preDEL!$AG453,IFERROR(0/0,""),preDEL!B453)</f>
        <v>44609</v>
      </c>
      <c r="C453" s="171">
        <f>IF(preDEL!$AG453,IFERROR(0/0,""),preDEL!C453)</f>
        <v>0.3339930556</v>
      </c>
      <c r="D453" s="105" t="str">
        <f>IF(preDEL!$AG453,IFERROR(0/0,""),preDEL!D453)</f>
        <v/>
      </c>
      <c r="E453" s="105" t="str">
        <f>IF(preDEL!$AG453,IFERROR(0/0,""),preDEL!E453)</f>
        <v/>
      </c>
      <c r="F453" s="112" t="str">
        <f>IF(preDEL!$AG453,IFERROR(0/0,""),preDEL!F453)</f>
        <v/>
      </c>
      <c r="G453" s="112" t="str">
        <f>IF(preDEL!$AG453,IFERROR(0/0,""),preDEL!G453)</f>
        <v/>
      </c>
      <c r="H453" s="112" t="str">
        <f>IF(preDEL!$AG453,IFERROR(0/0,""),preDEL!H453)</f>
        <v/>
      </c>
      <c r="I453" s="105" t="str">
        <f>IF(preDEL!$AG453,IFERROR(0/0,""),preDEL!I453)</f>
        <v/>
      </c>
      <c r="J453" s="105" t="str">
        <f>IF(preDEL!$AG453,IFERROR(0/0,""),preDEL!J453)</f>
        <v/>
      </c>
      <c r="K453" s="105" t="str">
        <f>IF(preDEL!$AG453,IFERROR(0/0,""),preDEL!K453)</f>
        <v>Negative</v>
      </c>
      <c r="L453" s="170">
        <f>IF(preDEL!$AG453,IFERROR(0/0,""),preDEL!L453)</f>
        <v>44611</v>
      </c>
      <c r="M453" s="171">
        <f>IF(preDEL!$AG453,IFERROR(0/0,""),preDEL!M453)</f>
        <v>0.3895833333</v>
      </c>
      <c r="N453" s="112" t="str">
        <f>IF(preDEL!$AG453,IFERROR(0/0,""),preDEL!N453)</f>
        <v/>
      </c>
      <c r="O453" s="112" t="str">
        <f>IF(preDEL!$AG453,IFERROR(0/0,""),preDEL!O453)</f>
        <v/>
      </c>
      <c r="P453" s="110" t="b">
        <f>IF(preDEL!$AG453,IFERROR(0/0,""),preDEL!P453)</f>
        <v>0</v>
      </c>
      <c r="Q453" s="110" t="str">
        <f>IF(preDEL!$AG453,IFERROR(0/0,""),preDEL!Q453)</f>
        <v>Result</v>
      </c>
      <c r="R453" s="104" t="b">
        <f>IF(preDEL!$AG453,IFERROR(0/0,""),preDEL!R453)</f>
        <v>1</v>
      </c>
      <c r="S453" s="104">
        <f>IF(preDEL!$AG453,IFERROR(0/0,""),preDEL!S453)</f>
        <v>1</v>
      </c>
      <c r="T453" s="110" t="str">
        <f>IF(preDEL!$AG453,IFERROR(0/0,""),preDEL!T453)</f>
        <v/>
      </c>
      <c r="U453" s="112" t="str">
        <f>IF(preDEL!$AG453,IFERROR(0/0,""),preDEL!U453)</f>
        <v/>
      </c>
      <c r="V453" s="105" t="str">
        <f>IF(preDEL!$AG453,IFERROR(0/0,""),preDEL!V453)</f>
        <v/>
      </c>
      <c r="W453" s="112" t="str">
        <f>IF(preDEL!$AG453,IFERROR(0/0,""),preDEL!W453)</f>
        <v/>
      </c>
      <c r="X453" s="104" t="b">
        <f>IF(preDEL!$AG453,IFERROR(0/0,""),preDEL!X453)</f>
        <v>0</v>
      </c>
      <c r="Y453" s="110" t="b">
        <f>IF(preDEL!$AG453,IFERROR(0/0,""),preDEL!Y453)</f>
        <v>0</v>
      </c>
      <c r="Z453" s="105" t="str">
        <f>IF(preDEL!$AG453,IFERROR(0/0,""),preDEL!Z453)</f>
        <v/>
      </c>
      <c r="AA453" s="110" t="b">
        <f>IF(preDEL!$AG453,IFERROR(0/0,""),preDEL!AA453)</f>
        <v>0</v>
      </c>
      <c r="AB453" s="110" t="b">
        <f>IF(preDEL!$AG453,IFERROR(0/0,""),preDEL!AB453)</f>
        <v>0</v>
      </c>
      <c r="AC453" s="172">
        <f>IF(preDEL!$AG453,IFERROR(0/0,""),preDEL!AC453)</f>
        <v>355</v>
      </c>
      <c r="AD453" s="104" t="b">
        <f>IF(preDEL!$AG453,IFERROR(0/0,""),preDEL!AD453)</f>
        <v>0</v>
      </c>
      <c r="AE453" s="173" t="str">
        <f>IF(preDEL!$AG453,IFERROR(0/0,""),preDEL!AE453)</f>
        <v/>
      </c>
      <c r="AF453" s="110" t="b">
        <f>IF(preDEL!$AG453,IFERROR(0/0,""),preDEL!AF453)</f>
        <v>0</v>
      </c>
      <c r="AG453" s="110" t="b">
        <f>IF(preDEL!$AG453,IFERROR(0/0,""),preDEL!AG453)</f>
        <v>0</v>
      </c>
      <c r="AH453" s="104" t="str">
        <f>IF(preDEL!$AG453,IFERROR(0/0,""),preDEL!AH453)</f>
        <v/>
      </c>
      <c r="AI453" s="105" t="str">
        <f>IF(preDEL!$AG453,IFERROR(0/0,""),preDEL!AI453)</f>
        <v/>
      </c>
      <c r="AJ453" s="112" t="str">
        <f>IF(preDEL!$AG453,IFERROR(0/0,""),preDEL!AJ453)</f>
        <v/>
      </c>
      <c r="AK453" s="105" t="str">
        <f>IF(preDEL!$AG453,IFERROR(0/0,""),preDEL!AK453)</f>
        <v>Negative</v>
      </c>
      <c r="AL453" s="112" t="str">
        <f>IF(preDEL!$AG453,IFERROR(0/0,""),preDEL!AL453)</f>
        <v/>
      </c>
      <c r="AM453" s="112" t="str">
        <f>IF(preDEL!$AG453,IFERROR(0/0,""),preDEL!AM453)</f>
        <v>SpBEND611299</v>
      </c>
      <c r="AN453" s="112" t="str">
        <f>IF(preDEL!$AG453,IFERROR(0/0,""),preDEL!AN453)</f>
        <v>BEND244963</v>
      </c>
      <c r="AO453" s="112" t="str">
        <f>IF(preDEL!$AG453,IFERROR(0/0,""),preDEL!AO453)</f>
        <v/>
      </c>
      <c r="AP453" s="112" t="str">
        <f>IF(preDEL!$AG453,IFERROR(0/0,""),preDEL!AP453)</f>
        <v/>
      </c>
      <c r="AQ453" s="112" t="str">
        <f>IF(preDEL!$AG453,IFERROR(0/0,""),preDEL!AQ453)</f>
        <v/>
      </c>
      <c r="AR453" s="112" t="str">
        <f>IF(preDEL!$AG453,IFERROR(0/0,""),preDEL!AR453)</f>
        <v/>
      </c>
      <c r="AS453" s="112" t="str">
        <f>IF(preDEL!$AG453,IFERROR(0/0,""),preDEL!AS453)</f>
        <v/>
      </c>
      <c r="AT453" s="112" t="b">
        <f>IF(preDEL!$AG453,IFERROR(0/0,""),preDEL!AT453)</f>
        <v>0</v>
      </c>
      <c r="AU453" s="112" t="str">
        <f>IF(preDEL!$AG453,IFERROR(0/0,""),preDEL!AU453)</f>
        <v/>
      </c>
      <c r="AV453" s="112" t="str">
        <f>IF(preDEL!$AG453,IFERROR(0/0,""),preDEL!AV453)</f>
        <v/>
      </c>
      <c r="AW453" s="112" t="str">
        <f>IF(preDEL!$AG453,IFERROR(0/0,""),preDEL!AW453)</f>
        <v/>
      </c>
      <c r="AX453" s="112" t="str">
        <f>IF(preDEL!$AG453,IFERROR(0/0,""),preDEL!AX453)</f>
        <v/>
      </c>
      <c r="AY453" s="112" t="str">
        <f>IF(preDEL!$AG453,IFERROR(0/0,""),preDEL!AY453)</f>
        <v/>
      </c>
      <c r="AZ453" s="174"/>
      <c r="BA453" s="174"/>
      <c r="BB453" s="174"/>
      <c r="BC453" s="174"/>
      <c r="BD453" s="174"/>
      <c r="BE453" s="174"/>
      <c r="BF453" s="174"/>
      <c r="BG453" s="174"/>
      <c r="BH453" s="174"/>
      <c r="BI453" s="174"/>
      <c r="BJ453" s="174"/>
      <c r="BK453" s="174"/>
      <c r="BL453" s="174"/>
      <c r="BM453" s="174"/>
      <c r="BN453" s="174"/>
      <c r="BO453" s="174"/>
      <c r="BP453" s="174"/>
      <c r="BQ453" s="174"/>
      <c r="BR453" s="174"/>
      <c r="BS453" s="174"/>
      <c r="BT453" s="174"/>
      <c r="BU453" s="174"/>
      <c r="BV453" s="174"/>
      <c r="BW453" s="174"/>
      <c r="BX453" s="174"/>
      <c r="BY453" s="174"/>
      <c r="BZ453" s="174"/>
      <c r="CA453" s="174"/>
      <c r="CB453" s="174"/>
      <c r="CC453" s="174"/>
      <c r="CD453" s="174"/>
    </row>
    <row r="454">
      <c r="A454" s="105" t="str">
        <f>IF(preDEL!$AG454,IFERROR(0/0,""),preDEL!A454)</f>
        <v>MA291</v>
      </c>
      <c r="B454" s="170">
        <f>IF(preDEL!$AG454,IFERROR(0/0,""),preDEL!B454)</f>
        <v>44609</v>
      </c>
      <c r="C454" s="171">
        <f>IF(preDEL!$AG454,IFERROR(0/0,""),preDEL!C454)</f>
        <v>0.3341435185</v>
      </c>
      <c r="D454" s="105" t="str">
        <f>IF(preDEL!$AG454,IFERROR(0/0,""),preDEL!D454)</f>
        <v/>
      </c>
      <c r="E454" s="105" t="str">
        <f>IF(preDEL!$AG454,IFERROR(0/0,""),preDEL!E454)</f>
        <v/>
      </c>
      <c r="F454" s="112" t="str">
        <f>IF(preDEL!$AG454,IFERROR(0/0,""),preDEL!F454)</f>
        <v/>
      </c>
      <c r="G454" s="112" t="str">
        <f>IF(preDEL!$AG454,IFERROR(0/0,""),preDEL!G454)</f>
        <v/>
      </c>
      <c r="H454" s="112" t="str">
        <f>IF(preDEL!$AG454,IFERROR(0/0,""),preDEL!H454)</f>
        <v/>
      </c>
      <c r="I454" s="105" t="str">
        <f>IF(preDEL!$AG454,IFERROR(0/0,""),preDEL!I454)</f>
        <v/>
      </c>
      <c r="J454" s="105" t="str">
        <f>IF(preDEL!$AG454,IFERROR(0/0,""),preDEL!J454)</f>
        <v/>
      </c>
      <c r="K454" s="105" t="str">
        <f>IF(preDEL!$AG454,IFERROR(0/0,""),preDEL!K454)</f>
        <v>Negative</v>
      </c>
      <c r="L454" s="170">
        <f>IF(preDEL!$AG454,IFERROR(0/0,""),preDEL!L454)</f>
        <v>44611</v>
      </c>
      <c r="M454" s="171">
        <f>IF(preDEL!$AG454,IFERROR(0/0,""),preDEL!M454)</f>
        <v>0.3895833333</v>
      </c>
      <c r="N454" s="112" t="str">
        <f>IF(preDEL!$AG454,IFERROR(0/0,""),preDEL!N454)</f>
        <v/>
      </c>
      <c r="O454" s="112" t="str">
        <f>IF(preDEL!$AG454,IFERROR(0/0,""),preDEL!O454)</f>
        <v/>
      </c>
      <c r="P454" s="110" t="b">
        <f>IF(preDEL!$AG454,IFERROR(0/0,""),preDEL!P454)</f>
        <v>0</v>
      </c>
      <c r="Q454" s="110" t="str">
        <f>IF(preDEL!$AG454,IFERROR(0/0,""),preDEL!Q454)</f>
        <v>Result</v>
      </c>
      <c r="R454" s="104" t="b">
        <f>IF(preDEL!$AG454,IFERROR(0/0,""),preDEL!R454)</f>
        <v>1</v>
      </c>
      <c r="S454" s="104">
        <f>IF(preDEL!$AG454,IFERROR(0/0,""),preDEL!S454)</f>
        <v>1</v>
      </c>
      <c r="T454" s="110" t="str">
        <f>IF(preDEL!$AG454,IFERROR(0/0,""),preDEL!T454)</f>
        <v/>
      </c>
      <c r="U454" s="112" t="str">
        <f>IF(preDEL!$AG454,IFERROR(0/0,""),preDEL!U454)</f>
        <v/>
      </c>
      <c r="V454" s="105" t="str">
        <f>IF(preDEL!$AG454,IFERROR(0/0,""),preDEL!V454)</f>
        <v/>
      </c>
      <c r="W454" s="112" t="str">
        <f>IF(preDEL!$AG454,IFERROR(0/0,""),preDEL!W454)</f>
        <v/>
      </c>
      <c r="X454" s="104" t="b">
        <f>IF(preDEL!$AG454,IFERROR(0/0,""),preDEL!X454)</f>
        <v>0</v>
      </c>
      <c r="Y454" s="110" t="b">
        <f>IF(preDEL!$AG454,IFERROR(0/0,""),preDEL!Y454)</f>
        <v>0</v>
      </c>
      <c r="Z454" s="105" t="str">
        <f>IF(preDEL!$AG454,IFERROR(0/0,""),preDEL!Z454)</f>
        <v/>
      </c>
      <c r="AA454" s="110" t="b">
        <f>IF(preDEL!$AG454,IFERROR(0/0,""),preDEL!AA454)</f>
        <v>0</v>
      </c>
      <c r="AB454" s="110" t="b">
        <f>IF(preDEL!$AG454,IFERROR(0/0,""),preDEL!AB454)</f>
        <v>0</v>
      </c>
      <c r="AC454" s="172">
        <f>IF(preDEL!$AG454,IFERROR(0/0,""),preDEL!AC454)</f>
        <v>354</v>
      </c>
      <c r="AD454" s="104" t="b">
        <f>IF(preDEL!$AG454,IFERROR(0/0,""),preDEL!AD454)</f>
        <v>0</v>
      </c>
      <c r="AE454" s="173" t="str">
        <f>IF(preDEL!$AG454,IFERROR(0/0,""),preDEL!AE454)</f>
        <v/>
      </c>
      <c r="AF454" s="110" t="b">
        <f>IF(preDEL!$AG454,IFERROR(0/0,""),preDEL!AF454)</f>
        <v>0</v>
      </c>
      <c r="AG454" s="110" t="b">
        <f>IF(preDEL!$AG454,IFERROR(0/0,""),preDEL!AG454)</f>
        <v>0</v>
      </c>
      <c r="AH454" s="104" t="str">
        <f>IF(preDEL!$AG454,IFERROR(0/0,""),preDEL!AH454)</f>
        <v/>
      </c>
      <c r="AI454" s="105" t="str">
        <f>IF(preDEL!$AG454,IFERROR(0/0,""),preDEL!AI454)</f>
        <v/>
      </c>
      <c r="AJ454" s="112" t="str">
        <f>IF(preDEL!$AG454,IFERROR(0/0,""),preDEL!AJ454)</f>
        <v/>
      </c>
      <c r="AK454" s="105" t="str">
        <f>IF(preDEL!$AG454,IFERROR(0/0,""),preDEL!AK454)</f>
        <v>Negative</v>
      </c>
      <c r="AL454" s="112" t="str">
        <f>IF(preDEL!$AG454,IFERROR(0/0,""),preDEL!AL454)</f>
        <v/>
      </c>
      <c r="AM454" s="112" t="str">
        <f>IF(preDEL!$AG454,IFERROR(0/0,""),preDEL!AM454)</f>
        <v>SpBEND413838</v>
      </c>
      <c r="AN454" s="112" t="str">
        <f>IF(preDEL!$AG454,IFERROR(0/0,""),preDEL!AN454)</f>
        <v>BEND170871</v>
      </c>
      <c r="AO454" s="112" t="str">
        <f>IF(preDEL!$AG454,IFERROR(0/0,""),preDEL!AO454)</f>
        <v/>
      </c>
      <c r="AP454" s="112" t="str">
        <f>IF(preDEL!$AG454,IFERROR(0/0,""),preDEL!AP454)</f>
        <v/>
      </c>
      <c r="AQ454" s="112" t="str">
        <f>IF(preDEL!$AG454,IFERROR(0/0,""),preDEL!AQ454)</f>
        <v/>
      </c>
      <c r="AR454" s="112" t="str">
        <f>IF(preDEL!$AG454,IFERROR(0/0,""),preDEL!AR454)</f>
        <v/>
      </c>
      <c r="AS454" s="112" t="str">
        <f>IF(preDEL!$AG454,IFERROR(0/0,""),preDEL!AS454)</f>
        <v/>
      </c>
      <c r="AT454" s="112" t="b">
        <f>IF(preDEL!$AG454,IFERROR(0/0,""),preDEL!AT454)</f>
        <v>0</v>
      </c>
      <c r="AU454" s="112" t="str">
        <f>IF(preDEL!$AG454,IFERROR(0/0,""),preDEL!AU454)</f>
        <v/>
      </c>
      <c r="AV454" s="112" t="str">
        <f>IF(preDEL!$AG454,IFERROR(0/0,""),preDEL!AV454)</f>
        <v/>
      </c>
      <c r="AW454" s="112" t="str">
        <f>IF(preDEL!$AG454,IFERROR(0/0,""),preDEL!AW454)</f>
        <v/>
      </c>
      <c r="AX454" s="112" t="str">
        <f>IF(preDEL!$AG454,IFERROR(0/0,""),preDEL!AX454)</f>
        <v/>
      </c>
      <c r="AY454" s="112" t="str">
        <f>IF(preDEL!$AG454,IFERROR(0/0,""),preDEL!AY454)</f>
        <v/>
      </c>
      <c r="AZ454" s="174"/>
      <c r="BA454" s="174"/>
      <c r="BB454" s="174"/>
      <c r="BC454" s="174"/>
      <c r="BD454" s="174"/>
      <c r="BE454" s="174"/>
      <c r="BF454" s="174"/>
      <c r="BG454" s="174"/>
      <c r="BH454" s="174"/>
      <c r="BI454" s="174"/>
      <c r="BJ454" s="174"/>
      <c r="BK454" s="174"/>
      <c r="BL454" s="174"/>
      <c r="BM454" s="174"/>
      <c r="BN454" s="174"/>
      <c r="BO454" s="174"/>
      <c r="BP454" s="174"/>
      <c r="BQ454" s="174"/>
      <c r="BR454" s="174"/>
      <c r="BS454" s="174"/>
      <c r="BT454" s="174"/>
      <c r="BU454" s="174"/>
      <c r="BV454" s="174"/>
      <c r="BW454" s="174"/>
      <c r="BX454" s="174"/>
      <c r="BY454" s="174"/>
      <c r="BZ454" s="174"/>
      <c r="CA454" s="174"/>
      <c r="CB454" s="174"/>
      <c r="CC454" s="174"/>
      <c r="CD454" s="174"/>
    </row>
    <row r="455">
      <c r="A455" s="105" t="str">
        <f>IF(preDEL!$AG455,IFERROR(0/0,""),preDEL!A455)</f>
        <v>MA1054</v>
      </c>
      <c r="B455" s="170">
        <f>IF(preDEL!$AG455,IFERROR(0/0,""),preDEL!B455)</f>
        <v>44609</v>
      </c>
      <c r="C455" s="171">
        <f>IF(preDEL!$AG455,IFERROR(0/0,""),preDEL!C455)</f>
        <v>0.3371990741</v>
      </c>
      <c r="D455" s="105" t="str">
        <f>IF(preDEL!$AG455,IFERROR(0/0,""),preDEL!D455)</f>
        <v/>
      </c>
      <c r="E455" s="105" t="str">
        <f>IF(preDEL!$AG455,IFERROR(0/0,""),preDEL!E455)</f>
        <v/>
      </c>
      <c r="F455" s="112" t="str">
        <f>IF(preDEL!$AG455,IFERROR(0/0,""),preDEL!F455)</f>
        <v/>
      </c>
      <c r="G455" s="112" t="str">
        <f>IF(preDEL!$AG455,IFERROR(0/0,""),preDEL!G455)</f>
        <v/>
      </c>
      <c r="H455" s="112" t="str">
        <f>IF(preDEL!$AG455,IFERROR(0/0,""),preDEL!H455)</f>
        <v/>
      </c>
      <c r="I455" s="105" t="str">
        <f>IF(preDEL!$AG455,IFERROR(0/0,""),preDEL!I455)</f>
        <v/>
      </c>
      <c r="J455" s="105" t="str">
        <f>IF(preDEL!$AG455,IFERROR(0/0,""),preDEL!J455)</f>
        <v/>
      </c>
      <c r="K455" s="105" t="str">
        <f>IF(preDEL!$AG455,IFERROR(0/0,""),preDEL!K455)</f>
        <v>Negative</v>
      </c>
      <c r="L455" s="170">
        <f>IF(preDEL!$AG455,IFERROR(0/0,""),preDEL!L455)</f>
        <v>44611</v>
      </c>
      <c r="M455" s="171">
        <f>IF(preDEL!$AG455,IFERROR(0/0,""),preDEL!M455)</f>
        <v>0.3895833333</v>
      </c>
      <c r="N455" s="112" t="str">
        <f>IF(preDEL!$AG455,IFERROR(0/0,""),preDEL!N455)</f>
        <v/>
      </c>
      <c r="O455" s="112" t="str">
        <f>IF(preDEL!$AG455,IFERROR(0/0,""),preDEL!O455)</f>
        <v/>
      </c>
      <c r="P455" s="110" t="b">
        <f>IF(preDEL!$AG455,IFERROR(0/0,""),preDEL!P455)</f>
        <v>0</v>
      </c>
      <c r="Q455" s="110" t="str">
        <f>IF(preDEL!$AG455,IFERROR(0/0,""),preDEL!Q455)</f>
        <v>Result</v>
      </c>
      <c r="R455" s="104" t="b">
        <f>IF(preDEL!$AG455,IFERROR(0/0,""),preDEL!R455)</f>
        <v>1</v>
      </c>
      <c r="S455" s="104">
        <f>IF(preDEL!$AG455,IFERROR(0/0,""),preDEL!S455)</f>
        <v>1</v>
      </c>
      <c r="T455" s="110" t="str">
        <f>IF(preDEL!$AG455,IFERROR(0/0,""),preDEL!T455)</f>
        <v/>
      </c>
      <c r="U455" s="112" t="str">
        <f>IF(preDEL!$AG455,IFERROR(0/0,""),preDEL!U455)</f>
        <v/>
      </c>
      <c r="V455" s="105" t="str">
        <f>IF(preDEL!$AG455,IFERROR(0/0,""),preDEL!V455)</f>
        <v/>
      </c>
      <c r="W455" s="112" t="str">
        <f>IF(preDEL!$AG455,IFERROR(0/0,""),preDEL!W455)</f>
        <v/>
      </c>
      <c r="X455" s="104" t="b">
        <f>IF(preDEL!$AG455,IFERROR(0/0,""),preDEL!X455)</f>
        <v>0</v>
      </c>
      <c r="Y455" s="110" t="b">
        <f>IF(preDEL!$AG455,IFERROR(0/0,""),preDEL!Y455)</f>
        <v>0</v>
      </c>
      <c r="Z455" s="105" t="str">
        <f>IF(preDEL!$AG455,IFERROR(0/0,""),preDEL!Z455)</f>
        <v/>
      </c>
      <c r="AA455" s="110" t="b">
        <f>IF(preDEL!$AG455,IFERROR(0/0,""),preDEL!AA455)</f>
        <v>0</v>
      </c>
      <c r="AB455" s="110" t="b">
        <f>IF(preDEL!$AG455,IFERROR(0/0,""),preDEL!AB455)</f>
        <v>0</v>
      </c>
      <c r="AC455" s="172">
        <f>IF(preDEL!$AG455,IFERROR(0/0,""),preDEL!AC455)</f>
        <v>353</v>
      </c>
      <c r="AD455" s="104" t="b">
        <f>IF(preDEL!$AG455,IFERROR(0/0,""),preDEL!AD455)</f>
        <v>0</v>
      </c>
      <c r="AE455" s="173" t="str">
        <f>IF(preDEL!$AG455,IFERROR(0/0,""),preDEL!AE455)</f>
        <v/>
      </c>
      <c r="AF455" s="110" t="b">
        <f>IF(preDEL!$AG455,IFERROR(0/0,""),preDEL!AF455)</f>
        <v>0</v>
      </c>
      <c r="AG455" s="110" t="b">
        <f>IF(preDEL!$AG455,IFERROR(0/0,""),preDEL!AG455)</f>
        <v>0</v>
      </c>
      <c r="AH455" s="104" t="str">
        <f>IF(preDEL!$AG455,IFERROR(0/0,""),preDEL!AH455)</f>
        <v/>
      </c>
      <c r="AI455" s="105" t="str">
        <f>IF(preDEL!$AG455,IFERROR(0/0,""),preDEL!AI455)</f>
        <v/>
      </c>
      <c r="AJ455" s="112" t="str">
        <f>IF(preDEL!$AG455,IFERROR(0/0,""),preDEL!AJ455)</f>
        <v/>
      </c>
      <c r="AK455" s="105" t="str">
        <f>IF(preDEL!$AG455,IFERROR(0/0,""),preDEL!AK455)</f>
        <v>Negative</v>
      </c>
      <c r="AL455" s="112" t="str">
        <f>IF(preDEL!$AG455,IFERROR(0/0,""),preDEL!AL455)</f>
        <v/>
      </c>
      <c r="AM455" s="112" t="str">
        <f>IF(preDEL!$AG455,IFERROR(0/0,""),preDEL!AM455)</f>
        <v>SpBEND815974</v>
      </c>
      <c r="AN455" s="112" t="str">
        <f>IF(preDEL!$AG455,IFERROR(0/0,""),preDEL!AN455)</f>
        <v>BEND381818</v>
      </c>
      <c r="AO455" s="112" t="str">
        <f>IF(preDEL!$AG455,IFERROR(0/0,""),preDEL!AO455)</f>
        <v/>
      </c>
      <c r="AP455" s="112" t="str">
        <f>IF(preDEL!$AG455,IFERROR(0/0,""),preDEL!AP455)</f>
        <v/>
      </c>
      <c r="AQ455" s="112" t="str">
        <f>IF(preDEL!$AG455,IFERROR(0/0,""),preDEL!AQ455)</f>
        <v/>
      </c>
      <c r="AR455" s="112" t="str">
        <f>IF(preDEL!$AG455,IFERROR(0/0,""),preDEL!AR455)</f>
        <v/>
      </c>
      <c r="AS455" s="112" t="str">
        <f>IF(preDEL!$AG455,IFERROR(0/0,""),preDEL!AS455)</f>
        <v/>
      </c>
      <c r="AT455" s="112" t="b">
        <f>IF(preDEL!$AG455,IFERROR(0/0,""),preDEL!AT455)</f>
        <v>0</v>
      </c>
      <c r="AU455" s="112" t="str">
        <f>IF(preDEL!$AG455,IFERROR(0/0,""),preDEL!AU455)</f>
        <v/>
      </c>
      <c r="AV455" s="112" t="str">
        <f>IF(preDEL!$AG455,IFERROR(0/0,""),preDEL!AV455)</f>
        <v/>
      </c>
      <c r="AW455" s="112" t="str">
        <f>IF(preDEL!$AG455,IFERROR(0/0,""),preDEL!AW455)</f>
        <v/>
      </c>
      <c r="AX455" s="112" t="str">
        <f>IF(preDEL!$AG455,IFERROR(0/0,""),preDEL!AX455)</f>
        <v/>
      </c>
      <c r="AY455" s="112" t="str">
        <f>IF(preDEL!$AG455,IFERROR(0/0,""),preDEL!AY455)</f>
        <v/>
      </c>
      <c r="AZ455" s="174"/>
      <c r="BA455" s="174"/>
      <c r="BB455" s="174"/>
      <c r="BC455" s="174"/>
      <c r="BD455" s="174"/>
      <c r="BE455" s="174"/>
      <c r="BF455" s="174"/>
      <c r="BG455" s="174"/>
      <c r="BH455" s="174"/>
      <c r="BI455" s="174"/>
      <c r="BJ455" s="174"/>
      <c r="BK455" s="174"/>
      <c r="BL455" s="174"/>
      <c r="BM455" s="174"/>
      <c r="BN455" s="174"/>
      <c r="BO455" s="174"/>
      <c r="BP455" s="174"/>
      <c r="BQ455" s="174"/>
      <c r="BR455" s="174"/>
      <c r="BS455" s="174"/>
      <c r="BT455" s="174"/>
      <c r="BU455" s="174"/>
      <c r="BV455" s="174"/>
      <c r="BW455" s="174"/>
      <c r="BX455" s="174"/>
      <c r="BY455" s="174"/>
      <c r="BZ455" s="174"/>
      <c r="CA455" s="174"/>
      <c r="CB455" s="174"/>
      <c r="CC455" s="174"/>
      <c r="CD455" s="174"/>
    </row>
    <row r="456">
      <c r="A456" s="105" t="str">
        <f>IF(preDEL!$AG456,IFERROR(0/0,""),preDEL!A456)</f>
        <v>MA1087</v>
      </c>
      <c r="B456" s="170">
        <f>IF(preDEL!$AG456,IFERROR(0/0,""),preDEL!B456)</f>
        <v>44609</v>
      </c>
      <c r="C456" s="171">
        <f>IF(preDEL!$AG456,IFERROR(0/0,""),preDEL!C456)</f>
        <v>0.3401967593</v>
      </c>
      <c r="D456" s="105" t="str">
        <f>IF(preDEL!$AG456,IFERROR(0/0,""),preDEL!D456)</f>
        <v/>
      </c>
      <c r="E456" s="105" t="str">
        <f>IF(preDEL!$AG456,IFERROR(0/0,""),preDEL!E456)</f>
        <v/>
      </c>
      <c r="F456" s="112" t="str">
        <f>IF(preDEL!$AG456,IFERROR(0/0,""),preDEL!F456)</f>
        <v/>
      </c>
      <c r="G456" s="112" t="str">
        <f>IF(preDEL!$AG456,IFERROR(0/0,""),preDEL!G456)</f>
        <v/>
      </c>
      <c r="H456" s="112" t="str">
        <f>IF(preDEL!$AG456,IFERROR(0/0,""),preDEL!H456)</f>
        <v/>
      </c>
      <c r="I456" s="105" t="str">
        <f>IF(preDEL!$AG456,IFERROR(0/0,""),preDEL!I456)</f>
        <v/>
      </c>
      <c r="J456" s="105" t="str">
        <f>IF(preDEL!$AG456,IFERROR(0/0,""),preDEL!J456)</f>
        <v/>
      </c>
      <c r="K456" s="105" t="str">
        <f>IF(preDEL!$AG456,IFERROR(0/0,""),preDEL!K456)</f>
        <v>Negative</v>
      </c>
      <c r="L456" s="170">
        <f>IF(preDEL!$AG456,IFERROR(0/0,""),preDEL!L456)</f>
        <v>44611</v>
      </c>
      <c r="M456" s="171">
        <f>IF(preDEL!$AG456,IFERROR(0/0,""),preDEL!M456)</f>
        <v>0.3895833333</v>
      </c>
      <c r="N456" s="112" t="str">
        <f>IF(preDEL!$AG456,IFERROR(0/0,""),preDEL!N456)</f>
        <v/>
      </c>
      <c r="O456" s="112" t="str">
        <f>IF(preDEL!$AG456,IFERROR(0/0,""),preDEL!O456)</f>
        <v/>
      </c>
      <c r="P456" s="110" t="b">
        <f>IF(preDEL!$AG456,IFERROR(0/0,""),preDEL!P456)</f>
        <v>0</v>
      </c>
      <c r="Q456" s="110" t="str">
        <f>IF(preDEL!$AG456,IFERROR(0/0,""),preDEL!Q456)</f>
        <v>Result</v>
      </c>
      <c r="R456" s="104" t="b">
        <f>IF(preDEL!$AG456,IFERROR(0/0,""),preDEL!R456)</f>
        <v>1</v>
      </c>
      <c r="S456" s="104">
        <f>IF(preDEL!$AG456,IFERROR(0/0,""),preDEL!S456)</f>
        <v>1</v>
      </c>
      <c r="T456" s="110" t="str">
        <f>IF(preDEL!$AG456,IFERROR(0/0,""),preDEL!T456)</f>
        <v/>
      </c>
      <c r="U456" s="112" t="str">
        <f>IF(preDEL!$AG456,IFERROR(0/0,""),preDEL!U456)</f>
        <v/>
      </c>
      <c r="V456" s="105" t="str">
        <f>IF(preDEL!$AG456,IFERROR(0/0,""),preDEL!V456)</f>
        <v/>
      </c>
      <c r="W456" s="112" t="str">
        <f>IF(preDEL!$AG456,IFERROR(0/0,""),preDEL!W456)</f>
        <v/>
      </c>
      <c r="X456" s="104" t="b">
        <f>IF(preDEL!$AG456,IFERROR(0/0,""),preDEL!X456)</f>
        <v>0</v>
      </c>
      <c r="Y456" s="110" t="b">
        <f>IF(preDEL!$AG456,IFERROR(0/0,""),preDEL!Y456)</f>
        <v>0</v>
      </c>
      <c r="Z456" s="105" t="str">
        <f>IF(preDEL!$AG456,IFERROR(0/0,""),preDEL!Z456)</f>
        <v/>
      </c>
      <c r="AA456" s="110" t="b">
        <f>IF(preDEL!$AG456,IFERROR(0/0,""),preDEL!AA456)</f>
        <v>0</v>
      </c>
      <c r="AB456" s="110" t="b">
        <f>IF(preDEL!$AG456,IFERROR(0/0,""),preDEL!AB456)</f>
        <v>0</v>
      </c>
      <c r="AC456" s="172">
        <f>IF(preDEL!$AG456,IFERROR(0/0,""),preDEL!AC456)</f>
        <v>352</v>
      </c>
      <c r="AD456" s="104" t="b">
        <f>IF(preDEL!$AG456,IFERROR(0/0,""),preDEL!AD456)</f>
        <v>0</v>
      </c>
      <c r="AE456" s="173" t="str">
        <f>IF(preDEL!$AG456,IFERROR(0/0,""),preDEL!AE456)</f>
        <v/>
      </c>
      <c r="AF456" s="110" t="b">
        <f>IF(preDEL!$AG456,IFERROR(0/0,""),preDEL!AF456)</f>
        <v>0</v>
      </c>
      <c r="AG456" s="110" t="b">
        <f>IF(preDEL!$AG456,IFERROR(0/0,""),preDEL!AG456)</f>
        <v>0</v>
      </c>
      <c r="AH456" s="104" t="str">
        <f>IF(preDEL!$AG456,IFERROR(0/0,""),preDEL!AH456)</f>
        <v/>
      </c>
      <c r="AI456" s="105" t="str">
        <f>IF(preDEL!$AG456,IFERROR(0/0,""),preDEL!AI456)</f>
        <v/>
      </c>
      <c r="AJ456" s="112" t="str">
        <f>IF(preDEL!$AG456,IFERROR(0/0,""),preDEL!AJ456)</f>
        <v/>
      </c>
      <c r="AK456" s="105" t="str">
        <f>IF(preDEL!$AG456,IFERROR(0/0,""),preDEL!AK456)</f>
        <v>Negative</v>
      </c>
      <c r="AL456" s="112" t="str">
        <f>IF(preDEL!$AG456,IFERROR(0/0,""),preDEL!AL456)</f>
        <v/>
      </c>
      <c r="AM456" s="112" t="str">
        <f>IF(preDEL!$AG456,IFERROR(0/0,""),preDEL!AM456)</f>
        <v>SpBEND445560</v>
      </c>
      <c r="AN456" s="112" t="str">
        <f>IF(preDEL!$AG456,IFERROR(0/0,""),preDEL!AN456)</f>
        <v>BEND470695</v>
      </c>
      <c r="AO456" s="112" t="str">
        <f>IF(preDEL!$AG456,IFERROR(0/0,""),preDEL!AO456)</f>
        <v/>
      </c>
      <c r="AP456" s="112" t="str">
        <f>IF(preDEL!$AG456,IFERROR(0/0,""),preDEL!AP456)</f>
        <v/>
      </c>
      <c r="AQ456" s="112" t="str">
        <f>IF(preDEL!$AG456,IFERROR(0/0,""),preDEL!AQ456)</f>
        <v/>
      </c>
      <c r="AR456" s="112" t="str">
        <f>IF(preDEL!$AG456,IFERROR(0/0,""),preDEL!AR456)</f>
        <v/>
      </c>
      <c r="AS456" s="112" t="str">
        <f>IF(preDEL!$AG456,IFERROR(0/0,""),preDEL!AS456)</f>
        <v/>
      </c>
      <c r="AT456" s="112" t="b">
        <f>IF(preDEL!$AG456,IFERROR(0/0,""),preDEL!AT456)</f>
        <v>0</v>
      </c>
      <c r="AU456" s="112" t="str">
        <f>IF(preDEL!$AG456,IFERROR(0/0,""),preDEL!AU456)</f>
        <v/>
      </c>
      <c r="AV456" s="112" t="str">
        <f>IF(preDEL!$AG456,IFERROR(0/0,""),preDEL!AV456)</f>
        <v/>
      </c>
      <c r="AW456" s="112" t="str">
        <f>IF(preDEL!$AG456,IFERROR(0/0,""),preDEL!AW456)</f>
        <v/>
      </c>
      <c r="AX456" s="112" t="str">
        <f>IF(preDEL!$AG456,IFERROR(0/0,""),preDEL!AX456)</f>
        <v/>
      </c>
      <c r="AY456" s="112" t="str">
        <f>IF(preDEL!$AG456,IFERROR(0/0,""),preDEL!AY456)</f>
        <v/>
      </c>
      <c r="AZ456" s="174"/>
      <c r="BA456" s="174"/>
      <c r="BB456" s="174"/>
      <c r="BC456" s="174"/>
      <c r="BD456" s="174"/>
      <c r="BE456" s="174"/>
      <c r="BF456" s="174"/>
      <c r="BG456" s="174"/>
      <c r="BH456" s="174"/>
      <c r="BI456" s="174"/>
      <c r="BJ456" s="174"/>
      <c r="BK456" s="174"/>
      <c r="BL456" s="174"/>
      <c r="BM456" s="174"/>
      <c r="BN456" s="174"/>
      <c r="BO456" s="174"/>
      <c r="BP456" s="174"/>
      <c r="BQ456" s="174"/>
      <c r="BR456" s="174"/>
      <c r="BS456" s="174"/>
      <c r="BT456" s="174"/>
      <c r="BU456" s="174"/>
      <c r="BV456" s="174"/>
      <c r="BW456" s="174"/>
      <c r="BX456" s="174"/>
      <c r="BY456" s="174"/>
      <c r="BZ456" s="174"/>
      <c r="CA456" s="174"/>
      <c r="CB456" s="174"/>
      <c r="CC456" s="174"/>
      <c r="CD456" s="174"/>
    </row>
    <row r="457">
      <c r="A457" s="105" t="str">
        <f>IF(preDEL!$AG457,IFERROR(0/0,""),preDEL!A457)</f>
        <v>MA237</v>
      </c>
      <c r="B457" s="170">
        <f>IF(preDEL!$AG457,IFERROR(0/0,""),preDEL!B457)</f>
        <v>44609</v>
      </c>
      <c r="C457" s="171">
        <f>IF(preDEL!$AG457,IFERROR(0/0,""),preDEL!C457)</f>
        <v>0.3439814815</v>
      </c>
      <c r="D457" s="105" t="str">
        <f>IF(preDEL!$AG457,IFERROR(0/0,""),preDEL!D457)</f>
        <v/>
      </c>
      <c r="E457" s="105" t="str">
        <f>IF(preDEL!$AG457,IFERROR(0/0,""),preDEL!E457)</f>
        <v/>
      </c>
      <c r="F457" s="112" t="str">
        <f>IF(preDEL!$AG457,IFERROR(0/0,""),preDEL!F457)</f>
        <v/>
      </c>
      <c r="G457" s="112" t="str">
        <f>IF(preDEL!$AG457,IFERROR(0/0,""),preDEL!G457)</f>
        <v/>
      </c>
      <c r="H457" s="112" t="str">
        <f>IF(preDEL!$AG457,IFERROR(0/0,""),preDEL!H457)</f>
        <v/>
      </c>
      <c r="I457" s="105" t="str">
        <f>IF(preDEL!$AG457,IFERROR(0/0,""),preDEL!I457)</f>
        <v/>
      </c>
      <c r="J457" s="105" t="str">
        <f>IF(preDEL!$AG457,IFERROR(0/0,""),preDEL!J457)</f>
        <v/>
      </c>
      <c r="K457" s="105" t="str">
        <f>IF(preDEL!$AG457,IFERROR(0/0,""),preDEL!K457)</f>
        <v>Negative</v>
      </c>
      <c r="L457" s="170">
        <f>IF(preDEL!$AG457,IFERROR(0/0,""),preDEL!L457)</f>
        <v>44611</v>
      </c>
      <c r="M457" s="171">
        <f>IF(preDEL!$AG457,IFERROR(0/0,""),preDEL!M457)</f>
        <v>0.3895833333</v>
      </c>
      <c r="N457" s="112" t="str">
        <f>IF(preDEL!$AG457,IFERROR(0/0,""),preDEL!N457)</f>
        <v/>
      </c>
      <c r="O457" s="112" t="str">
        <f>IF(preDEL!$AG457,IFERROR(0/0,""),preDEL!O457)</f>
        <v/>
      </c>
      <c r="P457" s="110" t="b">
        <f>IF(preDEL!$AG457,IFERROR(0/0,""),preDEL!P457)</f>
        <v>0</v>
      </c>
      <c r="Q457" s="110" t="str">
        <f>IF(preDEL!$AG457,IFERROR(0/0,""),preDEL!Q457)</f>
        <v>Result</v>
      </c>
      <c r="R457" s="104" t="b">
        <f>IF(preDEL!$AG457,IFERROR(0/0,""),preDEL!R457)</f>
        <v>1</v>
      </c>
      <c r="S457" s="104">
        <f>IF(preDEL!$AG457,IFERROR(0/0,""),preDEL!S457)</f>
        <v>1</v>
      </c>
      <c r="T457" s="110" t="str">
        <f>IF(preDEL!$AG457,IFERROR(0/0,""),preDEL!T457)</f>
        <v/>
      </c>
      <c r="U457" s="112" t="str">
        <f>IF(preDEL!$AG457,IFERROR(0/0,""),preDEL!U457)</f>
        <v/>
      </c>
      <c r="V457" s="105" t="str">
        <f>IF(preDEL!$AG457,IFERROR(0/0,""),preDEL!V457)</f>
        <v/>
      </c>
      <c r="W457" s="112" t="str">
        <f>IF(preDEL!$AG457,IFERROR(0/0,""),preDEL!W457)</f>
        <v/>
      </c>
      <c r="X457" s="104" t="b">
        <f>IF(preDEL!$AG457,IFERROR(0/0,""),preDEL!X457)</f>
        <v>0</v>
      </c>
      <c r="Y457" s="110" t="b">
        <f>IF(preDEL!$AG457,IFERROR(0/0,""),preDEL!Y457)</f>
        <v>0</v>
      </c>
      <c r="Z457" s="105" t="str">
        <f>IF(preDEL!$AG457,IFERROR(0/0,""),preDEL!Z457)</f>
        <v/>
      </c>
      <c r="AA457" s="110" t="b">
        <f>IF(preDEL!$AG457,IFERROR(0/0,""),preDEL!AA457)</f>
        <v>0</v>
      </c>
      <c r="AB457" s="110" t="b">
        <f>IF(preDEL!$AG457,IFERROR(0/0,""),preDEL!AB457)</f>
        <v>0</v>
      </c>
      <c r="AC457" s="172">
        <f>IF(preDEL!$AG457,IFERROR(0/0,""),preDEL!AC457)</f>
        <v>351</v>
      </c>
      <c r="AD457" s="104" t="b">
        <f>IF(preDEL!$AG457,IFERROR(0/0,""),preDEL!AD457)</f>
        <v>0</v>
      </c>
      <c r="AE457" s="173" t="str">
        <f>IF(preDEL!$AG457,IFERROR(0/0,""),preDEL!AE457)</f>
        <v/>
      </c>
      <c r="AF457" s="110" t="b">
        <f>IF(preDEL!$AG457,IFERROR(0/0,""),preDEL!AF457)</f>
        <v>0</v>
      </c>
      <c r="AG457" s="110" t="b">
        <f>IF(preDEL!$AG457,IFERROR(0/0,""),preDEL!AG457)</f>
        <v>0</v>
      </c>
      <c r="AH457" s="104" t="str">
        <f>IF(preDEL!$AG457,IFERROR(0/0,""),preDEL!AH457)</f>
        <v/>
      </c>
      <c r="AI457" s="105" t="str">
        <f>IF(preDEL!$AG457,IFERROR(0/0,""),preDEL!AI457)</f>
        <v/>
      </c>
      <c r="AJ457" s="112" t="str">
        <f>IF(preDEL!$AG457,IFERROR(0/0,""),preDEL!AJ457)</f>
        <v/>
      </c>
      <c r="AK457" s="105" t="str">
        <f>IF(preDEL!$AG457,IFERROR(0/0,""),preDEL!AK457)</f>
        <v>Negative</v>
      </c>
      <c r="AL457" s="112" t="str">
        <f>IF(preDEL!$AG457,IFERROR(0/0,""),preDEL!AL457)</f>
        <v/>
      </c>
      <c r="AM457" s="112" t="str">
        <f>IF(preDEL!$AG457,IFERROR(0/0,""),preDEL!AM457)</f>
        <v>SpBEND977859</v>
      </c>
      <c r="AN457" s="112" t="str">
        <f>IF(preDEL!$AG457,IFERROR(0/0,""),preDEL!AN457)</f>
        <v>BEND143262</v>
      </c>
      <c r="AO457" s="112" t="str">
        <f>IF(preDEL!$AG457,IFERROR(0/0,""),preDEL!AO457)</f>
        <v/>
      </c>
      <c r="AP457" s="112" t="str">
        <f>IF(preDEL!$AG457,IFERROR(0/0,""),preDEL!AP457)</f>
        <v/>
      </c>
      <c r="AQ457" s="112" t="str">
        <f>IF(preDEL!$AG457,IFERROR(0/0,""),preDEL!AQ457)</f>
        <v/>
      </c>
      <c r="AR457" s="112" t="str">
        <f>IF(preDEL!$AG457,IFERROR(0/0,""),preDEL!AR457)</f>
        <v/>
      </c>
      <c r="AS457" s="112" t="str">
        <f>IF(preDEL!$AG457,IFERROR(0/0,""),preDEL!AS457)</f>
        <v/>
      </c>
      <c r="AT457" s="112" t="b">
        <f>IF(preDEL!$AG457,IFERROR(0/0,""),preDEL!AT457)</f>
        <v>0</v>
      </c>
      <c r="AU457" s="112" t="str">
        <f>IF(preDEL!$AG457,IFERROR(0/0,""),preDEL!AU457)</f>
        <v/>
      </c>
      <c r="AV457" s="112" t="str">
        <f>IF(preDEL!$AG457,IFERROR(0/0,""),preDEL!AV457)</f>
        <v/>
      </c>
      <c r="AW457" s="112" t="str">
        <f>IF(preDEL!$AG457,IFERROR(0/0,""),preDEL!AW457)</f>
        <v/>
      </c>
      <c r="AX457" s="112" t="str">
        <f>IF(preDEL!$AG457,IFERROR(0/0,""),preDEL!AX457)</f>
        <v/>
      </c>
      <c r="AY457" s="112" t="str">
        <f>IF(preDEL!$AG457,IFERROR(0/0,""),preDEL!AY457)</f>
        <v/>
      </c>
      <c r="AZ457" s="174"/>
      <c r="BA457" s="174"/>
      <c r="BB457" s="174"/>
      <c r="BC457" s="174"/>
      <c r="BD457" s="174"/>
      <c r="BE457" s="174"/>
      <c r="BF457" s="174"/>
      <c r="BG457" s="174"/>
      <c r="BH457" s="174"/>
      <c r="BI457" s="174"/>
      <c r="BJ457" s="174"/>
      <c r="BK457" s="174"/>
      <c r="BL457" s="174"/>
      <c r="BM457" s="174"/>
      <c r="BN457" s="174"/>
      <c r="BO457" s="174"/>
      <c r="BP457" s="174"/>
      <c r="BQ457" s="174"/>
      <c r="BR457" s="174"/>
      <c r="BS457" s="174"/>
      <c r="BT457" s="174"/>
      <c r="BU457" s="174"/>
      <c r="BV457" s="174"/>
      <c r="BW457" s="174"/>
      <c r="BX457" s="174"/>
      <c r="BY457" s="174"/>
      <c r="BZ457" s="174"/>
      <c r="CA457" s="174"/>
      <c r="CB457" s="174"/>
      <c r="CC457" s="174"/>
      <c r="CD457" s="174"/>
    </row>
    <row r="458">
      <c r="A458" s="105" t="str">
        <f>IF(preDEL!$AG458,IFERROR(0/0,""),preDEL!A458)</f>
        <v>FM55</v>
      </c>
      <c r="B458" s="170">
        <f>IF(preDEL!$AG458,IFERROR(0/0,""),preDEL!B458)</f>
        <v>44609</v>
      </c>
      <c r="C458" s="171">
        <f>IF(preDEL!$AG458,IFERROR(0/0,""),preDEL!C458)</f>
        <v>0.3441666667</v>
      </c>
      <c r="D458" s="105" t="str">
        <f>IF(preDEL!$AG458,IFERROR(0/0,""),preDEL!D458)</f>
        <v/>
      </c>
      <c r="E458" s="105" t="str">
        <f>IF(preDEL!$AG458,IFERROR(0/0,""),preDEL!E458)</f>
        <v/>
      </c>
      <c r="F458" s="112" t="str">
        <f>IF(preDEL!$AG458,IFERROR(0/0,""),preDEL!F458)</f>
        <v/>
      </c>
      <c r="G458" s="112" t="str">
        <f>IF(preDEL!$AG458,IFERROR(0/0,""),preDEL!G458)</f>
        <v/>
      </c>
      <c r="H458" s="112" t="str">
        <f>IF(preDEL!$AG458,IFERROR(0/0,""),preDEL!H458)</f>
        <v/>
      </c>
      <c r="I458" s="105" t="str">
        <f>IF(preDEL!$AG458,IFERROR(0/0,""),preDEL!I458)</f>
        <v/>
      </c>
      <c r="J458" s="105" t="str">
        <f>IF(preDEL!$AG458,IFERROR(0/0,""),preDEL!J458)</f>
        <v/>
      </c>
      <c r="K458" s="105" t="str">
        <f>IF(preDEL!$AG458,IFERROR(0/0,""),preDEL!K458)</f>
        <v>Negative</v>
      </c>
      <c r="L458" s="170">
        <f>IF(preDEL!$AG458,IFERROR(0/0,""),preDEL!L458)</f>
        <v>44611</v>
      </c>
      <c r="M458" s="171">
        <f>IF(preDEL!$AG458,IFERROR(0/0,""),preDEL!M458)</f>
        <v>0.3895833333</v>
      </c>
      <c r="N458" s="112" t="str">
        <f>IF(preDEL!$AG458,IFERROR(0/0,""),preDEL!N458)</f>
        <v/>
      </c>
      <c r="O458" s="112" t="str">
        <f>IF(preDEL!$AG458,IFERROR(0/0,""),preDEL!O458)</f>
        <v/>
      </c>
      <c r="P458" s="110" t="b">
        <f>IF(preDEL!$AG458,IFERROR(0/0,""),preDEL!P458)</f>
        <v>0</v>
      </c>
      <c r="Q458" s="110" t="str">
        <f>IF(preDEL!$AG458,IFERROR(0/0,""),preDEL!Q458)</f>
        <v>Result</v>
      </c>
      <c r="R458" s="104" t="b">
        <f>IF(preDEL!$AG458,IFERROR(0/0,""),preDEL!R458)</f>
        <v>1</v>
      </c>
      <c r="S458" s="104">
        <f>IF(preDEL!$AG458,IFERROR(0/0,""),preDEL!S458)</f>
        <v>1</v>
      </c>
      <c r="T458" s="110" t="str">
        <f>IF(preDEL!$AG458,IFERROR(0/0,""),preDEL!T458)</f>
        <v/>
      </c>
      <c r="U458" s="112" t="str">
        <f>IF(preDEL!$AG458,IFERROR(0/0,""),preDEL!U458)</f>
        <v/>
      </c>
      <c r="V458" s="105" t="str">
        <f>IF(preDEL!$AG458,IFERROR(0/0,""),preDEL!V458)</f>
        <v/>
      </c>
      <c r="W458" s="112" t="str">
        <f>IF(preDEL!$AG458,IFERROR(0/0,""),preDEL!W458)</f>
        <v/>
      </c>
      <c r="X458" s="104" t="b">
        <f>IF(preDEL!$AG458,IFERROR(0/0,""),preDEL!X458)</f>
        <v>0</v>
      </c>
      <c r="Y458" s="110" t="b">
        <f>IF(preDEL!$AG458,IFERROR(0/0,""),preDEL!Y458)</f>
        <v>0</v>
      </c>
      <c r="Z458" s="105" t="str">
        <f>IF(preDEL!$AG458,IFERROR(0/0,""),preDEL!Z458)</f>
        <v/>
      </c>
      <c r="AA458" s="110" t="b">
        <f>IF(preDEL!$AG458,IFERROR(0/0,""),preDEL!AA458)</f>
        <v>0</v>
      </c>
      <c r="AB458" s="110" t="b">
        <f>IF(preDEL!$AG458,IFERROR(0/0,""),preDEL!AB458)</f>
        <v>0</v>
      </c>
      <c r="AC458" s="172">
        <f>IF(preDEL!$AG458,IFERROR(0/0,""),preDEL!AC458)</f>
        <v>350</v>
      </c>
      <c r="AD458" s="104" t="b">
        <f>IF(preDEL!$AG458,IFERROR(0/0,""),preDEL!AD458)</f>
        <v>0</v>
      </c>
      <c r="AE458" s="173" t="str">
        <f>IF(preDEL!$AG458,IFERROR(0/0,""),preDEL!AE458)</f>
        <v/>
      </c>
      <c r="AF458" s="110" t="b">
        <f>IF(preDEL!$AG458,IFERROR(0/0,""),preDEL!AF458)</f>
        <v>0</v>
      </c>
      <c r="AG458" s="110" t="b">
        <f>IF(preDEL!$AG458,IFERROR(0/0,""),preDEL!AG458)</f>
        <v>0</v>
      </c>
      <c r="AH458" s="104" t="str">
        <f>IF(preDEL!$AG458,IFERROR(0/0,""),preDEL!AH458)</f>
        <v/>
      </c>
      <c r="AI458" s="105" t="str">
        <f>IF(preDEL!$AG458,IFERROR(0/0,""),preDEL!AI458)</f>
        <v/>
      </c>
      <c r="AJ458" s="112" t="str">
        <f>IF(preDEL!$AG458,IFERROR(0/0,""),preDEL!AJ458)</f>
        <v/>
      </c>
      <c r="AK458" s="105" t="str">
        <f>IF(preDEL!$AG458,IFERROR(0/0,""),preDEL!AK458)</f>
        <v>Negative</v>
      </c>
      <c r="AL458" s="112" t="str">
        <f>IF(preDEL!$AG458,IFERROR(0/0,""),preDEL!AL458)</f>
        <v/>
      </c>
      <c r="AM458" s="112" t="str">
        <f>IF(preDEL!$AG458,IFERROR(0/0,""),preDEL!AM458)</f>
        <v>SpBEND136234</v>
      </c>
      <c r="AN458" s="112" t="str">
        <f>IF(preDEL!$AG458,IFERROR(0/0,""),preDEL!AN458)</f>
        <v>BEND300847</v>
      </c>
      <c r="AO458" s="112" t="str">
        <f>IF(preDEL!$AG458,IFERROR(0/0,""),preDEL!AO458)</f>
        <v/>
      </c>
      <c r="AP458" s="112" t="str">
        <f>IF(preDEL!$AG458,IFERROR(0/0,""),preDEL!AP458)</f>
        <v/>
      </c>
      <c r="AQ458" s="112" t="str">
        <f>IF(preDEL!$AG458,IFERROR(0/0,""),preDEL!AQ458)</f>
        <v/>
      </c>
      <c r="AR458" s="112" t="str">
        <f>IF(preDEL!$AG458,IFERROR(0/0,""),preDEL!AR458)</f>
        <v/>
      </c>
      <c r="AS458" s="112" t="str">
        <f>IF(preDEL!$AG458,IFERROR(0/0,""),preDEL!AS458)</f>
        <v/>
      </c>
      <c r="AT458" s="112" t="b">
        <f>IF(preDEL!$AG458,IFERROR(0/0,""),preDEL!AT458)</f>
        <v>0</v>
      </c>
      <c r="AU458" s="112" t="str">
        <f>IF(preDEL!$AG458,IFERROR(0/0,""),preDEL!AU458)</f>
        <v/>
      </c>
      <c r="AV458" s="112" t="str">
        <f>IF(preDEL!$AG458,IFERROR(0/0,""),preDEL!AV458)</f>
        <v/>
      </c>
      <c r="AW458" s="112" t="str">
        <f>IF(preDEL!$AG458,IFERROR(0/0,""),preDEL!AW458)</f>
        <v/>
      </c>
      <c r="AX458" s="112" t="str">
        <f>IF(preDEL!$AG458,IFERROR(0/0,""),preDEL!AX458)</f>
        <v/>
      </c>
      <c r="AY458" s="112" t="str">
        <f>IF(preDEL!$AG458,IFERROR(0/0,""),preDEL!AY458)</f>
        <v/>
      </c>
      <c r="AZ458" s="174"/>
      <c r="BA458" s="174"/>
      <c r="BB458" s="174"/>
      <c r="BC458" s="174"/>
      <c r="BD458" s="174"/>
      <c r="BE458" s="174"/>
      <c r="BF458" s="174"/>
      <c r="BG458" s="174"/>
      <c r="BH458" s="174"/>
      <c r="BI458" s="174"/>
      <c r="BJ458" s="174"/>
      <c r="BK458" s="174"/>
      <c r="BL458" s="174"/>
      <c r="BM458" s="174"/>
      <c r="BN458" s="174"/>
      <c r="BO458" s="174"/>
      <c r="BP458" s="174"/>
      <c r="BQ458" s="174"/>
      <c r="BR458" s="174"/>
      <c r="BS458" s="174"/>
      <c r="BT458" s="174"/>
      <c r="BU458" s="174"/>
      <c r="BV458" s="174"/>
      <c r="BW458" s="174"/>
      <c r="BX458" s="174"/>
      <c r="BY458" s="174"/>
      <c r="BZ458" s="174"/>
      <c r="CA458" s="174"/>
      <c r="CB458" s="174"/>
      <c r="CC458" s="174"/>
      <c r="CD458" s="174"/>
    </row>
    <row r="459">
      <c r="A459" s="105" t="str">
        <f>IF(preDEL!$AG459,IFERROR(0/0,""),preDEL!A459)</f>
        <v>FM26</v>
      </c>
      <c r="B459" s="170">
        <f>IF(preDEL!$AG459,IFERROR(0/0,""),preDEL!B459)</f>
        <v>44609</v>
      </c>
      <c r="C459" s="171">
        <f>IF(preDEL!$AG459,IFERROR(0/0,""),preDEL!C459)</f>
        <v>0.3549768519</v>
      </c>
      <c r="D459" s="105" t="str">
        <f>IF(preDEL!$AG459,IFERROR(0/0,""),preDEL!D459)</f>
        <v/>
      </c>
      <c r="E459" s="105" t="str">
        <f>IF(preDEL!$AG459,IFERROR(0/0,""),preDEL!E459)</f>
        <v/>
      </c>
      <c r="F459" s="112" t="str">
        <f>IF(preDEL!$AG459,IFERROR(0/0,""),preDEL!F459)</f>
        <v/>
      </c>
      <c r="G459" s="112" t="str">
        <f>IF(preDEL!$AG459,IFERROR(0/0,""),preDEL!G459)</f>
        <v/>
      </c>
      <c r="H459" s="112" t="str">
        <f>IF(preDEL!$AG459,IFERROR(0/0,""),preDEL!H459)</f>
        <v/>
      </c>
      <c r="I459" s="105" t="str">
        <f>IF(preDEL!$AG459,IFERROR(0/0,""),preDEL!I459)</f>
        <v/>
      </c>
      <c r="J459" s="105" t="str">
        <f>IF(preDEL!$AG459,IFERROR(0/0,""),preDEL!J459)</f>
        <v/>
      </c>
      <c r="K459" s="105" t="str">
        <f>IF(preDEL!$AG459,IFERROR(0/0,""),preDEL!K459)</f>
        <v>Negative</v>
      </c>
      <c r="L459" s="170">
        <f>IF(preDEL!$AG459,IFERROR(0/0,""),preDEL!L459)</f>
        <v>44611</v>
      </c>
      <c r="M459" s="171">
        <f>IF(preDEL!$AG459,IFERROR(0/0,""),preDEL!M459)</f>
        <v>0.3895833333</v>
      </c>
      <c r="N459" s="112" t="str">
        <f>IF(preDEL!$AG459,IFERROR(0/0,""),preDEL!N459)</f>
        <v/>
      </c>
      <c r="O459" s="112" t="str">
        <f>IF(preDEL!$AG459,IFERROR(0/0,""),preDEL!O459)</f>
        <v/>
      </c>
      <c r="P459" s="110" t="b">
        <f>IF(preDEL!$AG459,IFERROR(0/0,""),preDEL!P459)</f>
        <v>0</v>
      </c>
      <c r="Q459" s="110" t="str">
        <f>IF(preDEL!$AG459,IFERROR(0/0,""),preDEL!Q459)</f>
        <v>Result</v>
      </c>
      <c r="R459" s="104" t="b">
        <f>IF(preDEL!$AG459,IFERROR(0/0,""),preDEL!R459)</f>
        <v>1</v>
      </c>
      <c r="S459" s="104">
        <f>IF(preDEL!$AG459,IFERROR(0/0,""),preDEL!S459)</f>
        <v>1</v>
      </c>
      <c r="T459" s="110" t="str">
        <f>IF(preDEL!$AG459,IFERROR(0/0,""),preDEL!T459)</f>
        <v/>
      </c>
      <c r="U459" s="112" t="str">
        <f>IF(preDEL!$AG459,IFERROR(0/0,""),preDEL!U459)</f>
        <v/>
      </c>
      <c r="V459" s="105" t="str">
        <f>IF(preDEL!$AG459,IFERROR(0/0,""),preDEL!V459)</f>
        <v/>
      </c>
      <c r="W459" s="112" t="str">
        <f>IF(preDEL!$AG459,IFERROR(0/0,""),preDEL!W459)</f>
        <v/>
      </c>
      <c r="X459" s="104" t="b">
        <f>IF(preDEL!$AG459,IFERROR(0/0,""),preDEL!X459)</f>
        <v>0</v>
      </c>
      <c r="Y459" s="110" t="b">
        <f>IF(preDEL!$AG459,IFERROR(0/0,""),preDEL!Y459)</f>
        <v>0</v>
      </c>
      <c r="Z459" s="105" t="str">
        <f>IF(preDEL!$AG459,IFERROR(0/0,""),preDEL!Z459)</f>
        <v/>
      </c>
      <c r="AA459" s="110" t="b">
        <f>IF(preDEL!$AG459,IFERROR(0/0,""),preDEL!AA459)</f>
        <v>0</v>
      </c>
      <c r="AB459" s="110" t="b">
        <f>IF(preDEL!$AG459,IFERROR(0/0,""),preDEL!AB459)</f>
        <v>0</v>
      </c>
      <c r="AC459" s="172">
        <f>IF(preDEL!$AG459,IFERROR(0/0,""),preDEL!AC459)</f>
        <v>349</v>
      </c>
      <c r="AD459" s="104" t="b">
        <f>IF(preDEL!$AG459,IFERROR(0/0,""),preDEL!AD459)</f>
        <v>0</v>
      </c>
      <c r="AE459" s="173" t="str">
        <f>IF(preDEL!$AG459,IFERROR(0/0,""),preDEL!AE459)</f>
        <v/>
      </c>
      <c r="AF459" s="110" t="b">
        <f>IF(preDEL!$AG459,IFERROR(0/0,""),preDEL!AF459)</f>
        <v>0</v>
      </c>
      <c r="AG459" s="110" t="b">
        <f>IF(preDEL!$AG459,IFERROR(0/0,""),preDEL!AG459)</f>
        <v>0</v>
      </c>
      <c r="AH459" s="104" t="str">
        <f>IF(preDEL!$AG459,IFERROR(0/0,""),preDEL!AH459)</f>
        <v/>
      </c>
      <c r="AI459" s="105" t="str">
        <f>IF(preDEL!$AG459,IFERROR(0/0,""),preDEL!AI459)</f>
        <v/>
      </c>
      <c r="AJ459" s="112" t="str">
        <f>IF(preDEL!$AG459,IFERROR(0/0,""),preDEL!AJ459)</f>
        <v/>
      </c>
      <c r="AK459" s="105" t="str">
        <f>IF(preDEL!$AG459,IFERROR(0/0,""),preDEL!AK459)</f>
        <v>Negative</v>
      </c>
      <c r="AL459" s="112" t="str">
        <f>IF(preDEL!$AG459,IFERROR(0/0,""),preDEL!AL459)</f>
        <v/>
      </c>
      <c r="AM459" s="112" t="str">
        <f>IF(preDEL!$AG459,IFERROR(0/0,""),preDEL!AM459)</f>
        <v>SpBEND640412</v>
      </c>
      <c r="AN459" s="112" t="str">
        <f>IF(preDEL!$AG459,IFERROR(0/0,""),preDEL!AN459)</f>
        <v>BEND493351</v>
      </c>
      <c r="AO459" s="112" t="str">
        <f>IF(preDEL!$AG459,IFERROR(0/0,""),preDEL!AO459)</f>
        <v/>
      </c>
      <c r="AP459" s="112" t="str">
        <f>IF(preDEL!$AG459,IFERROR(0/0,""),preDEL!AP459)</f>
        <v/>
      </c>
      <c r="AQ459" s="112" t="str">
        <f>IF(preDEL!$AG459,IFERROR(0/0,""),preDEL!AQ459)</f>
        <v/>
      </c>
      <c r="AR459" s="112" t="str">
        <f>IF(preDEL!$AG459,IFERROR(0/0,""),preDEL!AR459)</f>
        <v/>
      </c>
      <c r="AS459" s="112" t="str">
        <f>IF(preDEL!$AG459,IFERROR(0/0,""),preDEL!AS459)</f>
        <v/>
      </c>
      <c r="AT459" s="112" t="b">
        <f>IF(preDEL!$AG459,IFERROR(0/0,""),preDEL!AT459)</f>
        <v>0</v>
      </c>
      <c r="AU459" s="112" t="str">
        <f>IF(preDEL!$AG459,IFERROR(0/0,""),preDEL!AU459)</f>
        <v/>
      </c>
      <c r="AV459" s="112" t="str">
        <f>IF(preDEL!$AG459,IFERROR(0/0,""),preDEL!AV459)</f>
        <v/>
      </c>
      <c r="AW459" s="112" t="str">
        <f>IF(preDEL!$AG459,IFERROR(0/0,""),preDEL!AW459)</f>
        <v/>
      </c>
      <c r="AX459" s="112" t="str">
        <f>IF(preDEL!$AG459,IFERROR(0/0,""),preDEL!AX459)</f>
        <v/>
      </c>
      <c r="AY459" s="112" t="str">
        <f>IF(preDEL!$AG459,IFERROR(0/0,""),preDEL!AY459)</f>
        <v/>
      </c>
      <c r="AZ459" s="174"/>
      <c r="BA459" s="174"/>
      <c r="BB459" s="174"/>
      <c r="BC459" s="174"/>
      <c r="BD459" s="174"/>
      <c r="BE459" s="174"/>
      <c r="BF459" s="174"/>
      <c r="BG459" s="174"/>
      <c r="BH459" s="174"/>
      <c r="BI459" s="174"/>
      <c r="BJ459" s="174"/>
      <c r="BK459" s="174"/>
      <c r="BL459" s="174"/>
      <c r="BM459" s="174"/>
      <c r="BN459" s="174"/>
      <c r="BO459" s="174"/>
      <c r="BP459" s="174"/>
      <c r="BQ459" s="174"/>
      <c r="BR459" s="174"/>
      <c r="BS459" s="174"/>
      <c r="BT459" s="174"/>
      <c r="BU459" s="174"/>
      <c r="BV459" s="174"/>
      <c r="BW459" s="174"/>
      <c r="BX459" s="174"/>
      <c r="BY459" s="174"/>
      <c r="BZ459" s="174"/>
      <c r="CA459" s="174"/>
      <c r="CB459" s="174"/>
      <c r="CC459" s="174"/>
      <c r="CD459" s="174"/>
    </row>
    <row r="460">
      <c r="A460" s="105" t="str">
        <f>IF(preDEL!$AG460,IFERROR(0/0,""),preDEL!A460)</f>
        <v>MA1139</v>
      </c>
      <c r="B460" s="170">
        <f>IF(preDEL!$AG460,IFERROR(0/0,""),preDEL!B460)</f>
        <v>44609</v>
      </c>
      <c r="C460" s="171">
        <f>IF(preDEL!$AG460,IFERROR(0/0,""),preDEL!C460)</f>
        <v>0.3872685185</v>
      </c>
      <c r="D460" s="105" t="str">
        <f>IF(preDEL!$AG460,IFERROR(0/0,""),preDEL!D460)</f>
        <v/>
      </c>
      <c r="E460" s="105" t="str">
        <f>IF(preDEL!$AG460,IFERROR(0/0,""),preDEL!E460)</f>
        <v/>
      </c>
      <c r="F460" s="112" t="str">
        <f>IF(preDEL!$AG460,IFERROR(0/0,""),preDEL!F460)</f>
        <v/>
      </c>
      <c r="G460" s="112" t="str">
        <f>IF(preDEL!$AG460,IFERROR(0/0,""),preDEL!G460)</f>
        <v/>
      </c>
      <c r="H460" s="112" t="str">
        <f>IF(preDEL!$AG460,IFERROR(0/0,""),preDEL!H460)</f>
        <v/>
      </c>
      <c r="I460" s="105" t="str">
        <f>IF(preDEL!$AG460,IFERROR(0/0,""),preDEL!I460)</f>
        <v/>
      </c>
      <c r="J460" s="105" t="str">
        <f>IF(preDEL!$AG460,IFERROR(0/0,""),preDEL!J460)</f>
        <v/>
      </c>
      <c r="K460" s="105" t="str">
        <f>IF(preDEL!$AG460,IFERROR(0/0,""),preDEL!K460)</f>
        <v>Negative</v>
      </c>
      <c r="L460" s="170">
        <f>IF(preDEL!$AG460,IFERROR(0/0,""),preDEL!L460)</f>
        <v>44611</v>
      </c>
      <c r="M460" s="171">
        <f>IF(preDEL!$AG460,IFERROR(0/0,""),preDEL!M460)</f>
        <v>0.4882407407</v>
      </c>
      <c r="N460" s="112" t="str">
        <f>IF(preDEL!$AG460,IFERROR(0/0,""),preDEL!N460)</f>
        <v/>
      </c>
      <c r="O460" s="112" t="str">
        <f>IF(preDEL!$AG460,IFERROR(0/0,""),preDEL!O460)</f>
        <v/>
      </c>
      <c r="P460" s="110" t="b">
        <f>IF(preDEL!$AG460,IFERROR(0/0,""),preDEL!P460)</f>
        <v>0</v>
      </c>
      <c r="Q460" s="110" t="str">
        <f>IF(preDEL!$AG460,IFERROR(0/0,""),preDEL!Q460)</f>
        <v>Result</v>
      </c>
      <c r="R460" s="104" t="b">
        <f>IF(preDEL!$AG460,IFERROR(0/0,""),preDEL!R460)</f>
        <v>1</v>
      </c>
      <c r="S460" s="104">
        <f>IF(preDEL!$AG460,IFERROR(0/0,""),preDEL!S460)</f>
        <v>1</v>
      </c>
      <c r="T460" s="110" t="str">
        <f>IF(preDEL!$AG460,IFERROR(0/0,""),preDEL!T460)</f>
        <v/>
      </c>
      <c r="U460" s="112" t="str">
        <f>IF(preDEL!$AG460,IFERROR(0/0,""),preDEL!U460)</f>
        <v/>
      </c>
      <c r="V460" s="105" t="str">
        <f>IF(preDEL!$AG460,IFERROR(0/0,""),preDEL!V460)</f>
        <v/>
      </c>
      <c r="W460" s="112" t="str">
        <f>IF(preDEL!$AG460,IFERROR(0/0,""),preDEL!W460)</f>
        <v/>
      </c>
      <c r="X460" s="104" t="b">
        <f>IF(preDEL!$AG460,IFERROR(0/0,""),preDEL!X460)</f>
        <v>0</v>
      </c>
      <c r="Y460" s="110" t="b">
        <f>IF(preDEL!$AG460,IFERROR(0/0,""),preDEL!Y460)</f>
        <v>0</v>
      </c>
      <c r="Z460" s="105" t="str">
        <f>IF(preDEL!$AG460,IFERROR(0/0,""),preDEL!Z460)</f>
        <v/>
      </c>
      <c r="AA460" s="110" t="b">
        <f>IF(preDEL!$AG460,IFERROR(0/0,""),preDEL!AA460)</f>
        <v>0</v>
      </c>
      <c r="AB460" s="110" t="b">
        <f>IF(preDEL!$AG460,IFERROR(0/0,""),preDEL!AB460)</f>
        <v>0</v>
      </c>
      <c r="AC460" s="172">
        <f>IF(preDEL!$AG460,IFERROR(0/0,""),preDEL!AC460)</f>
        <v>348</v>
      </c>
      <c r="AD460" s="104" t="b">
        <f>IF(preDEL!$AG460,IFERROR(0/0,""),preDEL!AD460)</f>
        <v>0</v>
      </c>
      <c r="AE460" s="173" t="str">
        <f>IF(preDEL!$AG460,IFERROR(0/0,""),preDEL!AE460)</f>
        <v/>
      </c>
      <c r="AF460" s="110" t="b">
        <f>IF(preDEL!$AG460,IFERROR(0/0,""),preDEL!AF460)</f>
        <v>0</v>
      </c>
      <c r="AG460" s="110" t="b">
        <f>IF(preDEL!$AG460,IFERROR(0/0,""),preDEL!AG460)</f>
        <v>0</v>
      </c>
      <c r="AH460" s="104" t="str">
        <f>IF(preDEL!$AG460,IFERROR(0/0,""),preDEL!AH460)</f>
        <v/>
      </c>
      <c r="AI460" s="105" t="str">
        <f>IF(preDEL!$AG460,IFERROR(0/0,""),preDEL!AI460)</f>
        <v/>
      </c>
      <c r="AJ460" s="112" t="str">
        <f>IF(preDEL!$AG460,IFERROR(0/0,""),preDEL!AJ460)</f>
        <v/>
      </c>
      <c r="AK460" s="105" t="str">
        <f>IF(preDEL!$AG460,IFERROR(0/0,""),preDEL!AK460)</f>
        <v>Negative</v>
      </c>
      <c r="AL460" s="112" t="str">
        <f>IF(preDEL!$AG460,IFERROR(0/0,""),preDEL!AL460)</f>
        <v/>
      </c>
      <c r="AM460" s="112" t="str">
        <f>IF(preDEL!$AG460,IFERROR(0/0,""),preDEL!AM460)</f>
        <v>SpBEND331858</v>
      </c>
      <c r="AN460" s="112" t="str">
        <f>IF(preDEL!$AG460,IFERROR(0/0,""),preDEL!AN460)</f>
        <v>BEND886229</v>
      </c>
      <c r="AO460" s="112" t="str">
        <f>IF(preDEL!$AG460,IFERROR(0/0,""),preDEL!AO460)</f>
        <v/>
      </c>
      <c r="AP460" s="112" t="str">
        <f>IF(preDEL!$AG460,IFERROR(0/0,""),preDEL!AP460)</f>
        <v/>
      </c>
      <c r="AQ460" s="112" t="str">
        <f>IF(preDEL!$AG460,IFERROR(0/0,""),preDEL!AQ460)</f>
        <v/>
      </c>
      <c r="AR460" s="112" t="str">
        <f>IF(preDEL!$AG460,IFERROR(0/0,""),preDEL!AR460)</f>
        <v/>
      </c>
      <c r="AS460" s="112" t="str">
        <f>IF(preDEL!$AG460,IFERROR(0/0,""),preDEL!AS460)</f>
        <v/>
      </c>
      <c r="AT460" s="112" t="b">
        <f>IF(preDEL!$AG460,IFERROR(0/0,""),preDEL!AT460)</f>
        <v>0</v>
      </c>
      <c r="AU460" s="112" t="str">
        <f>IF(preDEL!$AG460,IFERROR(0/0,""),preDEL!AU460)</f>
        <v/>
      </c>
      <c r="AV460" s="112" t="str">
        <f>IF(preDEL!$AG460,IFERROR(0/0,""),preDEL!AV460)</f>
        <v/>
      </c>
      <c r="AW460" s="112" t="str">
        <f>IF(preDEL!$AG460,IFERROR(0/0,""),preDEL!AW460)</f>
        <v/>
      </c>
      <c r="AX460" s="112" t="str">
        <f>IF(preDEL!$AG460,IFERROR(0/0,""),preDEL!AX460)</f>
        <v/>
      </c>
      <c r="AY460" s="112" t="str">
        <f>IF(preDEL!$AG460,IFERROR(0/0,""),preDEL!AY460)</f>
        <v/>
      </c>
      <c r="AZ460" s="174"/>
      <c r="BA460" s="174"/>
      <c r="BB460" s="174"/>
      <c r="BC460" s="174"/>
      <c r="BD460" s="174"/>
      <c r="BE460" s="174"/>
      <c r="BF460" s="174"/>
      <c r="BG460" s="174"/>
      <c r="BH460" s="174"/>
      <c r="BI460" s="174"/>
      <c r="BJ460" s="174"/>
      <c r="BK460" s="174"/>
      <c r="BL460" s="174"/>
      <c r="BM460" s="174"/>
      <c r="BN460" s="174"/>
      <c r="BO460" s="174"/>
      <c r="BP460" s="174"/>
      <c r="BQ460" s="174"/>
      <c r="BR460" s="174"/>
      <c r="BS460" s="174"/>
      <c r="BT460" s="174"/>
      <c r="BU460" s="174"/>
      <c r="BV460" s="174"/>
      <c r="BW460" s="174"/>
      <c r="BX460" s="174"/>
      <c r="BY460" s="174"/>
      <c r="BZ460" s="174"/>
      <c r="CA460" s="174"/>
      <c r="CB460" s="174"/>
      <c r="CC460" s="174"/>
      <c r="CD460" s="174"/>
    </row>
    <row r="461">
      <c r="A461" s="105" t="str">
        <f>IF(preDEL!$AG461,IFERROR(0/0,""),preDEL!A461)</f>
        <v>MA1067</v>
      </c>
      <c r="B461" s="170">
        <f>IF(preDEL!$AG461,IFERROR(0/0,""),preDEL!B461)</f>
        <v>44611</v>
      </c>
      <c r="C461" s="171">
        <f>IF(preDEL!$AG461,IFERROR(0/0,""),preDEL!C461)</f>
        <v>0.2972337963</v>
      </c>
      <c r="D461" s="105" t="str">
        <f>IF(preDEL!$AG461,IFERROR(0/0,""),preDEL!D461)</f>
        <v/>
      </c>
      <c r="E461" s="105" t="str">
        <f>IF(preDEL!$AG461,IFERROR(0/0,""),preDEL!E461)</f>
        <v/>
      </c>
      <c r="F461" s="112" t="str">
        <f>IF(preDEL!$AG461,IFERROR(0/0,""),preDEL!F461)</f>
        <v/>
      </c>
      <c r="G461" s="112" t="str">
        <f>IF(preDEL!$AG461,IFERROR(0/0,""),preDEL!G461)</f>
        <v/>
      </c>
      <c r="H461" s="112" t="str">
        <f>IF(preDEL!$AG461,IFERROR(0/0,""),preDEL!H461)</f>
        <v/>
      </c>
      <c r="I461" s="105" t="str">
        <f>IF(preDEL!$AG461,IFERROR(0/0,""),preDEL!I461)</f>
        <v/>
      </c>
      <c r="J461" s="105" t="str">
        <f>IF(preDEL!$AG461,IFERROR(0/0,""),preDEL!J461)</f>
        <v/>
      </c>
      <c r="K461" s="105" t="str">
        <f>IF(preDEL!$AG461,IFERROR(0/0,""),preDEL!K461)</f>
        <v>Negative</v>
      </c>
      <c r="L461" s="170">
        <f>IF(preDEL!$AG461,IFERROR(0/0,""),preDEL!L461)</f>
        <v>44611</v>
      </c>
      <c r="M461" s="171">
        <f>IF(preDEL!$AG461,IFERROR(0/0,""),preDEL!M461)</f>
        <v>0.4882407407</v>
      </c>
      <c r="N461" s="112" t="str">
        <f>IF(preDEL!$AG461,IFERROR(0/0,""),preDEL!N461)</f>
        <v/>
      </c>
      <c r="O461" s="112" t="str">
        <f>IF(preDEL!$AG461,IFERROR(0/0,""),preDEL!O461)</f>
        <v/>
      </c>
      <c r="P461" s="110" t="b">
        <f>IF(preDEL!$AG461,IFERROR(0/0,""),preDEL!P461)</f>
        <v>0</v>
      </c>
      <c r="Q461" s="110" t="str">
        <f>IF(preDEL!$AG461,IFERROR(0/0,""),preDEL!Q461)</f>
        <v>Result</v>
      </c>
      <c r="R461" s="104" t="b">
        <f>IF(preDEL!$AG461,IFERROR(0/0,""),preDEL!R461)</f>
        <v>1</v>
      </c>
      <c r="S461" s="104">
        <f>IF(preDEL!$AG461,IFERROR(0/0,""),preDEL!S461)</f>
        <v>1</v>
      </c>
      <c r="T461" s="110" t="str">
        <f>IF(preDEL!$AG461,IFERROR(0/0,""),preDEL!T461)</f>
        <v/>
      </c>
      <c r="U461" s="112" t="str">
        <f>IF(preDEL!$AG461,IFERROR(0/0,""),preDEL!U461)</f>
        <v/>
      </c>
      <c r="V461" s="105" t="str">
        <f>IF(preDEL!$AG461,IFERROR(0/0,""),preDEL!V461)</f>
        <v/>
      </c>
      <c r="W461" s="112" t="str">
        <f>IF(preDEL!$AG461,IFERROR(0/0,""),preDEL!W461)</f>
        <v/>
      </c>
      <c r="X461" s="104" t="b">
        <f>IF(preDEL!$AG461,IFERROR(0/0,""),preDEL!X461)</f>
        <v>0</v>
      </c>
      <c r="Y461" s="110" t="b">
        <f>IF(preDEL!$AG461,IFERROR(0/0,""),preDEL!Y461)</f>
        <v>0</v>
      </c>
      <c r="Z461" s="105" t="str">
        <f>IF(preDEL!$AG461,IFERROR(0/0,""),preDEL!Z461)</f>
        <v/>
      </c>
      <c r="AA461" s="110" t="b">
        <f>IF(preDEL!$AG461,IFERROR(0/0,""),preDEL!AA461)</f>
        <v>0</v>
      </c>
      <c r="AB461" s="110" t="b">
        <f>IF(preDEL!$AG461,IFERROR(0/0,""),preDEL!AB461)</f>
        <v>0</v>
      </c>
      <c r="AC461" s="172">
        <f>IF(preDEL!$AG461,IFERROR(0/0,""),preDEL!AC461)</f>
        <v>347</v>
      </c>
      <c r="AD461" s="104" t="b">
        <f>IF(preDEL!$AG461,IFERROR(0/0,""),preDEL!AD461)</f>
        <v>0</v>
      </c>
      <c r="AE461" s="173">
        <f>IF(preDEL!$AG461,IFERROR(0/0,""),preDEL!AE461)</f>
        <v>275.05</v>
      </c>
      <c r="AF461" s="110" t="b">
        <f>IF(preDEL!$AG461,IFERROR(0/0,""),preDEL!AF461)</f>
        <v>0</v>
      </c>
      <c r="AG461" s="110" t="b">
        <f>IF(preDEL!$AG461,IFERROR(0/0,""),preDEL!AG461)</f>
        <v>0</v>
      </c>
      <c r="AH461" s="104" t="str">
        <f>IF(preDEL!$AG461,IFERROR(0/0,""),preDEL!AH461)</f>
        <v/>
      </c>
      <c r="AI461" s="105" t="str">
        <f>IF(preDEL!$AG461,IFERROR(0/0,""),preDEL!AI461)</f>
        <v/>
      </c>
      <c r="AJ461" s="112" t="str">
        <f>IF(preDEL!$AG461,IFERROR(0/0,""),preDEL!AJ461)</f>
        <v/>
      </c>
      <c r="AK461" s="105" t="str">
        <f>IF(preDEL!$AG461,IFERROR(0/0,""),preDEL!AK461)</f>
        <v>Negative</v>
      </c>
      <c r="AL461" s="112" t="str">
        <f>IF(preDEL!$AG461,IFERROR(0/0,""),preDEL!AL461)</f>
        <v/>
      </c>
      <c r="AM461" s="112" t="str">
        <f>IF(preDEL!$AG461,IFERROR(0/0,""),preDEL!AM461)</f>
        <v>SpBEND501019</v>
      </c>
      <c r="AN461" s="112" t="str">
        <f>IF(preDEL!$AG461,IFERROR(0/0,""),preDEL!AN461)</f>
        <v>BEND941934</v>
      </c>
      <c r="AO461" s="112" t="str">
        <f>IF(preDEL!$AG461,IFERROR(0/0,""),preDEL!AO461)</f>
        <v/>
      </c>
      <c r="AP461" s="112" t="str">
        <f>IF(preDEL!$AG461,IFERROR(0/0,""),preDEL!AP461)</f>
        <v/>
      </c>
      <c r="AQ461" s="112" t="str">
        <f>IF(preDEL!$AG461,IFERROR(0/0,""),preDEL!AQ461)</f>
        <v/>
      </c>
      <c r="AR461" s="112" t="str">
        <f>IF(preDEL!$AG461,IFERROR(0/0,""),preDEL!AR461)</f>
        <v/>
      </c>
      <c r="AS461" s="112" t="str">
        <f>IF(preDEL!$AG461,IFERROR(0/0,""),preDEL!AS461)</f>
        <v/>
      </c>
      <c r="AT461" s="112" t="b">
        <f>IF(preDEL!$AG461,IFERROR(0/0,""),preDEL!AT461)</f>
        <v>0</v>
      </c>
      <c r="AU461" s="112" t="str">
        <f>IF(preDEL!$AG461,IFERROR(0/0,""),preDEL!AU461)</f>
        <v/>
      </c>
      <c r="AV461" s="112" t="str">
        <f>IF(preDEL!$AG461,IFERROR(0/0,""),preDEL!AV461)</f>
        <v/>
      </c>
      <c r="AW461" s="112" t="str">
        <f>IF(preDEL!$AG461,IFERROR(0/0,""),preDEL!AW461)</f>
        <v/>
      </c>
      <c r="AX461" s="112" t="str">
        <f>IF(preDEL!$AG461,IFERROR(0/0,""),preDEL!AX461)</f>
        <v/>
      </c>
      <c r="AY461" s="112" t="str">
        <f>IF(preDEL!$AG461,IFERROR(0/0,""),preDEL!AY461)</f>
        <v/>
      </c>
      <c r="AZ461" s="174"/>
      <c r="BA461" s="174"/>
      <c r="BB461" s="174"/>
      <c r="BC461" s="174"/>
      <c r="BD461" s="174"/>
      <c r="BE461" s="174"/>
      <c r="BF461" s="174"/>
      <c r="BG461" s="174"/>
      <c r="BH461" s="174"/>
      <c r="BI461" s="174"/>
      <c r="BJ461" s="174"/>
      <c r="BK461" s="174"/>
      <c r="BL461" s="174"/>
      <c r="BM461" s="174"/>
      <c r="BN461" s="174"/>
      <c r="BO461" s="174"/>
      <c r="BP461" s="174"/>
      <c r="BQ461" s="174"/>
      <c r="BR461" s="174"/>
      <c r="BS461" s="174"/>
      <c r="BT461" s="174"/>
      <c r="BU461" s="174"/>
      <c r="BV461" s="174"/>
      <c r="BW461" s="174"/>
      <c r="BX461" s="174"/>
      <c r="BY461" s="174"/>
      <c r="BZ461" s="174"/>
      <c r="CA461" s="174"/>
      <c r="CB461" s="174"/>
      <c r="CC461" s="174"/>
      <c r="CD461" s="174"/>
    </row>
    <row r="462">
      <c r="A462" s="105" t="str">
        <f>IF(preDEL!$AG462,IFERROR(0/0,""),preDEL!A462)</f>
        <v>FM828</v>
      </c>
      <c r="B462" s="170">
        <f>IF(preDEL!$AG462,IFERROR(0/0,""),preDEL!B462)</f>
        <v>44611</v>
      </c>
      <c r="C462" s="171">
        <f>IF(preDEL!$AG462,IFERROR(0/0,""),preDEL!C462)</f>
        <v>0.3006944444</v>
      </c>
      <c r="D462" s="105" t="str">
        <f>IF(preDEL!$AG462,IFERROR(0/0,""),preDEL!D462)</f>
        <v/>
      </c>
      <c r="E462" s="105" t="str">
        <f>IF(preDEL!$AG462,IFERROR(0/0,""),preDEL!E462)</f>
        <v/>
      </c>
      <c r="F462" s="112" t="str">
        <f>IF(preDEL!$AG462,IFERROR(0/0,""),preDEL!F462)</f>
        <v/>
      </c>
      <c r="G462" s="112" t="str">
        <f>IF(preDEL!$AG462,IFERROR(0/0,""),preDEL!G462)</f>
        <v/>
      </c>
      <c r="H462" s="112" t="str">
        <f>IF(preDEL!$AG462,IFERROR(0/0,""),preDEL!H462)</f>
        <v/>
      </c>
      <c r="I462" s="105" t="str">
        <f>IF(preDEL!$AG462,IFERROR(0/0,""),preDEL!I462)</f>
        <v/>
      </c>
      <c r="J462" s="105" t="str">
        <f>IF(preDEL!$AG462,IFERROR(0/0,""),preDEL!J462)</f>
        <v/>
      </c>
      <c r="K462" s="105" t="str">
        <f>IF(preDEL!$AG462,IFERROR(0/0,""),preDEL!K462)</f>
        <v>Negative</v>
      </c>
      <c r="L462" s="170">
        <f>IF(preDEL!$AG462,IFERROR(0/0,""),preDEL!L462)</f>
        <v>44611</v>
      </c>
      <c r="M462" s="171">
        <f>IF(preDEL!$AG462,IFERROR(0/0,""),preDEL!M462)</f>
        <v>0.4882407407</v>
      </c>
      <c r="N462" s="112" t="str">
        <f>IF(preDEL!$AG462,IFERROR(0/0,""),preDEL!N462)</f>
        <v/>
      </c>
      <c r="O462" s="112" t="str">
        <f>IF(preDEL!$AG462,IFERROR(0/0,""),preDEL!O462)</f>
        <v/>
      </c>
      <c r="P462" s="110" t="b">
        <f>IF(preDEL!$AG462,IFERROR(0/0,""),preDEL!P462)</f>
        <v>0</v>
      </c>
      <c r="Q462" s="110" t="str">
        <f>IF(preDEL!$AG462,IFERROR(0/0,""),preDEL!Q462)</f>
        <v>Result</v>
      </c>
      <c r="R462" s="104" t="b">
        <f>IF(preDEL!$AG462,IFERROR(0/0,""),preDEL!R462)</f>
        <v>1</v>
      </c>
      <c r="S462" s="104">
        <f>IF(preDEL!$AG462,IFERROR(0/0,""),preDEL!S462)</f>
        <v>1</v>
      </c>
      <c r="T462" s="110" t="str">
        <f>IF(preDEL!$AG462,IFERROR(0/0,""),preDEL!T462)</f>
        <v/>
      </c>
      <c r="U462" s="112" t="str">
        <f>IF(preDEL!$AG462,IFERROR(0/0,""),preDEL!U462)</f>
        <v/>
      </c>
      <c r="V462" s="105" t="str">
        <f>IF(preDEL!$AG462,IFERROR(0/0,""),preDEL!V462)</f>
        <v/>
      </c>
      <c r="W462" s="112" t="str">
        <f>IF(preDEL!$AG462,IFERROR(0/0,""),preDEL!W462)</f>
        <v/>
      </c>
      <c r="X462" s="104" t="b">
        <f>IF(preDEL!$AG462,IFERROR(0/0,""),preDEL!X462)</f>
        <v>0</v>
      </c>
      <c r="Y462" s="110" t="b">
        <f>IF(preDEL!$AG462,IFERROR(0/0,""),preDEL!Y462)</f>
        <v>0</v>
      </c>
      <c r="Z462" s="105" t="str">
        <f>IF(preDEL!$AG462,IFERROR(0/0,""),preDEL!Z462)</f>
        <v/>
      </c>
      <c r="AA462" s="110" t="b">
        <f>IF(preDEL!$AG462,IFERROR(0/0,""),preDEL!AA462)</f>
        <v>0</v>
      </c>
      <c r="AB462" s="110" t="b">
        <f>IF(preDEL!$AG462,IFERROR(0/0,""),preDEL!AB462)</f>
        <v>0</v>
      </c>
      <c r="AC462" s="172">
        <f>IF(preDEL!$AG462,IFERROR(0/0,""),preDEL!AC462)</f>
        <v>346</v>
      </c>
      <c r="AD462" s="104" t="b">
        <f>IF(preDEL!$AG462,IFERROR(0/0,""),preDEL!AD462)</f>
        <v>0</v>
      </c>
      <c r="AE462" s="173">
        <f>IF(preDEL!$AG462,IFERROR(0/0,""),preDEL!AE462)</f>
        <v>270.0666667</v>
      </c>
      <c r="AF462" s="110" t="b">
        <f>IF(preDEL!$AG462,IFERROR(0/0,""),preDEL!AF462)</f>
        <v>0</v>
      </c>
      <c r="AG462" s="110" t="b">
        <f>IF(preDEL!$AG462,IFERROR(0/0,""),preDEL!AG462)</f>
        <v>0</v>
      </c>
      <c r="AH462" s="104" t="str">
        <f>IF(preDEL!$AG462,IFERROR(0/0,""),preDEL!AH462)</f>
        <v/>
      </c>
      <c r="AI462" s="105" t="str">
        <f>IF(preDEL!$AG462,IFERROR(0/0,""),preDEL!AI462)</f>
        <v/>
      </c>
      <c r="AJ462" s="112" t="str">
        <f>IF(preDEL!$AG462,IFERROR(0/0,""),preDEL!AJ462)</f>
        <v/>
      </c>
      <c r="AK462" s="105" t="str">
        <f>IF(preDEL!$AG462,IFERROR(0/0,""),preDEL!AK462)</f>
        <v>Negative</v>
      </c>
      <c r="AL462" s="112" t="str">
        <f>IF(preDEL!$AG462,IFERROR(0/0,""),preDEL!AL462)</f>
        <v/>
      </c>
      <c r="AM462" s="112" t="str">
        <f>IF(preDEL!$AG462,IFERROR(0/0,""),preDEL!AM462)</f>
        <v>SpBEND437215</v>
      </c>
      <c r="AN462" s="112" t="str">
        <f>IF(preDEL!$AG462,IFERROR(0/0,""),preDEL!AN462)</f>
        <v>BEND378516</v>
      </c>
      <c r="AO462" s="112" t="str">
        <f>IF(preDEL!$AG462,IFERROR(0/0,""),preDEL!AO462)</f>
        <v/>
      </c>
      <c r="AP462" s="112" t="str">
        <f>IF(preDEL!$AG462,IFERROR(0/0,""),preDEL!AP462)</f>
        <v/>
      </c>
      <c r="AQ462" s="112" t="str">
        <f>IF(preDEL!$AG462,IFERROR(0/0,""),preDEL!AQ462)</f>
        <v/>
      </c>
      <c r="AR462" s="112" t="str">
        <f>IF(preDEL!$AG462,IFERROR(0/0,""),preDEL!AR462)</f>
        <v/>
      </c>
      <c r="AS462" s="112" t="str">
        <f>IF(preDEL!$AG462,IFERROR(0/0,""),preDEL!AS462)</f>
        <v/>
      </c>
      <c r="AT462" s="112" t="b">
        <f>IF(preDEL!$AG462,IFERROR(0/0,""),preDEL!AT462)</f>
        <v>0</v>
      </c>
      <c r="AU462" s="112" t="str">
        <f>IF(preDEL!$AG462,IFERROR(0/0,""),preDEL!AU462)</f>
        <v/>
      </c>
      <c r="AV462" s="112" t="str">
        <f>IF(preDEL!$AG462,IFERROR(0/0,""),preDEL!AV462)</f>
        <v/>
      </c>
      <c r="AW462" s="112" t="str">
        <f>IF(preDEL!$AG462,IFERROR(0/0,""),preDEL!AW462)</f>
        <v/>
      </c>
      <c r="AX462" s="112" t="str">
        <f>IF(preDEL!$AG462,IFERROR(0/0,""),preDEL!AX462)</f>
        <v/>
      </c>
      <c r="AY462" s="112" t="str">
        <f>IF(preDEL!$AG462,IFERROR(0/0,""),preDEL!AY462)</f>
        <v/>
      </c>
      <c r="AZ462" s="174"/>
      <c r="BA462" s="174"/>
      <c r="BB462" s="174"/>
      <c r="BC462" s="174"/>
      <c r="BD462" s="174"/>
      <c r="BE462" s="174"/>
      <c r="BF462" s="174"/>
      <c r="BG462" s="174"/>
      <c r="BH462" s="174"/>
      <c r="BI462" s="174"/>
      <c r="BJ462" s="174"/>
      <c r="BK462" s="174"/>
      <c r="BL462" s="174"/>
      <c r="BM462" s="174"/>
      <c r="BN462" s="174"/>
      <c r="BO462" s="174"/>
      <c r="BP462" s="174"/>
      <c r="BQ462" s="174"/>
      <c r="BR462" s="174"/>
      <c r="BS462" s="174"/>
      <c r="BT462" s="174"/>
      <c r="BU462" s="174"/>
      <c r="BV462" s="174"/>
      <c r="BW462" s="174"/>
      <c r="BX462" s="174"/>
      <c r="BY462" s="174"/>
      <c r="BZ462" s="174"/>
      <c r="CA462" s="174"/>
      <c r="CB462" s="174"/>
      <c r="CC462" s="174"/>
      <c r="CD462" s="174"/>
    </row>
    <row r="463">
      <c r="A463" s="105" t="str">
        <f>IF(preDEL!$AG463,IFERROR(0/0,""),preDEL!A463)</f>
        <v>MA239</v>
      </c>
      <c r="B463" s="170">
        <f>IF(preDEL!$AG463,IFERROR(0/0,""),preDEL!B463)</f>
        <v>44611</v>
      </c>
      <c r="C463" s="171">
        <f>IF(preDEL!$AG463,IFERROR(0/0,""),preDEL!C463)</f>
        <v>0.3085532407</v>
      </c>
      <c r="D463" s="105" t="str">
        <f>IF(preDEL!$AG463,IFERROR(0/0,""),preDEL!D463)</f>
        <v/>
      </c>
      <c r="E463" s="105" t="str">
        <f>IF(preDEL!$AG463,IFERROR(0/0,""),preDEL!E463)</f>
        <v/>
      </c>
      <c r="F463" s="112" t="str">
        <f>IF(preDEL!$AG463,IFERROR(0/0,""),preDEL!F463)</f>
        <v/>
      </c>
      <c r="G463" s="112" t="str">
        <f>IF(preDEL!$AG463,IFERROR(0/0,""),preDEL!G463)</f>
        <v/>
      </c>
      <c r="H463" s="112" t="str">
        <f>IF(preDEL!$AG463,IFERROR(0/0,""),preDEL!H463)</f>
        <v/>
      </c>
      <c r="I463" s="105" t="str">
        <f>IF(preDEL!$AG463,IFERROR(0/0,""),preDEL!I463)</f>
        <v/>
      </c>
      <c r="J463" s="105" t="str">
        <f>IF(preDEL!$AG463,IFERROR(0/0,""),preDEL!J463)</f>
        <v/>
      </c>
      <c r="K463" s="105" t="str">
        <f>IF(preDEL!$AG463,IFERROR(0/0,""),preDEL!K463)</f>
        <v>Negative</v>
      </c>
      <c r="L463" s="170">
        <f>IF(preDEL!$AG463,IFERROR(0/0,""),preDEL!L463)</f>
        <v>44611</v>
      </c>
      <c r="M463" s="171">
        <f>IF(preDEL!$AG463,IFERROR(0/0,""),preDEL!M463)</f>
        <v>0.4882407407</v>
      </c>
      <c r="N463" s="112" t="str">
        <f>IF(preDEL!$AG463,IFERROR(0/0,""),preDEL!N463)</f>
        <v/>
      </c>
      <c r="O463" s="112" t="str">
        <f>IF(preDEL!$AG463,IFERROR(0/0,""),preDEL!O463)</f>
        <v/>
      </c>
      <c r="P463" s="110" t="b">
        <f>IF(preDEL!$AG463,IFERROR(0/0,""),preDEL!P463)</f>
        <v>0</v>
      </c>
      <c r="Q463" s="110" t="str">
        <f>IF(preDEL!$AG463,IFERROR(0/0,""),preDEL!Q463)</f>
        <v>Result</v>
      </c>
      <c r="R463" s="104" t="b">
        <f>IF(preDEL!$AG463,IFERROR(0/0,""),preDEL!R463)</f>
        <v>1</v>
      </c>
      <c r="S463" s="104">
        <f>IF(preDEL!$AG463,IFERROR(0/0,""),preDEL!S463)</f>
        <v>1</v>
      </c>
      <c r="T463" s="110" t="str">
        <f>IF(preDEL!$AG463,IFERROR(0/0,""),preDEL!T463)</f>
        <v/>
      </c>
      <c r="U463" s="112" t="str">
        <f>IF(preDEL!$AG463,IFERROR(0/0,""),preDEL!U463)</f>
        <v/>
      </c>
      <c r="V463" s="105" t="str">
        <f>IF(preDEL!$AG463,IFERROR(0/0,""),preDEL!V463)</f>
        <v/>
      </c>
      <c r="W463" s="112" t="str">
        <f>IF(preDEL!$AG463,IFERROR(0/0,""),preDEL!W463)</f>
        <v/>
      </c>
      <c r="X463" s="104" t="b">
        <f>IF(preDEL!$AG463,IFERROR(0/0,""),preDEL!X463)</f>
        <v>0</v>
      </c>
      <c r="Y463" s="110" t="b">
        <f>IF(preDEL!$AG463,IFERROR(0/0,""),preDEL!Y463)</f>
        <v>0</v>
      </c>
      <c r="Z463" s="105" t="str">
        <f>IF(preDEL!$AG463,IFERROR(0/0,""),preDEL!Z463)</f>
        <v/>
      </c>
      <c r="AA463" s="110" t="b">
        <f>IF(preDEL!$AG463,IFERROR(0/0,""),preDEL!AA463)</f>
        <v>0</v>
      </c>
      <c r="AB463" s="110" t="b">
        <f>IF(preDEL!$AG463,IFERROR(0/0,""),preDEL!AB463)</f>
        <v>0</v>
      </c>
      <c r="AC463" s="172">
        <f>IF(preDEL!$AG463,IFERROR(0/0,""),preDEL!AC463)</f>
        <v>345</v>
      </c>
      <c r="AD463" s="104" t="b">
        <f>IF(preDEL!$AG463,IFERROR(0/0,""),preDEL!AD463)</f>
        <v>0</v>
      </c>
      <c r="AE463" s="173">
        <f>IF(preDEL!$AG463,IFERROR(0/0,""),preDEL!AE463)</f>
        <v>258.75</v>
      </c>
      <c r="AF463" s="110" t="b">
        <f>IF(preDEL!$AG463,IFERROR(0/0,""),preDEL!AF463)</f>
        <v>0</v>
      </c>
      <c r="AG463" s="110" t="b">
        <f>IF(preDEL!$AG463,IFERROR(0/0,""),preDEL!AG463)</f>
        <v>0</v>
      </c>
      <c r="AH463" s="104" t="str">
        <f>IF(preDEL!$AG463,IFERROR(0/0,""),preDEL!AH463)</f>
        <v/>
      </c>
      <c r="AI463" s="105" t="str">
        <f>IF(preDEL!$AG463,IFERROR(0/0,""),preDEL!AI463)</f>
        <v/>
      </c>
      <c r="AJ463" s="112" t="str">
        <f>IF(preDEL!$AG463,IFERROR(0/0,""),preDEL!AJ463)</f>
        <v/>
      </c>
      <c r="AK463" s="105" t="str">
        <f>IF(preDEL!$AG463,IFERROR(0/0,""),preDEL!AK463)</f>
        <v>Negative</v>
      </c>
      <c r="AL463" s="112" t="str">
        <f>IF(preDEL!$AG463,IFERROR(0/0,""),preDEL!AL463)</f>
        <v/>
      </c>
      <c r="AM463" s="112" t="str">
        <f>IF(preDEL!$AG463,IFERROR(0/0,""),preDEL!AM463)</f>
        <v>SpBEND110967</v>
      </c>
      <c r="AN463" s="112" t="str">
        <f>IF(preDEL!$AG463,IFERROR(0/0,""),preDEL!AN463)</f>
        <v>BEND477901</v>
      </c>
      <c r="AO463" s="112" t="str">
        <f>IF(preDEL!$AG463,IFERROR(0/0,""),preDEL!AO463)</f>
        <v/>
      </c>
      <c r="AP463" s="112" t="str">
        <f>IF(preDEL!$AG463,IFERROR(0/0,""),preDEL!AP463)</f>
        <v/>
      </c>
      <c r="AQ463" s="112" t="str">
        <f>IF(preDEL!$AG463,IFERROR(0/0,""),preDEL!AQ463)</f>
        <v/>
      </c>
      <c r="AR463" s="112" t="str">
        <f>IF(preDEL!$AG463,IFERROR(0/0,""),preDEL!AR463)</f>
        <v/>
      </c>
      <c r="AS463" s="112" t="str">
        <f>IF(preDEL!$AG463,IFERROR(0/0,""),preDEL!AS463)</f>
        <v/>
      </c>
      <c r="AT463" s="112" t="b">
        <f>IF(preDEL!$AG463,IFERROR(0/0,""),preDEL!AT463)</f>
        <v>0</v>
      </c>
      <c r="AU463" s="112" t="str">
        <f>IF(preDEL!$AG463,IFERROR(0/0,""),preDEL!AU463)</f>
        <v/>
      </c>
      <c r="AV463" s="112" t="str">
        <f>IF(preDEL!$AG463,IFERROR(0/0,""),preDEL!AV463)</f>
        <v/>
      </c>
      <c r="AW463" s="112" t="str">
        <f>IF(preDEL!$AG463,IFERROR(0/0,""),preDEL!AW463)</f>
        <v/>
      </c>
      <c r="AX463" s="112" t="str">
        <f>IF(preDEL!$AG463,IFERROR(0/0,""),preDEL!AX463)</f>
        <v/>
      </c>
      <c r="AY463" s="112" t="str">
        <f>IF(preDEL!$AG463,IFERROR(0/0,""),preDEL!AY463)</f>
        <v/>
      </c>
      <c r="AZ463" s="174"/>
      <c r="BA463" s="174"/>
      <c r="BB463" s="174"/>
      <c r="BC463" s="174"/>
      <c r="BD463" s="174"/>
      <c r="BE463" s="174"/>
      <c r="BF463" s="174"/>
      <c r="BG463" s="174"/>
      <c r="BH463" s="174"/>
      <c r="BI463" s="174"/>
      <c r="BJ463" s="174"/>
      <c r="BK463" s="174"/>
      <c r="BL463" s="174"/>
      <c r="BM463" s="174"/>
      <c r="BN463" s="174"/>
      <c r="BO463" s="174"/>
      <c r="BP463" s="174"/>
      <c r="BQ463" s="174"/>
      <c r="BR463" s="174"/>
      <c r="BS463" s="174"/>
      <c r="BT463" s="174"/>
      <c r="BU463" s="174"/>
      <c r="BV463" s="174"/>
      <c r="BW463" s="174"/>
      <c r="BX463" s="174"/>
      <c r="BY463" s="174"/>
      <c r="BZ463" s="174"/>
      <c r="CA463" s="174"/>
      <c r="CB463" s="174"/>
      <c r="CC463" s="174"/>
      <c r="CD463" s="174"/>
    </row>
    <row r="464">
      <c r="A464" s="105" t="str">
        <f>IF(preDEL!$AG464,IFERROR(0/0,""),preDEL!A464)</f>
        <v>FM537</v>
      </c>
      <c r="B464" s="170">
        <f>IF(preDEL!$AG464,IFERROR(0/0,""),preDEL!B464)</f>
        <v>44611</v>
      </c>
      <c r="C464" s="171">
        <f>IF(preDEL!$AG464,IFERROR(0/0,""),preDEL!C464)</f>
        <v>0.3107523148</v>
      </c>
      <c r="D464" s="105" t="str">
        <f>IF(preDEL!$AG464,IFERROR(0/0,""),preDEL!D464)</f>
        <v/>
      </c>
      <c r="E464" s="105" t="str">
        <f>IF(preDEL!$AG464,IFERROR(0/0,""),preDEL!E464)</f>
        <v/>
      </c>
      <c r="F464" s="112" t="str">
        <f>IF(preDEL!$AG464,IFERROR(0/0,""),preDEL!F464)</f>
        <v/>
      </c>
      <c r="G464" s="112" t="str">
        <f>IF(preDEL!$AG464,IFERROR(0/0,""),preDEL!G464)</f>
        <v/>
      </c>
      <c r="H464" s="112" t="str">
        <f>IF(preDEL!$AG464,IFERROR(0/0,""),preDEL!H464)</f>
        <v/>
      </c>
      <c r="I464" s="105" t="str">
        <f>IF(preDEL!$AG464,IFERROR(0/0,""),preDEL!I464)</f>
        <v/>
      </c>
      <c r="J464" s="105" t="str">
        <f>IF(preDEL!$AG464,IFERROR(0/0,""),preDEL!J464)</f>
        <v/>
      </c>
      <c r="K464" s="105" t="str">
        <f>IF(preDEL!$AG464,IFERROR(0/0,""),preDEL!K464)</f>
        <v>Negative</v>
      </c>
      <c r="L464" s="170">
        <f>IF(preDEL!$AG464,IFERROR(0/0,""),preDEL!L464)</f>
        <v>44611</v>
      </c>
      <c r="M464" s="171">
        <f>IF(preDEL!$AG464,IFERROR(0/0,""),preDEL!M464)</f>
        <v>0.4882407407</v>
      </c>
      <c r="N464" s="112" t="str">
        <f>IF(preDEL!$AG464,IFERROR(0/0,""),preDEL!N464)</f>
        <v/>
      </c>
      <c r="O464" s="112" t="str">
        <f>IF(preDEL!$AG464,IFERROR(0/0,""),preDEL!O464)</f>
        <v/>
      </c>
      <c r="P464" s="110" t="b">
        <f>IF(preDEL!$AG464,IFERROR(0/0,""),preDEL!P464)</f>
        <v>0</v>
      </c>
      <c r="Q464" s="110" t="str">
        <f>IF(preDEL!$AG464,IFERROR(0/0,""),preDEL!Q464)</f>
        <v>Result</v>
      </c>
      <c r="R464" s="104" t="b">
        <f>IF(preDEL!$AG464,IFERROR(0/0,""),preDEL!R464)</f>
        <v>1</v>
      </c>
      <c r="S464" s="104">
        <f>IF(preDEL!$AG464,IFERROR(0/0,""),preDEL!S464)</f>
        <v>1</v>
      </c>
      <c r="T464" s="110" t="str">
        <f>IF(preDEL!$AG464,IFERROR(0/0,""),preDEL!T464)</f>
        <v/>
      </c>
      <c r="U464" s="112" t="str">
        <f>IF(preDEL!$AG464,IFERROR(0/0,""),preDEL!U464)</f>
        <v/>
      </c>
      <c r="V464" s="105" t="str">
        <f>IF(preDEL!$AG464,IFERROR(0/0,""),preDEL!V464)</f>
        <v/>
      </c>
      <c r="W464" s="112" t="str">
        <f>IF(preDEL!$AG464,IFERROR(0/0,""),preDEL!W464)</f>
        <v/>
      </c>
      <c r="X464" s="104" t="b">
        <f>IF(preDEL!$AG464,IFERROR(0/0,""),preDEL!X464)</f>
        <v>0</v>
      </c>
      <c r="Y464" s="110" t="b">
        <f>IF(preDEL!$AG464,IFERROR(0/0,""),preDEL!Y464)</f>
        <v>0</v>
      </c>
      <c r="Z464" s="105" t="str">
        <f>IF(preDEL!$AG464,IFERROR(0/0,""),preDEL!Z464)</f>
        <v/>
      </c>
      <c r="AA464" s="110" t="b">
        <f>IF(preDEL!$AG464,IFERROR(0/0,""),preDEL!AA464)</f>
        <v>0</v>
      </c>
      <c r="AB464" s="110" t="b">
        <f>IF(preDEL!$AG464,IFERROR(0/0,""),preDEL!AB464)</f>
        <v>0</v>
      </c>
      <c r="AC464" s="172">
        <f>IF(preDEL!$AG464,IFERROR(0/0,""),preDEL!AC464)</f>
        <v>343</v>
      </c>
      <c r="AD464" s="104" t="b">
        <f>IF(preDEL!$AG464,IFERROR(0/0,""),preDEL!AD464)</f>
        <v>0</v>
      </c>
      <c r="AE464" s="173">
        <f>IF(preDEL!$AG464,IFERROR(0/0,""),preDEL!AE464)</f>
        <v>255.5833333</v>
      </c>
      <c r="AF464" s="110" t="b">
        <f>IF(preDEL!$AG464,IFERROR(0/0,""),preDEL!AF464)</f>
        <v>0</v>
      </c>
      <c r="AG464" s="110" t="b">
        <f>IF(preDEL!$AG464,IFERROR(0/0,""),preDEL!AG464)</f>
        <v>0</v>
      </c>
      <c r="AH464" s="104" t="str">
        <f>IF(preDEL!$AG464,IFERROR(0/0,""),preDEL!AH464)</f>
        <v/>
      </c>
      <c r="AI464" s="105" t="str">
        <f>IF(preDEL!$AG464,IFERROR(0/0,""),preDEL!AI464)</f>
        <v/>
      </c>
      <c r="AJ464" s="112" t="str">
        <f>IF(preDEL!$AG464,IFERROR(0/0,""),preDEL!AJ464)</f>
        <v/>
      </c>
      <c r="AK464" s="105" t="str">
        <f>IF(preDEL!$AG464,IFERROR(0/0,""),preDEL!AK464)</f>
        <v>Negative</v>
      </c>
      <c r="AL464" s="112" t="str">
        <f>IF(preDEL!$AG464,IFERROR(0/0,""),preDEL!AL464)</f>
        <v/>
      </c>
      <c r="AM464" s="112" t="str">
        <f>IF(preDEL!$AG464,IFERROR(0/0,""),preDEL!AM464)</f>
        <v>SpBEND292213</v>
      </c>
      <c r="AN464" s="112" t="str">
        <f>IF(preDEL!$AG464,IFERROR(0/0,""),preDEL!AN464)</f>
        <v>BEND121582</v>
      </c>
      <c r="AO464" s="112" t="str">
        <f>IF(preDEL!$AG464,IFERROR(0/0,""),preDEL!AO464)</f>
        <v/>
      </c>
      <c r="AP464" s="112" t="str">
        <f>IF(preDEL!$AG464,IFERROR(0/0,""),preDEL!AP464)</f>
        <v/>
      </c>
      <c r="AQ464" s="112" t="str">
        <f>IF(preDEL!$AG464,IFERROR(0/0,""),preDEL!AQ464)</f>
        <v/>
      </c>
      <c r="AR464" s="112" t="str">
        <f>IF(preDEL!$AG464,IFERROR(0/0,""),preDEL!AR464)</f>
        <v/>
      </c>
      <c r="AS464" s="112" t="str">
        <f>IF(preDEL!$AG464,IFERROR(0/0,""),preDEL!AS464)</f>
        <v/>
      </c>
      <c r="AT464" s="112" t="b">
        <f>IF(preDEL!$AG464,IFERROR(0/0,""),preDEL!AT464)</f>
        <v>0</v>
      </c>
      <c r="AU464" s="112" t="str">
        <f>IF(preDEL!$AG464,IFERROR(0/0,""),preDEL!AU464)</f>
        <v/>
      </c>
      <c r="AV464" s="112" t="str">
        <f>IF(preDEL!$AG464,IFERROR(0/0,""),preDEL!AV464)</f>
        <v/>
      </c>
      <c r="AW464" s="112" t="str">
        <f>IF(preDEL!$AG464,IFERROR(0/0,""),preDEL!AW464)</f>
        <v/>
      </c>
      <c r="AX464" s="112" t="str">
        <f>IF(preDEL!$AG464,IFERROR(0/0,""),preDEL!AX464)</f>
        <v/>
      </c>
      <c r="AY464" s="112" t="str">
        <f>IF(preDEL!$AG464,IFERROR(0/0,""),preDEL!AY464)</f>
        <v/>
      </c>
      <c r="AZ464" s="174"/>
      <c r="BA464" s="174"/>
      <c r="BB464" s="174"/>
      <c r="BC464" s="174"/>
      <c r="BD464" s="174"/>
      <c r="BE464" s="174"/>
      <c r="BF464" s="174"/>
      <c r="BG464" s="174"/>
      <c r="BH464" s="174"/>
      <c r="BI464" s="174"/>
      <c r="BJ464" s="174"/>
      <c r="BK464" s="174"/>
      <c r="BL464" s="174"/>
      <c r="BM464" s="174"/>
      <c r="BN464" s="174"/>
      <c r="BO464" s="174"/>
      <c r="BP464" s="174"/>
      <c r="BQ464" s="174"/>
      <c r="BR464" s="174"/>
      <c r="BS464" s="174"/>
      <c r="BT464" s="174"/>
      <c r="BU464" s="174"/>
      <c r="BV464" s="174"/>
      <c r="BW464" s="174"/>
      <c r="BX464" s="174"/>
      <c r="BY464" s="174"/>
      <c r="BZ464" s="174"/>
      <c r="CA464" s="174"/>
      <c r="CB464" s="174"/>
      <c r="CC464" s="174"/>
      <c r="CD464" s="174"/>
    </row>
    <row r="465">
      <c r="A465" s="105" t="str">
        <f>IF(preDEL!$AG465,IFERROR(0/0,""),preDEL!A465)</f>
        <v>FM537A</v>
      </c>
      <c r="B465" s="170">
        <f>IF(preDEL!$AG465,IFERROR(0/0,""),preDEL!B465)</f>
        <v>44611</v>
      </c>
      <c r="C465" s="171">
        <f>IF(preDEL!$AG465,IFERROR(0/0,""),preDEL!C465)</f>
        <v>0.3107523148</v>
      </c>
      <c r="D465" s="105" t="str">
        <f>IF(preDEL!$AG465,IFERROR(0/0,""),preDEL!D465)</f>
        <v/>
      </c>
      <c r="E465" s="105" t="str">
        <f>IF(preDEL!$AG465,IFERROR(0/0,""),preDEL!E465)</f>
        <v/>
      </c>
      <c r="F465" s="112" t="str">
        <f>IF(preDEL!$AG465,IFERROR(0/0,""),preDEL!F465)</f>
        <v/>
      </c>
      <c r="G465" s="112" t="str">
        <f>IF(preDEL!$AG465,IFERROR(0/0,""),preDEL!G465)</f>
        <v/>
      </c>
      <c r="H465" s="112" t="str">
        <f>IF(preDEL!$AG465,IFERROR(0/0,""),preDEL!H465)</f>
        <v/>
      </c>
      <c r="I465" s="105" t="str">
        <f>IF(preDEL!$AG465,IFERROR(0/0,""),preDEL!I465)</f>
        <v/>
      </c>
      <c r="J465" s="105" t="str">
        <f>IF(preDEL!$AG465,IFERROR(0/0,""),preDEL!J465)</f>
        <v/>
      </c>
      <c r="K465" s="105" t="str">
        <f>IF(preDEL!$AG465,IFERROR(0/0,""),preDEL!K465)</f>
        <v>Negative</v>
      </c>
      <c r="L465" s="170">
        <f>IF(preDEL!$AG465,IFERROR(0/0,""),preDEL!L465)</f>
        <v>44611</v>
      </c>
      <c r="M465" s="171">
        <f>IF(preDEL!$AG465,IFERROR(0/0,""),preDEL!M465)</f>
        <v>0.4882407407</v>
      </c>
      <c r="N465" s="112" t="str">
        <f>IF(preDEL!$AG465,IFERROR(0/0,""),preDEL!N465)</f>
        <v/>
      </c>
      <c r="O465" s="112" t="str">
        <f>IF(preDEL!$AG465,IFERROR(0/0,""),preDEL!O465)</f>
        <v/>
      </c>
      <c r="P465" s="110" t="str">
        <f>IF(preDEL!$AG465,IFERROR(0/0,""),preDEL!P465)</f>
        <v>ER - NOT IN APT</v>
      </c>
      <c r="Q465" s="110" t="str">
        <f>IF(preDEL!$AG465,IFERROR(0/0,""),preDEL!Q465)</f>
        <v>ER - NOT IN APT</v>
      </c>
      <c r="R465" s="104" t="b">
        <f>IF(preDEL!$AG465,IFERROR(0/0,""),preDEL!R465)</f>
        <v>1</v>
      </c>
      <c r="S465" s="104">
        <f>IF(preDEL!$AG465,IFERROR(0/0,""),preDEL!S465)</f>
        <v>1</v>
      </c>
      <c r="T465" s="110" t="str">
        <f>IF(preDEL!$AG465,IFERROR(0/0,""),preDEL!T465)</f>
        <v/>
      </c>
      <c r="U465" s="112" t="str">
        <f>IF(preDEL!$AG465,IFERROR(0/0,""),preDEL!U465)</f>
        <v/>
      </c>
      <c r="V465" s="105" t="str">
        <f>IF(preDEL!$AG465,IFERROR(0/0,""),preDEL!V465)</f>
        <v/>
      </c>
      <c r="W465" s="112" t="str">
        <f>IF(preDEL!$AG465,IFERROR(0/0,""),preDEL!W465)</f>
        <v/>
      </c>
      <c r="X465" s="104" t="b">
        <f>IF(preDEL!$AG465,IFERROR(0/0,""),preDEL!X465)</f>
        <v>0</v>
      </c>
      <c r="Y465" s="110" t="b">
        <f>IF(preDEL!$AG465,IFERROR(0/0,""),preDEL!Y465)</f>
        <v>0</v>
      </c>
      <c r="Z465" s="105" t="str">
        <f>IF(preDEL!$AG465,IFERROR(0/0,""),preDEL!Z465)</f>
        <v/>
      </c>
      <c r="AA465" s="110" t="b">
        <f>IF(preDEL!$AG465,IFERROR(0/0,""),preDEL!AA465)</f>
        <v>0</v>
      </c>
      <c r="AB465" s="110" t="b">
        <f>IF(preDEL!$AG465,IFERROR(0/0,""),preDEL!AB465)</f>
        <v>0</v>
      </c>
      <c r="AC465" s="172">
        <f>IF(preDEL!$AG465,IFERROR(0/0,""),preDEL!AC465)</f>
        <v>344</v>
      </c>
      <c r="AD465" s="104" t="b">
        <f>IF(preDEL!$AG465,IFERROR(0/0,""),preDEL!AD465)</f>
        <v>0</v>
      </c>
      <c r="AE465" s="173">
        <f>IF(preDEL!$AG465,IFERROR(0/0,""),preDEL!AE465)</f>
        <v>255.5833333</v>
      </c>
      <c r="AF465" s="110" t="b">
        <f>IF(preDEL!$AG465,IFERROR(0/0,""),preDEL!AF465)</f>
        <v>0</v>
      </c>
      <c r="AG465" s="110" t="b">
        <f>IF(preDEL!$AG465,IFERROR(0/0,""),preDEL!AG465)</f>
        <v>0</v>
      </c>
      <c r="AH465" s="104" t="str">
        <f>IF(preDEL!$AG465,IFERROR(0/0,""),preDEL!AH465)</f>
        <v/>
      </c>
      <c r="AI465" s="105">
        <f>IF(preDEL!$AG465,IFERROR(0/0,""),preDEL!AI465)</f>
        <v>1.3</v>
      </c>
      <c r="AJ465" s="112" t="str">
        <f>IF(preDEL!$AG465,IFERROR(0/0,""),preDEL!AJ465)</f>
        <v/>
      </c>
      <c r="AK465" s="105" t="str">
        <f>IF(preDEL!$AG465,IFERROR(0/0,""),preDEL!AK465)</f>
        <v>Negative</v>
      </c>
      <c r="AL465" s="112" t="str">
        <f>IF(preDEL!$AG465,IFERROR(0/0,""),preDEL!AL465)</f>
        <v/>
      </c>
      <c r="AM465" s="112" t="str">
        <f>IF(preDEL!$AG465,IFERROR(0/0,""),preDEL!AM465)</f>
        <v>SpBEND292213</v>
      </c>
      <c r="AN465" s="112" t="str">
        <f>IF(preDEL!$AG465,IFERROR(0/0,""),preDEL!AN465)</f>
        <v>BEND190541</v>
      </c>
      <c r="AO465" s="112" t="str">
        <f>IF(preDEL!$AG465,IFERROR(0/0,""),preDEL!AO465)</f>
        <v/>
      </c>
      <c r="AP465" s="112" t="str">
        <f>IF(preDEL!$AG465,IFERROR(0/0,""),preDEL!AP465)</f>
        <v/>
      </c>
      <c r="AQ465" s="112" t="str">
        <f>IF(preDEL!$AG465,IFERROR(0/0,""),preDEL!AQ465)</f>
        <v/>
      </c>
      <c r="AR465" s="112" t="str">
        <f>IF(preDEL!$AG465,IFERROR(0/0,""),preDEL!AR465)</f>
        <v/>
      </c>
      <c r="AS465" s="112" t="str">
        <f>IF(preDEL!$AG465,IFERROR(0/0,""),preDEL!AS465)</f>
        <v/>
      </c>
      <c r="AT465" s="112" t="b">
        <f>IF(preDEL!$AG465,IFERROR(0/0,""),preDEL!AT465)</f>
        <v>0</v>
      </c>
      <c r="AU465" s="112" t="str">
        <f>IF(preDEL!$AG465,IFERROR(0/0,""),preDEL!AU465)</f>
        <v/>
      </c>
      <c r="AV465" s="112" t="str">
        <f>IF(preDEL!$AG465,IFERROR(0/0,""),preDEL!AV465)</f>
        <v/>
      </c>
      <c r="AW465" s="112" t="str">
        <f>IF(preDEL!$AG465,IFERROR(0/0,""),preDEL!AW465)</f>
        <v/>
      </c>
      <c r="AX465" s="112" t="str">
        <f>IF(preDEL!$AG465,IFERROR(0/0,""),preDEL!AX465)</f>
        <v/>
      </c>
      <c r="AY465" s="112" t="str">
        <f>IF(preDEL!$AG465,IFERROR(0/0,""),preDEL!AY465)</f>
        <v/>
      </c>
      <c r="AZ465" s="174"/>
      <c r="BA465" s="174"/>
      <c r="BB465" s="174"/>
      <c r="BC465" s="174"/>
      <c r="BD465" s="174"/>
      <c r="BE465" s="174"/>
      <c r="BF465" s="174"/>
      <c r="BG465" s="174"/>
      <c r="BH465" s="174"/>
      <c r="BI465" s="174"/>
      <c r="BJ465" s="174"/>
      <c r="BK465" s="174"/>
      <c r="BL465" s="174"/>
      <c r="BM465" s="174"/>
      <c r="BN465" s="174"/>
      <c r="BO465" s="174"/>
      <c r="BP465" s="174"/>
      <c r="BQ465" s="174"/>
      <c r="BR465" s="174"/>
      <c r="BS465" s="174"/>
      <c r="BT465" s="174"/>
      <c r="BU465" s="174"/>
      <c r="BV465" s="174"/>
      <c r="BW465" s="174"/>
      <c r="BX465" s="174"/>
      <c r="BY465" s="174"/>
      <c r="BZ465" s="174"/>
      <c r="CA465" s="174"/>
      <c r="CB465" s="174"/>
      <c r="CC465" s="174"/>
      <c r="CD465" s="174"/>
    </row>
    <row r="466">
      <c r="A466" s="105" t="str">
        <f>IF(preDEL!$AG466,IFERROR(0/0,""),preDEL!A466)</f>
        <v>MA1071</v>
      </c>
      <c r="B466" s="170">
        <f>IF(preDEL!$AG466,IFERROR(0/0,""),preDEL!B466)</f>
        <v>44611</v>
      </c>
      <c r="C466" s="171">
        <f>IF(preDEL!$AG466,IFERROR(0/0,""),preDEL!C466)</f>
        <v>0.3114236111</v>
      </c>
      <c r="D466" s="105" t="str">
        <f>IF(preDEL!$AG466,IFERROR(0/0,""),preDEL!D466)</f>
        <v/>
      </c>
      <c r="E466" s="105" t="str">
        <f>IF(preDEL!$AG466,IFERROR(0/0,""),preDEL!E466)</f>
        <v/>
      </c>
      <c r="F466" s="112" t="str">
        <f>IF(preDEL!$AG466,IFERROR(0/0,""),preDEL!F466)</f>
        <v/>
      </c>
      <c r="G466" s="112" t="str">
        <f>IF(preDEL!$AG466,IFERROR(0/0,""),preDEL!G466)</f>
        <v/>
      </c>
      <c r="H466" s="112" t="str">
        <f>IF(preDEL!$AG466,IFERROR(0/0,""),preDEL!H466)</f>
        <v/>
      </c>
      <c r="I466" s="105" t="str">
        <f>IF(preDEL!$AG466,IFERROR(0/0,""),preDEL!I466)</f>
        <v/>
      </c>
      <c r="J466" s="105" t="str">
        <f>IF(preDEL!$AG466,IFERROR(0/0,""),preDEL!J466)</f>
        <v/>
      </c>
      <c r="K466" s="105" t="str">
        <f>IF(preDEL!$AG466,IFERROR(0/0,""),preDEL!K466)</f>
        <v>Negative</v>
      </c>
      <c r="L466" s="170">
        <f>IF(preDEL!$AG466,IFERROR(0/0,""),preDEL!L466)</f>
        <v>44611</v>
      </c>
      <c r="M466" s="171">
        <f>IF(preDEL!$AG466,IFERROR(0/0,""),preDEL!M466)</f>
        <v>0.4882523148</v>
      </c>
      <c r="N466" s="112" t="str">
        <f>IF(preDEL!$AG466,IFERROR(0/0,""),preDEL!N466)</f>
        <v/>
      </c>
      <c r="O466" s="112" t="str">
        <f>IF(preDEL!$AG466,IFERROR(0/0,""),preDEL!O466)</f>
        <v/>
      </c>
      <c r="P466" s="110" t="b">
        <f>IF(preDEL!$AG466,IFERROR(0/0,""),preDEL!P466)</f>
        <v>0</v>
      </c>
      <c r="Q466" s="110" t="str">
        <f>IF(preDEL!$AG466,IFERROR(0/0,""),preDEL!Q466)</f>
        <v>Result</v>
      </c>
      <c r="R466" s="104" t="b">
        <f>IF(preDEL!$AG466,IFERROR(0/0,""),preDEL!R466)</f>
        <v>1</v>
      </c>
      <c r="S466" s="104">
        <f>IF(preDEL!$AG466,IFERROR(0/0,""),preDEL!S466)</f>
        <v>1</v>
      </c>
      <c r="T466" s="110" t="str">
        <f>IF(preDEL!$AG466,IFERROR(0/0,""),preDEL!T466)</f>
        <v/>
      </c>
      <c r="U466" s="112" t="str">
        <f>IF(preDEL!$AG466,IFERROR(0/0,""),preDEL!U466)</f>
        <v/>
      </c>
      <c r="V466" s="105" t="str">
        <f>IF(preDEL!$AG466,IFERROR(0/0,""),preDEL!V466)</f>
        <v/>
      </c>
      <c r="W466" s="112" t="str">
        <f>IF(preDEL!$AG466,IFERROR(0/0,""),preDEL!W466)</f>
        <v/>
      </c>
      <c r="X466" s="104" t="b">
        <f>IF(preDEL!$AG466,IFERROR(0/0,""),preDEL!X466)</f>
        <v>0</v>
      </c>
      <c r="Y466" s="110" t="b">
        <f>IF(preDEL!$AG466,IFERROR(0/0,""),preDEL!Y466)</f>
        <v>0</v>
      </c>
      <c r="Z466" s="105" t="str">
        <f>IF(preDEL!$AG466,IFERROR(0/0,""),preDEL!Z466)</f>
        <v/>
      </c>
      <c r="AA466" s="110" t="b">
        <f>IF(preDEL!$AG466,IFERROR(0/0,""),preDEL!AA466)</f>
        <v>0</v>
      </c>
      <c r="AB466" s="110" t="b">
        <f>IF(preDEL!$AG466,IFERROR(0/0,""),preDEL!AB466)</f>
        <v>0</v>
      </c>
      <c r="AC466" s="172">
        <f>IF(preDEL!$AG466,IFERROR(0/0,""),preDEL!AC466)</f>
        <v>342</v>
      </c>
      <c r="AD466" s="104" t="b">
        <f>IF(preDEL!$AG466,IFERROR(0/0,""),preDEL!AD466)</f>
        <v>0</v>
      </c>
      <c r="AE466" s="173">
        <f>IF(preDEL!$AG466,IFERROR(0/0,""),preDEL!AE466)</f>
        <v>254.6333333</v>
      </c>
      <c r="AF466" s="110" t="b">
        <f>IF(preDEL!$AG466,IFERROR(0/0,""),preDEL!AF466)</f>
        <v>0</v>
      </c>
      <c r="AG466" s="110" t="b">
        <f>IF(preDEL!$AG466,IFERROR(0/0,""),preDEL!AG466)</f>
        <v>0</v>
      </c>
      <c r="AH466" s="104" t="str">
        <f>IF(preDEL!$AG466,IFERROR(0/0,""),preDEL!AH466)</f>
        <v/>
      </c>
      <c r="AI466" s="105" t="str">
        <f>IF(preDEL!$AG466,IFERROR(0/0,""),preDEL!AI466)</f>
        <v/>
      </c>
      <c r="AJ466" s="112" t="str">
        <f>IF(preDEL!$AG466,IFERROR(0/0,""),preDEL!AJ466)</f>
        <v/>
      </c>
      <c r="AK466" s="105" t="str">
        <f>IF(preDEL!$AG466,IFERROR(0/0,""),preDEL!AK466)</f>
        <v>Negative</v>
      </c>
      <c r="AL466" s="112" t="str">
        <f>IF(preDEL!$AG466,IFERROR(0/0,""),preDEL!AL466)</f>
        <v/>
      </c>
      <c r="AM466" s="112" t="str">
        <f>IF(preDEL!$AG466,IFERROR(0/0,""),preDEL!AM466)</f>
        <v>SpBEND139816</v>
      </c>
      <c r="AN466" s="112" t="str">
        <f>IF(preDEL!$AG466,IFERROR(0/0,""),preDEL!AN466)</f>
        <v>BEND492855</v>
      </c>
      <c r="AO466" s="112" t="str">
        <f>IF(preDEL!$AG466,IFERROR(0/0,""),preDEL!AO466)</f>
        <v/>
      </c>
      <c r="AP466" s="112" t="str">
        <f>IF(preDEL!$AG466,IFERROR(0/0,""),preDEL!AP466)</f>
        <v/>
      </c>
      <c r="AQ466" s="112" t="str">
        <f>IF(preDEL!$AG466,IFERROR(0/0,""),preDEL!AQ466)</f>
        <v/>
      </c>
      <c r="AR466" s="112" t="str">
        <f>IF(preDEL!$AG466,IFERROR(0/0,""),preDEL!AR466)</f>
        <v/>
      </c>
      <c r="AS466" s="112" t="str">
        <f>IF(preDEL!$AG466,IFERROR(0/0,""),preDEL!AS466)</f>
        <v/>
      </c>
      <c r="AT466" s="112" t="b">
        <f>IF(preDEL!$AG466,IFERROR(0/0,""),preDEL!AT466)</f>
        <v>0</v>
      </c>
      <c r="AU466" s="112" t="str">
        <f>IF(preDEL!$AG466,IFERROR(0/0,""),preDEL!AU466)</f>
        <v/>
      </c>
      <c r="AV466" s="112" t="str">
        <f>IF(preDEL!$AG466,IFERROR(0/0,""),preDEL!AV466)</f>
        <v/>
      </c>
      <c r="AW466" s="112" t="str">
        <f>IF(preDEL!$AG466,IFERROR(0/0,""),preDEL!AW466)</f>
        <v/>
      </c>
      <c r="AX466" s="112" t="str">
        <f>IF(preDEL!$AG466,IFERROR(0/0,""),preDEL!AX466)</f>
        <v/>
      </c>
      <c r="AY466" s="112" t="str">
        <f>IF(preDEL!$AG466,IFERROR(0/0,""),preDEL!AY466)</f>
        <v/>
      </c>
      <c r="AZ466" s="174"/>
      <c r="BA466" s="174"/>
      <c r="BB466" s="174"/>
      <c r="BC466" s="174"/>
      <c r="BD466" s="174"/>
      <c r="BE466" s="174"/>
      <c r="BF466" s="174"/>
      <c r="BG466" s="174"/>
      <c r="BH466" s="174"/>
      <c r="BI466" s="174"/>
      <c r="BJ466" s="174"/>
      <c r="BK466" s="174"/>
      <c r="BL466" s="174"/>
      <c r="BM466" s="174"/>
      <c r="BN466" s="174"/>
      <c r="BO466" s="174"/>
      <c r="BP466" s="174"/>
      <c r="BQ466" s="174"/>
      <c r="BR466" s="174"/>
      <c r="BS466" s="174"/>
      <c r="BT466" s="174"/>
      <c r="BU466" s="174"/>
      <c r="BV466" s="174"/>
      <c r="BW466" s="174"/>
      <c r="BX466" s="174"/>
      <c r="BY466" s="174"/>
      <c r="BZ466" s="174"/>
      <c r="CA466" s="174"/>
      <c r="CB466" s="174"/>
      <c r="CC466" s="174"/>
      <c r="CD466" s="174"/>
    </row>
    <row r="467">
      <c r="A467" s="105" t="str">
        <f>IF(preDEL!$AG467,IFERROR(0/0,""),preDEL!A467)</f>
        <v>MA277</v>
      </c>
      <c r="B467" s="170">
        <f>IF(preDEL!$AG467,IFERROR(0/0,""),preDEL!B467)</f>
        <v>44611</v>
      </c>
      <c r="C467" s="171">
        <f>IF(preDEL!$AG467,IFERROR(0/0,""),preDEL!C467)</f>
        <v>0.3116550926</v>
      </c>
      <c r="D467" s="105" t="str">
        <f>IF(preDEL!$AG467,IFERROR(0/0,""),preDEL!D467)</f>
        <v/>
      </c>
      <c r="E467" s="105" t="str">
        <f>IF(preDEL!$AG467,IFERROR(0/0,""),preDEL!E467)</f>
        <v/>
      </c>
      <c r="F467" s="112" t="str">
        <f>IF(preDEL!$AG467,IFERROR(0/0,""),preDEL!F467)</f>
        <v/>
      </c>
      <c r="G467" s="112" t="str">
        <f>IF(preDEL!$AG467,IFERROR(0/0,""),preDEL!G467)</f>
        <v/>
      </c>
      <c r="H467" s="112" t="str">
        <f>IF(preDEL!$AG467,IFERROR(0/0,""),preDEL!H467)</f>
        <v/>
      </c>
      <c r="I467" s="105" t="str">
        <f>IF(preDEL!$AG467,IFERROR(0/0,""),preDEL!I467)</f>
        <v/>
      </c>
      <c r="J467" s="105" t="str">
        <f>IF(preDEL!$AG467,IFERROR(0/0,""),preDEL!J467)</f>
        <v/>
      </c>
      <c r="K467" s="105" t="str">
        <f>IF(preDEL!$AG467,IFERROR(0/0,""),preDEL!K467)</f>
        <v>Negative</v>
      </c>
      <c r="L467" s="170">
        <f>IF(preDEL!$AG467,IFERROR(0/0,""),preDEL!L467)</f>
        <v>44611</v>
      </c>
      <c r="M467" s="171">
        <f>IF(preDEL!$AG467,IFERROR(0/0,""),preDEL!M467)</f>
        <v>0.4882523148</v>
      </c>
      <c r="N467" s="112" t="str">
        <f>IF(preDEL!$AG467,IFERROR(0/0,""),preDEL!N467)</f>
        <v/>
      </c>
      <c r="O467" s="112" t="str">
        <f>IF(preDEL!$AG467,IFERROR(0/0,""),preDEL!O467)</f>
        <v/>
      </c>
      <c r="P467" s="110" t="b">
        <f>IF(preDEL!$AG467,IFERROR(0/0,""),preDEL!P467)</f>
        <v>0</v>
      </c>
      <c r="Q467" s="110" t="str">
        <f>IF(preDEL!$AG467,IFERROR(0/0,""),preDEL!Q467)</f>
        <v>Result</v>
      </c>
      <c r="R467" s="104" t="b">
        <f>IF(preDEL!$AG467,IFERROR(0/0,""),preDEL!R467)</f>
        <v>1</v>
      </c>
      <c r="S467" s="104">
        <f>IF(preDEL!$AG467,IFERROR(0/0,""),preDEL!S467)</f>
        <v>1</v>
      </c>
      <c r="T467" s="110" t="str">
        <f>IF(preDEL!$AG467,IFERROR(0/0,""),preDEL!T467)</f>
        <v/>
      </c>
      <c r="U467" s="112" t="str">
        <f>IF(preDEL!$AG467,IFERROR(0/0,""),preDEL!U467)</f>
        <v/>
      </c>
      <c r="V467" s="105" t="str">
        <f>IF(preDEL!$AG467,IFERROR(0/0,""),preDEL!V467)</f>
        <v/>
      </c>
      <c r="W467" s="112" t="str">
        <f>IF(preDEL!$AG467,IFERROR(0/0,""),preDEL!W467)</f>
        <v/>
      </c>
      <c r="X467" s="104" t="b">
        <f>IF(preDEL!$AG467,IFERROR(0/0,""),preDEL!X467)</f>
        <v>0</v>
      </c>
      <c r="Y467" s="110" t="b">
        <f>IF(preDEL!$AG467,IFERROR(0/0,""),preDEL!Y467)</f>
        <v>0</v>
      </c>
      <c r="Z467" s="105" t="str">
        <f>IF(preDEL!$AG467,IFERROR(0/0,""),preDEL!Z467)</f>
        <v/>
      </c>
      <c r="AA467" s="110" t="b">
        <f>IF(preDEL!$AG467,IFERROR(0/0,""),preDEL!AA467)</f>
        <v>0</v>
      </c>
      <c r="AB467" s="110" t="b">
        <f>IF(preDEL!$AG467,IFERROR(0/0,""),preDEL!AB467)</f>
        <v>0</v>
      </c>
      <c r="AC467" s="172">
        <f>IF(preDEL!$AG467,IFERROR(0/0,""),preDEL!AC467)</f>
        <v>341</v>
      </c>
      <c r="AD467" s="104" t="b">
        <f>IF(preDEL!$AG467,IFERROR(0/0,""),preDEL!AD467)</f>
        <v>0</v>
      </c>
      <c r="AE467" s="173">
        <f>IF(preDEL!$AG467,IFERROR(0/0,""),preDEL!AE467)</f>
        <v>254.3</v>
      </c>
      <c r="AF467" s="110" t="b">
        <f>IF(preDEL!$AG467,IFERROR(0/0,""),preDEL!AF467)</f>
        <v>0</v>
      </c>
      <c r="AG467" s="110" t="b">
        <f>IF(preDEL!$AG467,IFERROR(0/0,""),preDEL!AG467)</f>
        <v>0</v>
      </c>
      <c r="AH467" s="104" t="str">
        <f>IF(preDEL!$AG467,IFERROR(0/0,""),preDEL!AH467)</f>
        <v/>
      </c>
      <c r="AI467" s="105" t="str">
        <f>IF(preDEL!$AG467,IFERROR(0/0,""),preDEL!AI467)</f>
        <v/>
      </c>
      <c r="AJ467" s="112" t="str">
        <f>IF(preDEL!$AG467,IFERROR(0/0,""),preDEL!AJ467)</f>
        <v/>
      </c>
      <c r="AK467" s="105" t="str">
        <f>IF(preDEL!$AG467,IFERROR(0/0,""),preDEL!AK467)</f>
        <v>Negative</v>
      </c>
      <c r="AL467" s="112" t="str">
        <f>IF(preDEL!$AG467,IFERROR(0/0,""),preDEL!AL467)</f>
        <v/>
      </c>
      <c r="AM467" s="112" t="str">
        <f>IF(preDEL!$AG467,IFERROR(0/0,""),preDEL!AM467)</f>
        <v>SpBEND637657</v>
      </c>
      <c r="AN467" s="112" t="str">
        <f>IF(preDEL!$AG467,IFERROR(0/0,""),preDEL!AN467)</f>
        <v>BEND142851</v>
      </c>
      <c r="AO467" s="112" t="str">
        <f>IF(preDEL!$AG467,IFERROR(0/0,""),preDEL!AO467)</f>
        <v/>
      </c>
      <c r="AP467" s="112" t="str">
        <f>IF(preDEL!$AG467,IFERROR(0/0,""),preDEL!AP467)</f>
        <v/>
      </c>
      <c r="AQ467" s="112" t="str">
        <f>IF(preDEL!$AG467,IFERROR(0/0,""),preDEL!AQ467)</f>
        <v/>
      </c>
      <c r="AR467" s="112" t="str">
        <f>IF(preDEL!$AG467,IFERROR(0/0,""),preDEL!AR467)</f>
        <v/>
      </c>
      <c r="AS467" s="112" t="str">
        <f>IF(preDEL!$AG467,IFERROR(0/0,""),preDEL!AS467)</f>
        <v/>
      </c>
      <c r="AT467" s="112" t="b">
        <f>IF(preDEL!$AG467,IFERROR(0/0,""),preDEL!AT467)</f>
        <v>0</v>
      </c>
      <c r="AU467" s="112" t="str">
        <f>IF(preDEL!$AG467,IFERROR(0/0,""),preDEL!AU467)</f>
        <v/>
      </c>
      <c r="AV467" s="112" t="str">
        <f>IF(preDEL!$AG467,IFERROR(0/0,""),preDEL!AV467)</f>
        <v/>
      </c>
      <c r="AW467" s="112" t="str">
        <f>IF(preDEL!$AG467,IFERROR(0/0,""),preDEL!AW467)</f>
        <v/>
      </c>
      <c r="AX467" s="112" t="str">
        <f>IF(preDEL!$AG467,IFERROR(0/0,""),preDEL!AX467)</f>
        <v/>
      </c>
      <c r="AY467" s="112" t="str">
        <f>IF(preDEL!$AG467,IFERROR(0/0,""),preDEL!AY467)</f>
        <v/>
      </c>
      <c r="AZ467" s="174"/>
      <c r="BA467" s="174"/>
      <c r="BB467" s="174"/>
      <c r="BC467" s="174"/>
      <c r="BD467" s="174"/>
      <c r="BE467" s="174"/>
      <c r="BF467" s="174"/>
      <c r="BG467" s="174"/>
      <c r="BH467" s="174"/>
      <c r="BI467" s="174"/>
      <c r="BJ467" s="174"/>
      <c r="BK467" s="174"/>
      <c r="BL467" s="174"/>
      <c r="BM467" s="174"/>
      <c r="BN467" s="174"/>
      <c r="BO467" s="174"/>
      <c r="BP467" s="174"/>
      <c r="BQ467" s="174"/>
      <c r="BR467" s="174"/>
      <c r="BS467" s="174"/>
      <c r="BT467" s="174"/>
      <c r="BU467" s="174"/>
      <c r="BV467" s="174"/>
      <c r="BW467" s="174"/>
      <c r="BX467" s="174"/>
      <c r="BY467" s="174"/>
      <c r="BZ467" s="174"/>
      <c r="CA467" s="174"/>
      <c r="CB467" s="174"/>
      <c r="CC467" s="174"/>
      <c r="CD467" s="174"/>
    </row>
    <row r="468">
      <c r="A468" s="105" t="str">
        <f>IF(preDEL!$AG468,IFERROR(0/0,""),preDEL!A468)</f>
        <v>MA1303</v>
      </c>
      <c r="B468" s="170">
        <f>IF(preDEL!$AG468,IFERROR(0/0,""),preDEL!B468)</f>
        <v>44611</v>
      </c>
      <c r="C468" s="171">
        <f>IF(preDEL!$AG468,IFERROR(0/0,""),preDEL!C468)</f>
        <v>0.3137962963</v>
      </c>
      <c r="D468" s="105" t="str">
        <f>IF(preDEL!$AG468,IFERROR(0/0,""),preDEL!D468)</f>
        <v/>
      </c>
      <c r="E468" s="105" t="str">
        <f>IF(preDEL!$AG468,IFERROR(0/0,""),preDEL!E468)</f>
        <v/>
      </c>
      <c r="F468" s="112" t="str">
        <f>IF(preDEL!$AG468,IFERROR(0/0,""),preDEL!F468)</f>
        <v/>
      </c>
      <c r="G468" s="112" t="str">
        <f>IF(preDEL!$AG468,IFERROR(0/0,""),preDEL!G468)</f>
        <v/>
      </c>
      <c r="H468" s="112" t="str">
        <f>IF(preDEL!$AG468,IFERROR(0/0,""),preDEL!H468)</f>
        <v/>
      </c>
      <c r="I468" s="175" t="str">
        <f>IF(preDEL!$AG468,IFERROR(0/0,""),preDEL!I468)</f>
        <v/>
      </c>
      <c r="J468" s="105" t="str">
        <f>IF(preDEL!$AG468,IFERROR(0/0,""),preDEL!J468)</f>
        <v/>
      </c>
      <c r="K468" s="105" t="str">
        <f>IF(preDEL!$AG468,IFERROR(0/0,""),preDEL!K468)</f>
        <v>Negative</v>
      </c>
      <c r="L468" s="170">
        <f>IF(preDEL!$AG468,IFERROR(0/0,""),preDEL!L468)</f>
        <v>44611</v>
      </c>
      <c r="M468" s="171">
        <f>IF(preDEL!$AG468,IFERROR(0/0,""),preDEL!M468)</f>
        <v>0.4882523148</v>
      </c>
      <c r="N468" s="112" t="str">
        <f>IF(preDEL!$AG468,IFERROR(0/0,""),preDEL!N468)</f>
        <v>Primary</v>
      </c>
      <c r="O468" s="112" t="str">
        <f>IF(preDEL!$AG468,IFERROR(0/0,""),preDEL!O468)</f>
        <v/>
      </c>
      <c r="P468" s="110" t="b">
        <f>IF(preDEL!$AG468,IFERROR(0/0,""),preDEL!P468)</f>
        <v>0</v>
      </c>
      <c r="Q468" s="110" t="str">
        <f>IF(preDEL!$AG468,IFERROR(0/0,""),preDEL!Q468)</f>
        <v>Result</v>
      </c>
      <c r="R468" s="104" t="b">
        <f>IF(preDEL!$AG468,IFERROR(0/0,""),preDEL!R468)</f>
        <v>1</v>
      </c>
      <c r="S468" s="104">
        <f>IF(preDEL!$AG468,IFERROR(0/0,""),preDEL!S468)</f>
        <v>1</v>
      </c>
      <c r="T468" s="110">
        <f>IF(preDEL!$AG468,IFERROR(0/0,""),preDEL!T468)</f>
        <v>0</v>
      </c>
      <c r="U468" s="112" t="str">
        <f>IF(preDEL!$AG468,IFERROR(0/0,""),preDEL!U468)</f>
        <v/>
      </c>
      <c r="V468" s="105" t="str">
        <f>IF(preDEL!$AG468,IFERROR(0/0,""),preDEL!V468)</f>
        <v/>
      </c>
      <c r="W468" s="112" t="str">
        <f>IF(preDEL!$AG468,IFERROR(0/0,""),preDEL!W468)</f>
        <v/>
      </c>
      <c r="X468" s="104" t="b">
        <f>IF(preDEL!$AG468,IFERROR(0/0,""),preDEL!X468)</f>
        <v>0</v>
      </c>
      <c r="Y468" s="110" t="b">
        <f>IF(preDEL!$AG468,IFERROR(0/0,""),preDEL!Y468)</f>
        <v>0</v>
      </c>
      <c r="Z468" s="105" t="str">
        <f>IF(preDEL!$AG468,IFERROR(0/0,""),preDEL!Z468)</f>
        <v/>
      </c>
      <c r="AA468" s="110" t="b">
        <f>IF(preDEL!$AG468,IFERROR(0/0,""),preDEL!AA468)</f>
        <v>0</v>
      </c>
      <c r="AB468" s="110" t="b">
        <f>IF(preDEL!$AG468,IFERROR(0/0,""),preDEL!AB468)</f>
        <v>0</v>
      </c>
      <c r="AC468" s="172">
        <f>IF(preDEL!$AG468,IFERROR(0/0,""),preDEL!AC468)</f>
        <v>806</v>
      </c>
      <c r="AD468" s="104" t="b">
        <f>IF(preDEL!$AG468,IFERROR(0/0,""),preDEL!AD468)</f>
        <v>1</v>
      </c>
      <c r="AE468" s="173">
        <f>IF(preDEL!$AG468,IFERROR(0/0,""),preDEL!AE468)</f>
        <v>251.2166667</v>
      </c>
      <c r="AF468" s="110" t="b">
        <f>IF(preDEL!$AG468,IFERROR(0/0,""),preDEL!AF468)</f>
        <v>0</v>
      </c>
      <c r="AG468" s="110" t="b">
        <f>IF(preDEL!$AG468,IFERROR(0/0,""),preDEL!AG468)</f>
        <v>0</v>
      </c>
      <c r="AH468" s="104" t="str">
        <f>IF(preDEL!$AG468,IFERROR(0/0,""),preDEL!AH468)</f>
        <v/>
      </c>
      <c r="AI468" s="105" t="str">
        <f>IF(preDEL!$AG468,IFERROR(0/0,""),preDEL!AI468)</f>
        <v/>
      </c>
      <c r="AJ468" s="112" t="str">
        <f>IF(preDEL!$AG468,IFERROR(0/0,""),preDEL!AJ468)</f>
        <v/>
      </c>
      <c r="AK468" s="105" t="str">
        <f>IF(preDEL!$AG468,IFERROR(0/0,""),preDEL!AK468)</f>
        <v>Negative</v>
      </c>
      <c r="AL468" s="112" t="str">
        <f>IF(preDEL!$AG468,IFERROR(0/0,""),preDEL!AL468)</f>
        <v/>
      </c>
      <c r="AM468" s="112" t="str">
        <f>IF(preDEL!$AG468,IFERROR(0/0,""),preDEL!AM468)</f>
        <v>SpBEND587584</v>
      </c>
      <c r="AN468" s="112" t="str">
        <f>IF(preDEL!$AG468,IFERROR(0/0,""),preDEL!AN468)</f>
        <v>BEND196623</v>
      </c>
      <c r="AO468" s="112" t="str">
        <f>IF(preDEL!$AG468,IFERROR(0/0,""),preDEL!AO468)</f>
        <v/>
      </c>
      <c r="AP468" s="112" t="str">
        <f>IF(preDEL!$AG468,IFERROR(0/0,""),preDEL!AP468)</f>
        <v/>
      </c>
      <c r="AQ468" s="112" t="str">
        <f>IF(preDEL!$AG468,IFERROR(0/0,""),preDEL!AQ468)</f>
        <v/>
      </c>
      <c r="AR468" s="112" t="str">
        <f>IF(preDEL!$AG468,IFERROR(0/0,""),preDEL!AR468)</f>
        <v/>
      </c>
      <c r="AS468" s="112" t="str">
        <f>IF(preDEL!$AG468,IFERROR(0/0,""),preDEL!AS468)</f>
        <v/>
      </c>
      <c r="AT468" s="112" t="b">
        <f>IF(preDEL!$AG468,IFERROR(0/0,""),preDEL!AT468)</f>
        <v>0</v>
      </c>
      <c r="AU468" s="112" t="str">
        <f>IF(preDEL!$AG468,IFERROR(0/0,""),preDEL!AU468)</f>
        <v/>
      </c>
      <c r="AV468" s="112" t="str">
        <f>IF(preDEL!$AG468,IFERROR(0/0,""),preDEL!AV468)</f>
        <v/>
      </c>
      <c r="AW468" s="112" t="str">
        <f>IF(preDEL!$AG468,IFERROR(0/0,""),preDEL!AW468)</f>
        <v/>
      </c>
      <c r="AX468" s="112" t="str">
        <f>IF(preDEL!$AG468,IFERROR(0/0,""),preDEL!AX468)</f>
        <v/>
      </c>
      <c r="AY468" s="112" t="str">
        <f>IF(preDEL!$AG468,IFERROR(0/0,""),preDEL!AY468)</f>
        <v/>
      </c>
      <c r="AZ468" s="174"/>
      <c r="BA468" s="174"/>
      <c r="BB468" s="174"/>
      <c r="BC468" s="174"/>
      <c r="BD468" s="174"/>
      <c r="BE468" s="174"/>
      <c r="BF468" s="174"/>
      <c r="BG468" s="174"/>
      <c r="BH468" s="174"/>
      <c r="BI468" s="174"/>
      <c r="BJ468" s="174"/>
      <c r="BK468" s="174"/>
      <c r="BL468" s="174"/>
      <c r="BM468" s="174"/>
      <c r="BN468" s="174"/>
      <c r="BO468" s="174"/>
      <c r="BP468" s="174"/>
      <c r="BQ468" s="174"/>
      <c r="BR468" s="174"/>
      <c r="BS468" s="174"/>
      <c r="BT468" s="174"/>
      <c r="BU468" s="174"/>
      <c r="BV468" s="174"/>
      <c r="BW468" s="174"/>
      <c r="BX468" s="174"/>
      <c r="BY468" s="174"/>
      <c r="BZ468" s="174"/>
      <c r="CA468" s="174"/>
      <c r="CB468" s="174"/>
      <c r="CC468" s="174"/>
      <c r="CD468" s="174"/>
    </row>
    <row r="469">
      <c r="A469" s="105" t="str">
        <f>IF(preDEL!$AG469,IFERROR(0/0,""),preDEL!A469)</f>
        <v>FM44</v>
      </c>
      <c r="B469" s="170">
        <f>IF(preDEL!$AG469,IFERROR(0/0,""),preDEL!B469)</f>
        <v>44611</v>
      </c>
      <c r="C469" s="171">
        <f>IF(preDEL!$AG469,IFERROR(0/0,""),preDEL!C469)</f>
        <v>0.3148842593</v>
      </c>
      <c r="D469" s="105" t="str">
        <f>IF(preDEL!$AG469,IFERROR(0/0,""),preDEL!D469)</f>
        <v/>
      </c>
      <c r="E469" s="105" t="str">
        <f>IF(preDEL!$AG469,IFERROR(0/0,""),preDEL!E469)</f>
        <v/>
      </c>
      <c r="F469" s="112" t="str">
        <f>IF(preDEL!$AG469,IFERROR(0/0,""),preDEL!F469)</f>
        <v/>
      </c>
      <c r="G469" s="112" t="str">
        <f>IF(preDEL!$AG469,IFERROR(0/0,""),preDEL!G469)</f>
        <v/>
      </c>
      <c r="H469" s="112" t="str">
        <f>IF(preDEL!$AG469,IFERROR(0/0,""),preDEL!H469)</f>
        <v/>
      </c>
      <c r="I469" s="105" t="str">
        <f>IF(preDEL!$AG469,IFERROR(0/0,""),preDEL!I469)</f>
        <v/>
      </c>
      <c r="J469" s="105" t="str">
        <f>IF(preDEL!$AG469,IFERROR(0/0,""),preDEL!J469)</f>
        <v/>
      </c>
      <c r="K469" s="105" t="str">
        <f>IF(preDEL!$AG469,IFERROR(0/0,""),preDEL!K469)</f>
        <v>Negative</v>
      </c>
      <c r="L469" s="170">
        <f>IF(preDEL!$AG469,IFERROR(0/0,""),preDEL!L469)</f>
        <v>44611</v>
      </c>
      <c r="M469" s="171">
        <f>IF(preDEL!$AG469,IFERROR(0/0,""),preDEL!M469)</f>
        <v>0.4882523148</v>
      </c>
      <c r="N469" s="112" t="str">
        <f>IF(preDEL!$AG469,IFERROR(0/0,""),preDEL!N469)</f>
        <v/>
      </c>
      <c r="O469" s="112" t="str">
        <f>IF(preDEL!$AG469,IFERROR(0/0,""),preDEL!O469)</f>
        <v/>
      </c>
      <c r="P469" s="110" t="b">
        <f>IF(preDEL!$AG469,IFERROR(0/0,""),preDEL!P469)</f>
        <v>0</v>
      </c>
      <c r="Q469" s="110" t="str">
        <f>IF(preDEL!$AG469,IFERROR(0/0,""),preDEL!Q469)</f>
        <v>Result</v>
      </c>
      <c r="R469" s="104" t="b">
        <f>IF(preDEL!$AG469,IFERROR(0/0,""),preDEL!R469)</f>
        <v>1</v>
      </c>
      <c r="S469" s="104">
        <f>IF(preDEL!$AG469,IFERROR(0/0,""),preDEL!S469)</f>
        <v>1</v>
      </c>
      <c r="T469" s="110" t="str">
        <f>IF(preDEL!$AG469,IFERROR(0/0,""),preDEL!T469)</f>
        <v/>
      </c>
      <c r="U469" s="112" t="str">
        <f>IF(preDEL!$AG469,IFERROR(0/0,""),preDEL!U469)</f>
        <v/>
      </c>
      <c r="V469" s="105" t="str">
        <f>IF(preDEL!$AG469,IFERROR(0/0,""),preDEL!V469)</f>
        <v/>
      </c>
      <c r="W469" s="112" t="str">
        <f>IF(preDEL!$AG469,IFERROR(0/0,""),preDEL!W469)</f>
        <v/>
      </c>
      <c r="X469" s="104" t="b">
        <f>IF(preDEL!$AG469,IFERROR(0/0,""),preDEL!X469)</f>
        <v>0</v>
      </c>
      <c r="Y469" s="110" t="b">
        <f>IF(preDEL!$AG469,IFERROR(0/0,""),preDEL!Y469)</f>
        <v>0</v>
      </c>
      <c r="Z469" s="105" t="str">
        <f>IF(preDEL!$AG469,IFERROR(0/0,""),preDEL!Z469)</f>
        <v/>
      </c>
      <c r="AA469" s="110" t="b">
        <f>IF(preDEL!$AG469,IFERROR(0/0,""),preDEL!AA469)</f>
        <v>0</v>
      </c>
      <c r="AB469" s="110" t="b">
        <f>IF(preDEL!$AG469,IFERROR(0/0,""),preDEL!AB469)</f>
        <v>0</v>
      </c>
      <c r="AC469" s="172">
        <f>IF(preDEL!$AG469,IFERROR(0/0,""),preDEL!AC469)</f>
        <v>340</v>
      </c>
      <c r="AD469" s="104" t="b">
        <f>IF(preDEL!$AG469,IFERROR(0/0,""),preDEL!AD469)</f>
        <v>0</v>
      </c>
      <c r="AE469" s="173">
        <f>IF(preDEL!$AG469,IFERROR(0/0,""),preDEL!AE469)</f>
        <v>249.65</v>
      </c>
      <c r="AF469" s="110" t="b">
        <f>IF(preDEL!$AG469,IFERROR(0/0,""),preDEL!AF469)</f>
        <v>0</v>
      </c>
      <c r="AG469" s="110" t="b">
        <f>IF(preDEL!$AG469,IFERROR(0/0,""),preDEL!AG469)</f>
        <v>0</v>
      </c>
      <c r="AH469" s="104" t="str">
        <f>IF(preDEL!$AG469,IFERROR(0/0,""),preDEL!AH469)</f>
        <v/>
      </c>
      <c r="AI469" s="105" t="str">
        <f>IF(preDEL!$AG469,IFERROR(0/0,""),preDEL!AI469)</f>
        <v/>
      </c>
      <c r="AJ469" s="112" t="str">
        <f>IF(preDEL!$AG469,IFERROR(0/0,""),preDEL!AJ469)</f>
        <v/>
      </c>
      <c r="AK469" s="105" t="str">
        <f>IF(preDEL!$AG469,IFERROR(0/0,""),preDEL!AK469)</f>
        <v>Negative</v>
      </c>
      <c r="AL469" s="112" t="str">
        <f>IF(preDEL!$AG469,IFERROR(0/0,""),preDEL!AL469)</f>
        <v/>
      </c>
      <c r="AM469" s="112" t="str">
        <f>IF(preDEL!$AG469,IFERROR(0/0,""),preDEL!AM469)</f>
        <v>SpBEND139600</v>
      </c>
      <c r="AN469" s="112" t="str">
        <f>IF(preDEL!$AG469,IFERROR(0/0,""),preDEL!AN469)</f>
        <v>BEND133778</v>
      </c>
      <c r="AO469" s="112" t="str">
        <f>IF(preDEL!$AG469,IFERROR(0/0,""),preDEL!AO469)</f>
        <v/>
      </c>
      <c r="AP469" s="112" t="str">
        <f>IF(preDEL!$AG469,IFERROR(0/0,""),preDEL!AP469)</f>
        <v/>
      </c>
      <c r="AQ469" s="112" t="str">
        <f>IF(preDEL!$AG469,IFERROR(0/0,""),preDEL!AQ469)</f>
        <v/>
      </c>
      <c r="AR469" s="112" t="str">
        <f>IF(preDEL!$AG469,IFERROR(0/0,""),preDEL!AR469)</f>
        <v/>
      </c>
      <c r="AS469" s="112" t="str">
        <f>IF(preDEL!$AG469,IFERROR(0/0,""),preDEL!AS469)</f>
        <v/>
      </c>
      <c r="AT469" s="112" t="b">
        <f>IF(preDEL!$AG469,IFERROR(0/0,""),preDEL!AT469)</f>
        <v>0</v>
      </c>
      <c r="AU469" s="112" t="str">
        <f>IF(preDEL!$AG469,IFERROR(0/0,""),preDEL!AU469)</f>
        <v/>
      </c>
      <c r="AV469" s="112" t="str">
        <f>IF(preDEL!$AG469,IFERROR(0/0,""),preDEL!AV469)</f>
        <v/>
      </c>
      <c r="AW469" s="112" t="str">
        <f>IF(preDEL!$AG469,IFERROR(0/0,""),preDEL!AW469)</f>
        <v/>
      </c>
      <c r="AX469" s="112" t="str">
        <f>IF(preDEL!$AG469,IFERROR(0/0,""),preDEL!AX469)</f>
        <v/>
      </c>
      <c r="AY469" s="112" t="str">
        <f>IF(preDEL!$AG469,IFERROR(0/0,""),preDEL!AY469)</f>
        <v/>
      </c>
      <c r="AZ469" s="174"/>
      <c r="BA469" s="174"/>
      <c r="BB469" s="174"/>
      <c r="BC469" s="174"/>
      <c r="BD469" s="174"/>
      <c r="BE469" s="174"/>
      <c r="BF469" s="174"/>
      <c r="BG469" s="174"/>
      <c r="BH469" s="174"/>
      <c r="BI469" s="174"/>
      <c r="BJ469" s="174"/>
      <c r="BK469" s="174"/>
      <c r="BL469" s="174"/>
      <c r="BM469" s="174"/>
      <c r="BN469" s="174"/>
      <c r="BO469" s="174"/>
      <c r="BP469" s="174"/>
      <c r="BQ469" s="174"/>
      <c r="BR469" s="174"/>
      <c r="BS469" s="174"/>
      <c r="BT469" s="174"/>
      <c r="BU469" s="174"/>
      <c r="BV469" s="174"/>
      <c r="BW469" s="174"/>
      <c r="BX469" s="174"/>
      <c r="BY469" s="174"/>
      <c r="BZ469" s="174"/>
      <c r="CA469" s="174"/>
      <c r="CB469" s="174"/>
      <c r="CC469" s="174"/>
      <c r="CD469" s="174"/>
    </row>
    <row r="470">
      <c r="A470" s="105" t="str">
        <f>IF(preDEL!$AG470,IFERROR(0/0,""),preDEL!A470)</f>
        <v>FM408</v>
      </c>
      <c r="B470" s="170">
        <f>IF(preDEL!$AG470,IFERROR(0/0,""),preDEL!B470)</f>
        <v>44611</v>
      </c>
      <c r="C470" s="171">
        <f>IF(preDEL!$AG470,IFERROR(0/0,""),preDEL!C470)</f>
        <v>0.3153587963</v>
      </c>
      <c r="D470" s="105" t="str">
        <f>IF(preDEL!$AG470,IFERROR(0/0,""),preDEL!D470)</f>
        <v/>
      </c>
      <c r="E470" s="105" t="str">
        <f>IF(preDEL!$AG470,IFERROR(0/0,""),preDEL!E470)</f>
        <v/>
      </c>
      <c r="F470" s="112" t="str">
        <f>IF(preDEL!$AG470,IFERROR(0/0,""),preDEL!F470)</f>
        <v/>
      </c>
      <c r="G470" s="112" t="str">
        <f>IF(preDEL!$AG470,IFERROR(0/0,""),preDEL!G470)</f>
        <v/>
      </c>
      <c r="H470" s="112" t="str">
        <f>IF(preDEL!$AG470,IFERROR(0/0,""),preDEL!H470)</f>
        <v/>
      </c>
      <c r="I470" s="105" t="str">
        <f>IF(preDEL!$AG470,IFERROR(0/0,""),preDEL!I470)</f>
        <v/>
      </c>
      <c r="J470" s="105" t="str">
        <f>IF(preDEL!$AG470,IFERROR(0/0,""),preDEL!J470)</f>
        <v/>
      </c>
      <c r="K470" s="105" t="str">
        <f>IF(preDEL!$AG470,IFERROR(0/0,""),preDEL!K470)</f>
        <v>Negative</v>
      </c>
      <c r="L470" s="170">
        <f>IF(preDEL!$AG470,IFERROR(0/0,""),preDEL!L470)</f>
        <v>44611</v>
      </c>
      <c r="M470" s="171">
        <f>IF(preDEL!$AG470,IFERROR(0/0,""),preDEL!M470)</f>
        <v>0.4882523148</v>
      </c>
      <c r="N470" s="112" t="str">
        <f>IF(preDEL!$AG470,IFERROR(0/0,""),preDEL!N470)</f>
        <v/>
      </c>
      <c r="O470" s="112" t="str">
        <f>IF(preDEL!$AG470,IFERROR(0/0,""),preDEL!O470)</f>
        <v/>
      </c>
      <c r="P470" s="110" t="b">
        <f>IF(preDEL!$AG470,IFERROR(0/0,""),preDEL!P470)</f>
        <v>0</v>
      </c>
      <c r="Q470" s="110" t="str">
        <f>IF(preDEL!$AG470,IFERROR(0/0,""),preDEL!Q470)</f>
        <v>Result</v>
      </c>
      <c r="R470" s="104" t="b">
        <f>IF(preDEL!$AG470,IFERROR(0/0,""),preDEL!R470)</f>
        <v>1</v>
      </c>
      <c r="S470" s="104">
        <f>IF(preDEL!$AG470,IFERROR(0/0,""),preDEL!S470)</f>
        <v>1</v>
      </c>
      <c r="T470" s="110" t="str">
        <f>IF(preDEL!$AG470,IFERROR(0/0,""),preDEL!T470)</f>
        <v/>
      </c>
      <c r="U470" s="112" t="str">
        <f>IF(preDEL!$AG470,IFERROR(0/0,""),preDEL!U470)</f>
        <v/>
      </c>
      <c r="V470" s="105" t="str">
        <f>IF(preDEL!$AG470,IFERROR(0/0,""),preDEL!V470)</f>
        <v/>
      </c>
      <c r="W470" s="112" t="str">
        <f>IF(preDEL!$AG470,IFERROR(0/0,""),preDEL!W470)</f>
        <v/>
      </c>
      <c r="X470" s="104" t="b">
        <f>IF(preDEL!$AG470,IFERROR(0/0,""),preDEL!X470)</f>
        <v>0</v>
      </c>
      <c r="Y470" s="110" t="b">
        <f>IF(preDEL!$AG470,IFERROR(0/0,""),preDEL!Y470)</f>
        <v>0</v>
      </c>
      <c r="Z470" s="105" t="str">
        <f>IF(preDEL!$AG470,IFERROR(0/0,""),preDEL!Z470)</f>
        <v/>
      </c>
      <c r="AA470" s="110" t="b">
        <f>IF(preDEL!$AG470,IFERROR(0/0,""),preDEL!AA470)</f>
        <v>0</v>
      </c>
      <c r="AB470" s="110" t="b">
        <f>IF(preDEL!$AG470,IFERROR(0/0,""),preDEL!AB470)</f>
        <v>0</v>
      </c>
      <c r="AC470" s="172">
        <f>IF(preDEL!$AG470,IFERROR(0/0,""),preDEL!AC470)</f>
        <v>339</v>
      </c>
      <c r="AD470" s="104" t="b">
        <f>IF(preDEL!$AG470,IFERROR(0/0,""),preDEL!AD470)</f>
        <v>0</v>
      </c>
      <c r="AE470" s="173">
        <f>IF(preDEL!$AG470,IFERROR(0/0,""),preDEL!AE470)</f>
        <v>248.9666667</v>
      </c>
      <c r="AF470" s="110" t="b">
        <f>IF(preDEL!$AG470,IFERROR(0/0,""),preDEL!AF470)</f>
        <v>0</v>
      </c>
      <c r="AG470" s="110" t="b">
        <f>IF(preDEL!$AG470,IFERROR(0/0,""),preDEL!AG470)</f>
        <v>0</v>
      </c>
      <c r="AH470" s="104" t="str">
        <f>IF(preDEL!$AG470,IFERROR(0/0,""),preDEL!AH470)</f>
        <v/>
      </c>
      <c r="AI470" s="105" t="str">
        <f>IF(preDEL!$AG470,IFERROR(0/0,""),preDEL!AI470)</f>
        <v/>
      </c>
      <c r="AJ470" s="112" t="str">
        <f>IF(preDEL!$AG470,IFERROR(0/0,""),preDEL!AJ470)</f>
        <v/>
      </c>
      <c r="AK470" s="105" t="str">
        <f>IF(preDEL!$AG470,IFERROR(0/0,""),preDEL!AK470)</f>
        <v>Negative</v>
      </c>
      <c r="AL470" s="112" t="str">
        <f>IF(preDEL!$AG470,IFERROR(0/0,""),preDEL!AL470)</f>
        <v/>
      </c>
      <c r="AM470" s="112" t="str">
        <f>IF(preDEL!$AG470,IFERROR(0/0,""),preDEL!AM470)</f>
        <v>SpBEND845509</v>
      </c>
      <c r="AN470" s="112" t="str">
        <f>IF(preDEL!$AG470,IFERROR(0/0,""),preDEL!AN470)</f>
        <v>BEND935806</v>
      </c>
      <c r="AO470" s="112" t="str">
        <f>IF(preDEL!$AG470,IFERROR(0/0,""),preDEL!AO470)</f>
        <v/>
      </c>
      <c r="AP470" s="112" t="str">
        <f>IF(preDEL!$AG470,IFERROR(0/0,""),preDEL!AP470)</f>
        <v/>
      </c>
      <c r="AQ470" s="112" t="str">
        <f>IF(preDEL!$AG470,IFERROR(0/0,""),preDEL!AQ470)</f>
        <v/>
      </c>
      <c r="AR470" s="112" t="str">
        <f>IF(preDEL!$AG470,IFERROR(0/0,""),preDEL!AR470)</f>
        <v/>
      </c>
      <c r="AS470" s="112" t="str">
        <f>IF(preDEL!$AG470,IFERROR(0/0,""),preDEL!AS470)</f>
        <v/>
      </c>
      <c r="AT470" s="112" t="b">
        <f>IF(preDEL!$AG470,IFERROR(0/0,""),preDEL!AT470)</f>
        <v>0</v>
      </c>
      <c r="AU470" s="112" t="str">
        <f>IF(preDEL!$AG470,IFERROR(0/0,""),preDEL!AU470)</f>
        <v/>
      </c>
      <c r="AV470" s="112" t="str">
        <f>IF(preDEL!$AG470,IFERROR(0/0,""),preDEL!AV470)</f>
        <v/>
      </c>
      <c r="AW470" s="112" t="str">
        <f>IF(preDEL!$AG470,IFERROR(0/0,""),preDEL!AW470)</f>
        <v/>
      </c>
      <c r="AX470" s="112" t="str">
        <f>IF(preDEL!$AG470,IFERROR(0/0,""),preDEL!AX470)</f>
        <v/>
      </c>
      <c r="AY470" s="112" t="str">
        <f>IF(preDEL!$AG470,IFERROR(0/0,""),preDEL!AY470)</f>
        <v/>
      </c>
      <c r="AZ470" s="174"/>
      <c r="BA470" s="174"/>
      <c r="BB470" s="174"/>
      <c r="BC470" s="174"/>
      <c r="BD470" s="174"/>
      <c r="BE470" s="174"/>
      <c r="BF470" s="174"/>
      <c r="BG470" s="174"/>
      <c r="BH470" s="174"/>
      <c r="BI470" s="174"/>
      <c r="BJ470" s="174"/>
      <c r="BK470" s="174"/>
      <c r="BL470" s="174"/>
      <c r="BM470" s="174"/>
      <c r="BN470" s="174"/>
      <c r="BO470" s="174"/>
      <c r="BP470" s="174"/>
      <c r="BQ470" s="174"/>
      <c r="BR470" s="174"/>
      <c r="BS470" s="174"/>
      <c r="BT470" s="174"/>
      <c r="BU470" s="174"/>
      <c r="BV470" s="174"/>
      <c r="BW470" s="174"/>
      <c r="BX470" s="174"/>
      <c r="BY470" s="174"/>
      <c r="BZ470" s="174"/>
      <c r="CA470" s="174"/>
      <c r="CB470" s="174"/>
      <c r="CC470" s="174"/>
      <c r="CD470" s="174"/>
    </row>
    <row r="471">
      <c r="A471" s="105" t="str">
        <f>IF(preDEL!$AG471,IFERROR(0/0,""),preDEL!A471)</f>
        <v>FM66</v>
      </c>
      <c r="B471" s="170">
        <f>IF(preDEL!$AG471,IFERROR(0/0,""),preDEL!B471)</f>
        <v>44611</v>
      </c>
      <c r="C471" s="171">
        <f>IF(preDEL!$AG471,IFERROR(0/0,""),preDEL!C471)</f>
        <v>0.3154282407</v>
      </c>
      <c r="D471" s="105" t="str">
        <f>IF(preDEL!$AG471,IFERROR(0/0,""),preDEL!D471)</f>
        <v/>
      </c>
      <c r="E471" s="105" t="str">
        <f>IF(preDEL!$AG471,IFERROR(0/0,""),preDEL!E471)</f>
        <v/>
      </c>
      <c r="F471" s="112" t="str">
        <f>IF(preDEL!$AG471,IFERROR(0/0,""),preDEL!F471)</f>
        <v/>
      </c>
      <c r="G471" s="112" t="str">
        <f>IF(preDEL!$AG471,IFERROR(0/0,""),preDEL!G471)</f>
        <v/>
      </c>
      <c r="H471" s="112" t="str">
        <f>IF(preDEL!$AG471,IFERROR(0/0,""),preDEL!H471)</f>
        <v/>
      </c>
      <c r="I471" s="105" t="str">
        <f>IF(preDEL!$AG471,IFERROR(0/0,""),preDEL!I471)</f>
        <v/>
      </c>
      <c r="J471" s="105" t="str">
        <f>IF(preDEL!$AG471,IFERROR(0/0,""),preDEL!J471)</f>
        <v/>
      </c>
      <c r="K471" s="105" t="str">
        <f>IF(preDEL!$AG471,IFERROR(0/0,""),preDEL!K471)</f>
        <v>Negative</v>
      </c>
      <c r="L471" s="170">
        <f>IF(preDEL!$AG471,IFERROR(0/0,""),preDEL!L471)</f>
        <v>44611</v>
      </c>
      <c r="M471" s="171">
        <f>IF(preDEL!$AG471,IFERROR(0/0,""),preDEL!M471)</f>
        <v>0.4882523148</v>
      </c>
      <c r="N471" s="112" t="str">
        <f>IF(preDEL!$AG471,IFERROR(0/0,""),preDEL!N471)</f>
        <v/>
      </c>
      <c r="O471" s="112" t="str">
        <f>IF(preDEL!$AG471,IFERROR(0/0,""),preDEL!O471)</f>
        <v/>
      </c>
      <c r="P471" s="110" t="b">
        <f>IF(preDEL!$AG471,IFERROR(0/0,""),preDEL!P471)</f>
        <v>0</v>
      </c>
      <c r="Q471" s="110" t="str">
        <f>IF(preDEL!$AG471,IFERROR(0/0,""),preDEL!Q471)</f>
        <v>Result</v>
      </c>
      <c r="R471" s="104" t="b">
        <f>IF(preDEL!$AG471,IFERROR(0/0,""),preDEL!R471)</f>
        <v>1</v>
      </c>
      <c r="S471" s="104">
        <f>IF(preDEL!$AG471,IFERROR(0/0,""),preDEL!S471)</f>
        <v>1</v>
      </c>
      <c r="T471" s="110" t="str">
        <f>IF(preDEL!$AG471,IFERROR(0/0,""),preDEL!T471)</f>
        <v/>
      </c>
      <c r="U471" s="112" t="str">
        <f>IF(preDEL!$AG471,IFERROR(0/0,""),preDEL!U471)</f>
        <v/>
      </c>
      <c r="V471" s="105" t="str">
        <f>IF(preDEL!$AG471,IFERROR(0/0,""),preDEL!V471)</f>
        <v/>
      </c>
      <c r="W471" s="112" t="str">
        <f>IF(preDEL!$AG471,IFERROR(0/0,""),preDEL!W471)</f>
        <v/>
      </c>
      <c r="X471" s="104" t="b">
        <f>IF(preDEL!$AG471,IFERROR(0/0,""),preDEL!X471)</f>
        <v>0</v>
      </c>
      <c r="Y471" s="110" t="b">
        <f>IF(preDEL!$AG471,IFERROR(0/0,""),preDEL!Y471)</f>
        <v>0</v>
      </c>
      <c r="Z471" s="105" t="str">
        <f>IF(preDEL!$AG471,IFERROR(0/0,""),preDEL!Z471)</f>
        <v/>
      </c>
      <c r="AA471" s="110" t="b">
        <f>IF(preDEL!$AG471,IFERROR(0/0,""),preDEL!AA471)</f>
        <v>0</v>
      </c>
      <c r="AB471" s="110" t="b">
        <f>IF(preDEL!$AG471,IFERROR(0/0,""),preDEL!AB471)</f>
        <v>0</v>
      </c>
      <c r="AC471" s="172">
        <f>IF(preDEL!$AG471,IFERROR(0/0,""),preDEL!AC471)</f>
        <v>338</v>
      </c>
      <c r="AD471" s="104" t="b">
        <f>IF(preDEL!$AG471,IFERROR(0/0,""),preDEL!AD471)</f>
        <v>0</v>
      </c>
      <c r="AE471" s="173">
        <f>IF(preDEL!$AG471,IFERROR(0/0,""),preDEL!AE471)</f>
        <v>248.8666667</v>
      </c>
      <c r="AF471" s="110" t="b">
        <f>IF(preDEL!$AG471,IFERROR(0/0,""),preDEL!AF471)</f>
        <v>0</v>
      </c>
      <c r="AG471" s="110" t="b">
        <f>IF(preDEL!$AG471,IFERROR(0/0,""),preDEL!AG471)</f>
        <v>0</v>
      </c>
      <c r="AH471" s="104" t="str">
        <f>IF(preDEL!$AG471,IFERROR(0/0,""),preDEL!AH471)</f>
        <v/>
      </c>
      <c r="AI471" s="105" t="str">
        <f>IF(preDEL!$AG471,IFERROR(0/0,""),preDEL!AI471)</f>
        <v/>
      </c>
      <c r="AJ471" s="112" t="str">
        <f>IF(preDEL!$AG471,IFERROR(0/0,""),preDEL!AJ471)</f>
        <v/>
      </c>
      <c r="AK471" s="105" t="str">
        <f>IF(preDEL!$AG471,IFERROR(0/0,""),preDEL!AK471)</f>
        <v>Negative</v>
      </c>
      <c r="AL471" s="112" t="str">
        <f>IF(preDEL!$AG471,IFERROR(0/0,""),preDEL!AL471)</f>
        <v/>
      </c>
      <c r="AM471" s="112" t="str">
        <f>IF(preDEL!$AG471,IFERROR(0/0,""),preDEL!AM471)</f>
        <v>SpBEND385421</v>
      </c>
      <c r="AN471" s="112" t="str">
        <f>IF(preDEL!$AG471,IFERROR(0/0,""),preDEL!AN471)</f>
        <v>BEND440747</v>
      </c>
      <c r="AO471" s="112" t="str">
        <f>IF(preDEL!$AG471,IFERROR(0/0,""),preDEL!AO471)</f>
        <v/>
      </c>
      <c r="AP471" s="112" t="str">
        <f>IF(preDEL!$AG471,IFERROR(0/0,""),preDEL!AP471)</f>
        <v/>
      </c>
      <c r="AQ471" s="112" t="str">
        <f>IF(preDEL!$AG471,IFERROR(0/0,""),preDEL!AQ471)</f>
        <v/>
      </c>
      <c r="AR471" s="112" t="str">
        <f>IF(preDEL!$AG471,IFERROR(0/0,""),preDEL!AR471)</f>
        <v/>
      </c>
      <c r="AS471" s="112" t="str">
        <f>IF(preDEL!$AG471,IFERROR(0/0,""),preDEL!AS471)</f>
        <v/>
      </c>
      <c r="AT471" s="112" t="b">
        <f>IF(preDEL!$AG471,IFERROR(0/0,""),preDEL!AT471)</f>
        <v>0</v>
      </c>
      <c r="AU471" s="112" t="str">
        <f>IF(preDEL!$AG471,IFERROR(0/0,""),preDEL!AU471)</f>
        <v/>
      </c>
      <c r="AV471" s="112" t="str">
        <f>IF(preDEL!$AG471,IFERROR(0/0,""),preDEL!AV471)</f>
        <v/>
      </c>
      <c r="AW471" s="112" t="str">
        <f>IF(preDEL!$AG471,IFERROR(0/0,""),preDEL!AW471)</f>
        <v/>
      </c>
      <c r="AX471" s="112" t="str">
        <f>IF(preDEL!$AG471,IFERROR(0/0,""),preDEL!AX471)</f>
        <v/>
      </c>
      <c r="AY471" s="112" t="str">
        <f>IF(preDEL!$AG471,IFERROR(0/0,""),preDEL!AY471)</f>
        <v/>
      </c>
      <c r="AZ471" s="174"/>
      <c r="BA471" s="174"/>
      <c r="BB471" s="174"/>
      <c r="BC471" s="174"/>
      <c r="BD471" s="174"/>
      <c r="BE471" s="174"/>
      <c r="BF471" s="174"/>
      <c r="BG471" s="174"/>
      <c r="BH471" s="174"/>
      <c r="BI471" s="174"/>
      <c r="BJ471" s="174"/>
      <c r="BK471" s="174"/>
      <c r="BL471" s="174"/>
      <c r="BM471" s="174"/>
      <c r="BN471" s="174"/>
      <c r="BO471" s="174"/>
      <c r="BP471" s="174"/>
      <c r="BQ471" s="174"/>
      <c r="BR471" s="174"/>
      <c r="BS471" s="174"/>
      <c r="BT471" s="174"/>
      <c r="BU471" s="174"/>
      <c r="BV471" s="174"/>
      <c r="BW471" s="174"/>
      <c r="BX471" s="174"/>
      <c r="BY471" s="174"/>
      <c r="BZ471" s="174"/>
      <c r="CA471" s="174"/>
      <c r="CB471" s="174"/>
      <c r="CC471" s="174"/>
      <c r="CD471" s="174"/>
    </row>
    <row r="472">
      <c r="A472" s="105" t="str">
        <f>IF(preDEL!$AG472,IFERROR(0/0,""),preDEL!A472)</f>
        <v>MA1225</v>
      </c>
      <c r="B472" s="170">
        <f>IF(preDEL!$AG472,IFERROR(0/0,""),preDEL!B472)</f>
        <v>44611</v>
      </c>
      <c r="C472" s="171">
        <f>IF(preDEL!$AG472,IFERROR(0/0,""),preDEL!C472)</f>
        <v>0.3158101852</v>
      </c>
      <c r="D472" s="105" t="str">
        <f>IF(preDEL!$AG472,IFERROR(0/0,""),preDEL!D472)</f>
        <v/>
      </c>
      <c r="E472" s="105" t="str">
        <f>IF(preDEL!$AG472,IFERROR(0/0,""),preDEL!E472)</f>
        <v/>
      </c>
      <c r="F472" s="112" t="str">
        <f>IF(preDEL!$AG472,IFERROR(0/0,""),preDEL!F472)</f>
        <v/>
      </c>
      <c r="G472" s="112" t="str">
        <f>IF(preDEL!$AG472,IFERROR(0/0,""),preDEL!G472)</f>
        <v/>
      </c>
      <c r="H472" s="112" t="str">
        <f>IF(preDEL!$AG472,IFERROR(0/0,""),preDEL!H472)</f>
        <v/>
      </c>
      <c r="I472" s="175" t="str">
        <f>IF(preDEL!$AG472,IFERROR(0/0,""),preDEL!I472)</f>
        <v/>
      </c>
      <c r="J472" s="105" t="str">
        <f>IF(preDEL!$AG472,IFERROR(0/0,""),preDEL!J472)</f>
        <v/>
      </c>
      <c r="K472" s="105" t="str">
        <f>IF(preDEL!$AG472,IFERROR(0/0,""),preDEL!K472)</f>
        <v>Negative</v>
      </c>
      <c r="L472" s="170">
        <f>IF(preDEL!$AG472,IFERROR(0/0,""),preDEL!L472)</f>
        <v>44611</v>
      </c>
      <c r="M472" s="171">
        <f>IF(preDEL!$AG472,IFERROR(0/0,""),preDEL!M472)</f>
        <v>0.4882523148</v>
      </c>
      <c r="N472" s="112" t="str">
        <f>IF(preDEL!$AG472,IFERROR(0/0,""),preDEL!N472)</f>
        <v>Primary</v>
      </c>
      <c r="O472" s="112" t="str">
        <f>IF(preDEL!$AG472,IFERROR(0/0,""),preDEL!O472)</f>
        <v/>
      </c>
      <c r="P472" s="110" t="b">
        <f>IF(preDEL!$AG472,IFERROR(0/0,""),preDEL!P472)</f>
        <v>0</v>
      </c>
      <c r="Q472" s="110" t="str">
        <f>IF(preDEL!$AG472,IFERROR(0/0,""),preDEL!Q472)</f>
        <v>Result</v>
      </c>
      <c r="R472" s="104" t="b">
        <f>IF(preDEL!$AG472,IFERROR(0/0,""),preDEL!R472)</f>
        <v>1</v>
      </c>
      <c r="S472" s="104">
        <f>IF(preDEL!$AG472,IFERROR(0/0,""),preDEL!S472)</f>
        <v>1</v>
      </c>
      <c r="T472" s="110">
        <f>IF(preDEL!$AG472,IFERROR(0/0,""),preDEL!T472)</f>
        <v>0</v>
      </c>
      <c r="U472" s="112" t="str">
        <f>IF(preDEL!$AG472,IFERROR(0/0,""),preDEL!U472)</f>
        <v/>
      </c>
      <c r="V472" s="105" t="str">
        <f>IF(preDEL!$AG472,IFERROR(0/0,""),preDEL!V472)</f>
        <v/>
      </c>
      <c r="W472" s="112" t="str">
        <f>IF(preDEL!$AG472,IFERROR(0/0,""),preDEL!W472)</f>
        <v/>
      </c>
      <c r="X472" s="104" t="b">
        <f>IF(preDEL!$AG472,IFERROR(0/0,""),preDEL!X472)</f>
        <v>0</v>
      </c>
      <c r="Y472" s="110" t="b">
        <f>IF(preDEL!$AG472,IFERROR(0/0,""),preDEL!Y472)</f>
        <v>0</v>
      </c>
      <c r="Z472" s="105" t="str">
        <f>IF(preDEL!$AG472,IFERROR(0/0,""),preDEL!Z472)</f>
        <v/>
      </c>
      <c r="AA472" s="110" t="b">
        <f>IF(preDEL!$AG472,IFERROR(0/0,""),preDEL!AA472)</f>
        <v>0</v>
      </c>
      <c r="AB472" s="110" t="b">
        <f>IF(preDEL!$AG472,IFERROR(0/0,""),preDEL!AB472)</f>
        <v>0</v>
      </c>
      <c r="AC472" s="172">
        <f>IF(preDEL!$AG472,IFERROR(0/0,""),preDEL!AC472)</f>
        <v>798</v>
      </c>
      <c r="AD472" s="104" t="b">
        <f>IF(preDEL!$AG472,IFERROR(0/0,""),preDEL!AD472)</f>
        <v>1</v>
      </c>
      <c r="AE472" s="173">
        <f>IF(preDEL!$AG472,IFERROR(0/0,""),preDEL!AE472)</f>
        <v>248.3166667</v>
      </c>
      <c r="AF472" s="110" t="b">
        <f>IF(preDEL!$AG472,IFERROR(0/0,""),preDEL!AF472)</f>
        <v>0</v>
      </c>
      <c r="AG472" s="110" t="b">
        <f>IF(preDEL!$AG472,IFERROR(0/0,""),preDEL!AG472)</f>
        <v>0</v>
      </c>
      <c r="AH472" s="104" t="str">
        <f>IF(preDEL!$AG472,IFERROR(0/0,""),preDEL!AH472)</f>
        <v/>
      </c>
      <c r="AI472" s="105" t="str">
        <f>IF(preDEL!$AG472,IFERROR(0/0,""),preDEL!AI472)</f>
        <v/>
      </c>
      <c r="AJ472" s="112" t="str">
        <f>IF(preDEL!$AG472,IFERROR(0/0,""),preDEL!AJ472)</f>
        <v/>
      </c>
      <c r="AK472" s="105" t="str">
        <f>IF(preDEL!$AG472,IFERROR(0/0,""),preDEL!AK472)</f>
        <v>Negative</v>
      </c>
      <c r="AL472" s="112" t="str">
        <f>IF(preDEL!$AG472,IFERROR(0/0,""),preDEL!AL472)</f>
        <v/>
      </c>
      <c r="AM472" s="112" t="str">
        <f>IF(preDEL!$AG472,IFERROR(0/0,""),preDEL!AM472)</f>
        <v>SpBEND269695</v>
      </c>
      <c r="AN472" s="112" t="str">
        <f>IF(preDEL!$AG472,IFERROR(0/0,""),preDEL!AN472)</f>
        <v>BEND200214</v>
      </c>
      <c r="AO472" s="112" t="str">
        <f>IF(preDEL!$AG472,IFERROR(0/0,""),preDEL!AO472)</f>
        <v/>
      </c>
      <c r="AP472" s="112" t="str">
        <f>IF(preDEL!$AG472,IFERROR(0/0,""),preDEL!AP472)</f>
        <v/>
      </c>
      <c r="AQ472" s="112" t="str">
        <f>IF(preDEL!$AG472,IFERROR(0/0,""),preDEL!AQ472)</f>
        <v/>
      </c>
      <c r="AR472" s="112" t="str">
        <f>IF(preDEL!$AG472,IFERROR(0/0,""),preDEL!AR472)</f>
        <v/>
      </c>
      <c r="AS472" s="112" t="str">
        <f>IF(preDEL!$AG472,IFERROR(0/0,""),preDEL!AS472)</f>
        <v/>
      </c>
      <c r="AT472" s="112" t="b">
        <f>IF(preDEL!$AG472,IFERROR(0/0,""),preDEL!AT472)</f>
        <v>0</v>
      </c>
      <c r="AU472" s="112" t="str">
        <f>IF(preDEL!$AG472,IFERROR(0/0,""),preDEL!AU472)</f>
        <v/>
      </c>
      <c r="AV472" s="112" t="str">
        <f>IF(preDEL!$AG472,IFERROR(0/0,""),preDEL!AV472)</f>
        <v/>
      </c>
      <c r="AW472" s="112" t="str">
        <f>IF(preDEL!$AG472,IFERROR(0/0,""),preDEL!AW472)</f>
        <v/>
      </c>
      <c r="AX472" s="112" t="str">
        <f>IF(preDEL!$AG472,IFERROR(0/0,""),preDEL!AX472)</f>
        <v/>
      </c>
      <c r="AY472" s="112" t="str">
        <f>IF(preDEL!$AG472,IFERROR(0/0,""),preDEL!AY472)</f>
        <v/>
      </c>
      <c r="AZ472" s="174"/>
      <c r="BA472" s="174"/>
      <c r="BB472" s="174"/>
      <c r="BC472" s="174"/>
      <c r="BD472" s="174"/>
      <c r="BE472" s="174"/>
      <c r="BF472" s="174"/>
      <c r="BG472" s="174"/>
      <c r="BH472" s="174"/>
      <c r="BI472" s="174"/>
      <c r="BJ472" s="174"/>
      <c r="BK472" s="174"/>
      <c r="BL472" s="174"/>
      <c r="BM472" s="174"/>
      <c r="BN472" s="174"/>
      <c r="BO472" s="174"/>
      <c r="BP472" s="174"/>
      <c r="BQ472" s="174"/>
      <c r="BR472" s="174"/>
      <c r="BS472" s="174"/>
      <c r="BT472" s="174"/>
      <c r="BU472" s="174"/>
      <c r="BV472" s="174"/>
      <c r="BW472" s="174"/>
      <c r="BX472" s="174"/>
      <c r="BY472" s="174"/>
      <c r="BZ472" s="174"/>
      <c r="CA472" s="174"/>
      <c r="CB472" s="174"/>
      <c r="CC472" s="174"/>
      <c r="CD472" s="174"/>
    </row>
    <row r="473">
      <c r="A473" s="105" t="str">
        <f>IF(preDEL!$AG473,IFERROR(0/0,""),preDEL!A473)</f>
        <v>MA1296</v>
      </c>
      <c r="B473" s="170">
        <f>IF(preDEL!$AG473,IFERROR(0/0,""),preDEL!B473)</f>
        <v>44611</v>
      </c>
      <c r="C473" s="171">
        <f>IF(preDEL!$AG473,IFERROR(0/0,""),preDEL!C473)</f>
        <v>0.3173611111</v>
      </c>
      <c r="D473" s="105" t="str">
        <f>IF(preDEL!$AG473,IFERROR(0/0,""),preDEL!D473)</f>
        <v/>
      </c>
      <c r="E473" s="105" t="str">
        <f>IF(preDEL!$AG473,IFERROR(0/0,""),preDEL!E473)</f>
        <v/>
      </c>
      <c r="F473" s="112" t="str">
        <f>IF(preDEL!$AG473,IFERROR(0/0,""),preDEL!F473)</f>
        <v/>
      </c>
      <c r="G473" s="112" t="str">
        <f>IF(preDEL!$AG473,IFERROR(0/0,""),preDEL!G473)</f>
        <v/>
      </c>
      <c r="H473" s="112" t="str">
        <f>IF(preDEL!$AG473,IFERROR(0/0,""),preDEL!H473)</f>
        <v/>
      </c>
      <c r="I473" s="105" t="str">
        <f>IF(preDEL!$AG473,IFERROR(0/0,""),preDEL!I473)</f>
        <v/>
      </c>
      <c r="J473" s="105" t="str">
        <f>IF(preDEL!$AG473,IFERROR(0/0,""),preDEL!J473)</f>
        <v/>
      </c>
      <c r="K473" s="105" t="str">
        <f>IF(preDEL!$AG473,IFERROR(0/0,""),preDEL!K473)</f>
        <v>Negative</v>
      </c>
      <c r="L473" s="170">
        <f>IF(preDEL!$AG473,IFERROR(0/0,""),preDEL!L473)</f>
        <v>44611</v>
      </c>
      <c r="M473" s="171">
        <f>IF(preDEL!$AG473,IFERROR(0/0,""),preDEL!M473)</f>
        <v>0.4882523148</v>
      </c>
      <c r="N473" s="112" t="str">
        <f>IF(preDEL!$AG473,IFERROR(0/0,""),preDEL!N473)</f>
        <v/>
      </c>
      <c r="O473" s="112" t="str">
        <f>IF(preDEL!$AG473,IFERROR(0/0,""),preDEL!O473)</f>
        <v/>
      </c>
      <c r="P473" s="110" t="b">
        <f>IF(preDEL!$AG473,IFERROR(0/0,""),preDEL!P473)</f>
        <v>0</v>
      </c>
      <c r="Q473" s="110" t="str">
        <f>IF(preDEL!$AG473,IFERROR(0/0,""),preDEL!Q473)</f>
        <v>Result</v>
      </c>
      <c r="R473" s="104" t="b">
        <f>IF(preDEL!$AG473,IFERROR(0/0,""),preDEL!R473)</f>
        <v>1</v>
      </c>
      <c r="S473" s="104">
        <f>IF(preDEL!$AG473,IFERROR(0/0,""),preDEL!S473)</f>
        <v>1</v>
      </c>
      <c r="T473" s="110" t="str">
        <f>IF(preDEL!$AG473,IFERROR(0/0,""),preDEL!T473)</f>
        <v/>
      </c>
      <c r="U473" s="112" t="str">
        <f>IF(preDEL!$AG473,IFERROR(0/0,""),preDEL!U473)</f>
        <v/>
      </c>
      <c r="V473" s="105" t="str">
        <f>IF(preDEL!$AG473,IFERROR(0/0,""),preDEL!V473)</f>
        <v/>
      </c>
      <c r="W473" s="112" t="str">
        <f>IF(preDEL!$AG473,IFERROR(0/0,""),preDEL!W473)</f>
        <v/>
      </c>
      <c r="X473" s="104" t="b">
        <f>IF(preDEL!$AG473,IFERROR(0/0,""),preDEL!X473)</f>
        <v>0</v>
      </c>
      <c r="Y473" s="110" t="b">
        <f>IF(preDEL!$AG473,IFERROR(0/0,""),preDEL!Y473)</f>
        <v>0</v>
      </c>
      <c r="Z473" s="105" t="str">
        <f>IF(preDEL!$AG473,IFERROR(0/0,""),preDEL!Z473)</f>
        <v/>
      </c>
      <c r="AA473" s="110" t="b">
        <f>IF(preDEL!$AG473,IFERROR(0/0,""),preDEL!AA473)</f>
        <v>0</v>
      </c>
      <c r="AB473" s="110" t="b">
        <f>IF(preDEL!$AG473,IFERROR(0/0,""),preDEL!AB473)</f>
        <v>0</v>
      </c>
      <c r="AC473" s="172">
        <f>IF(preDEL!$AG473,IFERROR(0/0,""),preDEL!AC473)</f>
        <v>337</v>
      </c>
      <c r="AD473" s="104" t="b">
        <f>IF(preDEL!$AG473,IFERROR(0/0,""),preDEL!AD473)</f>
        <v>0</v>
      </c>
      <c r="AE473" s="173">
        <f>IF(preDEL!$AG473,IFERROR(0/0,""),preDEL!AE473)</f>
        <v>246.0833333</v>
      </c>
      <c r="AF473" s="110" t="b">
        <f>IF(preDEL!$AG473,IFERROR(0/0,""),preDEL!AF473)</f>
        <v>0</v>
      </c>
      <c r="AG473" s="110" t="b">
        <f>IF(preDEL!$AG473,IFERROR(0/0,""),preDEL!AG473)</f>
        <v>0</v>
      </c>
      <c r="AH473" s="104" t="str">
        <f>IF(preDEL!$AG473,IFERROR(0/0,""),preDEL!AH473)</f>
        <v/>
      </c>
      <c r="AI473" s="105" t="str">
        <f>IF(preDEL!$AG473,IFERROR(0/0,""),preDEL!AI473)</f>
        <v/>
      </c>
      <c r="AJ473" s="112" t="str">
        <f>IF(preDEL!$AG473,IFERROR(0/0,""),preDEL!AJ473)</f>
        <v/>
      </c>
      <c r="AK473" s="105" t="str">
        <f>IF(preDEL!$AG473,IFERROR(0/0,""),preDEL!AK473)</f>
        <v>Negative</v>
      </c>
      <c r="AL473" s="112" t="str">
        <f>IF(preDEL!$AG473,IFERROR(0/0,""),preDEL!AL473)</f>
        <v/>
      </c>
      <c r="AM473" s="112" t="str">
        <f>IF(preDEL!$AG473,IFERROR(0/0,""),preDEL!AM473)</f>
        <v>SpBEND474338</v>
      </c>
      <c r="AN473" s="112" t="str">
        <f>IF(preDEL!$AG473,IFERROR(0/0,""),preDEL!AN473)</f>
        <v>BEND980447</v>
      </c>
      <c r="AO473" s="112" t="str">
        <f>IF(preDEL!$AG473,IFERROR(0/0,""),preDEL!AO473)</f>
        <v/>
      </c>
      <c r="AP473" s="112" t="str">
        <f>IF(preDEL!$AG473,IFERROR(0/0,""),preDEL!AP473)</f>
        <v/>
      </c>
      <c r="AQ473" s="112" t="str">
        <f>IF(preDEL!$AG473,IFERROR(0/0,""),preDEL!AQ473)</f>
        <v/>
      </c>
      <c r="AR473" s="112" t="str">
        <f>IF(preDEL!$AG473,IFERROR(0/0,""),preDEL!AR473)</f>
        <v/>
      </c>
      <c r="AS473" s="112" t="str">
        <f>IF(preDEL!$AG473,IFERROR(0/0,""),preDEL!AS473)</f>
        <v/>
      </c>
      <c r="AT473" s="112" t="b">
        <f>IF(preDEL!$AG473,IFERROR(0/0,""),preDEL!AT473)</f>
        <v>0</v>
      </c>
      <c r="AU473" s="112" t="str">
        <f>IF(preDEL!$AG473,IFERROR(0/0,""),preDEL!AU473)</f>
        <v/>
      </c>
      <c r="AV473" s="112" t="str">
        <f>IF(preDEL!$AG473,IFERROR(0/0,""),preDEL!AV473)</f>
        <v/>
      </c>
      <c r="AW473" s="112" t="str">
        <f>IF(preDEL!$AG473,IFERROR(0/0,""),preDEL!AW473)</f>
        <v/>
      </c>
      <c r="AX473" s="112" t="str">
        <f>IF(preDEL!$AG473,IFERROR(0/0,""),preDEL!AX473)</f>
        <v/>
      </c>
      <c r="AY473" s="112" t="str">
        <f>IF(preDEL!$AG473,IFERROR(0/0,""),preDEL!AY473)</f>
        <v/>
      </c>
      <c r="AZ473" s="174"/>
      <c r="BA473" s="174"/>
      <c r="BB473" s="174"/>
      <c r="BC473" s="174"/>
      <c r="BD473" s="174"/>
      <c r="BE473" s="174"/>
      <c r="BF473" s="174"/>
      <c r="BG473" s="174"/>
      <c r="BH473" s="174"/>
      <c r="BI473" s="174"/>
      <c r="BJ473" s="174"/>
      <c r="BK473" s="174"/>
      <c r="BL473" s="174"/>
      <c r="BM473" s="174"/>
      <c r="BN473" s="174"/>
      <c r="BO473" s="174"/>
      <c r="BP473" s="174"/>
      <c r="BQ473" s="174"/>
      <c r="BR473" s="174"/>
      <c r="BS473" s="174"/>
      <c r="BT473" s="174"/>
      <c r="BU473" s="174"/>
      <c r="BV473" s="174"/>
      <c r="BW473" s="174"/>
      <c r="BX473" s="174"/>
      <c r="BY473" s="174"/>
      <c r="BZ473" s="174"/>
      <c r="CA473" s="174"/>
      <c r="CB473" s="174"/>
      <c r="CC473" s="174"/>
      <c r="CD473" s="174"/>
    </row>
    <row r="474">
      <c r="A474" s="105" t="str">
        <f>IF(preDEL!$AG474,IFERROR(0/0,""),preDEL!A474)</f>
        <v>MA193</v>
      </c>
      <c r="B474" s="170">
        <f>IF(preDEL!$AG474,IFERROR(0/0,""),preDEL!B474)</f>
        <v>44611</v>
      </c>
      <c r="C474" s="171">
        <f>IF(preDEL!$AG474,IFERROR(0/0,""),preDEL!C474)</f>
        <v>0.3180439815</v>
      </c>
      <c r="D474" s="105" t="str">
        <f>IF(preDEL!$AG474,IFERROR(0/0,""),preDEL!D474)</f>
        <v/>
      </c>
      <c r="E474" s="105" t="str">
        <f>IF(preDEL!$AG474,IFERROR(0/0,""),preDEL!E474)</f>
        <v/>
      </c>
      <c r="F474" s="112" t="str">
        <f>IF(preDEL!$AG474,IFERROR(0/0,""),preDEL!F474)</f>
        <v/>
      </c>
      <c r="G474" s="112" t="str">
        <f>IF(preDEL!$AG474,IFERROR(0/0,""),preDEL!G474)</f>
        <v/>
      </c>
      <c r="H474" s="112" t="str">
        <f>IF(preDEL!$AG474,IFERROR(0/0,""),preDEL!H474)</f>
        <v/>
      </c>
      <c r="I474" s="175" t="str">
        <f>IF(preDEL!$AG474,IFERROR(0/0,""),preDEL!I474)</f>
        <v/>
      </c>
      <c r="J474" s="105" t="str">
        <f>IF(preDEL!$AG474,IFERROR(0/0,""),preDEL!J474)</f>
        <v/>
      </c>
      <c r="K474" s="105" t="str">
        <f>IF(preDEL!$AG474,IFERROR(0/0,""),preDEL!K474)</f>
        <v>Negative</v>
      </c>
      <c r="L474" s="170">
        <f>IF(preDEL!$AG474,IFERROR(0/0,""),preDEL!L474)</f>
        <v>44611</v>
      </c>
      <c r="M474" s="171">
        <f>IF(preDEL!$AG474,IFERROR(0/0,""),preDEL!M474)</f>
        <v>0.4882523148</v>
      </c>
      <c r="N474" s="112" t="str">
        <f>IF(preDEL!$AG474,IFERROR(0/0,""),preDEL!N474)</f>
        <v>Primary</v>
      </c>
      <c r="O474" s="112" t="str">
        <f>IF(preDEL!$AG474,IFERROR(0/0,""),preDEL!O474)</f>
        <v/>
      </c>
      <c r="P474" s="110" t="b">
        <f>IF(preDEL!$AG474,IFERROR(0/0,""),preDEL!P474)</f>
        <v>0</v>
      </c>
      <c r="Q474" s="110" t="str">
        <f>IF(preDEL!$AG474,IFERROR(0/0,""),preDEL!Q474)</f>
        <v>Result</v>
      </c>
      <c r="R474" s="104" t="b">
        <f>IF(preDEL!$AG474,IFERROR(0/0,""),preDEL!R474)</f>
        <v>1</v>
      </c>
      <c r="S474" s="104">
        <f>IF(preDEL!$AG474,IFERROR(0/0,""),preDEL!S474)</f>
        <v>1</v>
      </c>
      <c r="T474" s="110">
        <f>IF(preDEL!$AG474,IFERROR(0/0,""),preDEL!T474)</f>
        <v>0</v>
      </c>
      <c r="U474" s="112" t="str">
        <f>IF(preDEL!$AG474,IFERROR(0/0,""),preDEL!U474)</f>
        <v/>
      </c>
      <c r="V474" s="105" t="str">
        <f>IF(preDEL!$AG474,IFERROR(0/0,""),preDEL!V474)</f>
        <v/>
      </c>
      <c r="W474" s="112" t="str">
        <f>IF(preDEL!$AG474,IFERROR(0/0,""),preDEL!W474)</f>
        <v/>
      </c>
      <c r="X474" s="104" t="b">
        <f>IF(preDEL!$AG474,IFERROR(0/0,""),preDEL!X474)</f>
        <v>0</v>
      </c>
      <c r="Y474" s="110" t="b">
        <f>IF(preDEL!$AG474,IFERROR(0/0,""),preDEL!Y474)</f>
        <v>0</v>
      </c>
      <c r="Z474" s="105" t="str">
        <f>IF(preDEL!$AG474,IFERROR(0/0,""),preDEL!Z474)</f>
        <v/>
      </c>
      <c r="AA474" s="110" t="b">
        <f>IF(preDEL!$AG474,IFERROR(0/0,""),preDEL!AA474)</f>
        <v>0</v>
      </c>
      <c r="AB474" s="110" t="b">
        <f>IF(preDEL!$AG474,IFERROR(0/0,""),preDEL!AB474)</f>
        <v>0</v>
      </c>
      <c r="AC474" s="172">
        <f>IF(preDEL!$AG474,IFERROR(0/0,""),preDEL!AC474)</f>
        <v>810</v>
      </c>
      <c r="AD474" s="104" t="b">
        <f>IF(preDEL!$AG474,IFERROR(0/0,""),preDEL!AD474)</f>
        <v>1</v>
      </c>
      <c r="AE474" s="173">
        <f>IF(preDEL!$AG474,IFERROR(0/0,""),preDEL!AE474)</f>
        <v>245.1</v>
      </c>
      <c r="AF474" s="110" t="b">
        <f>IF(preDEL!$AG474,IFERROR(0/0,""),preDEL!AF474)</f>
        <v>0</v>
      </c>
      <c r="AG474" s="110" t="b">
        <f>IF(preDEL!$AG474,IFERROR(0/0,""),preDEL!AG474)</f>
        <v>0</v>
      </c>
      <c r="AH474" s="104" t="str">
        <f>IF(preDEL!$AG474,IFERROR(0/0,""),preDEL!AH474)</f>
        <v/>
      </c>
      <c r="AI474" s="105" t="str">
        <f>IF(preDEL!$AG474,IFERROR(0/0,""),preDEL!AI474)</f>
        <v/>
      </c>
      <c r="AJ474" s="112" t="str">
        <f>IF(preDEL!$AG474,IFERROR(0/0,""),preDEL!AJ474)</f>
        <v/>
      </c>
      <c r="AK474" s="105" t="str">
        <f>IF(preDEL!$AG474,IFERROR(0/0,""),preDEL!AK474)</f>
        <v>Negative</v>
      </c>
      <c r="AL474" s="112" t="str">
        <f>IF(preDEL!$AG474,IFERROR(0/0,""),preDEL!AL474)</f>
        <v/>
      </c>
      <c r="AM474" s="112" t="str">
        <f>IF(preDEL!$AG474,IFERROR(0/0,""),preDEL!AM474)</f>
        <v>SpBEND587584</v>
      </c>
      <c r="AN474" s="112" t="str">
        <f>IF(preDEL!$AG474,IFERROR(0/0,""),preDEL!AN474)</f>
        <v>BEND412261</v>
      </c>
      <c r="AO474" s="112" t="str">
        <f>IF(preDEL!$AG474,IFERROR(0/0,""),preDEL!AO474)</f>
        <v/>
      </c>
      <c r="AP474" s="112" t="str">
        <f>IF(preDEL!$AG474,IFERROR(0/0,""),preDEL!AP474)</f>
        <v/>
      </c>
      <c r="AQ474" s="112" t="str">
        <f>IF(preDEL!$AG474,IFERROR(0/0,""),preDEL!AQ474)</f>
        <v/>
      </c>
      <c r="AR474" s="112" t="str">
        <f>IF(preDEL!$AG474,IFERROR(0/0,""),preDEL!AR474)</f>
        <v/>
      </c>
      <c r="AS474" s="112" t="str">
        <f>IF(preDEL!$AG474,IFERROR(0/0,""),preDEL!AS474)</f>
        <v/>
      </c>
      <c r="AT474" s="112" t="b">
        <f>IF(preDEL!$AG474,IFERROR(0/0,""),preDEL!AT474)</f>
        <v>0</v>
      </c>
      <c r="AU474" s="112" t="str">
        <f>IF(preDEL!$AG474,IFERROR(0/0,""),preDEL!AU474)</f>
        <v/>
      </c>
      <c r="AV474" s="112" t="str">
        <f>IF(preDEL!$AG474,IFERROR(0/0,""),preDEL!AV474)</f>
        <v/>
      </c>
      <c r="AW474" s="112" t="str">
        <f>IF(preDEL!$AG474,IFERROR(0/0,""),preDEL!AW474)</f>
        <v/>
      </c>
      <c r="AX474" s="112" t="str">
        <f>IF(preDEL!$AG474,IFERROR(0/0,""),preDEL!AX474)</f>
        <v/>
      </c>
      <c r="AY474" s="112" t="str">
        <f>IF(preDEL!$AG474,IFERROR(0/0,""),preDEL!AY474)</f>
        <v/>
      </c>
      <c r="AZ474" s="174"/>
      <c r="BA474" s="174"/>
      <c r="BB474" s="174"/>
      <c r="BC474" s="174"/>
      <c r="BD474" s="174"/>
      <c r="BE474" s="174"/>
      <c r="BF474" s="174"/>
      <c r="BG474" s="174"/>
      <c r="BH474" s="174"/>
      <c r="BI474" s="174"/>
      <c r="BJ474" s="174"/>
      <c r="BK474" s="174"/>
      <c r="BL474" s="174"/>
      <c r="BM474" s="174"/>
      <c r="BN474" s="174"/>
      <c r="BO474" s="174"/>
      <c r="BP474" s="174"/>
      <c r="BQ474" s="174"/>
      <c r="BR474" s="174"/>
      <c r="BS474" s="174"/>
      <c r="BT474" s="174"/>
      <c r="BU474" s="174"/>
      <c r="BV474" s="174"/>
      <c r="BW474" s="174"/>
      <c r="BX474" s="174"/>
      <c r="BY474" s="174"/>
      <c r="BZ474" s="174"/>
      <c r="CA474" s="174"/>
      <c r="CB474" s="174"/>
      <c r="CC474" s="174"/>
      <c r="CD474" s="174"/>
    </row>
    <row r="475">
      <c r="A475" s="105" t="str">
        <f>IF(preDEL!$AG475,IFERROR(0/0,""),preDEL!A475)</f>
        <v>FM497</v>
      </c>
      <c r="B475" s="170">
        <f>IF(preDEL!$AG475,IFERROR(0/0,""),preDEL!B475)</f>
        <v>44611</v>
      </c>
      <c r="C475" s="171">
        <f>IF(preDEL!$AG475,IFERROR(0/0,""),preDEL!C475)</f>
        <v>0.318912037</v>
      </c>
      <c r="D475" s="105" t="str">
        <f>IF(preDEL!$AG475,IFERROR(0/0,""),preDEL!D475)</f>
        <v/>
      </c>
      <c r="E475" s="105" t="str">
        <f>IF(preDEL!$AG475,IFERROR(0/0,""),preDEL!E475)</f>
        <v/>
      </c>
      <c r="F475" s="112" t="str">
        <f>IF(preDEL!$AG475,IFERROR(0/0,""),preDEL!F475)</f>
        <v/>
      </c>
      <c r="G475" s="112" t="str">
        <f>IF(preDEL!$AG475,IFERROR(0/0,""),preDEL!G475)</f>
        <v/>
      </c>
      <c r="H475" s="112" t="str">
        <f>IF(preDEL!$AG475,IFERROR(0/0,""),preDEL!H475)</f>
        <v/>
      </c>
      <c r="I475" s="105" t="str">
        <f>IF(preDEL!$AG475,IFERROR(0/0,""),preDEL!I475)</f>
        <v/>
      </c>
      <c r="J475" s="105" t="str">
        <f>IF(preDEL!$AG475,IFERROR(0/0,""),preDEL!J475)</f>
        <v/>
      </c>
      <c r="K475" s="105" t="str">
        <f>IF(preDEL!$AG475,IFERROR(0/0,""),preDEL!K475)</f>
        <v>Negative</v>
      </c>
      <c r="L475" s="170">
        <f>IF(preDEL!$AG475,IFERROR(0/0,""),preDEL!L475)</f>
        <v>44611</v>
      </c>
      <c r="M475" s="171">
        <f>IF(preDEL!$AG475,IFERROR(0/0,""),preDEL!M475)</f>
        <v>0.4882523148</v>
      </c>
      <c r="N475" s="112" t="str">
        <f>IF(preDEL!$AG475,IFERROR(0/0,""),preDEL!N475)</f>
        <v/>
      </c>
      <c r="O475" s="112" t="str">
        <f>IF(preDEL!$AG475,IFERROR(0/0,""),preDEL!O475)</f>
        <v/>
      </c>
      <c r="P475" s="110" t="b">
        <f>IF(preDEL!$AG475,IFERROR(0/0,""),preDEL!P475)</f>
        <v>0</v>
      </c>
      <c r="Q475" s="110" t="str">
        <f>IF(preDEL!$AG475,IFERROR(0/0,""),preDEL!Q475)</f>
        <v>Result</v>
      </c>
      <c r="R475" s="104" t="b">
        <f>IF(preDEL!$AG475,IFERROR(0/0,""),preDEL!R475)</f>
        <v>1</v>
      </c>
      <c r="S475" s="104">
        <f>IF(preDEL!$AG475,IFERROR(0/0,""),preDEL!S475)</f>
        <v>1</v>
      </c>
      <c r="T475" s="110" t="str">
        <f>IF(preDEL!$AG475,IFERROR(0/0,""),preDEL!T475)</f>
        <v/>
      </c>
      <c r="U475" s="112" t="str">
        <f>IF(preDEL!$AG475,IFERROR(0/0,""),preDEL!U475)</f>
        <v/>
      </c>
      <c r="V475" s="105" t="str">
        <f>IF(preDEL!$AG475,IFERROR(0/0,""),preDEL!V475)</f>
        <v/>
      </c>
      <c r="W475" s="112" t="str">
        <f>IF(preDEL!$AG475,IFERROR(0/0,""),preDEL!W475)</f>
        <v/>
      </c>
      <c r="X475" s="104" t="b">
        <f>IF(preDEL!$AG475,IFERROR(0/0,""),preDEL!X475)</f>
        <v>0</v>
      </c>
      <c r="Y475" s="110" t="b">
        <f>IF(preDEL!$AG475,IFERROR(0/0,""),preDEL!Y475)</f>
        <v>0</v>
      </c>
      <c r="Z475" s="105" t="str">
        <f>IF(preDEL!$AG475,IFERROR(0/0,""),preDEL!Z475)</f>
        <v/>
      </c>
      <c r="AA475" s="110" t="b">
        <f>IF(preDEL!$AG475,IFERROR(0/0,""),preDEL!AA475)</f>
        <v>0</v>
      </c>
      <c r="AB475" s="110" t="b">
        <f>IF(preDEL!$AG475,IFERROR(0/0,""),preDEL!AB475)</f>
        <v>0</v>
      </c>
      <c r="AC475" s="172">
        <f>IF(preDEL!$AG475,IFERROR(0/0,""),preDEL!AC475)</f>
        <v>336</v>
      </c>
      <c r="AD475" s="104" t="b">
        <f>IF(preDEL!$AG475,IFERROR(0/0,""),preDEL!AD475)</f>
        <v>0</v>
      </c>
      <c r="AE475" s="173">
        <f>IF(preDEL!$AG475,IFERROR(0/0,""),preDEL!AE475)</f>
        <v>243.85</v>
      </c>
      <c r="AF475" s="110" t="b">
        <f>IF(preDEL!$AG475,IFERROR(0/0,""),preDEL!AF475)</f>
        <v>0</v>
      </c>
      <c r="AG475" s="110" t="b">
        <f>IF(preDEL!$AG475,IFERROR(0/0,""),preDEL!AG475)</f>
        <v>0</v>
      </c>
      <c r="AH475" s="104" t="str">
        <f>IF(preDEL!$AG475,IFERROR(0/0,""),preDEL!AH475)</f>
        <v/>
      </c>
      <c r="AI475" s="105" t="str">
        <f>IF(preDEL!$AG475,IFERROR(0/0,""),preDEL!AI475)</f>
        <v/>
      </c>
      <c r="AJ475" s="112" t="str">
        <f>IF(preDEL!$AG475,IFERROR(0/0,""),preDEL!AJ475)</f>
        <v/>
      </c>
      <c r="AK475" s="105" t="str">
        <f>IF(preDEL!$AG475,IFERROR(0/0,""),preDEL!AK475)</f>
        <v>Negative</v>
      </c>
      <c r="AL475" s="112" t="str">
        <f>IF(preDEL!$AG475,IFERROR(0/0,""),preDEL!AL475)</f>
        <v/>
      </c>
      <c r="AM475" s="112" t="str">
        <f>IF(preDEL!$AG475,IFERROR(0/0,""),preDEL!AM475)</f>
        <v>SpBEND483335</v>
      </c>
      <c r="AN475" s="112" t="str">
        <f>IF(preDEL!$AG475,IFERROR(0/0,""),preDEL!AN475)</f>
        <v>BEND785869</v>
      </c>
      <c r="AO475" s="112" t="str">
        <f>IF(preDEL!$AG475,IFERROR(0/0,""),preDEL!AO475)</f>
        <v/>
      </c>
      <c r="AP475" s="112" t="str">
        <f>IF(preDEL!$AG475,IFERROR(0/0,""),preDEL!AP475)</f>
        <v/>
      </c>
      <c r="AQ475" s="112" t="str">
        <f>IF(preDEL!$AG475,IFERROR(0/0,""),preDEL!AQ475)</f>
        <v/>
      </c>
      <c r="AR475" s="112" t="str">
        <f>IF(preDEL!$AG475,IFERROR(0/0,""),preDEL!AR475)</f>
        <v/>
      </c>
      <c r="AS475" s="112" t="str">
        <f>IF(preDEL!$AG475,IFERROR(0/0,""),preDEL!AS475)</f>
        <v/>
      </c>
      <c r="AT475" s="112" t="b">
        <f>IF(preDEL!$AG475,IFERROR(0/0,""),preDEL!AT475)</f>
        <v>0</v>
      </c>
      <c r="AU475" s="112" t="str">
        <f>IF(preDEL!$AG475,IFERROR(0/0,""),preDEL!AU475)</f>
        <v/>
      </c>
      <c r="AV475" s="112" t="str">
        <f>IF(preDEL!$AG475,IFERROR(0/0,""),preDEL!AV475)</f>
        <v/>
      </c>
      <c r="AW475" s="112" t="str">
        <f>IF(preDEL!$AG475,IFERROR(0/0,""),preDEL!AW475)</f>
        <v/>
      </c>
      <c r="AX475" s="112" t="str">
        <f>IF(preDEL!$AG475,IFERROR(0/0,""),preDEL!AX475)</f>
        <v/>
      </c>
      <c r="AY475" s="112" t="str">
        <f>IF(preDEL!$AG475,IFERROR(0/0,""),preDEL!AY475)</f>
        <v/>
      </c>
      <c r="AZ475" s="174"/>
      <c r="BA475" s="174"/>
      <c r="BB475" s="174"/>
      <c r="BC475" s="174"/>
      <c r="BD475" s="174"/>
      <c r="BE475" s="174"/>
      <c r="BF475" s="174"/>
      <c r="BG475" s="174"/>
      <c r="BH475" s="174"/>
      <c r="BI475" s="174"/>
      <c r="BJ475" s="174"/>
      <c r="BK475" s="174"/>
      <c r="BL475" s="174"/>
      <c r="BM475" s="174"/>
      <c r="BN475" s="174"/>
      <c r="BO475" s="174"/>
      <c r="BP475" s="174"/>
      <c r="BQ475" s="174"/>
      <c r="BR475" s="174"/>
      <c r="BS475" s="174"/>
      <c r="BT475" s="174"/>
      <c r="BU475" s="174"/>
      <c r="BV475" s="174"/>
      <c r="BW475" s="174"/>
      <c r="BX475" s="174"/>
      <c r="BY475" s="174"/>
      <c r="BZ475" s="174"/>
      <c r="CA475" s="174"/>
      <c r="CB475" s="174"/>
      <c r="CC475" s="174"/>
      <c r="CD475" s="174"/>
    </row>
    <row r="476">
      <c r="A476" s="105" t="str">
        <f>IF(preDEL!$AG476,IFERROR(0/0,""),preDEL!A476)</f>
        <v>MA209</v>
      </c>
      <c r="B476" s="170">
        <f>IF(preDEL!$AG476,IFERROR(0/0,""),preDEL!B476)</f>
        <v>44611</v>
      </c>
      <c r="C476" s="171">
        <f>IF(preDEL!$AG476,IFERROR(0/0,""),preDEL!C476)</f>
        <v>0.3209606481</v>
      </c>
      <c r="D476" s="105" t="str">
        <f>IF(preDEL!$AG476,IFERROR(0/0,""),preDEL!D476)</f>
        <v/>
      </c>
      <c r="E476" s="105" t="str">
        <f>IF(preDEL!$AG476,IFERROR(0/0,""),preDEL!E476)</f>
        <v/>
      </c>
      <c r="F476" s="112" t="str">
        <f>IF(preDEL!$AG476,IFERROR(0/0,""),preDEL!F476)</f>
        <v/>
      </c>
      <c r="G476" s="112" t="str">
        <f>IF(preDEL!$AG476,IFERROR(0/0,""),preDEL!G476)</f>
        <v/>
      </c>
      <c r="H476" s="112" t="str">
        <f>IF(preDEL!$AG476,IFERROR(0/0,""),preDEL!H476)</f>
        <v/>
      </c>
      <c r="I476" s="105" t="str">
        <f>IF(preDEL!$AG476,IFERROR(0/0,""),preDEL!I476)</f>
        <v/>
      </c>
      <c r="J476" s="105" t="str">
        <f>IF(preDEL!$AG476,IFERROR(0/0,""),preDEL!J476)</f>
        <v/>
      </c>
      <c r="K476" s="105" t="str">
        <f>IF(preDEL!$AG476,IFERROR(0/0,""),preDEL!K476)</f>
        <v>Negative</v>
      </c>
      <c r="L476" s="170">
        <f>IF(preDEL!$AG476,IFERROR(0/0,""),preDEL!L476)</f>
        <v>44611</v>
      </c>
      <c r="M476" s="171">
        <f>IF(preDEL!$AG476,IFERROR(0/0,""),preDEL!M476)</f>
        <v>0.4882523148</v>
      </c>
      <c r="N476" s="112" t="str">
        <f>IF(preDEL!$AG476,IFERROR(0/0,""),preDEL!N476)</f>
        <v/>
      </c>
      <c r="O476" s="112" t="str">
        <f>IF(preDEL!$AG476,IFERROR(0/0,""),preDEL!O476)</f>
        <v/>
      </c>
      <c r="P476" s="110" t="b">
        <f>IF(preDEL!$AG476,IFERROR(0/0,""),preDEL!P476)</f>
        <v>0</v>
      </c>
      <c r="Q476" s="110" t="str">
        <f>IF(preDEL!$AG476,IFERROR(0/0,""),preDEL!Q476)</f>
        <v>Result</v>
      </c>
      <c r="R476" s="104" t="b">
        <f>IF(preDEL!$AG476,IFERROR(0/0,""),preDEL!R476)</f>
        <v>1</v>
      </c>
      <c r="S476" s="104">
        <f>IF(preDEL!$AG476,IFERROR(0/0,""),preDEL!S476)</f>
        <v>1</v>
      </c>
      <c r="T476" s="110" t="str">
        <f>IF(preDEL!$AG476,IFERROR(0/0,""),preDEL!T476)</f>
        <v/>
      </c>
      <c r="U476" s="112" t="str">
        <f>IF(preDEL!$AG476,IFERROR(0/0,""),preDEL!U476)</f>
        <v/>
      </c>
      <c r="V476" s="105" t="str">
        <f>IF(preDEL!$AG476,IFERROR(0/0,""),preDEL!V476)</f>
        <v/>
      </c>
      <c r="W476" s="112" t="str">
        <f>IF(preDEL!$AG476,IFERROR(0/0,""),preDEL!W476)</f>
        <v/>
      </c>
      <c r="X476" s="104" t="b">
        <f>IF(preDEL!$AG476,IFERROR(0/0,""),preDEL!X476)</f>
        <v>0</v>
      </c>
      <c r="Y476" s="110" t="b">
        <f>IF(preDEL!$AG476,IFERROR(0/0,""),preDEL!Y476)</f>
        <v>0</v>
      </c>
      <c r="Z476" s="105" t="str">
        <f>IF(preDEL!$AG476,IFERROR(0/0,""),preDEL!Z476)</f>
        <v/>
      </c>
      <c r="AA476" s="110" t="b">
        <f>IF(preDEL!$AG476,IFERROR(0/0,""),preDEL!AA476)</f>
        <v>0</v>
      </c>
      <c r="AB476" s="110" t="b">
        <f>IF(preDEL!$AG476,IFERROR(0/0,""),preDEL!AB476)</f>
        <v>0</v>
      </c>
      <c r="AC476" s="172">
        <f>IF(preDEL!$AG476,IFERROR(0/0,""),preDEL!AC476)</f>
        <v>335</v>
      </c>
      <c r="AD476" s="104" t="b">
        <f>IF(preDEL!$AG476,IFERROR(0/0,""),preDEL!AD476)</f>
        <v>0</v>
      </c>
      <c r="AE476" s="173">
        <f>IF(preDEL!$AG476,IFERROR(0/0,""),preDEL!AE476)</f>
        <v>240.9</v>
      </c>
      <c r="AF476" s="110" t="b">
        <f>IF(preDEL!$AG476,IFERROR(0/0,""),preDEL!AF476)</f>
        <v>0</v>
      </c>
      <c r="AG476" s="110" t="b">
        <f>IF(preDEL!$AG476,IFERROR(0/0,""),preDEL!AG476)</f>
        <v>0</v>
      </c>
      <c r="AH476" s="104" t="str">
        <f>IF(preDEL!$AG476,IFERROR(0/0,""),preDEL!AH476)</f>
        <v/>
      </c>
      <c r="AI476" s="105" t="str">
        <f>IF(preDEL!$AG476,IFERROR(0/0,""),preDEL!AI476)</f>
        <v/>
      </c>
      <c r="AJ476" s="112" t="str">
        <f>IF(preDEL!$AG476,IFERROR(0/0,""),preDEL!AJ476)</f>
        <v/>
      </c>
      <c r="AK476" s="105" t="str">
        <f>IF(preDEL!$AG476,IFERROR(0/0,""),preDEL!AK476)</f>
        <v>Negative</v>
      </c>
      <c r="AL476" s="112" t="str">
        <f>IF(preDEL!$AG476,IFERROR(0/0,""),preDEL!AL476)</f>
        <v/>
      </c>
      <c r="AM476" s="112" t="str">
        <f>IF(preDEL!$AG476,IFERROR(0/0,""),preDEL!AM476)</f>
        <v>SpBEND319298</v>
      </c>
      <c r="AN476" s="112" t="str">
        <f>IF(preDEL!$AG476,IFERROR(0/0,""),preDEL!AN476)</f>
        <v>BEND966643</v>
      </c>
      <c r="AO476" s="112" t="str">
        <f>IF(preDEL!$AG476,IFERROR(0/0,""),preDEL!AO476)</f>
        <v/>
      </c>
      <c r="AP476" s="112" t="str">
        <f>IF(preDEL!$AG476,IFERROR(0/0,""),preDEL!AP476)</f>
        <v/>
      </c>
      <c r="AQ476" s="112" t="str">
        <f>IF(preDEL!$AG476,IFERROR(0/0,""),preDEL!AQ476)</f>
        <v/>
      </c>
      <c r="AR476" s="112" t="str">
        <f>IF(preDEL!$AG476,IFERROR(0/0,""),preDEL!AR476)</f>
        <v/>
      </c>
      <c r="AS476" s="112" t="str">
        <f>IF(preDEL!$AG476,IFERROR(0/0,""),preDEL!AS476)</f>
        <v/>
      </c>
      <c r="AT476" s="112" t="b">
        <f>IF(preDEL!$AG476,IFERROR(0/0,""),preDEL!AT476)</f>
        <v>0</v>
      </c>
      <c r="AU476" s="112" t="str">
        <f>IF(preDEL!$AG476,IFERROR(0/0,""),preDEL!AU476)</f>
        <v/>
      </c>
      <c r="AV476" s="112" t="str">
        <f>IF(preDEL!$AG476,IFERROR(0/0,""),preDEL!AV476)</f>
        <v/>
      </c>
      <c r="AW476" s="112" t="str">
        <f>IF(preDEL!$AG476,IFERROR(0/0,""),preDEL!AW476)</f>
        <v/>
      </c>
      <c r="AX476" s="112" t="str">
        <f>IF(preDEL!$AG476,IFERROR(0/0,""),preDEL!AX476)</f>
        <v/>
      </c>
      <c r="AY476" s="112" t="str">
        <f>IF(preDEL!$AG476,IFERROR(0/0,""),preDEL!AY476)</f>
        <v/>
      </c>
      <c r="AZ476" s="174"/>
      <c r="BA476" s="174"/>
      <c r="BB476" s="174"/>
      <c r="BC476" s="174"/>
      <c r="BD476" s="174"/>
      <c r="BE476" s="174"/>
      <c r="BF476" s="174"/>
      <c r="BG476" s="174"/>
      <c r="BH476" s="174"/>
      <c r="BI476" s="174"/>
      <c r="BJ476" s="174"/>
      <c r="BK476" s="174"/>
      <c r="BL476" s="174"/>
      <c r="BM476" s="174"/>
      <c r="BN476" s="174"/>
      <c r="BO476" s="174"/>
      <c r="BP476" s="174"/>
      <c r="BQ476" s="174"/>
      <c r="BR476" s="174"/>
      <c r="BS476" s="174"/>
      <c r="BT476" s="174"/>
      <c r="BU476" s="174"/>
      <c r="BV476" s="174"/>
      <c r="BW476" s="174"/>
      <c r="BX476" s="174"/>
      <c r="BY476" s="174"/>
      <c r="BZ476" s="174"/>
      <c r="CA476" s="174"/>
      <c r="CB476" s="174"/>
      <c r="CC476" s="174"/>
      <c r="CD476" s="174"/>
    </row>
    <row r="477">
      <c r="A477" s="105" t="str">
        <f>IF(preDEL!$AG477,IFERROR(0/0,""),preDEL!A477)</f>
        <v>MA281</v>
      </c>
      <c r="B477" s="170">
        <f>IF(preDEL!$AG477,IFERROR(0/0,""),preDEL!B477)</f>
        <v>44611</v>
      </c>
      <c r="C477" s="171">
        <f>IF(preDEL!$AG477,IFERROR(0/0,""),preDEL!C477)</f>
        <v>0.3225925926</v>
      </c>
      <c r="D477" s="105" t="str">
        <f>IF(preDEL!$AG477,IFERROR(0/0,""),preDEL!D477)</f>
        <v/>
      </c>
      <c r="E477" s="105" t="str">
        <f>IF(preDEL!$AG477,IFERROR(0/0,""),preDEL!E477)</f>
        <v/>
      </c>
      <c r="F477" s="112" t="str">
        <f>IF(preDEL!$AG477,IFERROR(0/0,""),preDEL!F477)</f>
        <v/>
      </c>
      <c r="G477" s="112" t="str">
        <f>IF(preDEL!$AG477,IFERROR(0/0,""),preDEL!G477)</f>
        <v/>
      </c>
      <c r="H477" s="112" t="str">
        <f>IF(preDEL!$AG477,IFERROR(0/0,""),preDEL!H477)</f>
        <v/>
      </c>
      <c r="I477" s="105" t="str">
        <f>IF(preDEL!$AG477,IFERROR(0/0,""),preDEL!I477)</f>
        <v/>
      </c>
      <c r="J477" s="105" t="str">
        <f>IF(preDEL!$AG477,IFERROR(0/0,""),preDEL!J477)</f>
        <v/>
      </c>
      <c r="K477" s="105" t="str">
        <f>IF(preDEL!$AG477,IFERROR(0/0,""),preDEL!K477)</f>
        <v>Negative</v>
      </c>
      <c r="L477" s="170">
        <f>IF(preDEL!$AG477,IFERROR(0/0,""),preDEL!L477)</f>
        <v>44611</v>
      </c>
      <c r="M477" s="171">
        <f>IF(preDEL!$AG477,IFERROR(0/0,""),preDEL!M477)</f>
        <v>0.4882523148</v>
      </c>
      <c r="N477" s="112" t="str">
        <f>IF(preDEL!$AG477,IFERROR(0/0,""),preDEL!N477)</f>
        <v/>
      </c>
      <c r="O477" s="112" t="str">
        <f>IF(preDEL!$AG477,IFERROR(0/0,""),preDEL!O477)</f>
        <v/>
      </c>
      <c r="P477" s="110" t="b">
        <f>IF(preDEL!$AG477,IFERROR(0/0,""),preDEL!P477)</f>
        <v>0</v>
      </c>
      <c r="Q477" s="110" t="str">
        <f>IF(preDEL!$AG477,IFERROR(0/0,""),preDEL!Q477)</f>
        <v>Result</v>
      </c>
      <c r="R477" s="104" t="b">
        <f>IF(preDEL!$AG477,IFERROR(0/0,""),preDEL!R477)</f>
        <v>1</v>
      </c>
      <c r="S477" s="104">
        <f>IF(preDEL!$AG477,IFERROR(0/0,""),preDEL!S477)</f>
        <v>1</v>
      </c>
      <c r="T477" s="110" t="str">
        <f>IF(preDEL!$AG477,IFERROR(0/0,""),preDEL!T477)</f>
        <v/>
      </c>
      <c r="U477" s="112" t="str">
        <f>IF(preDEL!$AG477,IFERROR(0/0,""),preDEL!U477)</f>
        <v/>
      </c>
      <c r="V477" s="105" t="str">
        <f>IF(preDEL!$AG477,IFERROR(0/0,""),preDEL!V477)</f>
        <v/>
      </c>
      <c r="W477" s="112" t="str">
        <f>IF(preDEL!$AG477,IFERROR(0/0,""),preDEL!W477)</f>
        <v/>
      </c>
      <c r="X477" s="104" t="b">
        <f>IF(preDEL!$AG477,IFERROR(0/0,""),preDEL!X477)</f>
        <v>0</v>
      </c>
      <c r="Y477" s="110" t="b">
        <f>IF(preDEL!$AG477,IFERROR(0/0,""),preDEL!Y477)</f>
        <v>0</v>
      </c>
      <c r="Z477" s="105" t="str">
        <f>IF(preDEL!$AG477,IFERROR(0/0,""),preDEL!Z477)</f>
        <v/>
      </c>
      <c r="AA477" s="110" t="b">
        <f>IF(preDEL!$AG477,IFERROR(0/0,""),preDEL!AA477)</f>
        <v>0</v>
      </c>
      <c r="AB477" s="110" t="b">
        <f>IF(preDEL!$AG477,IFERROR(0/0,""),preDEL!AB477)</f>
        <v>0</v>
      </c>
      <c r="AC477" s="172">
        <f>IF(preDEL!$AG477,IFERROR(0/0,""),preDEL!AC477)</f>
        <v>334</v>
      </c>
      <c r="AD477" s="104" t="b">
        <f>IF(preDEL!$AG477,IFERROR(0/0,""),preDEL!AD477)</f>
        <v>0</v>
      </c>
      <c r="AE477" s="173">
        <f>IF(preDEL!$AG477,IFERROR(0/0,""),preDEL!AE477)</f>
        <v>238.55</v>
      </c>
      <c r="AF477" s="110" t="b">
        <f>IF(preDEL!$AG477,IFERROR(0/0,""),preDEL!AF477)</f>
        <v>0</v>
      </c>
      <c r="AG477" s="110" t="b">
        <f>IF(preDEL!$AG477,IFERROR(0/0,""),preDEL!AG477)</f>
        <v>0</v>
      </c>
      <c r="AH477" s="104" t="str">
        <f>IF(preDEL!$AG477,IFERROR(0/0,""),preDEL!AH477)</f>
        <v/>
      </c>
      <c r="AI477" s="105" t="str">
        <f>IF(preDEL!$AG477,IFERROR(0/0,""),preDEL!AI477)</f>
        <v/>
      </c>
      <c r="AJ477" s="112" t="str">
        <f>IF(preDEL!$AG477,IFERROR(0/0,""),preDEL!AJ477)</f>
        <v/>
      </c>
      <c r="AK477" s="105" t="str">
        <f>IF(preDEL!$AG477,IFERROR(0/0,""),preDEL!AK477)</f>
        <v>Negative</v>
      </c>
      <c r="AL477" s="112" t="str">
        <f>IF(preDEL!$AG477,IFERROR(0/0,""),preDEL!AL477)</f>
        <v/>
      </c>
      <c r="AM477" s="112" t="str">
        <f>IF(preDEL!$AG477,IFERROR(0/0,""),preDEL!AM477)</f>
        <v>SpBEND996809</v>
      </c>
      <c r="AN477" s="112" t="str">
        <f>IF(preDEL!$AG477,IFERROR(0/0,""),preDEL!AN477)</f>
        <v>BEND637711</v>
      </c>
      <c r="AO477" s="112" t="str">
        <f>IF(preDEL!$AG477,IFERROR(0/0,""),preDEL!AO477)</f>
        <v/>
      </c>
      <c r="AP477" s="112" t="str">
        <f>IF(preDEL!$AG477,IFERROR(0/0,""),preDEL!AP477)</f>
        <v/>
      </c>
      <c r="AQ477" s="112" t="str">
        <f>IF(preDEL!$AG477,IFERROR(0/0,""),preDEL!AQ477)</f>
        <v/>
      </c>
      <c r="AR477" s="112" t="str">
        <f>IF(preDEL!$AG477,IFERROR(0/0,""),preDEL!AR477)</f>
        <v/>
      </c>
      <c r="AS477" s="112" t="str">
        <f>IF(preDEL!$AG477,IFERROR(0/0,""),preDEL!AS477)</f>
        <v/>
      </c>
      <c r="AT477" s="112" t="b">
        <f>IF(preDEL!$AG477,IFERROR(0/0,""),preDEL!AT477)</f>
        <v>0</v>
      </c>
      <c r="AU477" s="112" t="str">
        <f>IF(preDEL!$AG477,IFERROR(0/0,""),preDEL!AU477)</f>
        <v/>
      </c>
      <c r="AV477" s="112" t="str">
        <f>IF(preDEL!$AG477,IFERROR(0/0,""),preDEL!AV477)</f>
        <v/>
      </c>
      <c r="AW477" s="112" t="str">
        <f>IF(preDEL!$AG477,IFERROR(0/0,""),preDEL!AW477)</f>
        <v/>
      </c>
      <c r="AX477" s="112" t="str">
        <f>IF(preDEL!$AG477,IFERROR(0/0,""),preDEL!AX477)</f>
        <v/>
      </c>
      <c r="AY477" s="112" t="str">
        <f>IF(preDEL!$AG477,IFERROR(0/0,""),preDEL!AY477)</f>
        <v/>
      </c>
      <c r="AZ477" s="174"/>
      <c r="BA477" s="174"/>
      <c r="BB477" s="174"/>
      <c r="BC477" s="174"/>
      <c r="BD477" s="174"/>
      <c r="BE477" s="174"/>
      <c r="BF477" s="174"/>
      <c r="BG477" s="174"/>
      <c r="BH477" s="174"/>
      <c r="BI477" s="174"/>
      <c r="BJ477" s="174"/>
      <c r="BK477" s="174"/>
      <c r="BL477" s="174"/>
      <c r="BM477" s="174"/>
      <c r="BN477" s="174"/>
      <c r="BO477" s="174"/>
      <c r="BP477" s="174"/>
      <c r="BQ477" s="174"/>
      <c r="BR477" s="174"/>
      <c r="BS477" s="174"/>
      <c r="BT477" s="174"/>
      <c r="BU477" s="174"/>
      <c r="BV477" s="174"/>
      <c r="BW477" s="174"/>
      <c r="BX477" s="174"/>
      <c r="BY477" s="174"/>
      <c r="BZ477" s="174"/>
      <c r="CA477" s="174"/>
      <c r="CB477" s="174"/>
      <c r="CC477" s="174"/>
      <c r="CD477" s="174"/>
    </row>
    <row r="478">
      <c r="A478" s="105" t="str">
        <f>IF(preDEL!$AG478,IFERROR(0/0,""),preDEL!A478)</f>
        <v>MA268</v>
      </c>
      <c r="B478" s="170">
        <f>IF(preDEL!$AG478,IFERROR(0/0,""),preDEL!B478)</f>
        <v>44611</v>
      </c>
      <c r="C478" s="171">
        <f>IF(preDEL!$AG478,IFERROR(0/0,""),preDEL!C478)</f>
        <v>0.3233333333</v>
      </c>
      <c r="D478" s="105" t="str">
        <f>IF(preDEL!$AG478,IFERROR(0/0,""),preDEL!D478)</f>
        <v/>
      </c>
      <c r="E478" s="105" t="str">
        <f>IF(preDEL!$AG478,IFERROR(0/0,""),preDEL!E478)</f>
        <v/>
      </c>
      <c r="F478" s="112" t="str">
        <f>IF(preDEL!$AG478,IFERROR(0/0,""),preDEL!F478)</f>
        <v/>
      </c>
      <c r="G478" s="112" t="str">
        <f>IF(preDEL!$AG478,IFERROR(0/0,""),preDEL!G478)</f>
        <v/>
      </c>
      <c r="H478" s="112" t="str">
        <f>IF(preDEL!$AG478,IFERROR(0/0,""),preDEL!H478)</f>
        <v/>
      </c>
      <c r="I478" s="105" t="str">
        <f>IF(preDEL!$AG478,IFERROR(0/0,""),preDEL!I478)</f>
        <v/>
      </c>
      <c r="J478" s="105" t="str">
        <f>IF(preDEL!$AG478,IFERROR(0/0,""),preDEL!J478)</f>
        <v/>
      </c>
      <c r="K478" s="105" t="str">
        <f>IF(preDEL!$AG478,IFERROR(0/0,""),preDEL!K478)</f>
        <v>Negative</v>
      </c>
      <c r="L478" s="170">
        <f>IF(preDEL!$AG478,IFERROR(0/0,""),preDEL!L478)</f>
        <v>44611</v>
      </c>
      <c r="M478" s="171">
        <f>IF(preDEL!$AG478,IFERROR(0/0,""),preDEL!M478)</f>
        <v>0.4882523148</v>
      </c>
      <c r="N478" s="112" t="str">
        <f>IF(preDEL!$AG478,IFERROR(0/0,""),preDEL!N478)</f>
        <v/>
      </c>
      <c r="O478" s="112" t="str">
        <f>IF(preDEL!$AG478,IFERROR(0/0,""),preDEL!O478)</f>
        <v/>
      </c>
      <c r="P478" s="110" t="b">
        <f>IF(preDEL!$AG478,IFERROR(0/0,""),preDEL!P478)</f>
        <v>0</v>
      </c>
      <c r="Q478" s="110" t="str">
        <f>IF(preDEL!$AG478,IFERROR(0/0,""),preDEL!Q478)</f>
        <v>Result</v>
      </c>
      <c r="R478" s="104" t="b">
        <f>IF(preDEL!$AG478,IFERROR(0/0,""),preDEL!R478)</f>
        <v>1</v>
      </c>
      <c r="S478" s="104">
        <f>IF(preDEL!$AG478,IFERROR(0/0,""),preDEL!S478)</f>
        <v>1</v>
      </c>
      <c r="T478" s="110" t="str">
        <f>IF(preDEL!$AG478,IFERROR(0/0,""),preDEL!T478)</f>
        <v/>
      </c>
      <c r="U478" s="112" t="str">
        <f>IF(preDEL!$AG478,IFERROR(0/0,""),preDEL!U478)</f>
        <v/>
      </c>
      <c r="V478" s="105" t="str">
        <f>IF(preDEL!$AG478,IFERROR(0/0,""),preDEL!V478)</f>
        <v/>
      </c>
      <c r="W478" s="112" t="str">
        <f>IF(preDEL!$AG478,IFERROR(0/0,""),preDEL!W478)</f>
        <v/>
      </c>
      <c r="X478" s="104" t="b">
        <f>IF(preDEL!$AG478,IFERROR(0/0,""),preDEL!X478)</f>
        <v>0</v>
      </c>
      <c r="Y478" s="110" t="b">
        <f>IF(preDEL!$AG478,IFERROR(0/0,""),preDEL!Y478)</f>
        <v>0</v>
      </c>
      <c r="Z478" s="105" t="str">
        <f>IF(preDEL!$AG478,IFERROR(0/0,""),preDEL!Z478)</f>
        <v/>
      </c>
      <c r="AA478" s="110" t="b">
        <f>IF(preDEL!$AG478,IFERROR(0/0,""),preDEL!AA478)</f>
        <v>0</v>
      </c>
      <c r="AB478" s="110" t="b">
        <f>IF(preDEL!$AG478,IFERROR(0/0,""),preDEL!AB478)</f>
        <v>0</v>
      </c>
      <c r="AC478" s="172">
        <f>IF(preDEL!$AG478,IFERROR(0/0,""),preDEL!AC478)</f>
        <v>333</v>
      </c>
      <c r="AD478" s="104" t="b">
        <f>IF(preDEL!$AG478,IFERROR(0/0,""),preDEL!AD478)</f>
        <v>0</v>
      </c>
      <c r="AE478" s="173">
        <f>IF(preDEL!$AG478,IFERROR(0/0,""),preDEL!AE478)</f>
        <v>237.4833333</v>
      </c>
      <c r="AF478" s="110" t="b">
        <f>IF(preDEL!$AG478,IFERROR(0/0,""),preDEL!AF478)</f>
        <v>0</v>
      </c>
      <c r="AG478" s="110" t="b">
        <f>IF(preDEL!$AG478,IFERROR(0/0,""),preDEL!AG478)</f>
        <v>0</v>
      </c>
      <c r="AH478" s="104" t="str">
        <f>IF(preDEL!$AG478,IFERROR(0/0,""),preDEL!AH478)</f>
        <v/>
      </c>
      <c r="AI478" s="105" t="str">
        <f>IF(preDEL!$AG478,IFERROR(0/0,""),preDEL!AI478)</f>
        <v/>
      </c>
      <c r="AJ478" s="112" t="str">
        <f>IF(preDEL!$AG478,IFERROR(0/0,""),preDEL!AJ478)</f>
        <v/>
      </c>
      <c r="AK478" s="105" t="str">
        <f>IF(preDEL!$AG478,IFERROR(0/0,""),preDEL!AK478)</f>
        <v>Negative</v>
      </c>
      <c r="AL478" s="112" t="str">
        <f>IF(preDEL!$AG478,IFERROR(0/0,""),preDEL!AL478)</f>
        <v/>
      </c>
      <c r="AM478" s="112" t="str">
        <f>IF(preDEL!$AG478,IFERROR(0/0,""),preDEL!AM478)</f>
        <v>SpBEND387578</v>
      </c>
      <c r="AN478" s="112" t="str">
        <f>IF(preDEL!$AG478,IFERROR(0/0,""),preDEL!AN478)</f>
        <v>BEND375164</v>
      </c>
      <c r="AO478" s="112" t="str">
        <f>IF(preDEL!$AG478,IFERROR(0/0,""),preDEL!AO478)</f>
        <v/>
      </c>
      <c r="AP478" s="112" t="str">
        <f>IF(preDEL!$AG478,IFERROR(0/0,""),preDEL!AP478)</f>
        <v/>
      </c>
      <c r="AQ478" s="112" t="str">
        <f>IF(preDEL!$AG478,IFERROR(0/0,""),preDEL!AQ478)</f>
        <v/>
      </c>
      <c r="AR478" s="112" t="str">
        <f>IF(preDEL!$AG478,IFERROR(0/0,""),preDEL!AR478)</f>
        <v/>
      </c>
      <c r="AS478" s="112" t="str">
        <f>IF(preDEL!$AG478,IFERROR(0/0,""),preDEL!AS478)</f>
        <v/>
      </c>
      <c r="AT478" s="112" t="b">
        <f>IF(preDEL!$AG478,IFERROR(0/0,""),preDEL!AT478)</f>
        <v>0</v>
      </c>
      <c r="AU478" s="112" t="str">
        <f>IF(preDEL!$AG478,IFERROR(0/0,""),preDEL!AU478)</f>
        <v/>
      </c>
      <c r="AV478" s="112" t="str">
        <f>IF(preDEL!$AG478,IFERROR(0/0,""),preDEL!AV478)</f>
        <v/>
      </c>
      <c r="AW478" s="112" t="str">
        <f>IF(preDEL!$AG478,IFERROR(0/0,""),preDEL!AW478)</f>
        <v/>
      </c>
      <c r="AX478" s="112" t="str">
        <f>IF(preDEL!$AG478,IFERROR(0/0,""),preDEL!AX478)</f>
        <v/>
      </c>
      <c r="AY478" s="112" t="str">
        <f>IF(preDEL!$AG478,IFERROR(0/0,""),preDEL!AY478)</f>
        <v/>
      </c>
      <c r="AZ478" s="174"/>
      <c r="BA478" s="174"/>
      <c r="BB478" s="174"/>
      <c r="BC478" s="174"/>
      <c r="BD478" s="174"/>
      <c r="BE478" s="174"/>
      <c r="BF478" s="174"/>
      <c r="BG478" s="174"/>
      <c r="BH478" s="174"/>
      <c r="BI478" s="174"/>
      <c r="BJ478" s="174"/>
      <c r="BK478" s="174"/>
      <c r="BL478" s="174"/>
      <c r="BM478" s="174"/>
      <c r="BN478" s="174"/>
      <c r="BO478" s="174"/>
      <c r="BP478" s="174"/>
      <c r="BQ478" s="174"/>
      <c r="BR478" s="174"/>
      <c r="BS478" s="174"/>
      <c r="BT478" s="174"/>
      <c r="BU478" s="174"/>
      <c r="BV478" s="174"/>
      <c r="BW478" s="174"/>
      <c r="BX478" s="174"/>
      <c r="BY478" s="174"/>
      <c r="BZ478" s="174"/>
      <c r="CA478" s="174"/>
      <c r="CB478" s="174"/>
      <c r="CC478" s="174"/>
      <c r="CD478" s="174"/>
    </row>
    <row r="479">
      <c r="A479" s="105" t="str">
        <f>IF(preDEL!$AG479,IFERROR(0/0,""),preDEL!A479)</f>
        <v>MA1027</v>
      </c>
      <c r="B479" s="170">
        <f>IF(preDEL!$AG479,IFERROR(0/0,""),preDEL!B479)</f>
        <v>44611</v>
      </c>
      <c r="C479" s="171">
        <f>IF(preDEL!$AG479,IFERROR(0/0,""),preDEL!C479)</f>
        <v>0.3257986111</v>
      </c>
      <c r="D479" s="105" t="str">
        <f>IF(preDEL!$AG479,IFERROR(0/0,""),preDEL!D479)</f>
        <v/>
      </c>
      <c r="E479" s="105" t="str">
        <f>IF(preDEL!$AG479,IFERROR(0/0,""),preDEL!E479)</f>
        <v/>
      </c>
      <c r="F479" s="112" t="str">
        <f>IF(preDEL!$AG479,IFERROR(0/0,""),preDEL!F479)</f>
        <v/>
      </c>
      <c r="G479" s="112" t="str">
        <f>IF(preDEL!$AG479,IFERROR(0/0,""),preDEL!G479)</f>
        <v/>
      </c>
      <c r="H479" s="112" t="str">
        <f>IF(preDEL!$AG479,IFERROR(0/0,""),preDEL!H479)</f>
        <v/>
      </c>
      <c r="I479" s="105" t="str">
        <f>IF(preDEL!$AG479,IFERROR(0/0,""),preDEL!I479)</f>
        <v/>
      </c>
      <c r="J479" s="105" t="str">
        <f>IF(preDEL!$AG479,IFERROR(0/0,""),preDEL!J479)</f>
        <v/>
      </c>
      <c r="K479" s="105" t="str">
        <f>IF(preDEL!$AG479,IFERROR(0/0,""),preDEL!K479)</f>
        <v>Negative</v>
      </c>
      <c r="L479" s="170">
        <f>IF(preDEL!$AG479,IFERROR(0/0,""),preDEL!L479)</f>
        <v>44611</v>
      </c>
      <c r="M479" s="171">
        <f>IF(preDEL!$AG479,IFERROR(0/0,""),preDEL!M479)</f>
        <v>0.4882523148</v>
      </c>
      <c r="N479" s="112" t="str">
        <f>IF(preDEL!$AG479,IFERROR(0/0,""),preDEL!N479)</f>
        <v/>
      </c>
      <c r="O479" s="112" t="str">
        <f>IF(preDEL!$AG479,IFERROR(0/0,""),preDEL!O479)</f>
        <v/>
      </c>
      <c r="P479" s="110" t="b">
        <f>IF(preDEL!$AG479,IFERROR(0/0,""),preDEL!P479)</f>
        <v>0</v>
      </c>
      <c r="Q479" s="110" t="str">
        <f>IF(preDEL!$AG479,IFERROR(0/0,""),preDEL!Q479)</f>
        <v>Result</v>
      </c>
      <c r="R479" s="104" t="b">
        <f>IF(preDEL!$AG479,IFERROR(0/0,""),preDEL!R479)</f>
        <v>1</v>
      </c>
      <c r="S479" s="104">
        <f>IF(preDEL!$AG479,IFERROR(0/0,""),preDEL!S479)</f>
        <v>1</v>
      </c>
      <c r="T479" s="110" t="str">
        <f>IF(preDEL!$AG479,IFERROR(0/0,""),preDEL!T479)</f>
        <v/>
      </c>
      <c r="U479" s="112" t="str">
        <f>IF(preDEL!$AG479,IFERROR(0/0,""),preDEL!U479)</f>
        <v/>
      </c>
      <c r="V479" s="105" t="str">
        <f>IF(preDEL!$AG479,IFERROR(0/0,""),preDEL!V479)</f>
        <v/>
      </c>
      <c r="W479" s="112" t="str">
        <f>IF(preDEL!$AG479,IFERROR(0/0,""),preDEL!W479)</f>
        <v/>
      </c>
      <c r="X479" s="104" t="b">
        <f>IF(preDEL!$AG479,IFERROR(0/0,""),preDEL!X479)</f>
        <v>0</v>
      </c>
      <c r="Y479" s="110" t="b">
        <f>IF(preDEL!$AG479,IFERROR(0/0,""),preDEL!Y479)</f>
        <v>0</v>
      </c>
      <c r="Z479" s="105" t="str">
        <f>IF(preDEL!$AG479,IFERROR(0/0,""),preDEL!Z479)</f>
        <v/>
      </c>
      <c r="AA479" s="110" t="b">
        <f>IF(preDEL!$AG479,IFERROR(0/0,""),preDEL!AA479)</f>
        <v>0</v>
      </c>
      <c r="AB479" s="110" t="b">
        <f>IF(preDEL!$AG479,IFERROR(0/0,""),preDEL!AB479)</f>
        <v>0</v>
      </c>
      <c r="AC479" s="172">
        <f>IF(preDEL!$AG479,IFERROR(0/0,""),preDEL!AC479)</f>
        <v>332</v>
      </c>
      <c r="AD479" s="104" t="b">
        <f>IF(preDEL!$AG479,IFERROR(0/0,""),preDEL!AD479)</f>
        <v>0</v>
      </c>
      <c r="AE479" s="173">
        <f>IF(preDEL!$AG479,IFERROR(0/0,""),preDEL!AE479)</f>
        <v>233.9333333</v>
      </c>
      <c r="AF479" s="110" t="b">
        <f>IF(preDEL!$AG479,IFERROR(0/0,""),preDEL!AF479)</f>
        <v>0</v>
      </c>
      <c r="AG479" s="110" t="b">
        <f>IF(preDEL!$AG479,IFERROR(0/0,""),preDEL!AG479)</f>
        <v>0</v>
      </c>
      <c r="AH479" s="104" t="str">
        <f>IF(preDEL!$AG479,IFERROR(0/0,""),preDEL!AH479)</f>
        <v/>
      </c>
      <c r="AI479" s="105" t="str">
        <f>IF(preDEL!$AG479,IFERROR(0/0,""),preDEL!AI479)</f>
        <v/>
      </c>
      <c r="AJ479" s="112" t="str">
        <f>IF(preDEL!$AG479,IFERROR(0/0,""),preDEL!AJ479)</f>
        <v/>
      </c>
      <c r="AK479" s="105" t="str">
        <f>IF(preDEL!$AG479,IFERROR(0/0,""),preDEL!AK479)</f>
        <v>Negative</v>
      </c>
      <c r="AL479" s="112" t="str">
        <f>IF(preDEL!$AG479,IFERROR(0/0,""),preDEL!AL479)</f>
        <v/>
      </c>
      <c r="AM479" s="112" t="str">
        <f>IF(preDEL!$AG479,IFERROR(0/0,""),preDEL!AM479)</f>
        <v>SpBEND767550</v>
      </c>
      <c r="AN479" s="112" t="str">
        <f>IF(preDEL!$AG479,IFERROR(0/0,""),preDEL!AN479)</f>
        <v>BEND245933</v>
      </c>
      <c r="AO479" s="112" t="str">
        <f>IF(preDEL!$AG479,IFERROR(0/0,""),preDEL!AO479)</f>
        <v/>
      </c>
      <c r="AP479" s="112" t="str">
        <f>IF(preDEL!$AG479,IFERROR(0/0,""),preDEL!AP479)</f>
        <v/>
      </c>
      <c r="AQ479" s="112" t="str">
        <f>IF(preDEL!$AG479,IFERROR(0/0,""),preDEL!AQ479)</f>
        <v/>
      </c>
      <c r="AR479" s="112" t="str">
        <f>IF(preDEL!$AG479,IFERROR(0/0,""),preDEL!AR479)</f>
        <v/>
      </c>
      <c r="AS479" s="112" t="str">
        <f>IF(preDEL!$AG479,IFERROR(0/0,""),preDEL!AS479)</f>
        <v/>
      </c>
      <c r="AT479" s="112" t="b">
        <f>IF(preDEL!$AG479,IFERROR(0/0,""),preDEL!AT479)</f>
        <v>0</v>
      </c>
      <c r="AU479" s="112" t="str">
        <f>IF(preDEL!$AG479,IFERROR(0/0,""),preDEL!AU479)</f>
        <v/>
      </c>
      <c r="AV479" s="112" t="str">
        <f>IF(preDEL!$AG479,IFERROR(0/0,""),preDEL!AV479)</f>
        <v/>
      </c>
      <c r="AW479" s="112" t="str">
        <f>IF(preDEL!$AG479,IFERROR(0/0,""),preDEL!AW479)</f>
        <v/>
      </c>
      <c r="AX479" s="112" t="str">
        <f>IF(preDEL!$AG479,IFERROR(0/0,""),preDEL!AX479)</f>
        <v/>
      </c>
      <c r="AY479" s="112" t="str">
        <f>IF(preDEL!$AG479,IFERROR(0/0,""),preDEL!AY479)</f>
        <v/>
      </c>
      <c r="AZ479" s="174"/>
      <c r="BA479" s="174"/>
      <c r="BB479" s="174"/>
      <c r="BC479" s="174"/>
      <c r="BD479" s="174"/>
      <c r="BE479" s="174"/>
      <c r="BF479" s="174"/>
      <c r="BG479" s="174"/>
      <c r="BH479" s="174"/>
      <c r="BI479" s="174"/>
      <c r="BJ479" s="174"/>
      <c r="BK479" s="174"/>
      <c r="BL479" s="174"/>
      <c r="BM479" s="174"/>
      <c r="BN479" s="174"/>
      <c r="BO479" s="174"/>
      <c r="BP479" s="174"/>
      <c r="BQ479" s="174"/>
      <c r="BR479" s="174"/>
      <c r="BS479" s="174"/>
      <c r="BT479" s="174"/>
      <c r="BU479" s="174"/>
      <c r="BV479" s="174"/>
      <c r="BW479" s="174"/>
      <c r="BX479" s="174"/>
      <c r="BY479" s="174"/>
      <c r="BZ479" s="174"/>
      <c r="CA479" s="174"/>
      <c r="CB479" s="174"/>
      <c r="CC479" s="174"/>
      <c r="CD479" s="174"/>
    </row>
    <row r="480">
      <c r="A480" s="105" t="str">
        <f>IF(preDEL!$AG480,IFERROR(0/0,""),preDEL!A480)</f>
        <v>FM787</v>
      </c>
      <c r="B480" s="170">
        <f>IF(preDEL!$AG480,IFERROR(0/0,""),preDEL!B480)</f>
        <v>44611</v>
      </c>
      <c r="C480" s="171">
        <f>IF(preDEL!$AG480,IFERROR(0/0,""),preDEL!C480)</f>
        <v>0.3263310185</v>
      </c>
      <c r="D480" s="105" t="str">
        <f>IF(preDEL!$AG480,IFERROR(0/0,""),preDEL!D480)</f>
        <v/>
      </c>
      <c r="E480" s="105" t="str">
        <f>IF(preDEL!$AG480,IFERROR(0/0,""),preDEL!E480)</f>
        <v/>
      </c>
      <c r="F480" s="112" t="str">
        <f>IF(preDEL!$AG480,IFERROR(0/0,""),preDEL!F480)</f>
        <v/>
      </c>
      <c r="G480" s="112" t="str">
        <f>IF(preDEL!$AG480,IFERROR(0/0,""),preDEL!G480)</f>
        <v/>
      </c>
      <c r="H480" s="112" t="str">
        <f>IF(preDEL!$AG480,IFERROR(0/0,""),preDEL!H480)</f>
        <v/>
      </c>
      <c r="I480" s="105" t="str">
        <f>IF(preDEL!$AG480,IFERROR(0/0,""),preDEL!I480)</f>
        <v/>
      </c>
      <c r="J480" s="105" t="str">
        <f>IF(preDEL!$AG480,IFERROR(0/0,""),preDEL!J480)</f>
        <v/>
      </c>
      <c r="K480" s="105" t="str">
        <f>IF(preDEL!$AG480,IFERROR(0/0,""),preDEL!K480)</f>
        <v>Negative</v>
      </c>
      <c r="L480" s="170">
        <f>IF(preDEL!$AG480,IFERROR(0/0,""),preDEL!L480)</f>
        <v>44611</v>
      </c>
      <c r="M480" s="171">
        <f>IF(preDEL!$AG480,IFERROR(0/0,""),preDEL!M480)</f>
        <v>0.4882523148</v>
      </c>
      <c r="N480" s="112" t="str">
        <f>IF(preDEL!$AG480,IFERROR(0/0,""),preDEL!N480)</f>
        <v/>
      </c>
      <c r="O480" s="112" t="str">
        <f>IF(preDEL!$AG480,IFERROR(0/0,""),preDEL!O480)</f>
        <v/>
      </c>
      <c r="P480" s="110" t="b">
        <f>IF(preDEL!$AG480,IFERROR(0/0,""),preDEL!P480)</f>
        <v>0</v>
      </c>
      <c r="Q480" s="110" t="str">
        <f>IF(preDEL!$AG480,IFERROR(0/0,""),preDEL!Q480)</f>
        <v>Result</v>
      </c>
      <c r="R480" s="104" t="b">
        <f>IF(preDEL!$AG480,IFERROR(0/0,""),preDEL!R480)</f>
        <v>1</v>
      </c>
      <c r="S480" s="104">
        <f>IF(preDEL!$AG480,IFERROR(0/0,""),preDEL!S480)</f>
        <v>1</v>
      </c>
      <c r="T480" s="110" t="str">
        <f>IF(preDEL!$AG480,IFERROR(0/0,""),preDEL!T480)</f>
        <v/>
      </c>
      <c r="U480" s="112" t="str">
        <f>IF(preDEL!$AG480,IFERROR(0/0,""),preDEL!U480)</f>
        <v/>
      </c>
      <c r="V480" s="105" t="str">
        <f>IF(preDEL!$AG480,IFERROR(0/0,""),preDEL!V480)</f>
        <v/>
      </c>
      <c r="W480" s="112" t="str">
        <f>IF(preDEL!$AG480,IFERROR(0/0,""),preDEL!W480)</f>
        <v/>
      </c>
      <c r="X480" s="104" t="b">
        <f>IF(preDEL!$AG480,IFERROR(0/0,""),preDEL!X480)</f>
        <v>0</v>
      </c>
      <c r="Y480" s="110" t="b">
        <f>IF(preDEL!$AG480,IFERROR(0/0,""),preDEL!Y480)</f>
        <v>0</v>
      </c>
      <c r="Z480" s="105" t="str">
        <f>IF(preDEL!$AG480,IFERROR(0/0,""),preDEL!Z480)</f>
        <v/>
      </c>
      <c r="AA480" s="110" t="b">
        <f>IF(preDEL!$AG480,IFERROR(0/0,""),preDEL!AA480)</f>
        <v>0</v>
      </c>
      <c r="AB480" s="110" t="b">
        <f>IF(preDEL!$AG480,IFERROR(0/0,""),preDEL!AB480)</f>
        <v>0</v>
      </c>
      <c r="AC480" s="172">
        <f>IF(preDEL!$AG480,IFERROR(0/0,""),preDEL!AC480)</f>
        <v>331</v>
      </c>
      <c r="AD480" s="104" t="b">
        <f>IF(preDEL!$AG480,IFERROR(0/0,""),preDEL!AD480)</f>
        <v>0</v>
      </c>
      <c r="AE480" s="173">
        <f>IF(preDEL!$AG480,IFERROR(0/0,""),preDEL!AE480)</f>
        <v>233.1666667</v>
      </c>
      <c r="AF480" s="110" t="b">
        <f>IF(preDEL!$AG480,IFERROR(0/0,""),preDEL!AF480)</f>
        <v>0</v>
      </c>
      <c r="AG480" s="110" t="b">
        <f>IF(preDEL!$AG480,IFERROR(0/0,""),preDEL!AG480)</f>
        <v>0</v>
      </c>
      <c r="AH480" s="104" t="str">
        <f>IF(preDEL!$AG480,IFERROR(0/0,""),preDEL!AH480)</f>
        <v/>
      </c>
      <c r="AI480" s="105" t="str">
        <f>IF(preDEL!$AG480,IFERROR(0/0,""),preDEL!AI480)</f>
        <v/>
      </c>
      <c r="AJ480" s="112" t="str">
        <f>IF(preDEL!$AG480,IFERROR(0/0,""),preDEL!AJ480)</f>
        <v/>
      </c>
      <c r="AK480" s="105" t="str">
        <f>IF(preDEL!$AG480,IFERROR(0/0,""),preDEL!AK480)</f>
        <v>Negative</v>
      </c>
      <c r="AL480" s="112" t="str">
        <f>IF(preDEL!$AG480,IFERROR(0/0,""),preDEL!AL480)</f>
        <v/>
      </c>
      <c r="AM480" s="112" t="str">
        <f>IF(preDEL!$AG480,IFERROR(0/0,""),preDEL!AM480)</f>
        <v>SpBEND292554</v>
      </c>
      <c r="AN480" s="112" t="str">
        <f>IF(preDEL!$AG480,IFERROR(0/0,""),preDEL!AN480)</f>
        <v>BEND295131</v>
      </c>
      <c r="AO480" s="112" t="str">
        <f>IF(preDEL!$AG480,IFERROR(0/0,""),preDEL!AO480)</f>
        <v/>
      </c>
      <c r="AP480" s="112" t="str">
        <f>IF(preDEL!$AG480,IFERROR(0/0,""),preDEL!AP480)</f>
        <v/>
      </c>
      <c r="AQ480" s="112" t="str">
        <f>IF(preDEL!$AG480,IFERROR(0/0,""),preDEL!AQ480)</f>
        <v/>
      </c>
      <c r="AR480" s="112" t="str">
        <f>IF(preDEL!$AG480,IFERROR(0/0,""),preDEL!AR480)</f>
        <v/>
      </c>
      <c r="AS480" s="112" t="str">
        <f>IF(preDEL!$AG480,IFERROR(0/0,""),preDEL!AS480)</f>
        <v/>
      </c>
      <c r="AT480" s="112" t="b">
        <f>IF(preDEL!$AG480,IFERROR(0/0,""),preDEL!AT480)</f>
        <v>0</v>
      </c>
      <c r="AU480" s="112" t="str">
        <f>IF(preDEL!$AG480,IFERROR(0/0,""),preDEL!AU480)</f>
        <v/>
      </c>
      <c r="AV480" s="112" t="str">
        <f>IF(preDEL!$AG480,IFERROR(0/0,""),preDEL!AV480)</f>
        <v/>
      </c>
      <c r="AW480" s="112" t="str">
        <f>IF(preDEL!$AG480,IFERROR(0/0,""),preDEL!AW480)</f>
        <v/>
      </c>
      <c r="AX480" s="112" t="str">
        <f>IF(preDEL!$AG480,IFERROR(0/0,""),preDEL!AX480)</f>
        <v/>
      </c>
      <c r="AY480" s="112" t="str">
        <f>IF(preDEL!$AG480,IFERROR(0/0,""),preDEL!AY480)</f>
        <v/>
      </c>
      <c r="AZ480" s="174"/>
      <c r="BA480" s="174"/>
      <c r="BB480" s="174"/>
      <c r="BC480" s="174"/>
      <c r="BD480" s="174"/>
      <c r="BE480" s="174"/>
      <c r="BF480" s="174"/>
      <c r="BG480" s="174"/>
      <c r="BH480" s="174"/>
      <c r="BI480" s="174"/>
      <c r="BJ480" s="174"/>
      <c r="BK480" s="174"/>
      <c r="BL480" s="174"/>
      <c r="BM480" s="174"/>
      <c r="BN480" s="174"/>
      <c r="BO480" s="174"/>
      <c r="BP480" s="174"/>
      <c r="BQ480" s="174"/>
      <c r="BR480" s="174"/>
      <c r="BS480" s="174"/>
      <c r="BT480" s="174"/>
      <c r="BU480" s="174"/>
      <c r="BV480" s="174"/>
      <c r="BW480" s="174"/>
      <c r="BX480" s="174"/>
      <c r="BY480" s="174"/>
      <c r="BZ480" s="174"/>
      <c r="CA480" s="174"/>
      <c r="CB480" s="174"/>
      <c r="CC480" s="174"/>
      <c r="CD480" s="174"/>
    </row>
    <row r="481">
      <c r="A481" s="105" t="str">
        <f>IF(preDEL!$AG481,IFERROR(0/0,""),preDEL!A481)</f>
        <v>FM836</v>
      </c>
      <c r="B481" s="170">
        <f>IF(preDEL!$AG481,IFERROR(0/0,""),preDEL!B481)</f>
        <v>44611</v>
      </c>
      <c r="C481" s="171">
        <f>IF(preDEL!$AG481,IFERROR(0/0,""),preDEL!C481)</f>
        <v>0.3278819444</v>
      </c>
      <c r="D481" s="105" t="str">
        <f>IF(preDEL!$AG481,IFERROR(0/0,""),preDEL!D481)</f>
        <v/>
      </c>
      <c r="E481" s="105" t="str">
        <f>IF(preDEL!$AG481,IFERROR(0/0,""),preDEL!E481)</f>
        <v/>
      </c>
      <c r="F481" s="112" t="str">
        <f>IF(preDEL!$AG481,IFERROR(0/0,""),preDEL!F481)</f>
        <v/>
      </c>
      <c r="G481" s="112" t="str">
        <f>IF(preDEL!$AG481,IFERROR(0/0,""),preDEL!G481)</f>
        <v/>
      </c>
      <c r="H481" s="112" t="str">
        <f>IF(preDEL!$AG481,IFERROR(0/0,""),preDEL!H481)</f>
        <v/>
      </c>
      <c r="I481" s="105" t="str">
        <f>IF(preDEL!$AG481,IFERROR(0/0,""),preDEL!I481)</f>
        <v/>
      </c>
      <c r="J481" s="105" t="str">
        <f>IF(preDEL!$AG481,IFERROR(0/0,""),preDEL!J481)</f>
        <v/>
      </c>
      <c r="K481" s="105" t="str">
        <f>IF(preDEL!$AG481,IFERROR(0/0,""),preDEL!K481)</f>
        <v>Negative</v>
      </c>
      <c r="L481" s="170">
        <f>IF(preDEL!$AG481,IFERROR(0/0,""),preDEL!L481)</f>
        <v>44611</v>
      </c>
      <c r="M481" s="171">
        <f>IF(preDEL!$AG481,IFERROR(0/0,""),preDEL!M481)</f>
        <v>0.4882638889</v>
      </c>
      <c r="N481" s="112" t="str">
        <f>IF(preDEL!$AG481,IFERROR(0/0,""),preDEL!N481)</f>
        <v/>
      </c>
      <c r="O481" s="112" t="str">
        <f>IF(preDEL!$AG481,IFERROR(0/0,""),preDEL!O481)</f>
        <v/>
      </c>
      <c r="P481" s="110" t="b">
        <f>IF(preDEL!$AG481,IFERROR(0/0,""),preDEL!P481)</f>
        <v>0</v>
      </c>
      <c r="Q481" s="110" t="str">
        <f>IF(preDEL!$AG481,IFERROR(0/0,""),preDEL!Q481)</f>
        <v>Result</v>
      </c>
      <c r="R481" s="104" t="b">
        <f>IF(preDEL!$AG481,IFERROR(0/0,""),preDEL!R481)</f>
        <v>1</v>
      </c>
      <c r="S481" s="104">
        <f>IF(preDEL!$AG481,IFERROR(0/0,""),preDEL!S481)</f>
        <v>1</v>
      </c>
      <c r="T481" s="110" t="str">
        <f>IF(preDEL!$AG481,IFERROR(0/0,""),preDEL!T481)</f>
        <v/>
      </c>
      <c r="U481" s="112" t="str">
        <f>IF(preDEL!$AG481,IFERROR(0/0,""),preDEL!U481)</f>
        <v/>
      </c>
      <c r="V481" s="105" t="str">
        <f>IF(preDEL!$AG481,IFERROR(0/0,""),preDEL!V481)</f>
        <v/>
      </c>
      <c r="W481" s="112" t="str">
        <f>IF(preDEL!$AG481,IFERROR(0/0,""),preDEL!W481)</f>
        <v/>
      </c>
      <c r="X481" s="104" t="b">
        <f>IF(preDEL!$AG481,IFERROR(0/0,""),preDEL!X481)</f>
        <v>0</v>
      </c>
      <c r="Y481" s="110" t="b">
        <f>IF(preDEL!$AG481,IFERROR(0/0,""),preDEL!Y481)</f>
        <v>0</v>
      </c>
      <c r="Z481" s="105" t="str">
        <f>IF(preDEL!$AG481,IFERROR(0/0,""),preDEL!Z481)</f>
        <v/>
      </c>
      <c r="AA481" s="110" t="b">
        <f>IF(preDEL!$AG481,IFERROR(0/0,""),preDEL!AA481)</f>
        <v>0</v>
      </c>
      <c r="AB481" s="110" t="b">
        <f>IF(preDEL!$AG481,IFERROR(0/0,""),preDEL!AB481)</f>
        <v>0</v>
      </c>
      <c r="AC481" s="172">
        <f>IF(preDEL!$AG481,IFERROR(0/0,""),preDEL!AC481)</f>
        <v>330</v>
      </c>
      <c r="AD481" s="104" t="b">
        <f>IF(preDEL!$AG481,IFERROR(0/0,""),preDEL!AD481)</f>
        <v>0</v>
      </c>
      <c r="AE481" s="173">
        <f>IF(preDEL!$AG481,IFERROR(0/0,""),preDEL!AE481)</f>
        <v>230.95</v>
      </c>
      <c r="AF481" s="110" t="b">
        <f>IF(preDEL!$AG481,IFERROR(0/0,""),preDEL!AF481)</f>
        <v>0</v>
      </c>
      <c r="AG481" s="110" t="b">
        <f>IF(preDEL!$AG481,IFERROR(0/0,""),preDEL!AG481)</f>
        <v>0</v>
      </c>
      <c r="AH481" s="104" t="str">
        <f>IF(preDEL!$AG481,IFERROR(0/0,""),preDEL!AH481)</f>
        <v/>
      </c>
      <c r="AI481" s="105" t="str">
        <f>IF(preDEL!$AG481,IFERROR(0/0,""),preDEL!AI481)</f>
        <v/>
      </c>
      <c r="AJ481" s="112" t="str">
        <f>IF(preDEL!$AG481,IFERROR(0/0,""),preDEL!AJ481)</f>
        <v/>
      </c>
      <c r="AK481" s="105" t="str">
        <f>IF(preDEL!$AG481,IFERROR(0/0,""),preDEL!AK481)</f>
        <v>Negative</v>
      </c>
      <c r="AL481" s="112" t="str">
        <f>IF(preDEL!$AG481,IFERROR(0/0,""),preDEL!AL481)</f>
        <v/>
      </c>
      <c r="AM481" s="112" t="str">
        <f>IF(preDEL!$AG481,IFERROR(0/0,""),preDEL!AM481)</f>
        <v>SpBEND747592</v>
      </c>
      <c r="AN481" s="112" t="str">
        <f>IF(preDEL!$AG481,IFERROR(0/0,""),preDEL!AN481)</f>
        <v>BEND732984</v>
      </c>
      <c r="AO481" s="112" t="str">
        <f>IF(preDEL!$AG481,IFERROR(0/0,""),preDEL!AO481)</f>
        <v/>
      </c>
      <c r="AP481" s="112" t="str">
        <f>IF(preDEL!$AG481,IFERROR(0/0,""),preDEL!AP481)</f>
        <v/>
      </c>
      <c r="AQ481" s="112" t="str">
        <f>IF(preDEL!$AG481,IFERROR(0/0,""),preDEL!AQ481)</f>
        <v/>
      </c>
      <c r="AR481" s="112" t="str">
        <f>IF(preDEL!$AG481,IFERROR(0/0,""),preDEL!AR481)</f>
        <v/>
      </c>
      <c r="AS481" s="112" t="str">
        <f>IF(preDEL!$AG481,IFERROR(0/0,""),preDEL!AS481)</f>
        <v/>
      </c>
      <c r="AT481" s="112" t="b">
        <f>IF(preDEL!$AG481,IFERROR(0/0,""),preDEL!AT481)</f>
        <v>0</v>
      </c>
      <c r="AU481" s="112" t="str">
        <f>IF(preDEL!$AG481,IFERROR(0/0,""),preDEL!AU481)</f>
        <v/>
      </c>
      <c r="AV481" s="112" t="str">
        <f>IF(preDEL!$AG481,IFERROR(0/0,""),preDEL!AV481)</f>
        <v/>
      </c>
      <c r="AW481" s="112" t="str">
        <f>IF(preDEL!$AG481,IFERROR(0/0,""),preDEL!AW481)</f>
        <v/>
      </c>
      <c r="AX481" s="112" t="str">
        <f>IF(preDEL!$AG481,IFERROR(0/0,""),preDEL!AX481)</f>
        <v/>
      </c>
      <c r="AY481" s="112" t="str">
        <f>IF(preDEL!$AG481,IFERROR(0/0,""),preDEL!AY481)</f>
        <v/>
      </c>
      <c r="AZ481" s="174"/>
      <c r="BA481" s="174"/>
      <c r="BB481" s="174"/>
      <c r="BC481" s="174"/>
      <c r="BD481" s="174"/>
      <c r="BE481" s="174"/>
      <c r="BF481" s="174"/>
      <c r="BG481" s="174"/>
      <c r="BH481" s="174"/>
      <c r="BI481" s="174"/>
      <c r="BJ481" s="174"/>
      <c r="BK481" s="174"/>
      <c r="BL481" s="174"/>
      <c r="BM481" s="174"/>
      <c r="BN481" s="174"/>
      <c r="BO481" s="174"/>
      <c r="BP481" s="174"/>
      <c r="BQ481" s="174"/>
      <c r="BR481" s="174"/>
      <c r="BS481" s="174"/>
      <c r="BT481" s="174"/>
      <c r="BU481" s="174"/>
      <c r="BV481" s="174"/>
      <c r="BW481" s="174"/>
      <c r="BX481" s="174"/>
      <c r="BY481" s="174"/>
      <c r="BZ481" s="174"/>
      <c r="CA481" s="174"/>
      <c r="CB481" s="174"/>
      <c r="CC481" s="174"/>
      <c r="CD481" s="174"/>
    </row>
    <row r="482">
      <c r="A482" s="105" t="str">
        <f>IF(preDEL!$AG482,IFERROR(0/0,""),preDEL!A482)</f>
        <v>FM89</v>
      </c>
      <c r="B482" s="170">
        <f>IF(preDEL!$AG482,IFERROR(0/0,""),preDEL!B482)</f>
        <v>44611</v>
      </c>
      <c r="C482" s="171">
        <f>IF(preDEL!$AG482,IFERROR(0/0,""),preDEL!C482)</f>
        <v>0.328900463</v>
      </c>
      <c r="D482" s="105" t="str">
        <f>IF(preDEL!$AG482,IFERROR(0/0,""),preDEL!D482)</f>
        <v/>
      </c>
      <c r="E482" s="105" t="str">
        <f>IF(preDEL!$AG482,IFERROR(0/0,""),preDEL!E482)</f>
        <v/>
      </c>
      <c r="F482" s="112" t="str">
        <f>IF(preDEL!$AG482,IFERROR(0/0,""),preDEL!F482)</f>
        <v/>
      </c>
      <c r="G482" s="112" t="str">
        <f>IF(preDEL!$AG482,IFERROR(0/0,""),preDEL!G482)</f>
        <v/>
      </c>
      <c r="H482" s="112" t="str">
        <f>IF(preDEL!$AG482,IFERROR(0/0,""),preDEL!H482)</f>
        <v/>
      </c>
      <c r="I482" s="105" t="str">
        <f>IF(preDEL!$AG482,IFERROR(0/0,""),preDEL!I482)</f>
        <v/>
      </c>
      <c r="J482" s="105" t="str">
        <f>IF(preDEL!$AG482,IFERROR(0/0,""),preDEL!J482)</f>
        <v/>
      </c>
      <c r="K482" s="105" t="str">
        <f>IF(preDEL!$AG482,IFERROR(0/0,""),preDEL!K482)</f>
        <v>Negative</v>
      </c>
      <c r="L482" s="170">
        <f>IF(preDEL!$AG482,IFERROR(0/0,""),preDEL!L482)</f>
        <v>44611</v>
      </c>
      <c r="M482" s="171">
        <f>IF(preDEL!$AG482,IFERROR(0/0,""),preDEL!M482)</f>
        <v>0.4882638889</v>
      </c>
      <c r="N482" s="112" t="str">
        <f>IF(preDEL!$AG482,IFERROR(0/0,""),preDEL!N482)</f>
        <v/>
      </c>
      <c r="O482" s="112" t="str">
        <f>IF(preDEL!$AG482,IFERROR(0/0,""),preDEL!O482)</f>
        <v/>
      </c>
      <c r="P482" s="110" t="b">
        <f>IF(preDEL!$AG482,IFERROR(0/0,""),preDEL!P482)</f>
        <v>0</v>
      </c>
      <c r="Q482" s="110" t="str">
        <f>IF(preDEL!$AG482,IFERROR(0/0,""),preDEL!Q482)</f>
        <v>Result</v>
      </c>
      <c r="R482" s="104" t="b">
        <f>IF(preDEL!$AG482,IFERROR(0/0,""),preDEL!R482)</f>
        <v>1</v>
      </c>
      <c r="S482" s="104">
        <f>IF(preDEL!$AG482,IFERROR(0/0,""),preDEL!S482)</f>
        <v>1</v>
      </c>
      <c r="T482" s="110" t="str">
        <f>IF(preDEL!$AG482,IFERROR(0/0,""),preDEL!T482)</f>
        <v/>
      </c>
      <c r="U482" s="112" t="str">
        <f>IF(preDEL!$AG482,IFERROR(0/0,""),preDEL!U482)</f>
        <v/>
      </c>
      <c r="V482" s="105" t="str">
        <f>IF(preDEL!$AG482,IFERROR(0/0,""),preDEL!V482)</f>
        <v/>
      </c>
      <c r="W482" s="112" t="str">
        <f>IF(preDEL!$AG482,IFERROR(0/0,""),preDEL!W482)</f>
        <v/>
      </c>
      <c r="X482" s="104" t="b">
        <f>IF(preDEL!$AG482,IFERROR(0/0,""),preDEL!X482)</f>
        <v>0</v>
      </c>
      <c r="Y482" s="110" t="b">
        <f>IF(preDEL!$AG482,IFERROR(0/0,""),preDEL!Y482)</f>
        <v>0</v>
      </c>
      <c r="Z482" s="105" t="str">
        <f>IF(preDEL!$AG482,IFERROR(0/0,""),preDEL!Z482)</f>
        <v/>
      </c>
      <c r="AA482" s="110" t="b">
        <f>IF(preDEL!$AG482,IFERROR(0/0,""),preDEL!AA482)</f>
        <v>0</v>
      </c>
      <c r="AB482" s="110" t="b">
        <f>IF(preDEL!$AG482,IFERROR(0/0,""),preDEL!AB482)</f>
        <v>0</v>
      </c>
      <c r="AC482" s="172">
        <f>IF(preDEL!$AG482,IFERROR(0/0,""),preDEL!AC482)</f>
        <v>329</v>
      </c>
      <c r="AD482" s="104" t="b">
        <f>IF(preDEL!$AG482,IFERROR(0/0,""),preDEL!AD482)</f>
        <v>0</v>
      </c>
      <c r="AE482" s="173">
        <f>IF(preDEL!$AG482,IFERROR(0/0,""),preDEL!AE482)</f>
        <v>229.4833333</v>
      </c>
      <c r="AF482" s="110" t="b">
        <f>IF(preDEL!$AG482,IFERROR(0/0,""),preDEL!AF482)</f>
        <v>0</v>
      </c>
      <c r="AG482" s="110" t="b">
        <f>IF(preDEL!$AG482,IFERROR(0/0,""),preDEL!AG482)</f>
        <v>0</v>
      </c>
      <c r="AH482" s="104" t="str">
        <f>IF(preDEL!$AG482,IFERROR(0/0,""),preDEL!AH482)</f>
        <v/>
      </c>
      <c r="AI482" s="105" t="str">
        <f>IF(preDEL!$AG482,IFERROR(0/0,""),preDEL!AI482)</f>
        <v/>
      </c>
      <c r="AJ482" s="112" t="str">
        <f>IF(preDEL!$AG482,IFERROR(0/0,""),preDEL!AJ482)</f>
        <v/>
      </c>
      <c r="AK482" s="105" t="str">
        <f>IF(preDEL!$AG482,IFERROR(0/0,""),preDEL!AK482)</f>
        <v>Negative</v>
      </c>
      <c r="AL482" s="112" t="str">
        <f>IF(preDEL!$AG482,IFERROR(0/0,""),preDEL!AL482)</f>
        <v/>
      </c>
      <c r="AM482" s="112" t="str">
        <f>IF(preDEL!$AG482,IFERROR(0/0,""),preDEL!AM482)</f>
        <v>SpBEND425753</v>
      </c>
      <c r="AN482" s="112" t="str">
        <f>IF(preDEL!$AG482,IFERROR(0/0,""),preDEL!AN482)</f>
        <v>BEND982858</v>
      </c>
      <c r="AO482" s="112" t="str">
        <f>IF(preDEL!$AG482,IFERROR(0/0,""),preDEL!AO482)</f>
        <v/>
      </c>
      <c r="AP482" s="112" t="str">
        <f>IF(preDEL!$AG482,IFERROR(0/0,""),preDEL!AP482)</f>
        <v/>
      </c>
      <c r="AQ482" s="112" t="str">
        <f>IF(preDEL!$AG482,IFERROR(0/0,""),preDEL!AQ482)</f>
        <v/>
      </c>
      <c r="AR482" s="112" t="str">
        <f>IF(preDEL!$AG482,IFERROR(0/0,""),preDEL!AR482)</f>
        <v/>
      </c>
      <c r="AS482" s="112" t="str">
        <f>IF(preDEL!$AG482,IFERROR(0/0,""),preDEL!AS482)</f>
        <v/>
      </c>
      <c r="AT482" s="112" t="b">
        <f>IF(preDEL!$AG482,IFERROR(0/0,""),preDEL!AT482)</f>
        <v>0</v>
      </c>
      <c r="AU482" s="112" t="str">
        <f>IF(preDEL!$AG482,IFERROR(0/0,""),preDEL!AU482)</f>
        <v/>
      </c>
      <c r="AV482" s="112" t="str">
        <f>IF(preDEL!$AG482,IFERROR(0/0,""),preDEL!AV482)</f>
        <v/>
      </c>
      <c r="AW482" s="112" t="str">
        <f>IF(preDEL!$AG482,IFERROR(0/0,""),preDEL!AW482)</f>
        <v/>
      </c>
      <c r="AX482" s="112" t="str">
        <f>IF(preDEL!$AG482,IFERROR(0/0,""),preDEL!AX482)</f>
        <v/>
      </c>
      <c r="AY482" s="112" t="str">
        <f>IF(preDEL!$AG482,IFERROR(0/0,""),preDEL!AY482)</f>
        <v/>
      </c>
      <c r="AZ482" s="174"/>
      <c r="BA482" s="174"/>
      <c r="BB482" s="174"/>
      <c r="BC482" s="174"/>
      <c r="BD482" s="174"/>
      <c r="BE482" s="174"/>
      <c r="BF482" s="174"/>
      <c r="BG482" s="174"/>
      <c r="BH482" s="174"/>
      <c r="BI482" s="174"/>
      <c r="BJ482" s="174"/>
      <c r="BK482" s="174"/>
      <c r="BL482" s="174"/>
      <c r="BM482" s="174"/>
      <c r="BN482" s="174"/>
      <c r="BO482" s="174"/>
      <c r="BP482" s="174"/>
      <c r="BQ482" s="174"/>
      <c r="BR482" s="174"/>
      <c r="BS482" s="174"/>
      <c r="BT482" s="174"/>
      <c r="BU482" s="174"/>
      <c r="BV482" s="174"/>
      <c r="BW482" s="174"/>
      <c r="BX482" s="174"/>
      <c r="BY482" s="174"/>
      <c r="BZ482" s="174"/>
      <c r="CA482" s="174"/>
      <c r="CB482" s="174"/>
      <c r="CC482" s="174"/>
      <c r="CD482" s="174"/>
    </row>
    <row r="483">
      <c r="A483" s="105" t="str">
        <f>IF(preDEL!$AG483,IFERROR(0/0,""),preDEL!A483)</f>
        <v>FM834</v>
      </c>
      <c r="B483" s="170">
        <f>IF(preDEL!$AG483,IFERROR(0/0,""),preDEL!B483)</f>
        <v>44611</v>
      </c>
      <c r="C483" s="171">
        <f>IF(preDEL!$AG483,IFERROR(0/0,""),preDEL!C483)</f>
        <v>0.3321875</v>
      </c>
      <c r="D483" s="105" t="str">
        <f>IF(preDEL!$AG483,IFERROR(0/0,""),preDEL!D483)</f>
        <v/>
      </c>
      <c r="E483" s="105" t="str">
        <f>IF(preDEL!$AG483,IFERROR(0/0,""),preDEL!E483)</f>
        <v/>
      </c>
      <c r="F483" s="112" t="str">
        <f>IF(preDEL!$AG483,IFERROR(0/0,""),preDEL!F483)</f>
        <v/>
      </c>
      <c r="G483" s="112" t="str">
        <f>IF(preDEL!$AG483,IFERROR(0/0,""),preDEL!G483)</f>
        <v/>
      </c>
      <c r="H483" s="112" t="str">
        <f>IF(preDEL!$AG483,IFERROR(0/0,""),preDEL!H483)</f>
        <v/>
      </c>
      <c r="I483" s="105" t="str">
        <f>IF(preDEL!$AG483,IFERROR(0/0,""),preDEL!I483)</f>
        <v/>
      </c>
      <c r="J483" s="105" t="str">
        <f>IF(preDEL!$AG483,IFERROR(0/0,""),preDEL!J483)</f>
        <v/>
      </c>
      <c r="K483" s="105" t="str">
        <f>IF(preDEL!$AG483,IFERROR(0/0,""),preDEL!K483)</f>
        <v>Negative</v>
      </c>
      <c r="L483" s="170">
        <f>IF(preDEL!$AG483,IFERROR(0/0,""),preDEL!L483)</f>
        <v>44611</v>
      </c>
      <c r="M483" s="171">
        <f>IF(preDEL!$AG483,IFERROR(0/0,""),preDEL!M483)</f>
        <v>0.4882638889</v>
      </c>
      <c r="N483" s="112" t="str">
        <f>IF(preDEL!$AG483,IFERROR(0/0,""),preDEL!N483)</f>
        <v/>
      </c>
      <c r="O483" s="112" t="str">
        <f>IF(preDEL!$AG483,IFERROR(0/0,""),preDEL!O483)</f>
        <v/>
      </c>
      <c r="P483" s="110" t="b">
        <f>IF(preDEL!$AG483,IFERROR(0/0,""),preDEL!P483)</f>
        <v>0</v>
      </c>
      <c r="Q483" s="110" t="str">
        <f>IF(preDEL!$AG483,IFERROR(0/0,""),preDEL!Q483)</f>
        <v>Result</v>
      </c>
      <c r="R483" s="104" t="b">
        <f>IF(preDEL!$AG483,IFERROR(0/0,""),preDEL!R483)</f>
        <v>1</v>
      </c>
      <c r="S483" s="104">
        <f>IF(preDEL!$AG483,IFERROR(0/0,""),preDEL!S483)</f>
        <v>1</v>
      </c>
      <c r="T483" s="110" t="str">
        <f>IF(preDEL!$AG483,IFERROR(0/0,""),preDEL!T483)</f>
        <v/>
      </c>
      <c r="U483" s="112" t="str">
        <f>IF(preDEL!$AG483,IFERROR(0/0,""),preDEL!U483)</f>
        <v/>
      </c>
      <c r="V483" s="105" t="str">
        <f>IF(preDEL!$AG483,IFERROR(0/0,""),preDEL!V483)</f>
        <v/>
      </c>
      <c r="W483" s="112" t="str">
        <f>IF(preDEL!$AG483,IFERROR(0/0,""),preDEL!W483)</f>
        <v/>
      </c>
      <c r="X483" s="104" t="b">
        <f>IF(preDEL!$AG483,IFERROR(0/0,""),preDEL!X483)</f>
        <v>0</v>
      </c>
      <c r="Y483" s="110" t="b">
        <f>IF(preDEL!$AG483,IFERROR(0/0,""),preDEL!Y483)</f>
        <v>0</v>
      </c>
      <c r="Z483" s="105" t="str">
        <f>IF(preDEL!$AG483,IFERROR(0/0,""),preDEL!Z483)</f>
        <v/>
      </c>
      <c r="AA483" s="110" t="b">
        <f>IF(preDEL!$AG483,IFERROR(0/0,""),preDEL!AA483)</f>
        <v>0</v>
      </c>
      <c r="AB483" s="110" t="b">
        <f>IF(preDEL!$AG483,IFERROR(0/0,""),preDEL!AB483)</f>
        <v>0</v>
      </c>
      <c r="AC483" s="172">
        <f>IF(preDEL!$AG483,IFERROR(0/0,""),preDEL!AC483)</f>
        <v>328</v>
      </c>
      <c r="AD483" s="104" t="b">
        <f>IF(preDEL!$AG483,IFERROR(0/0,""),preDEL!AD483)</f>
        <v>0</v>
      </c>
      <c r="AE483" s="173">
        <f>IF(preDEL!$AG483,IFERROR(0/0,""),preDEL!AE483)</f>
        <v>224.75</v>
      </c>
      <c r="AF483" s="110" t="b">
        <f>IF(preDEL!$AG483,IFERROR(0/0,""),preDEL!AF483)</f>
        <v>0</v>
      </c>
      <c r="AG483" s="110" t="b">
        <f>IF(preDEL!$AG483,IFERROR(0/0,""),preDEL!AG483)</f>
        <v>0</v>
      </c>
      <c r="AH483" s="104" t="str">
        <f>IF(preDEL!$AG483,IFERROR(0/0,""),preDEL!AH483)</f>
        <v/>
      </c>
      <c r="AI483" s="105" t="str">
        <f>IF(preDEL!$AG483,IFERROR(0/0,""),preDEL!AI483)</f>
        <v/>
      </c>
      <c r="AJ483" s="112" t="str">
        <f>IF(preDEL!$AG483,IFERROR(0/0,""),preDEL!AJ483)</f>
        <v/>
      </c>
      <c r="AK483" s="105" t="str">
        <f>IF(preDEL!$AG483,IFERROR(0/0,""),preDEL!AK483)</f>
        <v>Negative</v>
      </c>
      <c r="AL483" s="112" t="str">
        <f>IF(preDEL!$AG483,IFERROR(0/0,""),preDEL!AL483)</f>
        <v/>
      </c>
      <c r="AM483" s="112" t="str">
        <f>IF(preDEL!$AG483,IFERROR(0/0,""),preDEL!AM483)</f>
        <v>SpBEND522465</v>
      </c>
      <c r="AN483" s="112" t="str">
        <f>IF(preDEL!$AG483,IFERROR(0/0,""),preDEL!AN483)</f>
        <v>BEND934970</v>
      </c>
      <c r="AO483" s="112" t="str">
        <f>IF(preDEL!$AG483,IFERROR(0/0,""),preDEL!AO483)</f>
        <v/>
      </c>
      <c r="AP483" s="112" t="str">
        <f>IF(preDEL!$AG483,IFERROR(0/0,""),preDEL!AP483)</f>
        <v/>
      </c>
      <c r="AQ483" s="112" t="str">
        <f>IF(preDEL!$AG483,IFERROR(0/0,""),preDEL!AQ483)</f>
        <v/>
      </c>
      <c r="AR483" s="112" t="str">
        <f>IF(preDEL!$AG483,IFERROR(0/0,""),preDEL!AR483)</f>
        <v/>
      </c>
      <c r="AS483" s="112" t="str">
        <f>IF(preDEL!$AG483,IFERROR(0/0,""),preDEL!AS483)</f>
        <v/>
      </c>
      <c r="AT483" s="112" t="b">
        <f>IF(preDEL!$AG483,IFERROR(0/0,""),preDEL!AT483)</f>
        <v>0</v>
      </c>
      <c r="AU483" s="112" t="str">
        <f>IF(preDEL!$AG483,IFERROR(0/0,""),preDEL!AU483)</f>
        <v/>
      </c>
      <c r="AV483" s="112" t="str">
        <f>IF(preDEL!$AG483,IFERROR(0/0,""),preDEL!AV483)</f>
        <v/>
      </c>
      <c r="AW483" s="112" t="str">
        <f>IF(preDEL!$AG483,IFERROR(0/0,""),preDEL!AW483)</f>
        <v/>
      </c>
      <c r="AX483" s="112" t="str">
        <f>IF(preDEL!$AG483,IFERROR(0/0,""),preDEL!AX483)</f>
        <v/>
      </c>
      <c r="AY483" s="112" t="str">
        <f>IF(preDEL!$AG483,IFERROR(0/0,""),preDEL!AY483)</f>
        <v/>
      </c>
      <c r="AZ483" s="174"/>
      <c r="BA483" s="174"/>
      <c r="BB483" s="174"/>
      <c r="BC483" s="174"/>
      <c r="BD483" s="174"/>
      <c r="BE483" s="174"/>
      <c r="BF483" s="174"/>
      <c r="BG483" s="174"/>
      <c r="BH483" s="174"/>
      <c r="BI483" s="174"/>
      <c r="BJ483" s="174"/>
      <c r="BK483" s="174"/>
      <c r="BL483" s="174"/>
      <c r="BM483" s="174"/>
      <c r="BN483" s="174"/>
      <c r="BO483" s="174"/>
      <c r="BP483" s="174"/>
      <c r="BQ483" s="174"/>
      <c r="BR483" s="174"/>
      <c r="BS483" s="174"/>
      <c r="BT483" s="174"/>
      <c r="BU483" s="174"/>
      <c r="BV483" s="174"/>
      <c r="BW483" s="174"/>
      <c r="BX483" s="174"/>
      <c r="BY483" s="174"/>
      <c r="BZ483" s="174"/>
      <c r="CA483" s="174"/>
      <c r="CB483" s="174"/>
      <c r="CC483" s="174"/>
      <c r="CD483" s="174"/>
    </row>
    <row r="484">
      <c r="A484" s="105" t="str">
        <f>IF(preDEL!$AG484,IFERROR(0/0,""),preDEL!A484)</f>
        <v>MA1116</v>
      </c>
      <c r="B484" s="170">
        <f>IF(preDEL!$AG484,IFERROR(0/0,""),preDEL!B484)</f>
        <v>44611</v>
      </c>
      <c r="C484" s="171">
        <f>IF(preDEL!$AG484,IFERROR(0/0,""),preDEL!C484)</f>
        <v>0.3321875</v>
      </c>
      <c r="D484" s="105" t="str">
        <f>IF(preDEL!$AG484,IFERROR(0/0,""),preDEL!D484)</f>
        <v/>
      </c>
      <c r="E484" s="105" t="str">
        <f>IF(preDEL!$AG484,IFERROR(0/0,""),preDEL!E484)</f>
        <v/>
      </c>
      <c r="F484" s="112" t="str">
        <f>IF(preDEL!$AG484,IFERROR(0/0,""),preDEL!F484)</f>
        <v/>
      </c>
      <c r="G484" s="112" t="str">
        <f>IF(preDEL!$AG484,IFERROR(0/0,""),preDEL!G484)</f>
        <v/>
      </c>
      <c r="H484" s="112" t="str">
        <f>IF(preDEL!$AG484,IFERROR(0/0,""),preDEL!H484)</f>
        <v/>
      </c>
      <c r="I484" s="105" t="str">
        <f>IF(preDEL!$AG484,IFERROR(0/0,""),preDEL!I484)</f>
        <v/>
      </c>
      <c r="J484" s="105" t="str">
        <f>IF(preDEL!$AG484,IFERROR(0/0,""),preDEL!J484)</f>
        <v/>
      </c>
      <c r="K484" s="105" t="str">
        <f>IF(preDEL!$AG484,IFERROR(0/0,""),preDEL!K484)</f>
        <v>Negative</v>
      </c>
      <c r="L484" s="170">
        <f>IF(preDEL!$AG484,IFERROR(0/0,""),preDEL!L484)</f>
        <v>44611</v>
      </c>
      <c r="M484" s="171">
        <f>IF(preDEL!$AG484,IFERROR(0/0,""),preDEL!M484)</f>
        <v>0.5041203704</v>
      </c>
      <c r="N484" s="112" t="str">
        <f>IF(preDEL!$AG484,IFERROR(0/0,""),preDEL!N484)</f>
        <v/>
      </c>
      <c r="O484" s="112" t="str">
        <f>IF(preDEL!$AG484,IFERROR(0/0,""),preDEL!O484)</f>
        <v/>
      </c>
      <c r="P484" s="110" t="b">
        <f>IF(preDEL!$AG484,IFERROR(0/0,""),preDEL!P484)</f>
        <v>0</v>
      </c>
      <c r="Q484" s="110" t="str">
        <f>IF(preDEL!$AG484,IFERROR(0/0,""),preDEL!Q484)</f>
        <v>Result</v>
      </c>
      <c r="R484" s="104" t="b">
        <f>IF(preDEL!$AG484,IFERROR(0/0,""),preDEL!R484)</f>
        <v>1</v>
      </c>
      <c r="S484" s="104">
        <f>IF(preDEL!$AG484,IFERROR(0/0,""),preDEL!S484)</f>
        <v>1</v>
      </c>
      <c r="T484" s="110" t="str">
        <f>IF(preDEL!$AG484,IFERROR(0/0,""),preDEL!T484)</f>
        <v/>
      </c>
      <c r="U484" s="112" t="str">
        <f>IF(preDEL!$AG484,IFERROR(0/0,""),preDEL!U484)</f>
        <v/>
      </c>
      <c r="V484" s="105" t="str">
        <f>IF(preDEL!$AG484,IFERROR(0/0,""),preDEL!V484)</f>
        <v/>
      </c>
      <c r="W484" s="112" t="str">
        <f>IF(preDEL!$AG484,IFERROR(0/0,""),preDEL!W484)</f>
        <v/>
      </c>
      <c r="X484" s="104" t="b">
        <f>IF(preDEL!$AG484,IFERROR(0/0,""),preDEL!X484)</f>
        <v>0</v>
      </c>
      <c r="Y484" s="110" t="b">
        <f>IF(preDEL!$AG484,IFERROR(0/0,""),preDEL!Y484)</f>
        <v>0</v>
      </c>
      <c r="Z484" s="105" t="str">
        <f>IF(preDEL!$AG484,IFERROR(0/0,""),preDEL!Z484)</f>
        <v/>
      </c>
      <c r="AA484" s="110" t="b">
        <f>IF(preDEL!$AG484,IFERROR(0/0,""),preDEL!AA484)</f>
        <v>0</v>
      </c>
      <c r="AB484" s="110" t="b">
        <f>IF(preDEL!$AG484,IFERROR(0/0,""),preDEL!AB484)</f>
        <v>0</v>
      </c>
      <c r="AC484" s="172">
        <f>IF(preDEL!$AG484,IFERROR(0/0,""),preDEL!AC484)</f>
        <v>327</v>
      </c>
      <c r="AD484" s="104" t="b">
        <f>IF(preDEL!$AG484,IFERROR(0/0,""),preDEL!AD484)</f>
        <v>0</v>
      </c>
      <c r="AE484" s="173">
        <f>IF(preDEL!$AG484,IFERROR(0/0,""),preDEL!AE484)</f>
        <v>247.5833333</v>
      </c>
      <c r="AF484" s="110" t="b">
        <f>IF(preDEL!$AG484,IFERROR(0/0,""),preDEL!AF484)</f>
        <v>0</v>
      </c>
      <c r="AG484" s="110" t="b">
        <f>IF(preDEL!$AG484,IFERROR(0/0,""),preDEL!AG484)</f>
        <v>0</v>
      </c>
      <c r="AH484" s="104" t="str">
        <f>IF(preDEL!$AG484,IFERROR(0/0,""),preDEL!AH484)</f>
        <v/>
      </c>
      <c r="AI484" s="105" t="str">
        <f>IF(preDEL!$AG484,IFERROR(0/0,""),preDEL!AI484)</f>
        <v/>
      </c>
      <c r="AJ484" s="112" t="str">
        <f>IF(preDEL!$AG484,IFERROR(0/0,""),preDEL!AJ484)</f>
        <v/>
      </c>
      <c r="AK484" s="105" t="str">
        <f>IF(preDEL!$AG484,IFERROR(0/0,""),preDEL!AK484)</f>
        <v>Negative</v>
      </c>
      <c r="AL484" s="112" t="str">
        <f>IF(preDEL!$AG484,IFERROR(0/0,""),preDEL!AL484)</f>
        <v/>
      </c>
      <c r="AM484" s="112" t="str">
        <f>IF(preDEL!$AG484,IFERROR(0/0,""),preDEL!AM484)</f>
        <v>SpBEND183210</v>
      </c>
      <c r="AN484" s="112" t="str">
        <f>IF(preDEL!$AG484,IFERROR(0/0,""),preDEL!AN484)</f>
        <v>BEND992347</v>
      </c>
      <c r="AO484" s="112" t="str">
        <f>IF(preDEL!$AG484,IFERROR(0/0,""),preDEL!AO484)</f>
        <v/>
      </c>
      <c r="AP484" s="112" t="str">
        <f>IF(preDEL!$AG484,IFERROR(0/0,""),preDEL!AP484)</f>
        <v/>
      </c>
      <c r="AQ484" s="112" t="str">
        <f>IF(preDEL!$AG484,IFERROR(0/0,""),preDEL!AQ484)</f>
        <v/>
      </c>
      <c r="AR484" s="112" t="str">
        <f>IF(preDEL!$AG484,IFERROR(0/0,""),preDEL!AR484)</f>
        <v/>
      </c>
      <c r="AS484" s="112" t="str">
        <f>IF(preDEL!$AG484,IFERROR(0/0,""),preDEL!AS484)</f>
        <v/>
      </c>
      <c r="AT484" s="112" t="b">
        <f>IF(preDEL!$AG484,IFERROR(0/0,""),preDEL!AT484)</f>
        <v>0</v>
      </c>
      <c r="AU484" s="112" t="str">
        <f>IF(preDEL!$AG484,IFERROR(0/0,""),preDEL!AU484)</f>
        <v/>
      </c>
      <c r="AV484" s="112" t="str">
        <f>IF(preDEL!$AG484,IFERROR(0/0,""),preDEL!AV484)</f>
        <v/>
      </c>
      <c r="AW484" s="112" t="str">
        <f>IF(preDEL!$AG484,IFERROR(0/0,""),preDEL!AW484)</f>
        <v/>
      </c>
      <c r="AX484" s="112" t="str">
        <f>IF(preDEL!$AG484,IFERROR(0/0,""),preDEL!AX484)</f>
        <v/>
      </c>
      <c r="AY484" s="112" t="str">
        <f>IF(preDEL!$AG484,IFERROR(0/0,""),preDEL!AY484)</f>
        <v/>
      </c>
      <c r="AZ484" s="174"/>
      <c r="BA484" s="174"/>
      <c r="BB484" s="174"/>
      <c r="BC484" s="174"/>
      <c r="BD484" s="174"/>
      <c r="BE484" s="174"/>
      <c r="BF484" s="174"/>
      <c r="BG484" s="174"/>
      <c r="BH484" s="174"/>
      <c r="BI484" s="174"/>
      <c r="BJ484" s="174"/>
      <c r="BK484" s="174"/>
      <c r="BL484" s="174"/>
      <c r="BM484" s="174"/>
      <c r="BN484" s="174"/>
      <c r="BO484" s="174"/>
      <c r="BP484" s="174"/>
      <c r="BQ484" s="174"/>
      <c r="BR484" s="174"/>
      <c r="BS484" s="174"/>
      <c r="BT484" s="174"/>
      <c r="BU484" s="174"/>
      <c r="BV484" s="174"/>
      <c r="BW484" s="174"/>
      <c r="BX484" s="174"/>
      <c r="BY484" s="174"/>
      <c r="BZ484" s="174"/>
      <c r="CA484" s="174"/>
      <c r="CB484" s="174"/>
      <c r="CC484" s="174"/>
      <c r="CD484" s="174"/>
    </row>
    <row r="485">
      <c r="A485" s="105" t="str">
        <f>IF(preDEL!$AG485,IFERROR(0/0,""),preDEL!A485)</f>
        <v>MA1040</v>
      </c>
      <c r="B485" s="170">
        <f>IF(preDEL!$AG485,IFERROR(0/0,""),preDEL!B485)</f>
        <v>44611</v>
      </c>
      <c r="C485" s="171">
        <f>IF(preDEL!$AG485,IFERROR(0/0,""),preDEL!C485)</f>
        <v>0.3335763889</v>
      </c>
      <c r="D485" s="105" t="str">
        <f>IF(preDEL!$AG485,IFERROR(0/0,""),preDEL!D485)</f>
        <v/>
      </c>
      <c r="E485" s="105" t="str">
        <f>IF(preDEL!$AG485,IFERROR(0/0,""),preDEL!E485)</f>
        <v/>
      </c>
      <c r="F485" s="112" t="str">
        <f>IF(preDEL!$AG485,IFERROR(0/0,""),preDEL!F485)</f>
        <v/>
      </c>
      <c r="G485" s="112" t="str">
        <f>IF(preDEL!$AG485,IFERROR(0/0,""),preDEL!G485)</f>
        <v/>
      </c>
      <c r="H485" s="112" t="str">
        <f>IF(preDEL!$AG485,IFERROR(0/0,""),preDEL!H485)</f>
        <v/>
      </c>
      <c r="I485" s="105" t="str">
        <f>IF(preDEL!$AG485,IFERROR(0/0,""),preDEL!I485)</f>
        <v/>
      </c>
      <c r="J485" s="105" t="str">
        <f>IF(preDEL!$AG485,IFERROR(0/0,""),preDEL!J485)</f>
        <v/>
      </c>
      <c r="K485" s="105" t="str">
        <f>IF(preDEL!$AG485,IFERROR(0/0,""),preDEL!K485)</f>
        <v>Negative</v>
      </c>
      <c r="L485" s="170">
        <f>IF(preDEL!$AG485,IFERROR(0/0,""),preDEL!L485)</f>
        <v>44611</v>
      </c>
      <c r="M485" s="171">
        <f>IF(preDEL!$AG485,IFERROR(0/0,""),preDEL!M485)</f>
        <v>0.4882638889</v>
      </c>
      <c r="N485" s="112" t="str">
        <f>IF(preDEL!$AG485,IFERROR(0/0,""),preDEL!N485)</f>
        <v/>
      </c>
      <c r="O485" s="112" t="str">
        <f>IF(preDEL!$AG485,IFERROR(0/0,""),preDEL!O485)</f>
        <v/>
      </c>
      <c r="P485" s="110" t="b">
        <f>IF(preDEL!$AG485,IFERROR(0/0,""),preDEL!P485)</f>
        <v>0</v>
      </c>
      <c r="Q485" s="110" t="str">
        <f>IF(preDEL!$AG485,IFERROR(0/0,""),preDEL!Q485)</f>
        <v>Result</v>
      </c>
      <c r="R485" s="104" t="b">
        <f>IF(preDEL!$AG485,IFERROR(0/0,""),preDEL!R485)</f>
        <v>1</v>
      </c>
      <c r="S485" s="104">
        <f>IF(preDEL!$AG485,IFERROR(0/0,""),preDEL!S485)</f>
        <v>1</v>
      </c>
      <c r="T485" s="110">
        <f>IF(preDEL!$AG485,IFERROR(0/0,""),preDEL!T485)</f>
        <v>0</v>
      </c>
      <c r="U485" s="112" t="str">
        <f>IF(preDEL!$AG485,IFERROR(0/0,""),preDEL!U485)</f>
        <v/>
      </c>
      <c r="V485" s="105" t="str">
        <f>IF(preDEL!$AG485,IFERROR(0/0,""),preDEL!V485)</f>
        <v/>
      </c>
      <c r="W485" s="112" t="str">
        <f>IF(preDEL!$AG485,IFERROR(0/0,""),preDEL!W485)</f>
        <v/>
      </c>
      <c r="X485" s="104" t="b">
        <f>IF(preDEL!$AG485,IFERROR(0/0,""),preDEL!X485)</f>
        <v>0</v>
      </c>
      <c r="Y485" s="110" t="b">
        <f>IF(preDEL!$AG485,IFERROR(0/0,""),preDEL!Y485)</f>
        <v>0</v>
      </c>
      <c r="Z485" s="105" t="str">
        <f>IF(preDEL!$AG485,IFERROR(0/0,""),preDEL!Z485)</f>
        <v/>
      </c>
      <c r="AA485" s="110" t="b">
        <f>IF(preDEL!$AG485,IFERROR(0/0,""),preDEL!AA485)</f>
        <v>0</v>
      </c>
      <c r="AB485" s="110" t="b">
        <f>IF(preDEL!$AG485,IFERROR(0/0,""),preDEL!AB485)</f>
        <v>0</v>
      </c>
      <c r="AC485" s="172">
        <f>IF(preDEL!$AG485,IFERROR(0/0,""),preDEL!AC485)</f>
        <v>326</v>
      </c>
      <c r="AD485" s="104" t="b">
        <f>IF(preDEL!$AG485,IFERROR(0/0,""),preDEL!AD485)</f>
        <v>0</v>
      </c>
      <c r="AE485" s="173">
        <f>IF(preDEL!$AG485,IFERROR(0/0,""),preDEL!AE485)</f>
        <v>222.75</v>
      </c>
      <c r="AF485" s="110" t="b">
        <f>IF(preDEL!$AG485,IFERROR(0/0,""),preDEL!AF485)</f>
        <v>0</v>
      </c>
      <c r="AG485" s="110" t="b">
        <f>IF(preDEL!$AG485,IFERROR(0/0,""),preDEL!AG485)</f>
        <v>0</v>
      </c>
      <c r="AH485" s="104" t="str">
        <f>IF(preDEL!$AG485,IFERROR(0/0,""),preDEL!AH485)</f>
        <v/>
      </c>
      <c r="AI485" s="105" t="str">
        <f>IF(preDEL!$AG485,IFERROR(0/0,""),preDEL!AI485)</f>
        <v/>
      </c>
      <c r="AJ485" s="112" t="str">
        <f>IF(preDEL!$AG485,IFERROR(0/0,""),preDEL!AJ485)</f>
        <v/>
      </c>
      <c r="AK485" s="105" t="str">
        <f>IF(preDEL!$AG485,IFERROR(0/0,""),preDEL!AK485)</f>
        <v>Negative</v>
      </c>
      <c r="AL485" s="112" t="str">
        <f>IF(preDEL!$AG485,IFERROR(0/0,""),preDEL!AL485)</f>
        <v/>
      </c>
      <c r="AM485" s="112" t="str">
        <f>IF(preDEL!$AG485,IFERROR(0/0,""),preDEL!AM485)</f>
        <v>SpBEND183210</v>
      </c>
      <c r="AN485" s="112" t="str">
        <f>IF(preDEL!$AG485,IFERROR(0/0,""),preDEL!AN485)</f>
        <v>BEND654549</v>
      </c>
      <c r="AO485" s="112" t="str">
        <f>IF(preDEL!$AG485,IFERROR(0/0,""),preDEL!AO485)</f>
        <v/>
      </c>
      <c r="AP485" s="112" t="str">
        <f>IF(preDEL!$AG485,IFERROR(0/0,""),preDEL!AP485)</f>
        <v/>
      </c>
      <c r="AQ485" s="112" t="str">
        <f>IF(preDEL!$AG485,IFERROR(0/0,""),preDEL!AQ485)</f>
        <v/>
      </c>
      <c r="AR485" s="112" t="str">
        <f>IF(preDEL!$AG485,IFERROR(0/0,""),preDEL!AR485)</f>
        <v/>
      </c>
      <c r="AS485" s="112" t="str">
        <f>IF(preDEL!$AG485,IFERROR(0/0,""),preDEL!AS485)</f>
        <v/>
      </c>
      <c r="AT485" s="112" t="b">
        <f>IF(preDEL!$AG485,IFERROR(0/0,""),preDEL!AT485)</f>
        <v>0</v>
      </c>
      <c r="AU485" s="112" t="str">
        <f>IF(preDEL!$AG485,IFERROR(0/0,""),preDEL!AU485)</f>
        <v/>
      </c>
      <c r="AV485" s="112" t="str">
        <f>IF(preDEL!$AG485,IFERROR(0/0,""),preDEL!AV485)</f>
        <v/>
      </c>
      <c r="AW485" s="112" t="str">
        <f>IF(preDEL!$AG485,IFERROR(0/0,""),preDEL!AW485)</f>
        <v/>
      </c>
      <c r="AX485" s="112" t="str">
        <f>IF(preDEL!$AG485,IFERROR(0/0,""),preDEL!AX485)</f>
        <v/>
      </c>
      <c r="AY485" s="112" t="str">
        <f>IF(preDEL!$AG485,IFERROR(0/0,""),preDEL!AY485)</f>
        <v/>
      </c>
      <c r="AZ485" s="174"/>
      <c r="BA485" s="174"/>
      <c r="BB485" s="174"/>
      <c r="BC485" s="174"/>
      <c r="BD485" s="174"/>
      <c r="BE485" s="174"/>
      <c r="BF485" s="174"/>
      <c r="BG485" s="174"/>
      <c r="BH485" s="174"/>
      <c r="BI485" s="174"/>
      <c r="BJ485" s="174"/>
      <c r="BK485" s="174"/>
      <c r="BL485" s="174"/>
      <c r="BM485" s="174"/>
      <c r="BN485" s="174"/>
      <c r="BO485" s="174"/>
      <c r="BP485" s="174"/>
      <c r="BQ485" s="174"/>
      <c r="BR485" s="174"/>
      <c r="BS485" s="174"/>
      <c r="BT485" s="174"/>
      <c r="BU485" s="174"/>
      <c r="BV485" s="174"/>
      <c r="BW485" s="174"/>
      <c r="BX485" s="174"/>
      <c r="BY485" s="174"/>
      <c r="BZ485" s="174"/>
      <c r="CA485" s="174"/>
      <c r="CB485" s="174"/>
      <c r="CC485" s="174"/>
      <c r="CD485" s="174"/>
    </row>
    <row r="486">
      <c r="A486" s="105" t="str">
        <f>IF(preDEL!$AG486,IFERROR(0/0,""),preDEL!A486)</f>
        <v>FM839</v>
      </c>
      <c r="B486" s="170">
        <f>IF(preDEL!$AG486,IFERROR(0/0,""),preDEL!B486)</f>
        <v>44611</v>
      </c>
      <c r="C486" s="171">
        <f>IF(preDEL!$AG486,IFERROR(0/0,""),preDEL!C486)</f>
        <v>0.3342824074</v>
      </c>
      <c r="D486" s="105" t="str">
        <f>IF(preDEL!$AG486,IFERROR(0/0,""),preDEL!D486)</f>
        <v/>
      </c>
      <c r="E486" s="105" t="str">
        <f>IF(preDEL!$AG486,IFERROR(0/0,""),preDEL!E486)</f>
        <v/>
      </c>
      <c r="F486" s="112" t="str">
        <f>IF(preDEL!$AG486,IFERROR(0/0,""),preDEL!F486)</f>
        <v/>
      </c>
      <c r="G486" s="112" t="str">
        <f>IF(preDEL!$AG486,IFERROR(0/0,""),preDEL!G486)</f>
        <v/>
      </c>
      <c r="H486" s="112" t="str">
        <f>IF(preDEL!$AG486,IFERROR(0/0,""),preDEL!H486)</f>
        <v/>
      </c>
      <c r="I486" s="105" t="str">
        <f>IF(preDEL!$AG486,IFERROR(0/0,""),preDEL!I486)</f>
        <v/>
      </c>
      <c r="J486" s="105" t="str">
        <f>IF(preDEL!$AG486,IFERROR(0/0,""),preDEL!J486)</f>
        <v/>
      </c>
      <c r="K486" s="105" t="str">
        <f>IF(preDEL!$AG486,IFERROR(0/0,""),preDEL!K486)</f>
        <v>Negative</v>
      </c>
      <c r="L486" s="170">
        <f>IF(preDEL!$AG486,IFERROR(0/0,""),preDEL!L486)</f>
        <v>44611</v>
      </c>
      <c r="M486" s="171">
        <f>IF(preDEL!$AG486,IFERROR(0/0,""),preDEL!M486)</f>
        <v>0.4882638889</v>
      </c>
      <c r="N486" s="112" t="str">
        <f>IF(preDEL!$AG486,IFERROR(0/0,""),preDEL!N486)</f>
        <v/>
      </c>
      <c r="O486" s="112" t="str">
        <f>IF(preDEL!$AG486,IFERROR(0/0,""),preDEL!O486)</f>
        <v/>
      </c>
      <c r="P486" s="110" t="b">
        <f>IF(preDEL!$AG486,IFERROR(0/0,""),preDEL!P486)</f>
        <v>0</v>
      </c>
      <c r="Q486" s="110" t="str">
        <f>IF(preDEL!$AG486,IFERROR(0/0,""),preDEL!Q486)</f>
        <v>Result</v>
      </c>
      <c r="R486" s="104" t="b">
        <f>IF(preDEL!$AG486,IFERROR(0/0,""),preDEL!R486)</f>
        <v>1</v>
      </c>
      <c r="S486" s="104">
        <f>IF(preDEL!$AG486,IFERROR(0/0,""),preDEL!S486)</f>
        <v>1</v>
      </c>
      <c r="T486" s="110" t="str">
        <f>IF(preDEL!$AG486,IFERROR(0/0,""),preDEL!T486)</f>
        <v/>
      </c>
      <c r="U486" s="112" t="str">
        <f>IF(preDEL!$AG486,IFERROR(0/0,""),preDEL!U486)</f>
        <v/>
      </c>
      <c r="V486" s="105" t="str">
        <f>IF(preDEL!$AG486,IFERROR(0/0,""),preDEL!V486)</f>
        <v/>
      </c>
      <c r="W486" s="112" t="str">
        <f>IF(preDEL!$AG486,IFERROR(0/0,""),preDEL!W486)</f>
        <v/>
      </c>
      <c r="X486" s="104" t="b">
        <f>IF(preDEL!$AG486,IFERROR(0/0,""),preDEL!X486)</f>
        <v>0</v>
      </c>
      <c r="Y486" s="110" t="b">
        <f>IF(preDEL!$AG486,IFERROR(0/0,""),preDEL!Y486)</f>
        <v>0</v>
      </c>
      <c r="Z486" s="105" t="str">
        <f>IF(preDEL!$AG486,IFERROR(0/0,""),preDEL!Z486)</f>
        <v/>
      </c>
      <c r="AA486" s="110" t="b">
        <f>IF(preDEL!$AG486,IFERROR(0/0,""),preDEL!AA486)</f>
        <v>0</v>
      </c>
      <c r="AB486" s="110" t="b">
        <f>IF(preDEL!$AG486,IFERROR(0/0,""),preDEL!AB486)</f>
        <v>0</v>
      </c>
      <c r="AC486" s="172">
        <f>IF(preDEL!$AG486,IFERROR(0/0,""),preDEL!AC486)</f>
        <v>325</v>
      </c>
      <c r="AD486" s="104" t="b">
        <f>IF(preDEL!$AG486,IFERROR(0/0,""),preDEL!AD486)</f>
        <v>0</v>
      </c>
      <c r="AE486" s="173">
        <f>IF(preDEL!$AG486,IFERROR(0/0,""),preDEL!AE486)</f>
        <v>221.7333333</v>
      </c>
      <c r="AF486" s="110" t="b">
        <f>IF(preDEL!$AG486,IFERROR(0/0,""),preDEL!AF486)</f>
        <v>0</v>
      </c>
      <c r="AG486" s="110" t="b">
        <f>IF(preDEL!$AG486,IFERROR(0/0,""),preDEL!AG486)</f>
        <v>0</v>
      </c>
      <c r="AH486" s="104" t="str">
        <f>IF(preDEL!$AG486,IFERROR(0/0,""),preDEL!AH486)</f>
        <v/>
      </c>
      <c r="AI486" s="105" t="str">
        <f>IF(preDEL!$AG486,IFERROR(0/0,""),preDEL!AI486)</f>
        <v/>
      </c>
      <c r="AJ486" s="112" t="str">
        <f>IF(preDEL!$AG486,IFERROR(0/0,""),preDEL!AJ486)</f>
        <v/>
      </c>
      <c r="AK486" s="105" t="str">
        <f>IF(preDEL!$AG486,IFERROR(0/0,""),preDEL!AK486)</f>
        <v>Negative</v>
      </c>
      <c r="AL486" s="112" t="str">
        <f>IF(preDEL!$AG486,IFERROR(0/0,""),preDEL!AL486)</f>
        <v/>
      </c>
      <c r="AM486" s="112" t="str">
        <f>IF(preDEL!$AG486,IFERROR(0/0,""),preDEL!AM486)</f>
        <v>SpBEND522465</v>
      </c>
      <c r="AN486" s="112" t="str">
        <f>IF(preDEL!$AG486,IFERROR(0/0,""),preDEL!AN486)</f>
        <v>BEND127889</v>
      </c>
      <c r="AO486" s="112" t="str">
        <f>IF(preDEL!$AG486,IFERROR(0/0,""),preDEL!AO486)</f>
        <v/>
      </c>
      <c r="AP486" s="112" t="str">
        <f>IF(preDEL!$AG486,IFERROR(0/0,""),preDEL!AP486)</f>
        <v/>
      </c>
      <c r="AQ486" s="112" t="str">
        <f>IF(preDEL!$AG486,IFERROR(0/0,""),preDEL!AQ486)</f>
        <v/>
      </c>
      <c r="AR486" s="112" t="str">
        <f>IF(preDEL!$AG486,IFERROR(0/0,""),preDEL!AR486)</f>
        <v/>
      </c>
      <c r="AS486" s="112" t="str">
        <f>IF(preDEL!$AG486,IFERROR(0/0,""),preDEL!AS486)</f>
        <v/>
      </c>
      <c r="AT486" s="112" t="b">
        <f>IF(preDEL!$AG486,IFERROR(0/0,""),preDEL!AT486)</f>
        <v>0</v>
      </c>
      <c r="AU486" s="112" t="str">
        <f>IF(preDEL!$AG486,IFERROR(0/0,""),preDEL!AU486)</f>
        <v/>
      </c>
      <c r="AV486" s="112" t="str">
        <f>IF(preDEL!$AG486,IFERROR(0/0,""),preDEL!AV486)</f>
        <v/>
      </c>
      <c r="AW486" s="112" t="str">
        <f>IF(preDEL!$AG486,IFERROR(0/0,""),preDEL!AW486)</f>
        <v/>
      </c>
      <c r="AX486" s="112" t="str">
        <f>IF(preDEL!$AG486,IFERROR(0/0,""),preDEL!AX486)</f>
        <v/>
      </c>
      <c r="AY486" s="112" t="str">
        <f>IF(preDEL!$AG486,IFERROR(0/0,""),preDEL!AY486)</f>
        <v/>
      </c>
      <c r="AZ486" s="174"/>
      <c r="BA486" s="174"/>
      <c r="BB486" s="174"/>
      <c r="BC486" s="174"/>
      <c r="BD486" s="174"/>
      <c r="BE486" s="174"/>
      <c r="BF486" s="174"/>
      <c r="BG486" s="174"/>
      <c r="BH486" s="174"/>
      <c r="BI486" s="174"/>
      <c r="BJ486" s="174"/>
      <c r="BK486" s="174"/>
      <c r="BL486" s="174"/>
      <c r="BM486" s="174"/>
      <c r="BN486" s="174"/>
      <c r="BO486" s="174"/>
      <c r="BP486" s="174"/>
      <c r="BQ486" s="174"/>
      <c r="BR486" s="174"/>
      <c r="BS486" s="174"/>
      <c r="BT486" s="174"/>
      <c r="BU486" s="174"/>
      <c r="BV486" s="174"/>
      <c r="BW486" s="174"/>
      <c r="BX486" s="174"/>
      <c r="BY486" s="174"/>
      <c r="BZ486" s="174"/>
      <c r="CA486" s="174"/>
      <c r="CB486" s="174"/>
      <c r="CC486" s="174"/>
      <c r="CD486" s="174"/>
    </row>
    <row r="487">
      <c r="A487" s="105" t="str">
        <f>IF(preDEL!$AG487,IFERROR(0/0,""),preDEL!A487)</f>
        <v>FM803</v>
      </c>
      <c r="B487" s="170">
        <f>IF(preDEL!$AG487,IFERROR(0/0,""),preDEL!B487)</f>
        <v>44611</v>
      </c>
      <c r="C487" s="171">
        <f>IF(preDEL!$AG487,IFERROR(0/0,""),preDEL!C487)</f>
        <v>0.3347106481</v>
      </c>
      <c r="D487" s="105" t="str">
        <f>IF(preDEL!$AG487,IFERROR(0/0,""),preDEL!D487)</f>
        <v/>
      </c>
      <c r="E487" s="105" t="str">
        <f>IF(preDEL!$AG487,IFERROR(0/0,""),preDEL!E487)</f>
        <v/>
      </c>
      <c r="F487" s="112" t="str">
        <f>IF(preDEL!$AG487,IFERROR(0/0,""),preDEL!F487)</f>
        <v/>
      </c>
      <c r="G487" s="112" t="str">
        <f>IF(preDEL!$AG487,IFERROR(0/0,""),preDEL!G487)</f>
        <v/>
      </c>
      <c r="H487" s="112" t="str">
        <f>IF(preDEL!$AG487,IFERROR(0/0,""),preDEL!H487)</f>
        <v/>
      </c>
      <c r="I487" s="105" t="str">
        <f>IF(preDEL!$AG487,IFERROR(0/0,""),preDEL!I487)</f>
        <v/>
      </c>
      <c r="J487" s="105" t="str">
        <f>IF(preDEL!$AG487,IFERROR(0/0,""),preDEL!J487)</f>
        <v/>
      </c>
      <c r="K487" s="105" t="str">
        <f>IF(preDEL!$AG487,IFERROR(0/0,""),preDEL!K487)</f>
        <v>Negative</v>
      </c>
      <c r="L487" s="170">
        <f>IF(preDEL!$AG487,IFERROR(0/0,""),preDEL!L487)</f>
        <v>44611</v>
      </c>
      <c r="M487" s="171">
        <f>IF(preDEL!$AG487,IFERROR(0/0,""),preDEL!M487)</f>
        <v>0.4882638889</v>
      </c>
      <c r="N487" s="112" t="str">
        <f>IF(preDEL!$AG487,IFERROR(0/0,""),preDEL!N487)</f>
        <v/>
      </c>
      <c r="O487" s="112" t="str">
        <f>IF(preDEL!$AG487,IFERROR(0/0,""),preDEL!O487)</f>
        <v/>
      </c>
      <c r="P487" s="110" t="b">
        <f>IF(preDEL!$AG487,IFERROR(0/0,""),preDEL!P487)</f>
        <v>0</v>
      </c>
      <c r="Q487" s="110" t="str">
        <f>IF(preDEL!$AG487,IFERROR(0/0,""),preDEL!Q487)</f>
        <v>Result</v>
      </c>
      <c r="R487" s="104" t="b">
        <f>IF(preDEL!$AG487,IFERROR(0/0,""),preDEL!R487)</f>
        <v>1</v>
      </c>
      <c r="S487" s="104">
        <f>IF(preDEL!$AG487,IFERROR(0/0,""),preDEL!S487)</f>
        <v>1</v>
      </c>
      <c r="T487" s="110" t="str">
        <f>IF(preDEL!$AG487,IFERROR(0/0,""),preDEL!T487)</f>
        <v/>
      </c>
      <c r="U487" s="112" t="str">
        <f>IF(preDEL!$AG487,IFERROR(0/0,""),preDEL!U487)</f>
        <v/>
      </c>
      <c r="V487" s="105" t="str">
        <f>IF(preDEL!$AG487,IFERROR(0/0,""),preDEL!V487)</f>
        <v/>
      </c>
      <c r="W487" s="112" t="str">
        <f>IF(preDEL!$AG487,IFERROR(0/0,""),preDEL!W487)</f>
        <v/>
      </c>
      <c r="X487" s="104" t="b">
        <f>IF(preDEL!$AG487,IFERROR(0/0,""),preDEL!X487)</f>
        <v>0</v>
      </c>
      <c r="Y487" s="110" t="b">
        <f>IF(preDEL!$AG487,IFERROR(0/0,""),preDEL!Y487)</f>
        <v>0</v>
      </c>
      <c r="Z487" s="105" t="str">
        <f>IF(preDEL!$AG487,IFERROR(0/0,""),preDEL!Z487)</f>
        <v/>
      </c>
      <c r="AA487" s="110" t="b">
        <f>IF(preDEL!$AG487,IFERROR(0/0,""),preDEL!AA487)</f>
        <v>0</v>
      </c>
      <c r="AB487" s="110" t="b">
        <f>IF(preDEL!$AG487,IFERROR(0/0,""),preDEL!AB487)</f>
        <v>0</v>
      </c>
      <c r="AC487" s="172">
        <f>IF(preDEL!$AG487,IFERROR(0/0,""),preDEL!AC487)</f>
        <v>324</v>
      </c>
      <c r="AD487" s="104" t="b">
        <f>IF(preDEL!$AG487,IFERROR(0/0,""),preDEL!AD487)</f>
        <v>0</v>
      </c>
      <c r="AE487" s="173">
        <f>IF(preDEL!$AG487,IFERROR(0/0,""),preDEL!AE487)</f>
        <v>221.1166667</v>
      </c>
      <c r="AF487" s="110" t="b">
        <f>IF(preDEL!$AG487,IFERROR(0/0,""),preDEL!AF487)</f>
        <v>0</v>
      </c>
      <c r="AG487" s="110" t="b">
        <f>IF(preDEL!$AG487,IFERROR(0/0,""),preDEL!AG487)</f>
        <v>0</v>
      </c>
      <c r="AH487" s="104" t="str">
        <f>IF(preDEL!$AG487,IFERROR(0/0,""),preDEL!AH487)</f>
        <v/>
      </c>
      <c r="AI487" s="105" t="str">
        <f>IF(preDEL!$AG487,IFERROR(0/0,""),preDEL!AI487)</f>
        <v/>
      </c>
      <c r="AJ487" s="112" t="str">
        <f>IF(preDEL!$AG487,IFERROR(0/0,""),preDEL!AJ487)</f>
        <v/>
      </c>
      <c r="AK487" s="105" t="str">
        <f>IF(preDEL!$AG487,IFERROR(0/0,""),preDEL!AK487)</f>
        <v>Negative</v>
      </c>
      <c r="AL487" s="112" t="str">
        <f>IF(preDEL!$AG487,IFERROR(0/0,""),preDEL!AL487)</f>
        <v/>
      </c>
      <c r="AM487" s="112" t="str">
        <f>IF(preDEL!$AG487,IFERROR(0/0,""),preDEL!AM487)</f>
        <v>SpBEND522465</v>
      </c>
      <c r="AN487" s="112" t="str">
        <f>IF(preDEL!$AG487,IFERROR(0/0,""),preDEL!AN487)</f>
        <v>BEND147991</v>
      </c>
      <c r="AO487" s="112" t="str">
        <f>IF(preDEL!$AG487,IFERROR(0/0,""),preDEL!AO487)</f>
        <v/>
      </c>
      <c r="AP487" s="112" t="str">
        <f>IF(preDEL!$AG487,IFERROR(0/0,""),preDEL!AP487)</f>
        <v/>
      </c>
      <c r="AQ487" s="112" t="str">
        <f>IF(preDEL!$AG487,IFERROR(0/0,""),preDEL!AQ487)</f>
        <v/>
      </c>
      <c r="AR487" s="112" t="str">
        <f>IF(preDEL!$AG487,IFERROR(0/0,""),preDEL!AR487)</f>
        <v/>
      </c>
      <c r="AS487" s="112" t="str">
        <f>IF(preDEL!$AG487,IFERROR(0/0,""),preDEL!AS487)</f>
        <v/>
      </c>
      <c r="AT487" s="112" t="b">
        <f>IF(preDEL!$AG487,IFERROR(0/0,""),preDEL!AT487)</f>
        <v>0</v>
      </c>
      <c r="AU487" s="112" t="str">
        <f>IF(preDEL!$AG487,IFERROR(0/0,""),preDEL!AU487)</f>
        <v/>
      </c>
      <c r="AV487" s="112" t="str">
        <f>IF(preDEL!$AG487,IFERROR(0/0,""),preDEL!AV487)</f>
        <v/>
      </c>
      <c r="AW487" s="112" t="str">
        <f>IF(preDEL!$AG487,IFERROR(0/0,""),preDEL!AW487)</f>
        <v/>
      </c>
      <c r="AX487" s="112" t="str">
        <f>IF(preDEL!$AG487,IFERROR(0/0,""),preDEL!AX487)</f>
        <v/>
      </c>
      <c r="AY487" s="112" t="str">
        <f>IF(preDEL!$AG487,IFERROR(0/0,""),preDEL!AY487)</f>
        <v/>
      </c>
      <c r="AZ487" s="174"/>
      <c r="BA487" s="174"/>
      <c r="BB487" s="174"/>
      <c r="BC487" s="174"/>
      <c r="BD487" s="174"/>
      <c r="BE487" s="174"/>
      <c r="BF487" s="174"/>
      <c r="BG487" s="174"/>
      <c r="BH487" s="174"/>
      <c r="BI487" s="174"/>
      <c r="BJ487" s="174"/>
      <c r="BK487" s="174"/>
      <c r="BL487" s="174"/>
      <c r="BM487" s="174"/>
      <c r="BN487" s="174"/>
      <c r="BO487" s="174"/>
      <c r="BP487" s="174"/>
      <c r="BQ487" s="174"/>
      <c r="BR487" s="174"/>
      <c r="BS487" s="174"/>
      <c r="BT487" s="174"/>
      <c r="BU487" s="174"/>
      <c r="BV487" s="174"/>
      <c r="BW487" s="174"/>
      <c r="BX487" s="174"/>
      <c r="BY487" s="174"/>
      <c r="BZ487" s="174"/>
      <c r="CA487" s="174"/>
      <c r="CB487" s="174"/>
      <c r="CC487" s="174"/>
      <c r="CD487" s="174"/>
    </row>
    <row r="488">
      <c r="A488" s="105" t="str">
        <f>IF(preDEL!$AG488,IFERROR(0/0,""),preDEL!A488)</f>
        <v>MA608</v>
      </c>
      <c r="B488" s="170">
        <f>IF(preDEL!$AG488,IFERROR(0/0,""),preDEL!B488)</f>
        <v>44611</v>
      </c>
      <c r="C488" s="171">
        <f>IF(preDEL!$AG488,IFERROR(0/0,""),preDEL!C488)</f>
        <v>0.3349537037</v>
      </c>
      <c r="D488" s="105" t="str">
        <f>IF(preDEL!$AG488,IFERROR(0/0,""),preDEL!D488)</f>
        <v/>
      </c>
      <c r="E488" s="105" t="str">
        <f>IF(preDEL!$AG488,IFERROR(0/0,""),preDEL!E488)</f>
        <v/>
      </c>
      <c r="F488" s="112" t="str">
        <f>IF(preDEL!$AG488,IFERROR(0/0,""),preDEL!F488)</f>
        <v/>
      </c>
      <c r="G488" s="112" t="str">
        <f>IF(preDEL!$AG488,IFERROR(0/0,""),preDEL!G488)</f>
        <v/>
      </c>
      <c r="H488" s="112" t="str">
        <f>IF(preDEL!$AG488,IFERROR(0/0,""),preDEL!H488)</f>
        <v/>
      </c>
      <c r="I488" s="105" t="str">
        <f>IF(preDEL!$AG488,IFERROR(0/0,""),preDEL!I488)</f>
        <v/>
      </c>
      <c r="J488" s="105" t="str">
        <f>IF(preDEL!$AG488,IFERROR(0/0,""),preDEL!J488)</f>
        <v/>
      </c>
      <c r="K488" s="105" t="str">
        <f>IF(preDEL!$AG488,IFERROR(0/0,""),preDEL!K488)</f>
        <v>Negative</v>
      </c>
      <c r="L488" s="170">
        <f>IF(preDEL!$AG488,IFERROR(0/0,""),preDEL!L488)</f>
        <v>44611</v>
      </c>
      <c r="M488" s="171">
        <f>IF(preDEL!$AG488,IFERROR(0/0,""),preDEL!M488)</f>
        <v>0.5041203704</v>
      </c>
      <c r="N488" s="112" t="str">
        <f>IF(preDEL!$AG488,IFERROR(0/0,""),preDEL!N488)</f>
        <v/>
      </c>
      <c r="O488" s="112" t="str">
        <f>IF(preDEL!$AG488,IFERROR(0/0,""),preDEL!O488)</f>
        <v/>
      </c>
      <c r="P488" s="110" t="b">
        <f>IF(preDEL!$AG488,IFERROR(0/0,""),preDEL!P488)</f>
        <v>0</v>
      </c>
      <c r="Q488" s="110" t="str">
        <f>IF(preDEL!$AG488,IFERROR(0/0,""),preDEL!Q488)</f>
        <v>Result</v>
      </c>
      <c r="R488" s="104" t="b">
        <f>IF(preDEL!$AG488,IFERROR(0/0,""),preDEL!R488)</f>
        <v>1</v>
      </c>
      <c r="S488" s="104">
        <f>IF(preDEL!$AG488,IFERROR(0/0,""),preDEL!S488)</f>
        <v>1</v>
      </c>
      <c r="T488" s="110">
        <f>IF(preDEL!$AG488,IFERROR(0/0,""),preDEL!T488)</f>
        <v>0</v>
      </c>
      <c r="U488" s="112" t="str">
        <f>IF(preDEL!$AG488,IFERROR(0/0,""),preDEL!U488)</f>
        <v/>
      </c>
      <c r="V488" s="105" t="str">
        <f>IF(preDEL!$AG488,IFERROR(0/0,""),preDEL!V488)</f>
        <v/>
      </c>
      <c r="W488" s="112" t="str">
        <f>IF(preDEL!$AG488,IFERROR(0/0,""),preDEL!W488)</f>
        <v/>
      </c>
      <c r="X488" s="104" t="b">
        <f>IF(preDEL!$AG488,IFERROR(0/0,""),preDEL!X488)</f>
        <v>0</v>
      </c>
      <c r="Y488" s="110" t="b">
        <f>IF(preDEL!$AG488,IFERROR(0/0,""),preDEL!Y488)</f>
        <v>0</v>
      </c>
      <c r="Z488" s="105" t="str">
        <f>IF(preDEL!$AG488,IFERROR(0/0,""),preDEL!Z488)</f>
        <v/>
      </c>
      <c r="AA488" s="110" t="b">
        <f>IF(preDEL!$AG488,IFERROR(0/0,""),preDEL!AA488)</f>
        <v>0</v>
      </c>
      <c r="AB488" s="110" t="b">
        <f>IF(preDEL!$AG488,IFERROR(0/0,""),preDEL!AB488)</f>
        <v>0</v>
      </c>
      <c r="AC488" s="172">
        <f>IF(preDEL!$AG488,IFERROR(0/0,""),preDEL!AC488)</f>
        <v>323</v>
      </c>
      <c r="AD488" s="104" t="b">
        <f>IF(preDEL!$AG488,IFERROR(0/0,""),preDEL!AD488)</f>
        <v>0</v>
      </c>
      <c r="AE488" s="173">
        <f>IF(preDEL!$AG488,IFERROR(0/0,""),preDEL!AE488)</f>
        <v>243.6</v>
      </c>
      <c r="AF488" s="110" t="b">
        <f>IF(preDEL!$AG488,IFERROR(0/0,""),preDEL!AF488)</f>
        <v>0</v>
      </c>
      <c r="AG488" s="110" t="b">
        <f>IF(preDEL!$AG488,IFERROR(0/0,""),preDEL!AG488)</f>
        <v>0</v>
      </c>
      <c r="AH488" s="104" t="str">
        <f>IF(preDEL!$AG488,IFERROR(0/0,""),preDEL!AH488)</f>
        <v/>
      </c>
      <c r="AI488" s="105" t="str">
        <f>IF(preDEL!$AG488,IFERROR(0/0,""),preDEL!AI488)</f>
        <v/>
      </c>
      <c r="AJ488" s="112" t="str">
        <f>IF(preDEL!$AG488,IFERROR(0/0,""),preDEL!AJ488)</f>
        <v/>
      </c>
      <c r="AK488" s="105" t="str">
        <f>IF(preDEL!$AG488,IFERROR(0/0,""),preDEL!AK488)</f>
        <v>Negative</v>
      </c>
      <c r="AL488" s="112" t="str">
        <f>IF(preDEL!$AG488,IFERROR(0/0,""),preDEL!AL488)</f>
        <v/>
      </c>
      <c r="AM488" s="112" t="str">
        <f>IF(preDEL!$AG488,IFERROR(0/0,""),preDEL!AM488)</f>
        <v>SpBEND183210</v>
      </c>
      <c r="AN488" s="112" t="str">
        <f>IF(preDEL!$AG488,IFERROR(0/0,""),preDEL!AN488)</f>
        <v>BEND245390</v>
      </c>
      <c r="AO488" s="112" t="str">
        <f>IF(preDEL!$AG488,IFERROR(0/0,""),preDEL!AO488)</f>
        <v/>
      </c>
      <c r="AP488" s="112" t="str">
        <f>IF(preDEL!$AG488,IFERROR(0/0,""),preDEL!AP488)</f>
        <v/>
      </c>
      <c r="AQ488" s="112" t="str">
        <f>IF(preDEL!$AG488,IFERROR(0/0,""),preDEL!AQ488)</f>
        <v/>
      </c>
      <c r="AR488" s="112" t="str">
        <f>IF(preDEL!$AG488,IFERROR(0/0,""),preDEL!AR488)</f>
        <v/>
      </c>
      <c r="AS488" s="112" t="str">
        <f>IF(preDEL!$AG488,IFERROR(0/0,""),preDEL!AS488)</f>
        <v/>
      </c>
      <c r="AT488" s="112" t="b">
        <f>IF(preDEL!$AG488,IFERROR(0/0,""),preDEL!AT488)</f>
        <v>0</v>
      </c>
      <c r="AU488" s="112" t="str">
        <f>IF(preDEL!$AG488,IFERROR(0/0,""),preDEL!AU488)</f>
        <v/>
      </c>
      <c r="AV488" s="112" t="str">
        <f>IF(preDEL!$AG488,IFERROR(0/0,""),preDEL!AV488)</f>
        <v/>
      </c>
      <c r="AW488" s="112" t="str">
        <f>IF(preDEL!$AG488,IFERROR(0/0,""),preDEL!AW488)</f>
        <v/>
      </c>
      <c r="AX488" s="112" t="str">
        <f>IF(preDEL!$AG488,IFERROR(0/0,""),preDEL!AX488)</f>
        <v/>
      </c>
      <c r="AY488" s="112" t="str">
        <f>IF(preDEL!$AG488,IFERROR(0/0,""),preDEL!AY488)</f>
        <v/>
      </c>
      <c r="AZ488" s="174"/>
      <c r="BA488" s="174"/>
      <c r="BB488" s="174"/>
      <c r="BC488" s="174"/>
      <c r="BD488" s="174"/>
      <c r="BE488" s="174"/>
      <c r="BF488" s="174"/>
      <c r="BG488" s="174"/>
      <c r="BH488" s="174"/>
      <c r="BI488" s="174"/>
      <c r="BJ488" s="174"/>
      <c r="BK488" s="174"/>
      <c r="BL488" s="174"/>
      <c r="BM488" s="174"/>
      <c r="BN488" s="174"/>
      <c r="BO488" s="174"/>
      <c r="BP488" s="174"/>
      <c r="BQ488" s="174"/>
      <c r="BR488" s="174"/>
      <c r="BS488" s="174"/>
      <c r="BT488" s="174"/>
      <c r="BU488" s="174"/>
      <c r="BV488" s="174"/>
      <c r="BW488" s="174"/>
      <c r="BX488" s="174"/>
      <c r="BY488" s="174"/>
      <c r="BZ488" s="174"/>
      <c r="CA488" s="174"/>
      <c r="CB488" s="174"/>
      <c r="CC488" s="174"/>
      <c r="CD488" s="174"/>
    </row>
    <row r="489">
      <c r="A489" s="105" t="str">
        <f>IF(preDEL!$AG489,IFERROR(0/0,""),preDEL!A489)</f>
        <v>FM35</v>
      </c>
      <c r="B489" s="170">
        <f>IF(preDEL!$AG489,IFERROR(0/0,""),preDEL!B489)</f>
        <v>44611</v>
      </c>
      <c r="C489" s="171">
        <f>IF(preDEL!$AG489,IFERROR(0/0,""),preDEL!C489)</f>
        <v>0.3452893519</v>
      </c>
      <c r="D489" s="105" t="str">
        <f>IF(preDEL!$AG489,IFERROR(0/0,""),preDEL!D489)</f>
        <v/>
      </c>
      <c r="E489" s="105" t="str">
        <f>IF(preDEL!$AG489,IFERROR(0/0,""),preDEL!E489)</f>
        <v/>
      </c>
      <c r="F489" s="112" t="str">
        <f>IF(preDEL!$AG489,IFERROR(0/0,""),preDEL!F489)</f>
        <v/>
      </c>
      <c r="G489" s="112" t="str">
        <f>IF(preDEL!$AG489,IFERROR(0/0,""),preDEL!G489)</f>
        <v/>
      </c>
      <c r="H489" s="112" t="str">
        <f>IF(preDEL!$AG489,IFERROR(0/0,""),preDEL!H489)</f>
        <v/>
      </c>
      <c r="I489" s="175" t="str">
        <f>IF(preDEL!$AG489,IFERROR(0/0,""),preDEL!I489)</f>
        <v/>
      </c>
      <c r="J489" s="105" t="str">
        <f>IF(preDEL!$AG489,IFERROR(0/0,""),preDEL!J489)</f>
        <v/>
      </c>
      <c r="K489" s="105" t="str">
        <f>IF(preDEL!$AG489,IFERROR(0/0,""),preDEL!K489)</f>
        <v>Negative</v>
      </c>
      <c r="L489" s="170">
        <f>IF(preDEL!$AG489,IFERROR(0/0,""),preDEL!L489)</f>
        <v>44611</v>
      </c>
      <c r="M489" s="171">
        <f>IF(preDEL!$AG489,IFERROR(0/0,""),preDEL!M489)</f>
        <v>0.4882638889</v>
      </c>
      <c r="N489" s="112" t="str">
        <f>IF(preDEL!$AG489,IFERROR(0/0,""),preDEL!N489)</f>
        <v>Primary</v>
      </c>
      <c r="O489" s="112" t="str">
        <f>IF(preDEL!$AG489,IFERROR(0/0,""),preDEL!O489)</f>
        <v/>
      </c>
      <c r="P489" s="110" t="b">
        <f>IF(preDEL!$AG489,IFERROR(0/0,""),preDEL!P489)</f>
        <v>0</v>
      </c>
      <c r="Q489" s="110" t="str">
        <f>IF(preDEL!$AG489,IFERROR(0/0,""),preDEL!Q489)</f>
        <v>Result</v>
      </c>
      <c r="R489" s="104" t="b">
        <f>IF(preDEL!$AG489,IFERROR(0/0,""),preDEL!R489)</f>
        <v>1</v>
      </c>
      <c r="S489" s="104">
        <f>IF(preDEL!$AG489,IFERROR(0/0,""),preDEL!S489)</f>
        <v>1</v>
      </c>
      <c r="T489" s="110">
        <f>IF(preDEL!$AG489,IFERROR(0/0,""),preDEL!T489)</f>
        <v>0</v>
      </c>
      <c r="U489" s="112" t="str">
        <f>IF(preDEL!$AG489,IFERROR(0/0,""),preDEL!U489)</f>
        <v/>
      </c>
      <c r="V489" s="105" t="str">
        <f>IF(preDEL!$AG489,IFERROR(0/0,""),preDEL!V489)</f>
        <v/>
      </c>
      <c r="W489" s="112" t="str">
        <f>IF(preDEL!$AG489,IFERROR(0/0,""),preDEL!W489)</f>
        <v/>
      </c>
      <c r="X489" s="104" t="b">
        <f>IF(preDEL!$AG489,IFERROR(0/0,""),preDEL!X489)</f>
        <v>0</v>
      </c>
      <c r="Y489" s="110" t="b">
        <f>IF(preDEL!$AG489,IFERROR(0/0,""),preDEL!Y489)</f>
        <v>0</v>
      </c>
      <c r="Z489" s="105" t="str">
        <f>IF(preDEL!$AG489,IFERROR(0/0,""),preDEL!Z489)</f>
        <v/>
      </c>
      <c r="AA489" s="110" t="b">
        <f>IF(preDEL!$AG489,IFERROR(0/0,""),preDEL!AA489)</f>
        <v>0</v>
      </c>
      <c r="AB489" s="110" t="b">
        <f>IF(preDEL!$AG489,IFERROR(0/0,""),preDEL!AB489)</f>
        <v>0</v>
      </c>
      <c r="AC489" s="172">
        <f>IF(preDEL!$AG489,IFERROR(0/0,""),preDEL!AC489)</f>
        <v>790</v>
      </c>
      <c r="AD489" s="104" t="b">
        <f>IF(preDEL!$AG489,IFERROR(0/0,""),preDEL!AD489)</f>
        <v>1</v>
      </c>
      <c r="AE489" s="173">
        <f>IF(preDEL!$AG489,IFERROR(0/0,""),preDEL!AE489)</f>
        <v>205.8833333</v>
      </c>
      <c r="AF489" s="110" t="b">
        <f>IF(preDEL!$AG489,IFERROR(0/0,""),preDEL!AF489)</f>
        <v>0</v>
      </c>
      <c r="AG489" s="110" t="b">
        <f>IF(preDEL!$AG489,IFERROR(0/0,""),preDEL!AG489)</f>
        <v>0</v>
      </c>
      <c r="AH489" s="104" t="str">
        <f>IF(preDEL!$AG489,IFERROR(0/0,""),preDEL!AH489)</f>
        <v/>
      </c>
      <c r="AI489" s="105" t="str">
        <f>IF(preDEL!$AG489,IFERROR(0/0,""),preDEL!AI489)</f>
        <v/>
      </c>
      <c r="AJ489" s="112" t="str">
        <f>IF(preDEL!$AG489,IFERROR(0/0,""),preDEL!AJ489)</f>
        <v/>
      </c>
      <c r="AK489" s="105" t="str">
        <f>IF(preDEL!$AG489,IFERROR(0/0,""),preDEL!AK489)</f>
        <v>Negative</v>
      </c>
      <c r="AL489" s="112" t="str">
        <f>IF(preDEL!$AG489,IFERROR(0/0,""),preDEL!AL489)</f>
        <v/>
      </c>
      <c r="AM489" s="112" t="str">
        <f>IF(preDEL!$AG489,IFERROR(0/0,""),preDEL!AM489)</f>
        <v>SpBEND136234</v>
      </c>
      <c r="AN489" s="112" t="str">
        <f>IF(preDEL!$AG489,IFERROR(0/0,""),preDEL!AN489)</f>
        <v>BEND350468</v>
      </c>
      <c r="AO489" s="112" t="str">
        <f>IF(preDEL!$AG489,IFERROR(0/0,""),preDEL!AO489)</f>
        <v/>
      </c>
      <c r="AP489" s="112" t="str">
        <f>IF(preDEL!$AG489,IFERROR(0/0,""),preDEL!AP489)</f>
        <v/>
      </c>
      <c r="AQ489" s="112" t="str">
        <f>IF(preDEL!$AG489,IFERROR(0/0,""),preDEL!AQ489)</f>
        <v/>
      </c>
      <c r="AR489" s="112" t="str">
        <f>IF(preDEL!$AG489,IFERROR(0/0,""),preDEL!AR489)</f>
        <v/>
      </c>
      <c r="AS489" s="112" t="str">
        <f>IF(preDEL!$AG489,IFERROR(0/0,""),preDEL!AS489)</f>
        <v/>
      </c>
      <c r="AT489" s="112" t="b">
        <f>IF(preDEL!$AG489,IFERROR(0/0,""),preDEL!AT489)</f>
        <v>0</v>
      </c>
      <c r="AU489" s="112" t="str">
        <f>IF(preDEL!$AG489,IFERROR(0/0,""),preDEL!AU489)</f>
        <v/>
      </c>
      <c r="AV489" s="112" t="str">
        <f>IF(preDEL!$AG489,IFERROR(0/0,""),preDEL!AV489)</f>
        <v/>
      </c>
      <c r="AW489" s="112" t="str">
        <f>IF(preDEL!$AG489,IFERROR(0/0,""),preDEL!AW489)</f>
        <v/>
      </c>
      <c r="AX489" s="112" t="str">
        <f>IF(preDEL!$AG489,IFERROR(0/0,""),preDEL!AX489)</f>
        <v/>
      </c>
      <c r="AY489" s="112" t="str">
        <f>IF(preDEL!$AG489,IFERROR(0/0,""),preDEL!AY489)</f>
        <v/>
      </c>
      <c r="AZ489" s="174"/>
      <c r="BA489" s="174"/>
      <c r="BB489" s="174"/>
      <c r="BC489" s="174"/>
      <c r="BD489" s="174"/>
      <c r="BE489" s="174"/>
      <c r="BF489" s="174"/>
      <c r="BG489" s="174"/>
      <c r="BH489" s="174"/>
      <c r="BI489" s="174"/>
      <c r="BJ489" s="174"/>
      <c r="BK489" s="174"/>
      <c r="BL489" s="174"/>
      <c r="BM489" s="174"/>
      <c r="BN489" s="174"/>
      <c r="BO489" s="174"/>
      <c r="BP489" s="174"/>
      <c r="BQ489" s="174"/>
      <c r="BR489" s="174"/>
      <c r="BS489" s="174"/>
      <c r="BT489" s="174"/>
      <c r="BU489" s="174"/>
      <c r="BV489" s="174"/>
      <c r="BW489" s="174"/>
      <c r="BX489" s="174"/>
      <c r="BY489" s="174"/>
      <c r="BZ489" s="174"/>
      <c r="CA489" s="174"/>
      <c r="CB489" s="174"/>
      <c r="CC489" s="174"/>
      <c r="CD489" s="174"/>
    </row>
    <row r="490">
      <c r="A490" s="105" t="str">
        <f>IF(preDEL!$AG490,IFERROR(0/0,""),preDEL!A490)</f>
        <v>FM38</v>
      </c>
      <c r="B490" s="170">
        <f>IF(preDEL!$AG490,IFERROR(0/0,""),preDEL!B490)</f>
        <v>44611</v>
      </c>
      <c r="C490" s="171">
        <f>IF(preDEL!$AG490,IFERROR(0/0,""),preDEL!C490)</f>
        <v>0.3456018519</v>
      </c>
      <c r="D490" s="105" t="str">
        <f>IF(preDEL!$AG490,IFERROR(0/0,""),preDEL!D490)</f>
        <v/>
      </c>
      <c r="E490" s="105" t="str">
        <f>IF(preDEL!$AG490,IFERROR(0/0,""),preDEL!E490)</f>
        <v/>
      </c>
      <c r="F490" s="112" t="str">
        <f>IF(preDEL!$AG490,IFERROR(0/0,""),preDEL!F490)</f>
        <v/>
      </c>
      <c r="G490" s="112" t="str">
        <f>IF(preDEL!$AG490,IFERROR(0/0,""),preDEL!G490)</f>
        <v/>
      </c>
      <c r="H490" s="112" t="str">
        <f>IF(preDEL!$AG490,IFERROR(0/0,""),preDEL!H490)</f>
        <v/>
      </c>
      <c r="I490" s="105" t="str">
        <f>IF(preDEL!$AG490,IFERROR(0/0,""),preDEL!I490)</f>
        <v/>
      </c>
      <c r="J490" s="105" t="str">
        <f>IF(preDEL!$AG490,IFERROR(0/0,""),preDEL!J490)</f>
        <v/>
      </c>
      <c r="K490" s="105" t="str">
        <f>IF(preDEL!$AG490,IFERROR(0/0,""),preDEL!K490)</f>
        <v>Negative</v>
      </c>
      <c r="L490" s="170">
        <f>IF(preDEL!$AG490,IFERROR(0/0,""),preDEL!L490)</f>
        <v>44611</v>
      </c>
      <c r="M490" s="171">
        <f>IF(preDEL!$AG490,IFERROR(0/0,""),preDEL!M490)</f>
        <v>0.4882638889</v>
      </c>
      <c r="N490" s="112" t="str">
        <f>IF(preDEL!$AG490,IFERROR(0/0,""),preDEL!N490)</f>
        <v/>
      </c>
      <c r="O490" s="112" t="str">
        <f>IF(preDEL!$AG490,IFERROR(0/0,""),preDEL!O490)</f>
        <v/>
      </c>
      <c r="P490" s="110" t="b">
        <f>IF(preDEL!$AG490,IFERROR(0/0,""),preDEL!P490)</f>
        <v>0</v>
      </c>
      <c r="Q490" s="110" t="str">
        <f>IF(preDEL!$AG490,IFERROR(0/0,""),preDEL!Q490)</f>
        <v>Result</v>
      </c>
      <c r="R490" s="104" t="b">
        <f>IF(preDEL!$AG490,IFERROR(0/0,""),preDEL!R490)</f>
        <v>1</v>
      </c>
      <c r="S490" s="104">
        <f>IF(preDEL!$AG490,IFERROR(0/0,""),preDEL!S490)</f>
        <v>1</v>
      </c>
      <c r="T490" s="110" t="str">
        <f>IF(preDEL!$AG490,IFERROR(0/0,""),preDEL!T490)</f>
        <v/>
      </c>
      <c r="U490" s="112" t="str">
        <f>IF(preDEL!$AG490,IFERROR(0/0,""),preDEL!U490)</f>
        <v/>
      </c>
      <c r="V490" s="105" t="str">
        <f>IF(preDEL!$AG490,IFERROR(0/0,""),preDEL!V490)</f>
        <v/>
      </c>
      <c r="W490" s="112" t="str">
        <f>IF(preDEL!$AG490,IFERROR(0/0,""),preDEL!W490)</f>
        <v/>
      </c>
      <c r="X490" s="104" t="b">
        <f>IF(preDEL!$AG490,IFERROR(0/0,""),preDEL!X490)</f>
        <v>0</v>
      </c>
      <c r="Y490" s="110" t="b">
        <f>IF(preDEL!$AG490,IFERROR(0/0,""),preDEL!Y490)</f>
        <v>0</v>
      </c>
      <c r="Z490" s="105" t="str">
        <f>IF(preDEL!$AG490,IFERROR(0/0,""),preDEL!Z490)</f>
        <v/>
      </c>
      <c r="AA490" s="110" t="b">
        <f>IF(preDEL!$AG490,IFERROR(0/0,""),preDEL!AA490)</f>
        <v>0</v>
      </c>
      <c r="AB490" s="110" t="b">
        <f>IF(preDEL!$AG490,IFERROR(0/0,""),preDEL!AB490)</f>
        <v>0</v>
      </c>
      <c r="AC490" s="172">
        <f>IF(preDEL!$AG490,IFERROR(0/0,""),preDEL!AC490)</f>
        <v>322</v>
      </c>
      <c r="AD490" s="104" t="b">
        <f>IF(preDEL!$AG490,IFERROR(0/0,""),preDEL!AD490)</f>
        <v>0</v>
      </c>
      <c r="AE490" s="173">
        <f>IF(preDEL!$AG490,IFERROR(0/0,""),preDEL!AE490)</f>
        <v>205.4333333</v>
      </c>
      <c r="AF490" s="110" t="b">
        <f>IF(preDEL!$AG490,IFERROR(0/0,""),preDEL!AF490)</f>
        <v>0</v>
      </c>
      <c r="AG490" s="110" t="b">
        <f>IF(preDEL!$AG490,IFERROR(0/0,""),preDEL!AG490)</f>
        <v>0</v>
      </c>
      <c r="AH490" s="104" t="str">
        <f>IF(preDEL!$AG490,IFERROR(0/0,""),preDEL!AH490)</f>
        <v/>
      </c>
      <c r="AI490" s="105" t="str">
        <f>IF(preDEL!$AG490,IFERROR(0/0,""),preDEL!AI490)</f>
        <v/>
      </c>
      <c r="AJ490" s="112" t="str">
        <f>IF(preDEL!$AG490,IFERROR(0/0,""),preDEL!AJ490)</f>
        <v/>
      </c>
      <c r="AK490" s="105" t="str">
        <f>IF(preDEL!$AG490,IFERROR(0/0,""),preDEL!AK490)</f>
        <v>Negative</v>
      </c>
      <c r="AL490" s="112" t="str">
        <f>IF(preDEL!$AG490,IFERROR(0/0,""),preDEL!AL490)</f>
        <v/>
      </c>
      <c r="AM490" s="112" t="str">
        <f>IF(preDEL!$AG490,IFERROR(0/0,""),preDEL!AM490)</f>
        <v>SpBEND524085</v>
      </c>
      <c r="AN490" s="112" t="str">
        <f>IF(preDEL!$AG490,IFERROR(0/0,""),preDEL!AN490)</f>
        <v>BEND249479</v>
      </c>
      <c r="AO490" s="112" t="str">
        <f>IF(preDEL!$AG490,IFERROR(0/0,""),preDEL!AO490)</f>
        <v/>
      </c>
      <c r="AP490" s="112" t="str">
        <f>IF(preDEL!$AG490,IFERROR(0/0,""),preDEL!AP490)</f>
        <v/>
      </c>
      <c r="AQ490" s="112" t="str">
        <f>IF(preDEL!$AG490,IFERROR(0/0,""),preDEL!AQ490)</f>
        <v/>
      </c>
      <c r="AR490" s="112" t="str">
        <f>IF(preDEL!$AG490,IFERROR(0/0,""),preDEL!AR490)</f>
        <v/>
      </c>
      <c r="AS490" s="112" t="str">
        <f>IF(preDEL!$AG490,IFERROR(0/0,""),preDEL!AS490)</f>
        <v/>
      </c>
      <c r="AT490" s="112" t="b">
        <f>IF(preDEL!$AG490,IFERROR(0/0,""),preDEL!AT490)</f>
        <v>0</v>
      </c>
      <c r="AU490" s="112" t="str">
        <f>IF(preDEL!$AG490,IFERROR(0/0,""),preDEL!AU490)</f>
        <v/>
      </c>
      <c r="AV490" s="112" t="str">
        <f>IF(preDEL!$AG490,IFERROR(0/0,""),preDEL!AV490)</f>
        <v/>
      </c>
      <c r="AW490" s="112" t="str">
        <f>IF(preDEL!$AG490,IFERROR(0/0,""),preDEL!AW490)</f>
        <v/>
      </c>
      <c r="AX490" s="112" t="str">
        <f>IF(preDEL!$AG490,IFERROR(0/0,""),preDEL!AX490)</f>
        <v/>
      </c>
      <c r="AY490" s="112" t="str">
        <f>IF(preDEL!$AG490,IFERROR(0/0,""),preDEL!AY490)</f>
        <v/>
      </c>
      <c r="AZ490" s="174"/>
      <c r="BA490" s="174"/>
      <c r="BB490" s="174"/>
      <c r="BC490" s="174"/>
      <c r="BD490" s="174"/>
      <c r="BE490" s="174"/>
      <c r="BF490" s="174"/>
      <c r="BG490" s="174"/>
      <c r="BH490" s="174"/>
      <c r="BI490" s="174"/>
      <c r="BJ490" s="174"/>
      <c r="BK490" s="174"/>
      <c r="BL490" s="174"/>
      <c r="BM490" s="174"/>
      <c r="BN490" s="174"/>
      <c r="BO490" s="174"/>
      <c r="BP490" s="174"/>
      <c r="BQ490" s="174"/>
      <c r="BR490" s="174"/>
      <c r="BS490" s="174"/>
      <c r="BT490" s="174"/>
      <c r="BU490" s="174"/>
      <c r="BV490" s="174"/>
      <c r="BW490" s="174"/>
      <c r="BX490" s="174"/>
      <c r="BY490" s="174"/>
      <c r="BZ490" s="174"/>
      <c r="CA490" s="174"/>
      <c r="CB490" s="174"/>
      <c r="CC490" s="174"/>
      <c r="CD490" s="174"/>
    </row>
    <row r="491">
      <c r="A491" s="105" t="str">
        <f>IF(preDEL!$AG491,IFERROR(0/0,""),preDEL!A491)</f>
        <v>MA229</v>
      </c>
      <c r="B491" s="170">
        <f>IF(preDEL!$AG491,IFERROR(0/0,""),preDEL!B491)</f>
        <v>44611</v>
      </c>
      <c r="C491" s="171">
        <f>IF(preDEL!$AG491,IFERROR(0/0,""),preDEL!C491)</f>
        <v>0.4735300926</v>
      </c>
      <c r="D491" s="105" t="str">
        <f>IF(preDEL!$AG491,IFERROR(0/0,""),preDEL!D491)</f>
        <v/>
      </c>
      <c r="E491" s="105" t="str">
        <f>IF(preDEL!$AG491,IFERROR(0/0,""),preDEL!E491)</f>
        <v/>
      </c>
      <c r="F491" s="112" t="str">
        <f>IF(preDEL!$AG491,IFERROR(0/0,""),preDEL!F491)</f>
        <v/>
      </c>
      <c r="G491" s="112" t="str">
        <f>IF(preDEL!$AG491,IFERROR(0/0,""),preDEL!G491)</f>
        <v/>
      </c>
      <c r="H491" s="112" t="str">
        <f>IF(preDEL!$AG491,IFERROR(0/0,""),preDEL!H491)</f>
        <v/>
      </c>
      <c r="I491" s="105" t="str">
        <f>IF(preDEL!$AG491,IFERROR(0/0,""),preDEL!I491)</f>
        <v/>
      </c>
      <c r="J491" s="105" t="str">
        <f>IF(preDEL!$AG491,IFERROR(0/0,""),preDEL!J491)</f>
        <v/>
      </c>
      <c r="K491" s="105" t="str">
        <f>IF(preDEL!$AG491,IFERROR(0/0,""),preDEL!K491)</f>
        <v>Negative</v>
      </c>
      <c r="L491" s="170">
        <f>IF(preDEL!$AG491,IFERROR(0/0,""),preDEL!L491)</f>
        <v>44611</v>
      </c>
      <c r="M491" s="171">
        <f>IF(preDEL!$AG491,IFERROR(0/0,""),preDEL!M491)</f>
        <v>0.4882638889</v>
      </c>
      <c r="N491" s="112" t="str">
        <f>IF(preDEL!$AG491,IFERROR(0/0,""),preDEL!N491)</f>
        <v/>
      </c>
      <c r="O491" s="112" t="str">
        <f>IF(preDEL!$AG491,IFERROR(0/0,""),preDEL!O491)</f>
        <v/>
      </c>
      <c r="P491" s="110" t="b">
        <f>IF(preDEL!$AG491,IFERROR(0/0,""),preDEL!P491)</f>
        <v>0</v>
      </c>
      <c r="Q491" s="110" t="str">
        <f>IF(preDEL!$AG491,IFERROR(0/0,""),preDEL!Q491)</f>
        <v>Result</v>
      </c>
      <c r="R491" s="104" t="b">
        <f>IF(preDEL!$AG491,IFERROR(0/0,""),preDEL!R491)</f>
        <v>1</v>
      </c>
      <c r="S491" s="104">
        <f>IF(preDEL!$AG491,IFERROR(0/0,""),preDEL!S491)</f>
        <v>1</v>
      </c>
      <c r="T491" s="110" t="str">
        <f>IF(preDEL!$AG491,IFERROR(0/0,""),preDEL!T491)</f>
        <v/>
      </c>
      <c r="U491" s="112" t="str">
        <f>IF(preDEL!$AG491,IFERROR(0/0,""),preDEL!U491)</f>
        <v/>
      </c>
      <c r="V491" s="105" t="str">
        <f>IF(preDEL!$AG491,IFERROR(0/0,""),preDEL!V491)</f>
        <v/>
      </c>
      <c r="W491" s="112" t="str">
        <f>IF(preDEL!$AG491,IFERROR(0/0,""),preDEL!W491)</f>
        <v/>
      </c>
      <c r="X491" s="104" t="b">
        <f>IF(preDEL!$AG491,IFERROR(0/0,""),preDEL!X491)</f>
        <v>0</v>
      </c>
      <c r="Y491" s="110" t="b">
        <f>IF(preDEL!$AG491,IFERROR(0/0,""),preDEL!Y491)</f>
        <v>0</v>
      </c>
      <c r="Z491" s="105" t="str">
        <f>IF(preDEL!$AG491,IFERROR(0/0,""),preDEL!Z491)</f>
        <v/>
      </c>
      <c r="AA491" s="110" t="b">
        <f>IF(preDEL!$AG491,IFERROR(0/0,""),preDEL!AA491)</f>
        <v>0</v>
      </c>
      <c r="AB491" s="110" t="b">
        <f>IF(preDEL!$AG491,IFERROR(0/0,""),preDEL!AB491)</f>
        <v>0</v>
      </c>
      <c r="AC491" s="172">
        <f>IF(preDEL!$AG491,IFERROR(0/0,""),preDEL!AC491)</f>
        <v>321</v>
      </c>
      <c r="AD491" s="104" t="b">
        <f>IF(preDEL!$AG491,IFERROR(0/0,""),preDEL!AD491)</f>
        <v>0</v>
      </c>
      <c r="AE491" s="173">
        <f>IF(preDEL!$AG491,IFERROR(0/0,""),preDEL!AE491)</f>
        <v>21.21666667</v>
      </c>
      <c r="AF491" s="110" t="b">
        <f>IF(preDEL!$AG491,IFERROR(0/0,""),preDEL!AF491)</f>
        <v>0</v>
      </c>
      <c r="AG491" s="110" t="b">
        <f>IF(preDEL!$AG491,IFERROR(0/0,""),preDEL!AG491)</f>
        <v>0</v>
      </c>
      <c r="AH491" s="104" t="str">
        <f>IF(preDEL!$AG491,IFERROR(0/0,""),preDEL!AH491)</f>
        <v/>
      </c>
      <c r="AI491" s="105" t="str">
        <f>IF(preDEL!$AG491,IFERROR(0/0,""),preDEL!AI491)</f>
        <v/>
      </c>
      <c r="AJ491" s="112" t="str">
        <f>IF(preDEL!$AG491,IFERROR(0/0,""),preDEL!AJ491)</f>
        <v/>
      </c>
      <c r="AK491" s="105" t="str">
        <f>IF(preDEL!$AG491,IFERROR(0/0,""),preDEL!AK491)</f>
        <v>Negative</v>
      </c>
      <c r="AL491" s="112" t="str">
        <f>IF(preDEL!$AG491,IFERROR(0/0,""),preDEL!AL491)</f>
        <v/>
      </c>
      <c r="AM491" s="112" t="str">
        <f>IF(preDEL!$AG491,IFERROR(0/0,""),preDEL!AM491)</f>
        <v>SpBEND394154</v>
      </c>
      <c r="AN491" s="112" t="str">
        <f>IF(preDEL!$AG491,IFERROR(0/0,""),preDEL!AN491)</f>
        <v>BEND714296</v>
      </c>
      <c r="AO491" s="112" t="str">
        <f>IF(preDEL!$AG491,IFERROR(0/0,""),preDEL!AO491)</f>
        <v/>
      </c>
      <c r="AP491" s="112" t="str">
        <f>IF(preDEL!$AG491,IFERROR(0/0,""),preDEL!AP491)</f>
        <v/>
      </c>
      <c r="AQ491" s="112" t="str">
        <f>IF(preDEL!$AG491,IFERROR(0/0,""),preDEL!AQ491)</f>
        <v/>
      </c>
      <c r="AR491" s="112" t="str">
        <f>IF(preDEL!$AG491,IFERROR(0/0,""),preDEL!AR491)</f>
        <v/>
      </c>
      <c r="AS491" s="112" t="str">
        <f>IF(preDEL!$AG491,IFERROR(0/0,""),preDEL!AS491)</f>
        <v/>
      </c>
      <c r="AT491" s="112" t="b">
        <f>IF(preDEL!$AG491,IFERROR(0/0,""),preDEL!AT491)</f>
        <v>0</v>
      </c>
      <c r="AU491" s="112" t="str">
        <f>IF(preDEL!$AG491,IFERROR(0/0,""),preDEL!AU491)</f>
        <v/>
      </c>
      <c r="AV491" s="112" t="str">
        <f>IF(preDEL!$AG491,IFERROR(0/0,""),preDEL!AV491)</f>
        <v/>
      </c>
      <c r="AW491" s="112" t="str">
        <f>IF(preDEL!$AG491,IFERROR(0/0,""),preDEL!AW491)</f>
        <v/>
      </c>
      <c r="AX491" s="112" t="str">
        <f>IF(preDEL!$AG491,IFERROR(0/0,""),preDEL!AX491)</f>
        <v/>
      </c>
      <c r="AY491" s="112" t="str">
        <f>IF(preDEL!$AG491,IFERROR(0/0,""),preDEL!AY491)</f>
        <v/>
      </c>
      <c r="AZ491" s="174"/>
      <c r="BA491" s="174"/>
      <c r="BB491" s="174"/>
      <c r="BC491" s="174"/>
      <c r="BD491" s="174"/>
      <c r="BE491" s="174"/>
      <c r="BF491" s="174"/>
      <c r="BG491" s="174"/>
      <c r="BH491" s="174"/>
      <c r="BI491" s="174"/>
      <c r="BJ491" s="174"/>
      <c r="BK491" s="174"/>
      <c r="BL491" s="174"/>
      <c r="BM491" s="174"/>
      <c r="BN491" s="174"/>
      <c r="BO491" s="174"/>
      <c r="BP491" s="174"/>
      <c r="BQ491" s="174"/>
      <c r="BR491" s="174"/>
      <c r="BS491" s="174"/>
      <c r="BT491" s="174"/>
      <c r="BU491" s="174"/>
      <c r="BV491" s="174"/>
      <c r="BW491" s="174"/>
      <c r="BX491" s="174"/>
      <c r="BY491" s="174"/>
      <c r="BZ491" s="174"/>
      <c r="CA491" s="174"/>
      <c r="CB491" s="174"/>
      <c r="CC491" s="174"/>
      <c r="CD491" s="174"/>
    </row>
    <row r="492">
      <c r="A492" s="105" t="str">
        <f>IF(preDEL!$AG492,IFERROR(0/0,""),preDEL!A492)</f>
        <v>FM117</v>
      </c>
      <c r="B492" s="170">
        <f>IF(preDEL!$AG492,IFERROR(0/0,""),preDEL!B492)</f>
        <v>44613</v>
      </c>
      <c r="C492" s="171">
        <f>IF(preDEL!$AG492,IFERROR(0/0,""),preDEL!C492)</f>
        <v>0.2612152778</v>
      </c>
      <c r="D492" s="105" t="str">
        <f>IF(preDEL!$AG492,IFERROR(0/0,""),preDEL!D492)</f>
        <v/>
      </c>
      <c r="E492" s="105" t="str">
        <f>IF(preDEL!$AG492,IFERROR(0/0,""),preDEL!E492)</f>
        <v/>
      </c>
      <c r="F492" s="112" t="str">
        <f>IF(preDEL!$AG492,IFERROR(0/0,""),preDEL!F492)</f>
        <v/>
      </c>
      <c r="G492" s="112" t="str">
        <f>IF(preDEL!$AG492,IFERROR(0/0,""),preDEL!G492)</f>
        <v/>
      </c>
      <c r="H492" s="112" t="str">
        <f>IF(preDEL!$AG492,IFERROR(0/0,""),preDEL!H492)</f>
        <v/>
      </c>
      <c r="I492" s="105" t="str">
        <f>IF(preDEL!$AG492,IFERROR(0/0,""),preDEL!I492)</f>
        <v/>
      </c>
      <c r="J492" s="105" t="str">
        <f>IF(preDEL!$AG492,IFERROR(0/0,""),preDEL!J492)</f>
        <v/>
      </c>
      <c r="K492" s="105" t="str">
        <f>IF(preDEL!$AG492,IFERROR(0/0,""),preDEL!K492)</f>
        <v>Negative</v>
      </c>
      <c r="L492" s="170">
        <f>IF(preDEL!$AG492,IFERROR(0/0,""),preDEL!L492)</f>
        <v>44613</v>
      </c>
      <c r="M492" s="171">
        <f>IF(preDEL!$AG492,IFERROR(0/0,""),preDEL!M492)</f>
        <v>0.4693865741</v>
      </c>
      <c r="N492" s="112" t="str">
        <f>IF(preDEL!$AG492,IFERROR(0/0,""),preDEL!N492)</f>
        <v/>
      </c>
      <c r="O492" s="112" t="str">
        <f>IF(preDEL!$AG492,IFERROR(0/0,""),preDEL!O492)</f>
        <v/>
      </c>
      <c r="P492" s="110" t="b">
        <f>IF(preDEL!$AG492,IFERROR(0/0,""),preDEL!P492)</f>
        <v>0</v>
      </c>
      <c r="Q492" s="110" t="str">
        <f>IF(preDEL!$AG492,IFERROR(0/0,""),preDEL!Q492)</f>
        <v>Result</v>
      </c>
      <c r="R492" s="104" t="b">
        <f>IF(preDEL!$AG492,IFERROR(0/0,""),preDEL!R492)</f>
        <v>1</v>
      </c>
      <c r="S492" s="104">
        <f>IF(preDEL!$AG492,IFERROR(0/0,""),preDEL!S492)</f>
        <v>1</v>
      </c>
      <c r="T492" s="110" t="str">
        <f>IF(preDEL!$AG492,IFERROR(0/0,""),preDEL!T492)</f>
        <v/>
      </c>
      <c r="U492" s="112" t="str">
        <f>IF(preDEL!$AG492,IFERROR(0/0,""),preDEL!U492)</f>
        <v/>
      </c>
      <c r="V492" s="105" t="str">
        <f>IF(preDEL!$AG492,IFERROR(0/0,""),preDEL!V492)</f>
        <v/>
      </c>
      <c r="W492" s="112" t="str">
        <f>IF(preDEL!$AG492,IFERROR(0/0,""),preDEL!W492)</f>
        <v/>
      </c>
      <c r="X492" s="104" t="b">
        <f>IF(preDEL!$AG492,IFERROR(0/0,""),preDEL!X492)</f>
        <v>0</v>
      </c>
      <c r="Y492" s="110" t="b">
        <f>IF(preDEL!$AG492,IFERROR(0/0,""),preDEL!Y492)</f>
        <v>0</v>
      </c>
      <c r="Z492" s="105" t="str">
        <f>IF(preDEL!$AG492,IFERROR(0/0,""),preDEL!Z492)</f>
        <v/>
      </c>
      <c r="AA492" s="110" t="b">
        <f>IF(preDEL!$AG492,IFERROR(0/0,""),preDEL!AA492)</f>
        <v>0</v>
      </c>
      <c r="AB492" s="110" t="b">
        <f>IF(preDEL!$AG492,IFERROR(0/0,""),preDEL!AB492)</f>
        <v>0</v>
      </c>
      <c r="AC492" s="172">
        <f>IF(preDEL!$AG492,IFERROR(0/0,""),preDEL!AC492)</f>
        <v>320</v>
      </c>
      <c r="AD492" s="104" t="b">
        <f>IF(preDEL!$AG492,IFERROR(0/0,""),preDEL!AD492)</f>
        <v>0</v>
      </c>
      <c r="AE492" s="173">
        <f>IF(preDEL!$AG492,IFERROR(0/0,""),preDEL!AE492)</f>
        <v>299.7666667</v>
      </c>
      <c r="AF492" s="110" t="b">
        <f>IF(preDEL!$AG492,IFERROR(0/0,""),preDEL!AF492)</f>
        <v>0</v>
      </c>
      <c r="AG492" s="110" t="b">
        <f>IF(preDEL!$AG492,IFERROR(0/0,""),preDEL!AG492)</f>
        <v>0</v>
      </c>
      <c r="AH492" s="104" t="str">
        <f>IF(preDEL!$AG492,IFERROR(0/0,""),preDEL!AH492)</f>
        <v/>
      </c>
      <c r="AI492" s="105" t="str">
        <f>IF(preDEL!$AG492,IFERROR(0/0,""),preDEL!AI492)</f>
        <v/>
      </c>
      <c r="AJ492" s="112" t="str">
        <f>IF(preDEL!$AG492,IFERROR(0/0,""),preDEL!AJ492)</f>
        <v/>
      </c>
      <c r="AK492" s="105" t="str">
        <f>IF(preDEL!$AG492,IFERROR(0/0,""),preDEL!AK492)</f>
        <v>Negative</v>
      </c>
      <c r="AL492" s="112" t="str">
        <f>IF(preDEL!$AG492,IFERROR(0/0,""),preDEL!AL492)</f>
        <v/>
      </c>
      <c r="AM492" s="112" t="str">
        <f>IF(preDEL!$AG492,IFERROR(0/0,""),preDEL!AM492)</f>
        <v>SpBEND617677</v>
      </c>
      <c r="AN492" s="112" t="str">
        <f>IF(preDEL!$AG492,IFERROR(0/0,""),preDEL!AN492)</f>
        <v>BEND202183</v>
      </c>
      <c r="AO492" s="112" t="str">
        <f>IF(preDEL!$AG492,IFERROR(0/0,""),preDEL!AO492)</f>
        <v/>
      </c>
      <c r="AP492" s="112" t="str">
        <f>IF(preDEL!$AG492,IFERROR(0/0,""),preDEL!AP492)</f>
        <v/>
      </c>
      <c r="AQ492" s="112" t="str">
        <f>IF(preDEL!$AG492,IFERROR(0/0,""),preDEL!AQ492)</f>
        <v/>
      </c>
      <c r="AR492" s="112" t="str">
        <f>IF(preDEL!$AG492,IFERROR(0/0,""),preDEL!AR492)</f>
        <v/>
      </c>
      <c r="AS492" s="112" t="str">
        <f>IF(preDEL!$AG492,IFERROR(0/0,""),preDEL!AS492)</f>
        <v/>
      </c>
      <c r="AT492" s="112" t="b">
        <f>IF(preDEL!$AG492,IFERROR(0/0,""),preDEL!AT492)</f>
        <v>0</v>
      </c>
      <c r="AU492" s="112" t="str">
        <f>IF(preDEL!$AG492,IFERROR(0/0,""),preDEL!AU492)</f>
        <v/>
      </c>
      <c r="AV492" s="112" t="str">
        <f>IF(preDEL!$AG492,IFERROR(0/0,""),preDEL!AV492)</f>
        <v/>
      </c>
      <c r="AW492" s="112" t="str">
        <f>IF(preDEL!$AG492,IFERROR(0/0,""),preDEL!AW492)</f>
        <v/>
      </c>
      <c r="AX492" s="112" t="str">
        <f>IF(preDEL!$AG492,IFERROR(0/0,""),preDEL!AX492)</f>
        <v/>
      </c>
      <c r="AY492" s="112" t="str">
        <f>IF(preDEL!$AG492,IFERROR(0/0,""),preDEL!AY492)</f>
        <v/>
      </c>
      <c r="AZ492" s="174"/>
      <c r="BA492" s="174"/>
      <c r="BB492" s="174"/>
      <c r="BC492" s="174"/>
      <c r="BD492" s="174"/>
      <c r="BE492" s="174"/>
      <c r="BF492" s="174"/>
      <c r="BG492" s="174"/>
      <c r="BH492" s="174"/>
      <c r="BI492" s="174"/>
      <c r="BJ492" s="174"/>
      <c r="BK492" s="174"/>
      <c r="BL492" s="174"/>
      <c r="BM492" s="174"/>
      <c r="BN492" s="174"/>
      <c r="BO492" s="174"/>
      <c r="BP492" s="174"/>
      <c r="BQ492" s="174"/>
      <c r="BR492" s="174"/>
      <c r="BS492" s="174"/>
      <c r="BT492" s="174"/>
      <c r="BU492" s="174"/>
      <c r="BV492" s="174"/>
      <c r="BW492" s="174"/>
      <c r="BX492" s="174"/>
      <c r="BY492" s="174"/>
      <c r="BZ492" s="174"/>
      <c r="CA492" s="174"/>
      <c r="CB492" s="174"/>
      <c r="CC492" s="174"/>
      <c r="CD492" s="174"/>
    </row>
    <row r="493">
      <c r="A493" s="105" t="str">
        <f>IF(preDEL!$AG493,IFERROR(0/0,""),preDEL!A493)</f>
        <v>FM437</v>
      </c>
      <c r="B493" s="170">
        <f>IF(preDEL!$AG493,IFERROR(0/0,""),preDEL!B493)</f>
        <v>44613</v>
      </c>
      <c r="C493" s="171">
        <f>IF(preDEL!$AG493,IFERROR(0/0,""),preDEL!C493)</f>
        <v>0.265162037</v>
      </c>
      <c r="D493" s="105" t="str">
        <f>IF(preDEL!$AG493,IFERROR(0/0,""),preDEL!D493)</f>
        <v/>
      </c>
      <c r="E493" s="105" t="str">
        <f>IF(preDEL!$AG493,IFERROR(0/0,""),preDEL!E493)</f>
        <v/>
      </c>
      <c r="F493" s="112" t="str">
        <f>IF(preDEL!$AG493,IFERROR(0/0,""),preDEL!F493)</f>
        <v/>
      </c>
      <c r="G493" s="112" t="str">
        <f>IF(preDEL!$AG493,IFERROR(0/0,""),preDEL!G493)</f>
        <v/>
      </c>
      <c r="H493" s="112" t="str">
        <f>IF(preDEL!$AG493,IFERROR(0/0,""),preDEL!H493)</f>
        <v/>
      </c>
      <c r="I493" s="105" t="str">
        <f>IF(preDEL!$AG493,IFERROR(0/0,""),preDEL!I493)</f>
        <v/>
      </c>
      <c r="J493" s="105" t="str">
        <f>IF(preDEL!$AG493,IFERROR(0/0,""),preDEL!J493)</f>
        <v/>
      </c>
      <c r="K493" s="105" t="str">
        <f>IF(preDEL!$AG493,IFERROR(0/0,""),preDEL!K493)</f>
        <v>Negative</v>
      </c>
      <c r="L493" s="170">
        <f>IF(preDEL!$AG493,IFERROR(0/0,""),preDEL!L493)</f>
        <v>44613</v>
      </c>
      <c r="M493" s="171">
        <f>IF(preDEL!$AG493,IFERROR(0/0,""),preDEL!M493)</f>
        <v>0.4693865741</v>
      </c>
      <c r="N493" s="112" t="str">
        <f>IF(preDEL!$AG493,IFERROR(0/0,""),preDEL!N493)</f>
        <v/>
      </c>
      <c r="O493" s="112" t="str">
        <f>IF(preDEL!$AG493,IFERROR(0/0,""),preDEL!O493)</f>
        <v/>
      </c>
      <c r="P493" s="110" t="b">
        <f>IF(preDEL!$AG493,IFERROR(0/0,""),preDEL!P493)</f>
        <v>0</v>
      </c>
      <c r="Q493" s="110" t="str">
        <f>IF(preDEL!$AG493,IFERROR(0/0,""),preDEL!Q493)</f>
        <v>Result</v>
      </c>
      <c r="R493" s="104" t="b">
        <f>IF(preDEL!$AG493,IFERROR(0/0,""),preDEL!R493)</f>
        <v>1</v>
      </c>
      <c r="S493" s="104">
        <f>IF(preDEL!$AG493,IFERROR(0/0,""),preDEL!S493)</f>
        <v>1</v>
      </c>
      <c r="T493" s="110" t="str">
        <f>IF(preDEL!$AG493,IFERROR(0/0,""),preDEL!T493)</f>
        <v/>
      </c>
      <c r="U493" s="112" t="str">
        <f>IF(preDEL!$AG493,IFERROR(0/0,""),preDEL!U493)</f>
        <v/>
      </c>
      <c r="V493" s="105" t="str">
        <f>IF(preDEL!$AG493,IFERROR(0/0,""),preDEL!V493)</f>
        <v/>
      </c>
      <c r="W493" s="112" t="str">
        <f>IF(preDEL!$AG493,IFERROR(0/0,""),preDEL!W493)</f>
        <v/>
      </c>
      <c r="X493" s="104" t="b">
        <f>IF(preDEL!$AG493,IFERROR(0/0,""),preDEL!X493)</f>
        <v>0</v>
      </c>
      <c r="Y493" s="110" t="b">
        <f>IF(preDEL!$AG493,IFERROR(0/0,""),preDEL!Y493)</f>
        <v>0</v>
      </c>
      <c r="Z493" s="105" t="str">
        <f>IF(preDEL!$AG493,IFERROR(0/0,""),preDEL!Z493)</f>
        <v/>
      </c>
      <c r="AA493" s="110" t="b">
        <f>IF(preDEL!$AG493,IFERROR(0/0,""),preDEL!AA493)</f>
        <v>0</v>
      </c>
      <c r="AB493" s="110" t="b">
        <f>IF(preDEL!$AG493,IFERROR(0/0,""),preDEL!AB493)</f>
        <v>0</v>
      </c>
      <c r="AC493" s="172">
        <f>IF(preDEL!$AG493,IFERROR(0/0,""),preDEL!AC493)</f>
        <v>319</v>
      </c>
      <c r="AD493" s="104" t="b">
        <f>IF(preDEL!$AG493,IFERROR(0/0,""),preDEL!AD493)</f>
        <v>0</v>
      </c>
      <c r="AE493" s="173">
        <f>IF(preDEL!$AG493,IFERROR(0/0,""),preDEL!AE493)</f>
        <v>294.0833333</v>
      </c>
      <c r="AF493" s="110" t="b">
        <f>IF(preDEL!$AG493,IFERROR(0/0,""),preDEL!AF493)</f>
        <v>0</v>
      </c>
      <c r="AG493" s="110" t="b">
        <f>IF(preDEL!$AG493,IFERROR(0/0,""),preDEL!AG493)</f>
        <v>0</v>
      </c>
      <c r="AH493" s="104" t="str">
        <f>IF(preDEL!$AG493,IFERROR(0/0,""),preDEL!AH493)</f>
        <v/>
      </c>
      <c r="AI493" s="105" t="str">
        <f>IF(preDEL!$AG493,IFERROR(0/0,""),preDEL!AI493)</f>
        <v/>
      </c>
      <c r="AJ493" s="112" t="str">
        <f>IF(preDEL!$AG493,IFERROR(0/0,""),preDEL!AJ493)</f>
        <v/>
      </c>
      <c r="AK493" s="105" t="str">
        <f>IF(preDEL!$AG493,IFERROR(0/0,""),preDEL!AK493)</f>
        <v>Negative</v>
      </c>
      <c r="AL493" s="112" t="str">
        <f>IF(preDEL!$AG493,IFERROR(0/0,""),preDEL!AL493)</f>
        <v/>
      </c>
      <c r="AM493" s="112" t="str">
        <f>IF(preDEL!$AG493,IFERROR(0/0,""),preDEL!AM493)</f>
        <v>SpBEND672680</v>
      </c>
      <c r="AN493" s="112" t="str">
        <f>IF(preDEL!$AG493,IFERROR(0/0,""),preDEL!AN493)</f>
        <v>BEND955524</v>
      </c>
      <c r="AO493" s="112" t="str">
        <f>IF(preDEL!$AG493,IFERROR(0/0,""),preDEL!AO493)</f>
        <v/>
      </c>
      <c r="AP493" s="112" t="str">
        <f>IF(preDEL!$AG493,IFERROR(0/0,""),preDEL!AP493)</f>
        <v/>
      </c>
      <c r="AQ493" s="112" t="str">
        <f>IF(preDEL!$AG493,IFERROR(0/0,""),preDEL!AQ493)</f>
        <v/>
      </c>
      <c r="AR493" s="112" t="str">
        <f>IF(preDEL!$AG493,IFERROR(0/0,""),preDEL!AR493)</f>
        <v/>
      </c>
      <c r="AS493" s="112" t="str">
        <f>IF(preDEL!$AG493,IFERROR(0/0,""),preDEL!AS493)</f>
        <v/>
      </c>
      <c r="AT493" s="112" t="b">
        <f>IF(preDEL!$AG493,IFERROR(0/0,""),preDEL!AT493)</f>
        <v>0</v>
      </c>
      <c r="AU493" s="112" t="str">
        <f>IF(preDEL!$AG493,IFERROR(0/0,""),preDEL!AU493)</f>
        <v/>
      </c>
      <c r="AV493" s="112" t="str">
        <f>IF(preDEL!$AG493,IFERROR(0/0,""),preDEL!AV493)</f>
        <v/>
      </c>
      <c r="AW493" s="112" t="str">
        <f>IF(preDEL!$AG493,IFERROR(0/0,""),preDEL!AW493)</f>
        <v/>
      </c>
      <c r="AX493" s="112" t="str">
        <f>IF(preDEL!$AG493,IFERROR(0/0,""),preDEL!AX493)</f>
        <v/>
      </c>
      <c r="AY493" s="112" t="str">
        <f>IF(preDEL!$AG493,IFERROR(0/0,""),preDEL!AY493)</f>
        <v/>
      </c>
      <c r="AZ493" s="174"/>
      <c r="BA493" s="174"/>
      <c r="BB493" s="174"/>
      <c r="BC493" s="174"/>
      <c r="BD493" s="174"/>
      <c r="BE493" s="174"/>
      <c r="BF493" s="174"/>
      <c r="BG493" s="174"/>
      <c r="BH493" s="174"/>
      <c r="BI493" s="174"/>
      <c r="BJ493" s="174"/>
      <c r="BK493" s="174"/>
      <c r="BL493" s="174"/>
      <c r="BM493" s="174"/>
      <c r="BN493" s="174"/>
      <c r="BO493" s="174"/>
      <c r="BP493" s="174"/>
      <c r="BQ493" s="174"/>
      <c r="BR493" s="174"/>
      <c r="BS493" s="174"/>
      <c r="BT493" s="174"/>
      <c r="BU493" s="174"/>
      <c r="BV493" s="174"/>
      <c r="BW493" s="174"/>
      <c r="BX493" s="174"/>
      <c r="BY493" s="174"/>
      <c r="BZ493" s="174"/>
      <c r="CA493" s="174"/>
      <c r="CB493" s="174"/>
      <c r="CC493" s="174"/>
      <c r="CD493" s="174"/>
    </row>
    <row r="494">
      <c r="A494" s="105" t="str">
        <f>IF(preDEL!$AG494,IFERROR(0/0,""),preDEL!A494)</f>
        <v>FM980</v>
      </c>
      <c r="B494" s="170">
        <f>IF(preDEL!$AG494,IFERROR(0/0,""),preDEL!B494)</f>
        <v>44613</v>
      </c>
      <c r="C494" s="171">
        <f>IF(preDEL!$AG494,IFERROR(0/0,""),preDEL!C494)</f>
        <v>0.266724537</v>
      </c>
      <c r="D494" s="105" t="str">
        <f>IF(preDEL!$AG494,IFERROR(0/0,""),preDEL!D494)</f>
        <v/>
      </c>
      <c r="E494" s="105" t="str">
        <f>IF(preDEL!$AG494,IFERROR(0/0,""),preDEL!E494)</f>
        <v/>
      </c>
      <c r="F494" s="112" t="str">
        <f>IF(preDEL!$AG494,IFERROR(0/0,""),preDEL!F494)</f>
        <v/>
      </c>
      <c r="G494" s="112" t="str">
        <f>IF(preDEL!$AG494,IFERROR(0/0,""),preDEL!G494)</f>
        <v/>
      </c>
      <c r="H494" s="112" t="str">
        <f>IF(preDEL!$AG494,IFERROR(0/0,""),preDEL!H494)</f>
        <v/>
      </c>
      <c r="I494" s="105" t="str">
        <f>IF(preDEL!$AG494,IFERROR(0/0,""),preDEL!I494)</f>
        <v/>
      </c>
      <c r="J494" s="105" t="str">
        <f>IF(preDEL!$AG494,IFERROR(0/0,""),preDEL!J494)</f>
        <v/>
      </c>
      <c r="K494" s="105" t="str">
        <f>IF(preDEL!$AG494,IFERROR(0/0,""),preDEL!K494)</f>
        <v>Negative</v>
      </c>
      <c r="L494" s="170">
        <f>IF(preDEL!$AG494,IFERROR(0/0,""),preDEL!L494)</f>
        <v>44613</v>
      </c>
      <c r="M494" s="171">
        <f>IF(preDEL!$AG494,IFERROR(0/0,""),preDEL!M494)</f>
        <v>0.4693981481</v>
      </c>
      <c r="N494" s="112" t="str">
        <f>IF(preDEL!$AG494,IFERROR(0/0,""),preDEL!N494)</f>
        <v/>
      </c>
      <c r="O494" s="112" t="str">
        <f>IF(preDEL!$AG494,IFERROR(0/0,""),preDEL!O494)</f>
        <v/>
      </c>
      <c r="P494" s="110" t="b">
        <f>IF(preDEL!$AG494,IFERROR(0/0,""),preDEL!P494)</f>
        <v>0</v>
      </c>
      <c r="Q494" s="110" t="str">
        <f>IF(preDEL!$AG494,IFERROR(0/0,""),preDEL!Q494)</f>
        <v>Result</v>
      </c>
      <c r="R494" s="104" t="b">
        <f>IF(preDEL!$AG494,IFERROR(0/0,""),preDEL!R494)</f>
        <v>1</v>
      </c>
      <c r="S494" s="104">
        <f>IF(preDEL!$AG494,IFERROR(0/0,""),preDEL!S494)</f>
        <v>1</v>
      </c>
      <c r="T494" s="110" t="str">
        <f>IF(preDEL!$AG494,IFERROR(0/0,""),preDEL!T494)</f>
        <v/>
      </c>
      <c r="U494" s="112" t="str">
        <f>IF(preDEL!$AG494,IFERROR(0/0,""),preDEL!U494)</f>
        <v/>
      </c>
      <c r="V494" s="105" t="str">
        <f>IF(preDEL!$AG494,IFERROR(0/0,""),preDEL!V494)</f>
        <v/>
      </c>
      <c r="W494" s="112" t="str">
        <f>IF(preDEL!$AG494,IFERROR(0/0,""),preDEL!W494)</f>
        <v/>
      </c>
      <c r="X494" s="104" t="b">
        <f>IF(preDEL!$AG494,IFERROR(0/0,""),preDEL!X494)</f>
        <v>0</v>
      </c>
      <c r="Y494" s="110" t="b">
        <f>IF(preDEL!$AG494,IFERROR(0/0,""),preDEL!Y494)</f>
        <v>0</v>
      </c>
      <c r="Z494" s="105" t="str">
        <f>IF(preDEL!$AG494,IFERROR(0/0,""),preDEL!Z494)</f>
        <v/>
      </c>
      <c r="AA494" s="110" t="b">
        <f>IF(preDEL!$AG494,IFERROR(0/0,""),preDEL!AA494)</f>
        <v>0</v>
      </c>
      <c r="AB494" s="110" t="b">
        <f>IF(preDEL!$AG494,IFERROR(0/0,""),preDEL!AB494)</f>
        <v>0</v>
      </c>
      <c r="AC494" s="172">
        <f>IF(preDEL!$AG494,IFERROR(0/0,""),preDEL!AC494)</f>
        <v>318</v>
      </c>
      <c r="AD494" s="104" t="b">
        <f>IF(preDEL!$AG494,IFERROR(0/0,""),preDEL!AD494)</f>
        <v>0</v>
      </c>
      <c r="AE494" s="173">
        <f>IF(preDEL!$AG494,IFERROR(0/0,""),preDEL!AE494)</f>
        <v>291.85</v>
      </c>
      <c r="AF494" s="110" t="b">
        <f>IF(preDEL!$AG494,IFERROR(0/0,""),preDEL!AF494)</f>
        <v>0</v>
      </c>
      <c r="AG494" s="110" t="b">
        <f>IF(preDEL!$AG494,IFERROR(0/0,""),preDEL!AG494)</f>
        <v>0</v>
      </c>
      <c r="AH494" s="104" t="str">
        <f>IF(preDEL!$AG494,IFERROR(0/0,""),preDEL!AH494)</f>
        <v/>
      </c>
      <c r="AI494" s="105" t="str">
        <f>IF(preDEL!$AG494,IFERROR(0/0,""),preDEL!AI494)</f>
        <v/>
      </c>
      <c r="AJ494" s="112" t="str">
        <f>IF(preDEL!$AG494,IFERROR(0/0,""),preDEL!AJ494)</f>
        <v/>
      </c>
      <c r="AK494" s="105" t="str">
        <f>IF(preDEL!$AG494,IFERROR(0/0,""),preDEL!AK494)</f>
        <v>Negative</v>
      </c>
      <c r="AL494" s="112" t="str">
        <f>IF(preDEL!$AG494,IFERROR(0/0,""),preDEL!AL494)</f>
        <v/>
      </c>
      <c r="AM494" s="112" t="str">
        <f>IF(preDEL!$AG494,IFERROR(0/0,""),preDEL!AM494)</f>
        <v>SpBEND947055</v>
      </c>
      <c r="AN494" s="112" t="str">
        <f>IF(preDEL!$AG494,IFERROR(0/0,""),preDEL!AN494)</f>
        <v>BEND371889</v>
      </c>
      <c r="AO494" s="112" t="str">
        <f>IF(preDEL!$AG494,IFERROR(0/0,""),preDEL!AO494)</f>
        <v/>
      </c>
      <c r="AP494" s="112" t="str">
        <f>IF(preDEL!$AG494,IFERROR(0/0,""),preDEL!AP494)</f>
        <v/>
      </c>
      <c r="AQ494" s="112" t="str">
        <f>IF(preDEL!$AG494,IFERROR(0/0,""),preDEL!AQ494)</f>
        <v/>
      </c>
      <c r="AR494" s="112" t="str">
        <f>IF(preDEL!$AG494,IFERROR(0/0,""),preDEL!AR494)</f>
        <v/>
      </c>
      <c r="AS494" s="112" t="str">
        <f>IF(preDEL!$AG494,IFERROR(0/0,""),preDEL!AS494)</f>
        <v/>
      </c>
      <c r="AT494" s="112" t="b">
        <f>IF(preDEL!$AG494,IFERROR(0/0,""),preDEL!AT494)</f>
        <v>0</v>
      </c>
      <c r="AU494" s="112" t="str">
        <f>IF(preDEL!$AG494,IFERROR(0/0,""),preDEL!AU494)</f>
        <v/>
      </c>
      <c r="AV494" s="112" t="str">
        <f>IF(preDEL!$AG494,IFERROR(0/0,""),preDEL!AV494)</f>
        <v/>
      </c>
      <c r="AW494" s="112" t="str">
        <f>IF(preDEL!$AG494,IFERROR(0/0,""),preDEL!AW494)</f>
        <v/>
      </c>
      <c r="AX494" s="112" t="str">
        <f>IF(preDEL!$AG494,IFERROR(0/0,""),preDEL!AX494)</f>
        <v/>
      </c>
      <c r="AY494" s="112" t="str">
        <f>IF(preDEL!$AG494,IFERROR(0/0,""),preDEL!AY494)</f>
        <v/>
      </c>
      <c r="AZ494" s="174"/>
      <c r="BA494" s="174"/>
      <c r="BB494" s="174"/>
      <c r="BC494" s="174"/>
      <c r="BD494" s="174"/>
      <c r="BE494" s="174"/>
      <c r="BF494" s="174"/>
      <c r="BG494" s="174"/>
      <c r="BH494" s="174"/>
      <c r="BI494" s="174"/>
      <c r="BJ494" s="174"/>
      <c r="BK494" s="174"/>
      <c r="BL494" s="174"/>
      <c r="BM494" s="174"/>
      <c r="BN494" s="174"/>
      <c r="BO494" s="174"/>
      <c r="BP494" s="174"/>
      <c r="BQ494" s="174"/>
      <c r="BR494" s="174"/>
      <c r="BS494" s="174"/>
      <c r="BT494" s="174"/>
      <c r="BU494" s="174"/>
      <c r="BV494" s="174"/>
      <c r="BW494" s="174"/>
      <c r="BX494" s="174"/>
      <c r="BY494" s="174"/>
      <c r="BZ494" s="174"/>
      <c r="CA494" s="174"/>
      <c r="CB494" s="174"/>
      <c r="CC494" s="174"/>
      <c r="CD494" s="174"/>
    </row>
    <row r="495">
      <c r="A495" s="105" t="str">
        <f>IF(preDEL!$AG495,IFERROR(0/0,""),preDEL!A495)</f>
        <v>FM824</v>
      </c>
      <c r="B495" s="170">
        <f>IF(preDEL!$AG495,IFERROR(0/0,""),preDEL!B495)</f>
        <v>44613</v>
      </c>
      <c r="C495" s="171">
        <f>IF(preDEL!$AG495,IFERROR(0/0,""),preDEL!C495)</f>
        <v>0.276099537</v>
      </c>
      <c r="D495" s="105" t="str">
        <f>IF(preDEL!$AG495,IFERROR(0/0,""),preDEL!D495)</f>
        <v/>
      </c>
      <c r="E495" s="105" t="str">
        <f>IF(preDEL!$AG495,IFERROR(0/0,""),preDEL!E495)</f>
        <v/>
      </c>
      <c r="F495" s="112" t="str">
        <f>IF(preDEL!$AG495,IFERROR(0/0,""),preDEL!F495)</f>
        <v/>
      </c>
      <c r="G495" s="112" t="str">
        <f>IF(preDEL!$AG495,IFERROR(0/0,""),preDEL!G495)</f>
        <v/>
      </c>
      <c r="H495" s="112" t="str">
        <f>IF(preDEL!$AG495,IFERROR(0/0,""),preDEL!H495)</f>
        <v/>
      </c>
      <c r="I495" s="105" t="str">
        <f>IF(preDEL!$AG495,IFERROR(0/0,""),preDEL!I495)</f>
        <v/>
      </c>
      <c r="J495" s="105" t="str">
        <f>IF(preDEL!$AG495,IFERROR(0/0,""),preDEL!J495)</f>
        <v/>
      </c>
      <c r="K495" s="105" t="str">
        <f>IF(preDEL!$AG495,IFERROR(0/0,""),preDEL!K495)</f>
        <v>Negative</v>
      </c>
      <c r="L495" s="170">
        <f>IF(preDEL!$AG495,IFERROR(0/0,""),preDEL!L495)</f>
        <v>44613</v>
      </c>
      <c r="M495" s="171">
        <f>IF(preDEL!$AG495,IFERROR(0/0,""),preDEL!M495)</f>
        <v>0.4693981481</v>
      </c>
      <c r="N495" s="112" t="str">
        <f>IF(preDEL!$AG495,IFERROR(0/0,""),preDEL!N495)</f>
        <v/>
      </c>
      <c r="O495" s="112" t="str">
        <f>IF(preDEL!$AG495,IFERROR(0/0,""),preDEL!O495)</f>
        <v/>
      </c>
      <c r="P495" s="110" t="b">
        <f>IF(preDEL!$AG495,IFERROR(0/0,""),preDEL!P495)</f>
        <v>0</v>
      </c>
      <c r="Q495" s="110" t="str">
        <f>IF(preDEL!$AG495,IFERROR(0/0,""),preDEL!Q495)</f>
        <v>Result</v>
      </c>
      <c r="R495" s="104" t="b">
        <f>IF(preDEL!$AG495,IFERROR(0/0,""),preDEL!R495)</f>
        <v>1</v>
      </c>
      <c r="S495" s="104">
        <f>IF(preDEL!$AG495,IFERROR(0/0,""),preDEL!S495)</f>
        <v>1</v>
      </c>
      <c r="T495" s="110" t="str">
        <f>IF(preDEL!$AG495,IFERROR(0/0,""),preDEL!T495)</f>
        <v/>
      </c>
      <c r="U495" s="112" t="str">
        <f>IF(preDEL!$AG495,IFERROR(0/0,""),preDEL!U495)</f>
        <v/>
      </c>
      <c r="V495" s="105" t="str">
        <f>IF(preDEL!$AG495,IFERROR(0/0,""),preDEL!V495)</f>
        <v/>
      </c>
      <c r="W495" s="112" t="str">
        <f>IF(preDEL!$AG495,IFERROR(0/0,""),preDEL!W495)</f>
        <v/>
      </c>
      <c r="X495" s="104" t="b">
        <f>IF(preDEL!$AG495,IFERROR(0/0,""),preDEL!X495)</f>
        <v>0</v>
      </c>
      <c r="Y495" s="110" t="b">
        <f>IF(preDEL!$AG495,IFERROR(0/0,""),preDEL!Y495)</f>
        <v>0</v>
      </c>
      <c r="Z495" s="105" t="str">
        <f>IF(preDEL!$AG495,IFERROR(0/0,""),preDEL!Z495)</f>
        <v/>
      </c>
      <c r="AA495" s="110" t="b">
        <f>IF(preDEL!$AG495,IFERROR(0/0,""),preDEL!AA495)</f>
        <v>0</v>
      </c>
      <c r="AB495" s="110" t="b">
        <f>IF(preDEL!$AG495,IFERROR(0/0,""),preDEL!AB495)</f>
        <v>0</v>
      </c>
      <c r="AC495" s="172">
        <f>IF(preDEL!$AG495,IFERROR(0/0,""),preDEL!AC495)</f>
        <v>317</v>
      </c>
      <c r="AD495" s="104" t="b">
        <f>IF(preDEL!$AG495,IFERROR(0/0,""),preDEL!AD495)</f>
        <v>0</v>
      </c>
      <c r="AE495" s="173">
        <f>IF(preDEL!$AG495,IFERROR(0/0,""),preDEL!AE495)</f>
        <v>278.35</v>
      </c>
      <c r="AF495" s="110" t="b">
        <f>IF(preDEL!$AG495,IFERROR(0/0,""),preDEL!AF495)</f>
        <v>0</v>
      </c>
      <c r="AG495" s="110" t="b">
        <f>IF(preDEL!$AG495,IFERROR(0/0,""),preDEL!AG495)</f>
        <v>0</v>
      </c>
      <c r="AH495" s="104" t="str">
        <f>IF(preDEL!$AG495,IFERROR(0/0,""),preDEL!AH495)</f>
        <v/>
      </c>
      <c r="AI495" s="105" t="str">
        <f>IF(preDEL!$AG495,IFERROR(0/0,""),preDEL!AI495)</f>
        <v/>
      </c>
      <c r="AJ495" s="112" t="str">
        <f>IF(preDEL!$AG495,IFERROR(0/0,""),preDEL!AJ495)</f>
        <v/>
      </c>
      <c r="AK495" s="105" t="str">
        <f>IF(preDEL!$AG495,IFERROR(0/0,""),preDEL!AK495)</f>
        <v>Negative</v>
      </c>
      <c r="AL495" s="112" t="str">
        <f>IF(preDEL!$AG495,IFERROR(0/0,""),preDEL!AL495)</f>
        <v/>
      </c>
      <c r="AM495" s="112" t="str">
        <f>IF(preDEL!$AG495,IFERROR(0/0,""),preDEL!AM495)</f>
        <v>SpBEND670368</v>
      </c>
      <c r="AN495" s="112" t="str">
        <f>IF(preDEL!$AG495,IFERROR(0/0,""),preDEL!AN495)</f>
        <v>BEND627699</v>
      </c>
      <c r="AO495" s="112" t="str">
        <f>IF(preDEL!$AG495,IFERROR(0/0,""),preDEL!AO495)</f>
        <v/>
      </c>
      <c r="AP495" s="112" t="str">
        <f>IF(preDEL!$AG495,IFERROR(0/0,""),preDEL!AP495)</f>
        <v/>
      </c>
      <c r="AQ495" s="112" t="str">
        <f>IF(preDEL!$AG495,IFERROR(0/0,""),preDEL!AQ495)</f>
        <v/>
      </c>
      <c r="AR495" s="112" t="str">
        <f>IF(preDEL!$AG495,IFERROR(0/0,""),preDEL!AR495)</f>
        <v/>
      </c>
      <c r="AS495" s="112" t="str">
        <f>IF(preDEL!$AG495,IFERROR(0/0,""),preDEL!AS495)</f>
        <v/>
      </c>
      <c r="AT495" s="112" t="b">
        <f>IF(preDEL!$AG495,IFERROR(0/0,""),preDEL!AT495)</f>
        <v>0</v>
      </c>
      <c r="AU495" s="112" t="str">
        <f>IF(preDEL!$AG495,IFERROR(0/0,""),preDEL!AU495)</f>
        <v/>
      </c>
      <c r="AV495" s="112" t="str">
        <f>IF(preDEL!$AG495,IFERROR(0/0,""),preDEL!AV495)</f>
        <v/>
      </c>
      <c r="AW495" s="112" t="str">
        <f>IF(preDEL!$AG495,IFERROR(0/0,""),preDEL!AW495)</f>
        <v/>
      </c>
      <c r="AX495" s="112" t="str">
        <f>IF(preDEL!$AG495,IFERROR(0/0,""),preDEL!AX495)</f>
        <v/>
      </c>
      <c r="AY495" s="112" t="str">
        <f>IF(preDEL!$AG495,IFERROR(0/0,""),preDEL!AY495)</f>
        <v/>
      </c>
      <c r="AZ495" s="174"/>
      <c r="BA495" s="174"/>
      <c r="BB495" s="174"/>
      <c r="BC495" s="174"/>
      <c r="BD495" s="174"/>
      <c r="BE495" s="174"/>
      <c r="BF495" s="174"/>
      <c r="BG495" s="174"/>
      <c r="BH495" s="174"/>
      <c r="BI495" s="174"/>
      <c r="BJ495" s="174"/>
      <c r="BK495" s="174"/>
      <c r="BL495" s="174"/>
      <c r="BM495" s="174"/>
      <c r="BN495" s="174"/>
      <c r="BO495" s="174"/>
      <c r="BP495" s="174"/>
      <c r="BQ495" s="174"/>
      <c r="BR495" s="174"/>
      <c r="BS495" s="174"/>
      <c r="BT495" s="174"/>
      <c r="BU495" s="174"/>
      <c r="BV495" s="174"/>
      <c r="BW495" s="174"/>
      <c r="BX495" s="174"/>
      <c r="BY495" s="174"/>
      <c r="BZ495" s="174"/>
      <c r="CA495" s="174"/>
      <c r="CB495" s="174"/>
      <c r="CC495" s="174"/>
      <c r="CD495" s="174"/>
    </row>
    <row r="496">
      <c r="A496" s="105" t="str">
        <f>IF(preDEL!$AG496,IFERROR(0/0,""),preDEL!A496)</f>
        <v>FM478</v>
      </c>
      <c r="B496" s="170">
        <f>IF(preDEL!$AG496,IFERROR(0/0,""),preDEL!B496)</f>
        <v>44613</v>
      </c>
      <c r="C496" s="171">
        <f>IF(preDEL!$AG496,IFERROR(0/0,""),preDEL!C496)</f>
        <v>0.2888425926</v>
      </c>
      <c r="D496" s="105" t="str">
        <f>IF(preDEL!$AG496,IFERROR(0/0,""),preDEL!D496)</f>
        <v/>
      </c>
      <c r="E496" s="105" t="str">
        <f>IF(preDEL!$AG496,IFERROR(0/0,""),preDEL!E496)</f>
        <v/>
      </c>
      <c r="F496" s="112" t="str">
        <f>IF(preDEL!$AG496,IFERROR(0/0,""),preDEL!F496)</f>
        <v/>
      </c>
      <c r="G496" s="112" t="str">
        <f>IF(preDEL!$AG496,IFERROR(0/0,""),preDEL!G496)</f>
        <v/>
      </c>
      <c r="H496" s="112" t="str">
        <f>IF(preDEL!$AG496,IFERROR(0/0,""),preDEL!H496)</f>
        <v/>
      </c>
      <c r="I496" s="105" t="str">
        <f>IF(preDEL!$AG496,IFERROR(0/0,""),preDEL!I496)</f>
        <v/>
      </c>
      <c r="J496" s="105" t="str">
        <f>IF(preDEL!$AG496,IFERROR(0/0,""),preDEL!J496)</f>
        <v/>
      </c>
      <c r="K496" s="105" t="str">
        <f>IF(preDEL!$AG496,IFERROR(0/0,""),preDEL!K496)</f>
        <v>Negative</v>
      </c>
      <c r="L496" s="170">
        <f>IF(preDEL!$AG496,IFERROR(0/0,""),preDEL!L496)</f>
        <v>44613</v>
      </c>
      <c r="M496" s="171">
        <f>IF(preDEL!$AG496,IFERROR(0/0,""),preDEL!M496)</f>
        <v>0.4693981481</v>
      </c>
      <c r="N496" s="112" t="str">
        <f>IF(preDEL!$AG496,IFERROR(0/0,""),preDEL!N496)</f>
        <v/>
      </c>
      <c r="O496" s="112" t="str">
        <f>IF(preDEL!$AG496,IFERROR(0/0,""),preDEL!O496)</f>
        <v/>
      </c>
      <c r="P496" s="110" t="b">
        <f>IF(preDEL!$AG496,IFERROR(0/0,""),preDEL!P496)</f>
        <v>0</v>
      </c>
      <c r="Q496" s="110" t="str">
        <f>IF(preDEL!$AG496,IFERROR(0/0,""),preDEL!Q496)</f>
        <v>Result</v>
      </c>
      <c r="R496" s="104" t="b">
        <f>IF(preDEL!$AG496,IFERROR(0/0,""),preDEL!R496)</f>
        <v>1</v>
      </c>
      <c r="S496" s="104">
        <f>IF(preDEL!$AG496,IFERROR(0/0,""),preDEL!S496)</f>
        <v>1</v>
      </c>
      <c r="T496" s="110" t="str">
        <f>IF(preDEL!$AG496,IFERROR(0/0,""),preDEL!T496)</f>
        <v/>
      </c>
      <c r="U496" s="112" t="str">
        <f>IF(preDEL!$AG496,IFERROR(0/0,""),preDEL!U496)</f>
        <v/>
      </c>
      <c r="V496" s="105" t="str">
        <f>IF(preDEL!$AG496,IFERROR(0/0,""),preDEL!V496)</f>
        <v/>
      </c>
      <c r="W496" s="112" t="str">
        <f>IF(preDEL!$AG496,IFERROR(0/0,""),preDEL!W496)</f>
        <v/>
      </c>
      <c r="X496" s="104" t="b">
        <f>IF(preDEL!$AG496,IFERROR(0/0,""),preDEL!X496)</f>
        <v>0</v>
      </c>
      <c r="Y496" s="110" t="b">
        <f>IF(preDEL!$AG496,IFERROR(0/0,""),preDEL!Y496)</f>
        <v>0</v>
      </c>
      <c r="Z496" s="105" t="str">
        <f>IF(preDEL!$AG496,IFERROR(0/0,""),preDEL!Z496)</f>
        <v/>
      </c>
      <c r="AA496" s="110" t="b">
        <f>IF(preDEL!$AG496,IFERROR(0/0,""),preDEL!AA496)</f>
        <v>0</v>
      </c>
      <c r="AB496" s="110" t="b">
        <f>IF(preDEL!$AG496,IFERROR(0/0,""),preDEL!AB496)</f>
        <v>0</v>
      </c>
      <c r="AC496" s="172">
        <f>IF(preDEL!$AG496,IFERROR(0/0,""),preDEL!AC496)</f>
        <v>316</v>
      </c>
      <c r="AD496" s="104" t="b">
        <f>IF(preDEL!$AG496,IFERROR(0/0,""),preDEL!AD496)</f>
        <v>0</v>
      </c>
      <c r="AE496" s="173">
        <f>IF(preDEL!$AG496,IFERROR(0/0,""),preDEL!AE496)</f>
        <v>260</v>
      </c>
      <c r="AF496" s="110" t="b">
        <f>IF(preDEL!$AG496,IFERROR(0/0,""),preDEL!AF496)</f>
        <v>0</v>
      </c>
      <c r="AG496" s="110" t="b">
        <f>IF(preDEL!$AG496,IFERROR(0/0,""),preDEL!AG496)</f>
        <v>0</v>
      </c>
      <c r="AH496" s="104" t="str">
        <f>IF(preDEL!$AG496,IFERROR(0/0,""),preDEL!AH496)</f>
        <v/>
      </c>
      <c r="AI496" s="105" t="str">
        <f>IF(preDEL!$AG496,IFERROR(0/0,""),preDEL!AI496)</f>
        <v/>
      </c>
      <c r="AJ496" s="112" t="str">
        <f>IF(preDEL!$AG496,IFERROR(0/0,""),preDEL!AJ496)</f>
        <v/>
      </c>
      <c r="AK496" s="105" t="str">
        <f>IF(preDEL!$AG496,IFERROR(0/0,""),preDEL!AK496)</f>
        <v>Negative</v>
      </c>
      <c r="AL496" s="112" t="str">
        <f>IF(preDEL!$AG496,IFERROR(0/0,""),preDEL!AL496)</f>
        <v/>
      </c>
      <c r="AM496" s="112" t="str">
        <f>IF(preDEL!$AG496,IFERROR(0/0,""),preDEL!AM496)</f>
        <v>SpBEND737678</v>
      </c>
      <c r="AN496" s="112" t="str">
        <f>IF(preDEL!$AG496,IFERROR(0/0,""),preDEL!AN496)</f>
        <v>BEND944448</v>
      </c>
      <c r="AO496" s="112" t="str">
        <f>IF(preDEL!$AG496,IFERROR(0/0,""),preDEL!AO496)</f>
        <v/>
      </c>
      <c r="AP496" s="112" t="str">
        <f>IF(preDEL!$AG496,IFERROR(0/0,""),preDEL!AP496)</f>
        <v/>
      </c>
      <c r="AQ496" s="112" t="str">
        <f>IF(preDEL!$AG496,IFERROR(0/0,""),preDEL!AQ496)</f>
        <v/>
      </c>
      <c r="AR496" s="112" t="str">
        <f>IF(preDEL!$AG496,IFERROR(0/0,""),preDEL!AR496)</f>
        <v/>
      </c>
      <c r="AS496" s="112" t="str">
        <f>IF(preDEL!$AG496,IFERROR(0/0,""),preDEL!AS496)</f>
        <v/>
      </c>
      <c r="AT496" s="112" t="b">
        <f>IF(preDEL!$AG496,IFERROR(0/0,""),preDEL!AT496)</f>
        <v>0</v>
      </c>
      <c r="AU496" s="112" t="str">
        <f>IF(preDEL!$AG496,IFERROR(0/0,""),preDEL!AU496)</f>
        <v/>
      </c>
      <c r="AV496" s="112" t="str">
        <f>IF(preDEL!$AG496,IFERROR(0/0,""),preDEL!AV496)</f>
        <v/>
      </c>
      <c r="AW496" s="112" t="str">
        <f>IF(preDEL!$AG496,IFERROR(0/0,""),preDEL!AW496)</f>
        <v/>
      </c>
      <c r="AX496" s="112" t="str">
        <f>IF(preDEL!$AG496,IFERROR(0/0,""),preDEL!AX496)</f>
        <v/>
      </c>
      <c r="AY496" s="112" t="str">
        <f>IF(preDEL!$AG496,IFERROR(0/0,""),preDEL!AY496)</f>
        <v/>
      </c>
      <c r="AZ496" s="174"/>
      <c r="BA496" s="174"/>
      <c r="BB496" s="174"/>
      <c r="BC496" s="174"/>
      <c r="BD496" s="174"/>
      <c r="BE496" s="174"/>
      <c r="BF496" s="174"/>
      <c r="BG496" s="174"/>
      <c r="BH496" s="174"/>
      <c r="BI496" s="174"/>
      <c r="BJ496" s="174"/>
      <c r="BK496" s="174"/>
      <c r="BL496" s="174"/>
      <c r="BM496" s="174"/>
      <c r="BN496" s="174"/>
      <c r="BO496" s="174"/>
      <c r="BP496" s="174"/>
      <c r="BQ496" s="174"/>
      <c r="BR496" s="174"/>
      <c r="BS496" s="174"/>
      <c r="BT496" s="174"/>
      <c r="BU496" s="174"/>
      <c r="BV496" s="174"/>
      <c r="BW496" s="174"/>
      <c r="BX496" s="174"/>
      <c r="BY496" s="174"/>
      <c r="BZ496" s="174"/>
      <c r="CA496" s="174"/>
      <c r="CB496" s="174"/>
      <c r="CC496" s="174"/>
      <c r="CD496" s="174"/>
    </row>
    <row r="497">
      <c r="A497" s="105" t="str">
        <f>IF(preDEL!$AG497,IFERROR(0/0,""),preDEL!A497)</f>
        <v>MA279</v>
      </c>
      <c r="B497" s="170">
        <f>IF(preDEL!$AG497,IFERROR(0/0,""),preDEL!B497)</f>
        <v>44613</v>
      </c>
      <c r="C497" s="171">
        <f>IF(preDEL!$AG497,IFERROR(0/0,""),preDEL!C497)</f>
        <v>0.2935763889</v>
      </c>
      <c r="D497" s="105" t="str">
        <f>IF(preDEL!$AG497,IFERROR(0/0,""),preDEL!D497)</f>
        <v/>
      </c>
      <c r="E497" s="105" t="str">
        <f>IF(preDEL!$AG497,IFERROR(0/0,""),preDEL!E497)</f>
        <v/>
      </c>
      <c r="F497" s="112" t="str">
        <f>IF(preDEL!$AG497,IFERROR(0/0,""),preDEL!F497)</f>
        <v/>
      </c>
      <c r="G497" s="112" t="str">
        <f>IF(preDEL!$AG497,IFERROR(0/0,""),preDEL!G497)</f>
        <v/>
      </c>
      <c r="H497" s="112" t="str">
        <f>IF(preDEL!$AG497,IFERROR(0/0,""),preDEL!H497)</f>
        <v/>
      </c>
      <c r="I497" s="105" t="str">
        <f>IF(preDEL!$AG497,IFERROR(0/0,""),preDEL!I497)</f>
        <v/>
      </c>
      <c r="J497" s="105" t="str">
        <f>IF(preDEL!$AG497,IFERROR(0/0,""),preDEL!J497)</f>
        <v/>
      </c>
      <c r="K497" s="105" t="str">
        <f>IF(preDEL!$AG497,IFERROR(0/0,""),preDEL!K497)</f>
        <v>Negative</v>
      </c>
      <c r="L497" s="170">
        <f>IF(preDEL!$AG497,IFERROR(0/0,""),preDEL!L497)</f>
        <v>44613</v>
      </c>
      <c r="M497" s="171">
        <f>IF(preDEL!$AG497,IFERROR(0/0,""),preDEL!M497)</f>
        <v>0.4693981481</v>
      </c>
      <c r="N497" s="112" t="str">
        <f>IF(preDEL!$AG497,IFERROR(0/0,""),preDEL!N497)</f>
        <v/>
      </c>
      <c r="O497" s="112" t="str">
        <f>IF(preDEL!$AG497,IFERROR(0/0,""),preDEL!O497)</f>
        <v/>
      </c>
      <c r="P497" s="110" t="b">
        <f>IF(preDEL!$AG497,IFERROR(0/0,""),preDEL!P497)</f>
        <v>0</v>
      </c>
      <c r="Q497" s="110" t="str">
        <f>IF(preDEL!$AG497,IFERROR(0/0,""),preDEL!Q497)</f>
        <v>Result</v>
      </c>
      <c r="R497" s="104" t="b">
        <f>IF(preDEL!$AG497,IFERROR(0/0,""),preDEL!R497)</f>
        <v>1</v>
      </c>
      <c r="S497" s="104">
        <f>IF(preDEL!$AG497,IFERROR(0/0,""),preDEL!S497)</f>
        <v>1</v>
      </c>
      <c r="T497" s="110" t="str">
        <f>IF(preDEL!$AG497,IFERROR(0/0,""),preDEL!T497)</f>
        <v/>
      </c>
      <c r="U497" s="112" t="str">
        <f>IF(preDEL!$AG497,IFERROR(0/0,""),preDEL!U497)</f>
        <v/>
      </c>
      <c r="V497" s="105" t="str">
        <f>IF(preDEL!$AG497,IFERROR(0/0,""),preDEL!V497)</f>
        <v/>
      </c>
      <c r="W497" s="112" t="str">
        <f>IF(preDEL!$AG497,IFERROR(0/0,""),preDEL!W497)</f>
        <v/>
      </c>
      <c r="X497" s="104" t="b">
        <f>IF(preDEL!$AG497,IFERROR(0/0,""),preDEL!X497)</f>
        <v>0</v>
      </c>
      <c r="Y497" s="110" t="b">
        <f>IF(preDEL!$AG497,IFERROR(0/0,""),preDEL!Y497)</f>
        <v>0</v>
      </c>
      <c r="Z497" s="105" t="str">
        <f>IF(preDEL!$AG497,IFERROR(0/0,""),preDEL!Z497)</f>
        <v/>
      </c>
      <c r="AA497" s="110" t="b">
        <f>IF(preDEL!$AG497,IFERROR(0/0,""),preDEL!AA497)</f>
        <v>0</v>
      </c>
      <c r="AB497" s="110" t="b">
        <f>IF(preDEL!$AG497,IFERROR(0/0,""),preDEL!AB497)</f>
        <v>0</v>
      </c>
      <c r="AC497" s="172">
        <f>IF(preDEL!$AG497,IFERROR(0/0,""),preDEL!AC497)</f>
        <v>315</v>
      </c>
      <c r="AD497" s="104" t="b">
        <f>IF(preDEL!$AG497,IFERROR(0/0,""),preDEL!AD497)</f>
        <v>0</v>
      </c>
      <c r="AE497" s="173">
        <f>IF(preDEL!$AG497,IFERROR(0/0,""),preDEL!AE497)</f>
        <v>253.1833333</v>
      </c>
      <c r="AF497" s="110" t="b">
        <f>IF(preDEL!$AG497,IFERROR(0/0,""),preDEL!AF497)</f>
        <v>0</v>
      </c>
      <c r="AG497" s="110" t="b">
        <f>IF(preDEL!$AG497,IFERROR(0/0,""),preDEL!AG497)</f>
        <v>0</v>
      </c>
      <c r="AH497" s="104" t="str">
        <f>IF(preDEL!$AG497,IFERROR(0/0,""),preDEL!AH497)</f>
        <v/>
      </c>
      <c r="AI497" s="105" t="str">
        <f>IF(preDEL!$AG497,IFERROR(0/0,""),preDEL!AI497)</f>
        <v/>
      </c>
      <c r="AJ497" s="112" t="str">
        <f>IF(preDEL!$AG497,IFERROR(0/0,""),preDEL!AJ497)</f>
        <v/>
      </c>
      <c r="AK497" s="105" t="str">
        <f>IF(preDEL!$AG497,IFERROR(0/0,""),preDEL!AK497)</f>
        <v>Negative</v>
      </c>
      <c r="AL497" s="112" t="str">
        <f>IF(preDEL!$AG497,IFERROR(0/0,""),preDEL!AL497)</f>
        <v/>
      </c>
      <c r="AM497" s="112" t="str">
        <f>IF(preDEL!$AG497,IFERROR(0/0,""),preDEL!AM497)</f>
        <v>SpBEND321883</v>
      </c>
      <c r="AN497" s="112" t="str">
        <f>IF(preDEL!$AG497,IFERROR(0/0,""),preDEL!AN497)</f>
        <v>BEND395125</v>
      </c>
      <c r="AO497" s="112" t="str">
        <f>IF(preDEL!$AG497,IFERROR(0/0,""),preDEL!AO497)</f>
        <v/>
      </c>
      <c r="AP497" s="112" t="str">
        <f>IF(preDEL!$AG497,IFERROR(0/0,""),preDEL!AP497)</f>
        <v/>
      </c>
      <c r="AQ497" s="112" t="str">
        <f>IF(preDEL!$AG497,IFERROR(0/0,""),preDEL!AQ497)</f>
        <v/>
      </c>
      <c r="AR497" s="112" t="str">
        <f>IF(preDEL!$AG497,IFERROR(0/0,""),preDEL!AR497)</f>
        <v/>
      </c>
      <c r="AS497" s="112" t="str">
        <f>IF(preDEL!$AG497,IFERROR(0/0,""),preDEL!AS497)</f>
        <v/>
      </c>
      <c r="AT497" s="112" t="b">
        <f>IF(preDEL!$AG497,IFERROR(0/0,""),preDEL!AT497)</f>
        <v>0</v>
      </c>
      <c r="AU497" s="112" t="str">
        <f>IF(preDEL!$AG497,IFERROR(0/0,""),preDEL!AU497)</f>
        <v/>
      </c>
      <c r="AV497" s="112" t="str">
        <f>IF(preDEL!$AG497,IFERROR(0/0,""),preDEL!AV497)</f>
        <v/>
      </c>
      <c r="AW497" s="112" t="str">
        <f>IF(preDEL!$AG497,IFERROR(0/0,""),preDEL!AW497)</f>
        <v/>
      </c>
      <c r="AX497" s="112" t="str">
        <f>IF(preDEL!$AG497,IFERROR(0/0,""),preDEL!AX497)</f>
        <v/>
      </c>
      <c r="AY497" s="112" t="str">
        <f>IF(preDEL!$AG497,IFERROR(0/0,""),preDEL!AY497)</f>
        <v/>
      </c>
      <c r="AZ497" s="174"/>
      <c r="BA497" s="174"/>
      <c r="BB497" s="174"/>
      <c r="BC497" s="174"/>
      <c r="BD497" s="174"/>
      <c r="BE497" s="174"/>
      <c r="BF497" s="174"/>
      <c r="BG497" s="174"/>
      <c r="BH497" s="174"/>
      <c r="BI497" s="174"/>
      <c r="BJ497" s="174"/>
      <c r="BK497" s="174"/>
      <c r="BL497" s="174"/>
      <c r="BM497" s="174"/>
      <c r="BN497" s="174"/>
      <c r="BO497" s="174"/>
      <c r="BP497" s="174"/>
      <c r="BQ497" s="174"/>
      <c r="BR497" s="174"/>
      <c r="BS497" s="174"/>
      <c r="BT497" s="174"/>
      <c r="BU497" s="174"/>
      <c r="BV497" s="174"/>
      <c r="BW497" s="174"/>
      <c r="BX497" s="174"/>
      <c r="BY497" s="174"/>
      <c r="BZ497" s="174"/>
      <c r="CA497" s="174"/>
      <c r="CB497" s="174"/>
      <c r="CC497" s="174"/>
      <c r="CD497" s="174"/>
    </row>
    <row r="498">
      <c r="A498" s="105" t="str">
        <f>IF(preDEL!$AG498,IFERROR(0/0,""),preDEL!A498)</f>
        <v>FM486</v>
      </c>
      <c r="B498" s="170">
        <f>IF(preDEL!$AG498,IFERROR(0/0,""),preDEL!B498)</f>
        <v>44613</v>
      </c>
      <c r="C498" s="171">
        <f>IF(preDEL!$AG498,IFERROR(0/0,""),preDEL!C498)</f>
        <v>0.3007175926</v>
      </c>
      <c r="D498" s="105" t="str">
        <f>IF(preDEL!$AG498,IFERROR(0/0,""),preDEL!D498)</f>
        <v/>
      </c>
      <c r="E498" s="105" t="str">
        <f>IF(preDEL!$AG498,IFERROR(0/0,""),preDEL!E498)</f>
        <v/>
      </c>
      <c r="F498" s="112" t="str">
        <f>IF(preDEL!$AG498,IFERROR(0/0,""),preDEL!F498)</f>
        <v/>
      </c>
      <c r="G498" s="112" t="str">
        <f>IF(preDEL!$AG498,IFERROR(0/0,""),preDEL!G498)</f>
        <v/>
      </c>
      <c r="H498" s="112" t="str">
        <f>IF(preDEL!$AG498,IFERROR(0/0,""),preDEL!H498)</f>
        <v/>
      </c>
      <c r="I498" s="105" t="str">
        <f>IF(preDEL!$AG498,IFERROR(0/0,""),preDEL!I498)</f>
        <v/>
      </c>
      <c r="J498" s="105" t="str">
        <f>IF(preDEL!$AG498,IFERROR(0/0,""),preDEL!J498)</f>
        <v/>
      </c>
      <c r="K498" s="105" t="str">
        <f>IF(preDEL!$AG498,IFERROR(0/0,""),preDEL!K498)</f>
        <v>Negative</v>
      </c>
      <c r="L498" s="170">
        <f>IF(preDEL!$AG498,IFERROR(0/0,""),preDEL!L498)</f>
        <v>44613</v>
      </c>
      <c r="M498" s="171">
        <f>IF(preDEL!$AG498,IFERROR(0/0,""),preDEL!M498)</f>
        <v>0.4693981481</v>
      </c>
      <c r="N498" s="112" t="str">
        <f>IF(preDEL!$AG498,IFERROR(0/0,""),preDEL!N498)</f>
        <v/>
      </c>
      <c r="O498" s="112" t="str">
        <f>IF(preDEL!$AG498,IFERROR(0/0,""),preDEL!O498)</f>
        <v/>
      </c>
      <c r="P498" s="110" t="b">
        <f>IF(preDEL!$AG498,IFERROR(0/0,""),preDEL!P498)</f>
        <v>0</v>
      </c>
      <c r="Q498" s="110" t="str">
        <f>IF(preDEL!$AG498,IFERROR(0/0,""),preDEL!Q498)</f>
        <v>Result</v>
      </c>
      <c r="R498" s="104" t="b">
        <f>IF(preDEL!$AG498,IFERROR(0/0,""),preDEL!R498)</f>
        <v>1</v>
      </c>
      <c r="S498" s="104">
        <f>IF(preDEL!$AG498,IFERROR(0/0,""),preDEL!S498)</f>
        <v>1</v>
      </c>
      <c r="T498" s="110" t="str">
        <f>IF(preDEL!$AG498,IFERROR(0/0,""),preDEL!T498)</f>
        <v/>
      </c>
      <c r="U498" s="112" t="str">
        <f>IF(preDEL!$AG498,IFERROR(0/0,""),preDEL!U498)</f>
        <v/>
      </c>
      <c r="V498" s="105" t="str">
        <f>IF(preDEL!$AG498,IFERROR(0/0,""),preDEL!V498)</f>
        <v/>
      </c>
      <c r="W498" s="112" t="str">
        <f>IF(preDEL!$AG498,IFERROR(0/0,""),preDEL!W498)</f>
        <v/>
      </c>
      <c r="X498" s="104" t="b">
        <f>IF(preDEL!$AG498,IFERROR(0/0,""),preDEL!X498)</f>
        <v>0</v>
      </c>
      <c r="Y498" s="110" t="b">
        <f>IF(preDEL!$AG498,IFERROR(0/0,""),preDEL!Y498)</f>
        <v>0</v>
      </c>
      <c r="Z498" s="105" t="str">
        <f>IF(preDEL!$AG498,IFERROR(0/0,""),preDEL!Z498)</f>
        <v/>
      </c>
      <c r="AA498" s="110" t="b">
        <f>IF(preDEL!$AG498,IFERROR(0/0,""),preDEL!AA498)</f>
        <v>0</v>
      </c>
      <c r="AB498" s="110" t="b">
        <f>IF(preDEL!$AG498,IFERROR(0/0,""),preDEL!AB498)</f>
        <v>0</v>
      </c>
      <c r="AC498" s="172">
        <f>IF(preDEL!$AG498,IFERROR(0/0,""),preDEL!AC498)</f>
        <v>314</v>
      </c>
      <c r="AD498" s="104" t="b">
        <f>IF(preDEL!$AG498,IFERROR(0/0,""),preDEL!AD498)</f>
        <v>0</v>
      </c>
      <c r="AE498" s="173">
        <f>IF(preDEL!$AG498,IFERROR(0/0,""),preDEL!AE498)</f>
        <v>242.9</v>
      </c>
      <c r="AF498" s="110" t="b">
        <f>IF(preDEL!$AG498,IFERROR(0/0,""),preDEL!AF498)</f>
        <v>0</v>
      </c>
      <c r="AG498" s="110" t="b">
        <f>IF(preDEL!$AG498,IFERROR(0/0,""),preDEL!AG498)</f>
        <v>0</v>
      </c>
      <c r="AH498" s="104" t="str">
        <f>IF(preDEL!$AG498,IFERROR(0/0,""),preDEL!AH498)</f>
        <v/>
      </c>
      <c r="AI498" s="105" t="str">
        <f>IF(preDEL!$AG498,IFERROR(0/0,""),preDEL!AI498)</f>
        <v/>
      </c>
      <c r="AJ498" s="112" t="str">
        <f>IF(preDEL!$AG498,IFERROR(0/0,""),preDEL!AJ498)</f>
        <v/>
      </c>
      <c r="AK498" s="105" t="str">
        <f>IF(preDEL!$AG498,IFERROR(0/0,""),preDEL!AK498)</f>
        <v>Negative</v>
      </c>
      <c r="AL498" s="112" t="str">
        <f>IF(preDEL!$AG498,IFERROR(0/0,""),preDEL!AL498)</f>
        <v/>
      </c>
      <c r="AM498" s="112" t="str">
        <f>IF(preDEL!$AG498,IFERROR(0/0,""),preDEL!AM498)</f>
        <v>SpBEND734943</v>
      </c>
      <c r="AN498" s="112" t="str">
        <f>IF(preDEL!$AG498,IFERROR(0/0,""),preDEL!AN498)</f>
        <v>BEND710690</v>
      </c>
      <c r="AO498" s="112" t="str">
        <f>IF(preDEL!$AG498,IFERROR(0/0,""),preDEL!AO498)</f>
        <v/>
      </c>
      <c r="AP498" s="112" t="str">
        <f>IF(preDEL!$AG498,IFERROR(0/0,""),preDEL!AP498)</f>
        <v/>
      </c>
      <c r="AQ498" s="112" t="str">
        <f>IF(preDEL!$AG498,IFERROR(0/0,""),preDEL!AQ498)</f>
        <v/>
      </c>
      <c r="AR498" s="112" t="str">
        <f>IF(preDEL!$AG498,IFERROR(0/0,""),preDEL!AR498)</f>
        <v/>
      </c>
      <c r="AS498" s="112" t="str">
        <f>IF(preDEL!$AG498,IFERROR(0/0,""),preDEL!AS498)</f>
        <v/>
      </c>
      <c r="AT498" s="112" t="b">
        <f>IF(preDEL!$AG498,IFERROR(0/0,""),preDEL!AT498)</f>
        <v>0</v>
      </c>
      <c r="AU498" s="112" t="str">
        <f>IF(preDEL!$AG498,IFERROR(0/0,""),preDEL!AU498)</f>
        <v/>
      </c>
      <c r="AV498" s="112" t="str">
        <f>IF(preDEL!$AG498,IFERROR(0/0,""),preDEL!AV498)</f>
        <v/>
      </c>
      <c r="AW498" s="112" t="str">
        <f>IF(preDEL!$AG498,IFERROR(0/0,""),preDEL!AW498)</f>
        <v/>
      </c>
      <c r="AX498" s="112" t="str">
        <f>IF(preDEL!$AG498,IFERROR(0/0,""),preDEL!AX498)</f>
        <v/>
      </c>
      <c r="AY498" s="112" t="str">
        <f>IF(preDEL!$AG498,IFERROR(0/0,""),preDEL!AY498)</f>
        <v/>
      </c>
      <c r="AZ498" s="174"/>
      <c r="BA498" s="174"/>
      <c r="BB498" s="174"/>
      <c r="BC498" s="174"/>
      <c r="BD498" s="174"/>
      <c r="BE498" s="174"/>
      <c r="BF498" s="174"/>
      <c r="BG498" s="174"/>
      <c r="BH498" s="174"/>
      <c r="BI498" s="174"/>
      <c r="BJ498" s="174"/>
      <c r="BK498" s="174"/>
      <c r="BL498" s="174"/>
      <c r="BM498" s="174"/>
      <c r="BN498" s="174"/>
      <c r="BO498" s="174"/>
      <c r="BP498" s="174"/>
      <c r="BQ498" s="174"/>
      <c r="BR498" s="174"/>
      <c r="BS498" s="174"/>
      <c r="BT498" s="174"/>
      <c r="BU498" s="174"/>
      <c r="BV498" s="174"/>
      <c r="BW498" s="174"/>
      <c r="BX498" s="174"/>
      <c r="BY498" s="174"/>
      <c r="BZ498" s="174"/>
      <c r="CA498" s="174"/>
      <c r="CB498" s="174"/>
      <c r="CC498" s="174"/>
      <c r="CD498" s="174"/>
    </row>
    <row r="499">
      <c r="A499" s="105" t="str">
        <f>IF(preDEL!$AG499,IFERROR(0/0,""),preDEL!A499)</f>
        <v>FM28</v>
      </c>
      <c r="B499" s="170">
        <f>IF(preDEL!$AG499,IFERROR(0/0,""),preDEL!B499)</f>
        <v>44613</v>
      </c>
      <c r="C499" s="171">
        <f>IF(preDEL!$AG499,IFERROR(0/0,""),preDEL!C499)</f>
        <v>0.3065509259</v>
      </c>
      <c r="D499" s="105" t="str">
        <f>IF(preDEL!$AG499,IFERROR(0/0,""),preDEL!D499)</f>
        <v/>
      </c>
      <c r="E499" s="105" t="str">
        <f>IF(preDEL!$AG499,IFERROR(0/0,""),preDEL!E499)</f>
        <v/>
      </c>
      <c r="F499" s="112" t="str">
        <f>IF(preDEL!$AG499,IFERROR(0/0,""),preDEL!F499)</f>
        <v/>
      </c>
      <c r="G499" s="112" t="str">
        <f>IF(preDEL!$AG499,IFERROR(0/0,""),preDEL!G499)</f>
        <v/>
      </c>
      <c r="H499" s="112" t="str">
        <f>IF(preDEL!$AG499,IFERROR(0/0,""),preDEL!H499)</f>
        <v/>
      </c>
      <c r="I499" s="105" t="str">
        <f>IF(preDEL!$AG499,IFERROR(0/0,""),preDEL!I499)</f>
        <v/>
      </c>
      <c r="J499" s="105" t="str">
        <f>IF(preDEL!$AG499,IFERROR(0/0,""),preDEL!J499)</f>
        <v/>
      </c>
      <c r="K499" s="105" t="str">
        <f>IF(preDEL!$AG499,IFERROR(0/0,""),preDEL!K499)</f>
        <v>Negative</v>
      </c>
      <c r="L499" s="170">
        <f>IF(preDEL!$AG499,IFERROR(0/0,""),preDEL!L499)</f>
        <v>44613</v>
      </c>
      <c r="M499" s="171">
        <f>IF(preDEL!$AG499,IFERROR(0/0,""),preDEL!M499)</f>
        <v>0.4693981481</v>
      </c>
      <c r="N499" s="112" t="str">
        <f>IF(preDEL!$AG499,IFERROR(0/0,""),preDEL!N499)</f>
        <v/>
      </c>
      <c r="O499" s="112" t="str">
        <f>IF(preDEL!$AG499,IFERROR(0/0,""),preDEL!O499)</f>
        <v/>
      </c>
      <c r="P499" s="110" t="b">
        <f>IF(preDEL!$AG499,IFERROR(0/0,""),preDEL!P499)</f>
        <v>0</v>
      </c>
      <c r="Q499" s="110" t="str">
        <f>IF(preDEL!$AG499,IFERROR(0/0,""),preDEL!Q499)</f>
        <v>Result</v>
      </c>
      <c r="R499" s="104" t="b">
        <f>IF(preDEL!$AG499,IFERROR(0/0,""),preDEL!R499)</f>
        <v>1</v>
      </c>
      <c r="S499" s="104">
        <f>IF(preDEL!$AG499,IFERROR(0/0,""),preDEL!S499)</f>
        <v>1</v>
      </c>
      <c r="T499" s="110" t="str">
        <f>IF(preDEL!$AG499,IFERROR(0/0,""),preDEL!T499)</f>
        <v/>
      </c>
      <c r="U499" s="112" t="str">
        <f>IF(preDEL!$AG499,IFERROR(0/0,""),preDEL!U499)</f>
        <v/>
      </c>
      <c r="V499" s="105" t="str">
        <f>IF(preDEL!$AG499,IFERROR(0/0,""),preDEL!V499)</f>
        <v/>
      </c>
      <c r="W499" s="112" t="str">
        <f>IF(preDEL!$AG499,IFERROR(0/0,""),preDEL!W499)</f>
        <v/>
      </c>
      <c r="X499" s="104" t="b">
        <f>IF(preDEL!$AG499,IFERROR(0/0,""),preDEL!X499)</f>
        <v>0</v>
      </c>
      <c r="Y499" s="110" t="b">
        <f>IF(preDEL!$AG499,IFERROR(0/0,""),preDEL!Y499)</f>
        <v>0</v>
      </c>
      <c r="Z499" s="105" t="str">
        <f>IF(preDEL!$AG499,IFERROR(0/0,""),preDEL!Z499)</f>
        <v/>
      </c>
      <c r="AA499" s="110" t="b">
        <f>IF(preDEL!$AG499,IFERROR(0/0,""),preDEL!AA499)</f>
        <v>0</v>
      </c>
      <c r="AB499" s="110" t="b">
        <f>IF(preDEL!$AG499,IFERROR(0/0,""),preDEL!AB499)</f>
        <v>0</v>
      </c>
      <c r="AC499" s="172">
        <f>IF(preDEL!$AG499,IFERROR(0/0,""),preDEL!AC499)</f>
        <v>313</v>
      </c>
      <c r="AD499" s="104" t="b">
        <f>IF(preDEL!$AG499,IFERROR(0/0,""),preDEL!AD499)</f>
        <v>0</v>
      </c>
      <c r="AE499" s="173">
        <f>IF(preDEL!$AG499,IFERROR(0/0,""),preDEL!AE499)</f>
        <v>234.5</v>
      </c>
      <c r="AF499" s="110" t="b">
        <f>IF(preDEL!$AG499,IFERROR(0/0,""),preDEL!AF499)</f>
        <v>0</v>
      </c>
      <c r="AG499" s="110" t="b">
        <f>IF(preDEL!$AG499,IFERROR(0/0,""),preDEL!AG499)</f>
        <v>0</v>
      </c>
      <c r="AH499" s="104" t="str">
        <f>IF(preDEL!$AG499,IFERROR(0/0,""),preDEL!AH499)</f>
        <v/>
      </c>
      <c r="AI499" s="105" t="str">
        <f>IF(preDEL!$AG499,IFERROR(0/0,""),preDEL!AI499)</f>
        <v/>
      </c>
      <c r="AJ499" s="112" t="str">
        <f>IF(preDEL!$AG499,IFERROR(0/0,""),preDEL!AJ499)</f>
        <v/>
      </c>
      <c r="AK499" s="105" t="str">
        <f>IF(preDEL!$AG499,IFERROR(0/0,""),preDEL!AK499)</f>
        <v>Negative</v>
      </c>
      <c r="AL499" s="112" t="str">
        <f>IF(preDEL!$AG499,IFERROR(0/0,""),preDEL!AL499)</f>
        <v/>
      </c>
      <c r="AM499" s="112" t="str">
        <f>IF(preDEL!$AG499,IFERROR(0/0,""),preDEL!AM499)</f>
        <v>SpBEND842248</v>
      </c>
      <c r="AN499" s="112" t="str">
        <f>IF(preDEL!$AG499,IFERROR(0/0,""),preDEL!AN499)</f>
        <v>BEND296589</v>
      </c>
      <c r="AO499" s="112" t="str">
        <f>IF(preDEL!$AG499,IFERROR(0/0,""),preDEL!AO499)</f>
        <v/>
      </c>
      <c r="AP499" s="112" t="str">
        <f>IF(preDEL!$AG499,IFERROR(0/0,""),preDEL!AP499)</f>
        <v/>
      </c>
      <c r="AQ499" s="112" t="str">
        <f>IF(preDEL!$AG499,IFERROR(0/0,""),preDEL!AQ499)</f>
        <v/>
      </c>
      <c r="AR499" s="112" t="str">
        <f>IF(preDEL!$AG499,IFERROR(0/0,""),preDEL!AR499)</f>
        <v/>
      </c>
      <c r="AS499" s="112" t="str">
        <f>IF(preDEL!$AG499,IFERROR(0/0,""),preDEL!AS499)</f>
        <v/>
      </c>
      <c r="AT499" s="112" t="b">
        <f>IF(preDEL!$AG499,IFERROR(0/0,""),preDEL!AT499)</f>
        <v>0</v>
      </c>
      <c r="AU499" s="112" t="str">
        <f>IF(preDEL!$AG499,IFERROR(0/0,""),preDEL!AU499)</f>
        <v/>
      </c>
      <c r="AV499" s="112" t="str">
        <f>IF(preDEL!$AG499,IFERROR(0/0,""),preDEL!AV499)</f>
        <v/>
      </c>
      <c r="AW499" s="112" t="str">
        <f>IF(preDEL!$AG499,IFERROR(0/0,""),preDEL!AW499)</f>
        <v/>
      </c>
      <c r="AX499" s="112" t="str">
        <f>IF(preDEL!$AG499,IFERROR(0/0,""),preDEL!AX499)</f>
        <v/>
      </c>
      <c r="AY499" s="112" t="str">
        <f>IF(preDEL!$AG499,IFERROR(0/0,""),preDEL!AY499)</f>
        <v/>
      </c>
      <c r="AZ499" s="174"/>
      <c r="BA499" s="174"/>
      <c r="BB499" s="174"/>
      <c r="BC499" s="174"/>
      <c r="BD499" s="174"/>
      <c r="BE499" s="174"/>
      <c r="BF499" s="174"/>
      <c r="BG499" s="174"/>
      <c r="BH499" s="174"/>
      <c r="BI499" s="174"/>
      <c r="BJ499" s="174"/>
      <c r="BK499" s="174"/>
      <c r="BL499" s="174"/>
      <c r="BM499" s="174"/>
      <c r="BN499" s="174"/>
      <c r="BO499" s="174"/>
      <c r="BP499" s="174"/>
      <c r="BQ499" s="174"/>
      <c r="BR499" s="174"/>
      <c r="BS499" s="174"/>
      <c r="BT499" s="174"/>
      <c r="BU499" s="174"/>
      <c r="BV499" s="174"/>
      <c r="BW499" s="174"/>
      <c r="BX499" s="174"/>
      <c r="BY499" s="174"/>
      <c r="BZ499" s="174"/>
      <c r="CA499" s="174"/>
      <c r="CB499" s="174"/>
      <c r="CC499" s="174"/>
      <c r="CD499" s="174"/>
    </row>
    <row r="500">
      <c r="A500" s="105" t="str">
        <f>IF(preDEL!$AG500,IFERROR(0/0,""),preDEL!A500)</f>
        <v>FM32</v>
      </c>
      <c r="B500" s="170">
        <f>IF(preDEL!$AG500,IFERROR(0/0,""),preDEL!B500)</f>
        <v>44613</v>
      </c>
      <c r="C500" s="171">
        <f>IF(preDEL!$AG500,IFERROR(0/0,""),preDEL!C500)</f>
        <v>0.307337963</v>
      </c>
      <c r="D500" s="105" t="str">
        <f>IF(preDEL!$AG500,IFERROR(0/0,""),preDEL!D500)</f>
        <v/>
      </c>
      <c r="E500" s="105" t="str">
        <f>IF(preDEL!$AG500,IFERROR(0/0,""),preDEL!E500)</f>
        <v/>
      </c>
      <c r="F500" s="112" t="str">
        <f>IF(preDEL!$AG500,IFERROR(0/0,""),preDEL!F500)</f>
        <v/>
      </c>
      <c r="G500" s="112" t="str">
        <f>IF(preDEL!$AG500,IFERROR(0/0,""),preDEL!G500)</f>
        <v/>
      </c>
      <c r="H500" s="112" t="str">
        <f>IF(preDEL!$AG500,IFERROR(0/0,""),preDEL!H500)</f>
        <v/>
      </c>
      <c r="I500" s="105" t="str">
        <f>IF(preDEL!$AG500,IFERROR(0/0,""),preDEL!I500)</f>
        <v/>
      </c>
      <c r="J500" s="105" t="str">
        <f>IF(preDEL!$AG500,IFERROR(0/0,""),preDEL!J500)</f>
        <v/>
      </c>
      <c r="K500" s="105" t="str">
        <f>IF(preDEL!$AG500,IFERROR(0/0,""),preDEL!K500)</f>
        <v>Negative</v>
      </c>
      <c r="L500" s="170">
        <f>IF(preDEL!$AG500,IFERROR(0/0,""),preDEL!L500)</f>
        <v>44613</v>
      </c>
      <c r="M500" s="171">
        <f>IF(preDEL!$AG500,IFERROR(0/0,""),preDEL!M500)</f>
        <v>0.4693981481</v>
      </c>
      <c r="N500" s="112" t="str">
        <f>IF(preDEL!$AG500,IFERROR(0/0,""),preDEL!N500)</f>
        <v/>
      </c>
      <c r="O500" s="112" t="str">
        <f>IF(preDEL!$AG500,IFERROR(0/0,""),preDEL!O500)</f>
        <v/>
      </c>
      <c r="P500" s="110" t="b">
        <f>IF(preDEL!$AG500,IFERROR(0/0,""),preDEL!P500)</f>
        <v>0</v>
      </c>
      <c r="Q500" s="110" t="str">
        <f>IF(preDEL!$AG500,IFERROR(0/0,""),preDEL!Q500)</f>
        <v>Result</v>
      </c>
      <c r="R500" s="104" t="b">
        <f>IF(preDEL!$AG500,IFERROR(0/0,""),preDEL!R500)</f>
        <v>1</v>
      </c>
      <c r="S500" s="104">
        <f>IF(preDEL!$AG500,IFERROR(0/0,""),preDEL!S500)</f>
        <v>1</v>
      </c>
      <c r="T500" s="110" t="str">
        <f>IF(preDEL!$AG500,IFERROR(0/0,""),preDEL!T500)</f>
        <v/>
      </c>
      <c r="U500" s="112" t="str">
        <f>IF(preDEL!$AG500,IFERROR(0/0,""),preDEL!U500)</f>
        <v/>
      </c>
      <c r="V500" s="105" t="str">
        <f>IF(preDEL!$AG500,IFERROR(0/0,""),preDEL!V500)</f>
        <v/>
      </c>
      <c r="W500" s="112" t="str">
        <f>IF(preDEL!$AG500,IFERROR(0/0,""),preDEL!W500)</f>
        <v/>
      </c>
      <c r="X500" s="104" t="b">
        <f>IF(preDEL!$AG500,IFERROR(0/0,""),preDEL!X500)</f>
        <v>0</v>
      </c>
      <c r="Y500" s="110" t="b">
        <f>IF(preDEL!$AG500,IFERROR(0/0,""),preDEL!Y500)</f>
        <v>0</v>
      </c>
      <c r="Z500" s="105" t="str">
        <f>IF(preDEL!$AG500,IFERROR(0/0,""),preDEL!Z500)</f>
        <v/>
      </c>
      <c r="AA500" s="110" t="b">
        <f>IF(preDEL!$AG500,IFERROR(0/0,""),preDEL!AA500)</f>
        <v>0</v>
      </c>
      <c r="AB500" s="110" t="b">
        <f>IF(preDEL!$AG500,IFERROR(0/0,""),preDEL!AB500)</f>
        <v>0</v>
      </c>
      <c r="AC500" s="172">
        <f>IF(preDEL!$AG500,IFERROR(0/0,""),preDEL!AC500)</f>
        <v>312</v>
      </c>
      <c r="AD500" s="104" t="b">
        <f>IF(preDEL!$AG500,IFERROR(0/0,""),preDEL!AD500)</f>
        <v>0</v>
      </c>
      <c r="AE500" s="173">
        <f>IF(preDEL!$AG500,IFERROR(0/0,""),preDEL!AE500)</f>
        <v>233.3666667</v>
      </c>
      <c r="AF500" s="110" t="b">
        <f>IF(preDEL!$AG500,IFERROR(0/0,""),preDEL!AF500)</f>
        <v>0</v>
      </c>
      <c r="AG500" s="110" t="b">
        <f>IF(preDEL!$AG500,IFERROR(0/0,""),preDEL!AG500)</f>
        <v>0</v>
      </c>
      <c r="AH500" s="104" t="str">
        <f>IF(preDEL!$AG500,IFERROR(0/0,""),preDEL!AH500)</f>
        <v/>
      </c>
      <c r="AI500" s="105" t="str">
        <f>IF(preDEL!$AG500,IFERROR(0/0,""),preDEL!AI500)</f>
        <v/>
      </c>
      <c r="AJ500" s="112" t="str">
        <f>IF(preDEL!$AG500,IFERROR(0/0,""),preDEL!AJ500)</f>
        <v/>
      </c>
      <c r="AK500" s="105" t="str">
        <f>IF(preDEL!$AG500,IFERROR(0/0,""),preDEL!AK500)</f>
        <v>Negative</v>
      </c>
      <c r="AL500" s="112" t="str">
        <f>IF(preDEL!$AG500,IFERROR(0/0,""),preDEL!AL500)</f>
        <v/>
      </c>
      <c r="AM500" s="112" t="str">
        <f>IF(preDEL!$AG500,IFERROR(0/0,""),preDEL!AM500)</f>
        <v>SpBEND481988</v>
      </c>
      <c r="AN500" s="112" t="str">
        <f>IF(preDEL!$AG500,IFERROR(0/0,""),preDEL!AN500)</f>
        <v>BEND223874</v>
      </c>
      <c r="AO500" s="112" t="str">
        <f>IF(preDEL!$AG500,IFERROR(0/0,""),preDEL!AO500)</f>
        <v/>
      </c>
      <c r="AP500" s="112" t="str">
        <f>IF(preDEL!$AG500,IFERROR(0/0,""),preDEL!AP500)</f>
        <v/>
      </c>
      <c r="AQ500" s="112" t="str">
        <f>IF(preDEL!$AG500,IFERROR(0/0,""),preDEL!AQ500)</f>
        <v/>
      </c>
      <c r="AR500" s="112" t="str">
        <f>IF(preDEL!$AG500,IFERROR(0/0,""),preDEL!AR500)</f>
        <v/>
      </c>
      <c r="AS500" s="112" t="str">
        <f>IF(preDEL!$AG500,IFERROR(0/0,""),preDEL!AS500)</f>
        <v/>
      </c>
      <c r="AT500" s="112" t="b">
        <f>IF(preDEL!$AG500,IFERROR(0/0,""),preDEL!AT500)</f>
        <v>0</v>
      </c>
      <c r="AU500" s="112" t="str">
        <f>IF(preDEL!$AG500,IFERROR(0/0,""),preDEL!AU500)</f>
        <v/>
      </c>
      <c r="AV500" s="112" t="str">
        <f>IF(preDEL!$AG500,IFERROR(0/0,""),preDEL!AV500)</f>
        <v/>
      </c>
      <c r="AW500" s="112" t="str">
        <f>IF(preDEL!$AG500,IFERROR(0/0,""),preDEL!AW500)</f>
        <v/>
      </c>
      <c r="AX500" s="112" t="str">
        <f>IF(preDEL!$AG500,IFERROR(0/0,""),preDEL!AX500)</f>
        <v/>
      </c>
      <c r="AY500" s="112" t="str">
        <f>IF(preDEL!$AG500,IFERROR(0/0,""),preDEL!AY500)</f>
        <v/>
      </c>
      <c r="AZ500" s="174"/>
      <c r="BA500" s="174"/>
      <c r="BB500" s="174"/>
      <c r="BC500" s="174"/>
      <c r="BD500" s="174"/>
      <c r="BE500" s="174"/>
      <c r="BF500" s="174"/>
      <c r="BG500" s="174"/>
      <c r="BH500" s="174"/>
      <c r="BI500" s="174"/>
      <c r="BJ500" s="174"/>
      <c r="BK500" s="174"/>
      <c r="BL500" s="174"/>
      <c r="BM500" s="174"/>
      <c r="BN500" s="174"/>
      <c r="BO500" s="174"/>
      <c r="BP500" s="174"/>
      <c r="BQ500" s="174"/>
      <c r="BR500" s="174"/>
      <c r="BS500" s="174"/>
      <c r="BT500" s="174"/>
      <c r="BU500" s="174"/>
      <c r="BV500" s="174"/>
      <c r="BW500" s="174"/>
      <c r="BX500" s="174"/>
      <c r="BY500" s="174"/>
      <c r="BZ500" s="174"/>
      <c r="CA500" s="174"/>
      <c r="CB500" s="174"/>
      <c r="CC500" s="174"/>
      <c r="CD500" s="174"/>
    </row>
    <row r="501">
      <c r="A501" s="105" t="str">
        <f>IF(preDEL!$AG501,IFERROR(0/0,""),preDEL!A501)</f>
        <v>MA1127</v>
      </c>
      <c r="B501" s="170">
        <f>IF(preDEL!$AG501,IFERROR(0/0,""),preDEL!B501)</f>
        <v>44613</v>
      </c>
      <c r="C501" s="171">
        <f>IF(preDEL!$AG501,IFERROR(0/0,""),preDEL!C501)</f>
        <v>0.3089351852</v>
      </c>
      <c r="D501" s="105" t="str">
        <f>IF(preDEL!$AG501,IFERROR(0/0,""),preDEL!D501)</f>
        <v/>
      </c>
      <c r="E501" s="105" t="str">
        <f>IF(preDEL!$AG501,IFERROR(0/0,""),preDEL!E501)</f>
        <v/>
      </c>
      <c r="F501" s="112" t="str">
        <f>IF(preDEL!$AG501,IFERROR(0/0,""),preDEL!F501)</f>
        <v/>
      </c>
      <c r="G501" s="112" t="str">
        <f>IF(preDEL!$AG501,IFERROR(0/0,""),preDEL!G501)</f>
        <v/>
      </c>
      <c r="H501" s="112" t="str">
        <f>IF(preDEL!$AG501,IFERROR(0/0,""),preDEL!H501)</f>
        <v/>
      </c>
      <c r="I501" s="105" t="str">
        <f>IF(preDEL!$AG501,IFERROR(0/0,""),preDEL!I501)</f>
        <v/>
      </c>
      <c r="J501" s="105" t="str">
        <f>IF(preDEL!$AG501,IFERROR(0/0,""),preDEL!J501)</f>
        <v/>
      </c>
      <c r="K501" s="105" t="str">
        <f>IF(preDEL!$AG501,IFERROR(0/0,""),preDEL!K501)</f>
        <v>Negative</v>
      </c>
      <c r="L501" s="170">
        <f>IF(preDEL!$AG501,IFERROR(0/0,""),preDEL!L501)</f>
        <v>44613</v>
      </c>
      <c r="M501" s="171">
        <f>IF(preDEL!$AG501,IFERROR(0/0,""),preDEL!M501)</f>
        <v>0.4693981481</v>
      </c>
      <c r="N501" s="112" t="str">
        <f>IF(preDEL!$AG501,IFERROR(0/0,""),preDEL!N501)</f>
        <v/>
      </c>
      <c r="O501" s="112" t="str">
        <f>IF(preDEL!$AG501,IFERROR(0/0,""),preDEL!O501)</f>
        <v/>
      </c>
      <c r="P501" s="110" t="b">
        <f>IF(preDEL!$AG501,IFERROR(0/0,""),preDEL!P501)</f>
        <v>0</v>
      </c>
      <c r="Q501" s="110" t="str">
        <f>IF(preDEL!$AG501,IFERROR(0/0,""),preDEL!Q501)</f>
        <v>Result</v>
      </c>
      <c r="R501" s="104" t="b">
        <f>IF(preDEL!$AG501,IFERROR(0/0,""),preDEL!R501)</f>
        <v>1</v>
      </c>
      <c r="S501" s="104">
        <f>IF(preDEL!$AG501,IFERROR(0/0,""),preDEL!S501)</f>
        <v>1</v>
      </c>
      <c r="T501" s="110" t="str">
        <f>IF(preDEL!$AG501,IFERROR(0/0,""),preDEL!T501)</f>
        <v/>
      </c>
      <c r="U501" s="112" t="str">
        <f>IF(preDEL!$AG501,IFERROR(0/0,""),preDEL!U501)</f>
        <v/>
      </c>
      <c r="V501" s="105" t="str">
        <f>IF(preDEL!$AG501,IFERROR(0/0,""),preDEL!V501)</f>
        <v/>
      </c>
      <c r="W501" s="112" t="str">
        <f>IF(preDEL!$AG501,IFERROR(0/0,""),preDEL!W501)</f>
        <v/>
      </c>
      <c r="X501" s="104" t="b">
        <f>IF(preDEL!$AG501,IFERROR(0/0,""),preDEL!X501)</f>
        <v>0</v>
      </c>
      <c r="Y501" s="110" t="b">
        <f>IF(preDEL!$AG501,IFERROR(0/0,""),preDEL!Y501)</f>
        <v>0</v>
      </c>
      <c r="Z501" s="105" t="str">
        <f>IF(preDEL!$AG501,IFERROR(0/0,""),preDEL!Z501)</f>
        <v/>
      </c>
      <c r="AA501" s="110" t="b">
        <f>IF(preDEL!$AG501,IFERROR(0/0,""),preDEL!AA501)</f>
        <v>0</v>
      </c>
      <c r="AB501" s="110" t="b">
        <f>IF(preDEL!$AG501,IFERROR(0/0,""),preDEL!AB501)</f>
        <v>0</v>
      </c>
      <c r="AC501" s="172">
        <f>IF(preDEL!$AG501,IFERROR(0/0,""),preDEL!AC501)</f>
        <v>311</v>
      </c>
      <c r="AD501" s="104" t="b">
        <f>IF(preDEL!$AG501,IFERROR(0/0,""),preDEL!AD501)</f>
        <v>0</v>
      </c>
      <c r="AE501" s="173">
        <f>IF(preDEL!$AG501,IFERROR(0/0,""),preDEL!AE501)</f>
        <v>231.0666667</v>
      </c>
      <c r="AF501" s="110" t="b">
        <f>IF(preDEL!$AG501,IFERROR(0/0,""),preDEL!AF501)</f>
        <v>0</v>
      </c>
      <c r="AG501" s="110" t="b">
        <f>IF(preDEL!$AG501,IFERROR(0/0,""),preDEL!AG501)</f>
        <v>0</v>
      </c>
      <c r="AH501" s="104" t="str">
        <f>IF(preDEL!$AG501,IFERROR(0/0,""),preDEL!AH501)</f>
        <v/>
      </c>
      <c r="AI501" s="105" t="str">
        <f>IF(preDEL!$AG501,IFERROR(0/0,""),preDEL!AI501)</f>
        <v/>
      </c>
      <c r="AJ501" s="112" t="str">
        <f>IF(preDEL!$AG501,IFERROR(0/0,""),preDEL!AJ501)</f>
        <v/>
      </c>
      <c r="AK501" s="105" t="str">
        <f>IF(preDEL!$AG501,IFERROR(0/0,""),preDEL!AK501)</f>
        <v>Negative</v>
      </c>
      <c r="AL501" s="112" t="str">
        <f>IF(preDEL!$AG501,IFERROR(0/0,""),preDEL!AL501)</f>
        <v/>
      </c>
      <c r="AM501" s="112" t="str">
        <f>IF(preDEL!$AG501,IFERROR(0/0,""),preDEL!AM501)</f>
        <v>SpBEND548976</v>
      </c>
      <c r="AN501" s="112" t="str">
        <f>IF(preDEL!$AG501,IFERROR(0/0,""),preDEL!AN501)</f>
        <v>BEND704851</v>
      </c>
      <c r="AO501" s="112" t="str">
        <f>IF(preDEL!$AG501,IFERROR(0/0,""),preDEL!AO501)</f>
        <v/>
      </c>
      <c r="AP501" s="112" t="str">
        <f>IF(preDEL!$AG501,IFERROR(0/0,""),preDEL!AP501)</f>
        <v/>
      </c>
      <c r="AQ501" s="112" t="str">
        <f>IF(preDEL!$AG501,IFERROR(0/0,""),preDEL!AQ501)</f>
        <v/>
      </c>
      <c r="AR501" s="112" t="str">
        <f>IF(preDEL!$AG501,IFERROR(0/0,""),preDEL!AR501)</f>
        <v/>
      </c>
      <c r="AS501" s="112" t="str">
        <f>IF(preDEL!$AG501,IFERROR(0/0,""),preDEL!AS501)</f>
        <v/>
      </c>
      <c r="AT501" s="112" t="b">
        <f>IF(preDEL!$AG501,IFERROR(0/0,""),preDEL!AT501)</f>
        <v>0</v>
      </c>
      <c r="AU501" s="112" t="str">
        <f>IF(preDEL!$AG501,IFERROR(0/0,""),preDEL!AU501)</f>
        <v/>
      </c>
      <c r="AV501" s="112" t="str">
        <f>IF(preDEL!$AG501,IFERROR(0/0,""),preDEL!AV501)</f>
        <v/>
      </c>
      <c r="AW501" s="112" t="str">
        <f>IF(preDEL!$AG501,IFERROR(0/0,""),preDEL!AW501)</f>
        <v/>
      </c>
      <c r="AX501" s="112" t="str">
        <f>IF(preDEL!$AG501,IFERROR(0/0,""),preDEL!AX501)</f>
        <v/>
      </c>
      <c r="AY501" s="112" t="str">
        <f>IF(preDEL!$AG501,IFERROR(0/0,""),preDEL!AY501)</f>
        <v/>
      </c>
      <c r="AZ501" s="174"/>
      <c r="BA501" s="174"/>
      <c r="BB501" s="174"/>
      <c r="BC501" s="174"/>
      <c r="BD501" s="174"/>
      <c r="BE501" s="174"/>
      <c r="BF501" s="174"/>
      <c r="BG501" s="174"/>
      <c r="BH501" s="174"/>
      <c r="BI501" s="174"/>
      <c r="BJ501" s="174"/>
      <c r="BK501" s="174"/>
      <c r="BL501" s="174"/>
      <c r="BM501" s="174"/>
      <c r="BN501" s="174"/>
      <c r="BO501" s="174"/>
      <c r="BP501" s="174"/>
      <c r="BQ501" s="174"/>
      <c r="BR501" s="174"/>
      <c r="BS501" s="174"/>
      <c r="BT501" s="174"/>
      <c r="BU501" s="174"/>
      <c r="BV501" s="174"/>
      <c r="BW501" s="174"/>
      <c r="BX501" s="174"/>
      <c r="BY501" s="174"/>
      <c r="BZ501" s="174"/>
      <c r="CA501" s="174"/>
      <c r="CB501" s="174"/>
      <c r="CC501" s="174"/>
      <c r="CD501" s="174"/>
    </row>
    <row r="502">
      <c r="A502" s="105" t="str">
        <f>IF(preDEL!$AG502,IFERROR(0/0,""),preDEL!A502)</f>
        <v>FM11</v>
      </c>
      <c r="B502" s="170">
        <f>IF(preDEL!$AG502,IFERROR(0/0,""),preDEL!B502)</f>
        <v>44613</v>
      </c>
      <c r="C502" s="171">
        <f>IF(preDEL!$AG502,IFERROR(0/0,""),preDEL!C502)</f>
        <v>0.3109027778</v>
      </c>
      <c r="D502" s="105" t="str">
        <f>IF(preDEL!$AG502,IFERROR(0/0,""),preDEL!D502)</f>
        <v/>
      </c>
      <c r="E502" s="105" t="str">
        <f>IF(preDEL!$AG502,IFERROR(0/0,""),preDEL!E502)</f>
        <v/>
      </c>
      <c r="F502" s="112" t="str">
        <f>IF(preDEL!$AG502,IFERROR(0/0,""),preDEL!F502)</f>
        <v/>
      </c>
      <c r="G502" s="112" t="str">
        <f>IF(preDEL!$AG502,IFERROR(0/0,""),preDEL!G502)</f>
        <v/>
      </c>
      <c r="H502" s="112" t="str">
        <f>IF(preDEL!$AG502,IFERROR(0/0,""),preDEL!H502)</f>
        <v/>
      </c>
      <c r="I502" s="175" t="str">
        <f>IF(preDEL!$AG502,IFERROR(0/0,""),preDEL!I502)</f>
        <v/>
      </c>
      <c r="J502" s="105" t="str">
        <f>IF(preDEL!$AG502,IFERROR(0/0,""),preDEL!J502)</f>
        <v/>
      </c>
      <c r="K502" s="105" t="str">
        <f>IF(preDEL!$AG502,IFERROR(0/0,""),preDEL!K502)</f>
        <v>Negative</v>
      </c>
      <c r="L502" s="170">
        <f>IF(preDEL!$AG502,IFERROR(0/0,""),preDEL!L502)</f>
        <v>44613</v>
      </c>
      <c r="M502" s="171">
        <f>IF(preDEL!$AG502,IFERROR(0/0,""),preDEL!M502)</f>
        <v>0.4693981481</v>
      </c>
      <c r="N502" s="112" t="str">
        <f>IF(preDEL!$AG502,IFERROR(0/0,""),preDEL!N502)</f>
        <v>Primary</v>
      </c>
      <c r="O502" s="112" t="str">
        <f>IF(preDEL!$AG502,IFERROR(0/0,""),preDEL!O502)</f>
        <v/>
      </c>
      <c r="P502" s="110" t="b">
        <f>IF(preDEL!$AG502,IFERROR(0/0,""),preDEL!P502)</f>
        <v>0</v>
      </c>
      <c r="Q502" s="110" t="str">
        <f>IF(preDEL!$AG502,IFERROR(0/0,""),preDEL!Q502)</f>
        <v>Result</v>
      </c>
      <c r="R502" s="104" t="b">
        <f>IF(preDEL!$AG502,IFERROR(0/0,""),preDEL!R502)</f>
        <v>1</v>
      </c>
      <c r="S502" s="104">
        <f>IF(preDEL!$AG502,IFERROR(0/0,""),preDEL!S502)</f>
        <v>1</v>
      </c>
      <c r="T502" s="110">
        <f>IF(preDEL!$AG502,IFERROR(0/0,""),preDEL!T502)</f>
        <v>0</v>
      </c>
      <c r="U502" s="112" t="str">
        <f>IF(preDEL!$AG502,IFERROR(0/0,""),preDEL!U502)</f>
        <v/>
      </c>
      <c r="V502" s="105" t="str">
        <f>IF(preDEL!$AG502,IFERROR(0/0,""),preDEL!V502)</f>
        <v/>
      </c>
      <c r="W502" s="112" t="str">
        <f>IF(preDEL!$AG502,IFERROR(0/0,""),preDEL!W502)</f>
        <v/>
      </c>
      <c r="X502" s="104" t="b">
        <f>IF(preDEL!$AG502,IFERROR(0/0,""),preDEL!X502)</f>
        <v>0</v>
      </c>
      <c r="Y502" s="110" t="b">
        <f>IF(preDEL!$AG502,IFERROR(0/0,""),preDEL!Y502)</f>
        <v>0</v>
      </c>
      <c r="Z502" s="105" t="str">
        <f>IF(preDEL!$AG502,IFERROR(0/0,""),preDEL!Z502)</f>
        <v/>
      </c>
      <c r="AA502" s="110" t="b">
        <f>IF(preDEL!$AG502,IFERROR(0/0,""),preDEL!AA502)</f>
        <v>0</v>
      </c>
      <c r="AB502" s="110" t="b">
        <f>IF(preDEL!$AG502,IFERROR(0/0,""),preDEL!AB502)</f>
        <v>0</v>
      </c>
      <c r="AC502" s="172">
        <f>IF(preDEL!$AG502,IFERROR(0/0,""),preDEL!AC502)</f>
        <v>786</v>
      </c>
      <c r="AD502" s="104" t="b">
        <f>IF(preDEL!$AG502,IFERROR(0/0,""),preDEL!AD502)</f>
        <v>1</v>
      </c>
      <c r="AE502" s="173">
        <f>IF(preDEL!$AG502,IFERROR(0/0,""),preDEL!AE502)</f>
        <v>228.2333333</v>
      </c>
      <c r="AF502" s="110" t="b">
        <f>IF(preDEL!$AG502,IFERROR(0/0,""),preDEL!AF502)</f>
        <v>0</v>
      </c>
      <c r="AG502" s="110" t="b">
        <f>IF(preDEL!$AG502,IFERROR(0/0,""),preDEL!AG502)</f>
        <v>0</v>
      </c>
      <c r="AH502" s="104" t="str">
        <f>IF(preDEL!$AG502,IFERROR(0/0,""),preDEL!AH502)</f>
        <v/>
      </c>
      <c r="AI502" s="105" t="str">
        <f>IF(preDEL!$AG502,IFERROR(0/0,""),preDEL!AI502)</f>
        <v/>
      </c>
      <c r="AJ502" s="112" t="str">
        <f>IF(preDEL!$AG502,IFERROR(0/0,""),preDEL!AJ502)</f>
        <v/>
      </c>
      <c r="AK502" s="105" t="str">
        <f>IF(preDEL!$AG502,IFERROR(0/0,""),preDEL!AK502)</f>
        <v>Negative</v>
      </c>
      <c r="AL502" s="112" t="str">
        <f>IF(preDEL!$AG502,IFERROR(0/0,""),preDEL!AL502)</f>
        <v/>
      </c>
      <c r="AM502" s="112" t="str">
        <f>IF(preDEL!$AG502,IFERROR(0/0,""),preDEL!AM502)</f>
        <v>SpBEND136234</v>
      </c>
      <c r="AN502" s="112" t="str">
        <f>IF(preDEL!$AG502,IFERROR(0/0,""),preDEL!AN502)</f>
        <v>BEND350468</v>
      </c>
      <c r="AO502" s="112" t="str">
        <f>IF(preDEL!$AG502,IFERROR(0/0,""),preDEL!AO502)</f>
        <v/>
      </c>
      <c r="AP502" s="112" t="str">
        <f>IF(preDEL!$AG502,IFERROR(0/0,""),preDEL!AP502)</f>
        <v/>
      </c>
      <c r="AQ502" s="112" t="str">
        <f>IF(preDEL!$AG502,IFERROR(0/0,""),preDEL!AQ502)</f>
        <v/>
      </c>
      <c r="AR502" s="112" t="str">
        <f>IF(preDEL!$AG502,IFERROR(0/0,""),preDEL!AR502)</f>
        <v/>
      </c>
      <c r="AS502" s="112" t="str">
        <f>IF(preDEL!$AG502,IFERROR(0/0,""),preDEL!AS502)</f>
        <v/>
      </c>
      <c r="AT502" s="112" t="b">
        <f>IF(preDEL!$AG502,IFERROR(0/0,""),preDEL!AT502)</f>
        <v>0</v>
      </c>
      <c r="AU502" s="112" t="str">
        <f>IF(preDEL!$AG502,IFERROR(0/0,""),preDEL!AU502)</f>
        <v/>
      </c>
      <c r="AV502" s="112" t="str">
        <f>IF(preDEL!$AG502,IFERROR(0/0,""),preDEL!AV502)</f>
        <v/>
      </c>
      <c r="AW502" s="112" t="str">
        <f>IF(preDEL!$AG502,IFERROR(0/0,""),preDEL!AW502)</f>
        <v/>
      </c>
      <c r="AX502" s="112" t="str">
        <f>IF(preDEL!$AG502,IFERROR(0/0,""),preDEL!AX502)</f>
        <v/>
      </c>
      <c r="AY502" s="112" t="str">
        <f>IF(preDEL!$AG502,IFERROR(0/0,""),preDEL!AY502)</f>
        <v/>
      </c>
      <c r="AZ502" s="174"/>
      <c r="BA502" s="174"/>
      <c r="BB502" s="174"/>
      <c r="BC502" s="174"/>
      <c r="BD502" s="174"/>
      <c r="BE502" s="174"/>
      <c r="BF502" s="174"/>
      <c r="BG502" s="174"/>
      <c r="BH502" s="174"/>
      <c r="BI502" s="174"/>
      <c r="BJ502" s="174"/>
      <c r="BK502" s="174"/>
      <c r="BL502" s="174"/>
      <c r="BM502" s="174"/>
      <c r="BN502" s="174"/>
      <c r="BO502" s="174"/>
      <c r="BP502" s="174"/>
      <c r="BQ502" s="174"/>
      <c r="BR502" s="174"/>
      <c r="BS502" s="174"/>
      <c r="BT502" s="174"/>
      <c r="BU502" s="174"/>
      <c r="BV502" s="174"/>
      <c r="BW502" s="174"/>
      <c r="BX502" s="174"/>
      <c r="BY502" s="174"/>
      <c r="BZ502" s="174"/>
      <c r="CA502" s="174"/>
      <c r="CB502" s="174"/>
      <c r="CC502" s="174"/>
      <c r="CD502" s="174"/>
    </row>
    <row r="503">
      <c r="A503" s="105" t="str">
        <f>IF(preDEL!$AG503,IFERROR(0/0,""),preDEL!A503)</f>
        <v>MA219</v>
      </c>
      <c r="B503" s="170">
        <f>IF(preDEL!$AG503,IFERROR(0/0,""),preDEL!B503)</f>
        <v>44613</v>
      </c>
      <c r="C503" s="171">
        <f>IF(preDEL!$AG503,IFERROR(0/0,""),preDEL!C503)</f>
        <v>0.3148726852</v>
      </c>
      <c r="D503" s="105" t="str">
        <f>IF(preDEL!$AG503,IFERROR(0/0,""),preDEL!D503)</f>
        <v/>
      </c>
      <c r="E503" s="105" t="str">
        <f>IF(preDEL!$AG503,IFERROR(0/0,""),preDEL!E503)</f>
        <v/>
      </c>
      <c r="F503" s="112" t="str">
        <f>IF(preDEL!$AG503,IFERROR(0/0,""),preDEL!F503)</f>
        <v/>
      </c>
      <c r="G503" s="112" t="str">
        <f>IF(preDEL!$AG503,IFERROR(0/0,""),preDEL!G503)</f>
        <v/>
      </c>
      <c r="H503" s="112" t="str">
        <f>IF(preDEL!$AG503,IFERROR(0/0,""),preDEL!H503)</f>
        <v/>
      </c>
      <c r="I503" s="105" t="str">
        <f>IF(preDEL!$AG503,IFERROR(0/0,""),preDEL!I503)</f>
        <v/>
      </c>
      <c r="J503" s="105" t="str">
        <f>IF(preDEL!$AG503,IFERROR(0/0,""),preDEL!J503)</f>
        <v/>
      </c>
      <c r="K503" s="105" t="str">
        <f>IF(preDEL!$AG503,IFERROR(0/0,""),preDEL!K503)</f>
        <v>Negative</v>
      </c>
      <c r="L503" s="170">
        <f>IF(preDEL!$AG503,IFERROR(0/0,""),preDEL!L503)</f>
        <v>44613</v>
      </c>
      <c r="M503" s="171">
        <f>IF(preDEL!$AG503,IFERROR(0/0,""),preDEL!M503)</f>
        <v>0.4693981481</v>
      </c>
      <c r="N503" s="112" t="str">
        <f>IF(preDEL!$AG503,IFERROR(0/0,""),preDEL!N503)</f>
        <v/>
      </c>
      <c r="O503" s="112" t="str">
        <f>IF(preDEL!$AG503,IFERROR(0/0,""),preDEL!O503)</f>
        <v/>
      </c>
      <c r="P503" s="110" t="b">
        <f>IF(preDEL!$AG503,IFERROR(0/0,""),preDEL!P503)</f>
        <v>0</v>
      </c>
      <c r="Q503" s="110" t="str">
        <f>IF(preDEL!$AG503,IFERROR(0/0,""),preDEL!Q503)</f>
        <v>Result</v>
      </c>
      <c r="R503" s="104" t="b">
        <f>IF(preDEL!$AG503,IFERROR(0/0,""),preDEL!R503)</f>
        <v>1</v>
      </c>
      <c r="S503" s="104">
        <f>IF(preDEL!$AG503,IFERROR(0/0,""),preDEL!S503)</f>
        <v>1</v>
      </c>
      <c r="T503" s="110" t="str">
        <f>IF(preDEL!$AG503,IFERROR(0/0,""),preDEL!T503)</f>
        <v/>
      </c>
      <c r="U503" s="112" t="str">
        <f>IF(preDEL!$AG503,IFERROR(0/0,""),preDEL!U503)</f>
        <v/>
      </c>
      <c r="V503" s="105" t="str">
        <f>IF(preDEL!$AG503,IFERROR(0/0,""),preDEL!V503)</f>
        <v/>
      </c>
      <c r="W503" s="112" t="str">
        <f>IF(preDEL!$AG503,IFERROR(0/0,""),preDEL!W503)</f>
        <v/>
      </c>
      <c r="X503" s="104" t="b">
        <f>IF(preDEL!$AG503,IFERROR(0/0,""),preDEL!X503)</f>
        <v>0</v>
      </c>
      <c r="Y503" s="110" t="b">
        <f>IF(preDEL!$AG503,IFERROR(0/0,""),preDEL!Y503)</f>
        <v>0</v>
      </c>
      <c r="Z503" s="105" t="str">
        <f>IF(preDEL!$AG503,IFERROR(0/0,""),preDEL!Z503)</f>
        <v/>
      </c>
      <c r="AA503" s="110" t="b">
        <f>IF(preDEL!$AG503,IFERROR(0/0,""),preDEL!AA503)</f>
        <v>0</v>
      </c>
      <c r="AB503" s="110" t="b">
        <f>IF(preDEL!$AG503,IFERROR(0/0,""),preDEL!AB503)</f>
        <v>0</v>
      </c>
      <c r="AC503" s="172">
        <f>IF(preDEL!$AG503,IFERROR(0/0,""),preDEL!AC503)</f>
        <v>310</v>
      </c>
      <c r="AD503" s="104" t="b">
        <f>IF(preDEL!$AG503,IFERROR(0/0,""),preDEL!AD503)</f>
        <v>0</v>
      </c>
      <c r="AE503" s="173">
        <f>IF(preDEL!$AG503,IFERROR(0/0,""),preDEL!AE503)</f>
        <v>222.5166667</v>
      </c>
      <c r="AF503" s="110" t="b">
        <f>IF(preDEL!$AG503,IFERROR(0/0,""),preDEL!AF503)</f>
        <v>0</v>
      </c>
      <c r="AG503" s="110" t="b">
        <f>IF(preDEL!$AG503,IFERROR(0/0,""),preDEL!AG503)</f>
        <v>0</v>
      </c>
      <c r="AH503" s="104" t="str">
        <f>IF(preDEL!$AG503,IFERROR(0/0,""),preDEL!AH503)</f>
        <v/>
      </c>
      <c r="AI503" s="105" t="str">
        <f>IF(preDEL!$AG503,IFERROR(0/0,""),preDEL!AI503)</f>
        <v/>
      </c>
      <c r="AJ503" s="112" t="str">
        <f>IF(preDEL!$AG503,IFERROR(0/0,""),preDEL!AJ503)</f>
        <v/>
      </c>
      <c r="AK503" s="105" t="str">
        <f>IF(preDEL!$AG503,IFERROR(0/0,""),preDEL!AK503)</f>
        <v>Negative</v>
      </c>
      <c r="AL503" s="112" t="str">
        <f>IF(preDEL!$AG503,IFERROR(0/0,""),preDEL!AL503)</f>
        <v/>
      </c>
      <c r="AM503" s="112" t="str">
        <f>IF(preDEL!$AG503,IFERROR(0/0,""),preDEL!AM503)</f>
        <v>SpBEND708976</v>
      </c>
      <c r="AN503" s="112" t="str">
        <f>IF(preDEL!$AG503,IFERROR(0/0,""),preDEL!AN503)</f>
        <v>BEND525784</v>
      </c>
      <c r="AO503" s="112" t="str">
        <f>IF(preDEL!$AG503,IFERROR(0/0,""),preDEL!AO503)</f>
        <v/>
      </c>
      <c r="AP503" s="112" t="str">
        <f>IF(preDEL!$AG503,IFERROR(0/0,""),preDEL!AP503)</f>
        <v/>
      </c>
      <c r="AQ503" s="112" t="str">
        <f>IF(preDEL!$AG503,IFERROR(0/0,""),preDEL!AQ503)</f>
        <v/>
      </c>
      <c r="AR503" s="112" t="str">
        <f>IF(preDEL!$AG503,IFERROR(0/0,""),preDEL!AR503)</f>
        <v/>
      </c>
      <c r="AS503" s="112" t="str">
        <f>IF(preDEL!$AG503,IFERROR(0/0,""),preDEL!AS503)</f>
        <v/>
      </c>
      <c r="AT503" s="112" t="b">
        <f>IF(preDEL!$AG503,IFERROR(0/0,""),preDEL!AT503)</f>
        <v>0</v>
      </c>
      <c r="AU503" s="112" t="str">
        <f>IF(preDEL!$AG503,IFERROR(0/0,""),preDEL!AU503)</f>
        <v/>
      </c>
      <c r="AV503" s="112" t="str">
        <f>IF(preDEL!$AG503,IFERROR(0/0,""),preDEL!AV503)</f>
        <v/>
      </c>
      <c r="AW503" s="112" t="str">
        <f>IF(preDEL!$AG503,IFERROR(0/0,""),preDEL!AW503)</f>
        <v/>
      </c>
      <c r="AX503" s="112" t="str">
        <f>IF(preDEL!$AG503,IFERROR(0/0,""),preDEL!AX503)</f>
        <v/>
      </c>
      <c r="AY503" s="112" t="str">
        <f>IF(preDEL!$AG503,IFERROR(0/0,""),preDEL!AY503)</f>
        <v/>
      </c>
      <c r="AZ503" s="174"/>
      <c r="BA503" s="174"/>
      <c r="BB503" s="174"/>
      <c r="BC503" s="174"/>
      <c r="BD503" s="174"/>
      <c r="BE503" s="174"/>
      <c r="BF503" s="174"/>
      <c r="BG503" s="174"/>
      <c r="BH503" s="174"/>
      <c r="BI503" s="174"/>
      <c r="BJ503" s="174"/>
      <c r="BK503" s="174"/>
      <c r="BL503" s="174"/>
      <c r="BM503" s="174"/>
      <c r="BN503" s="174"/>
      <c r="BO503" s="174"/>
      <c r="BP503" s="174"/>
      <c r="BQ503" s="174"/>
      <c r="BR503" s="174"/>
      <c r="BS503" s="174"/>
      <c r="BT503" s="174"/>
      <c r="BU503" s="174"/>
      <c r="BV503" s="174"/>
      <c r="BW503" s="174"/>
      <c r="BX503" s="174"/>
      <c r="BY503" s="174"/>
      <c r="BZ503" s="174"/>
      <c r="CA503" s="174"/>
      <c r="CB503" s="174"/>
      <c r="CC503" s="174"/>
      <c r="CD503" s="174"/>
    </row>
    <row r="504">
      <c r="A504" s="105" t="str">
        <f>IF(preDEL!$AG504,IFERROR(0/0,""),preDEL!A504)</f>
        <v>MA1072</v>
      </c>
      <c r="B504" s="170">
        <f>IF(preDEL!$AG504,IFERROR(0/0,""),preDEL!B504)</f>
        <v>44613</v>
      </c>
      <c r="C504" s="171">
        <f>IF(preDEL!$AG504,IFERROR(0/0,""),preDEL!C504)</f>
        <v>0.3150115741</v>
      </c>
      <c r="D504" s="105" t="str">
        <f>IF(preDEL!$AG504,IFERROR(0/0,""),preDEL!D504)</f>
        <v/>
      </c>
      <c r="E504" s="105" t="str">
        <f>IF(preDEL!$AG504,IFERROR(0/0,""),preDEL!E504)</f>
        <v/>
      </c>
      <c r="F504" s="112" t="str">
        <f>IF(preDEL!$AG504,IFERROR(0/0,""),preDEL!F504)</f>
        <v/>
      </c>
      <c r="G504" s="112" t="str">
        <f>IF(preDEL!$AG504,IFERROR(0/0,""),preDEL!G504)</f>
        <v/>
      </c>
      <c r="H504" s="112" t="str">
        <f>IF(preDEL!$AG504,IFERROR(0/0,""),preDEL!H504)</f>
        <v/>
      </c>
      <c r="I504" s="105" t="str">
        <f>IF(preDEL!$AG504,IFERROR(0/0,""),preDEL!I504)</f>
        <v/>
      </c>
      <c r="J504" s="105" t="str">
        <f>IF(preDEL!$AG504,IFERROR(0/0,""),preDEL!J504)</f>
        <v/>
      </c>
      <c r="K504" s="105" t="str">
        <f>IF(preDEL!$AG504,IFERROR(0/0,""),preDEL!K504)</f>
        <v>Negative</v>
      </c>
      <c r="L504" s="170">
        <f>IF(preDEL!$AG504,IFERROR(0/0,""),preDEL!L504)</f>
        <v>44613</v>
      </c>
      <c r="M504" s="171">
        <f>IF(preDEL!$AG504,IFERROR(0/0,""),preDEL!M504)</f>
        <v>0.4693981481</v>
      </c>
      <c r="N504" s="112" t="str">
        <f>IF(preDEL!$AG504,IFERROR(0/0,""),preDEL!N504)</f>
        <v/>
      </c>
      <c r="O504" s="112" t="str">
        <f>IF(preDEL!$AG504,IFERROR(0/0,""),preDEL!O504)</f>
        <v/>
      </c>
      <c r="P504" s="110" t="b">
        <f>IF(preDEL!$AG504,IFERROR(0/0,""),preDEL!P504)</f>
        <v>0</v>
      </c>
      <c r="Q504" s="110" t="str">
        <f>IF(preDEL!$AG504,IFERROR(0/0,""),preDEL!Q504)</f>
        <v>Result</v>
      </c>
      <c r="R504" s="104" t="b">
        <f>IF(preDEL!$AG504,IFERROR(0/0,""),preDEL!R504)</f>
        <v>1</v>
      </c>
      <c r="S504" s="104">
        <f>IF(preDEL!$AG504,IFERROR(0/0,""),preDEL!S504)</f>
        <v>1</v>
      </c>
      <c r="T504" s="110" t="str">
        <f>IF(preDEL!$AG504,IFERROR(0/0,""),preDEL!T504)</f>
        <v/>
      </c>
      <c r="U504" s="112" t="str">
        <f>IF(preDEL!$AG504,IFERROR(0/0,""),preDEL!U504)</f>
        <v/>
      </c>
      <c r="V504" s="105" t="str">
        <f>IF(preDEL!$AG504,IFERROR(0/0,""),preDEL!V504)</f>
        <v/>
      </c>
      <c r="W504" s="112" t="str">
        <f>IF(preDEL!$AG504,IFERROR(0/0,""),preDEL!W504)</f>
        <v/>
      </c>
      <c r="X504" s="104" t="b">
        <f>IF(preDEL!$AG504,IFERROR(0/0,""),preDEL!X504)</f>
        <v>0</v>
      </c>
      <c r="Y504" s="110" t="b">
        <f>IF(preDEL!$AG504,IFERROR(0/0,""),preDEL!Y504)</f>
        <v>0</v>
      </c>
      <c r="Z504" s="105" t="str">
        <f>IF(preDEL!$AG504,IFERROR(0/0,""),preDEL!Z504)</f>
        <v/>
      </c>
      <c r="AA504" s="110" t="b">
        <f>IF(preDEL!$AG504,IFERROR(0/0,""),preDEL!AA504)</f>
        <v>0</v>
      </c>
      <c r="AB504" s="110" t="b">
        <f>IF(preDEL!$AG504,IFERROR(0/0,""),preDEL!AB504)</f>
        <v>0</v>
      </c>
      <c r="AC504" s="172">
        <f>IF(preDEL!$AG504,IFERROR(0/0,""),preDEL!AC504)</f>
        <v>309</v>
      </c>
      <c r="AD504" s="104" t="b">
        <f>IF(preDEL!$AG504,IFERROR(0/0,""),preDEL!AD504)</f>
        <v>0</v>
      </c>
      <c r="AE504" s="173">
        <f>IF(preDEL!$AG504,IFERROR(0/0,""),preDEL!AE504)</f>
        <v>222.3166667</v>
      </c>
      <c r="AF504" s="110" t="b">
        <f>IF(preDEL!$AG504,IFERROR(0/0,""),preDEL!AF504)</f>
        <v>0</v>
      </c>
      <c r="AG504" s="110" t="b">
        <f>IF(preDEL!$AG504,IFERROR(0/0,""),preDEL!AG504)</f>
        <v>0</v>
      </c>
      <c r="AH504" s="104" t="str">
        <f>IF(preDEL!$AG504,IFERROR(0/0,""),preDEL!AH504)</f>
        <v/>
      </c>
      <c r="AI504" s="105" t="str">
        <f>IF(preDEL!$AG504,IFERROR(0/0,""),preDEL!AI504)</f>
        <v/>
      </c>
      <c r="AJ504" s="112" t="str">
        <f>IF(preDEL!$AG504,IFERROR(0/0,""),preDEL!AJ504)</f>
        <v/>
      </c>
      <c r="AK504" s="105" t="str">
        <f>IF(preDEL!$AG504,IFERROR(0/0,""),preDEL!AK504)</f>
        <v>Negative</v>
      </c>
      <c r="AL504" s="112" t="str">
        <f>IF(preDEL!$AG504,IFERROR(0/0,""),preDEL!AL504)</f>
        <v/>
      </c>
      <c r="AM504" s="112" t="str">
        <f>IF(preDEL!$AG504,IFERROR(0/0,""),preDEL!AM504)</f>
        <v>SpBEND183210</v>
      </c>
      <c r="AN504" s="112" t="str">
        <f>IF(preDEL!$AG504,IFERROR(0/0,""),preDEL!AN504)</f>
        <v>BEND992347</v>
      </c>
      <c r="AO504" s="112" t="str">
        <f>IF(preDEL!$AG504,IFERROR(0/0,""),preDEL!AO504)</f>
        <v/>
      </c>
      <c r="AP504" s="112" t="str">
        <f>IF(preDEL!$AG504,IFERROR(0/0,""),preDEL!AP504)</f>
        <v/>
      </c>
      <c r="AQ504" s="112" t="str">
        <f>IF(preDEL!$AG504,IFERROR(0/0,""),preDEL!AQ504)</f>
        <v/>
      </c>
      <c r="AR504" s="112" t="str">
        <f>IF(preDEL!$AG504,IFERROR(0/0,""),preDEL!AR504)</f>
        <v/>
      </c>
      <c r="AS504" s="112" t="str">
        <f>IF(preDEL!$AG504,IFERROR(0/0,""),preDEL!AS504)</f>
        <v/>
      </c>
      <c r="AT504" s="112" t="b">
        <f>IF(preDEL!$AG504,IFERROR(0/0,""),preDEL!AT504)</f>
        <v>0</v>
      </c>
      <c r="AU504" s="112" t="str">
        <f>IF(preDEL!$AG504,IFERROR(0/0,""),preDEL!AU504)</f>
        <v/>
      </c>
      <c r="AV504" s="112" t="str">
        <f>IF(preDEL!$AG504,IFERROR(0/0,""),preDEL!AV504)</f>
        <v/>
      </c>
      <c r="AW504" s="112" t="str">
        <f>IF(preDEL!$AG504,IFERROR(0/0,""),preDEL!AW504)</f>
        <v/>
      </c>
      <c r="AX504" s="112" t="str">
        <f>IF(preDEL!$AG504,IFERROR(0/0,""),preDEL!AX504)</f>
        <v/>
      </c>
      <c r="AY504" s="112" t="str">
        <f>IF(preDEL!$AG504,IFERROR(0/0,""),preDEL!AY504)</f>
        <v/>
      </c>
      <c r="AZ504" s="174"/>
      <c r="BA504" s="174"/>
      <c r="BB504" s="174"/>
      <c r="BC504" s="174"/>
      <c r="BD504" s="174"/>
      <c r="BE504" s="174"/>
      <c r="BF504" s="174"/>
      <c r="BG504" s="174"/>
      <c r="BH504" s="174"/>
      <c r="BI504" s="174"/>
      <c r="BJ504" s="174"/>
      <c r="BK504" s="174"/>
      <c r="BL504" s="174"/>
      <c r="BM504" s="174"/>
      <c r="BN504" s="174"/>
      <c r="BO504" s="174"/>
      <c r="BP504" s="174"/>
      <c r="BQ504" s="174"/>
      <c r="BR504" s="174"/>
      <c r="BS504" s="174"/>
      <c r="BT504" s="174"/>
      <c r="BU504" s="174"/>
      <c r="BV504" s="174"/>
      <c r="BW504" s="174"/>
      <c r="BX504" s="174"/>
      <c r="BY504" s="174"/>
      <c r="BZ504" s="174"/>
      <c r="CA504" s="174"/>
      <c r="CB504" s="174"/>
      <c r="CC504" s="174"/>
      <c r="CD504" s="174"/>
    </row>
    <row r="505">
      <c r="A505" s="105" t="str">
        <f>IF(preDEL!$AG505,IFERROR(0/0,""),preDEL!A505)</f>
        <v>MA1096</v>
      </c>
      <c r="B505" s="170">
        <f>IF(preDEL!$AG505,IFERROR(0/0,""),preDEL!B505)</f>
        <v>44613</v>
      </c>
      <c r="C505" s="171">
        <f>IF(preDEL!$AG505,IFERROR(0/0,""),preDEL!C505)</f>
        <v>0.3159722222</v>
      </c>
      <c r="D505" s="105" t="str">
        <f>IF(preDEL!$AG505,IFERROR(0/0,""),preDEL!D505)</f>
        <v/>
      </c>
      <c r="E505" s="105" t="str">
        <f>IF(preDEL!$AG505,IFERROR(0/0,""),preDEL!E505)</f>
        <v/>
      </c>
      <c r="F505" s="112" t="str">
        <f>IF(preDEL!$AG505,IFERROR(0/0,""),preDEL!F505)</f>
        <v/>
      </c>
      <c r="G505" s="112" t="str">
        <f>IF(preDEL!$AG505,IFERROR(0/0,""),preDEL!G505)</f>
        <v/>
      </c>
      <c r="H505" s="112" t="str">
        <f>IF(preDEL!$AG505,IFERROR(0/0,""),preDEL!H505)</f>
        <v/>
      </c>
      <c r="I505" s="105" t="str">
        <f>IF(preDEL!$AG505,IFERROR(0/0,""),preDEL!I505)</f>
        <v/>
      </c>
      <c r="J505" s="105" t="str">
        <f>IF(preDEL!$AG505,IFERROR(0/0,""),preDEL!J505)</f>
        <v/>
      </c>
      <c r="K505" s="105" t="str">
        <f>IF(preDEL!$AG505,IFERROR(0/0,""),preDEL!K505)</f>
        <v>Negative</v>
      </c>
      <c r="L505" s="170">
        <f>IF(preDEL!$AG505,IFERROR(0/0,""),preDEL!L505)</f>
        <v>44613</v>
      </c>
      <c r="M505" s="171">
        <f>IF(preDEL!$AG505,IFERROR(0/0,""),preDEL!M505)</f>
        <v>0.4693981481</v>
      </c>
      <c r="N505" s="112" t="str">
        <f>IF(preDEL!$AG505,IFERROR(0/0,""),preDEL!N505)</f>
        <v/>
      </c>
      <c r="O505" s="112" t="str">
        <f>IF(preDEL!$AG505,IFERROR(0/0,""),preDEL!O505)</f>
        <v/>
      </c>
      <c r="P505" s="110" t="b">
        <f>IF(preDEL!$AG505,IFERROR(0/0,""),preDEL!P505)</f>
        <v>0</v>
      </c>
      <c r="Q505" s="110" t="str">
        <f>IF(preDEL!$AG505,IFERROR(0/0,""),preDEL!Q505)</f>
        <v>Result</v>
      </c>
      <c r="R505" s="104" t="b">
        <f>IF(preDEL!$AG505,IFERROR(0/0,""),preDEL!R505)</f>
        <v>1</v>
      </c>
      <c r="S505" s="104">
        <f>IF(preDEL!$AG505,IFERROR(0/0,""),preDEL!S505)</f>
        <v>1</v>
      </c>
      <c r="T505" s="110" t="str">
        <f>IF(preDEL!$AG505,IFERROR(0/0,""),preDEL!T505)</f>
        <v/>
      </c>
      <c r="U505" s="112" t="str">
        <f>IF(preDEL!$AG505,IFERROR(0/0,""),preDEL!U505)</f>
        <v/>
      </c>
      <c r="V505" s="105" t="str">
        <f>IF(preDEL!$AG505,IFERROR(0/0,""),preDEL!V505)</f>
        <v/>
      </c>
      <c r="W505" s="112" t="str">
        <f>IF(preDEL!$AG505,IFERROR(0/0,""),preDEL!W505)</f>
        <v/>
      </c>
      <c r="X505" s="104" t="b">
        <f>IF(preDEL!$AG505,IFERROR(0/0,""),preDEL!X505)</f>
        <v>0</v>
      </c>
      <c r="Y505" s="110" t="b">
        <f>IF(preDEL!$AG505,IFERROR(0/0,""),preDEL!Y505)</f>
        <v>0</v>
      </c>
      <c r="Z505" s="105" t="str">
        <f>IF(preDEL!$AG505,IFERROR(0/0,""),preDEL!Z505)</f>
        <v/>
      </c>
      <c r="AA505" s="110" t="b">
        <f>IF(preDEL!$AG505,IFERROR(0/0,""),preDEL!AA505)</f>
        <v>0</v>
      </c>
      <c r="AB505" s="110" t="b">
        <f>IF(preDEL!$AG505,IFERROR(0/0,""),preDEL!AB505)</f>
        <v>0</v>
      </c>
      <c r="AC505" s="172">
        <f>IF(preDEL!$AG505,IFERROR(0/0,""),preDEL!AC505)</f>
        <v>308</v>
      </c>
      <c r="AD505" s="104" t="b">
        <f>IF(preDEL!$AG505,IFERROR(0/0,""),preDEL!AD505)</f>
        <v>0</v>
      </c>
      <c r="AE505" s="173">
        <f>IF(preDEL!$AG505,IFERROR(0/0,""),preDEL!AE505)</f>
        <v>220.9333333</v>
      </c>
      <c r="AF505" s="110" t="b">
        <f>IF(preDEL!$AG505,IFERROR(0/0,""),preDEL!AF505)</f>
        <v>0</v>
      </c>
      <c r="AG505" s="110" t="b">
        <f>IF(preDEL!$AG505,IFERROR(0/0,""),preDEL!AG505)</f>
        <v>0</v>
      </c>
      <c r="AH505" s="104" t="str">
        <f>IF(preDEL!$AG505,IFERROR(0/0,""),preDEL!AH505)</f>
        <v/>
      </c>
      <c r="AI505" s="105" t="str">
        <f>IF(preDEL!$AG505,IFERROR(0/0,""),preDEL!AI505)</f>
        <v/>
      </c>
      <c r="AJ505" s="112" t="str">
        <f>IF(preDEL!$AG505,IFERROR(0/0,""),preDEL!AJ505)</f>
        <v/>
      </c>
      <c r="AK505" s="105" t="str">
        <f>IF(preDEL!$AG505,IFERROR(0/0,""),preDEL!AK505)</f>
        <v>Negative</v>
      </c>
      <c r="AL505" s="112" t="str">
        <f>IF(preDEL!$AG505,IFERROR(0/0,""),preDEL!AL505)</f>
        <v/>
      </c>
      <c r="AM505" s="112" t="str">
        <f>IF(preDEL!$AG505,IFERROR(0/0,""),preDEL!AM505)</f>
        <v>SpBEND985296</v>
      </c>
      <c r="AN505" s="112" t="str">
        <f>IF(preDEL!$AG505,IFERROR(0/0,""),preDEL!AN505)</f>
        <v>BEND326601</v>
      </c>
      <c r="AO505" s="112" t="str">
        <f>IF(preDEL!$AG505,IFERROR(0/0,""),preDEL!AO505)</f>
        <v/>
      </c>
      <c r="AP505" s="112" t="str">
        <f>IF(preDEL!$AG505,IFERROR(0/0,""),preDEL!AP505)</f>
        <v/>
      </c>
      <c r="AQ505" s="112" t="str">
        <f>IF(preDEL!$AG505,IFERROR(0/0,""),preDEL!AQ505)</f>
        <v/>
      </c>
      <c r="AR505" s="112" t="str">
        <f>IF(preDEL!$AG505,IFERROR(0/0,""),preDEL!AR505)</f>
        <v/>
      </c>
      <c r="AS505" s="112" t="str">
        <f>IF(preDEL!$AG505,IFERROR(0/0,""),preDEL!AS505)</f>
        <v/>
      </c>
      <c r="AT505" s="112" t="b">
        <f>IF(preDEL!$AG505,IFERROR(0/0,""),preDEL!AT505)</f>
        <v>0</v>
      </c>
      <c r="AU505" s="112" t="str">
        <f>IF(preDEL!$AG505,IFERROR(0/0,""),preDEL!AU505)</f>
        <v/>
      </c>
      <c r="AV505" s="112" t="str">
        <f>IF(preDEL!$AG505,IFERROR(0/0,""),preDEL!AV505)</f>
        <v/>
      </c>
      <c r="AW505" s="112" t="str">
        <f>IF(preDEL!$AG505,IFERROR(0/0,""),preDEL!AW505)</f>
        <v/>
      </c>
      <c r="AX505" s="112" t="str">
        <f>IF(preDEL!$AG505,IFERROR(0/0,""),preDEL!AX505)</f>
        <v/>
      </c>
      <c r="AY505" s="112" t="str">
        <f>IF(preDEL!$AG505,IFERROR(0/0,""),preDEL!AY505)</f>
        <v/>
      </c>
      <c r="AZ505" s="174"/>
      <c r="BA505" s="174"/>
      <c r="BB505" s="174"/>
      <c r="BC505" s="174"/>
      <c r="BD505" s="174"/>
      <c r="BE505" s="174"/>
      <c r="BF505" s="174"/>
      <c r="BG505" s="174"/>
      <c r="BH505" s="174"/>
      <c r="BI505" s="174"/>
      <c r="BJ505" s="174"/>
      <c r="BK505" s="174"/>
      <c r="BL505" s="174"/>
      <c r="BM505" s="174"/>
      <c r="BN505" s="174"/>
      <c r="BO505" s="174"/>
      <c r="BP505" s="174"/>
      <c r="BQ505" s="174"/>
      <c r="BR505" s="174"/>
      <c r="BS505" s="174"/>
      <c r="BT505" s="174"/>
      <c r="BU505" s="174"/>
      <c r="BV505" s="174"/>
      <c r="BW505" s="174"/>
      <c r="BX505" s="174"/>
      <c r="BY505" s="174"/>
      <c r="BZ505" s="174"/>
      <c r="CA505" s="174"/>
      <c r="CB505" s="174"/>
      <c r="CC505" s="174"/>
      <c r="CD505" s="174"/>
    </row>
    <row r="506">
      <c r="A506" s="105" t="str">
        <f>IF(preDEL!$AG506,IFERROR(0/0,""),preDEL!A506)</f>
        <v>MA1312</v>
      </c>
      <c r="B506" s="170">
        <f>IF(preDEL!$AG506,IFERROR(0/0,""),preDEL!B506)</f>
        <v>44613</v>
      </c>
      <c r="C506" s="171">
        <f>IF(preDEL!$AG506,IFERROR(0/0,""),preDEL!C506)</f>
        <v>0.316724537</v>
      </c>
      <c r="D506" s="105" t="str">
        <f>IF(preDEL!$AG506,IFERROR(0/0,""),preDEL!D506)</f>
        <v/>
      </c>
      <c r="E506" s="105" t="str">
        <f>IF(preDEL!$AG506,IFERROR(0/0,""),preDEL!E506)</f>
        <v/>
      </c>
      <c r="F506" s="112" t="str">
        <f>IF(preDEL!$AG506,IFERROR(0/0,""),preDEL!F506)</f>
        <v/>
      </c>
      <c r="G506" s="112" t="str">
        <f>IF(preDEL!$AG506,IFERROR(0/0,""),preDEL!G506)</f>
        <v/>
      </c>
      <c r="H506" s="112" t="str">
        <f>IF(preDEL!$AG506,IFERROR(0/0,""),preDEL!H506)</f>
        <v/>
      </c>
      <c r="I506" s="105" t="str">
        <f>IF(preDEL!$AG506,IFERROR(0/0,""),preDEL!I506)</f>
        <v/>
      </c>
      <c r="J506" s="105" t="str">
        <f>IF(preDEL!$AG506,IFERROR(0/0,""),preDEL!J506)</f>
        <v/>
      </c>
      <c r="K506" s="105" t="str">
        <f>IF(preDEL!$AG506,IFERROR(0/0,""),preDEL!K506)</f>
        <v>Negative</v>
      </c>
      <c r="L506" s="170">
        <f>IF(preDEL!$AG506,IFERROR(0/0,""),preDEL!L506)</f>
        <v>44613</v>
      </c>
      <c r="M506" s="171">
        <f>IF(preDEL!$AG506,IFERROR(0/0,""),preDEL!M506)</f>
        <v>0.4693981481</v>
      </c>
      <c r="N506" s="112" t="str">
        <f>IF(preDEL!$AG506,IFERROR(0/0,""),preDEL!N506)</f>
        <v/>
      </c>
      <c r="O506" s="112" t="str">
        <f>IF(preDEL!$AG506,IFERROR(0/0,""),preDEL!O506)</f>
        <v/>
      </c>
      <c r="P506" s="110" t="b">
        <f>IF(preDEL!$AG506,IFERROR(0/0,""),preDEL!P506)</f>
        <v>0</v>
      </c>
      <c r="Q506" s="110" t="str">
        <f>IF(preDEL!$AG506,IFERROR(0/0,""),preDEL!Q506)</f>
        <v>Result</v>
      </c>
      <c r="R506" s="104" t="b">
        <f>IF(preDEL!$AG506,IFERROR(0/0,""),preDEL!R506)</f>
        <v>1</v>
      </c>
      <c r="S506" s="104">
        <f>IF(preDEL!$AG506,IFERROR(0/0,""),preDEL!S506)</f>
        <v>1</v>
      </c>
      <c r="T506" s="110" t="str">
        <f>IF(preDEL!$AG506,IFERROR(0/0,""),preDEL!T506)</f>
        <v/>
      </c>
      <c r="U506" s="112" t="str">
        <f>IF(preDEL!$AG506,IFERROR(0/0,""),preDEL!U506)</f>
        <v/>
      </c>
      <c r="V506" s="105" t="str">
        <f>IF(preDEL!$AG506,IFERROR(0/0,""),preDEL!V506)</f>
        <v/>
      </c>
      <c r="W506" s="112" t="str">
        <f>IF(preDEL!$AG506,IFERROR(0/0,""),preDEL!W506)</f>
        <v/>
      </c>
      <c r="X506" s="104" t="b">
        <f>IF(preDEL!$AG506,IFERROR(0/0,""),preDEL!X506)</f>
        <v>0</v>
      </c>
      <c r="Y506" s="110" t="b">
        <f>IF(preDEL!$AG506,IFERROR(0/0,""),preDEL!Y506)</f>
        <v>0</v>
      </c>
      <c r="Z506" s="105" t="str">
        <f>IF(preDEL!$AG506,IFERROR(0/0,""),preDEL!Z506)</f>
        <v/>
      </c>
      <c r="AA506" s="110" t="b">
        <f>IF(preDEL!$AG506,IFERROR(0/0,""),preDEL!AA506)</f>
        <v>0</v>
      </c>
      <c r="AB506" s="110" t="b">
        <f>IF(preDEL!$AG506,IFERROR(0/0,""),preDEL!AB506)</f>
        <v>0</v>
      </c>
      <c r="AC506" s="172">
        <f>IF(preDEL!$AG506,IFERROR(0/0,""),preDEL!AC506)</f>
        <v>307</v>
      </c>
      <c r="AD506" s="104" t="b">
        <f>IF(preDEL!$AG506,IFERROR(0/0,""),preDEL!AD506)</f>
        <v>0</v>
      </c>
      <c r="AE506" s="173">
        <f>IF(preDEL!$AG506,IFERROR(0/0,""),preDEL!AE506)</f>
        <v>219.85</v>
      </c>
      <c r="AF506" s="110" t="b">
        <f>IF(preDEL!$AG506,IFERROR(0/0,""),preDEL!AF506)</f>
        <v>0</v>
      </c>
      <c r="AG506" s="110" t="b">
        <f>IF(preDEL!$AG506,IFERROR(0/0,""),preDEL!AG506)</f>
        <v>0</v>
      </c>
      <c r="AH506" s="104" t="str">
        <f>IF(preDEL!$AG506,IFERROR(0/0,""),preDEL!AH506)</f>
        <v/>
      </c>
      <c r="AI506" s="105" t="str">
        <f>IF(preDEL!$AG506,IFERROR(0/0,""),preDEL!AI506)</f>
        <v/>
      </c>
      <c r="AJ506" s="112" t="str">
        <f>IF(preDEL!$AG506,IFERROR(0/0,""),preDEL!AJ506)</f>
        <v/>
      </c>
      <c r="AK506" s="105" t="str">
        <f>IF(preDEL!$AG506,IFERROR(0/0,""),preDEL!AK506)</f>
        <v>Negative</v>
      </c>
      <c r="AL506" s="112" t="str">
        <f>IF(preDEL!$AG506,IFERROR(0/0,""),preDEL!AL506)</f>
        <v/>
      </c>
      <c r="AM506" s="112" t="str">
        <f>IF(preDEL!$AG506,IFERROR(0/0,""),preDEL!AM506)</f>
        <v>SpBEND845568</v>
      </c>
      <c r="AN506" s="112" t="str">
        <f>IF(preDEL!$AG506,IFERROR(0/0,""),preDEL!AN506)</f>
        <v>BEND601151</v>
      </c>
      <c r="AO506" s="112" t="str">
        <f>IF(preDEL!$AG506,IFERROR(0/0,""),preDEL!AO506)</f>
        <v/>
      </c>
      <c r="AP506" s="112" t="str">
        <f>IF(preDEL!$AG506,IFERROR(0/0,""),preDEL!AP506)</f>
        <v/>
      </c>
      <c r="AQ506" s="112" t="str">
        <f>IF(preDEL!$AG506,IFERROR(0/0,""),preDEL!AQ506)</f>
        <v/>
      </c>
      <c r="AR506" s="112" t="str">
        <f>IF(preDEL!$AG506,IFERROR(0/0,""),preDEL!AR506)</f>
        <v/>
      </c>
      <c r="AS506" s="112" t="str">
        <f>IF(preDEL!$AG506,IFERROR(0/0,""),preDEL!AS506)</f>
        <v/>
      </c>
      <c r="AT506" s="112" t="b">
        <f>IF(preDEL!$AG506,IFERROR(0/0,""),preDEL!AT506)</f>
        <v>0</v>
      </c>
      <c r="AU506" s="112" t="str">
        <f>IF(preDEL!$AG506,IFERROR(0/0,""),preDEL!AU506)</f>
        <v/>
      </c>
      <c r="AV506" s="112" t="str">
        <f>IF(preDEL!$AG506,IFERROR(0/0,""),preDEL!AV506)</f>
        <v/>
      </c>
      <c r="AW506" s="112" t="str">
        <f>IF(preDEL!$AG506,IFERROR(0/0,""),preDEL!AW506)</f>
        <v/>
      </c>
      <c r="AX506" s="112" t="str">
        <f>IF(preDEL!$AG506,IFERROR(0/0,""),preDEL!AX506)</f>
        <v/>
      </c>
      <c r="AY506" s="112" t="str">
        <f>IF(preDEL!$AG506,IFERROR(0/0,""),preDEL!AY506)</f>
        <v/>
      </c>
      <c r="AZ506" s="174"/>
      <c r="BA506" s="174"/>
      <c r="BB506" s="174"/>
      <c r="BC506" s="174"/>
      <c r="BD506" s="174"/>
      <c r="BE506" s="174"/>
      <c r="BF506" s="174"/>
      <c r="BG506" s="174"/>
      <c r="BH506" s="174"/>
      <c r="BI506" s="174"/>
      <c r="BJ506" s="174"/>
      <c r="BK506" s="174"/>
      <c r="BL506" s="174"/>
      <c r="BM506" s="174"/>
      <c r="BN506" s="174"/>
      <c r="BO506" s="174"/>
      <c r="BP506" s="174"/>
      <c r="BQ506" s="174"/>
      <c r="BR506" s="174"/>
      <c r="BS506" s="174"/>
      <c r="BT506" s="174"/>
      <c r="BU506" s="174"/>
      <c r="BV506" s="174"/>
      <c r="BW506" s="174"/>
      <c r="BX506" s="174"/>
      <c r="BY506" s="174"/>
      <c r="BZ506" s="174"/>
      <c r="CA506" s="174"/>
      <c r="CB506" s="174"/>
      <c r="CC506" s="174"/>
      <c r="CD506" s="174"/>
    </row>
    <row r="507">
      <c r="A507" s="105" t="str">
        <f>IF(preDEL!$AG507,IFERROR(0/0,""),preDEL!A507)</f>
        <v>MA1295</v>
      </c>
      <c r="B507" s="170">
        <f>IF(preDEL!$AG507,IFERROR(0/0,""),preDEL!B507)</f>
        <v>44613</v>
      </c>
      <c r="C507" s="171">
        <f>IF(preDEL!$AG507,IFERROR(0/0,""),preDEL!C507)</f>
        <v>0.3174652778</v>
      </c>
      <c r="D507" s="105" t="str">
        <f>IF(preDEL!$AG507,IFERROR(0/0,""),preDEL!D507)</f>
        <v/>
      </c>
      <c r="E507" s="105" t="str">
        <f>IF(preDEL!$AG507,IFERROR(0/0,""),preDEL!E507)</f>
        <v/>
      </c>
      <c r="F507" s="112" t="str">
        <f>IF(preDEL!$AG507,IFERROR(0/0,""),preDEL!F507)</f>
        <v/>
      </c>
      <c r="G507" s="112" t="str">
        <f>IF(preDEL!$AG507,IFERROR(0/0,""),preDEL!G507)</f>
        <v/>
      </c>
      <c r="H507" s="112" t="str">
        <f>IF(preDEL!$AG507,IFERROR(0/0,""),preDEL!H507)</f>
        <v/>
      </c>
      <c r="I507" s="105" t="str">
        <f>IF(preDEL!$AG507,IFERROR(0/0,""),preDEL!I507)</f>
        <v/>
      </c>
      <c r="J507" s="105" t="str">
        <f>IF(preDEL!$AG507,IFERROR(0/0,""),preDEL!J507)</f>
        <v/>
      </c>
      <c r="K507" s="105" t="str">
        <f>IF(preDEL!$AG507,IFERROR(0/0,""),preDEL!K507)</f>
        <v>Negative</v>
      </c>
      <c r="L507" s="170">
        <f>IF(preDEL!$AG507,IFERROR(0/0,""),preDEL!L507)</f>
        <v>44613</v>
      </c>
      <c r="M507" s="171">
        <f>IF(preDEL!$AG507,IFERROR(0/0,""),preDEL!M507)</f>
        <v>0.4693981481</v>
      </c>
      <c r="N507" s="112" t="str">
        <f>IF(preDEL!$AG507,IFERROR(0/0,""),preDEL!N507)</f>
        <v/>
      </c>
      <c r="O507" s="112" t="str">
        <f>IF(preDEL!$AG507,IFERROR(0/0,""),preDEL!O507)</f>
        <v/>
      </c>
      <c r="P507" s="110" t="b">
        <f>IF(preDEL!$AG507,IFERROR(0/0,""),preDEL!P507)</f>
        <v>0</v>
      </c>
      <c r="Q507" s="110" t="str">
        <f>IF(preDEL!$AG507,IFERROR(0/0,""),preDEL!Q507)</f>
        <v>Result</v>
      </c>
      <c r="R507" s="104" t="b">
        <f>IF(preDEL!$AG507,IFERROR(0/0,""),preDEL!R507)</f>
        <v>1</v>
      </c>
      <c r="S507" s="104">
        <f>IF(preDEL!$AG507,IFERROR(0/0,""),preDEL!S507)</f>
        <v>1</v>
      </c>
      <c r="T507" s="110" t="str">
        <f>IF(preDEL!$AG507,IFERROR(0/0,""),preDEL!T507)</f>
        <v/>
      </c>
      <c r="U507" s="112" t="str">
        <f>IF(preDEL!$AG507,IFERROR(0/0,""),preDEL!U507)</f>
        <v/>
      </c>
      <c r="V507" s="105" t="str">
        <f>IF(preDEL!$AG507,IFERROR(0/0,""),preDEL!V507)</f>
        <v/>
      </c>
      <c r="W507" s="112" t="str">
        <f>IF(preDEL!$AG507,IFERROR(0/0,""),preDEL!W507)</f>
        <v/>
      </c>
      <c r="X507" s="104" t="b">
        <f>IF(preDEL!$AG507,IFERROR(0/0,""),preDEL!X507)</f>
        <v>0</v>
      </c>
      <c r="Y507" s="110" t="b">
        <f>IF(preDEL!$AG507,IFERROR(0/0,""),preDEL!Y507)</f>
        <v>0</v>
      </c>
      <c r="Z507" s="105" t="str">
        <f>IF(preDEL!$AG507,IFERROR(0/0,""),preDEL!Z507)</f>
        <v/>
      </c>
      <c r="AA507" s="110" t="b">
        <f>IF(preDEL!$AG507,IFERROR(0/0,""),preDEL!AA507)</f>
        <v>0</v>
      </c>
      <c r="AB507" s="110" t="b">
        <f>IF(preDEL!$AG507,IFERROR(0/0,""),preDEL!AB507)</f>
        <v>0</v>
      </c>
      <c r="AC507" s="172">
        <f>IF(preDEL!$AG507,IFERROR(0/0,""),preDEL!AC507)</f>
        <v>306</v>
      </c>
      <c r="AD507" s="104" t="b">
        <f>IF(preDEL!$AG507,IFERROR(0/0,""),preDEL!AD507)</f>
        <v>0</v>
      </c>
      <c r="AE507" s="173">
        <f>IF(preDEL!$AG507,IFERROR(0/0,""),preDEL!AE507)</f>
        <v>218.7833333</v>
      </c>
      <c r="AF507" s="110" t="b">
        <f>IF(preDEL!$AG507,IFERROR(0/0,""),preDEL!AF507)</f>
        <v>0</v>
      </c>
      <c r="AG507" s="110" t="b">
        <f>IF(preDEL!$AG507,IFERROR(0/0,""),preDEL!AG507)</f>
        <v>0</v>
      </c>
      <c r="AH507" s="104" t="str">
        <f>IF(preDEL!$AG507,IFERROR(0/0,""),preDEL!AH507)</f>
        <v/>
      </c>
      <c r="AI507" s="105" t="str">
        <f>IF(preDEL!$AG507,IFERROR(0/0,""),preDEL!AI507)</f>
        <v/>
      </c>
      <c r="AJ507" s="112" t="str">
        <f>IF(preDEL!$AG507,IFERROR(0/0,""),preDEL!AJ507)</f>
        <v/>
      </c>
      <c r="AK507" s="105" t="str">
        <f>IF(preDEL!$AG507,IFERROR(0/0,""),preDEL!AK507)</f>
        <v>Negative</v>
      </c>
      <c r="AL507" s="112" t="str">
        <f>IF(preDEL!$AG507,IFERROR(0/0,""),preDEL!AL507)</f>
        <v/>
      </c>
      <c r="AM507" s="112" t="str">
        <f>IF(preDEL!$AG507,IFERROR(0/0,""),preDEL!AM507)</f>
        <v>SpBEND279112</v>
      </c>
      <c r="AN507" s="112" t="str">
        <f>IF(preDEL!$AG507,IFERROR(0/0,""),preDEL!AN507)</f>
        <v>BEND696303</v>
      </c>
      <c r="AO507" s="112" t="str">
        <f>IF(preDEL!$AG507,IFERROR(0/0,""),preDEL!AO507)</f>
        <v/>
      </c>
      <c r="AP507" s="112" t="str">
        <f>IF(preDEL!$AG507,IFERROR(0/0,""),preDEL!AP507)</f>
        <v/>
      </c>
      <c r="AQ507" s="112" t="str">
        <f>IF(preDEL!$AG507,IFERROR(0/0,""),preDEL!AQ507)</f>
        <v/>
      </c>
      <c r="AR507" s="112" t="str">
        <f>IF(preDEL!$AG507,IFERROR(0/0,""),preDEL!AR507)</f>
        <v/>
      </c>
      <c r="AS507" s="112" t="str">
        <f>IF(preDEL!$AG507,IFERROR(0/0,""),preDEL!AS507)</f>
        <v/>
      </c>
      <c r="AT507" s="112" t="b">
        <f>IF(preDEL!$AG507,IFERROR(0/0,""),preDEL!AT507)</f>
        <v>0</v>
      </c>
      <c r="AU507" s="112" t="str">
        <f>IF(preDEL!$AG507,IFERROR(0/0,""),preDEL!AU507)</f>
        <v/>
      </c>
      <c r="AV507" s="112" t="str">
        <f>IF(preDEL!$AG507,IFERROR(0/0,""),preDEL!AV507)</f>
        <v/>
      </c>
      <c r="AW507" s="112" t="str">
        <f>IF(preDEL!$AG507,IFERROR(0/0,""),preDEL!AW507)</f>
        <v/>
      </c>
      <c r="AX507" s="112" t="str">
        <f>IF(preDEL!$AG507,IFERROR(0/0,""),preDEL!AX507)</f>
        <v/>
      </c>
      <c r="AY507" s="112" t="str">
        <f>IF(preDEL!$AG507,IFERROR(0/0,""),preDEL!AY507)</f>
        <v/>
      </c>
      <c r="AZ507" s="174"/>
      <c r="BA507" s="174"/>
      <c r="BB507" s="174"/>
      <c r="BC507" s="174"/>
      <c r="BD507" s="174"/>
      <c r="BE507" s="174"/>
      <c r="BF507" s="174"/>
      <c r="BG507" s="174"/>
      <c r="BH507" s="174"/>
      <c r="BI507" s="174"/>
      <c r="BJ507" s="174"/>
      <c r="BK507" s="174"/>
      <c r="BL507" s="174"/>
      <c r="BM507" s="174"/>
      <c r="BN507" s="174"/>
      <c r="BO507" s="174"/>
      <c r="BP507" s="174"/>
      <c r="BQ507" s="174"/>
      <c r="BR507" s="174"/>
      <c r="BS507" s="174"/>
      <c r="BT507" s="174"/>
      <c r="BU507" s="174"/>
      <c r="BV507" s="174"/>
      <c r="BW507" s="174"/>
      <c r="BX507" s="174"/>
      <c r="BY507" s="174"/>
      <c r="BZ507" s="174"/>
      <c r="CA507" s="174"/>
      <c r="CB507" s="174"/>
      <c r="CC507" s="174"/>
      <c r="CD507" s="174"/>
    </row>
    <row r="508">
      <c r="A508" s="105" t="str">
        <f>IF(preDEL!$AG508,IFERROR(0/0,""),preDEL!A508)</f>
        <v>MA210</v>
      </c>
      <c r="B508" s="170">
        <f>IF(preDEL!$AG508,IFERROR(0/0,""),preDEL!B508)</f>
        <v>44613</v>
      </c>
      <c r="C508" s="171">
        <f>IF(preDEL!$AG508,IFERROR(0/0,""),preDEL!C508)</f>
        <v>0.3193634259</v>
      </c>
      <c r="D508" s="105" t="str">
        <f>IF(preDEL!$AG508,IFERROR(0/0,""),preDEL!D508)</f>
        <v/>
      </c>
      <c r="E508" s="105" t="str">
        <f>IF(preDEL!$AG508,IFERROR(0/0,""),preDEL!E508)</f>
        <v/>
      </c>
      <c r="F508" s="112" t="str">
        <f>IF(preDEL!$AG508,IFERROR(0/0,""),preDEL!F508)</f>
        <v/>
      </c>
      <c r="G508" s="112" t="str">
        <f>IF(preDEL!$AG508,IFERROR(0/0,""),preDEL!G508)</f>
        <v/>
      </c>
      <c r="H508" s="112" t="str">
        <f>IF(preDEL!$AG508,IFERROR(0/0,""),preDEL!H508)</f>
        <v/>
      </c>
      <c r="I508" s="105" t="str">
        <f>IF(preDEL!$AG508,IFERROR(0/0,""),preDEL!I508)</f>
        <v/>
      </c>
      <c r="J508" s="105" t="str">
        <f>IF(preDEL!$AG508,IFERROR(0/0,""),preDEL!J508)</f>
        <v/>
      </c>
      <c r="K508" s="105" t="str">
        <f>IF(preDEL!$AG508,IFERROR(0/0,""),preDEL!K508)</f>
        <v>Negative</v>
      </c>
      <c r="L508" s="170">
        <f>IF(preDEL!$AG508,IFERROR(0/0,""),preDEL!L508)</f>
        <v>44613</v>
      </c>
      <c r="M508" s="171">
        <f>IF(preDEL!$AG508,IFERROR(0/0,""),preDEL!M508)</f>
        <v>0.4694097222</v>
      </c>
      <c r="N508" s="112" t="str">
        <f>IF(preDEL!$AG508,IFERROR(0/0,""),preDEL!N508)</f>
        <v/>
      </c>
      <c r="O508" s="112" t="str">
        <f>IF(preDEL!$AG508,IFERROR(0/0,""),preDEL!O508)</f>
        <v/>
      </c>
      <c r="P508" s="110" t="b">
        <f>IF(preDEL!$AG508,IFERROR(0/0,""),preDEL!P508)</f>
        <v>0</v>
      </c>
      <c r="Q508" s="110" t="str">
        <f>IF(preDEL!$AG508,IFERROR(0/0,""),preDEL!Q508)</f>
        <v>Result</v>
      </c>
      <c r="R508" s="104" t="b">
        <f>IF(preDEL!$AG508,IFERROR(0/0,""),preDEL!R508)</f>
        <v>1</v>
      </c>
      <c r="S508" s="104">
        <f>IF(preDEL!$AG508,IFERROR(0/0,""),preDEL!S508)</f>
        <v>1</v>
      </c>
      <c r="T508" s="110" t="str">
        <f>IF(preDEL!$AG508,IFERROR(0/0,""),preDEL!T508)</f>
        <v/>
      </c>
      <c r="U508" s="112" t="str">
        <f>IF(preDEL!$AG508,IFERROR(0/0,""),preDEL!U508)</f>
        <v/>
      </c>
      <c r="V508" s="105" t="str">
        <f>IF(preDEL!$AG508,IFERROR(0/0,""),preDEL!V508)</f>
        <v/>
      </c>
      <c r="W508" s="112" t="str">
        <f>IF(preDEL!$AG508,IFERROR(0/0,""),preDEL!W508)</f>
        <v/>
      </c>
      <c r="X508" s="104" t="b">
        <f>IF(preDEL!$AG508,IFERROR(0/0,""),preDEL!X508)</f>
        <v>0</v>
      </c>
      <c r="Y508" s="110" t="b">
        <f>IF(preDEL!$AG508,IFERROR(0/0,""),preDEL!Y508)</f>
        <v>0</v>
      </c>
      <c r="Z508" s="105" t="str">
        <f>IF(preDEL!$AG508,IFERROR(0/0,""),preDEL!Z508)</f>
        <v/>
      </c>
      <c r="AA508" s="110" t="b">
        <f>IF(preDEL!$AG508,IFERROR(0/0,""),preDEL!AA508)</f>
        <v>0</v>
      </c>
      <c r="AB508" s="110" t="b">
        <f>IF(preDEL!$AG508,IFERROR(0/0,""),preDEL!AB508)</f>
        <v>0</v>
      </c>
      <c r="AC508" s="172">
        <f>IF(preDEL!$AG508,IFERROR(0/0,""),preDEL!AC508)</f>
        <v>305</v>
      </c>
      <c r="AD508" s="104" t="b">
        <f>IF(preDEL!$AG508,IFERROR(0/0,""),preDEL!AD508)</f>
        <v>0</v>
      </c>
      <c r="AE508" s="173">
        <f>IF(preDEL!$AG508,IFERROR(0/0,""),preDEL!AE508)</f>
        <v>216.0666667</v>
      </c>
      <c r="AF508" s="110" t="b">
        <f>IF(preDEL!$AG508,IFERROR(0/0,""),preDEL!AF508)</f>
        <v>0</v>
      </c>
      <c r="AG508" s="110" t="b">
        <f>IF(preDEL!$AG508,IFERROR(0/0,""),preDEL!AG508)</f>
        <v>0</v>
      </c>
      <c r="AH508" s="104" t="str">
        <f>IF(preDEL!$AG508,IFERROR(0/0,""),preDEL!AH508)</f>
        <v/>
      </c>
      <c r="AI508" s="105" t="str">
        <f>IF(preDEL!$AG508,IFERROR(0/0,""),preDEL!AI508)</f>
        <v/>
      </c>
      <c r="AJ508" s="112" t="str">
        <f>IF(preDEL!$AG508,IFERROR(0/0,""),preDEL!AJ508)</f>
        <v/>
      </c>
      <c r="AK508" s="105" t="str">
        <f>IF(preDEL!$AG508,IFERROR(0/0,""),preDEL!AK508)</f>
        <v>Negative</v>
      </c>
      <c r="AL508" s="112" t="str">
        <f>IF(preDEL!$AG508,IFERROR(0/0,""),preDEL!AL508)</f>
        <v/>
      </c>
      <c r="AM508" s="112" t="str">
        <f>IF(preDEL!$AG508,IFERROR(0/0,""),preDEL!AM508)</f>
        <v>SpBEND904348</v>
      </c>
      <c r="AN508" s="112" t="str">
        <f>IF(preDEL!$AG508,IFERROR(0/0,""),preDEL!AN508)</f>
        <v>BEND640444</v>
      </c>
      <c r="AO508" s="112" t="str">
        <f>IF(preDEL!$AG508,IFERROR(0/0,""),preDEL!AO508)</f>
        <v/>
      </c>
      <c r="AP508" s="112" t="str">
        <f>IF(preDEL!$AG508,IFERROR(0/0,""),preDEL!AP508)</f>
        <v/>
      </c>
      <c r="AQ508" s="112" t="str">
        <f>IF(preDEL!$AG508,IFERROR(0/0,""),preDEL!AQ508)</f>
        <v/>
      </c>
      <c r="AR508" s="112" t="str">
        <f>IF(preDEL!$AG508,IFERROR(0/0,""),preDEL!AR508)</f>
        <v/>
      </c>
      <c r="AS508" s="112" t="str">
        <f>IF(preDEL!$AG508,IFERROR(0/0,""),preDEL!AS508)</f>
        <v/>
      </c>
      <c r="AT508" s="112" t="b">
        <f>IF(preDEL!$AG508,IFERROR(0/0,""),preDEL!AT508)</f>
        <v>0</v>
      </c>
      <c r="AU508" s="112" t="str">
        <f>IF(preDEL!$AG508,IFERROR(0/0,""),preDEL!AU508)</f>
        <v/>
      </c>
      <c r="AV508" s="112" t="str">
        <f>IF(preDEL!$AG508,IFERROR(0/0,""),preDEL!AV508)</f>
        <v/>
      </c>
      <c r="AW508" s="112" t="str">
        <f>IF(preDEL!$AG508,IFERROR(0/0,""),preDEL!AW508)</f>
        <v/>
      </c>
      <c r="AX508" s="112" t="str">
        <f>IF(preDEL!$AG508,IFERROR(0/0,""),preDEL!AX508)</f>
        <v/>
      </c>
      <c r="AY508" s="112" t="str">
        <f>IF(preDEL!$AG508,IFERROR(0/0,""),preDEL!AY508)</f>
        <v/>
      </c>
      <c r="AZ508" s="174"/>
      <c r="BA508" s="174"/>
      <c r="BB508" s="174"/>
      <c r="BC508" s="174"/>
      <c r="BD508" s="174"/>
      <c r="BE508" s="174"/>
      <c r="BF508" s="174"/>
      <c r="BG508" s="174"/>
      <c r="BH508" s="174"/>
      <c r="BI508" s="174"/>
      <c r="BJ508" s="174"/>
      <c r="BK508" s="174"/>
      <c r="BL508" s="174"/>
      <c r="BM508" s="174"/>
      <c r="BN508" s="174"/>
      <c r="BO508" s="174"/>
      <c r="BP508" s="174"/>
      <c r="BQ508" s="174"/>
      <c r="BR508" s="174"/>
      <c r="BS508" s="174"/>
      <c r="BT508" s="174"/>
      <c r="BU508" s="174"/>
      <c r="BV508" s="174"/>
      <c r="BW508" s="174"/>
      <c r="BX508" s="174"/>
      <c r="BY508" s="174"/>
      <c r="BZ508" s="174"/>
      <c r="CA508" s="174"/>
      <c r="CB508" s="174"/>
      <c r="CC508" s="174"/>
      <c r="CD508" s="174"/>
    </row>
    <row r="509">
      <c r="A509" s="105" t="str">
        <f>IF(preDEL!$AG509,IFERROR(0/0,""),preDEL!A509)</f>
        <v>MA1271</v>
      </c>
      <c r="B509" s="170">
        <f>IF(preDEL!$AG509,IFERROR(0/0,""),preDEL!B509)</f>
        <v>44613</v>
      </c>
      <c r="C509" s="171">
        <f>IF(preDEL!$AG509,IFERROR(0/0,""),preDEL!C509)</f>
        <v>0.3198611111</v>
      </c>
      <c r="D509" s="105" t="str">
        <f>IF(preDEL!$AG509,IFERROR(0/0,""),preDEL!D509)</f>
        <v/>
      </c>
      <c r="E509" s="105" t="str">
        <f>IF(preDEL!$AG509,IFERROR(0/0,""),preDEL!E509)</f>
        <v/>
      </c>
      <c r="F509" s="112" t="str">
        <f>IF(preDEL!$AG509,IFERROR(0/0,""),preDEL!F509)</f>
        <v/>
      </c>
      <c r="G509" s="112" t="str">
        <f>IF(preDEL!$AG509,IFERROR(0/0,""),preDEL!G509)</f>
        <v/>
      </c>
      <c r="H509" s="112" t="str">
        <f>IF(preDEL!$AG509,IFERROR(0/0,""),preDEL!H509)</f>
        <v/>
      </c>
      <c r="I509" s="105" t="str">
        <f>IF(preDEL!$AG509,IFERROR(0/0,""),preDEL!I509)</f>
        <v/>
      </c>
      <c r="J509" s="105" t="str">
        <f>IF(preDEL!$AG509,IFERROR(0/0,""),preDEL!J509)</f>
        <v/>
      </c>
      <c r="K509" s="105" t="str">
        <f>IF(preDEL!$AG509,IFERROR(0/0,""),preDEL!K509)</f>
        <v>Negative</v>
      </c>
      <c r="L509" s="170">
        <f>IF(preDEL!$AG509,IFERROR(0/0,""),preDEL!L509)</f>
        <v>44613</v>
      </c>
      <c r="M509" s="171">
        <f>IF(preDEL!$AG509,IFERROR(0/0,""),preDEL!M509)</f>
        <v>0.4694097222</v>
      </c>
      <c r="N509" s="112" t="str">
        <f>IF(preDEL!$AG509,IFERROR(0/0,""),preDEL!N509)</f>
        <v/>
      </c>
      <c r="O509" s="112" t="str">
        <f>IF(preDEL!$AG509,IFERROR(0/0,""),preDEL!O509)</f>
        <v/>
      </c>
      <c r="P509" s="110" t="b">
        <f>IF(preDEL!$AG509,IFERROR(0/0,""),preDEL!P509)</f>
        <v>0</v>
      </c>
      <c r="Q509" s="110" t="str">
        <f>IF(preDEL!$AG509,IFERROR(0/0,""),preDEL!Q509)</f>
        <v>Result</v>
      </c>
      <c r="R509" s="104" t="b">
        <f>IF(preDEL!$AG509,IFERROR(0/0,""),preDEL!R509)</f>
        <v>1</v>
      </c>
      <c r="S509" s="104">
        <f>IF(preDEL!$AG509,IFERROR(0/0,""),preDEL!S509)</f>
        <v>1</v>
      </c>
      <c r="T509" s="110" t="str">
        <f>IF(preDEL!$AG509,IFERROR(0/0,""),preDEL!T509)</f>
        <v/>
      </c>
      <c r="U509" s="112" t="str">
        <f>IF(preDEL!$AG509,IFERROR(0/0,""),preDEL!U509)</f>
        <v/>
      </c>
      <c r="V509" s="105" t="str">
        <f>IF(preDEL!$AG509,IFERROR(0/0,""),preDEL!V509)</f>
        <v/>
      </c>
      <c r="W509" s="112" t="str">
        <f>IF(preDEL!$AG509,IFERROR(0/0,""),preDEL!W509)</f>
        <v/>
      </c>
      <c r="X509" s="104" t="b">
        <f>IF(preDEL!$AG509,IFERROR(0/0,""),preDEL!X509)</f>
        <v>0</v>
      </c>
      <c r="Y509" s="110" t="b">
        <f>IF(preDEL!$AG509,IFERROR(0/0,""),preDEL!Y509)</f>
        <v>0</v>
      </c>
      <c r="Z509" s="105" t="str">
        <f>IF(preDEL!$AG509,IFERROR(0/0,""),preDEL!Z509)</f>
        <v/>
      </c>
      <c r="AA509" s="110" t="b">
        <f>IF(preDEL!$AG509,IFERROR(0/0,""),preDEL!AA509)</f>
        <v>0</v>
      </c>
      <c r="AB509" s="110" t="b">
        <f>IF(preDEL!$AG509,IFERROR(0/0,""),preDEL!AB509)</f>
        <v>0</v>
      </c>
      <c r="AC509" s="172">
        <f>IF(preDEL!$AG509,IFERROR(0/0,""),preDEL!AC509)</f>
        <v>304</v>
      </c>
      <c r="AD509" s="104" t="b">
        <f>IF(preDEL!$AG509,IFERROR(0/0,""),preDEL!AD509)</f>
        <v>0</v>
      </c>
      <c r="AE509" s="173">
        <f>IF(preDEL!$AG509,IFERROR(0/0,""),preDEL!AE509)</f>
        <v>215.35</v>
      </c>
      <c r="AF509" s="110" t="b">
        <f>IF(preDEL!$AG509,IFERROR(0/0,""),preDEL!AF509)</f>
        <v>0</v>
      </c>
      <c r="AG509" s="110" t="b">
        <f>IF(preDEL!$AG509,IFERROR(0/0,""),preDEL!AG509)</f>
        <v>0</v>
      </c>
      <c r="AH509" s="104" t="str">
        <f>IF(preDEL!$AG509,IFERROR(0/0,""),preDEL!AH509)</f>
        <v/>
      </c>
      <c r="AI509" s="105" t="str">
        <f>IF(preDEL!$AG509,IFERROR(0/0,""),preDEL!AI509)</f>
        <v/>
      </c>
      <c r="AJ509" s="112" t="str">
        <f>IF(preDEL!$AG509,IFERROR(0/0,""),preDEL!AJ509)</f>
        <v/>
      </c>
      <c r="AK509" s="105" t="str">
        <f>IF(preDEL!$AG509,IFERROR(0/0,""),preDEL!AK509)</f>
        <v>Negative</v>
      </c>
      <c r="AL509" s="112" t="str">
        <f>IF(preDEL!$AG509,IFERROR(0/0,""),preDEL!AL509)</f>
        <v/>
      </c>
      <c r="AM509" s="112" t="str">
        <f>IF(preDEL!$AG509,IFERROR(0/0,""),preDEL!AM509)</f>
        <v>SpBEND815974</v>
      </c>
      <c r="AN509" s="112" t="str">
        <f>IF(preDEL!$AG509,IFERROR(0/0,""),preDEL!AN509)</f>
        <v>BEND381818</v>
      </c>
      <c r="AO509" s="112" t="str">
        <f>IF(preDEL!$AG509,IFERROR(0/0,""),preDEL!AO509)</f>
        <v/>
      </c>
      <c r="AP509" s="112" t="str">
        <f>IF(preDEL!$AG509,IFERROR(0/0,""),preDEL!AP509)</f>
        <v/>
      </c>
      <c r="AQ509" s="112" t="str">
        <f>IF(preDEL!$AG509,IFERROR(0/0,""),preDEL!AQ509)</f>
        <v/>
      </c>
      <c r="AR509" s="112" t="str">
        <f>IF(preDEL!$AG509,IFERROR(0/0,""),preDEL!AR509)</f>
        <v/>
      </c>
      <c r="AS509" s="112" t="str">
        <f>IF(preDEL!$AG509,IFERROR(0/0,""),preDEL!AS509)</f>
        <v/>
      </c>
      <c r="AT509" s="112" t="b">
        <f>IF(preDEL!$AG509,IFERROR(0/0,""),preDEL!AT509)</f>
        <v>0</v>
      </c>
      <c r="AU509" s="112" t="str">
        <f>IF(preDEL!$AG509,IFERROR(0/0,""),preDEL!AU509)</f>
        <v/>
      </c>
      <c r="AV509" s="112" t="str">
        <f>IF(preDEL!$AG509,IFERROR(0/0,""),preDEL!AV509)</f>
        <v/>
      </c>
      <c r="AW509" s="112" t="str">
        <f>IF(preDEL!$AG509,IFERROR(0/0,""),preDEL!AW509)</f>
        <v/>
      </c>
      <c r="AX509" s="112" t="str">
        <f>IF(preDEL!$AG509,IFERROR(0/0,""),preDEL!AX509)</f>
        <v/>
      </c>
      <c r="AY509" s="112" t="str">
        <f>IF(preDEL!$AG509,IFERROR(0/0,""),preDEL!AY509)</f>
        <v/>
      </c>
      <c r="AZ509" s="174"/>
      <c r="BA509" s="174"/>
      <c r="BB509" s="174"/>
      <c r="BC509" s="174"/>
      <c r="BD509" s="174"/>
      <c r="BE509" s="174"/>
      <c r="BF509" s="174"/>
      <c r="BG509" s="174"/>
      <c r="BH509" s="174"/>
      <c r="BI509" s="174"/>
      <c r="BJ509" s="174"/>
      <c r="BK509" s="174"/>
      <c r="BL509" s="174"/>
      <c r="BM509" s="174"/>
      <c r="BN509" s="174"/>
      <c r="BO509" s="174"/>
      <c r="BP509" s="174"/>
      <c r="BQ509" s="174"/>
      <c r="BR509" s="174"/>
      <c r="BS509" s="174"/>
      <c r="BT509" s="174"/>
      <c r="BU509" s="174"/>
      <c r="BV509" s="174"/>
      <c r="BW509" s="174"/>
      <c r="BX509" s="174"/>
      <c r="BY509" s="174"/>
      <c r="BZ509" s="174"/>
      <c r="CA509" s="174"/>
      <c r="CB509" s="174"/>
      <c r="CC509" s="174"/>
      <c r="CD509" s="174"/>
    </row>
    <row r="510">
      <c r="A510" s="105" t="str">
        <f>IF(preDEL!$AG510,IFERROR(0/0,""),preDEL!A510)</f>
        <v>MA202</v>
      </c>
      <c r="B510" s="170">
        <f>IF(preDEL!$AG510,IFERROR(0/0,""),preDEL!B510)</f>
        <v>44613</v>
      </c>
      <c r="C510" s="171">
        <f>IF(preDEL!$AG510,IFERROR(0/0,""),preDEL!C510)</f>
        <v>0.3206944444</v>
      </c>
      <c r="D510" s="105" t="str">
        <f>IF(preDEL!$AG510,IFERROR(0/0,""),preDEL!D510)</f>
        <v/>
      </c>
      <c r="E510" s="105" t="str">
        <f>IF(preDEL!$AG510,IFERROR(0/0,""),preDEL!E510)</f>
        <v/>
      </c>
      <c r="F510" s="112" t="str">
        <f>IF(preDEL!$AG510,IFERROR(0/0,""),preDEL!F510)</f>
        <v/>
      </c>
      <c r="G510" s="112" t="str">
        <f>IF(preDEL!$AG510,IFERROR(0/0,""),preDEL!G510)</f>
        <v/>
      </c>
      <c r="H510" s="112" t="str">
        <f>IF(preDEL!$AG510,IFERROR(0/0,""),preDEL!H510)</f>
        <v/>
      </c>
      <c r="I510" s="105" t="str">
        <f>IF(preDEL!$AG510,IFERROR(0/0,""),preDEL!I510)</f>
        <v/>
      </c>
      <c r="J510" s="105" t="str">
        <f>IF(preDEL!$AG510,IFERROR(0/0,""),preDEL!J510)</f>
        <v/>
      </c>
      <c r="K510" s="105" t="str">
        <f>IF(preDEL!$AG510,IFERROR(0/0,""),preDEL!K510)</f>
        <v>Negative</v>
      </c>
      <c r="L510" s="170">
        <f>IF(preDEL!$AG510,IFERROR(0/0,""),preDEL!L510)</f>
        <v>44613</v>
      </c>
      <c r="M510" s="171">
        <f>IF(preDEL!$AG510,IFERROR(0/0,""),preDEL!M510)</f>
        <v>0.4694097222</v>
      </c>
      <c r="N510" s="112" t="str">
        <f>IF(preDEL!$AG510,IFERROR(0/0,""),preDEL!N510)</f>
        <v/>
      </c>
      <c r="O510" s="112" t="str">
        <f>IF(preDEL!$AG510,IFERROR(0/0,""),preDEL!O510)</f>
        <v/>
      </c>
      <c r="P510" s="110" t="b">
        <f>IF(preDEL!$AG510,IFERROR(0/0,""),preDEL!P510)</f>
        <v>0</v>
      </c>
      <c r="Q510" s="110" t="str">
        <f>IF(preDEL!$AG510,IFERROR(0/0,""),preDEL!Q510)</f>
        <v>Result</v>
      </c>
      <c r="R510" s="104" t="b">
        <f>IF(preDEL!$AG510,IFERROR(0/0,""),preDEL!R510)</f>
        <v>1</v>
      </c>
      <c r="S510" s="104">
        <f>IF(preDEL!$AG510,IFERROR(0/0,""),preDEL!S510)</f>
        <v>1</v>
      </c>
      <c r="T510" s="110" t="str">
        <f>IF(preDEL!$AG510,IFERROR(0/0,""),preDEL!T510)</f>
        <v/>
      </c>
      <c r="U510" s="112" t="str">
        <f>IF(preDEL!$AG510,IFERROR(0/0,""),preDEL!U510)</f>
        <v/>
      </c>
      <c r="V510" s="105" t="str">
        <f>IF(preDEL!$AG510,IFERROR(0/0,""),preDEL!V510)</f>
        <v/>
      </c>
      <c r="W510" s="112" t="str">
        <f>IF(preDEL!$AG510,IFERROR(0/0,""),preDEL!W510)</f>
        <v/>
      </c>
      <c r="X510" s="104" t="b">
        <f>IF(preDEL!$AG510,IFERROR(0/0,""),preDEL!X510)</f>
        <v>0</v>
      </c>
      <c r="Y510" s="110" t="b">
        <f>IF(preDEL!$AG510,IFERROR(0/0,""),preDEL!Y510)</f>
        <v>0</v>
      </c>
      <c r="Z510" s="105" t="str">
        <f>IF(preDEL!$AG510,IFERROR(0/0,""),preDEL!Z510)</f>
        <v/>
      </c>
      <c r="AA510" s="110" t="b">
        <f>IF(preDEL!$AG510,IFERROR(0/0,""),preDEL!AA510)</f>
        <v>0</v>
      </c>
      <c r="AB510" s="110" t="b">
        <f>IF(preDEL!$AG510,IFERROR(0/0,""),preDEL!AB510)</f>
        <v>0</v>
      </c>
      <c r="AC510" s="172">
        <f>IF(preDEL!$AG510,IFERROR(0/0,""),preDEL!AC510)</f>
        <v>303</v>
      </c>
      <c r="AD510" s="104" t="b">
        <f>IF(preDEL!$AG510,IFERROR(0/0,""),preDEL!AD510)</f>
        <v>0</v>
      </c>
      <c r="AE510" s="173">
        <f>IF(preDEL!$AG510,IFERROR(0/0,""),preDEL!AE510)</f>
        <v>214.15</v>
      </c>
      <c r="AF510" s="110" t="b">
        <f>IF(preDEL!$AG510,IFERROR(0/0,""),preDEL!AF510)</f>
        <v>0</v>
      </c>
      <c r="AG510" s="110" t="b">
        <f>IF(preDEL!$AG510,IFERROR(0/0,""),preDEL!AG510)</f>
        <v>0</v>
      </c>
      <c r="AH510" s="104" t="str">
        <f>IF(preDEL!$AG510,IFERROR(0/0,""),preDEL!AH510)</f>
        <v/>
      </c>
      <c r="AI510" s="105" t="str">
        <f>IF(preDEL!$AG510,IFERROR(0/0,""),preDEL!AI510)</f>
        <v/>
      </c>
      <c r="AJ510" s="112" t="str">
        <f>IF(preDEL!$AG510,IFERROR(0/0,""),preDEL!AJ510)</f>
        <v/>
      </c>
      <c r="AK510" s="105" t="str">
        <f>IF(preDEL!$AG510,IFERROR(0/0,""),preDEL!AK510)</f>
        <v>Negative</v>
      </c>
      <c r="AL510" s="112" t="str">
        <f>IF(preDEL!$AG510,IFERROR(0/0,""),preDEL!AL510)</f>
        <v/>
      </c>
      <c r="AM510" s="112" t="str">
        <f>IF(preDEL!$AG510,IFERROR(0/0,""),preDEL!AM510)</f>
        <v>SpBEND372845</v>
      </c>
      <c r="AN510" s="112" t="str">
        <f>IF(preDEL!$AG510,IFERROR(0/0,""),preDEL!AN510)</f>
        <v>BEND940774</v>
      </c>
      <c r="AO510" s="112" t="str">
        <f>IF(preDEL!$AG510,IFERROR(0/0,""),preDEL!AO510)</f>
        <v/>
      </c>
      <c r="AP510" s="112" t="str">
        <f>IF(preDEL!$AG510,IFERROR(0/0,""),preDEL!AP510)</f>
        <v/>
      </c>
      <c r="AQ510" s="112" t="str">
        <f>IF(preDEL!$AG510,IFERROR(0/0,""),preDEL!AQ510)</f>
        <v/>
      </c>
      <c r="AR510" s="112" t="str">
        <f>IF(preDEL!$AG510,IFERROR(0/0,""),preDEL!AR510)</f>
        <v/>
      </c>
      <c r="AS510" s="112" t="str">
        <f>IF(preDEL!$AG510,IFERROR(0/0,""),preDEL!AS510)</f>
        <v/>
      </c>
      <c r="AT510" s="112" t="b">
        <f>IF(preDEL!$AG510,IFERROR(0/0,""),preDEL!AT510)</f>
        <v>0</v>
      </c>
      <c r="AU510" s="112" t="str">
        <f>IF(preDEL!$AG510,IFERROR(0/0,""),preDEL!AU510)</f>
        <v/>
      </c>
      <c r="AV510" s="112" t="str">
        <f>IF(preDEL!$AG510,IFERROR(0/0,""),preDEL!AV510)</f>
        <v/>
      </c>
      <c r="AW510" s="112" t="str">
        <f>IF(preDEL!$AG510,IFERROR(0/0,""),preDEL!AW510)</f>
        <v/>
      </c>
      <c r="AX510" s="112" t="str">
        <f>IF(preDEL!$AG510,IFERROR(0/0,""),preDEL!AX510)</f>
        <v/>
      </c>
      <c r="AY510" s="112" t="str">
        <f>IF(preDEL!$AG510,IFERROR(0/0,""),preDEL!AY510)</f>
        <v/>
      </c>
      <c r="AZ510" s="174"/>
      <c r="BA510" s="174"/>
      <c r="BB510" s="174"/>
      <c r="BC510" s="174"/>
      <c r="BD510" s="174"/>
      <c r="BE510" s="174"/>
      <c r="BF510" s="174"/>
      <c r="BG510" s="174"/>
      <c r="BH510" s="174"/>
      <c r="BI510" s="174"/>
      <c r="BJ510" s="174"/>
      <c r="BK510" s="174"/>
      <c r="BL510" s="174"/>
      <c r="BM510" s="174"/>
      <c r="BN510" s="174"/>
      <c r="BO510" s="174"/>
      <c r="BP510" s="174"/>
      <c r="BQ510" s="174"/>
      <c r="BR510" s="174"/>
      <c r="BS510" s="174"/>
      <c r="BT510" s="174"/>
      <c r="BU510" s="174"/>
      <c r="BV510" s="174"/>
      <c r="BW510" s="174"/>
      <c r="BX510" s="174"/>
      <c r="BY510" s="174"/>
      <c r="BZ510" s="174"/>
      <c r="CA510" s="174"/>
      <c r="CB510" s="174"/>
      <c r="CC510" s="174"/>
      <c r="CD510" s="174"/>
    </row>
    <row r="511">
      <c r="A511" s="105" t="str">
        <f>IF(preDEL!$AG511,IFERROR(0/0,""),preDEL!A511)</f>
        <v>FM1020</v>
      </c>
      <c r="B511" s="170">
        <f>IF(preDEL!$AG511,IFERROR(0/0,""),preDEL!B511)</f>
        <v>44613</v>
      </c>
      <c r="C511" s="171">
        <f>IF(preDEL!$AG511,IFERROR(0/0,""),preDEL!C511)</f>
        <v>0.3210185185</v>
      </c>
      <c r="D511" s="105" t="str">
        <f>IF(preDEL!$AG511,IFERROR(0/0,""),preDEL!D511)</f>
        <v/>
      </c>
      <c r="E511" s="105" t="str">
        <f>IF(preDEL!$AG511,IFERROR(0/0,""),preDEL!E511)</f>
        <v/>
      </c>
      <c r="F511" s="112" t="str">
        <f>IF(preDEL!$AG511,IFERROR(0/0,""),preDEL!F511)</f>
        <v/>
      </c>
      <c r="G511" s="112" t="str">
        <f>IF(preDEL!$AG511,IFERROR(0/0,""),preDEL!G511)</f>
        <v/>
      </c>
      <c r="H511" s="112" t="str">
        <f>IF(preDEL!$AG511,IFERROR(0/0,""),preDEL!H511)</f>
        <v/>
      </c>
      <c r="I511" s="105" t="str">
        <f>IF(preDEL!$AG511,IFERROR(0/0,""),preDEL!I511)</f>
        <v/>
      </c>
      <c r="J511" s="105" t="str">
        <f>IF(preDEL!$AG511,IFERROR(0/0,""),preDEL!J511)</f>
        <v/>
      </c>
      <c r="K511" s="105" t="str">
        <f>IF(preDEL!$AG511,IFERROR(0/0,""),preDEL!K511)</f>
        <v>Negative</v>
      </c>
      <c r="L511" s="170">
        <f>IF(preDEL!$AG511,IFERROR(0/0,""),preDEL!L511)</f>
        <v>44613</v>
      </c>
      <c r="M511" s="171">
        <f>IF(preDEL!$AG511,IFERROR(0/0,""),preDEL!M511)</f>
        <v>0.4694097222</v>
      </c>
      <c r="N511" s="112" t="str">
        <f>IF(preDEL!$AG511,IFERROR(0/0,""),preDEL!N511)</f>
        <v/>
      </c>
      <c r="O511" s="112" t="str">
        <f>IF(preDEL!$AG511,IFERROR(0/0,""),preDEL!O511)</f>
        <v/>
      </c>
      <c r="P511" s="110" t="b">
        <f>IF(preDEL!$AG511,IFERROR(0/0,""),preDEL!P511)</f>
        <v>0</v>
      </c>
      <c r="Q511" s="110" t="str">
        <f>IF(preDEL!$AG511,IFERROR(0/0,""),preDEL!Q511)</f>
        <v>Result</v>
      </c>
      <c r="R511" s="104" t="b">
        <f>IF(preDEL!$AG511,IFERROR(0/0,""),preDEL!R511)</f>
        <v>1</v>
      </c>
      <c r="S511" s="104">
        <f>IF(preDEL!$AG511,IFERROR(0/0,""),preDEL!S511)</f>
        <v>1</v>
      </c>
      <c r="T511" s="110" t="str">
        <f>IF(preDEL!$AG511,IFERROR(0/0,""),preDEL!T511)</f>
        <v/>
      </c>
      <c r="U511" s="112" t="str">
        <f>IF(preDEL!$AG511,IFERROR(0/0,""),preDEL!U511)</f>
        <v/>
      </c>
      <c r="V511" s="105" t="str">
        <f>IF(preDEL!$AG511,IFERROR(0/0,""),preDEL!V511)</f>
        <v/>
      </c>
      <c r="W511" s="112" t="str">
        <f>IF(preDEL!$AG511,IFERROR(0/0,""),preDEL!W511)</f>
        <v/>
      </c>
      <c r="X511" s="104" t="b">
        <f>IF(preDEL!$AG511,IFERROR(0/0,""),preDEL!X511)</f>
        <v>0</v>
      </c>
      <c r="Y511" s="110" t="b">
        <f>IF(preDEL!$AG511,IFERROR(0/0,""),preDEL!Y511)</f>
        <v>0</v>
      </c>
      <c r="Z511" s="105" t="str">
        <f>IF(preDEL!$AG511,IFERROR(0/0,""),preDEL!Z511)</f>
        <v/>
      </c>
      <c r="AA511" s="110" t="b">
        <f>IF(preDEL!$AG511,IFERROR(0/0,""),preDEL!AA511)</f>
        <v>0</v>
      </c>
      <c r="AB511" s="110" t="b">
        <f>IF(preDEL!$AG511,IFERROR(0/0,""),preDEL!AB511)</f>
        <v>0</v>
      </c>
      <c r="AC511" s="172">
        <f>IF(preDEL!$AG511,IFERROR(0/0,""),preDEL!AC511)</f>
        <v>302</v>
      </c>
      <c r="AD511" s="104" t="b">
        <f>IF(preDEL!$AG511,IFERROR(0/0,""),preDEL!AD511)</f>
        <v>0</v>
      </c>
      <c r="AE511" s="173">
        <f>IF(preDEL!$AG511,IFERROR(0/0,""),preDEL!AE511)</f>
        <v>213.6833333</v>
      </c>
      <c r="AF511" s="110" t="b">
        <f>IF(preDEL!$AG511,IFERROR(0/0,""),preDEL!AF511)</f>
        <v>0</v>
      </c>
      <c r="AG511" s="110" t="b">
        <f>IF(preDEL!$AG511,IFERROR(0/0,""),preDEL!AG511)</f>
        <v>0</v>
      </c>
      <c r="AH511" s="104" t="str">
        <f>IF(preDEL!$AG511,IFERROR(0/0,""),preDEL!AH511)</f>
        <v/>
      </c>
      <c r="AI511" s="105" t="str">
        <f>IF(preDEL!$AG511,IFERROR(0/0,""),preDEL!AI511)</f>
        <v/>
      </c>
      <c r="AJ511" s="112" t="str">
        <f>IF(preDEL!$AG511,IFERROR(0/0,""),preDEL!AJ511)</f>
        <v/>
      </c>
      <c r="AK511" s="105" t="str">
        <f>IF(preDEL!$AG511,IFERROR(0/0,""),preDEL!AK511)</f>
        <v>Negative</v>
      </c>
      <c r="AL511" s="112" t="str">
        <f>IF(preDEL!$AG511,IFERROR(0/0,""),preDEL!AL511)</f>
        <v/>
      </c>
      <c r="AM511" s="112" t="str">
        <f>IF(preDEL!$AG511,IFERROR(0/0,""),preDEL!AM511)</f>
        <v>SpBEND551372</v>
      </c>
      <c r="AN511" s="112" t="str">
        <f>IF(preDEL!$AG511,IFERROR(0/0,""),preDEL!AN511)</f>
        <v>BEND475899</v>
      </c>
      <c r="AO511" s="112" t="str">
        <f>IF(preDEL!$AG511,IFERROR(0/0,""),preDEL!AO511)</f>
        <v/>
      </c>
      <c r="AP511" s="112" t="str">
        <f>IF(preDEL!$AG511,IFERROR(0/0,""),preDEL!AP511)</f>
        <v/>
      </c>
      <c r="AQ511" s="112" t="str">
        <f>IF(preDEL!$AG511,IFERROR(0/0,""),preDEL!AQ511)</f>
        <v/>
      </c>
      <c r="AR511" s="112" t="str">
        <f>IF(preDEL!$AG511,IFERROR(0/0,""),preDEL!AR511)</f>
        <v/>
      </c>
      <c r="AS511" s="112" t="str">
        <f>IF(preDEL!$AG511,IFERROR(0/0,""),preDEL!AS511)</f>
        <v/>
      </c>
      <c r="AT511" s="112" t="b">
        <f>IF(preDEL!$AG511,IFERROR(0/0,""),preDEL!AT511)</f>
        <v>0</v>
      </c>
      <c r="AU511" s="112" t="str">
        <f>IF(preDEL!$AG511,IFERROR(0/0,""),preDEL!AU511)</f>
        <v/>
      </c>
      <c r="AV511" s="112" t="str">
        <f>IF(preDEL!$AG511,IFERROR(0/0,""),preDEL!AV511)</f>
        <v/>
      </c>
      <c r="AW511" s="112" t="str">
        <f>IF(preDEL!$AG511,IFERROR(0/0,""),preDEL!AW511)</f>
        <v/>
      </c>
      <c r="AX511" s="112" t="str">
        <f>IF(preDEL!$AG511,IFERROR(0/0,""),preDEL!AX511)</f>
        <v/>
      </c>
      <c r="AY511" s="112" t="str">
        <f>IF(preDEL!$AG511,IFERROR(0/0,""),preDEL!AY511)</f>
        <v/>
      </c>
      <c r="AZ511" s="174"/>
      <c r="BA511" s="174"/>
      <c r="BB511" s="174"/>
      <c r="BC511" s="174"/>
      <c r="BD511" s="174"/>
      <c r="BE511" s="174"/>
      <c r="BF511" s="174"/>
      <c r="BG511" s="174"/>
      <c r="BH511" s="174"/>
      <c r="BI511" s="174"/>
      <c r="BJ511" s="174"/>
      <c r="BK511" s="174"/>
      <c r="BL511" s="174"/>
      <c r="BM511" s="174"/>
      <c r="BN511" s="174"/>
      <c r="BO511" s="174"/>
      <c r="BP511" s="174"/>
      <c r="BQ511" s="174"/>
      <c r="BR511" s="174"/>
      <c r="BS511" s="174"/>
      <c r="BT511" s="174"/>
      <c r="BU511" s="174"/>
      <c r="BV511" s="174"/>
      <c r="BW511" s="174"/>
      <c r="BX511" s="174"/>
      <c r="BY511" s="174"/>
      <c r="BZ511" s="174"/>
      <c r="CA511" s="174"/>
      <c r="CB511" s="174"/>
      <c r="CC511" s="174"/>
      <c r="CD511" s="174"/>
    </row>
    <row r="512">
      <c r="A512" s="105" t="str">
        <f>IF(preDEL!$AG512,IFERROR(0/0,""),preDEL!A512)</f>
        <v>FM823</v>
      </c>
      <c r="B512" s="170">
        <f>IF(preDEL!$AG512,IFERROR(0/0,""),preDEL!B512)</f>
        <v>44613</v>
      </c>
      <c r="C512" s="171">
        <f>IF(preDEL!$AG512,IFERROR(0/0,""),preDEL!C512)</f>
        <v>0.3212037037</v>
      </c>
      <c r="D512" s="105" t="str">
        <f>IF(preDEL!$AG512,IFERROR(0/0,""),preDEL!D512)</f>
        <v/>
      </c>
      <c r="E512" s="105" t="str">
        <f>IF(preDEL!$AG512,IFERROR(0/0,""),preDEL!E512)</f>
        <v/>
      </c>
      <c r="F512" s="112" t="str">
        <f>IF(preDEL!$AG512,IFERROR(0/0,""),preDEL!F512)</f>
        <v/>
      </c>
      <c r="G512" s="112" t="str">
        <f>IF(preDEL!$AG512,IFERROR(0/0,""),preDEL!G512)</f>
        <v/>
      </c>
      <c r="H512" s="112" t="str">
        <f>IF(preDEL!$AG512,IFERROR(0/0,""),preDEL!H512)</f>
        <v/>
      </c>
      <c r="I512" s="105" t="str">
        <f>IF(preDEL!$AG512,IFERROR(0/0,""),preDEL!I512)</f>
        <v/>
      </c>
      <c r="J512" s="105" t="str">
        <f>IF(preDEL!$AG512,IFERROR(0/0,""),preDEL!J512)</f>
        <v/>
      </c>
      <c r="K512" s="105" t="str">
        <f>IF(preDEL!$AG512,IFERROR(0/0,""),preDEL!K512)</f>
        <v>Negative</v>
      </c>
      <c r="L512" s="170">
        <f>IF(preDEL!$AG512,IFERROR(0/0,""),preDEL!L512)</f>
        <v>44613</v>
      </c>
      <c r="M512" s="171">
        <f>IF(preDEL!$AG512,IFERROR(0/0,""),preDEL!M512)</f>
        <v>0.4694097222</v>
      </c>
      <c r="N512" s="112" t="str">
        <f>IF(preDEL!$AG512,IFERROR(0/0,""),preDEL!N512)</f>
        <v/>
      </c>
      <c r="O512" s="112" t="str">
        <f>IF(preDEL!$AG512,IFERROR(0/0,""),preDEL!O512)</f>
        <v/>
      </c>
      <c r="P512" s="110" t="b">
        <f>IF(preDEL!$AG512,IFERROR(0/0,""),preDEL!P512)</f>
        <v>0</v>
      </c>
      <c r="Q512" s="110" t="str">
        <f>IF(preDEL!$AG512,IFERROR(0/0,""),preDEL!Q512)</f>
        <v>Result</v>
      </c>
      <c r="R512" s="104" t="b">
        <f>IF(preDEL!$AG512,IFERROR(0/0,""),preDEL!R512)</f>
        <v>1</v>
      </c>
      <c r="S512" s="104">
        <f>IF(preDEL!$AG512,IFERROR(0/0,""),preDEL!S512)</f>
        <v>1</v>
      </c>
      <c r="T512" s="110" t="str">
        <f>IF(preDEL!$AG512,IFERROR(0/0,""),preDEL!T512)</f>
        <v/>
      </c>
      <c r="U512" s="112" t="str">
        <f>IF(preDEL!$AG512,IFERROR(0/0,""),preDEL!U512)</f>
        <v/>
      </c>
      <c r="V512" s="105" t="str">
        <f>IF(preDEL!$AG512,IFERROR(0/0,""),preDEL!V512)</f>
        <v/>
      </c>
      <c r="W512" s="112" t="str">
        <f>IF(preDEL!$AG512,IFERROR(0/0,""),preDEL!W512)</f>
        <v/>
      </c>
      <c r="X512" s="104" t="b">
        <f>IF(preDEL!$AG512,IFERROR(0/0,""),preDEL!X512)</f>
        <v>0</v>
      </c>
      <c r="Y512" s="110" t="b">
        <f>IF(preDEL!$AG512,IFERROR(0/0,""),preDEL!Y512)</f>
        <v>0</v>
      </c>
      <c r="Z512" s="105" t="str">
        <f>IF(preDEL!$AG512,IFERROR(0/0,""),preDEL!Z512)</f>
        <v/>
      </c>
      <c r="AA512" s="110" t="b">
        <f>IF(preDEL!$AG512,IFERROR(0/0,""),preDEL!AA512)</f>
        <v>0</v>
      </c>
      <c r="AB512" s="110" t="b">
        <f>IF(preDEL!$AG512,IFERROR(0/0,""),preDEL!AB512)</f>
        <v>0</v>
      </c>
      <c r="AC512" s="172">
        <f>IF(preDEL!$AG512,IFERROR(0/0,""),preDEL!AC512)</f>
        <v>301</v>
      </c>
      <c r="AD512" s="104" t="b">
        <f>IF(preDEL!$AG512,IFERROR(0/0,""),preDEL!AD512)</f>
        <v>0</v>
      </c>
      <c r="AE512" s="173">
        <f>IF(preDEL!$AG512,IFERROR(0/0,""),preDEL!AE512)</f>
        <v>213.4166667</v>
      </c>
      <c r="AF512" s="110" t="b">
        <f>IF(preDEL!$AG512,IFERROR(0/0,""),preDEL!AF512)</f>
        <v>0</v>
      </c>
      <c r="AG512" s="110" t="b">
        <f>IF(preDEL!$AG512,IFERROR(0/0,""),preDEL!AG512)</f>
        <v>0</v>
      </c>
      <c r="AH512" s="104" t="str">
        <f>IF(preDEL!$AG512,IFERROR(0/0,""),preDEL!AH512)</f>
        <v/>
      </c>
      <c r="AI512" s="105" t="str">
        <f>IF(preDEL!$AG512,IFERROR(0/0,""),preDEL!AI512)</f>
        <v/>
      </c>
      <c r="AJ512" s="112" t="str">
        <f>IF(preDEL!$AG512,IFERROR(0/0,""),preDEL!AJ512)</f>
        <v/>
      </c>
      <c r="AK512" s="105" t="str">
        <f>IF(preDEL!$AG512,IFERROR(0/0,""),preDEL!AK512)</f>
        <v>Negative</v>
      </c>
      <c r="AL512" s="112" t="str">
        <f>IF(preDEL!$AG512,IFERROR(0/0,""),preDEL!AL512)</f>
        <v/>
      </c>
      <c r="AM512" s="112" t="str">
        <f>IF(preDEL!$AG512,IFERROR(0/0,""),preDEL!AM512)</f>
        <v>SpBEND691307</v>
      </c>
      <c r="AN512" s="112" t="str">
        <f>IF(preDEL!$AG512,IFERROR(0/0,""),preDEL!AN512)</f>
        <v>BEND608194</v>
      </c>
      <c r="AO512" s="112" t="str">
        <f>IF(preDEL!$AG512,IFERROR(0/0,""),preDEL!AO512)</f>
        <v/>
      </c>
      <c r="AP512" s="112" t="str">
        <f>IF(preDEL!$AG512,IFERROR(0/0,""),preDEL!AP512)</f>
        <v/>
      </c>
      <c r="AQ512" s="112" t="str">
        <f>IF(preDEL!$AG512,IFERROR(0/0,""),preDEL!AQ512)</f>
        <v/>
      </c>
      <c r="AR512" s="112" t="str">
        <f>IF(preDEL!$AG512,IFERROR(0/0,""),preDEL!AR512)</f>
        <v/>
      </c>
      <c r="AS512" s="112" t="str">
        <f>IF(preDEL!$AG512,IFERROR(0/0,""),preDEL!AS512)</f>
        <v/>
      </c>
      <c r="AT512" s="112" t="b">
        <f>IF(preDEL!$AG512,IFERROR(0/0,""),preDEL!AT512)</f>
        <v>0</v>
      </c>
      <c r="AU512" s="112" t="str">
        <f>IF(preDEL!$AG512,IFERROR(0/0,""),preDEL!AU512)</f>
        <v/>
      </c>
      <c r="AV512" s="112" t="str">
        <f>IF(preDEL!$AG512,IFERROR(0/0,""),preDEL!AV512)</f>
        <v/>
      </c>
      <c r="AW512" s="112" t="str">
        <f>IF(preDEL!$AG512,IFERROR(0/0,""),preDEL!AW512)</f>
        <v/>
      </c>
      <c r="AX512" s="112" t="str">
        <f>IF(preDEL!$AG512,IFERROR(0/0,""),preDEL!AX512)</f>
        <v/>
      </c>
      <c r="AY512" s="112" t="str">
        <f>IF(preDEL!$AG512,IFERROR(0/0,""),preDEL!AY512)</f>
        <v/>
      </c>
      <c r="AZ512" s="174"/>
      <c r="BA512" s="174"/>
      <c r="BB512" s="174"/>
      <c r="BC512" s="174"/>
      <c r="BD512" s="174"/>
      <c r="BE512" s="174"/>
      <c r="BF512" s="174"/>
      <c r="BG512" s="174"/>
      <c r="BH512" s="174"/>
      <c r="BI512" s="174"/>
      <c r="BJ512" s="174"/>
      <c r="BK512" s="174"/>
      <c r="BL512" s="174"/>
      <c r="BM512" s="174"/>
      <c r="BN512" s="174"/>
      <c r="BO512" s="174"/>
      <c r="BP512" s="174"/>
      <c r="BQ512" s="174"/>
      <c r="BR512" s="174"/>
      <c r="BS512" s="174"/>
      <c r="BT512" s="174"/>
      <c r="BU512" s="174"/>
      <c r="BV512" s="174"/>
      <c r="BW512" s="174"/>
      <c r="BX512" s="174"/>
      <c r="BY512" s="174"/>
      <c r="BZ512" s="174"/>
      <c r="CA512" s="174"/>
      <c r="CB512" s="174"/>
      <c r="CC512" s="174"/>
      <c r="CD512" s="174"/>
    </row>
    <row r="513">
      <c r="A513" s="105" t="str">
        <f>IF(preDEL!$AG513,IFERROR(0/0,""),preDEL!A513)</f>
        <v>MA227</v>
      </c>
      <c r="B513" s="170">
        <f>IF(preDEL!$AG513,IFERROR(0/0,""),preDEL!B513)</f>
        <v>44613</v>
      </c>
      <c r="C513" s="171">
        <f>IF(preDEL!$AG513,IFERROR(0/0,""),preDEL!C513)</f>
        <v>0.3221643519</v>
      </c>
      <c r="D513" s="105" t="str">
        <f>IF(preDEL!$AG513,IFERROR(0/0,""),preDEL!D513)</f>
        <v/>
      </c>
      <c r="E513" s="105" t="str">
        <f>IF(preDEL!$AG513,IFERROR(0/0,""),preDEL!E513)</f>
        <v/>
      </c>
      <c r="F513" s="112" t="str">
        <f>IF(preDEL!$AG513,IFERROR(0/0,""),preDEL!F513)</f>
        <v/>
      </c>
      <c r="G513" s="112" t="str">
        <f>IF(preDEL!$AG513,IFERROR(0/0,""),preDEL!G513)</f>
        <v/>
      </c>
      <c r="H513" s="112" t="str">
        <f>IF(preDEL!$AG513,IFERROR(0/0,""),preDEL!H513)</f>
        <v/>
      </c>
      <c r="I513" s="105" t="str">
        <f>IF(preDEL!$AG513,IFERROR(0/0,""),preDEL!I513)</f>
        <v/>
      </c>
      <c r="J513" s="105" t="str">
        <f>IF(preDEL!$AG513,IFERROR(0/0,""),preDEL!J513)</f>
        <v/>
      </c>
      <c r="K513" s="105" t="str">
        <f>IF(preDEL!$AG513,IFERROR(0/0,""),preDEL!K513)</f>
        <v>Negative</v>
      </c>
      <c r="L513" s="170">
        <f>IF(preDEL!$AG513,IFERROR(0/0,""),preDEL!L513)</f>
        <v>44613</v>
      </c>
      <c r="M513" s="171">
        <f>IF(preDEL!$AG513,IFERROR(0/0,""),preDEL!M513)</f>
        <v>0.4694097222</v>
      </c>
      <c r="N513" s="112" t="str">
        <f>IF(preDEL!$AG513,IFERROR(0/0,""),preDEL!N513)</f>
        <v/>
      </c>
      <c r="O513" s="112" t="str">
        <f>IF(preDEL!$AG513,IFERROR(0/0,""),preDEL!O513)</f>
        <v/>
      </c>
      <c r="P513" s="110" t="b">
        <f>IF(preDEL!$AG513,IFERROR(0/0,""),preDEL!P513)</f>
        <v>0</v>
      </c>
      <c r="Q513" s="110" t="str">
        <f>IF(preDEL!$AG513,IFERROR(0/0,""),preDEL!Q513)</f>
        <v>Result</v>
      </c>
      <c r="R513" s="104" t="b">
        <f>IF(preDEL!$AG513,IFERROR(0/0,""),preDEL!R513)</f>
        <v>1</v>
      </c>
      <c r="S513" s="104">
        <f>IF(preDEL!$AG513,IFERROR(0/0,""),preDEL!S513)</f>
        <v>1</v>
      </c>
      <c r="T513" s="110" t="str">
        <f>IF(preDEL!$AG513,IFERROR(0/0,""),preDEL!T513)</f>
        <v/>
      </c>
      <c r="U513" s="112" t="str">
        <f>IF(preDEL!$AG513,IFERROR(0/0,""),preDEL!U513)</f>
        <v/>
      </c>
      <c r="V513" s="105" t="str">
        <f>IF(preDEL!$AG513,IFERROR(0/0,""),preDEL!V513)</f>
        <v/>
      </c>
      <c r="W513" s="112" t="str">
        <f>IF(preDEL!$AG513,IFERROR(0/0,""),preDEL!W513)</f>
        <v/>
      </c>
      <c r="X513" s="104" t="b">
        <f>IF(preDEL!$AG513,IFERROR(0/0,""),preDEL!X513)</f>
        <v>0</v>
      </c>
      <c r="Y513" s="110" t="b">
        <f>IF(preDEL!$AG513,IFERROR(0/0,""),preDEL!Y513)</f>
        <v>0</v>
      </c>
      <c r="Z513" s="105" t="str">
        <f>IF(preDEL!$AG513,IFERROR(0/0,""),preDEL!Z513)</f>
        <v/>
      </c>
      <c r="AA513" s="110" t="b">
        <f>IF(preDEL!$AG513,IFERROR(0/0,""),preDEL!AA513)</f>
        <v>0</v>
      </c>
      <c r="AB513" s="110" t="b">
        <f>IF(preDEL!$AG513,IFERROR(0/0,""),preDEL!AB513)</f>
        <v>0</v>
      </c>
      <c r="AC513" s="172">
        <f>IF(preDEL!$AG513,IFERROR(0/0,""),preDEL!AC513)</f>
        <v>300</v>
      </c>
      <c r="AD513" s="104" t="b">
        <f>IF(preDEL!$AG513,IFERROR(0/0,""),preDEL!AD513)</f>
        <v>0</v>
      </c>
      <c r="AE513" s="173">
        <f>IF(preDEL!$AG513,IFERROR(0/0,""),preDEL!AE513)</f>
        <v>212.0333333</v>
      </c>
      <c r="AF513" s="110" t="b">
        <f>IF(preDEL!$AG513,IFERROR(0/0,""),preDEL!AF513)</f>
        <v>0</v>
      </c>
      <c r="AG513" s="110" t="b">
        <f>IF(preDEL!$AG513,IFERROR(0/0,""),preDEL!AG513)</f>
        <v>0</v>
      </c>
      <c r="AH513" s="104" t="str">
        <f>IF(preDEL!$AG513,IFERROR(0/0,""),preDEL!AH513)</f>
        <v/>
      </c>
      <c r="AI513" s="105" t="str">
        <f>IF(preDEL!$AG513,IFERROR(0/0,""),preDEL!AI513)</f>
        <v/>
      </c>
      <c r="AJ513" s="112" t="str">
        <f>IF(preDEL!$AG513,IFERROR(0/0,""),preDEL!AJ513)</f>
        <v/>
      </c>
      <c r="AK513" s="105" t="str">
        <f>IF(preDEL!$AG513,IFERROR(0/0,""),preDEL!AK513)</f>
        <v>Negative</v>
      </c>
      <c r="AL513" s="112" t="str">
        <f>IF(preDEL!$AG513,IFERROR(0/0,""),preDEL!AL513)</f>
        <v/>
      </c>
      <c r="AM513" s="112" t="str">
        <f>IF(preDEL!$AG513,IFERROR(0/0,""),preDEL!AM513)</f>
        <v>SpBEND490402</v>
      </c>
      <c r="AN513" s="112" t="str">
        <f>IF(preDEL!$AG513,IFERROR(0/0,""),preDEL!AN513)</f>
        <v>BEND842997</v>
      </c>
      <c r="AO513" s="112" t="str">
        <f>IF(preDEL!$AG513,IFERROR(0/0,""),preDEL!AO513)</f>
        <v/>
      </c>
      <c r="AP513" s="112" t="str">
        <f>IF(preDEL!$AG513,IFERROR(0/0,""),preDEL!AP513)</f>
        <v/>
      </c>
      <c r="AQ513" s="112" t="str">
        <f>IF(preDEL!$AG513,IFERROR(0/0,""),preDEL!AQ513)</f>
        <v/>
      </c>
      <c r="AR513" s="112" t="str">
        <f>IF(preDEL!$AG513,IFERROR(0/0,""),preDEL!AR513)</f>
        <v/>
      </c>
      <c r="AS513" s="112" t="str">
        <f>IF(preDEL!$AG513,IFERROR(0/0,""),preDEL!AS513)</f>
        <v/>
      </c>
      <c r="AT513" s="112" t="b">
        <f>IF(preDEL!$AG513,IFERROR(0/0,""),preDEL!AT513)</f>
        <v>0</v>
      </c>
      <c r="AU513" s="112" t="str">
        <f>IF(preDEL!$AG513,IFERROR(0/0,""),preDEL!AU513)</f>
        <v/>
      </c>
      <c r="AV513" s="112" t="str">
        <f>IF(preDEL!$AG513,IFERROR(0/0,""),preDEL!AV513)</f>
        <v/>
      </c>
      <c r="AW513" s="112" t="str">
        <f>IF(preDEL!$AG513,IFERROR(0/0,""),preDEL!AW513)</f>
        <v/>
      </c>
      <c r="AX513" s="112" t="str">
        <f>IF(preDEL!$AG513,IFERROR(0/0,""),preDEL!AX513)</f>
        <v/>
      </c>
      <c r="AY513" s="112" t="str">
        <f>IF(preDEL!$AG513,IFERROR(0/0,""),preDEL!AY513)</f>
        <v/>
      </c>
      <c r="AZ513" s="174"/>
      <c r="BA513" s="174"/>
      <c r="BB513" s="174"/>
      <c r="BC513" s="174"/>
      <c r="BD513" s="174"/>
      <c r="BE513" s="174"/>
      <c r="BF513" s="174"/>
      <c r="BG513" s="174"/>
      <c r="BH513" s="174"/>
      <c r="BI513" s="174"/>
      <c r="BJ513" s="174"/>
      <c r="BK513" s="174"/>
      <c r="BL513" s="174"/>
      <c r="BM513" s="174"/>
      <c r="BN513" s="174"/>
      <c r="BO513" s="174"/>
      <c r="BP513" s="174"/>
      <c r="BQ513" s="174"/>
      <c r="BR513" s="174"/>
      <c r="BS513" s="174"/>
      <c r="BT513" s="174"/>
      <c r="BU513" s="174"/>
      <c r="BV513" s="174"/>
      <c r="BW513" s="174"/>
      <c r="BX513" s="174"/>
      <c r="BY513" s="174"/>
      <c r="BZ513" s="174"/>
      <c r="CA513" s="174"/>
      <c r="CB513" s="174"/>
      <c r="CC513" s="174"/>
      <c r="CD513" s="174"/>
    </row>
    <row r="514">
      <c r="A514" s="105" t="str">
        <f>IF(preDEL!$AG514,IFERROR(0/0,""),preDEL!A514)</f>
        <v>MAX100</v>
      </c>
      <c r="B514" s="170">
        <f>IF(preDEL!$AG514,IFERROR(0/0,""),preDEL!B514)</f>
        <v>44613</v>
      </c>
      <c r="C514" s="171">
        <f>IF(preDEL!$AG514,IFERROR(0/0,""),preDEL!C514)</f>
        <v>0.3222685185</v>
      </c>
      <c r="D514" s="105" t="str">
        <f>IF(preDEL!$AG514,IFERROR(0/0,""),preDEL!D514)</f>
        <v/>
      </c>
      <c r="E514" s="105" t="str">
        <f>IF(preDEL!$AG514,IFERROR(0/0,""),preDEL!E514)</f>
        <v/>
      </c>
      <c r="F514" s="112" t="str">
        <f>IF(preDEL!$AG514,IFERROR(0/0,""),preDEL!F514)</f>
        <v/>
      </c>
      <c r="G514" s="112" t="str">
        <f>IF(preDEL!$AG514,IFERROR(0/0,""),preDEL!G514)</f>
        <v/>
      </c>
      <c r="H514" s="112" t="str">
        <f>IF(preDEL!$AG514,IFERROR(0/0,""),preDEL!H514)</f>
        <v/>
      </c>
      <c r="I514" s="105" t="str">
        <f>IF(preDEL!$AG514,IFERROR(0/0,""),preDEL!I514)</f>
        <v/>
      </c>
      <c r="J514" s="105" t="str">
        <f>IF(preDEL!$AG514,IFERROR(0/0,""),preDEL!J514)</f>
        <v/>
      </c>
      <c r="K514" s="105" t="str">
        <f>IF(preDEL!$AG514,IFERROR(0/0,""),preDEL!K514)</f>
        <v>Negative</v>
      </c>
      <c r="L514" s="170">
        <f>IF(preDEL!$AG514,IFERROR(0/0,""),preDEL!L514)</f>
        <v>44613</v>
      </c>
      <c r="M514" s="171">
        <f>IF(preDEL!$AG514,IFERROR(0/0,""),preDEL!M514)</f>
        <v>0.4694097222</v>
      </c>
      <c r="N514" s="112" t="str">
        <f>IF(preDEL!$AG514,IFERROR(0/0,""),preDEL!N514)</f>
        <v/>
      </c>
      <c r="O514" s="112" t="str">
        <f>IF(preDEL!$AG514,IFERROR(0/0,""),preDEL!O514)</f>
        <v/>
      </c>
      <c r="P514" s="110" t="b">
        <f>IF(preDEL!$AG514,IFERROR(0/0,""),preDEL!P514)</f>
        <v>0</v>
      </c>
      <c r="Q514" s="110" t="str">
        <f>IF(preDEL!$AG514,IFERROR(0/0,""),preDEL!Q514)</f>
        <v>Result</v>
      </c>
      <c r="R514" s="104" t="b">
        <f>IF(preDEL!$AG514,IFERROR(0/0,""),preDEL!R514)</f>
        <v>1</v>
      </c>
      <c r="S514" s="104">
        <f>IF(preDEL!$AG514,IFERROR(0/0,""),preDEL!S514)</f>
        <v>1</v>
      </c>
      <c r="T514" s="110" t="str">
        <f>IF(preDEL!$AG514,IFERROR(0/0,""),preDEL!T514)</f>
        <v/>
      </c>
      <c r="U514" s="112" t="str">
        <f>IF(preDEL!$AG514,IFERROR(0/0,""),preDEL!U514)</f>
        <v/>
      </c>
      <c r="V514" s="105" t="str">
        <f>IF(preDEL!$AG514,IFERROR(0/0,""),preDEL!V514)</f>
        <v/>
      </c>
      <c r="W514" s="112" t="str">
        <f>IF(preDEL!$AG514,IFERROR(0/0,""),preDEL!W514)</f>
        <v/>
      </c>
      <c r="X514" s="104" t="b">
        <f>IF(preDEL!$AG514,IFERROR(0/0,""),preDEL!X514)</f>
        <v>0</v>
      </c>
      <c r="Y514" s="110" t="b">
        <f>IF(preDEL!$AG514,IFERROR(0/0,""),preDEL!Y514)</f>
        <v>0</v>
      </c>
      <c r="Z514" s="105" t="str">
        <f>IF(preDEL!$AG514,IFERROR(0/0,""),preDEL!Z514)</f>
        <v/>
      </c>
      <c r="AA514" s="110" t="b">
        <f>IF(preDEL!$AG514,IFERROR(0/0,""),preDEL!AA514)</f>
        <v>0</v>
      </c>
      <c r="AB514" s="110" t="b">
        <f>IF(preDEL!$AG514,IFERROR(0/0,""),preDEL!AB514)</f>
        <v>0</v>
      </c>
      <c r="AC514" s="172">
        <f>IF(preDEL!$AG514,IFERROR(0/0,""),preDEL!AC514)</f>
        <v>299</v>
      </c>
      <c r="AD514" s="104" t="b">
        <f>IF(preDEL!$AG514,IFERROR(0/0,""),preDEL!AD514)</f>
        <v>0</v>
      </c>
      <c r="AE514" s="173">
        <f>IF(preDEL!$AG514,IFERROR(0/0,""),preDEL!AE514)</f>
        <v>211.8833333</v>
      </c>
      <c r="AF514" s="110" t="b">
        <f>IF(preDEL!$AG514,IFERROR(0/0,""),preDEL!AF514)</f>
        <v>0</v>
      </c>
      <c r="AG514" s="110" t="b">
        <f>IF(preDEL!$AG514,IFERROR(0/0,""),preDEL!AG514)</f>
        <v>0</v>
      </c>
      <c r="AH514" s="104" t="str">
        <f>IF(preDEL!$AG514,IFERROR(0/0,""),preDEL!AH514)</f>
        <v/>
      </c>
      <c r="AI514" s="105" t="str">
        <f>IF(preDEL!$AG514,IFERROR(0/0,""),preDEL!AI514)</f>
        <v/>
      </c>
      <c r="AJ514" s="112" t="str">
        <f>IF(preDEL!$AG514,IFERROR(0/0,""),preDEL!AJ514)</f>
        <v/>
      </c>
      <c r="AK514" s="105" t="str">
        <f>IF(preDEL!$AG514,IFERROR(0/0,""),preDEL!AK514)</f>
        <v>Negative</v>
      </c>
      <c r="AL514" s="112" t="str">
        <f>IF(preDEL!$AG514,IFERROR(0/0,""),preDEL!AL514)</f>
        <v/>
      </c>
      <c r="AM514" s="112" t="str">
        <f>IF(preDEL!$AG514,IFERROR(0/0,""),preDEL!AM514)</f>
        <v>SpBEND967817</v>
      </c>
      <c r="AN514" s="112" t="str">
        <f>IF(preDEL!$AG514,IFERROR(0/0,""),preDEL!AN514)</f>
        <v>BEND525341</v>
      </c>
      <c r="AO514" s="112" t="str">
        <f>IF(preDEL!$AG514,IFERROR(0/0,""),preDEL!AO514)</f>
        <v/>
      </c>
      <c r="AP514" s="112" t="str">
        <f>IF(preDEL!$AG514,IFERROR(0/0,""),preDEL!AP514)</f>
        <v/>
      </c>
      <c r="AQ514" s="112" t="str">
        <f>IF(preDEL!$AG514,IFERROR(0/0,""),preDEL!AQ514)</f>
        <v/>
      </c>
      <c r="AR514" s="112" t="str">
        <f>IF(preDEL!$AG514,IFERROR(0/0,""),preDEL!AR514)</f>
        <v/>
      </c>
      <c r="AS514" s="112" t="str">
        <f>IF(preDEL!$AG514,IFERROR(0/0,""),preDEL!AS514)</f>
        <v/>
      </c>
      <c r="AT514" s="112" t="b">
        <f>IF(preDEL!$AG514,IFERROR(0/0,""),preDEL!AT514)</f>
        <v>0</v>
      </c>
      <c r="AU514" s="112" t="str">
        <f>IF(preDEL!$AG514,IFERROR(0/0,""),preDEL!AU514)</f>
        <v/>
      </c>
      <c r="AV514" s="112" t="str">
        <f>IF(preDEL!$AG514,IFERROR(0/0,""),preDEL!AV514)</f>
        <v/>
      </c>
      <c r="AW514" s="112" t="str">
        <f>IF(preDEL!$AG514,IFERROR(0/0,""),preDEL!AW514)</f>
        <v/>
      </c>
      <c r="AX514" s="112" t="str">
        <f>IF(preDEL!$AG514,IFERROR(0/0,""),preDEL!AX514)</f>
        <v/>
      </c>
      <c r="AY514" s="112" t="str">
        <f>IF(preDEL!$AG514,IFERROR(0/0,""),preDEL!AY514)</f>
        <v/>
      </c>
      <c r="AZ514" s="174"/>
      <c r="BA514" s="174"/>
      <c r="BB514" s="174"/>
      <c r="BC514" s="174"/>
      <c r="BD514" s="174"/>
      <c r="BE514" s="174"/>
      <c r="BF514" s="174"/>
      <c r="BG514" s="174"/>
      <c r="BH514" s="174"/>
      <c r="BI514" s="174"/>
      <c r="BJ514" s="174"/>
      <c r="BK514" s="174"/>
      <c r="BL514" s="174"/>
      <c r="BM514" s="174"/>
      <c r="BN514" s="174"/>
      <c r="BO514" s="174"/>
      <c r="BP514" s="174"/>
      <c r="BQ514" s="174"/>
      <c r="BR514" s="174"/>
      <c r="BS514" s="174"/>
      <c r="BT514" s="174"/>
      <c r="BU514" s="174"/>
      <c r="BV514" s="174"/>
      <c r="BW514" s="174"/>
      <c r="BX514" s="174"/>
      <c r="BY514" s="174"/>
      <c r="BZ514" s="174"/>
      <c r="CA514" s="174"/>
      <c r="CB514" s="174"/>
      <c r="CC514" s="174"/>
      <c r="CD514" s="174"/>
    </row>
    <row r="515">
      <c r="A515" s="105" t="str">
        <f>IF(preDEL!$AG515,IFERROR(0/0,""),preDEL!A515)</f>
        <v>FM1010</v>
      </c>
      <c r="B515" s="170">
        <f>IF(preDEL!$AG515,IFERROR(0/0,""),preDEL!B515)</f>
        <v>44613</v>
      </c>
      <c r="C515" s="171">
        <f>IF(preDEL!$AG515,IFERROR(0/0,""),preDEL!C515)</f>
        <v>0.3244097222</v>
      </c>
      <c r="D515" s="105" t="str">
        <f>IF(preDEL!$AG515,IFERROR(0/0,""),preDEL!D515)</f>
        <v/>
      </c>
      <c r="E515" s="105" t="str">
        <f>IF(preDEL!$AG515,IFERROR(0/0,""),preDEL!E515)</f>
        <v/>
      </c>
      <c r="F515" s="112" t="str">
        <f>IF(preDEL!$AG515,IFERROR(0/0,""),preDEL!F515)</f>
        <v/>
      </c>
      <c r="G515" s="112" t="str">
        <f>IF(preDEL!$AG515,IFERROR(0/0,""),preDEL!G515)</f>
        <v/>
      </c>
      <c r="H515" s="112" t="str">
        <f>IF(preDEL!$AG515,IFERROR(0/0,""),preDEL!H515)</f>
        <v/>
      </c>
      <c r="I515" s="105" t="str">
        <f>IF(preDEL!$AG515,IFERROR(0/0,""),preDEL!I515)</f>
        <v/>
      </c>
      <c r="J515" s="105" t="str">
        <f>IF(preDEL!$AG515,IFERROR(0/0,""),preDEL!J515)</f>
        <v/>
      </c>
      <c r="K515" s="105" t="str">
        <f>IF(preDEL!$AG515,IFERROR(0/0,""),preDEL!K515)</f>
        <v>Negative</v>
      </c>
      <c r="L515" s="170">
        <f>IF(preDEL!$AG515,IFERROR(0/0,""),preDEL!L515)</f>
        <v>44613</v>
      </c>
      <c r="M515" s="171">
        <f>IF(preDEL!$AG515,IFERROR(0/0,""),preDEL!M515)</f>
        <v>0.4694097222</v>
      </c>
      <c r="N515" s="112" t="str">
        <f>IF(preDEL!$AG515,IFERROR(0/0,""),preDEL!N515)</f>
        <v/>
      </c>
      <c r="O515" s="112" t="str">
        <f>IF(preDEL!$AG515,IFERROR(0/0,""),preDEL!O515)</f>
        <v/>
      </c>
      <c r="P515" s="110" t="b">
        <f>IF(preDEL!$AG515,IFERROR(0/0,""),preDEL!P515)</f>
        <v>0</v>
      </c>
      <c r="Q515" s="110" t="str">
        <f>IF(preDEL!$AG515,IFERROR(0/0,""),preDEL!Q515)</f>
        <v>Result</v>
      </c>
      <c r="R515" s="104" t="b">
        <f>IF(preDEL!$AG515,IFERROR(0/0,""),preDEL!R515)</f>
        <v>1</v>
      </c>
      <c r="S515" s="104">
        <f>IF(preDEL!$AG515,IFERROR(0/0,""),preDEL!S515)</f>
        <v>1</v>
      </c>
      <c r="T515" s="110" t="str">
        <f>IF(preDEL!$AG515,IFERROR(0/0,""),preDEL!T515)</f>
        <v/>
      </c>
      <c r="U515" s="112" t="str">
        <f>IF(preDEL!$AG515,IFERROR(0/0,""),preDEL!U515)</f>
        <v/>
      </c>
      <c r="V515" s="105" t="str">
        <f>IF(preDEL!$AG515,IFERROR(0/0,""),preDEL!V515)</f>
        <v/>
      </c>
      <c r="W515" s="112" t="str">
        <f>IF(preDEL!$AG515,IFERROR(0/0,""),preDEL!W515)</f>
        <v/>
      </c>
      <c r="X515" s="104" t="b">
        <f>IF(preDEL!$AG515,IFERROR(0/0,""),preDEL!X515)</f>
        <v>0</v>
      </c>
      <c r="Y515" s="110" t="b">
        <f>IF(preDEL!$AG515,IFERROR(0/0,""),preDEL!Y515)</f>
        <v>0</v>
      </c>
      <c r="Z515" s="105" t="str">
        <f>IF(preDEL!$AG515,IFERROR(0/0,""),preDEL!Z515)</f>
        <v/>
      </c>
      <c r="AA515" s="110" t="b">
        <f>IF(preDEL!$AG515,IFERROR(0/0,""),preDEL!AA515)</f>
        <v>0</v>
      </c>
      <c r="AB515" s="110" t="b">
        <f>IF(preDEL!$AG515,IFERROR(0/0,""),preDEL!AB515)</f>
        <v>0</v>
      </c>
      <c r="AC515" s="172">
        <f>IF(preDEL!$AG515,IFERROR(0/0,""),preDEL!AC515)</f>
        <v>298</v>
      </c>
      <c r="AD515" s="104" t="b">
        <f>IF(preDEL!$AG515,IFERROR(0/0,""),preDEL!AD515)</f>
        <v>0</v>
      </c>
      <c r="AE515" s="173">
        <f>IF(preDEL!$AG515,IFERROR(0/0,""),preDEL!AE515)</f>
        <v>208.8</v>
      </c>
      <c r="AF515" s="110" t="b">
        <f>IF(preDEL!$AG515,IFERROR(0/0,""),preDEL!AF515)</f>
        <v>0</v>
      </c>
      <c r="AG515" s="110" t="b">
        <f>IF(preDEL!$AG515,IFERROR(0/0,""),preDEL!AG515)</f>
        <v>0</v>
      </c>
      <c r="AH515" s="104" t="str">
        <f>IF(preDEL!$AG515,IFERROR(0/0,""),preDEL!AH515)</f>
        <v/>
      </c>
      <c r="AI515" s="105" t="str">
        <f>IF(preDEL!$AG515,IFERROR(0/0,""),preDEL!AI515)</f>
        <v/>
      </c>
      <c r="AJ515" s="112" t="str">
        <f>IF(preDEL!$AG515,IFERROR(0/0,""),preDEL!AJ515)</f>
        <v/>
      </c>
      <c r="AK515" s="105" t="str">
        <f>IF(preDEL!$AG515,IFERROR(0/0,""),preDEL!AK515)</f>
        <v>Negative</v>
      </c>
      <c r="AL515" s="112" t="str">
        <f>IF(preDEL!$AG515,IFERROR(0/0,""),preDEL!AL515)</f>
        <v/>
      </c>
      <c r="AM515" s="112" t="str">
        <f>IF(preDEL!$AG515,IFERROR(0/0,""),preDEL!AM515)</f>
        <v>SpBEND634692</v>
      </c>
      <c r="AN515" s="112" t="str">
        <f>IF(preDEL!$AG515,IFERROR(0/0,""),preDEL!AN515)</f>
        <v>BEND885483</v>
      </c>
      <c r="AO515" s="112" t="str">
        <f>IF(preDEL!$AG515,IFERROR(0/0,""),preDEL!AO515)</f>
        <v/>
      </c>
      <c r="AP515" s="112" t="str">
        <f>IF(preDEL!$AG515,IFERROR(0/0,""),preDEL!AP515)</f>
        <v/>
      </c>
      <c r="AQ515" s="112" t="str">
        <f>IF(preDEL!$AG515,IFERROR(0/0,""),preDEL!AQ515)</f>
        <v/>
      </c>
      <c r="AR515" s="112" t="str">
        <f>IF(preDEL!$AG515,IFERROR(0/0,""),preDEL!AR515)</f>
        <v/>
      </c>
      <c r="AS515" s="112" t="str">
        <f>IF(preDEL!$AG515,IFERROR(0/0,""),preDEL!AS515)</f>
        <v/>
      </c>
      <c r="AT515" s="112" t="b">
        <f>IF(preDEL!$AG515,IFERROR(0/0,""),preDEL!AT515)</f>
        <v>0</v>
      </c>
      <c r="AU515" s="112" t="str">
        <f>IF(preDEL!$AG515,IFERROR(0/0,""),preDEL!AU515)</f>
        <v/>
      </c>
      <c r="AV515" s="112" t="str">
        <f>IF(preDEL!$AG515,IFERROR(0/0,""),preDEL!AV515)</f>
        <v/>
      </c>
      <c r="AW515" s="112" t="str">
        <f>IF(preDEL!$AG515,IFERROR(0/0,""),preDEL!AW515)</f>
        <v/>
      </c>
      <c r="AX515" s="112" t="str">
        <f>IF(preDEL!$AG515,IFERROR(0/0,""),preDEL!AX515)</f>
        <v/>
      </c>
      <c r="AY515" s="112" t="str">
        <f>IF(preDEL!$AG515,IFERROR(0/0,""),preDEL!AY515)</f>
        <v/>
      </c>
      <c r="AZ515" s="174"/>
      <c r="BA515" s="174"/>
      <c r="BB515" s="174"/>
      <c r="BC515" s="174"/>
      <c r="BD515" s="174"/>
      <c r="BE515" s="174"/>
      <c r="BF515" s="174"/>
      <c r="BG515" s="174"/>
      <c r="BH515" s="174"/>
      <c r="BI515" s="174"/>
      <c r="BJ515" s="174"/>
      <c r="BK515" s="174"/>
      <c r="BL515" s="174"/>
      <c r="BM515" s="174"/>
      <c r="BN515" s="174"/>
      <c r="BO515" s="174"/>
      <c r="BP515" s="174"/>
      <c r="BQ515" s="174"/>
      <c r="BR515" s="174"/>
      <c r="BS515" s="174"/>
      <c r="BT515" s="174"/>
      <c r="BU515" s="174"/>
      <c r="BV515" s="174"/>
      <c r="BW515" s="174"/>
      <c r="BX515" s="174"/>
      <c r="BY515" s="174"/>
      <c r="BZ515" s="174"/>
      <c r="CA515" s="174"/>
      <c r="CB515" s="174"/>
      <c r="CC515" s="174"/>
      <c r="CD515" s="174"/>
    </row>
    <row r="516">
      <c r="A516" s="105" t="str">
        <f>IF(preDEL!$AG516,IFERROR(0/0,""),preDEL!A516)</f>
        <v>FM509</v>
      </c>
      <c r="B516" s="170">
        <f>IF(preDEL!$AG516,IFERROR(0/0,""),preDEL!B516)</f>
        <v>44613</v>
      </c>
      <c r="C516" s="171">
        <f>IF(preDEL!$AG516,IFERROR(0/0,""),preDEL!C516)</f>
        <v>0.3271875</v>
      </c>
      <c r="D516" s="105" t="str">
        <f>IF(preDEL!$AG516,IFERROR(0/0,""),preDEL!D516)</f>
        <v/>
      </c>
      <c r="E516" s="105" t="str">
        <f>IF(preDEL!$AG516,IFERROR(0/0,""),preDEL!E516)</f>
        <v/>
      </c>
      <c r="F516" s="112" t="str">
        <f>IF(preDEL!$AG516,IFERROR(0/0,""),preDEL!F516)</f>
        <v/>
      </c>
      <c r="G516" s="112" t="str">
        <f>IF(preDEL!$AG516,IFERROR(0/0,""),preDEL!G516)</f>
        <v/>
      </c>
      <c r="H516" s="112" t="str">
        <f>IF(preDEL!$AG516,IFERROR(0/0,""),preDEL!H516)</f>
        <v/>
      </c>
      <c r="I516" s="105" t="str">
        <f>IF(preDEL!$AG516,IFERROR(0/0,""),preDEL!I516)</f>
        <v/>
      </c>
      <c r="J516" s="105" t="str">
        <f>IF(preDEL!$AG516,IFERROR(0/0,""),preDEL!J516)</f>
        <v/>
      </c>
      <c r="K516" s="105" t="str">
        <f>IF(preDEL!$AG516,IFERROR(0/0,""),preDEL!K516)</f>
        <v>Negative</v>
      </c>
      <c r="L516" s="170">
        <f>IF(preDEL!$AG516,IFERROR(0/0,""),preDEL!L516)</f>
        <v>44613</v>
      </c>
      <c r="M516" s="171">
        <f>IF(preDEL!$AG516,IFERROR(0/0,""),preDEL!M516)</f>
        <v>0.4694097222</v>
      </c>
      <c r="N516" s="112" t="str">
        <f>IF(preDEL!$AG516,IFERROR(0/0,""),preDEL!N516)</f>
        <v/>
      </c>
      <c r="O516" s="112" t="str">
        <f>IF(preDEL!$AG516,IFERROR(0/0,""),preDEL!O516)</f>
        <v/>
      </c>
      <c r="P516" s="110" t="b">
        <f>IF(preDEL!$AG516,IFERROR(0/0,""),preDEL!P516)</f>
        <v>0</v>
      </c>
      <c r="Q516" s="110" t="str">
        <f>IF(preDEL!$AG516,IFERROR(0/0,""),preDEL!Q516)</f>
        <v>Result</v>
      </c>
      <c r="R516" s="104" t="b">
        <f>IF(preDEL!$AG516,IFERROR(0/0,""),preDEL!R516)</f>
        <v>1</v>
      </c>
      <c r="S516" s="104">
        <f>IF(preDEL!$AG516,IFERROR(0/0,""),preDEL!S516)</f>
        <v>1</v>
      </c>
      <c r="T516" s="110" t="str">
        <f>IF(preDEL!$AG516,IFERROR(0/0,""),preDEL!T516)</f>
        <v/>
      </c>
      <c r="U516" s="112" t="str">
        <f>IF(preDEL!$AG516,IFERROR(0/0,""),preDEL!U516)</f>
        <v/>
      </c>
      <c r="V516" s="105" t="str">
        <f>IF(preDEL!$AG516,IFERROR(0/0,""),preDEL!V516)</f>
        <v/>
      </c>
      <c r="W516" s="112" t="str">
        <f>IF(preDEL!$AG516,IFERROR(0/0,""),preDEL!W516)</f>
        <v/>
      </c>
      <c r="X516" s="104" t="b">
        <f>IF(preDEL!$AG516,IFERROR(0/0,""),preDEL!X516)</f>
        <v>0</v>
      </c>
      <c r="Y516" s="110" t="b">
        <f>IF(preDEL!$AG516,IFERROR(0/0,""),preDEL!Y516)</f>
        <v>0</v>
      </c>
      <c r="Z516" s="105" t="str">
        <f>IF(preDEL!$AG516,IFERROR(0/0,""),preDEL!Z516)</f>
        <v/>
      </c>
      <c r="AA516" s="110" t="b">
        <f>IF(preDEL!$AG516,IFERROR(0/0,""),preDEL!AA516)</f>
        <v>0</v>
      </c>
      <c r="AB516" s="110" t="b">
        <f>IF(preDEL!$AG516,IFERROR(0/0,""),preDEL!AB516)</f>
        <v>0</v>
      </c>
      <c r="AC516" s="172">
        <f>IF(preDEL!$AG516,IFERROR(0/0,""),preDEL!AC516)</f>
        <v>297</v>
      </c>
      <c r="AD516" s="104" t="b">
        <f>IF(preDEL!$AG516,IFERROR(0/0,""),preDEL!AD516)</f>
        <v>0</v>
      </c>
      <c r="AE516" s="173">
        <f>IF(preDEL!$AG516,IFERROR(0/0,""),preDEL!AE516)</f>
        <v>204.8</v>
      </c>
      <c r="AF516" s="110" t="b">
        <f>IF(preDEL!$AG516,IFERROR(0/0,""),preDEL!AF516)</f>
        <v>0</v>
      </c>
      <c r="AG516" s="110" t="b">
        <f>IF(preDEL!$AG516,IFERROR(0/0,""),preDEL!AG516)</f>
        <v>0</v>
      </c>
      <c r="AH516" s="104" t="str">
        <f>IF(preDEL!$AG516,IFERROR(0/0,""),preDEL!AH516)</f>
        <v/>
      </c>
      <c r="AI516" s="105" t="str">
        <f>IF(preDEL!$AG516,IFERROR(0/0,""),preDEL!AI516)</f>
        <v/>
      </c>
      <c r="AJ516" s="112" t="str">
        <f>IF(preDEL!$AG516,IFERROR(0/0,""),preDEL!AJ516)</f>
        <v/>
      </c>
      <c r="AK516" s="105" t="str">
        <f>IF(preDEL!$AG516,IFERROR(0/0,""),preDEL!AK516)</f>
        <v>Negative</v>
      </c>
      <c r="AL516" s="112" t="str">
        <f>IF(preDEL!$AG516,IFERROR(0/0,""),preDEL!AL516)</f>
        <v/>
      </c>
      <c r="AM516" s="112" t="str">
        <f>IF(preDEL!$AG516,IFERROR(0/0,""),preDEL!AM516)</f>
        <v>SpBEND642175</v>
      </c>
      <c r="AN516" s="112" t="str">
        <f>IF(preDEL!$AG516,IFERROR(0/0,""),preDEL!AN516)</f>
        <v>BEND883134</v>
      </c>
      <c r="AO516" s="112" t="str">
        <f>IF(preDEL!$AG516,IFERROR(0/0,""),preDEL!AO516)</f>
        <v/>
      </c>
      <c r="AP516" s="112" t="str">
        <f>IF(preDEL!$AG516,IFERROR(0/0,""),preDEL!AP516)</f>
        <v/>
      </c>
      <c r="AQ516" s="112" t="str">
        <f>IF(preDEL!$AG516,IFERROR(0/0,""),preDEL!AQ516)</f>
        <v/>
      </c>
      <c r="AR516" s="112" t="str">
        <f>IF(preDEL!$AG516,IFERROR(0/0,""),preDEL!AR516)</f>
        <v/>
      </c>
      <c r="AS516" s="112" t="str">
        <f>IF(preDEL!$AG516,IFERROR(0/0,""),preDEL!AS516)</f>
        <v/>
      </c>
      <c r="AT516" s="112" t="b">
        <f>IF(preDEL!$AG516,IFERROR(0/0,""),preDEL!AT516)</f>
        <v>0</v>
      </c>
      <c r="AU516" s="112" t="str">
        <f>IF(preDEL!$AG516,IFERROR(0/0,""),preDEL!AU516)</f>
        <v/>
      </c>
      <c r="AV516" s="112" t="str">
        <f>IF(preDEL!$AG516,IFERROR(0/0,""),preDEL!AV516)</f>
        <v/>
      </c>
      <c r="AW516" s="112" t="str">
        <f>IF(preDEL!$AG516,IFERROR(0/0,""),preDEL!AW516)</f>
        <v/>
      </c>
      <c r="AX516" s="112" t="str">
        <f>IF(preDEL!$AG516,IFERROR(0/0,""),preDEL!AX516)</f>
        <v/>
      </c>
      <c r="AY516" s="112" t="str">
        <f>IF(preDEL!$AG516,IFERROR(0/0,""),preDEL!AY516)</f>
        <v/>
      </c>
      <c r="AZ516" s="174"/>
      <c r="BA516" s="174"/>
      <c r="BB516" s="174"/>
      <c r="BC516" s="174"/>
      <c r="BD516" s="174"/>
      <c r="BE516" s="174"/>
      <c r="BF516" s="174"/>
      <c r="BG516" s="174"/>
      <c r="BH516" s="174"/>
      <c r="BI516" s="174"/>
      <c r="BJ516" s="174"/>
      <c r="BK516" s="174"/>
      <c r="BL516" s="174"/>
      <c r="BM516" s="174"/>
      <c r="BN516" s="174"/>
      <c r="BO516" s="174"/>
      <c r="BP516" s="174"/>
      <c r="BQ516" s="174"/>
      <c r="BR516" s="174"/>
      <c r="BS516" s="174"/>
      <c r="BT516" s="174"/>
      <c r="BU516" s="174"/>
      <c r="BV516" s="174"/>
      <c r="BW516" s="174"/>
      <c r="BX516" s="174"/>
      <c r="BY516" s="174"/>
      <c r="BZ516" s="174"/>
      <c r="CA516" s="174"/>
      <c r="CB516" s="174"/>
      <c r="CC516" s="174"/>
      <c r="CD516" s="174"/>
    </row>
    <row r="517">
      <c r="A517" s="105" t="str">
        <f>IF(preDEL!$AG517,IFERROR(0/0,""),preDEL!A517)</f>
        <v>MA1044</v>
      </c>
      <c r="B517" s="170">
        <f>IF(preDEL!$AG517,IFERROR(0/0,""),preDEL!B517)</f>
        <v>44613</v>
      </c>
      <c r="C517" s="171">
        <f>IF(preDEL!$AG517,IFERROR(0/0,""),preDEL!C517)</f>
        <v>0.3289467593</v>
      </c>
      <c r="D517" s="105" t="str">
        <f>IF(preDEL!$AG517,IFERROR(0/0,""),preDEL!D517)</f>
        <v/>
      </c>
      <c r="E517" s="105" t="str">
        <f>IF(preDEL!$AG517,IFERROR(0/0,""),preDEL!E517)</f>
        <v/>
      </c>
      <c r="F517" s="112" t="str">
        <f>IF(preDEL!$AG517,IFERROR(0/0,""),preDEL!F517)</f>
        <v/>
      </c>
      <c r="G517" s="112" t="str">
        <f>IF(preDEL!$AG517,IFERROR(0/0,""),preDEL!G517)</f>
        <v/>
      </c>
      <c r="H517" s="112" t="str">
        <f>IF(preDEL!$AG517,IFERROR(0/0,""),preDEL!H517)</f>
        <v/>
      </c>
      <c r="I517" s="105" t="str">
        <f>IF(preDEL!$AG517,IFERROR(0/0,""),preDEL!I517)</f>
        <v/>
      </c>
      <c r="J517" s="105" t="str">
        <f>IF(preDEL!$AG517,IFERROR(0/0,""),preDEL!J517)</f>
        <v/>
      </c>
      <c r="K517" s="105" t="str">
        <f>IF(preDEL!$AG517,IFERROR(0/0,""),preDEL!K517)</f>
        <v>Negative</v>
      </c>
      <c r="L517" s="170">
        <f>IF(preDEL!$AG517,IFERROR(0/0,""),preDEL!L517)</f>
        <v>44613</v>
      </c>
      <c r="M517" s="171">
        <f>IF(preDEL!$AG517,IFERROR(0/0,""),preDEL!M517)</f>
        <v>0.4694097222</v>
      </c>
      <c r="N517" s="112" t="str">
        <f>IF(preDEL!$AG517,IFERROR(0/0,""),preDEL!N517)</f>
        <v/>
      </c>
      <c r="O517" s="112" t="str">
        <f>IF(preDEL!$AG517,IFERROR(0/0,""),preDEL!O517)</f>
        <v/>
      </c>
      <c r="P517" s="110" t="b">
        <f>IF(preDEL!$AG517,IFERROR(0/0,""),preDEL!P517)</f>
        <v>0</v>
      </c>
      <c r="Q517" s="110" t="str">
        <f>IF(preDEL!$AG517,IFERROR(0/0,""),preDEL!Q517)</f>
        <v>Result</v>
      </c>
      <c r="R517" s="104" t="b">
        <f>IF(preDEL!$AG517,IFERROR(0/0,""),preDEL!R517)</f>
        <v>1</v>
      </c>
      <c r="S517" s="104">
        <f>IF(preDEL!$AG517,IFERROR(0/0,""),preDEL!S517)</f>
        <v>1</v>
      </c>
      <c r="T517" s="110" t="str">
        <f>IF(preDEL!$AG517,IFERROR(0/0,""),preDEL!T517)</f>
        <v/>
      </c>
      <c r="U517" s="112" t="str">
        <f>IF(preDEL!$AG517,IFERROR(0/0,""),preDEL!U517)</f>
        <v/>
      </c>
      <c r="V517" s="105" t="str">
        <f>IF(preDEL!$AG517,IFERROR(0/0,""),preDEL!V517)</f>
        <v/>
      </c>
      <c r="W517" s="112" t="str">
        <f>IF(preDEL!$AG517,IFERROR(0/0,""),preDEL!W517)</f>
        <v/>
      </c>
      <c r="X517" s="104" t="b">
        <f>IF(preDEL!$AG517,IFERROR(0/0,""),preDEL!X517)</f>
        <v>0</v>
      </c>
      <c r="Y517" s="110" t="b">
        <f>IF(preDEL!$AG517,IFERROR(0/0,""),preDEL!Y517)</f>
        <v>0</v>
      </c>
      <c r="Z517" s="105" t="str">
        <f>IF(preDEL!$AG517,IFERROR(0/0,""),preDEL!Z517)</f>
        <v/>
      </c>
      <c r="AA517" s="110" t="b">
        <f>IF(preDEL!$AG517,IFERROR(0/0,""),preDEL!AA517)</f>
        <v>0</v>
      </c>
      <c r="AB517" s="110" t="b">
        <f>IF(preDEL!$AG517,IFERROR(0/0,""),preDEL!AB517)</f>
        <v>0</v>
      </c>
      <c r="AC517" s="172">
        <f>IF(preDEL!$AG517,IFERROR(0/0,""),preDEL!AC517)</f>
        <v>296</v>
      </c>
      <c r="AD517" s="104" t="b">
        <f>IF(preDEL!$AG517,IFERROR(0/0,""),preDEL!AD517)</f>
        <v>0</v>
      </c>
      <c r="AE517" s="173">
        <f>IF(preDEL!$AG517,IFERROR(0/0,""),preDEL!AE517)</f>
        <v>202.2666667</v>
      </c>
      <c r="AF517" s="110" t="b">
        <f>IF(preDEL!$AG517,IFERROR(0/0,""),preDEL!AF517)</f>
        <v>0</v>
      </c>
      <c r="AG517" s="110" t="b">
        <f>IF(preDEL!$AG517,IFERROR(0/0,""),preDEL!AG517)</f>
        <v>0</v>
      </c>
      <c r="AH517" s="104" t="str">
        <f>IF(preDEL!$AG517,IFERROR(0/0,""),preDEL!AH517)</f>
        <v/>
      </c>
      <c r="AI517" s="105" t="str">
        <f>IF(preDEL!$AG517,IFERROR(0/0,""),preDEL!AI517)</f>
        <v/>
      </c>
      <c r="AJ517" s="112" t="str">
        <f>IF(preDEL!$AG517,IFERROR(0/0,""),preDEL!AJ517)</f>
        <v/>
      </c>
      <c r="AK517" s="105" t="str">
        <f>IF(preDEL!$AG517,IFERROR(0/0,""),preDEL!AK517)</f>
        <v>Negative</v>
      </c>
      <c r="AL517" s="112" t="str">
        <f>IF(preDEL!$AG517,IFERROR(0/0,""),preDEL!AL517)</f>
        <v/>
      </c>
      <c r="AM517" s="112" t="str">
        <f>IF(preDEL!$AG517,IFERROR(0/0,""),preDEL!AM517)</f>
        <v>SpBEND528248</v>
      </c>
      <c r="AN517" s="112" t="str">
        <f>IF(preDEL!$AG517,IFERROR(0/0,""),preDEL!AN517)</f>
        <v>BEND229530</v>
      </c>
      <c r="AO517" s="112" t="str">
        <f>IF(preDEL!$AG517,IFERROR(0/0,""),preDEL!AO517)</f>
        <v/>
      </c>
      <c r="AP517" s="112" t="str">
        <f>IF(preDEL!$AG517,IFERROR(0/0,""),preDEL!AP517)</f>
        <v/>
      </c>
      <c r="AQ517" s="112" t="str">
        <f>IF(preDEL!$AG517,IFERROR(0/0,""),preDEL!AQ517)</f>
        <v/>
      </c>
      <c r="AR517" s="112" t="str">
        <f>IF(preDEL!$AG517,IFERROR(0/0,""),preDEL!AR517)</f>
        <v/>
      </c>
      <c r="AS517" s="112" t="str">
        <f>IF(preDEL!$AG517,IFERROR(0/0,""),preDEL!AS517)</f>
        <v/>
      </c>
      <c r="AT517" s="112" t="b">
        <f>IF(preDEL!$AG517,IFERROR(0/0,""),preDEL!AT517)</f>
        <v>0</v>
      </c>
      <c r="AU517" s="112" t="str">
        <f>IF(preDEL!$AG517,IFERROR(0/0,""),preDEL!AU517)</f>
        <v/>
      </c>
      <c r="AV517" s="112" t="str">
        <f>IF(preDEL!$AG517,IFERROR(0/0,""),preDEL!AV517)</f>
        <v/>
      </c>
      <c r="AW517" s="112" t="str">
        <f>IF(preDEL!$AG517,IFERROR(0/0,""),preDEL!AW517)</f>
        <v/>
      </c>
      <c r="AX517" s="112" t="str">
        <f>IF(preDEL!$AG517,IFERROR(0/0,""),preDEL!AX517)</f>
        <v/>
      </c>
      <c r="AY517" s="112" t="str">
        <f>IF(preDEL!$AG517,IFERROR(0/0,""),preDEL!AY517)</f>
        <v/>
      </c>
      <c r="AZ517" s="174"/>
      <c r="BA517" s="174"/>
      <c r="BB517" s="174"/>
      <c r="BC517" s="174"/>
      <c r="BD517" s="174"/>
      <c r="BE517" s="174"/>
      <c r="BF517" s="174"/>
      <c r="BG517" s="174"/>
      <c r="BH517" s="174"/>
      <c r="BI517" s="174"/>
      <c r="BJ517" s="174"/>
      <c r="BK517" s="174"/>
      <c r="BL517" s="174"/>
      <c r="BM517" s="174"/>
      <c r="BN517" s="174"/>
      <c r="BO517" s="174"/>
      <c r="BP517" s="174"/>
      <c r="BQ517" s="174"/>
      <c r="BR517" s="174"/>
      <c r="BS517" s="174"/>
      <c r="BT517" s="174"/>
      <c r="BU517" s="174"/>
      <c r="BV517" s="174"/>
      <c r="BW517" s="174"/>
      <c r="BX517" s="174"/>
      <c r="BY517" s="174"/>
      <c r="BZ517" s="174"/>
      <c r="CA517" s="174"/>
      <c r="CB517" s="174"/>
      <c r="CC517" s="174"/>
      <c r="CD517" s="174"/>
    </row>
    <row r="518">
      <c r="A518" s="105" t="str">
        <f>IF(preDEL!$AG518,IFERROR(0/0,""),preDEL!A518)</f>
        <v>FM461</v>
      </c>
      <c r="B518" s="170">
        <f>IF(preDEL!$AG518,IFERROR(0/0,""),preDEL!B518)</f>
        <v>44613</v>
      </c>
      <c r="C518" s="171">
        <f>IF(preDEL!$AG518,IFERROR(0/0,""),preDEL!C518)</f>
        <v>0.3421064815</v>
      </c>
      <c r="D518" s="105" t="str">
        <f>IF(preDEL!$AG518,IFERROR(0/0,""),preDEL!D518)</f>
        <v/>
      </c>
      <c r="E518" s="105" t="str">
        <f>IF(preDEL!$AG518,IFERROR(0/0,""),preDEL!E518)</f>
        <v/>
      </c>
      <c r="F518" s="112" t="str">
        <f>IF(preDEL!$AG518,IFERROR(0/0,""),preDEL!F518)</f>
        <v/>
      </c>
      <c r="G518" s="112" t="str">
        <f>IF(preDEL!$AG518,IFERROR(0/0,""),preDEL!G518)</f>
        <v/>
      </c>
      <c r="H518" s="112" t="str">
        <f>IF(preDEL!$AG518,IFERROR(0/0,""),preDEL!H518)</f>
        <v/>
      </c>
      <c r="I518" s="105" t="str">
        <f>IF(preDEL!$AG518,IFERROR(0/0,""),preDEL!I518)</f>
        <v/>
      </c>
      <c r="J518" s="105" t="str">
        <f>IF(preDEL!$AG518,IFERROR(0/0,""),preDEL!J518)</f>
        <v/>
      </c>
      <c r="K518" s="105" t="str">
        <f>IF(preDEL!$AG518,IFERROR(0/0,""),preDEL!K518)</f>
        <v>Negative</v>
      </c>
      <c r="L518" s="170">
        <f>IF(preDEL!$AG518,IFERROR(0/0,""),preDEL!L518)</f>
        <v>44613</v>
      </c>
      <c r="M518" s="171">
        <f>IF(preDEL!$AG518,IFERROR(0/0,""),preDEL!M518)</f>
        <v>0.4694212963</v>
      </c>
      <c r="N518" s="112" t="str">
        <f>IF(preDEL!$AG518,IFERROR(0/0,""),preDEL!N518)</f>
        <v/>
      </c>
      <c r="O518" s="112" t="str">
        <f>IF(preDEL!$AG518,IFERROR(0/0,""),preDEL!O518)</f>
        <v/>
      </c>
      <c r="P518" s="110" t="b">
        <f>IF(preDEL!$AG518,IFERROR(0/0,""),preDEL!P518)</f>
        <v>0</v>
      </c>
      <c r="Q518" s="110" t="str">
        <f>IF(preDEL!$AG518,IFERROR(0/0,""),preDEL!Q518)</f>
        <v>Result</v>
      </c>
      <c r="R518" s="104" t="b">
        <f>IF(preDEL!$AG518,IFERROR(0/0,""),preDEL!R518)</f>
        <v>1</v>
      </c>
      <c r="S518" s="104">
        <f>IF(preDEL!$AG518,IFERROR(0/0,""),preDEL!S518)</f>
        <v>1</v>
      </c>
      <c r="T518" s="110" t="str">
        <f>IF(preDEL!$AG518,IFERROR(0/0,""),preDEL!T518)</f>
        <v/>
      </c>
      <c r="U518" s="112" t="str">
        <f>IF(preDEL!$AG518,IFERROR(0/0,""),preDEL!U518)</f>
        <v/>
      </c>
      <c r="V518" s="105" t="str">
        <f>IF(preDEL!$AG518,IFERROR(0/0,""),preDEL!V518)</f>
        <v/>
      </c>
      <c r="W518" s="112" t="str">
        <f>IF(preDEL!$AG518,IFERROR(0/0,""),preDEL!W518)</f>
        <v/>
      </c>
      <c r="X518" s="104" t="b">
        <f>IF(preDEL!$AG518,IFERROR(0/0,""),preDEL!X518)</f>
        <v>0</v>
      </c>
      <c r="Y518" s="110" t="b">
        <f>IF(preDEL!$AG518,IFERROR(0/0,""),preDEL!Y518)</f>
        <v>0</v>
      </c>
      <c r="Z518" s="105" t="str">
        <f>IF(preDEL!$AG518,IFERROR(0/0,""),preDEL!Z518)</f>
        <v/>
      </c>
      <c r="AA518" s="110" t="b">
        <f>IF(preDEL!$AG518,IFERROR(0/0,""),preDEL!AA518)</f>
        <v>0</v>
      </c>
      <c r="AB518" s="110" t="b">
        <f>IF(preDEL!$AG518,IFERROR(0/0,""),preDEL!AB518)</f>
        <v>0</v>
      </c>
      <c r="AC518" s="172">
        <f>IF(preDEL!$AG518,IFERROR(0/0,""),preDEL!AC518)</f>
        <v>295</v>
      </c>
      <c r="AD518" s="104" t="b">
        <f>IF(preDEL!$AG518,IFERROR(0/0,""),preDEL!AD518)</f>
        <v>0</v>
      </c>
      <c r="AE518" s="173">
        <f>IF(preDEL!$AG518,IFERROR(0/0,""),preDEL!AE518)</f>
        <v>183.3333333</v>
      </c>
      <c r="AF518" s="110" t="b">
        <f>IF(preDEL!$AG518,IFERROR(0/0,""),preDEL!AF518)</f>
        <v>0</v>
      </c>
      <c r="AG518" s="110" t="b">
        <f>IF(preDEL!$AG518,IFERROR(0/0,""),preDEL!AG518)</f>
        <v>0</v>
      </c>
      <c r="AH518" s="104" t="str">
        <f>IF(preDEL!$AG518,IFERROR(0/0,""),preDEL!AH518)</f>
        <v/>
      </c>
      <c r="AI518" s="105" t="str">
        <f>IF(preDEL!$AG518,IFERROR(0/0,""),preDEL!AI518)</f>
        <v/>
      </c>
      <c r="AJ518" s="112" t="str">
        <f>IF(preDEL!$AG518,IFERROR(0/0,""),preDEL!AJ518)</f>
        <v/>
      </c>
      <c r="AK518" s="105" t="str">
        <f>IF(preDEL!$AG518,IFERROR(0/0,""),preDEL!AK518)</f>
        <v>Negative</v>
      </c>
      <c r="AL518" s="112" t="str">
        <f>IF(preDEL!$AG518,IFERROR(0/0,""),preDEL!AL518)</f>
        <v/>
      </c>
      <c r="AM518" s="112" t="str">
        <f>IF(preDEL!$AG518,IFERROR(0/0,""),preDEL!AM518)</f>
        <v>SpBEND216695</v>
      </c>
      <c r="AN518" s="112" t="str">
        <f>IF(preDEL!$AG518,IFERROR(0/0,""),preDEL!AN518)</f>
        <v>BEND835613</v>
      </c>
      <c r="AO518" s="112" t="str">
        <f>IF(preDEL!$AG518,IFERROR(0/0,""),preDEL!AO518)</f>
        <v/>
      </c>
      <c r="AP518" s="112" t="str">
        <f>IF(preDEL!$AG518,IFERROR(0/0,""),preDEL!AP518)</f>
        <v/>
      </c>
      <c r="AQ518" s="112" t="str">
        <f>IF(preDEL!$AG518,IFERROR(0/0,""),preDEL!AQ518)</f>
        <v/>
      </c>
      <c r="AR518" s="112" t="str">
        <f>IF(preDEL!$AG518,IFERROR(0/0,""),preDEL!AR518)</f>
        <v/>
      </c>
      <c r="AS518" s="112" t="str">
        <f>IF(preDEL!$AG518,IFERROR(0/0,""),preDEL!AS518)</f>
        <v/>
      </c>
      <c r="AT518" s="112" t="b">
        <f>IF(preDEL!$AG518,IFERROR(0/0,""),preDEL!AT518)</f>
        <v>0</v>
      </c>
      <c r="AU518" s="112" t="str">
        <f>IF(preDEL!$AG518,IFERROR(0/0,""),preDEL!AU518)</f>
        <v/>
      </c>
      <c r="AV518" s="112" t="str">
        <f>IF(preDEL!$AG518,IFERROR(0/0,""),preDEL!AV518)</f>
        <v/>
      </c>
      <c r="AW518" s="112" t="str">
        <f>IF(preDEL!$AG518,IFERROR(0/0,""),preDEL!AW518)</f>
        <v/>
      </c>
      <c r="AX518" s="112" t="str">
        <f>IF(preDEL!$AG518,IFERROR(0/0,""),preDEL!AX518)</f>
        <v/>
      </c>
      <c r="AY518" s="112" t="str">
        <f>IF(preDEL!$AG518,IFERROR(0/0,""),preDEL!AY518)</f>
        <v/>
      </c>
      <c r="AZ518" s="174"/>
      <c r="BA518" s="174"/>
      <c r="BB518" s="174"/>
      <c r="BC518" s="174"/>
      <c r="BD518" s="174"/>
      <c r="BE518" s="174"/>
      <c r="BF518" s="174"/>
      <c r="BG518" s="174"/>
      <c r="BH518" s="174"/>
      <c r="BI518" s="174"/>
      <c r="BJ518" s="174"/>
      <c r="BK518" s="174"/>
      <c r="BL518" s="174"/>
      <c r="BM518" s="174"/>
      <c r="BN518" s="174"/>
      <c r="BO518" s="174"/>
      <c r="BP518" s="174"/>
      <c r="BQ518" s="174"/>
      <c r="BR518" s="174"/>
      <c r="BS518" s="174"/>
      <c r="BT518" s="174"/>
      <c r="BU518" s="174"/>
      <c r="BV518" s="174"/>
      <c r="BW518" s="174"/>
      <c r="BX518" s="174"/>
      <c r="BY518" s="174"/>
      <c r="BZ518" s="174"/>
      <c r="CA518" s="174"/>
      <c r="CB518" s="174"/>
      <c r="CC518" s="174"/>
      <c r="CD518" s="174"/>
    </row>
    <row r="519">
      <c r="A519" s="105" t="str">
        <f>IF(preDEL!$AG519,IFERROR(0/0,""),preDEL!A519)</f>
        <v>FM70</v>
      </c>
      <c r="B519" s="170">
        <f>IF(preDEL!$AG519,IFERROR(0/0,""),preDEL!B519)</f>
        <v>44613</v>
      </c>
      <c r="C519" s="171">
        <f>IF(preDEL!$AG519,IFERROR(0/0,""),preDEL!C519)</f>
        <v>0.3566898148</v>
      </c>
      <c r="D519" s="105" t="str">
        <f>IF(preDEL!$AG519,IFERROR(0/0,""),preDEL!D519)</f>
        <v/>
      </c>
      <c r="E519" s="105" t="str">
        <f>IF(preDEL!$AG519,IFERROR(0/0,""),preDEL!E519)</f>
        <v/>
      </c>
      <c r="F519" s="112" t="str">
        <f>IF(preDEL!$AG519,IFERROR(0/0,""),preDEL!F519)</f>
        <v/>
      </c>
      <c r="G519" s="112" t="str">
        <f>IF(preDEL!$AG519,IFERROR(0/0,""),preDEL!G519)</f>
        <v/>
      </c>
      <c r="H519" s="112" t="str">
        <f>IF(preDEL!$AG519,IFERROR(0/0,""),preDEL!H519)</f>
        <v/>
      </c>
      <c r="I519" s="105" t="str">
        <f>IF(preDEL!$AG519,IFERROR(0/0,""),preDEL!I519)</f>
        <v/>
      </c>
      <c r="J519" s="105" t="str">
        <f>IF(preDEL!$AG519,IFERROR(0/0,""),preDEL!J519)</f>
        <v/>
      </c>
      <c r="K519" s="105" t="str">
        <f>IF(preDEL!$AG519,IFERROR(0/0,""),preDEL!K519)</f>
        <v>Negative</v>
      </c>
      <c r="L519" s="170">
        <f>IF(preDEL!$AG519,IFERROR(0/0,""),preDEL!L519)</f>
        <v>44613</v>
      </c>
      <c r="M519" s="171">
        <f>IF(preDEL!$AG519,IFERROR(0/0,""),preDEL!M519)</f>
        <v>0.4694212963</v>
      </c>
      <c r="N519" s="112" t="str">
        <f>IF(preDEL!$AG519,IFERROR(0/0,""),preDEL!N519)</f>
        <v/>
      </c>
      <c r="O519" s="112" t="str">
        <f>IF(preDEL!$AG519,IFERROR(0/0,""),preDEL!O519)</f>
        <v/>
      </c>
      <c r="P519" s="110" t="b">
        <f>IF(preDEL!$AG519,IFERROR(0/0,""),preDEL!P519)</f>
        <v>0</v>
      </c>
      <c r="Q519" s="110" t="str">
        <f>IF(preDEL!$AG519,IFERROR(0/0,""),preDEL!Q519)</f>
        <v>Result</v>
      </c>
      <c r="R519" s="104" t="b">
        <f>IF(preDEL!$AG519,IFERROR(0/0,""),preDEL!R519)</f>
        <v>1</v>
      </c>
      <c r="S519" s="104">
        <f>IF(preDEL!$AG519,IFERROR(0/0,""),preDEL!S519)</f>
        <v>1</v>
      </c>
      <c r="T519" s="110" t="str">
        <f>IF(preDEL!$AG519,IFERROR(0/0,""),preDEL!T519)</f>
        <v/>
      </c>
      <c r="U519" s="112" t="str">
        <f>IF(preDEL!$AG519,IFERROR(0/0,""),preDEL!U519)</f>
        <v/>
      </c>
      <c r="V519" s="105" t="str">
        <f>IF(preDEL!$AG519,IFERROR(0/0,""),preDEL!V519)</f>
        <v/>
      </c>
      <c r="W519" s="112" t="str">
        <f>IF(preDEL!$AG519,IFERROR(0/0,""),preDEL!W519)</f>
        <v/>
      </c>
      <c r="X519" s="104" t="b">
        <f>IF(preDEL!$AG519,IFERROR(0/0,""),preDEL!X519)</f>
        <v>0</v>
      </c>
      <c r="Y519" s="110" t="b">
        <f>IF(preDEL!$AG519,IFERROR(0/0,""),preDEL!Y519)</f>
        <v>0</v>
      </c>
      <c r="Z519" s="105" t="str">
        <f>IF(preDEL!$AG519,IFERROR(0/0,""),preDEL!Z519)</f>
        <v/>
      </c>
      <c r="AA519" s="110" t="b">
        <f>IF(preDEL!$AG519,IFERROR(0/0,""),preDEL!AA519)</f>
        <v>0</v>
      </c>
      <c r="AB519" s="110" t="b">
        <f>IF(preDEL!$AG519,IFERROR(0/0,""),preDEL!AB519)</f>
        <v>0</v>
      </c>
      <c r="AC519" s="172">
        <f>IF(preDEL!$AG519,IFERROR(0/0,""),preDEL!AC519)</f>
        <v>294</v>
      </c>
      <c r="AD519" s="104" t="b">
        <f>IF(preDEL!$AG519,IFERROR(0/0,""),preDEL!AD519)</f>
        <v>0</v>
      </c>
      <c r="AE519" s="173">
        <f>IF(preDEL!$AG519,IFERROR(0/0,""),preDEL!AE519)</f>
        <v>162.3333333</v>
      </c>
      <c r="AF519" s="110" t="b">
        <f>IF(preDEL!$AG519,IFERROR(0/0,""),preDEL!AF519)</f>
        <v>0</v>
      </c>
      <c r="AG519" s="110" t="b">
        <f>IF(preDEL!$AG519,IFERROR(0/0,""),preDEL!AG519)</f>
        <v>0</v>
      </c>
      <c r="AH519" s="104" t="str">
        <f>IF(preDEL!$AG519,IFERROR(0/0,""),preDEL!AH519)</f>
        <v/>
      </c>
      <c r="AI519" s="105" t="str">
        <f>IF(preDEL!$AG519,IFERROR(0/0,""),preDEL!AI519)</f>
        <v/>
      </c>
      <c r="AJ519" s="112" t="str">
        <f>IF(preDEL!$AG519,IFERROR(0/0,""),preDEL!AJ519)</f>
        <v/>
      </c>
      <c r="AK519" s="105" t="str">
        <f>IF(preDEL!$AG519,IFERROR(0/0,""),preDEL!AK519)</f>
        <v>Negative</v>
      </c>
      <c r="AL519" s="112" t="str">
        <f>IF(preDEL!$AG519,IFERROR(0/0,""),preDEL!AL519)</f>
        <v/>
      </c>
      <c r="AM519" s="112" t="str">
        <f>IF(preDEL!$AG519,IFERROR(0/0,""),preDEL!AM519)</f>
        <v>SpBEND899578</v>
      </c>
      <c r="AN519" s="112" t="str">
        <f>IF(preDEL!$AG519,IFERROR(0/0,""),preDEL!AN519)</f>
        <v>BEND949070</v>
      </c>
      <c r="AO519" s="112" t="str">
        <f>IF(preDEL!$AG519,IFERROR(0/0,""),preDEL!AO519)</f>
        <v/>
      </c>
      <c r="AP519" s="112" t="str">
        <f>IF(preDEL!$AG519,IFERROR(0/0,""),preDEL!AP519)</f>
        <v/>
      </c>
      <c r="AQ519" s="112" t="str">
        <f>IF(preDEL!$AG519,IFERROR(0/0,""),preDEL!AQ519)</f>
        <v/>
      </c>
      <c r="AR519" s="112" t="str">
        <f>IF(preDEL!$AG519,IFERROR(0/0,""),preDEL!AR519)</f>
        <v/>
      </c>
      <c r="AS519" s="112" t="str">
        <f>IF(preDEL!$AG519,IFERROR(0/0,""),preDEL!AS519)</f>
        <v/>
      </c>
      <c r="AT519" s="112" t="b">
        <f>IF(preDEL!$AG519,IFERROR(0/0,""),preDEL!AT519)</f>
        <v>0</v>
      </c>
      <c r="AU519" s="112" t="str">
        <f>IF(preDEL!$AG519,IFERROR(0/0,""),preDEL!AU519)</f>
        <v/>
      </c>
      <c r="AV519" s="112" t="str">
        <f>IF(preDEL!$AG519,IFERROR(0/0,""),preDEL!AV519)</f>
        <v/>
      </c>
      <c r="AW519" s="112" t="str">
        <f>IF(preDEL!$AG519,IFERROR(0/0,""),preDEL!AW519)</f>
        <v/>
      </c>
      <c r="AX519" s="112" t="str">
        <f>IF(preDEL!$AG519,IFERROR(0/0,""),preDEL!AX519)</f>
        <v/>
      </c>
      <c r="AY519" s="112" t="str">
        <f>IF(preDEL!$AG519,IFERROR(0/0,""),preDEL!AY519)</f>
        <v/>
      </c>
      <c r="AZ519" s="174"/>
      <c r="BA519" s="174"/>
      <c r="BB519" s="174"/>
      <c r="BC519" s="174"/>
      <c r="BD519" s="174"/>
      <c r="BE519" s="174"/>
      <c r="BF519" s="174"/>
      <c r="BG519" s="174"/>
      <c r="BH519" s="174"/>
      <c r="BI519" s="174"/>
      <c r="BJ519" s="174"/>
      <c r="BK519" s="174"/>
      <c r="BL519" s="174"/>
      <c r="BM519" s="174"/>
      <c r="BN519" s="174"/>
      <c r="BO519" s="174"/>
      <c r="BP519" s="174"/>
      <c r="BQ519" s="174"/>
      <c r="BR519" s="174"/>
      <c r="BS519" s="174"/>
      <c r="BT519" s="174"/>
      <c r="BU519" s="174"/>
      <c r="BV519" s="174"/>
      <c r="BW519" s="174"/>
      <c r="BX519" s="174"/>
      <c r="BY519" s="174"/>
      <c r="BZ519" s="174"/>
      <c r="CA519" s="174"/>
      <c r="CB519" s="174"/>
      <c r="CC519" s="174"/>
      <c r="CD519" s="174"/>
    </row>
    <row r="520">
      <c r="A520" s="105" t="str">
        <f>IF(preDEL!$AG520,IFERROR(0/0,""),preDEL!A520)</f>
        <v>MA1045</v>
      </c>
      <c r="B520" s="170">
        <f>IF(preDEL!$AG520,IFERROR(0/0,""),preDEL!B520)</f>
        <v>44614</v>
      </c>
      <c r="C520" s="171">
        <f>IF(preDEL!$AG520,IFERROR(0/0,""),preDEL!C520)</f>
        <v>0.3566898148</v>
      </c>
      <c r="D520" s="105" t="str">
        <f>IF(preDEL!$AG520,IFERROR(0/0,""),preDEL!D520)</f>
        <v/>
      </c>
      <c r="E520" s="105" t="str">
        <f>IF(preDEL!$AG520,IFERROR(0/0,""),preDEL!E520)</f>
        <v/>
      </c>
      <c r="F520" s="112" t="str">
        <f>IF(preDEL!$AG520,IFERROR(0/0,""),preDEL!F520)</f>
        <v/>
      </c>
      <c r="G520" s="112" t="str">
        <f>IF(preDEL!$AG520,IFERROR(0/0,""),preDEL!G520)</f>
        <v/>
      </c>
      <c r="H520" s="112" t="str">
        <f>IF(preDEL!$AG520,IFERROR(0/0,""),preDEL!H520)</f>
        <v/>
      </c>
      <c r="I520" s="105" t="str">
        <f>IF(preDEL!$AG520,IFERROR(0/0,""),preDEL!I520)</f>
        <v/>
      </c>
      <c r="J520" s="105" t="str">
        <f>IF(preDEL!$AG520,IFERROR(0/0,""),preDEL!J520)</f>
        <v/>
      </c>
      <c r="K520" s="105" t="str">
        <f>IF(preDEL!$AG520,IFERROR(0/0,""),preDEL!K520)</f>
        <v>Positive</v>
      </c>
      <c r="L520" s="170">
        <f>IF(preDEL!$AG520,IFERROR(0/0,""),preDEL!L520)</f>
        <v>44614</v>
      </c>
      <c r="M520" s="171">
        <f>IF(preDEL!$AG520,IFERROR(0/0,""),preDEL!M520)</f>
        <v>0.6649768519</v>
      </c>
      <c r="N520" s="112" t="str">
        <f>IF(preDEL!$AG520,IFERROR(0/0,""),preDEL!N520)</f>
        <v/>
      </c>
      <c r="O520" s="112" t="str">
        <f>IF(preDEL!$AG520,IFERROR(0/0,""),preDEL!O520)</f>
        <v/>
      </c>
      <c r="P520" s="110" t="b">
        <f>IF(preDEL!$AG520,IFERROR(0/0,""),preDEL!P520)</f>
        <v>0</v>
      </c>
      <c r="Q520" s="110" t="str">
        <f>IF(preDEL!$AG520,IFERROR(0/0,""),preDEL!Q520)</f>
        <v>Result</v>
      </c>
      <c r="R520" s="104" t="b">
        <f>IF(preDEL!$AG520,IFERROR(0/0,""),preDEL!R520)</f>
        <v>1</v>
      </c>
      <c r="S520" s="104">
        <f>IF(preDEL!$AG520,IFERROR(0/0,""),preDEL!S520)</f>
        <v>1</v>
      </c>
      <c r="T520" s="110" t="str">
        <f>IF(preDEL!$AG520,IFERROR(0/0,""),preDEL!T520)</f>
        <v/>
      </c>
      <c r="U520" s="112" t="str">
        <f>IF(preDEL!$AG520,IFERROR(0/0,""),preDEL!U520)</f>
        <v/>
      </c>
      <c r="V520" s="105" t="str">
        <f>IF(preDEL!$AG520,IFERROR(0/0,""),preDEL!V520)</f>
        <v/>
      </c>
      <c r="W520" s="112" t="str">
        <f>IF(preDEL!$AG520,IFERROR(0/0,""),preDEL!W520)</f>
        <v/>
      </c>
      <c r="X520" s="104" t="b">
        <f>IF(preDEL!$AG520,IFERROR(0/0,""),preDEL!X520)</f>
        <v>0</v>
      </c>
      <c r="Y520" s="110" t="b">
        <f>IF(preDEL!$AG520,IFERROR(0/0,""),preDEL!Y520)</f>
        <v>0</v>
      </c>
      <c r="Z520" s="105" t="str">
        <f>IF(preDEL!$AG520,IFERROR(0/0,""),preDEL!Z520)</f>
        <v/>
      </c>
      <c r="AA520" s="110" t="b">
        <f>IF(preDEL!$AG520,IFERROR(0/0,""),preDEL!AA520)</f>
        <v>0</v>
      </c>
      <c r="AB520" s="110" t="b">
        <f>IF(preDEL!$AG520,IFERROR(0/0,""),preDEL!AB520)</f>
        <v>0</v>
      </c>
      <c r="AC520" s="172">
        <f>IF(preDEL!$AG520,IFERROR(0/0,""),preDEL!AC520)</f>
        <v>293</v>
      </c>
      <c r="AD520" s="104" t="b">
        <f>IF(preDEL!$AG520,IFERROR(0/0,""),preDEL!AD520)</f>
        <v>0</v>
      </c>
      <c r="AE520" s="173">
        <f>IF(preDEL!$AG520,IFERROR(0/0,""),preDEL!AE520)</f>
        <v>443.9333333</v>
      </c>
      <c r="AF520" s="110" t="b">
        <f>IF(preDEL!$AG520,IFERROR(0/0,""),preDEL!AF520)</f>
        <v>0</v>
      </c>
      <c r="AG520" s="110" t="b">
        <f>IF(preDEL!$AG520,IFERROR(0/0,""),preDEL!AG520)</f>
        <v>0</v>
      </c>
      <c r="AH520" s="104" t="str">
        <f>IF(preDEL!$AG520,IFERROR(0/0,""),preDEL!AH520)</f>
        <v/>
      </c>
      <c r="AI520" s="105" t="str">
        <f>IF(preDEL!$AG520,IFERROR(0/0,""),preDEL!AI520)</f>
        <v/>
      </c>
      <c r="AJ520" s="112" t="str">
        <f>IF(preDEL!$AG520,IFERROR(0/0,""),preDEL!AJ520)</f>
        <v/>
      </c>
      <c r="AK520" s="105" t="str">
        <f>IF(preDEL!$AG520,IFERROR(0/0,""),preDEL!AK520)</f>
        <v>Positive</v>
      </c>
      <c r="AL520" s="112" t="str">
        <f>IF(preDEL!$AG520,IFERROR(0/0,""),preDEL!AL520)</f>
        <v/>
      </c>
      <c r="AM520" s="112" t="str">
        <f>IF(preDEL!$AG520,IFERROR(0/0,""),preDEL!AM520)</f>
        <v>SpBEND183210</v>
      </c>
      <c r="AN520" s="112" t="str">
        <f>IF(preDEL!$AG520,IFERROR(0/0,""),preDEL!AN520)</f>
        <v>BEND992347</v>
      </c>
      <c r="AO520" s="112" t="str">
        <f>IF(preDEL!$AG520,IFERROR(0/0,""),preDEL!AO520)</f>
        <v/>
      </c>
      <c r="AP520" s="112" t="str">
        <f>IF(preDEL!$AG520,IFERROR(0/0,""),preDEL!AP520)</f>
        <v/>
      </c>
      <c r="AQ520" s="112" t="str">
        <f>IF(preDEL!$AG520,IFERROR(0/0,""),preDEL!AQ520)</f>
        <v/>
      </c>
      <c r="AR520" s="112" t="str">
        <f>IF(preDEL!$AG520,IFERROR(0/0,""),preDEL!AR520)</f>
        <v/>
      </c>
      <c r="AS520" s="112" t="str">
        <f>IF(preDEL!$AG520,IFERROR(0/0,""),preDEL!AS520)</f>
        <v/>
      </c>
      <c r="AT520" s="112" t="b">
        <f>IF(preDEL!$AG520,IFERROR(0/0,""),preDEL!AT520)</f>
        <v>0</v>
      </c>
      <c r="AU520" s="112" t="str">
        <f>IF(preDEL!$AG520,IFERROR(0/0,""),preDEL!AU520)</f>
        <v/>
      </c>
      <c r="AV520" s="112" t="str">
        <f>IF(preDEL!$AG520,IFERROR(0/0,""),preDEL!AV520)</f>
        <v/>
      </c>
      <c r="AW520" s="112" t="str">
        <f>IF(preDEL!$AG520,IFERROR(0/0,""),preDEL!AW520)</f>
        <v/>
      </c>
      <c r="AX520" s="112" t="str">
        <f>IF(preDEL!$AG520,IFERROR(0/0,""),preDEL!AX520)</f>
        <v/>
      </c>
      <c r="AY520" s="112" t="str">
        <f>IF(preDEL!$AG520,IFERROR(0/0,""),preDEL!AY520)</f>
        <v/>
      </c>
      <c r="AZ520" s="174"/>
      <c r="BA520" s="174"/>
      <c r="BB520" s="174"/>
      <c r="BC520" s="174"/>
      <c r="BD520" s="174"/>
      <c r="BE520" s="174"/>
      <c r="BF520" s="174"/>
      <c r="BG520" s="174"/>
      <c r="BH520" s="174"/>
      <c r="BI520" s="174"/>
      <c r="BJ520" s="174"/>
      <c r="BK520" s="174"/>
      <c r="BL520" s="174"/>
      <c r="BM520" s="174"/>
      <c r="BN520" s="174"/>
      <c r="BO520" s="174"/>
      <c r="BP520" s="174"/>
      <c r="BQ520" s="174"/>
      <c r="BR520" s="174"/>
      <c r="BS520" s="174"/>
      <c r="BT520" s="174"/>
      <c r="BU520" s="174"/>
      <c r="BV520" s="174"/>
      <c r="BW520" s="174"/>
      <c r="BX520" s="174"/>
      <c r="BY520" s="174"/>
      <c r="BZ520" s="174"/>
      <c r="CA520" s="174"/>
      <c r="CB520" s="174"/>
      <c r="CC520" s="174"/>
      <c r="CD520" s="174"/>
    </row>
    <row r="521">
      <c r="A521" s="105" t="str">
        <f>IF(preDEL!$AG521,IFERROR(0/0,""),preDEL!A521)</f>
        <v>MAX24</v>
      </c>
      <c r="B521" s="170">
        <f>IF(preDEL!$AG521,IFERROR(0/0,""),preDEL!B521)</f>
        <v>44615</v>
      </c>
      <c r="C521" s="171">
        <f>IF(preDEL!$AG521,IFERROR(0/0,""),preDEL!C521)</f>
        <v>0.2632523148</v>
      </c>
      <c r="D521" s="105" t="str">
        <f>IF(preDEL!$AG521,IFERROR(0/0,""),preDEL!D521)</f>
        <v/>
      </c>
      <c r="E521" s="105" t="str">
        <f>IF(preDEL!$AG521,IFERROR(0/0,""),preDEL!E521)</f>
        <v/>
      </c>
      <c r="F521" s="112" t="str">
        <f>IF(preDEL!$AG521,IFERROR(0/0,""),preDEL!F521)</f>
        <v/>
      </c>
      <c r="G521" s="112" t="str">
        <f>IF(preDEL!$AG521,IFERROR(0/0,""),preDEL!G521)</f>
        <v/>
      </c>
      <c r="H521" s="112" t="str">
        <f>IF(preDEL!$AG521,IFERROR(0/0,""),preDEL!H521)</f>
        <v/>
      </c>
      <c r="I521" s="105" t="str">
        <f>IF(preDEL!$AG521,IFERROR(0/0,""),preDEL!I521)</f>
        <v/>
      </c>
      <c r="J521" s="105" t="str">
        <f>IF(preDEL!$AG521,IFERROR(0/0,""),preDEL!J521)</f>
        <v/>
      </c>
      <c r="K521" s="105" t="str">
        <f>IF(preDEL!$AG521,IFERROR(0/0,""),preDEL!K521)</f>
        <v>Positive</v>
      </c>
      <c r="L521" s="170">
        <f>IF(preDEL!$AG521,IFERROR(0/0,""),preDEL!L521)</f>
        <v>44615</v>
      </c>
      <c r="M521" s="171">
        <f>IF(preDEL!$AG521,IFERROR(0/0,""),preDEL!M521)</f>
        <v>0.4912268519</v>
      </c>
      <c r="N521" s="112" t="str">
        <f>IF(preDEL!$AG521,IFERROR(0/0,""),preDEL!N521)</f>
        <v/>
      </c>
      <c r="O521" s="112" t="str">
        <f>IF(preDEL!$AG521,IFERROR(0/0,""),preDEL!O521)</f>
        <v/>
      </c>
      <c r="P521" s="110" t="b">
        <f>IF(preDEL!$AG521,IFERROR(0/0,""),preDEL!P521)</f>
        <v>0</v>
      </c>
      <c r="Q521" s="110" t="str">
        <f>IF(preDEL!$AG521,IFERROR(0/0,""),preDEL!Q521)</f>
        <v>Result</v>
      </c>
      <c r="R521" s="104" t="b">
        <f>IF(preDEL!$AG521,IFERROR(0/0,""),preDEL!R521)</f>
        <v>1</v>
      </c>
      <c r="S521" s="104">
        <f>IF(preDEL!$AG521,IFERROR(0/0,""),preDEL!S521)</f>
        <v>1</v>
      </c>
      <c r="T521" s="110">
        <f>IF(preDEL!$AG521,IFERROR(0/0,""),preDEL!T521)</f>
        <v>0</v>
      </c>
      <c r="U521" s="112" t="str">
        <f>IF(preDEL!$AG521,IFERROR(0/0,""),preDEL!U521)</f>
        <v/>
      </c>
      <c r="V521" s="105" t="str">
        <f>IF(preDEL!$AG521,IFERROR(0/0,""),preDEL!V521)</f>
        <v/>
      </c>
      <c r="W521" s="112" t="str">
        <f>IF(preDEL!$AG521,IFERROR(0/0,""),preDEL!W521)</f>
        <v/>
      </c>
      <c r="X521" s="104" t="b">
        <f>IF(preDEL!$AG521,IFERROR(0/0,""),preDEL!X521)</f>
        <v>0</v>
      </c>
      <c r="Y521" s="110" t="b">
        <f>IF(preDEL!$AG521,IFERROR(0/0,""),preDEL!Y521)</f>
        <v>0</v>
      </c>
      <c r="Z521" s="105" t="str">
        <f>IF(preDEL!$AG521,IFERROR(0/0,""),preDEL!Z521)</f>
        <v/>
      </c>
      <c r="AA521" s="110" t="b">
        <f>IF(preDEL!$AG521,IFERROR(0/0,""),preDEL!AA521)</f>
        <v>0</v>
      </c>
      <c r="AB521" s="110" t="b">
        <f>IF(preDEL!$AG521,IFERROR(0/0,""),preDEL!AB521)</f>
        <v>0</v>
      </c>
      <c r="AC521" s="172">
        <f>IF(preDEL!$AG521,IFERROR(0/0,""),preDEL!AC521)</f>
        <v>292</v>
      </c>
      <c r="AD521" s="104" t="b">
        <f>IF(preDEL!$AG521,IFERROR(0/0,""),preDEL!AD521)</f>
        <v>0</v>
      </c>
      <c r="AE521" s="173">
        <f>IF(preDEL!$AG521,IFERROR(0/0,""),preDEL!AE521)</f>
        <v>328.2833333</v>
      </c>
      <c r="AF521" s="110" t="b">
        <f>IF(preDEL!$AG521,IFERROR(0/0,""),preDEL!AF521)</f>
        <v>0</v>
      </c>
      <c r="AG521" s="110" t="b">
        <f>IF(preDEL!$AG521,IFERROR(0/0,""),preDEL!AG521)</f>
        <v>0</v>
      </c>
      <c r="AH521" s="104" t="str">
        <f>IF(preDEL!$AG521,IFERROR(0/0,""),preDEL!AH521)</f>
        <v/>
      </c>
      <c r="AI521" s="105" t="str">
        <f>IF(preDEL!$AG521,IFERROR(0/0,""),preDEL!AI521)</f>
        <v/>
      </c>
      <c r="AJ521" s="112">
        <f>IF(preDEL!$AG521,IFERROR(0/0,""),preDEL!AJ521)</f>
        <v>2.7</v>
      </c>
      <c r="AK521" s="105" t="str">
        <f>IF(preDEL!$AG521,IFERROR(0/0,""),preDEL!AK521)</f>
        <v>Negative</v>
      </c>
      <c r="AL521" s="112" t="str">
        <f>IF(preDEL!$AG521,IFERROR(0/0,""),preDEL!AL521)</f>
        <v>Pos to Neg based on RFR - checked image and entire batch mis-called</v>
      </c>
      <c r="AM521" s="112" t="str">
        <f>IF(preDEL!$AG521,IFERROR(0/0,""),preDEL!AM521)</f>
        <v>SpBEND394154</v>
      </c>
      <c r="AN521" s="112" t="str">
        <f>IF(preDEL!$AG521,IFERROR(0/0,""),preDEL!AN521)</f>
        <v>BEND905156</v>
      </c>
      <c r="AO521" s="112" t="str">
        <f>IF(preDEL!$AG521,IFERROR(0/0,""),preDEL!AO521)</f>
        <v/>
      </c>
      <c r="AP521" s="112" t="str">
        <f>IF(preDEL!$AG521,IFERROR(0/0,""),preDEL!AP521)</f>
        <v/>
      </c>
      <c r="AQ521" s="112" t="str">
        <f>IF(preDEL!$AG521,IFERROR(0/0,""),preDEL!AQ521)</f>
        <v/>
      </c>
      <c r="AR521" s="112" t="str">
        <f>IF(preDEL!$AG521,IFERROR(0/0,""),preDEL!AR521)</f>
        <v/>
      </c>
      <c r="AS521" s="112" t="str">
        <f>IF(preDEL!$AG521,IFERROR(0/0,""),preDEL!AS521)</f>
        <v/>
      </c>
      <c r="AT521" s="112" t="b">
        <f>IF(preDEL!$AG521,IFERROR(0/0,""),preDEL!AT521)</f>
        <v>0</v>
      </c>
      <c r="AU521" s="112" t="str">
        <f>IF(preDEL!$AG521,IFERROR(0/0,""),preDEL!AU521)</f>
        <v/>
      </c>
      <c r="AV521" s="112" t="str">
        <f>IF(preDEL!$AG521,IFERROR(0/0,""),preDEL!AV521)</f>
        <v/>
      </c>
      <c r="AW521" s="112" t="str">
        <f>IF(preDEL!$AG521,IFERROR(0/0,""),preDEL!AW521)</f>
        <v/>
      </c>
      <c r="AX521" s="112" t="str">
        <f>IF(preDEL!$AG521,IFERROR(0/0,""),preDEL!AX521)</f>
        <v/>
      </c>
      <c r="AY521" s="112" t="str">
        <f>IF(preDEL!$AG521,IFERROR(0/0,""),preDEL!AY521)</f>
        <v/>
      </c>
      <c r="AZ521" s="174"/>
      <c r="BA521" s="174"/>
      <c r="BB521" s="174"/>
      <c r="BC521" s="174"/>
      <c r="BD521" s="174"/>
      <c r="BE521" s="174"/>
      <c r="BF521" s="174"/>
      <c r="BG521" s="174"/>
      <c r="BH521" s="174"/>
      <c r="BI521" s="174"/>
      <c r="BJ521" s="174"/>
      <c r="BK521" s="174"/>
      <c r="BL521" s="174"/>
      <c r="BM521" s="174"/>
      <c r="BN521" s="174"/>
      <c r="BO521" s="174"/>
      <c r="BP521" s="174"/>
      <c r="BQ521" s="174"/>
      <c r="BR521" s="174"/>
      <c r="BS521" s="174"/>
      <c r="BT521" s="174"/>
      <c r="BU521" s="174"/>
      <c r="BV521" s="174"/>
      <c r="BW521" s="174"/>
      <c r="BX521" s="174"/>
      <c r="BY521" s="174"/>
      <c r="BZ521" s="174"/>
      <c r="CA521" s="174"/>
      <c r="CB521" s="174"/>
      <c r="CC521" s="174"/>
      <c r="CD521" s="174"/>
    </row>
    <row r="522">
      <c r="A522" s="105" t="str">
        <f>IF(preDEL!$AG522,IFERROR(0/0,""),preDEL!A522)</f>
        <v>FM81</v>
      </c>
      <c r="B522" s="170">
        <f>IF(preDEL!$AG522,IFERROR(0/0,""),preDEL!B522)</f>
        <v>44615</v>
      </c>
      <c r="C522" s="171">
        <f>IF(preDEL!$AG522,IFERROR(0/0,""),preDEL!C522)</f>
        <v>0.2922453704</v>
      </c>
      <c r="D522" s="105" t="str">
        <f>IF(preDEL!$AG522,IFERROR(0/0,""),preDEL!D522)</f>
        <v/>
      </c>
      <c r="E522" s="105" t="str">
        <f>IF(preDEL!$AG522,IFERROR(0/0,""),preDEL!E522)</f>
        <v/>
      </c>
      <c r="F522" s="112" t="str">
        <f>IF(preDEL!$AG522,IFERROR(0/0,""),preDEL!F522)</f>
        <v/>
      </c>
      <c r="G522" s="112" t="str">
        <f>IF(preDEL!$AG522,IFERROR(0/0,""),preDEL!G522)</f>
        <v/>
      </c>
      <c r="H522" s="112" t="str">
        <f>IF(preDEL!$AG522,IFERROR(0/0,""),preDEL!H522)</f>
        <v/>
      </c>
      <c r="I522" s="105" t="str">
        <f>IF(preDEL!$AG522,IFERROR(0/0,""),preDEL!I522)</f>
        <v/>
      </c>
      <c r="J522" s="105" t="str">
        <f>IF(preDEL!$AG522,IFERROR(0/0,""),preDEL!J522)</f>
        <v/>
      </c>
      <c r="K522" s="105" t="str">
        <f>IF(preDEL!$AG522,IFERROR(0/0,""),preDEL!K522)</f>
        <v>Positive</v>
      </c>
      <c r="L522" s="170">
        <f>IF(preDEL!$AG522,IFERROR(0/0,""),preDEL!L522)</f>
        <v>44615</v>
      </c>
      <c r="M522" s="171">
        <f>IF(preDEL!$AG522,IFERROR(0/0,""),preDEL!M522)</f>
        <v>0.4912384259</v>
      </c>
      <c r="N522" s="112" t="str">
        <f>IF(preDEL!$AG522,IFERROR(0/0,""),preDEL!N522)</f>
        <v/>
      </c>
      <c r="O522" s="112" t="str">
        <f>IF(preDEL!$AG522,IFERROR(0/0,""),preDEL!O522)</f>
        <v/>
      </c>
      <c r="P522" s="110" t="b">
        <f>IF(preDEL!$AG522,IFERROR(0/0,""),preDEL!P522)</f>
        <v>0</v>
      </c>
      <c r="Q522" s="110" t="str">
        <f>IF(preDEL!$AG522,IFERROR(0/0,""),preDEL!Q522)</f>
        <v>Result</v>
      </c>
      <c r="R522" s="104" t="b">
        <f>IF(preDEL!$AG522,IFERROR(0/0,""),preDEL!R522)</f>
        <v>1</v>
      </c>
      <c r="S522" s="104">
        <f>IF(preDEL!$AG522,IFERROR(0/0,""),preDEL!S522)</f>
        <v>1</v>
      </c>
      <c r="T522" s="110" t="str">
        <f>IF(preDEL!$AG522,IFERROR(0/0,""),preDEL!T522)</f>
        <v/>
      </c>
      <c r="U522" s="112" t="str">
        <f>IF(preDEL!$AG522,IFERROR(0/0,""),preDEL!U522)</f>
        <v/>
      </c>
      <c r="V522" s="105" t="str">
        <f>IF(preDEL!$AG522,IFERROR(0/0,""),preDEL!V522)</f>
        <v/>
      </c>
      <c r="W522" s="112" t="str">
        <f>IF(preDEL!$AG522,IFERROR(0/0,""),preDEL!W522)</f>
        <v/>
      </c>
      <c r="X522" s="104" t="b">
        <f>IF(preDEL!$AG522,IFERROR(0/0,""),preDEL!X522)</f>
        <v>0</v>
      </c>
      <c r="Y522" s="110" t="b">
        <f>IF(preDEL!$AG522,IFERROR(0/0,""),preDEL!Y522)</f>
        <v>0</v>
      </c>
      <c r="Z522" s="105" t="str">
        <f>IF(preDEL!$AG522,IFERROR(0/0,""),preDEL!Z522)</f>
        <v/>
      </c>
      <c r="AA522" s="110" t="b">
        <f>IF(preDEL!$AG522,IFERROR(0/0,""),preDEL!AA522)</f>
        <v>0</v>
      </c>
      <c r="AB522" s="110" t="b">
        <f>IF(preDEL!$AG522,IFERROR(0/0,""),preDEL!AB522)</f>
        <v>0</v>
      </c>
      <c r="AC522" s="172">
        <f>IF(preDEL!$AG522,IFERROR(0/0,""),preDEL!AC522)</f>
        <v>291</v>
      </c>
      <c r="AD522" s="104" t="b">
        <f>IF(preDEL!$AG522,IFERROR(0/0,""),preDEL!AD522)</f>
        <v>0</v>
      </c>
      <c r="AE522" s="173">
        <f>IF(preDEL!$AG522,IFERROR(0/0,""),preDEL!AE522)</f>
        <v>286.55</v>
      </c>
      <c r="AF522" s="110" t="b">
        <f>IF(preDEL!$AG522,IFERROR(0/0,""),preDEL!AF522)</f>
        <v>0</v>
      </c>
      <c r="AG522" s="110" t="b">
        <f>IF(preDEL!$AG522,IFERROR(0/0,""),preDEL!AG522)</f>
        <v>0</v>
      </c>
      <c r="AH522" s="104" t="str">
        <f>IF(preDEL!$AG522,IFERROR(0/0,""),preDEL!AH522)</f>
        <v/>
      </c>
      <c r="AI522" s="105" t="str">
        <f>IF(preDEL!$AG522,IFERROR(0/0,""),preDEL!AI522)</f>
        <v/>
      </c>
      <c r="AJ522" s="112">
        <f>IF(preDEL!$AG522,IFERROR(0/0,""),preDEL!AJ522)</f>
        <v>2.7</v>
      </c>
      <c r="AK522" s="105" t="str">
        <f>IF(preDEL!$AG522,IFERROR(0/0,""),preDEL!AK522)</f>
        <v>Negative</v>
      </c>
      <c r="AL522" s="112" t="str">
        <f>IF(preDEL!$AG522,IFERROR(0/0,""),preDEL!AL522)</f>
        <v>Pos to Neg based on RFR - checked image and entire batch mis-called</v>
      </c>
      <c r="AM522" s="112" t="str">
        <f>IF(preDEL!$AG522,IFERROR(0/0,""),preDEL!AM522)</f>
        <v>SpBEND349435</v>
      </c>
      <c r="AN522" s="112" t="str">
        <f>IF(preDEL!$AG522,IFERROR(0/0,""),preDEL!AN522)</f>
        <v>BEND759602</v>
      </c>
      <c r="AO522" s="112" t="str">
        <f>IF(preDEL!$AG522,IFERROR(0/0,""),preDEL!AO522)</f>
        <v/>
      </c>
      <c r="AP522" s="112" t="str">
        <f>IF(preDEL!$AG522,IFERROR(0/0,""),preDEL!AP522)</f>
        <v/>
      </c>
      <c r="AQ522" s="112" t="str">
        <f>IF(preDEL!$AG522,IFERROR(0/0,""),preDEL!AQ522)</f>
        <v/>
      </c>
      <c r="AR522" s="112" t="str">
        <f>IF(preDEL!$AG522,IFERROR(0/0,""),preDEL!AR522)</f>
        <v/>
      </c>
      <c r="AS522" s="112" t="str">
        <f>IF(preDEL!$AG522,IFERROR(0/0,""),preDEL!AS522)</f>
        <v/>
      </c>
      <c r="AT522" s="112" t="b">
        <f>IF(preDEL!$AG522,IFERROR(0/0,""),preDEL!AT522)</f>
        <v>0</v>
      </c>
      <c r="AU522" s="112" t="str">
        <f>IF(preDEL!$AG522,IFERROR(0/0,""),preDEL!AU522)</f>
        <v/>
      </c>
      <c r="AV522" s="112" t="str">
        <f>IF(preDEL!$AG522,IFERROR(0/0,""),preDEL!AV522)</f>
        <v/>
      </c>
      <c r="AW522" s="112" t="str">
        <f>IF(preDEL!$AG522,IFERROR(0/0,""),preDEL!AW522)</f>
        <v/>
      </c>
      <c r="AX522" s="112" t="str">
        <f>IF(preDEL!$AG522,IFERROR(0/0,""),preDEL!AX522)</f>
        <v/>
      </c>
      <c r="AY522" s="112" t="str">
        <f>IF(preDEL!$AG522,IFERROR(0/0,""),preDEL!AY522)</f>
        <v/>
      </c>
      <c r="AZ522" s="174"/>
      <c r="BA522" s="174"/>
      <c r="BB522" s="174"/>
      <c r="BC522" s="174"/>
      <c r="BD522" s="174"/>
      <c r="BE522" s="174"/>
      <c r="BF522" s="174"/>
      <c r="BG522" s="174"/>
      <c r="BH522" s="174"/>
      <c r="BI522" s="174"/>
      <c r="BJ522" s="174"/>
      <c r="BK522" s="174"/>
      <c r="BL522" s="174"/>
      <c r="BM522" s="174"/>
      <c r="BN522" s="174"/>
      <c r="BO522" s="174"/>
      <c r="BP522" s="174"/>
      <c r="BQ522" s="174"/>
      <c r="BR522" s="174"/>
      <c r="BS522" s="174"/>
      <c r="BT522" s="174"/>
      <c r="BU522" s="174"/>
      <c r="BV522" s="174"/>
      <c r="BW522" s="174"/>
      <c r="BX522" s="174"/>
      <c r="BY522" s="174"/>
      <c r="BZ522" s="174"/>
      <c r="CA522" s="174"/>
      <c r="CB522" s="174"/>
      <c r="CC522" s="174"/>
      <c r="CD522" s="174"/>
    </row>
    <row r="523">
      <c r="A523" s="105" t="str">
        <f>IF(preDEL!$AG523,IFERROR(0/0,""),preDEL!A523)</f>
        <v>MA300</v>
      </c>
      <c r="B523" s="170">
        <f>IF(preDEL!$AG523,IFERROR(0/0,""),preDEL!B523)</f>
        <v>44615</v>
      </c>
      <c r="C523" s="171">
        <f>IF(preDEL!$AG523,IFERROR(0/0,""),preDEL!C523)</f>
        <v>0.2953587963</v>
      </c>
      <c r="D523" s="105" t="str">
        <f>IF(preDEL!$AG523,IFERROR(0/0,""),preDEL!D523)</f>
        <v/>
      </c>
      <c r="E523" s="105" t="str">
        <f>IF(preDEL!$AG523,IFERROR(0/0,""),preDEL!E523)</f>
        <v/>
      </c>
      <c r="F523" s="112" t="str">
        <f>IF(preDEL!$AG523,IFERROR(0/0,""),preDEL!F523)</f>
        <v/>
      </c>
      <c r="G523" s="112" t="str">
        <f>IF(preDEL!$AG523,IFERROR(0/0,""),preDEL!G523)</f>
        <v/>
      </c>
      <c r="H523" s="112" t="str">
        <f>IF(preDEL!$AG523,IFERROR(0/0,""),preDEL!H523)</f>
        <v/>
      </c>
      <c r="I523" s="105" t="str">
        <f>IF(preDEL!$AG523,IFERROR(0/0,""),preDEL!I523)</f>
        <v/>
      </c>
      <c r="J523" s="105" t="str">
        <f>IF(preDEL!$AG523,IFERROR(0/0,""),preDEL!J523)</f>
        <v/>
      </c>
      <c r="K523" s="105" t="str">
        <f>IF(preDEL!$AG523,IFERROR(0/0,""),preDEL!K523)</f>
        <v>Positive</v>
      </c>
      <c r="L523" s="170">
        <f>IF(preDEL!$AG523,IFERROR(0/0,""),preDEL!L523)</f>
        <v>44615</v>
      </c>
      <c r="M523" s="171">
        <f>IF(preDEL!$AG523,IFERROR(0/0,""),preDEL!M523)</f>
        <v>0.4912384259</v>
      </c>
      <c r="N523" s="112" t="str">
        <f>IF(preDEL!$AG523,IFERROR(0/0,""),preDEL!N523)</f>
        <v/>
      </c>
      <c r="O523" s="112" t="str">
        <f>IF(preDEL!$AG523,IFERROR(0/0,""),preDEL!O523)</f>
        <v/>
      </c>
      <c r="P523" s="110" t="b">
        <f>IF(preDEL!$AG523,IFERROR(0/0,""),preDEL!P523)</f>
        <v>0</v>
      </c>
      <c r="Q523" s="110" t="str">
        <f>IF(preDEL!$AG523,IFERROR(0/0,""),preDEL!Q523)</f>
        <v>Result</v>
      </c>
      <c r="R523" s="104" t="b">
        <f>IF(preDEL!$AG523,IFERROR(0/0,""),preDEL!R523)</f>
        <v>1</v>
      </c>
      <c r="S523" s="104">
        <f>IF(preDEL!$AG523,IFERROR(0/0,""),preDEL!S523)</f>
        <v>1</v>
      </c>
      <c r="T523" s="110" t="str">
        <f>IF(preDEL!$AG523,IFERROR(0/0,""),preDEL!T523)</f>
        <v/>
      </c>
      <c r="U523" s="112" t="str">
        <f>IF(preDEL!$AG523,IFERROR(0/0,""),preDEL!U523)</f>
        <v/>
      </c>
      <c r="V523" s="105" t="str">
        <f>IF(preDEL!$AG523,IFERROR(0/0,""),preDEL!V523)</f>
        <v/>
      </c>
      <c r="W523" s="112" t="str">
        <f>IF(preDEL!$AG523,IFERROR(0/0,""),preDEL!W523)</f>
        <v/>
      </c>
      <c r="X523" s="104" t="b">
        <f>IF(preDEL!$AG523,IFERROR(0/0,""),preDEL!X523)</f>
        <v>0</v>
      </c>
      <c r="Y523" s="110" t="b">
        <f>IF(preDEL!$AG523,IFERROR(0/0,""),preDEL!Y523)</f>
        <v>0</v>
      </c>
      <c r="Z523" s="105" t="str">
        <f>IF(preDEL!$AG523,IFERROR(0/0,""),preDEL!Z523)</f>
        <v/>
      </c>
      <c r="AA523" s="110" t="b">
        <f>IF(preDEL!$AG523,IFERROR(0/0,""),preDEL!AA523)</f>
        <v>0</v>
      </c>
      <c r="AB523" s="110" t="b">
        <f>IF(preDEL!$AG523,IFERROR(0/0,""),preDEL!AB523)</f>
        <v>0</v>
      </c>
      <c r="AC523" s="172">
        <f>IF(preDEL!$AG523,IFERROR(0/0,""),preDEL!AC523)</f>
        <v>290</v>
      </c>
      <c r="AD523" s="104" t="b">
        <f>IF(preDEL!$AG523,IFERROR(0/0,""),preDEL!AD523)</f>
        <v>0</v>
      </c>
      <c r="AE523" s="173">
        <f>IF(preDEL!$AG523,IFERROR(0/0,""),preDEL!AE523)</f>
        <v>282.0666667</v>
      </c>
      <c r="AF523" s="110" t="b">
        <f>IF(preDEL!$AG523,IFERROR(0/0,""),preDEL!AF523)</f>
        <v>0</v>
      </c>
      <c r="AG523" s="110" t="b">
        <f>IF(preDEL!$AG523,IFERROR(0/0,""),preDEL!AG523)</f>
        <v>0</v>
      </c>
      <c r="AH523" s="104" t="str">
        <f>IF(preDEL!$AG523,IFERROR(0/0,""),preDEL!AH523)</f>
        <v/>
      </c>
      <c r="AI523" s="105" t="str">
        <f>IF(preDEL!$AG523,IFERROR(0/0,""),preDEL!AI523)</f>
        <v/>
      </c>
      <c r="AJ523" s="112">
        <f>IF(preDEL!$AG523,IFERROR(0/0,""),preDEL!AJ523)</f>
        <v>2.7</v>
      </c>
      <c r="AK523" s="105" t="str">
        <f>IF(preDEL!$AG523,IFERROR(0/0,""),preDEL!AK523)</f>
        <v>Negative</v>
      </c>
      <c r="AL523" s="112" t="str">
        <f>IF(preDEL!$AG523,IFERROR(0/0,""),preDEL!AL523)</f>
        <v>Pos to Neg based on RFR - checked image and entire batch mis-called</v>
      </c>
      <c r="AM523" s="112" t="str">
        <f>IF(preDEL!$AG523,IFERROR(0/0,""),preDEL!AM523)</f>
        <v>SpBEND264858</v>
      </c>
      <c r="AN523" s="112" t="str">
        <f>IF(preDEL!$AG523,IFERROR(0/0,""),preDEL!AN523)</f>
        <v>BEND939689</v>
      </c>
      <c r="AO523" s="112" t="str">
        <f>IF(preDEL!$AG523,IFERROR(0/0,""),preDEL!AO523)</f>
        <v/>
      </c>
      <c r="AP523" s="112" t="str">
        <f>IF(preDEL!$AG523,IFERROR(0/0,""),preDEL!AP523)</f>
        <v/>
      </c>
      <c r="AQ523" s="112" t="str">
        <f>IF(preDEL!$AG523,IFERROR(0/0,""),preDEL!AQ523)</f>
        <v/>
      </c>
      <c r="AR523" s="112" t="str">
        <f>IF(preDEL!$AG523,IFERROR(0/0,""),preDEL!AR523)</f>
        <v/>
      </c>
      <c r="AS523" s="112" t="str">
        <f>IF(preDEL!$AG523,IFERROR(0/0,""),preDEL!AS523)</f>
        <v/>
      </c>
      <c r="AT523" s="112" t="b">
        <f>IF(preDEL!$AG523,IFERROR(0/0,""),preDEL!AT523)</f>
        <v>0</v>
      </c>
      <c r="AU523" s="112" t="str">
        <f>IF(preDEL!$AG523,IFERROR(0/0,""),preDEL!AU523)</f>
        <v/>
      </c>
      <c r="AV523" s="112" t="str">
        <f>IF(preDEL!$AG523,IFERROR(0/0,""),preDEL!AV523)</f>
        <v/>
      </c>
      <c r="AW523" s="112" t="str">
        <f>IF(preDEL!$AG523,IFERROR(0/0,""),preDEL!AW523)</f>
        <v/>
      </c>
      <c r="AX523" s="112" t="str">
        <f>IF(preDEL!$AG523,IFERROR(0/0,""),preDEL!AX523)</f>
        <v/>
      </c>
      <c r="AY523" s="112" t="str">
        <f>IF(preDEL!$AG523,IFERROR(0/0,""),preDEL!AY523)</f>
        <v/>
      </c>
      <c r="AZ523" s="174"/>
      <c r="BA523" s="174"/>
      <c r="BB523" s="174"/>
      <c r="BC523" s="174"/>
      <c r="BD523" s="174"/>
      <c r="BE523" s="174"/>
      <c r="BF523" s="174"/>
      <c r="BG523" s="174"/>
      <c r="BH523" s="174"/>
      <c r="BI523" s="174"/>
      <c r="BJ523" s="174"/>
      <c r="BK523" s="174"/>
      <c r="BL523" s="174"/>
      <c r="BM523" s="174"/>
      <c r="BN523" s="174"/>
      <c r="BO523" s="174"/>
      <c r="BP523" s="174"/>
      <c r="BQ523" s="174"/>
      <c r="BR523" s="174"/>
      <c r="BS523" s="174"/>
      <c r="BT523" s="174"/>
      <c r="BU523" s="174"/>
      <c r="BV523" s="174"/>
      <c r="BW523" s="174"/>
      <c r="BX523" s="174"/>
      <c r="BY523" s="174"/>
      <c r="BZ523" s="174"/>
      <c r="CA523" s="174"/>
      <c r="CB523" s="174"/>
      <c r="CC523" s="174"/>
      <c r="CD523" s="174"/>
    </row>
    <row r="524">
      <c r="A524" s="105" t="str">
        <f>IF(preDEL!$AG524,IFERROR(0/0,""),preDEL!A524)</f>
        <v>FM505</v>
      </c>
      <c r="B524" s="170">
        <f>IF(preDEL!$AG524,IFERROR(0/0,""),preDEL!B524)</f>
        <v>44615</v>
      </c>
      <c r="C524" s="171">
        <f>IF(preDEL!$AG524,IFERROR(0/0,""),preDEL!C524)</f>
        <v>0.3012384259</v>
      </c>
      <c r="D524" s="105" t="str">
        <f>IF(preDEL!$AG524,IFERROR(0/0,""),preDEL!D524)</f>
        <v/>
      </c>
      <c r="E524" s="105" t="str">
        <f>IF(preDEL!$AG524,IFERROR(0/0,""),preDEL!E524)</f>
        <v/>
      </c>
      <c r="F524" s="112" t="str">
        <f>IF(preDEL!$AG524,IFERROR(0/0,""),preDEL!F524)</f>
        <v/>
      </c>
      <c r="G524" s="112" t="str">
        <f>IF(preDEL!$AG524,IFERROR(0/0,""),preDEL!G524)</f>
        <v/>
      </c>
      <c r="H524" s="112" t="str">
        <f>IF(preDEL!$AG524,IFERROR(0/0,""),preDEL!H524)</f>
        <v/>
      </c>
      <c r="I524" s="105" t="str">
        <f>IF(preDEL!$AG524,IFERROR(0/0,""),preDEL!I524)</f>
        <v/>
      </c>
      <c r="J524" s="105" t="str">
        <f>IF(preDEL!$AG524,IFERROR(0/0,""),preDEL!J524)</f>
        <v/>
      </c>
      <c r="K524" s="105" t="str">
        <f>IF(preDEL!$AG524,IFERROR(0/0,""),preDEL!K524)</f>
        <v>Positive</v>
      </c>
      <c r="L524" s="170">
        <f>IF(preDEL!$AG524,IFERROR(0/0,""),preDEL!L524)</f>
        <v>44615</v>
      </c>
      <c r="M524" s="171">
        <f>IF(preDEL!$AG524,IFERROR(0/0,""),preDEL!M524)</f>
        <v>0.4912384259</v>
      </c>
      <c r="N524" s="112" t="str">
        <f>IF(preDEL!$AG524,IFERROR(0/0,""),preDEL!N524)</f>
        <v/>
      </c>
      <c r="O524" s="112" t="str">
        <f>IF(preDEL!$AG524,IFERROR(0/0,""),preDEL!O524)</f>
        <v/>
      </c>
      <c r="P524" s="110" t="b">
        <f>IF(preDEL!$AG524,IFERROR(0/0,""),preDEL!P524)</f>
        <v>0</v>
      </c>
      <c r="Q524" s="110" t="str">
        <f>IF(preDEL!$AG524,IFERROR(0/0,""),preDEL!Q524)</f>
        <v>Result</v>
      </c>
      <c r="R524" s="104" t="b">
        <f>IF(preDEL!$AG524,IFERROR(0/0,""),preDEL!R524)</f>
        <v>1</v>
      </c>
      <c r="S524" s="104">
        <f>IF(preDEL!$AG524,IFERROR(0/0,""),preDEL!S524)</f>
        <v>1</v>
      </c>
      <c r="T524" s="110" t="str">
        <f>IF(preDEL!$AG524,IFERROR(0/0,""),preDEL!T524)</f>
        <v/>
      </c>
      <c r="U524" s="112" t="str">
        <f>IF(preDEL!$AG524,IFERROR(0/0,""),preDEL!U524)</f>
        <v/>
      </c>
      <c r="V524" s="105" t="str">
        <f>IF(preDEL!$AG524,IFERROR(0/0,""),preDEL!V524)</f>
        <v/>
      </c>
      <c r="W524" s="112" t="str">
        <f>IF(preDEL!$AG524,IFERROR(0/0,""),preDEL!W524)</f>
        <v/>
      </c>
      <c r="X524" s="104" t="b">
        <f>IF(preDEL!$AG524,IFERROR(0/0,""),preDEL!X524)</f>
        <v>0</v>
      </c>
      <c r="Y524" s="110" t="b">
        <f>IF(preDEL!$AG524,IFERROR(0/0,""),preDEL!Y524)</f>
        <v>0</v>
      </c>
      <c r="Z524" s="105" t="str">
        <f>IF(preDEL!$AG524,IFERROR(0/0,""),preDEL!Z524)</f>
        <v/>
      </c>
      <c r="AA524" s="110" t="b">
        <f>IF(preDEL!$AG524,IFERROR(0/0,""),preDEL!AA524)</f>
        <v>0</v>
      </c>
      <c r="AB524" s="110" t="b">
        <f>IF(preDEL!$AG524,IFERROR(0/0,""),preDEL!AB524)</f>
        <v>0</v>
      </c>
      <c r="AC524" s="172">
        <f>IF(preDEL!$AG524,IFERROR(0/0,""),preDEL!AC524)</f>
        <v>289</v>
      </c>
      <c r="AD524" s="104" t="b">
        <f>IF(preDEL!$AG524,IFERROR(0/0,""),preDEL!AD524)</f>
        <v>0</v>
      </c>
      <c r="AE524" s="173">
        <f>IF(preDEL!$AG524,IFERROR(0/0,""),preDEL!AE524)</f>
        <v>273.6</v>
      </c>
      <c r="AF524" s="110" t="b">
        <f>IF(preDEL!$AG524,IFERROR(0/0,""),preDEL!AF524)</f>
        <v>0</v>
      </c>
      <c r="AG524" s="110" t="b">
        <f>IF(preDEL!$AG524,IFERROR(0/0,""),preDEL!AG524)</f>
        <v>0</v>
      </c>
      <c r="AH524" s="104" t="str">
        <f>IF(preDEL!$AG524,IFERROR(0/0,""),preDEL!AH524)</f>
        <v/>
      </c>
      <c r="AI524" s="105" t="str">
        <f>IF(preDEL!$AG524,IFERROR(0/0,""),preDEL!AI524)</f>
        <v/>
      </c>
      <c r="AJ524" s="112">
        <f>IF(preDEL!$AG524,IFERROR(0/0,""),preDEL!AJ524)</f>
        <v>2.7</v>
      </c>
      <c r="AK524" s="105" t="str">
        <f>IF(preDEL!$AG524,IFERROR(0/0,""),preDEL!AK524)</f>
        <v>Negative</v>
      </c>
      <c r="AL524" s="112" t="str">
        <f>IF(preDEL!$AG524,IFERROR(0/0,""),preDEL!AL524)</f>
        <v>Pos to Neg based on RFR - checked image and entire batch mis-called</v>
      </c>
      <c r="AM524" s="112" t="str">
        <f>IF(preDEL!$AG524,IFERROR(0/0,""),preDEL!AM524)</f>
        <v>SpBEND982195</v>
      </c>
      <c r="AN524" s="112" t="str">
        <f>IF(preDEL!$AG524,IFERROR(0/0,""),preDEL!AN524)</f>
        <v>BEND601742</v>
      </c>
      <c r="AO524" s="112" t="str">
        <f>IF(preDEL!$AG524,IFERROR(0/0,""),preDEL!AO524)</f>
        <v/>
      </c>
      <c r="AP524" s="112" t="str">
        <f>IF(preDEL!$AG524,IFERROR(0/0,""),preDEL!AP524)</f>
        <v/>
      </c>
      <c r="AQ524" s="112" t="str">
        <f>IF(preDEL!$AG524,IFERROR(0/0,""),preDEL!AQ524)</f>
        <v/>
      </c>
      <c r="AR524" s="112" t="str">
        <f>IF(preDEL!$AG524,IFERROR(0/0,""),preDEL!AR524)</f>
        <v/>
      </c>
      <c r="AS524" s="112" t="str">
        <f>IF(preDEL!$AG524,IFERROR(0/0,""),preDEL!AS524)</f>
        <v/>
      </c>
      <c r="AT524" s="112" t="b">
        <f>IF(preDEL!$AG524,IFERROR(0/0,""),preDEL!AT524)</f>
        <v>0</v>
      </c>
      <c r="AU524" s="112" t="str">
        <f>IF(preDEL!$AG524,IFERROR(0/0,""),preDEL!AU524)</f>
        <v/>
      </c>
      <c r="AV524" s="112" t="str">
        <f>IF(preDEL!$AG524,IFERROR(0/0,""),preDEL!AV524)</f>
        <v/>
      </c>
      <c r="AW524" s="112" t="str">
        <f>IF(preDEL!$AG524,IFERROR(0/0,""),preDEL!AW524)</f>
        <v/>
      </c>
      <c r="AX524" s="112" t="str">
        <f>IF(preDEL!$AG524,IFERROR(0/0,""),preDEL!AX524)</f>
        <v/>
      </c>
      <c r="AY524" s="112" t="str">
        <f>IF(preDEL!$AG524,IFERROR(0/0,""),preDEL!AY524)</f>
        <v/>
      </c>
      <c r="AZ524" s="174"/>
      <c r="BA524" s="174"/>
      <c r="BB524" s="174"/>
      <c r="BC524" s="174"/>
      <c r="BD524" s="174"/>
      <c r="BE524" s="174"/>
      <c r="BF524" s="174"/>
      <c r="BG524" s="174"/>
      <c r="BH524" s="174"/>
      <c r="BI524" s="174"/>
      <c r="BJ524" s="174"/>
      <c r="BK524" s="174"/>
      <c r="BL524" s="174"/>
      <c r="BM524" s="174"/>
      <c r="BN524" s="174"/>
      <c r="BO524" s="174"/>
      <c r="BP524" s="174"/>
      <c r="BQ524" s="174"/>
      <c r="BR524" s="174"/>
      <c r="BS524" s="174"/>
      <c r="BT524" s="174"/>
      <c r="BU524" s="174"/>
      <c r="BV524" s="174"/>
      <c r="BW524" s="174"/>
      <c r="BX524" s="174"/>
      <c r="BY524" s="174"/>
      <c r="BZ524" s="174"/>
      <c r="CA524" s="174"/>
      <c r="CB524" s="174"/>
      <c r="CC524" s="174"/>
      <c r="CD524" s="174"/>
    </row>
    <row r="525">
      <c r="A525" s="105" t="str">
        <f>IF(preDEL!$AG525,IFERROR(0/0,""),preDEL!A525)</f>
        <v>FM5</v>
      </c>
      <c r="B525" s="170">
        <f>IF(preDEL!$AG525,IFERROR(0/0,""),preDEL!B525)</f>
        <v>44615</v>
      </c>
      <c r="C525" s="171">
        <f>IF(preDEL!$AG525,IFERROR(0/0,""),preDEL!C525)</f>
        <v>0.3067939815</v>
      </c>
      <c r="D525" s="105" t="str">
        <f>IF(preDEL!$AG525,IFERROR(0/0,""),preDEL!D525)</f>
        <v/>
      </c>
      <c r="E525" s="105" t="str">
        <f>IF(preDEL!$AG525,IFERROR(0/0,""),preDEL!E525)</f>
        <v/>
      </c>
      <c r="F525" s="112" t="str">
        <f>IF(preDEL!$AG525,IFERROR(0/0,""),preDEL!F525)</f>
        <v/>
      </c>
      <c r="G525" s="112" t="str">
        <f>IF(preDEL!$AG525,IFERROR(0/0,""),preDEL!G525)</f>
        <v/>
      </c>
      <c r="H525" s="112" t="str">
        <f>IF(preDEL!$AG525,IFERROR(0/0,""),preDEL!H525)</f>
        <v/>
      </c>
      <c r="I525" s="105" t="str">
        <f>IF(preDEL!$AG525,IFERROR(0/0,""),preDEL!I525)</f>
        <v/>
      </c>
      <c r="J525" s="105" t="str">
        <f>IF(preDEL!$AG525,IFERROR(0/0,""),preDEL!J525)</f>
        <v/>
      </c>
      <c r="K525" s="105" t="str">
        <f>IF(preDEL!$AG525,IFERROR(0/0,""),preDEL!K525)</f>
        <v>Positive</v>
      </c>
      <c r="L525" s="170">
        <f>IF(preDEL!$AG525,IFERROR(0/0,""),preDEL!L525)</f>
        <v>44615</v>
      </c>
      <c r="M525" s="171">
        <f>IF(preDEL!$AG525,IFERROR(0/0,""),preDEL!M525)</f>
        <v>0.4912384259</v>
      </c>
      <c r="N525" s="112" t="str">
        <f>IF(preDEL!$AG525,IFERROR(0/0,""),preDEL!N525)</f>
        <v/>
      </c>
      <c r="O525" s="112" t="str">
        <f>IF(preDEL!$AG525,IFERROR(0/0,""),preDEL!O525)</f>
        <v/>
      </c>
      <c r="P525" s="110" t="b">
        <f>IF(preDEL!$AG525,IFERROR(0/0,""),preDEL!P525)</f>
        <v>0</v>
      </c>
      <c r="Q525" s="110" t="str">
        <f>IF(preDEL!$AG525,IFERROR(0/0,""),preDEL!Q525)</f>
        <v>Result</v>
      </c>
      <c r="R525" s="104" t="b">
        <f>IF(preDEL!$AG525,IFERROR(0/0,""),preDEL!R525)</f>
        <v>1</v>
      </c>
      <c r="S525" s="104">
        <f>IF(preDEL!$AG525,IFERROR(0/0,""),preDEL!S525)</f>
        <v>1</v>
      </c>
      <c r="T525" s="110" t="str">
        <f>IF(preDEL!$AG525,IFERROR(0/0,""),preDEL!T525)</f>
        <v/>
      </c>
      <c r="U525" s="112" t="str">
        <f>IF(preDEL!$AG525,IFERROR(0/0,""),preDEL!U525)</f>
        <v/>
      </c>
      <c r="V525" s="105" t="str">
        <f>IF(preDEL!$AG525,IFERROR(0/0,""),preDEL!V525)</f>
        <v/>
      </c>
      <c r="W525" s="112" t="str">
        <f>IF(preDEL!$AG525,IFERROR(0/0,""),preDEL!W525)</f>
        <v/>
      </c>
      <c r="X525" s="104" t="b">
        <f>IF(preDEL!$AG525,IFERROR(0/0,""),preDEL!X525)</f>
        <v>0</v>
      </c>
      <c r="Y525" s="110" t="b">
        <f>IF(preDEL!$AG525,IFERROR(0/0,""),preDEL!Y525)</f>
        <v>0</v>
      </c>
      <c r="Z525" s="105" t="str">
        <f>IF(preDEL!$AG525,IFERROR(0/0,""),preDEL!Z525)</f>
        <v/>
      </c>
      <c r="AA525" s="110" t="b">
        <f>IF(preDEL!$AG525,IFERROR(0/0,""),preDEL!AA525)</f>
        <v>0</v>
      </c>
      <c r="AB525" s="110" t="b">
        <f>IF(preDEL!$AG525,IFERROR(0/0,""),preDEL!AB525)</f>
        <v>0</v>
      </c>
      <c r="AC525" s="172">
        <f>IF(preDEL!$AG525,IFERROR(0/0,""),preDEL!AC525)</f>
        <v>288</v>
      </c>
      <c r="AD525" s="104" t="b">
        <f>IF(preDEL!$AG525,IFERROR(0/0,""),preDEL!AD525)</f>
        <v>0</v>
      </c>
      <c r="AE525" s="173">
        <f>IF(preDEL!$AG525,IFERROR(0/0,""),preDEL!AE525)</f>
        <v>265.6</v>
      </c>
      <c r="AF525" s="110" t="b">
        <f>IF(preDEL!$AG525,IFERROR(0/0,""),preDEL!AF525)</f>
        <v>0</v>
      </c>
      <c r="AG525" s="110" t="b">
        <f>IF(preDEL!$AG525,IFERROR(0/0,""),preDEL!AG525)</f>
        <v>0</v>
      </c>
      <c r="AH525" s="104" t="str">
        <f>IF(preDEL!$AG525,IFERROR(0/0,""),preDEL!AH525)</f>
        <v/>
      </c>
      <c r="AI525" s="105" t="str">
        <f>IF(preDEL!$AG525,IFERROR(0/0,""),preDEL!AI525)</f>
        <v/>
      </c>
      <c r="AJ525" s="112">
        <f>IF(preDEL!$AG525,IFERROR(0/0,""),preDEL!AJ525)</f>
        <v>2.7</v>
      </c>
      <c r="AK525" s="105" t="str">
        <f>IF(preDEL!$AG525,IFERROR(0/0,""),preDEL!AK525)</f>
        <v>Negative</v>
      </c>
      <c r="AL525" s="112" t="str">
        <f>IF(preDEL!$AG525,IFERROR(0/0,""),preDEL!AL525)</f>
        <v>Pos to Neg based on RFR - checked image and entire batch mis-called</v>
      </c>
      <c r="AM525" s="112" t="str">
        <f>IF(preDEL!$AG525,IFERROR(0/0,""),preDEL!AM525)</f>
        <v>SpBEND610784</v>
      </c>
      <c r="AN525" s="112" t="str">
        <f>IF(preDEL!$AG525,IFERROR(0/0,""),preDEL!AN525)</f>
        <v>BEND398577</v>
      </c>
      <c r="AO525" s="112" t="str">
        <f>IF(preDEL!$AG525,IFERROR(0/0,""),preDEL!AO525)</f>
        <v/>
      </c>
      <c r="AP525" s="112" t="str">
        <f>IF(preDEL!$AG525,IFERROR(0/0,""),preDEL!AP525)</f>
        <v/>
      </c>
      <c r="AQ525" s="112" t="str">
        <f>IF(preDEL!$AG525,IFERROR(0/0,""),preDEL!AQ525)</f>
        <v/>
      </c>
      <c r="AR525" s="112" t="str">
        <f>IF(preDEL!$AG525,IFERROR(0/0,""),preDEL!AR525)</f>
        <v/>
      </c>
      <c r="AS525" s="112" t="str">
        <f>IF(preDEL!$AG525,IFERROR(0/0,""),preDEL!AS525)</f>
        <v/>
      </c>
      <c r="AT525" s="112" t="b">
        <f>IF(preDEL!$AG525,IFERROR(0/0,""),preDEL!AT525)</f>
        <v>0</v>
      </c>
      <c r="AU525" s="112" t="str">
        <f>IF(preDEL!$AG525,IFERROR(0/0,""),preDEL!AU525)</f>
        <v/>
      </c>
      <c r="AV525" s="112" t="str">
        <f>IF(preDEL!$AG525,IFERROR(0/0,""),preDEL!AV525)</f>
        <v/>
      </c>
      <c r="AW525" s="112" t="str">
        <f>IF(preDEL!$AG525,IFERROR(0/0,""),preDEL!AW525)</f>
        <v/>
      </c>
      <c r="AX525" s="112" t="str">
        <f>IF(preDEL!$AG525,IFERROR(0/0,""),preDEL!AX525)</f>
        <v/>
      </c>
      <c r="AY525" s="112" t="str">
        <f>IF(preDEL!$AG525,IFERROR(0/0,""),preDEL!AY525)</f>
        <v/>
      </c>
      <c r="AZ525" s="174"/>
      <c r="BA525" s="174"/>
      <c r="BB525" s="174"/>
      <c r="BC525" s="174"/>
      <c r="BD525" s="174"/>
      <c r="BE525" s="174"/>
      <c r="BF525" s="174"/>
      <c r="BG525" s="174"/>
      <c r="BH525" s="174"/>
      <c r="BI525" s="174"/>
      <c r="BJ525" s="174"/>
      <c r="BK525" s="174"/>
      <c r="BL525" s="174"/>
      <c r="BM525" s="174"/>
      <c r="BN525" s="174"/>
      <c r="BO525" s="174"/>
      <c r="BP525" s="174"/>
      <c r="BQ525" s="174"/>
      <c r="BR525" s="174"/>
      <c r="BS525" s="174"/>
      <c r="BT525" s="174"/>
      <c r="BU525" s="174"/>
      <c r="BV525" s="174"/>
      <c r="BW525" s="174"/>
      <c r="BX525" s="174"/>
      <c r="BY525" s="174"/>
      <c r="BZ525" s="174"/>
      <c r="CA525" s="174"/>
      <c r="CB525" s="174"/>
      <c r="CC525" s="174"/>
      <c r="CD525" s="174"/>
    </row>
    <row r="526">
      <c r="A526" s="105" t="str">
        <f>IF(preDEL!$AG526,IFERROR(0/0,""),preDEL!A526)</f>
        <v>MA222</v>
      </c>
      <c r="B526" s="170">
        <f>IF(preDEL!$AG526,IFERROR(0/0,""),preDEL!B526)</f>
        <v>44615</v>
      </c>
      <c r="C526" s="171">
        <f>IF(preDEL!$AG526,IFERROR(0/0,""),preDEL!C526)</f>
        <v>0.3086689815</v>
      </c>
      <c r="D526" s="105" t="str">
        <f>IF(preDEL!$AG526,IFERROR(0/0,""),preDEL!D526)</f>
        <v/>
      </c>
      <c r="E526" s="105" t="str">
        <f>IF(preDEL!$AG526,IFERROR(0/0,""),preDEL!E526)</f>
        <v/>
      </c>
      <c r="F526" s="112" t="str">
        <f>IF(preDEL!$AG526,IFERROR(0/0,""),preDEL!F526)</f>
        <v/>
      </c>
      <c r="G526" s="112" t="str">
        <f>IF(preDEL!$AG526,IFERROR(0/0,""),preDEL!G526)</f>
        <v/>
      </c>
      <c r="H526" s="112" t="str">
        <f>IF(preDEL!$AG526,IFERROR(0/0,""),preDEL!H526)</f>
        <v/>
      </c>
      <c r="I526" s="105" t="str">
        <f>IF(preDEL!$AG526,IFERROR(0/0,""),preDEL!I526)</f>
        <v/>
      </c>
      <c r="J526" s="105" t="str">
        <f>IF(preDEL!$AG526,IFERROR(0/0,""),preDEL!J526)</f>
        <v/>
      </c>
      <c r="K526" s="105" t="str">
        <f>IF(preDEL!$AG526,IFERROR(0/0,""),preDEL!K526)</f>
        <v>Positive</v>
      </c>
      <c r="L526" s="170">
        <f>IF(preDEL!$AG526,IFERROR(0/0,""),preDEL!L526)</f>
        <v>44615</v>
      </c>
      <c r="M526" s="171">
        <f>IF(preDEL!$AG526,IFERROR(0/0,""),preDEL!M526)</f>
        <v>0.4912384259</v>
      </c>
      <c r="N526" s="112" t="str">
        <f>IF(preDEL!$AG526,IFERROR(0/0,""),preDEL!N526)</f>
        <v/>
      </c>
      <c r="O526" s="112" t="str">
        <f>IF(preDEL!$AG526,IFERROR(0/0,""),preDEL!O526)</f>
        <v/>
      </c>
      <c r="P526" s="110" t="b">
        <f>IF(preDEL!$AG526,IFERROR(0/0,""),preDEL!P526)</f>
        <v>0</v>
      </c>
      <c r="Q526" s="110" t="str">
        <f>IF(preDEL!$AG526,IFERROR(0/0,""),preDEL!Q526)</f>
        <v>Result</v>
      </c>
      <c r="R526" s="104" t="b">
        <f>IF(preDEL!$AG526,IFERROR(0/0,""),preDEL!R526)</f>
        <v>1</v>
      </c>
      <c r="S526" s="104">
        <f>IF(preDEL!$AG526,IFERROR(0/0,""),preDEL!S526)</f>
        <v>1</v>
      </c>
      <c r="T526" s="110" t="str">
        <f>IF(preDEL!$AG526,IFERROR(0/0,""),preDEL!T526)</f>
        <v/>
      </c>
      <c r="U526" s="112" t="str">
        <f>IF(preDEL!$AG526,IFERROR(0/0,""),preDEL!U526)</f>
        <v/>
      </c>
      <c r="V526" s="105" t="str">
        <f>IF(preDEL!$AG526,IFERROR(0/0,""),preDEL!V526)</f>
        <v/>
      </c>
      <c r="W526" s="112" t="str">
        <f>IF(preDEL!$AG526,IFERROR(0/0,""),preDEL!W526)</f>
        <v/>
      </c>
      <c r="X526" s="104" t="b">
        <f>IF(preDEL!$AG526,IFERROR(0/0,""),preDEL!X526)</f>
        <v>0</v>
      </c>
      <c r="Y526" s="110" t="b">
        <f>IF(preDEL!$AG526,IFERROR(0/0,""),preDEL!Y526)</f>
        <v>0</v>
      </c>
      <c r="Z526" s="105" t="str">
        <f>IF(preDEL!$AG526,IFERROR(0/0,""),preDEL!Z526)</f>
        <v/>
      </c>
      <c r="AA526" s="110" t="b">
        <f>IF(preDEL!$AG526,IFERROR(0/0,""),preDEL!AA526)</f>
        <v>0</v>
      </c>
      <c r="AB526" s="110" t="b">
        <f>IF(preDEL!$AG526,IFERROR(0/0,""),preDEL!AB526)</f>
        <v>0</v>
      </c>
      <c r="AC526" s="172">
        <f>IF(preDEL!$AG526,IFERROR(0/0,""),preDEL!AC526)</f>
        <v>287</v>
      </c>
      <c r="AD526" s="104" t="b">
        <f>IF(preDEL!$AG526,IFERROR(0/0,""),preDEL!AD526)</f>
        <v>0</v>
      </c>
      <c r="AE526" s="173">
        <f>IF(preDEL!$AG526,IFERROR(0/0,""),preDEL!AE526)</f>
        <v>262.9</v>
      </c>
      <c r="AF526" s="110" t="b">
        <f>IF(preDEL!$AG526,IFERROR(0/0,""),preDEL!AF526)</f>
        <v>0</v>
      </c>
      <c r="AG526" s="110" t="b">
        <f>IF(preDEL!$AG526,IFERROR(0/0,""),preDEL!AG526)</f>
        <v>0</v>
      </c>
      <c r="AH526" s="104" t="str">
        <f>IF(preDEL!$AG526,IFERROR(0/0,""),preDEL!AH526)</f>
        <v/>
      </c>
      <c r="AI526" s="105" t="str">
        <f>IF(preDEL!$AG526,IFERROR(0/0,""),preDEL!AI526)</f>
        <v/>
      </c>
      <c r="AJ526" s="112">
        <f>IF(preDEL!$AG526,IFERROR(0/0,""),preDEL!AJ526)</f>
        <v>2.7</v>
      </c>
      <c r="AK526" s="105" t="str">
        <f>IF(preDEL!$AG526,IFERROR(0/0,""),preDEL!AK526)</f>
        <v>Negative</v>
      </c>
      <c r="AL526" s="112" t="str">
        <f>IF(preDEL!$AG526,IFERROR(0/0,""),preDEL!AL526)</f>
        <v>Pos to Neg based on RFR - checked image and entire batch mis-called</v>
      </c>
      <c r="AM526" s="112" t="str">
        <f>IF(preDEL!$AG526,IFERROR(0/0,""),preDEL!AM526)</f>
        <v>SpBEND953422</v>
      </c>
      <c r="AN526" s="112" t="str">
        <f>IF(preDEL!$AG526,IFERROR(0/0,""),preDEL!AN526)</f>
        <v>BEND782925</v>
      </c>
      <c r="AO526" s="112" t="str">
        <f>IF(preDEL!$AG526,IFERROR(0/0,""),preDEL!AO526)</f>
        <v/>
      </c>
      <c r="AP526" s="112" t="str">
        <f>IF(preDEL!$AG526,IFERROR(0/0,""),preDEL!AP526)</f>
        <v/>
      </c>
      <c r="AQ526" s="112" t="str">
        <f>IF(preDEL!$AG526,IFERROR(0/0,""),preDEL!AQ526)</f>
        <v/>
      </c>
      <c r="AR526" s="112" t="str">
        <f>IF(preDEL!$AG526,IFERROR(0/0,""),preDEL!AR526)</f>
        <v/>
      </c>
      <c r="AS526" s="112" t="str">
        <f>IF(preDEL!$AG526,IFERROR(0/0,""),preDEL!AS526)</f>
        <v/>
      </c>
      <c r="AT526" s="112" t="b">
        <f>IF(preDEL!$AG526,IFERROR(0/0,""),preDEL!AT526)</f>
        <v>0</v>
      </c>
      <c r="AU526" s="112" t="str">
        <f>IF(preDEL!$AG526,IFERROR(0/0,""),preDEL!AU526)</f>
        <v/>
      </c>
      <c r="AV526" s="112" t="str">
        <f>IF(preDEL!$AG526,IFERROR(0/0,""),preDEL!AV526)</f>
        <v/>
      </c>
      <c r="AW526" s="112" t="str">
        <f>IF(preDEL!$AG526,IFERROR(0/0,""),preDEL!AW526)</f>
        <v/>
      </c>
      <c r="AX526" s="112" t="str">
        <f>IF(preDEL!$AG526,IFERROR(0/0,""),preDEL!AX526)</f>
        <v/>
      </c>
      <c r="AY526" s="112" t="str">
        <f>IF(preDEL!$AG526,IFERROR(0/0,""),preDEL!AY526)</f>
        <v/>
      </c>
      <c r="AZ526" s="174"/>
      <c r="BA526" s="174"/>
      <c r="BB526" s="174"/>
      <c r="BC526" s="174"/>
      <c r="BD526" s="174"/>
      <c r="BE526" s="174"/>
      <c r="BF526" s="174"/>
      <c r="BG526" s="174"/>
      <c r="BH526" s="174"/>
      <c r="BI526" s="174"/>
      <c r="BJ526" s="174"/>
      <c r="BK526" s="174"/>
      <c r="BL526" s="174"/>
      <c r="BM526" s="174"/>
      <c r="BN526" s="174"/>
      <c r="BO526" s="174"/>
      <c r="BP526" s="174"/>
      <c r="BQ526" s="174"/>
      <c r="BR526" s="174"/>
      <c r="BS526" s="174"/>
      <c r="BT526" s="174"/>
      <c r="BU526" s="174"/>
      <c r="BV526" s="174"/>
      <c r="BW526" s="174"/>
      <c r="BX526" s="174"/>
      <c r="BY526" s="174"/>
      <c r="BZ526" s="174"/>
      <c r="CA526" s="174"/>
      <c r="CB526" s="174"/>
      <c r="CC526" s="174"/>
      <c r="CD526" s="174"/>
    </row>
    <row r="527">
      <c r="A527" s="105" t="str">
        <f>IF(preDEL!$AG527,IFERROR(0/0,""),preDEL!A527)</f>
        <v>MA231</v>
      </c>
      <c r="B527" s="170">
        <f>IF(preDEL!$AG527,IFERROR(0/0,""),preDEL!B527)</f>
        <v>44615</v>
      </c>
      <c r="C527" s="171">
        <f>IF(preDEL!$AG527,IFERROR(0/0,""),preDEL!C527)</f>
        <v>0.3092361111</v>
      </c>
      <c r="D527" s="105" t="str">
        <f>IF(preDEL!$AG527,IFERROR(0/0,""),preDEL!D527)</f>
        <v/>
      </c>
      <c r="E527" s="105" t="str">
        <f>IF(preDEL!$AG527,IFERROR(0/0,""),preDEL!E527)</f>
        <v/>
      </c>
      <c r="F527" s="112" t="str">
        <f>IF(preDEL!$AG527,IFERROR(0/0,""),preDEL!F527)</f>
        <v/>
      </c>
      <c r="G527" s="112" t="str">
        <f>IF(preDEL!$AG527,IFERROR(0/0,""),preDEL!G527)</f>
        <v/>
      </c>
      <c r="H527" s="112" t="str">
        <f>IF(preDEL!$AG527,IFERROR(0/0,""),preDEL!H527)</f>
        <v/>
      </c>
      <c r="I527" s="105" t="str">
        <f>IF(preDEL!$AG527,IFERROR(0/0,""),preDEL!I527)</f>
        <v/>
      </c>
      <c r="J527" s="105" t="str">
        <f>IF(preDEL!$AG527,IFERROR(0/0,""),preDEL!J527)</f>
        <v/>
      </c>
      <c r="K527" s="105" t="str">
        <f>IF(preDEL!$AG527,IFERROR(0/0,""),preDEL!K527)</f>
        <v>Positive</v>
      </c>
      <c r="L527" s="170">
        <f>IF(preDEL!$AG527,IFERROR(0/0,""),preDEL!L527)</f>
        <v>44615</v>
      </c>
      <c r="M527" s="171">
        <f>IF(preDEL!$AG527,IFERROR(0/0,""),preDEL!M527)</f>
        <v>0.4912384259</v>
      </c>
      <c r="N527" s="112" t="str">
        <f>IF(preDEL!$AG527,IFERROR(0/0,""),preDEL!N527)</f>
        <v/>
      </c>
      <c r="O527" s="112" t="str">
        <f>IF(preDEL!$AG527,IFERROR(0/0,""),preDEL!O527)</f>
        <v/>
      </c>
      <c r="P527" s="110" t="b">
        <f>IF(preDEL!$AG527,IFERROR(0/0,""),preDEL!P527)</f>
        <v>0</v>
      </c>
      <c r="Q527" s="110" t="str">
        <f>IF(preDEL!$AG527,IFERROR(0/0,""),preDEL!Q527)</f>
        <v>Result</v>
      </c>
      <c r="R527" s="104" t="b">
        <f>IF(preDEL!$AG527,IFERROR(0/0,""),preDEL!R527)</f>
        <v>1</v>
      </c>
      <c r="S527" s="104">
        <f>IF(preDEL!$AG527,IFERROR(0/0,""),preDEL!S527)</f>
        <v>1</v>
      </c>
      <c r="T527" s="110" t="str">
        <f>IF(preDEL!$AG527,IFERROR(0/0,""),preDEL!T527)</f>
        <v/>
      </c>
      <c r="U527" s="112" t="str">
        <f>IF(preDEL!$AG527,IFERROR(0/0,""),preDEL!U527)</f>
        <v/>
      </c>
      <c r="V527" s="105" t="str">
        <f>IF(preDEL!$AG527,IFERROR(0/0,""),preDEL!V527)</f>
        <v/>
      </c>
      <c r="W527" s="112" t="str">
        <f>IF(preDEL!$AG527,IFERROR(0/0,""),preDEL!W527)</f>
        <v/>
      </c>
      <c r="X527" s="104" t="b">
        <f>IF(preDEL!$AG527,IFERROR(0/0,""),preDEL!X527)</f>
        <v>0</v>
      </c>
      <c r="Y527" s="110" t="b">
        <f>IF(preDEL!$AG527,IFERROR(0/0,""),preDEL!Y527)</f>
        <v>0</v>
      </c>
      <c r="Z527" s="105" t="str">
        <f>IF(preDEL!$AG527,IFERROR(0/0,""),preDEL!Z527)</f>
        <v/>
      </c>
      <c r="AA527" s="110" t="b">
        <f>IF(preDEL!$AG527,IFERROR(0/0,""),preDEL!AA527)</f>
        <v>0</v>
      </c>
      <c r="AB527" s="110" t="b">
        <f>IF(preDEL!$AG527,IFERROR(0/0,""),preDEL!AB527)</f>
        <v>0</v>
      </c>
      <c r="AC527" s="172">
        <f>IF(preDEL!$AG527,IFERROR(0/0,""),preDEL!AC527)</f>
        <v>286</v>
      </c>
      <c r="AD527" s="104" t="b">
        <f>IF(preDEL!$AG527,IFERROR(0/0,""),preDEL!AD527)</f>
        <v>0</v>
      </c>
      <c r="AE527" s="173">
        <f>IF(preDEL!$AG527,IFERROR(0/0,""),preDEL!AE527)</f>
        <v>262.0833333</v>
      </c>
      <c r="AF527" s="110" t="b">
        <f>IF(preDEL!$AG527,IFERROR(0/0,""),preDEL!AF527)</f>
        <v>0</v>
      </c>
      <c r="AG527" s="110" t="b">
        <f>IF(preDEL!$AG527,IFERROR(0/0,""),preDEL!AG527)</f>
        <v>0</v>
      </c>
      <c r="AH527" s="104" t="str">
        <f>IF(preDEL!$AG527,IFERROR(0/0,""),preDEL!AH527)</f>
        <v/>
      </c>
      <c r="AI527" s="105" t="str">
        <f>IF(preDEL!$AG527,IFERROR(0/0,""),preDEL!AI527)</f>
        <v/>
      </c>
      <c r="AJ527" s="112">
        <f>IF(preDEL!$AG527,IFERROR(0/0,""),preDEL!AJ527)</f>
        <v>2.7</v>
      </c>
      <c r="AK527" s="105" t="str">
        <f>IF(preDEL!$AG527,IFERROR(0/0,""),preDEL!AK527)</f>
        <v>Negative</v>
      </c>
      <c r="AL527" s="112" t="str">
        <f>IF(preDEL!$AG527,IFERROR(0/0,""),preDEL!AL527)</f>
        <v>Pos to Neg based on RFR - checked image and entire batch mis-called</v>
      </c>
      <c r="AM527" s="112" t="str">
        <f>IF(preDEL!$AG527,IFERROR(0/0,""),preDEL!AM527)</f>
        <v>SpBEND816435</v>
      </c>
      <c r="AN527" s="112" t="str">
        <f>IF(preDEL!$AG527,IFERROR(0/0,""),preDEL!AN527)</f>
        <v>BEND139093</v>
      </c>
      <c r="AO527" s="112" t="str">
        <f>IF(preDEL!$AG527,IFERROR(0/0,""),preDEL!AO527)</f>
        <v/>
      </c>
      <c r="AP527" s="112" t="str">
        <f>IF(preDEL!$AG527,IFERROR(0/0,""),preDEL!AP527)</f>
        <v/>
      </c>
      <c r="AQ527" s="112" t="str">
        <f>IF(preDEL!$AG527,IFERROR(0/0,""),preDEL!AQ527)</f>
        <v/>
      </c>
      <c r="AR527" s="112" t="str">
        <f>IF(preDEL!$AG527,IFERROR(0/0,""),preDEL!AR527)</f>
        <v/>
      </c>
      <c r="AS527" s="112" t="str">
        <f>IF(preDEL!$AG527,IFERROR(0/0,""),preDEL!AS527)</f>
        <v/>
      </c>
      <c r="AT527" s="112" t="b">
        <f>IF(preDEL!$AG527,IFERROR(0/0,""),preDEL!AT527)</f>
        <v>0</v>
      </c>
      <c r="AU527" s="112" t="str">
        <f>IF(preDEL!$AG527,IFERROR(0/0,""),preDEL!AU527)</f>
        <v/>
      </c>
      <c r="AV527" s="112" t="str">
        <f>IF(preDEL!$AG527,IFERROR(0/0,""),preDEL!AV527)</f>
        <v/>
      </c>
      <c r="AW527" s="112" t="str">
        <f>IF(preDEL!$AG527,IFERROR(0/0,""),preDEL!AW527)</f>
        <v/>
      </c>
      <c r="AX527" s="112" t="str">
        <f>IF(preDEL!$AG527,IFERROR(0/0,""),preDEL!AX527)</f>
        <v/>
      </c>
      <c r="AY527" s="112" t="str">
        <f>IF(preDEL!$AG527,IFERROR(0/0,""),preDEL!AY527)</f>
        <v/>
      </c>
      <c r="AZ527" s="174"/>
      <c r="BA527" s="174"/>
      <c r="BB527" s="174"/>
      <c r="BC527" s="174"/>
      <c r="BD527" s="174"/>
      <c r="BE527" s="174"/>
      <c r="BF527" s="174"/>
      <c r="BG527" s="174"/>
      <c r="BH527" s="174"/>
      <c r="BI527" s="174"/>
      <c r="BJ527" s="174"/>
      <c r="BK527" s="174"/>
      <c r="BL527" s="174"/>
      <c r="BM527" s="174"/>
      <c r="BN527" s="174"/>
      <c r="BO527" s="174"/>
      <c r="BP527" s="174"/>
      <c r="BQ527" s="174"/>
      <c r="BR527" s="174"/>
      <c r="BS527" s="174"/>
      <c r="BT527" s="174"/>
      <c r="BU527" s="174"/>
      <c r="BV527" s="174"/>
      <c r="BW527" s="174"/>
      <c r="BX527" s="174"/>
      <c r="BY527" s="174"/>
      <c r="BZ527" s="174"/>
      <c r="CA527" s="174"/>
      <c r="CB527" s="174"/>
      <c r="CC527" s="174"/>
      <c r="CD527" s="174"/>
    </row>
    <row r="528">
      <c r="A528" s="105" t="str">
        <f>IF(preDEL!$AG528,IFERROR(0/0,""),preDEL!A528)</f>
        <v>MA214</v>
      </c>
      <c r="B528" s="170">
        <f>IF(preDEL!$AG528,IFERROR(0/0,""),preDEL!B528)</f>
        <v>44615</v>
      </c>
      <c r="C528" s="171">
        <f>IF(preDEL!$AG528,IFERROR(0/0,""),preDEL!C528)</f>
        <v>0.3093171296</v>
      </c>
      <c r="D528" s="105" t="str">
        <f>IF(preDEL!$AG528,IFERROR(0/0,""),preDEL!D528)</f>
        <v/>
      </c>
      <c r="E528" s="105" t="str">
        <f>IF(preDEL!$AG528,IFERROR(0/0,""),preDEL!E528)</f>
        <v/>
      </c>
      <c r="F528" s="112" t="str">
        <f>IF(preDEL!$AG528,IFERROR(0/0,""),preDEL!F528)</f>
        <v/>
      </c>
      <c r="G528" s="112" t="str">
        <f>IF(preDEL!$AG528,IFERROR(0/0,""),preDEL!G528)</f>
        <v/>
      </c>
      <c r="H528" s="112" t="str">
        <f>IF(preDEL!$AG528,IFERROR(0/0,""),preDEL!H528)</f>
        <v/>
      </c>
      <c r="I528" s="105" t="str">
        <f>IF(preDEL!$AG528,IFERROR(0/0,""),preDEL!I528)</f>
        <v/>
      </c>
      <c r="J528" s="105" t="str">
        <f>IF(preDEL!$AG528,IFERROR(0/0,""),preDEL!J528)</f>
        <v/>
      </c>
      <c r="K528" s="105" t="str">
        <f>IF(preDEL!$AG528,IFERROR(0/0,""),preDEL!K528)</f>
        <v>Positive</v>
      </c>
      <c r="L528" s="170">
        <f>IF(preDEL!$AG528,IFERROR(0/0,""),preDEL!L528)</f>
        <v>44615</v>
      </c>
      <c r="M528" s="171">
        <f>IF(preDEL!$AG528,IFERROR(0/0,""),preDEL!M528)</f>
        <v>0.4912384259</v>
      </c>
      <c r="N528" s="112" t="str">
        <f>IF(preDEL!$AG528,IFERROR(0/0,""),preDEL!N528)</f>
        <v/>
      </c>
      <c r="O528" s="112" t="str">
        <f>IF(preDEL!$AG528,IFERROR(0/0,""),preDEL!O528)</f>
        <v/>
      </c>
      <c r="P528" s="110" t="b">
        <f>IF(preDEL!$AG528,IFERROR(0/0,""),preDEL!P528)</f>
        <v>0</v>
      </c>
      <c r="Q528" s="110" t="str">
        <f>IF(preDEL!$AG528,IFERROR(0/0,""),preDEL!Q528)</f>
        <v>Result</v>
      </c>
      <c r="R528" s="104" t="b">
        <f>IF(preDEL!$AG528,IFERROR(0/0,""),preDEL!R528)</f>
        <v>1</v>
      </c>
      <c r="S528" s="104">
        <f>IF(preDEL!$AG528,IFERROR(0/0,""),preDEL!S528)</f>
        <v>1</v>
      </c>
      <c r="T528" s="110" t="str">
        <f>IF(preDEL!$AG528,IFERROR(0/0,""),preDEL!T528)</f>
        <v/>
      </c>
      <c r="U528" s="112" t="str">
        <f>IF(preDEL!$AG528,IFERROR(0/0,""),preDEL!U528)</f>
        <v/>
      </c>
      <c r="V528" s="105" t="str">
        <f>IF(preDEL!$AG528,IFERROR(0/0,""),preDEL!V528)</f>
        <v/>
      </c>
      <c r="W528" s="112" t="str">
        <f>IF(preDEL!$AG528,IFERROR(0/0,""),preDEL!W528)</f>
        <v/>
      </c>
      <c r="X528" s="104" t="b">
        <f>IF(preDEL!$AG528,IFERROR(0/0,""),preDEL!X528)</f>
        <v>0</v>
      </c>
      <c r="Y528" s="110" t="b">
        <f>IF(preDEL!$AG528,IFERROR(0/0,""),preDEL!Y528)</f>
        <v>0</v>
      </c>
      <c r="Z528" s="105" t="str">
        <f>IF(preDEL!$AG528,IFERROR(0/0,""),preDEL!Z528)</f>
        <v/>
      </c>
      <c r="AA528" s="110" t="b">
        <f>IF(preDEL!$AG528,IFERROR(0/0,""),preDEL!AA528)</f>
        <v>0</v>
      </c>
      <c r="AB528" s="110" t="b">
        <f>IF(preDEL!$AG528,IFERROR(0/0,""),preDEL!AB528)</f>
        <v>0</v>
      </c>
      <c r="AC528" s="172">
        <f>IF(preDEL!$AG528,IFERROR(0/0,""),preDEL!AC528)</f>
        <v>285</v>
      </c>
      <c r="AD528" s="104" t="b">
        <f>IF(preDEL!$AG528,IFERROR(0/0,""),preDEL!AD528)</f>
        <v>0</v>
      </c>
      <c r="AE528" s="173">
        <f>IF(preDEL!$AG528,IFERROR(0/0,""),preDEL!AE528)</f>
        <v>261.9666667</v>
      </c>
      <c r="AF528" s="110" t="b">
        <f>IF(preDEL!$AG528,IFERROR(0/0,""),preDEL!AF528)</f>
        <v>0</v>
      </c>
      <c r="AG528" s="110" t="b">
        <f>IF(preDEL!$AG528,IFERROR(0/0,""),preDEL!AG528)</f>
        <v>0</v>
      </c>
      <c r="AH528" s="104" t="str">
        <f>IF(preDEL!$AG528,IFERROR(0/0,""),preDEL!AH528)</f>
        <v/>
      </c>
      <c r="AI528" s="105" t="str">
        <f>IF(preDEL!$AG528,IFERROR(0/0,""),preDEL!AI528)</f>
        <v/>
      </c>
      <c r="AJ528" s="112">
        <f>IF(preDEL!$AG528,IFERROR(0/0,""),preDEL!AJ528)</f>
        <v>2.7</v>
      </c>
      <c r="AK528" s="105" t="str">
        <f>IF(preDEL!$AG528,IFERROR(0/0,""),preDEL!AK528)</f>
        <v>Negative</v>
      </c>
      <c r="AL528" s="112" t="str">
        <f>IF(preDEL!$AG528,IFERROR(0/0,""),preDEL!AL528)</f>
        <v>Pos to Neg based on RFR - checked image and entire batch mis-called</v>
      </c>
      <c r="AM528" s="112" t="str">
        <f>IF(preDEL!$AG528,IFERROR(0/0,""),preDEL!AM528)</f>
        <v>SpBEND944634</v>
      </c>
      <c r="AN528" s="112" t="str">
        <f>IF(preDEL!$AG528,IFERROR(0/0,""),preDEL!AN528)</f>
        <v>BEND626338</v>
      </c>
      <c r="AO528" s="112" t="str">
        <f>IF(preDEL!$AG528,IFERROR(0/0,""),preDEL!AO528)</f>
        <v/>
      </c>
      <c r="AP528" s="112" t="str">
        <f>IF(preDEL!$AG528,IFERROR(0/0,""),preDEL!AP528)</f>
        <v/>
      </c>
      <c r="AQ528" s="112" t="str">
        <f>IF(preDEL!$AG528,IFERROR(0/0,""),preDEL!AQ528)</f>
        <v/>
      </c>
      <c r="AR528" s="112" t="str">
        <f>IF(preDEL!$AG528,IFERROR(0/0,""),preDEL!AR528)</f>
        <v/>
      </c>
      <c r="AS528" s="112" t="str">
        <f>IF(preDEL!$AG528,IFERROR(0/0,""),preDEL!AS528)</f>
        <v/>
      </c>
      <c r="AT528" s="112" t="b">
        <f>IF(preDEL!$AG528,IFERROR(0/0,""),preDEL!AT528)</f>
        <v>0</v>
      </c>
      <c r="AU528" s="112" t="str">
        <f>IF(preDEL!$AG528,IFERROR(0/0,""),preDEL!AU528)</f>
        <v/>
      </c>
      <c r="AV528" s="112" t="str">
        <f>IF(preDEL!$AG528,IFERROR(0/0,""),preDEL!AV528)</f>
        <v/>
      </c>
      <c r="AW528" s="112" t="str">
        <f>IF(preDEL!$AG528,IFERROR(0/0,""),preDEL!AW528)</f>
        <v/>
      </c>
      <c r="AX528" s="112" t="str">
        <f>IF(preDEL!$AG528,IFERROR(0/0,""),preDEL!AX528)</f>
        <v/>
      </c>
      <c r="AY528" s="112" t="str">
        <f>IF(preDEL!$AG528,IFERROR(0/0,""),preDEL!AY528)</f>
        <v/>
      </c>
      <c r="AZ528" s="174"/>
      <c r="BA528" s="174"/>
      <c r="BB528" s="174"/>
      <c r="BC528" s="174"/>
      <c r="BD528" s="174"/>
      <c r="BE528" s="174"/>
      <c r="BF528" s="174"/>
      <c r="BG528" s="174"/>
      <c r="BH528" s="174"/>
      <c r="BI528" s="174"/>
      <c r="BJ528" s="174"/>
      <c r="BK528" s="174"/>
      <c r="BL528" s="174"/>
      <c r="BM528" s="174"/>
      <c r="BN528" s="174"/>
      <c r="BO528" s="174"/>
      <c r="BP528" s="174"/>
      <c r="BQ528" s="174"/>
      <c r="BR528" s="174"/>
      <c r="BS528" s="174"/>
      <c r="BT528" s="174"/>
      <c r="BU528" s="174"/>
      <c r="BV528" s="174"/>
      <c r="BW528" s="174"/>
      <c r="BX528" s="174"/>
      <c r="BY528" s="174"/>
      <c r="BZ528" s="174"/>
      <c r="CA528" s="174"/>
      <c r="CB528" s="174"/>
      <c r="CC528" s="174"/>
      <c r="CD528" s="174"/>
    </row>
    <row r="529">
      <c r="A529" s="105" t="str">
        <f>IF(preDEL!$AG529,IFERROR(0/0,""),preDEL!A529)</f>
        <v>FM827</v>
      </c>
      <c r="B529" s="170">
        <f>IF(preDEL!$AG529,IFERROR(0/0,""),preDEL!B529)</f>
        <v>44615</v>
      </c>
      <c r="C529" s="171">
        <f>IF(preDEL!$AG529,IFERROR(0/0,""),preDEL!C529)</f>
        <v>0.3097800926</v>
      </c>
      <c r="D529" s="105" t="str">
        <f>IF(preDEL!$AG529,IFERROR(0/0,""),preDEL!D529)</f>
        <v/>
      </c>
      <c r="E529" s="105" t="str">
        <f>IF(preDEL!$AG529,IFERROR(0/0,""),preDEL!E529)</f>
        <v/>
      </c>
      <c r="F529" s="112" t="str">
        <f>IF(preDEL!$AG529,IFERROR(0/0,""),preDEL!F529)</f>
        <v/>
      </c>
      <c r="G529" s="112" t="str">
        <f>IF(preDEL!$AG529,IFERROR(0/0,""),preDEL!G529)</f>
        <v/>
      </c>
      <c r="H529" s="112" t="str">
        <f>IF(preDEL!$AG529,IFERROR(0/0,""),preDEL!H529)</f>
        <v/>
      </c>
      <c r="I529" s="105" t="str">
        <f>IF(preDEL!$AG529,IFERROR(0/0,""),preDEL!I529)</f>
        <v/>
      </c>
      <c r="J529" s="105" t="str">
        <f>IF(preDEL!$AG529,IFERROR(0/0,""),preDEL!J529)</f>
        <v/>
      </c>
      <c r="K529" s="105" t="str">
        <f>IF(preDEL!$AG529,IFERROR(0/0,""),preDEL!K529)</f>
        <v>Positive</v>
      </c>
      <c r="L529" s="170">
        <f>IF(preDEL!$AG529,IFERROR(0/0,""),preDEL!L529)</f>
        <v>44615</v>
      </c>
      <c r="M529" s="171">
        <f>IF(preDEL!$AG529,IFERROR(0/0,""),preDEL!M529)</f>
        <v>0.4912384259</v>
      </c>
      <c r="N529" s="112" t="str">
        <f>IF(preDEL!$AG529,IFERROR(0/0,""),preDEL!N529)</f>
        <v/>
      </c>
      <c r="O529" s="112" t="str">
        <f>IF(preDEL!$AG529,IFERROR(0/0,""),preDEL!O529)</f>
        <v/>
      </c>
      <c r="P529" s="110" t="b">
        <f>IF(preDEL!$AG529,IFERROR(0/0,""),preDEL!P529)</f>
        <v>0</v>
      </c>
      <c r="Q529" s="110" t="str">
        <f>IF(preDEL!$AG529,IFERROR(0/0,""),preDEL!Q529)</f>
        <v>Result</v>
      </c>
      <c r="R529" s="104" t="b">
        <f>IF(preDEL!$AG529,IFERROR(0/0,""),preDEL!R529)</f>
        <v>1</v>
      </c>
      <c r="S529" s="104">
        <f>IF(preDEL!$AG529,IFERROR(0/0,""),preDEL!S529)</f>
        <v>1</v>
      </c>
      <c r="T529" s="110" t="str">
        <f>IF(preDEL!$AG529,IFERROR(0/0,""),preDEL!T529)</f>
        <v/>
      </c>
      <c r="U529" s="112" t="str">
        <f>IF(preDEL!$AG529,IFERROR(0/0,""),preDEL!U529)</f>
        <v/>
      </c>
      <c r="V529" s="105" t="str">
        <f>IF(preDEL!$AG529,IFERROR(0/0,""),preDEL!V529)</f>
        <v/>
      </c>
      <c r="W529" s="112" t="str">
        <f>IF(preDEL!$AG529,IFERROR(0/0,""),preDEL!W529)</f>
        <v/>
      </c>
      <c r="X529" s="104" t="b">
        <f>IF(preDEL!$AG529,IFERROR(0/0,""),preDEL!X529)</f>
        <v>0</v>
      </c>
      <c r="Y529" s="110" t="b">
        <f>IF(preDEL!$AG529,IFERROR(0/0,""),preDEL!Y529)</f>
        <v>0</v>
      </c>
      <c r="Z529" s="105" t="str">
        <f>IF(preDEL!$AG529,IFERROR(0/0,""),preDEL!Z529)</f>
        <v/>
      </c>
      <c r="AA529" s="110" t="b">
        <f>IF(preDEL!$AG529,IFERROR(0/0,""),preDEL!AA529)</f>
        <v>0</v>
      </c>
      <c r="AB529" s="110" t="b">
        <f>IF(preDEL!$AG529,IFERROR(0/0,""),preDEL!AB529)</f>
        <v>0</v>
      </c>
      <c r="AC529" s="172">
        <f>IF(preDEL!$AG529,IFERROR(0/0,""),preDEL!AC529)</f>
        <v>284</v>
      </c>
      <c r="AD529" s="104" t="b">
        <f>IF(preDEL!$AG529,IFERROR(0/0,""),preDEL!AD529)</f>
        <v>0</v>
      </c>
      <c r="AE529" s="173">
        <f>IF(preDEL!$AG529,IFERROR(0/0,""),preDEL!AE529)</f>
        <v>261.3</v>
      </c>
      <c r="AF529" s="110" t="b">
        <f>IF(preDEL!$AG529,IFERROR(0/0,""),preDEL!AF529)</f>
        <v>0</v>
      </c>
      <c r="AG529" s="110" t="b">
        <f>IF(preDEL!$AG529,IFERROR(0/0,""),preDEL!AG529)</f>
        <v>0</v>
      </c>
      <c r="AH529" s="104" t="str">
        <f>IF(preDEL!$AG529,IFERROR(0/0,""),preDEL!AH529)</f>
        <v/>
      </c>
      <c r="AI529" s="105" t="str">
        <f>IF(preDEL!$AG529,IFERROR(0/0,""),preDEL!AI529)</f>
        <v/>
      </c>
      <c r="AJ529" s="112">
        <f>IF(preDEL!$AG529,IFERROR(0/0,""),preDEL!AJ529)</f>
        <v>2.7</v>
      </c>
      <c r="AK529" s="105" t="str">
        <f>IF(preDEL!$AG529,IFERROR(0/0,""),preDEL!AK529)</f>
        <v>Negative</v>
      </c>
      <c r="AL529" s="112" t="str">
        <f>IF(preDEL!$AG529,IFERROR(0/0,""),preDEL!AL529)</f>
        <v>Pos to Neg based on RFR - checked image and entire batch mis-called</v>
      </c>
      <c r="AM529" s="112" t="str">
        <f>IF(preDEL!$AG529,IFERROR(0/0,""),preDEL!AM529)</f>
        <v>SpBEND718288</v>
      </c>
      <c r="AN529" s="112" t="str">
        <f>IF(preDEL!$AG529,IFERROR(0/0,""),preDEL!AN529)</f>
        <v>BEND289256</v>
      </c>
      <c r="AO529" s="112" t="str">
        <f>IF(preDEL!$AG529,IFERROR(0/0,""),preDEL!AO529)</f>
        <v/>
      </c>
      <c r="AP529" s="112" t="str">
        <f>IF(preDEL!$AG529,IFERROR(0/0,""),preDEL!AP529)</f>
        <v/>
      </c>
      <c r="AQ529" s="112" t="str">
        <f>IF(preDEL!$AG529,IFERROR(0/0,""),preDEL!AQ529)</f>
        <v/>
      </c>
      <c r="AR529" s="112" t="str">
        <f>IF(preDEL!$AG529,IFERROR(0/0,""),preDEL!AR529)</f>
        <v/>
      </c>
      <c r="AS529" s="112" t="str">
        <f>IF(preDEL!$AG529,IFERROR(0/0,""),preDEL!AS529)</f>
        <v/>
      </c>
      <c r="AT529" s="112" t="b">
        <f>IF(preDEL!$AG529,IFERROR(0/0,""),preDEL!AT529)</f>
        <v>0</v>
      </c>
      <c r="AU529" s="112" t="str">
        <f>IF(preDEL!$AG529,IFERROR(0/0,""),preDEL!AU529)</f>
        <v/>
      </c>
      <c r="AV529" s="112" t="str">
        <f>IF(preDEL!$AG529,IFERROR(0/0,""),preDEL!AV529)</f>
        <v/>
      </c>
      <c r="AW529" s="112" t="str">
        <f>IF(preDEL!$AG529,IFERROR(0/0,""),preDEL!AW529)</f>
        <v/>
      </c>
      <c r="AX529" s="112" t="str">
        <f>IF(preDEL!$AG529,IFERROR(0/0,""),preDEL!AX529)</f>
        <v/>
      </c>
      <c r="AY529" s="112" t="str">
        <f>IF(preDEL!$AG529,IFERROR(0/0,""),preDEL!AY529)</f>
        <v/>
      </c>
      <c r="AZ529" s="174"/>
      <c r="BA529" s="174"/>
      <c r="BB529" s="174"/>
      <c r="BC529" s="174"/>
      <c r="BD529" s="174"/>
      <c r="BE529" s="174"/>
      <c r="BF529" s="174"/>
      <c r="BG529" s="174"/>
      <c r="BH529" s="174"/>
      <c r="BI529" s="174"/>
      <c r="BJ529" s="174"/>
      <c r="BK529" s="174"/>
      <c r="BL529" s="174"/>
      <c r="BM529" s="174"/>
      <c r="BN529" s="174"/>
      <c r="BO529" s="174"/>
      <c r="BP529" s="174"/>
      <c r="BQ529" s="174"/>
      <c r="BR529" s="174"/>
      <c r="BS529" s="174"/>
      <c r="BT529" s="174"/>
      <c r="BU529" s="174"/>
      <c r="BV529" s="174"/>
      <c r="BW529" s="174"/>
      <c r="BX529" s="174"/>
      <c r="BY529" s="174"/>
      <c r="BZ529" s="174"/>
      <c r="CA529" s="174"/>
      <c r="CB529" s="174"/>
      <c r="CC529" s="174"/>
      <c r="CD529" s="174"/>
    </row>
    <row r="530">
      <c r="A530" s="105" t="str">
        <f>IF(preDEL!$AG530,IFERROR(0/0,""),preDEL!A530)</f>
        <v>MA299</v>
      </c>
      <c r="B530" s="170">
        <f>IF(preDEL!$AG530,IFERROR(0/0,""),preDEL!B530)</f>
        <v>44615</v>
      </c>
      <c r="C530" s="171">
        <f>IF(preDEL!$AG530,IFERROR(0/0,""),preDEL!C530)</f>
        <v>0.3108912037</v>
      </c>
      <c r="D530" s="105" t="str">
        <f>IF(preDEL!$AG530,IFERROR(0/0,""),preDEL!D530)</f>
        <v/>
      </c>
      <c r="E530" s="105" t="str">
        <f>IF(preDEL!$AG530,IFERROR(0/0,""),preDEL!E530)</f>
        <v/>
      </c>
      <c r="F530" s="112" t="str">
        <f>IF(preDEL!$AG530,IFERROR(0/0,""),preDEL!F530)</f>
        <v/>
      </c>
      <c r="G530" s="112" t="str">
        <f>IF(preDEL!$AG530,IFERROR(0/0,""),preDEL!G530)</f>
        <v/>
      </c>
      <c r="H530" s="112" t="str">
        <f>IF(preDEL!$AG530,IFERROR(0/0,""),preDEL!H530)</f>
        <v/>
      </c>
      <c r="I530" s="105" t="str">
        <f>IF(preDEL!$AG530,IFERROR(0/0,""),preDEL!I530)</f>
        <v/>
      </c>
      <c r="J530" s="105" t="str">
        <f>IF(preDEL!$AG530,IFERROR(0/0,""),preDEL!J530)</f>
        <v/>
      </c>
      <c r="K530" s="105" t="str">
        <f>IF(preDEL!$AG530,IFERROR(0/0,""),preDEL!K530)</f>
        <v>Positive</v>
      </c>
      <c r="L530" s="170">
        <f>IF(preDEL!$AG530,IFERROR(0/0,""),preDEL!L530)</f>
        <v>44615</v>
      </c>
      <c r="M530" s="171">
        <f>IF(preDEL!$AG530,IFERROR(0/0,""),preDEL!M530)</f>
        <v>0.4912384259</v>
      </c>
      <c r="N530" s="112" t="str">
        <f>IF(preDEL!$AG530,IFERROR(0/0,""),preDEL!N530)</f>
        <v/>
      </c>
      <c r="O530" s="112" t="str">
        <f>IF(preDEL!$AG530,IFERROR(0/0,""),preDEL!O530)</f>
        <v/>
      </c>
      <c r="P530" s="110" t="b">
        <f>IF(preDEL!$AG530,IFERROR(0/0,""),preDEL!P530)</f>
        <v>0</v>
      </c>
      <c r="Q530" s="110" t="str">
        <f>IF(preDEL!$AG530,IFERROR(0/0,""),preDEL!Q530)</f>
        <v>Result</v>
      </c>
      <c r="R530" s="104" t="b">
        <f>IF(preDEL!$AG530,IFERROR(0/0,""),preDEL!R530)</f>
        <v>1</v>
      </c>
      <c r="S530" s="104">
        <f>IF(preDEL!$AG530,IFERROR(0/0,""),preDEL!S530)</f>
        <v>1</v>
      </c>
      <c r="T530" s="110" t="str">
        <f>IF(preDEL!$AG530,IFERROR(0/0,""),preDEL!T530)</f>
        <v/>
      </c>
      <c r="U530" s="112" t="str">
        <f>IF(preDEL!$AG530,IFERROR(0/0,""),preDEL!U530)</f>
        <v/>
      </c>
      <c r="V530" s="105" t="str">
        <f>IF(preDEL!$AG530,IFERROR(0/0,""),preDEL!V530)</f>
        <v/>
      </c>
      <c r="W530" s="112" t="str">
        <f>IF(preDEL!$AG530,IFERROR(0/0,""),preDEL!W530)</f>
        <v/>
      </c>
      <c r="X530" s="104" t="b">
        <f>IF(preDEL!$AG530,IFERROR(0/0,""),preDEL!X530)</f>
        <v>0</v>
      </c>
      <c r="Y530" s="110" t="b">
        <f>IF(preDEL!$AG530,IFERROR(0/0,""),preDEL!Y530)</f>
        <v>0</v>
      </c>
      <c r="Z530" s="105" t="str">
        <f>IF(preDEL!$AG530,IFERROR(0/0,""),preDEL!Z530)</f>
        <v/>
      </c>
      <c r="AA530" s="110" t="b">
        <f>IF(preDEL!$AG530,IFERROR(0/0,""),preDEL!AA530)</f>
        <v>0</v>
      </c>
      <c r="AB530" s="110" t="b">
        <f>IF(preDEL!$AG530,IFERROR(0/0,""),preDEL!AB530)</f>
        <v>0</v>
      </c>
      <c r="AC530" s="172">
        <f>IF(preDEL!$AG530,IFERROR(0/0,""),preDEL!AC530)</f>
        <v>283</v>
      </c>
      <c r="AD530" s="104" t="b">
        <f>IF(preDEL!$AG530,IFERROR(0/0,""),preDEL!AD530)</f>
        <v>0</v>
      </c>
      <c r="AE530" s="173">
        <f>IF(preDEL!$AG530,IFERROR(0/0,""),preDEL!AE530)</f>
        <v>259.7</v>
      </c>
      <c r="AF530" s="110" t="b">
        <f>IF(preDEL!$AG530,IFERROR(0/0,""),preDEL!AF530)</f>
        <v>0</v>
      </c>
      <c r="AG530" s="110" t="b">
        <f>IF(preDEL!$AG530,IFERROR(0/0,""),preDEL!AG530)</f>
        <v>0</v>
      </c>
      <c r="AH530" s="104" t="str">
        <f>IF(preDEL!$AG530,IFERROR(0/0,""),preDEL!AH530)</f>
        <v/>
      </c>
      <c r="AI530" s="105" t="str">
        <f>IF(preDEL!$AG530,IFERROR(0/0,""),preDEL!AI530)</f>
        <v/>
      </c>
      <c r="AJ530" s="112">
        <f>IF(preDEL!$AG530,IFERROR(0/0,""),preDEL!AJ530)</f>
        <v>2.7</v>
      </c>
      <c r="AK530" s="105" t="str">
        <f>IF(preDEL!$AG530,IFERROR(0/0,""),preDEL!AK530)</f>
        <v>Negative</v>
      </c>
      <c r="AL530" s="112" t="str">
        <f>IF(preDEL!$AG530,IFERROR(0/0,""),preDEL!AL530)</f>
        <v>Pos to Neg based on RFR - checked image and entire batch mis-called</v>
      </c>
      <c r="AM530" s="112" t="str">
        <f>IF(preDEL!$AG530,IFERROR(0/0,""),preDEL!AM530)</f>
        <v>SpBEND611299</v>
      </c>
      <c r="AN530" s="112" t="str">
        <f>IF(preDEL!$AG530,IFERROR(0/0,""),preDEL!AN530)</f>
        <v>BEND244963</v>
      </c>
      <c r="AO530" s="112" t="str">
        <f>IF(preDEL!$AG530,IFERROR(0/0,""),preDEL!AO530)</f>
        <v/>
      </c>
      <c r="AP530" s="112" t="str">
        <f>IF(preDEL!$AG530,IFERROR(0/0,""),preDEL!AP530)</f>
        <v/>
      </c>
      <c r="AQ530" s="112" t="str">
        <f>IF(preDEL!$AG530,IFERROR(0/0,""),preDEL!AQ530)</f>
        <v/>
      </c>
      <c r="AR530" s="112" t="str">
        <f>IF(preDEL!$AG530,IFERROR(0/0,""),preDEL!AR530)</f>
        <v/>
      </c>
      <c r="AS530" s="112" t="str">
        <f>IF(preDEL!$AG530,IFERROR(0/0,""),preDEL!AS530)</f>
        <v/>
      </c>
      <c r="AT530" s="112" t="b">
        <f>IF(preDEL!$AG530,IFERROR(0/0,""),preDEL!AT530)</f>
        <v>0</v>
      </c>
      <c r="AU530" s="112" t="str">
        <f>IF(preDEL!$AG530,IFERROR(0/0,""),preDEL!AU530)</f>
        <v/>
      </c>
      <c r="AV530" s="112" t="str">
        <f>IF(preDEL!$AG530,IFERROR(0/0,""),preDEL!AV530)</f>
        <v/>
      </c>
      <c r="AW530" s="112" t="str">
        <f>IF(preDEL!$AG530,IFERROR(0/0,""),preDEL!AW530)</f>
        <v/>
      </c>
      <c r="AX530" s="112" t="str">
        <f>IF(preDEL!$AG530,IFERROR(0/0,""),preDEL!AX530)</f>
        <v/>
      </c>
      <c r="AY530" s="112" t="str">
        <f>IF(preDEL!$AG530,IFERROR(0/0,""),preDEL!AY530)</f>
        <v/>
      </c>
      <c r="AZ530" s="174"/>
      <c r="BA530" s="174"/>
      <c r="BB530" s="174"/>
      <c r="BC530" s="174"/>
      <c r="BD530" s="174"/>
      <c r="BE530" s="174"/>
      <c r="BF530" s="174"/>
      <c r="BG530" s="174"/>
      <c r="BH530" s="174"/>
      <c r="BI530" s="174"/>
      <c r="BJ530" s="174"/>
      <c r="BK530" s="174"/>
      <c r="BL530" s="174"/>
      <c r="BM530" s="174"/>
      <c r="BN530" s="174"/>
      <c r="BO530" s="174"/>
      <c r="BP530" s="174"/>
      <c r="BQ530" s="174"/>
      <c r="BR530" s="174"/>
      <c r="BS530" s="174"/>
      <c r="BT530" s="174"/>
      <c r="BU530" s="174"/>
      <c r="BV530" s="174"/>
      <c r="BW530" s="174"/>
      <c r="BX530" s="174"/>
      <c r="BY530" s="174"/>
      <c r="BZ530" s="174"/>
      <c r="CA530" s="174"/>
      <c r="CB530" s="174"/>
      <c r="CC530" s="174"/>
      <c r="CD530" s="174"/>
    </row>
    <row r="531">
      <c r="A531" s="105" t="str">
        <f>IF(preDEL!$AG531,IFERROR(0/0,""),preDEL!A531)</f>
        <v>MA1104</v>
      </c>
      <c r="B531" s="170">
        <f>IF(preDEL!$AG531,IFERROR(0/0,""),preDEL!B531)</f>
        <v>44615</v>
      </c>
      <c r="C531" s="171">
        <f>IF(preDEL!$AG531,IFERROR(0/0,""),preDEL!C531)</f>
        <v>0.3144907407</v>
      </c>
      <c r="D531" s="105" t="str">
        <f>IF(preDEL!$AG531,IFERROR(0/0,""),preDEL!D531)</f>
        <v/>
      </c>
      <c r="E531" s="105" t="str">
        <f>IF(preDEL!$AG531,IFERROR(0/0,""),preDEL!E531)</f>
        <v/>
      </c>
      <c r="F531" s="112" t="str">
        <f>IF(preDEL!$AG531,IFERROR(0/0,""),preDEL!F531)</f>
        <v/>
      </c>
      <c r="G531" s="112" t="str">
        <f>IF(preDEL!$AG531,IFERROR(0/0,""),preDEL!G531)</f>
        <v/>
      </c>
      <c r="H531" s="112" t="str">
        <f>IF(preDEL!$AG531,IFERROR(0/0,""),preDEL!H531)</f>
        <v/>
      </c>
      <c r="I531" s="105" t="str">
        <f>IF(preDEL!$AG531,IFERROR(0/0,""),preDEL!I531)</f>
        <v/>
      </c>
      <c r="J531" s="105" t="str">
        <f>IF(preDEL!$AG531,IFERROR(0/0,""),preDEL!J531)</f>
        <v/>
      </c>
      <c r="K531" s="105" t="str">
        <f>IF(preDEL!$AG531,IFERROR(0/0,""),preDEL!K531)</f>
        <v>Positive</v>
      </c>
      <c r="L531" s="170">
        <f>IF(preDEL!$AG531,IFERROR(0/0,""),preDEL!L531)</f>
        <v>44615</v>
      </c>
      <c r="M531" s="171">
        <f>IF(preDEL!$AG531,IFERROR(0/0,""),preDEL!M531)</f>
        <v>0.4912384259</v>
      </c>
      <c r="N531" s="112" t="str">
        <f>IF(preDEL!$AG531,IFERROR(0/0,""),preDEL!N531)</f>
        <v/>
      </c>
      <c r="O531" s="112" t="str">
        <f>IF(preDEL!$AG531,IFERROR(0/0,""),preDEL!O531)</f>
        <v/>
      </c>
      <c r="P531" s="110" t="b">
        <f>IF(preDEL!$AG531,IFERROR(0/0,""),preDEL!P531)</f>
        <v>0</v>
      </c>
      <c r="Q531" s="110" t="str">
        <f>IF(preDEL!$AG531,IFERROR(0/0,""),preDEL!Q531)</f>
        <v>Result</v>
      </c>
      <c r="R531" s="104" t="b">
        <f>IF(preDEL!$AG531,IFERROR(0/0,""),preDEL!R531)</f>
        <v>1</v>
      </c>
      <c r="S531" s="104">
        <f>IF(preDEL!$AG531,IFERROR(0/0,""),preDEL!S531)</f>
        <v>1</v>
      </c>
      <c r="T531" s="110" t="str">
        <f>IF(preDEL!$AG531,IFERROR(0/0,""),preDEL!T531)</f>
        <v/>
      </c>
      <c r="U531" s="112" t="str">
        <f>IF(preDEL!$AG531,IFERROR(0/0,""),preDEL!U531)</f>
        <v/>
      </c>
      <c r="V531" s="105" t="str">
        <f>IF(preDEL!$AG531,IFERROR(0/0,""),preDEL!V531)</f>
        <v/>
      </c>
      <c r="W531" s="112" t="str">
        <f>IF(preDEL!$AG531,IFERROR(0/0,""),preDEL!W531)</f>
        <v/>
      </c>
      <c r="X531" s="104" t="b">
        <f>IF(preDEL!$AG531,IFERROR(0/0,""),preDEL!X531)</f>
        <v>0</v>
      </c>
      <c r="Y531" s="110" t="b">
        <f>IF(preDEL!$AG531,IFERROR(0/0,""),preDEL!Y531)</f>
        <v>0</v>
      </c>
      <c r="Z531" s="105" t="str">
        <f>IF(preDEL!$AG531,IFERROR(0/0,""),preDEL!Z531)</f>
        <v/>
      </c>
      <c r="AA531" s="110" t="b">
        <f>IF(preDEL!$AG531,IFERROR(0/0,""),preDEL!AA531)</f>
        <v>0</v>
      </c>
      <c r="AB531" s="110" t="b">
        <f>IF(preDEL!$AG531,IFERROR(0/0,""),preDEL!AB531)</f>
        <v>0</v>
      </c>
      <c r="AC531" s="172">
        <f>IF(preDEL!$AG531,IFERROR(0/0,""),preDEL!AC531)</f>
        <v>282</v>
      </c>
      <c r="AD531" s="104" t="b">
        <f>IF(preDEL!$AG531,IFERROR(0/0,""),preDEL!AD531)</f>
        <v>0</v>
      </c>
      <c r="AE531" s="173">
        <f>IF(preDEL!$AG531,IFERROR(0/0,""),preDEL!AE531)</f>
        <v>254.5166667</v>
      </c>
      <c r="AF531" s="110" t="b">
        <f>IF(preDEL!$AG531,IFERROR(0/0,""),preDEL!AF531)</f>
        <v>0</v>
      </c>
      <c r="AG531" s="110" t="b">
        <f>IF(preDEL!$AG531,IFERROR(0/0,""),preDEL!AG531)</f>
        <v>0</v>
      </c>
      <c r="AH531" s="104" t="str">
        <f>IF(preDEL!$AG531,IFERROR(0/0,""),preDEL!AH531)</f>
        <v/>
      </c>
      <c r="AI531" s="105" t="str">
        <f>IF(preDEL!$AG531,IFERROR(0/0,""),preDEL!AI531)</f>
        <v/>
      </c>
      <c r="AJ531" s="112">
        <f>IF(preDEL!$AG531,IFERROR(0/0,""),preDEL!AJ531)</f>
        <v>2.7</v>
      </c>
      <c r="AK531" s="105" t="str">
        <f>IF(preDEL!$AG531,IFERROR(0/0,""),preDEL!AK531)</f>
        <v>Negative</v>
      </c>
      <c r="AL531" s="112" t="str">
        <f>IF(preDEL!$AG531,IFERROR(0/0,""),preDEL!AL531)</f>
        <v>Pos to Neg based on RFR - checked image and entire batch mis-called</v>
      </c>
      <c r="AM531" s="112" t="str">
        <f>IF(preDEL!$AG531,IFERROR(0/0,""),preDEL!AM531)</f>
        <v>SpBEND985296</v>
      </c>
      <c r="AN531" s="112" t="str">
        <f>IF(preDEL!$AG531,IFERROR(0/0,""),preDEL!AN531)</f>
        <v>BEND326601</v>
      </c>
      <c r="AO531" s="112" t="str">
        <f>IF(preDEL!$AG531,IFERROR(0/0,""),preDEL!AO531)</f>
        <v/>
      </c>
      <c r="AP531" s="112" t="str">
        <f>IF(preDEL!$AG531,IFERROR(0/0,""),preDEL!AP531)</f>
        <v/>
      </c>
      <c r="AQ531" s="112" t="str">
        <f>IF(preDEL!$AG531,IFERROR(0/0,""),preDEL!AQ531)</f>
        <v/>
      </c>
      <c r="AR531" s="112" t="str">
        <f>IF(preDEL!$AG531,IFERROR(0/0,""),preDEL!AR531)</f>
        <v/>
      </c>
      <c r="AS531" s="112" t="str">
        <f>IF(preDEL!$AG531,IFERROR(0/0,""),preDEL!AS531)</f>
        <v/>
      </c>
      <c r="AT531" s="112" t="b">
        <f>IF(preDEL!$AG531,IFERROR(0/0,""),preDEL!AT531)</f>
        <v>0</v>
      </c>
      <c r="AU531" s="112" t="str">
        <f>IF(preDEL!$AG531,IFERROR(0/0,""),preDEL!AU531)</f>
        <v/>
      </c>
      <c r="AV531" s="112" t="str">
        <f>IF(preDEL!$AG531,IFERROR(0/0,""),preDEL!AV531)</f>
        <v/>
      </c>
      <c r="AW531" s="112" t="str">
        <f>IF(preDEL!$AG531,IFERROR(0/0,""),preDEL!AW531)</f>
        <v/>
      </c>
      <c r="AX531" s="112" t="str">
        <f>IF(preDEL!$AG531,IFERROR(0/0,""),preDEL!AX531)</f>
        <v/>
      </c>
      <c r="AY531" s="112" t="str">
        <f>IF(preDEL!$AG531,IFERROR(0/0,""),preDEL!AY531)</f>
        <v/>
      </c>
      <c r="AZ531" s="174"/>
      <c r="BA531" s="174"/>
      <c r="BB531" s="174"/>
      <c r="BC531" s="174"/>
      <c r="BD531" s="174"/>
      <c r="BE531" s="174"/>
      <c r="BF531" s="174"/>
      <c r="BG531" s="174"/>
      <c r="BH531" s="174"/>
      <c r="BI531" s="174"/>
      <c r="BJ531" s="174"/>
      <c r="BK531" s="174"/>
      <c r="BL531" s="174"/>
      <c r="BM531" s="174"/>
      <c r="BN531" s="174"/>
      <c r="BO531" s="174"/>
      <c r="BP531" s="174"/>
      <c r="BQ531" s="174"/>
      <c r="BR531" s="174"/>
      <c r="BS531" s="174"/>
      <c r="BT531" s="174"/>
      <c r="BU531" s="174"/>
      <c r="BV531" s="174"/>
      <c r="BW531" s="174"/>
      <c r="BX531" s="174"/>
      <c r="BY531" s="174"/>
      <c r="BZ531" s="174"/>
      <c r="CA531" s="174"/>
      <c r="CB531" s="174"/>
      <c r="CC531" s="174"/>
      <c r="CD531" s="174"/>
    </row>
    <row r="532">
      <c r="A532" s="105" t="str">
        <f>IF(preDEL!$AG532,IFERROR(0/0,""),preDEL!A532)</f>
        <v>MA1026</v>
      </c>
      <c r="B532" s="170">
        <f>IF(preDEL!$AG532,IFERROR(0/0,""),preDEL!B532)</f>
        <v>44615</v>
      </c>
      <c r="C532" s="171">
        <f>IF(preDEL!$AG532,IFERROR(0/0,""),preDEL!C532)</f>
        <v>0.3146412037</v>
      </c>
      <c r="D532" s="105" t="str">
        <f>IF(preDEL!$AG532,IFERROR(0/0,""),preDEL!D532)</f>
        <v/>
      </c>
      <c r="E532" s="105" t="str">
        <f>IF(preDEL!$AG532,IFERROR(0/0,""),preDEL!E532)</f>
        <v/>
      </c>
      <c r="F532" s="112" t="str">
        <f>IF(preDEL!$AG532,IFERROR(0/0,""),preDEL!F532)</f>
        <v/>
      </c>
      <c r="G532" s="112" t="str">
        <f>IF(preDEL!$AG532,IFERROR(0/0,""),preDEL!G532)</f>
        <v/>
      </c>
      <c r="H532" s="112" t="str">
        <f>IF(preDEL!$AG532,IFERROR(0/0,""),preDEL!H532)</f>
        <v/>
      </c>
      <c r="I532" s="105" t="str">
        <f>IF(preDEL!$AG532,IFERROR(0/0,""),preDEL!I532)</f>
        <v/>
      </c>
      <c r="J532" s="105" t="str">
        <f>IF(preDEL!$AG532,IFERROR(0/0,""),preDEL!J532)</f>
        <v/>
      </c>
      <c r="K532" s="105" t="str">
        <f>IF(preDEL!$AG532,IFERROR(0/0,""),preDEL!K532)</f>
        <v>Positive</v>
      </c>
      <c r="L532" s="170">
        <f>IF(preDEL!$AG532,IFERROR(0/0,""),preDEL!L532)</f>
        <v>44615</v>
      </c>
      <c r="M532" s="171">
        <f>IF(preDEL!$AG532,IFERROR(0/0,""),preDEL!M532)</f>
        <v>0.4912384259</v>
      </c>
      <c r="N532" s="112" t="str">
        <f>IF(preDEL!$AG532,IFERROR(0/0,""),preDEL!N532)</f>
        <v/>
      </c>
      <c r="O532" s="112" t="str">
        <f>IF(preDEL!$AG532,IFERROR(0/0,""),preDEL!O532)</f>
        <v/>
      </c>
      <c r="P532" s="110" t="b">
        <f>IF(preDEL!$AG532,IFERROR(0/0,""),preDEL!P532)</f>
        <v>0</v>
      </c>
      <c r="Q532" s="110" t="str">
        <f>IF(preDEL!$AG532,IFERROR(0/0,""),preDEL!Q532)</f>
        <v>Result</v>
      </c>
      <c r="R532" s="104" t="b">
        <f>IF(preDEL!$AG532,IFERROR(0/0,""),preDEL!R532)</f>
        <v>1</v>
      </c>
      <c r="S532" s="104">
        <f>IF(preDEL!$AG532,IFERROR(0/0,""),preDEL!S532)</f>
        <v>1</v>
      </c>
      <c r="T532" s="110" t="str">
        <f>IF(preDEL!$AG532,IFERROR(0/0,""),preDEL!T532)</f>
        <v/>
      </c>
      <c r="U532" s="112" t="str">
        <f>IF(preDEL!$AG532,IFERROR(0/0,""),preDEL!U532)</f>
        <v/>
      </c>
      <c r="V532" s="105" t="str">
        <f>IF(preDEL!$AG532,IFERROR(0/0,""),preDEL!V532)</f>
        <v/>
      </c>
      <c r="W532" s="112" t="str">
        <f>IF(preDEL!$AG532,IFERROR(0/0,""),preDEL!W532)</f>
        <v/>
      </c>
      <c r="X532" s="104" t="b">
        <f>IF(preDEL!$AG532,IFERROR(0/0,""),preDEL!X532)</f>
        <v>0</v>
      </c>
      <c r="Y532" s="110" t="b">
        <f>IF(preDEL!$AG532,IFERROR(0/0,""),preDEL!Y532)</f>
        <v>0</v>
      </c>
      <c r="Z532" s="105" t="str">
        <f>IF(preDEL!$AG532,IFERROR(0/0,""),preDEL!Z532)</f>
        <v/>
      </c>
      <c r="AA532" s="110" t="b">
        <f>IF(preDEL!$AG532,IFERROR(0/0,""),preDEL!AA532)</f>
        <v>0</v>
      </c>
      <c r="AB532" s="110" t="b">
        <f>IF(preDEL!$AG532,IFERROR(0/0,""),preDEL!AB532)</f>
        <v>0</v>
      </c>
      <c r="AC532" s="172">
        <f>IF(preDEL!$AG532,IFERROR(0/0,""),preDEL!AC532)</f>
        <v>281</v>
      </c>
      <c r="AD532" s="104" t="b">
        <f>IF(preDEL!$AG532,IFERROR(0/0,""),preDEL!AD532)</f>
        <v>0</v>
      </c>
      <c r="AE532" s="173">
        <f>IF(preDEL!$AG532,IFERROR(0/0,""),preDEL!AE532)</f>
        <v>254.3</v>
      </c>
      <c r="AF532" s="110" t="b">
        <f>IF(preDEL!$AG532,IFERROR(0/0,""),preDEL!AF532)</f>
        <v>0</v>
      </c>
      <c r="AG532" s="110" t="b">
        <f>IF(preDEL!$AG532,IFERROR(0/0,""),preDEL!AG532)</f>
        <v>0</v>
      </c>
      <c r="AH532" s="104" t="str">
        <f>IF(preDEL!$AG532,IFERROR(0/0,""),preDEL!AH532)</f>
        <v/>
      </c>
      <c r="AI532" s="105" t="str">
        <f>IF(preDEL!$AG532,IFERROR(0/0,""),preDEL!AI532)</f>
        <v/>
      </c>
      <c r="AJ532" s="112">
        <f>IF(preDEL!$AG532,IFERROR(0/0,""),preDEL!AJ532)</f>
        <v>2.7</v>
      </c>
      <c r="AK532" s="105" t="str">
        <f>IF(preDEL!$AG532,IFERROR(0/0,""),preDEL!AK532)</f>
        <v>Negative</v>
      </c>
      <c r="AL532" s="112" t="str">
        <f>IF(preDEL!$AG532,IFERROR(0/0,""),preDEL!AL532)</f>
        <v>Pos to Neg based on RFR - checked image and entire batch mis-called</v>
      </c>
      <c r="AM532" s="112" t="str">
        <f>IF(preDEL!$AG532,IFERROR(0/0,""),preDEL!AM532)</f>
        <v>SpBEND528248</v>
      </c>
      <c r="AN532" s="112" t="str">
        <f>IF(preDEL!$AG532,IFERROR(0/0,""),preDEL!AN532)</f>
        <v>BEND229530</v>
      </c>
      <c r="AO532" s="112" t="str">
        <f>IF(preDEL!$AG532,IFERROR(0/0,""),preDEL!AO532)</f>
        <v/>
      </c>
      <c r="AP532" s="112" t="str">
        <f>IF(preDEL!$AG532,IFERROR(0/0,""),preDEL!AP532)</f>
        <v/>
      </c>
      <c r="AQ532" s="112" t="str">
        <f>IF(preDEL!$AG532,IFERROR(0/0,""),preDEL!AQ532)</f>
        <v/>
      </c>
      <c r="AR532" s="112" t="str">
        <f>IF(preDEL!$AG532,IFERROR(0/0,""),preDEL!AR532)</f>
        <v/>
      </c>
      <c r="AS532" s="112" t="str">
        <f>IF(preDEL!$AG532,IFERROR(0/0,""),preDEL!AS532)</f>
        <v/>
      </c>
      <c r="AT532" s="112" t="b">
        <f>IF(preDEL!$AG532,IFERROR(0/0,""),preDEL!AT532)</f>
        <v>0</v>
      </c>
      <c r="AU532" s="112" t="str">
        <f>IF(preDEL!$AG532,IFERROR(0/0,""),preDEL!AU532)</f>
        <v/>
      </c>
      <c r="AV532" s="112" t="str">
        <f>IF(preDEL!$AG532,IFERROR(0/0,""),preDEL!AV532)</f>
        <v/>
      </c>
      <c r="AW532" s="112" t="str">
        <f>IF(preDEL!$AG532,IFERROR(0/0,""),preDEL!AW532)</f>
        <v/>
      </c>
      <c r="AX532" s="112" t="str">
        <f>IF(preDEL!$AG532,IFERROR(0/0,""),preDEL!AX532)</f>
        <v/>
      </c>
      <c r="AY532" s="112" t="str">
        <f>IF(preDEL!$AG532,IFERROR(0/0,""),preDEL!AY532)</f>
        <v/>
      </c>
      <c r="AZ532" s="174"/>
      <c r="BA532" s="174"/>
      <c r="BB532" s="174"/>
      <c r="BC532" s="174"/>
      <c r="BD532" s="174"/>
      <c r="BE532" s="174"/>
      <c r="BF532" s="174"/>
      <c r="BG532" s="174"/>
      <c r="BH532" s="174"/>
      <c r="BI532" s="174"/>
      <c r="BJ532" s="174"/>
      <c r="BK532" s="174"/>
      <c r="BL532" s="174"/>
      <c r="BM532" s="174"/>
      <c r="BN532" s="174"/>
      <c r="BO532" s="174"/>
      <c r="BP532" s="174"/>
      <c r="BQ532" s="174"/>
      <c r="BR532" s="174"/>
      <c r="BS532" s="174"/>
      <c r="BT532" s="174"/>
      <c r="BU532" s="174"/>
      <c r="BV532" s="174"/>
      <c r="BW532" s="174"/>
      <c r="BX532" s="174"/>
      <c r="BY532" s="174"/>
      <c r="BZ532" s="174"/>
      <c r="CA532" s="174"/>
      <c r="CB532" s="174"/>
      <c r="CC532" s="174"/>
      <c r="CD532" s="174"/>
    </row>
    <row r="533">
      <c r="A533" s="105" t="str">
        <f>IF(preDEL!$AG533,IFERROR(0/0,""),preDEL!A533)</f>
        <v>FM533</v>
      </c>
      <c r="B533" s="170">
        <f>IF(preDEL!$AG533,IFERROR(0/0,""),preDEL!B533)</f>
        <v>44615</v>
      </c>
      <c r="C533" s="171">
        <f>IF(preDEL!$AG533,IFERROR(0/0,""),preDEL!C533)</f>
        <v>0.3195833333</v>
      </c>
      <c r="D533" s="105" t="str">
        <f>IF(preDEL!$AG533,IFERROR(0/0,""),preDEL!D533)</f>
        <v/>
      </c>
      <c r="E533" s="105" t="str">
        <f>IF(preDEL!$AG533,IFERROR(0/0,""),preDEL!E533)</f>
        <v/>
      </c>
      <c r="F533" s="112" t="str">
        <f>IF(preDEL!$AG533,IFERROR(0/0,""),preDEL!F533)</f>
        <v/>
      </c>
      <c r="G533" s="112" t="str">
        <f>IF(preDEL!$AG533,IFERROR(0/0,""),preDEL!G533)</f>
        <v/>
      </c>
      <c r="H533" s="112" t="str">
        <f>IF(preDEL!$AG533,IFERROR(0/0,""),preDEL!H533)</f>
        <v/>
      </c>
      <c r="I533" s="105" t="str">
        <f>IF(preDEL!$AG533,IFERROR(0/0,""),preDEL!I533)</f>
        <v/>
      </c>
      <c r="J533" s="105" t="str">
        <f>IF(preDEL!$AG533,IFERROR(0/0,""),preDEL!J533)</f>
        <v/>
      </c>
      <c r="K533" s="105" t="str">
        <f>IF(preDEL!$AG533,IFERROR(0/0,""),preDEL!K533)</f>
        <v>Positive</v>
      </c>
      <c r="L533" s="170">
        <f>IF(preDEL!$AG533,IFERROR(0/0,""),preDEL!L533)</f>
        <v>44615</v>
      </c>
      <c r="M533" s="171">
        <f>IF(preDEL!$AG533,IFERROR(0/0,""),preDEL!M533)</f>
        <v>0.4912384259</v>
      </c>
      <c r="N533" s="112" t="str">
        <f>IF(preDEL!$AG533,IFERROR(0/0,""),preDEL!N533)</f>
        <v/>
      </c>
      <c r="O533" s="112" t="str">
        <f>IF(preDEL!$AG533,IFERROR(0/0,""),preDEL!O533)</f>
        <v/>
      </c>
      <c r="P533" s="110" t="b">
        <f>IF(preDEL!$AG533,IFERROR(0/0,""),preDEL!P533)</f>
        <v>0</v>
      </c>
      <c r="Q533" s="110" t="str">
        <f>IF(preDEL!$AG533,IFERROR(0/0,""),preDEL!Q533)</f>
        <v>Result</v>
      </c>
      <c r="R533" s="104" t="b">
        <f>IF(preDEL!$AG533,IFERROR(0/0,""),preDEL!R533)</f>
        <v>1</v>
      </c>
      <c r="S533" s="104">
        <f>IF(preDEL!$AG533,IFERROR(0/0,""),preDEL!S533)</f>
        <v>1</v>
      </c>
      <c r="T533" s="110" t="str">
        <f>IF(preDEL!$AG533,IFERROR(0/0,""),preDEL!T533)</f>
        <v/>
      </c>
      <c r="U533" s="112" t="str">
        <f>IF(preDEL!$AG533,IFERROR(0/0,""),preDEL!U533)</f>
        <v/>
      </c>
      <c r="V533" s="105" t="str">
        <f>IF(preDEL!$AG533,IFERROR(0/0,""),preDEL!V533)</f>
        <v/>
      </c>
      <c r="W533" s="112" t="str">
        <f>IF(preDEL!$AG533,IFERROR(0/0,""),preDEL!W533)</f>
        <v/>
      </c>
      <c r="X533" s="104" t="b">
        <f>IF(preDEL!$AG533,IFERROR(0/0,""),preDEL!X533)</f>
        <v>0</v>
      </c>
      <c r="Y533" s="110" t="b">
        <f>IF(preDEL!$AG533,IFERROR(0/0,""),preDEL!Y533)</f>
        <v>0</v>
      </c>
      <c r="Z533" s="105" t="str">
        <f>IF(preDEL!$AG533,IFERROR(0/0,""),preDEL!Z533)</f>
        <v/>
      </c>
      <c r="AA533" s="110" t="b">
        <f>IF(preDEL!$AG533,IFERROR(0/0,""),preDEL!AA533)</f>
        <v>0</v>
      </c>
      <c r="AB533" s="110" t="b">
        <f>IF(preDEL!$AG533,IFERROR(0/0,""),preDEL!AB533)</f>
        <v>0</v>
      </c>
      <c r="AC533" s="172">
        <f>IF(preDEL!$AG533,IFERROR(0/0,""),preDEL!AC533)</f>
        <v>280</v>
      </c>
      <c r="AD533" s="104" t="b">
        <f>IF(preDEL!$AG533,IFERROR(0/0,""),preDEL!AD533)</f>
        <v>0</v>
      </c>
      <c r="AE533" s="173">
        <f>IF(preDEL!$AG533,IFERROR(0/0,""),preDEL!AE533)</f>
        <v>247.1833333</v>
      </c>
      <c r="AF533" s="110" t="b">
        <f>IF(preDEL!$AG533,IFERROR(0/0,""),preDEL!AF533)</f>
        <v>0</v>
      </c>
      <c r="AG533" s="110" t="b">
        <f>IF(preDEL!$AG533,IFERROR(0/0,""),preDEL!AG533)</f>
        <v>0</v>
      </c>
      <c r="AH533" s="104" t="str">
        <f>IF(preDEL!$AG533,IFERROR(0/0,""),preDEL!AH533)</f>
        <v/>
      </c>
      <c r="AI533" s="105" t="str">
        <f>IF(preDEL!$AG533,IFERROR(0/0,""),preDEL!AI533)</f>
        <v/>
      </c>
      <c r="AJ533" s="112">
        <f>IF(preDEL!$AG533,IFERROR(0/0,""),preDEL!AJ533)</f>
        <v>2.7</v>
      </c>
      <c r="AK533" s="105" t="str">
        <f>IF(preDEL!$AG533,IFERROR(0/0,""),preDEL!AK533)</f>
        <v>Negative</v>
      </c>
      <c r="AL533" s="112" t="str">
        <f>IF(preDEL!$AG533,IFERROR(0/0,""),preDEL!AL533)</f>
        <v>Pos to Neg based on RFR - checked image and entire batch mis-called</v>
      </c>
      <c r="AM533" s="112" t="str">
        <f>IF(preDEL!$AG533,IFERROR(0/0,""),preDEL!AM533)</f>
        <v>SpBEND541174</v>
      </c>
      <c r="AN533" s="112" t="str">
        <f>IF(preDEL!$AG533,IFERROR(0/0,""),preDEL!AN533)</f>
        <v>BEND785384</v>
      </c>
      <c r="AO533" s="112" t="str">
        <f>IF(preDEL!$AG533,IFERROR(0/0,""),preDEL!AO533)</f>
        <v/>
      </c>
      <c r="AP533" s="112" t="str">
        <f>IF(preDEL!$AG533,IFERROR(0/0,""),preDEL!AP533)</f>
        <v/>
      </c>
      <c r="AQ533" s="112" t="str">
        <f>IF(preDEL!$AG533,IFERROR(0/0,""),preDEL!AQ533)</f>
        <v/>
      </c>
      <c r="AR533" s="112" t="str">
        <f>IF(preDEL!$AG533,IFERROR(0/0,""),preDEL!AR533)</f>
        <v/>
      </c>
      <c r="AS533" s="112" t="str">
        <f>IF(preDEL!$AG533,IFERROR(0/0,""),preDEL!AS533)</f>
        <v/>
      </c>
      <c r="AT533" s="112" t="b">
        <f>IF(preDEL!$AG533,IFERROR(0/0,""),preDEL!AT533)</f>
        <v>0</v>
      </c>
      <c r="AU533" s="112" t="str">
        <f>IF(preDEL!$AG533,IFERROR(0/0,""),preDEL!AU533)</f>
        <v/>
      </c>
      <c r="AV533" s="112" t="str">
        <f>IF(preDEL!$AG533,IFERROR(0/0,""),preDEL!AV533)</f>
        <v/>
      </c>
      <c r="AW533" s="112" t="str">
        <f>IF(preDEL!$AG533,IFERROR(0/0,""),preDEL!AW533)</f>
        <v/>
      </c>
      <c r="AX533" s="112" t="str">
        <f>IF(preDEL!$AG533,IFERROR(0/0,""),preDEL!AX533)</f>
        <v/>
      </c>
      <c r="AY533" s="112" t="str">
        <f>IF(preDEL!$AG533,IFERROR(0/0,""),preDEL!AY533)</f>
        <v/>
      </c>
      <c r="AZ533" s="174"/>
      <c r="BA533" s="174"/>
      <c r="BB533" s="174"/>
      <c r="BC533" s="174"/>
      <c r="BD533" s="174"/>
      <c r="BE533" s="174"/>
      <c r="BF533" s="174"/>
      <c r="BG533" s="174"/>
      <c r="BH533" s="174"/>
      <c r="BI533" s="174"/>
      <c r="BJ533" s="174"/>
      <c r="BK533" s="174"/>
      <c r="BL533" s="174"/>
      <c r="BM533" s="174"/>
      <c r="BN533" s="174"/>
      <c r="BO533" s="174"/>
      <c r="BP533" s="174"/>
      <c r="BQ533" s="174"/>
      <c r="BR533" s="174"/>
      <c r="BS533" s="174"/>
      <c r="BT533" s="174"/>
      <c r="BU533" s="174"/>
      <c r="BV533" s="174"/>
      <c r="BW533" s="174"/>
      <c r="BX533" s="174"/>
      <c r="BY533" s="174"/>
      <c r="BZ533" s="174"/>
      <c r="CA533" s="174"/>
      <c r="CB533" s="174"/>
      <c r="CC533" s="174"/>
      <c r="CD533" s="174"/>
    </row>
    <row r="534">
      <c r="A534" s="105" t="str">
        <f>IF(preDEL!$AG534,IFERROR(0/0,""),preDEL!A534)</f>
        <v>MA1038</v>
      </c>
      <c r="B534" s="170">
        <f>IF(preDEL!$AG534,IFERROR(0/0,""),preDEL!B534)</f>
        <v>44615</v>
      </c>
      <c r="C534" s="171">
        <f>IF(preDEL!$AG534,IFERROR(0/0,""),preDEL!C534)</f>
        <v>0.3210416667</v>
      </c>
      <c r="D534" s="105" t="str">
        <f>IF(preDEL!$AG534,IFERROR(0/0,""),preDEL!D534)</f>
        <v/>
      </c>
      <c r="E534" s="105" t="str">
        <f>IF(preDEL!$AG534,IFERROR(0/0,""),preDEL!E534)</f>
        <v/>
      </c>
      <c r="F534" s="112" t="str">
        <f>IF(preDEL!$AG534,IFERROR(0/0,""),preDEL!F534)</f>
        <v/>
      </c>
      <c r="G534" s="112" t="str">
        <f>IF(preDEL!$AG534,IFERROR(0/0,""),preDEL!G534)</f>
        <v/>
      </c>
      <c r="H534" s="112" t="str">
        <f>IF(preDEL!$AG534,IFERROR(0/0,""),preDEL!H534)</f>
        <v/>
      </c>
      <c r="I534" s="105" t="str">
        <f>IF(preDEL!$AG534,IFERROR(0/0,""),preDEL!I534)</f>
        <v/>
      </c>
      <c r="J534" s="105" t="str">
        <f>IF(preDEL!$AG534,IFERROR(0/0,""),preDEL!J534)</f>
        <v/>
      </c>
      <c r="K534" s="105" t="str">
        <f>IF(preDEL!$AG534,IFERROR(0/0,""),preDEL!K534)</f>
        <v>Positive</v>
      </c>
      <c r="L534" s="170">
        <f>IF(preDEL!$AG534,IFERROR(0/0,""),preDEL!L534)</f>
        <v>44615</v>
      </c>
      <c r="M534" s="171">
        <f>IF(preDEL!$AG534,IFERROR(0/0,""),preDEL!M534)</f>
        <v>0.49125</v>
      </c>
      <c r="N534" s="112" t="str">
        <f>IF(preDEL!$AG534,IFERROR(0/0,""),preDEL!N534)</f>
        <v/>
      </c>
      <c r="O534" s="112" t="str">
        <f>IF(preDEL!$AG534,IFERROR(0/0,""),preDEL!O534)</f>
        <v/>
      </c>
      <c r="P534" s="110" t="b">
        <f>IF(preDEL!$AG534,IFERROR(0/0,""),preDEL!P534)</f>
        <v>0</v>
      </c>
      <c r="Q534" s="110" t="str">
        <f>IF(preDEL!$AG534,IFERROR(0/0,""),preDEL!Q534)</f>
        <v>Result</v>
      </c>
      <c r="R534" s="104" t="b">
        <f>IF(preDEL!$AG534,IFERROR(0/0,""),preDEL!R534)</f>
        <v>1</v>
      </c>
      <c r="S534" s="104">
        <f>IF(preDEL!$AG534,IFERROR(0/0,""),preDEL!S534)</f>
        <v>1</v>
      </c>
      <c r="T534" s="110" t="str">
        <f>IF(preDEL!$AG534,IFERROR(0/0,""),preDEL!T534)</f>
        <v/>
      </c>
      <c r="U534" s="112" t="str">
        <f>IF(preDEL!$AG534,IFERROR(0/0,""),preDEL!U534)</f>
        <v/>
      </c>
      <c r="V534" s="105" t="str">
        <f>IF(preDEL!$AG534,IFERROR(0/0,""),preDEL!V534)</f>
        <v/>
      </c>
      <c r="W534" s="112" t="str">
        <f>IF(preDEL!$AG534,IFERROR(0/0,""),preDEL!W534)</f>
        <v/>
      </c>
      <c r="X534" s="104" t="b">
        <f>IF(preDEL!$AG534,IFERROR(0/0,""),preDEL!X534)</f>
        <v>0</v>
      </c>
      <c r="Y534" s="110" t="b">
        <f>IF(preDEL!$AG534,IFERROR(0/0,""),preDEL!Y534)</f>
        <v>0</v>
      </c>
      <c r="Z534" s="105" t="str">
        <f>IF(preDEL!$AG534,IFERROR(0/0,""),preDEL!Z534)</f>
        <v/>
      </c>
      <c r="AA534" s="110" t="b">
        <f>IF(preDEL!$AG534,IFERROR(0/0,""),preDEL!AA534)</f>
        <v>0</v>
      </c>
      <c r="AB534" s="110" t="b">
        <f>IF(preDEL!$AG534,IFERROR(0/0,""),preDEL!AB534)</f>
        <v>0</v>
      </c>
      <c r="AC534" s="172">
        <f>IF(preDEL!$AG534,IFERROR(0/0,""),preDEL!AC534)</f>
        <v>279</v>
      </c>
      <c r="AD534" s="104" t="b">
        <f>IF(preDEL!$AG534,IFERROR(0/0,""),preDEL!AD534)</f>
        <v>0</v>
      </c>
      <c r="AE534" s="173">
        <f>IF(preDEL!$AG534,IFERROR(0/0,""),preDEL!AE534)</f>
        <v>245.1</v>
      </c>
      <c r="AF534" s="110" t="b">
        <f>IF(preDEL!$AG534,IFERROR(0/0,""),preDEL!AF534)</f>
        <v>0</v>
      </c>
      <c r="AG534" s="110" t="b">
        <f>IF(preDEL!$AG534,IFERROR(0/0,""),preDEL!AG534)</f>
        <v>0</v>
      </c>
      <c r="AH534" s="104" t="str">
        <f>IF(preDEL!$AG534,IFERROR(0/0,""),preDEL!AH534)</f>
        <v/>
      </c>
      <c r="AI534" s="105" t="str">
        <f>IF(preDEL!$AG534,IFERROR(0/0,""),preDEL!AI534)</f>
        <v/>
      </c>
      <c r="AJ534" s="112">
        <f>IF(preDEL!$AG534,IFERROR(0/0,""),preDEL!AJ534)</f>
        <v>2.7</v>
      </c>
      <c r="AK534" s="105" t="str">
        <f>IF(preDEL!$AG534,IFERROR(0/0,""),preDEL!AK534)</f>
        <v>Negative</v>
      </c>
      <c r="AL534" s="112" t="str">
        <f>IF(preDEL!$AG534,IFERROR(0/0,""),preDEL!AL534)</f>
        <v>Pos to Neg based on RFR - checked image and entire batch mis-called</v>
      </c>
      <c r="AM534" s="112" t="str">
        <f>IF(preDEL!$AG534,IFERROR(0/0,""),preDEL!AM534)</f>
        <v>SpBEND363177</v>
      </c>
      <c r="AN534" s="112" t="str">
        <f>IF(preDEL!$AG534,IFERROR(0/0,""),preDEL!AN534)</f>
        <v>BEND213287</v>
      </c>
      <c r="AO534" s="112" t="str">
        <f>IF(preDEL!$AG534,IFERROR(0/0,""),preDEL!AO534)</f>
        <v/>
      </c>
      <c r="AP534" s="112" t="str">
        <f>IF(preDEL!$AG534,IFERROR(0/0,""),preDEL!AP534)</f>
        <v/>
      </c>
      <c r="AQ534" s="112" t="str">
        <f>IF(preDEL!$AG534,IFERROR(0/0,""),preDEL!AQ534)</f>
        <v/>
      </c>
      <c r="AR534" s="112" t="str">
        <f>IF(preDEL!$AG534,IFERROR(0/0,""),preDEL!AR534)</f>
        <v/>
      </c>
      <c r="AS534" s="112" t="str">
        <f>IF(preDEL!$AG534,IFERROR(0/0,""),preDEL!AS534)</f>
        <v/>
      </c>
      <c r="AT534" s="112" t="b">
        <f>IF(preDEL!$AG534,IFERROR(0/0,""),preDEL!AT534)</f>
        <v>0</v>
      </c>
      <c r="AU534" s="112" t="str">
        <f>IF(preDEL!$AG534,IFERROR(0/0,""),preDEL!AU534)</f>
        <v/>
      </c>
      <c r="AV534" s="112" t="str">
        <f>IF(preDEL!$AG534,IFERROR(0/0,""),preDEL!AV534)</f>
        <v/>
      </c>
      <c r="AW534" s="112" t="str">
        <f>IF(preDEL!$AG534,IFERROR(0/0,""),preDEL!AW534)</f>
        <v/>
      </c>
      <c r="AX534" s="112" t="str">
        <f>IF(preDEL!$AG534,IFERROR(0/0,""),preDEL!AX534)</f>
        <v/>
      </c>
      <c r="AY534" s="112" t="str">
        <f>IF(preDEL!$AG534,IFERROR(0/0,""),preDEL!AY534)</f>
        <v/>
      </c>
      <c r="AZ534" s="174"/>
      <c r="BA534" s="174"/>
      <c r="BB534" s="174"/>
      <c r="BC534" s="174"/>
      <c r="BD534" s="174"/>
      <c r="BE534" s="174"/>
      <c r="BF534" s="174"/>
      <c r="BG534" s="174"/>
      <c r="BH534" s="174"/>
      <c r="BI534" s="174"/>
      <c r="BJ534" s="174"/>
      <c r="BK534" s="174"/>
      <c r="BL534" s="174"/>
      <c r="BM534" s="174"/>
      <c r="BN534" s="174"/>
      <c r="BO534" s="174"/>
      <c r="BP534" s="174"/>
      <c r="BQ534" s="174"/>
      <c r="BR534" s="174"/>
      <c r="BS534" s="174"/>
      <c r="BT534" s="174"/>
      <c r="BU534" s="174"/>
      <c r="BV534" s="174"/>
      <c r="BW534" s="174"/>
      <c r="BX534" s="174"/>
      <c r="BY534" s="174"/>
      <c r="BZ534" s="174"/>
      <c r="CA534" s="174"/>
      <c r="CB534" s="174"/>
      <c r="CC534" s="174"/>
      <c r="CD534" s="174"/>
    </row>
    <row r="535">
      <c r="A535" s="105" t="str">
        <f>IF(preDEL!$AG535,IFERROR(0/0,""),preDEL!A535)</f>
        <v>FM1008</v>
      </c>
      <c r="B535" s="170">
        <f>IF(preDEL!$AG535,IFERROR(0/0,""),preDEL!B535)</f>
        <v>44615</v>
      </c>
      <c r="C535" s="171">
        <f>IF(preDEL!$AG535,IFERROR(0/0,""),preDEL!C535)</f>
        <v>0.321712963</v>
      </c>
      <c r="D535" s="105" t="str">
        <f>IF(preDEL!$AG535,IFERROR(0/0,""),preDEL!D535)</f>
        <v/>
      </c>
      <c r="E535" s="105" t="str">
        <f>IF(preDEL!$AG535,IFERROR(0/0,""),preDEL!E535)</f>
        <v/>
      </c>
      <c r="F535" s="112" t="str">
        <f>IF(preDEL!$AG535,IFERROR(0/0,""),preDEL!F535)</f>
        <v/>
      </c>
      <c r="G535" s="112" t="str">
        <f>IF(preDEL!$AG535,IFERROR(0/0,""),preDEL!G535)</f>
        <v/>
      </c>
      <c r="H535" s="112" t="str">
        <f>IF(preDEL!$AG535,IFERROR(0/0,""),preDEL!H535)</f>
        <v/>
      </c>
      <c r="I535" s="105" t="str">
        <f>IF(preDEL!$AG535,IFERROR(0/0,""),preDEL!I535)</f>
        <v/>
      </c>
      <c r="J535" s="105" t="str">
        <f>IF(preDEL!$AG535,IFERROR(0/0,""),preDEL!J535)</f>
        <v/>
      </c>
      <c r="K535" s="105" t="str">
        <f>IF(preDEL!$AG535,IFERROR(0/0,""),preDEL!K535)</f>
        <v>Positive</v>
      </c>
      <c r="L535" s="170">
        <f>IF(preDEL!$AG535,IFERROR(0/0,""),preDEL!L535)</f>
        <v>44615</v>
      </c>
      <c r="M535" s="171">
        <f>IF(preDEL!$AG535,IFERROR(0/0,""),preDEL!M535)</f>
        <v>0.49125</v>
      </c>
      <c r="N535" s="112" t="str">
        <f>IF(preDEL!$AG535,IFERROR(0/0,""),preDEL!N535)</f>
        <v/>
      </c>
      <c r="O535" s="112" t="str">
        <f>IF(preDEL!$AG535,IFERROR(0/0,""),preDEL!O535)</f>
        <v/>
      </c>
      <c r="P535" s="110" t="b">
        <f>IF(preDEL!$AG535,IFERROR(0/0,""),preDEL!P535)</f>
        <v>0</v>
      </c>
      <c r="Q535" s="110" t="str">
        <f>IF(preDEL!$AG535,IFERROR(0/0,""),preDEL!Q535)</f>
        <v>Result</v>
      </c>
      <c r="R535" s="104" t="b">
        <f>IF(preDEL!$AG535,IFERROR(0/0,""),preDEL!R535)</f>
        <v>1</v>
      </c>
      <c r="S535" s="104">
        <f>IF(preDEL!$AG535,IFERROR(0/0,""),preDEL!S535)</f>
        <v>1</v>
      </c>
      <c r="T535" s="110" t="str">
        <f>IF(preDEL!$AG535,IFERROR(0/0,""),preDEL!T535)</f>
        <v/>
      </c>
      <c r="U535" s="112" t="str">
        <f>IF(preDEL!$AG535,IFERROR(0/0,""),preDEL!U535)</f>
        <v/>
      </c>
      <c r="V535" s="105" t="str">
        <f>IF(preDEL!$AG535,IFERROR(0/0,""),preDEL!V535)</f>
        <v/>
      </c>
      <c r="W535" s="112" t="str">
        <f>IF(preDEL!$AG535,IFERROR(0/0,""),preDEL!W535)</f>
        <v/>
      </c>
      <c r="X535" s="104" t="b">
        <f>IF(preDEL!$AG535,IFERROR(0/0,""),preDEL!X535)</f>
        <v>0</v>
      </c>
      <c r="Y535" s="110" t="b">
        <f>IF(preDEL!$AG535,IFERROR(0/0,""),preDEL!Y535)</f>
        <v>0</v>
      </c>
      <c r="Z535" s="105" t="str">
        <f>IF(preDEL!$AG535,IFERROR(0/0,""),preDEL!Z535)</f>
        <v/>
      </c>
      <c r="AA535" s="110" t="b">
        <f>IF(preDEL!$AG535,IFERROR(0/0,""),preDEL!AA535)</f>
        <v>0</v>
      </c>
      <c r="AB535" s="110" t="b">
        <f>IF(preDEL!$AG535,IFERROR(0/0,""),preDEL!AB535)</f>
        <v>0</v>
      </c>
      <c r="AC535" s="172">
        <f>IF(preDEL!$AG535,IFERROR(0/0,""),preDEL!AC535)</f>
        <v>278</v>
      </c>
      <c r="AD535" s="104" t="b">
        <f>IF(preDEL!$AG535,IFERROR(0/0,""),preDEL!AD535)</f>
        <v>0</v>
      </c>
      <c r="AE535" s="173">
        <f>IF(preDEL!$AG535,IFERROR(0/0,""),preDEL!AE535)</f>
        <v>244.1333333</v>
      </c>
      <c r="AF535" s="110" t="b">
        <f>IF(preDEL!$AG535,IFERROR(0/0,""),preDEL!AF535)</f>
        <v>0</v>
      </c>
      <c r="AG535" s="110" t="b">
        <f>IF(preDEL!$AG535,IFERROR(0/0,""),preDEL!AG535)</f>
        <v>0</v>
      </c>
      <c r="AH535" s="104" t="str">
        <f>IF(preDEL!$AG535,IFERROR(0/0,""),preDEL!AH535)</f>
        <v/>
      </c>
      <c r="AI535" s="105" t="str">
        <f>IF(preDEL!$AG535,IFERROR(0/0,""),preDEL!AI535)</f>
        <v/>
      </c>
      <c r="AJ535" s="112">
        <f>IF(preDEL!$AG535,IFERROR(0/0,""),preDEL!AJ535)</f>
        <v>2.7</v>
      </c>
      <c r="AK535" s="105" t="str">
        <f>IF(preDEL!$AG535,IFERROR(0/0,""),preDEL!AK535)</f>
        <v>Negative</v>
      </c>
      <c r="AL535" s="112" t="str">
        <f>IF(preDEL!$AG535,IFERROR(0/0,""),preDEL!AL535)</f>
        <v>Pos to Neg based on RFR - checked image and entire batch mis-called</v>
      </c>
      <c r="AM535" s="112" t="str">
        <f>IF(preDEL!$AG535,IFERROR(0/0,""),preDEL!AM535)</f>
        <v>SpBEND436062</v>
      </c>
      <c r="AN535" s="112" t="str">
        <f>IF(preDEL!$AG535,IFERROR(0/0,""),preDEL!AN535)</f>
        <v>BEND190541</v>
      </c>
      <c r="AO535" s="112" t="str">
        <f>IF(preDEL!$AG535,IFERROR(0/0,""),preDEL!AO535)</f>
        <v/>
      </c>
      <c r="AP535" s="112" t="str">
        <f>IF(preDEL!$AG535,IFERROR(0/0,""),preDEL!AP535)</f>
        <v/>
      </c>
      <c r="AQ535" s="112" t="str">
        <f>IF(preDEL!$AG535,IFERROR(0/0,""),preDEL!AQ535)</f>
        <v/>
      </c>
      <c r="AR535" s="112" t="str">
        <f>IF(preDEL!$AG535,IFERROR(0/0,""),preDEL!AR535)</f>
        <v/>
      </c>
      <c r="AS535" s="112" t="str">
        <f>IF(preDEL!$AG535,IFERROR(0/0,""),preDEL!AS535)</f>
        <v/>
      </c>
      <c r="AT535" s="112" t="b">
        <f>IF(preDEL!$AG535,IFERROR(0/0,""),preDEL!AT535)</f>
        <v>0</v>
      </c>
      <c r="AU535" s="112" t="str">
        <f>IF(preDEL!$AG535,IFERROR(0/0,""),preDEL!AU535)</f>
        <v/>
      </c>
      <c r="AV535" s="112" t="str">
        <f>IF(preDEL!$AG535,IFERROR(0/0,""),preDEL!AV535)</f>
        <v/>
      </c>
      <c r="AW535" s="112" t="str">
        <f>IF(preDEL!$AG535,IFERROR(0/0,""),preDEL!AW535)</f>
        <v/>
      </c>
      <c r="AX535" s="112" t="str">
        <f>IF(preDEL!$AG535,IFERROR(0/0,""),preDEL!AX535)</f>
        <v/>
      </c>
      <c r="AY535" s="112" t="str">
        <f>IF(preDEL!$AG535,IFERROR(0/0,""),preDEL!AY535)</f>
        <v/>
      </c>
      <c r="AZ535" s="174"/>
      <c r="BA535" s="174"/>
      <c r="BB535" s="174"/>
      <c r="BC535" s="174"/>
      <c r="BD535" s="174"/>
      <c r="BE535" s="174"/>
      <c r="BF535" s="174"/>
      <c r="BG535" s="174"/>
      <c r="BH535" s="174"/>
      <c r="BI535" s="174"/>
      <c r="BJ535" s="174"/>
      <c r="BK535" s="174"/>
      <c r="BL535" s="174"/>
      <c r="BM535" s="174"/>
      <c r="BN535" s="174"/>
      <c r="BO535" s="174"/>
      <c r="BP535" s="174"/>
      <c r="BQ535" s="174"/>
      <c r="BR535" s="174"/>
      <c r="BS535" s="174"/>
      <c r="BT535" s="174"/>
      <c r="BU535" s="174"/>
      <c r="BV535" s="174"/>
      <c r="BW535" s="174"/>
      <c r="BX535" s="174"/>
      <c r="BY535" s="174"/>
      <c r="BZ535" s="174"/>
      <c r="CA535" s="174"/>
      <c r="CB535" s="174"/>
      <c r="CC535" s="174"/>
      <c r="CD535" s="174"/>
    </row>
    <row r="536">
      <c r="A536" s="105" t="str">
        <f>IF(preDEL!$AG536,IFERROR(0/0,""),preDEL!A536)</f>
        <v>MA251</v>
      </c>
      <c r="B536" s="170">
        <f>IF(preDEL!$AG536,IFERROR(0/0,""),preDEL!B536)</f>
        <v>44615</v>
      </c>
      <c r="C536" s="171">
        <f>IF(preDEL!$AG536,IFERROR(0/0,""),preDEL!C536)</f>
        <v>0.3237962963</v>
      </c>
      <c r="D536" s="105" t="str">
        <f>IF(preDEL!$AG536,IFERROR(0/0,""),preDEL!D536)</f>
        <v/>
      </c>
      <c r="E536" s="105" t="str">
        <f>IF(preDEL!$AG536,IFERROR(0/0,""),preDEL!E536)</f>
        <v/>
      </c>
      <c r="F536" s="112" t="str">
        <f>IF(preDEL!$AG536,IFERROR(0/0,""),preDEL!F536)</f>
        <v/>
      </c>
      <c r="G536" s="112" t="str">
        <f>IF(preDEL!$AG536,IFERROR(0/0,""),preDEL!G536)</f>
        <v/>
      </c>
      <c r="H536" s="112" t="str">
        <f>IF(preDEL!$AG536,IFERROR(0/0,""),preDEL!H536)</f>
        <v/>
      </c>
      <c r="I536" s="105" t="str">
        <f>IF(preDEL!$AG536,IFERROR(0/0,""),preDEL!I536)</f>
        <v/>
      </c>
      <c r="J536" s="105" t="str">
        <f>IF(preDEL!$AG536,IFERROR(0/0,""),preDEL!J536)</f>
        <v/>
      </c>
      <c r="K536" s="105" t="str">
        <f>IF(preDEL!$AG536,IFERROR(0/0,""),preDEL!K536)</f>
        <v>Positive</v>
      </c>
      <c r="L536" s="170">
        <f>IF(preDEL!$AG536,IFERROR(0/0,""),preDEL!L536)</f>
        <v>44615</v>
      </c>
      <c r="M536" s="171">
        <f>IF(preDEL!$AG536,IFERROR(0/0,""),preDEL!M536)</f>
        <v>0.49125</v>
      </c>
      <c r="N536" s="112" t="str">
        <f>IF(preDEL!$AG536,IFERROR(0/0,""),preDEL!N536)</f>
        <v/>
      </c>
      <c r="O536" s="112" t="str">
        <f>IF(preDEL!$AG536,IFERROR(0/0,""),preDEL!O536)</f>
        <v/>
      </c>
      <c r="P536" s="110" t="b">
        <f>IF(preDEL!$AG536,IFERROR(0/0,""),preDEL!P536)</f>
        <v>0</v>
      </c>
      <c r="Q536" s="110" t="str">
        <f>IF(preDEL!$AG536,IFERROR(0/0,""),preDEL!Q536)</f>
        <v>Result</v>
      </c>
      <c r="R536" s="104" t="b">
        <f>IF(preDEL!$AG536,IFERROR(0/0,""),preDEL!R536)</f>
        <v>1</v>
      </c>
      <c r="S536" s="104">
        <f>IF(preDEL!$AG536,IFERROR(0/0,""),preDEL!S536)</f>
        <v>1</v>
      </c>
      <c r="T536" s="110" t="str">
        <f>IF(preDEL!$AG536,IFERROR(0/0,""),preDEL!T536)</f>
        <v/>
      </c>
      <c r="U536" s="112" t="str">
        <f>IF(preDEL!$AG536,IFERROR(0/0,""),preDEL!U536)</f>
        <v/>
      </c>
      <c r="V536" s="105" t="str">
        <f>IF(preDEL!$AG536,IFERROR(0/0,""),preDEL!V536)</f>
        <v/>
      </c>
      <c r="W536" s="112" t="str">
        <f>IF(preDEL!$AG536,IFERROR(0/0,""),preDEL!W536)</f>
        <v/>
      </c>
      <c r="X536" s="104" t="b">
        <f>IF(preDEL!$AG536,IFERROR(0/0,""),preDEL!X536)</f>
        <v>0</v>
      </c>
      <c r="Y536" s="110" t="b">
        <f>IF(preDEL!$AG536,IFERROR(0/0,""),preDEL!Y536)</f>
        <v>0</v>
      </c>
      <c r="Z536" s="105" t="str">
        <f>IF(preDEL!$AG536,IFERROR(0/0,""),preDEL!Z536)</f>
        <v/>
      </c>
      <c r="AA536" s="110" t="b">
        <f>IF(preDEL!$AG536,IFERROR(0/0,""),preDEL!AA536)</f>
        <v>0</v>
      </c>
      <c r="AB536" s="110" t="b">
        <f>IF(preDEL!$AG536,IFERROR(0/0,""),preDEL!AB536)</f>
        <v>0</v>
      </c>
      <c r="AC536" s="172">
        <f>IF(preDEL!$AG536,IFERROR(0/0,""),preDEL!AC536)</f>
        <v>277</v>
      </c>
      <c r="AD536" s="104" t="b">
        <f>IF(preDEL!$AG536,IFERROR(0/0,""),preDEL!AD536)</f>
        <v>0</v>
      </c>
      <c r="AE536" s="173">
        <f>IF(preDEL!$AG536,IFERROR(0/0,""),preDEL!AE536)</f>
        <v>241.1333333</v>
      </c>
      <c r="AF536" s="110" t="b">
        <f>IF(preDEL!$AG536,IFERROR(0/0,""),preDEL!AF536)</f>
        <v>0</v>
      </c>
      <c r="AG536" s="110" t="b">
        <f>IF(preDEL!$AG536,IFERROR(0/0,""),preDEL!AG536)</f>
        <v>0</v>
      </c>
      <c r="AH536" s="104" t="str">
        <f>IF(preDEL!$AG536,IFERROR(0/0,""),preDEL!AH536)</f>
        <v/>
      </c>
      <c r="AI536" s="105" t="str">
        <f>IF(preDEL!$AG536,IFERROR(0/0,""),preDEL!AI536)</f>
        <v/>
      </c>
      <c r="AJ536" s="112">
        <f>IF(preDEL!$AG536,IFERROR(0/0,""),preDEL!AJ536)</f>
        <v>2.7</v>
      </c>
      <c r="AK536" s="105" t="str">
        <f>IF(preDEL!$AG536,IFERROR(0/0,""),preDEL!AK536)</f>
        <v>Negative</v>
      </c>
      <c r="AL536" s="112" t="str">
        <f>IF(preDEL!$AG536,IFERROR(0/0,""),preDEL!AL536)</f>
        <v>Pos to Neg based on RFR - checked image and entire batch mis-called</v>
      </c>
      <c r="AM536" s="112" t="str">
        <f>IF(preDEL!$AG536,IFERROR(0/0,""),preDEL!AM536)</f>
        <v>SpBEND845509</v>
      </c>
      <c r="AN536" s="112" t="str">
        <f>IF(preDEL!$AG536,IFERROR(0/0,""),preDEL!AN536)</f>
        <v>BEND935806</v>
      </c>
      <c r="AO536" s="112" t="str">
        <f>IF(preDEL!$AG536,IFERROR(0/0,""),preDEL!AO536)</f>
        <v/>
      </c>
      <c r="AP536" s="112" t="str">
        <f>IF(preDEL!$AG536,IFERROR(0/0,""),preDEL!AP536)</f>
        <v/>
      </c>
      <c r="AQ536" s="112" t="str">
        <f>IF(preDEL!$AG536,IFERROR(0/0,""),preDEL!AQ536)</f>
        <v/>
      </c>
      <c r="AR536" s="112" t="str">
        <f>IF(preDEL!$AG536,IFERROR(0/0,""),preDEL!AR536)</f>
        <v/>
      </c>
      <c r="AS536" s="112" t="str">
        <f>IF(preDEL!$AG536,IFERROR(0/0,""),preDEL!AS536)</f>
        <v/>
      </c>
      <c r="AT536" s="112" t="b">
        <f>IF(preDEL!$AG536,IFERROR(0/0,""),preDEL!AT536)</f>
        <v>0</v>
      </c>
      <c r="AU536" s="112" t="str">
        <f>IF(preDEL!$AG536,IFERROR(0/0,""),preDEL!AU536)</f>
        <v/>
      </c>
      <c r="AV536" s="112" t="str">
        <f>IF(preDEL!$AG536,IFERROR(0/0,""),preDEL!AV536)</f>
        <v/>
      </c>
      <c r="AW536" s="112" t="str">
        <f>IF(preDEL!$AG536,IFERROR(0/0,""),preDEL!AW536)</f>
        <v/>
      </c>
      <c r="AX536" s="112" t="str">
        <f>IF(preDEL!$AG536,IFERROR(0/0,""),preDEL!AX536)</f>
        <v/>
      </c>
      <c r="AY536" s="112" t="str">
        <f>IF(preDEL!$AG536,IFERROR(0/0,""),preDEL!AY536)</f>
        <v/>
      </c>
      <c r="AZ536" s="174"/>
      <c r="BA536" s="174"/>
      <c r="BB536" s="174"/>
      <c r="BC536" s="174"/>
      <c r="BD536" s="174"/>
      <c r="BE536" s="174"/>
      <c r="BF536" s="174"/>
      <c r="BG536" s="174"/>
      <c r="BH536" s="174"/>
      <c r="BI536" s="174"/>
      <c r="BJ536" s="174"/>
      <c r="BK536" s="174"/>
      <c r="BL536" s="174"/>
      <c r="BM536" s="174"/>
      <c r="BN536" s="174"/>
      <c r="BO536" s="174"/>
      <c r="BP536" s="174"/>
      <c r="BQ536" s="174"/>
      <c r="BR536" s="174"/>
      <c r="BS536" s="174"/>
      <c r="BT536" s="174"/>
      <c r="BU536" s="174"/>
      <c r="BV536" s="174"/>
      <c r="BW536" s="174"/>
      <c r="BX536" s="174"/>
      <c r="BY536" s="174"/>
      <c r="BZ536" s="174"/>
      <c r="CA536" s="174"/>
      <c r="CB536" s="174"/>
      <c r="CC536" s="174"/>
      <c r="CD536" s="174"/>
    </row>
    <row r="537">
      <c r="A537" s="105" t="str">
        <f>IF(preDEL!$AG537,IFERROR(0/0,""),preDEL!A537)</f>
        <v>FM450</v>
      </c>
      <c r="B537" s="170">
        <f>IF(preDEL!$AG537,IFERROR(0/0,""),preDEL!B537)</f>
        <v>44615</v>
      </c>
      <c r="C537" s="171">
        <f>IF(preDEL!$AG537,IFERROR(0/0,""),preDEL!C537)</f>
        <v>0.3284375</v>
      </c>
      <c r="D537" s="105" t="str">
        <f>IF(preDEL!$AG537,IFERROR(0/0,""),preDEL!D537)</f>
        <v/>
      </c>
      <c r="E537" s="105" t="str">
        <f>IF(preDEL!$AG537,IFERROR(0/0,""),preDEL!E537)</f>
        <v/>
      </c>
      <c r="F537" s="112" t="str">
        <f>IF(preDEL!$AG537,IFERROR(0/0,""),preDEL!F537)</f>
        <v/>
      </c>
      <c r="G537" s="112" t="str">
        <f>IF(preDEL!$AG537,IFERROR(0/0,""),preDEL!G537)</f>
        <v/>
      </c>
      <c r="H537" s="112" t="str">
        <f>IF(preDEL!$AG537,IFERROR(0/0,""),preDEL!H537)</f>
        <v/>
      </c>
      <c r="I537" s="105" t="str">
        <f>IF(preDEL!$AG537,IFERROR(0/0,""),preDEL!I537)</f>
        <v/>
      </c>
      <c r="J537" s="105" t="str">
        <f>IF(preDEL!$AG537,IFERROR(0/0,""),preDEL!J537)</f>
        <v/>
      </c>
      <c r="K537" s="105" t="str">
        <f>IF(preDEL!$AG537,IFERROR(0/0,""),preDEL!K537)</f>
        <v>Positive</v>
      </c>
      <c r="L537" s="170">
        <f>IF(preDEL!$AG537,IFERROR(0/0,""),preDEL!L537)</f>
        <v>44615</v>
      </c>
      <c r="M537" s="171">
        <f>IF(preDEL!$AG537,IFERROR(0/0,""),preDEL!M537)</f>
        <v>0.49125</v>
      </c>
      <c r="N537" s="112" t="str">
        <f>IF(preDEL!$AG537,IFERROR(0/0,""),preDEL!N537)</f>
        <v/>
      </c>
      <c r="O537" s="112" t="str">
        <f>IF(preDEL!$AG537,IFERROR(0/0,""),preDEL!O537)</f>
        <v/>
      </c>
      <c r="P537" s="110" t="b">
        <f>IF(preDEL!$AG537,IFERROR(0/0,""),preDEL!P537)</f>
        <v>0</v>
      </c>
      <c r="Q537" s="110" t="str">
        <f>IF(preDEL!$AG537,IFERROR(0/0,""),preDEL!Q537)</f>
        <v>Result</v>
      </c>
      <c r="R537" s="104" t="b">
        <f>IF(preDEL!$AG537,IFERROR(0/0,""),preDEL!R537)</f>
        <v>1</v>
      </c>
      <c r="S537" s="104">
        <f>IF(preDEL!$AG537,IFERROR(0/0,""),preDEL!S537)</f>
        <v>1</v>
      </c>
      <c r="T537" s="110" t="str">
        <f>IF(preDEL!$AG537,IFERROR(0/0,""),preDEL!T537)</f>
        <v/>
      </c>
      <c r="U537" s="112" t="str">
        <f>IF(preDEL!$AG537,IFERROR(0/0,""),preDEL!U537)</f>
        <v/>
      </c>
      <c r="V537" s="105" t="str">
        <f>IF(preDEL!$AG537,IFERROR(0/0,""),preDEL!V537)</f>
        <v/>
      </c>
      <c r="W537" s="112" t="str">
        <f>IF(preDEL!$AG537,IFERROR(0/0,""),preDEL!W537)</f>
        <v/>
      </c>
      <c r="X537" s="104" t="b">
        <f>IF(preDEL!$AG537,IFERROR(0/0,""),preDEL!X537)</f>
        <v>0</v>
      </c>
      <c r="Y537" s="110" t="b">
        <f>IF(preDEL!$AG537,IFERROR(0/0,""),preDEL!Y537)</f>
        <v>0</v>
      </c>
      <c r="Z537" s="105" t="str">
        <f>IF(preDEL!$AG537,IFERROR(0/0,""),preDEL!Z537)</f>
        <v/>
      </c>
      <c r="AA537" s="110" t="b">
        <f>IF(preDEL!$AG537,IFERROR(0/0,""),preDEL!AA537)</f>
        <v>0</v>
      </c>
      <c r="AB537" s="110" t="b">
        <f>IF(preDEL!$AG537,IFERROR(0/0,""),preDEL!AB537)</f>
        <v>0</v>
      </c>
      <c r="AC537" s="172">
        <f>IF(preDEL!$AG537,IFERROR(0/0,""),preDEL!AC537)</f>
        <v>276</v>
      </c>
      <c r="AD537" s="104" t="b">
        <f>IF(preDEL!$AG537,IFERROR(0/0,""),preDEL!AD537)</f>
        <v>0</v>
      </c>
      <c r="AE537" s="173">
        <f>IF(preDEL!$AG537,IFERROR(0/0,""),preDEL!AE537)</f>
        <v>234.45</v>
      </c>
      <c r="AF537" s="110" t="b">
        <f>IF(preDEL!$AG537,IFERROR(0/0,""),preDEL!AF537)</f>
        <v>0</v>
      </c>
      <c r="AG537" s="110" t="b">
        <f>IF(preDEL!$AG537,IFERROR(0/0,""),preDEL!AG537)</f>
        <v>0</v>
      </c>
      <c r="AH537" s="104" t="str">
        <f>IF(preDEL!$AG537,IFERROR(0/0,""),preDEL!AH537)</f>
        <v/>
      </c>
      <c r="AI537" s="105" t="str">
        <f>IF(preDEL!$AG537,IFERROR(0/0,""),preDEL!AI537)</f>
        <v/>
      </c>
      <c r="AJ537" s="112">
        <f>IF(preDEL!$AG537,IFERROR(0/0,""),preDEL!AJ537)</f>
        <v>2.7</v>
      </c>
      <c r="AK537" s="105" t="str">
        <f>IF(preDEL!$AG537,IFERROR(0/0,""),preDEL!AK537)</f>
        <v>Negative</v>
      </c>
      <c r="AL537" s="112" t="str">
        <f>IF(preDEL!$AG537,IFERROR(0/0,""),preDEL!AL537)</f>
        <v>Pos to Neg based on RFR - checked image and entire batch mis-called</v>
      </c>
      <c r="AM537" s="112" t="str">
        <f>IF(preDEL!$AG537,IFERROR(0/0,""),preDEL!AM537)</f>
        <v>SpBEND214692</v>
      </c>
      <c r="AN537" s="112" t="str">
        <f>IF(preDEL!$AG537,IFERROR(0/0,""),preDEL!AN537)</f>
        <v>BEND886978</v>
      </c>
      <c r="AO537" s="112" t="str">
        <f>IF(preDEL!$AG537,IFERROR(0/0,""),preDEL!AO537)</f>
        <v/>
      </c>
      <c r="AP537" s="112" t="str">
        <f>IF(preDEL!$AG537,IFERROR(0/0,""),preDEL!AP537)</f>
        <v/>
      </c>
      <c r="AQ537" s="112" t="str">
        <f>IF(preDEL!$AG537,IFERROR(0/0,""),preDEL!AQ537)</f>
        <v/>
      </c>
      <c r="AR537" s="112" t="str">
        <f>IF(preDEL!$AG537,IFERROR(0/0,""),preDEL!AR537)</f>
        <v/>
      </c>
      <c r="AS537" s="112" t="str">
        <f>IF(preDEL!$AG537,IFERROR(0/0,""),preDEL!AS537)</f>
        <v/>
      </c>
      <c r="AT537" s="112" t="b">
        <f>IF(preDEL!$AG537,IFERROR(0/0,""),preDEL!AT537)</f>
        <v>0</v>
      </c>
      <c r="AU537" s="112" t="str">
        <f>IF(preDEL!$AG537,IFERROR(0/0,""),preDEL!AU537)</f>
        <v/>
      </c>
      <c r="AV537" s="112" t="str">
        <f>IF(preDEL!$AG537,IFERROR(0/0,""),preDEL!AV537)</f>
        <v/>
      </c>
      <c r="AW537" s="112" t="str">
        <f>IF(preDEL!$AG537,IFERROR(0/0,""),preDEL!AW537)</f>
        <v/>
      </c>
      <c r="AX537" s="112" t="str">
        <f>IF(preDEL!$AG537,IFERROR(0/0,""),preDEL!AX537)</f>
        <v/>
      </c>
      <c r="AY537" s="112" t="str">
        <f>IF(preDEL!$AG537,IFERROR(0/0,""),preDEL!AY537)</f>
        <v/>
      </c>
      <c r="AZ537" s="174"/>
      <c r="BA537" s="174"/>
      <c r="BB537" s="174"/>
      <c r="BC537" s="174"/>
      <c r="BD537" s="174"/>
      <c r="BE537" s="174"/>
      <c r="BF537" s="174"/>
      <c r="BG537" s="174"/>
      <c r="BH537" s="174"/>
      <c r="BI537" s="174"/>
      <c r="BJ537" s="174"/>
      <c r="BK537" s="174"/>
      <c r="BL537" s="174"/>
      <c r="BM537" s="174"/>
      <c r="BN537" s="174"/>
      <c r="BO537" s="174"/>
      <c r="BP537" s="174"/>
      <c r="BQ537" s="174"/>
      <c r="BR537" s="174"/>
      <c r="BS537" s="174"/>
      <c r="BT537" s="174"/>
      <c r="BU537" s="174"/>
      <c r="BV537" s="174"/>
      <c r="BW537" s="174"/>
      <c r="BX537" s="174"/>
      <c r="BY537" s="174"/>
      <c r="BZ537" s="174"/>
      <c r="CA537" s="174"/>
      <c r="CB537" s="174"/>
      <c r="CC537" s="174"/>
      <c r="CD537" s="174"/>
    </row>
    <row r="538">
      <c r="A538" s="105" t="str">
        <f>IF(preDEL!$AG538,IFERROR(0/0,""),preDEL!A538)</f>
        <v>FM976</v>
      </c>
      <c r="B538" s="170">
        <f>IF(preDEL!$AG538,IFERROR(0/0,""),preDEL!B538)</f>
        <v>44615</v>
      </c>
      <c r="C538" s="171">
        <f>IF(preDEL!$AG538,IFERROR(0/0,""),preDEL!C538)</f>
        <v>0.33125</v>
      </c>
      <c r="D538" s="105" t="str">
        <f>IF(preDEL!$AG538,IFERROR(0/0,""),preDEL!D538)</f>
        <v/>
      </c>
      <c r="E538" s="105" t="str">
        <f>IF(preDEL!$AG538,IFERROR(0/0,""),preDEL!E538)</f>
        <v/>
      </c>
      <c r="F538" s="112" t="str">
        <f>IF(preDEL!$AG538,IFERROR(0/0,""),preDEL!F538)</f>
        <v/>
      </c>
      <c r="G538" s="112" t="str">
        <f>IF(preDEL!$AG538,IFERROR(0/0,""),preDEL!G538)</f>
        <v/>
      </c>
      <c r="H538" s="112" t="str">
        <f>IF(preDEL!$AG538,IFERROR(0/0,""),preDEL!H538)</f>
        <v/>
      </c>
      <c r="I538" s="105" t="str">
        <f>IF(preDEL!$AG538,IFERROR(0/0,""),preDEL!I538)</f>
        <v/>
      </c>
      <c r="J538" s="105" t="str">
        <f>IF(preDEL!$AG538,IFERROR(0/0,""),preDEL!J538)</f>
        <v/>
      </c>
      <c r="K538" s="105" t="str">
        <f>IF(preDEL!$AG538,IFERROR(0/0,""),preDEL!K538)</f>
        <v>Positive</v>
      </c>
      <c r="L538" s="170">
        <f>IF(preDEL!$AG538,IFERROR(0/0,""),preDEL!L538)</f>
        <v>44615</v>
      </c>
      <c r="M538" s="171">
        <f>IF(preDEL!$AG538,IFERROR(0/0,""),preDEL!M538)</f>
        <v>0.49125</v>
      </c>
      <c r="N538" s="112" t="str">
        <f>IF(preDEL!$AG538,IFERROR(0/0,""),preDEL!N538)</f>
        <v/>
      </c>
      <c r="O538" s="112" t="str">
        <f>IF(preDEL!$AG538,IFERROR(0/0,""),preDEL!O538)</f>
        <v/>
      </c>
      <c r="P538" s="110" t="b">
        <f>IF(preDEL!$AG538,IFERROR(0/0,""),preDEL!P538)</f>
        <v>0</v>
      </c>
      <c r="Q538" s="110" t="str">
        <f>IF(preDEL!$AG538,IFERROR(0/0,""),preDEL!Q538)</f>
        <v>Result</v>
      </c>
      <c r="R538" s="104" t="b">
        <f>IF(preDEL!$AG538,IFERROR(0/0,""),preDEL!R538)</f>
        <v>1</v>
      </c>
      <c r="S538" s="104">
        <f>IF(preDEL!$AG538,IFERROR(0/0,""),preDEL!S538)</f>
        <v>1</v>
      </c>
      <c r="T538" s="110" t="str">
        <f>IF(preDEL!$AG538,IFERROR(0/0,""),preDEL!T538)</f>
        <v/>
      </c>
      <c r="U538" s="112" t="str">
        <f>IF(preDEL!$AG538,IFERROR(0/0,""),preDEL!U538)</f>
        <v/>
      </c>
      <c r="V538" s="105" t="str">
        <f>IF(preDEL!$AG538,IFERROR(0/0,""),preDEL!V538)</f>
        <v/>
      </c>
      <c r="W538" s="112" t="str">
        <f>IF(preDEL!$AG538,IFERROR(0/0,""),preDEL!W538)</f>
        <v/>
      </c>
      <c r="X538" s="104" t="b">
        <f>IF(preDEL!$AG538,IFERROR(0/0,""),preDEL!X538)</f>
        <v>0</v>
      </c>
      <c r="Y538" s="110" t="b">
        <f>IF(preDEL!$AG538,IFERROR(0/0,""),preDEL!Y538)</f>
        <v>0</v>
      </c>
      <c r="Z538" s="105" t="str">
        <f>IF(preDEL!$AG538,IFERROR(0/0,""),preDEL!Z538)</f>
        <v/>
      </c>
      <c r="AA538" s="110" t="b">
        <f>IF(preDEL!$AG538,IFERROR(0/0,""),preDEL!AA538)</f>
        <v>0</v>
      </c>
      <c r="AB538" s="110" t="b">
        <f>IF(preDEL!$AG538,IFERROR(0/0,""),preDEL!AB538)</f>
        <v>0</v>
      </c>
      <c r="AC538" s="172">
        <f>IF(preDEL!$AG538,IFERROR(0/0,""),preDEL!AC538)</f>
        <v>275</v>
      </c>
      <c r="AD538" s="104" t="b">
        <f>IF(preDEL!$AG538,IFERROR(0/0,""),preDEL!AD538)</f>
        <v>0</v>
      </c>
      <c r="AE538" s="173">
        <f>IF(preDEL!$AG538,IFERROR(0/0,""),preDEL!AE538)</f>
        <v>230.4</v>
      </c>
      <c r="AF538" s="110" t="b">
        <f>IF(preDEL!$AG538,IFERROR(0/0,""),preDEL!AF538)</f>
        <v>0</v>
      </c>
      <c r="AG538" s="110" t="b">
        <f>IF(preDEL!$AG538,IFERROR(0/0,""),preDEL!AG538)</f>
        <v>0</v>
      </c>
      <c r="AH538" s="104" t="str">
        <f>IF(preDEL!$AG538,IFERROR(0/0,""),preDEL!AH538)</f>
        <v/>
      </c>
      <c r="AI538" s="105" t="str">
        <f>IF(preDEL!$AG538,IFERROR(0/0,""),preDEL!AI538)</f>
        <v/>
      </c>
      <c r="AJ538" s="112">
        <f>IF(preDEL!$AG538,IFERROR(0/0,""),preDEL!AJ538)</f>
        <v>2.7</v>
      </c>
      <c r="AK538" s="105" t="str">
        <f>IF(preDEL!$AG538,IFERROR(0/0,""),preDEL!AK538)</f>
        <v>Negative</v>
      </c>
      <c r="AL538" s="112" t="str">
        <f>IF(preDEL!$AG538,IFERROR(0/0,""),preDEL!AL538)</f>
        <v>Pos to Neg based on RFR - checked image and entire batch mis-called</v>
      </c>
      <c r="AM538" s="112" t="str">
        <f>IF(preDEL!$AG538,IFERROR(0/0,""),preDEL!AM538)</f>
        <v>SpBEND825522</v>
      </c>
      <c r="AN538" s="112" t="str">
        <f>IF(preDEL!$AG538,IFERROR(0/0,""),preDEL!AN538)</f>
        <v>BEND140857</v>
      </c>
      <c r="AO538" s="112" t="str">
        <f>IF(preDEL!$AG538,IFERROR(0/0,""),preDEL!AO538)</f>
        <v/>
      </c>
      <c r="AP538" s="112" t="str">
        <f>IF(preDEL!$AG538,IFERROR(0/0,""),preDEL!AP538)</f>
        <v/>
      </c>
      <c r="AQ538" s="112" t="str">
        <f>IF(preDEL!$AG538,IFERROR(0/0,""),preDEL!AQ538)</f>
        <v/>
      </c>
      <c r="AR538" s="112" t="str">
        <f>IF(preDEL!$AG538,IFERROR(0/0,""),preDEL!AR538)</f>
        <v/>
      </c>
      <c r="AS538" s="112" t="str">
        <f>IF(preDEL!$AG538,IFERROR(0/0,""),preDEL!AS538)</f>
        <v/>
      </c>
      <c r="AT538" s="112" t="b">
        <f>IF(preDEL!$AG538,IFERROR(0/0,""),preDEL!AT538)</f>
        <v>0</v>
      </c>
      <c r="AU538" s="112" t="str">
        <f>IF(preDEL!$AG538,IFERROR(0/0,""),preDEL!AU538)</f>
        <v/>
      </c>
      <c r="AV538" s="112" t="str">
        <f>IF(preDEL!$AG538,IFERROR(0/0,""),preDEL!AV538)</f>
        <v/>
      </c>
      <c r="AW538" s="112" t="str">
        <f>IF(preDEL!$AG538,IFERROR(0/0,""),preDEL!AW538)</f>
        <v/>
      </c>
      <c r="AX538" s="112" t="str">
        <f>IF(preDEL!$AG538,IFERROR(0/0,""),preDEL!AX538)</f>
        <v/>
      </c>
      <c r="AY538" s="112" t="str">
        <f>IF(preDEL!$AG538,IFERROR(0/0,""),preDEL!AY538)</f>
        <v/>
      </c>
      <c r="AZ538" s="174"/>
      <c r="BA538" s="174"/>
      <c r="BB538" s="174"/>
      <c r="BC538" s="174"/>
      <c r="BD538" s="174"/>
      <c r="BE538" s="174"/>
      <c r="BF538" s="174"/>
      <c r="BG538" s="174"/>
      <c r="BH538" s="174"/>
      <c r="BI538" s="174"/>
      <c r="BJ538" s="174"/>
      <c r="BK538" s="174"/>
      <c r="BL538" s="174"/>
      <c r="BM538" s="174"/>
      <c r="BN538" s="174"/>
      <c r="BO538" s="174"/>
      <c r="BP538" s="174"/>
      <c r="BQ538" s="174"/>
      <c r="BR538" s="174"/>
      <c r="BS538" s="174"/>
      <c r="BT538" s="174"/>
      <c r="BU538" s="174"/>
      <c r="BV538" s="174"/>
      <c r="BW538" s="174"/>
      <c r="BX538" s="174"/>
      <c r="BY538" s="174"/>
      <c r="BZ538" s="174"/>
      <c r="CA538" s="174"/>
      <c r="CB538" s="174"/>
      <c r="CC538" s="174"/>
      <c r="CD538" s="174"/>
    </row>
    <row r="539">
      <c r="A539" s="105" t="str">
        <f>IF(preDEL!$AG539,IFERROR(0/0,""),preDEL!A539)</f>
        <v>MA616</v>
      </c>
      <c r="B539" s="170">
        <f>IF(preDEL!$AG539,IFERROR(0/0,""),preDEL!B539)</f>
        <v>44615</v>
      </c>
      <c r="C539" s="171">
        <f>IF(preDEL!$AG539,IFERROR(0/0,""),preDEL!C539)</f>
        <v>0.3322569444</v>
      </c>
      <c r="D539" s="105" t="str">
        <f>IF(preDEL!$AG539,IFERROR(0/0,""),preDEL!D539)</f>
        <v/>
      </c>
      <c r="E539" s="105" t="str">
        <f>IF(preDEL!$AG539,IFERROR(0/0,""),preDEL!E539)</f>
        <v/>
      </c>
      <c r="F539" s="112" t="str">
        <f>IF(preDEL!$AG539,IFERROR(0/0,""),preDEL!F539)</f>
        <v/>
      </c>
      <c r="G539" s="112" t="str">
        <f>IF(preDEL!$AG539,IFERROR(0/0,""),preDEL!G539)</f>
        <v/>
      </c>
      <c r="H539" s="112" t="str">
        <f>IF(preDEL!$AG539,IFERROR(0/0,""),preDEL!H539)</f>
        <v/>
      </c>
      <c r="I539" s="105" t="str">
        <f>IF(preDEL!$AG539,IFERROR(0/0,""),preDEL!I539)</f>
        <v/>
      </c>
      <c r="J539" s="105" t="str">
        <f>IF(preDEL!$AG539,IFERROR(0/0,""),preDEL!J539)</f>
        <v/>
      </c>
      <c r="K539" s="105" t="str">
        <f>IF(preDEL!$AG539,IFERROR(0/0,""),preDEL!K539)</f>
        <v>Positive</v>
      </c>
      <c r="L539" s="170">
        <f>IF(preDEL!$AG539,IFERROR(0/0,""),preDEL!L539)</f>
        <v>44615</v>
      </c>
      <c r="M539" s="171">
        <f>IF(preDEL!$AG539,IFERROR(0/0,""),preDEL!M539)</f>
        <v>0.49125</v>
      </c>
      <c r="N539" s="112" t="str">
        <f>IF(preDEL!$AG539,IFERROR(0/0,""),preDEL!N539)</f>
        <v/>
      </c>
      <c r="O539" s="112" t="str">
        <f>IF(preDEL!$AG539,IFERROR(0/0,""),preDEL!O539)</f>
        <v/>
      </c>
      <c r="P539" s="110" t="b">
        <f>IF(preDEL!$AG539,IFERROR(0/0,""),preDEL!P539)</f>
        <v>0</v>
      </c>
      <c r="Q539" s="110" t="str">
        <f>IF(preDEL!$AG539,IFERROR(0/0,""),preDEL!Q539)</f>
        <v>Result</v>
      </c>
      <c r="R539" s="104" t="b">
        <f>IF(preDEL!$AG539,IFERROR(0/0,""),preDEL!R539)</f>
        <v>1</v>
      </c>
      <c r="S539" s="104">
        <f>IF(preDEL!$AG539,IFERROR(0/0,""),preDEL!S539)</f>
        <v>1</v>
      </c>
      <c r="T539" s="110" t="str">
        <f>IF(preDEL!$AG539,IFERROR(0/0,""),preDEL!T539)</f>
        <v/>
      </c>
      <c r="U539" s="112" t="str">
        <f>IF(preDEL!$AG539,IFERROR(0/0,""),preDEL!U539)</f>
        <v/>
      </c>
      <c r="V539" s="105" t="str">
        <f>IF(preDEL!$AG539,IFERROR(0/0,""),preDEL!V539)</f>
        <v/>
      </c>
      <c r="W539" s="112" t="str">
        <f>IF(preDEL!$AG539,IFERROR(0/0,""),preDEL!W539)</f>
        <v/>
      </c>
      <c r="X539" s="104" t="b">
        <f>IF(preDEL!$AG539,IFERROR(0/0,""),preDEL!X539)</f>
        <v>0</v>
      </c>
      <c r="Y539" s="110" t="b">
        <f>IF(preDEL!$AG539,IFERROR(0/0,""),preDEL!Y539)</f>
        <v>0</v>
      </c>
      <c r="Z539" s="105" t="str">
        <f>IF(preDEL!$AG539,IFERROR(0/0,""),preDEL!Z539)</f>
        <v/>
      </c>
      <c r="AA539" s="110" t="b">
        <f>IF(preDEL!$AG539,IFERROR(0/0,""),preDEL!AA539)</f>
        <v>0</v>
      </c>
      <c r="AB539" s="110" t="b">
        <f>IF(preDEL!$AG539,IFERROR(0/0,""),preDEL!AB539)</f>
        <v>0</v>
      </c>
      <c r="AC539" s="172">
        <f>IF(preDEL!$AG539,IFERROR(0/0,""),preDEL!AC539)</f>
        <v>274</v>
      </c>
      <c r="AD539" s="104" t="b">
        <f>IF(preDEL!$AG539,IFERROR(0/0,""),preDEL!AD539)</f>
        <v>0</v>
      </c>
      <c r="AE539" s="173">
        <f>IF(preDEL!$AG539,IFERROR(0/0,""),preDEL!AE539)</f>
        <v>228.95</v>
      </c>
      <c r="AF539" s="110" t="b">
        <f>IF(preDEL!$AG539,IFERROR(0/0,""),preDEL!AF539)</f>
        <v>0</v>
      </c>
      <c r="AG539" s="110" t="b">
        <f>IF(preDEL!$AG539,IFERROR(0/0,""),preDEL!AG539)</f>
        <v>0</v>
      </c>
      <c r="AH539" s="104" t="str">
        <f>IF(preDEL!$AG539,IFERROR(0/0,""),preDEL!AH539)</f>
        <v/>
      </c>
      <c r="AI539" s="105" t="str">
        <f>IF(preDEL!$AG539,IFERROR(0/0,""),preDEL!AI539)</f>
        <v/>
      </c>
      <c r="AJ539" s="112">
        <f>IF(preDEL!$AG539,IFERROR(0/0,""),preDEL!AJ539)</f>
        <v>2.7</v>
      </c>
      <c r="AK539" s="105" t="str">
        <f>IF(preDEL!$AG539,IFERROR(0/0,""),preDEL!AK539)</f>
        <v>Negative</v>
      </c>
      <c r="AL539" s="112" t="str">
        <f>IF(preDEL!$AG539,IFERROR(0/0,""),preDEL!AL539)</f>
        <v>Pos to Neg based on RFR - checked image and entire batch mis-called</v>
      </c>
      <c r="AM539" s="112" t="str">
        <f>IF(preDEL!$AG539,IFERROR(0/0,""),preDEL!AM539)</f>
        <v>SpBEND331858</v>
      </c>
      <c r="AN539" s="112" t="str">
        <f>IF(preDEL!$AG539,IFERROR(0/0,""),preDEL!AN539)</f>
        <v>BEND886229</v>
      </c>
      <c r="AO539" s="112" t="str">
        <f>IF(preDEL!$AG539,IFERROR(0/0,""),preDEL!AO539)</f>
        <v/>
      </c>
      <c r="AP539" s="112" t="str">
        <f>IF(preDEL!$AG539,IFERROR(0/0,""),preDEL!AP539)</f>
        <v/>
      </c>
      <c r="AQ539" s="112" t="str">
        <f>IF(preDEL!$AG539,IFERROR(0/0,""),preDEL!AQ539)</f>
        <v/>
      </c>
      <c r="AR539" s="112" t="str">
        <f>IF(preDEL!$AG539,IFERROR(0/0,""),preDEL!AR539)</f>
        <v/>
      </c>
      <c r="AS539" s="112" t="str">
        <f>IF(preDEL!$AG539,IFERROR(0/0,""),preDEL!AS539)</f>
        <v/>
      </c>
      <c r="AT539" s="112" t="b">
        <f>IF(preDEL!$AG539,IFERROR(0/0,""),preDEL!AT539)</f>
        <v>0</v>
      </c>
      <c r="AU539" s="112" t="str">
        <f>IF(preDEL!$AG539,IFERROR(0/0,""),preDEL!AU539)</f>
        <v/>
      </c>
      <c r="AV539" s="112" t="str">
        <f>IF(preDEL!$AG539,IFERROR(0/0,""),preDEL!AV539)</f>
        <v/>
      </c>
      <c r="AW539" s="112" t="str">
        <f>IF(preDEL!$AG539,IFERROR(0/0,""),preDEL!AW539)</f>
        <v/>
      </c>
      <c r="AX539" s="112" t="str">
        <f>IF(preDEL!$AG539,IFERROR(0/0,""),preDEL!AX539)</f>
        <v/>
      </c>
      <c r="AY539" s="112" t="str">
        <f>IF(preDEL!$AG539,IFERROR(0/0,""),preDEL!AY539)</f>
        <v/>
      </c>
      <c r="AZ539" s="174"/>
      <c r="BA539" s="174"/>
      <c r="BB539" s="174"/>
      <c r="BC539" s="174"/>
      <c r="BD539" s="174"/>
      <c r="BE539" s="174"/>
      <c r="BF539" s="174"/>
      <c r="BG539" s="174"/>
      <c r="BH539" s="174"/>
      <c r="BI539" s="174"/>
      <c r="BJ539" s="174"/>
      <c r="BK539" s="174"/>
      <c r="BL539" s="174"/>
      <c r="BM539" s="174"/>
      <c r="BN539" s="174"/>
      <c r="BO539" s="174"/>
      <c r="BP539" s="174"/>
      <c r="BQ539" s="174"/>
      <c r="BR539" s="174"/>
      <c r="BS539" s="174"/>
      <c r="BT539" s="174"/>
      <c r="BU539" s="174"/>
      <c r="BV539" s="174"/>
      <c r="BW539" s="174"/>
      <c r="BX539" s="174"/>
      <c r="BY539" s="174"/>
      <c r="BZ539" s="174"/>
      <c r="CA539" s="174"/>
      <c r="CB539" s="174"/>
      <c r="CC539" s="174"/>
      <c r="CD539" s="174"/>
    </row>
    <row r="540">
      <c r="A540" s="105" t="str">
        <f>IF(preDEL!$AG540,IFERROR(0/0,""),preDEL!A540)</f>
        <v>MA1041</v>
      </c>
      <c r="B540" s="170">
        <f>IF(preDEL!$AG540,IFERROR(0/0,""),preDEL!B540)</f>
        <v>44615</v>
      </c>
      <c r="C540" s="171">
        <f>IF(preDEL!$AG540,IFERROR(0/0,""),preDEL!C540)</f>
        <v>0.3323148148</v>
      </c>
      <c r="D540" s="105" t="str">
        <f>IF(preDEL!$AG540,IFERROR(0/0,""),preDEL!D540)</f>
        <v/>
      </c>
      <c r="E540" s="105" t="str">
        <f>IF(preDEL!$AG540,IFERROR(0/0,""),preDEL!E540)</f>
        <v/>
      </c>
      <c r="F540" s="112" t="str">
        <f>IF(preDEL!$AG540,IFERROR(0/0,""),preDEL!F540)</f>
        <v/>
      </c>
      <c r="G540" s="112" t="str">
        <f>IF(preDEL!$AG540,IFERROR(0/0,""),preDEL!G540)</f>
        <v/>
      </c>
      <c r="H540" s="112" t="str">
        <f>IF(preDEL!$AG540,IFERROR(0/0,""),preDEL!H540)</f>
        <v/>
      </c>
      <c r="I540" s="105" t="str">
        <f>IF(preDEL!$AG540,IFERROR(0/0,""),preDEL!I540)</f>
        <v/>
      </c>
      <c r="J540" s="105" t="str">
        <f>IF(preDEL!$AG540,IFERROR(0/0,""),preDEL!J540)</f>
        <v/>
      </c>
      <c r="K540" s="105" t="str">
        <f>IF(preDEL!$AG540,IFERROR(0/0,""),preDEL!K540)</f>
        <v>Positive</v>
      </c>
      <c r="L540" s="170">
        <f>IF(preDEL!$AG540,IFERROR(0/0,""),preDEL!L540)</f>
        <v>44615</v>
      </c>
      <c r="M540" s="171">
        <f>IF(preDEL!$AG540,IFERROR(0/0,""),preDEL!M540)</f>
        <v>0.49125</v>
      </c>
      <c r="N540" s="112" t="str">
        <f>IF(preDEL!$AG540,IFERROR(0/0,""),preDEL!N540)</f>
        <v/>
      </c>
      <c r="O540" s="112" t="str">
        <f>IF(preDEL!$AG540,IFERROR(0/0,""),preDEL!O540)</f>
        <v/>
      </c>
      <c r="P540" s="110" t="b">
        <f>IF(preDEL!$AG540,IFERROR(0/0,""),preDEL!P540)</f>
        <v>0</v>
      </c>
      <c r="Q540" s="110" t="str">
        <f>IF(preDEL!$AG540,IFERROR(0/0,""),preDEL!Q540)</f>
        <v>Result</v>
      </c>
      <c r="R540" s="104" t="b">
        <f>IF(preDEL!$AG540,IFERROR(0/0,""),preDEL!R540)</f>
        <v>1</v>
      </c>
      <c r="S540" s="104">
        <f>IF(preDEL!$AG540,IFERROR(0/0,""),preDEL!S540)</f>
        <v>1</v>
      </c>
      <c r="T540" s="110" t="str">
        <f>IF(preDEL!$AG540,IFERROR(0/0,""),preDEL!T540)</f>
        <v/>
      </c>
      <c r="U540" s="112" t="str">
        <f>IF(preDEL!$AG540,IFERROR(0/0,""),preDEL!U540)</f>
        <v/>
      </c>
      <c r="V540" s="105" t="str">
        <f>IF(preDEL!$AG540,IFERROR(0/0,""),preDEL!V540)</f>
        <v/>
      </c>
      <c r="W540" s="112" t="str">
        <f>IF(preDEL!$AG540,IFERROR(0/0,""),preDEL!W540)</f>
        <v/>
      </c>
      <c r="X540" s="104" t="b">
        <f>IF(preDEL!$AG540,IFERROR(0/0,""),preDEL!X540)</f>
        <v>0</v>
      </c>
      <c r="Y540" s="110" t="b">
        <f>IF(preDEL!$AG540,IFERROR(0/0,""),preDEL!Y540)</f>
        <v>0</v>
      </c>
      <c r="Z540" s="105" t="str">
        <f>IF(preDEL!$AG540,IFERROR(0/0,""),preDEL!Z540)</f>
        <v/>
      </c>
      <c r="AA540" s="110" t="b">
        <f>IF(preDEL!$AG540,IFERROR(0/0,""),preDEL!AA540)</f>
        <v>0</v>
      </c>
      <c r="AB540" s="110" t="b">
        <f>IF(preDEL!$AG540,IFERROR(0/0,""),preDEL!AB540)</f>
        <v>0</v>
      </c>
      <c r="AC540" s="172">
        <f>IF(preDEL!$AG540,IFERROR(0/0,""),preDEL!AC540)</f>
        <v>273</v>
      </c>
      <c r="AD540" s="104" t="b">
        <f>IF(preDEL!$AG540,IFERROR(0/0,""),preDEL!AD540)</f>
        <v>0</v>
      </c>
      <c r="AE540" s="173">
        <f>IF(preDEL!$AG540,IFERROR(0/0,""),preDEL!AE540)</f>
        <v>228.8666667</v>
      </c>
      <c r="AF540" s="110" t="b">
        <f>IF(preDEL!$AG540,IFERROR(0/0,""),preDEL!AF540)</f>
        <v>0</v>
      </c>
      <c r="AG540" s="110" t="b">
        <f>IF(preDEL!$AG540,IFERROR(0/0,""),preDEL!AG540)</f>
        <v>0</v>
      </c>
      <c r="AH540" s="104" t="str">
        <f>IF(preDEL!$AG540,IFERROR(0/0,""),preDEL!AH540)</f>
        <v/>
      </c>
      <c r="AI540" s="105" t="str">
        <f>IF(preDEL!$AG540,IFERROR(0/0,""),preDEL!AI540)</f>
        <v/>
      </c>
      <c r="AJ540" s="112">
        <f>IF(preDEL!$AG540,IFERROR(0/0,""),preDEL!AJ540)</f>
        <v>2.7</v>
      </c>
      <c r="AK540" s="105" t="str">
        <f>IF(preDEL!$AG540,IFERROR(0/0,""),preDEL!AK540)</f>
        <v>Negative</v>
      </c>
      <c r="AL540" s="112" t="str">
        <f>IF(preDEL!$AG540,IFERROR(0/0,""),preDEL!AL540)</f>
        <v>Pos to Neg based on RFR - checked image and entire batch mis-called</v>
      </c>
      <c r="AM540" s="112" t="str">
        <f>IF(preDEL!$AG540,IFERROR(0/0,""),preDEL!AM540)</f>
        <v>SpBEND445560</v>
      </c>
      <c r="AN540" s="112" t="str">
        <f>IF(preDEL!$AG540,IFERROR(0/0,""),preDEL!AN540)</f>
        <v>BEND470695</v>
      </c>
      <c r="AO540" s="112" t="str">
        <f>IF(preDEL!$AG540,IFERROR(0/0,""),preDEL!AO540)</f>
        <v/>
      </c>
      <c r="AP540" s="112" t="str">
        <f>IF(preDEL!$AG540,IFERROR(0/0,""),preDEL!AP540)</f>
        <v/>
      </c>
      <c r="AQ540" s="112" t="str">
        <f>IF(preDEL!$AG540,IFERROR(0/0,""),preDEL!AQ540)</f>
        <v/>
      </c>
      <c r="AR540" s="112" t="str">
        <f>IF(preDEL!$AG540,IFERROR(0/0,""),preDEL!AR540)</f>
        <v/>
      </c>
      <c r="AS540" s="112" t="str">
        <f>IF(preDEL!$AG540,IFERROR(0/0,""),preDEL!AS540)</f>
        <v/>
      </c>
      <c r="AT540" s="112" t="b">
        <f>IF(preDEL!$AG540,IFERROR(0/0,""),preDEL!AT540)</f>
        <v>0</v>
      </c>
      <c r="AU540" s="112" t="str">
        <f>IF(preDEL!$AG540,IFERROR(0/0,""),preDEL!AU540)</f>
        <v/>
      </c>
      <c r="AV540" s="112" t="str">
        <f>IF(preDEL!$AG540,IFERROR(0/0,""),preDEL!AV540)</f>
        <v/>
      </c>
      <c r="AW540" s="112" t="str">
        <f>IF(preDEL!$AG540,IFERROR(0/0,""),preDEL!AW540)</f>
        <v/>
      </c>
      <c r="AX540" s="112" t="str">
        <f>IF(preDEL!$AG540,IFERROR(0/0,""),preDEL!AX540)</f>
        <v/>
      </c>
      <c r="AY540" s="112" t="str">
        <f>IF(preDEL!$AG540,IFERROR(0/0,""),preDEL!AY540)</f>
        <v/>
      </c>
      <c r="AZ540" s="174"/>
      <c r="BA540" s="174"/>
      <c r="BB540" s="174"/>
      <c r="BC540" s="174"/>
      <c r="BD540" s="174"/>
      <c r="BE540" s="174"/>
      <c r="BF540" s="174"/>
      <c r="BG540" s="174"/>
      <c r="BH540" s="174"/>
      <c r="BI540" s="174"/>
      <c r="BJ540" s="174"/>
      <c r="BK540" s="174"/>
      <c r="BL540" s="174"/>
      <c r="BM540" s="174"/>
      <c r="BN540" s="174"/>
      <c r="BO540" s="174"/>
      <c r="BP540" s="174"/>
      <c r="BQ540" s="174"/>
      <c r="BR540" s="174"/>
      <c r="BS540" s="174"/>
      <c r="BT540" s="174"/>
      <c r="BU540" s="174"/>
      <c r="BV540" s="174"/>
      <c r="BW540" s="174"/>
      <c r="BX540" s="174"/>
      <c r="BY540" s="174"/>
      <c r="BZ540" s="174"/>
      <c r="CA540" s="174"/>
      <c r="CB540" s="174"/>
      <c r="CC540" s="174"/>
      <c r="CD540" s="174"/>
    </row>
    <row r="541">
      <c r="A541" s="105" t="str">
        <f>IF(preDEL!$AG541,IFERROR(0/0,""),preDEL!A541)</f>
        <v>MA1108</v>
      </c>
      <c r="B541" s="170">
        <f>IF(preDEL!$AG541,IFERROR(0/0,""),preDEL!B541)</f>
        <v>44615</v>
      </c>
      <c r="C541" s="171">
        <f>IF(preDEL!$AG541,IFERROR(0/0,""),preDEL!C541)</f>
        <v>0.3349074074</v>
      </c>
      <c r="D541" s="105" t="str">
        <f>IF(preDEL!$AG541,IFERROR(0/0,""),preDEL!D541)</f>
        <v/>
      </c>
      <c r="E541" s="105" t="str">
        <f>IF(preDEL!$AG541,IFERROR(0/0,""),preDEL!E541)</f>
        <v/>
      </c>
      <c r="F541" s="112" t="str">
        <f>IF(preDEL!$AG541,IFERROR(0/0,""),preDEL!F541)</f>
        <v/>
      </c>
      <c r="G541" s="112" t="str">
        <f>IF(preDEL!$AG541,IFERROR(0/0,""),preDEL!G541)</f>
        <v/>
      </c>
      <c r="H541" s="112" t="str">
        <f>IF(preDEL!$AG541,IFERROR(0/0,""),preDEL!H541)</f>
        <v/>
      </c>
      <c r="I541" s="105" t="str">
        <f>IF(preDEL!$AG541,IFERROR(0/0,""),preDEL!I541)</f>
        <v/>
      </c>
      <c r="J541" s="105" t="str">
        <f>IF(preDEL!$AG541,IFERROR(0/0,""),preDEL!J541)</f>
        <v/>
      </c>
      <c r="K541" s="105" t="str">
        <f>IF(preDEL!$AG541,IFERROR(0/0,""),preDEL!K541)</f>
        <v>Positive</v>
      </c>
      <c r="L541" s="170">
        <f>IF(preDEL!$AG541,IFERROR(0/0,""),preDEL!L541)</f>
        <v>44615</v>
      </c>
      <c r="M541" s="171">
        <f>IF(preDEL!$AG541,IFERROR(0/0,""),preDEL!M541)</f>
        <v>0.49125</v>
      </c>
      <c r="N541" s="112" t="str">
        <f>IF(preDEL!$AG541,IFERROR(0/0,""),preDEL!N541)</f>
        <v/>
      </c>
      <c r="O541" s="112" t="str">
        <f>IF(preDEL!$AG541,IFERROR(0/0,""),preDEL!O541)</f>
        <v/>
      </c>
      <c r="P541" s="110" t="b">
        <f>IF(preDEL!$AG541,IFERROR(0/0,""),preDEL!P541)</f>
        <v>0</v>
      </c>
      <c r="Q541" s="110" t="str">
        <f>IF(preDEL!$AG541,IFERROR(0/0,""),preDEL!Q541)</f>
        <v>Result</v>
      </c>
      <c r="R541" s="104" t="b">
        <f>IF(preDEL!$AG541,IFERROR(0/0,""),preDEL!R541)</f>
        <v>1</v>
      </c>
      <c r="S541" s="104">
        <f>IF(preDEL!$AG541,IFERROR(0/0,""),preDEL!S541)</f>
        <v>1</v>
      </c>
      <c r="T541" s="110" t="str">
        <f>IF(preDEL!$AG541,IFERROR(0/0,""),preDEL!T541)</f>
        <v/>
      </c>
      <c r="U541" s="112" t="str">
        <f>IF(preDEL!$AG541,IFERROR(0/0,""),preDEL!U541)</f>
        <v/>
      </c>
      <c r="V541" s="105" t="str">
        <f>IF(preDEL!$AG541,IFERROR(0/0,""),preDEL!V541)</f>
        <v/>
      </c>
      <c r="W541" s="112" t="str">
        <f>IF(preDEL!$AG541,IFERROR(0/0,""),preDEL!W541)</f>
        <v/>
      </c>
      <c r="X541" s="104" t="b">
        <f>IF(preDEL!$AG541,IFERROR(0/0,""),preDEL!X541)</f>
        <v>0</v>
      </c>
      <c r="Y541" s="110" t="b">
        <f>IF(preDEL!$AG541,IFERROR(0/0,""),preDEL!Y541)</f>
        <v>0</v>
      </c>
      <c r="Z541" s="105" t="str">
        <f>IF(preDEL!$AG541,IFERROR(0/0,""),preDEL!Z541)</f>
        <v/>
      </c>
      <c r="AA541" s="110" t="b">
        <f>IF(preDEL!$AG541,IFERROR(0/0,""),preDEL!AA541)</f>
        <v>0</v>
      </c>
      <c r="AB541" s="110" t="b">
        <f>IF(preDEL!$AG541,IFERROR(0/0,""),preDEL!AB541)</f>
        <v>0</v>
      </c>
      <c r="AC541" s="172">
        <f>IF(preDEL!$AG541,IFERROR(0/0,""),preDEL!AC541)</f>
        <v>272</v>
      </c>
      <c r="AD541" s="104" t="b">
        <f>IF(preDEL!$AG541,IFERROR(0/0,""),preDEL!AD541)</f>
        <v>0</v>
      </c>
      <c r="AE541" s="173">
        <f>IF(preDEL!$AG541,IFERROR(0/0,""),preDEL!AE541)</f>
        <v>225.1333333</v>
      </c>
      <c r="AF541" s="110" t="b">
        <f>IF(preDEL!$AG541,IFERROR(0/0,""),preDEL!AF541)</f>
        <v>0</v>
      </c>
      <c r="AG541" s="110" t="b">
        <f>IF(preDEL!$AG541,IFERROR(0/0,""),preDEL!AG541)</f>
        <v>0</v>
      </c>
      <c r="AH541" s="104" t="str">
        <f>IF(preDEL!$AG541,IFERROR(0/0,""),preDEL!AH541)</f>
        <v/>
      </c>
      <c r="AI541" s="105" t="str">
        <f>IF(preDEL!$AG541,IFERROR(0/0,""),preDEL!AI541)</f>
        <v/>
      </c>
      <c r="AJ541" s="112">
        <f>IF(preDEL!$AG541,IFERROR(0/0,""),preDEL!AJ541)</f>
        <v>2.7</v>
      </c>
      <c r="AK541" s="105" t="str">
        <f>IF(preDEL!$AG541,IFERROR(0/0,""),preDEL!AK541)</f>
        <v>Negative</v>
      </c>
      <c r="AL541" s="112" t="str">
        <f>IF(preDEL!$AG541,IFERROR(0/0,""),preDEL!AL541)</f>
        <v>Pos to Neg based on RFR - checked image and entire batch mis-called</v>
      </c>
      <c r="AM541" s="112" t="str">
        <f>IF(preDEL!$AG541,IFERROR(0/0,""),preDEL!AM541)</f>
        <v>SpBEND216695</v>
      </c>
      <c r="AN541" s="112" t="str">
        <f>IF(preDEL!$AG541,IFERROR(0/0,""),preDEL!AN541)</f>
        <v>BEND835613</v>
      </c>
      <c r="AO541" s="112" t="str">
        <f>IF(preDEL!$AG541,IFERROR(0/0,""),preDEL!AO541)</f>
        <v/>
      </c>
      <c r="AP541" s="112" t="str">
        <f>IF(preDEL!$AG541,IFERROR(0/0,""),preDEL!AP541)</f>
        <v/>
      </c>
      <c r="AQ541" s="112" t="str">
        <f>IF(preDEL!$AG541,IFERROR(0/0,""),preDEL!AQ541)</f>
        <v/>
      </c>
      <c r="AR541" s="112" t="str">
        <f>IF(preDEL!$AG541,IFERROR(0/0,""),preDEL!AR541)</f>
        <v/>
      </c>
      <c r="AS541" s="112" t="str">
        <f>IF(preDEL!$AG541,IFERROR(0/0,""),preDEL!AS541)</f>
        <v/>
      </c>
      <c r="AT541" s="112" t="b">
        <f>IF(preDEL!$AG541,IFERROR(0/0,""),preDEL!AT541)</f>
        <v>0</v>
      </c>
      <c r="AU541" s="112" t="str">
        <f>IF(preDEL!$AG541,IFERROR(0/0,""),preDEL!AU541)</f>
        <v/>
      </c>
      <c r="AV541" s="112" t="str">
        <f>IF(preDEL!$AG541,IFERROR(0/0,""),preDEL!AV541)</f>
        <v/>
      </c>
      <c r="AW541" s="112" t="str">
        <f>IF(preDEL!$AG541,IFERROR(0/0,""),preDEL!AW541)</f>
        <v/>
      </c>
      <c r="AX541" s="112" t="str">
        <f>IF(preDEL!$AG541,IFERROR(0/0,""),preDEL!AX541)</f>
        <v/>
      </c>
      <c r="AY541" s="112" t="str">
        <f>IF(preDEL!$AG541,IFERROR(0/0,""),preDEL!AY541)</f>
        <v/>
      </c>
      <c r="AZ541" s="174"/>
      <c r="BA541" s="174"/>
      <c r="BB541" s="174"/>
      <c r="BC541" s="174"/>
      <c r="BD541" s="174"/>
      <c r="BE541" s="174"/>
      <c r="BF541" s="174"/>
      <c r="BG541" s="174"/>
      <c r="BH541" s="174"/>
      <c r="BI541" s="174"/>
      <c r="BJ541" s="174"/>
      <c r="BK541" s="174"/>
      <c r="BL541" s="174"/>
      <c r="BM541" s="174"/>
      <c r="BN541" s="174"/>
      <c r="BO541" s="174"/>
      <c r="BP541" s="174"/>
      <c r="BQ541" s="174"/>
      <c r="BR541" s="174"/>
      <c r="BS541" s="174"/>
      <c r="BT541" s="174"/>
      <c r="BU541" s="174"/>
      <c r="BV541" s="174"/>
      <c r="BW541" s="174"/>
      <c r="BX541" s="174"/>
      <c r="BY541" s="174"/>
      <c r="BZ541" s="174"/>
      <c r="CA541" s="174"/>
      <c r="CB541" s="174"/>
      <c r="CC541" s="174"/>
      <c r="CD541" s="174"/>
    </row>
    <row r="542">
      <c r="A542" s="105" t="str">
        <f>IF(preDEL!$AG542,IFERROR(0/0,""),preDEL!A542)</f>
        <v>MA260</v>
      </c>
      <c r="B542" s="170">
        <f>IF(preDEL!$AG542,IFERROR(0/0,""),preDEL!B542)</f>
        <v>44615</v>
      </c>
      <c r="C542" s="171">
        <f>IF(preDEL!$AG542,IFERROR(0/0,""),preDEL!C542)</f>
        <v>0.3352893519</v>
      </c>
      <c r="D542" s="105" t="str">
        <f>IF(preDEL!$AG542,IFERROR(0/0,""),preDEL!D542)</f>
        <v/>
      </c>
      <c r="E542" s="105" t="str">
        <f>IF(preDEL!$AG542,IFERROR(0/0,""),preDEL!E542)</f>
        <v/>
      </c>
      <c r="F542" s="112" t="str">
        <f>IF(preDEL!$AG542,IFERROR(0/0,""),preDEL!F542)</f>
        <v/>
      </c>
      <c r="G542" s="112" t="str">
        <f>IF(preDEL!$AG542,IFERROR(0/0,""),preDEL!G542)</f>
        <v/>
      </c>
      <c r="H542" s="112" t="str">
        <f>IF(preDEL!$AG542,IFERROR(0/0,""),preDEL!H542)</f>
        <v/>
      </c>
      <c r="I542" s="105" t="str">
        <f>IF(preDEL!$AG542,IFERROR(0/0,""),preDEL!I542)</f>
        <v/>
      </c>
      <c r="J542" s="105" t="str">
        <f>IF(preDEL!$AG542,IFERROR(0/0,""),preDEL!J542)</f>
        <v/>
      </c>
      <c r="K542" s="105" t="str">
        <f>IF(preDEL!$AG542,IFERROR(0/0,""),preDEL!K542)</f>
        <v>Positive</v>
      </c>
      <c r="L542" s="170">
        <f>IF(preDEL!$AG542,IFERROR(0/0,""),preDEL!L542)</f>
        <v>44615</v>
      </c>
      <c r="M542" s="171">
        <f>IF(preDEL!$AG542,IFERROR(0/0,""),preDEL!M542)</f>
        <v>0.49125</v>
      </c>
      <c r="N542" s="112" t="str">
        <f>IF(preDEL!$AG542,IFERROR(0/0,""),preDEL!N542)</f>
        <v/>
      </c>
      <c r="O542" s="112" t="str">
        <f>IF(preDEL!$AG542,IFERROR(0/0,""),preDEL!O542)</f>
        <v/>
      </c>
      <c r="P542" s="110" t="b">
        <f>IF(preDEL!$AG542,IFERROR(0/0,""),preDEL!P542)</f>
        <v>0</v>
      </c>
      <c r="Q542" s="110" t="str">
        <f>IF(preDEL!$AG542,IFERROR(0/0,""),preDEL!Q542)</f>
        <v>Result</v>
      </c>
      <c r="R542" s="104" t="b">
        <f>IF(preDEL!$AG542,IFERROR(0/0,""),preDEL!R542)</f>
        <v>1</v>
      </c>
      <c r="S542" s="104">
        <f>IF(preDEL!$AG542,IFERROR(0/0,""),preDEL!S542)</f>
        <v>1</v>
      </c>
      <c r="T542" s="110" t="str">
        <f>IF(preDEL!$AG542,IFERROR(0/0,""),preDEL!T542)</f>
        <v/>
      </c>
      <c r="U542" s="112" t="str">
        <f>IF(preDEL!$AG542,IFERROR(0/0,""),preDEL!U542)</f>
        <v/>
      </c>
      <c r="V542" s="105" t="str">
        <f>IF(preDEL!$AG542,IFERROR(0/0,""),preDEL!V542)</f>
        <v/>
      </c>
      <c r="W542" s="112" t="str">
        <f>IF(preDEL!$AG542,IFERROR(0/0,""),preDEL!W542)</f>
        <v/>
      </c>
      <c r="X542" s="104" t="b">
        <f>IF(preDEL!$AG542,IFERROR(0/0,""),preDEL!X542)</f>
        <v>0</v>
      </c>
      <c r="Y542" s="110" t="b">
        <f>IF(preDEL!$AG542,IFERROR(0/0,""),preDEL!Y542)</f>
        <v>0</v>
      </c>
      <c r="Z542" s="105" t="str">
        <f>IF(preDEL!$AG542,IFERROR(0/0,""),preDEL!Z542)</f>
        <v/>
      </c>
      <c r="AA542" s="110" t="b">
        <f>IF(preDEL!$AG542,IFERROR(0/0,""),preDEL!AA542)</f>
        <v>0</v>
      </c>
      <c r="AB542" s="110" t="b">
        <f>IF(preDEL!$AG542,IFERROR(0/0,""),preDEL!AB542)</f>
        <v>0</v>
      </c>
      <c r="AC542" s="172">
        <f>IF(preDEL!$AG542,IFERROR(0/0,""),preDEL!AC542)</f>
        <v>271</v>
      </c>
      <c r="AD542" s="104" t="b">
        <f>IF(preDEL!$AG542,IFERROR(0/0,""),preDEL!AD542)</f>
        <v>0</v>
      </c>
      <c r="AE542" s="173">
        <f>IF(preDEL!$AG542,IFERROR(0/0,""),preDEL!AE542)</f>
        <v>224.5833333</v>
      </c>
      <c r="AF542" s="110" t="b">
        <f>IF(preDEL!$AG542,IFERROR(0/0,""),preDEL!AF542)</f>
        <v>0</v>
      </c>
      <c r="AG542" s="110" t="b">
        <f>IF(preDEL!$AG542,IFERROR(0/0,""),preDEL!AG542)</f>
        <v>0</v>
      </c>
      <c r="AH542" s="104" t="str">
        <f>IF(preDEL!$AG542,IFERROR(0/0,""),preDEL!AH542)</f>
        <v/>
      </c>
      <c r="AI542" s="105" t="str">
        <f>IF(preDEL!$AG542,IFERROR(0/0,""),preDEL!AI542)</f>
        <v/>
      </c>
      <c r="AJ542" s="112">
        <f>IF(preDEL!$AG542,IFERROR(0/0,""),preDEL!AJ542)</f>
        <v>2.7</v>
      </c>
      <c r="AK542" s="105" t="str">
        <f>IF(preDEL!$AG542,IFERROR(0/0,""),preDEL!AK542)</f>
        <v>Negative</v>
      </c>
      <c r="AL542" s="112" t="str">
        <f>IF(preDEL!$AG542,IFERROR(0/0,""),preDEL!AL542)</f>
        <v>Pos to Neg based on RFR - checked image and entire batch mis-called</v>
      </c>
      <c r="AM542" s="112" t="str">
        <f>IF(preDEL!$AG542,IFERROR(0/0,""),preDEL!AM542)</f>
        <v>SpBEND184203</v>
      </c>
      <c r="AN542" s="112" t="str">
        <f>IF(preDEL!$AG542,IFERROR(0/0,""),preDEL!AN542)</f>
        <v>BEND821009</v>
      </c>
      <c r="AO542" s="112" t="str">
        <f>IF(preDEL!$AG542,IFERROR(0/0,""),preDEL!AO542)</f>
        <v/>
      </c>
      <c r="AP542" s="112" t="str">
        <f>IF(preDEL!$AG542,IFERROR(0/0,""),preDEL!AP542)</f>
        <v/>
      </c>
      <c r="AQ542" s="112" t="str">
        <f>IF(preDEL!$AG542,IFERROR(0/0,""),preDEL!AQ542)</f>
        <v/>
      </c>
      <c r="AR542" s="112" t="str">
        <f>IF(preDEL!$AG542,IFERROR(0/0,""),preDEL!AR542)</f>
        <v/>
      </c>
      <c r="AS542" s="112" t="str">
        <f>IF(preDEL!$AG542,IFERROR(0/0,""),preDEL!AS542)</f>
        <v/>
      </c>
      <c r="AT542" s="112" t="b">
        <f>IF(preDEL!$AG542,IFERROR(0/0,""),preDEL!AT542)</f>
        <v>0</v>
      </c>
      <c r="AU542" s="112" t="str">
        <f>IF(preDEL!$AG542,IFERROR(0/0,""),preDEL!AU542)</f>
        <v/>
      </c>
      <c r="AV542" s="112" t="str">
        <f>IF(preDEL!$AG542,IFERROR(0/0,""),preDEL!AV542)</f>
        <v/>
      </c>
      <c r="AW542" s="112" t="str">
        <f>IF(preDEL!$AG542,IFERROR(0/0,""),preDEL!AW542)</f>
        <v/>
      </c>
      <c r="AX542" s="112" t="str">
        <f>IF(preDEL!$AG542,IFERROR(0/0,""),preDEL!AX542)</f>
        <v/>
      </c>
      <c r="AY542" s="112" t="str">
        <f>IF(preDEL!$AG542,IFERROR(0/0,""),preDEL!AY542)</f>
        <v/>
      </c>
      <c r="AZ542" s="174"/>
      <c r="BA542" s="174"/>
      <c r="BB542" s="174"/>
      <c r="BC542" s="174"/>
      <c r="BD542" s="174"/>
      <c r="BE542" s="174"/>
      <c r="BF542" s="174"/>
      <c r="BG542" s="174"/>
      <c r="BH542" s="174"/>
      <c r="BI542" s="174"/>
      <c r="BJ542" s="174"/>
      <c r="BK542" s="174"/>
      <c r="BL542" s="174"/>
      <c r="BM542" s="174"/>
      <c r="BN542" s="174"/>
      <c r="BO542" s="174"/>
      <c r="BP542" s="174"/>
      <c r="BQ542" s="174"/>
      <c r="BR542" s="174"/>
      <c r="BS542" s="174"/>
      <c r="BT542" s="174"/>
      <c r="BU542" s="174"/>
      <c r="BV542" s="174"/>
      <c r="BW542" s="174"/>
      <c r="BX542" s="174"/>
      <c r="BY542" s="174"/>
      <c r="BZ542" s="174"/>
      <c r="CA542" s="174"/>
      <c r="CB542" s="174"/>
      <c r="CC542" s="174"/>
      <c r="CD542" s="174"/>
    </row>
    <row r="543">
      <c r="A543" s="105" t="str">
        <f>IF(preDEL!$AG543,IFERROR(0/0,""),preDEL!A543)</f>
        <v>FM829</v>
      </c>
      <c r="B543" s="170">
        <f>IF(preDEL!$AG543,IFERROR(0/0,""),preDEL!B543)</f>
        <v>44615</v>
      </c>
      <c r="C543" s="171">
        <f>IF(preDEL!$AG543,IFERROR(0/0,""),preDEL!C543)</f>
        <v>0.3366319444</v>
      </c>
      <c r="D543" s="105" t="str">
        <f>IF(preDEL!$AG543,IFERROR(0/0,""),preDEL!D543)</f>
        <v/>
      </c>
      <c r="E543" s="105" t="str">
        <f>IF(preDEL!$AG543,IFERROR(0/0,""),preDEL!E543)</f>
        <v/>
      </c>
      <c r="F543" s="112" t="str">
        <f>IF(preDEL!$AG543,IFERROR(0/0,""),preDEL!F543)</f>
        <v/>
      </c>
      <c r="G543" s="112" t="str">
        <f>IF(preDEL!$AG543,IFERROR(0/0,""),preDEL!G543)</f>
        <v/>
      </c>
      <c r="H543" s="112" t="str">
        <f>IF(preDEL!$AG543,IFERROR(0/0,""),preDEL!H543)</f>
        <v/>
      </c>
      <c r="I543" s="105" t="str">
        <f>IF(preDEL!$AG543,IFERROR(0/0,""),preDEL!I543)</f>
        <v/>
      </c>
      <c r="J543" s="105" t="str">
        <f>IF(preDEL!$AG543,IFERROR(0/0,""),preDEL!J543)</f>
        <v/>
      </c>
      <c r="K543" s="105" t="str">
        <f>IF(preDEL!$AG543,IFERROR(0/0,""),preDEL!K543)</f>
        <v>Positive</v>
      </c>
      <c r="L543" s="170">
        <f>IF(preDEL!$AG543,IFERROR(0/0,""),preDEL!L543)</f>
        <v>44615</v>
      </c>
      <c r="M543" s="171">
        <f>IF(preDEL!$AG543,IFERROR(0/0,""),preDEL!M543)</f>
        <v>0.49125</v>
      </c>
      <c r="N543" s="112" t="str">
        <f>IF(preDEL!$AG543,IFERROR(0/0,""),preDEL!N543)</f>
        <v/>
      </c>
      <c r="O543" s="112" t="str">
        <f>IF(preDEL!$AG543,IFERROR(0/0,""),preDEL!O543)</f>
        <v/>
      </c>
      <c r="P543" s="110" t="b">
        <f>IF(preDEL!$AG543,IFERROR(0/0,""),preDEL!P543)</f>
        <v>0</v>
      </c>
      <c r="Q543" s="110" t="str">
        <f>IF(preDEL!$AG543,IFERROR(0/0,""),preDEL!Q543)</f>
        <v>Result</v>
      </c>
      <c r="R543" s="104" t="b">
        <f>IF(preDEL!$AG543,IFERROR(0/0,""),preDEL!R543)</f>
        <v>1</v>
      </c>
      <c r="S543" s="104">
        <f>IF(preDEL!$AG543,IFERROR(0/0,""),preDEL!S543)</f>
        <v>1</v>
      </c>
      <c r="T543" s="110" t="str">
        <f>IF(preDEL!$AG543,IFERROR(0/0,""),preDEL!T543)</f>
        <v/>
      </c>
      <c r="U543" s="112" t="str">
        <f>IF(preDEL!$AG543,IFERROR(0/0,""),preDEL!U543)</f>
        <v/>
      </c>
      <c r="V543" s="105" t="str">
        <f>IF(preDEL!$AG543,IFERROR(0/0,""),preDEL!V543)</f>
        <v/>
      </c>
      <c r="W543" s="112" t="str">
        <f>IF(preDEL!$AG543,IFERROR(0/0,""),preDEL!W543)</f>
        <v/>
      </c>
      <c r="X543" s="104" t="b">
        <f>IF(preDEL!$AG543,IFERROR(0/0,""),preDEL!X543)</f>
        <v>0</v>
      </c>
      <c r="Y543" s="110" t="b">
        <f>IF(preDEL!$AG543,IFERROR(0/0,""),preDEL!Y543)</f>
        <v>0</v>
      </c>
      <c r="Z543" s="105" t="str">
        <f>IF(preDEL!$AG543,IFERROR(0/0,""),preDEL!Z543)</f>
        <v/>
      </c>
      <c r="AA543" s="110" t="b">
        <f>IF(preDEL!$AG543,IFERROR(0/0,""),preDEL!AA543)</f>
        <v>0</v>
      </c>
      <c r="AB543" s="110" t="b">
        <f>IF(preDEL!$AG543,IFERROR(0/0,""),preDEL!AB543)</f>
        <v>0</v>
      </c>
      <c r="AC543" s="172">
        <f>IF(preDEL!$AG543,IFERROR(0/0,""),preDEL!AC543)</f>
        <v>270</v>
      </c>
      <c r="AD543" s="104" t="b">
        <f>IF(preDEL!$AG543,IFERROR(0/0,""),preDEL!AD543)</f>
        <v>0</v>
      </c>
      <c r="AE543" s="173">
        <f>IF(preDEL!$AG543,IFERROR(0/0,""),preDEL!AE543)</f>
        <v>222.65</v>
      </c>
      <c r="AF543" s="110" t="b">
        <f>IF(preDEL!$AG543,IFERROR(0/0,""),preDEL!AF543)</f>
        <v>0</v>
      </c>
      <c r="AG543" s="110" t="b">
        <f>IF(preDEL!$AG543,IFERROR(0/0,""),preDEL!AG543)</f>
        <v>0</v>
      </c>
      <c r="AH543" s="104" t="str">
        <f>IF(preDEL!$AG543,IFERROR(0/0,""),preDEL!AH543)</f>
        <v/>
      </c>
      <c r="AI543" s="105" t="str">
        <f>IF(preDEL!$AG543,IFERROR(0/0,""),preDEL!AI543)</f>
        <v/>
      </c>
      <c r="AJ543" s="112">
        <f>IF(preDEL!$AG543,IFERROR(0/0,""),preDEL!AJ543)</f>
        <v>2.7</v>
      </c>
      <c r="AK543" s="105" t="str">
        <f>IF(preDEL!$AG543,IFERROR(0/0,""),preDEL!AK543)</f>
        <v>Negative</v>
      </c>
      <c r="AL543" s="112" t="str">
        <f>IF(preDEL!$AG543,IFERROR(0/0,""),preDEL!AL543)</f>
        <v>Pos to Neg based on RFR - checked image and entire batch mis-called</v>
      </c>
      <c r="AM543" s="112" t="str">
        <f>IF(preDEL!$AG543,IFERROR(0/0,""),preDEL!AM543)</f>
        <v>SpBEND982485</v>
      </c>
      <c r="AN543" s="112" t="str">
        <f>IF(preDEL!$AG543,IFERROR(0/0,""),preDEL!AN543)</f>
        <v>BEND192592</v>
      </c>
      <c r="AO543" s="112" t="str">
        <f>IF(preDEL!$AG543,IFERROR(0/0,""),preDEL!AO543)</f>
        <v/>
      </c>
      <c r="AP543" s="112" t="str">
        <f>IF(preDEL!$AG543,IFERROR(0/0,""),preDEL!AP543)</f>
        <v/>
      </c>
      <c r="AQ543" s="112" t="str">
        <f>IF(preDEL!$AG543,IFERROR(0/0,""),preDEL!AQ543)</f>
        <v/>
      </c>
      <c r="AR543" s="112" t="str">
        <f>IF(preDEL!$AG543,IFERROR(0/0,""),preDEL!AR543)</f>
        <v/>
      </c>
      <c r="AS543" s="112" t="str">
        <f>IF(preDEL!$AG543,IFERROR(0/0,""),preDEL!AS543)</f>
        <v/>
      </c>
      <c r="AT543" s="112" t="b">
        <f>IF(preDEL!$AG543,IFERROR(0/0,""),preDEL!AT543)</f>
        <v>0</v>
      </c>
      <c r="AU543" s="112" t="str">
        <f>IF(preDEL!$AG543,IFERROR(0/0,""),preDEL!AU543)</f>
        <v/>
      </c>
      <c r="AV543" s="112" t="str">
        <f>IF(preDEL!$AG543,IFERROR(0/0,""),preDEL!AV543)</f>
        <v/>
      </c>
      <c r="AW543" s="112" t="str">
        <f>IF(preDEL!$AG543,IFERROR(0/0,""),preDEL!AW543)</f>
        <v/>
      </c>
      <c r="AX543" s="112" t="str">
        <f>IF(preDEL!$AG543,IFERROR(0/0,""),preDEL!AX543)</f>
        <v/>
      </c>
      <c r="AY543" s="112" t="str">
        <f>IF(preDEL!$AG543,IFERROR(0/0,""),preDEL!AY543)</f>
        <v/>
      </c>
      <c r="AZ543" s="174"/>
      <c r="BA543" s="174"/>
      <c r="BB543" s="174"/>
      <c r="BC543" s="174"/>
      <c r="BD543" s="174"/>
      <c r="BE543" s="174"/>
      <c r="BF543" s="174"/>
      <c r="BG543" s="174"/>
      <c r="BH543" s="174"/>
      <c r="BI543" s="174"/>
      <c r="BJ543" s="174"/>
      <c r="BK543" s="174"/>
      <c r="BL543" s="174"/>
      <c r="BM543" s="174"/>
      <c r="BN543" s="174"/>
      <c r="BO543" s="174"/>
      <c r="BP543" s="174"/>
      <c r="BQ543" s="174"/>
      <c r="BR543" s="174"/>
      <c r="BS543" s="174"/>
      <c r="BT543" s="174"/>
      <c r="BU543" s="174"/>
      <c r="BV543" s="174"/>
      <c r="BW543" s="174"/>
      <c r="BX543" s="174"/>
      <c r="BY543" s="174"/>
      <c r="BZ543" s="174"/>
      <c r="CA543" s="174"/>
      <c r="CB543" s="174"/>
      <c r="CC543" s="174"/>
      <c r="CD543" s="174"/>
    </row>
    <row r="544">
      <c r="A544" s="105" t="str">
        <f>IF(preDEL!$AG544,IFERROR(0/0,""),preDEL!A544)</f>
        <v>MA1028</v>
      </c>
      <c r="B544" s="170">
        <f>IF(preDEL!$AG544,IFERROR(0/0,""),preDEL!B544)</f>
        <v>44615</v>
      </c>
      <c r="C544" s="171">
        <f>IF(preDEL!$AG544,IFERROR(0/0,""),preDEL!C544)</f>
        <v>0.3378819444</v>
      </c>
      <c r="D544" s="105" t="str">
        <f>IF(preDEL!$AG544,IFERROR(0/0,""),preDEL!D544)</f>
        <v/>
      </c>
      <c r="E544" s="105" t="str">
        <f>IF(preDEL!$AG544,IFERROR(0/0,""),preDEL!E544)</f>
        <v/>
      </c>
      <c r="F544" s="112" t="str">
        <f>IF(preDEL!$AG544,IFERROR(0/0,""),preDEL!F544)</f>
        <v/>
      </c>
      <c r="G544" s="112" t="str">
        <f>IF(preDEL!$AG544,IFERROR(0/0,""),preDEL!G544)</f>
        <v/>
      </c>
      <c r="H544" s="112" t="str">
        <f>IF(preDEL!$AG544,IFERROR(0/0,""),preDEL!H544)</f>
        <v/>
      </c>
      <c r="I544" s="105" t="str">
        <f>IF(preDEL!$AG544,IFERROR(0/0,""),preDEL!I544)</f>
        <v/>
      </c>
      <c r="J544" s="105" t="str">
        <f>IF(preDEL!$AG544,IFERROR(0/0,""),preDEL!J544)</f>
        <v/>
      </c>
      <c r="K544" s="105" t="str">
        <f>IF(preDEL!$AG544,IFERROR(0/0,""),preDEL!K544)</f>
        <v>Positive</v>
      </c>
      <c r="L544" s="170">
        <f>IF(preDEL!$AG544,IFERROR(0/0,""),preDEL!L544)</f>
        <v>44615</v>
      </c>
      <c r="M544" s="171">
        <f>IF(preDEL!$AG544,IFERROR(0/0,""),preDEL!M544)</f>
        <v>0.49125</v>
      </c>
      <c r="N544" s="112" t="str">
        <f>IF(preDEL!$AG544,IFERROR(0/0,""),preDEL!N544)</f>
        <v/>
      </c>
      <c r="O544" s="112" t="str">
        <f>IF(preDEL!$AG544,IFERROR(0/0,""),preDEL!O544)</f>
        <v/>
      </c>
      <c r="P544" s="110" t="b">
        <f>IF(preDEL!$AG544,IFERROR(0/0,""),preDEL!P544)</f>
        <v>0</v>
      </c>
      <c r="Q544" s="110" t="str">
        <f>IF(preDEL!$AG544,IFERROR(0/0,""),preDEL!Q544)</f>
        <v>Result</v>
      </c>
      <c r="R544" s="104" t="b">
        <f>IF(preDEL!$AG544,IFERROR(0/0,""),preDEL!R544)</f>
        <v>1</v>
      </c>
      <c r="S544" s="104">
        <f>IF(preDEL!$AG544,IFERROR(0/0,""),preDEL!S544)</f>
        <v>1</v>
      </c>
      <c r="T544" s="110" t="str">
        <f>IF(preDEL!$AG544,IFERROR(0/0,""),preDEL!T544)</f>
        <v/>
      </c>
      <c r="U544" s="112" t="str">
        <f>IF(preDEL!$AG544,IFERROR(0/0,""),preDEL!U544)</f>
        <v/>
      </c>
      <c r="V544" s="105" t="str">
        <f>IF(preDEL!$AG544,IFERROR(0/0,""),preDEL!V544)</f>
        <v/>
      </c>
      <c r="W544" s="112" t="str">
        <f>IF(preDEL!$AG544,IFERROR(0/0,""),preDEL!W544)</f>
        <v/>
      </c>
      <c r="X544" s="104" t="b">
        <f>IF(preDEL!$AG544,IFERROR(0/0,""),preDEL!X544)</f>
        <v>0</v>
      </c>
      <c r="Y544" s="110" t="b">
        <f>IF(preDEL!$AG544,IFERROR(0/0,""),preDEL!Y544)</f>
        <v>0</v>
      </c>
      <c r="Z544" s="105" t="str">
        <f>IF(preDEL!$AG544,IFERROR(0/0,""),preDEL!Z544)</f>
        <v/>
      </c>
      <c r="AA544" s="110" t="b">
        <f>IF(preDEL!$AG544,IFERROR(0/0,""),preDEL!AA544)</f>
        <v>0</v>
      </c>
      <c r="AB544" s="110" t="b">
        <f>IF(preDEL!$AG544,IFERROR(0/0,""),preDEL!AB544)</f>
        <v>0</v>
      </c>
      <c r="AC544" s="172">
        <f>IF(preDEL!$AG544,IFERROR(0/0,""),preDEL!AC544)</f>
        <v>269</v>
      </c>
      <c r="AD544" s="104" t="b">
        <f>IF(preDEL!$AG544,IFERROR(0/0,""),preDEL!AD544)</f>
        <v>0</v>
      </c>
      <c r="AE544" s="173">
        <f>IF(preDEL!$AG544,IFERROR(0/0,""),preDEL!AE544)</f>
        <v>220.85</v>
      </c>
      <c r="AF544" s="110" t="b">
        <f>IF(preDEL!$AG544,IFERROR(0/0,""),preDEL!AF544)</f>
        <v>0</v>
      </c>
      <c r="AG544" s="110" t="b">
        <f>IF(preDEL!$AG544,IFERROR(0/0,""),preDEL!AG544)</f>
        <v>0</v>
      </c>
      <c r="AH544" s="104" t="str">
        <f>IF(preDEL!$AG544,IFERROR(0/0,""),preDEL!AH544)</f>
        <v/>
      </c>
      <c r="AI544" s="105" t="str">
        <f>IF(preDEL!$AG544,IFERROR(0/0,""),preDEL!AI544)</f>
        <v/>
      </c>
      <c r="AJ544" s="112">
        <f>IF(preDEL!$AG544,IFERROR(0/0,""),preDEL!AJ544)</f>
        <v>2.7</v>
      </c>
      <c r="AK544" s="105" t="str">
        <f>IF(preDEL!$AG544,IFERROR(0/0,""),preDEL!AK544)</f>
        <v>Negative</v>
      </c>
      <c r="AL544" s="112" t="str">
        <f>IF(preDEL!$AG544,IFERROR(0/0,""),preDEL!AL544)</f>
        <v>Pos to Neg based on RFR - checked image and entire batch mis-called</v>
      </c>
      <c r="AM544" s="112" t="str">
        <f>IF(preDEL!$AG544,IFERROR(0/0,""),preDEL!AM544)</f>
        <v>SpBEND967817</v>
      </c>
      <c r="AN544" s="112" t="str">
        <f>IF(preDEL!$AG544,IFERROR(0/0,""),preDEL!AN544)</f>
        <v>BEND525341</v>
      </c>
      <c r="AO544" s="112" t="str">
        <f>IF(preDEL!$AG544,IFERROR(0/0,""),preDEL!AO544)</f>
        <v/>
      </c>
      <c r="AP544" s="112" t="str">
        <f>IF(preDEL!$AG544,IFERROR(0/0,""),preDEL!AP544)</f>
        <v/>
      </c>
      <c r="AQ544" s="112" t="str">
        <f>IF(preDEL!$AG544,IFERROR(0/0,""),preDEL!AQ544)</f>
        <v/>
      </c>
      <c r="AR544" s="112" t="str">
        <f>IF(preDEL!$AG544,IFERROR(0/0,""),preDEL!AR544)</f>
        <v/>
      </c>
      <c r="AS544" s="112" t="str">
        <f>IF(preDEL!$AG544,IFERROR(0/0,""),preDEL!AS544)</f>
        <v/>
      </c>
      <c r="AT544" s="112" t="b">
        <f>IF(preDEL!$AG544,IFERROR(0/0,""),preDEL!AT544)</f>
        <v>0</v>
      </c>
      <c r="AU544" s="112" t="str">
        <f>IF(preDEL!$AG544,IFERROR(0/0,""),preDEL!AU544)</f>
        <v/>
      </c>
      <c r="AV544" s="112" t="str">
        <f>IF(preDEL!$AG544,IFERROR(0/0,""),preDEL!AV544)</f>
        <v/>
      </c>
      <c r="AW544" s="112" t="str">
        <f>IF(preDEL!$AG544,IFERROR(0/0,""),preDEL!AW544)</f>
        <v/>
      </c>
      <c r="AX544" s="112" t="str">
        <f>IF(preDEL!$AG544,IFERROR(0/0,""),preDEL!AX544)</f>
        <v/>
      </c>
      <c r="AY544" s="112" t="str">
        <f>IF(preDEL!$AG544,IFERROR(0/0,""),preDEL!AY544)</f>
        <v/>
      </c>
      <c r="AZ544" s="174"/>
      <c r="BA544" s="174"/>
      <c r="BB544" s="174"/>
      <c r="BC544" s="174"/>
      <c r="BD544" s="174"/>
      <c r="BE544" s="174"/>
      <c r="BF544" s="174"/>
      <c r="BG544" s="174"/>
      <c r="BH544" s="174"/>
      <c r="BI544" s="174"/>
      <c r="BJ544" s="174"/>
      <c r="BK544" s="174"/>
      <c r="BL544" s="174"/>
      <c r="BM544" s="174"/>
      <c r="BN544" s="174"/>
      <c r="BO544" s="174"/>
      <c r="BP544" s="174"/>
      <c r="BQ544" s="174"/>
      <c r="BR544" s="174"/>
      <c r="BS544" s="174"/>
      <c r="BT544" s="174"/>
      <c r="BU544" s="174"/>
      <c r="BV544" s="174"/>
      <c r="BW544" s="174"/>
      <c r="BX544" s="174"/>
      <c r="BY544" s="174"/>
      <c r="BZ544" s="174"/>
      <c r="CA544" s="174"/>
      <c r="CB544" s="174"/>
      <c r="CC544" s="174"/>
      <c r="CD544" s="174"/>
    </row>
    <row r="545">
      <c r="A545" s="105" t="str">
        <f>IF(preDEL!$AG545,IFERROR(0/0,""),preDEL!A545)</f>
        <v>FM61</v>
      </c>
      <c r="B545" s="170">
        <f>IF(preDEL!$AG545,IFERROR(0/0,""),preDEL!B545)</f>
        <v>44615</v>
      </c>
      <c r="C545" s="171">
        <f>IF(preDEL!$AG545,IFERROR(0/0,""),preDEL!C545)</f>
        <v>0.3422685185</v>
      </c>
      <c r="D545" s="105" t="str">
        <f>IF(preDEL!$AG545,IFERROR(0/0,""),preDEL!D545)</f>
        <v/>
      </c>
      <c r="E545" s="105" t="str">
        <f>IF(preDEL!$AG545,IFERROR(0/0,""),preDEL!E545)</f>
        <v/>
      </c>
      <c r="F545" s="112" t="str">
        <f>IF(preDEL!$AG545,IFERROR(0/0,""),preDEL!F545)</f>
        <v/>
      </c>
      <c r="G545" s="112" t="str">
        <f>IF(preDEL!$AG545,IFERROR(0/0,""),preDEL!G545)</f>
        <v/>
      </c>
      <c r="H545" s="112" t="str">
        <f>IF(preDEL!$AG545,IFERROR(0/0,""),preDEL!H545)</f>
        <v/>
      </c>
      <c r="I545" s="105" t="str">
        <f>IF(preDEL!$AG545,IFERROR(0/0,""),preDEL!I545)</f>
        <v/>
      </c>
      <c r="J545" s="105" t="str">
        <f>IF(preDEL!$AG545,IFERROR(0/0,""),preDEL!J545)</f>
        <v/>
      </c>
      <c r="K545" s="105" t="str">
        <f>IF(preDEL!$AG545,IFERROR(0/0,""),preDEL!K545)</f>
        <v>Positive</v>
      </c>
      <c r="L545" s="170">
        <f>IF(preDEL!$AG545,IFERROR(0/0,""),preDEL!L545)</f>
        <v>44615</v>
      </c>
      <c r="M545" s="171">
        <f>IF(preDEL!$AG545,IFERROR(0/0,""),preDEL!M545)</f>
        <v>0.49125</v>
      </c>
      <c r="N545" s="112" t="str">
        <f>IF(preDEL!$AG545,IFERROR(0/0,""),preDEL!N545)</f>
        <v/>
      </c>
      <c r="O545" s="112" t="str">
        <f>IF(preDEL!$AG545,IFERROR(0/0,""),preDEL!O545)</f>
        <v/>
      </c>
      <c r="P545" s="110" t="b">
        <f>IF(preDEL!$AG545,IFERROR(0/0,""),preDEL!P545)</f>
        <v>0</v>
      </c>
      <c r="Q545" s="110" t="str">
        <f>IF(preDEL!$AG545,IFERROR(0/0,""),preDEL!Q545)</f>
        <v>Result</v>
      </c>
      <c r="R545" s="104" t="b">
        <f>IF(preDEL!$AG545,IFERROR(0/0,""),preDEL!R545)</f>
        <v>1</v>
      </c>
      <c r="S545" s="104">
        <f>IF(preDEL!$AG545,IFERROR(0/0,""),preDEL!S545)</f>
        <v>1</v>
      </c>
      <c r="T545" s="110" t="str">
        <f>IF(preDEL!$AG545,IFERROR(0/0,""),preDEL!T545)</f>
        <v/>
      </c>
      <c r="U545" s="112" t="str">
        <f>IF(preDEL!$AG545,IFERROR(0/0,""),preDEL!U545)</f>
        <v/>
      </c>
      <c r="V545" s="105" t="str">
        <f>IF(preDEL!$AG545,IFERROR(0/0,""),preDEL!V545)</f>
        <v/>
      </c>
      <c r="W545" s="112" t="str">
        <f>IF(preDEL!$AG545,IFERROR(0/0,""),preDEL!W545)</f>
        <v/>
      </c>
      <c r="X545" s="104" t="b">
        <f>IF(preDEL!$AG545,IFERROR(0/0,""),preDEL!X545)</f>
        <v>0</v>
      </c>
      <c r="Y545" s="110" t="b">
        <f>IF(preDEL!$AG545,IFERROR(0/0,""),preDEL!Y545)</f>
        <v>0</v>
      </c>
      <c r="Z545" s="105" t="str">
        <f>IF(preDEL!$AG545,IFERROR(0/0,""),preDEL!Z545)</f>
        <v/>
      </c>
      <c r="AA545" s="110" t="b">
        <f>IF(preDEL!$AG545,IFERROR(0/0,""),preDEL!AA545)</f>
        <v>0</v>
      </c>
      <c r="AB545" s="110" t="b">
        <f>IF(preDEL!$AG545,IFERROR(0/0,""),preDEL!AB545)</f>
        <v>0</v>
      </c>
      <c r="AC545" s="172">
        <f>IF(preDEL!$AG545,IFERROR(0/0,""),preDEL!AC545)</f>
        <v>268</v>
      </c>
      <c r="AD545" s="104" t="b">
        <f>IF(preDEL!$AG545,IFERROR(0/0,""),preDEL!AD545)</f>
        <v>0</v>
      </c>
      <c r="AE545" s="173">
        <f>IF(preDEL!$AG545,IFERROR(0/0,""),preDEL!AE545)</f>
        <v>214.5333333</v>
      </c>
      <c r="AF545" s="110" t="b">
        <f>IF(preDEL!$AG545,IFERROR(0/0,""),preDEL!AF545)</f>
        <v>0</v>
      </c>
      <c r="AG545" s="110" t="b">
        <f>IF(preDEL!$AG545,IFERROR(0/0,""),preDEL!AG545)</f>
        <v>0</v>
      </c>
      <c r="AH545" s="104" t="str">
        <f>IF(preDEL!$AG545,IFERROR(0/0,""),preDEL!AH545)</f>
        <v/>
      </c>
      <c r="AI545" s="105" t="str">
        <f>IF(preDEL!$AG545,IFERROR(0/0,""),preDEL!AI545)</f>
        <v/>
      </c>
      <c r="AJ545" s="112">
        <f>IF(preDEL!$AG545,IFERROR(0/0,""),preDEL!AJ545)</f>
        <v>2.7</v>
      </c>
      <c r="AK545" s="105" t="str">
        <f>IF(preDEL!$AG545,IFERROR(0/0,""),preDEL!AK545)</f>
        <v>Negative</v>
      </c>
      <c r="AL545" s="112" t="str">
        <f>IF(preDEL!$AG545,IFERROR(0/0,""),preDEL!AL545)</f>
        <v>Pos to Neg based on RFR - checked image and entire batch mis-called</v>
      </c>
      <c r="AM545" s="112" t="str">
        <f>IF(preDEL!$AG545,IFERROR(0/0,""),preDEL!AM545)</f>
        <v>SpBEND768497</v>
      </c>
      <c r="AN545" s="112" t="str">
        <f>IF(preDEL!$AG545,IFERROR(0/0,""),preDEL!AN545)</f>
        <v>BEND900381</v>
      </c>
      <c r="AO545" s="112" t="str">
        <f>IF(preDEL!$AG545,IFERROR(0/0,""),preDEL!AO545)</f>
        <v/>
      </c>
      <c r="AP545" s="112" t="str">
        <f>IF(preDEL!$AG545,IFERROR(0/0,""),preDEL!AP545)</f>
        <v/>
      </c>
      <c r="AQ545" s="112" t="str">
        <f>IF(preDEL!$AG545,IFERROR(0/0,""),preDEL!AQ545)</f>
        <v/>
      </c>
      <c r="AR545" s="112" t="str">
        <f>IF(preDEL!$AG545,IFERROR(0/0,""),preDEL!AR545)</f>
        <v/>
      </c>
      <c r="AS545" s="112" t="str">
        <f>IF(preDEL!$AG545,IFERROR(0/0,""),preDEL!AS545)</f>
        <v/>
      </c>
      <c r="AT545" s="112" t="b">
        <f>IF(preDEL!$AG545,IFERROR(0/0,""),preDEL!AT545)</f>
        <v>0</v>
      </c>
      <c r="AU545" s="112" t="str">
        <f>IF(preDEL!$AG545,IFERROR(0/0,""),preDEL!AU545)</f>
        <v/>
      </c>
      <c r="AV545" s="112" t="str">
        <f>IF(preDEL!$AG545,IFERROR(0/0,""),preDEL!AV545)</f>
        <v/>
      </c>
      <c r="AW545" s="112" t="str">
        <f>IF(preDEL!$AG545,IFERROR(0/0,""),preDEL!AW545)</f>
        <v/>
      </c>
      <c r="AX545" s="112" t="str">
        <f>IF(preDEL!$AG545,IFERROR(0/0,""),preDEL!AX545)</f>
        <v/>
      </c>
      <c r="AY545" s="112" t="str">
        <f>IF(preDEL!$AG545,IFERROR(0/0,""),preDEL!AY545)</f>
        <v/>
      </c>
      <c r="AZ545" s="174"/>
      <c r="BA545" s="174"/>
      <c r="BB545" s="174"/>
      <c r="BC545" s="174"/>
      <c r="BD545" s="174"/>
      <c r="BE545" s="174"/>
      <c r="BF545" s="174"/>
      <c r="BG545" s="174"/>
      <c r="BH545" s="174"/>
      <c r="BI545" s="174"/>
      <c r="BJ545" s="174"/>
      <c r="BK545" s="174"/>
      <c r="BL545" s="174"/>
      <c r="BM545" s="174"/>
      <c r="BN545" s="174"/>
      <c r="BO545" s="174"/>
      <c r="BP545" s="174"/>
      <c r="BQ545" s="174"/>
      <c r="BR545" s="174"/>
      <c r="BS545" s="174"/>
      <c r="BT545" s="174"/>
      <c r="BU545" s="174"/>
      <c r="BV545" s="174"/>
      <c r="BW545" s="174"/>
      <c r="BX545" s="174"/>
      <c r="BY545" s="174"/>
      <c r="BZ545" s="174"/>
      <c r="CA545" s="174"/>
      <c r="CB545" s="174"/>
      <c r="CC545" s="174"/>
      <c r="CD545" s="174"/>
    </row>
    <row r="546">
      <c r="A546" s="105" t="str">
        <f>IF(preDEL!$AG546,IFERROR(0/0,""),preDEL!A546)</f>
        <v>FM62</v>
      </c>
      <c r="B546" s="170">
        <f>IF(preDEL!$AG546,IFERROR(0/0,""),preDEL!B546)</f>
        <v>44615</v>
      </c>
      <c r="C546" s="171">
        <f>IF(preDEL!$AG546,IFERROR(0/0,""),preDEL!C546)</f>
        <v>0.342349537</v>
      </c>
      <c r="D546" s="105" t="str">
        <f>IF(preDEL!$AG546,IFERROR(0/0,""),preDEL!D546)</f>
        <v/>
      </c>
      <c r="E546" s="105" t="str">
        <f>IF(preDEL!$AG546,IFERROR(0/0,""),preDEL!E546)</f>
        <v/>
      </c>
      <c r="F546" s="112" t="str">
        <f>IF(preDEL!$AG546,IFERROR(0/0,""),preDEL!F546)</f>
        <v/>
      </c>
      <c r="G546" s="112" t="str">
        <f>IF(preDEL!$AG546,IFERROR(0/0,""),preDEL!G546)</f>
        <v/>
      </c>
      <c r="H546" s="112" t="str">
        <f>IF(preDEL!$AG546,IFERROR(0/0,""),preDEL!H546)</f>
        <v/>
      </c>
      <c r="I546" s="105" t="str">
        <f>IF(preDEL!$AG546,IFERROR(0/0,""),preDEL!I546)</f>
        <v/>
      </c>
      <c r="J546" s="105" t="str">
        <f>IF(preDEL!$AG546,IFERROR(0/0,""),preDEL!J546)</f>
        <v/>
      </c>
      <c r="K546" s="105" t="str">
        <f>IF(preDEL!$AG546,IFERROR(0/0,""),preDEL!K546)</f>
        <v>Positive</v>
      </c>
      <c r="L546" s="170">
        <f>IF(preDEL!$AG546,IFERROR(0/0,""),preDEL!L546)</f>
        <v>44615</v>
      </c>
      <c r="M546" s="171">
        <f>IF(preDEL!$AG546,IFERROR(0/0,""),preDEL!M546)</f>
        <v>0.49125</v>
      </c>
      <c r="N546" s="112" t="str">
        <f>IF(preDEL!$AG546,IFERROR(0/0,""),preDEL!N546)</f>
        <v/>
      </c>
      <c r="O546" s="112" t="str">
        <f>IF(preDEL!$AG546,IFERROR(0/0,""),preDEL!O546)</f>
        <v/>
      </c>
      <c r="P546" s="110" t="b">
        <f>IF(preDEL!$AG546,IFERROR(0/0,""),preDEL!P546)</f>
        <v>0</v>
      </c>
      <c r="Q546" s="110" t="str">
        <f>IF(preDEL!$AG546,IFERROR(0/0,""),preDEL!Q546)</f>
        <v>Result</v>
      </c>
      <c r="R546" s="104" t="b">
        <f>IF(preDEL!$AG546,IFERROR(0/0,""),preDEL!R546)</f>
        <v>1</v>
      </c>
      <c r="S546" s="104">
        <f>IF(preDEL!$AG546,IFERROR(0/0,""),preDEL!S546)</f>
        <v>1</v>
      </c>
      <c r="T546" s="110" t="str">
        <f>IF(preDEL!$AG546,IFERROR(0/0,""),preDEL!T546)</f>
        <v/>
      </c>
      <c r="U546" s="112" t="str">
        <f>IF(preDEL!$AG546,IFERROR(0/0,""),preDEL!U546)</f>
        <v/>
      </c>
      <c r="V546" s="105" t="str">
        <f>IF(preDEL!$AG546,IFERROR(0/0,""),preDEL!V546)</f>
        <v/>
      </c>
      <c r="W546" s="112" t="str">
        <f>IF(preDEL!$AG546,IFERROR(0/0,""),preDEL!W546)</f>
        <v/>
      </c>
      <c r="X546" s="104" t="b">
        <f>IF(preDEL!$AG546,IFERROR(0/0,""),preDEL!X546)</f>
        <v>0</v>
      </c>
      <c r="Y546" s="110" t="b">
        <f>IF(preDEL!$AG546,IFERROR(0/0,""),preDEL!Y546)</f>
        <v>0</v>
      </c>
      <c r="Z546" s="105" t="str">
        <f>IF(preDEL!$AG546,IFERROR(0/0,""),preDEL!Z546)</f>
        <v/>
      </c>
      <c r="AA546" s="110" t="b">
        <f>IF(preDEL!$AG546,IFERROR(0/0,""),preDEL!AA546)</f>
        <v>0</v>
      </c>
      <c r="AB546" s="110" t="b">
        <f>IF(preDEL!$AG546,IFERROR(0/0,""),preDEL!AB546)</f>
        <v>0</v>
      </c>
      <c r="AC546" s="172">
        <f>IF(preDEL!$AG546,IFERROR(0/0,""),preDEL!AC546)</f>
        <v>267</v>
      </c>
      <c r="AD546" s="104" t="b">
        <f>IF(preDEL!$AG546,IFERROR(0/0,""),preDEL!AD546)</f>
        <v>0</v>
      </c>
      <c r="AE546" s="173">
        <f>IF(preDEL!$AG546,IFERROR(0/0,""),preDEL!AE546)</f>
        <v>214.4166667</v>
      </c>
      <c r="AF546" s="110" t="b">
        <f>IF(preDEL!$AG546,IFERROR(0/0,""),preDEL!AF546)</f>
        <v>0</v>
      </c>
      <c r="AG546" s="110" t="b">
        <f>IF(preDEL!$AG546,IFERROR(0/0,""),preDEL!AG546)</f>
        <v>0</v>
      </c>
      <c r="AH546" s="104" t="str">
        <f>IF(preDEL!$AG546,IFERROR(0/0,""),preDEL!AH546)</f>
        <v/>
      </c>
      <c r="AI546" s="105" t="str">
        <f>IF(preDEL!$AG546,IFERROR(0/0,""),preDEL!AI546)</f>
        <v/>
      </c>
      <c r="AJ546" s="112">
        <f>IF(preDEL!$AG546,IFERROR(0/0,""),preDEL!AJ546)</f>
        <v>2.7</v>
      </c>
      <c r="AK546" s="105" t="str">
        <f>IF(preDEL!$AG546,IFERROR(0/0,""),preDEL!AK546)</f>
        <v>Negative</v>
      </c>
      <c r="AL546" s="112" t="str">
        <f>IF(preDEL!$AG546,IFERROR(0/0,""),preDEL!AL546)</f>
        <v>Pos to Neg based on RFR - checked image and entire batch mis-called</v>
      </c>
      <c r="AM546" s="112" t="str">
        <f>IF(preDEL!$AG546,IFERROR(0/0,""),preDEL!AM546)</f>
        <v>SpBEND481988</v>
      </c>
      <c r="AN546" s="112" t="str">
        <f>IF(preDEL!$AG546,IFERROR(0/0,""),preDEL!AN546)</f>
        <v>BEND223874</v>
      </c>
      <c r="AO546" s="112" t="str">
        <f>IF(preDEL!$AG546,IFERROR(0/0,""),preDEL!AO546)</f>
        <v/>
      </c>
      <c r="AP546" s="112" t="str">
        <f>IF(preDEL!$AG546,IFERROR(0/0,""),preDEL!AP546)</f>
        <v/>
      </c>
      <c r="AQ546" s="112" t="str">
        <f>IF(preDEL!$AG546,IFERROR(0/0,""),preDEL!AQ546)</f>
        <v/>
      </c>
      <c r="AR546" s="112" t="str">
        <f>IF(preDEL!$AG546,IFERROR(0/0,""),preDEL!AR546)</f>
        <v/>
      </c>
      <c r="AS546" s="112" t="str">
        <f>IF(preDEL!$AG546,IFERROR(0/0,""),preDEL!AS546)</f>
        <v/>
      </c>
      <c r="AT546" s="112" t="b">
        <f>IF(preDEL!$AG546,IFERROR(0/0,""),preDEL!AT546)</f>
        <v>0</v>
      </c>
      <c r="AU546" s="112" t="str">
        <f>IF(preDEL!$AG546,IFERROR(0/0,""),preDEL!AU546)</f>
        <v/>
      </c>
      <c r="AV546" s="112" t="str">
        <f>IF(preDEL!$AG546,IFERROR(0/0,""),preDEL!AV546)</f>
        <v/>
      </c>
      <c r="AW546" s="112" t="str">
        <f>IF(preDEL!$AG546,IFERROR(0/0,""),preDEL!AW546)</f>
        <v/>
      </c>
      <c r="AX546" s="112" t="str">
        <f>IF(preDEL!$AG546,IFERROR(0/0,""),preDEL!AX546)</f>
        <v/>
      </c>
      <c r="AY546" s="112" t="str">
        <f>IF(preDEL!$AG546,IFERROR(0/0,""),preDEL!AY546)</f>
        <v/>
      </c>
      <c r="AZ546" s="174"/>
      <c r="BA546" s="174"/>
      <c r="BB546" s="174"/>
      <c r="BC546" s="174"/>
      <c r="BD546" s="174"/>
      <c r="BE546" s="174"/>
      <c r="BF546" s="174"/>
      <c r="BG546" s="174"/>
      <c r="BH546" s="174"/>
      <c r="BI546" s="174"/>
      <c r="BJ546" s="174"/>
      <c r="BK546" s="174"/>
      <c r="BL546" s="174"/>
      <c r="BM546" s="174"/>
      <c r="BN546" s="174"/>
      <c r="BO546" s="174"/>
      <c r="BP546" s="174"/>
      <c r="BQ546" s="174"/>
      <c r="BR546" s="174"/>
      <c r="BS546" s="174"/>
      <c r="BT546" s="174"/>
      <c r="BU546" s="174"/>
      <c r="BV546" s="174"/>
      <c r="BW546" s="174"/>
      <c r="BX546" s="174"/>
      <c r="BY546" s="174"/>
      <c r="BZ546" s="174"/>
      <c r="CA546" s="174"/>
      <c r="CB546" s="174"/>
      <c r="CC546" s="174"/>
      <c r="CD546" s="174"/>
    </row>
    <row r="547">
      <c r="A547" s="105" t="str">
        <f>IF(preDEL!$AG547,IFERROR(0/0,""),preDEL!A547)</f>
        <v>MA1223</v>
      </c>
      <c r="B547" s="170">
        <f>IF(preDEL!$AG547,IFERROR(0/0,""),preDEL!B547)</f>
        <v>44615</v>
      </c>
      <c r="C547" s="171">
        <f>IF(preDEL!$AG547,IFERROR(0/0,""),preDEL!C547)</f>
        <v>0.3430092593</v>
      </c>
      <c r="D547" s="105" t="str">
        <f>IF(preDEL!$AG547,IFERROR(0/0,""),preDEL!D547)</f>
        <v/>
      </c>
      <c r="E547" s="105" t="str">
        <f>IF(preDEL!$AG547,IFERROR(0/0,""),preDEL!E547)</f>
        <v/>
      </c>
      <c r="F547" s="112" t="str">
        <f>IF(preDEL!$AG547,IFERROR(0/0,""),preDEL!F547)</f>
        <v/>
      </c>
      <c r="G547" s="112" t="str">
        <f>IF(preDEL!$AG547,IFERROR(0/0,""),preDEL!G547)</f>
        <v/>
      </c>
      <c r="H547" s="112" t="str">
        <f>IF(preDEL!$AG547,IFERROR(0/0,""),preDEL!H547)</f>
        <v/>
      </c>
      <c r="I547" s="105" t="str">
        <f>IF(preDEL!$AG547,IFERROR(0/0,""),preDEL!I547)</f>
        <v/>
      </c>
      <c r="J547" s="105" t="str">
        <f>IF(preDEL!$AG547,IFERROR(0/0,""),preDEL!J547)</f>
        <v/>
      </c>
      <c r="K547" s="105" t="str">
        <f>IF(preDEL!$AG547,IFERROR(0/0,""),preDEL!K547)</f>
        <v>Positive</v>
      </c>
      <c r="L547" s="170">
        <f>IF(preDEL!$AG547,IFERROR(0/0,""),preDEL!L547)</f>
        <v>44615</v>
      </c>
      <c r="M547" s="171">
        <f>IF(preDEL!$AG547,IFERROR(0/0,""),preDEL!M547)</f>
        <v>0.49125</v>
      </c>
      <c r="N547" s="112" t="str">
        <f>IF(preDEL!$AG547,IFERROR(0/0,""),preDEL!N547)</f>
        <v/>
      </c>
      <c r="O547" s="112" t="str">
        <f>IF(preDEL!$AG547,IFERROR(0/0,""),preDEL!O547)</f>
        <v/>
      </c>
      <c r="P547" s="110" t="b">
        <f>IF(preDEL!$AG547,IFERROR(0/0,""),preDEL!P547)</f>
        <v>0</v>
      </c>
      <c r="Q547" s="110" t="str">
        <f>IF(preDEL!$AG547,IFERROR(0/0,""),preDEL!Q547)</f>
        <v>Result</v>
      </c>
      <c r="R547" s="104" t="b">
        <f>IF(preDEL!$AG547,IFERROR(0/0,""),preDEL!R547)</f>
        <v>1</v>
      </c>
      <c r="S547" s="104">
        <f>IF(preDEL!$AG547,IFERROR(0/0,""),preDEL!S547)</f>
        <v>1</v>
      </c>
      <c r="T547" s="110" t="str">
        <f>IF(preDEL!$AG547,IFERROR(0/0,""),preDEL!T547)</f>
        <v/>
      </c>
      <c r="U547" s="112" t="str">
        <f>IF(preDEL!$AG547,IFERROR(0/0,""),preDEL!U547)</f>
        <v/>
      </c>
      <c r="V547" s="105" t="str">
        <f>IF(preDEL!$AG547,IFERROR(0/0,""),preDEL!V547)</f>
        <v/>
      </c>
      <c r="W547" s="112" t="str">
        <f>IF(preDEL!$AG547,IFERROR(0/0,""),preDEL!W547)</f>
        <v/>
      </c>
      <c r="X547" s="104" t="b">
        <f>IF(preDEL!$AG547,IFERROR(0/0,""),preDEL!X547)</f>
        <v>0</v>
      </c>
      <c r="Y547" s="110" t="b">
        <f>IF(preDEL!$AG547,IFERROR(0/0,""),preDEL!Y547)</f>
        <v>0</v>
      </c>
      <c r="Z547" s="105" t="str">
        <f>IF(preDEL!$AG547,IFERROR(0/0,""),preDEL!Z547)</f>
        <v/>
      </c>
      <c r="AA547" s="110" t="b">
        <f>IF(preDEL!$AG547,IFERROR(0/0,""),preDEL!AA547)</f>
        <v>0</v>
      </c>
      <c r="AB547" s="110" t="b">
        <f>IF(preDEL!$AG547,IFERROR(0/0,""),preDEL!AB547)</f>
        <v>0</v>
      </c>
      <c r="AC547" s="172">
        <f>IF(preDEL!$AG547,IFERROR(0/0,""),preDEL!AC547)</f>
        <v>266</v>
      </c>
      <c r="AD547" s="104" t="b">
        <f>IF(preDEL!$AG547,IFERROR(0/0,""),preDEL!AD547)</f>
        <v>0</v>
      </c>
      <c r="AE547" s="173">
        <f>IF(preDEL!$AG547,IFERROR(0/0,""),preDEL!AE547)</f>
        <v>213.4666667</v>
      </c>
      <c r="AF547" s="110" t="b">
        <f>IF(preDEL!$AG547,IFERROR(0/0,""),preDEL!AF547)</f>
        <v>0</v>
      </c>
      <c r="AG547" s="110" t="b">
        <f>IF(preDEL!$AG547,IFERROR(0/0,""),preDEL!AG547)</f>
        <v>0</v>
      </c>
      <c r="AH547" s="104" t="str">
        <f>IF(preDEL!$AG547,IFERROR(0/0,""),preDEL!AH547)</f>
        <v/>
      </c>
      <c r="AI547" s="105" t="str">
        <f>IF(preDEL!$AG547,IFERROR(0/0,""),preDEL!AI547)</f>
        <v/>
      </c>
      <c r="AJ547" s="112">
        <f>IF(preDEL!$AG547,IFERROR(0/0,""),preDEL!AJ547)</f>
        <v>2.7</v>
      </c>
      <c r="AK547" s="105" t="str">
        <f>IF(preDEL!$AG547,IFERROR(0/0,""),preDEL!AK547)</f>
        <v>Negative</v>
      </c>
      <c r="AL547" s="112" t="str">
        <f>IF(preDEL!$AG547,IFERROR(0/0,""),preDEL!AL547)</f>
        <v>Pos to Neg based on RFR - checked image and entire batch mis-called</v>
      </c>
      <c r="AM547" s="112" t="str">
        <f>IF(preDEL!$AG547,IFERROR(0/0,""),preDEL!AM547)</f>
        <v>SpBEND492052</v>
      </c>
      <c r="AN547" s="112" t="str">
        <f>IF(preDEL!$AG547,IFERROR(0/0,""),preDEL!AN547)</f>
        <v>BEND350325</v>
      </c>
      <c r="AO547" s="112" t="str">
        <f>IF(preDEL!$AG547,IFERROR(0/0,""),preDEL!AO547)</f>
        <v/>
      </c>
      <c r="AP547" s="112" t="str">
        <f>IF(preDEL!$AG547,IFERROR(0/0,""),preDEL!AP547)</f>
        <v/>
      </c>
      <c r="AQ547" s="112" t="str">
        <f>IF(preDEL!$AG547,IFERROR(0/0,""),preDEL!AQ547)</f>
        <v/>
      </c>
      <c r="AR547" s="112" t="str">
        <f>IF(preDEL!$AG547,IFERROR(0/0,""),preDEL!AR547)</f>
        <v/>
      </c>
      <c r="AS547" s="112" t="str">
        <f>IF(preDEL!$AG547,IFERROR(0/0,""),preDEL!AS547)</f>
        <v/>
      </c>
      <c r="AT547" s="112" t="b">
        <f>IF(preDEL!$AG547,IFERROR(0/0,""),preDEL!AT547)</f>
        <v>0</v>
      </c>
      <c r="AU547" s="112" t="str">
        <f>IF(preDEL!$AG547,IFERROR(0/0,""),preDEL!AU547)</f>
        <v/>
      </c>
      <c r="AV547" s="112" t="str">
        <f>IF(preDEL!$AG547,IFERROR(0/0,""),preDEL!AV547)</f>
        <v/>
      </c>
      <c r="AW547" s="112" t="str">
        <f>IF(preDEL!$AG547,IFERROR(0/0,""),preDEL!AW547)</f>
        <v/>
      </c>
      <c r="AX547" s="112" t="str">
        <f>IF(preDEL!$AG547,IFERROR(0/0,""),preDEL!AX547)</f>
        <v/>
      </c>
      <c r="AY547" s="112" t="str">
        <f>IF(preDEL!$AG547,IFERROR(0/0,""),preDEL!AY547)</f>
        <v/>
      </c>
      <c r="AZ547" s="174"/>
      <c r="BA547" s="174"/>
      <c r="BB547" s="174"/>
      <c r="BC547" s="174"/>
      <c r="BD547" s="174"/>
      <c r="BE547" s="174"/>
      <c r="BF547" s="174"/>
      <c r="BG547" s="174"/>
      <c r="BH547" s="174"/>
      <c r="BI547" s="174"/>
      <c r="BJ547" s="174"/>
      <c r="BK547" s="174"/>
      <c r="BL547" s="174"/>
      <c r="BM547" s="174"/>
      <c r="BN547" s="174"/>
      <c r="BO547" s="174"/>
      <c r="BP547" s="174"/>
      <c r="BQ547" s="174"/>
      <c r="BR547" s="174"/>
      <c r="BS547" s="174"/>
      <c r="BT547" s="174"/>
      <c r="BU547" s="174"/>
      <c r="BV547" s="174"/>
      <c r="BW547" s="174"/>
      <c r="BX547" s="174"/>
      <c r="BY547" s="174"/>
      <c r="BZ547" s="174"/>
      <c r="CA547" s="174"/>
      <c r="CB547" s="174"/>
      <c r="CC547" s="174"/>
      <c r="CD547" s="174"/>
    </row>
    <row r="548">
      <c r="A548" s="105" t="str">
        <f>IF(preDEL!$AG548,IFERROR(0/0,""),preDEL!A548)</f>
        <v>MA1267</v>
      </c>
      <c r="B548" s="170">
        <f>IF(preDEL!$AG548,IFERROR(0/0,""),preDEL!B548)</f>
        <v>44615</v>
      </c>
      <c r="C548" s="171">
        <f>IF(preDEL!$AG548,IFERROR(0/0,""),preDEL!C548)</f>
        <v>0.3431828704</v>
      </c>
      <c r="D548" s="105" t="str">
        <f>IF(preDEL!$AG548,IFERROR(0/0,""),preDEL!D548)</f>
        <v/>
      </c>
      <c r="E548" s="105" t="str">
        <f>IF(preDEL!$AG548,IFERROR(0/0,""),preDEL!E548)</f>
        <v/>
      </c>
      <c r="F548" s="112" t="str">
        <f>IF(preDEL!$AG548,IFERROR(0/0,""),preDEL!F548)</f>
        <v/>
      </c>
      <c r="G548" s="112" t="str">
        <f>IF(preDEL!$AG548,IFERROR(0/0,""),preDEL!G548)</f>
        <v/>
      </c>
      <c r="H548" s="112" t="str">
        <f>IF(preDEL!$AG548,IFERROR(0/0,""),preDEL!H548)</f>
        <v/>
      </c>
      <c r="I548" s="105" t="str">
        <f>IF(preDEL!$AG548,IFERROR(0/0,""),preDEL!I548)</f>
        <v/>
      </c>
      <c r="J548" s="105" t="str">
        <f>IF(preDEL!$AG548,IFERROR(0/0,""),preDEL!J548)</f>
        <v/>
      </c>
      <c r="K548" s="105" t="str">
        <f>IF(preDEL!$AG548,IFERROR(0/0,""),preDEL!K548)</f>
        <v>Positive</v>
      </c>
      <c r="L548" s="170">
        <f>IF(preDEL!$AG548,IFERROR(0/0,""),preDEL!L548)</f>
        <v>44615</v>
      </c>
      <c r="M548" s="171">
        <f>IF(preDEL!$AG548,IFERROR(0/0,""),preDEL!M548)</f>
        <v>0.49125</v>
      </c>
      <c r="N548" s="112" t="str">
        <f>IF(preDEL!$AG548,IFERROR(0/0,""),preDEL!N548)</f>
        <v/>
      </c>
      <c r="O548" s="112" t="str">
        <f>IF(preDEL!$AG548,IFERROR(0/0,""),preDEL!O548)</f>
        <v/>
      </c>
      <c r="P548" s="110" t="b">
        <f>IF(preDEL!$AG548,IFERROR(0/0,""),preDEL!P548)</f>
        <v>0</v>
      </c>
      <c r="Q548" s="110" t="str">
        <f>IF(preDEL!$AG548,IFERROR(0/0,""),preDEL!Q548)</f>
        <v>Result</v>
      </c>
      <c r="R548" s="104" t="b">
        <f>IF(preDEL!$AG548,IFERROR(0/0,""),preDEL!R548)</f>
        <v>1</v>
      </c>
      <c r="S548" s="104">
        <f>IF(preDEL!$AG548,IFERROR(0/0,""),preDEL!S548)</f>
        <v>1</v>
      </c>
      <c r="T548" s="110" t="str">
        <f>IF(preDEL!$AG548,IFERROR(0/0,""),preDEL!T548)</f>
        <v/>
      </c>
      <c r="U548" s="112" t="str">
        <f>IF(preDEL!$AG548,IFERROR(0/0,""),preDEL!U548)</f>
        <v/>
      </c>
      <c r="V548" s="105" t="str">
        <f>IF(preDEL!$AG548,IFERROR(0/0,""),preDEL!V548)</f>
        <v/>
      </c>
      <c r="W548" s="112" t="str">
        <f>IF(preDEL!$AG548,IFERROR(0/0,""),preDEL!W548)</f>
        <v/>
      </c>
      <c r="X548" s="104" t="b">
        <f>IF(preDEL!$AG548,IFERROR(0/0,""),preDEL!X548)</f>
        <v>0</v>
      </c>
      <c r="Y548" s="110" t="b">
        <f>IF(preDEL!$AG548,IFERROR(0/0,""),preDEL!Y548)</f>
        <v>0</v>
      </c>
      <c r="Z548" s="105" t="str">
        <f>IF(preDEL!$AG548,IFERROR(0/0,""),preDEL!Z548)</f>
        <v/>
      </c>
      <c r="AA548" s="110" t="b">
        <f>IF(preDEL!$AG548,IFERROR(0/0,""),preDEL!AA548)</f>
        <v>0</v>
      </c>
      <c r="AB548" s="110" t="b">
        <f>IF(preDEL!$AG548,IFERROR(0/0,""),preDEL!AB548)</f>
        <v>0</v>
      </c>
      <c r="AC548" s="172">
        <f>IF(preDEL!$AG548,IFERROR(0/0,""),preDEL!AC548)</f>
        <v>265</v>
      </c>
      <c r="AD548" s="104" t="b">
        <f>IF(preDEL!$AG548,IFERROR(0/0,""),preDEL!AD548)</f>
        <v>0</v>
      </c>
      <c r="AE548" s="173">
        <f>IF(preDEL!$AG548,IFERROR(0/0,""),preDEL!AE548)</f>
        <v>213.2166667</v>
      </c>
      <c r="AF548" s="110" t="b">
        <f>IF(preDEL!$AG548,IFERROR(0/0,""),preDEL!AF548)</f>
        <v>0</v>
      </c>
      <c r="AG548" s="110" t="b">
        <f>IF(preDEL!$AG548,IFERROR(0/0,""),preDEL!AG548)</f>
        <v>0</v>
      </c>
      <c r="AH548" s="104" t="str">
        <f>IF(preDEL!$AG548,IFERROR(0/0,""),preDEL!AH548)</f>
        <v/>
      </c>
      <c r="AI548" s="105" t="str">
        <f>IF(preDEL!$AG548,IFERROR(0/0,""),preDEL!AI548)</f>
        <v/>
      </c>
      <c r="AJ548" s="112">
        <f>IF(preDEL!$AG548,IFERROR(0/0,""),preDEL!AJ548)</f>
        <v>2.7</v>
      </c>
      <c r="AK548" s="105" t="str">
        <f>IF(preDEL!$AG548,IFERROR(0/0,""),preDEL!AK548)</f>
        <v>Negative</v>
      </c>
      <c r="AL548" s="112" t="str">
        <f>IF(preDEL!$AG548,IFERROR(0/0,""),preDEL!AL548)</f>
        <v>Pos to Neg based on RFR - checked image and entire batch mis-called</v>
      </c>
      <c r="AM548" s="112" t="str">
        <f>IF(preDEL!$AG548,IFERROR(0/0,""),preDEL!AM548)</f>
        <v>SpBEND328905</v>
      </c>
      <c r="AN548" s="112" t="str">
        <f>IF(preDEL!$AG548,IFERROR(0/0,""),preDEL!AN548)</f>
        <v>BEND972161</v>
      </c>
      <c r="AO548" s="112" t="str">
        <f>IF(preDEL!$AG548,IFERROR(0/0,""),preDEL!AO548)</f>
        <v/>
      </c>
      <c r="AP548" s="112" t="str">
        <f>IF(preDEL!$AG548,IFERROR(0/0,""),preDEL!AP548)</f>
        <v/>
      </c>
      <c r="AQ548" s="112" t="str">
        <f>IF(preDEL!$AG548,IFERROR(0/0,""),preDEL!AQ548)</f>
        <v/>
      </c>
      <c r="AR548" s="112" t="str">
        <f>IF(preDEL!$AG548,IFERROR(0/0,""),preDEL!AR548)</f>
        <v/>
      </c>
      <c r="AS548" s="112" t="str">
        <f>IF(preDEL!$AG548,IFERROR(0/0,""),preDEL!AS548)</f>
        <v/>
      </c>
      <c r="AT548" s="112" t="b">
        <f>IF(preDEL!$AG548,IFERROR(0/0,""),preDEL!AT548)</f>
        <v>0</v>
      </c>
      <c r="AU548" s="112" t="str">
        <f>IF(preDEL!$AG548,IFERROR(0/0,""),preDEL!AU548)</f>
        <v/>
      </c>
      <c r="AV548" s="112" t="str">
        <f>IF(preDEL!$AG548,IFERROR(0/0,""),preDEL!AV548)</f>
        <v/>
      </c>
      <c r="AW548" s="112" t="str">
        <f>IF(preDEL!$AG548,IFERROR(0/0,""),preDEL!AW548)</f>
        <v/>
      </c>
      <c r="AX548" s="112" t="str">
        <f>IF(preDEL!$AG548,IFERROR(0/0,""),preDEL!AX548)</f>
        <v/>
      </c>
      <c r="AY548" s="112" t="str">
        <f>IF(preDEL!$AG548,IFERROR(0/0,""),preDEL!AY548)</f>
        <v/>
      </c>
      <c r="AZ548" s="174"/>
      <c r="BA548" s="174"/>
      <c r="BB548" s="174"/>
      <c r="BC548" s="174"/>
      <c r="BD548" s="174"/>
      <c r="BE548" s="174"/>
      <c r="BF548" s="174"/>
      <c r="BG548" s="174"/>
      <c r="BH548" s="174"/>
      <c r="BI548" s="174"/>
      <c r="BJ548" s="174"/>
      <c r="BK548" s="174"/>
      <c r="BL548" s="174"/>
      <c r="BM548" s="174"/>
      <c r="BN548" s="174"/>
      <c r="BO548" s="174"/>
      <c r="BP548" s="174"/>
      <c r="BQ548" s="174"/>
      <c r="BR548" s="174"/>
      <c r="BS548" s="174"/>
      <c r="BT548" s="174"/>
      <c r="BU548" s="174"/>
      <c r="BV548" s="174"/>
      <c r="BW548" s="174"/>
      <c r="BX548" s="174"/>
      <c r="BY548" s="174"/>
      <c r="BZ548" s="174"/>
      <c r="CA548" s="174"/>
      <c r="CB548" s="174"/>
      <c r="CC548" s="174"/>
      <c r="CD548" s="174"/>
    </row>
    <row r="549">
      <c r="A549" s="105" t="str">
        <f>IF(preDEL!$AG549,IFERROR(0/0,""),preDEL!A549)</f>
        <v>MA1201</v>
      </c>
      <c r="B549" s="170">
        <f>IF(preDEL!$AG549,IFERROR(0/0,""),preDEL!B549)</f>
        <v>44615</v>
      </c>
      <c r="C549" s="171">
        <f>IF(preDEL!$AG549,IFERROR(0/0,""),preDEL!C549)</f>
        <v>0.3433217593</v>
      </c>
      <c r="D549" s="105" t="str">
        <f>IF(preDEL!$AG549,IFERROR(0/0,""),preDEL!D549)</f>
        <v/>
      </c>
      <c r="E549" s="105" t="str">
        <f>IF(preDEL!$AG549,IFERROR(0/0,""),preDEL!E549)</f>
        <v/>
      </c>
      <c r="F549" s="112" t="str">
        <f>IF(preDEL!$AG549,IFERROR(0/0,""),preDEL!F549)</f>
        <v/>
      </c>
      <c r="G549" s="112" t="str">
        <f>IF(preDEL!$AG549,IFERROR(0/0,""),preDEL!G549)</f>
        <v/>
      </c>
      <c r="H549" s="112" t="str">
        <f>IF(preDEL!$AG549,IFERROR(0/0,""),preDEL!H549)</f>
        <v/>
      </c>
      <c r="I549" s="105" t="str">
        <f>IF(preDEL!$AG549,IFERROR(0/0,""),preDEL!I549)</f>
        <v/>
      </c>
      <c r="J549" s="105" t="str">
        <f>IF(preDEL!$AG549,IFERROR(0/0,""),preDEL!J549)</f>
        <v/>
      </c>
      <c r="K549" s="105" t="str">
        <f>IF(preDEL!$AG549,IFERROR(0/0,""),preDEL!K549)</f>
        <v>Positive</v>
      </c>
      <c r="L549" s="170">
        <f>IF(preDEL!$AG549,IFERROR(0/0,""),preDEL!L549)</f>
        <v>44615</v>
      </c>
      <c r="M549" s="171">
        <f>IF(preDEL!$AG549,IFERROR(0/0,""),preDEL!M549)</f>
        <v>0.4912615741</v>
      </c>
      <c r="N549" s="112" t="str">
        <f>IF(preDEL!$AG549,IFERROR(0/0,""),preDEL!N549)</f>
        <v/>
      </c>
      <c r="O549" s="112" t="str">
        <f>IF(preDEL!$AG549,IFERROR(0/0,""),preDEL!O549)</f>
        <v/>
      </c>
      <c r="P549" s="110" t="b">
        <f>IF(preDEL!$AG549,IFERROR(0/0,""),preDEL!P549)</f>
        <v>0</v>
      </c>
      <c r="Q549" s="110" t="str">
        <f>IF(preDEL!$AG549,IFERROR(0/0,""),preDEL!Q549)</f>
        <v>Result</v>
      </c>
      <c r="R549" s="104" t="b">
        <f>IF(preDEL!$AG549,IFERROR(0/0,""),preDEL!R549)</f>
        <v>1</v>
      </c>
      <c r="S549" s="104">
        <f>IF(preDEL!$AG549,IFERROR(0/0,""),preDEL!S549)</f>
        <v>1</v>
      </c>
      <c r="T549" s="110" t="str">
        <f>IF(preDEL!$AG549,IFERROR(0/0,""),preDEL!T549)</f>
        <v/>
      </c>
      <c r="U549" s="112" t="str">
        <f>IF(preDEL!$AG549,IFERROR(0/0,""),preDEL!U549)</f>
        <v/>
      </c>
      <c r="V549" s="105" t="str">
        <f>IF(preDEL!$AG549,IFERROR(0/0,""),preDEL!V549)</f>
        <v/>
      </c>
      <c r="W549" s="112" t="str">
        <f>IF(preDEL!$AG549,IFERROR(0/0,""),preDEL!W549)</f>
        <v/>
      </c>
      <c r="X549" s="104" t="b">
        <f>IF(preDEL!$AG549,IFERROR(0/0,""),preDEL!X549)</f>
        <v>0</v>
      </c>
      <c r="Y549" s="110" t="b">
        <f>IF(preDEL!$AG549,IFERROR(0/0,""),preDEL!Y549)</f>
        <v>0</v>
      </c>
      <c r="Z549" s="105" t="str">
        <f>IF(preDEL!$AG549,IFERROR(0/0,""),preDEL!Z549)</f>
        <v/>
      </c>
      <c r="AA549" s="110" t="b">
        <f>IF(preDEL!$AG549,IFERROR(0/0,""),preDEL!AA549)</f>
        <v>0</v>
      </c>
      <c r="AB549" s="110" t="b">
        <f>IF(preDEL!$AG549,IFERROR(0/0,""),preDEL!AB549)</f>
        <v>0</v>
      </c>
      <c r="AC549" s="172">
        <f>IF(preDEL!$AG549,IFERROR(0/0,""),preDEL!AC549)</f>
        <v>264</v>
      </c>
      <c r="AD549" s="104" t="b">
        <f>IF(preDEL!$AG549,IFERROR(0/0,""),preDEL!AD549)</f>
        <v>0</v>
      </c>
      <c r="AE549" s="173">
        <f>IF(preDEL!$AG549,IFERROR(0/0,""),preDEL!AE549)</f>
        <v>213.0333333</v>
      </c>
      <c r="AF549" s="110" t="b">
        <f>IF(preDEL!$AG549,IFERROR(0/0,""),preDEL!AF549)</f>
        <v>0</v>
      </c>
      <c r="AG549" s="110" t="b">
        <f>IF(preDEL!$AG549,IFERROR(0/0,""),preDEL!AG549)</f>
        <v>0</v>
      </c>
      <c r="AH549" s="104" t="str">
        <f>IF(preDEL!$AG549,IFERROR(0/0,""),preDEL!AH549)</f>
        <v/>
      </c>
      <c r="AI549" s="105" t="str">
        <f>IF(preDEL!$AG549,IFERROR(0/0,""),preDEL!AI549)</f>
        <v/>
      </c>
      <c r="AJ549" s="112">
        <f>IF(preDEL!$AG549,IFERROR(0/0,""),preDEL!AJ549)</f>
        <v>2.7</v>
      </c>
      <c r="AK549" s="105" t="str">
        <f>IF(preDEL!$AG549,IFERROR(0/0,""),preDEL!AK549)</f>
        <v>Negative</v>
      </c>
      <c r="AL549" s="112" t="str">
        <f>IF(preDEL!$AG549,IFERROR(0/0,""),preDEL!AL549)</f>
        <v>Pos to Neg based on RFR - checked image and entire batch mis-called</v>
      </c>
      <c r="AM549" s="112" t="str">
        <f>IF(preDEL!$AG549,IFERROR(0/0,""),preDEL!AM549)</f>
        <v>SpBEND977859</v>
      </c>
      <c r="AN549" s="112" t="str">
        <f>IF(preDEL!$AG549,IFERROR(0/0,""),preDEL!AN549)</f>
        <v>BEND143262</v>
      </c>
      <c r="AO549" s="112" t="str">
        <f>IF(preDEL!$AG549,IFERROR(0/0,""),preDEL!AO549)</f>
        <v/>
      </c>
      <c r="AP549" s="112" t="str">
        <f>IF(preDEL!$AG549,IFERROR(0/0,""),preDEL!AP549)</f>
        <v/>
      </c>
      <c r="AQ549" s="112" t="str">
        <f>IF(preDEL!$AG549,IFERROR(0/0,""),preDEL!AQ549)</f>
        <v/>
      </c>
      <c r="AR549" s="112" t="str">
        <f>IF(preDEL!$AG549,IFERROR(0/0,""),preDEL!AR549)</f>
        <v/>
      </c>
      <c r="AS549" s="112" t="str">
        <f>IF(preDEL!$AG549,IFERROR(0/0,""),preDEL!AS549)</f>
        <v/>
      </c>
      <c r="AT549" s="112" t="b">
        <f>IF(preDEL!$AG549,IFERROR(0/0,""),preDEL!AT549)</f>
        <v>0</v>
      </c>
      <c r="AU549" s="112" t="str">
        <f>IF(preDEL!$AG549,IFERROR(0/0,""),preDEL!AU549)</f>
        <v/>
      </c>
      <c r="AV549" s="112" t="str">
        <f>IF(preDEL!$AG549,IFERROR(0/0,""),preDEL!AV549)</f>
        <v/>
      </c>
      <c r="AW549" s="112" t="str">
        <f>IF(preDEL!$AG549,IFERROR(0/0,""),preDEL!AW549)</f>
        <v/>
      </c>
      <c r="AX549" s="112" t="str">
        <f>IF(preDEL!$AG549,IFERROR(0/0,""),preDEL!AX549)</f>
        <v/>
      </c>
      <c r="AY549" s="112" t="str">
        <f>IF(preDEL!$AG549,IFERROR(0/0,""),preDEL!AY549)</f>
        <v/>
      </c>
      <c r="AZ549" s="174"/>
      <c r="BA549" s="174"/>
      <c r="BB549" s="174"/>
      <c r="BC549" s="174"/>
      <c r="BD549" s="174"/>
      <c r="BE549" s="174"/>
      <c r="BF549" s="174"/>
      <c r="BG549" s="174"/>
      <c r="BH549" s="174"/>
      <c r="BI549" s="174"/>
      <c r="BJ549" s="174"/>
      <c r="BK549" s="174"/>
      <c r="BL549" s="174"/>
      <c r="BM549" s="174"/>
      <c r="BN549" s="174"/>
      <c r="BO549" s="174"/>
      <c r="BP549" s="174"/>
      <c r="BQ549" s="174"/>
      <c r="BR549" s="174"/>
      <c r="BS549" s="174"/>
      <c r="BT549" s="174"/>
      <c r="BU549" s="174"/>
      <c r="BV549" s="174"/>
      <c r="BW549" s="174"/>
      <c r="BX549" s="174"/>
      <c r="BY549" s="174"/>
      <c r="BZ549" s="174"/>
      <c r="CA549" s="174"/>
      <c r="CB549" s="174"/>
      <c r="CC549" s="174"/>
      <c r="CD549" s="174"/>
    </row>
    <row r="550">
      <c r="A550" s="105" t="str">
        <f>IF(preDEL!$AG550,IFERROR(0/0,""),preDEL!A550)</f>
        <v>FM493</v>
      </c>
      <c r="B550" s="170">
        <f>IF(preDEL!$AG550,IFERROR(0/0,""),preDEL!B550)</f>
        <v>44615</v>
      </c>
      <c r="C550" s="171">
        <f>IF(preDEL!$AG550,IFERROR(0/0,""),preDEL!C550)</f>
        <v>0.3441782407</v>
      </c>
      <c r="D550" s="105" t="str">
        <f>IF(preDEL!$AG550,IFERROR(0/0,""),preDEL!D550)</f>
        <v/>
      </c>
      <c r="E550" s="105" t="str">
        <f>IF(preDEL!$AG550,IFERROR(0/0,""),preDEL!E550)</f>
        <v/>
      </c>
      <c r="F550" s="112" t="str">
        <f>IF(preDEL!$AG550,IFERROR(0/0,""),preDEL!F550)</f>
        <v/>
      </c>
      <c r="G550" s="112" t="str">
        <f>IF(preDEL!$AG550,IFERROR(0/0,""),preDEL!G550)</f>
        <v/>
      </c>
      <c r="H550" s="112" t="str">
        <f>IF(preDEL!$AG550,IFERROR(0/0,""),preDEL!H550)</f>
        <v/>
      </c>
      <c r="I550" s="105" t="str">
        <f>IF(preDEL!$AG550,IFERROR(0/0,""),preDEL!I550)</f>
        <v/>
      </c>
      <c r="J550" s="105" t="str">
        <f>IF(preDEL!$AG550,IFERROR(0/0,""),preDEL!J550)</f>
        <v/>
      </c>
      <c r="K550" s="105" t="str">
        <f>IF(preDEL!$AG550,IFERROR(0/0,""),preDEL!K550)</f>
        <v>Positive</v>
      </c>
      <c r="L550" s="170">
        <f>IF(preDEL!$AG550,IFERROR(0/0,""),preDEL!L550)</f>
        <v>44615</v>
      </c>
      <c r="M550" s="171">
        <f>IF(preDEL!$AG550,IFERROR(0/0,""),preDEL!M550)</f>
        <v>0.4912615741</v>
      </c>
      <c r="N550" s="112" t="str">
        <f>IF(preDEL!$AG550,IFERROR(0/0,""),preDEL!N550)</f>
        <v/>
      </c>
      <c r="O550" s="112" t="str">
        <f>IF(preDEL!$AG550,IFERROR(0/0,""),preDEL!O550)</f>
        <v/>
      </c>
      <c r="P550" s="110" t="b">
        <f>IF(preDEL!$AG550,IFERROR(0/0,""),preDEL!P550)</f>
        <v>0</v>
      </c>
      <c r="Q550" s="110" t="str">
        <f>IF(preDEL!$AG550,IFERROR(0/0,""),preDEL!Q550)</f>
        <v>Result</v>
      </c>
      <c r="R550" s="104" t="b">
        <f>IF(preDEL!$AG550,IFERROR(0/0,""),preDEL!R550)</f>
        <v>1</v>
      </c>
      <c r="S550" s="104">
        <f>IF(preDEL!$AG550,IFERROR(0/0,""),preDEL!S550)</f>
        <v>1</v>
      </c>
      <c r="T550" s="110" t="str">
        <f>IF(preDEL!$AG550,IFERROR(0/0,""),preDEL!T550)</f>
        <v/>
      </c>
      <c r="U550" s="112" t="str">
        <f>IF(preDEL!$AG550,IFERROR(0/0,""),preDEL!U550)</f>
        <v/>
      </c>
      <c r="V550" s="105" t="str">
        <f>IF(preDEL!$AG550,IFERROR(0/0,""),preDEL!V550)</f>
        <v/>
      </c>
      <c r="W550" s="112" t="str">
        <f>IF(preDEL!$AG550,IFERROR(0/0,""),preDEL!W550)</f>
        <v/>
      </c>
      <c r="X550" s="104" t="b">
        <f>IF(preDEL!$AG550,IFERROR(0/0,""),preDEL!X550)</f>
        <v>0</v>
      </c>
      <c r="Y550" s="110" t="b">
        <f>IF(preDEL!$AG550,IFERROR(0/0,""),preDEL!Y550)</f>
        <v>0</v>
      </c>
      <c r="Z550" s="105" t="str">
        <f>IF(preDEL!$AG550,IFERROR(0/0,""),preDEL!Z550)</f>
        <v/>
      </c>
      <c r="AA550" s="110" t="b">
        <f>IF(preDEL!$AG550,IFERROR(0/0,""),preDEL!AA550)</f>
        <v>0</v>
      </c>
      <c r="AB550" s="110" t="b">
        <f>IF(preDEL!$AG550,IFERROR(0/0,""),preDEL!AB550)</f>
        <v>0</v>
      </c>
      <c r="AC550" s="172">
        <f>IF(preDEL!$AG550,IFERROR(0/0,""),preDEL!AC550)</f>
        <v>263</v>
      </c>
      <c r="AD550" s="104" t="b">
        <f>IF(preDEL!$AG550,IFERROR(0/0,""),preDEL!AD550)</f>
        <v>0</v>
      </c>
      <c r="AE550" s="173">
        <f>IF(preDEL!$AG550,IFERROR(0/0,""),preDEL!AE550)</f>
        <v>211.8</v>
      </c>
      <c r="AF550" s="110" t="b">
        <f>IF(preDEL!$AG550,IFERROR(0/0,""),preDEL!AF550)</f>
        <v>0</v>
      </c>
      <c r="AG550" s="110" t="b">
        <f>IF(preDEL!$AG550,IFERROR(0/0,""),preDEL!AG550)</f>
        <v>0</v>
      </c>
      <c r="AH550" s="104" t="str">
        <f>IF(preDEL!$AG550,IFERROR(0/0,""),preDEL!AH550)</f>
        <v/>
      </c>
      <c r="AI550" s="105" t="str">
        <f>IF(preDEL!$AG550,IFERROR(0/0,""),preDEL!AI550)</f>
        <v/>
      </c>
      <c r="AJ550" s="112">
        <f>IF(preDEL!$AG550,IFERROR(0/0,""),preDEL!AJ550)</f>
        <v>2.7</v>
      </c>
      <c r="AK550" s="105" t="str">
        <f>IF(preDEL!$AG550,IFERROR(0/0,""),preDEL!AK550)</f>
        <v>Negative</v>
      </c>
      <c r="AL550" s="112" t="str">
        <f>IF(preDEL!$AG550,IFERROR(0/0,""),preDEL!AL550)</f>
        <v>Pos to Neg based on RFR - checked image and entire batch mis-called</v>
      </c>
      <c r="AM550" s="112" t="str">
        <f>IF(preDEL!$AG550,IFERROR(0/0,""),preDEL!AM550)</f>
        <v>SpBEND413838</v>
      </c>
      <c r="AN550" s="112" t="str">
        <f>IF(preDEL!$AG550,IFERROR(0/0,""),preDEL!AN550)</f>
        <v>BEND170871</v>
      </c>
      <c r="AO550" s="112" t="str">
        <f>IF(preDEL!$AG550,IFERROR(0/0,""),preDEL!AO550)</f>
        <v/>
      </c>
      <c r="AP550" s="112" t="str">
        <f>IF(preDEL!$AG550,IFERROR(0/0,""),preDEL!AP550)</f>
        <v/>
      </c>
      <c r="AQ550" s="112" t="str">
        <f>IF(preDEL!$AG550,IFERROR(0/0,""),preDEL!AQ550)</f>
        <v/>
      </c>
      <c r="AR550" s="112" t="str">
        <f>IF(preDEL!$AG550,IFERROR(0/0,""),preDEL!AR550)</f>
        <v/>
      </c>
      <c r="AS550" s="112" t="str">
        <f>IF(preDEL!$AG550,IFERROR(0/0,""),preDEL!AS550)</f>
        <v/>
      </c>
      <c r="AT550" s="112" t="b">
        <f>IF(preDEL!$AG550,IFERROR(0/0,""),preDEL!AT550)</f>
        <v>0</v>
      </c>
      <c r="AU550" s="112" t="str">
        <f>IF(preDEL!$AG550,IFERROR(0/0,""),preDEL!AU550)</f>
        <v/>
      </c>
      <c r="AV550" s="112" t="str">
        <f>IF(preDEL!$AG550,IFERROR(0/0,""),preDEL!AV550)</f>
        <v/>
      </c>
      <c r="AW550" s="112" t="str">
        <f>IF(preDEL!$AG550,IFERROR(0/0,""),preDEL!AW550)</f>
        <v/>
      </c>
      <c r="AX550" s="112" t="str">
        <f>IF(preDEL!$AG550,IFERROR(0/0,""),preDEL!AX550)</f>
        <v/>
      </c>
      <c r="AY550" s="112" t="str">
        <f>IF(preDEL!$AG550,IFERROR(0/0,""),preDEL!AY550)</f>
        <v/>
      </c>
      <c r="AZ550" s="174"/>
      <c r="BA550" s="174"/>
      <c r="BB550" s="174"/>
      <c r="BC550" s="174"/>
      <c r="BD550" s="174"/>
      <c r="BE550" s="174"/>
      <c r="BF550" s="174"/>
      <c r="BG550" s="174"/>
      <c r="BH550" s="174"/>
      <c r="BI550" s="174"/>
      <c r="BJ550" s="174"/>
      <c r="BK550" s="174"/>
      <c r="BL550" s="174"/>
      <c r="BM550" s="174"/>
      <c r="BN550" s="174"/>
      <c r="BO550" s="174"/>
      <c r="BP550" s="174"/>
      <c r="BQ550" s="174"/>
      <c r="BR550" s="174"/>
      <c r="BS550" s="174"/>
      <c r="BT550" s="174"/>
      <c r="BU550" s="174"/>
      <c r="BV550" s="174"/>
      <c r="BW550" s="174"/>
      <c r="BX550" s="174"/>
      <c r="BY550" s="174"/>
      <c r="BZ550" s="174"/>
      <c r="CA550" s="174"/>
      <c r="CB550" s="174"/>
      <c r="CC550" s="174"/>
      <c r="CD550" s="174"/>
    </row>
    <row r="551">
      <c r="A551" s="105" t="str">
        <f>IF(preDEL!$AG551,IFERROR(0/0,""),preDEL!A551)</f>
        <v>FM783</v>
      </c>
      <c r="B551" s="170">
        <f>IF(preDEL!$AG551,IFERROR(0/0,""),preDEL!B551)</f>
        <v>44615</v>
      </c>
      <c r="C551" s="171">
        <f>IF(preDEL!$AG551,IFERROR(0/0,""),preDEL!C551)</f>
        <v>0.3872222222</v>
      </c>
      <c r="D551" s="105" t="str">
        <f>IF(preDEL!$AG551,IFERROR(0/0,""),preDEL!D551)</f>
        <v/>
      </c>
      <c r="E551" s="105" t="str">
        <f>IF(preDEL!$AG551,IFERROR(0/0,""),preDEL!E551)</f>
        <v/>
      </c>
      <c r="F551" s="112" t="str">
        <f>IF(preDEL!$AG551,IFERROR(0/0,""),preDEL!F551)</f>
        <v/>
      </c>
      <c r="G551" s="112" t="str">
        <f>IF(preDEL!$AG551,IFERROR(0/0,""),preDEL!G551)</f>
        <v/>
      </c>
      <c r="H551" s="112" t="str">
        <f>IF(preDEL!$AG551,IFERROR(0/0,""),preDEL!H551)</f>
        <v/>
      </c>
      <c r="I551" s="105" t="str">
        <f>IF(preDEL!$AG551,IFERROR(0/0,""),preDEL!I551)</f>
        <v/>
      </c>
      <c r="J551" s="105" t="str">
        <f>IF(preDEL!$AG551,IFERROR(0/0,""),preDEL!J551)</f>
        <v/>
      </c>
      <c r="K551" s="105" t="str">
        <f>IF(preDEL!$AG551,IFERROR(0/0,""),preDEL!K551)</f>
        <v>Positive</v>
      </c>
      <c r="L551" s="170">
        <f>IF(preDEL!$AG551,IFERROR(0/0,""),preDEL!L551)</f>
        <v>44615</v>
      </c>
      <c r="M551" s="171">
        <f>IF(preDEL!$AG551,IFERROR(0/0,""),preDEL!M551)</f>
        <v>0.4912615741</v>
      </c>
      <c r="N551" s="112" t="str">
        <f>IF(preDEL!$AG551,IFERROR(0/0,""),preDEL!N551)</f>
        <v/>
      </c>
      <c r="O551" s="112" t="str">
        <f>IF(preDEL!$AG551,IFERROR(0/0,""),preDEL!O551)</f>
        <v/>
      </c>
      <c r="P551" s="110" t="b">
        <f>IF(preDEL!$AG551,IFERROR(0/0,""),preDEL!P551)</f>
        <v>0</v>
      </c>
      <c r="Q551" s="110" t="str">
        <f>IF(preDEL!$AG551,IFERROR(0/0,""),preDEL!Q551)</f>
        <v>Result</v>
      </c>
      <c r="R551" s="104" t="b">
        <f>IF(preDEL!$AG551,IFERROR(0/0,""),preDEL!R551)</f>
        <v>1</v>
      </c>
      <c r="S551" s="104">
        <f>IF(preDEL!$AG551,IFERROR(0/0,""),preDEL!S551)</f>
        <v>1</v>
      </c>
      <c r="T551" s="110" t="str">
        <f>IF(preDEL!$AG551,IFERROR(0/0,""),preDEL!T551)</f>
        <v/>
      </c>
      <c r="U551" s="112" t="str">
        <f>IF(preDEL!$AG551,IFERROR(0/0,""),preDEL!U551)</f>
        <v/>
      </c>
      <c r="V551" s="105" t="str">
        <f>IF(preDEL!$AG551,IFERROR(0/0,""),preDEL!V551)</f>
        <v/>
      </c>
      <c r="W551" s="112" t="str">
        <f>IF(preDEL!$AG551,IFERROR(0/0,""),preDEL!W551)</f>
        <v/>
      </c>
      <c r="X551" s="104" t="b">
        <f>IF(preDEL!$AG551,IFERROR(0/0,""),preDEL!X551)</f>
        <v>0</v>
      </c>
      <c r="Y551" s="110" t="b">
        <f>IF(preDEL!$AG551,IFERROR(0/0,""),preDEL!Y551)</f>
        <v>0</v>
      </c>
      <c r="Z551" s="105" t="str">
        <f>IF(preDEL!$AG551,IFERROR(0/0,""),preDEL!Z551)</f>
        <v/>
      </c>
      <c r="AA551" s="110" t="b">
        <f>IF(preDEL!$AG551,IFERROR(0/0,""),preDEL!AA551)</f>
        <v>0</v>
      </c>
      <c r="AB551" s="110" t="b">
        <f>IF(preDEL!$AG551,IFERROR(0/0,""),preDEL!AB551)</f>
        <v>0</v>
      </c>
      <c r="AC551" s="172">
        <f>IF(preDEL!$AG551,IFERROR(0/0,""),preDEL!AC551)</f>
        <v>262</v>
      </c>
      <c r="AD551" s="104" t="b">
        <f>IF(preDEL!$AG551,IFERROR(0/0,""),preDEL!AD551)</f>
        <v>0</v>
      </c>
      <c r="AE551" s="173">
        <f>IF(preDEL!$AG551,IFERROR(0/0,""),preDEL!AE551)</f>
        <v>149.8166667</v>
      </c>
      <c r="AF551" s="110" t="b">
        <f>IF(preDEL!$AG551,IFERROR(0/0,""),preDEL!AF551)</f>
        <v>0</v>
      </c>
      <c r="AG551" s="110" t="b">
        <f>IF(preDEL!$AG551,IFERROR(0/0,""),preDEL!AG551)</f>
        <v>0</v>
      </c>
      <c r="AH551" s="104" t="str">
        <f>IF(preDEL!$AG551,IFERROR(0/0,""),preDEL!AH551)</f>
        <v/>
      </c>
      <c r="AI551" s="105" t="str">
        <f>IF(preDEL!$AG551,IFERROR(0/0,""),preDEL!AI551)</f>
        <v/>
      </c>
      <c r="AJ551" s="112">
        <f>IF(preDEL!$AG551,IFERROR(0/0,""),preDEL!AJ551)</f>
        <v>2.7</v>
      </c>
      <c r="AK551" s="105" t="str">
        <f>IF(preDEL!$AG551,IFERROR(0/0,""),preDEL!AK551)</f>
        <v>Negative</v>
      </c>
      <c r="AL551" s="112" t="str">
        <f>IF(preDEL!$AG551,IFERROR(0/0,""),preDEL!AL551)</f>
        <v>Pos to Neg based on RFR - checked image and entire batch mis-called</v>
      </c>
      <c r="AM551" s="112" t="str">
        <f>IF(preDEL!$AG551,IFERROR(0/0,""),preDEL!AM551)</f>
        <v>SpBEND914710</v>
      </c>
      <c r="AN551" s="112" t="str">
        <f>IF(preDEL!$AG551,IFERROR(0/0,""),preDEL!AN551)</f>
        <v>BEND199320</v>
      </c>
      <c r="AO551" s="112" t="str">
        <f>IF(preDEL!$AG551,IFERROR(0/0,""),preDEL!AO551)</f>
        <v/>
      </c>
      <c r="AP551" s="112" t="str">
        <f>IF(preDEL!$AG551,IFERROR(0/0,""),preDEL!AP551)</f>
        <v/>
      </c>
      <c r="AQ551" s="112" t="str">
        <f>IF(preDEL!$AG551,IFERROR(0/0,""),preDEL!AQ551)</f>
        <v/>
      </c>
      <c r="AR551" s="112" t="str">
        <f>IF(preDEL!$AG551,IFERROR(0/0,""),preDEL!AR551)</f>
        <v/>
      </c>
      <c r="AS551" s="112" t="str">
        <f>IF(preDEL!$AG551,IFERROR(0/0,""),preDEL!AS551)</f>
        <v/>
      </c>
      <c r="AT551" s="112" t="b">
        <f>IF(preDEL!$AG551,IFERROR(0/0,""),preDEL!AT551)</f>
        <v>0</v>
      </c>
      <c r="AU551" s="112" t="str">
        <f>IF(preDEL!$AG551,IFERROR(0/0,""),preDEL!AU551)</f>
        <v/>
      </c>
      <c r="AV551" s="112" t="str">
        <f>IF(preDEL!$AG551,IFERROR(0/0,""),preDEL!AV551)</f>
        <v/>
      </c>
      <c r="AW551" s="112" t="str">
        <f>IF(preDEL!$AG551,IFERROR(0/0,""),preDEL!AW551)</f>
        <v/>
      </c>
      <c r="AX551" s="112" t="str">
        <f>IF(preDEL!$AG551,IFERROR(0/0,""),preDEL!AX551)</f>
        <v/>
      </c>
      <c r="AY551" s="112" t="str">
        <f>IF(preDEL!$AG551,IFERROR(0/0,""),preDEL!AY551)</f>
        <v/>
      </c>
      <c r="AZ551" s="174"/>
      <c r="BA551" s="174"/>
      <c r="BB551" s="174"/>
      <c r="BC551" s="174"/>
      <c r="BD551" s="174"/>
      <c r="BE551" s="174"/>
      <c r="BF551" s="174"/>
      <c r="BG551" s="174"/>
      <c r="BH551" s="174"/>
      <c r="BI551" s="174"/>
      <c r="BJ551" s="174"/>
      <c r="BK551" s="174"/>
      <c r="BL551" s="174"/>
      <c r="BM551" s="174"/>
      <c r="BN551" s="174"/>
      <c r="BO551" s="174"/>
      <c r="BP551" s="174"/>
      <c r="BQ551" s="174"/>
      <c r="BR551" s="174"/>
      <c r="BS551" s="174"/>
      <c r="BT551" s="174"/>
      <c r="BU551" s="174"/>
      <c r="BV551" s="174"/>
      <c r="BW551" s="174"/>
      <c r="BX551" s="174"/>
      <c r="BY551" s="174"/>
      <c r="BZ551" s="174"/>
      <c r="CA551" s="174"/>
      <c r="CB551" s="174"/>
      <c r="CC551" s="174"/>
      <c r="CD551" s="174"/>
    </row>
    <row r="552">
      <c r="A552" s="105" t="str">
        <f>IF(preDEL!$AG552,IFERROR(0/0,""),preDEL!A552)</f>
        <v>FM109</v>
      </c>
      <c r="B552" s="170">
        <f>IF(preDEL!$AG552,IFERROR(0/0,""),preDEL!B552)</f>
        <v>44615</v>
      </c>
      <c r="C552" s="171">
        <f>IF(preDEL!$AG552,IFERROR(0/0,""),preDEL!C552)</f>
        <v>0.3953356481</v>
      </c>
      <c r="D552" s="105" t="str">
        <f>IF(preDEL!$AG552,IFERROR(0/0,""),preDEL!D552)</f>
        <v/>
      </c>
      <c r="E552" s="105" t="str">
        <f>IF(preDEL!$AG552,IFERROR(0/0,""),preDEL!E552)</f>
        <v/>
      </c>
      <c r="F552" s="112" t="str">
        <f>IF(preDEL!$AG552,IFERROR(0/0,""),preDEL!F552)</f>
        <v/>
      </c>
      <c r="G552" s="112" t="str">
        <f>IF(preDEL!$AG552,IFERROR(0/0,""),preDEL!G552)</f>
        <v/>
      </c>
      <c r="H552" s="112" t="str">
        <f>IF(preDEL!$AG552,IFERROR(0/0,""),preDEL!H552)</f>
        <v/>
      </c>
      <c r="I552" s="105" t="str">
        <f>IF(preDEL!$AG552,IFERROR(0/0,""),preDEL!I552)</f>
        <v/>
      </c>
      <c r="J552" s="105" t="str">
        <f>IF(preDEL!$AG552,IFERROR(0/0,""),preDEL!J552)</f>
        <v/>
      </c>
      <c r="K552" s="105" t="str">
        <f>IF(preDEL!$AG552,IFERROR(0/0,""),preDEL!K552)</f>
        <v>Positive</v>
      </c>
      <c r="L552" s="170">
        <f>IF(preDEL!$AG552,IFERROR(0/0,""),preDEL!L552)</f>
        <v>44615</v>
      </c>
      <c r="M552" s="171">
        <f>IF(preDEL!$AG552,IFERROR(0/0,""),preDEL!M552)</f>
        <v>0.4912615741</v>
      </c>
      <c r="N552" s="112" t="str">
        <f>IF(preDEL!$AG552,IFERROR(0/0,""),preDEL!N552)</f>
        <v/>
      </c>
      <c r="O552" s="112" t="str">
        <f>IF(preDEL!$AG552,IFERROR(0/0,""),preDEL!O552)</f>
        <v/>
      </c>
      <c r="P552" s="110" t="b">
        <f>IF(preDEL!$AG552,IFERROR(0/0,""),preDEL!P552)</f>
        <v>0</v>
      </c>
      <c r="Q552" s="110" t="str">
        <f>IF(preDEL!$AG552,IFERROR(0/0,""),preDEL!Q552)</f>
        <v>Result</v>
      </c>
      <c r="R552" s="104" t="b">
        <f>IF(preDEL!$AG552,IFERROR(0/0,""),preDEL!R552)</f>
        <v>1</v>
      </c>
      <c r="S552" s="104">
        <f>IF(preDEL!$AG552,IFERROR(0/0,""),preDEL!S552)</f>
        <v>1</v>
      </c>
      <c r="T552" s="110" t="str">
        <f>IF(preDEL!$AG552,IFERROR(0/0,""),preDEL!T552)</f>
        <v/>
      </c>
      <c r="U552" s="112" t="str">
        <f>IF(preDEL!$AG552,IFERROR(0/0,""),preDEL!U552)</f>
        <v/>
      </c>
      <c r="V552" s="105" t="str">
        <f>IF(preDEL!$AG552,IFERROR(0/0,""),preDEL!V552)</f>
        <v/>
      </c>
      <c r="W552" s="112" t="str">
        <f>IF(preDEL!$AG552,IFERROR(0/0,""),preDEL!W552)</f>
        <v/>
      </c>
      <c r="X552" s="104" t="b">
        <f>IF(preDEL!$AG552,IFERROR(0/0,""),preDEL!X552)</f>
        <v>0</v>
      </c>
      <c r="Y552" s="110" t="b">
        <f>IF(preDEL!$AG552,IFERROR(0/0,""),preDEL!Y552)</f>
        <v>0</v>
      </c>
      <c r="Z552" s="105" t="str">
        <f>IF(preDEL!$AG552,IFERROR(0/0,""),preDEL!Z552)</f>
        <v/>
      </c>
      <c r="AA552" s="110" t="b">
        <f>IF(preDEL!$AG552,IFERROR(0/0,""),preDEL!AA552)</f>
        <v>0</v>
      </c>
      <c r="AB552" s="110" t="b">
        <f>IF(preDEL!$AG552,IFERROR(0/0,""),preDEL!AB552)</f>
        <v>0</v>
      </c>
      <c r="AC552" s="172">
        <f>IF(preDEL!$AG552,IFERROR(0/0,""),preDEL!AC552)</f>
        <v>261</v>
      </c>
      <c r="AD552" s="104" t="b">
        <f>IF(preDEL!$AG552,IFERROR(0/0,""),preDEL!AD552)</f>
        <v>0</v>
      </c>
      <c r="AE552" s="173">
        <f>IF(preDEL!$AG552,IFERROR(0/0,""),preDEL!AE552)</f>
        <v>138.1333333</v>
      </c>
      <c r="AF552" s="110" t="b">
        <f>IF(preDEL!$AG552,IFERROR(0/0,""),preDEL!AF552)</f>
        <v>0</v>
      </c>
      <c r="AG552" s="110" t="b">
        <f>IF(preDEL!$AG552,IFERROR(0/0,""),preDEL!AG552)</f>
        <v>0</v>
      </c>
      <c r="AH552" s="104" t="str">
        <f>IF(preDEL!$AG552,IFERROR(0/0,""),preDEL!AH552)</f>
        <v/>
      </c>
      <c r="AI552" s="105" t="str">
        <f>IF(preDEL!$AG552,IFERROR(0/0,""),preDEL!AI552)</f>
        <v/>
      </c>
      <c r="AJ552" s="112">
        <f>IF(preDEL!$AG552,IFERROR(0/0,""),preDEL!AJ552)</f>
        <v>2.7</v>
      </c>
      <c r="AK552" s="105" t="str">
        <f>IF(preDEL!$AG552,IFERROR(0/0,""),preDEL!AK552)</f>
        <v>Negative</v>
      </c>
      <c r="AL552" s="112" t="str">
        <f>IF(preDEL!$AG552,IFERROR(0/0,""),preDEL!AL552)</f>
        <v>Pos to Neg based on RFR - checked image and entire batch mis-called</v>
      </c>
      <c r="AM552" s="112" t="str">
        <f>IF(preDEL!$AG552,IFERROR(0/0,""),preDEL!AM552)</f>
        <v>SpBEND643855</v>
      </c>
      <c r="AN552" s="112" t="str">
        <f>IF(preDEL!$AG552,IFERROR(0/0,""),preDEL!AN552)</f>
        <v>BEND364074</v>
      </c>
      <c r="AO552" s="112" t="str">
        <f>IF(preDEL!$AG552,IFERROR(0/0,""),preDEL!AO552)</f>
        <v/>
      </c>
      <c r="AP552" s="112" t="str">
        <f>IF(preDEL!$AG552,IFERROR(0/0,""),preDEL!AP552)</f>
        <v/>
      </c>
      <c r="AQ552" s="112" t="str">
        <f>IF(preDEL!$AG552,IFERROR(0/0,""),preDEL!AQ552)</f>
        <v/>
      </c>
      <c r="AR552" s="112" t="str">
        <f>IF(preDEL!$AG552,IFERROR(0/0,""),preDEL!AR552)</f>
        <v/>
      </c>
      <c r="AS552" s="112" t="str">
        <f>IF(preDEL!$AG552,IFERROR(0/0,""),preDEL!AS552)</f>
        <v/>
      </c>
      <c r="AT552" s="112" t="b">
        <f>IF(preDEL!$AG552,IFERROR(0/0,""),preDEL!AT552)</f>
        <v>0</v>
      </c>
      <c r="AU552" s="112" t="str">
        <f>IF(preDEL!$AG552,IFERROR(0/0,""),preDEL!AU552)</f>
        <v/>
      </c>
      <c r="AV552" s="112" t="str">
        <f>IF(preDEL!$AG552,IFERROR(0/0,""),preDEL!AV552)</f>
        <v/>
      </c>
      <c r="AW552" s="112" t="str">
        <f>IF(preDEL!$AG552,IFERROR(0/0,""),preDEL!AW552)</f>
        <v/>
      </c>
      <c r="AX552" s="112" t="str">
        <f>IF(preDEL!$AG552,IFERROR(0/0,""),preDEL!AX552)</f>
        <v/>
      </c>
      <c r="AY552" s="112" t="str">
        <f>IF(preDEL!$AG552,IFERROR(0/0,""),preDEL!AY552)</f>
        <v/>
      </c>
      <c r="AZ552" s="174"/>
      <c r="BA552" s="174"/>
      <c r="BB552" s="174"/>
      <c r="BC552" s="174"/>
      <c r="BD552" s="174"/>
      <c r="BE552" s="174"/>
      <c r="BF552" s="174"/>
      <c r="BG552" s="174"/>
      <c r="BH552" s="174"/>
      <c r="BI552" s="174"/>
      <c r="BJ552" s="174"/>
      <c r="BK552" s="174"/>
      <c r="BL552" s="174"/>
      <c r="BM552" s="174"/>
      <c r="BN552" s="174"/>
      <c r="BO552" s="174"/>
      <c r="BP552" s="174"/>
      <c r="BQ552" s="174"/>
      <c r="BR552" s="174"/>
      <c r="BS552" s="174"/>
      <c r="BT552" s="174"/>
      <c r="BU552" s="174"/>
      <c r="BV552" s="174"/>
      <c r="BW552" s="174"/>
      <c r="BX552" s="174"/>
      <c r="BY552" s="174"/>
      <c r="BZ552" s="174"/>
      <c r="CA552" s="174"/>
      <c r="CB552" s="174"/>
      <c r="CC552" s="174"/>
      <c r="CD552" s="174"/>
    </row>
    <row r="553">
      <c r="A553" s="105" t="str">
        <f>IF(preDEL!$AG553,IFERROR(0/0,""),preDEL!A553)</f>
        <v>MAX118</v>
      </c>
      <c r="B553" s="170">
        <f>IF(preDEL!$AG553,IFERROR(0/0,""),preDEL!B553)</f>
        <v>44615</v>
      </c>
      <c r="C553" s="171">
        <f>IF(preDEL!$AG553,IFERROR(0/0,""),preDEL!C553)</f>
        <v>0.4183912037</v>
      </c>
      <c r="D553" s="105" t="str">
        <f>IF(preDEL!$AG553,IFERROR(0/0,""),preDEL!D553)</f>
        <v/>
      </c>
      <c r="E553" s="105" t="str">
        <f>IF(preDEL!$AG553,IFERROR(0/0,""),preDEL!E553)</f>
        <v/>
      </c>
      <c r="F553" s="112" t="str">
        <f>IF(preDEL!$AG553,IFERROR(0/0,""),preDEL!F553)</f>
        <v/>
      </c>
      <c r="G553" s="112" t="str">
        <f>IF(preDEL!$AG553,IFERROR(0/0,""),preDEL!G553)</f>
        <v/>
      </c>
      <c r="H553" s="112" t="str">
        <f>IF(preDEL!$AG553,IFERROR(0/0,""),preDEL!H553)</f>
        <v/>
      </c>
      <c r="I553" s="105" t="str">
        <f>IF(preDEL!$AG553,IFERROR(0/0,""),preDEL!I553)</f>
        <v/>
      </c>
      <c r="J553" s="105" t="str">
        <f>IF(preDEL!$AG553,IFERROR(0/0,""),preDEL!J553)</f>
        <v/>
      </c>
      <c r="K553" s="105" t="str">
        <f>IF(preDEL!$AG553,IFERROR(0/0,""),preDEL!K553)</f>
        <v>Positive</v>
      </c>
      <c r="L553" s="170">
        <f>IF(preDEL!$AG553,IFERROR(0/0,""),preDEL!L553)</f>
        <v>44615</v>
      </c>
      <c r="M553" s="171">
        <f>IF(preDEL!$AG553,IFERROR(0/0,""),preDEL!M553)</f>
        <v>0.4912615741</v>
      </c>
      <c r="N553" s="112" t="str">
        <f>IF(preDEL!$AG553,IFERROR(0/0,""),preDEL!N553)</f>
        <v/>
      </c>
      <c r="O553" s="112" t="str">
        <f>IF(preDEL!$AG553,IFERROR(0/0,""),preDEL!O553)</f>
        <v/>
      </c>
      <c r="P553" s="110" t="b">
        <f>IF(preDEL!$AG553,IFERROR(0/0,""),preDEL!P553)</f>
        <v>0</v>
      </c>
      <c r="Q553" s="110" t="str">
        <f>IF(preDEL!$AG553,IFERROR(0/0,""),preDEL!Q553)</f>
        <v>Result</v>
      </c>
      <c r="R553" s="104" t="b">
        <f>IF(preDEL!$AG553,IFERROR(0/0,""),preDEL!R553)</f>
        <v>1</v>
      </c>
      <c r="S553" s="104">
        <f>IF(preDEL!$AG553,IFERROR(0/0,""),preDEL!S553)</f>
        <v>1</v>
      </c>
      <c r="T553" s="110" t="str">
        <f>IF(preDEL!$AG553,IFERROR(0/0,""),preDEL!T553)</f>
        <v/>
      </c>
      <c r="U553" s="112" t="str">
        <f>IF(preDEL!$AG553,IFERROR(0/0,""),preDEL!U553)</f>
        <v/>
      </c>
      <c r="V553" s="105" t="str">
        <f>IF(preDEL!$AG553,IFERROR(0/0,""),preDEL!V553)</f>
        <v/>
      </c>
      <c r="W553" s="112" t="str">
        <f>IF(preDEL!$AG553,IFERROR(0/0,""),preDEL!W553)</f>
        <v/>
      </c>
      <c r="X553" s="104" t="b">
        <f>IF(preDEL!$AG553,IFERROR(0/0,""),preDEL!X553)</f>
        <v>0</v>
      </c>
      <c r="Y553" s="110" t="b">
        <f>IF(preDEL!$AG553,IFERROR(0/0,""),preDEL!Y553)</f>
        <v>0</v>
      </c>
      <c r="Z553" s="105" t="str">
        <f>IF(preDEL!$AG553,IFERROR(0/0,""),preDEL!Z553)</f>
        <v/>
      </c>
      <c r="AA553" s="110" t="b">
        <f>IF(preDEL!$AG553,IFERROR(0/0,""),preDEL!AA553)</f>
        <v>0</v>
      </c>
      <c r="AB553" s="110" t="b">
        <f>IF(preDEL!$AG553,IFERROR(0/0,""),preDEL!AB553)</f>
        <v>0</v>
      </c>
      <c r="AC553" s="172">
        <f>IF(preDEL!$AG553,IFERROR(0/0,""),preDEL!AC553)</f>
        <v>260</v>
      </c>
      <c r="AD553" s="104" t="b">
        <f>IF(preDEL!$AG553,IFERROR(0/0,""),preDEL!AD553)</f>
        <v>0</v>
      </c>
      <c r="AE553" s="173">
        <f>IF(preDEL!$AG553,IFERROR(0/0,""),preDEL!AE553)</f>
        <v>104.9333333</v>
      </c>
      <c r="AF553" s="110" t="b">
        <f>IF(preDEL!$AG553,IFERROR(0/0,""),preDEL!AF553)</f>
        <v>0</v>
      </c>
      <c r="AG553" s="110" t="b">
        <f>IF(preDEL!$AG553,IFERROR(0/0,""),preDEL!AG553)</f>
        <v>0</v>
      </c>
      <c r="AH553" s="104" t="str">
        <f>IF(preDEL!$AG553,IFERROR(0/0,""),preDEL!AH553)</f>
        <v/>
      </c>
      <c r="AI553" s="105" t="str">
        <f>IF(preDEL!$AG553,IFERROR(0/0,""),preDEL!AI553)</f>
        <v/>
      </c>
      <c r="AJ553" s="112">
        <f>IF(preDEL!$AG553,IFERROR(0/0,""),preDEL!AJ553)</f>
        <v>2.7</v>
      </c>
      <c r="AK553" s="105" t="str">
        <f>IF(preDEL!$AG553,IFERROR(0/0,""),preDEL!AK553)</f>
        <v>Negative</v>
      </c>
      <c r="AL553" s="112" t="str">
        <f>IF(preDEL!$AG553,IFERROR(0/0,""),preDEL!AL553)</f>
        <v>Pos to Neg based on RFR - checked image and entire batch mis-called</v>
      </c>
      <c r="AM553" s="112" t="str">
        <f>IF(preDEL!$AG553,IFERROR(0/0,""),preDEL!AM553)</f>
        <v>SpBEND394154</v>
      </c>
      <c r="AN553" s="112" t="str">
        <f>IF(preDEL!$AG553,IFERROR(0/0,""),preDEL!AN553)</f>
        <v>BEND365993</v>
      </c>
      <c r="AO553" s="112" t="str">
        <f>IF(preDEL!$AG553,IFERROR(0/0,""),preDEL!AO553)</f>
        <v/>
      </c>
      <c r="AP553" s="112" t="str">
        <f>IF(preDEL!$AG553,IFERROR(0/0,""),preDEL!AP553)</f>
        <v/>
      </c>
      <c r="AQ553" s="112" t="str">
        <f>IF(preDEL!$AG553,IFERROR(0/0,""),preDEL!AQ553)</f>
        <v/>
      </c>
      <c r="AR553" s="112" t="str">
        <f>IF(preDEL!$AG553,IFERROR(0/0,""),preDEL!AR553)</f>
        <v/>
      </c>
      <c r="AS553" s="112" t="str">
        <f>IF(preDEL!$AG553,IFERROR(0/0,""),preDEL!AS553)</f>
        <v/>
      </c>
      <c r="AT553" s="112" t="b">
        <f>IF(preDEL!$AG553,IFERROR(0/0,""),preDEL!AT553)</f>
        <v>0</v>
      </c>
      <c r="AU553" s="112" t="str">
        <f>IF(preDEL!$AG553,IFERROR(0/0,""),preDEL!AU553)</f>
        <v/>
      </c>
      <c r="AV553" s="112" t="str">
        <f>IF(preDEL!$AG553,IFERROR(0/0,""),preDEL!AV553)</f>
        <v/>
      </c>
      <c r="AW553" s="112" t="str">
        <f>IF(preDEL!$AG553,IFERROR(0/0,""),preDEL!AW553)</f>
        <v/>
      </c>
      <c r="AX553" s="112" t="str">
        <f>IF(preDEL!$AG553,IFERROR(0/0,""),preDEL!AX553)</f>
        <v/>
      </c>
      <c r="AY553" s="112" t="str">
        <f>IF(preDEL!$AG553,IFERROR(0/0,""),preDEL!AY553)</f>
        <v/>
      </c>
      <c r="AZ553" s="174"/>
      <c r="BA553" s="174"/>
      <c r="BB553" s="174"/>
      <c r="BC553" s="174"/>
      <c r="BD553" s="174"/>
      <c r="BE553" s="174"/>
      <c r="BF553" s="174"/>
      <c r="BG553" s="174"/>
      <c r="BH553" s="174"/>
      <c r="BI553" s="174"/>
      <c r="BJ553" s="174"/>
      <c r="BK553" s="174"/>
      <c r="BL553" s="174"/>
      <c r="BM553" s="174"/>
      <c r="BN553" s="174"/>
      <c r="BO553" s="174"/>
      <c r="BP553" s="174"/>
      <c r="BQ553" s="174"/>
      <c r="BR553" s="174"/>
      <c r="BS553" s="174"/>
      <c r="BT553" s="174"/>
      <c r="BU553" s="174"/>
      <c r="BV553" s="174"/>
      <c r="BW553" s="174"/>
      <c r="BX553" s="174"/>
      <c r="BY553" s="174"/>
      <c r="BZ553" s="174"/>
      <c r="CA553" s="174"/>
      <c r="CB553" s="174"/>
      <c r="CC553" s="174"/>
      <c r="CD553" s="174"/>
    </row>
    <row r="554">
      <c r="A554" s="105" t="str">
        <f>IF(preDEL!$AG554,IFERROR(0/0,""),preDEL!A554)</f>
        <v>MAX82</v>
      </c>
      <c r="B554" s="170">
        <f>IF(preDEL!$AG554,IFERROR(0/0,""),preDEL!B554)</f>
        <v>44615</v>
      </c>
      <c r="C554" s="171">
        <f>IF(preDEL!$AG554,IFERROR(0/0,""),preDEL!C554)</f>
        <v>0.4184490741</v>
      </c>
      <c r="D554" s="105" t="str">
        <f>IF(preDEL!$AG554,IFERROR(0/0,""),preDEL!D554)</f>
        <v/>
      </c>
      <c r="E554" s="105" t="str">
        <f>IF(preDEL!$AG554,IFERROR(0/0,""),preDEL!E554)</f>
        <v/>
      </c>
      <c r="F554" s="112" t="str">
        <f>IF(preDEL!$AG554,IFERROR(0/0,""),preDEL!F554)</f>
        <v/>
      </c>
      <c r="G554" s="112" t="str">
        <f>IF(preDEL!$AG554,IFERROR(0/0,""),preDEL!G554)</f>
        <v/>
      </c>
      <c r="H554" s="112" t="str">
        <f>IF(preDEL!$AG554,IFERROR(0/0,""),preDEL!H554)</f>
        <v/>
      </c>
      <c r="I554" s="105" t="str">
        <f>IF(preDEL!$AG554,IFERROR(0/0,""),preDEL!I554)</f>
        <v/>
      </c>
      <c r="J554" s="105" t="str">
        <f>IF(preDEL!$AG554,IFERROR(0/0,""),preDEL!J554)</f>
        <v/>
      </c>
      <c r="K554" s="105" t="str">
        <f>IF(preDEL!$AG554,IFERROR(0/0,""),preDEL!K554)</f>
        <v>Positive</v>
      </c>
      <c r="L554" s="170">
        <f>IF(preDEL!$AG554,IFERROR(0/0,""),preDEL!L554)</f>
        <v>44615</v>
      </c>
      <c r="M554" s="171">
        <f>IF(preDEL!$AG554,IFERROR(0/0,""),preDEL!M554)</f>
        <v>0.4912615741</v>
      </c>
      <c r="N554" s="112" t="str">
        <f>IF(preDEL!$AG554,IFERROR(0/0,""),preDEL!N554)</f>
        <v/>
      </c>
      <c r="O554" s="112" t="str">
        <f>IF(preDEL!$AG554,IFERROR(0/0,""),preDEL!O554)</f>
        <v/>
      </c>
      <c r="P554" s="110" t="b">
        <f>IF(preDEL!$AG554,IFERROR(0/0,""),preDEL!P554)</f>
        <v>0</v>
      </c>
      <c r="Q554" s="110" t="str">
        <f>IF(preDEL!$AG554,IFERROR(0/0,""),preDEL!Q554)</f>
        <v>Result</v>
      </c>
      <c r="R554" s="104" t="b">
        <f>IF(preDEL!$AG554,IFERROR(0/0,""),preDEL!R554)</f>
        <v>1</v>
      </c>
      <c r="S554" s="104">
        <f>IF(preDEL!$AG554,IFERROR(0/0,""),preDEL!S554)</f>
        <v>1</v>
      </c>
      <c r="T554" s="110" t="str">
        <f>IF(preDEL!$AG554,IFERROR(0/0,""),preDEL!T554)</f>
        <v/>
      </c>
      <c r="U554" s="112" t="str">
        <f>IF(preDEL!$AG554,IFERROR(0/0,""),preDEL!U554)</f>
        <v/>
      </c>
      <c r="V554" s="105" t="str">
        <f>IF(preDEL!$AG554,IFERROR(0/0,""),preDEL!V554)</f>
        <v/>
      </c>
      <c r="W554" s="112" t="str">
        <f>IF(preDEL!$AG554,IFERROR(0/0,""),preDEL!W554)</f>
        <v/>
      </c>
      <c r="X554" s="104" t="b">
        <f>IF(preDEL!$AG554,IFERROR(0/0,""),preDEL!X554)</f>
        <v>0</v>
      </c>
      <c r="Y554" s="110" t="b">
        <f>IF(preDEL!$AG554,IFERROR(0/0,""),preDEL!Y554)</f>
        <v>0</v>
      </c>
      <c r="Z554" s="105" t="str">
        <f>IF(preDEL!$AG554,IFERROR(0/0,""),preDEL!Z554)</f>
        <v/>
      </c>
      <c r="AA554" s="110" t="b">
        <f>IF(preDEL!$AG554,IFERROR(0/0,""),preDEL!AA554)</f>
        <v>0</v>
      </c>
      <c r="AB554" s="110" t="b">
        <f>IF(preDEL!$AG554,IFERROR(0/0,""),preDEL!AB554)</f>
        <v>0</v>
      </c>
      <c r="AC554" s="172">
        <f>IF(preDEL!$AG554,IFERROR(0/0,""),preDEL!AC554)</f>
        <v>259</v>
      </c>
      <c r="AD554" s="104" t="b">
        <f>IF(preDEL!$AG554,IFERROR(0/0,""),preDEL!AD554)</f>
        <v>0</v>
      </c>
      <c r="AE554" s="173">
        <f>IF(preDEL!$AG554,IFERROR(0/0,""),preDEL!AE554)</f>
        <v>104.85</v>
      </c>
      <c r="AF554" s="110" t="b">
        <f>IF(preDEL!$AG554,IFERROR(0/0,""),preDEL!AF554)</f>
        <v>0</v>
      </c>
      <c r="AG554" s="110" t="b">
        <f>IF(preDEL!$AG554,IFERROR(0/0,""),preDEL!AG554)</f>
        <v>0</v>
      </c>
      <c r="AH554" s="104" t="str">
        <f>IF(preDEL!$AG554,IFERROR(0/0,""),preDEL!AH554)</f>
        <v/>
      </c>
      <c r="AI554" s="105" t="str">
        <f>IF(preDEL!$AG554,IFERROR(0/0,""),preDEL!AI554)</f>
        <v/>
      </c>
      <c r="AJ554" s="112">
        <f>IF(preDEL!$AG554,IFERROR(0/0,""),preDEL!AJ554)</f>
        <v>2.7</v>
      </c>
      <c r="AK554" s="105" t="str">
        <f>IF(preDEL!$AG554,IFERROR(0/0,""),preDEL!AK554)</f>
        <v>Negative</v>
      </c>
      <c r="AL554" s="112" t="str">
        <f>IF(preDEL!$AG554,IFERROR(0/0,""),preDEL!AL554)</f>
        <v>Pos to Neg based on RFR - checked image and entire batch mis-called</v>
      </c>
      <c r="AM554" s="112" t="str">
        <f>IF(preDEL!$AG554,IFERROR(0/0,""),preDEL!AM554)</f>
        <v>SpBEND110967</v>
      </c>
      <c r="AN554" s="112" t="str">
        <f>IF(preDEL!$AG554,IFERROR(0/0,""),preDEL!AN554)</f>
        <v>BEND477901</v>
      </c>
      <c r="AO554" s="112" t="str">
        <f>IF(preDEL!$AG554,IFERROR(0/0,""),preDEL!AO554)</f>
        <v/>
      </c>
      <c r="AP554" s="112" t="str">
        <f>IF(preDEL!$AG554,IFERROR(0/0,""),preDEL!AP554)</f>
        <v/>
      </c>
      <c r="AQ554" s="112" t="str">
        <f>IF(preDEL!$AG554,IFERROR(0/0,""),preDEL!AQ554)</f>
        <v/>
      </c>
      <c r="AR554" s="112" t="str">
        <f>IF(preDEL!$AG554,IFERROR(0/0,""),preDEL!AR554)</f>
        <v/>
      </c>
      <c r="AS554" s="112" t="str">
        <f>IF(preDEL!$AG554,IFERROR(0/0,""),preDEL!AS554)</f>
        <v/>
      </c>
      <c r="AT554" s="112" t="b">
        <f>IF(preDEL!$AG554,IFERROR(0/0,""),preDEL!AT554)</f>
        <v>0</v>
      </c>
      <c r="AU554" s="112" t="str">
        <f>IF(preDEL!$AG554,IFERROR(0/0,""),preDEL!AU554)</f>
        <v/>
      </c>
      <c r="AV554" s="112" t="str">
        <f>IF(preDEL!$AG554,IFERROR(0/0,""),preDEL!AV554)</f>
        <v/>
      </c>
      <c r="AW554" s="112" t="str">
        <f>IF(preDEL!$AG554,IFERROR(0/0,""),preDEL!AW554)</f>
        <v/>
      </c>
      <c r="AX554" s="112" t="str">
        <f>IF(preDEL!$AG554,IFERROR(0/0,""),preDEL!AX554)</f>
        <v/>
      </c>
      <c r="AY554" s="112" t="str">
        <f>IF(preDEL!$AG554,IFERROR(0/0,""),preDEL!AY554)</f>
        <v/>
      </c>
      <c r="AZ554" s="174"/>
      <c r="BA554" s="174"/>
      <c r="BB554" s="174"/>
      <c r="BC554" s="174"/>
      <c r="BD554" s="174"/>
      <c r="BE554" s="174"/>
      <c r="BF554" s="174"/>
      <c r="BG554" s="174"/>
      <c r="BH554" s="174"/>
      <c r="BI554" s="174"/>
      <c r="BJ554" s="174"/>
      <c r="BK554" s="174"/>
      <c r="BL554" s="174"/>
      <c r="BM554" s="174"/>
      <c r="BN554" s="174"/>
      <c r="BO554" s="174"/>
      <c r="BP554" s="174"/>
      <c r="BQ554" s="174"/>
      <c r="BR554" s="174"/>
      <c r="BS554" s="174"/>
      <c r="BT554" s="174"/>
      <c r="BU554" s="174"/>
      <c r="BV554" s="174"/>
      <c r="BW554" s="174"/>
      <c r="BX554" s="174"/>
      <c r="BY554" s="174"/>
      <c r="BZ554" s="174"/>
      <c r="CA554" s="174"/>
      <c r="CB554" s="174"/>
      <c r="CC554" s="174"/>
      <c r="CD554" s="174"/>
    </row>
    <row r="555">
      <c r="A555" s="105" t="str">
        <f>IF(preDEL!$AG555,IFERROR(0/0,""),preDEL!A555)</f>
        <v>MA284</v>
      </c>
      <c r="B555" s="170">
        <f>IF(preDEL!$AG555,IFERROR(0/0,""),preDEL!B555)</f>
        <v>44617</v>
      </c>
      <c r="C555" s="171">
        <f>IF(preDEL!$AG555,IFERROR(0/0,""),preDEL!C555)</f>
        <v>0.2931018519</v>
      </c>
      <c r="D555" s="105" t="str">
        <f>IF(preDEL!$AG555,IFERROR(0/0,""),preDEL!D555)</f>
        <v/>
      </c>
      <c r="E555" s="105" t="str">
        <f>IF(preDEL!$AG555,IFERROR(0/0,""),preDEL!E555)</f>
        <v/>
      </c>
      <c r="F555" s="112" t="str">
        <f>IF(preDEL!$AG555,IFERROR(0/0,""),preDEL!F555)</f>
        <v/>
      </c>
      <c r="G555" s="112" t="str">
        <f>IF(preDEL!$AG555,IFERROR(0/0,""),preDEL!G555)</f>
        <v/>
      </c>
      <c r="H555" s="112" t="str">
        <f>IF(preDEL!$AG555,IFERROR(0/0,""),preDEL!H555)</f>
        <v/>
      </c>
      <c r="I555" s="105" t="str">
        <f>IF(preDEL!$AG555,IFERROR(0/0,""),preDEL!I555)</f>
        <v/>
      </c>
      <c r="J555" s="105" t="str">
        <f>IF(preDEL!$AG555,IFERROR(0/0,""),preDEL!J555)</f>
        <v/>
      </c>
      <c r="K555" s="105" t="str">
        <f>IF(preDEL!$AG555,IFERROR(0/0,""),preDEL!K555)</f>
        <v>Negative</v>
      </c>
      <c r="L555" s="170">
        <f>IF(preDEL!$AG555,IFERROR(0/0,""),preDEL!L555)</f>
        <v>44617</v>
      </c>
      <c r="M555" s="171">
        <f>IF(preDEL!$AG555,IFERROR(0/0,""),preDEL!M555)</f>
        <v>0.5033680556</v>
      </c>
      <c r="N555" s="112" t="str">
        <f>IF(preDEL!$AG555,IFERROR(0/0,""),preDEL!N555)</f>
        <v/>
      </c>
      <c r="O555" s="112" t="str">
        <f>IF(preDEL!$AG555,IFERROR(0/0,""),preDEL!O555)</f>
        <v/>
      </c>
      <c r="P555" s="110" t="b">
        <f>IF(preDEL!$AG555,IFERROR(0/0,""),preDEL!P555)</f>
        <v>0</v>
      </c>
      <c r="Q555" s="110" t="str">
        <f>IF(preDEL!$AG555,IFERROR(0/0,""),preDEL!Q555)</f>
        <v>Result</v>
      </c>
      <c r="R555" s="104" t="b">
        <f>IF(preDEL!$AG555,IFERROR(0/0,""),preDEL!R555)</f>
        <v>1</v>
      </c>
      <c r="S555" s="104">
        <f>IF(preDEL!$AG555,IFERROR(0/0,""),preDEL!S555)</f>
        <v>1</v>
      </c>
      <c r="T555" s="110" t="str">
        <f>IF(preDEL!$AG555,IFERROR(0/0,""),preDEL!T555)</f>
        <v/>
      </c>
      <c r="U555" s="112" t="str">
        <f>IF(preDEL!$AG555,IFERROR(0/0,""),preDEL!U555)</f>
        <v/>
      </c>
      <c r="V555" s="105" t="str">
        <f>IF(preDEL!$AG555,IFERROR(0/0,""),preDEL!V555)</f>
        <v/>
      </c>
      <c r="W555" s="112" t="str">
        <f>IF(preDEL!$AG555,IFERROR(0/0,""),preDEL!W555)</f>
        <v/>
      </c>
      <c r="X555" s="104" t="b">
        <f>IF(preDEL!$AG555,IFERROR(0/0,""),preDEL!X555)</f>
        <v>0</v>
      </c>
      <c r="Y555" s="110" t="b">
        <f>IF(preDEL!$AG555,IFERROR(0/0,""),preDEL!Y555)</f>
        <v>0</v>
      </c>
      <c r="Z555" s="105" t="str">
        <f>IF(preDEL!$AG555,IFERROR(0/0,""),preDEL!Z555)</f>
        <v/>
      </c>
      <c r="AA555" s="110" t="b">
        <f>IF(preDEL!$AG555,IFERROR(0/0,""),preDEL!AA555)</f>
        <v>0</v>
      </c>
      <c r="AB555" s="110" t="b">
        <f>IF(preDEL!$AG555,IFERROR(0/0,""),preDEL!AB555)</f>
        <v>0</v>
      </c>
      <c r="AC555" s="172">
        <f>IF(preDEL!$AG555,IFERROR(0/0,""),preDEL!AC555)</f>
        <v>258</v>
      </c>
      <c r="AD555" s="104" t="b">
        <f>IF(preDEL!$AG555,IFERROR(0/0,""),preDEL!AD555)</f>
        <v>0</v>
      </c>
      <c r="AE555" s="173">
        <f>IF(preDEL!$AG555,IFERROR(0/0,""),preDEL!AE555)</f>
        <v>302.7833333</v>
      </c>
      <c r="AF555" s="110" t="b">
        <f>IF(preDEL!$AG555,IFERROR(0/0,""),preDEL!AF555)</f>
        <v>0</v>
      </c>
      <c r="AG555" s="110" t="b">
        <f>IF(preDEL!$AG555,IFERROR(0/0,""),preDEL!AG555)</f>
        <v>0</v>
      </c>
      <c r="AH555" s="104" t="str">
        <f>IF(preDEL!$AG555,IFERROR(0/0,""),preDEL!AH555)</f>
        <v/>
      </c>
      <c r="AI555" s="105" t="str">
        <f>IF(preDEL!$AG555,IFERROR(0/0,""),preDEL!AI555)</f>
        <v/>
      </c>
      <c r="AJ555" s="112" t="str">
        <f>IF(preDEL!$AG555,IFERROR(0/0,""),preDEL!AJ555)</f>
        <v/>
      </c>
      <c r="AK555" s="105" t="str">
        <f>IF(preDEL!$AG555,IFERROR(0/0,""),preDEL!AK555)</f>
        <v>Negative</v>
      </c>
      <c r="AL555" s="112" t="str">
        <f>IF(preDEL!$AG555,IFERROR(0/0,""),preDEL!AL555)</f>
        <v/>
      </c>
      <c r="AM555" s="112" t="str">
        <f>IF(preDEL!$AG555,IFERROR(0/0,""),preDEL!AM555)</f>
        <v>SpBEND996809</v>
      </c>
      <c r="AN555" s="112" t="str">
        <f>IF(preDEL!$AG555,IFERROR(0/0,""),preDEL!AN555)</f>
        <v>BEND637711</v>
      </c>
      <c r="AO555" s="112" t="str">
        <f>IF(preDEL!$AG555,IFERROR(0/0,""),preDEL!AO555)</f>
        <v/>
      </c>
      <c r="AP555" s="112" t="str">
        <f>IF(preDEL!$AG555,IFERROR(0/0,""),preDEL!AP555)</f>
        <v/>
      </c>
      <c r="AQ555" s="112" t="str">
        <f>IF(preDEL!$AG555,IFERROR(0/0,""),preDEL!AQ555)</f>
        <v/>
      </c>
      <c r="AR555" s="112" t="str">
        <f>IF(preDEL!$AG555,IFERROR(0/0,""),preDEL!AR555)</f>
        <v/>
      </c>
      <c r="AS555" s="112" t="str">
        <f>IF(preDEL!$AG555,IFERROR(0/0,""),preDEL!AS555)</f>
        <v/>
      </c>
      <c r="AT555" s="112" t="b">
        <f>IF(preDEL!$AG555,IFERROR(0/0,""),preDEL!AT555)</f>
        <v>0</v>
      </c>
      <c r="AU555" s="112" t="str">
        <f>IF(preDEL!$AG555,IFERROR(0/0,""),preDEL!AU555)</f>
        <v/>
      </c>
      <c r="AV555" s="112" t="str">
        <f>IF(preDEL!$AG555,IFERROR(0/0,""),preDEL!AV555)</f>
        <v/>
      </c>
      <c r="AW555" s="112" t="str">
        <f>IF(preDEL!$AG555,IFERROR(0/0,""),preDEL!AW555)</f>
        <v/>
      </c>
      <c r="AX555" s="112" t="str">
        <f>IF(preDEL!$AG555,IFERROR(0/0,""),preDEL!AX555)</f>
        <v/>
      </c>
      <c r="AY555" s="112" t="str">
        <f>IF(preDEL!$AG555,IFERROR(0/0,""),preDEL!AY555)</f>
        <v/>
      </c>
      <c r="AZ555" s="174"/>
      <c r="BA555" s="174"/>
      <c r="BB555" s="174"/>
      <c r="BC555" s="174"/>
      <c r="BD555" s="174"/>
      <c r="BE555" s="174"/>
      <c r="BF555" s="174"/>
      <c r="BG555" s="174"/>
      <c r="BH555" s="174"/>
      <c r="BI555" s="174"/>
      <c r="BJ555" s="174"/>
      <c r="BK555" s="174"/>
      <c r="BL555" s="174"/>
      <c r="BM555" s="174"/>
      <c r="BN555" s="174"/>
      <c r="BO555" s="174"/>
      <c r="BP555" s="174"/>
      <c r="BQ555" s="174"/>
      <c r="BR555" s="174"/>
      <c r="BS555" s="174"/>
      <c r="BT555" s="174"/>
      <c r="BU555" s="174"/>
      <c r="BV555" s="174"/>
      <c r="BW555" s="174"/>
      <c r="BX555" s="174"/>
      <c r="BY555" s="174"/>
      <c r="BZ555" s="174"/>
      <c r="CA555" s="174"/>
      <c r="CB555" s="174"/>
      <c r="CC555" s="174"/>
      <c r="CD555" s="174"/>
    </row>
    <row r="556">
      <c r="A556" s="105" t="str">
        <f>IF(preDEL!$AG556,IFERROR(0/0,""),preDEL!A556)</f>
        <v>FM27</v>
      </c>
      <c r="B556" s="170">
        <f>IF(preDEL!$AG556,IFERROR(0/0,""),preDEL!B556)</f>
        <v>44617</v>
      </c>
      <c r="C556" s="171">
        <f>IF(preDEL!$AG556,IFERROR(0/0,""),preDEL!C556)</f>
        <v>0.3017476852</v>
      </c>
      <c r="D556" s="105" t="str">
        <f>IF(preDEL!$AG556,IFERROR(0/0,""),preDEL!D556)</f>
        <v/>
      </c>
      <c r="E556" s="105" t="str">
        <f>IF(preDEL!$AG556,IFERROR(0/0,""),preDEL!E556)</f>
        <v/>
      </c>
      <c r="F556" s="112" t="str">
        <f>IF(preDEL!$AG556,IFERROR(0/0,""),preDEL!F556)</f>
        <v/>
      </c>
      <c r="G556" s="112" t="str">
        <f>IF(preDEL!$AG556,IFERROR(0/0,""),preDEL!G556)</f>
        <v/>
      </c>
      <c r="H556" s="112" t="str">
        <f>IF(preDEL!$AG556,IFERROR(0/0,""),preDEL!H556)</f>
        <v/>
      </c>
      <c r="I556" s="105" t="str">
        <f>IF(preDEL!$AG556,IFERROR(0/0,""),preDEL!I556)</f>
        <v/>
      </c>
      <c r="J556" s="105" t="str">
        <f>IF(preDEL!$AG556,IFERROR(0/0,""),preDEL!J556)</f>
        <v/>
      </c>
      <c r="K556" s="105" t="str">
        <f>IF(preDEL!$AG556,IFERROR(0/0,""),preDEL!K556)</f>
        <v>Negative</v>
      </c>
      <c r="L556" s="170">
        <f>IF(preDEL!$AG556,IFERROR(0/0,""),preDEL!L556)</f>
        <v>44617</v>
      </c>
      <c r="M556" s="171">
        <f>IF(preDEL!$AG556,IFERROR(0/0,""),preDEL!M556)</f>
        <v>0.5033680556</v>
      </c>
      <c r="N556" s="112" t="str">
        <f>IF(preDEL!$AG556,IFERROR(0/0,""),preDEL!N556)</f>
        <v/>
      </c>
      <c r="O556" s="112" t="str">
        <f>IF(preDEL!$AG556,IFERROR(0/0,""),preDEL!O556)</f>
        <v/>
      </c>
      <c r="P556" s="110" t="b">
        <f>IF(preDEL!$AG556,IFERROR(0/0,""),preDEL!P556)</f>
        <v>0</v>
      </c>
      <c r="Q556" s="110" t="str">
        <f>IF(preDEL!$AG556,IFERROR(0/0,""),preDEL!Q556)</f>
        <v>Result</v>
      </c>
      <c r="R556" s="104" t="b">
        <f>IF(preDEL!$AG556,IFERROR(0/0,""),preDEL!R556)</f>
        <v>1</v>
      </c>
      <c r="S556" s="104">
        <f>IF(preDEL!$AG556,IFERROR(0/0,""),preDEL!S556)</f>
        <v>1</v>
      </c>
      <c r="T556" s="110" t="str">
        <f>IF(preDEL!$AG556,IFERROR(0/0,""),preDEL!T556)</f>
        <v/>
      </c>
      <c r="U556" s="112" t="str">
        <f>IF(preDEL!$AG556,IFERROR(0/0,""),preDEL!U556)</f>
        <v/>
      </c>
      <c r="V556" s="105" t="str">
        <f>IF(preDEL!$AG556,IFERROR(0/0,""),preDEL!V556)</f>
        <v/>
      </c>
      <c r="W556" s="112" t="str">
        <f>IF(preDEL!$AG556,IFERROR(0/0,""),preDEL!W556)</f>
        <v/>
      </c>
      <c r="X556" s="104" t="b">
        <f>IF(preDEL!$AG556,IFERROR(0/0,""),preDEL!X556)</f>
        <v>0</v>
      </c>
      <c r="Y556" s="110" t="b">
        <f>IF(preDEL!$AG556,IFERROR(0/0,""),preDEL!Y556)</f>
        <v>0</v>
      </c>
      <c r="Z556" s="105" t="str">
        <f>IF(preDEL!$AG556,IFERROR(0/0,""),preDEL!Z556)</f>
        <v/>
      </c>
      <c r="AA556" s="110" t="b">
        <f>IF(preDEL!$AG556,IFERROR(0/0,""),preDEL!AA556)</f>
        <v>0</v>
      </c>
      <c r="AB556" s="110" t="b">
        <f>IF(preDEL!$AG556,IFERROR(0/0,""),preDEL!AB556)</f>
        <v>0</v>
      </c>
      <c r="AC556" s="172">
        <f>IF(preDEL!$AG556,IFERROR(0/0,""),preDEL!AC556)</f>
        <v>257</v>
      </c>
      <c r="AD556" s="104" t="b">
        <f>IF(preDEL!$AG556,IFERROR(0/0,""),preDEL!AD556)</f>
        <v>0</v>
      </c>
      <c r="AE556" s="173">
        <f>IF(preDEL!$AG556,IFERROR(0/0,""),preDEL!AE556)</f>
        <v>290.3333333</v>
      </c>
      <c r="AF556" s="110" t="b">
        <f>IF(preDEL!$AG556,IFERROR(0/0,""),preDEL!AF556)</f>
        <v>0</v>
      </c>
      <c r="AG556" s="110" t="b">
        <f>IF(preDEL!$AG556,IFERROR(0/0,""),preDEL!AG556)</f>
        <v>0</v>
      </c>
      <c r="AH556" s="104" t="str">
        <f>IF(preDEL!$AG556,IFERROR(0/0,""),preDEL!AH556)</f>
        <v/>
      </c>
      <c r="AI556" s="105" t="str">
        <f>IF(preDEL!$AG556,IFERROR(0/0,""),preDEL!AI556)</f>
        <v/>
      </c>
      <c r="AJ556" s="112" t="str">
        <f>IF(preDEL!$AG556,IFERROR(0/0,""),preDEL!AJ556)</f>
        <v/>
      </c>
      <c r="AK556" s="105" t="str">
        <f>IF(preDEL!$AG556,IFERROR(0/0,""),preDEL!AK556)</f>
        <v>Negative</v>
      </c>
      <c r="AL556" s="112" t="str">
        <f>IF(preDEL!$AG556,IFERROR(0/0,""),preDEL!AL556)</f>
        <v/>
      </c>
      <c r="AM556" s="112" t="str">
        <f>IF(preDEL!$AG556,IFERROR(0/0,""),preDEL!AM556)</f>
        <v>SpBEND385421</v>
      </c>
      <c r="AN556" s="112" t="str">
        <f>IF(preDEL!$AG556,IFERROR(0/0,""),preDEL!AN556)</f>
        <v>BEND440747</v>
      </c>
      <c r="AO556" s="112" t="str">
        <f>IF(preDEL!$AG556,IFERROR(0/0,""),preDEL!AO556)</f>
        <v/>
      </c>
      <c r="AP556" s="112" t="str">
        <f>IF(preDEL!$AG556,IFERROR(0/0,""),preDEL!AP556)</f>
        <v/>
      </c>
      <c r="AQ556" s="112" t="str">
        <f>IF(preDEL!$AG556,IFERROR(0/0,""),preDEL!AQ556)</f>
        <v/>
      </c>
      <c r="AR556" s="112" t="str">
        <f>IF(preDEL!$AG556,IFERROR(0/0,""),preDEL!AR556)</f>
        <v/>
      </c>
      <c r="AS556" s="112" t="str">
        <f>IF(preDEL!$AG556,IFERROR(0/0,""),preDEL!AS556)</f>
        <v/>
      </c>
      <c r="AT556" s="112" t="b">
        <f>IF(preDEL!$AG556,IFERROR(0/0,""),preDEL!AT556)</f>
        <v>0</v>
      </c>
      <c r="AU556" s="112" t="str">
        <f>IF(preDEL!$AG556,IFERROR(0/0,""),preDEL!AU556)</f>
        <v/>
      </c>
      <c r="AV556" s="112" t="str">
        <f>IF(preDEL!$AG556,IFERROR(0/0,""),preDEL!AV556)</f>
        <v/>
      </c>
      <c r="AW556" s="112" t="str">
        <f>IF(preDEL!$AG556,IFERROR(0/0,""),preDEL!AW556)</f>
        <v/>
      </c>
      <c r="AX556" s="112" t="str">
        <f>IF(preDEL!$AG556,IFERROR(0/0,""),preDEL!AX556)</f>
        <v/>
      </c>
      <c r="AY556" s="112" t="str">
        <f>IF(preDEL!$AG556,IFERROR(0/0,""),preDEL!AY556)</f>
        <v/>
      </c>
      <c r="AZ556" s="174"/>
      <c r="BA556" s="174"/>
      <c r="BB556" s="174"/>
      <c r="BC556" s="174"/>
      <c r="BD556" s="174"/>
      <c r="BE556" s="174"/>
      <c r="BF556" s="174"/>
      <c r="BG556" s="174"/>
      <c r="BH556" s="174"/>
      <c r="BI556" s="174"/>
      <c r="BJ556" s="174"/>
      <c r="BK556" s="174"/>
      <c r="BL556" s="174"/>
      <c r="BM556" s="174"/>
      <c r="BN556" s="174"/>
      <c r="BO556" s="174"/>
      <c r="BP556" s="174"/>
      <c r="BQ556" s="174"/>
      <c r="BR556" s="174"/>
      <c r="BS556" s="174"/>
      <c r="BT556" s="174"/>
      <c r="BU556" s="174"/>
      <c r="BV556" s="174"/>
      <c r="BW556" s="174"/>
      <c r="BX556" s="174"/>
      <c r="BY556" s="174"/>
      <c r="BZ556" s="174"/>
      <c r="CA556" s="174"/>
      <c r="CB556" s="174"/>
      <c r="CC556" s="174"/>
      <c r="CD556" s="174"/>
    </row>
    <row r="557">
      <c r="A557" s="105" t="str">
        <f>IF(preDEL!$AG557,IFERROR(0/0,""),preDEL!A557)</f>
        <v>FM37</v>
      </c>
      <c r="B557" s="170">
        <f>IF(preDEL!$AG557,IFERROR(0/0,""),preDEL!B557)</f>
        <v>44617</v>
      </c>
      <c r="C557" s="171">
        <f>IF(preDEL!$AG557,IFERROR(0/0,""),preDEL!C557)</f>
        <v>0.3025115741</v>
      </c>
      <c r="D557" s="105" t="str">
        <f>IF(preDEL!$AG557,IFERROR(0/0,""),preDEL!D557)</f>
        <v/>
      </c>
      <c r="E557" s="105" t="str">
        <f>IF(preDEL!$AG557,IFERROR(0/0,""),preDEL!E557)</f>
        <v/>
      </c>
      <c r="F557" s="112" t="str">
        <f>IF(preDEL!$AG557,IFERROR(0/0,""),preDEL!F557)</f>
        <v/>
      </c>
      <c r="G557" s="112" t="str">
        <f>IF(preDEL!$AG557,IFERROR(0/0,""),preDEL!G557)</f>
        <v/>
      </c>
      <c r="H557" s="112" t="str">
        <f>IF(preDEL!$AG557,IFERROR(0/0,""),preDEL!H557)</f>
        <v/>
      </c>
      <c r="I557" s="105" t="str">
        <f>IF(preDEL!$AG557,IFERROR(0/0,""),preDEL!I557)</f>
        <v/>
      </c>
      <c r="J557" s="105" t="str">
        <f>IF(preDEL!$AG557,IFERROR(0/0,""),preDEL!J557)</f>
        <v/>
      </c>
      <c r="K557" s="105" t="str">
        <f>IF(preDEL!$AG557,IFERROR(0/0,""),preDEL!K557)</f>
        <v>Negative</v>
      </c>
      <c r="L557" s="170">
        <f>IF(preDEL!$AG557,IFERROR(0/0,""),preDEL!L557)</f>
        <v>44617</v>
      </c>
      <c r="M557" s="171">
        <f>IF(preDEL!$AG557,IFERROR(0/0,""),preDEL!M557)</f>
        <v>0.5033680556</v>
      </c>
      <c r="N557" s="112" t="str">
        <f>IF(preDEL!$AG557,IFERROR(0/0,""),preDEL!N557)</f>
        <v/>
      </c>
      <c r="O557" s="112" t="str">
        <f>IF(preDEL!$AG557,IFERROR(0/0,""),preDEL!O557)</f>
        <v/>
      </c>
      <c r="P557" s="110" t="b">
        <f>IF(preDEL!$AG557,IFERROR(0/0,""),preDEL!P557)</f>
        <v>0</v>
      </c>
      <c r="Q557" s="110" t="str">
        <f>IF(preDEL!$AG557,IFERROR(0/0,""),preDEL!Q557)</f>
        <v>Result</v>
      </c>
      <c r="R557" s="104" t="b">
        <f>IF(preDEL!$AG557,IFERROR(0/0,""),preDEL!R557)</f>
        <v>1</v>
      </c>
      <c r="S557" s="104">
        <f>IF(preDEL!$AG557,IFERROR(0/0,""),preDEL!S557)</f>
        <v>1</v>
      </c>
      <c r="T557" s="110" t="str">
        <f>IF(preDEL!$AG557,IFERROR(0/0,""),preDEL!T557)</f>
        <v/>
      </c>
      <c r="U557" s="112" t="str">
        <f>IF(preDEL!$AG557,IFERROR(0/0,""),preDEL!U557)</f>
        <v/>
      </c>
      <c r="V557" s="105" t="str">
        <f>IF(preDEL!$AG557,IFERROR(0/0,""),preDEL!V557)</f>
        <v/>
      </c>
      <c r="W557" s="112" t="str">
        <f>IF(preDEL!$AG557,IFERROR(0/0,""),preDEL!W557)</f>
        <v/>
      </c>
      <c r="X557" s="104" t="b">
        <f>IF(preDEL!$AG557,IFERROR(0/0,""),preDEL!X557)</f>
        <v>0</v>
      </c>
      <c r="Y557" s="110" t="b">
        <f>IF(preDEL!$AG557,IFERROR(0/0,""),preDEL!Y557)</f>
        <v>0</v>
      </c>
      <c r="Z557" s="105" t="str">
        <f>IF(preDEL!$AG557,IFERROR(0/0,""),preDEL!Z557)</f>
        <v/>
      </c>
      <c r="AA557" s="110" t="b">
        <f>IF(preDEL!$AG557,IFERROR(0/0,""),preDEL!AA557)</f>
        <v>0</v>
      </c>
      <c r="AB557" s="110" t="b">
        <f>IF(preDEL!$AG557,IFERROR(0/0,""),preDEL!AB557)</f>
        <v>0</v>
      </c>
      <c r="AC557" s="172">
        <f>IF(preDEL!$AG557,IFERROR(0/0,""),preDEL!AC557)</f>
        <v>256</v>
      </c>
      <c r="AD557" s="104" t="b">
        <f>IF(preDEL!$AG557,IFERROR(0/0,""),preDEL!AD557)</f>
        <v>0</v>
      </c>
      <c r="AE557" s="173">
        <f>IF(preDEL!$AG557,IFERROR(0/0,""),preDEL!AE557)</f>
        <v>289.2333333</v>
      </c>
      <c r="AF557" s="110" t="b">
        <f>IF(preDEL!$AG557,IFERROR(0/0,""),preDEL!AF557)</f>
        <v>0</v>
      </c>
      <c r="AG557" s="110" t="b">
        <f>IF(preDEL!$AG557,IFERROR(0/0,""),preDEL!AG557)</f>
        <v>0</v>
      </c>
      <c r="AH557" s="104" t="str">
        <f>IF(preDEL!$AG557,IFERROR(0/0,""),preDEL!AH557)</f>
        <v/>
      </c>
      <c r="AI557" s="105" t="str">
        <f>IF(preDEL!$AG557,IFERROR(0/0,""),preDEL!AI557)</f>
        <v/>
      </c>
      <c r="AJ557" s="112" t="str">
        <f>IF(preDEL!$AG557,IFERROR(0/0,""),preDEL!AJ557)</f>
        <v/>
      </c>
      <c r="AK557" s="105" t="str">
        <f>IF(preDEL!$AG557,IFERROR(0/0,""),preDEL!AK557)</f>
        <v>Negative</v>
      </c>
      <c r="AL557" s="112" t="str">
        <f>IF(preDEL!$AG557,IFERROR(0/0,""),preDEL!AL557)</f>
        <v/>
      </c>
      <c r="AM557" s="112" t="str">
        <f>IF(preDEL!$AG557,IFERROR(0/0,""),preDEL!AM557)</f>
        <v>SpBEND610784</v>
      </c>
      <c r="AN557" s="112" t="str">
        <f>IF(preDEL!$AG557,IFERROR(0/0,""),preDEL!AN557)</f>
        <v>BEND398577</v>
      </c>
      <c r="AO557" s="112" t="str">
        <f>IF(preDEL!$AG557,IFERROR(0/0,""),preDEL!AO557)</f>
        <v/>
      </c>
      <c r="AP557" s="112" t="str">
        <f>IF(preDEL!$AG557,IFERROR(0/0,""),preDEL!AP557)</f>
        <v/>
      </c>
      <c r="AQ557" s="112" t="str">
        <f>IF(preDEL!$AG557,IFERROR(0/0,""),preDEL!AQ557)</f>
        <v/>
      </c>
      <c r="AR557" s="112" t="str">
        <f>IF(preDEL!$AG557,IFERROR(0/0,""),preDEL!AR557)</f>
        <v/>
      </c>
      <c r="AS557" s="112" t="str">
        <f>IF(preDEL!$AG557,IFERROR(0/0,""),preDEL!AS557)</f>
        <v/>
      </c>
      <c r="AT557" s="112" t="b">
        <f>IF(preDEL!$AG557,IFERROR(0/0,""),preDEL!AT557)</f>
        <v>0</v>
      </c>
      <c r="AU557" s="112" t="str">
        <f>IF(preDEL!$AG557,IFERROR(0/0,""),preDEL!AU557)</f>
        <v/>
      </c>
      <c r="AV557" s="112" t="str">
        <f>IF(preDEL!$AG557,IFERROR(0/0,""),preDEL!AV557)</f>
        <v/>
      </c>
      <c r="AW557" s="112" t="str">
        <f>IF(preDEL!$AG557,IFERROR(0/0,""),preDEL!AW557)</f>
        <v/>
      </c>
      <c r="AX557" s="112" t="str">
        <f>IF(preDEL!$AG557,IFERROR(0/0,""),preDEL!AX557)</f>
        <v/>
      </c>
      <c r="AY557" s="112" t="str">
        <f>IF(preDEL!$AG557,IFERROR(0/0,""),preDEL!AY557)</f>
        <v/>
      </c>
      <c r="AZ557" s="174"/>
      <c r="BA557" s="174"/>
      <c r="BB557" s="174"/>
      <c r="BC557" s="174"/>
      <c r="BD557" s="174"/>
      <c r="BE557" s="174"/>
      <c r="BF557" s="174"/>
      <c r="BG557" s="174"/>
      <c r="BH557" s="174"/>
      <c r="BI557" s="174"/>
      <c r="BJ557" s="174"/>
      <c r="BK557" s="174"/>
      <c r="BL557" s="174"/>
      <c r="BM557" s="174"/>
      <c r="BN557" s="174"/>
      <c r="BO557" s="174"/>
      <c r="BP557" s="174"/>
      <c r="BQ557" s="174"/>
      <c r="BR557" s="174"/>
      <c r="BS557" s="174"/>
      <c r="BT557" s="174"/>
      <c r="BU557" s="174"/>
      <c r="BV557" s="174"/>
      <c r="BW557" s="174"/>
      <c r="BX557" s="174"/>
      <c r="BY557" s="174"/>
      <c r="BZ557" s="174"/>
      <c r="CA557" s="174"/>
      <c r="CB557" s="174"/>
      <c r="CC557" s="174"/>
      <c r="CD557" s="174"/>
    </row>
    <row r="558">
      <c r="A558" s="105" t="str">
        <f>IF(preDEL!$AG558,IFERROR(0/0,""),preDEL!A558)</f>
        <v>FM466</v>
      </c>
      <c r="B558" s="170">
        <f>IF(preDEL!$AG558,IFERROR(0/0,""),preDEL!B558)</f>
        <v>44617</v>
      </c>
      <c r="C558" s="171">
        <f>IF(preDEL!$AG558,IFERROR(0/0,""),preDEL!C558)</f>
        <v>0.3030208333</v>
      </c>
      <c r="D558" s="105" t="str">
        <f>IF(preDEL!$AG558,IFERROR(0/0,""),preDEL!D558)</f>
        <v/>
      </c>
      <c r="E558" s="105" t="str">
        <f>IF(preDEL!$AG558,IFERROR(0/0,""),preDEL!E558)</f>
        <v/>
      </c>
      <c r="F558" s="112" t="str">
        <f>IF(preDEL!$AG558,IFERROR(0/0,""),preDEL!F558)</f>
        <v/>
      </c>
      <c r="G558" s="112" t="str">
        <f>IF(preDEL!$AG558,IFERROR(0/0,""),preDEL!G558)</f>
        <v/>
      </c>
      <c r="H558" s="112" t="str">
        <f>IF(preDEL!$AG558,IFERROR(0/0,""),preDEL!H558)</f>
        <v/>
      </c>
      <c r="I558" s="105" t="str">
        <f>IF(preDEL!$AG558,IFERROR(0/0,""),preDEL!I558)</f>
        <v/>
      </c>
      <c r="J558" s="105" t="str">
        <f>IF(preDEL!$AG558,IFERROR(0/0,""),preDEL!J558)</f>
        <v/>
      </c>
      <c r="K558" s="105" t="str">
        <f>IF(preDEL!$AG558,IFERROR(0/0,""),preDEL!K558)</f>
        <v>Negative</v>
      </c>
      <c r="L558" s="170">
        <f>IF(preDEL!$AG558,IFERROR(0/0,""),preDEL!L558)</f>
        <v>44617</v>
      </c>
      <c r="M558" s="171">
        <f>IF(preDEL!$AG558,IFERROR(0/0,""),preDEL!M558)</f>
        <v>0.5033680556</v>
      </c>
      <c r="N558" s="112" t="str">
        <f>IF(preDEL!$AG558,IFERROR(0/0,""),preDEL!N558)</f>
        <v/>
      </c>
      <c r="O558" s="112" t="str">
        <f>IF(preDEL!$AG558,IFERROR(0/0,""),preDEL!O558)</f>
        <v/>
      </c>
      <c r="P558" s="110" t="b">
        <f>IF(preDEL!$AG558,IFERROR(0/0,""),preDEL!P558)</f>
        <v>0</v>
      </c>
      <c r="Q558" s="110" t="str">
        <f>IF(preDEL!$AG558,IFERROR(0/0,""),preDEL!Q558)</f>
        <v>Result</v>
      </c>
      <c r="R558" s="104" t="b">
        <f>IF(preDEL!$AG558,IFERROR(0/0,""),preDEL!R558)</f>
        <v>1</v>
      </c>
      <c r="S558" s="104">
        <f>IF(preDEL!$AG558,IFERROR(0/0,""),preDEL!S558)</f>
        <v>1</v>
      </c>
      <c r="T558" s="110" t="str">
        <f>IF(preDEL!$AG558,IFERROR(0/0,""),preDEL!T558)</f>
        <v/>
      </c>
      <c r="U558" s="112" t="str">
        <f>IF(preDEL!$AG558,IFERROR(0/0,""),preDEL!U558)</f>
        <v/>
      </c>
      <c r="V558" s="105" t="str">
        <f>IF(preDEL!$AG558,IFERROR(0/0,""),preDEL!V558)</f>
        <v/>
      </c>
      <c r="W558" s="112" t="str">
        <f>IF(preDEL!$AG558,IFERROR(0/0,""),preDEL!W558)</f>
        <v/>
      </c>
      <c r="X558" s="104" t="b">
        <f>IF(preDEL!$AG558,IFERROR(0/0,""),preDEL!X558)</f>
        <v>0</v>
      </c>
      <c r="Y558" s="110" t="b">
        <f>IF(preDEL!$AG558,IFERROR(0/0,""),preDEL!Y558)</f>
        <v>0</v>
      </c>
      <c r="Z558" s="105" t="str">
        <f>IF(preDEL!$AG558,IFERROR(0/0,""),preDEL!Z558)</f>
        <v/>
      </c>
      <c r="AA558" s="110" t="b">
        <f>IF(preDEL!$AG558,IFERROR(0/0,""),preDEL!AA558)</f>
        <v>0</v>
      </c>
      <c r="AB558" s="110" t="b">
        <f>IF(preDEL!$AG558,IFERROR(0/0,""),preDEL!AB558)</f>
        <v>0</v>
      </c>
      <c r="AC558" s="172">
        <f>IF(preDEL!$AG558,IFERROR(0/0,""),preDEL!AC558)</f>
        <v>255</v>
      </c>
      <c r="AD558" s="104" t="b">
        <f>IF(preDEL!$AG558,IFERROR(0/0,""),preDEL!AD558)</f>
        <v>0</v>
      </c>
      <c r="AE558" s="173">
        <f>IF(preDEL!$AG558,IFERROR(0/0,""),preDEL!AE558)</f>
        <v>288.5</v>
      </c>
      <c r="AF558" s="110" t="b">
        <f>IF(preDEL!$AG558,IFERROR(0/0,""),preDEL!AF558)</f>
        <v>0</v>
      </c>
      <c r="AG558" s="110" t="b">
        <f>IF(preDEL!$AG558,IFERROR(0/0,""),preDEL!AG558)</f>
        <v>0</v>
      </c>
      <c r="AH558" s="104" t="str">
        <f>IF(preDEL!$AG558,IFERROR(0/0,""),preDEL!AH558)</f>
        <v/>
      </c>
      <c r="AI558" s="105" t="str">
        <f>IF(preDEL!$AG558,IFERROR(0/0,""),preDEL!AI558)</f>
        <v/>
      </c>
      <c r="AJ558" s="112" t="str">
        <f>IF(preDEL!$AG558,IFERROR(0/0,""),preDEL!AJ558)</f>
        <v/>
      </c>
      <c r="AK558" s="105" t="str">
        <f>IF(preDEL!$AG558,IFERROR(0/0,""),preDEL!AK558)</f>
        <v>Negative</v>
      </c>
      <c r="AL558" s="112" t="str">
        <f>IF(preDEL!$AG558,IFERROR(0/0,""),preDEL!AL558)</f>
        <v/>
      </c>
      <c r="AM558" s="112" t="str">
        <f>IF(preDEL!$AG558,IFERROR(0/0,""),preDEL!AM558)</f>
        <v>SpBEND985296</v>
      </c>
      <c r="AN558" s="112" t="str">
        <f>IF(preDEL!$AG558,IFERROR(0/0,""),preDEL!AN558)</f>
        <v>BEND326601</v>
      </c>
      <c r="AO558" s="112" t="str">
        <f>IF(preDEL!$AG558,IFERROR(0/0,""),preDEL!AO558)</f>
        <v/>
      </c>
      <c r="AP558" s="112" t="str">
        <f>IF(preDEL!$AG558,IFERROR(0/0,""),preDEL!AP558)</f>
        <v/>
      </c>
      <c r="AQ558" s="112" t="str">
        <f>IF(preDEL!$AG558,IFERROR(0/0,""),preDEL!AQ558)</f>
        <v/>
      </c>
      <c r="AR558" s="112" t="str">
        <f>IF(preDEL!$AG558,IFERROR(0/0,""),preDEL!AR558)</f>
        <v/>
      </c>
      <c r="AS558" s="112" t="str">
        <f>IF(preDEL!$AG558,IFERROR(0/0,""),preDEL!AS558)</f>
        <v/>
      </c>
      <c r="AT558" s="112" t="b">
        <f>IF(preDEL!$AG558,IFERROR(0/0,""),preDEL!AT558)</f>
        <v>0</v>
      </c>
      <c r="AU558" s="112" t="str">
        <f>IF(preDEL!$AG558,IFERROR(0/0,""),preDEL!AU558)</f>
        <v/>
      </c>
      <c r="AV558" s="112" t="str">
        <f>IF(preDEL!$AG558,IFERROR(0/0,""),preDEL!AV558)</f>
        <v/>
      </c>
      <c r="AW558" s="112" t="str">
        <f>IF(preDEL!$AG558,IFERROR(0/0,""),preDEL!AW558)</f>
        <v/>
      </c>
      <c r="AX558" s="112" t="str">
        <f>IF(preDEL!$AG558,IFERROR(0/0,""),preDEL!AX558)</f>
        <v/>
      </c>
      <c r="AY558" s="112" t="str">
        <f>IF(preDEL!$AG558,IFERROR(0/0,""),preDEL!AY558)</f>
        <v/>
      </c>
      <c r="AZ558" s="174"/>
      <c r="BA558" s="174"/>
      <c r="BB558" s="174"/>
      <c r="BC558" s="174"/>
      <c r="BD558" s="174"/>
      <c r="BE558" s="174"/>
      <c r="BF558" s="174"/>
      <c r="BG558" s="174"/>
      <c r="BH558" s="174"/>
      <c r="BI558" s="174"/>
      <c r="BJ558" s="174"/>
      <c r="BK558" s="174"/>
      <c r="BL558" s="174"/>
      <c r="BM558" s="174"/>
      <c r="BN558" s="174"/>
      <c r="BO558" s="174"/>
      <c r="BP558" s="174"/>
      <c r="BQ558" s="174"/>
      <c r="BR558" s="174"/>
      <c r="BS558" s="174"/>
      <c r="BT558" s="174"/>
      <c r="BU558" s="174"/>
      <c r="BV558" s="174"/>
      <c r="BW558" s="174"/>
      <c r="BX558" s="174"/>
      <c r="BY558" s="174"/>
      <c r="BZ558" s="174"/>
      <c r="CA558" s="174"/>
      <c r="CB558" s="174"/>
      <c r="CC558" s="174"/>
      <c r="CD558" s="174"/>
    </row>
    <row r="559">
      <c r="A559" s="105" t="str">
        <f>IF(preDEL!$AG559,IFERROR(0/0,""),preDEL!A559)</f>
        <v>MA273</v>
      </c>
      <c r="B559" s="170">
        <f>IF(preDEL!$AG559,IFERROR(0/0,""),preDEL!B559)</f>
        <v>44617</v>
      </c>
      <c r="C559" s="171">
        <f>IF(preDEL!$AG559,IFERROR(0/0,""),preDEL!C559)</f>
        <v>0.3043518519</v>
      </c>
      <c r="D559" s="105" t="str">
        <f>IF(preDEL!$AG559,IFERROR(0/0,""),preDEL!D559)</f>
        <v/>
      </c>
      <c r="E559" s="105" t="str">
        <f>IF(preDEL!$AG559,IFERROR(0/0,""),preDEL!E559)</f>
        <v/>
      </c>
      <c r="F559" s="112" t="str">
        <f>IF(preDEL!$AG559,IFERROR(0/0,""),preDEL!F559)</f>
        <v/>
      </c>
      <c r="G559" s="112" t="str">
        <f>IF(preDEL!$AG559,IFERROR(0/0,""),preDEL!G559)</f>
        <v/>
      </c>
      <c r="H559" s="112" t="str">
        <f>IF(preDEL!$AG559,IFERROR(0/0,""),preDEL!H559)</f>
        <v/>
      </c>
      <c r="I559" s="105" t="str">
        <f>IF(preDEL!$AG559,IFERROR(0/0,""),preDEL!I559)</f>
        <v/>
      </c>
      <c r="J559" s="105" t="str">
        <f>IF(preDEL!$AG559,IFERROR(0/0,""),preDEL!J559)</f>
        <v/>
      </c>
      <c r="K559" s="105" t="str">
        <f>IF(preDEL!$AG559,IFERROR(0/0,""),preDEL!K559)</f>
        <v>Negative</v>
      </c>
      <c r="L559" s="170">
        <f>IF(preDEL!$AG559,IFERROR(0/0,""),preDEL!L559)</f>
        <v>44617</v>
      </c>
      <c r="M559" s="171">
        <f>IF(preDEL!$AG559,IFERROR(0/0,""),preDEL!M559)</f>
        <v>0.5033680556</v>
      </c>
      <c r="N559" s="112" t="str">
        <f>IF(preDEL!$AG559,IFERROR(0/0,""),preDEL!N559)</f>
        <v/>
      </c>
      <c r="O559" s="112" t="str">
        <f>IF(preDEL!$AG559,IFERROR(0/0,""),preDEL!O559)</f>
        <v/>
      </c>
      <c r="P559" s="110" t="b">
        <f>IF(preDEL!$AG559,IFERROR(0/0,""),preDEL!P559)</f>
        <v>0</v>
      </c>
      <c r="Q559" s="110" t="str">
        <f>IF(preDEL!$AG559,IFERROR(0/0,""),preDEL!Q559)</f>
        <v>Result</v>
      </c>
      <c r="R559" s="104" t="b">
        <f>IF(preDEL!$AG559,IFERROR(0/0,""),preDEL!R559)</f>
        <v>1</v>
      </c>
      <c r="S559" s="104">
        <f>IF(preDEL!$AG559,IFERROR(0/0,""),preDEL!S559)</f>
        <v>1</v>
      </c>
      <c r="T559" s="110" t="str">
        <f>IF(preDEL!$AG559,IFERROR(0/0,""),preDEL!T559)</f>
        <v/>
      </c>
      <c r="U559" s="112" t="str">
        <f>IF(preDEL!$AG559,IFERROR(0/0,""),preDEL!U559)</f>
        <v/>
      </c>
      <c r="V559" s="105" t="str">
        <f>IF(preDEL!$AG559,IFERROR(0/0,""),preDEL!V559)</f>
        <v/>
      </c>
      <c r="W559" s="112" t="str">
        <f>IF(preDEL!$AG559,IFERROR(0/0,""),preDEL!W559)</f>
        <v/>
      </c>
      <c r="X559" s="104" t="b">
        <f>IF(preDEL!$AG559,IFERROR(0/0,""),preDEL!X559)</f>
        <v>0</v>
      </c>
      <c r="Y559" s="110" t="b">
        <f>IF(preDEL!$AG559,IFERROR(0/0,""),preDEL!Y559)</f>
        <v>0</v>
      </c>
      <c r="Z559" s="105" t="str">
        <f>IF(preDEL!$AG559,IFERROR(0/0,""),preDEL!Z559)</f>
        <v/>
      </c>
      <c r="AA559" s="110" t="b">
        <f>IF(preDEL!$AG559,IFERROR(0/0,""),preDEL!AA559)</f>
        <v>0</v>
      </c>
      <c r="AB559" s="110" t="b">
        <f>IF(preDEL!$AG559,IFERROR(0/0,""),preDEL!AB559)</f>
        <v>0</v>
      </c>
      <c r="AC559" s="172">
        <f>IF(preDEL!$AG559,IFERROR(0/0,""),preDEL!AC559)</f>
        <v>254</v>
      </c>
      <c r="AD559" s="104" t="b">
        <f>IF(preDEL!$AG559,IFERROR(0/0,""),preDEL!AD559)</f>
        <v>0</v>
      </c>
      <c r="AE559" s="173">
        <f>IF(preDEL!$AG559,IFERROR(0/0,""),preDEL!AE559)</f>
        <v>286.5833333</v>
      </c>
      <c r="AF559" s="110" t="b">
        <f>IF(preDEL!$AG559,IFERROR(0/0,""),preDEL!AF559)</f>
        <v>0</v>
      </c>
      <c r="AG559" s="110" t="b">
        <f>IF(preDEL!$AG559,IFERROR(0/0,""),preDEL!AG559)</f>
        <v>0</v>
      </c>
      <c r="AH559" s="104" t="str">
        <f>IF(preDEL!$AG559,IFERROR(0/0,""),preDEL!AH559)</f>
        <v/>
      </c>
      <c r="AI559" s="105" t="str">
        <f>IF(preDEL!$AG559,IFERROR(0/0,""),preDEL!AI559)</f>
        <v/>
      </c>
      <c r="AJ559" s="112" t="str">
        <f>IF(preDEL!$AG559,IFERROR(0/0,""),preDEL!AJ559)</f>
        <v/>
      </c>
      <c r="AK559" s="105" t="str">
        <f>IF(preDEL!$AG559,IFERROR(0/0,""),preDEL!AK559)</f>
        <v>Negative</v>
      </c>
      <c r="AL559" s="112" t="str">
        <f>IF(preDEL!$AG559,IFERROR(0/0,""),preDEL!AL559)</f>
        <v/>
      </c>
      <c r="AM559" s="112" t="str">
        <f>IF(preDEL!$AG559,IFERROR(0/0,""),preDEL!AM559)</f>
        <v>SpBEND637657</v>
      </c>
      <c r="AN559" s="112" t="str">
        <f>IF(preDEL!$AG559,IFERROR(0/0,""),preDEL!AN559)</f>
        <v>BEND142851</v>
      </c>
      <c r="AO559" s="112" t="str">
        <f>IF(preDEL!$AG559,IFERROR(0/0,""),preDEL!AO559)</f>
        <v/>
      </c>
      <c r="AP559" s="112" t="str">
        <f>IF(preDEL!$AG559,IFERROR(0/0,""),preDEL!AP559)</f>
        <v/>
      </c>
      <c r="AQ559" s="112" t="str">
        <f>IF(preDEL!$AG559,IFERROR(0/0,""),preDEL!AQ559)</f>
        <v/>
      </c>
      <c r="AR559" s="112" t="str">
        <f>IF(preDEL!$AG559,IFERROR(0/0,""),preDEL!AR559)</f>
        <v/>
      </c>
      <c r="AS559" s="112" t="str">
        <f>IF(preDEL!$AG559,IFERROR(0/0,""),preDEL!AS559)</f>
        <v/>
      </c>
      <c r="AT559" s="112" t="b">
        <f>IF(preDEL!$AG559,IFERROR(0/0,""),preDEL!AT559)</f>
        <v>0</v>
      </c>
      <c r="AU559" s="112" t="str">
        <f>IF(preDEL!$AG559,IFERROR(0/0,""),preDEL!AU559)</f>
        <v/>
      </c>
      <c r="AV559" s="112" t="str">
        <f>IF(preDEL!$AG559,IFERROR(0/0,""),preDEL!AV559)</f>
        <v/>
      </c>
      <c r="AW559" s="112" t="str">
        <f>IF(preDEL!$AG559,IFERROR(0/0,""),preDEL!AW559)</f>
        <v/>
      </c>
      <c r="AX559" s="112" t="str">
        <f>IF(preDEL!$AG559,IFERROR(0/0,""),preDEL!AX559)</f>
        <v/>
      </c>
      <c r="AY559" s="112" t="str">
        <f>IF(preDEL!$AG559,IFERROR(0/0,""),preDEL!AY559)</f>
        <v/>
      </c>
      <c r="AZ559" s="174"/>
      <c r="BA559" s="174"/>
      <c r="BB559" s="174"/>
      <c r="BC559" s="174"/>
      <c r="BD559" s="174"/>
      <c r="BE559" s="174"/>
      <c r="BF559" s="174"/>
      <c r="BG559" s="174"/>
      <c r="BH559" s="174"/>
      <c r="BI559" s="174"/>
      <c r="BJ559" s="174"/>
      <c r="BK559" s="174"/>
      <c r="BL559" s="174"/>
      <c r="BM559" s="174"/>
      <c r="BN559" s="174"/>
      <c r="BO559" s="174"/>
      <c r="BP559" s="174"/>
      <c r="BQ559" s="174"/>
      <c r="BR559" s="174"/>
      <c r="BS559" s="174"/>
      <c r="BT559" s="174"/>
      <c r="BU559" s="174"/>
      <c r="BV559" s="174"/>
      <c r="BW559" s="174"/>
      <c r="BX559" s="174"/>
      <c r="BY559" s="174"/>
      <c r="BZ559" s="174"/>
      <c r="CA559" s="174"/>
      <c r="CB559" s="174"/>
      <c r="CC559" s="174"/>
      <c r="CD559" s="174"/>
    </row>
    <row r="560">
      <c r="A560" s="105" t="str">
        <f>IF(preDEL!$AG560,IFERROR(0/0,""),preDEL!A560)</f>
        <v>MA225</v>
      </c>
      <c r="B560" s="170">
        <f>IF(preDEL!$AG560,IFERROR(0/0,""),preDEL!B560)</f>
        <v>44617</v>
      </c>
      <c r="C560" s="171">
        <f>IF(preDEL!$AG560,IFERROR(0/0,""),preDEL!C560)</f>
        <v>0.3046180556</v>
      </c>
      <c r="D560" s="105" t="str">
        <f>IF(preDEL!$AG560,IFERROR(0/0,""),preDEL!D560)</f>
        <v/>
      </c>
      <c r="E560" s="105" t="str">
        <f>IF(preDEL!$AG560,IFERROR(0/0,""),preDEL!E560)</f>
        <v/>
      </c>
      <c r="F560" s="112" t="str">
        <f>IF(preDEL!$AG560,IFERROR(0/0,""),preDEL!F560)</f>
        <v/>
      </c>
      <c r="G560" s="112" t="str">
        <f>IF(preDEL!$AG560,IFERROR(0/0,""),preDEL!G560)</f>
        <v/>
      </c>
      <c r="H560" s="112" t="str">
        <f>IF(preDEL!$AG560,IFERROR(0/0,""),preDEL!H560)</f>
        <v/>
      </c>
      <c r="I560" s="105" t="str">
        <f>IF(preDEL!$AG560,IFERROR(0/0,""),preDEL!I560)</f>
        <v/>
      </c>
      <c r="J560" s="105" t="str">
        <f>IF(preDEL!$AG560,IFERROR(0/0,""),preDEL!J560)</f>
        <v/>
      </c>
      <c r="K560" s="105" t="str">
        <f>IF(preDEL!$AG560,IFERROR(0/0,""),preDEL!K560)</f>
        <v>Negative</v>
      </c>
      <c r="L560" s="170">
        <f>IF(preDEL!$AG560,IFERROR(0/0,""),preDEL!L560)</f>
        <v>44617</v>
      </c>
      <c r="M560" s="171">
        <f>IF(preDEL!$AG560,IFERROR(0/0,""),preDEL!M560)</f>
        <v>0.5033680556</v>
      </c>
      <c r="N560" s="112" t="str">
        <f>IF(preDEL!$AG560,IFERROR(0/0,""),preDEL!N560)</f>
        <v/>
      </c>
      <c r="O560" s="112" t="str">
        <f>IF(preDEL!$AG560,IFERROR(0/0,""),preDEL!O560)</f>
        <v/>
      </c>
      <c r="P560" s="110" t="b">
        <f>IF(preDEL!$AG560,IFERROR(0/0,""),preDEL!P560)</f>
        <v>0</v>
      </c>
      <c r="Q560" s="110" t="str">
        <f>IF(preDEL!$AG560,IFERROR(0/0,""),preDEL!Q560)</f>
        <v>Result</v>
      </c>
      <c r="R560" s="104" t="b">
        <f>IF(preDEL!$AG560,IFERROR(0/0,""),preDEL!R560)</f>
        <v>1</v>
      </c>
      <c r="S560" s="104">
        <f>IF(preDEL!$AG560,IFERROR(0/0,""),preDEL!S560)</f>
        <v>1</v>
      </c>
      <c r="T560" s="110" t="str">
        <f>IF(preDEL!$AG560,IFERROR(0/0,""),preDEL!T560)</f>
        <v/>
      </c>
      <c r="U560" s="112" t="str">
        <f>IF(preDEL!$AG560,IFERROR(0/0,""),preDEL!U560)</f>
        <v/>
      </c>
      <c r="V560" s="105" t="str">
        <f>IF(preDEL!$AG560,IFERROR(0/0,""),preDEL!V560)</f>
        <v/>
      </c>
      <c r="W560" s="112" t="str">
        <f>IF(preDEL!$AG560,IFERROR(0/0,""),preDEL!W560)</f>
        <v/>
      </c>
      <c r="X560" s="104" t="b">
        <f>IF(preDEL!$AG560,IFERROR(0/0,""),preDEL!X560)</f>
        <v>0</v>
      </c>
      <c r="Y560" s="110" t="b">
        <f>IF(preDEL!$AG560,IFERROR(0/0,""),preDEL!Y560)</f>
        <v>0</v>
      </c>
      <c r="Z560" s="105" t="str">
        <f>IF(preDEL!$AG560,IFERROR(0/0,""),preDEL!Z560)</f>
        <v/>
      </c>
      <c r="AA560" s="110" t="b">
        <f>IF(preDEL!$AG560,IFERROR(0/0,""),preDEL!AA560)</f>
        <v>0</v>
      </c>
      <c r="AB560" s="110" t="b">
        <f>IF(preDEL!$AG560,IFERROR(0/0,""),preDEL!AB560)</f>
        <v>0</v>
      </c>
      <c r="AC560" s="172">
        <f>IF(preDEL!$AG560,IFERROR(0/0,""),preDEL!AC560)</f>
        <v>253</v>
      </c>
      <c r="AD560" s="104" t="b">
        <f>IF(preDEL!$AG560,IFERROR(0/0,""),preDEL!AD560)</f>
        <v>0</v>
      </c>
      <c r="AE560" s="173">
        <f>IF(preDEL!$AG560,IFERROR(0/0,""),preDEL!AE560)</f>
        <v>286.2</v>
      </c>
      <c r="AF560" s="110" t="b">
        <f>IF(preDEL!$AG560,IFERROR(0/0,""),preDEL!AF560)</f>
        <v>0</v>
      </c>
      <c r="AG560" s="110" t="b">
        <f>IF(preDEL!$AG560,IFERROR(0/0,""),preDEL!AG560)</f>
        <v>0</v>
      </c>
      <c r="AH560" s="104" t="str">
        <f>IF(preDEL!$AG560,IFERROR(0/0,""),preDEL!AH560)</f>
        <v/>
      </c>
      <c r="AI560" s="105" t="str">
        <f>IF(preDEL!$AG560,IFERROR(0/0,""),preDEL!AI560)</f>
        <v/>
      </c>
      <c r="AJ560" s="112" t="str">
        <f>IF(preDEL!$AG560,IFERROR(0/0,""),preDEL!AJ560)</f>
        <v/>
      </c>
      <c r="AK560" s="105" t="str">
        <f>IF(preDEL!$AG560,IFERROR(0/0,""),preDEL!AK560)</f>
        <v>Negative</v>
      </c>
      <c r="AL560" s="112" t="str">
        <f>IF(preDEL!$AG560,IFERROR(0/0,""),preDEL!AL560)</f>
        <v/>
      </c>
      <c r="AM560" s="112" t="str">
        <f>IF(preDEL!$AG560,IFERROR(0/0,""),preDEL!AM560)</f>
        <v>SpBEND757435</v>
      </c>
      <c r="AN560" s="112" t="str">
        <f>IF(preDEL!$AG560,IFERROR(0/0,""),preDEL!AN560)</f>
        <v>BEND281843</v>
      </c>
      <c r="AO560" s="112" t="str">
        <f>IF(preDEL!$AG560,IFERROR(0/0,""),preDEL!AO560)</f>
        <v/>
      </c>
      <c r="AP560" s="112" t="str">
        <f>IF(preDEL!$AG560,IFERROR(0/0,""),preDEL!AP560)</f>
        <v/>
      </c>
      <c r="AQ560" s="112" t="str">
        <f>IF(preDEL!$AG560,IFERROR(0/0,""),preDEL!AQ560)</f>
        <v/>
      </c>
      <c r="AR560" s="112" t="str">
        <f>IF(preDEL!$AG560,IFERROR(0/0,""),preDEL!AR560)</f>
        <v/>
      </c>
      <c r="AS560" s="112" t="str">
        <f>IF(preDEL!$AG560,IFERROR(0/0,""),preDEL!AS560)</f>
        <v/>
      </c>
      <c r="AT560" s="112" t="b">
        <f>IF(preDEL!$AG560,IFERROR(0/0,""),preDEL!AT560)</f>
        <v>0</v>
      </c>
      <c r="AU560" s="112" t="str">
        <f>IF(preDEL!$AG560,IFERROR(0/0,""),preDEL!AU560)</f>
        <v/>
      </c>
      <c r="AV560" s="112" t="str">
        <f>IF(preDEL!$AG560,IFERROR(0/0,""),preDEL!AV560)</f>
        <v/>
      </c>
      <c r="AW560" s="112" t="str">
        <f>IF(preDEL!$AG560,IFERROR(0/0,""),preDEL!AW560)</f>
        <v/>
      </c>
      <c r="AX560" s="112" t="str">
        <f>IF(preDEL!$AG560,IFERROR(0/0,""),preDEL!AX560)</f>
        <v/>
      </c>
      <c r="AY560" s="112" t="str">
        <f>IF(preDEL!$AG560,IFERROR(0/0,""),preDEL!AY560)</f>
        <v/>
      </c>
      <c r="AZ560" s="174"/>
      <c r="BA560" s="174"/>
      <c r="BB560" s="174"/>
      <c r="BC560" s="174"/>
      <c r="BD560" s="174"/>
      <c r="BE560" s="174"/>
      <c r="BF560" s="174"/>
      <c r="BG560" s="174"/>
      <c r="BH560" s="174"/>
      <c r="BI560" s="174"/>
      <c r="BJ560" s="174"/>
      <c r="BK560" s="174"/>
      <c r="BL560" s="174"/>
      <c r="BM560" s="174"/>
      <c r="BN560" s="174"/>
      <c r="BO560" s="174"/>
      <c r="BP560" s="174"/>
      <c r="BQ560" s="174"/>
      <c r="BR560" s="174"/>
      <c r="BS560" s="174"/>
      <c r="BT560" s="174"/>
      <c r="BU560" s="174"/>
      <c r="BV560" s="174"/>
      <c r="BW560" s="174"/>
      <c r="BX560" s="174"/>
      <c r="BY560" s="174"/>
      <c r="BZ560" s="174"/>
      <c r="CA560" s="174"/>
      <c r="CB560" s="174"/>
      <c r="CC560" s="174"/>
      <c r="CD560" s="174"/>
    </row>
    <row r="561">
      <c r="A561" s="105" t="str">
        <f>IF(preDEL!$AG561,IFERROR(0/0,""),preDEL!A561)</f>
        <v>MA234</v>
      </c>
      <c r="B561" s="170">
        <f>IF(preDEL!$AG561,IFERROR(0/0,""),preDEL!B561)</f>
        <v>44617</v>
      </c>
      <c r="C561" s="171">
        <f>IF(preDEL!$AG561,IFERROR(0/0,""),preDEL!C561)</f>
        <v>0.3062731481</v>
      </c>
      <c r="D561" s="105" t="str">
        <f>IF(preDEL!$AG561,IFERROR(0/0,""),preDEL!D561)</f>
        <v/>
      </c>
      <c r="E561" s="105" t="str">
        <f>IF(preDEL!$AG561,IFERROR(0/0,""),preDEL!E561)</f>
        <v/>
      </c>
      <c r="F561" s="112" t="str">
        <f>IF(preDEL!$AG561,IFERROR(0/0,""),preDEL!F561)</f>
        <v/>
      </c>
      <c r="G561" s="112" t="str">
        <f>IF(preDEL!$AG561,IFERROR(0/0,""),preDEL!G561)</f>
        <v/>
      </c>
      <c r="H561" s="112" t="str">
        <f>IF(preDEL!$AG561,IFERROR(0/0,""),preDEL!H561)</f>
        <v/>
      </c>
      <c r="I561" s="105" t="str">
        <f>IF(preDEL!$AG561,IFERROR(0/0,""),preDEL!I561)</f>
        <v/>
      </c>
      <c r="J561" s="105" t="str">
        <f>IF(preDEL!$AG561,IFERROR(0/0,""),preDEL!J561)</f>
        <v/>
      </c>
      <c r="K561" s="105" t="str">
        <f>IF(preDEL!$AG561,IFERROR(0/0,""),preDEL!K561)</f>
        <v>Negative</v>
      </c>
      <c r="L561" s="170">
        <f>IF(preDEL!$AG561,IFERROR(0/0,""),preDEL!L561)</f>
        <v>44617</v>
      </c>
      <c r="M561" s="171">
        <f>IF(preDEL!$AG561,IFERROR(0/0,""),preDEL!M561)</f>
        <v>0.5033680556</v>
      </c>
      <c r="N561" s="112" t="str">
        <f>IF(preDEL!$AG561,IFERROR(0/0,""),preDEL!N561)</f>
        <v/>
      </c>
      <c r="O561" s="112" t="str">
        <f>IF(preDEL!$AG561,IFERROR(0/0,""),preDEL!O561)</f>
        <v/>
      </c>
      <c r="P561" s="110" t="b">
        <f>IF(preDEL!$AG561,IFERROR(0/0,""),preDEL!P561)</f>
        <v>0</v>
      </c>
      <c r="Q561" s="110" t="str">
        <f>IF(preDEL!$AG561,IFERROR(0/0,""),preDEL!Q561)</f>
        <v>Result</v>
      </c>
      <c r="R561" s="104" t="b">
        <f>IF(preDEL!$AG561,IFERROR(0/0,""),preDEL!R561)</f>
        <v>1</v>
      </c>
      <c r="S561" s="104">
        <f>IF(preDEL!$AG561,IFERROR(0/0,""),preDEL!S561)</f>
        <v>1</v>
      </c>
      <c r="T561" s="110" t="str">
        <f>IF(preDEL!$AG561,IFERROR(0/0,""),preDEL!T561)</f>
        <v/>
      </c>
      <c r="U561" s="112" t="str">
        <f>IF(preDEL!$AG561,IFERROR(0/0,""),preDEL!U561)</f>
        <v/>
      </c>
      <c r="V561" s="105" t="str">
        <f>IF(preDEL!$AG561,IFERROR(0/0,""),preDEL!V561)</f>
        <v/>
      </c>
      <c r="W561" s="112" t="str">
        <f>IF(preDEL!$AG561,IFERROR(0/0,""),preDEL!W561)</f>
        <v/>
      </c>
      <c r="X561" s="104" t="b">
        <f>IF(preDEL!$AG561,IFERROR(0/0,""),preDEL!X561)</f>
        <v>0</v>
      </c>
      <c r="Y561" s="110" t="b">
        <f>IF(preDEL!$AG561,IFERROR(0/0,""),preDEL!Y561)</f>
        <v>0</v>
      </c>
      <c r="Z561" s="105" t="str">
        <f>IF(preDEL!$AG561,IFERROR(0/0,""),preDEL!Z561)</f>
        <v/>
      </c>
      <c r="AA561" s="110" t="b">
        <f>IF(preDEL!$AG561,IFERROR(0/0,""),preDEL!AA561)</f>
        <v>0</v>
      </c>
      <c r="AB561" s="110" t="b">
        <f>IF(preDEL!$AG561,IFERROR(0/0,""),preDEL!AB561)</f>
        <v>0</v>
      </c>
      <c r="AC561" s="172">
        <f>IF(preDEL!$AG561,IFERROR(0/0,""),preDEL!AC561)</f>
        <v>252</v>
      </c>
      <c r="AD561" s="104" t="b">
        <f>IF(preDEL!$AG561,IFERROR(0/0,""),preDEL!AD561)</f>
        <v>0</v>
      </c>
      <c r="AE561" s="173">
        <f>IF(preDEL!$AG561,IFERROR(0/0,""),preDEL!AE561)</f>
        <v>283.8166667</v>
      </c>
      <c r="AF561" s="110" t="b">
        <f>IF(preDEL!$AG561,IFERROR(0/0,""),preDEL!AF561)</f>
        <v>0</v>
      </c>
      <c r="AG561" s="110" t="b">
        <f>IF(preDEL!$AG561,IFERROR(0/0,""),preDEL!AG561)</f>
        <v>0</v>
      </c>
      <c r="AH561" s="104" t="str">
        <f>IF(preDEL!$AG561,IFERROR(0/0,""),preDEL!AH561)</f>
        <v/>
      </c>
      <c r="AI561" s="105" t="str">
        <f>IF(preDEL!$AG561,IFERROR(0/0,""),preDEL!AI561)</f>
        <v/>
      </c>
      <c r="AJ561" s="112" t="str">
        <f>IF(preDEL!$AG561,IFERROR(0/0,""),preDEL!AJ561)</f>
        <v/>
      </c>
      <c r="AK561" s="105" t="str">
        <f>IF(preDEL!$AG561,IFERROR(0/0,""),preDEL!AK561)</f>
        <v>Negative</v>
      </c>
      <c r="AL561" s="112" t="str">
        <f>IF(preDEL!$AG561,IFERROR(0/0,""),preDEL!AL561)</f>
        <v/>
      </c>
      <c r="AM561" s="112" t="str">
        <f>IF(preDEL!$AG561,IFERROR(0/0,""),preDEL!AM561)</f>
        <v>SpBEND862115</v>
      </c>
      <c r="AN561" s="112" t="str">
        <f>IF(preDEL!$AG561,IFERROR(0/0,""),preDEL!AN561)</f>
        <v>BEND317332</v>
      </c>
      <c r="AO561" s="112" t="str">
        <f>IF(preDEL!$AG561,IFERROR(0/0,""),preDEL!AO561)</f>
        <v/>
      </c>
      <c r="AP561" s="112" t="str">
        <f>IF(preDEL!$AG561,IFERROR(0/0,""),preDEL!AP561)</f>
        <v/>
      </c>
      <c r="AQ561" s="112" t="str">
        <f>IF(preDEL!$AG561,IFERROR(0/0,""),preDEL!AQ561)</f>
        <v/>
      </c>
      <c r="AR561" s="112" t="str">
        <f>IF(preDEL!$AG561,IFERROR(0/0,""),preDEL!AR561)</f>
        <v/>
      </c>
      <c r="AS561" s="112" t="str">
        <f>IF(preDEL!$AG561,IFERROR(0/0,""),preDEL!AS561)</f>
        <v/>
      </c>
      <c r="AT561" s="112" t="b">
        <f>IF(preDEL!$AG561,IFERROR(0/0,""),preDEL!AT561)</f>
        <v>0</v>
      </c>
      <c r="AU561" s="112" t="str">
        <f>IF(preDEL!$AG561,IFERROR(0/0,""),preDEL!AU561)</f>
        <v/>
      </c>
      <c r="AV561" s="112" t="str">
        <f>IF(preDEL!$AG561,IFERROR(0/0,""),preDEL!AV561)</f>
        <v/>
      </c>
      <c r="AW561" s="112" t="str">
        <f>IF(preDEL!$AG561,IFERROR(0/0,""),preDEL!AW561)</f>
        <v/>
      </c>
      <c r="AX561" s="112" t="str">
        <f>IF(preDEL!$AG561,IFERROR(0/0,""),preDEL!AX561)</f>
        <v/>
      </c>
      <c r="AY561" s="112" t="str">
        <f>IF(preDEL!$AG561,IFERROR(0/0,""),preDEL!AY561)</f>
        <v/>
      </c>
      <c r="AZ561" s="174"/>
      <c r="BA561" s="174"/>
      <c r="BB561" s="174"/>
      <c r="BC561" s="174"/>
      <c r="BD561" s="174"/>
      <c r="BE561" s="174"/>
      <c r="BF561" s="174"/>
      <c r="BG561" s="174"/>
      <c r="BH561" s="174"/>
      <c r="BI561" s="174"/>
      <c r="BJ561" s="174"/>
      <c r="BK561" s="174"/>
      <c r="BL561" s="174"/>
      <c r="BM561" s="174"/>
      <c r="BN561" s="174"/>
      <c r="BO561" s="174"/>
      <c r="BP561" s="174"/>
      <c r="BQ561" s="174"/>
      <c r="BR561" s="174"/>
      <c r="BS561" s="174"/>
      <c r="BT561" s="174"/>
      <c r="BU561" s="174"/>
      <c r="BV561" s="174"/>
      <c r="BW561" s="174"/>
      <c r="BX561" s="174"/>
      <c r="BY561" s="174"/>
      <c r="BZ561" s="174"/>
      <c r="CA561" s="174"/>
      <c r="CB561" s="174"/>
      <c r="CC561" s="174"/>
      <c r="CD561" s="174"/>
    </row>
    <row r="562">
      <c r="A562" s="105" t="str">
        <f>IF(preDEL!$AG562,IFERROR(0/0,""),preDEL!A562)</f>
        <v>FM807</v>
      </c>
      <c r="B562" s="170">
        <f>IF(preDEL!$AG562,IFERROR(0/0,""),preDEL!B562)</f>
        <v>44617</v>
      </c>
      <c r="C562" s="171">
        <f>IF(preDEL!$AG562,IFERROR(0/0,""),preDEL!C562)</f>
        <v>0.3128009259</v>
      </c>
      <c r="D562" s="105" t="str">
        <f>IF(preDEL!$AG562,IFERROR(0/0,""),preDEL!D562)</f>
        <v/>
      </c>
      <c r="E562" s="105" t="str">
        <f>IF(preDEL!$AG562,IFERROR(0/0,""),preDEL!E562)</f>
        <v/>
      </c>
      <c r="F562" s="112" t="str">
        <f>IF(preDEL!$AG562,IFERROR(0/0,""),preDEL!F562)</f>
        <v/>
      </c>
      <c r="G562" s="112" t="str">
        <f>IF(preDEL!$AG562,IFERROR(0/0,""),preDEL!G562)</f>
        <v/>
      </c>
      <c r="H562" s="112" t="str">
        <f>IF(preDEL!$AG562,IFERROR(0/0,""),preDEL!H562)</f>
        <v/>
      </c>
      <c r="I562" s="105" t="str">
        <f>IF(preDEL!$AG562,IFERROR(0/0,""),preDEL!I562)</f>
        <v/>
      </c>
      <c r="J562" s="105" t="str">
        <f>IF(preDEL!$AG562,IFERROR(0/0,""),preDEL!J562)</f>
        <v/>
      </c>
      <c r="K562" s="105" t="str">
        <f>IF(preDEL!$AG562,IFERROR(0/0,""),preDEL!K562)</f>
        <v>Negative</v>
      </c>
      <c r="L562" s="170">
        <f>IF(preDEL!$AG562,IFERROR(0/0,""),preDEL!L562)</f>
        <v>44617</v>
      </c>
      <c r="M562" s="171">
        <f>IF(preDEL!$AG562,IFERROR(0/0,""),preDEL!M562)</f>
        <v>0.5033680556</v>
      </c>
      <c r="N562" s="112" t="str">
        <f>IF(preDEL!$AG562,IFERROR(0/0,""),preDEL!N562)</f>
        <v/>
      </c>
      <c r="O562" s="112" t="str">
        <f>IF(preDEL!$AG562,IFERROR(0/0,""),preDEL!O562)</f>
        <v/>
      </c>
      <c r="P562" s="110" t="b">
        <f>IF(preDEL!$AG562,IFERROR(0/0,""),preDEL!P562)</f>
        <v>0</v>
      </c>
      <c r="Q562" s="110" t="str">
        <f>IF(preDEL!$AG562,IFERROR(0/0,""),preDEL!Q562)</f>
        <v>Result</v>
      </c>
      <c r="R562" s="104" t="b">
        <f>IF(preDEL!$AG562,IFERROR(0/0,""),preDEL!R562)</f>
        <v>1</v>
      </c>
      <c r="S562" s="104">
        <f>IF(preDEL!$AG562,IFERROR(0/0,""),preDEL!S562)</f>
        <v>1</v>
      </c>
      <c r="T562" s="110" t="str">
        <f>IF(preDEL!$AG562,IFERROR(0/0,""),preDEL!T562)</f>
        <v/>
      </c>
      <c r="U562" s="112" t="str">
        <f>IF(preDEL!$AG562,IFERROR(0/0,""),preDEL!U562)</f>
        <v/>
      </c>
      <c r="V562" s="105" t="str">
        <f>IF(preDEL!$AG562,IFERROR(0/0,""),preDEL!V562)</f>
        <v/>
      </c>
      <c r="W562" s="112" t="str">
        <f>IF(preDEL!$AG562,IFERROR(0/0,""),preDEL!W562)</f>
        <v/>
      </c>
      <c r="X562" s="104" t="b">
        <f>IF(preDEL!$AG562,IFERROR(0/0,""),preDEL!X562)</f>
        <v>0</v>
      </c>
      <c r="Y562" s="110" t="b">
        <f>IF(preDEL!$AG562,IFERROR(0/0,""),preDEL!Y562)</f>
        <v>0</v>
      </c>
      <c r="Z562" s="105" t="str">
        <f>IF(preDEL!$AG562,IFERROR(0/0,""),preDEL!Z562)</f>
        <v/>
      </c>
      <c r="AA562" s="110" t="b">
        <f>IF(preDEL!$AG562,IFERROR(0/0,""),preDEL!AA562)</f>
        <v>0</v>
      </c>
      <c r="AB562" s="110" t="b">
        <f>IF(preDEL!$AG562,IFERROR(0/0,""),preDEL!AB562)</f>
        <v>0</v>
      </c>
      <c r="AC562" s="172">
        <f>IF(preDEL!$AG562,IFERROR(0/0,""),preDEL!AC562)</f>
        <v>251</v>
      </c>
      <c r="AD562" s="104" t="b">
        <f>IF(preDEL!$AG562,IFERROR(0/0,""),preDEL!AD562)</f>
        <v>0</v>
      </c>
      <c r="AE562" s="173">
        <f>IF(preDEL!$AG562,IFERROR(0/0,""),preDEL!AE562)</f>
        <v>274.4166667</v>
      </c>
      <c r="AF562" s="110" t="b">
        <f>IF(preDEL!$AG562,IFERROR(0/0,""),preDEL!AF562)</f>
        <v>0</v>
      </c>
      <c r="AG562" s="110" t="b">
        <f>IF(preDEL!$AG562,IFERROR(0/0,""),preDEL!AG562)</f>
        <v>0</v>
      </c>
      <c r="AH562" s="104" t="str">
        <f>IF(preDEL!$AG562,IFERROR(0/0,""),preDEL!AH562)</f>
        <v/>
      </c>
      <c r="AI562" s="105" t="str">
        <f>IF(preDEL!$AG562,IFERROR(0/0,""),preDEL!AI562)</f>
        <v/>
      </c>
      <c r="AJ562" s="112" t="str">
        <f>IF(preDEL!$AG562,IFERROR(0/0,""),preDEL!AJ562)</f>
        <v/>
      </c>
      <c r="AK562" s="105" t="str">
        <f>IF(preDEL!$AG562,IFERROR(0/0,""),preDEL!AK562)</f>
        <v>Negative</v>
      </c>
      <c r="AL562" s="112" t="str">
        <f>IF(preDEL!$AG562,IFERROR(0/0,""),preDEL!AL562)</f>
        <v/>
      </c>
      <c r="AM562" s="112" t="str">
        <f>IF(preDEL!$AG562,IFERROR(0/0,""),preDEL!AM562)</f>
        <v>SpBEND845509</v>
      </c>
      <c r="AN562" s="112" t="str">
        <f>IF(preDEL!$AG562,IFERROR(0/0,""),preDEL!AN562)</f>
        <v>BEND935806</v>
      </c>
      <c r="AO562" s="112" t="str">
        <f>IF(preDEL!$AG562,IFERROR(0/0,""),preDEL!AO562)</f>
        <v/>
      </c>
      <c r="AP562" s="112" t="str">
        <f>IF(preDEL!$AG562,IFERROR(0/0,""),preDEL!AP562)</f>
        <v/>
      </c>
      <c r="AQ562" s="112" t="str">
        <f>IF(preDEL!$AG562,IFERROR(0/0,""),preDEL!AQ562)</f>
        <v/>
      </c>
      <c r="AR562" s="112" t="str">
        <f>IF(preDEL!$AG562,IFERROR(0/0,""),preDEL!AR562)</f>
        <v/>
      </c>
      <c r="AS562" s="112" t="str">
        <f>IF(preDEL!$AG562,IFERROR(0/0,""),preDEL!AS562)</f>
        <v/>
      </c>
      <c r="AT562" s="112" t="b">
        <f>IF(preDEL!$AG562,IFERROR(0/0,""),preDEL!AT562)</f>
        <v>0</v>
      </c>
      <c r="AU562" s="112" t="str">
        <f>IF(preDEL!$AG562,IFERROR(0/0,""),preDEL!AU562)</f>
        <v/>
      </c>
      <c r="AV562" s="112" t="str">
        <f>IF(preDEL!$AG562,IFERROR(0/0,""),preDEL!AV562)</f>
        <v/>
      </c>
      <c r="AW562" s="112" t="str">
        <f>IF(preDEL!$AG562,IFERROR(0/0,""),preDEL!AW562)</f>
        <v/>
      </c>
      <c r="AX562" s="112" t="str">
        <f>IF(preDEL!$AG562,IFERROR(0/0,""),preDEL!AX562)</f>
        <v/>
      </c>
      <c r="AY562" s="112" t="str">
        <f>IF(preDEL!$AG562,IFERROR(0/0,""),preDEL!AY562)</f>
        <v/>
      </c>
      <c r="AZ562" s="174"/>
      <c r="BA562" s="174"/>
      <c r="BB562" s="174"/>
      <c r="BC562" s="174"/>
      <c r="BD562" s="174"/>
      <c r="BE562" s="174"/>
      <c r="BF562" s="174"/>
      <c r="BG562" s="174"/>
      <c r="BH562" s="174"/>
      <c r="BI562" s="174"/>
      <c r="BJ562" s="174"/>
      <c r="BK562" s="174"/>
      <c r="BL562" s="174"/>
      <c r="BM562" s="174"/>
      <c r="BN562" s="174"/>
      <c r="BO562" s="174"/>
      <c r="BP562" s="174"/>
      <c r="BQ562" s="174"/>
      <c r="BR562" s="174"/>
      <c r="BS562" s="174"/>
      <c r="BT562" s="174"/>
      <c r="BU562" s="174"/>
      <c r="BV562" s="174"/>
      <c r="BW562" s="174"/>
      <c r="BX562" s="174"/>
      <c r="BY562" s="174"/>
      <c r="BZ562" s="174"/>
      <c r="CA562" s="174"/>
      <c r="CB562" s="174"/>
      <c r="CC562" s="174"/>
      <c r="CD562" s="174"/>
    </row>
    <row r="563">
      <c r="A563" s="105" t="str">
        <f>IF(preDEL!$AG563,IFERROR(0/0,""),preDEL!A563)</f>
        <v>MA1231</v>
      </c>
      <c r="B563" s="170">
        <f>IF(preDEL!$AG563,IFERROR(0/0,""),preDEL!B563)</f>
        <v>44617</v>
      </c>
      <c r="C563" s="171">
        <f>IF(preDEL!$AG563,IFERROR(0/0,""),preDEL!C563)</f>
        <v>0.3161921296</v>
      </c>
      <c r="D563" s="105" t="str">
        <f>IF(preDEL!$AG563,IFERROR(0/0,""),preDEL!D563)</f>
        <v/>
      </c>
      <c r="E563" s="105" t="str">
        <f>IF(preDEL!$AG563,IFERROR(0/0,""),preDEL!E563)</f>
        <v/>
      </c>
      <c r="F563" s="112" t="str">
        <f>IF(preDEL!$AG563,IFERROR(0/0,""),preDEL!F563)</f>
        <v/>
      </c>
      <c r="G563" s="112" t="str">
        <f>IF(preDEL!$AG563,IFERROR(0/0,""),preDEL!G563)</f>
        <v/>
      </c>
      <c r="H563" s="112" t="str">
        <f>IF(preDEL!$AG563,IFERROR(0/0,""),preDEL!H563)</f>
        <v/>
      </c>
      <c r="I563" s="175" t="str">
        <f>IF(preDEL!$AG563,IFERROR(0/0,""),preDEL!I563)</f>
        <v/>
      </c>
      <c r="J563" s="105" t="str">
        <f>IF(preDEL!$AG563,IFERROR(0/0,""),preDEL!J563)</f>
        <v/>
      </c>
      <c r="K563" s="105" t="str">
        <f>IF(preDEL!$AG563,IFERROR(0/0,""),preDEL!K563)</f>
        <v>Negative</v>
      </c>
      <c r="L563" s="170">
        <f>IF(preDEL!$AG563,IFERROR(0/0,""),preDEL!L563)</f>
        <v>44617</v>
      </c>
      <c r="M563" s="171">
        <f>IF(preDEL!$AG563,IFERROR(0/0,""),preDEL!M563)</f>
        <v>0.5033680556</v>
      </c>
      <c r="N563" s="112" t="str">
        <f>IF(preDEL!$AG563,IFERROR(0/0,""),preDEL!N563)</f>
        <v>Primary</v>
      </c>
      <c r="O563" s="112" t="str">
        <f>IF(preDEL!$AG563,IFERROR(0/0,""),preDEL!O563)</f>
        <v/>
      </c>
      <c r="P563" s="110" t="b">
        <f>IF(preDEL!$AG563,IFERROR(0/0,""),preDEL!P563)</f>
        <v>0</v>
      </c>
      <c r="Q563" s="110" t="str">
        <f>IF(preDEL!$AG563,IFERROR(0/0,""),preDEL!Q563)</f>
        <v>Result</v>
      </c>
      <c r="R563" s="104" t="b">
        <f>IF(preDEL!$AG563,IFERROR(0/0,""),preDEL!R563)</f>
        <v>1</v>
      </c>
      <c r="S563" s="104">
        <f>IF(preDEL!$AG563,IFERROR(0/0,""),preDEL!S563)</f>
        <v>1</v>
      </c>
      <c r="T563" s="110">
        <f>IF(preDEL!$AG563,IFERROR(0/0,""),preDEL!T563)</f>
        <v>0</v>
      </c>
      <c r="U563" s="112" t="str">
        <f>IF(preDEL!$AG563,IFERROR(0/0,""),preDEL!U563)</f>
        <v/>
      </c>
      <c r="V563" s="105" t="str">
        <f>IF(preDEL!$AG563,IFERROR(0/0,""),preDEL!V563)</f>
        <v/>
      </c>
      <c r="W563" s="112" t="str">
        <f>IF(preDEL!$AG563,IFERROR(0/0,""),preDEL!W563)</f>
        <v/>
      </c>
      <c r="X563" s="104" t="b">
        <f>IF(preDEL!$AG563,IFERROR(0/0,""),preDEL!X563)</f>
        <v>0</v>
      </c>
      <c r="Y563" s="110" t="b">
        <f>IF(preDEL!$AG563,IFERROR(0/0,""),preDEL!Y563)</f>
        <v>0</v>
      </c>
      <c r="Z563" s="105" t="str">
        <f>IF(preDEL!$AG563,IFERROR(0/0,""),preDEL!Z563)</f>
        <v/>
      </c>
      <c r="AA563" s="110" t="b">
        <f>IF(preDEL!$AG563,IFERROR(0/0,""),preDEL!AA563)</f>
        <v>0</v>
      </c>
      <c r="AB563" s="110" t="b">
        <f>IF(preDEL!$AG563,IFERROR(0/0,""),preDEL!AB563)</f>
        <v>0</v>
      </c>
      <c r="AC563" s="172">
        <f>IF(preDEL!$AG563,IFERROR(0/0,""),preDEL!AC563)</f>
        <v>800</v>
      </c>
      <c r="AD563" s="104" t="b">
        <f>IF(preDEL!$AG563,IFERROR(0/0,""),preDEL!AD563)</f>
        <v>1</v>
      </c>
      <c r="AE563" s="173">
        <f>IF(preDEL!$AG563,IFERROR(0/0,""),preDEL!AE563)</f>
        <v>269.5333333</v>
      </c>
      <c r="AF563" s="110" t="b">
        <f>IF(preDEL!$AG563,IFERROR(0/0,""),preDEL!AF563)</f>
        <v>0</v>
      </c>
      <c r="AG563" s="110" t="b">
        <f>IF(preDEL!$AG563,IFERROR(0/0,""),preDEL!AG563)</f>
        <v>0</v>
      </c>
      <c r="AH563" s="104" t="str">
        <f>IF(preDEL!$AG563,IFERROR(0/0,""),preDEL!AH563)</f>
        <v/>
      </c>
      <c r="AI563" s="105" t="str">
        <f>IF(preDEL!$AG563,IFERROR(0/0,""),preDEL!AI563)</f>
        <v/>
      </c>
      <c r="AJ563" s="112" t="str">
        <f>IF(preDEL!$AG563,IFERROR(0/0,""),preDEL!AJ563)</f>
        <v/>
      </c>
      <c r="AK563" s="105" t="str">
        <f>IF(preDEL!$AG563,IFERROR(0/0,""),preDEL!AK563)</f>
        <v>Negative</v>
      </c>
      <c r="AL563" s="112" t="str">
        <f>IF(preDEL!$AG563,IFERROR(0/0,""),preDEL!AL563)</f>
        <v/>
      </c>
      <c r="AM563" s="112" t="str">
        <f>IF(preDEL!$AG563,IFERROR(0/0,""),preDEL!AM563)</f>
        <v>SpBEND587584</v>
      </c>
      <c r="AN563" s="112" t="str">
        <f>IF(preDEL!$AG563,IFERROR(0/0,""),preDEL!AN563)</f>
        <v>BEND196623</v>
      </c>
      <c r="AO563" s="112" t="str">
        <f>IF(preDEL!$AG563,IFERROR(0/0,""),preDEL!AO563)</f>
        <v/>
      </c>
      <c r="AP563" s="112" t="str">
        <f>IF(preDEL!$AG563,IFERROR(0/0,""),preDEL!AP563)</f>
        <v/>
      </c>
      <c r="AQ563" s="112" t="str">
        <f>IF(preDEL!$AG563,IFERROR(0/0,""),preDEL!AQ563)</f>
        <v/>
      </c>
      <c r="AR563" s="112" t="str">
        <f>IF(preDEL!$AG563,IFERROR(0/0,""),preDEL!AR563)</f>
        <v/>
      </c>
      <c r="AS563" s="112" t="str">
        <f>IF(preDEL!$AG563,IFERROR(0/0,""),preDEL!AS563)</f>
        <v/>
      </c>
      <c r="AT563" s="112" t="b">
        <f>IF(preDEL!$AG563,IFERROR(0/0,""),preDEL!AT563)</f>
        <v>0</v>
      </c>
      <c r="AU563" s="112" t="str">
        <f>IF(preDEL!$AG563,IFERROR(0/0,""),preDEL!AU563)</f>
        <v/>
      </c>
      <c r="AV563" s="112" t="str">
        <f>IF(preDEL!$AG563,IFERROR(0/0,""),preDEL!AV563)</f>
        <v/>
      </c>
      <c r="AW563" s="112" t="str">
        <f>IF(preDEL!$AG563,IFERROR(0/0,""),preDEL!AW563)</f>
        <v/>
      </c>
      <c r="AX563" s="112" t="str">
        <f>IF(preDEL!$AG563,IFERROR(0/0,""),preDEL!AX563)</f>
        <v/>
      </c>
      <c r="AY563" s="112" t="str">
        <f>IF(preDEL!$AG563,IFERROR(0/0,""),preDEL!AY563)</f>
        <v/>
      </c>
      <c r="AZ563" s="174"/>
      <c r="BA563" s="174"/>
      <c r="BB563" s="174"/>
      <c r="BC563" s="174"/>
      <c r="BD563" s="174"/>
      <c r="BE563" s="174"/>
      <c r="BF563" s="174"/>
      <c r="BG563" s="174"/>
      <c r="BH563" s="174"/>
      <c r="BI563" s="174"/>
      <c r="BJ563" s="174"/>
      <c r="BK563" s="174"/>
      <c r="BL563" s="174"/>
      <c r="BM563" s="174"/>
      <c r="BN563" s="174"/>
      <c r="BO563" s="174"/>
      <c r="BP563" s="174"/>
      <c r="BQ563" s="174"/>
      <c r="BR563" s="174"/>
      <c r="BS563" s="174"/>
      <c r="BT563" s="174"/>
      <c r="BU563" s="174"/>
      <c r="BV563" s="174"/>
      <c r="BW563" s="174"/>
      <c r="BX563" s="174"/>
      <c r="BY563" s="174"/>
      <c r="BZ563" s="174"/>
      <c r="CA563" s="174"/>
      <c r="CB563" s="174"/>
      <c r="CC563" s="174"/>
      <c r="CD563" s="174"/>
    </row>
    <row r="564">
      <c r="A564" s="105" t="str">
        <f>IF(preDEL!$AG564,IFERROR(0/0,""),preDEL!A564)</f>
        <v>MA243</v>
      </c>
      <c r="B564" s="170">
        <f>IF(preDEL!$AG564,IFERROR(0/0,""),preDEL!B564)</f>
        <v>44617</v>
      </c>
      <c r="C564" s="171">
        <f>IF(preDEL!$AG564,IFERROR(0/0,""),preDEL!C564)</f>
        <v>0.3175462963</v>
      </c>
      <c r="D564" s="105" t="str">
        <f>IF(preDEL!$AG564,IFERROR(0/0,""),preDEL!D564)</f>
        <v/>
      </c>
      <c r="E564" s="105" t="str">
        <f>IF(preDEL!$AG564,IFERROR(0/0,""),preDEL!E564)</f>
        <v/>
      </c>
      <c r="F564" s="112" t="str">
        <f>IF(preDEL!$AG564,IFERROR(0/0,""),preDEL!F564)</f>
        <v/>
      </c>
      <c r="G564" s="112" t="str">
        <f>IF(preDEL!$AG564,IFERROR(0/0,""),preDEL!G564)</f>
        <v/>
      </c>
      <c r="H564" s="112" t="str">
        <f>IF(preDEL!$AG564,IFERROR(0/0,""),preDEL!H564)</f>
        <v/>
      </c>
      <c r="I564" s="105" t="str">
        <f>IF(preDEL!$AG564,IFERROR(0/0,""),preDEL!I564)</f>
        <v/>
      </c>
      <c r="J564" s="105" t="str">
        <f>IF(preDEL!$AG564,IFERROR(0/0,""),preDEL!J564)</f>
        <v/>
      </c>
      <c r="K564" s="105" t="str">
        <f>IF(preDEL!$AG564,IFERROR(0/0,""),preDEL!K564)</f>
        <v>Negative</v>
      </c>
      <c r="L564" s="170">
        <f>IF(preDEL!$AG564,IFERROR(0/0,""),preDEL!L564)</f>
        <v>44617</v>
      </c>
      <c r="M564" s="171">
        <f>IF(preDEL!$AG564,IFERROR(0/0,""),preDEL!M564)</f>
        <v>0.5033680556</v>
      </c>
      <c r="N564" s="112" t="str">
        <f>IF(preDEL!$AG564,IFERROR(0/0,""),preDEL!N564)</f>
        <v/>
      </c>
      <c r="O564" s="112" t="str">
        <f>IF(preDEL!$AG564,IFERROR(0/0,""),preDEL!O564)</f>
        <v/>
      </c>
      <c r="P564" s="110" t="b">
        <f>IF(preDEL!$AG564,IFERROR(0/0,""),preDEL!P564)</f>
        <v>0</v>
      </c>
      <c r="Q564" s="110" t="str">
        <f>IF(preDEL!$AG564,IFERROR(0/0,""),preDEL!Q564)</f>
        <v>Result</v>
      </c>
      <c r="R564" s="104" t="b">
        <f>IF(preDEL!$AG564,IFERROR(0/0,""),preDEL!R564)</f>
        <v>1</v>
      </c>
      <c r="S564" s="104">
        <f>IF(preDEL!$AG564,IFERROR(0/0,""),preDEL!S564)</f>
        <v>1</v>
      </c>
      <c r="T564" s="110" t="str">
        <f>IF(preDEL!$AG564,IFERROR(0/0,""),preDEL!T564)</f>
        <v/>
      </c>
      <c r="U564" s="112" t="str">
        <f>IF(preDEL!$AG564,IFERROR(0/0,""),preDEL!U564)</f>
        <v/>
      </c>
      <c r="V564" s="105" t="str">
        <f>IF(preDEL!$AG564,IFERROR(0/0,""),preDEL!V564)</f>
        <v/>
      </c>
      <c r="W564" s="112" t="str">
        <f>IF(preDEL!$AG564,IFERROR(0/0,""),preDEL!W564)</f>
        <v/>
      </c>
      <c r="X564" s="104" t="b">
        <f>IF(preDEL!$AG564,IFERROR(0/0,""),preDEL!X564)</f>
        <v>0</v>
      </c>
      <c r="Y564" s="110" t="b">
        <f>IF(preDEL!$AG564,IFERROR(0/0,""),preDEL!Y564)</f>
        <v>0</v>
      </c>
      <c r="Z564" s="105" t="str">
        <f>IF(preDEL!$AG564,IFERROR(0/0,""),preDEL!Z564)</f>
        <v/>
      </c>
      <c r="AA564" s="110" t="b">
        <f>IF(preDEL!$AG564,IFERROR(0/0,""),preDEL!AA564)</f>
        <v>0</v>
      </c>
      <c r="AB564" s="110" t="b">
        <f>IF(preDEL!$AG564,IFERROR(0/0,""),preDEL!AB564)</f>
        <v>0</v>
      </c>
      <c r="AC564" s="172">
        <f>IF(preDEL!$AG564,IFERROR(0/0,""),preDEL!AC564)</f>
        <v>250</v>
      </c>
      <c r="AD564" s="104" t="b">
        <f>IF(preDEL!$AG564,IFERROR(0/0,""),preDEL!AD564)</f>
        <v>0</v>
      </c>
      <c r="AE564" s="173">
        <f>IF(preDEL!$AG564,IFERROR(0/0,""),preDEL!AE564)</f>
        <v>267.5833333</v>
      </c>
      <c r="AF564" s="110" t="b">
        <f>IF(preDEL!$AG564,IFERROR(0/0,""),preDEL!AF564)</f>
        <v>0</v>
      </c>
      <c r="AG564" s="110" t="b">
        <f>IF(preDEL!$AG564,IFERROR(0/0,""),preDEL!AG564)</f>
        <v>0</v>
      </c>
      <c r="AH564" s="104" t="str">
        <f>IF(preDEL!$AG564,IFERROR(0/0,""),preDEL!AH564)</f>
        <v/>
      </c>
      <c r="AI564" s="105" t="str">
        <f>IF(preDEL!$AG564,IFERROR(0/0,""),preDEL!AI564)</f>
        <v/>
      </c>
      <c r="AJ564" s="112" t="str">
        <f>IF(preDEL!$AG564,IFERROR(0/0,""),preDEL!AJ564)</f>
        <v/>
      </c>
      <c r="AK564" s="105" t="str">
        <f>IF(preDEL!$AG564,IFERROR(0/0,""),preDEL!AK564)</f>
        <v>Negative</v>
      </c>
      <c r="AL564" s="112" t="str">
        <f>IF(preDEL!$AG564,IFERROR(0/0,""),preDEL!AL564)</f>
        <v/>
      </c>
      <c r="AM564" s="112" t="str">
        <f>IF(preDEL!$AG564,IFERROR(0/0,""),preDEL!AM564)</f>
        <v>SpBEND904348</v>
      </c>
      <c r="AN564" s="112" t="str">
        <f>IF(preDEL!$AG564,IFERROR(0/0,""),preDEL!AN564)</f>
        <v>BEND640444</v>
      </c>
      <c r="AO564" s="112" t="str">
        <f>IF(preDEL!$AG564,IFERROR(0/0,""),preDEL!AO564)</f>
        <v/>
      </c>
      <c r="AP564" s="112" t="str">
        <f>IF(preDEL!$AG564,IFERROR(0/0,""),preDEL!AP564)</f>
        <v/>
      </c>
      <c r="AQ564" s="112" t="str">
        <f>IF(preDEL!$AG564,IFERROR(0/0,""),preDEL!AQ564)</f>
        <v/>
      </c>
      <c r="AR564" s="112" t="str">
        <f>IF(preDEL!$AG564,IFERROR(0/0,""),preDEL!AR564)</f>
        <v/>
      </c>
      <c r="AS564" s="112" t="str">
        <f>IF(preDEL!$AG564,IFERROR(0/0,""),preDEL!AS564)</f>
        <v/>
      </c>
      <c r="AT564" s="112" t="b">
        <f>IF(preDEL!$AG564,IFERROR(0/0,""),preDEL!AT564)</f>
        <v>0</v>
      </c>
      <c r="AU564" s="112" t="str">
        <f>IF(preDEL!$AG564,IFERROR(0/0,""),preDEL!AU564)</f>
        <v/>
      </c>
      <c r="AV564" s="112" t="str">
        <f>IF(preDEL!$AG564,IFERROR(0/0,""),preDEL!AV564)</f>
        <v/>
      </c>
      <c r="AW564" s="112" t="str">
        <f>IF(preDEL!$AG564,IFERROR(0/0,""),preDEL!AW564)</f>
        <v/>
      </c>
      <c r="AX564" s="112" t="str">
        <f>IF(preDEL!$AG564,IFERROR(0/0,""),preDEL!AX564)</f>
        <v/>
      </c>
      <c r="AY564" s="112" t="str">
        <f>IF(preDEL!$AG564,IFERROR(0/0,""),preDEL!AY564)</f>
        <v/>
      </c>
      <c r="AZ564" s="174"/>
      <c r="BA564" s="174"/>
      <c r="BB564" s="174"/>
      <c r="BC564" s="174"/>
      <c r="BD564" s="174"/>
      <c r="BE564" s="174"/>
      <c r="BF564" s="174"/>
      <c r="BG564" s="174"/>
      <c r="BH564" s="174"/>
      <c r="BI564" s="174"/>
      <c r="BJ564" s="174"/>
      <c r="BK564" s="174"/>
      <c r="BL564" s="174"/>
      <c r="BM564" s="174"/>
      <c r="BN564" s="174"/>
      <c r="BO564" s="174"/>
      <c r="BP564" s="174"/>
      <c r="BQ564" s="174"/>
      <c r="BR564" s="174"/>
      <c r="BS564" s="174"/>
      <c r="BT564" s="174"/>
      <c r="BU564" s="174"/>
      <c r="BV564" s="174"/>
      <c r="BW564" s="174"/>
      <c r="BX564" s="174"/>
      <c r="BY564" s="174"/>
      <c r="BZ564" s="174"/>
      <c r="CA564" s="174"/>
      <c r="CB564" s="174"/>
      <c r="CC564" s="174"/>
      <c r="CD564" s="174"/>
    </row>
    <row r="565">
      <c r="A565" s="105" t="str">
        <f>IF(preDEL!$AG565,IFERROR(0/0,""),preDEL!A565)</f>
        <v>MA1140</v>
      </c>
      <c r="B565" s="170">
        <f>IF(preDEL!$AG565,IFERROR(0/0,""),preDEL!B565)</f>
        <v>44617</v>
      </c>
      <c r="C565" s="171">
        <f>IF(preDEL!$AG565,IFERROR(0/0,""),preDEL!C565)</f>
        <v>0.3182986111</v>
      </c>
      <c r="D565" s="105" t="str">
        <f>IF(preDEL!$AG565,IFERROR(0/0,""),preDEL!D565)</f>
        <v/>
      </c>
      <c r="E565" s="105" t="str">
        <f>IF(preDEL!$AG565,IFERROR(0/0,""),preDEL!E565)</f>
        <v/>
      </c>
      <c r="F565" s="112" t="str">
        <f>IF(preDEL!$AG565,IFERROR(0/0,""),preDEL!F565)</f>
        <v/>
      </c>
      <c r="G565" s="112" t="str">
        <f>IF(preDEL!$AG565,IFERROR(0/0,""),preDEL!G565)</f>
        <v/>
      </c>
      <c r="H565" s="112" t="str">
        <f>IF(preDEL!$AG565,IFERROR(0/0,""),preDEL!H565)</f>
        <v/>
      </c>
      <c r="I565" s="105" t="str">
        <f>IF(preDEL!$AG565,IFERROR(0/0,""),preDEL!I565)</f>
        <v/>
      </c>
      <c r="J565" s="105" t="str">
        <f>IF(preDEL!$AG565,IFERROR(0/0,""),preDEL!J565)</f>
        <v/>
      </c>
      <c r="K565" s="105" t="str">
        <f>IF(preDEL!$AG565,IFERROR(0/0,""),preDEL!K565)</f>
        <v>Negative</v>
      </c>
      <c r="L565" s="170">
        <f>IF(preDEL!$AG565,IFERROR(0/0,""),preDEL!L565)</f>
        <v>44617</v>
      </c>
      <c r="M565" s="171">
        <f>IF(preDEL!$AG565,IFERROR(0/0,""),preDEL!M565)</f>
        <v>0.5033680556</v>
      </c>
      <c r="N565" s="112" t="str">
        <f>IF(preDEL!$AG565,IFERROR(0/0,""),preDEL!N565)</f>
        <v/>
      </c>
      <c r="O565" s="112" t="str">
        <f>IF(preDEL!$AG565,IFERROR(0/0,""),preDEL!O565)</f>
        <v/>
      </c>
      <c r="P565" s="110" t="b">
        <f>IF(preDEL!$AG565,IFERROR(0/0,""),preDEL!P565)</f>
        <v>0</v>
      </c>
      <c r="Q565" s="110" t="str">
        <f>IF(preDEL!$AG565,IFERROR(0/0,""),preDEL!Q565)</f>
        <v>Result</v>
      </c>
      <c r="R565" s="104" t="b">
        <f>IF(preDEL!$AG565,IFERROR(0/0,""),preDEL!R565)</f>
        <v>1</v>
      </c>
      <c r="S565" s="104">
        <f>IF(preDEL!$AG565,IFERROR(0/0,""),preDEL!S565)</f>
        <v>1</v>
      </c>
      <c r="T565" s="110" t="str">
        <f>IF(preDEL!$AG565,IFERROR(0/0,""),preDEL!T565)</f>
        <v/>
      </c>
      <c r="U565" s="112" t="str">
        <f>IF(preDEL!$AG565,IFERROR(0/0,""),preDEL!U565)</f>
        <v/>
      </c>
      <c r="V565" s="105" t="str">
        <f>IF(preDEL!$AG565,IFERROR(0/0,""),preDEL!V565)</f>
        <v/>
      </c>
      <c r="W565" s="112" t="str">
        <f>IF(preDEL!$AG565,IFERROR(0/0,""),preDEL!W565)</f>
        <v/>
      </c>
      <c r="X565" s="104" t="b">
        <f>IF(preDEL!$AG565,IFERROR(0/0,""),preDEL!X565)</f>
        <v>0</v>
      </c>
      <c r="Y565" s="110" t="b">
        <f>IF(preDEL!$AG565,IFERROR(0/0,""),preDEL!Y565)</f>
        <v>0</v>
      </c>
      <c r="Z565" s="105" t="str">
        <f>IF(preDEL!$AG565,IFERROR(0/0,""),preDEL!Z565)</f>
        <v/>
      </c>
      <c r="AA565" s="110" t="b">
        <f>IF(preDEL!$AG565,IFERROR(0/0,""),preDEL!AA565)</f>
        <v>0</v>
      </c>
      <c r="AB565" s="110" t="b">
        <f>IF(preDEL!$AG565,IFERROR(0/0,""),preDEL!AB565)</f>
        <v>0</v>
      </c>
      <c r="AC565" s="172">
        <f>IF(preDEL!$AG565,IFERROR(0/0,""),preDEL!AC565)</f>
        <v>249</v>
      </c>
      <c r="AD565" s="104" t="b">
        <f>IF(preDEL!$AG565,IFERROR(0/0,""),preDEL!AD565)</f>
        <v>0</v>
      </c>
      <c r="AE565" s="173">
        <f>IF(preDEL!$AG565,IFERROR(0/0,""),preDEL!AE565)</f>
        <v>266.5</v>
      </c>
      <c r="AF565" s="110" t="b">
        <f>IF(preDEL!$AG565,IFERROR(0/0,""),preDEL!AF565)</f>
        <v>0</v>
      </c>
      <c r="AG565" s="110" t="b">
        <f>IF(preDEL!$AG565,IFERROR(0/0,""),preDEL!AG565)</f>
        <v>0</v>
      </c>
      <c r="AH565" s="104" t="str">
        <f>IF(preDEL!$AG565,IFERROR(0/0,""),preDEL!AH565)</f>
        <v/>
      </c>
      <c r="AI565" s="105" t="str">
        <f>IF(preDEL!$AG565,IFERROR(0/0,""),preDEL!AI565)</f>
        <v/>
      </c>
      <c r="AJ565" s="112" t="str">
        <f>IF(preDEL!$AG565,IFERROR(0/0,""),preDEL!AJ565)</f>
        <v/>
      </c>
      <c r="AK565" s="105" t="str">
        <f>IF(preDEL!$AG565,IFERROR(0/0,""),preDEL!AK565)</f>
        <v>Negative</v>
      </c>
      <c r="AL565" s="112" t="str">
        <f>IF(preDEL!$AG565,IFERROR(0/0,""),preDEL!AL565)</f>
        <v/>
      </c>
      <c r="AM565" s="112" t="str">
        <f>IF(preDEL!$AG565,IFERROR(0/0,""),preDEL!AM565)</f>
        <v>SpBEND548976</v>
      </c>
      <c r="AN565" s="112" t="str">
        <f>IF(preDEL!$AG565,IFERROR(0/0,""),preDEL!AN565)</f>
        <v>BEND704851</v>
      </c>
      <c r="AO565" s="112" t="str">
        <f>IF(preDEL!$AG565,IFERROR(0/0,""),preDEL!AO565)</f>
        <v/>
      </c>
      <c r="AP565" s="112" t="str">
        <f>IF(preDEL!$AG565,IFERROR(0/0,""),preDEL!AP565)</f>
        <v/>
      </c>
      <c r="AQ565" s="112" t="str">
        <f>IF(preDEL!$AG565,IFERROR(0/0,""),preDEL!AQ565)</f>
        <v/>
      </c>
      <c r="AR565" s="112" t="str">
        <f>IF(preDEL!$AG565,IFERROR(0/0,""),preDEL!AR565)</f>
        <v/>
      </c>
      <c r="AS565" s="112" t="str">
        <f>IF(preDEL!$AG565,IFERROR(0/0,""),preDEL!AS565)</f>
        <v/>
      </c>
      <c r="AT565" s="112" t="b">
        <f>IF(preDEL!$AG565,IFERROR(0/0,""),preDEL!AT565)</f>
        <v>0</v>
      </c>
      <c r="AU565" s="112" t="str">
        <f>IF(preDEL!$AG565,IFERROR(0/0,""),preDEL!AU565)</f>
        <v/>
      </c>
      <c r="AV565" s="112" t="str">
        <f>IF(preDEL!$AG565,IFERROR(0/0,""),preDEL!AV565)</f>
        <v/>
      </c>
      <c r="AW565" s="112" t="str">
        <f>IF(preDEL!$AG565,IFERROR(0/0,""),preDEL!AW565)</f>
        <v/>
      </c>
      <c r="AX565" s="112" t="str">
        <f>IF(preDEL!$AG565,IFERROR(0/0,""),preDEL!AX565)</f>
        <v/>
      </c>
      <c r="AY565" s="112" t="str">
        <f>IF(preDEL!$AG565,IFERROR(0/0,""),preDEL!AY565)</f>
        <v/>
      </c>
      <c r="AZ565" s="174"/>
      <c r="BA565" s="174"/>
      <c r="BB565" s="174"/>
      <c r="BC565" s="174"/>
      <c r="BD565" s="174"/>
      <c r="BE565" s="174"/>
      <c r="BF565" s="174"/>
      <c r="BG565" s="174"/>
      <c r="BH565" s="174"/>
      <c r="BI565" s="174"/>
      <c r="BJ565" s="174"/>
      <c r="BK565" s="174"/>
      <c r="BL565" s="174"/>
      <c r="BM565" s="174"/>
      <c r="BN565" s="174"/>
      <c r="BO565" s="174"/>
      <c r="BP565" s="174"/>
      <c r="BQ565" s="174"/>
      <c r="BR565" s="174"/>
      <c r="BS565" s="174"/>
      <c r="BT565" s="174"/>
      <c r="BU565" s="174"/>
      <c r="BV565" s="174"/>
      <c r="BW565" s="174"/>
      <c r="BX565" s="174"/>
      <c r="BY565" s="174"/>
      <c r="BZ565" s="174"/>
      <c r="CA565" s="174"/>
      <c r="CB565" s="174"/>
      <c r="CC565" s="174"/>
      <c r="CD565" s="174"/>
    </row>
    <row r="566">
      <c r="A566" s="105" t="str">
        <f>IF(preDEL!$AG566,IFERROR(0/0,""),preDEL!A566)</f>
        <v>MA1075</v>
      </c>
      <c r="B566" s="170">
        <f>IF(preDEL!$AG566,IFERROR(0/0,""),preDEL!B566)</f>
        <v>44617</v>
      </c>
      <c r="C566" s="171">
        <f>IF(preDEL!$AG566,IFERROR(0/0,""),preDEL!C566)</f>
        <v>0.3187152778</v>
      </c>
      <c r="D566" s="105" t="str">
        <f>IF(preDEL!$AG566,IFERROR(0/0,""),preDEL!D566)</f>
        <v/>
      </c>
      <c r="E566" s="105" t="str">
        <f>IF(preDEL!$AG566,IFERROR(0/0,""),preDEL!E566)</f>
        <v/>
      </c>
      <c r="F566" s="112" t="str">
        <f>IF(preDEL!$AG566,IFERROR(0/0,""),preDEL!F566)</f>
        <v/>
      </c>
      <c r="G566" s="112" t="str">
        <f>IF(preDEL!$AG566,IFERROR(0/0,""),preDEL!G566)</f>
        <v/>
      </c>
      <c r="H566" s="112" t="str">
        <f>IF(preDEL!$AG566,IFERROR(0/0,""),preDEL!H566)</f>
        <v/>
      </c>
      <c r="I566" s="105" t="str">
        <f>IF(preDEL!$AG566,IFERROR(0/0,""),preDEL!I566)</f>
        <v/>
      </c>
      <c r="J566" s="105" t="str">
        <f>IF(preDEL!$AG566,IFERROR(0/0,""),preDEL!J566)</f>
        <v/>
      </c>
      <c r="K566" s="105" t="str">
        <f>IF(preDEL!$AG566,IFERROR(0/0,""),preDEL!K566)</f>
        <v>Negative</v>
      </c>
      <c r="L566" s="170">
        <f>IF(preDEL!$AG566,IFERROR(0/0,""),preDEL!L566)</f>
        <v>44617</v>
      </c>
      <c r="M566" s="171">
        <f>IF(preDEL!$AG566,IFERROR(0/0,""),preDEL!M566)</f>
        <v>0.5033680556</v>
      </c>
      <c r="N566" s="112" t="str">
        <f>IF(preDEL!$AG566,IFERROR(0/0,""),preDEL!N566)</f>
        <v/>
      </c>
      <c r="O566" s="112" t="str">
        <f>IF(preDEL!$AG566,IFERROR(0/0,""),preDEL!O566)</f>
        <v/>
      </c>
      <c r="P566" s="110" t="b">
        <f>IF(preDEL!$AG566,IFERROR(0/0,""),preDEL!P566)</f>
        <v>0</v>
      </c>
      <c r="Q566" s="110" t="str">
        <f>IF(preDEL!$AG566,IFERROR(0/0,""),preDEL!Q566)</f>
        <v>Result</v>
      </c>
      <c r="R566" s="104" t="b">
        <f>IF(preDEL!$AG566,IFERROR(0/0,""),preDEL!R566)</f>
        <v>1</v>
      </c>
      <c r="S566" s="104">
        <f>IF(preDEL!$AG566,IFERROR(0/0,""),preDEL!S566)</f>
        <v>1</v>
      </c>
      <c r="T566" s="110" t="str">
        <f>IF(preDEL!$AG566,IFERROR(0/0,""),preDEL!T566)</f>
        <v/>
      </c>
      <c r="U566" s="112" t="str">
        <f>IF(preDEL!$AG566,IFERROR(0/0,""),preDEL!U566)</f>
        <v/>
      </c>
      <c r="V566" s="105" t="str">
        <f>IF(preDEL!$AG566,IFERROR(0/0,""),preDEL!V566)</f>
        <v/>
      </c>
      <c r="W566" s="112" t="str">
        <f>IF(preDEL!$AG566,IFERROR(0/0,""),preDEL!W566)</f>
        <v/>
      </c>
      <c r="X566" s="104" t="b">
        <f>IF(preDEL!$AG566,IFERROR(0/0,""),preDEL!X566)</f>
        <v>0</v>
      </c>
      <c r="Y566" s="110" t="b">
        <f>IF(preDEL!$AG566,IFERROR(0/0,""),preDEL!Y566)</f>
        <v>0</v>
      </c>
      <c r="Z566" s="105" t="str">
        <f>IF(preDEL!$AG566,IFERROR(0/0,""),preDEL!Z566)</f>
        <v/>
      </c>
      <c r="AA566" s="110" t="b">
        <f>IF(preDEL!$AG566,IFERROR(0/0,""),preDEL!AA566)</f>
        <v>0</v>
      </c>
      <c r="AB566" s="110" t="b">
        <f>IF(preDEL!$AG566,IFERROR(0/0,""),preDEL!AB566)</f>
        <v>0</v>
      </c>
      <c r="AC566" s="172">
        <f>IF(preDEL!$AG566,IFERROR(0/0,""),preDEL!AC566)</f>
        <v>248</v>
      </c>
      <c r="AD566" s="104" t="b">
        <f>IF(preDEL!$AG566,IFERROR(0/0,""),preDEL!AD566)</f>
        <v>0</v>
      </c>
      <c r="AE566" s="173">
        <f>IF(preDEL!$AG566,IFERROR(0/0,""),preDEL!AE566)</f>
        <v>265.9</v>
      </c>
      <c r="AF566" s="110" t="b">
        <f>IF(preDEL!$AG566,IFERROR(0/0,""),preDEL!AF566)</f>
        <v>0</v>
      </c>
      <c r="AG566" s="110" t="b">
        <f>IF(preDEL!$AG566,IFERROR(0/0,""),preDEL!AG566)</f>
        <v>0</v>
      </c>
      <c r="AH566" s="104" t="str">
        <f>IF(preDEL!$AG566,IFERROR(0/0,""),preDEL!AH566)</f>
        <v/>
      </c>
      <c r="AI566" s="105" t="str">
        <f>IF(preDEL!$AG566,IFERROR(0/0,""),preDEL!AI566)</f>
        <v/>
      </c>
      <c r="AJ566" s="112" t="str">
        <f>IF(preDEL!$AG566,IFERROR(0/0,""),preDEL!AJ566)</f>
        <v/>
      </c>
      <c r="AK566" s="105" t="str">
        <f>IF(preDEL!$AG566,IFERROR(0/0,""),preDEL!AK566)</f>
        <v>Negative</v>
      </c>
      <c r="AL566" s="112" t="str">
        <f>IF(preDEL!$AG566,IFERROR(0/0,""),preDEL!AL566)</f>
        <v/>
      </c>
      <c r="AM566" s="112" t="str">
        <f>IF(preDEL!$AG566,IFERROR(0/0,""),preDEL!AM566)</f>
        <v>SpBEND296258</v>
      </c>
      <c r="AN566" s="112" t="str">
        <f>IF(preDEL!$AG566,IFERROR(0/0,""),preDEL!AN566)</f>
        <v>BEND873094</v>
      </c>
      <c r="AO566" s="112" t="str">
        <f>IF(preDEL!$AG566,IFERROR(0/0,""),preDEL!AO566)</f>
        <v/>
      </c>
      <c r="AP566" s="112" t="str">
        <f>IF(preDEL!$AG566,IFERROR(0/0,""),preDEL!AP566)</f>
        <v/>
      </c>
      <c r="AQ566" s="112" t="str">
        <f>IF(preDEL!$AG566,IFERROR(0/0,""),preDEL!AQ566)</f>
        <v/>
      </c>
      <c r="AR566" s="112" t="str">
        <f>IF(preDEL!$AG566,IFERROR(0/0,""),preDEL!AR566)</f>
        <v/>
      </c>
      <c r="AS566" s="112" t="str">
        <f>IF(preDEL!$AG566,IFERROR(0/0,""),preDEL!AS566)</f>
        <v/>
      </c>
      <c r="AT566" s="112" t="b">
        <f>IF(preDEL!$AG566,IFERROR(0/0,""),preDEL!AT566)</f>
        <v>0</v>
      </c>
      <c r="AU566" s="112" t="str">
        <f>IF(preDEL!$AG566,IFERROR(0/0,""),preDEL!AU566)</f>
        <v/>
      </c>
      <c r="AV566" s="112" t="str">
        <f>IF(preDEL!$AG566,IFERROR(0/0,""),preDEL!AV566)</f>
        <v/>
      </c>
      <c r="AW566" s="112" t="str">
        <f>IF(preDEL!$AG566,IFERROR(0/0,""),preDEL!AW566)</f>
        <v/>
      </c>
      <c r="AX566" s="112" t="str">
        <f>IF(preDEL!$AG566,IFERROR(0/0,""),preDEL!AX566)</f>
        <v/>
      </c>
      <c r="AY566" s="112" t="str">
        <f>IF(preDEL!$AG566,IFERROR(0/0,""),preDEL!AY566)</f>
        <v/>
      </c>
      <c r="AZ566" s="174"/>
      <c r="BA566" s="174"/>
      <c r="BB566" s="174"/>
      <c r="BC566" s="174"/>
      <c r="BD566" s="174"/>
      <c r="BE566" s="174"/>
      <c r="BF566" s="174"/>
      <c r="BG566" s="174"/>
      <c r="BH566" s="174"/>
      <c r="BI566" s="174"/>
      <c r="BJ566" s="174"/>
      <c r="BK566" s="174"/>
      <c r="BL566" s="174"/>
      <c r="BM566" s="174"/>
      <c r="BN566" s="174"/>
      <c r="BO566" s="174"/>
      <c r="BP566" s="174"/>
      <c r="BQ566" s="174"/>
      <c r="BR566" s="174"/>
      <c r="BS566" s="174"/>
      <c r="BT566" s="174"/>
      <c r="BU566" s="174"/>
      <c r="BV566" s="174"/>
      <c r="BW566" s="174"/>
      <c r="BX566" s="174"/>
      <c r="BY566" s="174"/>
      <c r="BZ566" s="174"/>
      <c r="CA566" s="174"/>
      <c r="CB566" s="174"/>
      <c r="CC566" s="174"/>
      <c r="CD566" s="174"/>
    </row>
    <row r="567">
      <c r="A567" s="105" t="str">
        <f>IF(preDEL!$AG567,IFERROR(0/0,""),preDEL!A567)</f>
        <v>FM12</v>
      </c>
      <c r="B567" s="170">
        <f>IF(preDEL!$AG567,IFERROR(0/0,""),preDEL!B567)</f>
        <v>44617</v>
      </c>
      <c r="C567" s="171">
        <f>IF(preDEL!$AG567,IFERROR(0/0,""),preDEL!C567)</f>
        <v>0.3202199074</v>
      </c>
      <c r="D567" s="105" t="str">
        <f>IF(preDEL!$AG567,IFERROR(0/0,""),preDEL!D567)</f>
        <v/>
      </c>
      <c r="E567" s="105" t="str">
        <f>IF(preDEL!$AG567,IFERROR(0/0,""),preDEL!E567)</f>
        <v/>
      </c>
      <c r="F567" s="112" t="str">
        <f>IF(preDEL!$AG567,IFERROR(0/0,""),preDEL!F567)</f>
        <v/>
      </c>
      <c r="G567" s="112" t="str">
        <f>IF(preDEL!$AG567,IFERROR(0/0,""),preDEL!G567)</f>
        <v/>
      </c>
      <c r="H567" s="112" t="str">
        <f>IF(preDEL!$AG567,IFERROR(0/0,""),preDEL!H567)</f>
        <v/>
      </c>
      <c r="I567" s="105" t="str">
        <f>IF(preDEL!$AG567,IFERROR(0/0,""),preDEL!I567)</f>
        <v/>
      </c>
      <c r="J567" s="105" t="str">
        <f>IF(preDEL!$AG567,IFERROR(0/0,""),preDEL!J567)</f>
        <v/>
      </c>
      <c r="K567" s="105" t="str">
        <f>IF(preDEL!$AG567,IFERROR(0/0,""),preDEL!K567)</f>
        <v>Negative</v>
      </c>
      <c r="L567" s="170">
        <f>IF(preDEL!$AG567,IFERROR(0/0,""),preDEL!L567)</f>
        <v>44617</v>
      </c>
      <c r="M567" s="171">
        <f>IF(preDEL!$AG567,IFERROR(0/0,""),preDEL!M567)</f>
        <v>0.5033680556</v>
      </c>
      <c r="N567" s="112" t="str">
        <f>IF(preDEL!$AG567,IFERROR(0/0,""),preDEL!N567)</f>
        <v/>
      </c>
      <c r="O567" s="112" t="str">
        <f>IF(preDEL!$AG567,IFERROR(0/0,""),preDEL!O567)</f>
        <v/>
      </c>
      <c r="P567" s="110" t="b">
        <f>IF(preDEL!$AG567,IFERROR(0/0,""),preDEL!P567)</f>
        <v>0</v>
      </c>
      <c r="Q567" s="110" t="str">
        <f>IF(preDEL!$AG567,IFERROR(0/0,""),preDEL!Q567)</f>
        <v>Result</v>
      </c>
      <c r="R567" s="104" t="b">
        <f>IF(preDEL!$AG567,IFERROR(0/0,""),preDEL!R567)</f>
        <v>1</v>
      </c>
      <c r="S567" s="104">
        <f>IF(preDEL!$AG567,IFERROR(0/0,""),preDEL!S567)</f>
        <v>1</v>
      </c>
      <c r="T567" s="110" t="str">
        <f>IF(preDEL!$AG567,IFERROR(0/0,""),preDEL!T567)</f>
        <v/>
      </c>
      <c r="U567" s="112" t="str">
        <f>IF(preDEL!$AG567,IFERROR(0/0,""),preDEL!U567)</f>
        <v/>
      </c>
      <c r="V567" s="105" t="str">
        <f>IF(preDEL!$AG567,IFERROR(0/0,""),preDEL!V567)</f>
        <v/>
      </c>
      <c r="W567" s="112" t="str">
        <f>IF(preDEL!$AG567,IFERROR(0/0,""),preDEL!W567)</f>
        <v/>
      </c>
      <c r="X567" s="104" t="b">
        <f>IF(preDEL!$AG567,IFERROR(0/0,""),preDEL!X567)</f>
        <v>0</v>
      </c>
      <c r="Y567" s="110" t="b">
        <f>IF(preDEL!$AG567,IFERROR(0/0,""),preDEL!Y567)</f>
        <v>0</v>
      </c>
      <c r="Z567" s="105" t="str">
        <f>IF(preDEL!$AG567,IFERROR(0/0,""),preDEL!Z567)</f>
        <v/>
      </c>
      <c r="AA567" s="110" t="b">
        <f>IF(preDEL!$AG567,IFERROR(0/0,""),preDEL!AA567)</f>
        <v>0</v>
      </c>
      <c r="AB567" s="110" t="b">
        <f>IF(preDEL!$AG567,IFERROR(0/0,""),preDEL!AB567)</f>
        <v>0</v>
      </c>
      <c r="AC567" s="172">
        <f>IF(preDEL!$AG567,IFERROR(0/0,""),preDEL!AC567)</f>
        <v>247</v>
      </c>
      <c r="AD567" s="104" t="b">
        <f>IF(preDEL!$AG567,IFERROR(0/0,""),preDEL!AD567)</f>
        <v>0</v>
      </c>
      <c r="AE567" s="173">
        <f>IF(preDEL!$AG567,IFERROR(0/0,""),preDEL!AE567)</f>
        <v>263.7333333</v>
      </c>
      <c r="AF567" s="110" t="b">
        <f>IF(preDEL!$AG567,IFERROR(0/0,""),preDEL!AF567)</f>
        <v>0</v>
      </c>
      <c r="AG567" s="110" t="b">
        <f>IF(preDEL!$AG567,IFERROR(0/0,""),preDEL!AG567)</f>
        <v>0</v>
      </c>
      <c r="AH567" s="104" t="str">
        <f>IF(preDEL!$AG567,IFERROR(0/0,""),preDEL!AH567)</f>
        <v/>
      </c>
      <c r="AI567" s="105" t="str">
        <f>IF(preDEL!$AG567,IFERROR(0/0,""),preDEL!AI567)</f>
        <v/>
      </c>
      <c r="AJ567" s="112" t="str">
        <f>IF(preDEL!$AG567,IFERROR(0/0,""),preDEL!AJ567)</f>
        <v/>
      </c>
      <c r="AK567" s="105" t="str">
        <f>IF(preDEL!$AG567,IFERROR(0/0,""),preDEL!AK567)</f>
        <v>Negative</v>
      </c>
      <c r="AL567" s="112" t="str">
        <f>IF(preDEL!$AG567,IFERROR(0/0,""),preDEL!AL567)</f>
        <v/>
      </c>
      <c r="AM567" s="112" t="str">
        <f>IF(preDEL!$AG567,IFERROR(0/0,""),preDEL!AM567)</f>
        <v>SpBEND425753</v>
      </c>
      <c r="AN567" s="112" t="str">
        <f>IF(preDEL!$AG567,IFERROR(0/0,""),preDEL!AN567)</f>
        <v>BEND982858</v>
      </c>
      <c r="AO567" s="112" t="str">
        <f>IF(preDEL!$AG567,IFERROR(0/0,""),preDEL!AO567)</f>
        <v/>
      </c>
      <c r="AP567" s="112" t="str">
        <f>IF(preDEL!$AG567,IFERROR(0/0,""),preDEL!AP567)</f>
        <v/>
      </c>
      <c r="AQ567" s="112" t="str">
        <f>IF(preDEL!$AG567,IFERROR(0/0,""),preDEL!AQ567)</f>
        <v/>
      </c>
      <c r="AR567" s="112" t="str">
        <f>IF(preDEL!$AG567,IFERROR(0/0,""),preDEL!AR567)</f>
        <v/>
      </c>
      <c r="AS567" s="112" t="str">
        <f>IF(preDEL!$AG567,IFERROR(0/0,""),preDEL!AS567)</f>
        <v/>
      </c>
      <c r="AT567" s="112" t="b">
        <f>IF(preDEL!$AG567,IFERROR(0/0,""),preDEL!AT567)</f>
        <v>0</v>
      </c>
      <c r="AU567" s="112" t="str">
        <f>IF(preDEL!$AG567,IFERROR(0/0,""),preDEL!AU567)</f>
        <v/>
      </c>
      <c r="AV567" s="112" t="str">
        <f>IF(preDEL!$AG567,IFERROR(0/0,""),preDEL!AV567)</f>
        <v/>
      </c>
      <c r="AW567" s="112" t="str">
        <f>IF(preDEL!$AG567,IFERROR(0/0,""),preDEL!AW567)</f>
        <v/>
      </c>
      <c r="AX567" s="112" t="str">
        <f>IF(preDEL!$AG567,IFERROR(0/0,""),preDEL!AX567)</f>
        <v/>
      </c>
      <c r="AY567" s="112" t="str">
        <f>IF(preDEL!$AG567,IFERROR(0/0,""),preDEL!AY567)</f>
        <v/>
      </c>
      <c r="AZ567" s="174"/>
      <c r="BA567" s="174"/>
      <c r="BB567" s="174"/>
      <c r="BC567" s="174"/>
      <c r="BD567" s="174"/>
      <c r="BE567" s="174"/>
      <c r="BF567" s="174"/>
      <c r="BG567" s="174"/>
      <c r="BH567" s="174"/>
      <c r="BI567" s="174"/>
      <c r="BJ567" s="174"/>
      <c r="BK567" s="174"/>
      <c r="BL567" s="174"/>
      <c r="BM567" s="174"/>
      <c r="BN567" s="174"/>
      <c r="BO567" s="174"/>
      <c r="BP567" s="174"/>
      <c r="BQ567" s="174"/>
      <c r="BR567" s="174"/>
      <c r="BS567" s="174"/>
      <c r="BT567" s="174"/>
      <c r="BU567" s="174"/>
      <c r="BV567" s="174"/>
      <c r="BW567" s="174"/>
      <c r="BX567" s="174"/>
      <c r="BY567" s="174"/>
      <c r="BZ567" s="174"/>
      <c r="CA567" s="174"/>
      <c r="CB567" s="174"/>
      <c r="CC567" s="174"/>
      <c r="CD567" s="174"/>
    </row>
    <row r="568">
      <c r="A568" s="105" t="str">
        <f>IF(preDEL!$AG568,IFERROR(0/0,""),preDEL!A568)</f>
        <v>MA1039</v>
      </c>
      <c r="B568" s="170">
        <f>IF(preDEL!$AG568,IFERROR(0/0,""),preDEL!B568)</f>
        <v>44617</v>
      </c>
      <c r="C568" s="171">
        <f>IF(preDEL!$AG568,IFERROR(0/0,""),preDEL!C568)</f>
        <v>0.3202430556</v>
      </c>
      <c r="D568" s="105" t="str">
        <f>IF(preDEL!$AG568,IFERROR(0/0,""),preDEL!D568)</f>
        <v/>
      </c>
      <c r="E568" s="105" t="str">
        <f>IF(preDEL!$AG568,IFERROR(0/0,""),preDEL!E568)</f>
        <v/>
      </c>
      <c r="F568" s="112" t="str">
        <f>IF(preDEL!$AG568,IFERROR(0/0,""),preDEL!F568)</f>
        <v/>
      </c>
      <c r="G568" s="112" t="str">
        <f>IF(preDEL!$AG568,IFERROR(0/0,""),preDEL!G568)</f>
        <v/>
      </c>
      <c r="H568" s="112" t="str">
        <f>IF(preDEL!$AG568,IFERROR(0/0,""),preDEL!H568)</f>
        <v/>
      </c>
      <c r="I568" s="105" t="str">
        <f>IF(preDEL!$AG568,IFERROR(0/0,""),preDEL!I568)</f>
        <v/>
      </c>
      <c r="J568" s="105" t="str">
        <f>IF(preDEL!$AG568,IFERROR(0/0,""),preDEL!J568)</f>
        <v/>
      </c>
      <c r="K568" s="105" t="str">
        <f>IF(preDEL!$AG568,IFERROR(0/0,""),preDEL!K568)</f>
        <v>Negative</v>
      </c>
      <c r="L568" s="170">
        <f>IF(preDEL!$AG568,IFERROR(0/0,""),preDEL!L568)</f>
        <v>44617</v>
      </c>
      <c r="M568" s="171">
        <f>IF(preDEL!$AG568,IFERROR(0/0,""),preDEL!M568)</f>
        <v>0.5033680556</v>
      </c>
      <c r="N568" s="112" t="str">
        <f>IF(preDEL!$AG568,IFERROR(0/0,""),preDEL!N568)</f>
        <v/>
      </c>
      <c r="O568" s="112" t="str">
        <f>IF(preDEL!$AG568,IFERROR(0/0,""),preDEL!O568)</f>
        <v/>
      </c>
      <c r="P568" s="110" t="b">
        <f>IF(preDEL!$AG568,IFERROR(0/0,""),preDEL!P568)</f>
        <v>0</v>
      </c>
      <c r="Q568" s="110" t="str">
        <f>IF(preDEL!$AG568,IFERROR(0/0,""),preDEL!Q568)</f>
        <v>Result</v>
      </c>
      <c r="R568" s="104" t="b">
        <f>IF(preDEL!$AG568,IFERROR(0/0,""),preDEL!R568)</f>
        <v>1</v>
      </c>
      <c r="S568" s="104">
        <f>IF(preDEL!$AG568,IFERROR(0/0,""),preDEL!S568)</f>
        <v>1</v>
      </c>
      <c r="T568" s="110" t="str">
        <f>IF(preDEL!$AG568,IFERROR(0/0,""),preDEL!T568)</f>
        <v/>
      </c>
      <c r="U568" s="112" t="str">
        <f>IF(preDEL!$AG568,IFERROR(0/0,""),preDEL!U568)</f>
        <v/>
      </c>
      <c r="V568" s="105" t="str">
        <f>IF(preDEL!$AG568,IFERROR(0/0,""),preDEL!V568)</f>
        <v/>
      </c>
      <c r="W568" s="112" t="str">
        <f>IF(preDEL!$AG568,IFERROR(0/0,""),preDEL!W568)</f>
        <v/>
      </c>
      <c r="X568" s="104" t="b">
        <f>IF(preDEL!$AG568,IFERROR(0/0,""),preDEL!X568)</f>
        <v>0</v>
      </c>
      <c r="Y568" s="110" t="b">
        <f>IF(preDEL!$AG568,IFERROR(0/0,""),preDEL!Y568)</f>
        <v>0</v>
      </c>
      <c r="Z568" s="105" t="str">
        <f>IF(preDEL!$AG568,IFERROR(0/0,""),preDEL!Z568)</f>
        <v/>
      </c>
      <c r="AA568" s="110" t="b">
        <f>IF(preDEL!$AG568,IFERROR(0/0,""),preDEL!AA568)</f>
        <v>0</v>
      </c>
      <c r="AB568" s="110" t="b">
        <f>IF(preDEL!$AG568,IFERROR(0/0,""),preDEL!AB568)</f>
        <v>0</v>
      </c>
      <c r="AC568" s="172">
        <f>IF(preDEL!$AG568,IFERROR(0/0,""),preDEL!AC568)</f>
        <v>246</v>
      </c>
      <c r="AD568" s="104" t="b">
        <f>IF(preDEL!$AG568,IFERROR(0/0,""),preDEL!AD568)</f>
        <v>0</v>
      </c>
      <c r="AE568" s="173">
        <f>IF(preDEL!$AG568,IFERROR(0/0,""),preDEL!AE568)</f>
        <v>263.7</v>
      </c>
      <c r="AF568" s="110" t="b">
        <f>IF(preDEL!$AG568,IFERROR(0/0,""),preDEL!AF568)</f>
        <v>0</v>
      </c>
      <c r="AG568" s="110" t="b">
        <f>IF(preDEL!$AG568,IFERROR(0/0,""),preDEL!AG568)</f>
        <v>0</v>
      </c>
      <c r="AH568" s="104" t="str">
        <f>IF(preDEL!$AG568,IFERROR(0/0,""),preDEL!AH568)</f>
        <v/>
      </c>
      <c r="AI568" s="105" t="str">
        <f>IF(preDEL!$AG568,IFERROR(0/0,""),preDEL!AI568)</f>
        <v/>
      </c>
      <c r="AJ568" s="112" t="str">
        <f>IF(preDEL!$AG568,IFERROR(0/0,""),preDEL!AJ568)</f>
        <v/>
      </c>
      <c r="AK568" s="105" t="str">
        <f>IF(preDEL!$AG568,IFERROR(0/0,""),preDEL!AK568)</f>
        <v>Negative</v>
      </c>
      <c r="AL568" s="112" t="str">
        <f>IF(preDEL!$AG568,IFERROR(0/0,""),preDEL!AL568)</f>
        <v/>
      </c>
      <c r="AM568" s="112" t="str">
        <f>IF(preDEL!$AG568,IFERROR(0/0,""),preDEL!AM568)</f>
        <v>SpBEND980783</v>
      </c>
      <c r="AN568" s="112" t="str">
        <f>IF(preDEL!$AG568,IFERROR(0/0,""),preDEL!AN568)</f>
        <v>BEND162474</v>
      </c>
      <c r="AO568" s="112" t="str">
        <f>IF(preDEL!$AG568,IFERROR(0/0,""),preDEL!AO568)</f>
        <v/>
      </c>
      <c r="AP568" s="112" t="str">
        <f>IF(preDEL!$AG568,IFERROR(0/0,""),preDEL!AP568)</f>
        <v/>
      </c>
      <c r="AQ568" s="112" t="str">
        <f>IF(preDEL!$AG568,IFERROR(0/0,""),preDEL!AQ568)</f>
        <v/>
      </c>
      <c r="AR568" s="112" t="str">
        <f>IF(preDEL!$AG568,IFERROR(0/0,""),preDEL!AR568)</f>
        <v/>
      </c>
      <c r="AS568" s="112" t="str">
        <f>IF(preDEL!$AG568,IFERROR(0/0,""),preDEL!AS568)</f>
        <v/>
      </c>
      <c r="AT568" s="112" t="b">
        <f>IF(preDEL!$AG568,IFERROR(0/0,""),preDEL!AT568)</f>
        <v>0</v>
      </c>
      <c r="AU568" s="112" t="str">
        <f>IF(preDEL!$AG568,IFERROR(0/0,""),preDEL!AU568)</f>
        <v/>
      </c>
      <c r="AV568" s="112" t="str">
        <f>IF(preDEL!$AG568,IFERROR(0/0,""),preDEL!AV568)</f>
        <v/>
      </c>
      <c r="AW568" s="112" t="str">
        <f>IF(preDEL!$AG568,IFERROR(0/0,""),preDEL!AW568)</f>
        <v/>
      </c>
      <c r="AX568" s="112" t="str">
        <f>IF(preDEL!$AG568,IFERROR(0/0,""),preDEL!AX568)</f>
        <v/>
      </c>
      <c r="AY568" s="112" t="str">
        <f>IF(preDEL!$AG568,IFERROR(0/0,""),preDEL!AY568)</f>
        <v/>
      </c>
      <c r="AZ568" s="174"/>
      <c r="BA568" s="174"/>
      <c r="BB568" s="174"/>
      <c r="BC568" s="174"/>
      <c r="BD568" s="174"/>
      <c r="BE568" s="174"/>
      <c r="BF568" s="174"/>
      <c r="BG568" s="174"/>
      <c r="BH568" s="174"/>
      <c r="BI568" s="174"/>
      <c r="BJ568" s="174"/>
      <c r="BK568" s="174"/>
      <c r="BL568" s="174"/>
      <c r="BM568" s="174"/>
      <c r="BN568" s="174"/>
      <c r="BO568" s="174"/>
      <c r="BP568" s="174"/>
      <c r="BQ568" s="174"/>
      <c r="BR568" s="174"/>
      <c r="BS568" s="174"/>
      <c r="BT568" s="174"/>
      <c r="BU568" s="174"/>
      <c r="BV568" s="174"/>
      <c r="BW568" s="174"/>
      <c r="BX568" s="174"/>
      <c r="BY568" s="174"/>
      <c r="BZ568" s="174"/>
      <c r="CA568" s="174"/>
      <c r="CB568" s="174"/>
      <c r="CC568" s="174"/>
      <c r="CD568" s="174"/>
    </row>
    <row r="569">
      <c r="A569" s="105" t="str">
        <f>IF(preDEL!$AG569,IFERROR(0/0,""),preDEL!A569)</f>
        <v>FM793</v>
      </c>
      <c r="B569" s="170">
        <f>IF(preDEL!$AG569,IFERROR(0/0,""),preDEL!B569)</f>
        <v>44617</v>
      </c>
      <c r="C569" s="171">
        <f>IF(preDEL!$AG569,IFERROR(0/0,""),preDEL!C569)</f>
        <v>0.3202546296</v>
      </c>
      <c r="D569" s="105" t="str">
        <f>IF(preDEL!$AG569,IFERROR(0/0,""),preDEL!D569)</f>
        <v/>
      </c>
      <c r="E569" s="105" t="str">
        <f>IF(preDEL!$AG569,IFERROR(0/0,""),preDEL!E569)</f>
        <v/>
      </c>
      <c r="F569" s="112" t="str">
        <f>IF(preDEL!$AG569,IFERROR(0/0,""),preDEL!F569)</f>
        <v/>
      </c>
      <c r="G569" s="112" t="str">
        <f>IF(preDEL!$AG569,IFERROR(0/0,""),preDEL!G569)</f>
        <v/>
      </c>
      <c r="H569" s="112" t="str">
        <f>IF(preDEL!$AG569,IFERROR(0/0,""),preDEL!H569)</f>
        <v/>
      </c>
      <c r="I569" s="105" t="str">
        <f>IF(preDEL!$AG569,IFERROR(0/0,""),preDEL!I569)</f>
        <v/>
      </c>
      <c r="J569" s="105" t="str">
        <f>IF(preDEL!$AG569,IFERROR(0/0,""),preDEL!J569)</f>
        <v/>
      </c>
      <c r="K569" s="105" t="str">
        <f>IF(preDEL!$AG569,IFERROR(0/0,""),preDEL!K569)</f>
        <v>Negative</v>
      </c>
      <c r="L569" s="170">
        <f>IF(preDEL!$AG569,IFERROR(0/0,""),preDEL!L569)</f>
        <v>44617</v>
      </c>
      <c r="M569" s="171">
        <f>IF(preDEL!$AG569,IFERROR(0/0,""),preDEL!M569)</f>
        <v>0.5033796296</v>
      </c>
      <c r="N569" s="112" t="str">
        <f>IF(preDEL!$AG569,IFERROR(0/0,""),preDEL!N569)</f>
        <v/>
      </c>
      <c r="O569" s="112" t="str">
        <f>IF(preDEL!$AG569,IFERROR(0/0,""),preDEL!O569)</f>
        <v/>
      </c>
      <c r="P569" s="110" t="b">
        <f>IF(preDEL!$AG569,IFERROR(0/0,""),preDEL!P569)</f>
        <v>0</v>
      </c>
      <c r="Q569" s="110" t="str">
        <f>IF(preDEL!$AG569,IFERROR(0/0,""),preDEL!Q569)</f>
        <v>Result</v>
      </c>
      <c r="R569" s="104" t="b">
        <f>IF(preDEL!$AG569,IFERROR(0/0,""),preDEL!R569)</f>
        <v>1</v>
      </c>
      <c r="S569" s="104">
        <f>IF(preDEL!$AG569,IFERROR(0/0,""),preDEL!S569)</f>
        <v>1</v>
      </c>
      <c r="T569" s="110" t="str">
        <f>IF(preDEL!$AG569,IFERROR(0/0,""),preDEL!T569)</f>
        <v/>
      </c>
      <c r="U569" s="112" t="str">
        <f>IF(preDEL!$AG569,IFERROR(0/0,""),preDEL!U569)</f>
        <v/>
      </c>
      <c r="V569" s="105" t="str">
        <f>IF(preDEL!$AG569,IFERROR(0/0,""),preDEL!V569)</f>
        <v/>
      </c>
      <c r="W569" s="112" t="str">
        <f>IF(preDEL!$AG569,IFERROR(0/0,""),preDEL!W569)</f>
        <v/>
      </c>
      <c r="X569" s="104" t="b">
        <f>IF(preDEL!$AG569,IFERROR(0/0,""),preDEL!X569)</f>
        <v>0</v>
      </c>
      <c r="Y569" s="110" t="b">
        <f>IF(preDEL!$AG569,IFERROR(0/0,""),preDEL!Y569)</f>
        <v>0</v>
      </c>
      <c r="Z569" s="105" t="str">
        <f>IF(preDEL!$AG569,IFERROR(0/0,""),preDEL!Z569)</f>
        <v/>
      </c>
      <c r="AA569" s="110" t="b">
        <f>IF(preDEL!$AG569,IFERROR(0/0,""),preDEL!AA569)</f>
        <v>0</v>
      </c>
      <c r="AB569" s="110" t="b">
        <f>IF(preDEL!$AG569,IFERROR(0/0,""),preDEL!AB569)</f>
        <v>0</v>
      </c>
      <c r="AC569" s="172">
        <f>IF(preDEL!$AG569,IFERROR(0/0,""),preDEL!AC569)</f>
        <v>245</v>
      </c>
      <c r="AD569" s="104" t="b">
        <f>IF(preDEL!$AG569,IFERROR(0/0,""),preDEL!AD569)</f>
        <v>0</v>
      </c>
      <c r="AE569" s="173">
        <f>IF(preDEL!$AG569,IFERROR(0/0,""),preDEL!AE569)</f>
        <v>263.7</v>
      </c>
      <c r="AF569" s="110" t="b">
        <f>IF(preDEL!$AG569,IFERROR(0/0,""),preDEL!AF569)</f>
        <v>0</v>
      </c>
      <c r="AG569" s="110" t="b">
        <f>IF(preDEL!$AG569,IFERROR(0/0,""),preDEL!AG569)</f>
        <v>0</v>
      </c>
      <c r="AH569" s="104" t="str">
        <f>IF(preDEL!$AG569,IFERROR(0/0,""),preDEL!AH569)</f>
        <v/>
      </c>
      <c r="AI569" s="105" t="str">
        <f>IF(preDEL!$AG569,IFERROR(0/0,""),preDEL!AI569)</f>
        <v/>
      </c>
      <c r="AJ569" s="112" t="str">
        <f>IF(preDEL!$AG569,IFERROR(0/0,""),preDEL!AJ569)</f>
        <v/>
      </c>
      <c r="AK569" s="105" t="str">
        <f>IF(preDEL!$AG569,IFERROR(0/0,""),preDEL!AK569)</f>
        <v>Negative</v>
      </c>
      <c r="AL569" s="112" t="str">
        <f>IF(preDEL!$AG569,IFERROR(0/0,""),preDEL!AL569)</f>
        <v/>
      </c>
      <c r="AM569" s="112" t="str">
        <f>IF(preDEL!$AG569,IFERROR(0/0,""),preDEL!AM569)</f>
        <v>SpBEND305944</v>
      </c>
      <c r="AN569" s="112" t="str">
        <f>IF(preDEL!$AG569,IFERROR(0/0,""),preDEL!AN569)</f>
        <v>BEND538986</v>
      </c>
      <c r="AO569" s="112" t="str">
        <f>IF(preDEL!$AG569,IFERROR(0/0,""),preDEL!AO569)</f>
        <v/>
      </c>
      <c r="AP569" s="112" t="str">
        <f>IF(preDEL!$AG569,IFERROR(0/0,""),preDEL!AP569)</f>
        <v/>
      </c>
      <c r="AQ569" s="112" t="str">
        <f>IF(preDEL!$AG569,IFERROR(0/0,""),preDEL!AQ569)</f>
        <v/>
      </c>
      <c r="AR569" s="112" t="str">
        <f>IF(preDEL!$AG569,IFERROR(0/0,""),preDEL!AR569)</f>
        <v/>
      </c>
      <c r="AS569" s="112" t="str">
        <f>IF(preDEL!$AG569,IFERROR(0/0,""),preDEL!AS569)</f>
        <v/>
      </c>
      <c r="AT569" s="112" t="b">
        <f>IF(preDEL!$AG569,IFERROR(0/0,""),preDEL!AT569)</f>
        <v>0</v>
      </c>
      <c r="AU569" s="112" t="str">
        <f>IF(preDEL!$AG569,IFERROR(0/0,""),preDEL!AU569)</f>
        <v/>
      </c>
      <c r="AV569" s="112" t="str">
        <f>IF(preDEL!$AG569,IFERROR(0/0,""),preDEL!AV569)</f>
        <v/>
      </c>
      <c r="AW569" s="112" t="str">
        <f>IF(preDEL!$AG569,IFERROR(0/0,""),preDEL!AW569)</f>
        <v/>
      </c>
      <c r="AX569" s="112" t="str">
        <f>IF(preDEL!$AG569,IFERROR(0/0,""),preDEL!AX569)</f>
        <v/>
      </c>
      <c r="AY569" s="112" t="str">
        <f>IF(preDEL!$AG569,IFERROR(0/0,""),preDEL!AY569)</f>
        <v/>
      </c>
      <c r="AZ569" s="174"/>
      <c r="BA569" s="174"/>
      <c r="BB569" s="174"/>
      <c r="BC569" s="174"/>
      <c r="BD569" s="174"/>
      <c r="BE569" s="174"/>
      <c r="BF569" s="174"/>
      <c r="BG569" s="174"/>
      <c r="BH569" s="174"/>
      <c r="BI569" s="174"/>
      <c r="BJ569" s="174"/>
      <c r="BK569" s="174"/>
      <c r="BL569" s="174"/>
      <c r="BM569" s="174"/>
      <c r="BN569" s="174"/>
      <c r="BO569" s="174"/>
      <c r="BP569" s="174"/>
      <c r="BQ569" s="174"/>
      <c r="BR569" s="174"/>
      <c r="BS569" s="174"/>
      <c r="BT569" s="174"/>
      <c r="BU569" s="174"/>
      <c r="BV569" s="174"/>
      <c r="BW569" s="174"/>
      <c r="BX569" s="174"/>
      <c r="BY569" s="174"/>
      <c r="BZ569" s="174"/>
      <c r="CA569" s="174"/>
      <c r="CB569" s="174"/>
      <c r="CC569" s="174"/>
      <c r="CD569" s="174"/>
    </row>
    <row r="570">
      <c r="A570" s="105" t="str">
        <f>IF(preDEL!$AG570,IFERROR(0/0,""),preDEL!A570)</f>
        <v>FM463</v>
      </c>
      <c r="B570" s="170">
        <f>IF(preDEL!$AG570,IFERROR(0/0,""),preDEL!B570)</f>
        <v>44617</v>
      </c>
      <c r="C570" s="171">
        <f>IF(preDEL!$AG570,IFERROR(0/0,""),preDEL!C570)</f>
        <v>0.3203472222</v>
      </c>
      <c r="D570" s="105" t="str">
        <f>IF(preDEL!$AG570,IFERROR(0/0,""),preDEL!D570)</f>
        <v/>
      </c>
      <c r="E570" s="105" t="str">
        <f>IF(preDEL!$AG570,IFERROR(0/0,""),preDEL!E570)</f>
        <v/>
      </c>
      <c r="F570" s="112" t="str">
        <f>IF(preDEL!$AG570,IFERROR(0/0,""),preDEL!F570)</f>
        <v/>
      </c>
      <c r="G570" s="112" t="str">
        <f>IF(preDEL!$AG570,IFERROR(0/0,""),preDEL!G570)</f>
        <v/>
      </c>
      <c r="H570" s="112" t="str">
        <f>IF(preDEL!$AG570,IFERROR(0/0,""),preDEL!H570)</f>
        <v/>
      </c>
      <c r="I570" s="105" t="str">
        <f>IF(preDEL!$AG570,IFERROR(0/0,""),preDEL!I570)</f>
        <v/>
      </c>
      <c r="J570" s="105" t="str">
        <f>IF(preDEL!$AG570,IFERROR(0/0,""),preDEL!J570)</f>
        <v/>
      </c>
      <c r="K570" s="105" t="str">
        <f>IF(preDEL!$AG570,IFERROR(0/0,""),preDEL!K570)</f>
        <v>Negative</v>
      </c>
      <c r="L570" s="170">
        <f>IF(preDEL!$AG570,IFERROR(0/0,""),preDEL!L570)</f>
        <v>44617</v>
      </c>
      <c r="M570" s="171">
        <f>IF(preDEL!$AG570,IFERROR(0/0,""),preDEL!M570)</f>
        <v>0.5033680556</v>
      </c>
      <c r="N570" s="112" t="str">
        <f>IF(preDEL!$AG570,IFERROR(0/0,""),preDEL!N570)</f>
        <v/>
      </c>
      <c r="O570" s="112" t="str">
        <f>IF(preDEL!$AG570,IFERROR(0/0,""),preDEL!O570)</f>
        <v/>
      </c>
      <c r="P570" s="110" t="b">
        <f>IF(preDEL!$AG570,IFERROR(0/0,""),preDEL!P570)</f>
        <v>0</v>
      </c>
      <c r="Q570" s="110" t="str">
        <f>IF(preDEL!$AG570,IFERROR(0/0,""),preDEL!Q570)</f>
        <v>Result</v>
      </c>
      <c r="R570" s="104" t="b">
        <f>IF(preDEL!$AG570,IFERROR(0/0,""),preDEL!R570)</f>
        <v>1</v>
      </c>
      <c r="S570" s="104">
        <f>IF(preDEL!$AG570,IFERROR(0/0,""),preDEL!S570)</f>
        <v>1</v>
      </c>
      <c r="T570" s="110" t="str">
        <f>IF(preDEL!$AG570,IFERROR(0/0,""),preDEL!T570)</f>
        <v/>
      </c>
      <c r="U570" s="112" t="str">
        <f>IF(preDEL!$AG570,IFERROR(0/0,""),preDEL!U570)</f>
        <v/>
      </c>
      <c r="V570" s="105" t="str">
        <f>IF(preDEL!$AG570,IFERROR(0/0,""),preDEL!V570)</f>
        <v/>
      </c>
      <c r="W570" s="112" t="str">
        <f>IF(preDEL!$AG570,IFERROR(0/0,""),preDEL!W570)</f>
        <v/>
      </c>
      <c r="X570" s="104" t="b">
        <f>IF(preDEL!$AG570,IFERROR(0/0,""),preDEL!X570)</f>
        <v>0</v>
      </c>
      <c r="Y570" s="110" t="b">
        <f>IF(preDEL!$AG570,IFERROR(0/0,""),preDEL!Y570)</f>
        <v>0</v>
      </c>
      <c r="Z570" s="105" t="str">
        <f>IF(preDEL!$AG570,IFERROR(0/0,""),preDEL!Z570)</f>
        <v/>
      </c>
      <c r="AA570" s="110" t="b">
        <f>IF(preDEL!$AG570,IFERROR(0/0,""),preDEL!AA570)</f>
        <v>0</v>
      </c>
      <c r="AB570" s="110" t="b">
        <f>IF(preDEL!$AG570,IFERROR(0/0,""),preDEL!AB570)</f>
        <v>0</v>
      </c>
      <c r="AC570" s="172">
        <f>IF(preDEL!$AG570,IFERROR(0/0,""),preDEL!AC570)</f>
        <v>244</v>
      </c>
      <c r="AD570" s="104" t="b">
        <f>IF(preDEL!$AG570,IFERROR(0/0,""),preDEL!AD570)</f>
        <v>0</v>
      </c>
      <c r="AE570" s="173">
        <f>IF(preDEL!$AG570,IFERROR(0/0,""),preDEL!AE570)</f>
        <v>263.55</v>
      </c>
      <c r="AF570" s="110" t="b">
        <f>IF(preDEL!$AG570,IFERROR(0/0,""),preDEL!AF570)</f>
        <v>0</v>
      </c>
      <c r="AG570" s="110" t="b">
        <f>IF(preDEL!$AG570,IFERROR(0/0,""),preDEL!AG570)</f>
        <v>0</v>
      </c>
      <c r="AH570" s="104" t="str">
        <f>IF(preDEL!$AG570,IFERROR(0/0,""),preDEL!AH570)</f>
        <v/>
      </c>
      <c r="AI570" s="105" t="str">
        <f>IF(preDEL!$AG570,IFERROR(0/0,""),preDEL!AI570)</f>
        <v/>
      </c>
      <c r="AJ570" s="112" t="str">
        <f>IF(preDEL!$AG570,IFERROR(0/0,""),preDEL!AJ570)</f>
        <v/>
      </c>
      <c r="AK570" s="105" t="str">
        <f>IF(preDEL!$AG570,IFERROR(0/0,""),preDEL!AK570)</f>
        <v>Negative</v>
      </c>
      <c r="AL570" s="112" t="str">
        <f>IF(preDEL!$AG570,IFERROR(0/0,""),preDEL!AL570)</f>
        <v/>
      </c>
      <c r="AM570" s="112" t="str">
        <f>IF(preDEL!$AG570,IFERROR(0/0,""),preDEL!AM570)</f>
        <v>SpBEND436062</v>
      </c>
      <c r="AN570" s="112" t="str">
        <f>IF(preDEL!$AG570,IFERROR(0/0,""),preDEL!AN570)</f>
        <v>BEND190541</v>
      </c>
      <c r="AO570" s="112" t="str">
        <f>IF(preDEL!$AG570,IFERROR(0/0,""),preDEL!AO570)</f>
        <v/>
      </c>
      <c r="AP570" s="112" t="str">
        <f>IF(preDEL!$AG570,IFERROR(0/0,""),preDEL!AP570)</f>
        <v/>
      </c>
      <c r="AQ570" s="112" t="str">
        <f>IF(preDEL!$AG570,IFERROR(0/0,""),preDEL!AQ570)</f>
        <v/>
      </c>
      <c r="AR570" s="112" t="str">
        <f>IF(preDEL!$AG570,IFERROR(0/0,""),preDEL!AR570)</f>
        <v/>
      </c>
      <c r="AS570" s="112" t="str">
        <f>IF(preDEL!$AG570,IFERROR(0/0,""),preDEL!AS570)</f>
        <v/>
      </c>
      <c r="AT570" s="112" t="b">
        <f>IF(preDEL!$AG570,IFERROR(0/0,""),preDEL!AT570)</f>
        <v>0</v>
      </c>
      <c r="AU570" s="112" t="str">
        <f>IF(preDEL!$AG570,IFERROR(0/0,""),preDEL!AU570)</f>
        <v/>
      </c>
      <c r="AV570" s="112" t="str">
        <f>IF(preDEL!$AG570,IFERROR(0/0,""),preDEL!AV570)</f>
        <v/>
      </c>
      <c r="AW570" s="112" t="str">
        <f>IF(preDEL!$AG570,IFERROR(0/0,""),preDEL!AW570)</f>
        <v/>
      </c>
      <c r="AX570" s="112" t="str">
        <f>IF(preDEL!$AG570,IFERROR(0/0,""),preDEL!AX570)</f>
        <v/>
      </c>
      <c r="AY570" s="112" t="str">
        <f>IF(preDEL!$AG570,IFERROR(0/0,""),preDEL!AY570)</f>
        <v/>
      </c>
      <c r="AZ570" s="174"/>
      <c r="BA570" s="174"/>
      <c r="BB570" s="174"/>
      <c r="BC570" s="174"/>
      <c r="BD570" s="174"/>
      <c r="BE570" s="174"/>
      <c r="BF570" s="174"/>
      <c r="BG570" s="174"/>
      <c r="BH570" s="174"/>
      <c r="BI570" s="174"/>
      <c r="BJ570" s="174"/>
      <c r="BK570" s="174"/>
      <c r="BL570" s="174"/>
      <c r="BM570" s="174"/>
      <c r="BN570" s="174"/>
      <c r="BO570" s="174"/>
      <c r="BP570" s="174"/>
      <c r="BQ570" s="174"/>
      <c r="BR570" s="174"/>
      <c r="BS570" s="174"/>
      <c r="BT570" s="174"/>
      <c r="BU570" s="174"/>
      <c r="BV570" s="174"/>
      <c r="BW570" s="174"/>
      <c r="BX570" s="174"/>
      <c r="BY570" s="174"/>
      <c r="BZ570" s="174"/>
      <c r="CA570" s="174"/>
      <c r="CB570" s="174"/>
      <c r="CC570" s="174"/>
      <c r="CD570" s="174"/>
    </row>
    <row r="571">
      <c r="A571" s="105" t="str">
        <f>IF(preDEL!$AG571,IFERROR(0/0,""),preDEL!A571)</f>
        <v>FM425</v>
      </c>
      <c r="B571" s="170">
        <f>IF(preDEL!$AG571,IFERROR(0/0,""),preDEL!B571)</f>
        <v>44617</v>
      </c>
      <c r="C571" s="171">
        <f>IF(preDEL!$AG571,IFERROR(0/0,""),preDEL!C571)</f>
        <v>0.3208101852</v>
      </c>
      <c r="D571" s="105" t="str">
        <f>IF(preDEL!$AG571,IFERROR(0/0,""),preDEL!D571)</f>
        <v/>
      </c>
      <c r="E571" s="105" t="str">
        <f>IF(preDEL!$AG571,IFERROR(0/0,""),preDEL!E571)</f>
        <v/>
      </c>
      <c r="F571" s="112" t="str">
        <f>IF(preDEL!$AG571,IFERROR(0/0,""),preDEL!F571)</f>
        <v/>
      </c>
      <c r="G571" s="112" t="str">
        <f>IF(preDEL!$AG571,IFERROR(0/0,""),preDEL!G571)</f>
        <v/>
      </c>
      <c r="H571" s="112" t="str">
        <f>IF(preDEL!$AG571,IFERROR(0/0,""),preDEL!H571)</f>
        <v/>
      </c>
      <c r="I571" s="105" t="str">
        <f>IF(preDEL!$AG571,IFERROR(0/0,""),preDEL!I571)</f>
        <v/>
      </c>
      <c r="J571" s="105" t="str">
        <f>IF(preDEL!$AG571,IFERROR(0/0,""),preDEL!J571)</f>
        <v/>
      </c>
      <c r="K571" s="105" t="str">
        <f>IF(preDEL!$AG571,IFERROR(0/0,""),preDEL!K571)</f>
        <v>Negative</v>
      </c>
      <c r="L571" s="170">
        <f>IF(preDEL!$AG571,IFERROR(0/0,""),preDEL!L571)</f>
        <v>44617</v>
      </c>
      <c r="M571" s="171">
        <f>IF(preDEL!$AG571,IFERROR(0/0,""),preDEL!M571)</f>
        <v>0.5033796296</v>
      </c>
      <c r="N571" s="112" t="str">
        <f>IF(preDEL!$AG571,IFERROR(0/0,""),preDEL!N571)</f>
        <v/>
      </c>
      <c r="O571" s="112" t="str">
        <f>IF(preDEL!$AG571,IFERROR(0/0,""),preDEL!O571)</f>
        <v/>
      </c>
      <c r="P571" s="110" t="b">
        <f>IF(preDEL!$AG571,IFERROR(0/0,""),preDEL!P571)</f>
        <v>0</v>
      </c>
      <c r="Q571" s="110" t="str">
        <f>IF(preDEL!$AG571,IFERROR(0/0,""),preDEL!Q571)</f>
        <v>Result</v>
      </c>
      <c r="R571" s="104" t="b">
        <f>IF(preDEL!$AG571,IFERROR(0/0,""),preDEL!R571)</f>
        <v>1</v>
      </c>
      <c r="S571" s="104">
        <f>IF(preDEL!$AG571,IFERROR(0/0,""),preDEL!S571)</f>
        <v>1</v>
      </c>
      <c r="T571" s="110" t="str">
        <f>IF(preDEL!$AG571,IFERROR(0/0,""),preDEL!T571)</f>
        <v/>
      </c>
      <c r="U571" s="112" t="str">
        <f>IF(preDEL!$AG571,IFERROR(0/0,""),preDEL!U571)</f>
        <v/>
      </c>
      <c r="V571" s="105" t="str">
        <f>IF(preDEL!$AG571,IFERROR(0/0,""),preDEL!V571)</f>
        <v/>
      </c>
      <c r="W571" s="112" t="str">
        <f>IF(preDEL!$AG571,IFERROR(0/0,""),preDEL!W571)</f>
        <v/>
      </c>
      <c r="X571" s="104" t="b">
        <f>IF(preDEL!$AG571,IFERROR(0/0,""),preDEL!X571)</f>
        <v>0</v>
      </c>
      <c r="Y571" s="110" t="b">
        <f>IF(preDEL!$AG571,IFERROR(0/0,""),preDEL!Y571)</f>
        <v>0</v>
      </c>
      <c r="Z571" s="105" t="str">
        <f>IF(preDEL!$AG571,IFERROR(0/0,""),preDEL!Z571)</f>
        <v/>
      </c>
      <c r="AA571" s="110" t="b">
        <f>IF(preDEL!$AG571,IFERROR(0/0,""),preDEL!AA571)</f>
        <v>0</v>
      </c>
      <c r="AB571" s="110" t="b">
        <f>IF(preDEL!$AG571,IFERROR(0/0,""),preDEL!AB571)</f>
        <v>0</v>
      </c>
      <c r="AC571" s="172">
        <f>IF(preDEL!$AG571,IFERROR(0/0,""),preDEL!AC571)</f>
        <v>243</v>
      </c>
      <c r="AD571" s="104" t="b">
        <f>IF(preDEL!$AG571,IFERROR(0/0,""),preDEL!AD571)</f>
        <v>0</v>
      </c>
      <c r="AE571" s="173">
        <f>IF(preDEL!$AG571,IFERROR(0/0,""),preDEL!AE571)</f>
        <v>262.9</v>
      </c>
      <c r="AF571" s="110" t="b">
        <f>IF(preDEL!$AG571,IFERROR(0/0,""),preDEL!AF571)</f>
        <v>0</v>
      </c>
      <c r="AG571" s="110" t="b">
        <f>IF(preDEL!$AG571,IFERROR(0/0,""),preDEL!AG571)</f>
        <v>0</v>
      </c>
      <c r="AH571" s="104" t="str">
        <f>IF(preDEL!$AG571,IFERROR(0/0,""),preDEL!AH571)</f>
        <v/>
      </c>
      <c r="AI571" s="105" t="str">
        <f>IF(preDEL!$AG571,IFERROR(0/0,""),preDEL!AI571)</f>
        <v/>
      </c>
      <c r="AJ571" s="112" t="str">
        <f>IF(preDEL!$AG571,IFERROR(0/0,""),preDEL!AJ571)</f>
        <v/>
      </c>
      <c r="AK571" s="105" t="str">
        <f>IF(preDEL!$AG571,IFERROR(0/0,""),preDEL!AK571)</f>
        <v>Negative</v>
      </c>
      <c r="AL571" s="112" t="str">
        <f>IF(preDEL!$AG571,IFERROR(0/0,""),preDEL!AL571)</f>
        <v/>
      </c>
      <c r="AM571" s="112" t="str">
        <f>IF(preDEL!$AG571,IFERROR(0/0,""),preDEL!AM571)</f>
        <v>SpBEND436062</v>
      </c>
      <c r="AN571" s="112" t="str">
        <f>IF(preDEL!$AG571,IFERROR(0/0,""),preDEL!AN571)</f>
        <v>BEND980447</v>
      </c>
      <c r="AO571" s="112" t="str">
        <f>IF(preDEL!$AG571,IFERROR(0/0,""),preDEL!AO571)</f>
        <v/>
      </c>
      <c r="AP571" s="112" t="str">
        <f>IF(preDEL!$AG571,IFERROR(0/0,""),preDEL!AP571)</f>
        <v/>
      </c>
      <c r="AQ571" s="112" t="str">
        <f>IF(preDEL!$AG571,IFERROR(0/0,""),preDEL!AQ571)</f>
        <v/>
      </c>
      <c r="AR571" s="112" t="str">
        <f>IF(preDEL!$AG571,IFERROR(0/0,""),preDEL!AR571)</f>
        <v/>
      </c>
      <c r="AS571" s="112" t="str">
        <f>IF(preDEL!$AG571,IFERROR(0/0,""),preDEL!AS571)</f>
        <v/>
      </c>
      <c r="AT571" s="112" t="b">
        <f>IF(preDEL!$AG571,IFERROR(0/0,""),preDEL!AT571)</f>
        <v>0</v>
      </c>
      <c r="AU571" s="112" t="str">
        <f>IF(preDEL!$AG571,IFERROR(0/0,""),preDEL!AU571)</f>
        <v/>
      </c>
      <c r="AV571" s="112" t="str">
        <f>IF(preDEL!$AG571,IFERROR(0/0,""),preDEL!AV571)</f>
        <v/>
      </c>
      <c r="AW571" s="112" t="str">
        <f>IF(preDEL!$AG571,IFERROR(0/0,""),preDEL!AW571)</f>
        <v/>
      </c>
      <c r="AX571" s="112" t="str">
        <f>IF(preDEL!$AG571,IFERROR(0/0,""),preDEL!AX571)</f>
        <v/>
      </c>
      <c r="AY571" s="112" t="str">
        <f>IF(preDEL!$AG571,IFERROR(0/0,""),preDEL!AY571)</f>
        <v/>
      </c>
      <c r="AZ571" s="174"/>
      <c r="BA571" s="174"/>
      <c r="BB571" s="174"/>
      <c r="BC571" s="174"/>
      <c r="BD571" s="174"/>
      <c r="BE571" s="174"/>
      <c r="BF571" s="174"/>
      <c r="BG571" s="174"/>
      <c r="BH571" s="174"/>
      <c r="BI571" s="174"/>
      <c r="BJ571" s="174"/>
      <c r="BK571" s="174"/>
      <c r="BL571" s="174"/>
      <c r="BM571" s="174"/>
      <c r="BN571" s="174"/>
      <c r="BO571" s="174"/>
      <c r="BP571" s="174"/>
      <c r="BQ571" s="174"/>
      <c r="BR571" s="174"/>
      <c r="BS571" s="174"/>
      <c r="BT571" s="174"/>
      <c r="BU571" s="174"/>
      <c r="BV571" s="174"/>
      <c r="BW571" s="174"/>
      <c r="BX571" s="174"/>
      <c r="BY571" s="174"/>
      <c r="BZ571" s="174"/>
      <c r="CA571" s="174"/>
      <c r="CB571" s="174"/>
      <c r="CC571" s="174"/>
      <c r="CD571" s="174"/>
    </row>
    <row r="572">
      <c r="A572" s="105" t="str">
        <f>IF(preDEL!$AG572,IFERROR(0/0,""),preDEL!A572)</f>
        <v>FM456</v>
      </c>
      <c r="B572" s="170">
        <f>IF(preDEL!$AG572,IFERROR(0/0,""),preDEL!B572)</f>
        <v>44617</v>
      </c>
      <c r="C572" s="171">
        <f>IF(preDEL!$AG572,IFERROR(0/0,""),preDEL!C572)</f>
        <v>0.3227083333</v>
      </c>
      <c r="D572" s="105" t="str">
        <f>IF(preDEL!$AG572,IFERROR(0/0,""),preDEL!D572)</f>
        <v/>
      </c>
      <c r="E572" s="105" t="str">
        <f>IF(preDEL!$AG572,IFERROR(0/0,""),preDEL!E572)</f>
        <v/>
      </c>
      <c r="F572" s="112" t="str">
        <f>IF(preDEL!$AG572,IFERROR(0/0,""),preDEL!F572)</f>
        <v/>
      </c>
      <c r="G572" s="112" t="str">
        <f>IF(preDEL!$AG572,IFERROR(0/0,""),preDEL!G572)</f>
        <v/>
      </c>
      <c r="H572" s="112" t="str">
        <f>IF(preDEL!$AG572,IFERROR(0/0,""),preDEL!H572)</f>
        <v/>
      </c>
      <c r="I572" s="105" t="str">
        <f>IF(preDEL!$AG572,IFERROR(0/0,""),preDEL!I572)</f>
        <v/>
      </c>
      <c r="J572" s="105" t="str">
        <f>IF(preDEL!$AG572,IFERROR(0/0,""),preDEL!J572)</f>
        <v/>
      </c>
      <c r="K572" s="105" t="str">
        <f>IF(preDEL!$AG572,IFERROR(0/0,""),preDEL!K572)</f>
        <v>Negative</v>
      </c>
      <c r="L572" s="170">
        <f>IF(preDEL!$AG572,IFERROR(0/0,""),preDEL!L572)</f>
        <v>44617</v>
      </c>
      <c r="M572" s="171">
        <f>IF(preDEL!$AG572,IFERROR(0/0,""),preDEL!M572)</f>
        <v>0.5033796296</v>
      </c>
      <c r="N572" s="112" t="str">
        <f>IF(preDEL!$AG572,IFERROR(0/0,""),preDEL!N572)</f>
        <v/>
      </c>
      <c r="O572" s="112" t="str">
        <f>IF(preDEL!$AG572,IFERROR(0/0,""),preDEL!O572)</f>
        <v/>
      </c>
      <c r="P572" s="110" t="b">
        <f>IF(preDEL!$AG572,IFERROR(0/0,""),preDEL!P572)</f>
        <v>0</v>
      </c>
      <c r="Q572" s="110" t="str">
        <f>IF(preDEL!$AG572,IFERROR(0/0,""),preDEL!Q572)</f>
        <v>Result</v>
      </c>
      <c r="R572" s="104" t="b">
        <f>IF(preDEL!$AG572,IFERROR(0/0,""),preDEL!R572)</f>
        <v>1</v>
      </c>
      <c r="S572" s="104">
        <f>IF(preDEL!$AG572,IFERROR(0/0,""),preDEL!S572)</f>
        <v>1</v>
      </c>
      <c r="T572" s="110" t="str">
        <f>IF(preDEL!$AG572,IFERROR(0/0,""),preDEL!T572)</f>
        <v/>
      </c>
      <c r="U572" s="112" t="str">
        <f>IF(preDEL!$AG572,IFERROR(0/0,""),preDEL!U572)</f>
        <v/>
      </c>
      <c r="V572" s="105" t="str">
        <f>IF(preDEL!$AG572,IFERROR(0/0,""),preDEL!V572)</f>
        <v/>
      </c>
      <c r="W572" s="112" t="str">
        <f>IF(preDEL!$AG572,IFERROR(0/0,""),preDEL!W572)</f>
        <v/>
      </c>
      <c r="X572" s="104" t="b">
        <f>IF(preDEL!$AG572,IFERROR(0/0,""),preDEL!X572)</f>
        <v>0</v>
      </c>
      <c r="Y572" s="110" t="b">
        <f>IF(preDEL!$AG572,IFERROR(0/0,""),preDEL!Y572)</f>
        <v>0</v>
      </c>
      <c r="Z572" s="105" t="str">
        <f>IF(preDEL!$AG572,IFERROR(0/0,""),preDEL!Z572)</f>
        <v/>
      </c>
      <c r="AA572" s="110" t="b">
        <f>IF(preDEL!$AG572,IFERROR(0/0,""),preDEL!AA572)</f>
        <v>0</v>
      </c>
      <c r="AB572" s="110" t="b">
        <f>IF(preDEL!$AG572,IFERROR(0/0,""),preDEL!AB572)</f>
        <v>0</v>
      </c>
      <c r="AC572" s="172">
        <f>IF(preDEL!$AG572,IFERROR(0/0,""),preDEL!AC572)</f>
        <v>242</v>
      </c>
      <c r="AD572" s="104" t="b">
        <f>IF(preDEL!$AG572,IFERROR(0/0,""),preDEL!AD572)</f>
        <v>0</v>
      </c>
      <c r="AE572" s="173">
        <f>IF(preDEL!$AG572,IFERROR(0/0,""),preDEL!AE572)</f>
        <v>260.1666667</v>
      </c>
      <c r="AF572" s="110" t="b">
        <f>IF(preDEL!$AG572,IFERROR(0/0,""),preDEL!AF572)</f>
        <v>0</v>
      </c>
      <c r="AG572" s="110" t="b">
        <f>IF(preDEL!$AG572,IFERROR(0/0,""),preDEL!AG572)</f>
        <v>0</v>
      </c>
      <c r="AH572" s="104" t="str">
        <f>IF(preDEL!$AG572,IFERROR(0/0,""),preDEL!AH572)</f>
        <v/>
      </c>
      <c r="AI572" s="105" t="str">
        <f>IF(preDEL!$AG572,IFERROR(0/0,""),preDEL!AI572)</f>
        <v/>
      </c>
      <c r="AJ572" s="112" t="str">
        <f>IF(preDEL!$AG572,IFERROR(0/0,""),preDEL!AJ572)</f>
        <v/>
      </c>
      <c r="AK572" s="105" t="str">
        <f>IF(preDEL!$AG572,IFERROR(0/0,""),preDEL!AK572)</f>
        <v>Negative</v>
      </c>
      <c r="AL572" s="112" t="str">
        <f>IF(preDEL!$AG572,IFERROR(0/0,""),preDEL!AL572)</f>
        <v/>
      </c>
      <c r="AM572" s="112" t="str">
        <f>IF(preDEL!$AG572,IFERROR(0/0,""),preDEL!AM572)</f>
        <v>SpBEND551372</v>
      </c>
      <c r="AN572" s="112" t="str">
        <f>IF(preDEL!$AG572,IFERROR(0/0,""),preDEL!AN572)</f>
        <v>BEND475899</v>
      </c>
      <c r="AO572" s="112" t="str">
        <f>IF(preDEL!$AG572,IFERROR(0/0,""),preDEL!AO572)</f>
        <v/>
      </c>
      <c r="AP572" s="112" t="str">
        <f>IF(preDEL!$AG572,IFERROR(0/0,""),preDEL!AP572)</f>
        <v/>
      </c>
      <c r="AQ572" s="112" t="str">
        <f>IF(preDEL!$AG572,IFERROR(0/0,""),preDEL!AQ572)</f>
        <v/>
      </c>
      <c r="AR572" s="112" t="str">
        <f>IF(preDEL!$AG572,IFERROR(0/0,""),preDEL!AR572)</f>
        <v/>
      </c>
      <c r="AS572" s="112" t="str">
        <f>IF(preDEL!$AG572,IFERROR(0/0,""),preDEL!AS572)</f>
        <v/>
      </c>
      <c r="AT572" s="112" t="b">
        <f>IF(preDEL!$AG572,IFERROR(0/0,""),preDEL!AT572)</f>
        <v>0</v>
      </c>
      <c r="AU572" s="112" t="str">
        <f>IF(preDEL!$AG572,IFERROR(0/0,""),preDEL!AU572)</f>
        <v/>
      </c>
      <c r="AV572" s="112" t="str">
        <f>IF(preDEL!$AG572,IFERROR(0/0,""),preDEL!AV572)</f>
        <v/>
      </c>
      <c r="AW572" s="112" t="str">
        <f>IF(preDEL!$AG572,IFERROR(0/0,""),preDEL!AW572)</f>
        <v/>
      </c>
      <c r="AX572" s="112" t="str">
        <f>IF(preDEL!$AG572,IFERROR(0/0,""),preDEL!AX572)</f>
        <v/>
      </c>
      <c r="AY572" s="112" t="str">
        <f>IF(preDEL!$AG572,IFERROR(0/0,""),preDEL!AY572)</f>
        <v/>
      </c>
      <c r="AZ572" s="174"/>
      <c r="BA572" s="174"/>
      <c r="BB572" s="174"/>
      <c r="BC572" s="174"/>
      <c r="BD572" s="174"/>
      <c r="BE572" s="174"/>
      <c r="BF572" s="174"/>
      <c r="BG572" s="174"/>
      <c r="BH572" s="174"/>
      <c r="BI572" s="174"/>
      <c r="BJ572" s="174"/>
      <c r="BK572" s="174"/>
      <c r="BL572" s="174"/>
      <c r="BM572" s="174"/>
      <c r="BN572" s="174"/>
      <c r="BO572" s="174"/>
      <c r="BP572" s="174"/>
      <c r="BQ572" s="174"/>
      <c r="BR572" s="174"/>
      <c r="BS572" s="174"/>
      <c r="BT572" s="174"/>
      <c r="BU572" s="174"/>
      <c r="BV572" s="174"/>
      <c r="BW572" s="174"/>
      <c r="BX572" s="174"/>
      <c r="BY572" s="174"/>
      <c r="BZ572" s="174"/>
      <c r="CA572" s="174"/>
      <c r="CB572" s="174"/>
      <c r="CC572" s="174"/>
      <c r="CD572" s="174"/>
    </row>
    <row r="573">
      <c r="A573" s="105" t="str">
        <f>IF(preDEL!$AG573,IFERROR(0/0,""),preDEL!A573)</f>
        <v>MA1187</v>
      </c>
      <c r="B573" s="170">
        <f>IF(preDEL!$AG573,IFERROR(0/0,""),preDEL!B573)</f>
        <v>44617</v>
      </c>
      <c r="C573" s="171">
        <f>IF(preDEL!$AG573,IFERROR(0/0,""),preDEL!C573)</f>
        <v>0.3238425926</v>
      </c>
      <c r="D573" s="105" t="str">
        <f>IF(preDEL!$AG573,IFERROR(0/0,""),preDEL!D573)</f>
        <v/>
      </c>
      <c r="E573" s="105" t="str">
        <f>IF(preDEL!$AG573,IFERROR(0/0,""),preDEL!E573)</f>
        <v/>
      </c>
      <c r="F573" s="112" t="str">
        <f>IF(preDEL!$AG573,IFERROR(0/0,""),preDEL!F573)</f>
        <v/>
      </c>
      <c r="G573" s="112" t="str">
        <f>IF(preDEL!$AG573,IFERROR(0/0,""),preDEL!G573)</f>
        <v/>
      </c>
      <c r="H573" s="112" t="str">
        <f>IF(preDEL!$AG573,IFERROR(0/0,""),preDEL!H573)</f>
        <v/>
      </c>
      <c r="I573" s="105" t="str">
        <f>IF(preDEL!$AG573,IFERROR(0/0,""),preDEL!I573)</f>
        <v/>
      </c>
      <c r="J573" s="105" t="str">
        <f>IF(preDEL!$AG573,IFERROR(0/0,""),preDEL!J573)</f>
        <v/>
      </c>
      <c r="K573" s="105" t="str">
        <f>IF(preDEL!$AG573,IFERROR(0/0,""),preDEL!K573)</f>
        <v>Negative</v>
      </c>
      <c r="L573" s="170">
        <f>IF(preDEL!$AG573,IFERROR(0/0,""),preDEL!L573)</f>
        <v>44617</v>
      </c>
      <c r="M573" s="171">
        <f>IF(preDEL!$AG573,IFERROR(0/0,""),preDEL!M573)</f>
        <v>0.5033796296</v>
      </c>
      <c r="N573" s="112" t="str">
        <f>IF(preDEL!$AG573,IFERROR(0/0,""),preDEL!N573)</f>
        <v/>
      </c>
      <c r="O573" s="112" t="str">
        <f>IF(preDEL!$AG573,IFERROR(0/0,""),preDEL!O573)</f>
        <v/>
      </c>
      <c r="P573" s="110" t="b">
        <f>IF(preDEL!$AG573,IFERROR(0/0,""),preDEL!P573)</f>
        <v>0</v>
      </c>
      <c r="Q573" s="110" t="str">
        <f>IF(preDEL!$AG573,IFERROR(0/0,""),preDEL!Q573)</f>
        <v>Result</v>
      </c>
      <c r="R573" s="104" t="b">
        <f>IF(preDEL!$AG573,IFERROR(0/0,""),preDEL!R573)</f>
        <v>1</v>
      </c>
      <c r="S573" s="104">
        <f>IF(preDEL!$AG573,IFERROR(0/0,""),preDEL!S573)</f>
        <v>1</v>
      </c>
      <c r="T573" s="110" t="str">
        <f>IF(preDEL!$AG573,IFERROR(0/0,""),preDEL!T573)</f>
        <v/>
      </c>
      <c r="U573" s="112" t="str">
        <f>IF(preDEL!$AG573,IFERROR(0/0,""),preDEL!U573)</f>
        <v/>
      </c>
      <c r="V573" s="105" t="str">
        <f>IF(preDEL!$AG573,IFERROR(0/0,""),preDEL!V573)</f>
        <v/>
      </c>
      <c r="W573" s="112" t="str">
        <f>IF(preDEL!$AG573,IFERROR(0/0,""),preDEL!W573)</f>
        <v/>
      </c>
      <c r="X573" s="104" t="b">
        <f>IF(preDEL!$AG573,IFERROR(0/0,""),preDEL!X573)</f>
        <v>0</v>
      </c>
      <c r="Y573" s="110" t="b">
        <f>IF(preDEL!$AG573,IFERROR(0/0,""),preDEL!Y573)</f>
        <v>0</v>
      </c>
      <c r="Z573" s="105" t="str">
        <f>IF(preDEL!$AG573,IFERROR(0/0,""),preDEL!Z573)</f>
        <v/>
      </c>
      <c r="AA573" s="110" t="b">
        <f>IF(preDEL!$AG573,IFERROR(0/0,""),preDEL!AA573)</f>
        <v>0</v>
      </c>
      <c r="AB573" s="110" t="b">
        <f>IF(preDEL!$AG573,IFERROR(0/0,""),preDEL!AB573)</f>
        <v>0</v>
      </c>
      <c r="AC573" s="172">
        <f>IF(preDEL!$AG573,IFERROR(0/0,""),preDEL!AC573)</f>
        <v>241</v>
      </c>
      <c r="AD573" s="104" t="b">
        <f>IF(preDEL!$AG573,IFERROR(0/0,""),preDEL!AD573)</f>
        <v>0</v>
      </c>
      <c r="AE573" s="173">
        <f>IF(preDEL!$AG573,IFERROR(0/0,""),preDEL!AE573)</f>
        <v>258.5333333</v>
      </c>
      <c r="AF573" s="110" t="b">
        <f>IF(preDEL!$AG573,IFERROR(0/0,""),preDEL!AF573)</f>
        <v>0</v>
      </c>
      <c r="AG573" s="110" t="b">
        <f>IF(preDEL!$AG573,IFERROR(0/0,""),preDEL!AG573)</f>
        <v>0</v>
      </c>
      <c r="AH573" s="104" t="str">
        <f>IF(preDEL!$AG573,IFERROR(0/0,""),preDEL!AH573)</f>
        <v/>
      </c>
      <c r="AI573" s="105" t="str">
        <f>IF(preDEL!$AG573,IFERROR(0/0,""),preDEL!AI573)</f>
        <v/>
      </c>
      <c r="AJ573" s="112" t="str">
        <f>IF(preDEL!$AG573,IFERROR(0/0,""),preDEL!AJ573)</f>
        <v/>
      </c>
      <c r="AK573" s="105" t="str">
        <f>IF(preDEL!$AG573,IFERROR(0/0,""),preDEL!AK573)</f>
        <v>Negative</v>
      </c>
      <c r="AL573" s="112" t="str">
        <f>IF(preDEL!$AG573,IFERROR(0/0,""),preDEL!AL573)</f>
        <v/>
      </c>
      <c r="AM573" s="112" t="str">
        <f>IF(preDEL!$AG573,IFERROR(0/0,""),preDEL!AM573)</f>
        <v>SpBEND319298</v>
      </c>
      <c r="AN573" s="112" t="str">
        <f>IF(preDEL!$AG573,IFERROR(0/0,""),preDEL!AN573)</f>
        <v>BEND966643</v>
      </c>
      <c r="AO573" s="112" t="str">
        <f>IF(preDEL!$AG573,IFERROR(0/0,""),preDEL!AO573)</f>
        <v/>
      </c>
      <c r="AP573" s="112" t="str">
        <f>IF(preDEL!$AG573,IFERROR(0/0,""),preDEL!AP573)</f>
        <v/>
      </c>
      <c r="AQ573" s="112" t="str">
        <f>IF(preDEL!$AG573,IFERROR(0/0,""),preDEL!AQ573)</f>
        <v/>
      </c>
      <c r="AR573" s="112" t="str">
        <f>IF(preDEL!$AG573,IFERROR(0/0,""),preDEL!AR573)</f>
        <v/>
      </c>
      <c r="AS573" s="112" t="str">
        <f>IF(preDEL!$AG573,IFERROR(0/0,""),preDEL!AS573)</f>
        <v/>
      </c>
      <c r="AT573" s="112" t="b">
        <f>IF(preDEL!$AG573,IFERROR(0/0,""),preDEL!AT573)</f>
        <v>0</v>
      </c>
      <c r="AU573" s="112" t="str">
        <f>IF(preDEL!$AG573,IFERROR(0/0,""),preDEL!AU573)</f>
        <v/>
      </c>
      <c r="AV573" s="112" t="str">
        <f>IF(preDEL!$AG573,IFERROR(0/0,""),preDEL!AV573)</f>
        <v/>
      </c>
      <c r="AW573" s="112" t="str">
        <f>IF(preDEL!$AG573,IFERROR(0/0,""),preDEL!AW573)</f>
        <v/>
      </c>
      <c r="AX573" s="112" t="str">
        <f>IF(preDEL!$AG573,IFERROR(0/0,""),preDEL!AX573)</f>
        <v/>
      </c>
      <c r="AY573" s="112" t="str">
        <f>IF(preDEL!$AG573,IFERROR(0/0,""),preDEL!AY573)</f>
        <v/>
      </c>
      <c r="AZ573" s="174"/>
      <c r="BA573" s="174"/>
      <c r="BB573" s="174"/>
      <c r="BC573" s="174"/>
      <c r="BD573" s="174"/>
      <c r="BE573" s="174"/>
      <c r="BF573" s="174"/>
      <c r="BG573" s="174"/>
      <c r="BH573" s="174"/>
      <c r="BI573" s="174"/>
      <c r="BJ573" s="174"/>
      <c r="BK573" s="174"/>
      <c r="BL573" s="174"/>
      <c r="BM573" s="174"/>
      <c r="BN573" s="174"/>
      <c r="BO573" s="174"/>
      <c r="BP573" s="174"/>
      <c r="BQ573" s="174"/>
      <c r="BR573" s="174"/>
      <c r="BS573" s="174"/>
      <c r="BT573" s="174"/>
      <c r="BU573" s="174"/>
      <c r="BV573" s="174"/>
      <c r="BW573" s="174"/>
      <c r="BX573" s="174"/>
      <c r="BY573" s="174"/>
      <c r="BZ573" s="174"/>
      <c r="CA573" s="174"/>
      <c r="CB573" s="174"/>
      <c r="CC573" s="174"/>
      <c r="CD573" s="174"/>
    </row>
    <row r="574">
      <c r="A574" s="105" t="str">
        <f>IF(preDEL!$AG574,IFERROR(0/0,""),preDEL!A574)</f>
        <v>FM479</v>
      </c>
      <c r="B574" s="170">
        <f>IF(preDEL!$AG574,IFERROR(0/0,""),preDEL!B574)</f>
        <v>44617</v>
      </c>
      <c r="C574" s="171">
        <f>IF(preDEL!$AG574,IFERROR(0/0,""),preDEL!C574)</f>
        <v>0.3297453704</v>
      </c>
      <c r="D574" s="105" t="str">
        <f>IF(preDEL!$AG574,IFERROR(0/0,""),preDEL!D574)</f>
        <v/>
      </c>
      <c r="E574" s="105" t="str">
        <f>IF(preDEL!$AG574,IFERROR(0/0,""),preDEL!E574)</f>
        <v/>
      </c>
      <c r="F574" s="112" t="str">
        <f>IF(preDEL!$AG574,IFERROR(0/0,""),preDEL!F574)</f>
        <v/>
      </c>
      <c r="G574" s="112" t="str">
        <f>IF(preDEL!$AG574,IFERROR(0/0,""),preDEL!G574)</f>
        <v/>
      </c>
      <c r="H574" s="112" t="str">
        <f>IF(preDEL!$AG574,IFERROR(0/0,""),preDEL!H574)</f>
        <v/>
      </c>
      <c r="I574" s="105" t="str">
        <f>IF(preDEL!$AG574,IFERROR(0/0,""),preDEL!I574)</f>
        <v/>
      </c>
      <c r="J574" s="105" t="str">
        <f>IF(preDEL!$AG574,IFERROR(0/0,""),preDEL!J574)</f>
        <v/>
      </c>
      <c r="K574" s="105" t="str">
        <f>IF(preDEL!$AG574,IFERROR(0/0,""),preDEL!K574)</f>
        <v>Negative</v>
      </c>
      <c r="L574" s="170">
        <f>IF(preDEL!$AG574,IFERROR(0/0,""),preDEL!L574)</f>
        <v>44617</v>
      </c>
      <c r="M574" s="171">
        <f>IF(preDEL!$AG574,IFERROR(0/0,""),preDEL!M574)</f>
        <v>0.5033796296</v>
      </c>
      <c r="N574" s="112" t="str">
        <f>IF(preDEL!$AG574,IFERROR(0/0,""),preDEL!N574)</f>
        <v/>
      </c>
      <c r="O574" s="112" t="str">
        <f>IF(preDEL!$AG574,IFERROR(0/0,""),preDEL!O574)</f>
        <v/>
      </c>
      <c r="P574" s="110" t="b">
        <f>IF(preDEL!$AG574,IFERROR(0/0,""),preDEL!P574)</f>
        <v>0</v>
      </c>
      <c r="Q574" s="110" t="str">
        <f>IF(preDEL!$AG574,IFERROR(0/0,""),preDEL!Q574)</f>
        <v>Result</v>
      </c>
      <c r="R574" s="104" t="b">
        <f>IF(preDEL!$AG574,IFERROR(0/0,""),preDEL!R574)</f>
        <v>1</v>
      </c>
      <c r="S574" s="104">
        <f>IF(preDEL!$AG574,IFERROR(0/0,""),preDEL!S574)</f>
        <v>1</v>
      </c>
      <c r="T574" s="110" t="str">
        <f>IF(preDEL!$AG574,IFERROR(0/0,""),preDEL!T574)</f>
        <v/>
      </c>
      <c r="U574" s="112" t="str">
        <f>IF(preDEL!$AG574,IFERROR(0/0,""),preDEL!U574)</f>
        <v/>
      </c>
      <c r="V574" s="105" t="str">
        <f>IF(preDEL!$AG574,IFERROR(0/0,""),preDEL!V574)</f>
        <v/>
      </c>
      <c r="W574" s="112" t="str">
        <f>IF(preDEL!$AG574,IFERROR(0/0,""),preDEL!W574)</f>
        <v/>
      </c>
      <c r="X574" s="104" t="b">
        <f>IF(preDEL!$AG574,IFERROR(0/0,""),preDEL!X574)</f>
        <v>0</v>
      </c>
      <c r="Y574" s="110" t="b">
        <f>IF(preDEL!$AG574,IFERROR(0/0,""),preDEL!Y574)</f>
        <v>0</v>
      </c>
      <c r="Z574" s="105" t="str">
        <f>IF(preDEL!$AG574,IFERROR(0/0,""),preDEL!Z574)</f>
        <v/>
      </c>
      <c r="AA574" s="110" t="b">
        <f>IF(preDEL!$AG574,IFERROR(0/0,""),preDEL!AA574)</f>
        <v>0</v>
      </c>
      <c r="AB574" s="110" t="b">
        <f>IF(preDEL!$AG574,IFERROR(0/0,""),preDEL!AB574)</f>
        <v>0</v>
      </c>
      <c r="AC574" s="172">
        <f>IF(preDEL!$AG574,IFERROR(0/0,""),preDEL!AC574)</f>
        <v>240</v>
      </c>
      <c r="AD574" s="104" t="b">
        <f>IF(preDEL!$AG574,IFERROR(0/0,""),preDEL!AD574)</f>
        <v>0</v>
      </c>
      <c r="AE574" s="173">
        <f>IF(preDEL!$AG574,IFERROR(0/0,""),preDEL!AE574)</f>
        <v>250.0333333</v>
      </c>
      <c r="AF574" s="110" t="b">
        <f>IF(preDEL!$AG574,IFERROR(0/0,""),preDEL!AF574)</f>
        <v>0</v>
      </c>
      <c r="AG574" s="110" t="b">
        <f>IF(preDEL!$AG574,IFERROR(0/0,""),preDEL!AG574)</f>
        <v>0</v>
      </c>
      <c r="AH574" s="104" t="str">
        <f>IF(preDEL!$AG574,IFERROR(0/0,""),preDEL!AH574)</f>
        <v/>
      </c>
      <c r="AI574" s="105" t="str">
        <f>IF(preDEL!$AG574,IFERROR(0/0,""),preDEL!AI574)</f>
        <v/>
      </c>
      <c r="AJ574" s="112" t="str">
        <f>IF(preDEL!$AG574,IFERROR(0/0,""),preDEL!AJ574)</f>
        <v/>
      </c>
      <c r="AK574" s="105" t="str">
        <f>IF(preDEL!$AG574,IFERROR(0/0,""),preDEL!AK574)</f>
        <v>Negative</v>
      </c>
      <c r="AL574" s="112" t="str">
        <f>IF(preDEL!$AG574,IFERROR(0/0,""),preDEL!AL574)</f>
        <v/>
      </c>
      <c r="AM574" s="112" t="str">
        <f>IF(preDEL!$AG574,IFERROR(0/0,""),preDEL!AM574)</f>
        <v>SpBEND406814</v>
      </c>
      <c r="AN574" s="112" t="str">
        <f>IF(preDEL!$AG574,IFERROR(0/0,""),preDEL!AN574)</f>
        <v>BEND273259</v>
      </c>
      <c r="AO574" s="112" t="str">
        <f>IF(preDEL!$AG574,IFERROR(0/0,""),preDEL!AO574)</f>
        <v/>
      </c>
      <c r="AP574" s="112" t="str">
        <f>IF(preDEL!$AG574,IFERROR(0/0,""),preDEL!AP574)</f>
        <v/>
      </c>
      <c r="AQ574" s="112" t="str">
        <f>IF(preDEL!$AG574,IFERROR(0/0,""),preDEL!AQ574)</f>
        <v/>
      </c>
      <c r="AR574" s="112" t="str">
        <f>IF(preDEL!$AG574,IFERROR(0/0,""),preDEL!AR574)</f>
        <v/>
      </c>
      <c r="AS574" s="112" t="str">
        <f>IF(preDEL!$AG574,IFERROR(0/0,""),preDEL!AS574)</f>
        <v/>
      </c>
      <c r="AT574" s="112" t="b">
        <f>IF(preDEL!$AG574,IFERROR(0/0,""),preDEL!AT574)</f>
        <v>0</v>
      </c>
      <c r="AU574" s="112" t="str">
        <f>IF(preDEL!$AG574,IFERROR(0/0,""),preDEL!AU574)</f>
        <v/>
      </c>
      <c r="AV574" s="112" t="str">
        <f>IF(preDEL!$AG574,IFERROR(0/0,""),preDEL!AV574)</f>
        <v/>
      </c>
      <c r="AW574" s="112" t="str">
        <f>IF(preDEL!$AG574,IFERROR(0/0,""),preDEL!AW574)</f>
        <v/>
      </c>
      <c r="AX574" s="112" t="str">
        <f>IF(preDEL!$AG574,IFERROR(0/0,""),preDEL!AX574)</f>
        <v/>
      </c>
      <c r="AY574" s="112" t="str">
        <f>IF(preDEL!$AG574,IFERROR(0/0,""),preDEL!AY574)</f>
        <v/>
      </c>
      <c r="AZ574" s="174"/>
      <c r="BA574" s="174"/>
      <c r="BB574" s="174"/>
      <c r="BC574" s="174"/>
      <c r="BD574" s="174"/>
      <c r="BE574" s="174"/>
      <c r="BF574" s="174"/>
      <c r="BG574" s="174"/>
      <c r="BH574" s="174"/>
      <c r="BI574" s="174"/>
      <c r="BJ574" s="174"/>
      <c r="BK574" s="174"/>
      <c r="BL574" s="174"/>
      <c r="BM574" s="174"/>
      <c r="BN574" s="174"/>
      <c r="BO574" s="174"/>
      <c r="BP574" s="174"/>
      <c r="BQ574" s="174"/>
      <c r="BR574" s="174"/>
      <c r="BS574" s="174"/>
      <c r="BT574" s="174"/>
      <c r="BU574" s="174"/>
      <c r="BV574" s="174"/>
      <c r="BW574" s="174"/>
      <c r="BX574" s="174"/>
      <c r="BY574" s="174"/>
      <c r="BZ574" s="174"/>
      <c r="CA574" s="174"/>
      <c r="CB574" s="174"/>
      <c r="CC574" s="174"/>
      <c r="CD574" s="174"/>
    </row>
    <row r="575">
      <c r="A575" s="105" t="str">
        <f>IF(preDEL!$AG575,IFERROR(0/0,""),preDEL!A575)</f>
        <v>MA266</v>
      </c>
      <c r="B575" s="170">
        <f>IF(preDEL!$AG575,IFERROR(0/0,""),preDEL!B575)</f>
        <v>44617</v>
      </c>
      <c r="C575" s="171">
        <f>IF(preDEL!$AG575,IFERROR(0/0,""),preDEL!C575)</f>
        <v>0.3303935185</v>
      </c>
      <c r="D575" s="105" t="str">
        <f>IF(preDEL!$AG575,IFERROR(0/0,""),preDEL!D575)</f>
        <v/>
      </c>
      <c r="E575" s="105" t="str">
        <f>IF(preDEL!$AG575,IFERROR(0/0,""),preDEL!E575)</f>
        <v/>
      </c>
      <c r="F575" s="112" t="str">
        <f>IF(preDEL!$AG575,IFERROR(0/0,""),preDEL!F575)</f>
        <v/>
      </c>
      <c r="G575" s="112" t="str">
        <f>IF(preDEL!$AG575,IFERROR(0/0,""),preDEL!G575)</f>
        <v/>
      </c>
      <c r="H575" s="112" t="str">
        <f>IF(preDEL!$AG575,IFERROR(0/0,""),preDEL!H575)</f>
        <v/>
      </c>
      <c r="I575" s="105" t="str">
        <f>IF(preDEL!$AG575,IFERROR(0/0,""),preDEL!I575)</f>
        <v/>
      </c>
      <c r="J575" s="105" t="str">
        <f>IF(preDEL!$AG575,IFERROR(0/0,""),preDEL!J575)</f>
        <v/>
      </c>
      <c r="K575" s="105" t="str">
        <f>IF(preDEL!$AG575,IFERROR(0/0,""),preDEL!K575)</f>
        <v>Negative</v>
      </c>
      <c r="L575" s="170">
        <f>IF(preDEL!$AG575,IFERROR(0/0,""),preDEL!L575)</f>
        <v>44617</v>
      </c>
      <c r="M575" s="171">
        <f>IF(preDEL!$AG575,IFERROR(0/0,""),preDEL!M575)</f>
        <v>0.5033796296</v>
      </c>
      <c r="N575" s="112" t="str">
        <f>IF(preDEL!$AG575,IFERROR(0/0,""),preDEL!N575)</f>
        <v/>
      </c>
      <c r="O575" s="112" t="str">
        <f>IF(preDEL!$AG575,IFERROR(0/0,""),preDEL!O575)</f>
        <v/>
      </c>
      <c r="P575" s="110" t="b">
        <f>IF(preDEL!$AG575,IFERROR(0/0,""),preDEL!P575)</f>
        <v>0</v>
      </c>
      <c r="Q575" s="110" t="str">
        <f>IF(preDEL!$AG575,IFERROR(0/0,""),preDEL!Q575)</f>
        <v>Result</v>
      </c>
      <c r="R575" s="104" t="b">
        <f>IF(preDEL!$AG575,IFERROR(0/0,""),preDEL!R575)</f>
        <v>1</v>
      </c>
      <c r="S575" s="104">
        <f>IF(preDEL!$AG575,IFERROR(0/0,""),preDEL!S575)</f>
        <v>1</v>
      </c>
      <c r="T575" s="110" t="str">
        <f>IF(preDEL!$AG575,IFERROR(0/0,""),preDEL!T575)</f>
        <v/>
      </c>
      <c r="U575" s="112" t="str">
        <f>IF(preDEL!$AG575,IFERROR(0/0,""),preDEL!U575)</f>
        <v/>
      </c>
      <c r="V575" s="105" t="str">
        <f>IF(preDEL!$AG575,IFERROR(0/0,""),preDEL!V575)</f>
        <v/>
      </c>
      <c r="W575" s="112" t="str">
        <f>IF(preDEL!$AG575,IFERROR(0/0,""),preDEL!W575)</f>
        <v/>
      </c>
      <c r="X575" s="104" t="b">
        <f>IF(preDEL!$AG575,IFERROR(0/0,""),preDEL!X575)</f>
        <v>0</v>
      </c>
      <c r="Y575" s="110" t="b">
        <f>IF(preDEL!$AG575,IFERROR(0/0,""),preDEL!Y575)</f>
        <v>0</v>
      </c>
      <c r="Z575" s="105" t="str">
        <f>IF(preDEL!$AG575,IFERROR(0/0,""),preDEL!Z575)</f>
        <v/>
      </c>
      <c r="AA575" s="110" t="b">
        <f>IF(preDEL!$AG575,IFERROR(0/0,""),preDEL!AA575)</f>
        <v>0</v>
      </c>
      <c r="AB575" s="110" t="b">
        <f>IF(preDEL!$AG575,IFERROR(0/0,""),preDEL!AB575)</f>
        <v>0</v>
      </c>
      <c r="AC575" s="172">
        <f>IF(preDEL!$AG575,IFERROR(0/0,""),preDEL!AC575)</f>
        <v>239</v>
      </c>
      <c r="AD575" s="104" t="b">
        <f>IF(preDEL!$AG575,IFERROR(0/0,""),preDEL!AD575)</f>
        <v>0</v>
      </c>
      <c r="AE575" s="173">
        <f>IF(preDEL!$AG575,IFERROR(0/0,""),preDEL!AE575)</f>
        <v>249.1</v>
      </c>
      <c r="AF575" s="110" t="b">
        <f>IF(preDEL!$AG575,IFERROR(0/0,""),preDEL!AF575)</f>
        <v>0</v>
      </c>
      <c r="AG575" s="110" t="b">
        <f>IF(preDEL!$AG575,IFERROR(0/0,""),preDEL!AG575)</f>
        <v>0</v>
      </c>
      <c r="AH575" s="104" t="str">
        <f>IF(preDEL!$AG575,IFERROR(0/0,""),preDEL!AH575)</f>
        <v/>
      </c>
      <c r="AI575" s="105" t="str">
        <f>IF(preDEL!$AG575,IFERROR(0/0,""),preDEL!AI575)</f>
        <v/>
      </c>
      <c r="AJ575" s="112" t="str">
        <f>IF(preDEL!$AG575,IFERROR(0/0,""),preDEL!AJ575)</f>
        <v/>
      </c>
      <c r="AK575" s="105" t="str">
        <f>IF(preDEL!$AG575,IFERROR(0/0,""),preDEL!AK575)</f>
        <v>Negative</v>
      </c>
      <c r="AL575" s="112" t="str">
        <f>IF(preDEL!$AG575,IFERROR(0/0,""),preDEL!AL575)</f>
        <v/>
      </c>
      <c r="AM575" s="112" t="str">
        <f>IF(preDEL!$AG575,IFERROR(0/0,""),preDEL!AM575)</f>
        <v>SpBEND944634</v>
      </c>
      <c r="AN575" s="112" t="str">
        <f>IF(preDEL!$AG575,IFERROR(0/0,""),preDEL!AN575)</f>
        <v>BEND626338</v>
      </c>
      <c r="AO575" s="112" t="str">
        <f>IF(preDEL!$AG575,IFERROR(0/0,""),preDEL!AO575)</f>
        <v/>
      </c>
      <c r="AP575" s="112" t="str">
        <f>IF(preDEL!$AG575,IFERROR(0/0,""),preDEL!AP575)</f>
        <v/>
      </c>
      <c r="AQ575" s="112" t="str">
        <f>IF(preDEL!$AG575,IFERROR(0/0,""),preDEL!AQ575)</f>
        <v/>
      </c>
      <c r="AR575" s="112" t="str">
        <f>IF(preDEL!$AG575,IFERROR(0/0,""),preDEL!AR575)</f>
        <v/>
      </c>
      <c r="AS575" s="112" t="str">
        <f>IF(preDEL!$AG575,IFERROR(0/0,""),preDEL!AS575)</f>
        <v/>
      </c>
      <c r="AT575" s="112" t="b">
        <f>IF(preDEL!$AG575,IFERROR(0/0,""),preDEL!AT575)</f>
        <v>0</v>
      </c>
      <c r="AU575" s="112" t="str">
        <f>IF(preDEL!$AG575,IFERROR(0/0,""),preDEL!AU575)</f>
        <v/>
      </c>
      <c r="AV575" s="112" t="str">
        <f>IF(preDEL!$AG575,IFERROR(0/0,""),preDEL!AV575)</f>
        <v/>
      </c>
      <c r="AW575" s="112" t="str">
        <f>IF(preDEL!$AG575,IFERROR(0/0,""),preDEL!AW575)</f>
        <v/>
      </c>
      <c r="AX575" s="112" t="str">
        <f>IF(preDEL!$AG575,IFERROR(0/0,""),preDEL!AX575)</f>
        <v/>
      </c>
      <c r="AY575" s="112" t="str">
        <f>IF(preDEL!$AG575,IFERROR(0/0,""),preDEL!AY575)</f>
        <v/>
      </c>
      <c r="AZ575" s="174"/>
      <c r="BA575" s="174"/>
      <c r="BB575" s="174"/>
      <c r="BC575" s="174"/>
      <c r="BD575" s="174"/>
      <c r="BE575" s="174"/>
      <c r="BF575" s="174"/>
      <c r="BG575" s="174"/>
      <c r="BH575" s="174"/>
      <c r="BI575" s="174"/>
      <c r="BJ575" s="174"/>
      <c r="BK575" s="174"/>
      <c r="BL575" s="174"/>
      <c r="BM575" s="174"/>
      <c r="BN575" s="174"/>
      <c r="BO575" s="174"/>
      <c r="BP575" s="174"/>
      <c r="BQ575" s="174"/>
      <c r="BR575" s="174"/>
      <c r="BS575" s="174"/>
      <c r="BT575" s="174"/>
      <c r="BU575" s="174"/>
      <c r="BV575" s="174"/>
      <c r="BW575" s="174"/>
      <c r="BX575" s="174"/>
      <c r="BY575" s="174"/>
      <c r="BZ575" s="174"/>
      <c r="CA575" s="174"/>
      <c r="CB575" s="174"/>
      <c r="CC575" s="174"/>
      <c r="CD575" s="174"/>
    </row>
    <row r="576">
      <c r="A576" s="105" t="str">
        <f>IF(preDEL!$AG576,IFERROR(0/0,""),preDEL!A576)</f>
        <v>FM994</v>
      </c>
      <c r="B576" s="170">
        <f>IF(preDEL!$AG576,IFERROR(0/0,""),preDEL!B576)</f>
        <v>44617</v>
      </c>
      <c r="C576" s="171">
        <f>IF(preDEL!$AG576,IFERROR(0/0,""),preDEL!C576)</f>
        <v>0.3313425926</v>
      </c>
      <c r="D576" s="105" t="str">
        <f>IF(preDEL!$AG576,IFERROR(0/0,""),preDEL!D576)</f>
        <v/>
      </c>
      <c r="E576" s="105" t="str">
        <f>IF(preDEL!$AG576,IFERROR(0/0,""),preDEL!E576)</f>
        <v/>
      </c>
      <c r="F576" s="112" t="str">
        <f>IF(preDEL!$AG576,IFERROR(0/0,""),preDEL!F576)</f>
        <v/>
      </c>
      <c r="G576" s="112" t="str">
        <f>IF(preDEL!$AG576,IFERROR(0/0,""),preDEL!G576)</f>
        <v/>
      </c>
      <c r="H576" s="112" t="str">
        <f>IF(preDEL!$AG576,IFERROR(0/0,""),preDEL!H576)</f>
        <v/>
      </c>
      <c r="I576" s="105" t="str">
        <f>IF(preDEL!$AG576,IFERROR(0/0,""),preDEL!I576)</f>
        <v/>
      </c>
      <c r="J576" s="105" t="str">
        <f>IF(preDEL!$AG576,IFERROR(0/0,""),preDEL!J576)</f>
        <v/>
      </c>
      <c r="K576" s="105" t="str">
        <f>IF(preDEL!$AG576,IFERROR(0/0,""),preDEL!K576)</f>
        <v>Negative</v>
      </c>
      <c r="L576" s="170">
        <f>IF(preDEL!$AG576,IFERROR(0/0,""),preDEL!L576)</f>
        <v>44617</v>
      </c>
      <c r="M576" s="171">
        <f>IF(preDEL!$AG576,IFERROR(0/0,""),preDEL!M576)</f>
        <v>0.5033796296</v>
      </c>
      <c r="N576" s="112" t="str">
        <f>IF(preDEL!$AG576,IFERROR(0/0,""),preDEL!N576)</f>
        <v/>
      </c>
      <c r="O576" s="112" t="str">
        <f>IF(preDEL!$AG576,IFERROR(0/0,""),preDEL!O576)</f>
        <v/>
      </c>
      <c r="P576" s="110" t="b">
        <f>IF(preDEL!$AG576,IFERROR(0/0,""),preDEL!P576)</f>
        <v>0</v>
      </c>
      <c r="Q576" s="110" t="str">
        <f>IF(preDEL!$AG576,IFERROR(0/0,""),preDEL!Q576)</f>
        <v>Result</v>
      </c>
      <c r="R576" s="104" t="b">
        <f>IF(preDEL!$AG576,IFERROR(0/0,""),preDEL!R576)</f>
        <v>1</v>
      </c>
      <c r="S576" s="104">
        <f>IF(preDEL!$AG576,IFERROR(0/0,""),preDEL!S576)</f>
        <v>1</v>
      </c>
      <c r="T576" s="110" t="str">
        <f>IF(preDEL!$AG576,IFERROR(0/0,""),preDEL!T576)</f>
        <v/>
      </c>
      <c r="U576" s="112" t="str">
        <f>IF(preDEL!$AG576,IFERROR(0/0,""),preDEL!U576)</f>
        <v/>
      </c>
      <c r="V576" s="105" t="str">
        <f>IF(preDEL!$AG576,IFERROR(0/0,""),preDEL!V576)</f>
        <v/>
      </c>
      <c r="W576" s="112" t="str">
        <f>IF(preDEL!$AG576,IFERROR(0/0,""),preDEL!W576)</f>
        <v/>
      </c>
      <c r="X576" s="104" t="b">
        <f>IF(preDEL!$AG576,IFERROR(0/0,""),preDEL!X576)</f>
        <v>0</v>
      </c>
      <c r="Y576" s="110" t="b">
        <f>IF(preDEL!$AG576,IFERROR(0/0,""),preDEL!Y576)</f>
        <v>0</v>
      </c>
      <c r="Z576" s="105" t="str">
        <f>IF(preDEL!$AG576,IFERROR(0/0,""),preDEL!Z576)</f>
        <v/>
      </c>
      <c r="AA576" s="110" t="b">
        <f>IF(preDEL!$AG576,IFERROR(0/0,""),preDEL!AA576)</f>
        <v>0</v>
      </c>
      <c r="AB576" s="110" t="b">
        <f>IF(preDEL!$AG576,IFERROR(0/0,""),preDEL!AB576)</f>
        <v>0</v>
      </c>
      <c r="AC576" s="172">
        <f>IF(preDEL!$AG576,IFERROR(0/0,""),preDEL!AC576)</f>
        <v>238</v>
      </c>
      <c r="AD576" s="104" t="b">
        <f>IF(preDEL!$AG576,IFERROR(0/0,""),preDEL!AD576)</f>
        <v>0</v>
      </c>
      <c r="AE576" s="173">
        <f>IF(preDEL!$AG576,IFERROR(0/0,""),preDEL!AE576)</f>
        <v>247.7333333</v>
      </c>
      <c r="AF576" s="110" t="b">
        <f>IF(preDEL!$AG576,IFERROR(0/0,""),preDEL!AF576)</f>
        <v>0</v>
      </c>
      <c r="AG576" s="110" t="b">
        <f>IF(preDEL!$AG576,IFERROR(0/0,""),preDEL!AG576)</f>
        <v>0</v>
      </c>
      <c r="AH576" s="104" t="str">
        <f>IF(preDEL!$AG576,IFERROR(0/0,""),preDEL!AH576)</f>
        <v/>
      </c>
      <c r="AI576" s="105" t="str">
        <f>IF(preDEL!$AG576,IFERROR(0/0,""),preDEL!AI576)</f>
        <v/>
      </c>
      <c r="AJ576" s="112" t="str">
        <f>IF(preDEL!$AG576,IFERROR(0/0,""),preDEL!AJ576)</f>
        <v/>
      </c>
      <c r="AK576" s="105" t="str">
        <f>IF(preDEL!$AG576,IFERROR(0/0,""),preDEL!AK576)</f>
        <v>Negative</v>
      </c>
      <c r="AL576" s="112" t="str">
        <f>IF(preDEL!$AG576,IFERROR(0/0,""),preDEL!AL576)</f>
        <v/>
      </c>
      <c r="AM576" s="112" t="str">
        <f>IF(preDEL!$AG576,IFERROR(0/0,""),preDEL!AM576)</f>
        <v>SpBEND147819</v>
      </c>
      <c r="AN576" s="112" t="str">
        <f>IF(preDEL!$AG576,IFERROR(0/0,""),preDEL!AN576)</f>
        <v>BEND883753</v>
      </c>
      <c r="AO576" s="112" t="str">
        <f>IF(preDEL!$AG576,IFERROR(0/0,""),preDEL!AO576)</f>
        <v/>
      </c>
      <c r="AP576" s="112" t="str">
        <f>IF(preDEL!$AG576,IFERROR(0/0,""),preDEL!AP576)</f>
        <v/>
      </c>
      <c r="AQ576" s="112" t="str">
        <f>IF(preDEL!$AG576,IFERROR(0/0,""),preDEL!AQ576)</f>
        <v/>
      </c>
      <c r="AR576" s="112" t="str">
        <f>IF(preDEL!$AG576,IFERROR(0/0,""),preDEL!AR576)</f>
        <v/>
      </c>
      <c r="AS576" s="112" t="str">
        <f>IF(preDEL!$AG576,IFERROR(0/0,""),preDEL!AS576)</f>
        <v/>
      </c>
      <c r="AT576" s="112" t="b">
        <f>IF(preDEL!$AG576,IFERROR(0/0,""),preDEL!AT576)</f>
        <v>0</v>
      </c>
      <c r="AU576" s="112" t="str">
        <f>IF(preDEL!$AG576,IFERROR(0/0,""),preDEL!AU576)</f>
        <v/>
      </c>
      <c r="AV576" s="112" t="str">
        <f>IF(preDEL!$AG576,IFERROR(0/0,""),preDEL!AV576)</f>
        <v/>
      </c>
      <c r="AW576" s="112" t="str">
        <f>IF(preDEL!$AG576,IFERROR(0/0,""),preDEL!AW576)</f>
        <v/>
      </c>
      <c r="AX576" s="112" t="str">
        <f>IF(preDEL!$AG576,IFERROR(0/0,""),preDEL!AX576)</f>
        <v/>
      </c>
      <c r="AY576" s="112" t="str">
        <f>IF(preDEL!$AG576,IFERROR(0/0,""),preDEL!AY576)</f>
        <v/>
      </c>
      <c r="AZ576" s="174"/>
      <c r="BA576" s="174"/>
      <c r="BB576" s="174"/>
      <c r="BC576" s="174"/>
      <c r="BD576" s="174"/>
      <c r="BE576" s="174"/>
      <c r="BF576" s="174"/>
      <c r="BG576" s="174"/>
      <c r="BH576" s="174"/>
      <c r="BI576" s="174"/>
      <c r="BJ576" s="174"/>
      <c r="BK576" s="174"/>
      <c r="BL576" s="174"/>
      <c r="BM576" s="174"/>
      <c r="BN576" s="174"/>
      <c r="BO576" s="174"/>
      <c r="BP576" s="174"/>
      <c r="BQ576" s="174"/>
      <c r="BR576" s="174"/>
      <c r="BS576" s="174"/>
      <c r="BT576" s="174"/>
      <c r="BU576" s="174"/>
      <c r="BV576" s="174"/>
      <c r="BW576" s="174"/>
      <c r="BX576" s="174"/>
      <c r="BY576" s="174"/>
      <c r="BZ576" s="174"/>
      <c r="CA576" s="174"/>
      <c r="CB576" s="174"/>
      <c r="CC576" s="174"/>
      <c r="CD576" s="174"/>
    </row>
    <row r="577">
      <c r="A577" s="105" t="str">
        <f>IF(preDEL!$AG577,IFERROR(0/0,""),preDEL!A577)</f>
        <v>FM833</v>
      </c>
      <c r="B577" s="170">
        <f>IF(preDEL!$AG577,IFERROR(0/0,""),preDEL!B577)</f>
        <v>44617</v>
      </c>
      <c r="C577" s="171">
        <f>IF(preDEL!$AG577,IFERROR(0/0,""),preDEL!C577)</f>
        <v>0.3313773148</v>
      </c>
      <c r="D577" s="105" t="str">
        <f>IF(preDEL!$AG577,IFERROR(0/0,""),preDEL!D577)</f>
        <v/>
      </c>
      <c r="E577" s="105" t="str">
        <f>IF(preDEL!$AG577,IFERROR(0/0,""),preDEL!E577)</f>
        <v/>
      </c>
      <c r="F577" s="112" t="str">
        <f>IF(preDEL!$AG577,IFERROR(0/0,""),preDEL!F577)</f>
        <v/>
      </c>
      <c r="G577" s="112" t="str">
        <f>IF(preDEL!$AG577,IFERROR(0/0,""),preDEL!G577)</f>
        <v/>
      </c>
      <c r="H577" s="112" t="str">
        <f>IF(preDEL!$AG577,IFERROR(0/0,""),preDEL!H577)</f>
        <v/>
      </c>
      <c r="I577" s="105" t="str">
        <f>IF(preDEL!$AG577,IFERROR(0/0,""),preDEL!I577)</f>
        <v/>
      </c>
      <c r="J577" s="105" t="str">
        <f>IF(preDEL!$AG577,IFERROR(0/0,""),preDEL!J577)</f>
        <v/>
      </c>
      <c r="K577" s="105" t="str">
        <f>IF(preDEL!$AG577,IFERROR(0/0,""),preDEL!K577)</f>
        <v>Negative</v>
      </c>
      <c r="L577" s="170">
        <f>IF(preDEL!$AG577,IFERROR(0/0,""),preDEL!L577)</f>
        <v>44617</v>
      </c>
      <c r="M577" s="171">
        <f>IF(preDEL!$AG577,IFERROR(0/0,""),preDEL!M577)</f>
        <v>0.5033796296</v>
      </c>
      <c r="N577" s="112" t="str">
        <f>IF(preDEL!$AG577,IFERROR(0/0,""),preDEL!N577)</f>
        <v/>
      </c>
      <c r="O577" s="112" t="str">
        <f>IF(preDEL!$AG577,IFERROR(0/0,""),preDEL!O577)</f>
        <v/>
      </c>
      <c r="P577" s="110" t="b">
        <f>IF(preDEL!$AG577,IFERROR(0/0,""),preDEL!P577)</f>
        <v>0</v>
      </c>
      <c r="Q577" s="110" t="str">
        <f>IF(preDEL!$AG577,IFERROR(0/0,""),preDEL!Q577)</f>
        <v>Result</v>
      </c>
      <c r="R577" s="104" t="b">
        <f>IF(preDEL!$AG577,IFERROR(0/0,""),preDEL!R577)</f>
        <v>1</v>
      </c>
      <c r="S577" s="104">
        <f>IF(preDEL!$AG577,IFERROR(0/0,""),preDEL!S577)</f>
        <v>1</v>
      </c>
      <c r="T577" s="110" t="str">
        <f>IF(preDEL!$AG577,IFERROR(0/0,""),preDEL!T577)</f>
        <v/>
      </c>
      <c r="U577" s="112" t="str">
        <f>IF(preDEL!$AG577,IFERROR(0/0,""),preDEL!U577)</f>
        <v/>
      </c>
      <c r="V577" s="105" t="str">
        <f>IF(preDEL!$AG577,IFERROR(0/0,""),preDEL!V577)</f>
        <v/>
      </c>
      <c r="W577" s="112" t="str">
        <f>IF(preDEL!$AG577,IFERROR(0/0,""),preDEL!W577)</f>
        <v/>
      </c>
      <c r="X577" s="104" t="b">
        <f>IF(preDEL!$AG577,IFERROR(0/0,""),preDEL!X577)</f>
        <v>0</v>
      </c>
      <c r="Y577" s="110" t="b">
        <f>IF(preDEL!$AG577,IFERROR(0/0,""),preDEL!Y577)</f>
        <v>0</v>
      </c>
      <c r="Z577" s="105" t="str">
        <f>IF(preDEL!$AG577,IFERROR(0/0,""),preDEL!Z577)</f>
        <v/>
      </c>
      <c r="AA577" s="110" t="b">
        <f>IF(preDEL!$AG577,IFERROR(0/0,""),preDEL!AA577)</f>
        <v>0</v>
      </c>
      <c r="AB577" s="110" t="b">
        <f>IF(preDEL!$AG577,IFERROR(0/0,""),preDEL!AB577)</f>
        <v>0</v>
      </c>
      <c r="AC577" s="172">
        <f>IF(preDEL!$AG577,IFERROR(0/0,""),preDEL!AC577)</f>
        <v>237</v>
      </c>
      <c r="AD577" s="104" t="b">
        <f>IF(preDEL!$AG577,IFERROR(0/0,""),preDEL!AD577)</f>
        <v>0</v>
      </c>
      <c r="AE577" s="173">
        <f>IF(preDEL!$AG577,IFERROR(0/0,""),preDEL!AE577)</f>
        <v>247.6833333</v>
      </c>
      <c r="AF577" s="110" t="b">
        <f>IF(preDEL!$AG577,IFERROR(0/0,""),preDEL!AF577)</f>
        <v>0</v>
      </c>
      <c r="AG577" s="110" t="b">
        <f>IF(preDEL!$AG577,IFERROR(0/0,""),preDEL!AG577)</f>
        <v>0</v>
      </c>
      <c r="AH577" s="104" t="str">
        <f>IF(preDEL!$AG577,IFERROR(0/0,""),preDEL!AH577)</f>
        <v/>
      </c>
      <c r="AI577" s="105" t="str">
        <f>IF(preDEL!$AG577,IFERROR(0/0,""),preDEL!AI577)</f>
        <v/>
      </c>
      <c r="AJ577" s="112" t="str">
        <f>IF(preDEL!$AG577,IFERROR(0/0,""),preDEL!AJ577)</f>
        <v/>
      </c>
      <c r="AK577" s="105" t="str">
        <f>IF(preDEL!$AG577,IFERROR(0/0,""),preDEL!AK577)</f>
        <v>Negative</v>
      </c>
      <c r="AL577" s="112" t="str">
        <f>IF(preDEL!$AG577,IFERROR(0/0,""),preDEL!AL577)</f>
        <v/>
      </c>
      <c r="AM577" s="112" t="str">
        <f>IF(preDEL!$AG577,IFERROR(0/0,""),preDEL!AM577)</f>
        <v>SpBEND721986</v>
      </c>
      <c r="AN577" s="112" t="str">
        <f>IF(preDEL!$AG577,IFERROR(0/0,""),preDEL!AN577)</f>
        <v>BEND127889</v>
      </c>
      <c r="AO577" s="112" t="str">
        <f>IF(preDEL!$AG577,IFERROR(0/0,""),preDEL!AO577)</f>
        <v/>
      </c>
      <c r="AP577" s="112" t="str">
        <f>IF(preDEL!$AG577,IFERROR(0/0,""),preDEL!AP577)</f>
        <v/>
      </c>
      <c r="AQ577" s="112" t="str">
        <f>IF(preDEL!$AG577,IFERROR(0/0,""),preDEL!AQ577)</f>
        <v/>
      </c>
      <c r="AR577" s="112" t="str">
        <f>IF(preDEL!$AG577,IFERROR(0/0,""),preDEL!AR577)</f>
        <v/>
      </c>
      <c r="AS577" s="112" t="str">
        <f>IF(preDEL!$AG577,IFERROR(0/0,""),preDEL!AS577)</f>
        <v/>
      </c>
      <c r="AT577" s="112" t="b">
        <f>IF(preDEL!$AG577,IFERROR(0/0,""),preDEL!AT577)</f>
        <v>0</v>
      </c>
      <c r="AU577" s="112" t="str">
        <f>IF(preDEL!$AG577,IFERROR(0/0,""),preDEL!AU577)</f>
        <v/>
      </c>
      <c r="AV577" s="112" t="str">
        <f>IF(preDEL!$AG577,IFERROR(0/0,""),preDEL!AV577)</f>
        <v/>
      </c>
      <c r="AW577" s="112" t="str">
        <f>IF(preDEL!$AG577,IFERROR(0/0,""),preDEL!AW577)</f>
        <v/>
      </c>
      <c r="AX577" s="112" t="str">
        <f>IF(preDEL!$AG577,IFERROR(0/0,""),preDEL!AX577)</f>
        <v/>
      </c>
      <c r="AY577" s="112" t="str">
        <f>IF(preDEL!$AG577,IFERROR(0/0,""),preDEL!AY577)</f>
        <v/>
      </c>
      <c r="AZ577" s="174"/>
      <c r="BA577" s="174"/>
      <c r="BB577" s="174"/>
      <c r="BC577" s="174"/>
      <c r="BD577" s="174"/>
      <c r="BE577" s="174"/>
      <c r="BF577" s="174"/>
      <c r="BG577" s="174"/>
      <c r="BH577" s="174"/>
      <c r="BI577" s="174"/>
      <c r="BJ577" s="174"/>
      <c r="BK577" s="174"/>
      <c r="BL577" s="174"/>
      <c r="BM577" s="174"/>
      <c r="BN577" s="174"/>
      <c r="BO577" s="174"/>
      <c r="BP577" s="174"/>
      <c r="BQ577" s="174"/>
      <c r="BR577" s="174"/>
      <c r="BS577" s="174"/>
      <c r="BT577" s="174"/>
      <c r="BU577" s="174"/>
      <c r="BV577" s="174"/>
      <c r="BW577" s="174"/>
      <c r="BX577" s="174"/>
      <c r="BY577" s="174"/>
      <c r="BZ577" s="174"/>
      <c r="CA577" s="174"/>
      <c r="CB577" s="174"/>
      <c r="CC577" s="174"/>
      <c r="CD577" s="174"/>
    </row>
    <row r="578">
      <c r="A578" s="105" t="str">
        <f>IF(preDEL!$AG578,IFERROR(0/0,""),preDEL!A578)</f>
        <v>FM831</v>
      </c>
      <c r="B578" s="170">
        <f>IF(preDEL!$AG578,IFERROR(0/0,""),preDEL!B578)</f>
        <v>44617</v>
      </c>
      <c r="C578" s="171">
        <f>IF(preDEL!$AG578,IFERROR(0/0,""),preDEL!C578)</f>
        <v>0.3316782407</v>
      </c>
      <c r="D578" s="105" t="str">
        <f>IF(preDEL!$AG578,IFERROR(0/0,""),preDEL!D578)</f>
        <v/>
      </c>
      <c r="E578" s="105" t="str">
        <f>IF(preDEL!$AG578,IFERROR(0/0,""),preDEL!E578)</f>
        <v/>
      </c>
      <c r="F578" s="112" t="str">
        <f>IF(preDEL!$AG578,IFERROR(0/0,""),preDEL!F578)</f>
        <v/>
      </c>
      <c r="G578" s="112" t="str">
        <f>IF(preDEL!$AG578,IFERROR(0/0,""),preDEL!G578)</f>
        <v/>
      </c>
      <c r="H578" s="112" t="str">
        <f>IF(preDEL!$AG578,IFERROR(0/0,""),preDEL!H578)</f>
        <v/>
      </c>
      <c r="I578" s="105" t="str">
        <f>IF(preDEL!$AG578,IFERROR(0/0,""),preDEL!I578)</f>
        <v/>
      </c>
      <c r="J578" s="105" t="str">
        <f>IF(preDEL!$AG578,IFERROR(0/0,""),preDEL!J578)</f>
        <v/>
      </c>
      <c r="K578" s="105" t="str">
        <f>IF(preDEL!$AG578,IFERROR(0/0,""),preDEL!K578)</f>
        <v>Negative</v>
      </c>
      <c r="L578" s="170">
        <f>IF(preDEL!$AG578,IFERROR(0/0,""),preDEL!L578)</f>
        <v>44617</v>
      </c>
      <c r="M578" s="171">
        <f>IF(preDEL!$AG578,IFERROR(0/0,""),preDEL!M578)</f>
        <v>0.5033796296</v>
      </c>
      <c r="N578" s="112" t="str">
        <f>IF(preDEL!$AG578,IFERROR(0/0,""),preDEL!N578)</f>
        <v/>
      </c>
      <c r="O578" s="112" t="str">
        <f>IF(preDEL!$AG578,IFERROR(0/0,""),preDEL!O578)</f>
        <v/>
      </c>
      <c r="P578" s="110" t="b">
        <f>IF(preDEL!$AG578,IFERROR(0/0,""),preDEL!P578)</f>
        <v>0</v>
      </c>
      <c r="Q578" s="110" t="str">
        <f>IF(preDEL!$AG578,IFERROR(0/0,""),preDEL!Q578)</f>
        <v>Result</v>
      </c>
      <c r="R578" s="104" t="b">
        <f>IF(preDEL!$AG578,IFERROR(0/0,""),preDEL!R578)</f>
        <v>1</v>
      </c>
      <c r="S578" s="104">
        <f>IF(preDEL!$AG578,IFERROR(0/0,""),preDEL!S578)</f>
        <v>1</v>
      </c>
      <c r="T578" s="110" t="str">
        <f>IF(preDEL!$AG578,IFERROR(0/0,""),preDEL!T578)</f>
        <v/>
      </c>
      <c r="U578" s="112" t="str">
        <f>IF(preDEL!$AG578,IFERROR(0/0,""),preDEL!U578)</f>
        <v/>
      </c>
      <c r="V578" s="105" t="str">
        <f>IF(preDEL!$AG578,IFERROR(0/0,""),preDEL!V578)</f>
        <v/>
      </c>
      <c r="W578" s="112" t="str">
        <f>IF(preDEL!$AG578,IFERROR(0/0,""),preDEL!W578)</f>
        <v/>
      </c>
      <c r="X578" s="104" t="b">
        <f>IF(preDEL!$AG578,IFERROR(0/0,""),preDEL!X578)</f>
        <v>0</v>
      </c>
      <c r="Y578" s="110" t="b">
        <f>IF(preDEL!$AG578,IFERROR(0/0,""),preDEL!Y578)</f>
        <v>0</v>
      </c>
      <c r="Z578" s="105" t="str">
        <f>IF(preDEL!$AG578,IFERROR(0/0,""),preDEL!Z578)</f>
        <v/>
      </c>
      <c r="AA578" s="110" t="b">
        <f>IF(preDEL!$AG578,IFERROR(0/0,""),preDEL!AA578)</f>
        <v>0</v>
      </c>
      <c r="AB578" s="110" t="b">
        <f>IF(preDEL!$AG578,IFERROR(0/0,""),preDEL!AB578)</f>
        <v>0</v>
      </c>
      <c r="AC578" s="172">
        <f>IF(preDEL!$AG578,IFERROR(0/0,""),preDEL!AC578)</f>
        <v>236</v>
      </c>
      <c r="AD578" s="104" t="b">
        <f>IF(preDEL!$AG578,IFERROR(0/0,""),preDEL!AD578)</f>
        <v>0</v>
      </c>
      <c r="AE578" s="173">
        <f>IF(preDEL!$AG578,IFERROR(0/0,""),preDEL!AE578)</f>
        <v>247.25</v>
      </c>
      <c r="AF578" s="110" t="b">
        <f>IF(preDEL!$AG578,IFERROR(0/0,""),preDEL!AF578)</f>
        <v>0</v>
      </c>
      <c r="AG578" s="110" t="b">
        <f>IF(preDEL!$AG578,IFERROR(0/0,""),preDEL!AG578)</f>
        <v>0</v>
      </c>
      <c r="AH578" s="104" t="str">
        <f>IF(preDEL!$AG578,IFERROR(0/0,""),preDEL!AH578)</f>
        <v/>
      </c>
      <c r="AI578" s="105" t="str">
        <f>IF(preDEL!$AG578,IFERROR(0/0,""),preDEL!AI578)</f>
        <v/>
      </c>
      <c r="AJ578" s="112" t="str">
        <f>IF(preDEL!$AG578,IFERROR(0/0,""),preDEL!AJ578)</f>
        <v/>
      </c>
      <c r="AK578" s="105" t="str">
        <f>IF(preDEL!$AG578,IFERROR(0/0,""),preDEL!AK578)</f>
        <v>Negative</v>
      </c>
      <c r="AL578" s="112" t="str">
        <f>IF(preDEL!$AG578,IFERROR(0/0,""),preDEL!AL578)</f>
        <v/>
      </c>
      <c r="AM578" s="112" t="str">
        <f>IF(preDEL!$AG578,IFERROR(0/0,""),preDEL!AM578)</f>
        <v>SpBEND721986</v>
      </c>
      <c r="AN578" s="112" t="str">
        <f>IF(preDEL!$AG578,IFERROR(0/0,""),preDEL!AN578)</f>
        <v>BEND147991</v>
      </c>
      <c r="AO578" s="112" t="str">
        <f>IF(preDEL!$AG578,IFERROR(0/0,""),preDEL!AO578)</f>
        <v/>
      </c>
      <c r="AP578" s="112" t="str">
        <f>IF(preDEL!$AG578,IFERROR(0/0,""),preDEL!AP578)</f>
        <v/>
      </c>
      <c r="AQ578" s="112" t="str">
        <f>IF(preDEL!$AG578,IFERROR(0/0,""),preDEL!AQ578)</f>
        <v/>
      </c>
      <c r="AR578" s="112" t="str">
        <f>IF(preDEL!$AG578,IFERROR(0/0,""),preDEL!AR578)</f>
        <v/>
      </c>
      <c r="AS578" s="112" t="str">
        <f>IF(preDEL!$AG578,IFERROR(0/0,""),preDEL!AS578)</f>
        <v/>
      </c>
      <c r="AT578" s="112" t="b">
        <f>IF(preDEL!$AG578,IFERROR(0/0,""),preDEL!AT578)</f>
        <v>0</v>
      </c>
      <c r="AU578" s="112" t="str">
        <f>IF(preDEL!$AG578,IFERROR(0/0,""),preDEL!AU578)</f>
        <v/>
      </c>
      <c r="AV578" s="112" t="str">
        <f>IF(preDEL!$AG578,IFERROR(0/0,""),preDEL!AV578)</f>
        <v/>
      </c>
      <c r="AW578" s="112" t="str">
        <f>IF(preDEL!$AG578,IFERROR(0/0,""),preDEL!AW578)</f>
        <v/>
      </c>
      <c r="AX578" s="112" t="str">
        <f>IF(preDEL!$AG578,IFERROR(0/0,""),preDEL!AX578)</f>
        <v/>
      </c>
      <c r="AY578" s="112" t="str">
        <f>IF(preDEL!$AG578,IFERROR(0/0,""),preDEL!AY578)</f>
        <v/>
      </c>
      <c r="AZ578" s="174"/>
      <c r="BA578" s="174"/>
      <c r="BB578" s="174"/>
      <c r="BC578" s="174"/>
      <c r="BD578" s="174"/>
      <c r="BE578" s="174"/>
      <c r="BF578" s="174"/>
      <c r="BG578" s="174"/>
      <c r="BH578" s="174"/>
      <c r="BI578" s="174"/>
      <c r="BJ578" s="174"/>
      <c r="BK578" s="174"/>
      <c r="BL578" s="174"/>
      <c r="BM578" s="174"/>
      <c r="BN578" s="174"/>
      <c r="BO578" s="174"/>
      <c r="BP578" s="174"/>
      <c r="BQ578" s="174"/>
      <c r="BR578" s="174"/>
      <c r="BS578" s="174"/>
      <c r="BT578" s="174"/>
      <c r="BU578" s="174"/>
      <c r="BV578" s="174"/>
      <c r="BW578" s="174"/>
      <c r="BX578" s="174"/>
      <c r="BY578" s="174"/>
      <c r="BZ578" s="174"/>
      <c r="CA578" s="174"/>
      <c r="CB578" s="174"/>
      <c r="CC578" s="174"/>
      <c r="CD578" s="174"/>
    </row>
    <row r="579">
      <c r="A579" s="105" t="str">
        <f>IF(preDEL!$AG579,IFERROR(0/0,""),preDEL!A579)</f>
        <v>FM25</v>
      </c>
      <c r="B579" s="170">
        <f>IF(preDEL!$AG579,IFERROR(0/0,""),preDEL!B579)</f>
        <v>44617</v>
      </c>
      <c r="C579" s="171">
        <f>IF(preDEL!$AG579,IFERROR(0/0,""),preDEL!C579)</f>
        <v>0.3319328704</v>
      </c>
      <c r="D579" s="105" t="str">
        <f>IF(preDEL!$AG579,IFERROR(0/0,""),preDEL!D579)</f>
        <v/>
      </c>
      <c r="E579" s="105" t="str">
        <f>IF(preDEL!$AG579,IFERROR(0/0,""),preDEL!E579)</f>
        <v/>
      </c>
      <c r="F579" s="112" t="str">
        <f>IF(preDEL!$AG579,IFERROR(0/0,""),preDEL!F579)</f>
        <v/>
      </c>
      <c r="G579" s="112" t="str">
        <f>IF(preDEL!$AG579,IFERROR(0/0,""),preDEL!G579)</f>
        <v/>
      </c>
      <c r="H579" s="112" t="str">
        <f>IF(preDEL!$AG579,IFERROR(0/0,""),preDEL!H579)</f>
        <v/>
      </c>
      <c r="I579" s="105" t="str">
        <f>IF(preDEL!$AG579,IFERROR(0/0,""),preDEL!I579)</f>
        <v/>
      </c>
      <c r="J579" s="105" t="str">
        <f>IF(preDEL!$AG579,IFERROR(0/0,""),preDEL!J579)</f>
        <v/>
      </c>
      <c r="K579" s="105" t="str">
        <f>IF(preDEL!$AG579,IFERROR(0/0,""),preDEL!K579)</f>
        <v>Negative</v>
      </c>
      <c r="L579" s="170">
        <f>IF(preDEL!$AG579,IFERROR(0/0,""),preDEL!L579)</f>
        <v>44617</v>
      </c>
      <c r="M579" s="171">
        <f>IF(preDEL!$AG579,IFERROR(0/0,""),preDEL!M579)</f>
        <v>0.5033796296</v>
      </c>
      <c r="N579" s="112" t="str">
        <f>IF(preDEL!$AG579,IFERROR(0/0,""),preDEL!N579)</f>
        <v/>
      </c>
      <c r="O579" s="112" t="str">
        <f>IF(preDEL!$AG579,IFERROR(0/0,""),preDEL!O579)</f>
        <v/>
      </c>
      <c r="P579" s="110" t="b">
        <f>IF(preDEL!$AG579,IFERROR(0/0,""),preDEL!P579)</f>
        <v>0</v>
      </c>
      <c r="Q579" s="110" t="str">
        <f>IF(preDEL!$AG579,IFERROR(0/0,""),preDEL!Q579)</f>
        <v>Result</v>
      </c>
      <c r="R579" s="104" t="b">
        <f>IF(preDEL!$AG579,IFERROR(0/0,""),preDEL!R579)</f>
        <v>1</v>
      </c>
      <c r="S579" s="104">
        <f>IF(preDEL!$AG579,IFERROR(0/0,""),preDEL!S579)</f>
        <v>1</v>
      </c>
      <c r="T579" s="110" t="str">
        <f>IF(preDEL!$AG579,IFERROR(0/0,""),preDEL!T579)</f>
        <v/>
      </c>
      <c r="U579" s="112" t="str">
        <f>IF(preDEL!$AG579,IFERROR(0/0,""),preDEL!U579)</f>
        <v/>
      </c>
      <c r="V579" s="105" t="str">
        <f>IF(preDEL!$AG579,IFERROR(0/0,""),preDEL!V579)</f>
        <v/>
      </c>
      <c r="W579" s="112" t="str">
        <f>IF(preDEL!$AG579,IFERROR(0/0,""),preDEL!W579)</f>
        <v/>
      </c>
      <c r="X579" s="104" t="b">
        <f>IF(preDEL!$AG579,IFERROR(0/0,""),preDEL!X579)</f>
        <v>0</v>
      </c>
      <c r="Y579" s="110" t="b">
        <f>IF(preDEL!$AG579,IFERROR(0/0,""),preDEL!Y579)</f>
        <v>0</v>
      </c>
      <c r="Z579" s="105" t="str">
        <f>IF(preDEL!$AG579,IFERROR(0/0,""),preDEL!Z579)</f>
        <v/>
      </c>
      <c r="AA579" s="110" t="b">
        <f>IF(preDEL!$AG579,IFERROR(0/0,""),preDEL!AA579)</f>
        <v>0</v>
      </c>
      <c r="AB579" s="110" t="b">
        <f>IF(preDEL!$AG579,IFERROR(0/0,""),preDEL!AB579)</f>
        <v>0</v>
      </c>
      <c r="AC579" s="172">
        <f>IF(preDEL!$AG579,IFERROR(0/0,""),preDEL!AC579)</f>
        <v>235</v>
      </c>
      <c r="AD579" s="104" t="b">
        <f>IF(preDEL!$AG579,IFERROR(0/0,""),preDEL!AD579)</f>
        <v>0</v>
      </c>
      <c r="AE579" s="173">
        <f>IF(preDEL!$AG579,IFERROR(0/0,""),preDEL!AE579)</f>
        <v>246.8833333</v>
      </c>
      <c r="AF579" s="110" t="b">
        <f>IF(preDEL!$AG579,IFERROR(0/0,""),preDEL!AF579)</f>
        <v>0</v>
      </c>
      <c r="AG579" s="110" t="b">
        <f>IF(preDEL!$AG579,IFERROR(0/0,""),preDEL!AG579)</f>
        <v>0</v>
      </c>
      <c r="AH579" s="104" t="str">
        <f>IF(preDEL!$AG579,IFERROR(0/0,""),preDEL!AH579)</f>
        <v/>
      </c>
      <c r="AI579" s="105" t="str">
        <f>IF(preDEL!$AG579,IFERROR(0/0,""),preDEL!AI579)</f>
        <v/>
      </c>
      <c r="AJ579" s="112" t="str">
        <f>IF(preDEL!$AG579,IFERROR(0/0,""),preDEL!AJ579)</f>
        <v/>
      </c>
      <c r="AK579" s="105" t="str">
        <f>IF(preDEL!$AG579,IFERROR(0/0,""),preDEL!AK579)</f>
        <v>Negative</v>
      </c>
      <c r="AL579" s="112" t="str">
        <f>IF(preDEL!$AG579,IFERROR(0/0,""),preDEL!AL579)</f>
        <v/>
      </c>
      <c r="AM579" s="112" t="str">
        <f>IF(preDEL!$AG579,IFERROR(0/0,""),preDEL!AM579)</f>
        <v>SpBEND643855</v>
      </c>
      <c r="AN579" s="112" t="str">
        <f>IF(preDEL!$AG579,IFERROR(0/0,""),preDEL!AN579)</f>
        <v>BEND364074</v>
      </c>
      <c r="AO579" s="112" t="str">
        <f>IF(preDEL!$AG579,IFERROR(0/0,""),preDEL!AO579)</f>
        <v/>
      </c>
      <c r="AP579" s="112" t="str">
        <f>IF(preDEL!$AG579,IFERROR(0/0,""),preDEL!AP579)</f>
        <v/>
      </c>
      <c r="AQ579" s="112" t="str">
        <f>IF(preDEL!$AG579,IFERROR(0/0,""),preDEL!AQ579)</f>
        <v/>
      </c>
      <c r="AR579" s="112" t="str">
        <f>IF(preDEL!$AG579,IFERROR(0/0,""),preDEL!AR579)</f>
        <v/>
      </c>
      <c r="AS579" s="112" t="str">
        <f>IF(preDEL!$AG579,IFERROR(0/0,""),preDEL!AS579)</f>
        <v/>
      </c>
      <c r="AT579" s="112" t="b">
        <f>IF(preDEL!$AG579,IFERROR(0/0,""),preDEL!AT579)</f>
        <v>0</v>
      </c>
      <c r="AU579" s="112" t="str">
        <f>IF(preDEL!$AG579,IFERROR(0/0,""),preDEL!AU579)</f>
        <v/>
      </c>
      <c r="AV579" s="112" t="str">
        <f>IF(preDEL!$AG579,IFERROR(0/0,""),preDEL!AV579)</f>
        <v/>
      </c>
      <c r="AW579" s="112" t="str">
        <f>IF(preDEL!$AG579,IFERROR(0/0,""),preDEL!AW579)</f>
        <v/>
      </c>
      <c r="AX579" s="112" t="str">
        <f>IF(preDEL!$AG579,IFERROR(0/0,""),preDEL!AX579)</f>
        <v/>
      </c>
      <c r="AY579" s="112" t="str">
        <f>IF(preDEL!$AG579,IFERROR(0/0,""),preDEL!AY579)</f>
        <v/>
      </c>
      <c r="AZ579" s="174"/>
      <c r="BA579" s="174"/>
      <c r="BB579" s="174"/>
      <c r="BC579" s="174"/>
      <c r="BD579" s="174"/>
      <c r="BE579" s="174"/>
      <c r="BF579" s="174"/>
      <c r="BG579" s="174"/>
      <c r="BH579" s="174"/>
      <c r="BI579" s="174"/>
      <c r="BJ579" s="174"/>
      <c r="BK579" s="174"/>
      <c r="BL579" s="174"/>
      <c r="BM579" s="174"/>
      <c r="BN579" s="174"/>
      <c r="BO579" s="174"/>
      <c r="BP579" s="174"/>
      <c r="BQ579" s="174"/>
      <c r="BR579" s="174"/>
      <c r="BS579" s="174"/>
      <c r="BT579" s="174"/>
      <c r="BU579" s="174"/>
      <c r="BV579" s="174"/>
      <c r="BW579" s="174"/>
      <c r="BX579" s="174"/>
      <c r="BY579" s="174"/>
      <c r="BZ579" s="174"/>
      <c r="CA579" s="174"/>
      <c r="CB579" s="174"/>
      <c r="CC579" s="174"/>
      <c r="CD579" s="174"/>
    </row>
    <row r="580">
      <c r="A580" s="105" t="str">
        <f>IF(preDEL!$AG580,IFERROR(0/0,""),preDEL!A580)</f>
        <v>FM794</v>
      </c>
      <c r="B580" s="170">
        <f>IF(preDEL!$AG580,IFERROR(0/0,""),preDEL!B580)</f>
        <v>44617</v>
      </c>
      <c r="C580" s="171">
        <f>IF(preDEL!$AG580,IFERROR(0/0,""),preDEL!C580)</f>
        <v>0.3321875</v>
      </c>
      <c r="D580" s="105" t="str">
        <f>IF(preDEL!$AG580,IFERROR(0/0,""),preDEL!D580)</f>
        <v/>
      </c>
      <c r="E580" s="105" t="str">
        <f>IF(preDEL!$AG580,IFERROR(0/0,""),preDEL!E580)</f>
        <v/>
      </c>
      <c r="F580" s="112" t="str">
        <f>IF(preDEL!$AG580,IFERROR(0/0,""),preDEL!F580)</f>
        <v/>
      </c>
      <c r="G580" s="112" t="str">
        <f>IF(preDEL!$AG580,IFERROR(0/0,""),preDEL!G580)</f>
        <v/>
      </c>
      <c r="H580" s="112" t="str">
        <f>IF(preDEL!$AG580,IFERROR(0/0,""),preDEL!H580)</f>
        <v/>
      </c>
      <c r="I580" s="105" t="str">
        <f>IF(preDEL!$AG580,IFERROR(0/0,""),preDEL!I580)</f>
        <v/>
      </c>
      <c r="J580" s="105" t="str">
        <f>IF(preDEL!$AG580,IFERROR(0/0,""),preDEL!J580)</f>
        <v/>
      </c>
      <c r="K580" s="105" t="str">
        <f>IF(preDEL!$AG580,IFERROR(0/0,""),preDEL!K580)</f>
        <v>Negative</v>
      </c>
      <c r="L580" s="170">
        <f>IF(preDEL!$AG580,IFERROR(0/0,""),preDEL!L580)</f>
        <v>44617</v>
      </c>
      <c r="M580" s="171">
        <f>IF(preDEL!$AG580,IFERROR(0/0,""),preDEL!M580)</f>
        <v>0.5033796296</v>
      </c>
      <c r="N580" s="112" t="str">
        <f>IF(preDEL!$AG580,IFERROR(0/0,""),preDEL!N580)</f>
        <v/>
      </c>
      <c r="O580" s="112" t="str">
        <f>IF(preDEL!$AG580,IFERROR(0/0,""),preDEL!O580)</f>
        <v/>
      </c>
      <c r="P580" s="110" t="b">
        <f>IF(preDEL!$AG580,IFERROR(0/0,""),preDEL!P580)</f>
        <v>0</v>
      </c>
      <c r="Q580" s="110" t="str">
        <f>IF(preDEL!$AG580,IFERROR(0/0,""),preDEL!Q580)</f>
        <v>Result</v>
      </c>
      <c r="R580" s="104" t="b">
        <f>IF(preDEL!$AG580,IFERROR(0/0,""),preDEL!R580)</f>
        <v>1</v>
      </c>
      <c r="S580" s="104">
        <f>IF(preDEL!$AG580,IFERROR(0/0,""),preDEL!S580)</f>
        <v>1</v>
      </c>
      <c r="T580" s="110" t="str">
        <f>IF(preDEL!$AG580,IFERROR(0/0,""),preDEL!T580)</f>
        <v/>
      </c>
      <c r="U580" s="112" t="str">
        <f>IF(preDEL!$AG580,IFERROR(0/0,""),preDEL!U580)</f>
        <v/>
      </c>
      <c r="V580" s="105" t="str">
        <f>IF(preDEL!$AG580,IFERROR(0/0,""),preDEL!V580)</f>
        <v/>
      </c>
      <c r="W580" s="112" t="str">
        <f>IF(preDEL!$AG580,IFERROR(0/0,""),preDEL!W580)</f>
        <v/>
      </c>
      <c r="X580" s="104" t="b">
        <f>IF(preDEL!$AG580,IFERROR(0/0,""),preDEL!X580)</f>
        <v>0</v>
      </c>
      <c r="Y580" s="110" t="b">
        <f>IF(preDEL!$AG580,IFERROR(0/0,""),preDEL!Y580)</f>
        <v>0</v>
      </c>
      <c r="Z580" s="105" t="str">
        <f>IF(preDEL!$AG580,IFERROR(0/0,""),preDEL!Z580)</f>
        <v/>
      </c>
      <c r="AA580" s="110" t="b">
        <f>IF(preDEL!$AG580,IFERROR(0/0,""),preDEL!AA580)</f>
        <v>0</v>
      </c>
      <c r="AB580" s="110" t="b">
        <f>IF(preDEL!$AG580,IFERROR(0/0,""),preDEL!AB580)</f>
        <v>0</v>
      </c>
      <c r="AC580" s="172">
        <f>IF(preDEL!$AG580,IFERROR(0/0,""),preDEL!AC580)</f>
        <v>234</v>
      </c>
      <c r="AD580" s="104" t="b">
        <f>IF(preDEL!$AG580,IFERROR(0/0,""),preDEL!AD580)</f>
        <v>0</v>
      </c>
      <c r="AE580" s="173">
        <f>IF(preDEL!$AG580,IFERROR(0/0,""),preDEL!AE580)</f>
        <v>246.5166667</v>
      </c>
      <c r="AF580" s="110" t="b">
        <f>IF(preDEL!$AG580,IFERROR(0/0,""),preDEL!AF580)</f>
        <v>0</v>
      </c>
      <c r="AG580" s="110" t="b">
        <f>IF(preDEL!$AG580,IFERROR(0/0,""),preDEL!AG580)</f>
        <v>0</v>
      </c>
      <c r="AH580" s="104" t="str">
        <f>IF(preDEL!$AG580,IFERROR(0/0,""),preDEL!AH580)</f>
        <v/>
      </c>
      <c r="AI580" s="105" t="str">
        <f>IF(preDEL!$AG580,IFERROR(0/0,""),preDEL!AI580)</f>
        <v/>
      </c>
      <c r="AJ580" s="112" t="str">
        <f>IF(preDEL!$AG580,IFERROR(0/0,""),preDEL!AJ580)</f>
        <v/>
      </c>
      <c r="AK580" s="105" t="str">
        <f>IF(preDEL!$AG580,IFERROR(0/0,""),preDEL!AK580)</f>
        <v>Negative</v>
      </c>
      <c r="AL580" s="112" t="str">
        <f>IF(preDEL!$AG580,IFERROR(0/0,""),preDEL!AL580)</f>
        <v/>
      </c>
      <c r="AM580" s="112" t="str">
        <f>IF(preDEL!$AG580,IFERROR(0/0,""),preDEL!AM580)</f>
        <v>SpBEND747592</v>
      </c>
      <c r="AN580" s="112" t="str">
        <f>IF(preDEL!$AG580,IFERROR(0/0,""),preDEL!AN580)</f>
        <v>BEND732984</v>
      </c>
      <c r="AO580" s="112" t="str">
        <f>IF(preDEL!$AG580,IFERROR(0/0,""),preDEL!AO580)</f>
        <v/>
      </c>
      <c r="AP580" s="112" t="str">
        <f>IF(preDEL!$AG580,IFERROR(0/0,""),preDEL!AP580)</f>
        <v/>
      </c>
      <c r="AQ580" s="112" t="str">
        <f>IF(preDEL!$AG580,IFERROR(0/0,""),preDEL!AQ580)</f>
        <v/>
      </c>
      <c r="AR580" s="112" t="str">
        <f>IF(preDEL!$AG580,IFERROR(0/0,""),preDEL!AR580)</f>
        <v/>
      </c>
      <c r="AS580" s="112" t="str">
        <f>IF(preDEL!$AG580,IFERROR(0/0,""),preDEL!AS580)</f>
        <v/>
      </c>
      <c r="AT580" s="112" t="b">
        <f>IF(preDEL!$AG580,IFERROR(0/0,""),preDEL!AT580)</f>
        <v>0</v>
      </c>
      <c r="AU580" s="112" t="str">
        <f>IF(preDEL!$AG580,IFERROR(0/0,""),preDEL!AU580)</f>
        <v/>
      </c>
      <c r="AV580" s="112" t="str">
        <f>IF(preDEL!$AG580,IFERROR(0/0,""),preDEL!AV580)</f>
        <v/>
      </c>
      <c r="AW580" s="112" t="str">
        <f>IF(preDEL!$AG580,IFERROR(0/0,""),preDEL!AW580)</f>
        <v/>
      </c>
      <c r="AX580" s="112" t="str">
        <f>IF(preDEL!$AG580,IFERROR(0/0,""),preDEL!AX580)</f>
        <v/>
      </c>
      <c r="AY580" s="112" t="str">
        <f>IF(preDEL!$AG580,IFERROR(0/0,""),preDEL!AY580)</f>
        <v/>
      </c>
      <c r="AZ580" s="174"/>
      <c r="BA580" s="174"/>
      <c r="BB580" s="174"/>
      <c r="BC580" s="174"/>
      <c r="BD580" s="174"/>
      <c r="BE580" s="174"/>
      <c r="BF580" s="174"/>
      <c r="BG580" s="174"/>
      <c r="BH580" s="174"/>
      <c r="BI580" s="174"/>
      <c r="BJ580" s="174"/>
      <c r="BK580" s="174"/>
      <c r="BL580" s="174"/>
      <c r="BM580" s="174"/>
      <c r="BN580" s="174"/>
      <c r="BO580" s="174"/>
      <c r="BP580" s="174"/>
      <c r="BQ580" s="174"/>
      <c r="BR580" s="174"/>
      <c r="BS580" s="174"/>
      <c r="BT580" s="174"/>
      <c r="BU580" s="174"/>
      <c r="BV580" s="174"/>
      <c r="BW580" s="174"/>
      <c r="BX580" s="174"/>
      <c r="BY580" s="174"/>
      <c r="BZ580" s="174"/>
      <c r="CA580" s="174"/>
      <c r="CB580" s="174"/>
      <c r="CC580" s="174"/>
      <c r="CD580" s="174"/>
    </row>
    <row r="581">
      <c r="A581" s="105" t="str">
        <f>IF(preDEL!$AG581,IFERROR(0/0,""),preDEL!A581)</f>
        <v>FM796</v>
      </c>
      <c r="B581" s="170">
        <f>IF(preDEL!$AG581,IFERROR(0/0,""),preDEL!B581)</f>
        <v>44617</v>
      </c>
      <c r="C581" s="171">
        <f>IF(preDEL!$AG581,IFERROR(0/0,""),preDEL!C581)</f>
        <v>0.3329050926</v>
      </c>
      <c r="D581" s="105" t="str">
        <f>IF(preDEL!$AG581,IFERROR(0/0,""),preDEL!D581)</f>
        <v/>
      </c>
      <c r="E581" s="105" t="str">
        <f>IF(preDEL!$AG581,IFERROR(0/0,""),preDEL!E581)</f>
        <v/>
      </c>
      <c r="F581" s="112" t="str">
        <f>IF(preDEL!$AG581,IFERROR(0/0,""),preDEL!F581)</f>
        <v/>
      </c>
      <c r="G581" s="112" t="str">
        <f>IF(preDEL!$AG581,IFERROR(0/0,""),preDEL!G581)</f>
        <v/>
      </c>
      <c r="H581" s="112" t="str">
        <f>IF(preDEL!$AG581,IFERROR(0/0,""),preDEL!H581)</f>
        <v/>
      </c>
      <c r="I581" s="105" t="str">
        <f>IF(preDEL!$AG581,IFERROR(0/0,""),preDEL!I581)</f>
        <v/>
      </c>
      <c r="J581" s="105" t="str">
        <f>IF(preDEL!$AG581,IFERROR(0/0,""),preDEL!J581)</f>
        <v/>
      </c>
      <c r="K581" s="105" t="str">
        <f>IF(preDEL!$AG581,IFERROR(0/0,""),preDEL!K581)</f>
        <v>Negative</v>
      </c>
      <c r="L581" s="170">
        <f>IF(preDEL!$AG581,IFERROR(0/0,""),preDEL!L581)</f>
        <v>44617</v>
      </c>
      <c r="M581" s="171">
        <f>IF(preDEL!$AG581,IFERROR(0/0,""),preDEL!M581)</f>
        <v>0.5033796296</v>
      </c>
      <c r="N581" s="112" t="str">
        <f>IF(preDEL!$AG581,IFERROR(0/0,""),preDEL!N581)</f>
        <v/>
      </c>
      <c r="O581" s="112" t="str">
        <f>IF(preDEL!$AG581,IFERROR(0/0,""),preDEL!O581)</f>
        <v/>
      </c>
      <c r="P581" s="110" t="b">
        <f>IF(preDEL!$AG581,IFERROR(0/0,""),preDEL!P581)</f>
        <v>0</v>
      </c>
      <c r="Q581" s="110" t="str">
        <f>IF(preDEL!$AG581,IFERROR(0/0,""),preDEL!Q581)</f>
        <v>Result</v>
      </c>
      <c r="R581" s="104" t="b">
        <f>IF(preDEL!$AG581,IFERROR(0/0,""),preDEL!R581)</f>
        <v>1</v>
      </c>
      <c r="S581" s="104">
        <f>IF(preDEL!$AG581,IFERROR(0/0,""),preDEL!S581)</f>
        <v>1</v>
      </c>
      <c r="T581" s="110" t="str">
        <f>IF(preDEL!$AG581,IFERROR(0/0,""),preDEL!T581)</f>
        <v/>
      </c>
      <c r="U581" s="112" t="str">
        <f>IF(preDEL!$AG581,IFERROR(0/0,""),preDEL!U581)</f>
        <v/>
      </c>
      <c r="V581" s="105" t="str">
        <f>IF(preDEL!$AG581,IFERROR(0/0,""),preDEL!V581)</f>
        <v/>
      </c>
      <c r="W581" s="112" t="str">
        <f>IF(preDEL!$AG581,IFERROR(0/0,""),preDEL!W581)</f>
        <v/>
      </c>
      <c r="X581" s="104" t="b">
        <f>IF(preDEL!$AG581,IFERROR(0/0,""),preDEL!X581)</f>
        <v>0</v>
      </c>
      <c r="Y581" s="110" t="b">
        <f>IF(preDEL!$AG581,IFERROR(0/0,""),preDEL!Y581)</f>
        <v>0</v>
      </c>
      <c r="Z581" s="105" t="str">
        <f>IF(preDEL!$AG581,IFERROR(0/0,""),preDEL!Z581)</f>
        <v/>
      </c>
      <c r="AA581" s="110" t="b">
        <f>IF(preDEL!$AG581,IFERROR(0/0,""),preDEL!AA581)</f>
        <v>0</v>
      </c>
      <c r="AB581" s="110" t="b">
        <f>IF(preDEL!$AG581,IFERROR(0/0,""),preDEL!AB581)</f>
        <v>0</v>
      </c>
      <c r="AC581" s="172">
        <f>IF(preDEL!$AG581,IFERROR(0/0,""),preDEL!AC581)</f>
        <v>233</v>
      </c>
      <c r="AD581" s="104" t="b">
        <f>IF(preDEL!$AG581,IFERROR(0/0,""),preDEL!AD581)</f>
        <v>0</v>
      </c>
      <c r="AE581" s="173">
        <f>IF(preDEL!$AG581,IFERROR(0/0,""),preDEL!AE581)</f>
        <v>245.4833333</v>
      </c>
      <c r="AF581" s="110" t="b">
        <f>IF(preDEL!$AG581,IFERROR(0/0,""),preDEL!AF581)</f>
        <v>0</v>
      </c>
      <c r="AG581" s="110" t="b">
        <f>IF(preDEL!$AG581,IFERROR(0/0,""),preDEL!AG581)</f>
        <v>0</v>
      </c>
      <c r="AH581" s="104" t="str">
        <f>IF(preDEL!$AG581,IFERROR(0/0,""),preDEL!AH581)</f>
        <v/>
      </c>
      <c r="AI581" s="105" t="str">
        <f>IF(preDEL!$AG581,IFERROR(0/0,""),preDEL!AI581)</f>
        <v/>
      </c>
      <c r="AJ581" s="112" t="str">
        <f>IF(preDEL!$AG581,IFERROR(0/0,""),preDEL!AJ581)</f>
        <v/>
      </c>
      <c r="AK581" s="105" t="str">
        <f>IF(preDEL!$AG581,IFERROR(0/0,""),preDEL!AK581)</f>
        <v>Negative</v>
      </c>
      <c r="AL581" s="112" t="str">
        <f>IF(preDEL!$AG581,IFERROR(0/0,""),preDEL!AL581)</f>
        <v/>
      </c>
      <c r="AM581" s="112" t="str">
        <f>IF(preDEL!$AG581,IFERROR(0/0,""),preDEL!AM581)</f>
        <v>SpBEND522465</v>
      </c>
      <c r="AN581" s="112" t="str">
        <f>IF(preDEL!$AG581,IFERROR(0/0,""),preDEL!AN581)</f>
        <v>BEND934970</v>
      </c>
      <c r="AO581" s="112" t="str">
        <f>IF(preDEL!$AG581,IFERROR(0/0,""),preDEL!AO581)</f>
        <v/>
      </c>
      <c r="AP581" s="112" t="str">
        <f>IF(preDEL!$AG581,IFERROR(0/0,""),preDEL!AP581)</f>
        <v/>
      </c>
      <c r="AQ581" s="112" t="str">
        <f>IF(preDEL!$AG581,IFERROR(0/0,""),preDEL!AQ581)</f>
        <v/>
      </c>
      <c r="AR581" s="112" t="str">
        <f>IF(preDEL!$AG581,IFERROR(0/0,""),preDEL!AR581)</f>
        <v/>
      </c>
      <c r="AS581" s="112" t="str">
        <f>IF(preDEL!$AG581,IFERROR(0/0,""),preDEL!AS581)</f>
        <v/>
      </c>
      <c r="AT581" s="112" t="b">
        <f>IF(preDEL!$AG581,IFERROR(0/0,""),preDEL!AT581)</f>
        <v>0</v>
      </c>
      <c r="AU581" s="112" t="str">
        <f>IF(preDEL!$AG581,IFERROR(0/0,""),preDEL!AU581)</f>
        <v/>
      </c>
      <c r="AV581" s="112" t="str">
        <f>IF(preDEL!$AG581,IFERROR(0/0,""),preDEL!AV581)</f>
        <v/>
      </c>
      <c r="AW581" s="112" t="str">
        <f>IF(preDEL!$AG581,IFERROR(0/0,""),preDEL!AW581)</f>
        <v/>
      </c>
      <c r="AX581" s="112" t="str">
        <f>IF(preDEL!$AG581,IFERROR(0/0,""),preDEL!AX581)</f>
        <v/>
      </c>
      <c r="AY581" s="112" t="str">
        <f>IF(preDEL!$AG581,IFERROR(0/0,""),preDEL!AY581)</f>
        <v/>
      </c>
      <c r="AZ581" s="174"/>
      <c r="BA581" s="174"/>
      <c r="BB581" s="174"/>
      <c r="BC581" s="174"/>
      <c r="BD581" s="174"/>
      <c r="BE581" s="174"/>
      <c r="BF581" s="174"/>
      <c r="BG581" s="174"/>
      <c r="BH581" s="174"/>
      <c r="BI581" s="174"/>
      <c r="BJ581" s="174"/>
      <c r="BK581" s="174"/>
      <c r="BL581" s="174"/>
      <c r="BM581" s="174"/>
      <c r="BN581" s="174"/>
      <c r="BO581" s="174"/>
      <c r="BP581" s="174"/>
      <c r="BQ581" s="174"/>
      <c r="BR581" s="174"/>
      <c r="BS581" s="174"/>
      <c r="BT581" s="174"/>
      <c r="BU581" s="174"/>
      <c r="BV581" s="174"/>
      <c r="BW581" s="174"/>
      <c r="BX581" s="174"/>
      <c r="BY581" s="174"/>
      <c r="BZ581" s="174"/>
      <c r="CA581" s="174"/>
      <c r="CB581" s="174"/>
      <c r="CC581" s="174"/>
      <c r="CD581" s="174"/>
    </row>
    <row r="582">
      <c r="A582" s="105" t="str">
        <f>IF(preDEL!$AG582,IFERROR(0/0,""),preDEL!A582)</f>
        <v>MA1230</v>
      </c>
      <c r="B582" s="170">
        <f>IF(preDEL!$AG582,IFERROR(0/0,""),preDEL!B582)</f>
        <v>44617</v>
      </c>
      <c r="C582" s="171">
        <f>IF(preDEL!$AG582,IFERROR(0/0,""),preDEL!C582)</f>
        <v>0.3387847222</v>
      </c>
      <c r="D582" s="105" t="str">
        <f>IF(preDEL!$AG582,IFERROR(0/0,""),preDEL!D582)</f>
        <v/>
      </c>
      <c r="E582" s="105" t="str">
        <f>IF(preDEL!$AG582,IFERROR(0/0,""),preDEL!E582)</f>
        <v/>
      </c>
      <c r="F582" s="112" t="str">
        <f>IF(preDEL!$AG582,IFERROR(0/0,""),preDEL!F582)</f>
        <v/>
      </c>
      <c r="G582" s="112" t="str">
        <f>IF(preDEL!$AG582,IFERROR(0/0,""),preDEL!G582)</f>
        <v/>
      </c>
      <c r="H582" s="112" t="str">
        <f>IF(preDEL!$AG582,IFERROR(0/0,""),preDEL!H582)</f>
        <v/>
      </c>
      <c r="I582" s="105" t="str">
        <f>IF(preDEL!$AG582,IFERROR(0/0,""),preDEL!I582)</f>
        <v/>
      </c>
      <c r="J582" s="105" t="str">
        <f>IF(preDEL!$AG582,IFERROR(0/0,""),preDEL!J582)</f>
        <v/>
      </c>
      <c r="K582" s="105" t="str">
        <f>IF(preDEL!$AG582,IFERROR(0/0,""),preDEL!K582)</f>
        <v>Negative</v>
      </c>
      <c r="L582" s="170">
        <f>IF(preDEL!$AG582,IFERROR(0/0,""),preDEL!L582)</f>
        <v>44617</v>
      </c>
      <c r="M582" s="171">
        <f>IF(preDEL!$AG582,IFERROR(0/0,""),preDEL!M582)</f>
        <v>0.5033796296</v>
      </c>
      <c r="N582" s="112" t="str">
        <f>IF(preDEL!$AG582,IFERROR(0/0,""),preDEL!N582)</f>
        <v/>
      </c>
      <c r="O582" s="112" t="str">
        <f>IF(preDEL!$AG582,IFERROR(0/0,""),preDEL!O582)</f>
        <v/>
      </c>
      <c r="P582" s="110" t="b">
        <f>IF(preDEL!$AG582,IFERROR(0/0,""),preDEL!P582)</f>
        <v>0</v>
      </c>
      <c r="Q582" s="110" t="str">
        <f>IF(preDEL!$AG582,IFERROR(0/0,""),preDEL!Q582)</f>
        <v>Result</v>
      </c>
      <c r="R582" s="104" t="b">
        <f>IF(preDEL!$AG582,IFERROR(0/0,""),preDEL!R582)</f>
        <v>1</v>
      </c>
      <c r="S582" s="104">
        <f>IF(preDEL!$AG582,IFERROR(0/0,""),preDEL!S582)</f>
        <v>1</v>
      </c>
      <c r="T582" s="110" t="str">
        <f>IF(preDEL!$AG582,IFERROR(0/0,""),preDEL!T582)</f>
        <v/>
      </c>
      <c r="U582" s="112" t="str">
        <f>IF(preDEL!$AG582,IFERROR(0/0,""),preDEL!U582)</f>
        <v/>
      </c>
      <c r="V582" s="105" t="str">
        <f>IF(preDEL!$AG582,IFERROR(0/0,""),preDEL!V582)</f>
        <v/>
      </c>
      <c r="W582" s="112" t="str">
        <f>IF(preDEL!$AG582,IFERROR(0/0,""),preDEL!W582)</f>
        <v/>
      </c>
      <c r="X582" s="104" t="b">
        <f>IF(preDEL!$AG582,IFERROR(0/0,""),preDEL!X582)</f>
        <v>0</v>
      </c>
      <c r="Y582" s="110" t="b">
        <f>IF(preDEL!$AG582,IFERROR(0/0,""),preDEL!Y582)</f>
        <v>0</v>
      </c>
      <c r="Z582" s="105" t="str">
        <f>IF(preDEL!$AG582,IFERROR(0/0,""),preDEL!Z582)</f>
        <v/>
      </c>
      <c r="AA582" s="110" t="b">
        <f>IF(preDEL!$AG582,IFERROR(0/0,""),preDEL!AA582)</f>
        <v>0</v>
      </c>
      <c r="AB582" s="110" t="b">
        <f>IF(preDEL!$AG582,IFERROR(0/0,""),preDEL!AB582)</f>
        <v>0</v>
      </c>
      <c r="AC582" s="172">
        <f>IF(preDEL!$AG582,IFERROR(0/0,""),preDEL!AC582)</f>
        <v>232</v>
      </c>
      <c r="AD582" s="104" t="b">
        <f>IF(preDEL!$AG582,IFERROR(0/0,""),preDEL!AD582)</f>
        <v>0</v>
      </c>
      <c r="AE582" s="173">
        <f>IF(preDEL!$AG582,IFERROR(0/0,""),preDEL!AE582)</f>
        <v>237.0166667</v>
      </c>
      <c r="AF582" s="110" t="b">
        <f>IF(preDEL!$AG582,IFERROR(0/0,""),preDEL!AF582)</f>
        <v>0</v>
      </c>
      <c r="AG582" s="110" t="b">
        <f>IF(preDEL!$AG582,IFERROR(0/0,""),preDEL!AG582)</f>
        <v>0</v>
      </c>
      <c r="AH582" s="104" t="str">
        <f>IF(preDEL!$AG582,IFERROR(0/0,""),preDEL!AH582)</f>
        <v/>
      </c>
      <c r="AI582" s="105" t="str">
        <f>IF(preDEL!$AG582,IFERROR(0/0,""),preDEL!AI582)</f>
        <v/>
      </c>
      <c r="AJ582" s="112" t="str">
        <f>IF(preDEL!$AG582,IFERROR(0/0,""),preDEL!AJ582)</f>
        <v/>
      </c>
      <c r="AK582" s="105" t="str">
        <f>IF(preDEL!$AG582,IFERROR(0/0,""),preDEL!AK582)</f>
        <v>Negative</v>
      </c>
      <c r="AL582" s="112" t="str">
        <f>IF(preDEL!$AG582,IFERROR(0/0,""),preDEL!AL582)</f>
        <v/>
      </c>
      <c r="AM582" s="112" t="str">
        <f>IF(preDEL!$AG582,IFERROR(0/0,""),preDEL!AM582)</f>
        <v>SpBEND198321</v>
      </c>
      <c r="AN582" s="112" t="str">
        <f>IF(preDEL!$AG582,IFERROR(0/0,""),preDEL!AN582)</f>
        <v>BEND772881</v>
      </c>
      <c r="AO582" s="112" t="str">
        <f>IF(preDEL!$AG582,IFERROR(0/0,""),preDEL!AO582)</f>
        <v/>
      </c>
      <c r="AP582" s="112" t="str">
        <f>IF(preDEL!$AG582,IFERROR(0/0,""),preDEL!AP582)</f>
        <v/>
      </c>
      <c r="AQ582" s="112" t="str">
        <f>IF(preDEL!$AG582,IFERROR(0/0,""),preDEL!AQ582)</f>
        <v/>
      </c>
      <c r="AR582" s="112" t="str">
        <f>IF(preDEL!$AG582,IFERROR(0/0,""),preDEL!AR582)</f>
        <v/>
      </c>
      <c r="AS582" s="112" t="str">
        <f>IF(preDEL!$AG582,IFERROR(0/0,""),preDEL!AS582)</f>
        <v/>
      </c>
      <c r="AT582" s="112" t="b">
        <f>IF(preDEL!$AG582,IFERROR(0/0,""),preDEL!AT582)</f>
        <v>0</v>
      </c>
      <c r="AU582" s="112" t="str">
        <f>IF(preDEL!$AG582,IFERROR(0/0,""),preDEL!AU582)</f>
        <v/>
      </c>
      <c r="AV582" s="112" t="str">
        <f>IF(preDEL!$AG582,IFERROR(0/0,""),preDEL!AV582)</f>
        <v/>
      </c>
      <c r="AW582" s="112" t="str">
        <f>IF(preDEL!$AG582,IFERROR(0/0,""),preDEL!AW582)</f>
        <v/>
      </c>
      <c r="AX582" s="112" t="str">
        <f>IF(preDEL!$AG582,IFERROR(0/0,""),preDEL!AX582)</f>
        <v/>
      </c>
      <c r="AY582" s="112" t="str">
        <f>IF(preDEL!$AG582,IFERROR(0/0,""),preDEL!AY582)</f>
        <v/>
      </c>
      <c r="AZ582" s="174"/>
      <c r="BA582" s="174"/>
      <c r="BB582" s="174"/>
      <c r="BC582" s="174"/>
      <c r="BD582" s="174"/>
      <c r="BE582" s="174"/>
      <c r="BF582" s="174"/>
      <c r="BG582" s="174"/>
      <c r="BH582" s="174"/>
      <c r="BI582" s="174"/>
      <c r="BJ582" s="174"/>
      <c r="BK582" s="174"/>
      <c r="BL582" s="174"/>
      <c r="BM582" s="174"/>
      <c r="BN582" s="174"/>
      <c r="BO582" s="174"/>
      <c r="BP582" s="174"/>
      <c r="BQ582" s="174"/>
      <c r="BR582" s="174"/>
      <c r="BS582" s="174"/>
      <c r="BT582" s="174"/>
      <c r="BU582" s="174"/>
      <c r="BV582" s="174"/>
      <c r="BW582" s="174"/>
      <c r="BX582" s="174"/>
      <c r="BY582" s="174"/>
      <c r="BZ582" s="174"/>
      <c r="CA582" s="174"/>
      <c r="CB582" s="174"/>
      <c r="CC582" s="174"/>
      <c r="CD582" s="174"/>
    </row>
    <row r="583">
      <c r="A583" s="105" t="str">
        <f>IF(preDEL!$AG583,IFERROR(0/0,""),preDEL!A583)</f>
        <v>FM45</v>
      </c>
      <c r="B583" s="170">
        <f>IF(preDEL!$AG583,IFERROR(0/0,""),preDEL!B583)</f>
        <v>44617</v>
      </c>
      <c r="C583" s="171">
        <f>IF(preDEL!$AG583,IFERROR(0/0,""),preDEL!C583)</f>
        <v>0.3403240741</v>
      </c>
      <c r="D583" s="105" t="str">
        <f>IF(preDEL!$AG583,IFERROR(0/0,""),preDEL!D583)</f>
        <v/>
      </c>
      <c r="E583" s="105" t="str">
        <f>IF(preDEL!$AG583,IFERROR(0/0,""),preDEL!E583)</f>
        <v/>
      </c>
      <c r="F583" s="112" t="str">
        <f>IF(preDEL!$AG583,IFERROR(0/0,""),preDEL!F583)</f>
        <v/>
      </c>
      <c r="G583" s="112" t="str">
        <f>IF(preDEL!$AG583,IFERROR(0/0,""),preDEL!G583)</f>
        <v/>
      </c>
      <c r="H583" s="112" t="str">
        <f>IF(preDEL!$AG583,IFERROR(0/0,""),preDEL!H583)</f>
        <v/>
      </c>
      <c r="I583" s="105" t="str">
        <f>IF(preDEL!$AG583,IFERROR(0/0,""),preDEL!I583)</f>
        <v/>
      </c>
      <c r="J583" s="105" t="str">
        <f>IF(preDEL!$AG583,IFERROR(0/0,""),preDEL!J583)</f>
        <v/>
      </c>
      <c r="K583" s="105" t="str">
        <f>IF(preDEL!$AG583,IFERROR(0/0,""),preDEL!K583)</f>
        <v>Negative</v>
      </c>
      <c r="L583" s="170">
        <f>IF(preDEL!$AG583,IFERROR(0/0,""),preDEL!L583)</f>
        <v>44617</v>
      </c>
      <c r="M583" s="171">
        <f>IF(preDEL!$AG583,IFERROR(0/0,""),preDEL!M583)</f>
        <v>0.5033796296</v>
      </c>
      <c r="N583" s="112" t="str">
        <f>IF(preDEL!$AG583,IFERROR(0/0,""),preDEL!N583)</f>
        <v/>
      </c>
      <c r="O583" s="112" t="str">
        <f>IF(preDEL!$AG583,IFERROR(0/0,""),preDEL!O583)</f>
        <v/>
      </c>
      <c r="P583" s="110" t="b">
        <f>IF(preDEL!$AG583,IFERROR(0/0,""),preDEL!P583)</f>
        <v>0</v>
      </c>
      <c r="Q583" s="110" t="str">
        <f>IF(preDEL!$AG583,IFERROR(0/0,""),preDEL!Q583)</f>
        <v>Result</v>
      </c>
      <c r="R583" s="104" t="b">
        <f>IF(preDEL!$AG583,IFERROR(0/0,""),preDEL!R583)</f>
        <v>1</v>
      </c>
      <c r="S583" s="104">
        <f>IF(preDEL!$AG583,IFERROR(0/0,""),preDEL!S583)</f>
        <v>1</v>
      </c>
      <c r="T583" s="110" t="str">
        <f>IF(preDEL!$AG583,IFERROR(0/0,""),preDEL!T583)</f>
        <v/>
      </c>
      <c r="U583" s="112" t="str">
        <f>IF(preDEL!$AG583,IFERROR(0/0,""),preDEL!U583)</f>
        <v/>
      </c>
      <c r="V583" s="105" t="str">
        <f>IF(preDEL!$AG583,IFERROR(0/0,""),preDEL!V583)</f>
        <v/>
      </c>
      <c r="W583" s="112" t="str">
        <f>IF(preDEL!$AG583,IFERROR(0/0,""),preDEL!W583)</f>
        <v/>
      </c>
      <c r="X583" s="104" t="b">
        <f>IF(preDEL!$AG583,IFERROR(0/0,""),preDEL!X583)</f>
        <v>0</v>
      </c>
      <c r="Y583" s="110" t="b">
        <f>IF(preDEL!$AG583,IFERROR(0/0,""),preDEL!Y583)</f>
        <v>0</v>
      </c>
      <c r="Z583" s="105" t="str">
        <f>IF(preDEL!$AG583,IFERROR(0/0,""),preDEL!Z583)</f>
        <v/>
      </c>
      <c r="AA583" s="110" t="b">
        <f>IF(preDEL!$AG583,IFERROR(0/0,""),preDEL!AA583)</f>
        <v>0</v>
      </c>
      <c r="AB583" s="110" t="b">
        <f>IF(preDEL!$AG583,IFERROR(0/0,""),preDEL!AB583)</f>
        <v>0</v>
      </c>
      <c r="AC583" s="172">
        <f>IF(preDEL!$AG583,IFERROR(0/0,""),preDEL!AC583)</f>
        <v>231</v>
      </c>
      <c r="AD583" s="104" t="b">
        <f>IF(preDEL!$AG583,IFERROR(0/0,""),preDEL!AD583)</f>
        <v>0</v>
      </c>
      <c r="AE583" s="173">
        <f>IF(preDEL!$AG583,IFERROR(0/0,""),preDEL!AE583)</f>
        <v>234.8</v>
      </c>
      <c r="AF583" s="110" t="b">
        <f>IF(preDEL!$AG583,IFERROR(0/0,""),preDEL!AF583)</f>
        <v>0</v>
      </c>
      <c r="AG583" s="110" t="b">
        <f>IF(preDEL!$AG583,IFERROR(0/0,""),preDEL!AG583)</f>
        <v>0</v>
      </c>
      <c r="AH583" s="104" t="str">
        <f>IF(preDEL!$AG583,IFERROR(0/0,""),preDEL!AH583)</f>
        <v/>
      </c>
      <c r="AI583" s="105" t="str">
        <f>IF(preDEL!$AG583,IFERROR(0/0,""),preDEL!AI583)</f>
        <v/>
      </c>
      <c r="AJ583" s="112" t="str">
        <f>IF(preDEL!$AG583,IFERROR(0/0,""),preDEL!AJ583)</f>
        <v/>
      </c>
      <c r="AK583" s="105" t="str">
        <f>IF(preDEL!$AG583,IFERROR(0/0,""),preDEL!AK583)</f>
        <v>Negative</v>
      </c>
      <c r="AL583" s="112" t="str">
        <f>IF(preDEL!$AG583,IFERROR(0/0,""),preDEL!AL583)</f>
        <v/>
      </c>
      <c r="AM583" s="112" t="str">
        <f>IF(preDEL!$AG583,IFERROR(0/0,""),preDEL!AM583)</f>
        <v>SpBEND139600</v>
      </c>
      <c r="AN583" s="112" t="str">
        <f>IF(preDEL!$AG583,IFERROR(0/0,""),preDEL!AN583)</f>
        <v>BEND133778</v>
      </c>
      <c r="AO583" s="112" t="str">
        <f>IF(preDEL!$AG583,IFERROR(0/0,""),preDEL!AO583)</f>
        <v/>
      </c>
      <c r="AP583" s="112" t="str">
        <f>IF(preDEL!$AG583,IFERROR(0/0,""),preDEL!AP583)</f>
        <v/>
      </c>
      <c r="AQ583" s="112" t="str">
        <f>IF(preDEL!$AG583,IFERROR(0/0,""),preDEL!AQ583)</f>
        <v/>
      </c>
      <c r="AR583" s="112" t="str">
        <f>IF(preDEL!$AG583,IFERROR(0/0,""),preDEL!AR583)</f>
        <v/>
      </c>
      <c r="AS583" s="112" t="str">
        <f>IF(preDEL!$AG583,IFERROR(0/0,""),preDEL!AS583)</f>
        <v/>
      </c>
      <c r="AT583" s="112" t="b">
        <f>IF(preDEL!$AG583,IFERROR(0/0,""),preDEL!AT583)</f>
        <v>0</v>
      </c>
      <c r="AU583" s="112" t="str">
        <f>IF(preDEL!$AG583,IFERROR(0/0,""),preDEL!AU583)</f>
        <v/>
      </c>
      <c r="AV583" s="112" t="str">
        <f>IF(preDEL!$AG583,IFERROR(0/0,""),preDEL!AV583)</f>
        <v/>
      </c>
      <c r="AW583" s="112" t="str">
        <f>IF(preDEL!$AG583,IFERROR(0/0,""),preDEL!AW583)</f>
        <v/>
      </c>
      <c r="AX583" s="112" t="str">
        <f>IF(preDEL!$AG583,IFERROR(0/0,""),preDEL!AX583)</f>
        <v/>
      </c>
      <c r="AY583" s="112" t="str">
        <f>IF(preDEL!$AG583,IFERROR(0/0,""),preDEL!AY583)</f>
        <v/>
      </c>
      <c r="AZ583" s="174"/>
      <c r="BA583" s="174"/>
      <c r="BB583" s="174"/>
      <c r="BC583" s="174"/>
      <c r="BD583" s="174"/>
      <c r="BE583" s="174"/>
      <c r="BF583" s="174"/>
      <c r="BG583" s="174"/>
      <c r="BH583" s="174"/>
      <c r="BI583" s="174"/>
      <c r="BJ583" s="174"/>
      <c r="BK583" s="174"/>
      <c r="BL583" s="174"/>
      <c r="BM583" s="174"/>
      <c r="BN583" s="174"/>
      <c r="BO583" s="174"/>
      <c r="BP583" s="174"/>
      <c r="BQ583" s="174"/>
      <c r="BR583" s="174"/>
      <c r="BS583" s="174"/>
      <c r="BT583" s="174"/>
      <c r="BU583" s="174"/>
      <c r="BV583" s="174"/>
      <c r="BW583" s="174"/>
      <c r="BX583" s="174"/>
      <c r="BY583" s="174"/>
      <c r="BZ583" s="174"/>
      <c r="CA583" s="174"/>
      <c r="CB583" s="174"/>
      <c r="CC583" s="174"/>
      <c r="CD583" s="174"/>
    </row>
    <row r="584">
      <c r="A584" s="105" t="str">
        <f>IF(preDEL!$AG584,IFERROR(0/0,""),preDEL!A584)</f>
        <v>MA1240</v>
      </c>
      <c r="B584" s="170">
        <f>IF(preDEL!$AG584,IFERROR(0/0,""),preDEL!B584)</f>
        <v>44617</v>
      </c>
      <c r="C584" s="171">
        <f>IF(preDEL!$AG584,IFERROR(0/0,""),preDEL!C584)</f>
        <v>0.3477430556</v>
      </c>
      <c r="D584" s="105" t="str">
        <f>IF(preDEL!$AG584,IFERROR(0/0,""),preDEL!D584)</f>
        <v/>
      </c>
      <c r="E584" s="105" t="str">
        <f>IF(preDEL!$AG584,IFERROR(0/0,""),preDEL!E584)</f>
        <v/>
      </c>
      <c r="F584" s="112" t="str">
        <f>IF(preDEL!$AG584,IFERROR(0/0,""),preDEL!F584)</f>
        <v/>
      </c>
      <c r="G584" s="112" t="str">
        <f>IF(preDEL!$AG584,IFERROR(0/0,""),preDEL!G584)</f>
        <v/>
      </c>
      <c r="H584" s="112" t="str">
        <f>IF(preDEL!$AG584,IFERROR(0/0,""),preDEL!H584)</f>
        <v/>
      </c>
      <c r="I584" s="105" t="str">
        <f>IF(preDEL!$AG584,IFERROR(0/0,""),preDEL!I584)</f>
        <v/>
      </c>
      <c r="J584" s="105" t="str">
        <f>IF(preDEL!$AG584,IFERROR(0/0,""),preDEL!J584)</f>
        <v/>
      </c>
      <c r="K584" s="105" t="str">
        <f>IF(preDEL!$AG584,IFERROR(0/0,""),preDEL!K584)</f>
        <v>Negative</v>
      </c>
      <c r="L584" s="170">
        <f>IF(preDEL!$AG584,IFERROR(0/0,""),preDEL!L584)</f>
        <v>44617</v>
      </c>
      <c r="M584" s="171">
        <f>IF(preDEL!$AG584,IFERROR(0/0,""),preDEL!M584)</f>
        <v>0.5033796296</v>
      </c>
      <c r="N584" s="112" t="str">
        <f>IF(preDEL!$AG584,IFERROR(0/0,""),preDEL!N584)</f>
        <v/>
      </c>
      <c r="O584" s="112" t="str">
        <f>IF(preDEL!$AG584,IFERROR(0/0,""),preDEL!O584)</f>
        <v/>
      </c>
      <c r="P584" s="110" t="b">
        <f>IF(preDEL!$AG584,IFERROR(0/0,""),preDEL!P584)</f>
        <v>0</v>
      </c>
      <c r="Q584" s="110" t="str">
        <f>IF(preDEL!$AG584,IFERROR(0/0,""),preDEL!Q584)</f>
        <v>Result</v>
      </c>
      <c r="R584" s="104" t="b">
        <f>IF(preDEL!$AG584,IFERROR(0/0,""),preDEL!R584)</f>
        <v>1</v>
      </c>
      <c r="S584" s="104">
        <f>IF(preDEL!$AG584,IFERROR(0/0,""),preDEL!S584)</f>
        <v>1</v>
      </c>
      <c r="T584" s="110">
        <f>IF(preDEL!$AG584,IFERROR(0/0,""),preDEL!T584)</f>
        <v>0</v>
      </c>
      <c r="U584" s="112" t="str">
        <f>IF(preDEL!$AG584,IFERROR(0/0,""),preDEL!U584)</f>
        <v/>
      </c>
      <c r="V584" s="105" t="str">
        <f>IF(preDEL!$AG584,IFERROR(0/0,""),preDEL!V584)</f>
        <v/>
      </c>
      <c r="W584" s="112" t="str">
        <f>IF(preDEL!$AG584,IFERROR(0/0,""),preDEL!W584)</f>
        <v/>
      </c>
      <c r="X584" s="104" t="b">
        <f>IF(preDEL!$AG584,IFERROR(0/0,""),preDEL!X584)</f>
        <v>0</v>
      </c>
      <c r="Y584" s="110" t="b">
        <f>IF(preDEL!$AG584,IFERROR(0/0,""),preDEL!Y584)</f>
        <v>0</v>
      </c>
      <c r="Z584" s="105" t="str">
        <f>IF(preDEL!$AG584,IFERROR(0/0,""),preDEL!Z584)</f>
        <v/>
      </c>
      <c r="AA584" s="110" t="b">
        <f>IF(preDEL!$AG584,IFERROR(0/0,""),preDEL!AA584)</f>
        <v>0</v>
      </c>
      <c r="AB584" s="110" t="b">
        <f>IF(preDEL!$AG584,IFERROR(0/0,""),preDEL!AB584)</f>
        <v>0</v>
      </c>
      <c r="AC584" s="172">
        <f>IF(preDEL!$AG584,IFERROR(0/0,""),preDEL!AC584)</f>
        <v>230</v>
      </c>
      <c r="AD584" s="104" t="b">
        <f>IF(preDEL!$AG584,IFERROR(0/0,""),preDEL!AD584)</f>
        <v>0</v>
      </c>
      <c r="AE584" s="173">
        <f>IF(preDEL!$AG584,IFERROR(0/0,""),preDEL!AE584)</f>
        <v>224.1166667</v>
      </c>
      <c r="AF584" s="110" t="b">
        <f>IF(preDEL!$AG584,IFERROR(0/0,""),preDEL!AF584)</f>
        <v>0</v>
      </c>
      <c r="AG584" s="110" t="b">
        <f>IF(preDEL!$AG584,IFERROR(0/0,""),preDEL!AG584)</f>
        <v>0</v>
      </c>
      <c r="AH584" s="104" t="str">
        <f>IF(preDEL!$AG584,IFERROR(0/0,""),preDEL!AH584)</f>
        <v/>
      </c>
      <c r="AI584" s="105" t="str">
        <f>IF(preDEL!$AG584,IFERROR(0/0,""),preDEL!AI584)</f>
        <v/>
      </c>
      <c r="AJ584" s="112" t="str">
        <f>IF(preDEL!$AG584,IFERROR(0/0,""),preDEL!AJ584)</f>
        <v/>
      </c>
      <c r="AK584" s="105" t="str">
        <f>IF(preDEL!$AG584,IFERROR(0/0,""),preDEL!AK584)</f>
        <v>Negative</v>
      </c>
      <c r="AL584" s="112" t="str">
        <f>IF(preDEL!$AG584,IFERROR(0/0,""),preDEL!AL584)</f>
        <v/>
      </c>
      <c r="AM584" s="112" t="str">
        <f>IF(preDEL!$AG584,IFERROR(0/0,""),preDEL!AM584)</f>
        <v>SpBEND967817</v>
      </c>
      <c r="AN584" s="112" t="str">
        <f>IF(preDEL!$AG584,IFERROR(0/0,""),preDEL!AN584)</f>
        <v>BEND342488</v>
      </c>
      <c r="AO584" s="112" t="str">
        <f>IF(preDEL!$AG584,IFERROR(0/0,""),preDEL!AO584)</f>
        <v/>
      </c>
      <c r="AP584" s="112" t="str">
        <f>IF(preDEL!$AG584,IFERROR(0/0,""),preDEL!AP584)</f>
        <v/>
      </c>
      <c r="AQ584" s="112" t="str">
        <f>IF(preDEL!$AG584,IFERROR(0/0,""),preDEL!AQ584)</f>
        <v/>
      </c>
      <c r="AR584" s="112" t="str">
        <f>IF(preDEL!$AG584,IFERROR(0/0,""),preDEL!AR584)</f>
        <v/>
      </c>
      <c r="AS584" s="112" t="str">
        <f>IF(preDEL!$AG584,IFERROR(0/0,""),preDEL!AS584)</f>
        <v/>
      </c>
      <c r="AT584" s="112" t="b">
        <f>IF(preDEL!$AG584,IFERROR(0/0,""),preDEL!AT584)</f>
        <v>0</v>
      </c>
      <c r="AU584" s="112" t="str">
        <f>IF(preDEL!$AG584,IFERROR(0/0,""),preDEL!AU584)</f>
        <v/>
      </c>
      <c r="AV584" s="112" t="str">
        <f>IF(preDEL!$AG584,IFERROR(0/0,""),preDEL!AV584)</f>
        <v/>
      </c>
      <c r="AW584" s="112" t="str">
        <f>IF(preDEL!$AG584,IFERROR(0/0,""),preDEL!AW584)</f>
        <v/>
      </c>
      <c r="AX584" s="112" t="str">
        <f>IF(preDEL!$AG584,IFERROR(0/0,""),preDEL!AX584)</f>
        <v/>
      </c>
      <c r="AY584" s="112" t="str">
        <f>IF(preDEL!$AG584,IFERROR(0/0,""),preDEL!AY584)</f>
        <v/>
      </c>
      <c r="AZ584" s="174"/>
      <c r="BA584" s="174"/>
      <c r="BB584" s="174"/>
      <c r="BC584" s="174"/>
      <c r="BD584" s="174"/>
      <c r="BE584" s="174"/>
      <c r="BF584" s="174"/>
      <c r="BG584" s="174"/>
      <c r="BH584" s="174"/>
      <c r="BI584" s="174"/>
      <c r="BJ584" s="174"/>
      <c r="BK584" s="174"/>
      <c r="BL584" s="174"/>
      <c r="BM584" s="174"/>
      <c r="BN584" s="174"/>
      <c r="BO584" s="174"/>
      <c r="BP584" s="174"/>
      <c r="BQ584" s="174"/>
      <c r="BR584" s="174"/>
      <c r="BS584" s="174"/>
      <c r="BT584" s="174"/>
      <c r="BU584" s="174"/>
      <c r="BV584" s="174"/>
      <c r="BW584" s="174"/>
      <c r="BX584" s="174"/>
      <c r="BY584" s="174"/>
      <c r="BZ584" s="174"/>
      <c r="CA584" s="174"/>
      <c r="CB584" s="174"/>
      <c r="CC584" s="174"/>
      <c r="CD584" s="174"/>
    </row>
    <row r="585">
      <c r="A585" s="105" t="str">
        <f>IF(preDEL!$AG585,IFERROR(0/0,""),preDEL!A585)</f>
        <v>MA298</v>
      </c>
      <c r="B585" s="170">
        <f>IF(preDEL!$AG585,IFERROR(0/0,""),preDEL!B585)</f>
        <v>44617</v>
      </c>
      <c r="C585" s="171">
        <f>IF(preDEL!$AG585,IFERROR(0/0,""),preDEL!C585)</f>
        <v>0.3486342593</v>
      </c>
      <c r="D585" s="105" t="str">
        <f>IF(preDEL!$AG585,IFERROR(0/0,""),preDEL!D585)</f>
        <v/>
      </c>
      <c r="E585" s="105" t="str">
        <f>IF(preDEL!$AG585,IFERROR(0/0,""),preDEL!E585)</f>
        <v/>
      </c>
      <c r="F585" s="112" t="str">
        <f>IF(preDEL!$AG585,IFERROR(0/0,""),preDEL!F585)</f>
        <v/>
      </c>
      <c r="G585" s="112" t="str">
        <f>IF(preDEL!$AG585,IFERROR(0/0,""),preDEL!G585)</f>
        <v/>
      </c>
      <c r="H585" s="112" t="str">
        <f>IF(preDEL!$AG585,IFERROR(0/0,""),preDEL!H585)</f>
        <v/>
      </c>
      <c r="I585" s="105" t="str">
        <f>IF(preDEL!$AG585,IFERROR(0/0,""),preDEL!I585)</f>
        <v/>
      </c>
      <c r="J585" s="105" t="str">
        <f>IF(preDEL!$AG585,IFERROR(0/0,""),preDEL!J585)</f>
        <v/>
      </c>
      <c r="K585" s="105" t="str">
        <f>IF(preDEL!$AG585,IFERROR(0/0,""),preDEL!K585)</f>
        <v>Negative</v>
      </c>
      <c r="L585" s="170">
        <f>IF(preDEL!$AG585,IFERROR(0/0,""),preDEL!L585)</f>
        <v>44617</v>
      </c>
      <c r="M585" s="171">
        <f>IF(preDEL!$AG585,IFERROR(0/0,""),preDEL!M585)</f>
        <v>0.5033796296</v>
      </c>
      <c r="N585" s="112" t="str">
        <f>IF(preDEL!$AG585,IFERROR(0/0,""),preDEL!N585)</f>
        <v/>
      </c>
      <c r="O585" s="112" t="str">
        <f>IF(preDEL!$AG585,IFERROR(0/0,""),preDEL!O585)</f>
        <v/>
      </c>
      <c r="P585" s="110" t="b">
        <f>IF(preDEL!$AG585,IFERROR(0/0,""),preDEL!P585)</f>
        <v>0</v>
      </c>
      <c r="Q585" s="110" t="str">
        <f>IF(preDEL!$AG585,IFERROR(0/0,""),preDEL!Q585)</f>
        <v>Result</v>
      </c>
      <c r="R585" s="104" t="b">
        <f>IF(preDEL!$AG585,IFERROR(0/0,""),preDEL!R585)</f>
        <v>1</v>
      </c>
      <c r="S585" s="104">
        <f>IF(preDEL!$AG585,IFERROR(0/0,""),preDEL!S585)</f>
        <v>1</v>
      </c>
      <c r="T585" s="110" t="str">
        <f>IF(preDEL!$AG585,IFERROR(0/0,""),preDEL!T585)</f>
        <v/>
      </c>
      <c r="U585" s="112" t="str">
        <f>IF(preDEL!$AG585,IFERROR(0/0,""),preDEL!U585)</f>
        <v/>
      </c>
      <c r="V585" s="105" t="str">
        <f>IF(preDEL!$AG585,IFERROR(0/0,""),preDEL!V585)</f>
        <v/>
      </c>
      <c r="W585" s="112" t="str">
        <f>IF(preDEL!$AG585,IFERROR(0/0,""),preDEL!W585)</f>
        <v/>
      </c>
      <c r="X585" s="104" t="b">
        <f>IF(preDEL!$AG585,IFERROR(0/0,""),preDEL!X585)</f>
        <v>0</v>
      </c>
      <c r="Y585" s="110" t="b">
        <f>IF(preDEL!$AG585,IFERROR(0/0,""),preDEL!Y585)</f>
        <v>0</v>
      </c>
      <c r="Z585" s="105" t="str">
        <f>IF(preDEL!$AG585,IFERROR(0/0,""),preDEL!Z585)</f>
        <v/>
      </c>
      <c r="AA585" s="110" t="b">
        <f>IF(preDEL!$AG585,IFERROR(0/0,""),preDEL!AA585)</f>
        <v>0</v>
      </c>
      <c r="AB585" s="110" t="b">
        <f>IF(preDEL!$AG585,IFERROR(0/0,""),preDEL!AB585)</f>
        <v>0</v>
      </c>
      <c r="AC585" s="172">
        <f>IF(preDEL!$AG585,IFERROR(0/0,""),preDEL!AC585)</f>
        <v>229</v>
      </c>
      <c r="AD585" s="104" t="b">
        <f>IF(preDEL!$AG585,IFERROR(0/0,""),preDEL!AD585)</f>
        <v>0</v>
      </c>
      <c r="AE585" s="173">
        <f>IF(preDEL!$AG585,IFERROR(0/0,""),preDEL!AE585)</f>
        <v>222.8333333</v>
      </c>
      <c r="AF585" s="110" t="b">
        <f>IF(preDEL!$AG585,IFERROR(0/0,""),preDEL!AF585)</f>
        <v>0</v>
      </c>
      <c r="AG585" s="110" t="b">
        <f>IF(preDEL!$AG585,IFERROR(0/0,""),preDEL!AG585)</f>
        <v>0</v>
      </c>
      <c r="AH585" s="104" t="str">
        <f>IF(preDEL!$AG585,IFERROR(0/0,""),preDEL!AH585)</f>
        <v/>
      </c>
      <c r="AI585" s="105" t="str">
        <f>IF(preDEL!$AG585,IFERROR(0/0,""),preDEL!AI585)</f>
        <v/>
      </c>
      <c r="AJ585" s="112" t="str">
        <f>IF(preDEL!$AG585,IFERROR(0/0,""),preDEL!AJ585)</f>
        <v/>
      </c>
      <c r="AK585" s="105" t="str">
        <f>IF(preDEL!$AG585,IFERROR(0/0,""),preDEL!AK585)</f>
        <v>Negative</v>
      </c>
      <c r="AL585" s="112" t="str">
        <f>IF(preDEL!$AG585,IFERROR(0/0,""),preDEL!AL585)</f>
        <v/>
      </c>
      <c r="AM585" s="112" t="str">
        <f>IF(preDEL!$AG585,IFERROR(0/0,""),preDEL!AM585)</f>
        <v>SpBEND967817</v>
      </c>
      <c r="AN585" s="112" t="str">
        <f>IF(preDEL!$AG585,IFERROR(0/0,""),preDEL!AN585)</f>
        <v>BEND525341</v>
      </c>
      <c r="AO585" s="112" t="str">
        <f>IF(preDEL!$AG585,IFERROR(0/0,""),preDEL!AO585)</f>
        <v/>
      </c>
      <c r="AP585" s="112" t="str">
        <f>IF(preDEL!$AG585,IFERROR(0/0,""),preDEL!AP585)</f>
        <v/>
      </c>
      <c r="AQ585" s="112" t="str">
        <f>IF(preDEL!$AG585,IFERROR(0/0,""),preDEL!AQ585)</f>
        <v/>
      </c>
      <c r="AR585" s="112" t="str">
        <f>IF(preDEL!$AG585,IFERROR(0/0,""),preDEL!AR585)</f>
        <v/>
      </c>
      <c r="AS585" s="112" t="str">
        <f>IF(preDEL!$AG585,IFERROR(0/0,""),preDEL!AS585)</f>
        <v/>
      </c>
      <c r="AT585" s="112" t="b">
        <f>IF(preDEL!$AG585,IFERROR(0/0,""),preDEL!AT585)</f>
        <v>0</v>
      </c>
      <c r="AU585" s="112" t="str">
        <f>IF(preDEL!$AG585,IFERROR(0/0,""),preDEL!AU585)</f>
        <v/>
      </c>
      <c r="AV585" s="112" t="str">
        <f>IF(preDEL!$AG585,IFERROR(0/0,""),preDEL!AV585)</f>
        <v/>
      </c>
      <c r="AW585" s="112" t="str">
        <f>IF(preDEL!$AG585,IFERROR(0/0,""),preDEL!AW585)</f>
        <v/>
      </c>
      <c r="AX585" s="112" t="str">
        <f>IF(preDEL!$AG585,IFERROR(0/0,""),preDEL!AX585)</f>
        <v/>
      </c>
      <c r="AY585" s="112" t="str">
        <f>IF(preDEL!$AG585,IFERROR(0/0,""),preDEL!AY585)</f>
        <v/>
      </c>
      <c r="AZ585" s="174"/>
      <c r="BA585" s="174"/>
      <c r="BB585" s="174"/>
      <c r="BC585" s="174"/>
      <c r="BD585" s="174"/>
      <c r="BE585" s="174"/>
      <c r="BF585" s="174"/>
      <c r="BG585" s="174"/>
      <c r="BH585" s="174"/>
      <c r="BI585" s="174"/>
      <c r="BJ585" s="174"/>
      <c r="BK585" s="174"/>
      <c r="BL585" s="174"/>
      <c r="BM585" s="174"/>
      <c r="BN585" s="174"/>
      <c r="BO585" s="174"/>
      <c r="BP585" s="174"/>
      <c r="BQ585" s="174"/>
      <c r="BR585" s="174"/>
      <c r="BS585" s="174"/>
      <c r="BT585" s="174"/>
      <c r="BU585" s="174"/>
      <c r="BV585" s="174"/>
      <c r="BW585" s="174"/>
      <c r="BX585" s="174"/>
      <c r="BY585" s="174"/>
      <c r="BZ585" s="174"/>
      <c r="CA585" s="174"/>
      <c r="CB585" s="174"/>
      <c r="CC585" s="174"/>
      <c r="CD585" s="174"/>
    </row>
    <row r="586">
      <c r="A586" s="105" t="str">
        <f>IF(preDEL!$AG586,IFERROR(0/0,""),preDEL!A586)</f>
        <v>MA186</v>
      </c>
      <c r="B586" s="170">
        <f>IF(preDEL!$AG586,IFERROR(0/0,""),preDEL!B586)</f>
        <v>44617</v>
      </c>
      <c r="C586" s="171">
        <f>IF(preDEL!$AG586,IFERROR(0/0,""),preDEL!C586)</f>
        <v>0.3496412037</v>
      </c>
      <c r="D586" s="105" t="str">
        <f>IF(preDEL!$AG586,IFERROR(0/0,""),preDEL!D586)</f>
        <v/>
      </c>
      <c r="E586" s="105" t="str">
        <f>IF(preDEL!$AG586,IFERROR(0/0,""),preDEL!E586)</f>
        <v/>
      </c>
      <c r="F586" s="112" t="str">
        <f>IF(preDEL!$AG586,IFERROR(0/0,""),preDEL!F586)</f>
        <v/>
      </c>
      <c r="G586" s="112" t="str">
        <f>IF(preDEL!$AG586,IFERROR(0/0,""),preDEL!G586)</f>
        <v/>
      </c>
      <c r="H586" s="112" t="str">
        <f>IF(preDEL!$AG586,IFERROR(0/0,""),preDEL!H586)</f>
        <v/>
      </c>
      <c r="I586" s="105" t="str">
        <f>IF(preDEL!$AG586,IFERROR(0/0,""),preDEL!I586)</f>
        <v/>
      </c>
      <c r="J586" s="105" t="str">
        <f>IF(preDEL!$AG586,IFERROR(0/0,""),preDEL!J586)</f>
        <v/>
      </c>
      <c r="K586" s="105" t="str">
        <f>IF(preDEL!$AG586,IFERROR(0/0,""),preDEL!K586)</f>
        <v>Negative</v>
      </c>
      <c r="L586" s="170">
        <f>IF(preDEL!$AG586,IFERROR(0/0,""),preDEL!L586)</f>
        <v>44617</v>
      </c>
      <c r="M586" s="171">
        <f>IF(preDEL!$AG586,IFERROR(0/0,""),preDEL!M586)</f>
        <v>0.5033796296</v>
      </c>
      <c r="N586" s="112" t="str">
        <f>IF(preDEL!$AG586,IFERROR(0/0,""),preDEL!N586)</f>
        <v/>
      </c>
      <c r="O586" s="112" t="str">
        <f>IF(preDEL!$AG586,IFERROR(0/0,""),preDEL!O586)</f>
        <v/>
      </c>
      <c r="P586" s="110" t="b">
        <f>IF(preDEL!$AG586,IFERROR(0/0,""),preDEL!P586)</f>
        <v>0</v>
      </c>
      <c r="Q586" s="110" t="str">
        <f>IF(preDEL!$AG586,IFERROR(0/0,""),preDEL!Q586)</f>
        <v>Result</v>
      </c>
      <c r="R586" s="104" t="b">
        <f>IF(preDEL!$AG586,IFERROR(0/0,""),preDEL!R586)</f>
        <v>1</v>
      </c>
      <c r="S586" s="104">
        <f>IF(preDEL!$AG586,IFERROR(0/0,""),preDEL!S586)</f>
        <v>1</v>
      </c>
      <c r="T586" s="110">
        <f>IF(preDEL!$AG586,IFERROR(0/0,""),preDEL!T586)</f>
        <v>0</v>
      </c>
      <c r="U586" s="112" t="str">
        <f>IF(preDEL!$AG586,IFERROR(0/0,""),preDEL!U586)</f>
        <v/>
      </c>
      <c r="V586" s="105" t="str">
        <f>IF(preDEL!$AG586,IFERROR(0/0,""),preDEL!V586)</f>
        <v/>
      </c>
      <c r="W586" s="112" t="str">
        <f>IF(preDEL!$AG586,IFERROR(0/0,""),preDEL!W586)</f>
        <v/>
      </c>
      <c r="X586" s="104" t="b">
        <f>IF(preDEL!$AG586,IFERROR(0/0,""),preDEL!X586)</f>
        <v>0</v>
      </c>
      <c r="Y586" s="110" t="b">
        <f>IF(preDEL!$AG586,IFERROR(0/0,""),preDEL!Y586)</f>
        <v>0</v>
      </c>
      <c r="Z586" s="105" t="str">
        <f>IF(preDEL!$AG586,IFERROR(0/0,""),preDEL!Z586)</f>
        <v/>
      </c>
      <c r="AA586" s="110" t="b">
        <f>IF(preDEL!$AG586,IFERROR(0/0,""),preDEL!AA586)</f>
        <v>0</v>
      </c>
      <c r="AB586" s="110" t="b">
        <f>IF(preDEL!$AG586,IFERROR(0/0,""),preDEL!AB586)</f>
        <v>0</v>
      </c>
      <c r="AC586" s="172">
        <f>IF(preDEL!$AG586,IFERROR(0/0,""),preDEL!AC586)</f>
        <v>228</v>
      </c>
      <c r="AD586" s="104" t="b">
        <f>IF(preDEL!$AG586,IFERROR(0/0,""),preDEL!AD586)</f>
        <v>0</v>
      </c>
      <c r="AE586" s="173">
        <f>IF(preDEL!$AG586,IFERROR(0/0,""),preDEL!AE586)</f>
        <v>221.3833333</v>
      </c>
      <c r="AF586" s="110" t="b">
        <f>IF(preDEL!$AG586,IFERROR(0/0,""),preDEL!AF586)</f>
        <v>0</v>
      </c>
      <c r="AG586" s="110" t="b">
        <f>IF(preDEL!$AG586,IFERROR(0/0,""),preDEL!AG586)</f>
        <v>0</v>
      </c>
      <c r="AH586" s="104" t="str">
        <f>IF(preDEL!$AG586,IFERROR(0/0,""),preDEL!AH586)</f>
        <v/>
      </c>
      <c r="AI586" s="105" t="str">
        <f>IF(preDEL!$AG586,IFERROR(0/0,""),preDEL!AI586)</f>
        <v/>
      </c>
      <c r="AJ586" s="112" t="str">
        <f>IF(preDEL!$AG586,IFERROR(0/0,""),preDEL!AJ586)</f>
        <v/>
      </c>
      <c r="AK586" s="105" t="str">
        <f>IF(preDEL!$AG586,IFERROR(0/0,""),preDEL!AK586)</f>
        <v>Negative</v>
      </c>
      <c r="AL586" s="112" t="str">
        <f>IF(preDEL!$AG586,IFERROR(0/0,""),preDEL!AL586)</f>
        <v/>
      </c>
      <c r="AM586" s="112" t="str">
        <f>IF(preDEL!$AG586,IFERROR(0/0,""),preDEL!AM586)</f>
        <v>SpBEND967817</v>
      </c>
      <c r="AN586" s="112" t="str">
        <f>IF(preDEL!$AG586,IFERROR(0/0,""),preDEL!AN586)</f>
        <v>BEND901889</v>
      </c>
      <c r="AO586" s="112" t="str">
        <f>IF(preDEL!$AG586,IFERROR(0/0,""),preDEL!AO586)</f>
        <v/>
      </c>
      <c r="AP586" s="112" t="str">
        <f>IF(preDEL!$AG586,IFERROR(0/0,""),preDEL!AP586)</f>
        <v/>
      </c>
      <c r="AQ586" s="112" t="str">
        <f>IF(preDEL!$AG586,IFERROR(0/0,""),preDEL!AQ586)</f>
        <v/>
      </c>
      <c r="AR586" s="112" t="str">
        <f>IF(preDEL!$AG586,IFERROR(0/0,""),preDEL!AR586)</f>
        <v/>
      </c>
      <c r="AS586" s="112" t="str">
        <f>IF(preDEL!$AG586,IFERROR(0/0,""),preDEL!AS586)</f>
        <v/>
      </c>
      <c r="AT586" s="112" t="b">
        <f>IF(preDEL!$AG586,IFERROR(0/0,""),preDEL!AT586)</f>
        <v>0</v>
      </c>
      <c r="AU586" s="112" t="str">
        <f>IF(preDEL!$AG586,IFERROR(0/0,""),preDEL!AU586)</f>
        <v/>
      </c>
      <c r="AV586" s="112" t="str">
        <f>IF(preDEL!$AG586,IFERROR(0/0,""),preDEL!AV586)</f>
        <v/>
      </c>
      <c r="AW586" s="112" t="str">
        <f>IF(preDEL!$AG586,IFERROR(0/0,""),preDEL!AW586)</f>
        <v/>
      </c>
      <c r="AX586" s="112" t="str">
        <f>IF(preDEL!$AG586,IFERROR(0/0,""),preDEL!AX586)</f>
        <v/>
      </c>
      <c r="AY586" s="112" t="str">
        <f>IF(preDEL!$AG586,IFERROR(0/0,""),preDEL!AY586)</f>
        <v/>
      </c>
      <c r="AZ586" s="174"/>
      <c r="BA586" s="174"/>
      <c r="BB586" s="174"/>
      <c r="BC586" s="174"/>
      <c r="BD586" s="174"/>
      <c r="BE586" s="174"/>
      <c r="BF586" s="174"/>
      <c r="BG586" s="174"/>
      <c r="BH586" s="174"/>
      <c r="BI586" s="174"/>
      <c r="BJ586" s="174"/>
      <c r="BK586" s="174"/>
      <c r="BL586" s="174"/>
      <c r="BM586" s="174"/>
      <c r="BN586" s="174"/>
      <c r="BO586" s="174"/>
      <c r="BP586" s="174"/>
      <c r="BQ586" s="174"/>
      <c r="BR586" s="174"/>
      <c r="BS586" s="174"/>
      <c r="BT586" s="174"/>
      <c r="BU586" s="174"/>
      <c r="BV586" s="174"/>
      <c r="BW586" s="174"/>
      <c r="BX586" s="174"/>
      <c r="BY586" s="174"/>
      <c r="BZ586" s="174"/>
      <c r="CA586" s="174"/>
      <c r="CB586" s="174"/>
      <c r="CC586" s="174"/>
      <c r="CD586" s="174"/>
    </row>
    <row r="587">
      <c r="A587" s="105" t="str">
        <f>IF(preDEL!$AG587,IFERROR(0/0,""),preDEL!A587)</f>
        <v>MA1276</v>
      </c>
      <c r="B587" s="170">
        <f>IF(preDEL!$AG587,IFERROR(0/0,""),preDEL!B587)</f>
        <v>44617</v>
      </c>
      <c r="C587" s="171">
        <f>IF(preDEL!$AG587,IFERROR(0/0,""),preDEL!C587)</f>
        <v>0.4188888889</v>
      </c>
      <c r="D587" s="105" t="str">
        <f>IF(preDEL!$AG587,IFERROR(0/0,""),preDEL!D587)</f>
        <v/>
      </c>
      <c r="E587" s="105" t="str">
        <f>IF(preDEL!$AG587,IFERROR(0/0,""),preDEL!E587)</f>
        <v/>
      </c>
      <c r="F587" s="112" t="str">
        <f>IF(preDEL!$AG587,IFERROR(0/0,""),preDEL!F587)</f>
        <v/>
      </c>
      <c r="G587" s="112" t="str">
        <f>IF(preDEL!$AG587,IFERROR(0/0,""),preDEL!G587)</f>
        <v/>
      </c>
      <c r="H587" s="112" t="str">
        <f>IF(preDEL!$AG587,IFERROR(0/0,""),preDEL!H587)</f>
        <v/>
      </c>
      <c r="I587" s="105" t="str">
        <f>IF(preDEL!$AG587,IFERROR(0/0,""),preDEL!I587)</f>
        <v/>
      </c>
      <c r="J587" s="105" t="str">
        <f>IF(preDEL!$AG587,IFERROR(0/0,""),preDEL!J587)</f>
        <v/>
      </c>
      <c r="K587" s="105" t="str">
        <f>IF(preDEL!$AG587,IFERROR(0/0,""),preDEL!K587)</f>
        <v>Negative</v>
      </c>
      <c r="L587" s="170">
        <f>IF(preDEL!$AG587,IFERROR(0/0,""),preDEL!L587)</f>
        <v>44617</v>
      </c>
      <c r="M587" s="171">
        <f>IF(preDEL!$AG587,IFERROR(0/0,""),preDEL!M587)</f>
        <v>0.5033912037</v>
      </c>
      <c r="N587" s="112" t="str">
        <f>IF(preDEL!$AG587,IFERROR(0/0,""),preDEL!N587)</f>
        <v/>
      </c>
      <c r="O587" s="112" t="str">
        <f>IF(preDEL!$AG587,IFERROR(0/0,""),preDEL!O587)</f>
        <v/>
      </c>
      <c r="P587" s="110" t="b">
        <f>IF(preDEL!$AG587,IFERROR(0/0,""),preDEL!P587)</f>
        <v>0</v>
      </c>
      <c r="Q587" s="110" t="str">
        <f>IF(preDEL!$AG587,IFERROR(0/0,""),preDEL!Q587)</f>
        <v>Result</v>
      </c>
      <c r="R587" s="104" t="b">
        <f>IF(preDEL!$AG587,IFERROR(0/0,""),preDEL!R587)</f>
        <v>1</v>
      </c>
      <c r="S587" s="104">
        <f>IF(preDEL!$AG587,IFERROR(0/0,""),preDEL!S587)</f>
        <v>1</v>
      </c>
      <c r="T587" s="110" t="str">
        <f>IF(preDEL!$AG587,IFERROR(0/0,""),preDEL!T587)</f>
        <v/>
      </c>
      <c r="U587" s="112" t="str">
        <f>IF(preDEL!$AG587,IFERROR(0/0,""),preDEL!U587)</f>
        <v/>
      </c>
      <c r="V587" s="105" t="str">
        <f>IF(preDEL!$AG587,IFERROR(0/0,""),preDEL!V587)</f>
        <v/>
      </c>
      <c r="W587" s="112" t="str">
        <f>IF(preDEL!$AG587,IFERROR(0/0,""),preDEL!W587)</f>
        <v/>
      </c>
      <c r="X587" s="104" t="b">
        <f>IF(preDEL!$AG587,IFERROR(0/0,""),preDEL!X587)</f>
        <v>0</v>
      </c>
      <c r="Y587" s="110" t="b">
        <f>IF(preDEL!$AG587,IFERROR(0/0,""),preDEL!Y587)</f>
        <v>0</v>
      </c>
      <c r="Z587" s="105" t="str">
        <f>IF(preDEL!$AG587,IFERROR(0/0,""),preDEL!Z587)</f>
        <v/>
      </c>
      <c r="AA587" s="110" t="b">
        <f>IF(preDEL!$AG587,IFERROR(0/0,""),preDEL!AA587)</f>
        <v>0</v>
      </c>
      <c r="AB587" s="110" t="b">
        <f>IF(preDEL!$AG587,IFERROR(0/0,""),preDEL!AB587)</f>
        <v>0</v>
      </c>
      <c r="AC587" s="172">
        <f>IF(preDEL!$AG587,IFERROR(0/0,""),preDEL!AC587)</f>
        <v>227</v>
      </c>
      <c r="AD587" s="104" t="b">
        <f>IF(preDEL!$AG587,IFERROR(0/0,""),preDEL!AD587)</f>
        <v>0</v>
      </c>
      <c r="AE587" s="173">
        <f>IF(preDEL!$AG587,IFERROR(0/0,""),preDEL!AE587)</f>
        <v>121.6833333</v>
      </c>
      <c r="AF587" s="110" t="b">
        <f>IF(preDEL!$AG587,IFERROR(0/0,""),preDEL!AF587)</f>
        <v>0</v>
      </c>
      <c r="AG587" s="110" t="b">
        <f>IF(preDEL!$AG587,IFERROR(0/0,""),preDEL!AG587)</f>
        <v>0</v>
      </c>
      <c r="AH587" s="104" t="str">
        <f>IF(preDEL!$AG587,IFERROR(0/0,""),preDEL!AH587)</f>
        <v/>
      </c>
      <c r="AI587" s="105" t="str">
        <f>IF(preDEL!$AG587,IFERROR(0/0,""),preDEL!AI587)</f>
        <v/>
      </c>
      <c r="AJ587" s="112" t="str">
        <f>IF(preDEL!$AG587,IFERROR(0/0,""),preDEL!AJ587)</f>
        <v/>
      </c>
      <c r="AK587" s="105" t="str">
        <f>IF(preDEL!$AG587,IFERROR(0/0,""),preDEL!AK587)</f>
        <v>Negative</v>
      </c>
      <c r="AL587" s="112" t="str">
        <f>IF(preDEL!$AG587,IFERROR(0/0,""),preDEL!AL587)</f>
        <v/>
      </c>
      <c r="AM587" s="112" t="str">
        <f>IF(preDEL!$AG587,IFERROR(0/0,""),preDEL!AM587)</f>
        <v>SpBEND394154</v>
      </c>
      <c r="AN587" s="112" t="str">
        <f>IF(preDEL!$AG587,IFERROR(0/0,""),preDEL!AN587)</f>
        <v>BEND190541</v>
      </c>
      <c r="AO587" s="112" t="str">
        <f>IF(preDEL!$AG587,IFERROR(0/0,""),preDEL!AO587)</f>
        <v/>
      </c>
      <c r="AP587" s="112" t="str">
        <f>IF(preDEL!$AG587,IFERROR(0/0,""),preDEL!AP587)</f>
        <v/>
      </c>
      <c r="AQ587" s="112" t="str">
        <f>IF(preDEL!$AG587,IFERROR(0/0,""),preDEL!AQ587)</f>
        <v/>
      </c>
      <c r="AR587" s="112" t="str">
        <f>IF(preDEL!$AG587,IFERROR(0/0,""),preDEL!AR587)</f>
        <v/>
      </c>
      <c r="AS587" s="112" t="str">
        <f>IF(preDEL!$AG587,IFERROR(0/0,""),preDEL!AS587)</f>
        <v/>
      </c>
      <c r="AT587" s="112" t="b">
        <f>IF(preDEL!$AG587,IFERROR(0/0,""),preDEL!AT587)</f>
        <v>0</v>
      </c>
      <c r="AU587" s="112" t="str">
        <f>IF(preDEL!$AG587,IFERROR(0/0,""),preDEL!AU587)</f>
        <v/>
      </c>
      <c r="AV587" s="112" t="str">
        <f>IF(preDEL!$AG587,IFERROR(0/0,""),preDEL!AV587)</f>
        <v/>
      </c>
      <c r="AW587" s="112" t="str">
        <f>IF(preDEL!$AG587,IFERROR(0/0,""),preDEL!AW587)</f>
        <v/>
      </c>
      <c r="AX587" s="112" t="str">
        <f>IF(preDEL!$AG587,IFERROR(0/0,""),preDEL!AX587)</f>
        <v/>
      </c>
      <c r="AY587" s="112" t="str">
        <f>IF(preDEL!$AG587,IFERROR(0/0,""),preDEL!AY587)</f>
        <v/>
      </c>
      <c r="AZ587" s="174"/>
      <c r="BA587" s="174"/>
      <c r="BB587" s="174"/>
      <c r="BC587" s="174"/>
      <c r="BD587" s="174"/>
      <c r="BE587" s="174"/>
      <c r="BF587" s="174"/>
      <c r="BG587" s="174"/>
      <c r="BH587" s="174"/>
      <c r="BI587" s="174"/>
      <c r="BJ587" s="174"/>
      <c r="BK587" s="174"/>
      <c r="BL587" s="174"/>
      <c r="BM587" s="174"/>
      <c r="BN587" s="174"/>
      <c r="BO587" s="174"/>
      <c r="BP587" s="174"/>
      <c r="BQ587" s="174"/>
      <c r="BR587" s="174"/>
      <c r="BS587" s="174"/>
      <c r="BT587" s="174"/>
      <c r="BU587" s="174"/>
      <c r="BV587" s="174"/>
      <c r="BW587" s="174"/>
      <c r="BX587" s="174"/>
      <c r="BY587" s="174"/>
      <c r="BZ587" s="174"/>
      <c r="CA587" s="174"/>
      <c r="CB587" s="174"/>
      <c r="CC587" s="174"/>
      <c r="CD587" s="174"/>
    </row>
    <row r="588">
      <c r="A588" s="105" t="str">
        <f>IF(preDEL!$AG588,IFERROR(0/0,""),preDEL!A588)</f>
        <v>FM454</v>
      </c>
      <c r="B588" s="170">
        <f>IF(preDEL!$AG588,IFERROR(0/0,""),preDEL!B588)</f>
        <v>44619</v>
      </c>
      <c r="C588" s="171">
        <f>IF(preDEL!$AG588,IFERROR(0/0,""),preDEL!C588)</f>
        <v>0.2622916667</v>
      </c>
      <c r="D588" s="105" t="str">
        <f>IF(preDEL!$AG588,IFERROR(0/0,""),preDEL!D588)</f>
        <v/>
      </c>
      <c r="E588" s="105" t="str">
        <f>IF(preDEL!$AG588,IFERROR(0/0,""),preDEL!E588)</f>
        <v/>
      </c>
      <c r="F588" s="112" t="str">
        <f>IF(preDEL!$AG588,IFERROR(0/0,""),preDEL!F588)</f>
        <v/>
      </c>
      <c r="G588" s="112" t="str">
        <f>IF(preDEL!$AG588,IFERROR(0/0,""),preDEL!G588)</f>
        <v/>
      </c>
      <c r="H588" s="112" t="str">
        <f>IF(preDEL!$AG588,IFERROR(0/0,""),preDEL!H588)</f>
        <v/>
      </c>
      <c r="I588" s="105" t="str">
        <f>IF(preDEL!$AG588,IFERROR(0/0,""),preDEL!I588)</f>
        <v/>
      </c>
      <c r="J588" s="105" t="str">
        <f>IF(preDEL!$AG588,IFERROR(0/0,""),preDEL!J588)</f>
        <v/>
      </c>
      <c r="K588" s="105" t="str">
        <f>IF(preDEL!$AG588,IFERROR(0/0,""),preDEL!K588)</f>
        <v>Negative</v>
      </c>
      <c r="L588" s="170">
        <f>IF(preDEL!$AG588,IFERROR(0/0,""),preDEL!L588)</f>
        <v>44621</v>
      </c>
      <c r="M588" s="171">
        <f>IF(preDEL!$AG588,IFERROR(0/0,""),preDEL!M588)</f>
        <v>0.4783333333</v>
      </c>
      <c r="N588" s="112" t="str">
        <f>IF(preDEL!$AG588,IFERROR(0/0,""),preDEL!N588)</f>
        <v/>
      </c>
      <c r="O588" s="112" t="str">
        <f>IF(preDEL!$AG588,IFERROR(0/0,""),preDEL!O588)</f>
        <v/>
      </c>
      <c r="P588" s="110" t="b">
        <f>IF(preDEL!$AG588,IFERROR(0/0,""),preDEL!P588)</f>
        <v>0</v>
      </c>
      <c r="Q588" s="110" t="str">
        <f>IF(preDEL!$AG588,IFERROR(0/0,""),preDEL!Q588)</f>
        <v>Result</v>
      </c>
      <c r="R588" s="104" t="b">
        <f>IF(preDEL!$AG588,IFERROR(0/0,""),preDEL!R588)</f>
        <v>1</v>
      </c>
      <c r="S588" s="104">
        <f>IF(preDEL!$AG588,IFERROR(0/0,""),preDEL!S588)</f>
        <v>1</v>
      </c>
      <c r="T588" s="110" t="str">
        <f>IF(preDEL!$AG588,IFERROR(0/0,""),preDEL!T588)</f>
        <v/>
      </c>
      <c r="U588" s="112" t="str">
        <f>IF(preDEL!$AG588,IFERROR(0/0,""),preDEL!U588)</f>
        <v/>
      </c>
      <c r="V588" s="105" t="str">
        <f>IF(preDEL!$AG588,IFERROR(0/0,""),preDEL!V588)</f>
        <v/>
      </c>
      <c r="W588" s="112" t="str">
        <f>IF(preDEL!$AG588,IFERROR(0/0,""),preDEL!W588)</f>
        <v/>
      </c>
      <c r="X588" s="104" t="b">
        <f>IF(preDEL!$AG588,IFERROR(0/0,""),preDEL!X588)</f>
        <v>0</v>
      </c>
      <c r="Y588" s="110" t="b">
        <f>IF(preDEL!$AG588,IFERROR(0/0,""),preDEL!Y588)</f>
        <v>0</v>
      </c>
      <c r="Z588" s="105" t="str">
        <f>IF(preDEL!$AG588,IFERROR(0/0,""),preDEL!Z588)</f>
        <v/>
      </c>
      <c r="AA588" s="110" t="b">
        <f>IF(preDEL!$AG588,IFERROR(0/0,""),preDEL!AA588)</f>
        <v>0</v>
      </c>
      <c r="AB588" s="110" t="b">
        <f>IF(preDEL!$AG588,IFERROR(0/0,""),preDEL!AB588)</f>
        <v>0</v>
      </c>
      <c r="AC588" s="172">
        <f>IF(preDEL!$AG588,IFERROR(0/0,""),preDEL!AC588)</f>
        <v>226</v>
      </c>
      <c r="AD588" s="104" t="b">
        <f>IF(preDEL!$AG588,IFERROR(0/0,""),preDEL!AD588)</f>
        <v>0</v>
      </c>
      <c r="AE588" s="173" t="str">
        <f>IF(preDEL!$AG588,IFERROR(0/0,""),preDEL!AE588)</f>
        <v/>
      </c>
      <c r="AF588" s="110" t="b">
        <f>IF(preDEL!$AG588,IFERROR(0/0,""),preDEL!AF588)</f>
        <v>0</v>
      </c>
      <c r="AG588" s="110" t="b">
        <f>IF(preDEL!$AG588,IFERROR(0/0,""),preDEL!AG588)</f>
        <v>0</v>
      </c>
      <c r="AH588" s="104" t="str">
        <f>IF(preDEL!$AG588,IFERROR(0/0,""),preDEL!AH588)</f>
        <v/>
      </c>
      <c r="AI588" s="105" t="str">
        <f>IF(preDEL!$AG588,IFERROR(0/0,""),preDEL!AI588)</f>
        <v/>
      </c>
      <c r="AJ588" s="112" t="str">
        <f>IF(preDEL!$AG588,IFERROR(0/0,""),preDEL!AJ588)</f>
        <v/>
      </c>
      <c r="AK588" s="105" t="str">
        <f>IF(preDEL!$AG588,IFERROR(0/0,""),preDEL!AK588)</f>
        <v>Negative</v>
      </c>
      <c r="AL588" s="112" t="str">
        <f>IF(preDEL!$AG588,IFERROR(0/0,""),preDEL!AL588)</f>
        <v/>
      </c>
      <c r="AM588" s="112" t="str">
        <f>IF(preDEL!$AG588,IFERROR(0/0,""),preDEL!AM588)</f>
        <v>SpBEND672680</v>
      </c>
      <c r="AN588" s="112" t="str">
        <f>IF(preDEL!$AG588,IFERROR(0/0,""),preDEL!AN588)</f>
        <v>BEND955524</v>
      </c>
      <c r="AO588" s="112" t="str">
        <f>IF(preDEL!$AG588,IFERROR(0/0,""),preDEL!AO588)</f>
        <v/>
      </c>
      <c r="AP588" s="112" t="str">
        <f>IF(preDEL!$AG588,IFERROR(0/0,""),preDEL!AP588)</f>
        <v/>
      </c>
      <c r="AQ588" s="112" t="str">
        <f>IF(preDEL!$AG588,IFERROR(0/0,""),preDEL!AQ588)</f>
        <v/>
      </c>
      <c r="AR588" s="112" t="str">
        <f>IF(preDEL!$AG588,IFERROR(0/0,""),preDEL!AR588)</f>
        <v/>
      </c>
      <c r="AS588" s="112" t="str">
        <f>IF(preDEL!$AG588,IFERROR(0/0,""),preDEL!AS588)</f>
        <v/>
      </c>
      <c r="AT588" s="112" t="b">
        <f>IF(preDEL!$AG588,IFERROR(0/0,""),preDEL!AT588)</f>
        <v>0</v>
      </c>
      <c r="AU588" s="112" t="str">
        <f>IF(preDEL!$AG588,IFERROR(0/0,""),preDEL!AU588)</f>
        <v/>
      </c>
      <c r="AV588" s="112" t="str">
        <f>IF(preDEL!$AG588,IFERROR(0/0,""),preDEL!AV588)</f>
        <v/>
      </c>
      <c r="AW588" s="112" t="str">
        <f>IF(preDEL!$AG588,IFERROR(0/0,""),preDEL!AW588)</f>
        <v/>
      </c>
      <c r="AX588" s="112" t="str">
        <f>IF(preDEL!$AG588,IFERROR(0/0,""),preDEL!AX588)</f>
        <v/>
      </c>
      <c r="AY588" s="112" t="str">
        <f>IF(preDEL!$AG588,IFERROR(0/0,""),preDEL!AY588)</f>
        <v/>
      </c>
      <c r="AZ588" s="174"/>
      <c r="BA588" s="174"/>
      <c r="BB588" s="174"/>
      <c r="BC588" s="174"/>
      <c r="BD588" s="174"/>
      <c r="BE588" s="174"/>
      <c r="BF588" s="174"/>
      <c r="BG588" s="174"/>
      <c r="BH588" s="174"/>
      <c r="BI588" s="174"/>
      <c r="BJ588" s="174"/>
      <c r="BK588" s="174"/>
      <c r="BL588" s="174"/>
      <c r="BM588" s="174"/>
      <c r="BN588" s="174"/>
      <c r="BO588" s="174"/>
      <c r="BP588" s="174"/>
      <c r="BQ588" s="174"/>
      <c r="BR588" s="174"/>
      <c r="BS588" s="174"/>
      <c r="BT588" s="174"/>
      <c r="BU588" s="174"/>
      <c r="BV588" s="174"/>
      <c r="BW588" s="174"/>
      <c r="BX588" s="174"/>
      <c r="BY588" s="174"/>
      <c r="BZ588" s="174"/>
      <c r="CA588" s="174"/>
      <c r="CB588" s="174"/>
      <c r="CC588" s="174"/>
      <c r="CD588" s="174"/>
    </row>
    <row r="589">
      <c r="A589" s="105" t="str">
        <f>IF(preDEL!$AG589,IFERROR(0/0,""),preDEL!A589)</f>
        <v>FM1011</v>
      </c>
      <c r="B589" s="170">
        <f>IF(preDEL!$AG589,IFERROR(0/0,""),preDEL!B589)</f>
        <v>44619</v>
      </c>
      <c r="C589" s="171">
        <f>IF(preDEL!$AG589,IFERROR(0/0,""),preDEL!C589)</f>
        <v>0.2776041667</v>
      </c>
      <c r="D589" s="105" t="str">
        <f>IF(preDEL!$AG589,IFERROR(0/0,""),preDEL!D589)</f>
        <v/>
      </c>
      <c r="E589" s="105" t="str">
        <f>IF(preDEL!$AG589,IFERROR(0/0,""),preDEL!E589)</f>
        <v/>
      </c>
      <c r="F589" s="112" t="str">
        <f>IF(preDEL!$AG589,IFERROR(0/0,""),preDEL!F589)</f>
        <v/>
      </c>
      <c r="G589" s="112" t="str">
        <f>IF(preDEL!$AG589,IFERROR(0/0,""),preDEL!G589)</f>
        <v/>
      </c>
      <c r="H589" s="112" t="str">
        <f>IF(preDEL!$AG589,IFERROR(0/0,""),preDEL!H589)</f>
        <v/>
      </c>
      <c r="I589" s="105" t="str">
        <f>IF(preDEL!$AG589,IFERROR(0/0,""),preDEL!I589)</f>
        <v/>
      </c>
      <c r="J589" s="105" t="str">
        <f>IF(preDEL!$AG589,IFERROR(0/0,""),preDEL!J589)</f>
        <v/>
      </c>
      <c r="K589" s="105" t="str">
        <f>IF(preDEL!$AG589,IFERROR(0/0,""),preDEL!K589)</f>
        <v>Negative</v>
      </c>
      <c r="L589" s="170">
        <f>IF(preDEL!$AG589,IFERROR(0/0,""),preDEL!L589)</f>
        <v>44621</v>
      </c>
      <c r="M589" s="171">
        <f>IF(preDEL!$AG589,IFERROR(0/0,""),preDEL!M589)</f>
        <v>0.4783449074</v>
      </c>
      <c r="N589" s="112" t="str">
        <f>IF(preDEL!$AG589,IFERROR(0/0,""),preDEL!N589)</f>
        <v/>
      </c>
      <c r="O589" s="112" t="str">
        <f>IF(preDEL!$AG589,IFERROR(0/0,""),preDEL!O589)</f>
        <v/>
      </c>
      <c r="P589" s="110" t="b">
        <f>IF(preDEL!$AG589,IFERROR(0/0,""),preDEL!P589)</f>
        <v>0</v>
      </c>
      <c r="Q589" s="110" t="str">
        <f>IF(preDEL!$AG589,IFERROR(0/0,""),preDEL!Q589)</f>
        <v>Result</v>
      </c>
      <c r="R589" s="104" t="b">
        <f>IF(preDEL!$AG589,IFERROR(0/0,""),preDEL!R589)</f>
        <v>1</v>
      </c>
      <c r="S589" s="104">
        <f>IF(preDEL!$AG589,IFERROR(0/0,""),preDEL!S589)</f>
        <v>1</v>
      </c>
      <c r="T589" s="110" t="str">
        <f>IF(preDEL!$AG589,IFERROR(0/0,""),preDEL!T589)</f>
        <v/>
      </c>
      <c r="U589" s="112" t="str">
        <f>IF(preDEL!$AG589,IFERROR(0/0,""),preDEL!U589)</f>
        <v/>
      </c>
      <c r="V589" s="105" t="str">
        <f>IF(preDEL!$AG589,IFERROR(0/0,""),preDEL!V589)</f>
        <v/>
      </c>
      <c r="W589" s="112" t="str">
        <f>IF(preDEL!$AG589,IFERROR(0/0,""),preDEL!W589)</f>
        <v/>
      </c>
      <c r="X589" s="104" t="b">
        <f>IF(preDEL!$AG589,IFERROR(0/0,""),preDEL!X589)</f>
        <v>0</v>
      </c>
      <c r="Y589" s="110" t="b">
        <f>IF(preDEL!$AG589,IFERROR(0/0,""),preDEL!Y589)</f>
        <v>0</v>
      </c>
      <c r="Z589" s="105" t="str">
        <f>IF(preDEL!$AG589,IFERROR(0/0,""),preDEL!Z589)</f>
        <v/>
      </c>
      <c r="AA589" s="110" t="b">
        <f>IF(preDEL!$AG589,IFERROR(0/0,""),preDEL!AA589)</f>
        <v>0</v>
      </c>
      <c r="AB589" s="110" t="b">
        <f>IF(preDEL!$AG589,IFERROR(0/0,""),preDEL!AB589)</f>
        <v>0</v>
      </c>
      <c r="AC589" s="172">
        <f>IF(preDEL!$AG589,IFERROR(0/0,""),preDEL!AC589)</f>
        <v>225</v>
      </c>
      <c r="AD589" s="104" t="b">
        <f>IF(preDEL!$AG589,IFERROR(0/0,""),preDEL!AD589)</f>
        <v>0</v>
      </c>
      <c r="AE589" s="173" t="str">
        <f>IF(preDEL!$AG589,IFERROR(0/0,""),preDEL!AE589)</f>
        <v/>
      </c>
      <c r="AF589" s="110" t="b">
        <f>IF(preDEL!$AG589,IFERROR(0/0,""),preDEL!AF589)</f>
        <v>0</v>
      </c>
      <c r="AG589" s="110" t="b">
        <f>IF(preDEL!$AG589,IFERROR(0/0,""),preDEL!AG589)</f>
        <v>0</v>
      </c>
      <c r="AH589" s="104" t="str">
        <f>IF(preDEL!$AG589,IFERROR(0/0,""),preDEL!AH589)</f>
        <v/>
      </c>
      <c r="AI589" s="105" t="str">
        <f>IF(preDEL!$AG589,IFERROR(0/0,""),preDEL!AI589)</f>
        <v/>
      </c>
      <c r="AJ589" s="112" t="str">
        <f>IF(preDEL!$AG589,IFERROR(0/0,""),preDEL!AJ589)</f>
        <v/>
      </c>
      <c r="AK589" s="105" t="str">
        <f>IF(preDEL!$AG589,IFERROR(0/0,""),preDEL!AK589)</f>
        <v>Negative</v>
      </c>
      <c r="AL589" s="112" t="str">
        <f>IF(preDEL!$AG589,IFERROR(0/0,""),preDEL!AL589)</f>
        <v/>
      </c>
      <c r="AM589" s="112" t="str">
        <f>IF(preDEL!$AG589,IFERROR(0/0,""),preDEL!AM589)</f>
        <v>SpBEND947055</v>
      </c>
      <c r="AN589" s="112" t="str">
        <f>IF(preDEL!$AG589,IFERROR(0/0,""),preDEL!AN589)</f>
        <v>BEND371889</v>
      </c>
      <c r="AO589" s="112" t="str">
        <f>IF(preDEL!$AG589,IFERROR(0/0,""),preDEL!AO589)</f>
        <v/>
      </c>
      <c r="AP589" s="112" t="str">
        <f>IF(preDEL!$AG589,IFERROR(0/0,""),preDEL!AP589)</f>
        <v/>
      </c>
      <c r="AQ589" s="112" t="str">
        <f>IF(preDEL!$AG589,IFERROR(0/0,""),preDEL!AQ589)</f>
        <v/>
      </c>
      <c r="AR589" s="112" t="str">
        <f>IF(preDEL!$AG589,IFERROR(0/0,""),preDEL!AR589)</f>
        <v/>
      </c>
      <c r="AS589" s="112" t="str">
        <f>IF(preDEL!$AG589,IFERROR(0/0,""),preDEL!AS589)</f>
        <v/>
      </c>
      <c r="AT589" s="112" t="b">
        <f>IF(preDEL!$AG589,IFERROR(0/0,""),preDEL!AT589)</f>
        <v>0</v>
      </c>
      <c r="AU589" s="112" t="str">
        <f>IF(preDEL!$AG589,IFERROR(0/0,""),preDEL!AU589)</f>
        <v/>
      </c>
      <c r="AV589" s="112" t="str">
        <f>IF(preDEL!$AG589,IFERROR(0/0,""),preDEL!AV589)</f>
        <v/>
      </c>
      <c r="AW589" s="112" t="str">
        <f>IF(preDEL!$AG589,IFERROR(0/0,""),preDEL!AW589)</f>
        <v/>
      </c>
      <c r="AX589" s="112" t="str">
        <f>IF(preDEL!$AG589,IFERROR(0/0,""),preDEL!AX589)</f>
        <v/>
      </c>
      <c r="AY589" s="112" t="str">
        <f>IF(preDEL!$AG589,IFERROR(0/0,""),preDEL!AY589)</f>
        <v/>
      </c>
      <c r="AZ589" s="174"/>
      <c r="BA589" s="174"/>
      <c r="BB589" s="174"/>
      <c r="BC589" s="174"/>
      <c r="BD589" s="174"/>
      <c r="BE589" s="174"/>
      <c r="BF589" s="174"/>
      <c r="BG589" s="174"/>
      <c r="BH589" s="174"/>
      <c r="BI589" s="174"/>
      <c r="BJ589" s="174"/>
      <c r="BK589" s="174"/>
      <c r="BL589" s="174"/>
      <c r="BM589" s="174"/>
      <c r="BN589" s="174"/>
      <c r="BO589" s="174"/>
      <c r="BP589" s="174"/>
      <c r="BQ589" s="174"/>
      <c r="BR589" s="174"/>
      <c r="BS589" s="174"/>
      <c r="BT589" s="174"/>
      <c r="BU589" s="174"/>
      <c r="BV589" s="174"/>
      <c r="BW589" s="174"/>
      <c r="BX589" s="174"/>
      <c r="BY589" s="174"/>
      <c r="BZ589" s="174"/>
      <c r="CA589" s="174"/>
      <c r="CB589" s="174"/>
      <c r="CC589" s="174"/>
      <c r="CD589" s="174"/>
    </row>
    <row r="590">
      <c r="A590" s="105" t="str">
        <f>IF(preDEL!$AG590,IFERROR(0/0,""),preDEL!A590)</f>
        <v>MA349</v>
      </c>
      <c r="B590" s="170">
        <f>IF(preDEL!$AG590,IFERROR(0/0,""),preDEL!B590)</f>
        <v>44619</v>
      </c>
      <c r="C590" s="171">
        <f>IF(preDEL!$AG590,IFERROR(0/0,""),preDEL!C590)</f>
        <v>0.2865277778</v>
      </c>
      <c r="D590" s="105" t="str">
        <f>IF(preDEL!$AG590,IFERROR(0/0,""),preDEL!D590)</f>
        <v/>
      </c>
      <c r="E590" s="105" t="str">
        <f>IF(preDEL!$AG590,IFERROR(0/0,""),preDEL!E590)</f>
        <v/>
      </c>
      <c r="F590" s="112" t="str">
        <f>IF(preDEL!$AG590,IFERROR(0/0,""),preDEL!F590)</f>
        <v/>
      </c>
      <c r="G590" s="112" t="str">
        <f>IF(preDEL!$AG590,IFERROR(0/0,""),preDEL!G590)</f>
        <v/>
      </c>
      <c r="H590" s="112" t="str">
        <f>IF(preDEL!$AG590,IFERROR(0/0,""),preDEL!H590)</f>
        <v/>
      </c>
      <c r="I590" s="105" t="str">
        <f>IF(preDEL!$AG590,IFERROR(0/0,""),preDEL!I590)</f>
        <v/>
      </c>
      <c r="J590" s="105" t="str">
        <f>IF(preDEL!$AG590,IFERROR(0/0,""),preDEL!J590)</f>
        <v/>
      </c>
      <c r="K590" s="105" t="str">
        <f>IF(preDEL!$AG590,IFERROR(0/0,""),preDEL!K590)</f>
        <v>Negative</v>
      </c>
      <c r="L590" s="170">
        <f>IF(preDEL!$AG590,IFERROR(0/0,""),preDEL!L590)</f>
        <v>44621</v>
      </c>
      <c r="M590" s="171">
        <f>IF(preDEL!$AG590,IFERROR(0/0,""),preDEL!M590)</f>
        <v>0.4783449074</v>
      </c>
      <c r="N590" s="112" t="str">
        <f>IF(preDEL!$AG590,IFERROR(0/0,""),preDEL!N590)</f>
        <v/>
      </c>
      <c r="O590" s="112" t="str">
        <f>IF(preDEL!$AG590,IFERROR(0/0,""),preDEL!O590)</f>
        <v/>
      </c>
      <c r="P590" s="110" t="b">
        <f>IF(preDEL!$AG590,IFERROR(0/0,""),preDEL!P590)</f>
        <v>0</v>
      </c>
      <c r="Q590" s="110" t="str">
        <f>IF(preDEL!$AG590,IFERROR(0/0,""),preDEL!Q590)</f>
        <v>Result</v>
      </c>
      <c r="R590" s="104" t="b">
        <f>IF(preDEL!$AG590,IFERROR(0/0,""),preDEL!R590)</f>
        <v>1</v>
      </c>
      <c r="S590" s="104">
        <f>IF(preDEL!$AG590,IFERROR(0/0,""),preDEL!S590)</f>
        <v>1</v>
      </c>
      <c r="T590" s="110" t="str">
        <f>IF(preDEL!$AG590,IFERROR(0/0,""),preDEL!T590)</f>
        <v/>
      </c>
      <c r="U590" s="112" t="str">
        <f>IF(preDEL!$AG590,IFERROR(0/0,""),preDEL!U590)</f>
        <v/>
      </c>
      <c r="V590" s="105" t="str">
        <f>IF(preDEL!$AG590,IFERROR(0/0,""),preDEL!V590)</f>
        <v/>
      </c>
      <c r="W590" s="112" t="str">
        <f>IF(preDEL!$AG590,IFERROR(0/0,""),preDEL!W590)</f>
        <v/>
      </c>
      <c r="X590" s="104" t="b">
        <f>IF(preDEL!$AG590,IFERROR(0/0,""),preDEL!X590)</f>
        <v>0</v>
      </c>
      <c r="Y590" s="110" t="b">
        <f>IF(preDEL!$AG590,IFERROR(0/0,""),preDEL!Y590)</f>
        <v>0</v>
      </c>
      <c r="Z590" s="105" t="str">
        <f>IF(preDEL!$AG590,IFERROR(0/0,""),preDEL!Z590)</f>
        <v/>
      </c>
      <c r="AA590" s="110" t="b">
        <f>IF(preDEL!$AG590,IFERROR(0/0,""),preDEL!AA590)</f>
        <v>0</v>
      </c>
      <c r="AB590" s="110" t="b">
        <f>IF(preDEL!$AG590,IFERROR(0/0,""),preDEL!AB590)</f>
        <v>0</v>
      </c>
      <c r="AC590" s="172">
        <f>IF(preDEL!$AG590,IFERROR(0/0,""),preDEL!AC590)</f>
        <v>224</v>
      </c>
      <c r="AD590" s="104" t="b">
        <f>IF(preDEL!$AG590,IFERROR(0/0,""),preDEL!AD590)</f>
        <v>0</v>
      </c>
      <c r="AE590" s="173" t="str">
        <f>IF(preDEL!$AG590,IFERROR(0/0,""),preDEL!AE590)</f>
        <v/>
      </c>
      <c r="AF590" s="110" t="b">
        <f>IF(preDEL!$AG590,IFERROR(0/0,""),preDEL!AF590)</f>
        <v>0</v>
      </c>
      <c r="AG590" s="110" t="b">
        <f>IF(preDEL!$AG590,IFERROR(0/0,""),preDEL!AG590)</f>
        <v>0</v>
      </c>
      <c r="AH590" s="104" t="str">
        <f>IF(preDEL!$AG590,IFERROR(0/0,""),preDEL!AH590)</f>
        <v/>
      </c>
      <c r="AI590" s="105" t="str">
        <f>IF(preDEL!$AG590,IFERROR(0/0,""),preDEL!AI590)</f>
        <v/>
      </c>
      <c r="AJ590" s="112" t="str">
        <f>IF(preDEL!$AG590,IFERROR(0/0,""),preDEL!AJ590)</f>
        <v/>
      </c>
      <c r="AK590" s="105" t="str">
        <f>IF(preDEL!$AG590,IFERROR(0/0,""),preDEL!AK590)</f>
        <v>Negative</v>
      </c>
      <c r="AL590" s="112" t="str">
        <f>IF(preDEL!$AG590,IFERROR(0/0,""),preDEL!AL590)</f>
        <v/>
      </c>
      <c r="AM590" s="112" t="str">
        <f>IF(preDEL!$AG590,IFERROR(0/0,""),preDEL!AM590)</f>
        <v>SpBEND670368</v>
      </c>
      <c r="AN590" s="112" t="str">
        <f>IF(preDEL!$AG590,IFERROR(0/0,""),preDEL!AN590)</f>
        <v>BEND627699</v>
      </c>
      <c r="AO590" s="112" t="str">
        <f>IF(preDEL!$AG590,IFERROR(0/0,""),preDEL!AO590)</f>
        <v/>
      </c>
      <c r="AP590" s="112" t="str">
        <f>IF(preDEL!$AG590,IFERROR(0/0,""),preDEL!AP590)</f>
        <v/>
      </c>
      <c r="AQ590" s="112" t="str">
        <f>IF(preDEL!$AG590,IFERROR(0/0,""),preDEL!AQ590)</f>
        <v/>
      </c>
      <c r="AR590" s="112" t="str">
        <f>IF(preDEL!$AG590,IFERROR(0/0,""),preDEL!AR590)</f>
        <v/>
      </c>
      <c r="AS590" s="112" t="str">
        <f>IF(preDEL!$AG590,IFERROR(0/0,""),preDEL!AS590)</f>
        <v/>
      </c>
      <c r="AT590" s="112" t="b">
        <f>IF(preDEL!$AG590,IFERROR(0/0,""),preDEL!AT590)</f>
        <v>0</v>
      </c>
      <c r="AU590" s="112" t="str">
        <f>IF(preDEL!$AG590,IFERROR(0/0,""),preDEL!AU590)</f>
        <v/>
      </c>
      <c r="AV590" s="112" t="str">
        <f>IF(preDEL!$AG590,IFERROR(0/0,""),preDEL!AV590)</f>
        <v/>
      </c>
      <c r="AW590" s="112" t="str">
        <f>IF(preDEL!$AG590,IFERROR(0/0,""),preDEL!AW590)</f>
        <v/>
      </c>
      <c r="AX590" s="112" t="str">
        <f>IF(preDEL!$AG590,IFERROR(0/0,""),preDEL!AX590)</f>
        <v/>
      </c>
      <c r="AY590" s="112" t="str">
        <f>IF(preDEL!$AG590,IFERROR(0/0,""),preDEL!AY590)</f>
        <v/>
      </c>
      <c r="AZ590" s="174"/>
      <c r="BA590" s="174"/>
      <c r="BB590" s="174"/>
      <c r="BC590" s="174"/>
      <c r="BD590" s="174"/>
      <c r="BE590" s="174"/>
      <c r="BF590" s="174"/>
      <c r="BG590" s="174"/>
      <c r="BH590" s="174"/>
      <c r="BI590" s="174"/>
      <c r="BJ590" s="174"/>
      <c r="BK590" s="174"/>
      <c r="BL590" s="174"/>
      <c r="BM590" s="174"/>
      <c r="BN590" s="174"/>
      <c r="BO590" s="174"/>
      <c r="BP590" s="174"/>
      <c r="BQ590" s="174"/>
      <c r="BR590" s="174"/>
      <c r="BS590" s="174"/>
      <c r="BT590" s="174"/>
      <c r="BU590" s="174"/>
      <c r="BV590" s="174"/>
      <c r="BW590" s="174"/>
      <c r="BX590" s="174"/>
      <c r="BY590" s="174"/>
      <c r="BZ590" s="174"/>
      <c r="CA590" s="174"/>
      <c r="CB590" s="174"/>
      <c r="CC590" s="174"/>
      <c r="CD590" s="174"/>
    </row>
    <row r="591">
      <c r="A591" s="105" t="str">
        <f>IF(preDEL!$AG591,IFERROR(0/0,""),preDEL!A591)</f>
        <v>FM455</v>
      </c>
      <c r="B591" s="170">
        <f>IF(preDEL!$AG591,IFERROR(0/0,""),preDEL!B591)</f>
        <v>44619</v>
      </c>
      <c r="C591" s="171">
        <f>IF(preDEL!$AG591,IFERROR(0/0,""),preDEL!C591)</f>
        <v>0.2879166667</v>
      </c>
      <c r="D591" s="105" t="str">
        <f>IF(preDEL!$AG591,IFERROR(0/0,""),preDEL!D591)</f>
        <v/>
      </c>
      <c r="E591" s="105" t="str">
        <f>IF(preDEL!$AG591,IFERROR(0/0,""),preDEL!E591)</f>
        <v/>
      </c>
      <c r="F591" s="112" t="str">
        <f>IF(preDEL!$AG591,IFERROR(0/0,""),preDEL!F591)</f>
        <v/>
      </c>
      <c r="G591" s="112" t="str">
        <f>IF(preDEL!$AG591,IFERROR(0/0,""),preDEL!G591)</f>
        <v/>
      </c>
      <c r="H591" s="112" t="str">
        <f>IF(preDEL!$AG591,IFERROR(0/0,""),preDEL!H591)</f>
        <v/>
      </c>
      <c r="I591" s="105" t="str">
        <f>IF(preDEL!$AG591,IFERROR(0/0,""),preDEL!I591)</f>
        <v/>
      </c>
      <c r="J591" s="105" t="str">
        <f>IF(preDEL!$AG591,IFERROR(0/0,""),preDEL!J591)</f>
        <v/>
      </c>
      <c r="K591" s="105" t="str">
        <f>IF(preDEL!$AG591,IFERROR(0/0,""),preDEL!K591)</f>
        <v>Negative</v>
      </c>
      <c r="L591" s="170">
        <f>IF(preDEL!$AG591,IFERROR(0/0,""),preDEL!L591)</f>
        <v>44621</v>
      </c>
      <c r="M591" s="171">
        <f>IF(preDEL!$AG591,IFERROR(0/0,""),preDEL!M591)</f>
        <v>0.4783449074</v>
      </c>
      <c r="N591" s="112" t="str">
        <f>IF(preDEL!$AG591,IFERROR(0/0,""),preDEL!N591)</f>
        <v/>
      </c>
      <c r="O591" s="112" t="str">
        <f>IF(preDEL!$AG591,IFERROR(0/0,""),preDEL!O591)</f>
        <v/>
      </c>
      <c r="P591" s="110" t="b">
        <f>IF(preDEL!$AG591,IFERROR(0/0,""),preDEL!P591)</f>
        <v>0</v>
      </c>
      <c r="Q591" s="110" t="str">
        <f>IF(preDEL!$AG591,IFERROR(0/0,""),preDEL!Q591)</f>
        <v>Result</v>
      </c>
      <c r="R591" s="104" t="b">
        <f>IF(preDEL!$AG591,IFERROR(0/0,""),preDEL!R591)</f>
        <v>1</v>
      </c>
      <c r="S591" s="104">
        <f>IF(preDEL!$AG591,IFERROR(0/0,""),preDEL!S591)</f>
        <v>1</v>
      </c>
      <c r="T591" s="110" t="str">
        <f>IF(preDEL!$AG591,IFERROR(0/0,""),preDEL!T591)</f>
        <v/>
      </c>
      <c r="U591" s="112" t="str">
        <f>IF(preDEL!$AG591,IFERROR(0/0,""),preDEL!U591)</f>
        <v/>
      </c>
      <c r="V591" s="105" t="str">
        <f>IF(preDEL!$AG591,IFERROR(0/0,""),preDEL!V591)</f>
        <v/>
      </c>
      <c r="W591" s="112" t="str">
        <f>IF(preDEL!$AG591,IFERROR(0/0,""),preDEL!W591)</f>
        <v/>
      </c>
      <c r="X591" s="104" t="b">
        <f>IF(preDEL!$AG591,IFERROR(0/0,""),preDEL!X591)</f>
        <v>0</v>
      </c>
      <c r="Y591" s="110" t="b">
        <f>IF(preDEL!$AG591,IFERROR(0/0,""),preDEL!Y591)</f>
        <v>0</v>
      </c>
      <c r="Z591" s="105" t="str">
        <f>IF(preDEL!$AG591,IFERROR(0/0,""),preDEL!Z591)</f>
        <v/>
      </c>
      <c r="AA591" s="110" t="b">
        <f>IF(preDEL!$AG591,IFERROR(0/0,""),preDEL!AA591)</f>
        <v>0</v>
      </c>
      <c r="AB591" s="110" t="b">
        <f>IF(preDEL!$AG591,IFERROR(0/0,""),preDEL!AB591)</f>
        <v>0</v>
      </c>
      <c r="AC591" s="172">
        <f>IF(preDEL!$AG591,IFERROR(0/0,""),preDEL!AC591)</f>
        <v>223</v>
      </c>
      <c r="AD591" s="104" t="b">
        <f>IF(preDEL!$AG591,IFERROR(0/0,""),preDEL!AD591)</f>
        <v>0</v>
      </c>
      <c r="AE591" s="173" t="str">
        <f>IF(preDEL!$AG591,IFERROR(0/0,""),preDEL!AE591)</f>
        <v/>
      </c>
      <c r="AF591" s="110" t="b">
        <f>IF(preDEL!$AG591,IFERROR(0/0,""),preDEL!AF591)</f>
        <v>0</v>
      </c>
      <c r="AG591" s="110" t="b">
        <f>IF(preDEL!$AG591,IFERROR(0/0,""),preDEL!AG591)</f>
        <v>0</v>
      </c>
      <c r="AH591" s="104" t="str">
        <f>IF(preDEL!$AG591,IFERROR(0/0,""),preDEL!AH591)</f>
        <v/>
      </c>
      <c r="AI591" s="105" t="str">
        <f>IF(preDEL!$AG591,IFERROR(0/0,""),preDEL!AI591)</f>
        <v/>
      </c>
      <c r="AJ591" s="112" t="str">
        <f>IF(preDEL!$AG591,IFERROR(0/0,""),preDEL!AJ591)</f>
        <v/>
      </c>
      <c r="AK591" s="105" t="str">
        <f>IF(preDEL!$AG591,IFERROR(0/0,""),preDEL!AK591)</f>
        <v>Negative</v>
      </c>
      <c r="AL591" s="112" t="str">
        <f>IF(preDEL!$AG591,IFERROR(0/0,""),preDEL!AL591)</f>
        <v/>
      </c>
      <c r="AM591" s="112" t="str">
        <f>IF(preDEL!$AG591,IFERROR(0/0,""),preDEL!AM591)</f>
        <v>SpBEND737678</v>
      </c>
      <c r="AN591" s="112" t="str">
        <f>IF(preDEL!$AG591,IFERROR(0/0,""),preDEL!AN591)</f>
        <v>BEND944448</v>
      </c>
      <c r="AO591" s="112" t="str">
        <f>IF(preDEL!$AG591,IFERROR(0/0,""),preDEL!AO591)</f>
        <v/>
      </c>
      <c r="AP591" s="112" t="str">
        <f>IF(preDEL!$AG591,IFERROR(0/0,""),preDEL!AP591)</f>
        <v/>
      </c>
      <c r="AQ591" s="112" t="str">
        <f>IF(preDEL!$AG591,IFERROR(0/0,""),preDEL!AQ591)</f>
        <v/>
      </c>
      <c r="AR591" s="112" t="str">
        <f>IF(preDEL!$AG591,IFERROR(0/0,""),preDEL!AR591)</f>
        <v/>
      </c>
      <c r="AS591" s="112" t="str">
        <f>IF(preDEL!$AG591,IFERROR(0/0,""),preDEL!AS591)</f>
        <v/>
      </c>
      <c r="AT591" s="112" t="b">
        <f>IF(preDEL!$AG591,IFERROR(0/0,""),preDEL!AT591)</f>
        <v>0</v>
      </c>
      <c r="AU591" s="112" t="str">
        <f>IF(preDEL!$AG591,IFERROR(0/0,""),preDEL!AU591)</f>
        <v/>
      </c>
      <c r="AV591" s="112" t="str">
        <f>IF(preDEL!$AG591,IFERROR(0/0,""),preDEL!AV591)</f>
        <v/>
      </c>
      <c r="AW591" s="112" t="str">
        <f>IF(preDEL!$AG591,IFERROR(0/0,""),preDEL!AW591)</f>
        <v/>
      </c>
      <c r="AX591" s="112" t="str">
        <f>IF(preDEL!$AG591,IFERROR(0/0,""),preDEL!AX591)</f>
        <v/>
      </c>
      <c r="AY591" s="112" t="str">
        <f>IF(preDEL!$AG591,IFERROR(0/0,""),preDEL!AY591)</f>
        <v/>
      </c>
      <c r="AZ591" s="174"/>
      <c r="BA591" s="174"/>
      <c r="BB591" s="174"/>
      <c r="BC591" s="174"/>
      <c r="BD591" s="174"/>
      <c r="BE591" s="174"/>
      <c r="BF591" s="174"/>
      <c r="BG591" s="174"/>
      <c r="BH591" s="174"/>
      <c r="BI591" s="174"/>
      <c r="BJ591" s="174"/>
      <c r="BK591" s="174"/>
      <c r="BL591" s="174"/>
      <c r="BM591" s="174"/>
      <c r="BN591" s="174"/>
      <c r="BO591" s="174"/>
      <c r="BP591" s="174"/>
      <c r="BQ591" s="174"/>
      <c r="BR591" s="174"/>
      <c r="BS591" s="174"/>
      <c r="BT591" s="174"/>
      <c r="BU591" s="174"/>
      <c r="BV591" s="174"/>
      <c r="BW591" s="174"/>
      <c r="BX591" s="174"/>
      <c r="BY591" s="174"/>
      <c r="BZ591" s="174"/>
      <c r="CA591" s="174"/>
      <c r="CB591" s="174"/>
      <c r="CC591" s="174"/>
      <c r="CD591" s="174"/>
    </row>
    <row r="592">
      <c r="A592" s="105" t="str">
        <f>IF(preDEL!$AG592,IFERROR(0/0,""),preDEL!A592)</f>
        <v>FM2093</v>
      </c>
      <c r="B592" s="170">
        <f>IF(preDEL!$AG592,IFERROR(0/0,""),preDEL!B592)</f>
        <v>44619</v>
      </c>
      <c r="C592" s="171">
        <f>IF(preDEL!$AG592,IFERROR(0/0,""),preDEL!C592)</f>
        <v>0.2909490741</v>
      </c>
      <c r="D592" s="105" t="str">
        <f>IF(preDEL!$AG592,IFERROR(0/0,""),preDEL!D592)</f>
        <v/>
      </c>
      <c r="E592" s="105" t="str">
        <f>IF(preDEL!$AG592,IFERROR(0/0,""),preDEL!E592)</f>
        <v/>
      </c>
      <c r="F592" s="112" t="str">
        <f>IF(preDEL!$AG592,IFERROR(0/0,""),preDEL!F592)</f>
        <v/>
      </c>
      <c r="G592" s="112" t="str">
        <f>IF(preDEL!$AG592,IFERROR(0/0,""),preDEL!G592)</f>
        <v/>
      </c>
      <c r="H592" s="112" t="str">
        <f>IF(preDEL!$AG592,IFERROR(0/0,""),preDEL!H592)</f>
        <v/>
      </c>
      <c r="I592" s="105" t="str">
        <f>IF(preDEL!$AG592,IFERROR(0/0,""),preDEL!I592)</f>
        <v/>
      </c>
      <c r="J592" s="105" t="str">
        <f>IF(preDEL!$AG592,IFERROR(0/0,""),preDEL!J592)</f>
        <v/>
      </c>
      <c r="K592" s="105" t="str">
        <f>IF(preDEL!$AG592,IFERROR(0/0,""),preDEL!K592)</f>
        <v>Negative</v>
      </c>
      <c r="L592" s="170">
        <f>IF(preDEL!$AG592,IFERROR(0/0,""),preDEL!L592)</f>
        <v>44621</v>
      </c>
      <c r="M592" s="171">
        <f>IF(preDEL!$AG592,IFERROR(0/0,""),preDEL!M592)</f>
        <v>0.4783449074</v>
      </c>
      <c r="N592" s="112" t="str">
        <f>IF(preDEL!$AG592,IFERROR(0/0,""),preDEL!N592)</f>
        <v/>
      </c>
      <c r="O592" s="112" t="str">
        <f>IF(preDEL!$AG592,IFERROR(0/0,""),preDEL!O592)</f>
        <v/>
      </c>
      <c r="P592" s="110" t="b">
        <f>IF(preDEL!$AG592,IFERROR(0/0,""),preDEL!P592)</f>
        <v>0</v>
      </c>
      <c r="Q592" s="110" t="str">
        <f>IF(preDEL!$AG592,IFERROR(0/0,""),preDEL!Q592)</f>
        <v>Result</v>
      </c>
      <c r="R592" s="104" t="b">
        <f>IF(preDEL!$AG592,IFERROR(0/0,""),preDEL!R592)</f>
        <v>1</v>
      </c>
      <c r="S592" s="104">
        <f>IF(preDEL!$AG592,IFERROR(0/0,""),preDEL!S592)</f>
        <v>1</v>
      </c>
      <c r="T592" s="110" t="str">
        <f>IF(preDEL!$AG592,IFERROR(0/0,""),preDEL!T592)</f>
        <v/>
      </c>
      <c r="U592" s="112" t="str">
        <f>IF(preDEL!$AG592,IFERROR(0/0,""),preDEL!U592)</f>
        <v/>
      </c>
      <c r="V592" s="105" t="str">
        <f>IF(preDEL!$AG592,IFERROR(0/0,""),preDEL!V592)</f>
        <v/>
      </c>
      <c r="W592" s="112" t="str">
        <f>IF(preDEL!$AG592,IFERROR(0/0,""),preDEL!W592)</f>
        <v/>
      </c>
      <c r="X592" s="104" t="b">
        <f>IF(preDEL!$AG592,IFERROR(0/0,""),preDEL!X592)</f>
        <v>0</v>
      </c>
      <c r="Y592" s="110" t="b">
        <f>IF(preDEL!$AG592,IFERROR(0/0,""),preDEL!Y592)</f>
        <v>0</v>
      </c>
      <c r="Z592" s="105" t="str">
        <f>IF(preDEL!$AG592,IFERROR(0/0,""),preDEL!Z592)</f>
        <v/>
      </c>
      <c r="AA592" s="110" t="b">
        <f>IF(preDEL!$AG592,IFERROR(0/0,""),preDEL!AA592)</f>
        <v>0</v>
      </c>
      <c r="AB592" s="110" t="b">
        <f>IF(preDEL!$AG592,IFERROR(0/0,""),preDEL!AB592)</f>
        <v>0</v>
      </c>
      <c r="AC592" s="172">
        <f>IF(preDEL!$AG592,IFERROR(0/0,""),preDEL!AC592)</f>
        <v>222</v>
      </c>
      <c r="AD592" s="104" t="b">
        <f>IF(preDEL!$AG592,IFERROR(0/0,""),preDEL!AD592)</f>
        <v>0</v>
      </c>
      <c r="AE592" s="173" t="str">
        <f>IF(preDEL!$AG592,IFERROR(0/0,""),preDEL!AE592)</f>
        <v/>
      </c>
      <c r="AF592" s="110" t="b">
        <f>IF(preDEL!$AG592,IFERROR(0/0,""),preDEL!AF592)</f>
        <v>0</v>
      </c>
      <c r="AG592" s="110" t="b">
        <f>IF(preDEL!$AG592,IFERROR(0/0,""),preDEL!AG592)</f>
        <v>0</v>
      </c>
      <c r="AH592" s="104" t="str">
        <f>IF(preDEL!$AG592,IFERROR(0/0,""),preDEL!AH592)</f>
        <v/>
      </c>
      <c r="AI592" s="105" t="str">
        <f>IF(preDEL!$AG592,IFERROR(0/0,""),preDEL!AI592)</f>
        <v/>
      </c>
      <c r="AJ592" s="112" t="str">
        <f>IF(preDEL!$AG592,IFERROR(0/0,""),preDEL!AJ592)</f>
        <v/>
      </c>
      <c r="AK592" s="105" t="str">
        <f>IF(preDEL!$AG592,IFERROR(0/0,""),preDEL!AK592)</f>
        <v>Negative</v>
      </c>
      <c r="AL592" s="112" t="str">
        <f>IF(preDEL!$AG592,IFERROR(0/0,""),preDEL!AL592)</f>
        <v/>
      </c>
      <c r="AM592" s="112" t="str">
        <f>IF(preDEL!$AG592,IFERROR(0/0,""),preDEL!AM592)</f>
        <v>SpBEND321883</v>
      </c>
      <c r="AN592" s="112" t="str">
        <f>IF(preDEL!$AG592,IFERROR(0/0,""),preDEL!AN592)</f>
        <v>BEND395125</v>
      </c>
      <c r="AO592" s="112" t="str">
        <f>IF(preDEL!$AG592,IFERROR(0/0,""),preDEL!AO592)</f>
        <v/>
      </c>
      <c r="AP592" s="112" t="str">
        <f>IF(preDEL!$AG592,IFERROR(0/0,""),preDEL!AP592)</f>
        <v/>
      </c>
      <c r="AQ592" s="112" t="str">
        <f>IF(preDEL!$AG592,IFERROR(0/0,""),preDEL!AQ592)</f>
        <v/>
      </c>
      <c r="AR592" s="112" t="str">
        <f>IF(preDEL!$AG592,IFERROR(0/0,""),preDEL!AR592)</f>
        <v/>
      </c>
      <c r="AS592" s="112" t="str">
        <f>IF(preDEL!$AG592,IFERROR(0/0,""),preDEL!AS592)</f>
        <v/>
      </c>
      <c r="AT592" s="112" t="b">
        <f>IF(preDEL!$AG592,IFERROR(0/0,""),preDEL!AT592)</f>
        <v>0</v>
      </c>
      <c r="AU592" s="112" t="str">
        <f>IF(preDEL!$AG592,IFERROR(0/0,""),preDEL!AU592)</f>
        <v/>
      </c>
      <c r="AV592" s="112" t="str">
        <f>IF(preDEL!$AG592,IFERROR(0/0,""),preDEL!AV592)</f>
        <v/>
      </c>
      <c r="AW592" s="112" t="str">
        <f>IF(preDEL!$AG592,IFERROR(0/0,""),preDEL!AW592)</f>
        <v/>
      </c>
      <c r="AX592" s="112" t="str">
        <f>IF(preDEL!$AG592,IFERROR(0/0,""),preDEL!AX592)</f>
        <v/>
      </c>
      <c r="AY592" s="112" t="str">
        <f>IF(preDEL!$AG592,IFERROR(0/0,""),preDEL!AY592)</f>
        <v/>
      </c>
      <c r="AZ592" s="174"/>
      <c r="BA592" s="174"/>
      <c r="BB592" s="174"/>
      <c r="BC592" s="174"/>
      <c r="BD592" s="174"/>
      <c r="BE592" s="174"/>
      <c r="BF592" s="174"/>
      <c r="BG592" s="174"/>
      <c r="BH592" s="174"/>
      <c r="BI592" s="174"/>
      <c r="BJ592" s="174"/>
      <c r="BK592" s="174"/>
      <c r="BL592" s="174"/>
      <c r="BM592" s="174"/>
      <c r="BN592" s="174"/>
      <c r="BO592" s="174"/>
      <c r="BP592" s="174"/>
      <c r="BQ592" s="174"/>
      <c r="BR592" s="174"/>
      <c r="BS592" s="174"/>
      <c r="BT592" s="174"/>
      <c r="BU592" s="174"/>
      <c r="BV592" s="174"/>
      <c r="BW592" s="174"/>
      <c r="BX592" s="174"/>
      <c r="BY592" s="174"/>
      <c r="BZ592" s="174"/>
      <c r="CA592" s="174"/>
      <c r="CB592" s="174"/>
      <c r="CC592" s="174"/>
      <c r="CD592" s="174"/>
    </row>
    <row r="593">
      <c r="A593" s="105" t="str">
        <f>IF(preDEL!$AG593,IFERROR(0/0,""),preDEL!A593)</f>
        <v>FM445</v>
      </c>
      <c r="B593" s="170">
        <f>IF(preDEL!$AG593,IFERROR(0/0,""),preDEL!B593)</f>
        <v>44619</v>
      </c>
      <c r="C593" s="171">
        <f>IF(preDEL!$AG593,IFERROR(0/0,""),preDEL!C593)</f>
        <v>0.2973032407</v>
      </c>
      <c r="D593" s="105" t="str">
        <f>IF(preDEL!$AG593,IFERROR(0/0,""),preDEL!D593)</f>
        <v/>
      </c>
      <c r="E593" s="105" t="str">
        <f>IF(preDEL!$AG593,IFERROR(0/0,""),preDEL!E593)</f>
        <v/>
      </c>
      <c r="F593" s="112" t="str">
        <f>IF(preDEL!$AG593,IFERROR(0/0,""),preDEL!F593)</f>
        <v/>
      </c>
      <c r="G593" s="112" t="str">
        <f>IF(preDEL!$AG593,IFERROR(0/0,""),preDEL!G593)</f>
        <v/>
      </c>
      <c r="H593" s="112" t="str">
        <f>IF(preDEL!$AG593,IFERROR(0/0,""),preDEL!H593)</f>
        <v/>
      </c>
      <c r="I593" s="105" t="str">
        <f>IF(preDEL!$AG593,IFERROR(0/0,""),preDEL!I593)</f>
        <v/>
      </c>
      <c r="J593" s="105" t="str">
        <f>IF(preDEL!$AG593,IFERROR(0/0,""),preDEL!J593)</f>
        <v/>
      </c>
      <c r="K593" s="105" t="str">
        <f>IF(preDEL!$AG593,IFERROR(0/0,""),preDEL!K593)</f>
        <v>Negative</v>
      </c>
      <c r="L593" s="170">
        <f>IF(preDEL!$AG593,IFERROR(0/0,""),preDEL!L593)</f>
        <v>44621</v>
      </c>
      <c r="M593" s="171">
        <f>IF(preDEL!$AG593,IFERROR(0/0,""),preDEL!M593)</f>
        <v>0.4783449074</v>
      </c>
      <c r="N593" s="112" t="str">
        <f>IF(preDEL!$AG593,IFERROR(0/0,""),preDEL!N593)</f>
        <v/>
      </c>
      <c r="O593" s="112" t="str">
        <f>IF(preDEL!$AG593,IFERROR(0/0,""),preDEL!O593)</f>
        <v/>
      </c>
      <c r="P593" s="110" t="b">
        <f>IF(preDEL!$AG593,IFERROR(0/0,""),preDEL!P593)</f>
        <v>0</v>
      </c>
      <c r="Q593" s="110" t="str">
        <f>IF(preDEL!$AG593,IFERROR(0/0,""),preDEL!Q593)</f>
        <v>Result</v>
      </c>
      <c r="R593" s="104" t="b">
        <f>IF(preDEL!$AG593,IFERROR(0/0,""),preDEL!R593)</f>
        <v>1</v>
      </c>
      <c r="S593" s="104">
        <f>IF(preDEL!$AG593,IFERROR(0/0,""),preDEL!S593)</f>
        <v>1</v>
      </c>
      <c r="T593" s="110" t="str">
        <f>IF(preDEL!$AG593,IFERROR(0/0,""),preDEL!T593)</f>
        <v/>
      </c>
      <c r="U593" s="112" t="str">
        <f>IF(preDEL!$AG593,IFERROR(0/0,""),preDEL!U593)</f>
        <v/>
      </c>
      <c r="V593" s="105" t="str">
        <f>IF(preDEL!$AG593,IFERROR(0/0,""),preDEL!V593)</f>
        <v/>
      </c>
      <c r="W593" s="112" t="str">
        <f>IF(preDEL!$AG593,IFERROR(0/0,""),preDEL!W593)</f>
        <v/>
      </c>
      <c r="X593" s="104" t="b">
        <f>IF(preDEL!$AG593,IFERROR(0/0,""),preDEL!X593)</f>
        <v>0</v>
      </c>
      <c r="Y593" s="110" t="b">
        <f>IF(preDEL!$AG593,IFERROR(0/0,""),preDEL!Y593)</f>
        <v>0</v>
      </c>
      <c r="Z593" s="105" t="str">
        <f>IF(preDEL!$AG593,IFERROR(0/0,""),preDEL!Z593)</f>
        <v/>
      </c>
      <c r="AA593" s="110" t="b">
        <f>IF(preDEL!$AG593,IFERROR(0/0,""),preDEL!AA593)</f>
        <v>0</v>
      </c>
      <c r="AB593" s="110" t="b">
        <f>IF(preDEL!$AG593,IFERROR(0/0,""),preDEL!AB593)</f>
        <v>0</v>
      </c>
      <c r="AC593" s="172">
        <f>IF(preDEL!$AG593,IFERROR(0/0,""),preDEL!AC593)</f>
        <v>221</v>
      </c>
      <c r="AD593" s="104" t="b">
        <f>IF(preDEL!$AG593,IFERROR(0/0,""),preDEL!AD593)</f>
        <v>0</v>
      </c>
      <c r="AE593" s="173" t="str">
        <f>IF(preDEL!$AG593,IFERROR(0/0,""),preDEL!AE593)</f>
        <v/>
      </c>
      <c r="AF593" s="110" t="b">
        <f>IF(preDEL!$AG593,IFERROR(0/0,""),preDEL!AF593)</f>
        <v>0</v>
      </c>
      <c r="AG593" s="110" t="b">
        <f>IF(preDEL!$AG593,IFERROR(0/0,""),preDEL!AG593)</f>
        <v>0</v>
      </c>
      <c r="AH593" s="104" t="str">
        <f>IF(preDEL!$AG593,IFERROR(0/0,""),preDEL!AH593)</f>
        <v/>
      </c>
      <c r="AI593" s="105" t="str">
        <f>IF(preDEL!$AG593,IFERROR(0/0,""),preDEL!AI593)</f>
        <v/>
      </c>
      <c r="AJ593" s="112" t="str">
        <f>IF(preDEL!$AG593,IFERROR(0/0,""),preDEL!AJ593)</f>
        <v/>
      </c>
      <c r="AK593" s="105" t="str">
        <f>IF(preDEL!$AG593,IFERROR(0/0,""),preDEL!AK593)</f>
        <v>Negative</v>
      </c>
      <c r="AL593" s="112" t="str">
        <f>IF(preDEL!$AG593,IFERROR(0/0,""),preDEL!AL593)</f>
        <v/>
      </c>
      <c r="AM593" s="112" t="str">
        <f>IF(preDEL!$AG593,IFERROR(0/0,""),preDEL!AM593)</f>
        <v>SpBEND734943</v>
      </c>
      <c r="AN593" s="112" t="str">
        <f>IF(preDEL!$AG593,IFERROR(0/0,""),preDEL!AN593)</f>
        <v>BEND710690</v>
      </c>
      <c r="AO593" s="112" t="str">
        <f>IF(preDEL!$AG593,IFERROR(0/0,""),preDEL!AO593)</f>
        <v/>
      </c>
      <c r="AP593" s="112" t="str">
        <f>IF(preDEL!$AG593,IFERROR(0/0,""),preDEL!AP593)</f>
        <v/>
      </c>
      <c r="AQ593" s="112" t="str">
        <f>IF(preDEL!$AG593,IFERROR(0/0,""),preDEL!AQ593)</f>
        <v/>
      </c>
      <c r="AR593" s="112" t="str">
        <f>IF(preDEL!$AG593,IFERROR(0/0,""),preDEL!AR593)</f>
        <v/>
      </c>
      <c r="AS593" s="112" t="str">
        <f>IF(preDEL!$AG593,IFERROR(0/0,""),preDEL!AS593)</f>
        <v/>
      </c>
      <c r="AT593" s="112" t="b">
        <f>IF(preDEL!$AG593,IFERROR(0/0,""),preDEL!AT593)</f>
        <v>0</v>
      </c>
      <c r="AU593" s="112" t="str">
        <f>IF(preDEL!$AG593,IFERROR(0/0,""),preDEL!AU593)</f>
        <v/>
      </c>
      <c r="AV593" s="112" t="str">
        <f>IF(preDEL!$AG593,IFERROR(0/0,""),preDEL!AV593)</f>
        <v/>
      </c>
      <c r="AW593" s="112" t="str">
        <f>IF(preDEL!$AG593,IFERROR(0/0,""),preDEL!AW593)</f>
        <v/>
      </c>
      <c r="AX593" s="112" t="str">
        <f>IF(preDEL!$AG593,IFERROR(0/0,""),preDEL!AX593)</f>
        <v/>
      </c>
      <c r="AY593" s="112" t="str">
        <f>IF(preDEL!$AG593,IFERROR(0/0,""),preDEL!AY593)</f>
        <v/>
      </c>
      <c r="AZ593" s="174"/>
      <c r="BA593" s="174"/>
      <c r="BB593" s="174"/>
      <c r="BC593" s="174"/>
      <c r="BD593" s="174"/>
      <c r="BE593" s="174"/>
      <c r="BF593" s="174"/>
      <c r="BG593" s="174"/>
      <c r="BH593" s="174"/>
      <c r="BI593" s="174"/>
      <c r="BJ593" s="174"/>
      <c r="BK593" s="174"/>
      <c r="BL593" s="174"/>
      <c r="BM593" s="174"/>
      <c r="BN593" s="174"/>
      <c r="BO593" s="174"/>
      <c r="BP593" s="174"/>
      <c r="BQ593" s="174"/>
      <c r="BR593" s="174"/>
      <c r="BS593" s="174"/>
      <c r="BT593" s="174"/>
      <c r="BU593" s="174"/>
      <c r="BV593" s="174"/>
      <c r="BW593" s="174"/>
      <c r="BX593" s="174"/>
      <c r="BY593" s="174"/>
      <c r="BZ593" s="174"/>
      <c r="CA593" s="174"/>
      <c r="CB593" s="174"/>
      <c r="CC593" s="174"/>
      <c r="CD593" s="174"/>
    </row>
    <row r="594">
      <c r="A594" s="105" t="str">
        <f>IF(preDEL!$AG594,IFERROR(0/0,""),preDEL!A594)</f>
        <v>MA394</v>
      </c>
      <c r="B594" s="170">
        <f>IF(preDEL!$AG594,IFERROR(0/0,""),preDEL!B594)</f>
        <v>44619</v>
      </c>
      <c r="C594" s="171">
        <f>IF(preDEL!$AG594,IFERROR(0/0,""),preDEL!C594)</f>
        <v>0.3128587963</v>
      </c>
      <c r="D594" s="105" t="str">
        <f>IF(preDEL!$AG594,IFERROR(0/0,""),preDEL!D594)</f>
        <v/>
      </c>
      <c r="E594" s="105" t="str">
        <f>IF(preDEL!$AG594,IFERROR(0/0,""),preDEL!E594)</f>
        <v/>
      </c>
      <c r="F594" s="112" t="str">
        <f>IF(preDEL!$AG594,IFERROR(0/0,""),preDEL!F594)</f>
        <v/>
      </c>
      <c r="G594" s="112" t="str">
        <f>IF(preDEL!$AG594,IFERROR(0/0,""),preDEL!G594)</f>
        <v/>
      </c>
      <c r="H594" s="112" t="str">
        <f>IF(preDEL!$AG594,IFERROR(0/0,""),preDEL!H594)</f>
        <v/>
      </c>
      <c r="I594" s="105" t="str">
        <f>IF(preDEL!$AG594,IFERROR(0/0,""),preDEL!I594)</f>
        <v/>
      </c>
      <c r="J594" s="105" t="str">
        <f>IF(preDEL!$AG594,IFERROR(0/0,""),preDEL!J594)</f>
        <v/>
      </c>
      <c r="K594" s="105" t="str">
        <f>IF(preDEL!$AG594,IFERROR(0/0,""),preDEL!K594)</f>
        <v>Negative</v>
      </c>
      <c r="L594" s="170">
        <f>IF(preDEL!$AG594,IFERROR(0/0,""),preDEL!L594)</f>
        <v>44621</v>
      </c>
      <c r="M594" s="171">
        <f>IF(preDEL!$AG594,IFERROR(0/0,""),preDEL!M594)</f>
        <v>0.4783449074</v>
      </c>
      <c r="N594" s="112" t="str">
        <f>IF(preDEL!$AG594,IFERROR(0/0,""),preDEL!N594)</f>
        <v/>
      </c>
      <c r="O594" s="112" t="str">
        <f>IF(preDEL!$AG594,IFERROR(0/0,""),preDEL!O594)</f>
        <v/>
      </c>
      <c r="P594" s="110" t="b">
        <f>IF(preDEL!$AG594,IFERROR(0/0,""),preDEL!P594)</f>
        <v>0</v>
      </c>
      <c r="Q594" s="110" t="str">
        <f>IF(preDEL!$AG594,IFERROR(0/0,""),preDEL!Q594)</f>
        <v>Result</v>
      </c>
      <c r="R594" s="104" t="b">
        <f>IF(preDEL!$AG594,IFERROR(0/0,""),preDEL!R594)</f>
        <v>1</v>
      </c>
      <c r="S594" s="104">
        <f>IF(preDEL!$AG594,IFERROR(0/0,""),preDEL!S594)</f>
        <v>1</v>
      </c>
      <c r="T594" s="110" t="str">
        <f>IF(preDEL!$AG594,IFERROR(0/0,""),preDEL!T594)</f>
        <v/>
      </c>
      <c r="U594" s="112" t="str">
        <f>IF(preDEL!$AG594,IFERROR(0/0,""),preDEL!U594)</f>
        <v/>
      </c>
      <c r="V594" s="105" t="str">
        <f>IF(preDEL!$AG594,IFERROR(0/0,""),preDEL!V594)</f>
        <v/>
      </c>
      <c r="W594" s="112" t="str">
        <f>IF(preDEL!$AG594,IFERROR(0/0,""),preDEL!W594)</f>
        <v/>
      </c>
      <c r="X594" s="104" t="b">
        <f>IF(preDEL!$AG594,IFERROR(0/0,""),preDEL!X594)</f>
        <v>0</v>
      </c>
      <c r="Y594" s="110" t="b">
        <f>IF(preDEL!$AG594,IFERROR(0/0,""),preDEL!Y594)</f>
        <v>0</v>
      </c>
      <c r="Z594" s="105" t="str">
        <f>IF(preDEL!$AG594,IFERROR(0/0,""),preDEL!Z594)</f>
        <v/>
      </c>
      <c r="AA594" s="110" t="b">
        <f>IF(preDEL!$AG594,IFERROR(0/0,""),preDEL!AA594)</f>
        <v>0</v>
      </c>
      <c r="AB594" s="110" t="b">
        <f>IF(preDEL!$AG594,IFERROR(0/0,""),preDEL!AB594)</f>
        <v>0</v>
      </c>
      <c r="AC594" s="172">
        <f>IF(preDEL!$AG594,IFERROR(0/0,""),preDEL!AC594)</f>
        <v>220</v>
      </c>
      <c r="AD594" s="104" t="b">
        <f>IF(preDEL!$AG594,IFERROR(0/0,""),preDEL!AD594)</f>
        <v>0</v>
      </c>
      <c r="AE594" s="173" t="str">
        <f>IF(preDEL!$AG594,IFERROR(0/0,""),preDEL!AE594)</f>
        <v/>
      </c>
      <c r="AF594" s="110" t="b">
        <f>IF(preDEL!$AG594,IFERROR(0/0,""),preDEL!AF594)</f>
        <v>0</v>
      </c>
      <c r="AG594" s="110" t="b">
        <f>IF(preDEL!$AG594,IFERROR(0/0,""),preDEL!AG594)</f>
        <v>0</v>
      </c>
      <c r="AH594" s="104" t="str">
        <f>IF(preDEL!$AG594,IFERROR(0/0,""),preDEL!AH594)</f>
        <v/>
      </c>
      <c r="AI594" s="105" t="str">
        <f>IF(preDEL!$AG594,IFERROR(0/0,""),preDEL!AI594)</f>
        <v/>
      </c>
      <c r="AJ594" s="112" t="str">
        <f>IF(preDEL!$AG594,IFERROR(0/0,""),preDEL!AJ594)</f>
        <v/>
      </c>
      <c r="AK594" s="105" t="str">
        <f>IF(preDEL!$AG594,IFERROR(0/0,""),preDEL!AK594)</f>
        <v>Negative</v>
      </c>
      <c r="AL594" s="112" t="str">
        <f>IF(preDEL!$AG594,IFERROR(0/0,""),preDEL!AL594)</f>
        <v/>
      </c>
      <c r="AM594" s="112" t="str">
        <f>IF(preDEL!$AG594,IFERROR(0/0,""),preDEL!AM594)</f>
        <v>SpBEND435789</v>
      </c>
      <c r="AN594" s="112" t="str">
        <f>IF(preDEL!$AG594,IFERROR(0/0,""),preDEL!AN594)</f>
        <v>BEND741633</v>
      </c>
      <c r="AO594" s="112" t="str">
        <f>IF(preDEL!$AG594,IFERROR(0/0,""),preDEL!AO594)</f>
        <v/>
      </c>
      <c r="AP594" s="112" t="str">
        <f>IF(preDEL!$AG594,IFERROR(0/0,""),preDEL!AP594)</f>
        <v/>
      </c>
      <c r="AQ594" s="112" t="str">
        <f>IF(preDEL!$AG594,IFERROR(0/0,""),preDEL!AQ594)</f>
        <v/>
      </c>
      <c r="AR594" s="112" t="str">
        <f>IF(preDEL!$AG594,IFERROR(0/0,""),preDEL!AR594)</f>
        <v/>
      </c>
      <c r="AS594" s="112" t="str">
        <f>IF(preDEL!$AG594,IFERROR(0/0,""),preDEL!AS594)</f>
        <v/>
      </c>
      <c r="AT594" s="112" t="b">
        <f>IF(preDEL!$AG594,IFERROR(0/0,""),preDEL!AT594)</f>
        <v>0</v>
      </c>
      <c r="AU594" s="112" t="str">
        <f>IF(preDEL!$AG594,IFERROR(0/0,""),preDEL!AU594)</f>
        <v/>
      </c>
      <c r="AV594" s="112" t="str">
        <f>IF(preDEL!$AG594,IFERROR(0/0,""),preDEL!AV594)</f>
        <v/>
      </c>
      <c r="AW594" s="112" t="str">
        <f>IF(preDEL!$AG594,IFERROR(0/0,""),preDEL!AW594)</f>
        <v/>
      </c>
      <c r="AX594" s="112" t="str">
        <f>IF(preDEL!$AG594,IFERROR(0/0,""),preDEL!AX594)</f>
        <v/>
      </c>
      <c r="AY594" s="112" t="str">
        <f>IF(preDEL!$AG594,IFERROR(0/0,""),preDEL!AY594)</f>
        <v/>
      </c>
      <c r="AZ594" s="174"/>
      <c r="BA594" s="174"/>
      <c r="BB594" s="174"/>
      <c r="BC594" s="174"/>
      <c r="BD594" s="174"/>
      <c r="BE594" s="174"/>
      <c r="BF594" s="174"/>
      <c r="BG594" s="174"/>
      <c r="BH594" s="174"/>
      <c r="BI594" s="174"/>
      <c r="BJ594" s="174"/>
      <c r="BK594" s="174"/>
      <c r="BL594" s="174"/>
      <c r="BM594" s="174"/>
      <c r="BN594" s="174"/>
      <c r="BO594" s="174"/>
      <c r="BP594" s="174"/>
      <c r="BQ594" s="174"/>
      <c r="BR594" s="174"/>
      <c r="BS594" s="174"/>
      <c r="BT594" s="174"/>
      <c r="BU594" s="174"/>
      <c r="BV594" s="174"/>
      <c r="BW594" s="174"/>
      <c r="BX594" s="174"/>
      <c r="BY594" s="174"/>
      <c r="BZ594" s="174"/>
      <c r="CA594" s="174"/>
      <c r="CB594" s="174"/>
      <c r="CC594" s="174"/>
      <c r="CD594" s="174"/>
    </row>
    <row r="595">
      <c r="A595" s="105" t="str">
        <f>IF(preDEL!$AG595,IFERROR(0/0,""),preDEL!A595)</f>
        <v>FM2</v>
      </c>
      <c r="B595" s="170">
        <f>IF(preDEL!$AG595,IFERROR(0/0,""),preDEL!B595)</f>
        <v>44619</v>
      </c>
      <c r="C595" s="171">
        <f>IF(preDEL!$AG595,IFERROR(0/0,""),preDEL!C595)</f>
        <v>0.3136458333</v>
      </c>
      <c r="D595" s="105" t="str">
        <f>IF(preDEL!$AG595,IFERROR(0/0,""),preDEL!D595)</f>
        <v/>
      </c>
      <c r="E595" s="105" t="str">
        <f>IF(preDEL!$AG595,IFERROR(0/0,""),preDEL!E595)</f>
        <v/>
      </c>
      <c r="F595" s="112" t="str">
        <f>IF(preDEL!$AG595,IFERROR(0/0,""),preDEL!F595)</f>
        <v/>
      </c>
      <c r="G595" s="112" t="str">
        <f>IF(preDEL!$AG595,IFERROR(0/0,""),preDEL!G595)</f>
        <v/>
      </c>
      <c r="H595" s="112" t="str">
        <f>IF(preDEL!$AG595,IFERROR(0/0,""),preDEL!H595)</f>
        <v/>
      </c>
      <c r="I595" s="175" t="str">
        <f>IF(preDEL!$AG595,IFERROR(0/0,""),preDEL!I595)</f>
        <v/>
      </c>
      <c r="J595" s="105" t="str">
        <f>IF(preDEL!$AG595,IFERROR(0/0,""),preDEL!J595)</f>
        <v/>
      </c>
      <c r="K595" s="105" t="str">
        <f>IF(preDEL!$AG595,IFERROR(0/0,""),preDEL!K595)</f>
        <v>Negative</v>
      </c>
      <c r="L595" s="170">
        <f>IF(preDEL!$AG595,IFERROR(0/0,""),preDEL!L595)</f>
        <v>44621</v>
      </c>
      <c r="M595" s="171">
        <f>IF(preDEL!$AG595,IFERROR(0/0,""),preDEL!M595)</f>
        <v>0.4783449074</v>
      </c>
      <c r="N595" s="112" t="str">
        <f>IF(preDEL!$AG595,IFERROR(0/0,""),preDEL!N595)</f>
        <v>Primary</v>
      </c>
      <c r="O595" s="112" t="str">
        <f>IF(preDEL!$AG595,IFERROR(0/0,""),preDEL!O595)</f>
        <v/>
      </c>
      <c r="P595" s="110" t="b">
        <f>IF(preDEL!$AG595,IFERROR(0/0,""),preDEL!P595)</f>
        <v>0</v>
      </c>
      <c r="Q595" s="110" t="str">
        <f>IF(preDEL!$AG595,IFERROR(0/0,""),preDEL!Q595)</f>
        <v>Result</v>
      </c>
      <c r="R595" s="104" t="b">
        <f>IF(preDEL!$AG595,IFERROR(0/0,""),preDEL!R595)</f>
        <v>1</v>
      </c>
      <c r="S595" s="104">
        <f>IF(preDEL!$AG595,IFERROR(0/0,""),preDEL!S595)</f>
        <v>1</v>
      </c>
      <c r="T595" s="110">
        <f>IF(preDEL!$AG595,IFERROR(0/0,""),preDEL!T595)</f>
        <v>0</v>
      </c>
      <c r="U595" s="112" t="str">
        <f>IF(preDEL!$AG595,IFERROR(0/0,""),preDEL!U595)</f>
        <v/>
      </c>
      <c r="V595" s="105" t="str">
        <f>IF(preDEL!$AG595,IFERROR(0/0,""),preDEL!V595)</f>
        <v/>
      </c>
      <c r="W595" s="112" t="str">
        <f>IF(preDEL!$AG595,IFERROR(0/0,""),preDEL!W595)</f>
        <v/>
      </c>
      <c r="X595" s="104" t="b">
        <f>IF(preDEL!$AG595,IFERROR(0/0,""),preDEL!X595)</f>
        <v>0</v>
      </c>
      <c r="Y595" s="110" t="b">
        <f>IF(preDEL!$AG595,IFERROR(0/0,""),preDEL!Y595)</f>
        <v>0</v>
      </c>
      <c r="Z595" s="105" t="str">
        <f>IF(preDEL!$AG595,IFERROR(0/0,""),preDEL!Z595)</f>
        <v/>
      </c>
      <c r="AA595" s="110" t="b">
        <f>IF(preDEL!$AG595,IFERROR(0/0,""),preDEL!AA595)</f>
        <v>0</v>
      </c>
      <c r="AB595" s="110" t="b">
        <f>IF(preDEL!$AG595,IFERROR(0/0,""),preDEL!AB595)</f>
        <v>0</v>
      </c>
      <c r="AC595" s="172">
        <f>IF(preDEL!$AG595,IFERROR(0/0,""),preDEL!AC595)</f>
        <v>788</v>
      </c>
      <c r="AD595" s="104" t="b">
        <f>IF(preDEL!$AG595,IFERROR(0/0,""),preDEL!AD595)</f>
        <v>1</v>
      </c>
      <c r="AE595" s="173" t="str">
        <f>IF(preDEL!$AG595,IFERROR(0/0,""),preDEL!AE595)</f>
        <v/>
      </c>
      <c r="AF595" s="110" t="b">
        <f>IF(preDEL!$AG595,IFERROR(0/0,""),preDEL!AF595)</f>
        <v>0</v>
      </c>
      <c r="AG595" s="110" t="b">
        <f>IF(preDEL!$AG595,IFERROR(0/0,""),preDEL!AG595)</f>
        <v>0</v>
      </c>
      <c r="AH595" s="104" t="str">
        <f>IF(preDEL!$AG595,IFERROR(0/0,""),preDEL!AH595)</f>
        <v/>
      </c>
      <c r="AI595" s="105" t="str">
        <f>IF(preDEL!$AG595,IFERROR(0/0,""),preDEL!AI595)</f>
        <v/>
      </c>
      <c r="AJ595" s="112" t="str">
        <f>IF(preDEL!$AG595,IFERROR(0/0,""),preDEL!AJ595)</f>
        <v/>
      </c>
      <c r="AK595" s="105" t="str">
        <f>IF(preDEL!$AG595,IFERROR(0/0,""),preDEL!AK595)</f>
        <v>Negative</v>
      </c>
      <c r="AL595" s="112" t="str">
        <f>IF(preDEL!$AG595,IFERROR(0/0,""),preDEL!AL595)</f>
        <v/>
      </c>
      <c r="AM595" s="112" t="str">
        <f>IF(preDEL!$AG595,IFERROR(0/0,""),preDEL!AM595)</f>
        <v>SpBEND136234</v>
      </c>
      <c r="AN595" s="112" t="str">
        <f>IF(preDEL!$AG595,IFERROR(0/0,""),preDEL!AN595)</f>
        <v>BEND350468</v>
      </c>
      <c r="AO595" s="112" t="str">
        <f>IF(preDEL!$AG595,IFERROR(0/0,""),preDEL!AO595)</f>
        <v/>
      </c>
      <c r="AP595" s="112" t="str">
        <f>IF(preDEL!$AG595,IFERROR(0/0,""),preDEL!AP595)</f>
        <v/>
      </c>
      <c r="AQ595" s="112" t="str">
        <f>IF(preDEL!$AG595,IFERROR(0/0,""),preDEL!AQ595)</f>
        <v/>
      </c>
      <c r="AR595" s="112" t="str">
        <f>IF(preDEL!$AG595,IFERROR(0/0,""),preDEL!AR595)</f>
        <v/>
      </c>
      <c r="AS595" s="112" t="str">
        <f>IF(preDEL!$AG595,IFERROR(0/0,""),preDEL!AS595)</f>
        <v/>
      </c>
      <c r="AT595" s="112" t="b">
        <f>IF(preDEL!$AG595,IFERROR(0/0,""),preDEL!AT595)</f>
        <v>0</v>
      </c>
      <c r="AU595" s="112" t="str">
        <f>IF(preDEL!$AG595,IFERROR(0/0,""),preDEL!AU595)</f>
        <v/>
      </c>
      <c r="AV595" s="112" t="str">
        <f>IF(preDEL!$AG595,IFERROR(0/0,""),preDEL!AV595)</f>
        <v/>
      </c>
      <c r="AW595" s="112" t="str">
        <f>IF(preDEL!$AG595,IFERROR(0/0,""),preDEL!AW595)</f>
        <v/>
      </c>
      <c r="AX595" s="112" t="str">
        <f>IF(preDEL!$AG595,IFERROR(0/0,""),preDEL!AX595)</f>
        <v/>
      </c>
      <c r="AY595" s="112" t="str">
        <f>IF(preDEL!$AG595,IFERROR(0/0,""),preDEL!AY595)</f>
        <v/>
      </c>
      <c r="AZ595" s="174"/>
      <c r="BA595" s="174"/>
      <c r="BB595" s="174"/>
      <c r="BC595" s="174"/>
      <c r="BD595" s="174"/>
      <c r="BE595" s="174"/>
      <c r="BF595" s="174"/>
      <c r="BG595" s="174"/>
      <c r="BH595" s="174"/>
      <c r="BI595" s="174"/>
      <c r="BJ595" s="174"/>
      <c r="BK595" s="174"/>
      <c r="BL595" s="174"/>
      <c r="BM595" s="174"/>
      <c r="BN595" s="174"/>
      <c r="BO595" s="174"/>
      <c r="BP595" s="174"/>
      <c r="BQ595" s="174"/>
      <c r="BR595" s="174"/>
      <c r="BS595" s="174"/>
      <c r="BT595" s="174"/>
      <c r="BU595" s="174"/>
      <c r="BV595" s="174"/>
      <c r="BW595" s="174"/>
      <c r="BX595" s="174"/>
      <c r="BY595" s="174"/>
      <c r="BZ595" s="174"/>
      <c r="CA595" s="174"/>
      <c r="CB595" s="174"/>
      <c r="CC595" s="174"/>
      <c r="CD595" s="174"/>
    </row>
    <row r="596">
      <c r="A596" s="105" t="str">
        <f>IF(preDEL!$AG596,IFERROR(0/0,""),preDEL!A596)</f>
        <v>MA1123</v>
      </c>
      <c r="B596" s="170">
        <f>IF(preDEL!$AG596,IFERROR(0/0,""),preDEL!B596)</f>
        <v>44619</v>
      </c>
      <c r="C596" s="171">
        <f>IF(preDEL!$AG596,IFERROR(0/0,""),preDEL!C596)</f>
        <v>0.3194212963</v>
      </c>
      <c r="D596" s="105" t="str">
        <f>IF(preDEL!$AG596,IFERROR(0/0,""),preDEL!D596)</f>
        <v/>
      </c>
      <c r="E596" s="105" t="str">
        <f>IF(preDEL!$AG596,IFERROR(0/0,""),preDEL!E596)</f>
        <v/>
      </c>
      <c r="F596" s="112" t="str">
        <f>IF(preDEL!$AG596,IFERROR(0/0,""),preDEL!F596)</f>
        <v/>
      </c>
      <c r="G596" s="112" t="str">
        <f>IF(preDEL!$AG596,IFERROR(0/0,""),preDEL!G596)</f>
        <v/>
      </c>
      <c r="H596" s="112" t="str">
        <f>IF(preDEL!$AG596,IFERROR(0/0,""),preDEL!H596)</f>
        <v/>
      </c>
      <c r="I596" s="105" t="str">
        <f>IF(preDEL!$AG596,IFERROR(0/0,""),preDEL!I596)</f>
        <v/>
      </c>
      <c r="J596" s="105" t="str">
        <f>IF(preDEL!$AG596,IFERROR(0/0,""),preDEL!J596)</f>
        <v/>
      </c>
      <c r="K596" s="105" t="str">
        <f>IF(preDEL!$AG596,IFERROR(0/0,""),preDEL!K596)</f>
        <v>Negative</v>
      </c>
      <c r="L596" s="170">
        <f>IF(preDEL!$AG596,IFERROR(0/0,""),preDEL!L596)</f>
        <v>44621</v>
      </c>
      <c r="M596" s="171">
        <f>IF(preDEL!$AG596,IFERROR(0/0,""),preDEL!M596)</f>
        <v>0.4783449074</v>
      </c>
      <c r="N596" s="112" t="str">
        <f>IF(preDEL!$AG596,IFERROR(0/0,""),preDEL!N596)</f>
        <v/>
      </c>
      <c r="O596" s="112" t="str">
        <f>IF(preDEL!$AG596,IFERROR(0/0,""),preDEL!O596)</f>
        <v/>
      </c>
      <c r="P596" s="110" t="b">
        <f>IF(preDEL!$AG596,IFERROR(0/0,""),preDEL!P596)</f>
        <v>0</v>
      </c>
      <c r="Q596" s="110" t="str">
        <f>IF(preDEL!$AG596,IFERROR(0/0,""),preDEL!Q596)</f>
        <v>Result</v>
      </c>
      <c r="R596" s="104" t="b">
        <f>IF(preDEL!$AG596,IFERROR(0/0,""),preDEL!R596)</f>
        <v>1</v>
      </c>
      <c r="S596" s="104">
        <f>IF(preDEL!$AG596,IFERROR(0/0,""),preDEL!S596)</f>
        <v>1</v>
      </c>
      <c r="T596" s="110" t="str">
        <f>IF(preDEL!$AG596,IFERROR(0/0,""),preDEL!T596)</f>
        <v/>
      </c>
      <c r="U596" s="112" t="str">
        <f>IF(preDEL!$AG596,IFERROR(0/0,""),preDEL!U596)</f>
        <v/>
      </c>
      <c r="V596" s="105" t="str">
        <f>IF(preDEL!$AG596,IFERROR(0/0,""),preDEL!V596)</f>
        <v/>
      </c>
      <c r="W596" s="112" t="str">
        <f>IF(preDEL!$AG596,IFERROR(0/0,""),preDEL!W596)</f>
        <v/>
      </c>
      <c r="X596" s="104" t="b">
        <f>IF(preDEL!$AG596,IFERROR(0/0,""),preDEL!X596)</f>
        <v>0</v>
      </c>
      <c r="Y596" s="110" t="b">
        <f>IF(preDEL!$AG596,IFERROR(0/0,""),preDEL!Y596)</f>
        <v>0</v>
      </c>
      <c r="Z596" s="105" t="str">
        <f>IF(preDEL!$AG596,IFERROR(0/0,""),preDEL!Z596)</f>
        <v/>
      </c>
      <c r="AA596" s="110" t="b">
        <f>IF(preDEL!$AG596,IFERROR(0/0,""),preDEL!AA596)</f>
        <v>0</v>
      </c>
      <c r="AB596" s="110" t="b">
        <f>IF(preDEL!$AG596,IFERROR(0/0,""),preDEL!AB596)</f>
        <v>0</v>
      </c>
      <c r="AC596" s="172">
        <f>IF(preDEL!$AG596,IFERROR(0/0,""),preDEL!AC596)</f>
        <v>219</v>
      </c>
      <c r="AD596" s="104" t="b">
        <f>IF(preDEL!$AG596,IFERROR(0/0,""),preDEL!AD596)</f>
        <v>0</v>
      </c>
      <c r="AE596" s="173" t="str">
        <f>IF(preDEL!$AG596,IFERROR(0/0,""),preDEL!AE596)</f>
        <v/>
      </c>
      <c r="AF596" s="110" t="b">
        <f>IF(preDEL!$AG596,IFERROR(0/0,""),preDEL!AF596)</f>
        <v>0</v>
      </c>
      <c r="AG596" s="110" t="b">
        <f>IF(preDEL!$AG596,IFERROR(0/0,""),preDEL!AG596)</f>
        <v>0</v>
      </c>
      <c r="AH596" s="104" t="str">
        <f>IF(preDEL!$AG596,IFERROR(0/0,""),preDEL!AH596)</f>
        <v/>
      </c>
      <c r="AI596" s="105" t="str">
        <f>IF(preDEL!$AG596,IFERROR(0/0,""),preDEL!AI596)</f>
        <v/>
      </c>
      <c r="AJ596" s="112" t="str">
        <f>IF(preDEL!$AG596,IFERROR(0/0,""),preDEL!AJ596)</f>
        <v/>
      </c>
      <c r="AK596" s="105" t="str">
        <f>IF(preDEL!$AG596,IFERROR(0/0,""),preDEL!AK596)</f>
        <v>Negative</v>
      </c>
      <c r="AL596" s="112" t="str">
        <f>IF(preDEL!$AG596,IFERROR(0/0,""),preDEL!AL596)</f>
        <v/>
      </c>
      <c r="AM596" s="112" t="str">
        <f>IF(preDEL!$AG596,IFERROR(0/0,""),preDEL!AM596)</f>
        <v>SpBEND845568</v>
      </c>
      <c r="AN596" s="112" t="str">
        <f>IF(preDEL!$AG596,IFERROR(0/0,""),preDEL!AN596)</f>
        <v>BEND601151</v>
      </c>
      <c r="AO596" s="112" t="str">
        <f>IF(preDEL!$AG596,IFERROR(0/0,""),preDEL!AO596)</f>
        <v/>
      </c>
      <c r="AP596" s="112" t="str">
        <f>IF(preDEL!$AG596,IFERROR(0/0,""),preDEL!AP596)</f>
        <v/>
      </c>
      <c r="AQ596" s="112" t="str">
        <f>IF(preDEL!$AG596,IFERROR(0/0,""),preDEL!AQ596)</f>
        <v/>
      </c>
      <c r="AR596" s="112" t="str">
        <f>IF(preDEL!$AG596,IFERROR(0/0,""),preDEL!AR596)</f>
        <v/>
      </c>
      <c r="AS596" s="112" t="str">
        <f>IF(preDEL!$AG596,IFERROR(0/0,""),preDEL!AS596)</f>
        <v/>
      </c>
      <c r="AT596" s="112" t="b">
        <f>IF(preDEL!$AG596,IFERROR(0/0,""),preDEL!AT596)</f>
        <v>0</v>
      </c>
      <c r="AU596" s="112" t="str">
        <f>IF(preDEL!$AG596,IFERROR(0/0,""),preDEL!AU596)</f>
        <v/>
      </c>
      <c r="AV596" s="112" t="str">
        <f>IF(preDEL!$AG596,IFERROR(0/0,""),preDEL!AV596)</f>
        <v/>
      </c>
      <c r="AW596" s="112" t="str">
        <f>IF(preDEL!$AG596,IFERROR(0/0,""),preDEL!AW596)</f>
        <v/>
      </c>
      <c r="AX596" s="112" t="str">
        <f>IF(preDEL!$AG596,IFERROR(0/0,""),preDEL!AX596)</f>
        <v/>
      </c>
      <c r="AY596" s="112" t="str">
        <f>IF(preDEL!$AG596,IFERROR(0/0,""),preDEL!AY596)</f>
        <v/>
      </c>
      <c r="AZ596" s="174"/>
      <c r="BA596" s="174"/>
      <c r="BB596" s="174"/>
      <c r="BC596" s="174"/>
      <c r="BD596" s="174"/>
      <c r="BE596" s="174"/>
      <c r="BF596" s="174"/>
      <c r="BG596" s="174"/>
      <c r="BH596" s="174"/>
      <c r="BI596" s="174"/>
      <c r="BJ596" s="174"/>
      <c r="BK596" s="174"/>
      <c r="BL596" s="174"/>
      <c r="BM596" s="174"/>
      <c r="BN596" s="174"/>
      <c r="BO596" s="174"/>
      <c r="BP596" s="174"/>
      <c r="BQ596" s="174"/>
      <c r="BR596" s="174"/>
      <c r="BS596" s="174"/>
      <c r="BT596" s="174"/>
      <c r="BU596" s="174"/>
      <c r="BV596" s="174"/>
      <c r="BW596" s="174"/>
      <c r="BX596" s="174"/>
      <c r="BY596" s="174"/>
      <c r="BZ596" s="174"/>
      <c r="CA596" s="174"/>
      <c r="CB596" s="174"/>
      <c r="CC596" s="174"/>
      <c r="CD596" s="174"/>
    </row>
    <row r="597">
      <c r="A597" s="105" t="str">
        <f>IF(preDEL!$AG597,IFERROR(0/0,""),preDEL!A597)</f>
        <v>MA1263</v>
      </c>
      <c r="B597" s="170">
        <f>IF(preDEL!$AG597,IFERROR(0/0,""),preDEL!B597)</f>
        <v>44619</v>
      </c>
      <c r="C597" s="171">
        <f>IF(preDEL!$AG597,IFERROR(0/0,""),preDEL!C597)</f>
        <v>0.3200462963</v>
      </c>
      <c r="D597" s="105" t="str">
        <f>IF(preDEL!$AG597,IFERROR(0/0,""),preDEL!D597)</f>
        <v/>
      </c>
      <c r="E597" s="105" t="str">
        <f>IF(preDEL!$AG597,IFERROR(0/0,""),preDEL!E597)</f>
        <v/>
      </c>
      <c r="F597" s="112" t="str">
        <f>IF(preDEL!$AG597,IFERROR(0/0,""),preDEL!F597)</f>
        <v/>
      </c>
      <c r="G597" s="112" t="str">
        <f>IF(preDEL!$AG597,IFERROR(0/0,""),preDEL!G597)</f>
        <v/>
      </c>
      <c r="H597" s="112" t="str">
        <f>IF(preDEL!$AG597,IFERROR(0/0,""),preDEL!H597)</f>
        <v/>
      </c>
      <c r="I597" s="105" t="str">
        <f>IF(preDEL!$AG597,IFERROR(0/0,""),preDEL!I597)</f>
        <v/>
      </c>
      <c r="J597" s="105" t="str">
        <f>IF(preDEL!$AG597,IFERROR(0/0,""),preDEL!J597)</f>
        <v/>
      </c>
      <c r="K597" s="105" t="str">
        <f>IF(preDEL!$AG597,IFERROR(0/0,""),preDEL!K597)</f>
        <v>Negative</v>
      </c>
      <c r="L597" s="170">
        <f>IF(preDEL!$AG597,IFERROR(0/0,""),preDEL!L597)</f>
        <v>44621</v>
      </c>
      <c r="M597" s="171">
        <f>IF(preDEL!$AG597,IFERROR(0/0,""),preDEL!M597)</f>
        <v>0.4783449074</v>
      </c>
      <c r="N597" s="112" t="str">
        <f>IF(preDEL!$AG597,IFERROR(0/0,""),preDEL!N597)</f>
        <v/>
      </c>
      <c r="O597" s="112" t="str">
        <f>IF(preDEL!$AG597,IFERROR(0/0,""),preDEL!O597)</f>
        <v/>
      </c>
      <c r="P597" s="110" t="b">
        <f>IF(preDEL!$AG597,IFERROR(0/0,""),preDEL!P597)</f>
        <v>0</v>
      </c>
      <c r="Q597" s="110" t="str">
        <f>IF(preDEL!$AG597,IFERROR(0/0,""),preDEL!Q597)</f>
        <v>Result</v>
      </c>
      <c r="R597" s="104" t="b">
        <f>IF(preDEL!$AG597,IFERROR(0/0,""),preDEL!R597)</f>
        <v>1</v>
      </c>
      <c r="S597" s="104">
        <f>IF(preDEL!$AG597,IFERROR(0/0,""),preDEL!S597)</f>
        <v>1</v>
      </c>
      <c r="T597" s="110" t="str">
        <f>IF(preDEL!$AG597,IFERROR(0/0,""),preDEL!T597)</f>
        <v/>
      </c>
      <c r="U597" s="112" t="str">
        <f>IF(preDEL!$AG597,IFERROR(0/0,""),preDEL!U597)</f>
        <v/>
      </c>
      <c r="V597" s="105" t="str">
        <f>IF(preDEL!$AG597,IFERROR(0/0,""),preDEL!V597)</f>
        <v/>
      </c>
      <c r="W597" s="112" t="str">
        <f>IF(preDEL!$AG597,IFERROR(0/0,""),preDEL!W597)</f>
        <v/>
      </c>
      <c r="X597" s="104" t="b">
        <f>IF(preDEL!$AG597,IFERROR(0/0,""),preDEL!X597)</f>
        <v>0</v>
      </c>
      <c r="Y597" s="110" t="b">
        <f>IF(preDEL!$AG597,IFERROR(0/0,""),preDEL!Y597)</f>
        <v>0</v>
      </c>
      <c r="Z597" s="105" t="str">
        <f>IF(preDEL!$AG597,IFERROR(0/0,""),preDEL!Z597)</f>
        <v/>
      </c>
      <c r="AA597" s="110" t="b">
        <f>IF(preDEL!$AG597,IFERROR(0/0,""),preDEL!AA597)</f>
        <v>0</v>
      </c>
      <c r="AB597" s="110" t="b">
        <f>IF(preDEL!$AG597,IFERROR(0/0,""),preDEL!AB597)</f>
        <v>0</v>
      </c>
      <c r="AC597" s="172">
        <f>IF(preDEL!$AG597,IFERROR(0/0,""),preDEL!AC597)</f>
        <v>218</v>
      </c>
      <c r="AD597" s="104" t="b">
        <f>IF(preDEL!$AG597,IFERROR(0/0,""),preDEL!AD597)</f>
        <v>0</v>
      </c>
      <c r="AE597" s="173" t="str">
        <f>IF(preDEL!$AG597,IFERROR(0/0,""),preDEL!AE597)</f>
        <v/>
      </c>
      <c r="AF597" s="110" t="b">
        <f>IF(preDEL!$AG597,IFERROR(0/0,""),preDEL!AF597)</f>
        <v>0</v>
      </c>
      <c r="AG597" s="110" t="b">
        <f>IF(preDEL!$AG597,IFERROR(0/0,""),preDEL!AG597)</f>
        <v>0</v>
      </c>
      <c r="AH597" s="104" t="str">
        <f>IF(preDEL!$AG597,IFERROR(0/0,""),preDEL!AH597)</f>
        <v/>
      </c>
      <c r="AI597" s="105" t="str">
        <f>IF(preDEL!$AG597,IFERROR(0/0,""),preDEL!AI597)</f>
        <v/>
      </c>
      <c r="AJ597" s="112" t="str">
        <f>IF(preDEL!$AG597,IFERROR(0/0,""),preDEL!AJ597)</f>
        <v/>
      </c>
      <c r="AK597" s="105" t="str">
        <f>IF(preDEL!$AG597,IFERROR(0/0,""),preDEL!AK597)</f>
        <v>Negative</v>
      </c>
      <c r="AL597" s="112" t="str">
        <f>IF(preDEL!$AG597,IFERROR(0/0,""),preDEL!AL597)</f>
        <v/>
      </c>
      <c r="AM597" s="112" t="str">
        <f>IF(preDEL!$AG597,IFERROR(0/0,""),preDEL!AM597)</f>
        <v>SpBEND815974</v>
      </c>
      <c r="AN597" s="112" t="str">
        <f>IF(preDEL!$AG597,IFERROR(0/0,""),preDEL!AN597)</f>
        <v>BEND381818</v>
      </c>
      <c r="AO597" s="112" t="str">
        <f>IF(preDEL!$AG597,IFERROR(0/0,""),preDEL!AO597)</f>
        <v/>
      </c>
      <c r="AP597" s="112" t="str">
        <f>IF(preDEL!$AG597,IFERROR(0/0,""),preDEL!AP597)</f>
        <v/>
      </c>
      <c r="AQ597" s="112" t="str">
        <f>IF(preDEL!$AG597,IFERROR(0/0,""),preDEL!AQ597)</f>
        <v/>
      </c>
      <c r="AR597" s="112" t="str">
        <f>IF(preDEL!$AG597,IFERROR(0/0,""),preDEL!AR597)</f>
        <v/>
      </c>
      <c r="AS597" s="112" t="str">
        <f>IF(preDEL!$AG597,IFERROR(0/0,""),preDEL!AS597)</f>
        <v/>
      </c>
      <c r="AT597" s="112" t="b">
        <f>IF(preDEL!$AG597,IFERROR(0/0,""),preDEL!AT597)</f>
        <v>0</v>
      </c>
      <c r="AU597" s="112" t="str">
        <f>IF(preDEL!$AG597,IFERROR(0/0,""),preDEL!AU597)</f>
        <v/>
      </c>
      <c r="AV597" s="112" t="str">
        <f>IF(preDEL!$AG597,IFERROR(0/0,""),preDEL!AV597)</f>
        <v/>
      </c>
      <c r="AW597" s="112" t="str">
        <f>IF(preDEL!$AG597,IFERROR(0/0,""),preDEL!AW597)</f>
        <v/>
      </c>
      <c r="AX597" s="112" t="str">
        <f>IF(preDEL!$AG597,IFERROR(0/0,""),preDEL!AX597)</f>
        <v/>
      </c>
      <c r="AY597" s="112" t="str">
        <f>IF(preDEL!$AG597,IFERROR(0/0,""),preDEL!AY597)</f>
        <v/>
      </c>
      <c r="AZ597" s="174"/>
      <c r="BA597" s="174"/>
      <c r="BB597" s="174"/>
      <c r="BC597" s="174"/>
      <c r="BD597" s="174"/>
      <c r="BE597" s="174"/>
      <c r="BF597" s="174"/>
      <c r="BG597" s="174"/>
      <c r="BH597" s="174"/>
      <c r="BI597" s="174"/>
      <c r="BJ597" s="174"/>
      <c r="BK597" s="174"/>
      <c r="BL597" s="174"/>
      <c r="BM597" s="174"/>
      <c r="BN597" s="174"/>
      <c r="BO597" s="174"/>
      <c r="BP597" s="174"/>
      <c r="BQ597" s="174"/>
      <c r="BR597" s="174"/>
      <c r="BS597" s="174"/>
      <c r="BT597" s="174"/>
      <c r="BU597" s="174"/>
      <c r="BV597" s="174"/>
      <c r="BW597" s="174"/>
      <c r="BX597" s="174"/>
      <c r="BY597" s="174"/>
      <c r="BZ597" s="174"/>
      <c r="CA597" s="174"/>
      <c r="CB597" s="174"/>
      <c r="CC597" s="174"/>
      <c r="CD597" s="174"/>
    </row>
    <row r="598">
      <c r="A598" s="105" t="str">
        <f>IF(preDEL!$AG598,IFERROR(0/0,""),preDEL!A598)</f>
        <v>MA1090</v>
      </c>
      <c r="B598" s="170">
        <f>IF(preDEL!$AG598,IFERROR(0/0,""),preDEL!B598)</f>
        <v>44619</v>
      </c>
      <c r="C598" s="171">
        <f>IF(preDEL!$AG598,IFERROR(0/0,""),preDEL!C598)</f>
        <v>0.321087963</v>
      </c>
      <c r="D598" s="105" t="str">
        <f>IF(preDEL!$AG598,IFERROR(0/0,""),preDEL!D598)</f>
        <v/>
      </c>
      <c r="E598" s="105" t="str">
        <f>IF(preDEL!$AG598,IFERROR(0/0,""),preDEL!E598)</f>
        <v/>
      </c>
      <c r="F598" s="112" t="str">
        <f>IF(preDEL!$AG598,IFERROR(0/0,""),preDEL!F598)</f>
        <v/>
      </c>
      <c r="G598" s="112" t="str">
        <f>IF(preDEL!$AG598,IFERROR(0/0,""),preDEL!G598)</f>
        <v/>
      </c>
      <c r="H598" s="112" t="str">
        <f>IF(preDEL!$AG598,IFERROR(0/0,""),preDEL!H598)</f>
        <v/>
      </c>
      <c r="I598" s="175" t="str">
        <f>IF(preDEL!$AG598,IFERROR(0/0,""),preDEL!I598)</f>
        <v/>
      </c>
      <c r="J598" s="105" t="str">
        <f>IF(preDEL!$AG598,IFERROR(0/0,""),preDEL!J598)</f>
        <v/>
      </c>
      <c r="K598" s="105" t="str">
        <f>IF(preDEL!$AG598,IFERROR(0/0,""),preDEL!K598)</f>
        <v>Negative</v>
      </c>
      <c r="L598" s="170">
        <f>IF(preDEL!$AG598,IFERROR(0/0,""),preDEL!L598)</f>
        <v>44621</v>
      </c>
      <c r="M598" s="171">
        <f>IF(preDEL!$AG598,IFERROR(0/0,""),preDEL!M598)</f>
        <v>0.4783449074</v>
      </c>
      <c r="N598" s="112" t="str">
        <f>IF(preDEL!$AG598,IFERROR(0/0,""),preDEL!N598)</f>
        <v>Primary</v>
      </c>
      <c r="O598" s="112" t="str">
        <f>IF(preDEL!$AG598,IFERROR(0/0,""),preDEL!O598)</f>
        <v/>
      </c>
      <c r="P598" s="110" t="b">
        <f>IF(preDEL!$AG598,IFERROR(0/0,""),preDEL!P598)</f>
        <v>0</v>
      </c>
      <c r="Q598" s="110" t="str">
        <f>IF(preDEL!$AG598,IFERROR(0/0,""),preDEL!Q598)</f>
        <v>Result</v>
      </c>
      <c r="R598" s="104" t="b">
        <f>IF(preDEL!$AG598,IFERROR(0/0,""),preDEL!R598)</f>
        <v>1</v>
      </c>
      <c r="S598" s="104">
        <f>IF(preDEL!$AG598,IFERROR(0/0,""),preDEL!S598)</f>
        <v>1</v>
      </c>
      <c r="T598" s="110" t="str">
        <f>IF(preDEL!$AG598,IFERROR(0/0,""),preDEL!T598)</f>
        <v/>
      </c>
      <c r="U598" s="112" t="str">
        <f>IF(preDEL!$AG598,IFERROR(0/0,""),preDEL!U598)</f>
        <v/>
      </c>
      <c r="V598" s="105" t="str">
        <f>IF(preDEL!$AG598,IFERROR(0/0,""),preDEL!V598)</f>
        <v/>
      </c>
      <c r="W598" s="112" t="str">
        <f>IF(preDEL!$AG598,IFERROR(0/0,""),preDEL!W598)</f>
        <v/>
      </c>
      <c r="X598" s="104" t="b">
        <f>IF(preDEL!$AG598,IFERROR(0/0,""),preDEL!X598)</f>
        <v>0</v>
      </c>
      <c r="Y598" s="110" t="b">
        <f>IF(preDEL!$AG598,IFERROR(0/0,""),preDEL!Y598)</f>
        <v>0</v>
      </c>
      <c r="Z598" s="105" t="str">
        <f>IF(preDEL!$AG598,IFERROR(0/0,""),preDEL!Z598)</f>
        <v/>
      </c>
      <c r="AA598" s="110" t="b">
        <f>IF(preDEL!$AG598,IFERROR(0/0,""),preDEL!AA598)</f>
        <v>0</v>
      </c>
      <c r="AB598" s="110" t="b">
        <f>IF(preDEL!$AG598,IFERROR(0/0,""),preDEL!AB598)</f>
        <v>0</v>
      </c>
      <c r="AC598" s="172">
        <f>IF(preDEL!$AG598,IFERROR(0/0,""),preDEL!AC598)</f>
        <v>792</v>
      </c>
      <c r="AD598" s="104" t="b">
        <f>IF(preDEL!$AG598,IFERROR(0/0,""),preDEL!AD598)</f>
        <v>1</v>
      </c>
      <c r="AE598" s="173" t="str">
        <f>IF(preDEL!$AG598,IFERROR(0/0,""),preDEL!AE598)</f>
        <v/>
      </c>
      <c r="AF598" s="110" t="b">
        <f>IF(preDEL!$AG598,IFERROR(0/0,""),preDEL!AF598)</f>
        <v>0</v>
      </c>
      <c r="AG598" s="110" t="b">
        <f>IF(preDEL!$AG598,IFERROR(0/0,""),preDEL!AG598)</f>
        <v>0</v>
      </c>
      <c r="AH598" s="104" t="str">
        <f>IF(preDEL!$AG598,IFERROR(0/0,""),preDEL!AH598)</f>
        <v/>
      </c>
      <c r="AI598" s="105">
        <f>IF(preDEL!$AG598,IFERROR(0/0,""),preDEL!AI598)</f>
        <v>7</v>
      </c>
      <c r="AJ598" s="112" t="str">
        <f>IF(preDEL!$AG598,IFERROR(0/0,""),preDEL!AJ598)</f>
        <v/>
      </c>
      <c r="AK598" s="105" t="str">
        <f>IF(preDEL!$AG598,IFERROR(0/0,""),preDEL!AK598)</f>
        <v>Negative</v>
      </c>
      <c r="AL598" s="112" t="str">
        <f>IF(preDEL!$AG598,IFERROR(0/0,""),preDEL!AL598)</f>
        <v/>
      </c>
      <c r="AM598" s="112" t="str">
        <f>IF(preDEL!$AG598,IFERROR(0/0,""),preDEL!AM598)</f>
        <v>SpBEND269695</v>
      </c>
      <c r="AN598" s="112" t="str">
        <f>IF(preDEL!$AG598,IFERROR(0/0,""),preDEL!AN598)</f>
        <v>BEND200214</v>
      </c>
      <c r="AO598" s="112" t="str">
        <f>IF(preDEL!$AG598,IFERROR(0/0,""),preDEL!AO598)</f>
        <v/>
      </c>
      <c r="AP598" s="112" t="str">
        <f>IF(preDEL!$AG598,IFERROR(0/0,""),preDEL!AP598)</f>
        <v/>
      </c>
      <c r="AQ598" s="112" t="str">
        <f>IF(preDEL!$AG598,IFERROR(0/0,""),preDEL!AQ598)</f>
        <v/>
      </c>
      <c r="AR598" s="112" t="str">
        <f>IF(preDEL!$AG598,IFERROR(0/0,""),preDEL!AR598)</f>
        <v/>
      </c>
      <c r="AS598" s="112" t="str">
        <f>IF(preDEL!$AG598,IFERROR(0/0,""),preDEL!AS598)</f>
        <v/>
      </c>
      <c r="AT598" s="112" t="b">
        <f>IF(preDEL!$AG598,IFERROR(0/0,""),preDEL!AT598)</f>
        <v>0</v>
      </c>
      <c r="AU598" s="112" t="str">
        <f>IF(preDEL!$AG598,IFERROR(0/0,""),preDEL!AU598)</f>
        <v/>
      </c>
      <c r="AV598" s="112" t="str">
        <f>IF(preDEL!$AG598,IFERROR(0/0,""),preDEL!AV598)</f>
        <v/>
      </c>
      <c r="AW598" s="112" t="str">
        <f>IF(preDEL!$AG598,IFERROR(0/0,""),preDEL!AW598)</f>
        <v/>
      </c>
      <c r="AX598" s="112" t="str">
        <f>IF(preDEL!$AG598,IFERROR(0/0,""),preDEL!AX598)</f>
        <v/>
      </c>
      <c r="AY598" s="112" t="str">
        <f>IF(preDEL!$AG598,IFERROR(0/0,""),preDEL!AY598)</f>
        <v/>
      </c>
      <c r="AZ598" s="174"/>
      <c r="BA598" s="174"/>
      <c r="BB598" s="174"/>
      <c r="BC598" s="174"/>
      <c r="BD598" s="174"/>
      <c r="BE598" s="174"/>
      <c r="BF598" s="174"/>
      <c r="BG598" s="174"/>
      <c r="BH598" s="174"/>
      <c r="BI598" s="174"/>
      <c r="BJ598" s="174"/>
      <c r="BK598" s="174"/>
      <c r="BL598" s="174"/>
      <c r="BM598" s="174"/>
      <c r="BN598" s="174"/>
      <c r="BO598" s="174"/>
      <c r="BP598" s="174"/>
      <c r="BQ598" s="174"/>
      <c r="BR598" s="174"/>
      <c r="BS598" s="174"/>
      <c r="BT598" s="174"/>
      <c r="BU598" s="174"/>
      <c r="BV598" s="174"/>
      <c r="BW598" s="174"/>
      <c r="BX598" s="174"/>
      <c r="BY598" s="174"/>
      <c r="BZ598" s="174"/>
      <c r="CA598" s="174"/>
      <c r="CB598" s="174"/>
      <c r="CC598" s="174"/>
      <c r="CD598" s="174"/>
    </row>
    <row r="599">
      <c r="A599" s="105" t="str">
        <f>IF(preDEL!$AG599,IFERROR(0/0,""),preDEL!A599)</f>
        <v/>
      </c>
      <c r="B599" s="170" t="str">
        <f>IF(preDEL!$AG599,IFERROR(0/0,""),preDEL!B599)</f>
        <v/>
      </c>
      <c r="C599" s="171" t="str">
        <f>IF(preDEL!$AG599,IFERROR(0/0,""),preDEL!C599)</f>
        <v/>
      </c>
      <c r="D599" s="105" t="str">
        <f>IF(preDEL!$AG599,IFERROR(0/0,""),preDEL!D599)</f>
        <v/>
      </c>
      <c r="E599" s="105" t="str">
        <f>IF(preDEL!$AG599,IFERROR(0/0,""),preDEL!E599)</f>
        <v/>
      </c>
      <c r="F599" s="112" t="str">
        <f>IF(preDEL!$AG599,IFERROR(0/0,""),preDEL!F599)</f>
        <v/>
      </c>
      <c r="G599" s="112" t="str">
        <f>IF(preDEL!$AG599,IFERROR(0/0,""),preDEL!G599)</f>
        <v/>
      </c>
      <c r="H599" s="112" t="str">
        <f>IF(preDEL!$AG599,IFERROR(0/0,""),preDEL!H599)</f>
        <v/>
      </c>
      <c r="I599" s="105" t="str">
        <f>IF(preDEL!$AG599,IFERROR(0/0,""),preDEL!I599)</f>
        <v/>
      </c>
      <c r="J599" s="105" t="str">
        <f>IF(preDEL!$AG599,IFERROR(0/0,""),preDEL!J599)</f>
        <v/>
      </c>
      <c r="K599" s="105" t="str">
        <f>IF(preDEL!$AG599,IFERROR(0/0,""),preDEL!K599)</f>
        <v/>
      </c>
      <c r="L599" s="170" t="str">
        <f>IF(preDEL!$AG599,IFERROR(0/0,""),preDEL!L599)</f>
        <v/>
      </c>
      <c r="M599" s="171" t="str">
        <f>IF(preDEL!$AG599,IFERROR(0/0,""),preDEL!M599)</f>
        <v/>
      </c>
      <c r="N599" s="112" t="str">
        <f>IF(preDEL!$AG599,IFERROR(0/0,""),preDEL!N599)</f>
        <v/>
      </c>
      <c r="O599" s="112" t="str">
        <f>IF(preDEL!$AG599,IFERROR(0/0,""),preDEL!O599)</f>
        <v/>
      </c>
      <c r="P599" s="110" t="str">
        <f>IF(preDEL!$AG599,IFERROR(0/0,""),preDEL!P599)</f>
        <v/>
      </c>
      <c r="Q599" s="110" t="str">
        <f>IF(preDEL!$AG599,IFERROR(0/0,""),preDEL!Q599)</f>
        <v/>
      </c>
      <c r="R599" s="104" t="str">
        <f>IF(preDEL!$AG599,IFERROR(0/0,""),preDEL!R599)</f>
        <v/>
      </c>
      <c r="S599" s="104" t="str">
        <f>IF(preDEL!$AG599,IFERROR(0/0,""),preDEL!S599)</f>
        <v/>
      </c>
      <c r="T599" s="110" t="str">
        <f>IF(preDEL!$AG599,IFERROR(0/0,""),preDEL!T599)</f>
        <v/>
      </c>
      <c r="U599" s="112" t="str">
        <f>IF(preDEL!$AG599,IFERROR(0/0,""),preDEL!U599)</f>
        <v/>
      </c>
      <c r="V599" s="105" t="str">
        <f>IF(preDEL!$AG599,IFERROR(0/0,""),preDEL!V599)</f>
        <v/>
      </c>
      <c r="W599" s="112" t="str">
        <f>IF(preDEL!$AG599,IFERROR(0/0,""),preDEL!W599)</f>
        <v/>
      </c>
      <c r="X599" s="104" t="str">
        <f>IF(preDEL!$AG599,IFERROR(0/0,""),preDEL!X599)</f>
        <v/>
      </c>
      <c r="Y599" s="110" t="str">
        <f>IF(preDEL!$AG599,IFERROR(0/0,""),preDEL!Y599)</f>
        <v/>
      </c>
      <c r="Z599" s="105" t="str">
        <f>IF(preDEL!$AG599,IFERROR(0/0,""),preDEL!Z599)</f>
        <v/>
      </c>
      <c r="AA599" s="110" t="str">
        <f>IF(preDEL!$AG599,IFERROR(0/0,""),preDEL!AA599)</f>
        <v/>
      </c>
      <c r="AB599" s="110" t="str">
        <f>IF(preDEL!$AG599,IFERROR(0/0,""),preDEL!AB599)</f>
        <v/>
      </c>
      <c r="AC599" s="172" t="str">
        <f>IF(preDEL!$AG599,IFERROR(0/0,""),preDEL!AC599)</f>
        <v/>
      </c>
      <c r="AD599" s="104" t="str">
        <f>IF(preDEL!$AG599,IFERROR(0/0,""),preDEL!AD599)</f>
        <v/>
      </c>
      <c r="AE599" s="173" t="str">
        <f>IF(preDEL!$AG599,IFERROR(0/0,""),preDEL!AE599)</f>
        <v/>
      </c>
      <c r="AF599" s="110" t="str">
        <f>IF(preDEL!$AG599,IFERROR(0/0,""),preDEL!AF599)</f>
        <v/>
      </c>
      <c r="AG599" s="110" t="str">
        <f>IF(preDEL!$AG599,IFERROR(0/0,""),preDEL!AG599)</f>
        <v/>
      </c>
      <c r="AH599" s="104" t="str">
        <f>IF(preDEL!$AG599,IFERROR(0/0,""),preDEL!AH599)</f>
        <v/>
      </c>
      <c r="AI599" s="105" t="str">
        <f>IF(preDEL!$AG599,IFERROR(0/0,""),preDEL!AI599)</f>
        <v/>
      </c>
      <c r="AJ599" s="112" t="str">
        <f>IF(preDEL!$AG599,IFERROR(0/0,""),preDEL!AJ599)</f>
        <v/>
      </c>
      <c r="AK599" s="105" t="str">
        <f>IF(preDEL!$AG599,IFERROR(0/0,""),preDEL!AK599)</f>
        <v/>
      </c>
      <c r="AL599" s="112" t="str">
        <f>IF(preDEL!$AG599,IFERROR(0/0,""),preDEL!AL599)</f>
        <v/>
      </c>
      <c r="AM599" s="112" t="str">
        <f>IF(preDEL!$AG599,IFERROR(0/0,""),preDEL!AM599)</f>
        <v/>
      </c>
      <c r="AN599" s="112" t="str">
        <f>IF(preDEL!$AG599,IFERROR(0/0,""),preDEL!AN599)</f>
        <v/>
      </c>
      <c r="AO599" s="112" t="str">
        <f>IF(preDEL!$AG599,IFERROR(0/0,""),preDEL!AO599)</f>
        <v/>
      </c>
      <c r="AP599" s="112" t="str">
        <f>IF(preDEL!$AG599,IFERROR(0/0,""),preDEL!AP599)</f>
        <v/>
      </c>
      <c r="AQ599" s="112" t="str">
        <f>IF(preDEL!$AG599,IFERROR(0/0,""),preDEL!AQ599)</f>
        <v/>
      </c>
      <c r="AR599" s="112" t="str">
        <f>IF(preDEL!$AG599,IFERROR(0/0,""),preDEL!AR599)</f>
        <v/>
      </c>
      <c r="AS599" s="112" t="str">
        <f>IF(preDEL!$AG599,IFERROR(0/0,""),preDEL!AS599)</f>
        <v/>
      </c>
      <c r="AT599" s="112" t="str">
        <f>IF(preDEL!$AG599,IFERROR(0/0,""),preDEL!AT599)</f>
        <v/>
      </c>
      <c r="AU599" s="112" t="str">
        <f>IF(preDEL!$AG599,IFERROR(0/0,""),preDEL!AU599)</f>
        <v/>
      </c>
      <c r="AV599" s="112" t="str">
        <f>IF(preDEL!$AG599,IFERROR(0/0,""),preDEL!AV599)</f>
        <v/>
      </c>
      <c r="AW599" s="112" t="str">
        <f>IF(preDEL!$AG599,IFERROR(0/0,""),preDEL!AW599)</f>
        <v/>
      </c>
      <c r="AX599" s="112" t="str">
        <f>IF(preDEL!$AG599,IFERROR(0/0,""),preDEL!AX599)</f>
        <v/>
      </c>
      <c r="AY599" s="112" t="str">
        <f>IF(preDEL!$AG599,IFERROR(0/0,""),preDEL!AY599)</f>
        <v/>
      </c>
      <c r="AZ599" s="174"/>
      <c r="BA599" s="174"/>
      <c r="BB599" s="174"/>
      <c r="BC599" s="174"/>
      <c r="BD599" s="174"/>
      <c r="BE599" s="174"/>
      <c r="BF599" s="174"/>
      <c r="BG599" s="174"/>
      <c r="BH599" s="174"/>
      <c r="BI599" s="174"/>
      <c r="BJ599" s="174"/>
      <c r="BK599" s="174"/>
      <c r="BL599" s="174"/>
      <c r="BM599" s="174"/>
      <c r="BN599" s="174"/>
      <c r="BO599" s="174"/>
      <c r="BP599" s="174"/>
      <c r="BQ599" s="174"/>
      <c r="BR599" s="174"/>
      <c r="BS599" s="174"/>
      <c r="BT599" s="174"/>
      <c r="BU599" s="174"/>
      <c r="BV599" s="174"/>
      <c r="BW599" s="174"/>
      <c r="BX599" s="174"/>
      <c r="BY599" s="174"/>
      <c r="BZ599" s="174"/>
      <c r="CA599" s="174"/>
      <c r="CB599" s="174"/>
      <c r="CC599" s="174"/>
      <c r="CD599" s="174"/>
    </row>
    <row r="600">
      <c r="A600" s="105" t="str">
        <f>IF(preDEL!$AG600,IFERROR(0/0,""),preDEL!A600)</f>
        <v>FM23</v>
      </c>
      <c r="B600" s="170">
        <f>IF(preDEL!$AG600,IFERROR(0/0,""),preDEL!B600)</f>
        <v>44619</v>
      </c>
      <c r="C600" s="171">
        <f>IF(preDEL!$AG600,IFERROR(0/0,""),preDEL!C600)</f>
        <v>0.3226157407</v>
      </c>
      <c r="D600" s="105" t="str">
        <f>IF(preDEL!$AG600,IFERROR(0/0,""),preDEL!D600)</f>
        <v/>
      </c>
      <c r="E600" s="105" t="str">
        <f>IF(preDEL!$AG600,IFERROR(0/0,""),preDEL!E600)</f>
        <v/>
      </c>
      <c r="F600" s="112" t="str">
        <f>IF(preDEL!$AG600,IFERROR(0/0,""),preDEL!F600)</f>
        <v/>
      </c>
      <c r="G600" s="112" t="str">
        <f>IF(preDEL!$AG600,IFERROR(0/0,""),preDEL!G600)</f>
        <v/>
      </c>
      <c r="H600" s="112" t="str">
        <f>IF(preDEL!$AG600,IFERROR(0/0,""),preDEL!H600)</f>
        <v/>
      </c>
      <c r="I600" s="105" t="str">
        <f>IF(preDEL!$AG600,IFERROR(0/0,""),preDEL!I600)</f>
        <v/>
      </c>
      <c r="J600" s="105" t="str">
        <f>IF(preDEL!$AG600,IFERROR(0/0,""),preDEL!J600)</f>
        <v/>
      </c>
      <c r="K600" s="105" t="str">
        <f>IF(preDEL!$AG600,IFERROR(0/0,""),preDEL!K600)</f>
        <v>Negative</v>
      </c>
      <c r="L600" s="170">
        <f>IF(preDEL!$AG600,IFERROR(0/0,""),preDEL!L600)</f>
        <v>44621</v>
      </c>
      <c r="M600" s="171">
        <f>IF(preDEL!$AG600,IFERROR(0/0,""),preDEL!M600)</f>
        <v>0.4783449074</v>
      </c>
      <c r="N600" s="112" t="str">
        <f>IF(preDEL!$AG600,IFERROR(0/0,""),preDEL!N600)</f>
        <v/>
      </c>
      <c r="O600" s="112" t="str">
        <f>IF(preDEL!$AG600,IFERROR(0/0,""),preDEL!O600)</f>
        <v/>
      </c>
      <c r="P600" s="110" t="b">
        <f>IF(preDEL!$AG600,IFERROR(0/0,""),preDEL!P600)</f>
        <v>0</v>
      </c>
      <c r="Q600" s="110" t="str">
        <f>IF(preDEL!$AG600,IFERROR(0/0,""),preDEL!Q600)</f>
        <v>Result</v>
      </c>
      <c r="R600" s="104" t="b">
        <f>IF(preDEL!$AG600,IFERROR(0/0,""),preDEL!R600)</f>
        <v>0</v>
      </c>
      <c r="S600" s="104">
        <f>IF(preDEL!$AG600,IFERROR(0/0,""),preDEL!S600)</f>
        <v>2</v>
      </c>
      <c r="T600" s="110" t="str">
        <f>IF(preDEL!$AG600,IFERROR(0/0,""),preDEL!T600)</f>
        <v/>
      </c>
      <c r="U600" s="112" t="str">
        <f>IF(preDEL!$AG600,IFERROR(0/0,""),preDEL!U600)</f>
        <v/>
      </c>
      <c r="V600" s="105" t="str">
        <f>IF(preDEL!$AG600,IFERROR(0/0,""),preDEL!V600)</f>
        <v/>
      </c>
      <c r="W600" s="112" t="str">
        <f>IF(preDEL!$AG600,IFERROR(0/0,""),preDEL!W600)</f>
        <v/>
      </c>
      <c r="X600" s="104" t="b">
        <f>IF(preDEL!$AG600,IFERROR(0/0,""),preDEL!X600)</f>
        <v>0</v>
      </c>
      <c r="Y600" s="110" t="b">
        <f>IF(preDEL!$AG600,IFERROR(0/0,""),preDEL!Y600)</f>
        <v>0</v>
      </c>
      <c r="Z600" s="105" t="str">
        <f>IF(preDEL!$AG600,IFERROR(0/0,""),preDEL!Z600)</f>
        <v/>
      </c>
      <c r="AA600" s="110" t="b">
        <f>IF(preDEL!$AG600,IFERROR(0/0,""),preDEL!AA600)</f>
        <v>0</v>
      </c>
      <c r="AB600" s="110" t="b">
        <f>IF(preDEL!$AG600,IFERROR(0/0,""),preDEL!AB600)</f>
        <v>0</v>
      </c>
      <c r="AC600" s="172">
        <f>IF(preDEL!$AG600,IFERROR(0/0,""),preDEL!AC600)</f>
        <v>216</v>
      </c>
      <c r="AD600" s="104" t="b">
        <f>IF(preDEL!$AG600,IFERROR(0/0,""),preDEL!AD600)</f>
        <v>0</v>
      </c>
      <c r="AE600" s="173" t="str">
        <f>IF(preDEL!$AG600,IFERROR(0/0,""),preDEL!AE600)</f>
        <v/>
      </c>
      <c r="AF600" s="110" t="b">
        <f>IF(preDEL!$AG600,IFERROR(0/0,""),preDEL!AF600)</f>
        <v>0</v>
      </c>
      <c r="AG600" s="110" t="b">
        <f>IF(preDEL!$AG600,IFERROR(0/0,""),preDEL!AG600)</f>
        <v>0</v>
      </c>
      <c r="AH600" s="104" t="str">
        <f>IF(preDEL!$AG600,IFERROR(0/0,""),preDEL!AH600)</f>
        <v/>
      </c>
      <c r="AI600" s="105" t="str">
        <f>IF(preDEL!$AG600,IFERROR(0/0,""),preDEL!AI600)</f>
        <v/>
      </c>
      <c r="AJ600" s="112" t="str">
        <f>IF(preDEL!$AG600,IFERROR(0/0,""),preDEL!AJ600)</f>
        <v/>
      </c>
      <c r="AK600" s="105" t="str">
        <f>IF(preDEL!$AG600,IFERROR(0/0,""),preDEL!AK600)</f>
        <v>Negative</v>
      </c>
      <c r="AL600" s="112" t="str">
        <f>IF(preDEL!$AG600,IFERROR(0/0,""),preDEL!AL600)</f>
        <v/>
      </c>
      <c r="AM600" s="112" t="str">
        <f>IF(preDEL!$AG600,IFERROR(0/0,""),preDEL!AM600)</f>
        <v>SpBEND524085</v>
      </c>
      <c r="AN600" s="112" t="str">
        <f>IF(preDEL!$AG600,IFERROR(0/0,""),preDEL!AN600)</f>
        <v>BEND782170</v>
      </c>
      <c r="AO600" s="112" t="str">
        <f>IF(preDEL!$AG600,IFERROR(0/0,""),preDEL!AO600)</f>
        <v/>
      </c>
      <c r="AP600" s="112" t="str">
        <f>IF(preDEL!$AG600,IFERROR(0/0,""),preDEL!AP600)</f>
        <v/>
      </c>
      <c r="AQ600" s="112" t="str">
        <f>IF(preDEL!$AG600,IFERROR(0/0,""),preDEL!AQ600)</f>
        <v/>
      </c>
      <c r="AR600" s="112" t="str">
        <f>IF(preDEL!$AG600,IFERROR(0/0,""),preDEL!AR600)</f>
        <v/>
      </c>
      <c r="AS600" s="112" t="str">
        <f>IF(preDEL!$AG600,IFERROR(0/0,""),preDEL!AS600)</f>
        <v/>
      </c>
      <c r="AT600" s="112" t="b">
        <f>IF(preDEL!$AG600,IFERROR(0/0,""),preDEL!AT600)</f>
        <v>0</v>
      </c>
      <c r="AU600" s="112" t="str">
        <f>IF(preDEL!$AG600,IFERROR(0/0,""),preDEL!AU600)</f>
        <v/>
      </c>
      <c r="AV600" s="112" t="str">
        <f>IF(preDEL!$AG600,IFERROR(0/0,""),preDEL!AV600)</f>
        <v/>
      </c>
      <c r="AW600" s="112" t="str">
        <f>IF(preDEL!$AG600,IFERROR(0/0,""),preDEL!AW600)</f>
        <v/>
      </c>
      <c r="AX600" s="112" t="str">
        <f>IF(preDEL!$AG600,IFERROR(0/0,""),preDEL!AX600)</f>
        <v/>
      </c>
      <c r="AY600" s="112" t="str">
        <f>IF(preDEL!$AG600,IFERROR(0/0,""),preDEL!AY600)</f>
        <v/>
      </c>
      <c r="AZ600" s="174"/>
      <c r="BA600" s="174"/>
      <c r="BB600" s="174"/>
      <c r="BC600" s="174"/>
      <c r="BD600" s="174"/>
      <c r="BE600" s="174"/>
      <c r="BF600" s="174"/>
      <c r="BG600" s="174"/>
      <c r="BH600" s="174"/>
      <c r="BI600" s="174"/>
      <c r="BJ600" s="174"/>
      <c r="BK600" s="174"/>
      <c r="BL600" s="174"/>
      <c r="BM600" s="174"/>
      <c r="BN600" s="174"/>
      <c r="BO600" s="174"/>
      <c r="BP600" s="174"/>
      <c r="BQ600" s="174"/>
      <c r="BR600" s="174"/>
      <c r="BS600" s="174"/>
      <c r="BT600" s="174"/>
      <c r="BU600" s="174"/>
      <c r="BV600" s="174"/>
      <c r="BW600" s="174"/>
      <c r="BX600" s="174"/>
      <c r="BY600" s="174"/>
      <c r="BZ600" s="174"/>
      <c r="CA600" s="174"/>
      <c r="CB600" s="174"/>
      <c r="CC600" s="174"/>
      <c r="CD600" s="174"/>
    </row>
    <row r="601">
      <c r="A601" s="105" t="str">
        <f>IF(preDEL!$AG601,IFERROR(0/0,""),preDEL!A601)</f>
        <v/>
      </c>
      <c r="B601" s="170" t="str">
        <f>IF(preDEL!$AG601,IFERROR(0/0,""),preDEL!B601)</f>
        <v/>
      </c>
      <c r="C601" s="171" t="str">
        <f>IF(preDEL!$AG601,IFERROR(0/0,""),preDEL!C601)</f>
        <v/>
      </c>
      <c r="D601" s="105" t="str">
        <f>IF(preDEL!$AG601,IFERROR(0/0,""),preDEL!D601)</f>
        <v/>
      </c>
      <c r="E601" s="105" t="str">
        <f>IF(preDEL!$AG601,IFERROR(0/0,""),preDEL!E601)</f>
        <v/>
      </c>
      <c r="F601" s="112" t="str">
        <f>IF(preDEL!$AG601,IFERROR(0/0,""),preDEL!F601)</f>
        <v/>
      </c>
      <c r="G601" s="112" t="str">
        <f>IF(preDEL!$AG601,IFERROR(0/0,""),preDEL!G601)</f>
        <v/>
      </c>
      <c r="H601" s="112" t="str">
        <f>IF(preDEL!$AG601,IFERROR(0/0,""),preDEL!H601)</f>
        <v/>
      </c>
      <c r="I601" s="105" t="str">
        <f>IF(preDEL!$AG601,IFERROR(0/0,""),preDEL!I601)</f>
        <v/>
      </c>
      <c r="J601" s="105" t="str">
        <f>IF(preDEL!$AG601,IFERROR(0/0,""),preDEL!J601)</f>
        <v/>
      </c>
      <c r="K601" s="105" t="str">
        <f>IF(preDEL!$AG601,IFERROR(0/0,""),preDEL!K601)</f>
        <v/>
      </c>
      <c r="L601" s="170" t="str">
        <f>IF(preDEL!$AG601,IFERROR(0/0,""),preDEL!L601)</f>
        <v/>
      </c>
      <c r="M601" s="171" t="str">
        <f>IF(preDEL!$AG601,IFERROR(0/0,""),preDEL!M601)</f>
        <v/>
      </c>
      <c r="N601" s="112" t="str">
        <f>IF(preDEL!$AG601,IFERROR(0/0,""),preDEL!N601)</f>
        <v/>
      </c>
      <c r="O601" s="112" t="str">
        <f>IF(preDEL!$AG601,IFERROR(0/0,""),preDEL!O601)</f>
        <v/>
      </c>
      <c r="P601" s="110" t="str">
        <f>IF(preDEL!$AG601,IFERROR(0/0,""),preDEL!P601)</f>
        <v/>
      </c>
      <c r="Q601" s="110" t="str">
        <f>IF(preDEL!$AG601,IFERROR(0/0,""),preDEL!Q601)</f>
        <v/>
      </c>
      <c r="R601" s="104" t="str">
        <f>IF(preDEL!$AG601,IFERROR(0/0,""),preDEL!R601)</f>
        <v/>
      </c>
      <c r="S601" s="104" t="str">
        <f>IF(preDEL!$AG601,IFERROR(0/0,""),preDEL!S601)</f>
        <v/>
      </c>
      <c r="T601" s="110" t="str">
        <f>IF(preDEL!$AG601,IFERROR(0/0,""),preDEL!T601)</f>
        <v/>
      </c>
      <c r="U601" s="112" t="str">
        <f>IF(preDEL!$AG601,IFERROR(0/0,""),preDEL!U601)</f>
        <v/>
      </c>
      <c r="V601" s="105" t="str">
        <f>IF(preDEL!$AG601,IFERROR(0/0,""),preDEL!V601)</f>
        <v/>
      </c>
      <c r="W601" s="112" t="str">
        <f>IF(preDEL!$AG601,IFERROR(0/0,""),preDEL!W601)</f>
        <v/>
      </c>
      <c r="X601" s="104" t="str">
        <f>IF(preDEL!$AG601,IFERROR(0/0,""),preDEL!X601)</f>
        <v/>
      </c>
      <c r="Y601" s="110" t="str">
        <f>IF(preDEL!$AG601,IFERROR(0/0,""),preDEL!Y601)</f>
        <v/>
      </c>
      <c r="Z601" s="105" t="str">
        <f>IF(preDEL!$AG601,IFERROR(0/0,""),preDEL!Z601)</f>
        <v/>
      </c>
      <c r="AA601" s="110" t="str">
        <f>IF(preDEL!$AG601,IFERROR(0/0,""),preDEL!AA601)</f>
        <v/>
      </c>
      <c r="AB601" s="110" t="str">
        <f>IF(preDEL!$AG601,IFERROR(0/0,""),preDEL!AB601)</f>
        <v/>
      </c>
      <c r="AC601" s="172" t="str">
        <f>IF(preDEL!$AG601,IFERROR(0/0,""),preDEL!AC601)</f>
        <v/>
      </c>
      <c r="AD601" s="104" t="str">
        <f>IF(preDEL!$AG601,IFERROR(0/0,""),preDEL!AD601)</f>
        <v/>
      </c>
      <c r="AE601" s="173" t="str">
        <f>IF(preDEL!$AG601,IFERROR(0/0,""),preDEL!AE601)</f>
        <v/>
      </c>
      <c r="AF601" s="110" t="str">
        <f>IF(preDEL!$AG601,IFERROR(0/0,""),preDEL!AF601)</f>
        <v/>
      </c>
      <c r="AG601" s="110" t="str">
        <f>IF(preDEL!$AG601,IFERROR(0/0,""),preDEL!AG601)</f>
        <v/>
      </c>
      <c r="AH601" s="104" t="str">
        <f>IF(preDEL!$AG601,IFERROR(0/0,""),preDEL!AH601)</f>
        <v/>
      </c>
      <c r="AI601" s="105" t="str">
        <f>IF(preDEL!$AG601,IFERROR(0/0,""),preDEL!AI601)</f>
        <v/>
      </c>
      <c r="AJ601" s="112" t="str">
        <f>IF(preDEL!$AG601,IFERROR(0/0,""),preDEL!AJ601)</f>
        <v/>
      </c>
      <c r="AK601" s="105" t="str">
        <f>IF(preDEL!$AG601,IFERROR(0/0,""),preDEL!AK601)</f>
        <v/>
      </c>
      <c r="AL601" s="112" t="str">
        <f>IF(preDEL!$AG601,IFERROR(0/0,""),preDEL!AL601)</f>
        <v/>
      </c>
      <c r="AM601" s="112" t="str">
        <f>IF(preDEL!$AG601,IFERROR(0/0,""),preDEL!AM601)</f>
        <v/>
      </c>
      <c r="AN601" s="112" t="str">
        <f>IF(preDEL!$AG601,IFERROR(0/0,""),preDEL!AN601)</f>
        <v/>
      </c>
      <c r="AO601" s="112" t="str">
        <f>IF(preDEL!$AG601,IFERROR(0/0,""),preDEL!AO601)</f>
        <v/>
      </c>
      <c r="AP601" s="112" t="str">
        <f>IF(preDEL!$AG601,IFERROR(0/0,""),preDEL!AP601)</f>
        <v/>
      </c>
      <c r="AQ601" s="112" t="str">
        <f>IF(preDEL!$AG601,IFERROR(0/0,""),preDEL!AQ601)</f>
        <v/>
      </c>
      <c r="AR601" s="112" t="str">
        <f>IF(preDEL!$AG601,IFERROR(0/0,""),preDEL!AR601)</f>
        <v/>
      </c>
      <c r="AS601" s="112" t="str">
        <f>IF(preDEL!$AG601,IFERROR(0/0,""),preDEL!AS601)</f>
        <v/>
      </c>
      <c r="AT601" s="112" t="str">
        <f>IF(preDEL!$AG601,IFERROR(0/0,""),preDEL!AT601)</f>
        <v/>
      </c>
      <c r="AU601" s="112" t="str">
        <f>IF(preDEL!$AG601,IFERROR(0/0,""),preDEL!AU601)</f>
        <v/>
      </c>
      <c r="AV601" s="112" t="str">
        <f>IF(preDEL!$AG601,IFERROR(0/0,""),preDEL!AV601)</f>
        <v/>
      </c>
      <c r="AW601" s="112" t="str">
        <f>IF(preDEL!$AG601,IFERROR(0/0,""),preDEL!AW601)</f>
        <v/>
      </c>
      <c r="AX601" s="112" t="str">
        <f>IF(preDEL!$AG601,IFERROR(0/0,""),preDEL!AX601)</f>
        <v/>
      </c>
      <c r="AY601" s="112" t="str">
        <f>IF(preDEL!$AG601,IFERROR(0/0,""),preDEL!AY601)</f>
        <v/>
      </c>
      <c r="AZ601" s="174"/>
      <c r="BA601" s="174"/>
      <c r="BB601" s="174"/>
      <c r="BC601" s="174"/>
      <c r="BD601" s="174"/>
      <c r="BE601" s="174"/>
      <c r="BF601" s="174"/>
      <c r="BG601" s="174"/>
      <c r="BH601" s="174"/>
      <c r="BI601" s="174"/>
      <c r="BJ601" s="174"/>
      <c r="BK601" s="174"/>
      <c r="BL601" s="174"/>
      <c r="BM601" s="174"/>
      <c r="BN601" s="174"/>
      <c r="BO601" s="174"/>
      <c r="BP601" s="174"/>
      <c r="BQ601" s="174"/>
      <c r="BR601" s="174"/>
      <c r="BS601" s="174"/>
      <c r="BT601" s="174"/>
      <c r="BU601" s="174"/>
      <c r="BV601" s="174"/>
      <c r="BW601" s="174"/>
      <c r="BX601" s="174"/>
      <c r="BY601" s="174"/>
      <c r="BZ601" s="174"/>
      <c r="CA601" s="174"/>
      <c r="CB601" s="174"/>
      <c r="CC601" s="174"/>
      <c r="CD601" s="174"/>
    </row>
    <row r="602">
      <c r="A602" s="105" t="str">
        <f>IF(preDEL!$AG602,IFERROR(0/0,""),preDEL!A602)</f>
        <v>FM4</v>
      </c>
      <c r="B602" s="170">
        <f>IF(preDEL!$AG602,IFERROR(0/0,""),preDEL!B602)</f>
        <v>44619</v>
      </c>
      <c r="C602" s="171">
        <f>IF(preDEL!$AG602,IFERROR(0/0,""),preDEL!C602)</f>
        <v>0.3232060185</v>
      </c>
      <c r="D602" s="105" t="str">
        <f>IF(preDEL!$AG602,IFERROR(0/0,""),preDEL!D602)</f>
        <v/>
      </c>
      <c r="E602" s="105" t="str">
        <f>IF(preDEL!$AG602,IFERROR(0/0,""),preDEL!E602)</f>
        <v/>
      </c>
      <c r="F602" s="112" t="str">
        <f>IF(preDEL!$AG602,IFERROR(0/0,""),preDEL!F602)</f>
        <v/>
      </c>
      <c r="G602" s="112" t="str">
        <f>IF(preDEL!$AG602,IFERROR(0/0,""),preDEL!G602)</f>
        <v/>
      </c>
      <c r="H602" s="112" t="str">
        <f>IF(preDEL!$AG602,IFERROR(0/0,""),preDEL!H602)</f>
        <v/>
      </c>
      <c r="I602" s="105" t="str">
        <f>IF(preDEL!$AG602,IFERROR(0/0,""),preDEL!I602)</f>
        <v/>
      </c>
      <c r="J602" s="105" t="str">
        <f>IF(preDEL!$AG602,IFERROR(0/0,""),preDEL!J602)</f>
        <v/>
      </c>
      <c r="K602" s="105" t="str">
        <f>IF(preDEL!$AG602,IFERROR(0/0,""),preDEL!K602)</f>
        <v>Negative</v>
      </c>
      <c r="L602" s="170">
        <f>IF(preDEL!$AG602,IFERROR(0/0,""),preDEL!L602)</f>
        <v>44621</v>
      </c>
      <c r="M602" s="171">
        <f>IF(preDEL!$AG602,IFERROR(0/0,""),preDEL!M602)</f>
        <v>0.4783449074</v>
      </c>
      <c r="N602" s="112" t="str">
        <f>IF(preDEL!$AG602,IFERROR(0/0,""),preDEL!N602)</f>
        <v/>
      </c>
      <c r="O602" s="112" t="str">
        <f>IF(preDEL!$AG602,IFERROR(0/0,""),preDEL!O602)</f>
        <v/>
      </c>
      <c r="P602" s="110" t="b">
        <f>IF(preDEL!$AG602,IFERROR(0/0,""),preDEL!P602)</f>
        <v>0</v>
      </c>
      <c r="Q602" s="110" t="str">
        <f>IF(preDEL!$AG602,IFERROR(0/0,""),preDEL!Q602)</f>
        <v>Result</v>
      </c>
      <c r="R602" s="104" t="b">
        <f>IF(preDEL!$AG602,IFERROR(0/0,""),preDEL!R602)</f>
        <v>0</v>
      </c>
      <c r="S602" s="104">
        <f>IF(preDEL!$AG602,IFERROR(0/0,""),preDEL!S602)</f>
        <v>2</v>
      </c>
      <c r="T602" s="110" t="str">
        <f>IF(preDEL!$AG602,IFERROR(0/0,""),preDEL!T602)</f>
        <v/>
      </c>
      <c r="U602" s="112" t="str">
        <f>IF(preDEL!$AG602,IFERROR(0/0,""),preDEL!U602)</f>
        <v/>
      </c>
      <c r="V602" s="105" t="str">
        <f>IF(preDEL!$AG602,IFERROR(0/0,""),preDEL!V602)</f>
        <v/>
      </c>
      <c r="W602" s="112" t="str">
        <f>IF(preDEL!$AG602,IFERROR(0/0,""),preDEL!W602)</f>
        <v/>
      </c>
      <c r="X602" s="104" t="b">
        <f>IF(preDEL!$AG602,IFERROR(0/0,""),preDEL!X602)</f>
        <v>0</v>
      </c>
      <c r="Y602" s="110" t="b">
        <f>IF(preDEL!$AG602,IFERROR(0/0,""),preDEL!Y602)</f>
        <v>0</v>
      </c>
      <c r="Z602" s="105" t="str">
        <f>IF(preDEL!$AG602,IFERROR(0/0,""),preDEL!Z602)</f>
        <v/>
      </c>
      <c r="AA602" s="110" t="b">
        <f>IF(preDEL!$AG602,IFERROR(0/0,""),preDEL!AA602)</f>
        <v>0</v>
      </c>
      <c r="AB602" s="110" t="b">
        <f>IF(preDEL!$AG602,IFERROR(0/0,""),preDEL!AB602)</f>
        <v>0</v>
      </c>
      <c r="AC602" s="172">
        <f>IF(preDEL!$AG602,IFERROR(0/0,""),preDEL!AC602)</f>
        <v>214</v>
      </c>
      <c r="AD602" s="104" t="b">
        <f>IF(preDEL!$AG602,IFERROR(0/0,""),preDEL!AD602)</f>
        <v>0</v>
      </c>
      <c r="AE602" s="173" t="str">
        <f>IF(preDEL!$AG602,IFERROR(0/0,""),preDEL!AE602)</f>
        <v/>
      </c>
      <c r="AF602" s="110" t="b">
        <f>IF(preDEL!$AG602,IFERROR(0/0,""),preDEL!AF602)</f>
        <v>0</v>
      </c>
      <c r="AG602" s="110" t="b">
        <f>IF(preDEL!$AG602,IFERROR(0/0,""),preDEL!AG602)</f>
        <v>0</v>
      </c>
      <c r="AH602" s="104" t="str">
        <f>IF(preDEL!$AG602,IFERROR(0/0,""),preDEL!AH602)</f>
        <v/>
      </c>
      <c r="AI602" s="105" t="str">
        <f>IF(preDEL!$AG602,IFERROR(0/0,""),preDEL!AI602)</f>
        <v/>
      </c>
      <c r="AJ602" s="112" t="str">
        <f>IF(preDEL!$AG602,IFERROR(0/0,""),preDEL!AJ602)</f>
        <v/>
      </c>
      <c r="AK602" s="105" t="str">
        <f>IF(preDEL!$AG602,IFERROR(0/0,""),preDEL!AK602)</f>
        <v>Negative</v>
      </c>
      <c r="AL602" s="112" t="str">
        <f>IF(preDEL!$AG602,IFERROR(0/0,""),preDEL!AL602)</f>
        <v/>
      </c>
      <c r="AM602" s="112" t="str">
        <f>IF(preDEL!$AG602,IFERROR(0/0,""),preDEL!AM602)</f>
        <v>SpBEND524085</v>
      </c>
      <c r="AN602" s="112" t="str">
        <f>IF(preDEL!$AG602,IFERROR(0/0,""),preDEL!AN602)</f>
        <v>BEND249479</v>
      </c>
      <c r="AO602" s="112" t="str">
        <f>IF(preDEL!$AG602,IFERROR(0/0,""),preDEL!AO602)</f>
        <v/>
      </c>
      <c r="AP602" s="112" t="str">
        <f>IF(preDEL!$AG602,IFERROR(0/0,""),preDEL!AP602)</f>
        <v/>
      </c>
      <c r="AQ602" s="112" t="str">
        <f>IF(preDEL!$AG602,IFERROR(0/0,""),preDEL!AQ602)</f>
        <v/>
      </c>
      <c r="AR602" s="112" t="str">
        <f>IF(preDEL!$AG602,IFERROR(0/0,""),preDEL!AR602)</f>
        <v/>
      </c>
      <c r="AS602" s="112" t="str">
        <f>IF(preDEL!$AG602,IFERROR(0/0,""),preDEL!AS602)</f>
        <v/>
      </c>
      <c r="AT602" s="112" t="b">
        <f>IF(preDEL!$AG602,IFERROR(0/0,""),preDEL!AT602)</f>
        <v>0</v>
      </c>
      <c r="AU602" s="112" t="str">
        <f>IF(preDEL!$AG602,IFERROR(0/0,""),preDEL!AU602)</f>
        <v/>
      </c>
      <c r="AV602" s="112" t="str">
        <f>IF(preDEL!$AG602,IFERROR(0/0,""),preDEL!AV602)</f>
        <v/>
      </c>
      <c r="AW602" s="112" t="str">
        <f>IF(preDEL!$AG602,IFERROR(0/0,""),preDEL!AW602)</f>
        <v/>
      </c>
      <c r="AX602" s="112" t="str">
        <f>IF(preDEL!$AG602,IFERROR(0/0,""),preDEL!AX602)</f>
        <v/>
      </c>
      <c r="AY602" s="112" t="str">
        <f>IF(preDEL!$AG602,IFERROR(0/0,""),preDEL!AY602)</f>
        <v/>
      </c>
      <c r="AZ602" s="174"/>
      <c r="BA602" s="174"/>
      <c r="BB602" s="174"/>
      <c r="BC602" s="174"/>
      <c r="BD602" s="174"/>
      <c r="BE602" s="174"/>
      <c r="BF602" s="174"/>
      <c r="BG602" s="174"/>
      <c r="BH602" s="174"/>
      <c r="BI602" s="174"/>
      <c r="BJ602" s="174"/>
      <c r="BK602" s="174"/>
      <c r="BL602" s="174"/>
      <c r="BM602" s="174"/>
      <c r="BN602" s="174"/>
      <c r="BO602" s="174"/>
      <c r="BP602" s="174"/>
      <c r="BQ602" s="174"/>
      <c r="BR602" s="174"/>
      <c r="BS602" s="174"/>
      <c r="BT602" s="174"/>
      <c r="BU602" s="174"/>
      <c r="BV602" s="174"/>
      <c r="BW602" s="174"/>
      <c r="BX602" s="174"/>
      <c r="BY602" s="174"/>
      <c r="BZ602" s="174"/>
      <c r="CA602" s="174"/>
      <c r="CB602" s="174"/>
      <c r="CC602" s="174"/>
      <c r="CD602" s="174"/>
    </row>
    <row r="603">
      <c r="A603" s="105" t="str">
        <f>IF(preDEL!$AG603,IFERROR(0/0,""),preDEL!A603)</f>
        <v>FM2066</v>
      </c>
      <c r="B603" s="170">
        <f>IF(preDEL!$AG603,IFERROR(0/0,""),preDEL!B603)</f>
        <v>44619</v>
      </c>
      <c r="C603" s="171">
        <f>IF(preDEL!$AG603,IFERROR(0/0,""),preDEL!C603)</f>
        <v>0.3246759259</v>
      </c>
      <c r="D603" s="105" t="str">
        <f>IF(preDEL!$AG603,IFERROR(0/0,""),preDEL!D603)</f>
        <v/>
      </c>
      <c r="E603" s="105" t="str">
        <f>IF(preDEL!$AG603,IFERROR(0/0,""),preDEL!E603)</f>
        <v/>
      </c>
      <c r="F603" s="112" t="str">
        <f>IF(preDEL!$AG603,IFERROR(0/0,""),preDEL!F603)</f>
        <v/>
      </c>
      <c r="G603" s="112" t="str">
        <f>IF(preDEL!$AG603,IFERROR(0/0,""),preDEL!G603)</f>
        <v/>
      </c>
      <c r="H603" s="112" t="str">
        <f>IF(preDEL!$AG603,IFERROR(0/0,""),preDEL!H603)</f>
        <v/>
      </c>
      <c r="I603" s="105" t="str">
        <f>IF(preDEL!$AG603,IFERROR(0/0,""),preDEL!I603)</f>
        <v/>
      </c>
      <c r="J603" s="105" t="str">
        <f>IF(preDEL!$AG603,IFERROR(0/0,""),preDEL!J603)</f>
        <v/>
      </c>
      <c r="K603" s="105" t="str">
        <f>IF(preDEL!$AG603,IFERROR(0/0,""),preDEL!K603)</f>
        <v>Negative</v>
      </c>
      <c r="L603" s="170">
        <f>IF(preDEL!$AG603,IFERROR(0/0,""),preDEL!L603)</f>
        <v>44621</v>
      </c>
      <c r="M603" s="171">
        <f>IF(preDEL!$AG603,IFERROR(0/0,""),preDEL!M603)</f>
        <v>0.4783564815</v>
      </c>
      <c r="N603" s="112" t="str">
        <f>IF(preDEL!$AG603,IFERROR(0/0,""),preDEL!N603)</f>
        <v/>
      </c>
      <c r="O603" s="112" t="str">
        <f>IF(preDEL!$AG603,IFERROR(0/0,""),preDEL!O603)</f>
        <v/>
      </c>
      <c r="P603" s="110" t="b">
        <f>IF(preDEL!$AG603,IFERROR(0/0,""),preDEL!P603)</f>
        <v>0</v>
      </c>
      <c r="Q603" s="110" t="str">
        <f>IF(preDEL!$AG603,IFERROR(0/0,""),preDEL!Q603)</f>
        <v>Result</v>
      </c>
      <c r="R603" s="104" t="b">
        <f>IF(preDEL!$AG603,IFERROR(0/0,""),preDEL!R603)</f>
        <v>1</v>
      </c>
      <c r="S603" s="104">
        <f>IF(preDEL!$AG603,IFERROR(0/0,""),preDEL!S603)</f>
        <v>1</v>
      </c>
      <c r="T603" s="110" t="str">
        <f>IF(preDEL!$AG603,IFERROR(0/0,""),preDEL!T603)</f>
        <v/>
      </c>
      <c r="U603" s="112" t="str">
        <f>IF(preDEL!$AG603,IFERROR(0/0,""),preDEL!U603)</f>
        <v/>
      </c>
      <c r="V603" s="105" t="str">
        <f>IF(preDEL!$AG603,IFERROR(0/0,""),preDEL!V603)</f>
        <v/>
      </c>
      <c r="W603" s="112" t="str">
        <f>IF(preDEL!$AG603,IFERROR(0/0,""),preDEL!W603)</f>
        <v/>
      </c>
      <c r="X603" s="104" t="b">
        <f>IF(preDEL!$AG603,IFERROR(0/0,""),preDEL!X603)</f>
        <v>0</v>
      </c>
      <c r="Y603" s="110" t="b">
        <f>IF(preDEL!$AG603,IFERROR(0/0,""),preDEL!Y603)</f>
        <v>0</v>
      </c>
      <c r="Z603" s="105" t="str">
        <f>IF(preDEL!$AG603,IFERROR(0/0,""),preDEL!Z603)</f>
        <v/>
      </c>
      <c r="AA603" s="110" t="b">
        <f>IF(preDEL!$AG603,IFERROR(0/0,""),preDEL!AA603)</f>
        <v>0</v>
      </c>
      <c r="AB603" s="110" t="b">
        <f>IF(preDEL!$AG603,IFERROR(0/0,""),preDEL!AB603)</f>
        <v>0</v>
      </c>
      <c r="AC603" s="172">
        <f>IF(preDEL!$AG603,IFERROR(0/0,""),preDEL!AC603)</f>
        <v>213</v>
      </c>
      <c r="AD603" s="104" t="b">
        <f>IF(preDEL!$AG603,IFERROR(0/0,""),preDEL!AD603)</f>
        <v>0</v>
      </c>
      <c r="AE603" s="173" t="str">
        <f>IF(preDEL!$AG603,IFERROR(0/0,""),preDEL!AE603)</f>
        <v/>
      </c>
      <c r="AF603" s="110" t="b">
        <f>IF(preDEL!$AG603,IFERROR(0/0,""),preDEL!AF603)</f>
        <v>0</v>
      </c>
      <c r="AG603" s="110" t="b">
        <f>IF(preDEL!$AG603,IFERROR(0/0,""),preDEL!AG603)</f>
        <v>0</v>
      </c>
      <c r="AH603" s="104" t="str">
        <f>IF(preDEL!$AG603,IFERROR(0/0,""),preDEL!AH603)</f>
        <v/>
      </c>
      <c r="AI603" s="105" t="str">
        <f>IF(preDEL!$AG603,IFERROR(0/0,""),preDEL!AI603)</f>
        <v/>
      </c>
      <c r="AJ603" s="112" t="str">
        <f>IF(preDEL!$AG603,IFERROR(0/0,""),preDEL!AJ603)</f>
        <v/>
      </c>
      <c r="AK603" s="105" t="str">
        <f>IF(preDEL!$AG603,IFERROR(0/0,""),preDEL!AK603)</f>
        <v>Negative</v>
      </c>
      <c r="AL603" s="112" t="str">
        <f>IF(preDEL!$AG603,IFERROR(0/0,""),preDEL!AL603)</f>
        <v/>
      </c>
      <c r="AM603" s="112" t="str">
        <f>IF(preDEL!$AG603,IFERROR(0/0,""),preDEL!AM603)</f>
        <v>SpBEND454594</v>
      </c>
      <c r="AN603" s="112" t="str">
        <f>IF(preDEL!$AG603,IFERROR(0/0,""),preDEL!AN603)</f>
        <v>BEND584284</v>
      </c>
      <c r="AO603" s="112" t="str">
        <f>IF(preDEL!$AG603,IFERROR(0/0,""),preDEL!AO603)</f>
        <v/>
      </c>
      <c r="AP603" s="112" t="str">
        <f>IF(preDEL!$AG603,IFERROR(0/0,""),preDEL!AP603)</f>
        <v/>
      </c>
      <c r="AQ603" s="112" t="str">
        <f>IF(preDEL!$AG603,IFERROR(0/0,""),preDEL!AQ603)</f>
        <v/>
      </c>
      <c r="AR603" s="112" t="str">
        <f>IF(preDEL!$AG603,IFERROR(0/0,""),preDEL!AR603)</f>
        <v/>
      </c>
      <c r="AS603" s="112" t="str">
        <f>IF(preDEL!$AG603,IFERROR(0/0,""),preDEL!AS603)</f>
        <v/>
      </c>
      <c r="AT603" s="112" t="b">
        <f>IF(preDEL!$AG603,IFERROR(0/0,""),preDEL!AT603)</f>
        <v>0</v>
      </c>
      <c r="AU603" s="112" t="str">
        <f>IF(preDEL!$AG603,IFERROR(0/0,""),preDEL!AU603)</f>
        <v/>
      </c>
      <c r="AV603" s="112" t="str">
        <f>IF(preDEL!$AG603,IFERROR(0/0,""),preDEL!AV603)</f>
        <v/>
      </c>
      <c r="AW603" s="112" t="str">
        <f>IF(preDEL!$AG603,IFERROR(0/0,""),preDEL!AW603)</f>
        <v/>
      </c>
      <c r="AX603" s="112" t="str">
        <f>IF(preDEL!$AG603,IFERROR(0/0,""),preDEL!AX603)</f>
        <v/>
      </c>
      <c r="AY603" s="112" t="str">
        <f>IF(preDEL!$AG603,IFERROR(0/0,""),preDEL!AY603)</f>
        <v/>
      </c>
      <c r="AZ603" s="174"/>
      <c r="BA603" s="174"/>
      <c r="BB603" s="174"/>
      <c r="BC603" s="174"/>
      <c r="BD603" s="174"/>
      <c r="BE603" s="174"/>
      <c r="BF603" s="174"/>
      <c r="BG603" s="174"/>
      <c r="BH603" s="174"/>
      <c r="BI603" s="174"/>
      <c r="BJ603" s="174"/>
      <c r="BK603" s="174"/>
      <c r="BL603" s="174"/>
      <c r="BM603" s="174"/>
      <c r="BN603" s="174"/>
      <c r="BO603" s="174"/>
      <c r="BP603" s="174"/>
      <c r="BQ603" s="174"/>
      <c r="BR603" s="174"/>
      <c r="BS603" s="174"/>
      <c r="BT603" s="174"/>
      <c r="BU603" s="174"/>
      <c r="BV603" s="174"/>
      <c r="BW603" s="174"/>
      <c r="BX603" s="174"/>
      <c r="BY603" s="174"/>
      <c r="BZ603" s="174"/>
      <c r="CA603" s="174"/>
      <c r="CB603" s="174"/>
      <c r="CC603" s="174"/>
      <c r="CD603" s="174"/>
    </row>
    <row r="604">
      <c r="A604" s="105" t="str">
        <f>IF(preDEL!$AG604,IFERROR(0/0,""),preDEL!A604)</f>
        <v>FM2059</v>
      </c>
      <c r="B604" s="170">
        <f>IF(preDEL!$AG604,IFERROR(0/0,""),preDEL!B604)</f>
        <v>44619</v>
      </c>
      <c r="C604" s="171">
        <f>IF(preDEL!$AG604,IFERROR(0/0,""),preDEL!C604)</f>
        <v>0.3249768519</v>
      </c>
      <c r="D604" s="105" t="str">
        <f>IF(preDEL!$AG604,IFERROR(0/0,""),preDEL!D604)</f>
        <v/>
      </c>
      <c r="E604" s="105" t="str">
        <f>IF(preDEL!$AG604,IFERROR(0/0,""),preDEL!E604)</f>
        <v/>
      </c>
      <c r="F604" s="112" t="str">
        <f>IF(preDEL!$AG604,IFERROR(0/0,""),preDEL!F604)</f>
        <v/>
      </c>
      <c r="G604" s="112" t="str">
        <f>IF(preDEL!$AG604,IFERROR(0/0,""),preDEL!G604)</f>
        <v/>
      </c>
      <c r="H604" s="112" t="str">
        <f>IF(preDEL!$AG604,IFERROR(0/0,""),preDEL!H604)</f>
        <v/>
      </c>
      <c r="I604" s="105" t="str">
        <f>IF(preDEL!$AG604,IFERROR(0/0,""),preDEL!I604)</f>
        <v/>
      </c>
      <c r="J604" s="105" t="str">
        <f>IF(preDEL!$AG604,IFERROR(0/0,""),preDEL!J604)</f>
        <v/>
      </c>
      <c r="K604" s="105" t="str">
        <f>IF(preDEL!$AG604,IFERROR(0/0,""),preDEL!K604)</f>
        <v>Negative</v>
      </c>
      <c r="L604" s="170">
        <f>IF(preDEL!$AG604,IFERROR(0/0,""),preDEL!L604)</f>
        <v>44621</v>
      </c>
      <c r="M604" s="171">
        <f>IF(preDEL!$AG604,IFERROR(0/0,""),preDEL!M604)</f>
        <v>0.4783564815</v>
      </c>
      <c r="N604" s="112" t="str">
        <f>IF(preDEL!$AG604,IFERROR(0/0,""),preDEL!N604)</f>
        <v/>
      </c>
      <c r="O604" s="112" t="str">
        <f>IF(preDEL!$AG604,IFERROR(0/0,""),preDEL!O604)</f>
        <v/>
      </c>
      <c r="P604" s="110" t="b">
        <f>IF(preDEL!$AG604,IFERROR(0/0,""),preDEL!P604)</f>
        <v>0</v>
      </c>
      <c r="Q604" s="110" t="str">
        <f>IF(preDEL!$AG604,IFERROR(0/0,""),preDEL!Q604)</f>
        <v>Result</v>
      </c>
      <c r="R604" s="104" t="b">
        <f>IF(preDEL!$AG604,IFERROR(0/0,""),preDEL!R604)</f>
        <v>1</v>
      </c>
      <c r="S604" s="104">
        <f>IF(preDEL!$AG604,IFERROR(0/0,""),preDEL!S604)</f>
        <v>1</v>
      </c>
      <c r="T604" s="110" t="str">
        <f>IF(preDEL!$AG604,IFERROR(0/0,""),preDEL!T604)</f>
        <v/>
      </c>
      <c r="U604" s="112" t="str">
        <f>IF(preDEL!$AG604,IFERROR(0/0,""),preDEL!U604)</f>
        <v/>
      </c>
      <c r="V604" s="105" t="str">
        <f>IF(preDEL!$AG604,IFERROR(0/0,""),preDEL!V604)</f>
        <v/>
      </c>
      <c r="W604" s="112" t="str">
        <f>IF(preDEL!$AG604,IFERROR(0/0,""),preDEL!W604)</f>
        <v/>
      </c>
      <c r="X604" s="104" t="b">
        <f>IF(preDEL!$AG604,IFERROR(0/0,""),preDEL!X604)</f>
        <v>0</v>
      </c>
      <c r="Y604" s="110" t="b">
        <f>IF(preDEL!$AG604,IFERROR(0/0,""),preDEL!Y604)</f>
        <v>0</v>
      </c>
      <c r="Z604" s="105" t="str">
        <f>IF(preDEL!$AG604,IFERROR(0/0,""),preDEL!Z604)</f>
        <v/>
      </c>
      <c r="AA604" s="110" t="b">
        <f>IF(preDEL!$AG604,IFERROR(0/0,""),preDEL!AA604)</f>
        <v>0</v>
      </c>
      <c r="AB604" s="110" t="b">
        <f>IF(preDEL!$AG604,IFERROR(0/0,""),preDEL!AB604)</f>
        <v>0</v>
      </c>
      <c r="AC604" s="172">
        <f>IF(preDEL!$AG604,IFERROR(0/0,""),preDEL!AC604)</f>
        <v>212</v>
      </c>
      <c r="AD604" s="104" t="b">
        <f>IF(preDEL!$AG604,IFERROR(0/0,""),preDEL!AD604)</f>
        <v>0</v>
      </c>
      <c r="AE604" s="173" t="str">
        <f>IF(preDEL!$AG604,IFERROR(0/0,""),preDEL!AE604)</f>
        <v/>
      </c>
      <c r="AF604" s="110" t="b">
        <f>IF(preDEL!$AG604,IFERROR(0/0,""),preDEL!AF604)</f>
        <v>0</v>
      </c>
      <c r="AG604" s="110" t="b">
        <f>IF(preDEL!$AG604,IFERROR(0/0,""),preDEL!AG604)</f>
        <v>0</v>
      </c>
      <c r="AH604" s="104" t="str">
        <f>IF(preDEL!$AG604,IFERROR(0/0,""),preDEL!AH604)</f>
        <v/>
      </c>
      <c r="AI604" s="105" t="str">
        <f>IF(preDEL!$AG604,IFERROR(0/0,""),preDEL!AI604)</f>
        <v/>
      </c>
      <c r="AJ604" s="112" t="str">
        <f>IF(preDEL!$AG604,IFERROR(0/0,""),preDEL!AJ604)</f>
        <v/>
      </c>
      <c r="AK604" s="105" t="str">
        <f>IF(preDEL!$AG604,IFERROR(0/0,""),preDEL!AK604)</f>
        <v>Negative</v>
      </c>
      <c r="AL604" s="112" t="str">
        <f>IF(preDEL!$AG604,IFERROR(0/0,""),preDEL!AL604)</f>
        <v/>
      </c>
      <c r="AM604" s="112" t="str">
        <f>IF(preDEL!$AG604,IFERROR(0/0,""),preDEL!AM604)</f>
        <v>SpBEND372845</v>
      </c>
      <c r="AN604" s="112" t="str">
        <f>IF(preDEL!$AG604,IFERROR(0/0,""),preDEL!AN604)</f>
        <v>BEND940774</v>
      </c>
      <c r="AO604" s="112" t="str">
        <f>IF(preDEL!$AG604,IFERROR(0/0,""),preDEL!AO604)</f>
        <v/>
      </c>
      <c r="AP604" s="112" t="str">
        <f>IF(preDEL!$AG604,IFERROR(0/0,""),preDEL!AP604)</f>
        <v/>
      </c>
      <c r="AQ604" s="112" t="str">
        <f>IF(preDEL!$AG604,IFERROR(0/0,""),preDEL!AQ604)</f>
        <v/>
      </c>
      <c r="AR604" s="112" t="str">
        <f>IF(preDEL!$AG604,IFERROR(0/0,""),preDEL!AR604)</f>
        <v/>
      </c>
      <c r="AS604" s="112" t="str">
        <f>IF(preDEL!$AG604,IFERROR(0/0,""),preDEL!AS604)</f>
        <v/>
      </c>
      <c r="AT604" s="112" t="b">
        <f>IF(preDEL!$AG604,IFERROR(0/0,""),preDEL!AT604)</f>
        <v>0</v>
      </c>
      <c r="AU604" s="112" t="str">
        <f>IF(preDEL!$AG604,IFERROR(0/0,""),preDEL!AU604)</f>
        <v/>
      </c>
      <c r="AV604" s="112" t="str">
        <f>IF(preDEL!$AG604,IFERROR(0/0,""),preDEL!AV604)</f>
        <v/>
      </c>
      <c r="AW604" s="112" t="str">
        <f>IF(preDEL!$AG604,IFERROR(0/0,""),preDEL!AW604)</f>
        <v/>
      </c>
      <c r="AX604" s="112" t="str">
        <f>IF(preDEL!$AG604,IFERROR(0/0,""),preDEL!AX604)</f>
        <v/>
      </c>
      <c r="AY604" s="112" t="str">
        <f>IF(preDEL!$AG604,IFERROR(0/0,""),preDEL!AY604)</f>
        <v/>
      </c>
      <c r="AZ604" s="174"/>
      <c r="BA604" s="174"/>
      <c r="BB604" s="174"/>
      <c r="BC604" s="174"/>
      <c r="BD604" s="174"/>
      <c r="BE604" s="174"/>
      <c r="BF604" s="174"/>
      <c r="BG604" s="174"/>
      <c r="BH604" s="174"/>
      <c r="BI604" s="174"/>
      <c r="BJ604" s="174"/>
      <c r="BK604" s="174"/>
      <c r="BL604" s="174"/>
      <c r="BM604" s="174"/>
      <c r="BN604" s="174"/>
      <c r="BO604" s="174"/>
      <c r="BP604" s="174"/>
      <c r="BQ604" s="174"/>
      <c r="BR604" s="174"/>
      <c r="BS604" s="174"/>
      <c r="BT604" s="174"/>
      <c r="BU604" s="174"/>
      <c r="BV604" s="174"/>
      <c r="BW604" s="174"/>
      <c r="BX604" s="174"/>
      <c r="BY604" s="174"/>
      <c r="BZ604" s="174"/>
      <c r="CA604" s="174"/>
      <c r="CB604" s="174"/>
      <c r="CC604" s="174"/>
      <c r="CD604" s="174"/>
    </row>
    <row r="605">
      <c r="A605" s="105" t="str">
        <f>IF(preDEL!$AG605,IFERROR(0/0,""),preDEL!A605)</f>
        <v>FM471</v>
      </c>
      <c r="B605" s="170">
        <f>IF(preDEL!$AG605,IFERROR(0/0,""),preDEL!B605)</f>
        <v>44619</v>
      </c>
      <c r="C605" s="171">
        <f>IF(preDEL!$AG605,IFERROR(0/0,""),preDEL!C605)</f>
        <v>0.3274305556</v>
      </c>
      <c r="D605" s="105" t="str">
        <f>IF(preDEL!$AG605,IFERROR(0/0,""),preDEL!D605)</f>
        <v/>
      </c>
      <c r="E605" s="105" t="str">
        <f>IF(preDEL!$AG605,IFERROR(0/0,""),preDEL!E605)</f>
        <v/>
      </c>
      <c r="F605" s="112" t="str">
        <f>IF(preDEL!$AG605,IFERROR(0/0,""),preDEL!F605)</f>
        <v/>
      </c>
      <c r="G605" s="112" t="str">
        <f>IF(preDEL!$AG605,IFERROR(0/0,""),preDEL!G605)</f>
        <v/>
      </c>
      <c r="H605" s="112" t="str">
        <f>IF(preDEL!$AG605,IFERROR(0/0,""),preDEL!H605)</f>
        <v/>
      </c>
      <c r="I605" s="105" t="str">
        <f>IF(preDEL!$AG605,IFERROR(0/0,""),preDEL!I605)</f>
        <v/>
      </c>
      <c r="J605" s="105" t="str">
        <f>IF(preDEL!$AG605,IFERROR(0/0,""),preDEL!J605)</f>
        <v/>
      </c>
      <c r="K605" s="105" t="str">
        <f>IF(preDEL!$AG605,IFERROR(0/0,""),preDEL!K605)</f>
        <v>Negative</v>
      </c>
      <c r="L605" s="170">
        <f>IF(preDEL!$AG605,IFERROR(0/0,""),preDEL!L605)</f>
        <v>44621</v>
      </c>
      <c r="M605" s="171">
        <f>IF(preDEL!$AG605,IFERROR(0/0,""),preDEL!M605)</f>
        <v>0.4783564815</v>
      </c>
      <c r="N605" s="112" t="str">
        <f>IF(preDEL!$AG605,IFERROR(0/0,""),preDEL!N605)</f>
        <v/>
      </c>
      <c r="O605" s="112" t="str">
        <f>IF(preDEL!$AG605,IFERROR(0/0,""),preDEL!O605)</f>
        <v/>
      </c>
      <c r="P605" s="110" t="b">
        <f>IF(preDEL!$AG605,IFERROR(0/0,""),preDEL!P605)</f>
        <v>0</v>
      </c>
      <c r="Q605" s="110" t="str">
        <f>IF(preDEL!$AG605,IFERROR(0/0,""),preDEL!Q605)</f>
        <v>Result</v>
      </c>
      <c r="R605" s="104" t="b">
        <f>IF(preDEL!$AG605,IFERROR(0/0,""),preDEL!R605)</f>
        <v>1</v>
      </c>
      <c r="S605" s="104">
        <f>IF(preDEL!$AG605,IFERROR(0/0,""),preDEL!S605)</f>
        <v>1</v>
      </c>
      <c r="T605" s="110" t="str">
        <f>IF(preDEL!$AG605,IFERROR(0/0,""),preDEL!T605)</f>
        <v/>
      </c>
      <c r="U605" s="112" t="str">
        <f>IF(preDEL!$AG605,IFERROR(0/0,""),preDEL!U605)</f>
        <v/>
      </c>
      <c r="V605" s="105" t="str">
        <f>IF(preDEL!$AG605,IFERROR(0/0,""),preDEL!V605)</f>
        <v/>
      </c>
      <c r="W605" s="112" t="str">
        <f>IF(preDEL!$AG605,IFERROR(0/0,""),preDEL!W605)</f>
        <v/>
      </c>
      <c r="X605" s="104" t="b">
        <f>IF(preDEL!$AG605,IFERROR(0/0,""),preDEL!X605)</f>
        <v>0</v>
      </c>
      <c r="Y605" s="110" t="b">
        <f>IF(preDEL!$AG605,IFERROR(0/0,""),preDEL!Y605)</f>
        <v>0</v>
      </c>
      <c r="Z605" s="105" t="str">
        <f>IF(preDEL!$AG605,IFERROR(0/0,""),preDEL!Z605)</f>
        <v/>
      </c>
      <c r="AA605" s="110" t="b">
        <f>IF(preDEL!$AG605,IFERROR(0/0,""),preDEL!AA605)</f>
        <v>0</v>
      </c>
      <c r="AB605" s="110" t="b">
        <f>IF(preDEL!$AG605,IFERROR(0/0,""),preDEL!AB605)</f>
        <v>0</v>
      </c>
      <c r="AC605" s="172">
        <f>IF(preDEL!$AG605,IFERROR(0/0,""),preDEL!AC605)</f>
        <v>211</v>
      </c>
      <c r="AD605" s="104" t="b">
        <f>IF(preDEL!$AG605,IFERROR(0/0,""),preDEL!AD605)</f>
        <v>0</v>
      </c>
      <c r="AE605" s="173" t="str">
        <f>IF(preDEL!$AG605,IFERROR(0/0,""),preDEL!AE605)</f>
        <v/>
      </c>
      <c r="AF605" s="110" t="b">
        <f>IF(preDEL!$AG605,IFERROR(0/0,""),preDEL!AF605)</f>
        <v>0</v>
      </c>
      <c r="AG605" s="110" t="b">
        <f>IF(preDEL!$AG605,IFERROR(0/0,""),preDEL!AG605)</f>
        <v>0</v>
      </c>
      <c r="AH605" s="104" t="str">
        <f>IF(preDEL!$AG605,IFERROR(0/0,""),preDEL!AH605)</f>
        <v/>
      </c>
      <c r="AI605" s="105" t="str">
        <f>IF(preDEL!$AG605,IFERROR(0/0,""),preDEL!AI605)</f>
        <v/>
      </c>
      <c r="AJ605" s="112" t="str">
        <f>IF(preDEL!$AG605,IFERROR(0/0,""),preDEL!AJ605)</f>
        <v/>
      </c>
      <c r="AK605" s="105" t="str">
        <f>IF(preDEL!$AG605,IFERROR(0/0,""),preDEL!AK605)</f>
        <v>Negative</v>
      </c>
      <c r="AL605" s="112" t="str">
        <f>IF(preDEL!$AG605,IFERROR(0/0,""),preDEL!AL605)</f>
        <v/>
      </c>
      <c r="AM605" s="112" t="str">
        <f>IF(preDEL!$AG605,IFERROR(0/0,""),preDEL!AM605)</f>
        <v>SpBEND642175</v>
      </c>
      <c r="AN605" s="112" t="str">
        <f>IF(preDEL!$AG605,IFERROR(0/0,""),preDEL!AN605)</f>
        <v>BEND883134</v>
      </c>
      <c r="AO605" s="112" t="str">
        <f>IF(preDEL!$AG605,IFERROR(0/0,""),preDEL!AO605)</f>
        <v/>
      </c>
      <c r="AP605" s="112" t="str">
        <f>IF(preDEL!$AG605,IFERROR(0/0,""),preDEL!AP605)</f>
        <v/>
      </c>
      <c r="AQ605" s="112" t="str">
        <f>IF(preDEL!$AG605,IFERROR(0/0,""),preDEL!AQ605)</f>
        <v/>
      </c>
      <c r="AR605" s="112" t="str">
        <f>IF(preDEL!$AG605,IFERROR(0/0,""),preDEL!AR605)</f>
        <v/>
      </c>
      <c r="AS605" s="112" t="str">
        <f>IF(preDEL!$AG605,IFERROR(0/0,""),preDEL!AS605)</f>
        <v/>
      </c>
      <c r="AT605" s="112" t="b">
        <f>IF(preDEL!$AG605,IFERROR(0/0,""),preDEL!AT605)</f>
        <v>0</v>
      </c>
      <c r="AU605" s="112" t="str">
        <f>IF(preDEL!$AG605,IFERROR(0/0,""),preDEL!AU605)</f>
        <v/>
      </c>
      <c r="AV605" s="112" t="str">
        <f>IF(preDEL!$AG605,IFERROR(0/0,""),preDEL!AV605)</f>
        <v/>
      </c>
      <c r="AW605" s="112" t="str">
        <f>IF(preDEL!$AG605,IFERROR(0/0,""),preDEL!AW605)</f>
        <v/>
      </c>
      <c r="AX605" s="112" t="str">
        <f>IF(preDEL!$AG605,IFERROR(0/0,""),preDEL!AX605)</f>
        <v/>
      </c>
      <c r="AY605" s="112" t="str">
        <f>IF(preDEL!$AG605,IFERROR(0/0,""),preDEL!AY605)</f>
        <v/>
      </c>
      <c r="AZ605" s="174"/>
      <c r="BA605" s="174"/>
      <c r="BB605" s="174"/>
      <c r="BC605" s="174"/>
      <c r="BD605" s="174"/>
      <c r="BE605" s="174"/>
      <c r="BF605" s="174"/>
      <c r="BG605" s="174"/>
      <c r="BH605" s="174"/>
      <c r="BI605" s="174"/>
      <c r="BJ605" s="174"/>
      <c r="BK605" s="174"/>
      <c r="BL605" s="174"/>
      <c r="BM605" s="174"/>
      <c r="BN605" s="174"/>
      <c r="BO605" s="174"/>
      <c r="BP605" s="174"/>
      <c r="BQ605" s="174"/>
      <c r="BR605" s="174"/>
      <c r="BS605" s="174"/>
      <c r="BT605" s="174"/>
      <c r="BU605" s="174"/>
      <c r="BV605" s="174"/>
      <c r="BW605" s="174"/>
      <c r="BX605" s="174"/>
      <c r="BY605" s="174"/>
      <c r="BZ605" s="174"/>
      <c r="CA605" s="174"/>
      <c r="CB605" s="174"/>
      <c r="CC605" s="174"/>
      <c r="CD605" s="174"/>
    </row>
    <row r="606">
      <c r="A606" s="105" t="str">
        <f>IF(preDEL!$AG606,IFERROR(0/0,""),preDEL!A606)</f>
        <v>FM812</v>
      </c>
      <c r="B606" s="170">
        <f>IF(preDEL!$AG606,IFERROR(0/0,""),preDEL!B606)</f>
        <v>44619</v>
      </c>
      <c r="C606" s="171">
        <f>IF(preDEL!$AG606,IFERROR(0/0,""),preDEL!C606)</f>
        <v>0.3302430556</v>
      </c>
      <c r="D606" s="105" t="str">
        <f>IF(preDEL!$AG606,IFERROR(0/0,""),preDEL!D606)</f>
        <v/>
      </c>
      <c r="E606" s="105" t="str">
        <f>IF(preDEL!$AG606,IFERROR(0/0,""),preDEL!E606)</f>
        <v/>
      </c>
      <c r="F606" s="112" t="str">
        <f>IF(preDEL!$AG606,IFERROR(0/0,""),preDEL!F606)</f>
        <v/>
      </c>
      <c r="G606" s="112" t="str">
        <f>IF(preDEL!$AG606,IFERROR(0/0,""),preDEL!G606)</f>
        <v/>
      </c>
      <c r="H606" s="112" t="str">
        <f>IF(preDEL!$AG606,IFERROR(0/0,""),preDEL!H606)</f>
        <v/>
      </c>
      <c r="I606" s="105" t="str">
        <f>IF(preDEL!$AG606,IFERROR(0/0,""),preDEL!I606)</f>
        <v/>
      </c>
      <c r="J606" s="105" t="str">
        <f>IF(preDEL!$AG606,IFERROR(0/0,""),preDEL!J606)</f>
        <v/>
      </c>
      <c r="K606" s="105" t="str">
        <f>IF(preDEL!$AG606,IFERROR(0/0,""),preDEL!K606)</f>
        <v>Negative</v>
      </c>
      <c r="L606" s="170">
        <f>IF(preDEL!$AG606,IFERROR(0/0,""),preDEL!L606)</f>
        <v>44621</v>
      </c>
      <c r="M606" s="171">
        <f>IF(preDEL!$AG606,IFERROR(0/0,""),preDEL!M606)</f>
        <v>0.4783564815</v>
      </c>
      <c r="N606" s="112" t="str">
        <f>IF(preDEL!$AG606,IFERROR(0/0,""),preDEL!N606)</f>
        <v/>
      </c>
      <c r="O606" s="112" t="str">
        <f>IF(preDEL!$AG606,IFERROR(0/0,""),preDEL!O606)</f>
        <v/>
      </c>
      <c r="P606" s="110" t="b">
        <f>IF(preDEL!$AG606,IFERROR(0/0,""),preDEL!P606)</f>
        <v>0</v>
      </c>
      <c r="Q606" s="110" t="str">
        <f>IF(preDEL!$AG606,IFERROR(0/0,""),preDEL!Q606)</f>
        <v>Result</v>
      </c>
      <c r="R606" s="104" t="b">
        <f>IF(preDEL!$AG606,IFERROR(0/0,""),preDEL!R606)</f>
        <v>1</v>
      </c>
      <c r="S606" s="104">
        <f>IF(preDEL!$AG606,IFERROR(0/0,""),preDEL!S606)</f>
        <v>1</v>
      </c>
      <c r="T606" s="110" t="str">
        <f>IF(preDEL!$AG606,IFERROR(0/0,""),preDEL!T606)</f>
        <v/>
      </c>
      <c r="U606" s="112" t="str">
        <f>IF(preDEL!$AG606,IFERROR(0/0,""),preDEL!U606)</f>
        <v/>
      </c>
      <c r="V606" s="105" t="str">
        <f>IF(preDEL!$AG606,IFERROR(0/0,""),preDEL!V606)</f>
        <v/>
      </c>
      <c r="W606" s="112" t="str">
        <f>IF(preDEL!$AG606,IFERROR(0/0,""),preDEL!W606)</f>
        <v/>
      </c>
      <c r="X606" s="104" t="b">
        <f>IF(preDEL!$AG606,IFERROR(0/0,""),preDEL!X606)</f>
        <v>0</v>
      </c>
      <c r="Y606" s="110" t="b">
        <f>IF(preDEL!$AG606,IFERROR(0/0,""),preDEL!Y606)</f>
        <v>0</v>
      </c>
      <c r="Z606" s="105" t="str">
        <f>IF(preDEL!$AG606,IFERROR(0/0,""),preDEL!Z606)</f>
        <v/>
      </c>
      <c r="AA606" s="110" t="b">
        <f>IF(preDEL!$AG606,IFERROR(0/0,""),preDEL!AA606)</f>
        <v>0</v>
      </c>
      <c r="AB606" s="110" t="b">
        <f>IF(preDEL!$AG606,IFERROR(0/0,""),preDEL!AB606)</f>
        <v>0</v>
      </c>
      <c r="AC606" s="172">
        <f>IF(preDEL!$AG606,IFERROR(0/0,""),preDEL!AC606)</f>
        <v>210</v>
      </c>
      <c r="AD606" s="104" t="b">
        <f>IF(preDEL!$AG606,IFERROR(0/0,""),preDEL!AD606)</f>
        <v>0</v>
      </c>
      <c r="AE606" s="173" t="str">
        <f>IF(preDEL!$AG606,IFERROR(0/0,""),preDEL!AE606)</f>
        <v/>
      </c>
      <c r="AF606" s="110" t="b">
        <f>IF(preDEL!$AG606,IFERROR(0/0,""),preDEL!AF606)</f>
        <v>0</v>
      </c>
      <c r="AG606" s="110" t="b">
        <f>IF(preDEL!$AG606,IFERROR(0/0,""),preDEL!AG606)</f>
        <v>0</v>
      </c>
      <c r="AH606" s="104" t="str">
        <f>IF(preDEL!$AG606,IFERROR(0/0,""),preDEL!AH606)</f>
        <v/>
      </c>
      <c r="AI606" s="105" t="str">
        <f>IF(preDEL!$AG606,IFERROR(0/0,""),preDEL!AI606)</f>
        <v/>
      </c>
      <c r="AJ606" s="112" t="str">
        <f>IF(preDEL!$AG606,IFERROR(0/0,""),preDEL!AJ606)</f>
        <v/>
      </c>
      <c r="AK606" s="105" t="str">
        <f>IF(preDEL!$AG606,IFERROR(0/0,""),preDEL!AK606)</f>
        <v>Negative</v>
      </c>
      <c r="AL606" s="112" t="str">
        <f>IF(preDEL!$AG606,IFERROR(0/0,""),preDEL!AL606)</f>
        <v/>
      </c>
      <c r="AM606" s="112" t="str">
        <f>IF(preDEL!$AG606,IFERROR(0/0,""),preDEL!AM606)</f>
        <v>SpBEND824412</v>
      </c>
      <c r="AN606" s="112" t="str">
        <f>IF(preDEL!$AG606,IFERROR(0/0,""),preDEL!AN606)</f>
        <v>BEND918814</v>
      </c>
      <c r="AO606" s="112" t="str">
        <f>IF(preDEL!$AG606,IFERROR(0/0,""),preDEL!AO606)</f>
        <v/>
      </c>
      <c r="AP606" s="112" t="str">
        <f>IF(preDEL!$AG606,IFERROR(0/0,""),preDEL!AP606)</f>
        <v/>
      </c>
      <c r="AQ606" s="112" t="str">
        <f>IF(preDEL!$AG606,IFERROR(0/0,""),preDEL!AQ606)</f>
        <v/>
      </c>
      <c r="AR606" s="112" t="str">
        <f>IF(preDEL!$AG606,IFERROR(0/0,""),preDEL!AR606)</f>
        <v/>
      </c>
      <c r="AS606" s="112" t="str">
        <f>IF(preDEL!$AG606,IFERROR(0/0,""),preDEL!AS606)</f>
        <v/>
      </c>
      <c r="AT606" s="112" t="b">
        <f>IF(preDEL!$AG606,IFERROR(0/0,""),preDEL!AT606)</f>
        <v>0</v>
      </c>
      <c r="AU606" s="112" t="str">
        <f>IF(preDEL!$AG606,IFERROR(0/0,""),preDEL!AU606)</f>
        <v/>
      </c>
      <c r="AV606" s="112" t="str">
        <f>IF(preDEL!$AG606,IFERROR(0/0,""),preDEL!AV606)</f>
        <v/>
      </c>
      <c r="AW606" s="112" t="str">
        <f>IF(preDEL!$AG606,IFERROR(0/0,""),preDEL!AW606)</f>
        <v/>
      </c>
      <c r="AX606" s="112" t="str">
        <f>IF(preDEL!$AG606,IFERROR(0/0,""),preDEL!AX606)</f>
        <v/>
      </c>
      <c r="AY606" s="112" t="str">
        <f>IF(preDEL!$AG606,IFERROR(0/0,""),preDEL!AY606)</f>
        <v/>
      </c>
      <c r="AZ606" s="174"/>
      <c r="BA606" s="174"/>
      <c r="BB606" s="174"/>
      <c r="BC606" s="174"/>
      <c r="BD606" s="174"/>
      <c r="BE606" s="174"/>
      <c r="BF606" s="174"/>
      <c r="BG606" s="174"/>
      <c r="BH606" s="174"/>
      <c r="BI606" s="174"/>
      <c r="BJ606" s="174"/>
      <c r="BK606" s="174"/>
      <c r="BL606" s="174"/>
      <c r="BM606" s="174"/>
      <c r="BN606" s="174"/>
      <c r="BO606" s="174"/>
      <c r="BP606" s="174"/>
      <c r="BQ606" s="174"/>
      <c r="BR606" s="174"/>
      <c r="BS606" s="174"/>
      <c r="BT606" s="174"/>
      <c r="BU606" s="174"/>
      <c r="BV606" s="174"/>
      <c r="BW606" s="174"/>
      <c r="BX606" s="174"/>
      <c r="BY606" s="174"/>
      <c r="BZ606" s="174"/>
      <c r="CA606" s="174"/>
      <c r="CB606" s="174"/>
      <c r="CC606" s="174"/>
      <c r="CD606" s="174"/>
    </row>
    <row r="607">
      <c r="A607" s="105" t="str">
        <f>IF(preDEL!$AG607,IFERROR(0/0,""),preDEL!A607)</f>
        <v>FM444</v>
      </c>
      <c r="B607" s="170">
        <f>IF(preDEL!$AG607,IFERROR(0/0,""),preDEL!B607)</f>
        <v>44619</v>
      </c>
      <c r="C607" s="171">
        <f>IF(preDEL!$AG607,IFERROR(0/0,""),preDEL!C607)</f>
        <v>0.3308449074</v>
      </c>
      <c r="D607" s="105" t="str">
        <f>IF(preDEL!$AG607,IFERROR(0/0,""),preDEL!D607)</f>
        <v/>
      </c>
      <c r="E607" s="105" t="str">
        <f>IF(preDEL!$AG607,IFERROR(0/0,""),preDEL!E607)</f>
        <v/>
      </c>
      <c r="F607" s="112" t="str">
        <f>IF(preDEL!$AG607,IFERROR(0/0,""),preDEL!F607)</f>
        <v/>
      </c>
      <c r="G607" s="112" t="str">
        <f>IF(preDEL!$AG607,IFERROR(0/0,""),preDEL!G607)</f>
        <v/>
      </c>
      <c r="H607" s="112" t="str">
        <f>IF(preDEL!$AG607,IFERROR(0/0,""),preDEL!H607)</f>
        <v/>
      </c>
      <c r="I607" s="105" t="str">
        <f>IF(preDEL!$AG607,IFERROR(0/0,""),preDEL!I607)</f>
        <v/>
      </c>
      <c r="J607" s="105" t="str">
        <f>IF(preDEL!$AG607,IFERROR(0/0,""),preDEL!J607)</f>
        <v/>
      </c>
      <c r="K607" s="105" t="str">
        <f>IF(preDEL!$AG607,IFERROR(0/0,""),preDEL!K607)</f>
        <v>Negative</v>
      </c>
      <c r="L607" s="170">
        <f>IF(preDEL!$AG607,IFERROR(0/0,""),preDEL!L607)</f>
        <v>44621</v>
      </c>
      <c r="M607" s="171">
        <f>IF(preDEL!$AG607,IFERROR(0/0,""),preDEL!M607)</f>
        <v>0.4783564815</v>
      </c>
      <c r="N607" s="112" t="str">
        <f>IF(preDEL!$AG607,IFERROR(0/0,""),preDEL!N607)</f>
        <v/>
      </c>
      <c r="O607" s="112" t="str">
        <f>IF(preDEL!$AG607,IFERROR(0/0,""),preDEL!O607)</f>
        <v/>
      </c>
      <c r="P607" s="110" t="b">
        <f>IF(preDEL!$AG607,IFERROR(0/0,""),preDEL!P607)</f>
        <v>0</v>
      </c>
      <c r="Q607" s="110" t="str">
        <f>IF(preDEL!$AG607,IFERROR(0/0,""),preDEL!Q607)</f>
        <v>Result</v>
      </c>
      <c r="R607" s="104" t="b">
        <f>IF(preDEL!$AG607,IFERROR(0/0,""),preDEL!R607)</f>
        <v>1</v>
      </c>
      <c r="S607" s="104">
        <f>IF(preDEL!$AG607,IFERROR(0/0,""),preDEL!S607)</f>
        <v>1</v>
      </c>
      <c r="T607" s="110" t="str">
        <f>IF(preDEL!$AG607,IFERROR(0/0,""),preDEL!T607)</f>
        <v/>
      </c>
      <c r="U607" s="112" t="str">
        <f>IF(preDEL!$AG607,IFERROR(0/0,""),preDEL!U607)</f>
        <v/>
      </c>
      <c r="V607" s="105" t="str">
        <f>IF(preDEL!$AG607,IFERROR(0/0,""),preDEL!V607)</f>
        <v/>
      </c>
      <c r="W607" s="112" t="str">
        <f>IF(preDEL!$AG607,IFERROR(0/0,""),preDEL!W607)</f>
        <v/>
      </c>
      <c r="X607" s="104" t="b">
        <f>IF(preDEL!$AG607,IFERROR(0/0,""),preDEL!X607)</f>
        <v>0</v>
      </c>
      <c r="Y607" s="110" t="b">
        <f>IF(preDEL!$AG607,IFERROR(0/0,""),preDEL!Y607)</f>
        <v>0</v>
      </c>
      <c r="Z607" s="105" t="str">
        <f>IF(preDEL!$AG607,IFERROR(0/0,""),preDEL!Z607)</f>
        <v/>
      </c>
      <c r="AA607" s="110" t="b">
        <f>IF(preDEL!$AG607,IFERROR(0/0,""),preDEL!AA607)</f>
        <v>0</v>
      </c>
      <c r="AB607" s="110" t="b">
        <f>IF(preDEL!$AG607,IFERROR(0/0,""),preDEL!AB607)</f>
        <v>0</v>
      </c>
      <c r="AC607" s="172">
        <f>IF(preDEL!$AG607,IFERROR(0/0,""),preDEL!AC607)</f>
        <v>209</v>
      </c>
      <c r="AD607" s="104" t="b">
        <f>IF(preDEL!$AG607,IFERROR(0/0,""),preDEL!AD607)</f>
        <v>0</v>
      </c>
      <c r="AE607" s="173" t="str">
        <f>IF(preDEL!$AG607,IFERROR(0/0,""),preDEL!AE607)</f>
        <v/>
      </c>
      <c r="AF607" s="110" t="b">
        <f>IF(preDEL!$AG607,IFERROR(0/0,""),preDEL!AF607)</f>
        <v>0</v>
      </c>
      <c r="AG607" s="110" t="b">
        <f>IF(preDEL!$AG607,IFERROR(0/0,""),preDEL!AG607)</f>
        <v>0</v>
      </c>
      <c r="AH607" s="104" t="str">
        <f>IF(preDEL!$AG607,IFERROR(0/0,""),preDEL!AH607)</f>
        <v/>
      </c>
      <c r="AI607" s="105" t="str">
        <f>IF(preDEL!$AG607,IFERROR(0/0,""),preDEL!AI607)</f>
        <v/>
      </c>
      <c r="AJ607" s="112" t="str">
        <f>IF(preDEL!$AG607,IFERROR(0/0,""),preDEL!AJ607)</f>
        <v/>
      </c>
      <c r="AK607" s="105" t="str">
        <f>IF(preDEL!$AG607,IFERROR(0/0,""),preDEL!AK607)</f>
        <v>Negative</v>
      </c>
      <c r="AL607" s="112" t="str">
        <f>IF(preDEL!$AG607,IFERROR(0/0,""),preDEL!AL607)</f>
        <v/>
      </c>
      <c r="AM607" s="112" t="str">
        <f>IF(preDEL!$AG607,IFERROR(0/0,""),preDEL!AM607)</f>
        <v>SpBEND634692</v>
      </c>
      <c r="AN607" s="112" t="str">
        <f>IF(preDEL!$AG607,IFERROR(0/0,""),preDEL!AN607)</f>
        <v>BEND885483</v>
      </c>
      <c r="AO607" s="112" t="str">
        <f>IF(preDEL!$AG607,IFERROR(0/0,""),preDEL!AO607)</f>
        <v/>
      </c>
      <c r="AP607" s="112" t="str">
        <f>IF(preDEL!$AG607,IFERROR(0/0,""),preDEL!AP607)</f>
        <v/>
      </c>
      <c r="AQ607" s="112" t="str">
        <f>IF(preDEL!$AG607,IFERROR(0/0,""),preDEL!AQ607)</f>
        <v/>
      </c>
      <c r="AR607" s="112" t="str">
        <f>IF(preDEL!$AG607,IFERROR(0/0,""),preDEL!AR607)</f>
        <v/>
      </c>
      <c r="AS607" s="112" t="str">
        <f>IF(preDEL!$AG607,IFERROR(0/0,""),preDEL!AS607)</f>
        <v/>
      </c>
      <c r="AT607" s="112" t="b">
        <f>IF(preDEL!$AG607,IFERROR(0/0,""),preDEL!AT607)</f>
        <v>0</v>
      </c>
      <c r="AU607" s="112" t="str">
        <f>IF(preDEL!$AG607,IFERROR(0/0,""),preDEL!AU607)</f>
        <v/>
      </c>
      <c r="AV607" s="112" t="str">
        <f>IF(preDEL!$AG607,IFERROR(0/0,""),preDEL!AV607)</f>
        <v/>
      </c>
      <c r="AW607" s="112" t="str">
        <f>IF(preDEL!$AG607,IFERROR(0/0,""),preDEL!AW607)</f>
        <v/>
      </c>
      <c r="AX607" s="112" t="str">
        <f>IF(preDEL!$AG607,IFERROR(0/0,""),preDEL!AX607)</f>
        <v/>
      </c>
      <c r="AY607" s="112" t="str">
        <f>IF(preDEL!$AG607,IFERROR(0/0,""),preDEL!AY607)</f>
        <v/>
      </c>
      <c r="AZ607" s="174"/>
      <c r="BA607" s="174"/>
      <c r="BB607" s="174"/>
      <c r="BC607" s="174"/>
      <c r="BD607" s="174"/>
      <c r="BE607" s="174"/>
      <c r="BF607" s="174"/>
      <c r="BG607" s="174"/>
      <c r="BH607" s="174"/>
      <c r="BI607" s="174"/>
      <c r="BJ607" s="174"/>
      <c r="BK607" s="174"/>
      <c r="BL607" s="174"/>
      <c r="BM607" s="174"/>
      <c r="BN607" s="174"/>
      <c r="BO607" s="174"/>
      <c r="BP607" s="174"/>
      <c r="BQ607" s="174"/>
      <c r="BR607" s="174"/>
      <c r="BS607" s="174"/>
      <c r="BT607" s="174"/>
      <c r="BU607" s="174"/>
      <c r="BV607" s="174"/>
      <c r="BW607" s="174"/>
      <c r="BX607" s="174"/>
      <c r="BY607" s="174"/>
      <c r="BZ607" s="174"/>
      <c r="CA607" s="174"/>
      <c r="CB607" s="174"/>
      <c r="CC607" s="174"/>
      <c r="CD607" s="174"/>
    </row>
    <row r="608">
      <c r="A608" s="105" t="str">
        <f>IF(preDEL!$AG608,IFERROR(0/0,""),preDEL!A608)</f>
        <v>MA194</v>
      </c>
      <c r="B608" s="170">
        <f>IF(preDEL!$AG608,IFERROR(0/0,""),preDEL!B608)</f>
        <v>44619</v>
      </c>
      <c r="C608" s="171">
        <f>IF(preDEL!$AG608,IFERROR(0/0,""),preDEL!C608)</f>
        <v>0.3308564815</v>
      </c>
      <c r="D608" s="105" t="str">
        <f>IF(preDEL!$AG608,IFERROR(0/0,""),preDEL!D608)</f>
        <v/>
      </c>
      <c r="E608" s="105" t="str">
        <f>IF(preDEL!$AG608,IFERROR(0/0,""),preDEL!E608)</f>
        <v/>
      </c>
      <c r="F608" s="112" t="str">
        <f>IF(preDEL!$AG608,IFERROR(0/0,""),preDEL!F608)</f>
        <v/>
      </c>
      <c r="G608" s="112" t="str">
        <f>IF(preDEL!$AG608,IFERROR(0/0,""),preDEL!G608)</f>
        <v/>
      </c>
      <c r="H608" s="112" t="str">
        <f>IF(preDEL!$AG608,IFERROR(0/0,""),preDEL!H608)</f>
        <v/>
      </c>
      <c r="I608" s="105" t="str">
        <f>IF(preDEL!$AG608,IFERROR(0/0,""),preDEL!I608)</f>
        <v/>
      </c>
      <c r="J608" s="105" t="str">
        <f>IF(preDEL!$AG608,IFERROR(0/0,""),preDEL!J608)</f>
        <v/>
      </c>
      <c r="K608" s="105" t="str">
        <f>IF(preDEL!$AG608,IFERROR(0/0,""),preDEL!K608)</f>
        <v>Negative</v>
      </c>
      <c r="L608" s="170">
        <f>IF(preDEL!$AG608,IFERROR(0/0,""),preDEL!L608)</f>
        <v>44621</v>
      </c>
      <c r="M608" s="171">
        <f>IF(preDEL!$AG608,IFERROR(0/0,""),preDEL!M608)</f>
        <v>0.4783564815</v>
      </c>
      <c r="N608" s="112" t="str">
        <f>IF(preDEL!$AG608,IFERROR(0/0,""),preDEL!N608)</f>
        <v/>
      </c>
      <c r="O608" s="112" t="str">
        <f>IF(preDEL!$AG608,IFERROR(0/0,""),preDEL!O608)</f>
        <v/>
      </c>
      <c r="P608" s="110" t="b">
        <f>IF(preDEL!$AG608,IFERROR(0/0,""),preDEL!P608)</f>
        <v>0</v>
      </c>
      <c r="Q608" s="110" t="str">
        <f>IF(preDEL!$AG608,IFERROR(0/0,""),preDEL!Q608)</f>
        <v>Result</v>
      </c>
      <c r="R608" s="104" t="b">
        <f>IF(preDEL!$AG608,IFERROR(0/0,""),preDEL!R608)</f>
        <v>1</v>
      </c>
      <c r="S608" s="104">
        <f>IF(preDEL!$AG608,IFERROR(0/0,""),preDEL!S608)</f>
        <v>1</v>
      </c>
      <c r="T608" s="110" t="str">
        <f>IF(preDEL!$AG608,IFERROR(0/0,""),preDEL!T608)</f>
        <v/>
      </c>
      <c r="U608" s="112" t="str">
        <f>IF(preDEL!$AG608,IFERROR(0/0,""),preDEL!U608)</f>
        <v/>
      </c>
      <c r="V608" s="105" t="str">
        <f>IF(preDEL!$AG608,IFERROR(0/0,""),preDEL!V608)</f>
        <v/>
      </c>
      <c r="W608" s="112" t="str">
        <f>IF(preDEL!$AG608,IFERROR(0/0,""),preDEL!W608)</f>
        <v/>
      </c>
      <c r="X608" s="104" t="b">
        <f>IF(preDEL!$AG608,IFERROR(0/0,""),preDEL!X608)</f>
        <v>0</v>
      </c>
      <c r="Y608" s="110" t="b">
        <f>IF(preDEL!$AG608,IFERROR(0/0,""),preDEL!Y608)</f>
        <v>0</v>
      </c>
      <c r="Z608" s="105" t="str">
        <f>IF(preDEL!$AG608,IFERROR(0/0,""),preDEL!Z608)</f>
        <v/>
      </c>
      <c r="AA608" s="110" t="b">
        <f>IF(preDEL!$AG608,IFERROR(0/0,""),preDEL!AA608)</f>
        <v>0</v>
      </c>
      <c r="AB608" s="110" t="b">
        <f>IF(preDEL!$AG608,IFERROR(0/0,""),preDEL!AB608)</f>
        <v>0</v>
      </c>
      <c r="AC608" s="172">
        <f>IF(preDEL!$AG608,IFERROR(0/0,""),preDEL!AC608)</f>
        <v>208</v>
      </c>
      <c r="AD608" s="104" t="b">
        <f>IF(preDEL!$AG608,IFERROR(0/0,""),preDEL!AD608)</f>
        <v>0</v>
      </c>
      <c r="AE608" s="173" t="str">
        <f>IF(preDEL!$AG608,IFERROR(0/0,""),preDEL!AE608)</f>
        <v/>
      </c>
      <c r="AF608" s="110" t="b">
        <f>IF(preDEL!$AG608,IFERROR(0/0,""),preDEL!AF608)</f>
        <v>0</v>
      </c>
      <c r="AG608" s="110" t="b">
        <f>IF(preDEL!$AG608,IFERROR(0/0,""),preDEL!AG608)</f>
        <v>0</v>
      </c>
      <c r="AH608" s="104" t="str">
        <f>IF(preDEL!$AG608,IFERROR(0/0,""),preDEL!AH608)</f>
        <v/>
      </c>
      <c r="AI608" s="105" t="str">
        <f>IF(preDEL!$AG608,IFERROR(0/0,""),preDEL!AI608)</f>
        <v/>
      </c>
      <c r="AJ608" s="112" t="str">
        <f>IF(preDEL!$AG608,IFERROR(0/0,""),preDEL!AJ608)</f>
        <v/>
      </c>
      <c r="AK608" s="105" t="str">
        <f>IF(preDEL!$AG608,IFERROR(0/0,""),preDEL!AK608)</f>
        <v>Negative</v>
      </c>
      <c r="AL608" s="112" t="str">
        <f>IF(preDEL!$AG608,IFERROR(0/0,""),preDEL!AL608)</f>
        <v/>
      </c>
      <c r="AM608" s="112" t="str">
        <f>IF(preDEL!$AG608,IFERROR(0/0,""),preDEL!AM608)</f>
        <v>SpBEND967817</v>
      </c>
      <c r="AN608" s="112" t="str">
        <f>IF(preDEL!$AG608,IFERROR(0/0,""),preDEL!AN608)</f>
        <v>BEND525341</v>
      </c>
      <c r="AO608" s="112" t="str">
        <f>IF(preDEL!$AG608,IFERROR(0/0,""),preDEL!AO608)</f>
        <v/>
      </c>
      <c r="AP608" s="112" t="str">
        <f>IF(preDEL!$AG608,IFERROR(0/0,""),preDEL!AP608)</f>
        <v/>
      </c>
      <c r="AQ608" s="112" t="str">
        <f>IF(preDEL!$AG608,IFERROR(0/0,""),preDEL!AQ608)</f>
        <v/>
      </c>
      <c r="AR608" s="112" t="str">
        <f>IF(preDEL!$AG608,IFERROR(0/0,""),preDEL!AR608)</f>
        <v/>
      </c>
      <c r="AS608" s="112" t="str">
        <f>IF(preDEL!$AG608,IFERROR(0/0,""),preDEL!AS608)</f>
        <v/>
      </c>
      <c r="AT608" s="112" t="b">
        <f>IF(preDEL!$AG608,IFERROR(0/0,""),preDEL!AT608)</f>
        <v>0</v>
      </c>
      <c r="AU608" s="112" t="str">
        <f>IF(preDEL!$AG608,IFERROR(0/0,""),preDEL!AU608)</f>
        <v/>
      </c>
      <c r="AV608" s="112" t="str">
        <f>IF(preDEL!$AG608,IFERROR(0/0,""),preDEL!AV608)</f>
        <v/>
      </c>
      <c r="AW608" s="112" t="str">
        <f>IF(preDEL!$AG608,IFERROR(0/0,""),preDEL!AW608)</f>
        <v/>
      </c>
      <c r="AX608" s="112" t="str">
        <f>IF(preDEL!$AG608,IFERROR(0/0,""),preDEL!AX608)</f>
        <v/>
      </c>
      <c r="AY608" s="112" t="str">
        <f>IF(preDEL!$AG608,IFERROR(0/0,""),preDEL!AY608)</f>
        <v/>
      </c>
      <c r="AZ608" s="174"/>
      <c r="BA608" s="174"/>
      <c r="BB608" s="174"/>
      <c r="BC608" s="174"/>
      <c r="BD608" s="174"/>
      <c r="BE608" s="174"/>
      <c r="BF608" s="174"/>
      <c r="BG608" s="174"/>
      <c r="BH608" s="174"/>
      <c r="BI608" s="174"/>
      <c r="BJ608" s="174"/>
      <c r="BK608" s="174"/>
      <c r="BL608" s="174"/>
      <c r="BM608" s="174"/>
      <c r="BN608" s="174"/>
      <c r="BO608" s="174"/>
      <c r="BP608" s="174"/>
      <c r="BQ608" s="174"/>
      <c r="BR608" s="174"/>
      <c r="BS608" s="174"/>
      <c r="BT608" s="174"/>
      <c r="BU608" s="174"/>
      <c r="BV608" s="174"/>
      <c r="BW608" s="174"/>
      <c r="BX608" s="174"/>
      <c r="BY608" s="174"/>
      <c r="BZ608" s="174"/>
      <c r="CA608" s="174"/>
      <c r="CB608" s="174"/>
      <c r="CC608" s="174"/>
      <c r="CD608" s="174"/>
    </row>
    <row r="609">
      <c r="A609" s="105" t="str">
        <f>IF(preDEL!$AG609,IFERROR(0/0,""),preDEL!A609)</f>
        <v>FM414</v>
      </c>
      <c r="B609" s="170">
        <f>IF(preDEL!$AG609,IFERROR(0/0,""),preDEL!B609)</f>
        <v>44619</v>
      </c>
      <c r="C609" s="171">
        <f>IF(preDEL!$AG609,IFERROR(0/0,""),preDEL!C609)</f>
        <v>0.3393055556</v>
      </c>
      <c r="D609" s="105" t="str">
        <f>IF(preDEL!$AG609,IFERROR(0/0,""),preDEL!D609)</f>
        <v/>
      </c>
      <c r="E609" s="105" t="str">
        <f>IF(preDEL!$AG609,IFERROR(0/0,""),preDEL!E609)</f>
        <v/>
      </c>
      <c r="F609" s="112" t="str">
        <f>IF(preDEL!$AG609,IFERROR(0/0,""),preDEL!F609)</f>
        <v/>
      </c>
      <c r="G609" s="112" t="str">
        <f>IF(preDEL!$AG609,IFERROR(0/0,""),preDEL!G609)</f>
        <v/>
      </c>
      <c r="H609" s="112" t="str">
        <f>IF(preDEL!$AG609,IFERROR(0/0,""),preDEL!H609)</f>
        <v/>
      </c>
      <c r="I609" s="105" t="str">
        <f>IF(preDEL!$AG609,IFERROR(0/0,""),preDEL!I609)</f>
        <v/>
      </c>
      <c r="J609" s="105" t="str">
        <f>IF(preDEL!$AG609,IFERROR(0/0,""),preDEL!J609)</f>
        <v/>
      </c>
      <c r="K609" s="105" t="str">
        <f>IF(preDEL!$AG609,IFERROR(0/0,""),preDEL!K609)</f>
        <v>Negative</v>
      </c>
      <c r="L609" s="170">
        <f>IF(preDEL!$AG609,IFERROR(0/0,""),preDEL!L609)</f>
        <v>44621</v>
      </c>
      <c r="M609" s="171">
        <f>IF(preDEL!$AG609,IFERROR(0/0,""),preDEL!M609)</f>
        <v>0.4783564815</v>
      </c>
      <c r="N609" s="112" t="str">
        <f>IF(preDEL!$AG609,IFERROR(0/0,""),preDEL!N609)</f>
        <v/>
      </c>
      <c r="O609" s="112" t="str">
        <f>IF(preDEL!$AG609,IFERROR(0/0,""),preDEL!O609)</f>
        <v/>
      </c>
      <c r="P609" s="110" t="b">
        <f>IF(preDEL!$AG609,IFERROR(0/0,""),preDEL!P609)</f>
        <v>0</v>
      </c>
      <c r="Q609" s="110" t="str">
        <f>IF(preDEL!$AG609,IFERROR(0/0,""),preDEL!Q609)</f>
        <v>Result</v>
      </c>
      <c r="R609" s="104" t="b">
        <f>IF(preDEL!$AG609,IFERROR(0/0,""),preDEL!R609)</f>
        <v>1</v>
      </c>
      <c r="S609" s="104">
        <f>IF(preDEL!$AG609,IFERROR(0/0,""),preDEL!S609)</f>
        <v>1</v>
      </c>
      <c r="T609" s="110" t="str">
        <f>IF(preDEL!$AG609,IFERROR(0/0,""),preDEL!T609)</f>
        <v/>
      </c>
      <c r="U609" s="112" t="str">
        <f>IF(preDEL!$AG609,IFERROR(0/0,""),preDEL!U609)</f>
        <v/>
      </c>
      <c r="V609" s="105" t="str">
        <f>IF(preDEL!$AG609,IFERROR(0/0,""),preDEL!V609)</f>
        <v/>
      </c>
      <c r="W609" s="112" t="str">
        <f>IF(preDEL!$AG609,IFERROR(0/0,""),preDEL!W609)</f>
        <v/>
      </c>
      <c r="X609" s="104" t="b">
        <f>IF(preDEL!$AG609,IFERROR(0/0,""),preDEL!X609)</f>
        <v>0</v>
      </c>
      <c r="Y609" s="110" t="b">
        <f>IF(preDEL!$AG609,IFERROR(0/0,""),preDEL!Y609)</f>
        <v>0</v>
      </c>
      <c r="Z609" s="105" t="str">
        <f>IF(preDEL!$AG609,IFERROR(0/0,""),preDEL!Z609)</f>
        <v/>
      </c>
      <c r="AA609" s="110" t="b">
        <f>IF(preDEL!$AG609,IFERROR(0/0,""),preDEL!AA609)</f>
        <v>0</v>
      </c>
      <c r="AB609" s="110" t="b">
        <f>IF(preDEL!$AG609,IFERROR(0/0,""),preDEL!AB609)</f>
        <v>0</v>
      </c>
      <c r="AC609" s="172">
        <f>IF(preDEL!$AG609,IFERROR(0/0,""),preDEL!AC609)</f>
        <v>207</v>
      </c>
      <c r="AD609" s="104" t="b">
        <f>IF(preDEL!$AG609,IFERROR(0/0,""),preDEL!AD609)</f>
        <v>0</v>
      </c>
      <c r="AE609" s="173" t="str">
        <f>IF(preDEL!$AG609,IFERROR(0/0,""),preDEL!AE609)</f>
        <v/>
      </c>
      <c r="AF609" s="110" t="b">
        <f>IF(preDEL!$AG609,IFERROR(0/0,""),preDEL!AF609)</f>
        <v>0</v>
      </c>
      <c r="AG609" s="110" t="b">
        <f>IF(preDEL!$AG609,IFERROR(0/0,""),preDEL!AG609)</f>
        <v>0</v>
      </c>
      <c r="AH609" s="104" t="str">
        <f>IF(preDEL!$AG609,IFERROR(0/0,""),preDEL!AH609)</f>
        <v/>
      </c>
      <c r="AI609" s="105" t="str">
        <f>IF(preDEL!$AG609,IFERROR(0/0,""),preDEL!AI609)</f>
        <v/>
      </c>
      <c r="AJ609" s="112" t="str">
        <f>IF(preDEL!$AG609,IFERROR(0/0,""),preDEL!AJ609)</f>
        <v/>
      </c>
      <c r="AK609" s="105" t="str">
        <f>IF(preDEL!$AG609,IFERROR(0/0,""),preDEL!AK609)</f>
        <v>Negative</v>
      </c>
      <c r="AL609" s="112" t="str">
        <f>IF(preDEL!$AG609,IFERROR(0/0,""),preDEL!AL609)</f>
        <v/>
      </c>
      <c r="AM609" s="112" t="str">
        <f>IF(preDEL!$AG609,IFERROR(0/0,""),preDEL!AM609)</f>
        <v>SpBEND302553</v>
      </c>
      <c r="AN609" s="112" t="str">
        <f>IF(preDEL!$AG609,IFERROR(0/0,""),preDEL!AN609)</f>
        <v>BEND219101</v>
      </c>
      <c r="AO609" s="112" t="str">
        <f>IF(preDEL!$AG609,IFERROR(0/0,""),preDEL!AO609)</f>
        <v/>
      </c>
      <c r="AP609" s="112" t="str">
        <f>IF(preDEL!$AG609,IFERROR(0/0,""),preDEL!AP609)</f>
        <v/>
      </c>
      <c r="AQ609" s="112" t="str">
        <f>IF(preDEL!$AG609,IFERROR(0/0,""),preDEL!AQ609)</f>
        <v/>
      </c>
      <c r="AR609" s="112" t="str">
        <f>IF(preDEL!$AG609,IFERROR(0/0,""),preDEL!AR609)</f>
        <v/>
      </c>
      <c r="AS609" s="112" t="str">
        <f>IF(preDEL!$AG609,IFERROR(0/0,""),preDEL!AS609)</f>
        <v/>
      </c>
      <c r="AT609" s="112" t="b">
        <f>IF(preDEL!$AG609,IFERROR(0/0,""),preDEL!AT609)</f>
        <v>0</v>
      </c>
      <c r="AU609" s="112" t="str">
        <f>IF(preDEL!$AG609,IFERROR(0/0,""),preDEL!AU609)</f>
        <v/>
      </c>
      <c r="AV609" s="112" t="str">
        <f>IF(preDEL!$AG609,IFERROR(0/0,""),preDEL!AV609)</f>
        <v/>
      </c>
      <c r="AW609" s="112" t="str">
        <f>IF(preDEL!$AG609,IFERROR(0/0,""),preDEL!AW609)</f>
        <v/>
      </c>
      <c r="AX609" s="112" t="str">
        <f>IF(preDEL!$AG609,IFERROR(0/0,""),preDEL!AX609)</f>
        <v/>
      </c>
      <c r="AY609" s="112" t="str">
        <f>IF(preDEL!$AG609,IFERROR(0/0,""),preDEL!AY609)</f>
        <v/>
      </c>
      <c r="AZ609" s="174"/>
      <c r="BA609" s="174"/>
      <c r="BB609" s="174"/>
      <c r="BC609" s="174"/>
      <c r="BD609" s="174"/>
      <c r="BE609" s="174"/>
      <c r="BF609" s="174"/>
      <c r="BG609" s="174"/>
      <c r="BH609" s="174"/>
      <c r="BI609" s="174"/>
      <c r="BJ609" s="174"/>
      <c r="BK609" s="174"/>
      <c r="BL609" s="174"/>
      <c r="BM609" s="174"/>
      <c r="BN609" s="174"/>
      <c r="BO609" s="174"/>
      <c r="BP609" s="174"/>
      <c r="BQ609" s="174"/>
      <c r="BR609" s="174"/>
      <c r="BS609" s="174"/>
      <c r="BT609" s="174"/>
      <c r="BU609" s="174"/>
      <c r="BV609" s="174"/>
      <c r="BW609" s="174"/>
      <c r="BX609" s="174"/>
      <c r="BY609" s="174"/>
      <c r="BZ609" s="174"/>
      <c r="CA609" s="174"/>
      <c r="CB609" s="174"/>
      <c r="CC609" s="174"/>
      <c r="CD609" s="174"/>
    </row>
    <row r="610">
      <c r="A610" s="105" t="str">
        <f>IF(preDEL!$AG610,IFERROR(0/0,""),preDEL!A610)</f>
        <v>MA1095</v>
      </c>
      <c r="B610" s="170">
        <f>IF(preDEL!$AG610,IFERROR(0/0,""),preDEL!B610)</f>
        <v>44619</v>
      </c>
      <c r="C610" s="171">
        <f>IF(preDEL!$AG610,IFERROR(0/0,""),preDEL!C610)</f>
        <v>0.3544444444</v>
      </c>
      <c r="D610" s="105" t="str">
        <f>IF(preDEL!$AG610,IFERROR(0/0,""),preDEL!D610)</f>
        <v/>
      </c>
      <c r="E610" s="105" t="str">
        <f>IF(preDEL!$AG610,IFERROR(0/0,""),preDEL!E610)</f>
        <v/>
      </c>
      <c r="F610" s="112" t="str">
        <f>IF(preDEL!$AG610,IFERROR(0/0,""),preDEL!F610)</f>
        <v/>
      </c>
      <c r="G610" s="112" t="str">
        <f>IF(preDEL!$AG610,IFERROR(0/0,""),preDEL!G610)</f>
        <v/>
      </c>
      <c r="H610" s="112" t="str">
        <f>IF(preDEL!$AG610,IFERROR(0/0,""),preDEL!H610)</f>
        <v/>
      </c>
      <c r="I610" s="105" t="str">
        <f>IF(preDEL!$AG610,IFERROR(0/0,""),preDEL!I610)</f>
        <v/>
      </c>
      <c r="J610" s="105" t="str">
        <f>IF(preDEL!$AG610,IFERROR(0/0,""),preDEL!J610)</f>
        <v/>
      </c>
      <c r="K610" s="105" t="str">
        <f>IF(preDEL!$AG610,IFERROR(0/0,""),preDEL!K610)</f>
        <v>Positive</v>
      </c>
      <c r="L610" s="170">
        <f>IF(preDEL!$AG610,IFERROR(0/0,""),preDEL!L610)</f>
        <v>44627</v>
      </c>
      <c r="M610" s="171">
        <f>IF(preDEL!$AG610,IFERROR(0/0,""),preDEL!M610)</f>
        <v>0.4778935185</v>
      </c>
      <c r="N610" s="112" t="str">
        <f>IF(preDEL!$AG610,IFERROR(0/0,""),preDEL!N610)</f>
        <v/>
      </c>
      <c r="O610" s="112" t="str">
        <f>IF(preDEL!$AG610,IFERROR(0/0,""),preDEL!O610)</f>
        <v/>
      </c>
      <c r="P610" s="110" t="b">
        <f>IF(preDEL!$AG610,IFERROR(0/0,""),preDEL!P610)</f>
        <v>0</v>
      </c>
      <c r="Q610" s="110" t="str">
        <f>IF(preDEL!$AG610,IFERROR(0/0,""),preDEL!Q610)</f>
        <v>Result</v>
      </c>
      <c r="R610" s="104" t="b">
        <f>IF(preDEL!$AG610,IFERROR(0/0,""),preDEL!R610)</f>
        <v>1</v>
      </c>
      <c r="S610" s="104">
        <f>IF(preDEL!$AG610,IFERROR(0/0,""),preDEL!S610)</f>
        <v>1</v>
      </c>
      <c r="T610" s="110" t="str">
        <f>IF(preDEL!$AG610,IFERROR(0/0,""),preDEL!T610)</f>
        <v/>
      </c>
      <c r="U610" s="112" t="str">
        <f>IF(preDEL!$AG610,IFERROR(0/0,""),preDEL!U610)</f>
        <v/>
      </c>
      <c r="V610" s="105" t="str">
        <f>IF(preDEL!$AG610,IFERROR(0/0,""),preDEL!V610)</f>
        <v/>
      </c>
      <c r="W610" s="112" t="str">
        <f>IF(preDEL!$AG610,IFERROR(0/0,""),preDEL!W610)</f>
        <v/>
      </c>
      <c r="X610" s="104" t="b">
        <f>IF(preDEL!$AG610,IFERROR(0/0,""),preDEL!X610)</f>
        <v>0</v>
      </c>
      <c r="Y610" s="110" t="b">
        <f>IF(preDEL!$AG610,IFERROR(0/0,""),preDEL!Y610)</f>
        <v>0</v>
      </c>
      <c r="Z610" s="105" t="str">
        <f>IF(preDEL!$AG610,IFERROR(0/0,""),preDEL!Z610)</f>
        <v/>
      </c>
      <c r="AA610" s="110" t="b">
        <f>IF(preDEL!$AG610,IFERROR(0/0,""),preDEL!AA610)</f>
        <v>0</v>
      </c>
      <c r="AB610" s="110" t="b">
        <f>IF(preDEL!$AG610,IFERROR(0/0,""),preDEL!AB610)</f>
        <v>0</v>
      </c>
      <c r="AC610" s="172">
        <f>IF(preDEL!$AG610,IFERROR(0/0,""),preDEL!AC610)</f>
        <v>206</v>
      </c>
      <c r="AD610" s="104" t="b">
        <f>IF(preDEL!$AG610,IFERROR(0/0,""),preDEL!AD610)</f>
        <v>0</v>
      </c>
      <c r="AE610" s="173" t="str">
        <f>IF(preDEL!$AG610,IFERROR(0/0,""),preDEL!AE610)</f>
        <v/>
      </c>
      <c r="AF610" s="110" t="b">
        <f>IF(preDEL!$AG610,IFERROR(0/0,""),preDEL!AF610)</f>
        <v>0</v>
      </c>
      <c r="AG610" s="110" t="b">
        <f>IF(preDEL!$AG610,IFERROR(0/0,""),preDEL!AG610)</f>
        <v>0</v>
      </c>
      <c r="AH610" s="104" t="str">
        <f>IF(preDEL!$AG610,IFERROR(0/0,""),preDEL!AH610)</f>
        <v/>
      </c>
      <c r="AI610" s="105" t="str">
        <f>IF(preDEL!$AG610,IFERROR(0/0,""),preDEL!AI610)</f>
        <v/>
      </c>
      <c r="AJ610" s="112" t="str">
        <f>IF(preDEL!$AG610,IFERROR(0/0,""),preDEL!AJ610)</f>
        <v/>
      </c>
      <c r="AK610" s="105" t="str">
        <f>IF(preDEL!$AG610,IFERROR(0/0,""),preDEL!AK610)</f>
        <v>Positive</v>
      </c>
      <c r="AL610" s="112" t="str">
        <f>IF(preDEL!$AG610,IFERROR(0/0,""),preDEL!AL610)</f>
        <v/>
      </c>
      <c r="AM610" s="112" t="str">
        <f>IF(preDEL!$AG610,IFERROR(0/0,""),preDEL!AM610)</f>
        <v>SpBEND183210</v>
      </c>
      <c r="AN610" s="112" t="str">
        <f>IF(preDEL!$AG610,IFERROR(0/0,""),preDEL!AN610)</f>
        <v>BEND992347</v>
      </c>
      <c r="AO610" s="112" t="str">
        <f>IF(preDEL!$AG610,IFERROR(0/0,""),preDEL!AO610)</f>
        <v/>
      </c>
      <c r="AP610" s="112" t="str">
        <f>IF(preDEL!$AG610,IFERROR(0/0,""),preDEL!AP610)</f>
        <v/>
      </c>
      <c r="AQ610" s="112" t="str">
        <f>IF(preDEL!$AG610,IFERROR(0/0,""),preDEL!AQ610)</f>
        <v/>
      </c>
      <c r="AR610" s="112" t="str">
        <f>IF(preDEL!$AG610,IFERROR(0/0,""),preDEL!AR610)</f>
        <v/>
      </c>
      <c r="AS610" s="112" t="str">
        <f>IF(preDEL!$AG610,IFERROR(0/0,""),preDEL!AS610)</f>
        <v/>
      </c>
      <c r="AT610" s="112" t="b">
        <f>IF(preDEL!$AG610,IFERROR(0/0,""),preDEL!AT610)</f>
        <v>0</v>
      </c>
      <c r="AU610" s="112" t="str">
        <f>IF(preDEL!$AG610,IFERROR(0/0,""),preDEL!AU610)</f>
        <v/>
      </c>
      <c r="AV610" s="112" t="str">
        <f>IF(preDEL!$AG610,IFERROR(0/0,""),preDEL!AV610)</f>
        <v/>
      </c>
      <c r="AW610" s="112" t="str">
        <f>IF(preDEL!$AG610,IFERROR(0/0,""),preDEL!AW610)</f>
        <v/>
      </c>
      <c r="AX610" s="112" t="str">
        <f>IF(preDEL!$AG610,IFERROR(0/0,""),preDEL!AX610)</f>
        <v/>
      </c>
      <c r="AY610" s="112" t="str">
        <f>IF(preDEL!$AG610,IFERROR(0/0,""),preDEL!AY610)</f>
        <v/>
      </c>
      <c r="AZ610" s="174"/>
      <c r="BA610" s="174"/>
      <c r="BB610" s="174"/>
      <c r="BC610" s="174"/>
      <c r="BD610" s="174"/>
      <c r="BE610" s="174"/>
      <c r="BF610" s="174"/>
      <c r="BG610" s="174"/>
      <c r="BH610" s="174"/>
      <c r="BI610" s="174"/>
      <c r="BJ610" s="174"/>
      <c r="BK610" s="174"/>
      <c r="BL610" s="174"/>
      <c r="BM610" s="174"/>
      <c r="BN610" s="174"/>
      <c r="BO610" s="174"/>
      <c r="BP610" s="174"/>
      <c r="BQ610" s="174"/>
      <c r="BR610" s="174"/>
      <c r="BS610" s="174"/>
      <c r="BT610" s="174"/>
      <c r="BU610" s="174"/>
      <c r="BV610" s="174"/>
      <c r="BW610" s="174"/>
      <c r="BX610" s="174"/>
      <c r="BY610" s="174"/>
      <c r="BZ610" s="174"/>
      <c r="CA610" s="174"/>
      <c r="CB610" s="174"/>
      <c r="CC610" s="174"/>
      <c r="CD610" s="174"/>
    </row>
    <row r="611">
      <c r="A611" s="105" t="str">
        <f>IF(preDEL!$AG611,IFERROR(0/0,""),preDEL!A611)</f>
        <v>MA1288</v>
      </c>
      <c r="B611" s="170">
        <f>IF(preDEL!$AG611,IFERROR(0/0,""),preDEL!B611)</f>
        <v>44619</v>
      </c>
      <c r="C611" s="171">
        <f>IF(preDEL!$AG611,IFERROR(0/0,""),preDEL!C611)</f>
        <v>0.3557523148</v>
      </c>
      <c r="D611" s="105" t="str">
        <f>IF(preDEL!$AG611,IFERROR(0/0,""),preDEL!D611)</f>
        <v/>
      </c>
      <c r="E611" s="105" t="str">
        <f>IF(preDEL!$AG611,IFERROR(0/0,""),preDEL!E611)</f>
        <v/>
      </c>
      <c r="F611" s="112" t="str">
        <f>IF(preDEL!$AG611,IFERROR(0/0,""),preDEL!F611)</f>
        <v/>
      </c>
      <c r="G611" s="112" t="str">
        <f>IF(preDEL!$AG611,IFERROR(0/0,""),preDEL!G611)</f>
        <v/>
      </c>
      <c r="H611" s="112" t="str">
        <f>IF(preDEL!$AG611,IFERROR(0/0,""),preDEL!H611)</f>
        <v/>
      </c>
      <c r="I611" s="105" t="str">
        <f>IF(preDEL!$AG611,IFERROR(0/0,""),preDEL!I611)</f>
        <v/>
      </c>
      <c r="J611" s="105" t="str">
        <f>IF(preDEL!$AG611,IFERROR(0/0,""),preDEL!J611)</f>
        <v/>
      </c>
      <c r="K611" s="105" t="str">
        <f>IF(preDEL!$AG611,IFERROR(0/0,""),preDEL!K611)</f>
        <v>Negative</v>
      </c>
      <c r="L611" s="170">
        <f>IF(preDEL!$AG611,IFERROR(0/0,""),preDEL!L611)</f>
        <v>44621</v>
      </c>
      <c r="M611" s="171">
        <f>IF(preDEL!$AG611,IFERROR(0/0,""),preDEL!M611)</f>
        <v>0.4783564815</v>
      </c>
      <c r="N611" s="112" t="str">
        <f>IF(preDEL!$AG611,IFERROR(0/0,""),preDEL!N611)</f>
        <v/>
      </c>
      <c r="O611" s="112" t="str">
        <f>IF(preDEL!$AG611,IFERROR(0/0,""),preDEL!O611)</f>
        <v/>
      </c>
      <c r="P611" s="110" t="b">
        <f>IF(preDEL!$AG611,IFERROR(0/0,""),preDEL!P611)</f>
        <v>0</v>
      </c>
      <c r="Q611" s="110" t="str">
        <f>IF(preDEL!$AG611,IFERROR(0/0,""),preDEL!Q611)</f>
        <v>Result</v>
      </c>
      <c r="R611" s="104" t="b">
        <f>IF(preDEL!$AG611,IFERROR(0/0,""),preDEL!R611)</f>
        <v>1</v>
      </c>
      <c r="S611" s="104">
        <f>IF(preDEL!$AG611,IFERROR(0/0,""),preDEL!S611)</f>
        <v>1</v>
      </c>
      <c r="T611" s="110" t="str">
        <f>IF(preDEL!$AG611,IFERROR(0/0,""),preDEL!T611)</f>
        <v/>
      </c>
      <c r="U611" s="112" t="str">
        <f>IF(preDEL!$AG611,IFERROR(0/0,""),preDEL!U611)</f>
        <v/>
      </c>
      <c r="V611" s="105" t="str">
        <f>IF(preDEL!$AG611,IFERROR(0/0,""),preDEL!V611)</f>
        <v/>
      </c>
      <c r="W611" s="112" t="str">
        <f>IF(preDEL!$AG611,IFERROR(0/0,""),preDEL!W611)</f>
        <v/>
      </c>
      <c r="X611" s="104" t="b">
        <f>IF(preDEL!$AG611,IFERROR(0/0,""),preDEL!X611)</f>
        <v>0</v>
      </c>
      <c r="Y611" s="110" t="b">
        <f>IF(preDEL!$AG611,IFERROR(0/0,""),preDEL!Y611)</f>
        <v>0</v>
      </c>
      <c r="Z611" s="105" t="str">
        <f>IF(preDEL!$AG611,IFERROR(0/0,""),preDEL!Z611)</f>
        <v/>
      </c>
      <c r="AA611" s="110" t="b">
        <f>IF(preDEL!$AG611,IFERROR(0/0,""),preDEL!AA611)</f>
        <v>0</v>
      </c>
      <c r="AB611" s="110" t="b">
        <f>IF(preDEL!$AG611,IFERROR(0/0,""),preDEL!AB611)</f>
        <v>0</v>
      </c>
      <c r="AC611" s="172">
        <f>IF(preDEL!$AG611,IFERROR(0/0,""),preDEL!AC611)</f>
        <v>205</v>
      </c>
      <c r="AD611" s="104" t="b">
        <f>IF(preDEL!$AG611,IFERROR(0/0,""),preDEL!AD611)</f>
        <v>0</v>
      </c>
      <c r="AE611" s="173" t="str">
        <f>IF(preDEL!$AG611,IFERROR(0/0,""),preDEL!AE611)</f>
        <v/>
      </c>
      <c r="AF611" s="110" t="b">
        <f>IF(preDEL!$AG611,IFERROR(0/0,""),preDEL!AF611)</f>
        <v>0</v>
      </c>
      <c r="AG611" s="110" t="b">
        <f>IF(preDEL!$AG611,IFERROR(0/0,""),preDEL!AG611)</f>
        <v>0</v>
      </c>
      <c r="AH611" s="104" t="str">
        <f>IF(preDEL!$AG611,IFERROR(0/0,""),preDEL!AH611)</f>
        <v/>
      </c>
      <c r="AI611" s="105" t="str">
        <f>IF(preDEL!$AG611,IFERROR(0/0,""),preDEL!AI611)</f>
        <v/>
      </c>
      <c r="AJ611" s="112" t="str">
        <f>IF(preDEL!$AG611,IFERROR(0/0,""),preDEL!AJ611)</f>
        <v/>
      </c>
      <c r="AK611" s="105" t="str">
        <f>IF(preDEL!$AG611,IFERROR(0/0,""),preDEL!AK611)</f>
        <v>Negative</v>
      </c>
      <c r="AL611" s="112" t="str">
        <f>IF(preDEL!$AG611,IFERROR(0/0,""),preDEL!AL611)</f>
        <v/>
      </c>
      <c r="AM611" s="112" t="str">
        <f>IF(preDEL!$AG611,IFERROR(0/0,""),preDEL!AM611)</f>
        <v>SpBEND279112</v>
      </c>
      <c r="AN611" s="112" t="str">
        <f>IF(preDEL!$AG611,IFERROR(0/0,""),preDEL!AN611)</f>
        <v>BEND696303</v>
      </c>
      <c r="AO611" s="112" t="str">
        <f>IF(preDEL!$AG611,IFERROR(0/0,""),preDEL!AO611)</f>
        <v/>
      </c>
      <c r="AP611" s="112" t="str">
        <f>IF(preDEL!$AG611,IFERROR(0/0,""),preDEL!AP611)</f>
        <v/>
      </c>
      <c r="AQ611" s="112" t="str">
        <f>IF(preDEL!$AG611,IFERROR(0/0,""),preDEL!AQ611)</f>
        <v/>
      </c>
      <c r="AR611" s="112" t="str">
        <f>IF(preDEL!$AG611,IFERROR(0/0,""),preDEL!AR611)</f>
        <v/>
      </c>
      <c r="AS611" s="112" t="str">
        <f>IF(preDEL!$AG611,IFERROR(0/0,""),preDEL!AS611)</f>
        <v/>
      </c>
      <c r="AT611" s="112" t="b">
        <f>IF(preDEL!$AG611,IFERROR(0/0,""),preDEL!AT611)</f>
        <v>0</v>
      </c>
      <c r="AU611" s="112" t="str">
        <f>IF(preDEL!$AG611,IFERROR(0/0,""),preDEL!AU611)</f>
        <v/>
      </c>
      <c r="AV611" s="112" t="str">
        <f>IF(preDEL!$AG611,IFERROR(0/0,""),preDEL!AV611)</f>
        <v/>
      </c>
      <c r="AW611" s="112" t="str">
        <f>IF(preDEL!$AG611,IFERROR(0/0,""),preDEL!AW611)</f>
        <v/>
      </c>
      <c r="AX611" s="112" t="str">
        <f>IF(preDEL!$AG611,IFERROR(0/0,""),preDEL!AX611)</f>
        <v/>
      </c>
      <c r="AY611" s="112" t="str">
        <f>IF(preDEL!$AG611,IFERROR(0/0,""),preDEL!AY611)</f>
        <v/>
      </c>
      <c r="AZ611" s="174"/>
      <c r="BA611" s="174"/>
      <c r="BB611" s="174"/>
      <c r="BC611" s="174"/>
      <c r="BD611" s="174"/>
      <c r="BE611" s="174"/>
      <c r="BF611" s="174"/>
      <c r="BG611" s="174"/>
      <c r="BH611" s="174"/>
      <c r="BI611" s="174"/>
      <c r="BJ611" s="174"/>
      <c r="BK611" s="174"/>
      <c r="BL611" s="174"/>
      <c r="BM611" s="174"/>
      <c r="BN611" s="174"/>
      <c r="BO611" s="174"/>
      <c r="BP611" s="174"/>
      <c r="BQ611" s="174"/>
      <c r="BR611" s="174"/>
      <c r="BS611" s="174"/>
      <c r="BT611" s="174"/>
      <c r="BU611" s="174"/>
      <c r="BV611" s="174"/>
      <c r="BW611" s="174"/>
      <c r="BX611" s="174"/>
      <c r="BY611" s="174"/>
      <c r="BZ611" s="174"/>
      <c r="CA611" s="174"/>
      <c r="CB611" s="174"/>
      <c r="CC611" s="174"/>
      <c r="CD611" s="174"/>
    </row>
    <row r="612">
      <c r="A612" s="105" t="str">
        <f>IF(preDEL!$AG612,IFERROR(0/0,""),preDEL!A612)</f>
        <v>MA1320</v>
      </c>
      <c r="B612" s="170">
        <f>IF(preDEL!$AG612,IFERROR(0/0,""),preDEL!B612)</f>
        <v>44619</v>
      </c>
      <c r="C612" s="171">
        <f>IF(preDEL!$AG612,IFERROR(0/0,""),preDEL!C612)</f>
        <v>0.3563773148</v>
      </c>
      <c r="D612" s="105" t="str">
        <f>IF(preDEL!$AG612,IFERROR(0/0,""),preDEL!D612)</f>
        <v/>
      </c>
      <c r="E612" s="105" t="str">
        <f>IF(preDEL!$AG612,IFERROR(0/0,""),preDEL!E612)</f>
        <v/>
      </c>
      <c r="F612" s="112" t="str">
        <f>IF(preDEL!$AG612,IFERROR(0/0,""),preDEL!F612)</f>
        <v/>
      </c>
      <c r="G612" s="112" t="str">
        <f>IF(preDEL!$AG612,IFERROR(0/0,""),preDEL!G612)</f>
        <v/>
      </c>
      <c r="H612" s="112" t="str">
        <f>IF(preDEL!$AG612,IFERROR(0/0,""),preDEL!H612)</f>
        <v/>
      </c>
      <c r="I612" s="105" t="str">
        <f>IF(preDEL!$AG612,IFERROR(0/0,""),preDEL!I612)</f>
        <v/>
      </c>
      <c r="J612" s="105" t="str">
        <f>IF(preDEL!$AG612,IFERROR(0/0,""),preDEL!J612)</f>
        <v/>
      </c>
      <c r="K612" s="105" t="str">
        <f>IF(preDEL!$AG612,IFERROR(0/0,""),preDEL!K612)</f>
        <v>Negative</v>
      </c>
      <c r="L612" s="170">
        <f>IF(preDEL!$AG612,IFERROR(0/0,""),preDEL!L612)</f>
        <v>44621</v>
      </c>
      <c r="M612" s="171">
        <f>IF(preDEL!$AG612,IFERROR(0/0,""),preDEL!M612)</f>
        <v>0.4783564815</v>
      </c>
      <c r="N612" s="112" t="str">
        <f>IF(preDEL!$AG612,IFERROR(0/0,""),preDEL!N612)</f>
        <v/>
      </c>
      <c r="O612" s="112" t="str">
        <f>IF(preDEL!$AG612,IFERROR(0/0,""),preDEL!O612)</f>
        <v/>
      </c>
      <c r="P612" s="110" t="b">
        <f>IF(preDEL!$AG612,IFERROR(0/0,""),preDEL!P612)</f>
        <v>0</v>
      </c>
      <c r="Q612" s="110" t="str">
        <f>IF(preDEL!$AG612,IFERROR(0/0,""),preDEL!Q612)</f>
        <v>Result</v>
      </c>
      <c r="R612" s="104" t="b">
        <f>IF(preDEL!$AG612,IFERROR(0/0,""),preDEL!R612)</f>
        <v>1</v>
      </c>
      <c r="S612" s="104">
        <f>IF(preDEL!$AG612,IFERROR(0/0,""),preDEL!S612)</f>
        <v>1</v>
      </c>
      <c r="T612" s="110" t="str">
        <f>IF(preDEL!$AG612,IFERROR(0/0,""),preDEL!T612)</f>
        <v/>
      </c>
      <c r="U612" s="112" t="str">
        <f>IF(preDEL!$AG612,IFERROR(0/0,""),preDEL!U612)</f>
        <v/>
      </c>
      <c r="V612" s="105" t="str">
        <f>IF(preDEL!$AG612,IFERROR(0/0,""),preDEL!V612)</f>
        <v/>
      </c>
      <c r="W612" s="112" t="str">
        <f>IF(preDEL!$AG612,IFERROR(0/0,""),preDEL!W612)</f>
        <v/>
      </c>
      <c r="X612" s="104" t="b">
        <f>IF(preDEL!$AG612,IFERROR(0/0,""),preDEL!X612)</f>
        <v>0</v>
      </c>
      <c r="Y612" s="110" t="b">
        <f>IF(preDEL!$AG612,IFERROR(0/0,""),preDEL!Y612)</f>
        <v>0</v>
      </c>
      <c r="Z612" s="105" t="str">
        <f>IF(preDEL!$AG612,IFERROR(0/0,""),preDEL!Z612)</f>
        <v/>
      </c>
      <c r="AA612" s="110" t="b">
        <f>IF(preDEL!$AG612,IFERROR(0/0,""),preDEL!AA612)</f>
        <v>0</v>
      </c>
      <c r="AB612" s="110" t="b">
        <f>IF(preDEL!$AG612,IFERROR(0/0,""),preDEL!AB612)</f>
        <v>0</v>
      </c>
      <c r="AC612" s="172">
        <f>IF(preDEL!$AG612,IFERROR(0/0,""),preDEL!AC612)</f>
        <v>204</v>
      </c>
      <c r="AD612" s="104" t="b">
        <f>IF(preDEL!$AG612,IFERROR(0/0,""),preDEL!AD612)</f>
        <v>0</v>
      </c>
      <c r="AE612" s="173" t="str">
        <f>IF(preDEL!$AG612,IFERROR(0/0,""),preDEL!AE612)</f>
        <v/>
      </c>
      <c r="AF612" s="110" t="b">
        <f>IF(preDEL!$AG612,IFERROR(0/0,""),preDEL!AF612)</f>
        <v>0</v>
      </c>
      <c r="AG612" s="110" t="b">
        <f>IF(preDEL!$AG612,IFERROR(0/0,""),preDEL!AG612)</f>
        <v>0</v>
      </c>
      <c r="AH612" s="104" t="str">
        <f>IF(preDEL!$AG612,IFERROR(0/0,""),preDEL!AH612)</f>
        <v/>
      </c>
      <c r="AI612" s="105" t="str">
        <f>IF(preDEL!$AG612,IFERROR(0/0,""),preDEL!AI612)</f>
        <v/>
      </c>
      <c r="AJ612" s="112" t="str">
        <f>IF(preDEL!$AG612,IFERROR(0/0,""),preDEL!AJ612)</f>
        <v/>
      </c>
      <c r="AK612" s="105" t="str">
        <f>IF(preDEL!$AG612,IFERROR(0/0,""),preDEL!AK612)</f>
        <v>Negative</v>
      </c>
      <c r="AL612" s="112" t="str">
        <f>IF(preDEL!$AG612,IFERROR(0/0,""),preDEL!AL612)</f>
        <v/>
      </c>
      <c r="AM612" s="112" t="str">
        <f>IF(preDEL!$AG612,IFERROR(0/0,""),preDEL!AM612)</f>
        <v>SpBEND490402</v>
      </c>
      <c r="AN612" s="112" t="str">
        <f>IF(preDEL!$AG612,IFERROR(0/0,""),preDEL!AN612)</f>
        <v>BEND842997</v>
      </c>
      <c r="AO612" s="112" t="str">
        <f>IF(preDEL!$AG612,IFERROR(0/0,""),preDEL!AO612)</f>
        <v/>
      </c>
      <c r="AP612" s="112" t="str">
        <f>IF(preDEL!$AG612,IFERROR(0/0,""),preDEL!AP612)</f>
        <v/>
      </c>
      <c r="AQ612" s="112" t="str">
        <f>IF(preDEL!$AG612,IFERROR(0/0,""),preDEL!AQ612)</f>
        <v/>
      </c>
      <c r="AR612" s="112" t="str">
        <f>IF(preDEL!$AG612,IFERROR(0/0,""),preDEL!AR612)</f>
        <v/>
      </c>
      <c r="AS612" s="112" t="str">
        <f>IF(preDEL!$AG612,IFERROR(0/0,""),preDEL!AS612)</f>
        <v/>
      </c>
      <c r="AT612" s="112" t="b">
        <f>IF(preDEL!$AG612,IFERROR(0/0,""),preDEL!AT612)</f>
        <v>0</v>
      </c>
      <c r="AU612" s="112" t="str">
        <f>IF(preDEL!$AG612,IFERROR(0/0,""),preDEL!AU612)</f>
        <v/>
      </c>
      <c r="AV612" s="112" t="str">
        <f>IF(preDEL!$AG612,IFERROR(0/0,""),preDEL!AV612)</f>
        <v/>
      </c>
      <c r="AW612" s="112" t="str">
        <f>IF(preDEL!$AG612,IFERROR(0/0,""),preDEL!AW612)</f>
        <v/>
      </c>
      <c r="AX612" s="112" t="str">
        <f>IF(preDEL!$AG612,IFERROR(0/0,""),preDEL!AX612)</f>
        <v/>
      </c>
      <c r="AY612" s="112" t="str">
        <f>IF(preDEL!$AG612,IFERROR(0/0,""),preDEL!AY612)</f>
        <v/>
      </c>
      <c r="AZ612" s="174"/>
      <c r="BA612" s="174"/>
      <c r="BB612" s="174"/>
      <c r="BC612" s="174"/>
      <c r="BD612" s="174"/>
      <c r="BE612" s="174"/>
      <c r="BF612" s="174"/>
      <c r="BG612" s="174"/>
      <c r="BH612" s="174"/>
      <c r="BI612" s="174"/>
      <c r="BJ612" s="174"/>
      <c r="BK612" s="174"/>
      <c r="BL612" s="174"/>
      <c r="BM612" s="174"/>
      <c r="BN612" s="174"/>
      <c r="BO612" s="174"/>
      <c r="BP612" s="174"/>
      <c r="BQ612" s="174"/>
      <c r="BR612" s="174"/>
      <c r="BS612" s="174"/>
      <c r="BT612" s="174"/>
      <c r="BU612" s="174"/>
      <c r="BV612" s="174"/>
      <c r="BW612" s="174"/>
      <c r="BX612" s="174"/>
      <c r="BY612" s="174"/>
      <c r="BZ612" s="174"/>
      <c r="CA612" s="174"/>
      <c r="CB612" s="174"/>
      <c r="CC612" s="174"/>
      <c r="CD612" s="174"/>
    </row>
    <row r="613">
      <c r="A613" s="105" t="str">
        <f>IF(preDEL!$AG613,IFERROR(0/0,""),preDEL!A613)</f>
        <v>FM617</v>
      </c>
      <c r="B613" s="170">
        <f>IF(preDEL!$AG613,IFERROR(0/0,""),preDEL!B613)</f>
        <v>44619</v>
      </c>
      <c r="C613" s="171">
        <f>IF(preDEL!$AG613,IFERROR(0/0,""),preDEL!C613)</f>
        <v>0.3628587963</v>
      </c>
      <c r="D613" s="105" t="str">
        <f>IF(preDEL!$AG613,IFERROR(0/0,""),preDEL!D613)</f>
        <v/>
      </c>
      <c r="E613" s="105" t="str">
        <f>IF(preDEL!$AG613,IFERROR(0/0,""),preDEL!E613)</f>
        <v/>
      </c>
      <c r="F613" s="112" t="str">
        <f>IF(preDEL!$AG613,IFERROR(0/0,""),preDEL!F613)</f>
        <v/>
      </c>
      <c r="G613" s="112" t="str">
        <f>IF(preDEL!$AG613,IFERROR(0/0,""),preDEL!G613)</f>
        <v/>
      </c>
      <c r="H613" s="112" t="str">
        <f>IF(preDEL!$AG613,IFERROR(0/0,""),preDEL!H613)</f>
        <v/>
      </c>
      <c r="I613" s="105" t="str">
        <f>IF(preDEL!$AG613,IFERROR(0/0,""),preDEL!I613)</f>
        <v/>
      </c>
      <c r="J613" s="105" t="str">
        <f>IF(preDEL!$AG613,IFERROR(0/0,""),preDEL!J613)</f>
        <v/>
      </c>
      <c r="K613" s="105" t="str">
        <f>IF(preDEL!$AG613,IFERROR(0/0,""),preDEL!K613)</f>
        <v>Negative</v>
      </c>
      <c r="L613" s="170">
        <f>IF(preDEL!$AG613,IFERROR(0/0,""),preDEL!L613)</f>
        <v>44621</v>
      </c>
      <c r="M613" s="171">
        <f>IF(preDEL!$AG613,IFERROR(0/0,""),preDEL!M613)</f>
        <v>0.4783564815</v>
      </c>
      <c r="N613" s="112" t="str">
        <f>IF(preDEL!$AG613,IFERROR(0/0,""),preDEL!N613)</f>
        <v/>
      </c>
      <c r="O613" s="112" t="str">
        <f>IF(preDEL!$AG613,IFERROR(0/0,""),preDEL!O613)</f>
        <v/>
      </c>
      <c r="P613" s="110" t="b">
        <f>IF(preDEL!$AG613,IFERROR(0/0,""),preDEL!P613)</f>
        <v>0</v>
      </c>
      <c r="Q613" s="110" t="str">
        <f>IF(preDEL!$AG613,IFERROR(0/0,""),preDEL!Q613)</f>
        <v>Result</v>
      </c>
      <c r="R613" s="104" t="b">
        <f>IF(preDEL!$AG613,IFERROR(0/0,""),preDEL!R613)</f>
        <v>1</v>
      </c>
      <c r="S613" s="104">
        <f>IF(preDEL!$AG613,IFERROR(0/0,""),preDEL!S613)</f>
        <v>1</v>
      </c>
      <c r="T613" s="110" t="str">
        <f>IF(preDEL!$AG613,IFERROR(0/0,""),preDEL!T613)</f>
        <v/>
      </c>
      <c r="U613" s="112" t="str">
        <f>IF(preDEL!$AG613,IFERROR(0/0,""),preDEL!U613)</f>
        <v/>
      </c>
      <c r="V613" s="105" t="str">
        <f>IF(preDEL!$AG613,IFERROR(0/0,""),preDEL!V613)</f>
        <v/>
      </c>
      <c r="W613" s="112" t="str">
        <f>IF(preDEL!$AG613,IFERROR(0/0,""),preDEL!W613)</f>
        <v/>
      </c>
      <c r="X613" s="104" t="b">
        <f>IF(preDEL!$AG613,IFERROR(0/0,""),preDEL!X613)</f>
        <v>0</v>
      </c>
      <c r="Y613" s="110" t="b">
        <f>IF(preDEL!$AG613,IFERROR(0/0,""),preDEL!Y613)</f>
        <v>0</v>
      </c>
      <c r="Z613" s="105" t="str">
        <f>IF(preDEL!$AG613,IFERROR(0/0,""),preDEL!Z613)</f>
        <v/>
      </c>
      <c r="AA613" s="110" t="b">
        <f>IF(preDEL!$AG613,IFERROR(0/0,""),preDEL!AA613)</f>
        <v>0</v>
      </c>
      <c r="AB613" s="110" t="b">
        <f>IF(preDEL!$AG613,IFERROR(0/0,""),preDEL!AB613)</f>
        <v>0</v>
      </c>
      <c r="AC613" s="172">
        <f>IF(preDEL!$AG613,IFERROR(0/0,""),preDEL!AC613)</f>
        <v>203</v>
      </c>
      <c r="AD613" s="104" t="b">
        <f>IF(preDEL!$AG613,IFERROR(0/0,""),preDEL!AD613)</f>
        <v>0</v>
      </c>
      <c r="AE613" s="173" t="str">
        <f>IF(preDEL!$AG613,IFERROR(0/0,""),preDEL!AE613)</f>
        <v/>
      </c>
      <c r="AF613" s="110" t="b">
        <f>IF(preDEL!$AG613,IFERROR(0/0,""),preDEL!AF613)</f>
        <v>0</v>
      </c>
      <c r="AG613" s="110" t="b">
        <f>IF(preDEL!$AG613,IFERROR(0/0,""),preDEL!AG613)</f>
        <v>0</v>
      </c>
      <c r="AH613" s="104" t="str">
        <f>IF(preDEL!$AG613,IFERROR(0/0,""),preDEL!AH613)</f>
        <v/>
      </c>
      <c r="AI613" s="105" t="str">
        <f>IF(preDEL!$AG613,IFERROR(0/0,""),preDEL!AI613)</f>
        <v/>
      </c>
      <c r="AJ613" s="112" t="str">
        <f>IF(preDEL!$AG613,IFERROR(0/0,""),preDEL!AJ613)</f>
        <v/>
      </c>
      <c r="AK613" s="105" t="str">
        <f>IF(preDEL!$AG613,IFERROR(0/0,""),preDEL!AK613)</f>
        <v>Negative</v>
      </c>
      <c r="AL613" s="112" t="str">
        <f>IF(preDEL!$AG613,IFERROR(0/0,""),preDEL!AL613)</f>
        <v/>
      </c>
      <c r="AM613" s="112" t="str">
        <f>IF(preDEL!$AG613,IFERROR(0/0,""),preDEL!AM613)</f>
        <v>SpBEND394154</v>
      </c>
      <c r="AN613" s="112" t="str">
        <f>IF(preDEL!$AG613,IFERROR(0/0,""),preDEL!AN613)</f>
        <v>BEND365993</v>
      </c>
      <c r="AO613" s="112" t="str">
        <f>IF(preDEL!$AG613,IFERROR(0/0,""),preDEL!AO613)</f>
        <v/>
      </c>
      <c r="AP613" s="112" t="str">
        <f>IF(preDEL!$AG613,IFERROR(0/0,""),preDEL!AP613)</f>
        <v/>
      </c>
      <c r="AQ613" s="112" t="str">
        <f>IF(preDEL!$AG613,IFERROR(0/0,""),preDEL!AQ613)</f>
        <v/>
      </c>
      <c r="AR613" s="112" t="str">
        <f>IF(preDEL!$AG613,IFERROR(0/0,""),preDEL!AR613)</f>
        <v/>
      </c>
      <c r="AS613" s="112" t="str">
        <f>IF(preDEL!$AG613,IFERROR(0/0,""),preDEL!AS613)</f>
        <v/>
      </c>
      <c r="AT613" s="112" t="b">
        <f>IF(preDEL!$AG613,IFERROR(0/0,""),preDEL!AT613)</f>
        <v>0</v>
      </c>
      <c r="AU613" s="112" t="str">
        <f>IF(preDEL!$AG613,IFERROR(0/0,""),preDEL!AU613)</f>
        <v/>
      </c>
      <c r="AV613" s="112" t="str">
        <f>IF(preDEL!$AG613,IFERROR(0/0,""),preDEL!AV613)</f>
        <v/>
      </c>
      <c r="AW613" s="112" t="str">
        <f>IF(preDEL!$AG613,IFERROR(0/0,""),preDEL!AW613)</f>
        <v/>
      </c>
      <c r="AX613" s="112" t="str">
        <f>IF(preDEL!$AG613,IFERROR(0/0,""),preDEL!AX613)</f>
        <v/>
      </c>
      <c r="AY613" s="112" t="str">
        <f>IF(preDEL!$AG613,IFERROR(0/0,""),preDEL!AY613)</f>
        <v/>
      </c>
      <c r="AZ613" s="174"/>
      <c r="BA613" s="174"/>
      <c r="BB613" s="174"/>
      <c r="BC613" s="174"/>
      <c r="BD613" s="174"/>
      <c r="BE613" s="174"/>
      <c r="BF613" s="174"/>
      <c r="BG613" s="174"/>
      <c r="BH613" s="174"/>
      <c r="BI613" s="174"/>
      <c r="BJ613" s="174"/>
      <c r="BK613" s="174"/>
      <c r="BL613" s="174"/>
      <c r="BM613" s="174"/>
      <c r="BN613" s="174"/>
      <c r="BO613" s="174"/>
      <c r="BP613" s="174"/>
      <c r="BQ613" s="174"/>
      <c r="BR613" s="174"/>
      <c r="BS613" s="174"/>
      <c r="BT613" s="174"/>
      <c r="BU613" s="174"/>
      <c r="BV613" s="174"/>
      <c r="BW613" s="174"/>
      <c r="BX613" s="174"/>
      <c r="BY613" s="174"/>
      <c r="BZ613" s="174"/>
      <c r="CA613" s="174"/>
      <c r="CB613" s="174"/>
      <c r="CC613" s="174"/>
      <c r="CD613" s="174"/>
    </row>
    <row r="614">
      <c r="A614" s="105" t="str">
        <f>IF(preDEL!$AG614,IFERROR(0/0,""),preDEL!A614)</f>
        <v>FM6</v>
      </c>
      <c r="B614" s="170">
        <f>IF(preDEL!$AG614,IFERROR(0/0,""),preDEL!B614)</f>
        <v>44619</v>
      </c>
      <c r="C614" s="171">
        <f>IF(preDEL!$AG614,IFERROR(0/0,""),preDEL!C614)</f>
        <v>0.3654513889</v>
      </c>
      <c r="D614" s="105" t="str">
        <f>IF(preDEL!$AG614,IFERROR(0/0,""),preDEL!D614)</f>
        <v/>
      </c>
      <c r="E614" s="105" t="str">
        <f>IF(preDEL!$AG614,IFERROR(0/0,""),preDEL!E614)</f>
        <v/>
      </c>
      <c r="F614" s="112" t="str">
        <f>IF(preDEL!$AG614,IFERROR(0/0,""),preDEL!F614)</f>
        <v/>
      </c>
      <c r="G614" s="112" t="str">
        <f>IF(preDEL!$AG614,IFERROR(0/0,""),preDEL!G614)</f>
        <v/>
      </c>
      <c r="H614" s="112" t="str">
        <f>IF(preDEL!$AG614,IFERROR(0/0,""),preDEL!H614)</f>
        <v/>
      </c>
      <c r="I614" s="105" t="str">
        <f>IF(preDEL!$AG614,IFERROR(0/0,""),preDEL!I614)</f>
        <v/>
      </c>
      <c r="J614" s="105" t="str">
        <f>IF(preDEL!$AG614,IFERROR(0/0,""),preDEL!J614)</f>
        <v/>
      </c>
      <c r="K614" s="105" t="str">
        <f>IF(preDEL!$AG614,IFERROR(0/0,""),preDEL!K614)</f>
        <v>Negative</v>
      </c>
      <c r="L614" s="170">
        <f>IF(preDEL!$AG614,IFERROR(0/0,""),preDEL!L614)</f>
        <v>44621</v>
      </c>
      <c r="M614" s="171">
        <f>IF(preDEL!$AG614,IFERROR(0/0,""),preDEL!M614)</f>
        <v>0.4783564815</v>
      </c>
      <c r="N614" s="112" t="str">
        <f>IF(preDEL!$AG614,IFERROR(0/0,""),preDEL!N614)</f>
        <v/>
      </c>
      <c r="O614" s="112" t="str">
        <f>IF(preDEL!$AG614,IFERROR(0/0,""),preDEL!O614)</f>
        <v/>
      </c>
      <c r="P614" s="110" t="b">
        <f>IF(preDEL!$AG614,IFERROR(0/0,""),preDEL!P614)</f>
        <v>0</v>
      </c>
      <c r="Q614" s="110" t="str">
        <f>IF(preDEL!$AG614,IFERROR(0/0,""),preDEL!Q614)</f>
        <v>Result</v>
      </c>
      <c r="R614" s="104" t="b">
        <f>IF(preDEL!$AG614,IFERROR(0/0,""),preDEL!R614)</f>
        <v>1</v>
      </c>
      <c r="S614" s="104">
        <f>IF(preDEL!$AG614,IFERROR(0/0,""),preDEL!S614)</f>
        <v>1</v>
      </c>
      <c r="T614" s="110" t="str">
        <f>IF(preDEL!$AG614,IFERROR(0/0,""),preDEL!T614)</f>
        <v/>
      </c>
      <c r="U614" s="112" t="str">
        <f>IF(preDEL!$AG614,IFERROR(0/0,""),preDEL!U614)</f>
        <v/>
      </c>
      <c r="V614" s="105" t="str">
        <f>IF(preDEL!$AG614,IFERROR(0/0,""),preDEL!V614)</f>
        <v/>
      </c>
      <c r="W614" s="112" t="str">
        <f>IF(preDEL!$AG614,IFERROR(0/0,""),preDEL!W614)</f>
        <v/>
      </c>
      <c r="X614" s="104" t="b">
        <f>IF(preDEL!$AG614,IFERROR(0/0,""),preDEL!X614)</f>
        <v>0</v>
      </c>
      <c r="Y614" s="110" t="b">
        <f>IF(preDEL!$AG614,IFERROR(0/0,""),preDEL!Y614)</f>
        <v>0</v>
      </c>
      <c r="Z614" s="105" t="str">
        <f>IF(preDEL!$AG614,IFERROR(0/0,""),preDEL!Z614)</f>
        <v/>
      </c>
      <c r="AA614" s="110" t="b">
        <f>IF(preDEL!$AG614,IFERROR(0/0,""),preDEL!AA614)</f>
        <v>0</v>
      </c>
      <c r="AB614" s="110" t="b">
        <f>IF(preDEL!$AG614,IFERROR(0/0,""),preDEL!AB614)</f>
        <v>0</v>
      </c>
      <c r="AC614" s="172">
        <f>IF(preDEL!$AG614,IFERROR(0/0,""),preDEL!AC614)</f>
        <v>202</v>
      </c>
      <c r="AD614" s="104" t="b">
        <f>IF(preDEL!$AG614,IFERROR(0/0,""),preDEL!AD614)</f>
        <v>0</v>
      </c>
      <c r="AE614" s="173" t="str">
        <f>IF(preDEL!$AG614,IFERROR(0/0,""),preDEL!AE614)</f>
        <v/>
      </c>
      <c r="AF614" s="110" t="b">
        <f>IF(preDEL!$AG614,IFERROR(0/0,""),preDEL!AF614)</f>
        <v>0</v>
      </c>
      <c r="AG614" s="110" t="b">
        <f>IF(preDEL!$AG614,IFERROR(0/0,""),preDEL!AG614)</f>
        <v>0</v>
      </c>
      <c r="AH614" s="104" t="str">
        <f>IF(preDEL!$AG614,IFERROR(0/0,""),preDEL!AH614)</f>
        <v/>
      </c>
      <c r="AI614" s="105" t="str">
        <f>IF(preDEL!$AG614,IFERROR(0/0,""),preDEL!AI614)</f>
        <v/>
      </c>
      <c r="AJ614" s="112" t="str">
        <f>IF(preDEL!$AG614,IFERROR(0/0,""),preDEL!AJ614)</f>
        <v/>
      </c>
      <c r="AK614" s="105" t="str">
        <f>IF(preDEL!$AG614,IFERROR(0/0,""),preDEL!AK614)</f>
        <v>Negative</v>
      </c>
      <c r="AL614" s="112" t="str">
        <f>IF(preDEL!$AG614,IFERROR(0/0,""),preDEL!AL614)</f>
        <v/>
      </c>
      <c r="AM614" s="112" t="str">
        <f>IF(preDEL!$AG614,IFERROR(0/0,""),preDEL!AM614)</f>
        <v>SpBEND899578</v>
      </c>
      <c r="AN614" s="112" t="str">
        <f>IF(preDEL!$AG614,IFERROR(0/0,""),preDEL!AN614)</f>
        <v>BEND949070</v>
      </c>
      <c r="AO614" s="112" t="str">
        <f>IF(preDEL!$AG614,IFERROR(0/0,""),preDEL!AO614)</f>
        <v/>
      </c>
      <c r="AP614" s="112" t="str">
        <f>IF(preDEL!$AG614,IFERROR(0/0,""),preDEL!AP614)</f>
        <v/>
      </c>
      <c r="AQ614" s="112" t="str">
        <f>IF(preDEL!$AG614,IFERROR(0/0,""),preDEL!AQ614)</f>
        <v/>
      </c>
      <c r="AR614" s="112" t="str">
        <f>IF(preDEL!$AG614,IFERROR(0/0,""),preDEL!AR614)</f>
        <v/>
      </c>
      <c r="AS614" s="112" t="str">
        <f>IF(preDEL!$AG614,IFERROR(0/0,""),preDEL!AS614)</f>
        <v/>
      </c>
      <c r="AT614" s="112" t="b">
        <f>IF(preDEL!$AG614,IFERROR(0/0,""),preDEL!AT614)</f>
        <v>0</v>
      </c>
      <c r="AU614" s="112" t="str">
        <f>IF(preDEL!$AG614,IFERROR(0/0,""),preDEL!AU614)</f>
        <v/>
      </c>
      <c r="AV614" s="112" t="str">
        <f>IF(preDEL!$AG614,IFERROR(0/0,""),preDEL!AV614)</f>
        <v/>
      </c>
      <c r="AW614" s="112" t="str">
        <f>IF(preDEL!$AG614,IFERROR(0/0,""),preDEL!AW614)</f>
        <v/>
      </c>
      <c r="AX614" s="112" t="str">
        <f>IF(preDEL!$AG614,IFERROR(0/0,""),preDEL!AX614)</f>
        <v/>
      </c>
      <c r="AY614" s="112" t="str">
        <f>IF(preDEL!$AG614,IFERROR(0/0,""),preDEL!AY614)</f>
        <v/>
      </c>
      <c r="AZ614" s="174"/>
      <c r="BA614" s="174"/>
      <c r="BB614" s="174"/>
      <c r="BC614" s="174"/>
      <c r="BD614" s="174"/>
      <c r="BE614" s="174"/>
      <c r="BF614" s="174"/>
      <c r="BG614" s="174"/>
      <c r="BH614" s="174"/>
      <c r="BI614" s="174"/>
      <c r="BJ614" s="174"/>
      <c r="BK614" s="174"/>
      <c r="BL614" s="174"/>
      <c r="BM614" s="174"/>
      <c r="BN614" s="174"/>
      <c r="BO614" s="174"/>
      <c r="BP614" s="174"/>
      <c r="BQ614" s="174"/>
      <c r="BR614" s="174"/>
      <c r="BS614" s="174"/>
      <c r="BT614" s="174"/>
      <c r="BU614" s="174"/>
      <c r="BV614" s="174"/>
      <c r="BW614" s="174"/>
      <c r="BX614" s="174"/>
      <c r="BY614" s="174"/>
      <c r="BZ614" s="174"/>
      <c r="CA614" s="174"/>
      <c r="CB614" s="174"/>
      <c r="CC614" s="174"/>
      <c r="CD614" s="174"/>
    </row>
    <row r="615">
      <c r="A615" s="105" t="str">
        <f>IF(preDEL!$AG615,IFERROR(0/0,""),preDEL!A615)</f>
        <v>MAX40</v>
      </c>
      <c r="B615" s="170">
        <f>IF(preDEL!$AG615,IFERROR(0/0,""),preDEL!B615)</f>
        <v>44619</v>
      </c>
      <c r="C615" s="171">
        <f>IF(preDEL!$AG615,IFERROR(0/0,""),preDEL!C615)</f>
        <v>0.470775463</v>
      </c>
      <c r="D615" s="105" t="str">
        <f>IF(preDEL!$AG615,IFERROR(0/0,""),preDEL!D615)</f>
        <v/>
      </c>
      <c r="E615" s="105" t="str">
        <f>IF(preDEL!$AG615,IFERROR(0/0,""),preDEL!E615)</f>
        <v/>
      </c>
      <c r="F615" s="112" t="str">
        <f>IF(preDEL!$AG615,IFERROR(0/0,""),preDEL!F615)</f>
        <v/>
      </c>
      <c r="G615" s="112" t="str">
        <f>IF(preDEL!$AG615,IFERROR(0/0,""),preDEL!G615)</f>
        <v/>
      </c>
      <c r="H615" s="112" t="str">
        <f>IF(preDEL!$AG615,IFERROR(0/0,""),preDEL!H615)</f>
        <v/>
      </c>
      <c r="I615" s="105" t="str">
        <f>IF(preDEL!$AG615,IFERROR(0/0,""),preDEL!I615)</f>
        <v/>
      </c>
      <c r="J615" s="105" t="str">
        <f>IF(preDEL!$AG615,IFERROR(0/0,""),preDEL!J615)</f>
        <v/>
      </c>
      <c r="K615" s="105" t="str">
        <f>IF(preDEL!$AG615,IFERROR(0/0,""),preDEL!K615)</f>
        <v>Positive</v>
      </c>
      <c r="L615" s="170">
        <f>IF(preDEL!$AG615,IFERROR(0/0,""),preDEL!L615)</f>
        <v>44627</v>
      </c>
      <c r="M615" s="171">
        <f>IF(preDEL!$AG615,IFERROR(0/0,""),preDEL!M615)</f>
        <v>0.4778935185</v>
      </c>
      <c r="N615" s="112" t="str">
        <f>IF(preDEL!$AG615,IFERROR(0/0,""),preDEL!N615)</f>
        <v/>
      </c>
      <c r="O615" s="112" t="str">
        <f>IF(preDEL!$AG615,IFERROR(0/0,""),preDEL!O615)</f>
        <v/>
      </c>
      <c r="P615" s="110" t="b">
        <f>IF(preDEL!$AG615,IFERROR(0/0,""),preDEL!P615)</f>
        <v>0</v>
      </c>
      <c r="Q615" s="110" t="str">
        <f>IF(preDEL!$AG615,IFERROR(0/0,""),preDEL!Q615)</f>
        <v>Result</v>
      </c>
      <c r="R615" s="104" t="b">
        <f>IF(preDEL!$AG615,IFERROR(0/0,""),preDEL!R615)</f>
        <v>1</v>
      </c>
      <c r="S615" s="104">
        <f>IF(preDEL!$AG615,IFERROR(0/0,""),preDEL!S615)</f>
        <v>1</v>
      </c>
      <c r="T615" s="110">
        <f>IF(preDEL!$AG615,IFERROR(0/0,""),preDEL!T615)</f>
        <v>0</v>
      </c>
      <c r="U615" s="112" t="str">
        <f>IF(preDEL!$AG615,IFERROR(0/0,""),preDEL!U615)</f>
        <v/>
      </c>
      <c r="V615" s="105" t="str">
        <f>IF(preDEL!$AG615,IFERROR(0/0,""),preDEL!V615)</f>
        <v/>
      </c>
      <c r="W615" s="112" t="str">
        <f>IF(preDEL!$AG615,IFERROR(0/0,""),preDEL!W615)</f>
        <v/>
      </c>
      <c r="X615" s="104" t="b">
        <f>IF(preDEL!$AG615,IFERROR(0/0,""),preDEL!X615)</f>
        <v>0</v>
      </c>
      <c r="Y615" s="110" t="b">
        <f>IF(preDEL!$AG615,IFERROR(0/0,""),preDEL!Y615)</f>
        <v>0</v>
      </c>
      <c r="Z615" s="105" t="str">
        <f>IF(preDEL!$AG615,IFERROR(0/0,""),preDEL!Z615)</f>
        <v/>
      </c>
      <c r="AA615" s="110" t="b">
        <f>IF(preDEL!$AG615,IFERROR(0/0,""),preDEL!AA615)</f>
        <v>0</v>
      </c>
      <c r="AB615" s="110" t="b">
        <f>IF(preDEL!$AG615,IFERROR(0/0,""),preDEL!AB615)</f>
        <v>0</v>
      </c>
      <c r="AC615" s="172">
        <f>IF(preDEL!$AG615,IFERROR(0/0,""),preDEL!AC615)</f>
        <v>201</v>
      </c>
      <c r="AD615" s="104" t="b">
        <f>IF(preDEL!$AG615,IFERROR(0/0,""),preDEL!AD615)</f>
        <v>0</v>
      </c>
      <c r="AE615" s="173" t="str">
        <f>IF(preDEL!$AG615,IFERROR(0/0,""),preDEL!AE615)</f>
        <v/>
      </c>
      <c r="AF615" s="110" t="b">
        <f>IF(preDEL!$AG615,IFERROR(0/0,""),preDEL!AF615)</f>
        <v>0</v>
      </c>
      <c r="AG615" s="110" t="b">
        <f>IF(preDEL!$AG615,IFERROR(0/0,""),preDEL!AG615)</f>
        <v>0</v>
      </c>
      <c r="AH615" s="104" t="str">
        <f>IF(preDEL!$AG615,IFERROR(0/0,""),preDEL!AH615)</f>
        <v/>
      </c>
      <c r="AI615" s="105" t="str">
        <f>IF(preDEL!$AG615,IFERROR(0/0,""),preDEL!AI615)</f>
        <v/>
      </c>
      <c r="AJ615" s="112" t="str">
        <f>IF(preDEL!$AG615,IFERROR(0/0,""),preDEL!AJ615)</f>
        <v/>
      </c>
      <c r="AK615" s="105" t="str">
        <f>IF(preDEL!$AG615,IFERROR(0/0,""),preDEL!AK615)</f>
        <v>Positive</v>
      </c>
      <c r="AL615" s="112" t="str">
        <f>IF(preDEL!$AG615,IFERROR(0/0,""),preDEL!AL615)</f>
        <v/>
      </c>
      <c r="AM615" s="112" t="str">
        <f>IF(preDEL!$AG615,IFERROR(0/0,""),preDEL!AM615)</f>
        <v>SpBEND904348</v>
      </c>
      <c r="AN615" s="112" t="str">
        <f>IF(preDEL!$AG615,IFERROR(0/0,""),preDEL!AN615)</f>
        <v>BEND101300</v>
      </c>
      <c r="AO615" s="112" t="str">
        <f>IF(preDEL!$AG615,IFERROR(0/0,""),preDEL!AO615)</f>
        <v/>
      </c>
      <c r="AP615" s="112" t="str">
        <f>IF(preDEL!$AG615,IFERROR(0/0,""),preDEL!AP615)</f>
        <v/>
      </c>
      <c r="AQ615" s="112" t="str">
        <f>IF(preDEL!$AG615,IFERROR(0/0,""),preDEL!AQ615)</f>
        <v/>
      </c>
      <c r="AR615" s="112" t="str">
        <f>IF(preDEL!$AG615,IFERROR(0/0,""),preDEL!AR615)</f>
        <v/>
      </c>
      <c r="AS615" s="112" t="str">
        <f>IF(preDEL!$AG615,IFERROR(0/0,""),preDEL!AS615)</f>
        <v/>
      </c>
      <c r="AT615" s="112" t="b">
        <f>IF(preDEL!$AG615,IFERROR(0/0,""),preDEL!AT615)</f>
        <v>0</v>
      </c>
      <c r="AU615" s="112" t="str">
        <f>IF(preDEL!$AG615,IFERROR(0/0,""),preDEL!AU615)</f>
        <v/>
      </c>
      <c r="AV615" s="112" t="str">
        <f>IF(preDEL!$AG615,IFERROR(0/0,""),preDEL!AV615)</f>
        <v/>
      </c>
      <c r="AW615" s="112" t="str">
        <f>IF(preDEL!$AG615,IFERROR(0/0,""),preDEL!AW615)</f>
        <v/>
      </c>
      <c r="AX615" s="112" t="str">
        <f>IF(preDEL!$AG615,IFERROR(0/0,""),preDEL!AX615)</f>
        <v/>
      </c>
      <c r="AY615" s="112" t="str">
        <f>IF(preDEL!$AG615,IFERROR(0/0,""),preDEL!AY615)</f>
        <v/>
      </c>
      <c r="AZ615" s="174"/>
      <c r="BA615" s="174"/>
      <c r="BB615" s="174"/>
      <c r="BC615" s="174"/>
      <c r="BD615" s="174"/>
      <c r="BE615" s="174"/>
      <c r="BF615" s="174"/>
      <c r="BG615" s="174"/>
      <c r="BH615" s="174"/>
      <c r="BI615" s="174"/>
      <c r="BJ615" s="174"/>
      <c r="BK615" s="174"/>
      <c r="BL615" s="174"/>
      <c r="BM615" s="174"/>
      <c r="BN615" s="174"/>
      <c r="BO615" s="174"/>
      <c r="BP615" s="174"/>
      <c r="BQ615" s="174"/>
      <c r="BR615" s="174"/>
      <c r="BS615" s="174"/>
      <c r="BT615" s="174"/>
      <c r="BU615" s="174"/>
      <c r="BV615" s="174"/>
      <c r="BW615" s="174"/>
      <c r="BX615" s="174"/>
      <c r="BY615" s="174"/>
      <c r="BZ615" s="174"/>
      <c r="CA615" s="174"/>
      <c r="CB615" s="174"/>
      <c r="CC615" s="174"/>
      <c r="CD615" s="174"/>
    </row>
    <row r="616">
      <c r="A616" s="105" t="str">
        <f>IF(preDEL!$AG616,IFERROR(0/0,""),preDEL!A616)</f>
        <v>MAX106</v>
      </c>
      <c r="B616" s="170">
        <f>IF(preDEL!$AG616,IFERROR(0/0,""),preDEL!B616)</f>
        <v>44619</v>
      </c>
      <c r="C616" s="171">
        <f>IF(preDEL!$AG616,IFERROR(0/0,""),preDEL!C616)</f>
        <v>0.4712847222</v>
      </c>
      <c r="D616" s="105" t="str">
        <f>IF(preDEL!$AG616,IFERROR(0/0,""),preDEL!D616)</f>
        <v/>
      </c>
      <c r="E616" s="105" t="str">
        <f>IF(preDEL!$AG616,IFERROR(0/0,""),preDEL!E616)</f>
        <v/>
      </c>
      <c r="F616" s="112" t="str">
        <f>IF(preDEL!$AG616,IFERROR(0/0,""),preDEL!F616)</f>
        <v/>
      </c>
      <c r="G616" s="112" t="str">
        <f>IF(preDEL!$AG616,IFERROR(0/0,""),preDEL!G616)</f>
        <v/>
      </c>
      <c r="H616" s="112" t="str">
        <f>IF(preDEL!$AG616,IFERROR(0/0,""),preDEL!H616)</f>
        <v/>
      </c>
      <c r="I616" s="105" t="str">
        <f>IF(preDEL!$AG616,IFERROR(0/0,""),preDEL!I616)</f>
        <v/>
      </c>
      <c r="J616" s="105" t="str">
        <f>IF(preDEL!$AG616,IFERROR(0/0,""),preDEL!J616)</f>
        <v/>
      </c>
      <c r="K616" s="105" t="str">
        <f>IF(preDEL!$AG616,IFERROR(0/0,""),preDEL!K616)</f>
        <v>Negative</v>
      </c>
      <c r="L616" s="170">
        <f>IF(preDEL!$AG616,IFERROR(0/0,""),preDEL!L616)</f>
        <v>44621</v>
      </c>
      <c r="M616" s="171">
        <f>IF(preDEL!$AG616,IFERROR(0/0,""),preDEL!M616)</f>
        <v>0.4783564815</v>
      </c>
      <c r="N616" s="112" t="str">
        <f>IF(preDEL!$AG616,IFERROR(0/0,""),preDEL!N616)</f>
        <v/>
      </c>
      <c r="O616" s="112" t="str">
        <f>IF(preDEL!$AG616,IFERROR(0/0,""),preDEL!O616)</f>
        <v/>
      </c>
      <c r="P616" s="110" t="b">
        <f>IF(preDEL!$AG616,IFERROR(0/0,""),preDEL!P616)</f>
        <v>0</v>
      </c>
      <c r="Q616" s="110" t="str">
        <f>IF(preDEL!$AG616,IFERROR(0/0,""),preDEL!Q616)</f>
        <v>Result</v>
      </c>
      <c r="R616" s="104" t="b">
        <f>IF(preDEL!$AG616,IFERROR(0/0,""),preDEL!R616)</f>
        <v>1</v>
      </c>
      <c r="S616" s="104">
        <f>IF(preDEL!$AG616,IFERROR(0/0,""),preDEL!S616)</f>
        <v>1</v>
      </c>
      <c r="T616" s="110">
        <f>IF(preDEL!$AG616,IFERROR(0/0,""),preDEL!T616)</f>
        <v>0</v>
      </c>
      <c r="U616" s="112" t="str">
        <f>IF(preDEL!$AG616,IFERROR(0/0,""),preDEL!U616)</f>
        <v/>
      </c>
      <c r="V616" s="105" t="str">
        <f>IF(preDEL!$AG616,IFERROR(0/0,""),preDEL!V616)</f>
        <v/>
      </c>
      <c r="W616" s="112" t="str">
        <f>IF(preDEL!$AG616,IFERROR(0/0,""),preDEL!W616)</f>
        <v/>
      </c>
      <c r="X616" s="104" t="b">
        <f>IF(preDEL!$AG616,IFERROR(0/0,""),preDEL!X616)</f>
        <v>0</v>
      </c>
      <c r="Y616" s="110" t="b">
        <f>IF(preDEL!$AG616,IFERROR(0/0,""),preDEL!Y616)</f>
        <v>0</v>
      </c>
      <c r="Z616" s="105" t="str">
        <f>IF(preDEL!$AG616,IFERROR(0/0,""),preDEL!Z616)</f>
        <v/>
      </c>
      <c r="AA616" s="110" t="b">
        <f>IF(preDEL!$AG616,IFERROR(0/0,""),preDEL!AA616)</f>
        <v>0</v>
      </c>
      <c r="AB616" s="110" t="b">
        <f>IF(preDEL!$AG616,IFERROR(0/0,""),preDEL!AB616)</f>
        <v>0</v>
      </c>
      <c r="AC616" s="172">
        <f>IF(preDEL!$AG616,IFERROR(0/0,""),preDEL!AC616)</f>
        <v>200</v>
      </c>
      <c r="AD616" s="104" t="b">
        <f>IF(preDEL!$AG616,IFERROR(0/0,""),preDEL!AD616)</f>
        <v>0</v>
      </c>
      <c r="AE616" s="173" t="str">
        <f>IF(preDEL!$AG616,IFERROR(0/0,""),preDEL!AE616)</f>
        <v/>
      </c>
      <c r="AF616" s="110" t="b">
        <f>IF(preDEL!$AG616,IFERROR(0/0,""),preDEL!AF616)</f>
        <v>0</v>
      </c>
      <c r="AG616" s="110" t="b">
        <f>IF(preDEL!$AG616,IFERROR(0/0,""),preDEL!AG616)</f>
        <v>0</v>
      </c>
      <c r="AH616" s="104" t="str">
        <f>IF(preDEL!$AG616,IFERROR(0/0,""),preDEL!AH616)</f>
        <v/>
      </c>
      <c r="AI616" s="105" t="str">
        <f>IF(preDEL!$AG616,IFERROR(0/0,""),preDEL!AI616)</f>
        <v/>
      </c>
      <c r="AJ616" s="112" t="str">
        <f>IF(preDEL!$AG616,IFERROR(0/0,""),preDEL!AJ616)</f>
        <v/>
      </c>
      <c r="AK616" s="105" t="str">
        <f>IF(preDEL!$AG616,IFERROR(0/0,""),preDEL!AK616)</f>
        <v>Negative</v>
      </c>
      <c r="AL616" s="112" t="str">
        <f>IF(preDEL!$AG616,IFERROR(0/0,""),preDEL!AL616)</f>
        <v/>
      </c>
      <c r="AM616" s="112" t="str">
        <f>IF(preDEL!$AG616,IFERROR(0/0,""),preDEL!AM616)</f>
        <v>SpBEND904348</v>
      </c>
      <c r="AN616" s="112" t="str">
        <f>IF(preDEL!$AG616,IFERROR(0/0,""),preDEL!AN616)</f>
        <v>BEND591680</v>
      </c>
      <c r="AO616" s="112" t="str">
        <f>IF(preDEL!$AG616,IFERROR(0/0,""),preDEL!AO616)</f>
        <v/>
      </c>
      <c r="AP616" s="112" t="str">
        <f>IF(preDEL!$AG616,IFERROR(0/0,""),preDEL!AP616)</f>
        <v/>
      </c>
      <c r="AQ616" s="112" t="str">
        <f>IF(preDEL!$AG616,IFERROR(0/0,""),preDEL!AQ616)</f>
        <v/>
      </c>
      <c r="AR616" s="112" t="str">
        <f>IF(preDEL!$AG616,IFERROR(0/0,""),preDEL!AR616)</f>
        <v/>
      </c>
      <c r="AS616" s="112" t="str">
        <f>IF(preDEL!$AG616,IFERROR(0/0,""),preDEL!AS616)</f>
        <v/>
      </c>
      <c r="AT616" s="112" t="b">
        <f>IF(preDEL!$AG616,IFERROR(0/0,""),preDEL!AT616)</f>
        <v>0</v>
      </c>
      <c r="AU616" s="112" t="str">
        <f>IF(preDEL!$AG616,IFERROR(0/0,""),preDEL!AU616)</f>
        <v/>
      </c>
      <c r="AV616" s="112" t="str">
        <f>IF(preDEL!$AG616,IFERROR(0/0,""),preDEL!AV616)</f>
        <v/>
      </c>
      <c r="AW616" s="112" t="str">
        <f>IF(preDEL!$AG616,IFERROR(0/0,""),preDEL!AW616)</f>
        <v/>
      </c>
      <c r="AX616" s="112" t="str">
        <f>IF(preDEL!$AG616,IFERROR(0/0,""),preDEL!AX616)</f>
        <v/>
      </c>
      <c r="AY616" s="112" t="str">
        <f>IF(preDEL!$AG616,IFERROR(0/0,""),preDEL!AY616)</f>
        <v/>
      </c>
      <c r="AZ616" s="174"/>
      <c r="BA616" s="174"/>
      <c r="BB616" s="174"/>
      <c r="BC616" s="174"/>
      <c r="BD616" s="174"/>
      <c r="BE616" s="174"/>
      <c r="BF616" s="174"/>
      <c r="BG616" s="174"/>
      <c r="BH616" s="174"/>
      <c r="BI616" s="174"/>
      <c r="BJ616" s="174"/>
      <c r="BK616" s="174"/>
      <c r="BL616" s="174"/>
      <c r="BM616" s="174"/>
      <c r="BN616" s="174"/>
      <c r="BO616" s="174"/>
      <c r="BP616" s="174"/>
      <c r="BQ616" s="174"/>
      <c r="BR616" s="174"/>
      <c r="BS616" s="174"/>
      <c r="BT616" s="174"/>
      <c r="BU616" s="174"/>
      <c r="BV616" s="174"/>
      <c r="BW616" s="174"/>
      <c r="BX616" s="174"/>
      <c r="BY616" s="174"/>
      <c r="BZ616" s="174"/>
      <c r="CA616" s="174"/>
      <c r="CB616" s="174"/>
      <c r="CC616" s="174"/>
      <c r="CD616" s="174"/>
    </row>
    <row r="617">
      <c r="A617" s="105" t="str">
        <f>IF(preDEL!$AG617,IFERROR(0/0,""),preDEL!A617)</f>
        <v>MAX93</v>
      </c>
      <c r="B617" s="170">
        <f>IF(preDEL!$AG617,IFERROR(0/0,""),preDEL!B617)</f>
        <v>44619</v>
      </c>
      <c r="C617" s="171">
        <f>IF(preDEL!$AG617,IFERROR(0/0,""),preDEL!C617)</f>
        <v>0.4717476852</v>
      </c>
      <c r="D617" s="105" t="str">
        <f>IF(preDEL!$AG617,IFERROR(0/0,""),preDEL!D617)</f>
        <v/>
      </c>
      <c r="E617" s="105" t="str">
        <f>IF(preDEL!$AG617,IFERROR(0/0,""),preDEL!E617)</f>
        <v/>
      </c>
      <c r="F617" s="112" t="str">
        <f>IF(preDEL!$AG617,IFERROR(0/0,""),preDEL!F617)</f>
        <v/>
      </c>
      <c r="G617" s="112" t="str">
        <f>IF(preDEL!$AG617,IFERROR(0/0,""),preDEL!G617)</f>
        <v/>
      </c>
      <c r="H617" s="112" t="str">
        <f>IF(preDEL!$AG617,IFERROR(0/0,""),preDEL!H617)</f>
        <v/>
      </c>
      <c r="I617" s="105" t="str">
        <f>IF(preDEL!$AG617,IFERROR(0/0,""),preDEL!I617)</f>
        <v/>
      </c>
      <c r="J617" s="105" t="str">
        <f>IF(preDEL!$AG617,IFERROR(0/0,""),preDEL!J617)</f>
        <v/>
      </c>
      <c r="K617" s="105" t="str">
        <f>IF(preDEL!$AG617,IFERROR(0/0,""),preDEL!K617)</f>
        <v>Negative</v>
      </c>
      <c r="L617" s="170">
        <f>IF(preDEL!$AG617,IFERROR(0/0,""),preDEL!L617)</f>
        <v>44621</v>
      </c>
      <c r="M617" s="171">
        <f>IF(preDEL!$AG617,IFERROR(0/0,""),preDEL!M617)</f>
        <v>0.4783680556</v>
      </c>
      <c r="N617" s="112" t="str">
        <f>IF(preDEL!$AG617,IFERROR(0/0,""),preDEL!N617)</f>
        <v/>
      </c>
      <c r="O617" s="112" t="str">
        <f>IF(preDEL!$AG617,IFERROR(0/0,""),preDEL!O617)</f>
        <v/>
      </c>
      <c r="P617" s="110" t="b">
        <f>IF(preDEL!$AG617,IFERROR(0/0,""),preDEL!P617)</f>
        <v>0</v>
      </c>
      <c r="Q617" s="110" t="str">
        <f>IF(preDEL!$AG617,IFERROR(0/0,""),preDEL!Q617)</f>
        <v>Result</v>
      </c>
      <c r="R617" s="104" t="b">
        <f>IF(preDEL!$AG617,IFERROR(0/0,""),preDEL!R617)</f>
        <v>1</v>
      </c>
      <c r="S617" s="104">
        <f>IF(preDEL!$AG617,IFERROR(0/0,""),preDEL!S617)</f>
        <v>1</v>
      </c>
      <c r="T617" s="110">
        <f>IF(preDEL!$AG617,IFERROR(0/0,""),preDEL!T617)</f>
        <v>0</v>
      </c>
      <c r="U617" s="112" t="str">
        <f>IF(preDEL!$AG617,IFERROR(0/0,""),preDEL!U617)</f>
        <v/>
      </c>
      <c r="V617" s="105" t="str">
        <f>IF(preDEL!$AG617,IFERROR(0/0,""),preDEL!V617)</f>
        <v/>
      </c>
      <c r="W617" s="112" t="str">
        <f>IF(preDEL!$AG617,IFERROR(0/0,""),preDEL!W617)</f>
        <v/>
      </c>
      <c r="X617" s="104" t="b">
        <f>IF(preDEL!$AG617,IFERROR(0/0,""),preDEL!X617)</f>
        <v>0</v>
      </c>
      <c r="Y617" s="110" t="b">
        <f>IF(preDEL!$AG617,IFERROR(0/0,""),preDEL!Y617)</f>
        <v>0</v>
      </c>
      <c r="Z617" s="105" t="str">
        <f>IF(preDEL!$AG617,IFERROR(0/0,""),preDEL!Z617)</f>
        <v/>
      </c>
      <c r="AA617" s="110" t="b">
        <f>IF(preDEL!$AG617,IFERROR(0/0,""),preDEL!AA617)</f>
        <v>0</v>
      </c>
      <c r="AB617" s="110" t="b">
        <f>IF(preDEL!$AG617,IFERROR(0/0,""),preDEL!AB617)</f>
        <v>0</v>
      </c>
      <c r="AC617" s="172">
        <f>IF(preDEL!$AG617,IFERROR(0/0,""),preDEL!AC617)</f>
        <v>199</v>
      </c>
      <c r="AD617" s="104" t="b">
        <f>IF(preDEL!$AG617,IFERROR(0/0,""),preDEL!AD617)</f>
        <v>0</v>
      </c>
      <c r="AE617" s="173" t="str">
        <f>IF(preDEL!$AG617,IFERROR(0/0,""),preDEL!AE617)</f>
        <v/>
      </c>
      <c r="AF617" s="110" t="b">
        <f>IF(preDEL!$AG617,IFERROR(0/0,""),preDEL!AF617)</f>
        <v>0</v>
      </c>
      <c r="AG617" s="110" t="b">
        <f>IF(preDEL!$AG617,IFERROR(0/0,""),preDEL!AG617)</f>
        <v>0</v>
      </c>
      <c r="AH617" s="104" t="str">
        <f>IF(preDEL!$AG617,IFERROR(0/0,""),preDEL!AH617)</f>
        <v/>
      </c>
      <c r="AI617" s="105" t="str">
        <f>IF(preDEL!$AG617,IFERROR(0/0,""),preDEL!AI617)</f>
        <v/>
      </c>
      <c r="AJ617" s="112" t="str">
        <f>IF(preDEL!$AG617,IFERROR(0/0,""),preDEL!AJ617)</f>
        <v/>
      </c>
      <c r="AK617" s="105" t="str">
        <f>IF(preDEL!$AG617,IFERROR(0/0,""),preDEL!AK617)</f>
        <v>Negative</v>
      </c>
      <c r="AL617" s="112" t="str">
        <f>IF(preDEL!$AG617,IFERROR(0/0,""),preDEL!AL617)</f>
        <v/>
      </c>
      <c r="AM617" s="112" t="str">
        <f>IF(preDEL!$AG617,IFERROR(0/0,""),preDEL!AM617)</f>
        <v>SpBEND904348</v>
      </c>
      <c r="AN617" s="112" t="str">
        <f>IF(preDEL!$AG617,IFERROR(0/0,""),preDEL!AN617)</f>
        <v>BEND707787</v>
      </c>
      <c r="AO617" s="112" t="str">
        <f>IF(preDEL!$AG617,IFERROR(0/0,""),preDEL!AO617)</f>
        <v/>
      </c>
      <c r="AP617" s="112" t="str">
        <f>IF(preDEL!$AG617,IFERROR(0/0,""),preDEL!AP617)</f>
        <v/>
      </c>
      <c r="AQ617" s="112" t="str">
        <f>IF(preDEL!$AG617,IFERROR(0/0,""),preDEL!AQ617)</f>
        <v/>
      </c>
      <c r="AR617" s="112" t="str">
        <f>IF(preDEL!$AG617,IFERROR(0/0,""),preDEL!AR617)</f>
        <v/>
      </c>
      <c r="AS617" s="112" t="str">
        <f>IF(preDEL!$AG617,IFERROR(0/0,""),preDEL!AS617)</f>
        <v/>
      </c>
      <c r="AT617" s="112" t="b">
        <f>IF(preDEL!$AG617,IFERROR(0/0,""),preDEL!AT617)</f>
        <v>0</v>
      </c>
      <c r="AU617" s="112" t="str">
        <f>IF(preDEL!$AG617,IFERROR(0/0,""),preDEL!AU617)</f>
        <v/>
      </c>
      <c r="AV617" s="112" t="str">
        <f>IF(preDEL!$AG617,IFERROR(0/0,""),preDEL!AV617)</f>
        <v/>
      </c>
      <c r="AW617" s="112" t="str">
        <f>IF(preDEL!$AG617,IFERROR(0/0,""),preDEL!AW617)</f>
        <v/>
      </c>
      <c r="AX617" s="112" t="str">
        <f>IF(preDEL!$AG617,IFERROR(0/0,""),preDEL!AX617)</f>
        <v/>
      </c>
      <c r="AY617" s="112" t="str">
        <f>IF(preDEL!$AG617,IFERROR(0/0,""),preDEL!AY617)</f>
        <v/>
      </c>
      <c r="AZ617" s="174"/>
      <c r="BA617" s="174"/>
      <c r="BB617" s="174"/>
      <c r="BC617" s="174"/>
      <c r="BD617" s="174"/>
      <c r="BE617" s="174"/>
      <c r="BF617" s="174"/>
      <c r="BG617" s="174"/>
      <c r="BH617" s="174"/>
      <c r="BI617" s="174"/>
      <c r="BJ617" s="174"/>
      <c r="BK617" s="174"/>
      <c r="BL617" s="174"/>
      <c r="BM617" s="174"/>
      <c r="BN617" s="174"/>
      <c r="BO617" s="174"/>
      <c r="BP617" s="174"/>
      <c r="BQ617" s="174"/>
      <c r="BR617" s="174"/>
      <c r="BS617" s="174"/>
      <c r="BT617" s="174"/>
      <c r="BU617" s="174"/>
      <c r="BV617" s="174"/>
      <c r="BW617" s="174"/>
      <c r="BX617" s="174"/>
      <c r="BY617" s="174"/>
      <c r="BZ617" s="174"/>
      <c r="CA617" s="174"/>
      <c r="CB617" s="174"/>
      <c r="CC617" s="174"/>
      <c r="CD617" s="174"/>
    </row>
    <row r="618">
      <c r="A618" s="105" t="str">
        <f>IF(preDEL!$AG618,IFERROR(0/0,""),preDEL!A618)</f>
        <v>MAX48</v>
      </c>
      <c r="B618" s="170">
        <f>IF(preDEL!$AG618,IFERROR(0/0,""),preDEL!B618)</f>
        <v>44619</v>
      </c>
      <c r="C618" s="171">
        <f>IF(preDEL!$AG618,IFERROR(0/0,""),preDEL!C618)</f>
        <v>0.4722569444</v>
      </c>
      <c r="D618" s="105" t="str">
        <f>IF(preDEL!$AG618,IFERROR(0/0,""),preDEL!D618)</f>
        <v/>
      </c>
      <c r="E618" s="105" t="str">
        <f>IF(preDEL!$AG618,IFERROR(0/0,""),preDEL!E618)</f>
        <v/>
      </c>
      <c r="F618" s="112" t="str">
        <f>IF(preDEL!$AG618,IFERROR(0/0,""),preDEL!F618)</f>
        <v/>
      </c>
      <c r="G618" s="112" t="str">
        <f>IF(preDEL!$AG618,IFERROR(0/0,""),preDEL!G618)</f>
        <v/>
      </c>
      <c r="H618" s="112" t="str">
        <f>IF(preDEL!$AG618,IFERROR(0/0,""),preDEL!H618)</f>
        <v/>
      </c>
      <c r="I618" s="105" t="str">
        <f>IF(preDEL!$AG618,IFERROR(0/0,""),preDEL!I618)</f>
        <v/>
      </c>
      <c r="J618" s="105" t="str">
        <f>IF(preDEL!$AG618,IFERROR(0/0,""),preDEL!J618)</f>
        <v/>
      </c>
      <c r="K618" s="105" t="str">
        <f>IF(preDEL!$AG618,IFERROR(0/0,""),preDEL!K618)</f>
        <v>Negative</v>
      </c>
      <c r="L618" s="170">
        <f>IF(preDEL!$AG618,IFERROR(0/0,""),preDEL!L618)</f>
        <v>44621</v>
      </c>
      <c r="M618" s="171">
        <f>IF(preDEL!$AG618,IFERROR(0/0,""),preDEL!M618)</f>
        <v>0.4783680556</v>
      </c>
      <c r="N618" s="112" t="str">
        <f>IF(preDEL!$AG618,IFERROR(0/0,""),preDEL!N618)</f>
        <v/>
      </c>
      <c r="O618" s="112" t="str">
        <f>IF(preDEL!$AG618,IFERROR(0/0,""),preDEL!O618)</f>
        <v/>
      </c>
      <c r="P618" s="110" t="b">
        <f>IF(preDEL!$AG618,IFERROR(0/0,""),preDEL!P618)</f>
        <v>0</v>
      </c>
      <c r="Q618" s="110" t="str">
        <f>IF(preDEL!$AG618,IFERROR(0/0,""),preDEL!Q618)</f>
        <v>Result</v>
      </c>
      <c r="R618" s="104" t="b">
        <f>IF(preDEL!$AG618,IFERROR(0/0,""),preDEL!R618)</f>
        <v>1</v>
      </c>
      <c r="S618" s="104">
        <f>IF(preDEL!$AG618,IFERROR(0/0,""),preDEL!S618)</f>
        <v>1</v>
      </c>
      <c r="T618" s="110">
        <f>IF(preDEL!$AG618,IFERROR(0/0,""),preDEL!T618)</f>
        <v>0</v>
      </c>
      <c r="U618" s="112" t="str">
        <f>IF(preDEL!$AG618,IFERROR(0/0,""),preDEL!U618)</f>
        <v/>
      </c>
      <c r="V618" s="105" t="str">
        <f>IF(preDEL!$AG618,IFERROR(0/0,""),preDEL!V618)</f>
        <v/>
      </c>
      <c r="W618" s="112" t="str">
        <f>IF(preDEL!$AG618,IFERROR(0/0,""),preDEL!W618)</f>
        <v/>
      </c>
      <c r="X618" s="104" t="b">
        <f>IF(preDEL!$AG618,IFERROR(0/0,""),preDEL!X618)</f>
        <v>0</v>
      </c>
      <c r="Y618" s="110" t="b">
        <f>IF(preDEL!$AG618,IFERROR(0/0,""),preDEL!Y618)</f>
        <v>0</v>
      </c>
      <c r="Z618" s="105" t="str">
        <f>IF(preDEL!$AG618,IFERROR(0/0,""),preDEL!Z618)</f>
        <v/>
      </c>
      <c r="AA618" s="110" t="b">
        <f>IF(preDEL!$AG618,IFERROR(0/0,""),preDEL!AA618)</f>
        <v>0</v>
      </c>
      <c r="AB618" s="110" t="b">
        <f>IF(preDEL!$AG618,IFERROR(0/0,""),preDEL!AB618)</f>
        <v>0</v>
      </c>
      <c r="AC618" s="172">
        <f>IF(preDEL!$AG618,IFERROR(0/0,""),preDEL!AC618)</f>
        <v>198</v>
      </c>
      <c r="AD618" s="104" t="b">
        <f>IF(preDEL!$AG618,IFERROR(0/0,""),preDEL!AD618)</f>
        <v>0</v>
      </c>
      <c r="AE618" s="173" t="str">
        <f>IF(preDEL!$AG618,IFERROR(0/0,""),preDEL!AE618)</f>
        <v/>
      </c>
      <c r="AF618" s="110" t="b">
        <f>IF(preDEL!$AG618,IFERROR(0/0,""),preDEL!AF618)</f>
        <v>0</v>
      </c>
      <c r="AG618" s="110" t="b">
        <f>IF(preDEL!$AG618,IFERROR(0/0,""),preDEL!AG618)</f>
        <v>0</v>
      </c>
      <c r="AH618" s="104" t="str">
        <f>IF(preDEL!$AG618,IFERROR(0/0,""),preDEL!AH618)</f>
        <v/>
      </c>
      <c r="AI618" s="105" t="str">
        <f>IF(preDEL!$AG618,IFERROR(0/0,""),preDEL!AI618)</f>
        <v/>
      </c>
      <c r="AJ618" s="112" t="str">
        <f>IF(preDEL!$AG618,IFERROR(0/0,""),preDEL!AJ618)</f>
        <v/>
      </c>
      <c r="AK618" s="105" t="str">
        <f>IF(preDEL!$AG618,IFERROR(0/0,""),preDEL!AK618)</f>
        <v>Negative</v>
      </c>
      <c r="AL618" s="112" t="str">
        <f>IF(preDEL!$AG618,IFERROR(0/0,""),preDEL!AL618)</f>
        <v/>
      </c>
      <c r="AM618" s="112" t="str">
        <f>IF(preDEL!$AG618,IFERROR(0/0,""),preDEL!AM618)</f>
        <v>SpBEND904348</v>
      </c>
      <c r="AN618" s="112" t="str">
        <f>IF(preDEL!$AG618,IFERROR(0/0,""),preDEL!AN618)</f>
        <v>BEND191568</v>
      </c>
      <c r="AO618" s="112" t="str">
        <f>IF(preDEL!$AG618,IFERROR(0/0,""),preDEL!AO618)</f>
        <v/>
      </c>
      <c r="AP618" s="112" t="str">
        <f>IF(preDEL!$AG618,IFERROR(0/0,""),preDEL!AP618)</f>
        <v/>
      </c>
      <c r="AQ618" s="112" t="str">
        <f>IF(preDEL!$AG618,IFERROR(0/0,""),preDEL!AQ618)</f>
        <v/>
      </c>
      <c r="AR618" s="112" t="str">
        <f>IF(preDEL!$AG618,IFERROR(0/0,""),preDEL!AR618)</f>
        <v/>
      </c>
      <c r="AS618" s="112" t="str">
        <f>IF(preDEL!$AG618,IFERROR(0/0,""),preDEL!AS618)</f>
        <v/>
      </c>
      <c r="AT618" s="112" t="b">
        <f>IF(preDEL!$AG618,IFERROR(0/0,""),preDEL!AT618)</f>
        <v>0</v>
      </c>
      <c r="AU618" s="112" t="str">
        <f>IF(preDEL!$AG618,IFERROR(0/0,""),preDEL!AU618)</f>
        <v/>
      </c>
      <c r="AV618" s="112" t="str">
        <f>IF(preDEL!$AG618,IFERROR(0/0,""),preDEL!AV618)</f>
        <v/>
      </c>
      <c r="AW618" s="112" t="str">
        <f>IF(preDEL!$AG618,IFERROR(0/0,""),preDEL!AW618)</f>
        <v/>
      </c>
      <c r="AX618" s="112" t="str">
        <f>IF(preDEL!$AG618,IFERROR(0/0,""),preDEL!AX618)</f>
        <v/>
      </c>
      <c r="AY618" s="112" t="str">
        <f>IF(preDEL!$AG618,IFERROR(0/0,""),preDEL!AY618)</f>
        <v/>
      </c>
      <c r="AZ618" s="174"/>
      <c r="BA618" s="174"/>
      <c r="BB618" s="174"/>
      <c r="BC618" s="174"/>
      <c r="BD618" s="174"/>
      <c r="BE618" s="174"/>
      <c r="BF618" s="174"/>
      <c r="BG618" s="174"/>
      <c r="BH618" s="174"/>
      <c r="BI618" s="174"/>
      <c r="BJ618" s="174"/>
      <c r="BK618" s="174"/>
      <c r="BL618" s="174"/>
      <c r="BM618" s="174"/>
      <c r="BN618" s="174"/>
      <c r="BO618" s="174"/>
      <c r="BP618" s="174"/>
      <c r="BQ618" s="174"/>
      <c r="BR618" s="174"/>
      <c r="BS618" s="174"/>
      <c r="BT618" s="174"/>
      <c r="BU618" s="174"/>
      <c r="BV618" s="174"/>
      <c r="BW618" s="174"/>
      <c r="BX618" s="174"/>
      <c r="BY618" s="174"/>
      <c r="BZ618" s="174"/>
      <c r="CA618" s="174"/>
      <c r="CB618" s="174"/>
      <c r="CC618" s="174"/>
      <c r="CD618" s="174"/>
    </row>
    <row r="619">
      <c r="A619" s="105" t="str">
        <f>IF(preDEL!$AG619,IFERROR(0/0,""),preDEL!A619)</f>
        <v>FM2070</v>
      </c>
      <c r="B619" s="170">
        <f>IF(preDEL!$AG619,IFERROR(0/0,""),preDEL!B619)</f>
        <v>44619</v>
      </c>
      <c r="C619" s="171">
        <f>IF(preDEL!$AG619,IFERROR(0/0,""),preDEL!C619)</f>
        <v>0.4726041667</v>
      </c>
      <c r="D619" s="105" t="str">
        <f>IF(preDEL!$AG619,IFERROR(0/0,""),preDEL!D619)</f>
        <v/>
      </c>
      <c r="E619" s="105" t="str">
        <f>IF(preDEL!$AG619,IFERROR(0/0,""),preDEL!E619)</f>
        <v/>
      </c>
      <c r="F619" s="112" t="str">
        <f>IF(preDEL!$AG619,IFERROR(0/0,""),preDEL!F619)</f>
        <v/>
      </c>
      <c r="G619" s="112" t="str">
        <f>IF(preDEL!$AG619,IFERROR(0/0,""),preDEL!G619)</f>
        <v/>
      </c>
      <c r="H619" s="112" t="str">
        <f>IF(preDEL!$AG619,IFERROR(0/0,""),preDEL!H619)</f>
        <v/>
      </c>
      <c r="I619" s="105" t="str">
        <f>IF(preDEL!$AG619,IFERROR(0/0,""),preDEL!I619)</f>
        <v/>
      </c>
      <c r="J619" s="105" t="str">
        <f>IF(preDEL!$AG619,IFERROR(0/0,""),preDEL!J619)</f>
        <v/>
      </c>
      <c r="K619" s="105" t="str">
        <f>IF(preDEL!$AG619,IFERROR(0/0,""),preDEL!K619)</f>
        <v>Negative</v>
      </c>
      <c r="L619" s="170">
        <f>IF(preDEL!$AG619,IFERROR(0/0,""),preDEL!L619)</f>
        <v>44621</v>
      </c>
      <c r="M619" s="171">
        <f>IF(preDEL!$AG619,IFERROR(0/0,""),preDEL!M619)</f>
        <v>0.4783680556</v>
      </c>
      <c r="N619" s="112" t="str">
        <f>IF(preDEL!$AG619,IFERROR(0/0,""),preDEL!N619)</f>
        <v/>
      </c>
      <c r="O619" s="112" t="str">
        <f>IF(preDEL!$AG619,IFERROR(0/0,""),preDEL!O619)</f>
        <v/>
      </c>
      <c r="P619" s="110" t="b">
        <f>IF(preDEL!$AG619,IFERROR(0/0,""),preDEL!P619)</f>
        <v>0</v>
      </c>
      <c r="Q619" s="110" t="str">
        <f>IF(preDEL!$AG619,IFERROR(0/0,""),preDEL!Q619)</f>
        <v>Result</v>
      </c>
      <c r="R619" s="104" t="b">
        <f>IF(preDEL!$AG619,IFERROR(0/0,""),preDEL!R619)</f>
        <v>1</v>
      </c>
      <c r="S619" s="104">
        <f>IF(preDEL!$AG619,IFERROR(0/0,""),preDEL!S619)</f>
        <v>1</v>
      </c>
      <c r="T619" s="110" t="str">
        <f>IF(preDEL!$AG619,IFERROR(0/0,""),preDEL!T619)</f>
        <v/>
      </c>
      <c r="U619" s="112" t="str">
        <f>IF(preDEL!$AG619,IFERROR(0/0,""),preDEL!U619)</f>
        <v/>
      </c>
      <c r="V619" s="105" t="str">
        <f>IF(preDEL!$AG619,IFERROR(0/0,""),preDEL!V619)</f>
        <v/>
      </c>
      <c r="W619" s="112" t="str">
        <f>IF(preDEL!$AG619,IFERROR(0/0,""),preDEL!W619)</f>
        <v/>
      </c>
      <c r="X619" s="104" t="b">
        <f>IF(preDEL!$AG619,IFERROR(0/0,""),preDEL!X619)</f>
        <v>0</v>
      </c>
      <c r="Y619" s="110" t="b">
        <f>IF(preDEL!$AG619,IFERROR(0/0,""),preDEL!Y619)</f>
        <v>0</v>
      </c>
      <c r="Z619" s="105" t="str">
        <f>IF(preDEL!$AG619,IFERROR(0/0,""),preDEL!Z619)</f>
        <v/>
      </c>
      <c r="AA619" s="110" t="b">
        <f>IF(preDEL!$AG619,IFERROR(0/0,""),preDEL!AA619)</f>
        <v>0</v>
      </c>
      <c r="AB619" s="110" t="b">
        <f>IF(preDEL!$AG619,IFERROR(0/0,""),preDEL!AB619)</f>
        <v>0</v>
      </c>
      <c r="AC619" s="172">
        <f>IF(preDEL!$AG619,IFERROR(0/0,""),preDEL!AC619)</f>
        <v>197</v>
      </c>
      <c r="AD619" s="104" t="b">
        <f>IF(preDEL!$AG619,IFERROR(0/0,""),preDEL!AD619)</f>
        <v>0</v>
      </c>
      <c r="AE619" s="173" t="str">
        <f>IF(preDEL!$AG619,IFERROR(0/0,""),preDEL!AE619)</f>
        <v/>
      </c>
      <c r="AF619" s="110" t="b">
        <f>IF(preDEL!$AG619,IFERROR(0/0,""),preDEL!AF619)</f>
        <v>0</v>
      </c>
      <c r="AG619" s="110" t="b">
        <f>IF(preDEL!$AG619,IFERROR(0/0,""),preDEL!AG619)</f>
        <v>0</v>
      </c>
      <c r="AH619" s="104" t="str">
        <f>IF(preDEL!$AG619,IFERROR(0/0,""),preDEL!AH619)</f>
        <v/>
      </c>
      <c r="AI619" s="105" t="str">
        <f>IF(preDEL!$AG619,IFERROR(0/0,""),preDEL!AI619)</f>
        <v/>
      </c>
      <c r="AJ619" s="112" t="str">
        <f>IF(preDEL!$AG619,IFERROR(0/0,""),preDEL!AJ619)</f>
        <v/>
      </c>
      <c r="AK619" s="105" t="str">
        <f>IF(preDEL!$AG619,IFERROR(0/0,""),preDEL!AK619)</f>
        <v>Negative</v>
      </c>
      <c r="AL619" s="112" t="str">
        <f>IF(preDEL!$AG619,IFERROR(0/0,""),preDEL!AL619)</f>
        <v/>
      </c>
      <c r="AM619" s="112" t="str">
        <f>IF(preDEL!$AG619,IFERROR(0/0,""),preDEL!AM619)</f>
        <v>SpBEND904348</v>
      </c>
      <c r="AN619" s="112" t="str">
        <f>IF(preDEL!$AG619,IFERROR(0/0,""),preDEL!AN619)</f>
        <v>BEND640444</v>
      </c>
      <c r="AO619" s="112" t="str">
        <f>IF(preDEL!$AG619,IFERROR(0/0,""),preDEL!AO619)</f>
        <v/>
      </c>
      <c r="AP619" s="112" t="str">
        <f>IF(preDEL!$AG619,IFERROR(0/0,""),preDEL!AP619)</f>
        <v/>
      </c>
      <c r="AQ619" s="112" t="str">
        <f>IF(preDEL!$AG619,IFERROR(0/0,""),preDEL!AQ619)</f>
        <v/>
      </c>
      <c r="AR619" s="112" t="str">
        <f>IF(preDEL!$AG619,IFERROR(0/0,""),preDEL!AR619)</f>
        <v/>
      </c>
      <c r="AS619" s="112" t="str">
        <f>IF(preDEL!$AG619,IFERROR(0/0,""),preDEL!AS619)</f>
        <v/>
      </c>
      <c r="AT619" s="112" t="b">
        <f>IF(preDEL!$AG619,IFERROR(0/0,""),preDEL!AT619)</f>
        <v>0</v>
      </c>
      <c r="AU619" s="112" t="str">
        <f>IF(preDEL!$AG619,IFERROR(0/0,""),preDEL!AU619)</f>
        <v/>
      </c>
      <c r="AV619" s="112" t="str">
        <f>IF(preDEL!$AG619,IFERROR(0/0,""),preDEL!AV619)</f>
        <v/>
      </c>
      <c r="AW619" s="112" t="str">
        <f>IF(preDEL!$AG619,IFERROR(0/0,""),preDEL!AW619)</f>
        <v/>
      </c>
      <c r="AX619" s="112" t="str">
        <f>IF(preDEL!$AG619,IFERROR(0/0,""),preDEL!AX619)</f>
        <v/>
      </c>
      <c r="AY619" s="112" t="str">
        <f>IF(preDEL!$AG619,IFERROR(0/0,""),preDEL!AY619)</f>
        <v/>
      </c>
      <c r="AZ619" s="174"/>
      <c r="BA619" s="174"/>
      <c r="BB619" s="174"/>
      <c r="BC619" s="174"/>
      <c r="BD619" s="174"/>
      <c r="BE619" s="174"/>
      <c r="BF619" s="174"/>
      <c r="BG619" s="174"/>
      <c r="BH619" s="174"/>
      <c r="BI619" s="174"/>
      <c r="BJ619" s="174"/>
      <c r="BK619" s="174"/>
      <c r="BL619" s="174"/>
      <c r="BM619" s="174"/>
      <c r="BN619" s="174"/>
      <c r="BO619" s="174"/>
      <c r="BP619" s="174"/>
      <c r="BQ619" s="174"/>
      <c r="BR619" s="174"/>
      <c r="BS619" s="174"/>
      <c r="BT619" s="174"/>
      <c r="BU619" s="174"/>
      <c r="BV619" s="174"/>
      <c r="BW619" s="174"/>
      <c r="BX619" s="174"/>
      <c r="BY619" s="174"/>
      <c r="BZ619" s="174"/>
      <c r="CA619" s="174"/>
      <c r="CB619" s="174"/>
      <c r="CC619" s="174"/>
      <c r="CD619" s="174"/>
    </row>
    <row r="620">
      <c r="A620" s="105" t="str">
        <f>IF(preDEL!$AG620,IFERROR(0/0,""),preDEL!A620)</f>
        <v>MA315</v>
      </c>
      <c r="B620" s="170">
        <f>IF(preDEL!$AG620,IFERROR(0/0,""),preDEL!B620)</f>
        <v>44619</v>
      </c>
      <c r="C620" s="171">
        <f>IF(preDEL!$AG620,IFERROR(0/0,""),preDEL!C620)</f>
        <v>0.5150231481</v>
      </c>
      <c r="D620" s="105" t="str">
        <f>IF(preDEL!$AG620,IFERROR(0/0,""),preDEL!D620)</f>
        <v/>
      </c>
      <c r="E620" s="105" t="str">
        <f>IF(preDEL!$AG620,IFERROR(0/0,""),preDEL!E620)</f>
        <v/>
      </c>
      <c r="F620" s="112" t="str">
        <f>IF(preDEL!$AG620,IFERROR(0/0,""),preDEL!F620)</f>
        <v/>
      </c>
      <c r="G620" s="112" t="str">
        <f>IF(preDEL!$AG620,IFERROR(0/0,""),preDEL!G620)</f>
        <v/>
      </c>
      <c r="H620" s="112" t="str">
        <f>IF(preDEL!$AG620,IFERROR(0/0,""),preDEL!H620)</f>
        <v/>
      </c>
      <c r="I620" s="105" t="str">
        <f>IF(preDEL!$AG620,IFERROR(0/0,""),preDEL!I620)</f>
        <v/>
      </c>
      <c r="J620" s="105" t="str">
        <f>IF(preDEL!$AG620,IFERROR(0/0,""),preDEL!J620)</f>
        <v/>
      </c>
      <c r="K620" s="105" t="str">
        <f>IF(preDEL!$AG620,IFERROR(0/0,""),preDEL!K620)</f>
        <v>Negative</v>
      </c>
      <c r="L620" s="170">
        <f>IF(preDEL!$AG620,IFERROR(0/0,""),preDEL!L620)</f>
        <v>44621</v>
      </c>
      <c r="M620" s="171">
        <f>IF(preDEL!$AG620,IFERROR(0/0,""),preDEL!M620)</f>
        <v>0.4783680556</v>
      </c>
      <c r="N620" s="112" t="str">
        <f>IF(preDEL!$AG620,IFERROR(0/0,""),preDEL!N620)</f>
        <v/>
      </c>
      <c r="O620" s="112" t="str">
        <f>IF(preDEL!$AG620,IFERROR(0/0,""),preDEL!O620)</f>
        <v/>
      </c>
      <c r="P620" s="110" t="b">
        <f>IF(preDEL!$AG620,IFERROR(0/0,""),preDEL!P620)</f>
        <v>0</v>
      </c>
      <c r="Q620" s="110" t="str">
        <f>IF(preDEL!$AG620,IFERROR(0/0,""),preDEL!Q620)</f>
        <v>Result</v>
      </c>
      <c r="R620" s="104" t="b">
        <f>IF(preDEL!$AG620,IFERROR(0/0,""),preDEL!R620)</f>
        <v>1</v>
      </c>
      <c r="S620" s="104">
        <f>IF(preDEL!$AG620,IFERROR(0/0,""),preDEL!S620)</f>
        <v>1</v>
      </c>
      <c r="T620" s="110">
        <f>IF(preDEL!$AG620,IFERROR(0/0,""),preDEL!T620)</f>
        <v>0</v>
      </c>
      <c r="U620" s="112" t="str">
        <f>IF(preDEL!$AG620,IFERROR(0/0,""),preDEL!U620)</f>
        <v/>
      </c>
      <c r="V620" s="105" t="str">
        <f>IF(preDEL!$AG620,IFERROR(0/0,""),preDEL!V620)</f>
        <v/>
      </c>
      <c r="W620" s="112" t="str">
        <f>IF(preDEL!$AG620,IFERROR(0/0,""),preDEL!W620)</f>
        <v/>
      </c>
      <c r="X620" s="104" t="b">
        <f>IF(preDEL!$AG620,IFERROR(0/0,""),preDEL!X620)</f>
        <v>0</v>
      </c>
      <c r="Y620" s="110" t="b">
        <f>IF(preDEL!$AG620,IFERROR(0/0,""),preDEL!Y620)</f>
        <v>0</v>
      </c>
      <c r="Z620" s="105" t="str">
        <f>IF(preDEL!$AG620,IFERROR(0/0,""),preDEL!Z620)</f>
        <v/>
      </c>
      <c r="AA620" s="110" t="b">
        <f>IF(preDEL!$AG620,IFERROR(0/0,""),preDEL!AA620)</f>
        <v>0</v>
      </c>
      <c r="AB620" s="110" t="b">
        <f>IF(preDEL!$AG620,IFERROR(0/0,""),preDEL!AB620)</f>
        <v>0</v>
      </c>
      <c r="AC620" s="172">
        <f>IF(preDEL!$AG620,IFERROR(0/0,""),preDEL!AC620)</f>
        <v>196</v>
      </c>
      <c r="AD620" s="104" t="b">
        <f>IF(preDEL!$AG620,IFERROR(0/0,""),preDEL!AD620)</f>
        <v>0</v>
      </c>
      <c r="AE620" s="173" t="str">
        <f>IF(preDEL!$AG620,IFERROR(0/0,""),preDEL!AE620)</f>
        <v/>
      </c>
      <c r="AF620" s="110" t="b">
        <f>IF(preDEL!$AG620,IFERROR(0/0,""),preDEL!AF620)</f>
        <v>0</v>
      </c>
      <c r="AG620" s="110" t="b">
        <f>IF(preDEL!$AG620,IFERROR(0/0,""),preDEL!AG620)</f>
        <v>0</v>
      </c>
      <c r="AH620" s="104" t="str">
        <f>IF(preDEL!$AG620,IFERROR(0/0,""),preDEL!AH620)</f>
        <v/>
      </c>
      <c r="AI620" s="105" t="str">
        <f>IF(preDEL!$AG620,IFERROR(0/0,""),preDEL!AI620)</f>
        <v/>
      </c>
      <c r="AJ620" s="112" t="str">
        <f>IF(preDEL!$AG620,IFERROR(0/0,""),preDEL!AJ620)</f>
        <v/>
      </c>
      <c r="AK620" s="105" t="str">
        <f>IF(preDEL!$AG620,IFERROR(0/0,""),preDEL!AK620)</f>
        <v>Negative</v>
      </c>
      <c r="AL620" s="112" t="str">
        <f>IF(preDEL!$AG620,IFERROR(0/0,""),preDEL!AL620)</f>
        <v/>
      </c>
      <c r="AM620" s="112" t="str">
        <f>IF(preDEL!$AG620,IFERROR(0/0,""),preDEL!AM620)</f>
        <v>SpBEND151586</v>
      </c>
      <c r="AN620" s="112" t="str">
        <f>IF(preDEL!$AG620,IFERROR(0/0,""),preDEL!AN620)</f>
        <v>BEND829611</v>
      </c>
      <c r="AO620" s="112" t="str">
        <f>IF(preDEL!$AG620,IFERROR(0/0,""),preDEL!AO620)</f>
        <v/>
      </c>
      <c r="AP620" s="112" t="str">
        <f>IF(preDEL!$AG620,IFERROR(0/0,""),preDEL!AP620)</f>
        <v/>
      </c>
      <c r="AQ620" s="112" t="str">
        <f>IF(preDEL!$AG620,IFERROR(0/0,""),preDEL!AQ620)</f>
        <v/>
      </c>
      <c r="AR620" s="112" t="str">
        <f>IF(preDEL!$AG620,IFERROR(0/0,""),preDEL!AR620)</f>
        <v/>
      </c>
      <c r="AS620" s="112" t="str">
        <f>IF(preDEL!$AG620,IFERROR(0/0,""),preDEL!AS620)</f>
        <v/>
      </c>
      <c r="AT620" s="112" t="b">
        <f>IF(preDEL!$AG620,IFERROR(0/0,""),preDEL!AT620)</f>
        <v>0</v>
      </c>
      <c r="AU620" s="112" t="str">
        <f>IF(preDEL!$AG620,IFERROR(0/0,""),preDEL!AU620)</f>
        <v/>
      </c>
      <c r="AV620" s="112" t="str">
        <f>IF(preDEL!$AG620,IFERROR(0/0,""),preDEL!AV620)</f>
        <v/>
      </c>
      <c r="AW620" s="112" t="str">
        <f>IF(preDEL!$AG620,IFERROR(0/0,""),preDEL!AW620)</f>
        <v/>
      </c>
      <c r="AX620" s="112" t="str">
        <f>IF(preDEL!$AG620,IFERROR(0/0,""),preDEL!AX620)</f>
        <v/>
      </c>
      <c r="AY620" s="112" t="str">
        <f>IF(preDEL!$AG620,IFERROR(0/0,""),preDEL!AY620)</f>
        <v/>
      </c>
      <c r="AZ620" s="174"/>
      <c r="BA620" s="174"/>
      <c r="BB620" s="174"/>
      <c r="BC620" s="174"/>
      <c r="BD620" s="174"/>
      <c r="BE620" s="174"/>
      <c r="BF620" s="174"/>
      <c r="BG620" s="174"/>
      <c r="BH620" s="174"/>
      <c r="BI620" s="174"/>
      <c r="BJ620" s="174"/>
      <c r="BK620" s="174"/>
      <c r="BL620" s="174"/>
      <c r="BM620" s="174"/>
      <c r="BN620" s="174"/>
      <c r="BO620" s="174"/>
      <c r="BP620" s="174"/>
      <c r="BQ620" s="174"/>
      <c r="BR620" s="174"/>
      <c r="BS620" s="174"/>
      <c r="BT620" s="174"/>
      <c r="BU620" s="174"/>
      <c r="BV620" s="174"/>
      <c r="BW620" s="174"/>
      <c r="BX620" s="174"/>
      <c r="BY620" s="174"/>
      <c r="BZ620" s="174"/>
      <c r="CA620" s="174"/>
      <c r="CB620" s="174"/>
      <c r="CC620" s="174"/>
      <c r="CD620" s="174"/>
    </row>
    <row r="621">
      <c r="A621" s="105" t="str">
        <f>IF(preDEL!$AG621,IFERROR(0/0,""),preDEL!A621)</f>
        <v>FM51</v>
      </c>
      <c r="B621" s="170">
        <f>IF(preDEL!$AG621,IFERROR(0/0,""),preDEL!B621)</f>
        <v>44619</v>
      </c>
      <c r="C621" s="171">
        <f>IF(preDEL!$AG621,IFERROR(0/0,""),preDEL!C621)</f>
        <v>0.5154282407</v>
      </c>
      <c r="D621" s="105" t="str">
        <f>IF(preDEL!$AG621,IFERROR(0/0,""),preDEL!D621)</f>
        <v/>
      </c>
      <c r="E621" s="105" t="str">
        <f>IF(preDEL!$AG621,IFERROR(0/0,""),preDEL!E621)</f>
        <v/>
      </c>
      <c r="F621" s="112" t="str">
        <f>IF(preDEL!$AG621,IFERROR(0/0,""),preDEL!F621)</f>
        <v/>
      </c>
      <c r="G621" s="112" t="str">
        <f>IF(preDEL!$AG621,IFERROR(0/0,""),preDEL!G621)</f>
        <v/>
      </c>
      <c r="H621" s="112" t="str">
        <f>IF(preDEL!$AG621,IFERROR(0/0,""),preDEL!H621)</f>
        <v/>
      </c>
      <c r="I621" s="105" t="str">
        <f>IF(preDEL!$AG621,IFERROR(0/0,""),preDEL!I621)</f>
        <v/>
      </c>
      <c r="J621" s="105" t="str">
        <f>IF(preDEL!$AG621,IFERROR(0/0,""),preDEL!J621)</f>
        <v/>
      </c>
      <c r="K621" s="105" t="str">
        <f>IF(preDEL!$AG621,IFERROR(0/0,""),preDEL!K621)</f>
        <v>Negative</v>
      </c>
      <c r="L621" s="170">
        <f>IF(preDEL!$AG621,IFERROR(0/0,""),preDEL!L621)</f>
        <v>44621</v>
      </c>
      <c r="M621" s="171">
        <f>IF(preDEL!$AG621,IFERROR(0/0,""),preDEL!M621)</f>
        <v>0.4783680556</v>
      </c>
      <c r="N621" s="112" t="str">
        <f>IF(preDEL!$AG621,IFERROR(0/0,""),preDEL!N621)</f>
        <v/>
      </c>
      <c r="O621" s="112" t="str">
        <f>IF(preDEL!$AG621,IFERROR(0/0,""),preDEL!O621)</f>
        <v/>
      </c>
      <c r="P621" s="110" t="b">
        <f>IF(preDEL!$AG621,IFERROR(0/0,""),preDEL!P621)</f>
        <v>0</v>
      </c>
      <c r="Q621" s="110" t="str">
        <f>IF(preDEL!$AG621,IFERROR(0/0,""),preDEL!Q621)</f>
        <v>Result</v>
      </c>
      <c r="R621" s="104" t="b">
        <f>IF(preDEL!$AG621,IFERROR(0/0,""),preDEL!R621)</f>
        <v>1</v>
      </c>
      <c r="S621" s="104">
        <f>IF(preDEL!$AG621,IFERROR(0/0,""),preDEL!S621)</f>
        <v>1</v>
      </c>
      <c r="T621" s="110">
        <f>IF(preDEL!$AG621,IFERROR(0/0,""),preDEL!T621)</f>
        <v>0</v>
      </c>
      <c r="U621" s="112" t="str">
        <f>IF(preDEL!$AG621,IFERROR(0/0,""),preDEL!U621)</f>
        <v/>
      </c>
      <c r="V621" s="105" t="str">
        <f>IF(preDEL!$AG621,IFERROR(0/0,""),preDEL!V621)</f>
        <v/>
      </c>
      <c r="W621" s="112" t="str">
        <f>IF(preDEL!$AG621,IFERROR(0/0,""),preDEL!W621)</f>
        <v/>
      </c>
      <c r="X621" s="104" t="b">
        <f>IF(preDEL!$AG621,IFERROR(0/0,""),preDEL!X621)</f>
        <v>0</v>
      </c>
      <c r="Y621" s="110" t="b">
        <f>IF(preDEL!$AG621,IFERROR(0/0,""),preDEL!Y621)</f>
        <v>0</v>
      </c>
      <c r="Z621" s="105" t="str">
        <f>IF(preDEL!$AG621,IFERROR(0/0,""),preDEL!Z621)</f>
        <v/>
      </c>
      <c r="AA621" s="110" t="b">
        <f>IF(preDEL!$AG621,IFERROR(0/0,""),preDEL!AA621)</f>
        <v>0</v>
      </c>
      <c r="AB621" s="110" t="b">
        <f>IF(preDEL!$AG621,IFERROR(0/0,""),preDEL!AB621)</f>
        <v>0</v>
      </c>
      <c r="AC621" s="172">
        <f>IF(preDEL!$AG621,IFERROR(0/0,""),preDEL!AC621)</f>
        <v>195</v>
      </c>
      <c r="AD621" s="104" t="b">
        <f>IF(preDEL!$AG621,IFERROR(0/0,""),preDEL!AD621)</f>
        <v>0</v>
      </c>
      <c r="AE621" s="173" t="str">
        <f>IF(preDEL!$AG621,IFERROR(0/0,""),preDEL!AE621)</f>
        <v/>
      </c>
      <c r="AF621" s="110" t="b">
        <f>IF(preDEL!$AG621,IFERROR(0/0,""),preDEL!AF621)</f>
        <v>0</v>
      </c>
      <c r="AG621" s="110" t="b">
        <f>IF(preDEL!$AG621,IFERROR(0/0,""),preDEL!AG621)</f>
        <v>0</v>
      </c>
      <c r="AH621" s="104" t="str">
        <f>IF(preDEL!$AG621,IFERROR(0/0,""),preDEL!AH621)</f>
        <v/>
      </c>
      <c r="AI621" s="105" t="str">
        <f>IF(preDEL!$AG621,IFERROR(0/0,""),preDEL!AI621)</f>
        <v/>
      </c>
      <c r="AJ621" s="112" t="str">
        <f>IF(preDEL!$AG621,IFERROR(0/0,""),preDEL!AJ621)</f>
        <v/>
      </c>
      <c r="AK621" s="105" t="str">
        <f>IF(preDEL!$AG621,IFERROR(0/0,""),preDEL!AK621)</f>
        <v>Negative</v>
      </c>
      <c r="AL621" s="112" t="str">
        <f>IF(preDEL!$AG621,IFERROR(0/0,""),preDEL!AL621)</f>
        <v/>
      </c>
      <c r="AM621" s="112" t="str">
        <f>IF(preDEL!$AG621,IFERROR(0/0,""),preDEL!AM621)</f>
        <v>SpBEND151586</v>
      </c>
      <c r="AN621" s="112" t="str">
        <f>IF(preDEL!$AG621,IFERROR(0/0,""),preDEL!AN621)</f>
        <v>BEND651373</v>
      </c>
      <c r="AO621" s="112" t="str">
        <f>IF(preDEL!$AG621,IFERROR(0/0,""),preDEL!AO621)</f>
        <v/>
      </c>
      <c r="AP621" s="112" t="str">
        <f>IF(preDEL!$AG621,IFERROR(0/0,""),preDEL!AP621)</f>
        <v/>
      </c>
      <c r="AQ621" s="112" t="str">
        <f>IF(preDEL!$AG621,IFERROR(0/0,""),preDEL!AQ621)</f>
        <v/>
      </c>
      <c r="AR621" s="112" t="str">
        <f>IF(preDEL!$AG621,IFERROR(0/0,""),preDEL!AR621)</f>
        <v/>
      </c>
      <c r="AS621" s="112" t="str">
        <f>IF(preDEL!$AG621,IFERROR(0/0,""),preDEL!AS621)</f>
        <v/>
      </c>
      <c r="AT621" s="112" t="b">
        <f>IF(preDEL!$AG621,IFERROR(0/0,""),preDEL!AT621)</f>
        <v>0</v>
      </c>
      <c r="AU621" s="112" t="str">
        <f>IF(preDEL!$AG621,IFERROR(0/0,""),preDEL!AU621)</f>
        <v/>
      </c>
      <c r="AV621" s="112" t="str">
        <f>IF(preDEL!$AG621,IFERROR(0/0,""),preDEL!AV621)</f>
        <v/>
      </c>
      <c r="AW621" s="112" t="str">
        <f>IF(preDEL!$AG621,IFERROR(0/0,""),preDEL!AW621)</f>
        <v/>
      </c>
      <c r="AX621" s="112" t="str">
        <f>IF(preDEL!$AG621,IFERROR(0/0,""),preDEL!AX621)</f>
        <v/>
      </c>
      <c r="AY621" s="112" t="str">
        <f>IF(preDEL!$AG621,IFERROR(0/0,""),preDEL!AY621)</f>
        <v/>
      </c>
      <c r="AZ621" s="174"/>
      <c r="BA621" s="174"/>
      <c r="BB621" s="174"/>
      <c r="BC621" s="174"/>
      <c r="BD621" s="174"/>
      <c r="BE621" s="174"/>
      <c r="BF621" s="174"/>
      <c r="BG621" s="174"/>
      <c r="BH621" s="174"/>
      <c r="BI621" s="174"/>
      <c r="BJ621" s="174"/>
      <c r="BK621" s="174"/>
      <c r="BL621" s="174"/>
      <c r="BM621" s="174"/>
      <c r="BN621" s="174"/>
      <c r="BO621" s="174"/>
      <c r="BP621" s="174"/>
      <c r="BQ621" s="174"/>
      <c r="BR621" s="174"/>
      <c r="BS621" s="174"/>
      <c r="BT621" s="174"/>
      <c r="BU621" s="174"/>
      <c r="BV621" s="174"/>
      <c r="BW621" s="174"/>
      <c r="BX621" s="174"/>
      <c r="BY621" s="174"/>
      <c r="BZ621" s="174"/>
      <c r="CA621" s="174"/>
      <c r="CB621" s="174"/>
      <c r="CC621" s="174"/>
      <c r="CD621" s="174"/>
    </row>
    <row r="622">
      <c r="A622" s="105" t="str">
        <f>IF(preDEL!$AG622,IFERROR(0/0,""),preDEL!A622)</f>
        <v>FM1909</v>
      </c>
      <c r="B622" s="170">
        <f>IF(preDEL!$AG622,IFERROR(0/0,""),preDEL!B622)</f>
        <v>44621</v>
      </c>
      <c r="C622" s="171">
        <f>IF(preDEL!$AG622,IFERROR(0/0,""),preDEL!C622)</f>
        <v>0.2698611111</v>
      </c>
      <c r="D622" s="105" t="str">
        <f>IF(preDEL!$AG622,IFERROR(0/0,""),preDEL!D622)</f>
        <v/>
      </c>
      <c r="E622" s="105" t="str">
        <f>IF(preDEL!$AG622,IFERROR(0/0,""),preDEL!E622)</f>
        <v/>
      </c>
      <c r="F622" s="112" t="str">
        <f>IF(preDEL!$AG622,IFERROR(0/0,""),preDEL!F622)</f>
        <v/>
      </c>
      <c r="G622" s="112" t="str">
        <f>IF(preDEL!$AG622,IFERROR(0/0,""),preDEL!G622)</f>
        <v/>
      </c>
      <c r="H622" s="112" t="str">
        <f>IF(preDEL!$AG622,IFERROR(0/0,""),preDEL!H622)</f>
        <v/>
      </c>
      <c r="I622" s="105" t="str">
        <f>IF(preDEL!$AG622,IFERROR(0/0,""),preDEL!I622)</f>
        <v/>
      </c>
      <c r="J622" s="105" t="str">
        <f>IF(preDEL!$AG622,IFERROR(0/0,""),preDEL!J622)</f>
        <v/>
      </c>
      <c r="K622" s="105" t="str">
        <f>IF(preDEL!$AG622,IFERROR(0/0,""),preDEL!K622)</f>
        <v>Negative</v>
      </c>
      <c r="L622" s="170">
        <f>IF(preDEL!$AG622,IFERROR(0/0,""),preDEL!L622)</f>
        <v>44627</v>
      </c>
      <c r="M622" s="171">
        <f>IF(preDEL!$AG622,IFERROR(0/0,""),preDEL!M622)</f>
        <v>0.4779050926</v>
      </c>
      <c r="N622" s="112" t="str">
        <f>IF(preDEL!$AG622,IFERROR(0/0,""),preDEL!N622)</f>
        <v/>
      </c>
      <c r="O622" s="112" t="str">
        <f>IF(preDEL!$AG622,IFERROR(0/0,""),preDEL!O622)</f>
        <v/>
      </c>
      <c r="P622" s="110" t="b">
        <f>IF(preDEL!$AG622,IFERROR(0/0,""),preDEL!P622)</f>
        <v>0</v>
      </c>
      <c r="Q622" s="110" t="str">
        <f>IF(preDEL!$AG622,IFERROR(0/0,""),preDEL!Q622)</f>
        <v>Result</v>
      </c>
      <c r="R622" s="104" t="b">
        <f>IF(preDEL!$AG622,IFERROR(0/0,""),preDEL!R622)</f>
        <v>1</v>
      </c>
      <c r="S622" s="104">
        <f>IF(preDEL!$AG622,IFERROR(0/0,""),preDEL!S622)</f>
        <v>1</v>
      </c>
      <c r="T622" s="110" t="str">
        <f>IF(preDEL!$AG622,IFERROR(0/0,""),preDEL!T622)</f>
        <v/>
      </c>
      <c r="U622" s="112" t="str">
        <f>IF(preDEL!$AG622,IFERROR(0/0,""),preDEL!U622)</f>
        <v/>
      </c>
      <c r="V622" s="105" t="str">
        <f>IF(preDEL!$AG622,IFERROR(0/0,""),preDEL!V622)</f>
        <v/>
      </c>
      <c r="W622" s="112" t="str">
        <f>IF(preDEL!$AG622,IFERROR(0/0,""),preDEL!W622)</f>
        <v/>
      </c>
      <c r="X622" s="104" t="b">
        <f>IF(preDEL!$AG622,IFERROR(0/0,""),preDEL!X622)</f>
        <v>0</v>
      </c>
      <c r="Y622" s="110" t="b">
        <f>IF(preDEL!$AG622,IFERROR(0/0,""),preDEL!Y622)</f>
        <v>0</v>
      </c>
      <c r="Z622" s="105" t="str">
        <f>IF(preDEL!$AG622,IFERROR(0/0,""),preDEL!Z622)</f>
        <v/>
      </c>
      <c r="AA622" s="110" t="b">
        <f>IF(preDEL!$AG622,IFERROR(0/0,""),preDEL!AA622)</f>
        <v>0</v>
      </c>
      <c r="AB622" s="110" t="b">
        <f>IF(preDEL!$AG622,IFERROR(0/0,""),preDEL!AB622)</f>
        <v>0</v>
      </c>
      <c r="AC622" s="172">
        <f>IF(preDEL!$AG622,IFERROR(0/0,""),preDEL!AC622)</f>
        <v>194</v>
      </c>
      <c r="AD622" s="104" t="b">
        <f>IF(preDEL!$AG622,IFERROR(0/0,""),preDEL!AD622)</f>
        <v>0</v>
      </c>
      <c r="AE622" s="173" t="str">
        <f>IF(preDEL!$AG622,IFERROR(0/0,""),preDEL!AE622)</f>
        <v/>
      </c>
      <c r="AF622" s="110" t="b">
        <f>IF(preDEL!$AG622,IFERROR(0/0,""),preDEL!AF622)</f>
        <v>0</v>
      </c>
      <c r="AG622" s="110" t="b">
        <f>IF(preDEL!$AG622,IFERROR(0/0,""),preDEL!AG622)</f>
        <v>0</v>
      </c>
      <c r="AH622" s="104" t="str">
        <f>IF(preDEL!$AG622,IFERROR(0/0,""),preDEL!AH622)</f>
        <v/>
      </c>
      <c r="AI622" s="105" t="str">
        <f>IF(preDEL!$AG622,IFERROR(0/0,""),preDEL!AI622)</f>
        <v/>
      </c>
      <c r="AJ622" s="112" t="str">
        <f>IF(preDEL!$AG622,IFERROR(0/0,""),preDEL!AJ622)</f>
        <v/>
      </c>
      <c r="AK622" s="105" t="str">
        <f>IF(preDEL!$AG622,IFERROR(0/0,""),preDEL!AK622)</f>
        <v>Negative</v>
      </c>
      <c r="AL622" s="112" t="str">
        <f>IF(preDEL!$AG622,IFERROR(0/0,""),preDEL!AL622)</f>
        <v/>
      </c>
      <c r="AM622" s="112" t="str">
        <f>IF(preDEL!$AG622,IFERROR(0/0,""),preDEL!AM622)</f>
        <v>SpBEND413838</v>
      </c>
      <c r="AN622" s="112" t="str">
        <f>IF(preDEL!$AG622,IFERROR(0/0,""),preDEL!AN622)</f>
        <v>BEND170871</v>
      </c>
      <c r="AO622" s="112" t="str">
        <f>IF(preDEL!$AG622,IFERROR(0/0,""),preDEL!AO622)</f>
        <v/>
      </c>
      <c r="AP622" s="112" t="str">
        <f>IF(preDEL!$AG622,IFERROR(0/0,""),preDEL!AP622)</f>
        <v/>
      </c>
      <c r="AQ622" s="112" t="str">
        <f>IF(preDEL!$AG622,IFERROR(0/0,""),preDEL!AQ622)</f>
        <v/>
      </c>
      <c r="AR622" s="112" t="str">
        <f>IF(preDEL!$AG622,IFERROR(0/0,""),preDEL!AR622)</f>
        <v/>
      </c>
      <c r="AS622" s="112" t="str">
        <f>IF(preDEL!$AG622,IFERROR(0/0,""),preDEL!AS622)</f>
        <v/>
      </c>
      <c r="AT622" s="112" t="b">
        <f>IF(preDEL!$AG622,IFERROR(0/0,""),preDEL!AT622)</f>
        <v>0</v>
      </c>
      <c r="AU622" s="112" t="str">
        <f>IF(preDEL!$AG622,IFERROR(0/0,""),preDEL!AU622)</f>
        <v/>
      </c>
      <c r="AV622" s="112" t="str">
        <f>IF(preDEL!$AG622,IFERROR(0/0,""),preDEL!AV622)</f>
        <v/>
      </c>
      <c r="AW622" s="112" t="str">
        <f>IF(preDEL!$AG622,IFERROR(0/0,""),preDEL!AW622)</f>
        <v/>
      </c>
      <c r="AX622" s="112" t="str">
        <f>IF(preDEL!$AG622,IFERROR(0/0,""),preDEL!AX622)</f>
        <v/>
      </c>
      <c r="AY622" s="112" t="str">
        <f>IF(preDEL!$AG622,IFERROR(0/0,""),preDEL!AY622)</f>
        <v/>
      </c>
      <c r="AZ622" s="174"/>
      <c r="BA622" s="174"/>
      <c r="BB622" s="174"/>
      <c r="BC622" s="174"/>
      <c r="BD622" s="174"/>
      <c r="BE622" s="174"/>
      <c r="BF622" s="174"/>
      <c r="BG622" s="174"/>
      <c r="BH622" s="174"/>
      <c r="BI622" s="174"/>
      <c r="BJ622" s="174"/>
      <c r="BK622" s="174"/>
      <c r="BL622" s="174"/>
      <c r="BM622" s="174"/>
      <c r="BN622" s="174"/>
      <c r="BO622" s="174"/>
      <c r="BP622" s="174"/>
      <c r="BQ622" s="174"/>
      <c r="BR622" s="174"/>
      <c r="BS622" s="174"/>
      <c r="BT622" s="174"/>
      <c r="BU622" s="174"/>
      <c r="BV622" s="174"/>
      <c r="BW622" s="174"/>
      <c r="BX622" s="174"/>
      <c r="BY622" s="174"/>
      <c r="BZ622" s="174"/>
      <c r="CA622" s="174"/>
      <c r="CB622" s="174"/>
      <c r="CC622" s="174"/>
      <c r="CD622" s="174"/>
    </row>
    <row r="623">
      <c r="A623" s="105" t="str">
        <f>IF(preDEL!$AG623,IFERROR(0/0,""),preDEL!A623)</f>
        <v>FM2069</v>
      </c>
      <c r="B623" s="170">
        <f>IF(preDEL!$AG623,IFERROR(0/0,""),preDEL!B623)</f>
        <v>44621</v>
      </c>
      <c r="C623" s="171">
        <f>IF(preDEL!$AG623,IFERROR(0/0,""),preDEL!C623)</f>
        <v>0.2941435185</v>
      </c>
      <c r="D623" s="105" t="str">
        <f>IF(preDEL!$AG623,IFERROR(0/0,""),preDEL!D623)</f>
        <v/>
      </c>
      <c r="E623" s="105" t="str">
        <f>IF(preDEL!$AG623,IFERROR(0/0,""),preDEL!E623)</f>
        <v/>
      </c>
      <c r="F623" s="112" t="str">
        <f>IF(preDEL!$AG623,IFERROR(0/0,""),preDEL!F623)</f>
        <v/>
      </c>
      <c r="G623" s="112" t="str">
        <f>IF(preDEL!$AG623,IFERROR(0/0,""),preDEL!G623)</f>
        <v/>
      </c>
      <c r="H623" s="112" t="str">
        <f>IF(preDEL!$AG623,IFERROR(0/0,""),preDEL!H623)</f>
        <v/>
      </c>
      <c r="I623" s="105" t="str">
        <f>IF(preDEL!$AG623,IFERROR(0/0,""),preDEL!I623)</f>
        <v/>
      </c>
      <c r="J623" s="105" t="str">
        <f>IF(preDEL!$AG623,IFERROR(0/0,""),preDEL!J623)</f>
        <v/>
      </c>
      <c r="K623" s="105" t="str">
        <f>IF(preDEL!$AG623,IFERROR(0/0,""),preDEL!K623)</f>
        <v>Negative</v>
      </c>
      <c r="L623" s="170">
        <f>IF(preDEL!$AG623,IFERROR(0/0,""),preDEL!L623)</f>
        <v>44627</v>
      </c>
      <c r="M623" s="171">
        <f>IF(preDEL!$AG623,IFERROR(0/0,""),preDEL!M623)</f>
        <v>0.4779050926</v>
      </c>
      <c r="N623" s="112" t="str">
        <f>IF(preDEL!$AG623,IFERROR(0/0,""),preDEL!N623)</f>
        <v/>
      </c>
      <c r="O623" s="112" t="str">
        <f>IF(preDEL!$AG623,IFERROR(0/0,""),preDEL!O623)</f>
        <v/>
      </c>
      <c r="P623" s="110" t="b">
        <f>IF(preDEL!$AG623,IFERROR(0/0,""),preDEL!P623)</f>
        <v>0</v>
      </c>
      <c r="Q623" s="110" t="str">
        <f>IF(preDEL!$AG623,IFERROR(0/0,""),preDEL!Q623)</f>
        <v>Result</v>
      </c>
      <c r="R623" s="104" t="b">
        <f>IF(preDEL!$AG623,IFERROR(0/0,""),preDEL!R623)</f>
        <v>1</v>
      </c>
      <c r="S623" s="104">
        <f>IF(preDEL!$AG623,IFERROR(0/0,""),preDEL!S623)</f>
        <v>1</v>
      </c>
      <c r="T623" s="110" t="str">
        <f>IF(preDEL!$AG623,IFERROR(0/0,""),preDEL!T623)</f>
        <v/>
      </c>
      <c r="U623" s="112" t="str">
        <f>IF(preDEL!$AG623,IFERROR(0/0,""),preDEL!U623)</f>
        <v/>
      </c>
      <c r="V623" s="105" t="str">
        <f>IF(preDEL!$AG623,IFERROR(0/0,""),preDEL!V623)</f>
        <v/>
      </c>
      <c r="W623" s="112" t="str">
        <f>IF(preDEL!$AG623,IFERROR(0/0,""),preDEL!W623)</f>
        <v/>
      </c>
      <c r="X623" s="104" t="b">
        <f>IF(preDEL!$AG623,IFERROR(0/0,""),preDEL!X623)</f>
        <v>0</v>
      </c>
      <c r="Y623" s="110" t="b">
        <f>IF(preDEL!$AG623,IFERROR(0/0,""),preDEL!Y623)</f>
        <v>0</v>
      </c>
      <c r="Z623" s="105" t="str">
        <f>IF(preDEL!$AG623,IFERROR(0/0,""),preDEL!Z623)</f>
        <v/>
      </c>
      <c r="AA623" s="110" t="b">
        <f>IF(preDEL!$AG623,IFERROR(0/0,""),preDEL!AA623)</f>
        <v>0</v>
      </c>
      <c r="AB623" s="110" t="b">
        <f>IF(preDEL!$AG623,IFERROR(0/0,""),preDEL!AB623)</f>
        <v>0</v>
      </c>
      <c r="AC623" s="172">
        <f>IF(preDEL!$AG623,IFERROR(0/0,""),preDEL!AC623)</f>
        <v>193</v>
      </c>
      <c r="AD623" s="104" t="b">
        <f>IF(preDEL!$AG623,IFERROR(0/0,""),preDEL!AD623)</f>
        <v>0</v>
      </c>
      <c r="AE623" s="173" t="str">
        <f>IF(preDEL!$AG623,IFERROR(0/0,""),preDEL!AE623)</f>
        <v/>
      </c>
      <c r="AF623" s="110" t="b">
        <f>IF(preDEL!$AG623,IFERROR(0/0,""),preDEL!AF623)</f>
        <v>0</v>
      </c>
      <c r="AG623" s="110" t="b">
        <f>IF(preDEL!$AG623,IFERROR(0/0,""),preDEL!AG623)</f>
        <v>0</v>
      </c>
      <c r="AH623" s="104" t="str">
        <f>IF(preDEL!$AG623,IFERROR(0/0,""),preDEL!AH623)</f>
        <v/>
      </c>
      <c r="AI623" s="105" t="str">
        <f>IF(preDEL!$AG623,IFERROR(0/0,""),preDEL!AI623)</f>
        <v/>
      </c>
      <c r="AJ623" s="112" t="str">
        <f>IF(preDEL!$AG623,IFERROR(0/0,""),preDEL!AJ623)</f>
        <v/>
      </c>
      <c r="AK623" s="105" t="str">
        <f>IF(preDEL!$AG623,IFERROR(0/0,""),preDEL!AK623)</f>
        <v>Negative</v>
      </c>
      <c r="AL623" s="112" t="str">
        <f>IF(preDEL!$AG623,IFERROR(0/0,""),preDEL!AL623)</f>
        <v/>
      </c>
      <c r="AM623" s="112" t="str">
        <f>IF(preDEL!$AG623,IFERROR(0/0,""),preDEL!AM623)</f>
        <v>SpBEND264858</v>
      </c>
      <c r="AN623" s="112" t="str">
        <f>IF(preDEL!$AG623,IFERROR(0/0,""),preDEL!AN623)</f>
        <v>BEND939689</v>
      </c>
      <c r="AO623" s="112" t="str">
        <f>IF(preDEL!$AG623,IFERROR(0/0,""),preDEL!AO623)</f>
        <v/>
      </c>
      <c r="AP623" s="112" t="str">
        <f>IF(preDEL!$AG623,IFERROR(0/0,""),preDEL!AP623)</f>
        <v/>
      </c>
      <c r="AQ623" s="112" t="str">
        <f>IF(preDEL!$AG623,IFERROR(0/0,""),preDEL!AQ623)</f>
        <v/>
      </c>
      <c r="AR623" s="112" t="str">
        <f>IF(preDEL!$AG623,IFERROR(0/0,""),preDEL!AR623)</f>
        <v/>
      </c>
      <c r="AS623" s="112" t="str">
        <f>IF(preDEL!$AG623,IFERROR(0/0,""),preDEL!AS623)</f>
        <v/>
      </c>
      <c r="AT623" s="112" t="b">
        <f>IF(preDEL!$AG623,IFERROR(0/0,""),preDEL!AT623)</f>
        <v>0</v>
      </c>
      <c r="AU623" s="112" t="str">
        <f>IF(preDEL!$AG623,IFERROR(0/0,""),preDEL!AU623)</f>
        <v/>
      </c>
      <c r="AV623" s="112" t="str">
        <f>IF(preDEL!$AG623,IFERROR(0/0,""),preDEL!AV623)</f>
        <v/>
      </c>
      <c r="AW623" s="112" t="str">
        <f>IF(preDEL!$AG623,IFERROR(0/0,""),preDEL!AW623)</f>
        <v/>
      </c>
      <c r="AX623" s="112" t="str">
        <f>IF(preDEL!$AG623,IFERROR(0/0,""),preDEL!AX623)</f>
        <v/>
      </c>
      <c r="AY623" s="112" t="str">
        <f>IF(preDEL!$AG623,IFERROR(0/0,""),preDEL!AY623)</f>
        <v/>
      </c>
      <c r="AZ623" s="174"/>
      <c r="BA623" s="174"/>
      <c r="BB623" s="174"/>
      <c r="BC623" s="174"/>
      <c r="BD623" s="174"/>
      <c r="BE623" s="174"/>
      <c r="BF623" s="174"/>
      <c r="BG623" s="174"/>
      <c r="BH623" s="174"/>
      <c r="BI623" s="174"/>
      <c r="BJ623" s="174"/>
      <c r="BK623" s="174"/>
      <c r="BL623" s="174"/>
      <c r="BM623" s="174"/>
      <c r="BN623" s="174"/>
      <c r="BO623" s="174"/>
      <c r="BP623" s="174"/>
      <c r="BQ623" s="174"/>
      <c r="BR623" s="174"/>
      <c r="BS623" s="174"/>
      <c r="BT623" s="174"/>
      <c r="BU623" s="174"/>
      <c r="BV623" s="174"/>
      <c r="BW623" s="174"/>
      <c r="BX623" s="174"/>
      <c r="BY623" s="174"/>
      <c r="BZ623" s="174"/>
      <c r="CA623" s="174"/>
      <c r="CB623" s="174"/>
      <c r="CC623" s="174"/>
      <c r="CD623" s="174"/>
    </row>
    <row r="624">
      <c r="A624" s="105" t="str">
        <f>IF(preDEL!$AG624,IFERROR(0/0,""),preDEL!A624)</f>
        <v>FM2100</v>
      </c>
      <c r="B624" s="170">
        <f>IF(preDEL!$AG624,IFERROR(0/0,""),preDEL!B624)</f>
        <v>44621</v>
      </c>
      <c r="C624" s="171">
        <f>IF(preDEL!$AG624,IFERROR(0/0,""),preDEL!C624)</f>
        <v>0.3004513889</v>
      </c>
      <c r="D624" s="105" t="str">
        <f>IF(preDEL!$AG624,IFERROR(0/0,""),preDEL!D624)</f>
        <v/>
      </c>
      <c r="E624" s="105" t="str">
        <f>IF(preDEL!$AG624,IFERROR(0/0,""),preDEL!E624)</f>
        <v/>
      </c>
      <c r="F624" s="112" t="str">
        <f>IF(preDEL!$AG624,IFERROR(0/0,""),preDEL!F624)</f>
        <v/>
      </c>
      <c r="G624" s="112" t="str">
        <f>IF(preDEL!$AG624,IFERROR(0/0,""),preDEL!G624)</f>
        <v/>
      </c>
      <c r="H624" s="112" t="str">
        <f>IF(preDEL!$AG624,IFERROR(0/0,""),preDEL!H624)</f>
        <v/>
      </c>
      <c r="I624" s="105" t="str">
        <f>IF(preDEL!$AG624,IFERROR(0/0,""),preDEL!I624)</f>
        <v/>
      </c>
      <c r="J624" s="105" t="str">
        <f>IF(preDEL!$AG624,IFERROR(0/0,""),preDEL!J624)</f>
        <v/>
      </c>
      <c r="K624" s="105" t="str">
        <f>IF(preDEL!$AG624,IFERROR(0/0,""),preDEL!K624)</f>
        <v>Negative</v>
      </c>
      <c r="L624" s="170">
        <f>IF(preDEL!$AG624,IFERROR(0/0,""),preDEL!L624)</f>
        <v>44627</v>
      </c>
      <c r="M624" s="171">
        <f>IF(preDEL!$AG624,IFERROR(0/0,""),preDEL!M624)</f>
        <v>0.4779050926</v>
      </c>
      <c r="N624" s="112" t="str">
        <f>IF(preDEL!$AG624,IFERROR(0/0,""),preDEL!N624)</f>
        <v/>
      </c>
      <c r="O624" s="112" t="str">
        <f>IF(preDEL!$AG624,IFERROR(0/0,""),preDEL!O624)</f>
        <v/>
      </c>
      <c r="P624" s="110" t="b">
        <f>IF(preDEL!$AG624,IFERROR(0/0,""),preDEL!P624)</f>
        <v>0</v>
      </c>
      <c r="Q624" s="110" t="str">
        <f>IF(preDEL!$AG624,IFERROR(0/0,""),preDEL!Q624)</f>
        <v>Result</v>
      </c>
      <c r="R624" s="104" t="b">
        <f>IF(preDEL!$AG624,IFERROR(0/0,""),preDEL!R624)</f>
        <v>1</v>
      </c>
      <c r="S624" s="104">
        <f>IF(preDEL!$AG624,IFERROR(0/0,""),preDEL!S624)</f>
        <v>1</v>
      </c>
      <c r="T624" s="110" t="str">
        <f>IF(preDEL!$AG624,IFERROR(0/0,""),preDEL!T624)</f>
        <v/>
      </c>
      <c r="U624" s="112" t="str">
        <f>IF(preDEL!$AG624,IFERROR(0/0,""),preDEL!U624)</f>
        <v/>
      </c>
      <c r="V624" s="105" t="str">
        <f>IF(preDEL!$AG624,IFERROR(0/0,""),preDEL!V624)</f>
        <v/>
      </c>
      <c r="W624" s="112" t="str">
        <f>IF(preDEL!$AG624,IFERROR(0/0,""),preDEL!W624)</f>
        <v/>
      </c>
      <c r="X624" s="104" t="b">
        <f>IF(preDEL!$AG624,IFERROR(0/0,""),preDEL!X624)</f>
        <v>0</v>
      </c>
      <c r="Y624" s="110" t="b">
        <f>IF(preDEL!$AG624,IFERROR(0/0,""),preDEL!Y624)</f>
        <v>0</v>
      </c>
      <c r="Z624" s="105" t="str">
        <f>IF(preDEL!$AG624,IFERROR(0/0,""),preDEL!Z624)</f>
        <v/>
      </c>
      <c r="AA624" s="110" t="b">
        <f>IF(preDEL!$AG624,IFERROR(0/0,""),preDEL!AA624)</f>
        <v>0</v>
      </c>
      <c r="AB624" s="110" t="b">
        <f>IF(preDEL!$AG624,IFERROR(0/0,""),preDEL!AB624)</f>
        <v>0</v>
      </c>
      <c r="AC624" s="172">
        <f>IF(preDEL!$AG624,IFERROR(0/0,""),preDEL!AC624)</f>
        <v>192</v>
      </c>
      <c r="AD624" s="104" t="b">
        <f>IF(preDEL!$AG624,IFERROR(0/0,""),preDEL!AD624)</f>
        <v>0</v>
      </c>
      <c r="AE624" s="173" t="str">
        <f>IF(preDEL!$AG624,IFERROR(0/0,""),preDEL!AE624)</f>
        <v/>
      </c>
      <c r="AF624" s="110" t="b">
        <f>IF(preDEL!$AG624,IFERROR(0/0,""),preDEL!AF624)</f>
        <v>0</v>
      </c>
      <c r="AG624" s="110" t="b">
        <f>IF(preDEL!$AG624,IFERROR(0/0,""),preDEL!AG624)</f>
        <v>0</v>
      </c>
      <c r="AH624" s="104" t="str">
        <f>IF(preDEL!$AG624,IFERROR(0/0,""),preDEL!AH624)</f>
        <v/>
      </c>
      <c r="AI624" s="105" t="str">
        <f>IF(preDEL!$AG624,IFERROR(0/0,""),preDEL!AI624)</f>
        <v/>
      </c>
      <c r="AJ624" s="112" t="str">
        <f>IF(preDEL!$AG624,IFERROR(0/0,""),preDEL!AJ624)</f>
        <v/>
      </c>
      <c r="AK624" s="105" t="str">
        <f>IF(preDEL!$AG624,IFERROR(0/0,""),preDEL!AK624)</f>
        <v>Negative</v>
      </c>
      <c r="AL624" s="112" t="str">
        <f>IF(preDEL!$AG624,IFERROR(0/0,""),preDEL!AL624)</f>
        <v/>
      </c>
      <c r="AM624" s="112" t="str">
        <f>IF(preDEL!$AG624,IFERROR(0/0,""),preDEL!AM624)</f>
        <v>SpBEND184203</v>
      </c>
      <c r="AN624" s="112" t="str">
        <f>IF(preDEL!$AG624,IFERROR(0/0,""),preDEL!AN624)</f>
        <v>BEND821009</v>
      </c>
      <c r="AO624" s="112" t="str">
        <f>IF(preDEL!$AG624,IFERROR(0/0,""),preDEL!AO624)</f>
        <v/>
      </c>
      <c r="AP624" s="112" t="str">
        <f>IF(preDEL!$AG624,IFERROR(0/0,""),preDEL!AP624)</f>
        <v/>
      </c>
      <c r="AQ624" s="112" t="str">
        <f>IF(preDEL!$AG624,IFERROR(0/0,""),preDEL!AQ624)</f>
        <v/>
      </c>
      <c r="AR624" s="112" t="str">
        <f>IF(preDEL!$AG624,IFERROR(0/0,""),preDEL!AR624)</f>
        <v/>
      </c>
      <c r="AS624" s="112" t="str">
        <f>IF(preDEL!$AG624,IFERROR(0/0,""),preDEL!AS624)</f>
        <v/>
      </c>
      <c r="AT624" s="112" t="b">
        <f>IF(preDEL!$AG624,IFERROR(0/0,""),preDEL!AT624)</f>
        <v>0</v>
      </c>
      <c r="AU624" s="112" t="str">
        <f>IF(preDEL!$AG624,IFERROR(0/0,""),preDEL!AU624)</f>
        <v/>
      </c>
      <c r="AV624" s="112" t="str">
        <f>IF(preDEL!$AG624,IFERROR(0/0,""),preDEL!AV624)</f>
        <v/>
      </c>
      <c r="AW624" s="112" t="str">
        <f>IF(preDEL!$AG624,IFERROR(0/0,""),preDEL!AW624)</f>
        <v/>
      </c>
      <c r="AX624" s="112" t="str">
        <f>IF(preDEL!$AG624,IFERROR(0/0,""),preDEL!AX624)</f>
        <v/>
      </c>
      <c r="AY624" s="112" t="str">
        <f>IF(preDEL!$AG624,IFERROR(0/0,""),preDEL!AY624)</f>
        <v/>
      </c>
      <c r="AZ624" s="174"/>
      <c r="BA624" s="174"/>
      <c r="BB624" s="174"/>
      <c r="BC624" s="174"/>
      <c r="BD624" s="174"/>
      <c r="BE624" s="174"/>
      <c r="BF624" s="174"/>
      <c r="BG624" s="174"/>
      <c r="BH624" s="174"/>
      <c r="BI624" s="174"/>
      <c r="BJ624" s="174"/>
      <c r="BK624" s="174"/>
      <c r="BL624" s="174"/>
      <c r="BM624" s="174"/>
      <c r="BN624" s="174"/>
      <c r="BO624" s="174"/>
      <c r="BP624" s="174"/>
      <c r="BQ624" s="174"/>
      <c r="BR624" s="174"/>
      <c r="BS624" s="174"/>
      <c r="BT624" s="174"/>
      <c r="BU624" s="174"/>
      <c r="BV624" s="174"/>
      <c r="BW624" s="174"/>
      <c r="BX624" s="174"/>
      <c r="BY624" s="174"/>
      <c r="BZ624" s="174"/>
      <c r="CA624" s="174"/>
      <c r="CB624" s="174"/>
      <c r="CC624" s="174"/>
      <c r="CD624" s="174"/>
    </row>
    <row r="625">
      <c r="A625" s="105" t="str">
        <f>IF(preDEL!$AG625,IFERROR(0/0,""),preDEL!A625)</f>
        <v>FM18</v>
      </c>
      <c r="B625" s="170">
        <f>IF(preDEL!$AG625,IFERROR(0/0,""),preDEL!B625)</f>
        <v>44621</v>
      </c>
      <c r="C625" s="171">
        <f>IF(preDEL!$AG625,IFERROR(0/0,""),preDEL!C625)</f>
        <v>0.3062152778</v>
      </c>
      <c r="D625" s="105" t="str">
        <f>IF(preDEL!$AG625,IFERROR(0/0,""),preDEL!D625)</f>
        <v/>
      </c>
      <c r="E625" s="105" t="str">
        <f>IF(preDEL!$AG625,IFERROR(0/0,""),preDEL!E625)</f>
        <v/>
      </c>
      <c r="F625" s="112" t="str">
        <f>IF(preDEL!$AG625,IFERROR(0/0,""),preDEL!F625)</f>
        <v/>
      </c>
      <c r="G625" s="112" t="str">
        <f>IF(preDEL!$AG625,IFERROR(0/0,""),preDEL!G625)</f>
        <v/>
      </c>
      <c r="H625" s="112" t="str">
        <f>IF(preDEL!$AG625,IFERROR(0/0,""),preDEL!H625)</f>
        <v/>
      </c>
      <c r="I625" s="105" t="str">
        <f>IF(preDEL!$AG625,IFERROR(0/0,""),preDEL!I625)</f>
        <v/>
      </c>
      <c r="J625" s="105" t="str">
        <f>IF(preDEL!$AG625,IFERROR(0/0,""),preDEL!J625)</f>
        <v/>
      </c>
      <c r="K625" s="105" t="str">
        <f>IF(preDEL!$AG625,IFERROR(0/0,""),preDEL!K625)</f>
        <v>Negative</v>
      </c>
      <c r="L625" s="170">
        <f>IF(preDEL!$AG625,IFERROR(0/0,""),preDEL!L625)</f>
        <v>44627</v>
      </c>
      <c r="M625" s="171">
        <f>IF(preDEL!$AG625,IFERROR(0/0,""),preDEL!M625)</f>
        <v>0.4779166667</v>
      </c>
      <c r="N625" s="112" t="str">
        <f>IF(preDEL!$AG625,IFERROR(0/0,""),preDEL!N625)</f>
        <v/>
      </c>
      <c r="O625" s="112" t="str">
        <f>IF(preDEL!$AG625,IFERROR(0/0,""),preDEL!O625)</f>
        <v/>
      </c>
      <c r="P625" s="110" t="b">
        <f>IF(preDEL!$AG625,IFERROR(0/0,""),preDEL!P625)</f>
        <v>0</v>
      </c>
      <c r="Q625" s="110" t="str">
        <f>IF(preDEL!$AG625,IFERROR(0/0,""),preDEL!Q625)</f>
        <v>Result</v>
      </c>
      <c r="R625" s="104" t="b">
        <f>IF(preDEL!$AG625,IFERROR(0/0,""),preDEL!R625)</f>
        <v>1</v>
      </c>
      <c r="S625" s="104">
        <f>IF(preDEL!$AG625,IFERROR(0/0,""),preDEL!S625)</f>
        <v>1</v>
      </c>
      <c r="T625" s="110" t="str">
        <f>IF(preDEL!$AG625,IFERROR(0/0,""),preDEL!T625)</f>
        <v/>
      </c>
      <c r="U625" s="112" t="str">
        <f>IF(preDEL!$AG625,IFERROR(0/0,""),preDEL!U625)</f>
        <v/>
      </c>
      <c r="V625" s="105" t="str">
        <f>IF(preDEL!$AG625,IFERROR(0/0,""),preDEL!V625)</f>
        <v/>
      </c>
      <c r="W625" s="112" t="str">
        <f>IF(preDEL!$AG625,IFERROR(0/0,""),preDEL!W625)</f>
        <v/>
      </c>
      <c r="X625" s="104" t="b">
        <f>IF(preDEL!$AG625,IFERROR(0/0,""),preDEL!X625)</f>
        <v>0</v>
      </c>
      <c r="Y625" s="110" t="b">
        <f>IF(preDEL!$AG625,IFERROR(0/0,""),preDEL!Y625)</f>
        <v>0</v>
      </c>
      <c r="Z625" s="105" t="str">
        <f>IF(preDEL!$AG625,IFERROR(0/0,""),preDEL!Z625)</f>
        <v/>
      </c>
      <c r="AA625" s="110" t="b">
        <f>IF(preDEL!$AG625,IFERROR(0/0,""),preDEL!AA625)</f>
        <v>0</v>
      </c>
      <c r="AB625" s="110" t="b">
        <f>IF(preDEL!$AG625,IFERROR(0/0,""),preDEL!AB625)</f>
        <v>0</v>
      </c>
      <c r="AC625" s="172">
        <f>IF(preDEL!$AG625,IFERROR(0/0,""),preDEL!AC625)</f>
        <v>191</v>
      </c>
      <c r="AD625" s="104" t="b">
        <f>IF(preDEL!$AG625,IFERROR(0/0,""),preDEL!AD625)</f>
        <v>0</v>
      </c>
      <c r="AE625" s="173" t="str">
        <f>IF(preDEL!$AG625,IFERROR(0/0,""),preDEL!AE625)</f>
        <v/>
      </c>
      <c r="AF625" s="110" t="b">
        <f>IF(preDEL!$AG625,IFERROR(0/0,""),preDEL!AF625)</f>
        <v>0</v>
      </c>
      <c r="AG625" s="110" t="b">
        <f>IF(preDEL!$AG625,IFERROR(0/0,""),preDEL!AG625)</f>
        <v>0</v>
      </c>
      <c r="AH625" s="104" t="str">
        <f>IF(preDEL!$AG625,IFERROR(0/0,""),preDEL!AH625)</f>
        <v/>
      </c>
      <c r="AI625" s="105" t="str">
        <f>IF(preDEL!$AG625,IFERROR(0/0,""),preDEL!AI625)</f>
        <v/>
      </c>
      <c r="AJ625" s="112" t="str">
        <f>IF(preDEL!$AG625,IFERROR(0/0,""),preDEL!AJ625)</f>
        <v/>
      </c>
      <c r="AK625" s="105" t="str">
        <f>IF(preDEL!$AG625,IFERROR(0/0,""),preDEL!AK625)</f>
        <v>Negative</v>
      </c>
      <c r="AL625" s="112" t="str">
        <f>IF(preDEL!$AG625,IFERROR(0/0,""),preDEL!AL625)</f>
        <v/>
      </c>
      <c r="AM625" s="112" t="str">
        <f>IF(preDEL!$AG625,IFERROR(0/0,""),preDEL!AM625)</f>
        <v>SpBEND768497</v>
      </c>
      <c r="AN625" s="112" t="str">
        <f>IF(preDEL!$AG625,IFERROR(0/0,""),preDEL!AN625)</f>
        <v>BEND900381</v>
      </c>
      <c r="AO625" s="112" t="str">
        <f>IF(preDEL!$AG625,IFERROR(0/0,""),preDEL!AO625)</f>
        <v/>
      </c>
      <c r="AP625" s="112" t="str">
        <f>IF(preDEL!$AG625,IFERROR(0/0,""),preDEL!AP625)</f>
        <v/>
      </c>
      <c r="AQ625" s="112" t="str">
        <f>IF(preDEL!$AG625,IFERROR(0/0,""),preDEL!AQ625)</f>
        <v/>
      </c>
      <c r="AR625" s="112" t="str">
        <f>IF(preDEL!$AG625,IFERROR(0/0,""),preDEL!AR625)</f>
        <v/>
      </c>
      <c r="AS625" s="112" t="str">
        <f>IF(preDEL!$AG625,IFERROR(0/0,""),preDEL!AS625)</f>
        <v/>
      </c>
      <c r="AT625" s="112" t="b">
        <f>IF(preDEL!$AG625,IFERROR(0/0,""),preDEL!AT625)</f>
        <v>0</v>
      </c>
      <c r="AU625" s="112" t="str">
        <f>IF(preDEL!$AG625,IFERROR(0/0,""),preDEL!AU625)</f>
        <v/>
      </c>
      <c r="AV625" s="112" t="str">
        <f>IF(preDEL!$AG625,IFERROR(0/0,""),preDEL!AV625)</f>
        <v/>
      </c>
      <c r="AW625" s="112" t="str">
        <f>IF(preDEL!$AG625,IFERROR(0/0,""),preDEL!AW625)</f>
        <v/>
      </c>
      <c r="AX625" s="112" t="str">
        <f>IF(preDEL!$AG625,IFERROR(0/0,""),preDEL!AX625)</f>
        <v/>
      </c>
      <c r="AY625" s="112" t="str">
        <f>IF(preDEL!$AG625,IFERROR(0/0,""),preDEL!AY625)</f>
        <v/>
      </c>
      <c r="AZ625" s="174"/>
      <c r="BA625" s="174"/>
      <c r="BB625" s="174"/>
      <c r="BC625" s="174"/>
      <c r="BD625" s="174"/>
      <c r="BE625" s="174"/>
      <c r="BF625" s="174"/>
      <c r="BG625" s="174"/>
      <c r="BH625" s="174"/>
      <c r="BI625" s="174"/>
      <c r="BJ625" s="174"/>
      <c r="BK625" s="174"/>
      <c r="BL625" s="174"/>
      <c r="BM625" s="174"/>
      <c r="BN625" s="174"/>
      <c r="BO625" s="174"/>
      <c r="BP625" s="174"/>
      <c r="BQ625" s="174"/>
      <c r="BR625" s="174"/>
      <c r="BS625" s="174"/>
      <c r="BT625" s="174"/>
      <c r="BU625" s="174"/>
      <c r="BV625" s="174"/>
      <c r="BW625" s="174"/>
      <c r="BX625" s="174"/>
      <c r="BY625" s="174"/>
      <c r="BZ625" s="174"/>
      <c r="CA625" s="174"/>
      <c r="CB625" s="174"/>
      <c r="CC625" s="174"/>
      <c r="CD625" s="174"/>
    </row>
    <row r="626">
      <c r="A626" s="105" t="str">
        <f>IF(preDEL!$AG626,IFERROR(0/0,""),preDEL!A626)</f>
        <v>FM354</v>
      </c>
      <c r="B626" s="170">
        <f>IF(preDEL!$AG626,IFERROR(0/0,""),preDEL!B626)</f>
        <v>44621</v>
      </c>
      <c r="C626" s="171">
        <f>IF(preDEL!$AG626,IFERROR(0/0,""),preDEL!C626)</f>
        <v>0.3067708333</v>
      </c>
      <c r="D626" s="105" t="str">
        <f>IF(preDEL!$AG626,IFERROR(0/0,""),preDEL!D626)</f>
        <v/>
      </c>
      <c r="E626" s="105" t="str">
        <f>IF(preDEL!$AG626,IFERROR(0/0,""),preDEL!E626)</f>
        <v/>
      </c>
      <c r="F626" s="112" t="str">
        <f>IF(preDEL!$AG626,IFERROR(0/0,""),preDEL!F626)</f>
        <v/>
      </c>
      <c r="G626" s="112" t="str">
        <f>IF(preDEL!$AG626,IFERROR(0/0,""),preDEL!G626)</f>
        <v/>
      </c>
      <c r="H626" s="112" t="str">
        <f>IF(preDEL!$AG626,IFERROR(0/0,""),preDEL!H626)</f>
        <v/>
      </c>
      <c r="I626" s="105" t="str">
        <f>IF(preDEL!$AG626,IFERROR(0/0,""),preDEL!I626)</f>
        <v/>
      </c>
      <c r="J626" s="105" t="str">
        <f>IF(preDEL!$AG626,IFERROR(0/0,""),preDEL!J626)</f>
        <v/>
      </c>
      <c r="K626" s="105" t="str">
        <f>IF(preDEL!$AG626,IFERROR(0/0,""),preDEL!K626)</f>
        <v>Negative</v>
      </c>
      <c r="L626" s="170">
        <f>IF(preDEL!$AG626,IFERROR(0/0,""),preDEL!L626)</f>
        <v>44627</v>
      </c>
      <c r="M626" s="171">
        <f>IF(preDEL!$AG626,IFERROR(0/0,""),preDEL!M626)</f>
        <v>0.4779166667</v>
      </c>
      <c r="N626" s="112" t="str">
        <f>IF(preDEL!$AG626,IFERROR(0/0,""),preDEL!N626)</f>
        <v/>
      </c>
      <c r="O626" s="112" t="str">
        <f>IF(preDEL!$AG626,IFERROR(0/0,""),preDEL!O626)</f>
        <v/>
      </c>
      <c r="P626" s="110" t="b">
        <f>IF(preDEL!$AG626,IFERROR(0/0,""),preDEL!P626)</f>
        <v>0</v>
      </c>
      <c r="Q626" s="110" t="str">
        <f>IF(preDEL!$AG626,IFERROR(0/0,""),preDEL!Q626)</f>
        <v>Result</v>
      </c>
      <c r="R626" s="104" t="b">
        <f>IF(preDEL!$AG626,IFERROR(0/0,""),preDEL!R626)</f>
        <v>1</v>
      </c>
      <c r="S626" s="104">
        <f>IF(preDEL!$AG626,IFERROR(0/0,""),preDEL!S626)</f>
        <v>1</v>
      </c>
      <c r="T626" s="110" t="str">
        <f>IF(preDEL!$AG626,IFERROR(0/0,""),preDEL!T626)</f>
        <v/>
      </c>
      <c r="U626" s="112" t="str">
        <f>IF(preDEL!$AG626,IFERROR(0/0,""),preDEL!U626)</f>
        <v/>
      </c>
      <c r="V626" s="105" t="str">
        <f>IF(preDEL!$AG626,IFERROR(0/0,""),preDEL!V626)</f>
        <v/>
      </c>
      <c r="W626" s="112" t="str">
        <f>IF(preDEL!$AG626,IFERROR(0/0,""),preDEL!W626)</f>
        <v/>
      </c>
      <c r="X626" s="104" t="b">
        <f>IF(preDEL!$AG626,IFERROR(0/0,""),preDEL!X626)</f>
        <v>0</v>
      </c>
      <c r="Y626" s="110" t="b">
        <f>IF(preDEL!$AG626,IFERROR(0/0,""),preDEL!Y626)</f>
        <v>0</v>
      </c>
      <c r="Z626" s="105" t="str">
        <f>IF(preDEL!$AG626,IFERROR(0/0,""),preDEL!Z626)</f>
        <v/>
      </c>
      <c r="AA626" s="110" t="b">
        <f>IF(preDEL!$AG626,IFERROR(0/0,""),preDEL!AA626)</f>
        <v>0</v>
      </c>
      <c r="AB626" s="110" t="b">
        <f>IF(preDEL!$AG626,IFERROR(0/0,""),preDEL!AB626)</f>
        <v>0</v>
      </c>
      <c r="AC626" s="172">
        <f>IF(preDEL!$AG626,IFERROR(0/0,""),preDEL!AC626)</f>
        <v>190</v>
      </c>
      <c r="AD626" s="104" t="b">
        <f>IF(preDEL!$AG626,IFERROR(0/0,""),preDEL!AD626)</f>
        <v>0</v>
      </c>
      <c r="AE626" s="173" t="str">
        <f>IF(preDEL!$AG626,IFERROR(0/0,""),preDEL!AE626)</f>
        <v/>
      </c>
      <c r="AF626" s="110" t="b">
        <f>IF(preDEL!$AG626,IFERROR(0/0,""),preDEL!AF626)</f>
        <v>0</v>
      </c>
      <c r="AG626" s="110" t="b">
        <f>IF(preDEL!$AG626,IFERROR(0/0,""),preDEL!AG626)</f>
        <v>0</v>
      </c>
      <c r="AH626" s="104" t="str">
        <f>IF(preDEL!$AG626,IFERROR(0/0,""),preDEL!AH626)</f>
        <v/>
      </c>
      <c r="AI626" s="105" t="str">
        <f>IF(preDEL!$AG626,IFERROR(0/0,""),preDEL!AI626)</f>
        <v/>
      </c>
      <c r="AJ626" s="112" t="str">
        <f>IF(preDEL!$AG626,IFERROR(0/0,""),preDEL!AJ626)</f>
        <v/>
      </c>
      <c r="AK626" s="105" t="str">
        <f>IF(preDEL!$AG626,IFERROR(0/0,""),preDEL!AK626)</f>
        <v>Negative</v>
      </c>
      <c r="AL626" s="112" t="str">
        <f>IF(preDEL!$AG626,IFERROR(0/0,""),preDEL!AL626)</f>
        <v/>
      </c>
      <c r="AM626" s="112" t="str">
        <f>IF(preDEL!$AG626,IFERROR(0/0,""),preDEL!AM626)</f>
        <v>SpBEND445560</v>
      </c>
      <c r="AN626" s="112" t="str">
        <f>IF(preDEL!$AG626,IFERROR(0/0,""),preDEL!AN626)</f>
        <v>BEND470695</v>
      </c>
      <c r="AO626" s="112" t="str">
        <f>IF(preDEL!$AG626,IFERROR(0/0,""),preDEL!AO626)</f>
        <v/>
      </c>
      <c r="AP626" s="112" t="str">
        <f>IF(preDEL!$AG626,IFERROR(0/0,""),preDEL!AP626)</f>
        <v/>
      </c>
      <c r="AQ626" s="112" t="str">
        <f>IF(preDEL!$AG626,IFERROR(0/0,""),preDEL!AQ626)</f>
        <v/>
      </c>
      <c r="AR626" s="112" t="str">
        <f>IF(preDEL!$AG626,IFERROR(0/0,""),preDEL!AR626)</f>
        <v/>
      </c>
      <c r="AS626" s="112" t="str">
        <f>IF(preDEL!$AG626,IFERROR(0/0,""),preDEL!AS626)</f>
        <v/>
      </c>
      <c r="AT626" s="112" t="b">
        <f>IF(preDEL!$AG626,IFERROR(0/0,""),preDEL!AT626)</f>
        <v>0</v>
      </c>
      <c r="AU626" s="112" t="str">
        <f>IF(preDEL!$AG626,IFERROR(0/0,""),preDEL!AU626)</f>
        <v/>
      </c>
      <c r="AV626" s="112" t="str">
        <f>IF(preDEL!$AG626,IFERROR(0/0,""),preDEL!AV626)</f>
        <v/>
      </c>
      <c r="AW626" s="112" t="str">
        <f>IF(preDEL!$AG626,IFERROR(0/0,""),preDEL!AW626)</f>
        <v/>
      </c>
      <c r="AX626" s="112" t="str">
        <f>IF(preDEL!$AG626,IFERROR(0/0,""),preDEL!AX626)</f>
        <v/>
      </c>
      <c r="AY626" s="112" t="str">
        <f>IF(preDEL!$AG626,IFERROR(0/0,""),preDEL!AY626)</f>
        <v/>
      </c>
      <c r="AZ626" s="174"/>
      <c r="BA626" s="174"/>
      <c r="BB626" s="174"/>
      <c r="BC626" s="174"/>
      <c r="BD626" s="174"/>
      <c r="BE626" s="174"/>
      <c r="BF626" s="174"/>
      <c r="BG626" s="174"/>
      <c r="BH626" s="174"/>
      <c r="BI626" s="174"/>
      <c r="BJ626" s="174"/>
      <c r="BK626" s="174"/>
      <c r="BL626" s="174"/>
      <c r="BM626" s="174"/>
      <c r="BN626" s="174"/>
      <c r="BO626" s="174"/>
      <c r="BP626" s="174"/>
      <c r="BQ626" s="174"/>
      <c r="BR626" s="174"/>
      <c r="BS626" s="174"/>
      <c r="BT626" s="174"/>
      <c r="BU626" s="174"/>
      <c r="BV626" s="174"/>
      <c r="BW626" s="174"/>
      <c r="BX626" s="174"/>
      <c r="BY626" s="174"/>
      <c r="BZ626" s="174"/>
      <c r="CA626" s="174"/>
      <c r="CB626" s="174"/>
      <c r="CC626" s="174"/>
      <c r="CD626" s="174"/>
    </row>
    <row r="627">
      <c r="A627" s="105" t="str">
        <f>IF(preDEL!$AG627,IFERROR(0/0,""),preDEL!A627)</f>
        <v>FM489</v>
      </c>
      <c r="B627" s="170">
        <f>IF(preDEL!$AG627,IFERROR(0/0,""),preDEL!B627)</f>
        <v>44621</v>
      </c>
      <c r="C627" s="171">
        <f>IF(preDEL!$AG627,IFERROR(0/0,""),preDEL!C627)</f>
        <v>0.3078587963</v>
      </c>
      <c r="D627" s="105" t="str">
        <f>IF(preDEL!$AG627,IFERROR(0/0,""),preDEL!D627)</f>
        <v/>
      </c>
      <c r="E627" s="105" t="str">
        <f>IF(preDEL!$AG627,IFERROR(0/0,""),preDEL!E627)</f>
        <v/>
      </c>
      <c r="F627" s="112" t="str">
        <f>IF(preDEL!$AG627,IFERROR(0/0,""),preDEL!F627)</f>
        <v/>
      </c>
      <c r="G627" s="112" t="str">
        <f>IF(preDEL!$AG627,IFERROR(0/0,""),preDEL!G627)</f>
        <v/>
      </c>
      <c r="H627" s="112" t="str">
        <f>IF(preDEL!$AG627,IFERROR(0/0,""),preDEL!H627)</f>
        <v/>
      </c>
      <c r="I627" s="105" t="str">
        <f>IF(preDEL!$AG627,IFERROR(0/0,""),preDEL!I627)</f>
        <v/>
      </c>
      <c r="J627" s="105" t="str">
        <f>IF(preDEL!$AG627,IFERROR(0/0,""),preDEL!J627)</f>
        <v/>
      </c>
      <c r="K627" s="105" t="str">
        <f>IF(preDEL!$AG627,IFERROR(0/0,""),preDEL!K627)</f>
        <v>Negative</v>
      </c>
      <c r="L627" s="170">
        <f>IF(preDEL!$AG627,IFERROR(0/0,""),preDEL!L627)</f>
        <v>44627</v>
      </c>
      <c r="M627" s="171">
        <f>IF(preDEL!$AG627,IFERROR(0/0,""),preDEL!M627)</f>
        <v>0.4779166667</v>
      </c>
      <c r="N627" s="112" t="str">
        <f>IF(preDEL!$AG627,IFERROR(0/0,""),preDEL!N627)</f>
        <v/>
      </c>
      <c r="O627" s="112" t="str">
        <f>IF(preDEL!$AG627,IFERROR(0/0,""),preDEL!O627)</f>
        <v/>
      </c>
      <c r="P627" s="110" t="b">
        <f>IF(preDEL!$AG627,IFERROR(0/0,""),preDEL!P627)</f>
        <v>0</v>
      </c>
      <c r="Q627" s="110" t="str">
        <f>IF(preDEL!$AG627,IFERROR(0/0,""),preDEL!Q627)</f>
        <v>Result</v>
      </c>
      <c r="R627" s="104" t="b">
        <f>IF(preDEL!$AG627,IFERROR(0/0,""),preDEL!R627)</f>
        <v>1</v>
      </c>
      <c r="S627" s="104">
        <f>IF(preDEL!$AG627,IFERROR(0/0,""),preDEL!S627)</f>
        <v>1</v>
      </c>
      <c r="T627" s="110" t="str">
        <f>IF(preDEL!$AG627,IFERROR(0/0,""),preDEL!T627)</f>
        <v/>
      </c>
      <c r="U627" s="112" t="str">
        <f>IF(preDEL!$AG627,IFERROR(0/0,""),preDEL!U627)</f>
        <v/>
      </c>
      <c r="V627" s="105" t="str">
        <f>IF(preDEL!$AG627,IFERROR(0/0,""),preDEL!V627)</f>
        <v/>
      </c>
      <c r="W627" s="112" t="str">
        <f>IF(preDEL!$AG627,IFERROR(0/0,""),preDEL!W627)</f>
        <v/>
      </c>
      <c r="X627" s="104" t="b">
        <f>IF(preDEL!$AG627,IFERROR(0/0,""),preDEL!X627)</f>
        <v>0</v>
      </c>
      <c r="Y627" s="110" t="b">
        <f>IF(preDEL!$AG627,IFERROR(0/0,""),preDEL!Y627)</f>
        <v>0</v>
      </c>
      <c r="Z627" s="105" t="str">
        <f>IF(preDEL!$AG627,IFERROR(0/0,""),preDEL!Z627)</f>
        <v/>
      </c>
      <c r="AA627" s="110" t="b">
        <f>IF(preDEL!$AG627,IFERROR(0/0,""),preDEL!AA627)</f>
        <v>0</v>
      </c>
      <c r="AB627" s="110" t="b">
        <f>IF(preDEL!$AG627,IFERROR(0/0,""),preDEL!AB627)</f>
        <v>0</v>
      </c>
      <c r="AC627" s="172">
        <f>IF(preDEL!$AG627,IFERROR(0/0,""),preDEL!AC627)</f>
        <v>189</v>
      </c>
      <c r="AD627" s="104" t="b">
        <f>IF(preDEL!$AG627,IFERROR(0/0,""),preDEL!AD627)</f>
        <v>0</v>
      </c>
      <c r="AE627" s="173" t="str">
        <f>IF(preDEL!$AG627,IFERROR(0/0,""),preDEL!AE627)</f>
        <v/>
      </c>
      <c r="AF627" s="110" t="b">
        <f>IF(preDEL!$AG627,IFERROR(0/0,""),preDEL!AF627)</f>
        <v>0</v>
      </c>
      <c r="AG627" s="110" t="b">
        <f>IF(preDEL!$AG627,IFERROR(0/0,""),preDEL!AG627)</f>
        <v>0</v>
      </c>
      <c r="AH627" s="104" t="str">
        <f>IF(preDEL!$AG627,IFERROR(0/0,""),preDEL!AH627)</f>
        <v/>
      </c>
      <c r="AI627" s="105" t="str">
        <f>IF(preDEL!$AG627,IFERROR(0/0,""),preDEL!AI627)</f>
        <v/>
      </c>
      <c r="AJ627" s="112" t="str">
        <f>IF(preDEL!$AG627,IFERROR(0/0,""),preDEL!AJ627)</f>
        <v/>
      </c>
      <c r="AK627" s="105" t="str">
        <f>IF(preDEL!$AG627,IFERROR(0/0,""),preDEL!AK627)</f>
        <v>Negative</v>
      </c>
      <c r="AL627" s="112" t="str">
        <f>IF(preDEL!$AG627,IFERROR(0/0,""),preDEL!AL627)</f>
        <v/>
      </c>
      <c r="AM627" s="112" t="str">
        <f>IF(preDEL!$AG627,IFERROR(0/0,""),preDEL!AM627)</f>
        <v>SpBEND982195</v>
      </c>
      <c r="AN627" s="112" t="str">
        <f>IF(preDEL!$AG627,IFERROR(0/0,""),preDEL!AN627)</f>
        <v>BEND601742</v>
      </c>
      <c r="AO627" s="112" t="str">
        <f>IF(preDEL!$AG627,IFERROR(0/0,""),preDEL!AO627)</f>
        <v/>
      </c>
      <c r="AP627" s="112" t="str">
        <f>IF(preDEL!$AG627,IFERROR(0/0,""),preDEL!AP627)</f>
        <v/>
      </c>
      <c r="AQ627" s="112" t="str">
        <f>IF(preDEL!$AG627,IFERROR(0/0,""),preDEL!AQ627)</f>
        <v/>
      </c>
      <c r="AR627" s="112" t="str">
        <f>IF(preDEL!$AG627,IFERROR(0/0,""),preDEL!AR627)</f>
        <v/>
      </c>
      <c r="AS627" s="112" t="str">
        <f>IF(preDEL!$AG627,IFERROR(0/0,""),preDEL!AS627)</f>
        <v/>
      </c>
      <c r="AT627" s="112" t="b">
        <f>IF(preDEL!$AG627,IFERROR(0/0,""),preDEL!AT627)</f>
        <v>0</v>
      </c>
      <c r="AU627" s="112" t="str">
        <f>IF(preDEL!$AG627,IFERROR(0/0,""),preDEL!AU627)</f>
        <v/>
      </c>
      <c r="AV627" s="112" t="str">
        <f>IF(preDEL!$AG627,IFERROR(0/0,""),preDEL!AV627)</f>
        <v/>
      </c>
      <c r="AW627" s="112" t="str">
        <f>IF(preDEL!$AG627,IFERROR(0/0,""),preDEL!AW627)</f>
        <v/>
      </c>
      <c r="AX627" s="112" t="str">
        <f>IF(preDEL!$AG627,IFERROR(0/0,""),preDEL!AX627)</f>
        <v/>
      </c>
      <c r="AY627" s="112" t="str">
        <f>IF(preDEL!$AG627,IFERROR(0/0,""),preDEL!AY627)</f>
        <v/>
      </c>
      <c r="AZ627" s="174"/>
      <c r="BA627" s="174"/>
      <c r="BB627" s="174"/>
      <c r="BC627" s="174"/>
      <c r="BD627" s="174"/>
      <c r="BE627" s="174"/>
      <c r="BF627" s="174"/>
      <c r="BG627" s="174"/>
      <c r="BH627" s="174"/>
      <c r="BI627" s="174"/>
      <c r="BJ627" s="174"/>
      <c r="BK627" s="174"/>
      <c r="BL627" s="174"/>
      <c r="BM627" s="174"/>
      <c r="BN627" s="174"/>
      <c r="BO627" s="174"/>
      <c r="BP627" s="174"/>
      <c r="BQ627" s="174"/>
      <c r="BR627" s="174"/>
      <c r="BS627" s="174"/>
      <c r="BT627" s="174"/>
      <c r="BU627" s="174"/>
      <c r="BV627" s="174"/>
      <c r="BW627" s="174"/>
      <c r="BX627" s="174"/>
      <c r="BY627" s="174"/>
      <c r="BZ627" s="174"/>
      <c r="CA627" s="174"/>
      <c r="CB627" s="174"/>
      <c r="CC627" s="174"/>
      <c r="CD627" s="174"/>
    </row>
    <row r="628">
      <c r="A628" s="105" t="str">
        <f>IF(preDEL!$AG628,IFERROR(0/0,""),preDEL!A628)</f>
        <v>FM481</v>
      </c>
      <c r="B628" s="170">
        <f>IF(preDEL!$AG628,IFERROR(0/0,""),preDEL!B628)</f>
        <v>44621</v>
      </c>
      <c r="C628" s="171">
        <f>IF(preDEL!$AG628,IFERROR(0/0,""),preDEL!C628)</f>
        <v>0.3086921296</v>
      </c>
      <c r="D628" s="105" t="str">
        <f>IF(preDEL!$AG628,IFERROR(0/0,""),preDEL!D628)</f>
        <v/>
      </c>
      <c r="E628" s="105" t="str">
        <f>IF(preDEL!$AG628,IFERROR(0/0,""),preDEL!E628)</f>
        <v/>
      </c>
      <c r="F628" s="112" t="str">
        <f>IF(preDEL!$AG628,IFERROR(0/0,""),preDEL!F628)</f>
        <v/>
      </c>
      <c r="G628" s="112" t="str">
        <f>IF(preDEL!$AG628,IFERROR(0/0,""),preDEL!G628)</f>
        <v/>
      </c>
      <c r="H628" s="112" t="str">
        <f>IF(preDEL!$AG628,IFERROR(0/0,""),preDEL!H628)</f>
        <v/>
      </c>
      <c r="I628" s="105" t="str">
        <f>IF(preDEL!$AG628,IFERROR(0/0,""),preDEL!I628)</f>
        <v/>
      </c>
      <c r="J628" s="105" t="str">
        <f>IF(preDEL!$AG628,IFERROR(0/0,""),preDEL!J628)</f>
        <v/>
      </c>
      <c r="K628" s="105" t="str">
        <f>IF(preDEL!$AG628,IFERROR(0/0,""),preDEL!K628)</f>
        <v>Negative</v>
      </c>
      <c r="L628" s="170">
        <f>IF(preDEL!$AG628,IFERROR(0/0,""),preDEL!L628)</f>
        <v>44627</v>
      </c>
      <c r="M628" s="171">
        <f>IF(preDEL!$AG628,IFERROR(0/0,""),preDEL!M628)</f>
        <v>0.4779166667</v>
      </c>
      <c r="N628" s="112" t="str">
        <f>IF(preDEL!$AG628,IFERROR(0/0,""),preDEL!N628)</f>
        <v/>
      </c>
      <c r="O628" s="112" t="str">
        <f>IF(preDEL!$AG628,IFERROR(0/0,""),preDEL!O628)</f>
        <v/>
      </c>
      <c r="P628" s="110" t="b">
        <f>IF(preDEL!$AG628,IFERROR(0/0,""),preDEL!P628)</f>
        <v>0</v>
      </c>
      <c r="Q628" s="110" t="str">
        <f>IF(preDEL!$AG628,IFERROR(0/0,""),preDEL!Q628)</f>
        <v>Result</v>
      </c>
      <c r="R628" s="104" t="b">
        <f>IF(preDEL!$AG628,IFERROR(0/0,""),preDEL!R628)</f>
        <v>1</v>
      </c>
      <c r="S628" s="104">
        <f>IF(preDEL!$AG628,IFERROR(0/0,""),preDEL!S628)</f>
        <v>1</v>
      </c>
      <c r="T628" s="110" t="str">
        <f>IF(preDEL!$AG628,IFERROR(0/0,""),preDEL!T628)</f>
        <v/>
      </c>
      <c r="U628" s="112" t="str">
        <f>IF(preDEL!$AG628,IFERROR(0/0,""),preDEL!U628)</f>
        <v/>
      </c>
      <c r="V628" s="105" t="str">
        <f>IF(preDEL!$AG628,IFERROR(0/0,""),preDEL!V628)</f>
        <v/>
      </c>
      <c r="W628" s="112" t="str">
        <f>IF(preDEL!$AG628,IFERROR(0/0,""),preDEL!W628)</f>
        <v/>
      </c>
      <c r="X628" s="104" t="b">
        <f>IF(preDEL!$AG628,IFERROR(0/0,""),preDEL!X628)</f>
        <v>0</v>
      </c>
      <c r="Y628" s="110" t="b">
        <f>IF(preDEL!$AG628,IFERROR(0/0,""),preDEL!Y628)</f>
        <v>0</v>
      </c>
      <c r="Z628" s="105" t="str">
        <f>IF(preDEL!$AG628,IFERROR(0/0,""),preDEL!Z628)</f>
        <v/>
      </c>
      <c r="AA628" s="110" t="b">
        <f>IF(preDEL!$AG628,IFERROR(0/0,""),preDEL!AA628)</f>
        <v>0</v>
      </c>
      <c r="AB628" s="110" t="b">
        <f>IF(preDEL!$AG628,IFERROR(0/0,""),preDEL!AB628)</f>
        <v>0</v>
      </c>
      <c r="AC628" s="172">
        <f>IF(preDEL!$AG628,IFERROR(0/0,""),preDEL!AC628)</f>
        <v>188</v>
      </c>
      <c r="AD628" s="104" t="b">
        <f>IF(preDEL!$AG628,IFERROR(0/0,""),preDEL!AD628)</f>
        <v>0</v>
      </c>
      <c r="AE628" s="173" t="str">
        <f>IF(preDEL!$AG628,IFERROR(0/0,""),preDEL!AE628)</f>
        <v/>
      </c>
      <c r="AF628" s="110" t="b">
        <f>IF(preDEL!$AG628,IFERROR(0/0,""),preDEL!AF628)</f>
        <v>0</v>
      </c>
      <c r="AG628" s="110" t="b">
        <f>IF(preDEL!$AG628,IFERROR(0/0,""),preDEL!AG628)</f>
        <v>0</v>
      </c>
      <c r="AH628" s="104" t="str">
        <f>IF(preDEL!$AG628,IFERROR(0/0,""),preDEL!AH628)</f>
        <v/>
      </c>
      <c r="AI628" s="105" t="str">
        <f>IF(preDEL!$AG628,IFERROR(0/0,""),preDEL!AI628)</f>
        <v/>
      </c>
      <c r="AJ628" s="112" t="str">
        <f>IF(preDEL!$AG628,IFERROR(0/0,""),preDEL!AJ628)</f>
        <v/>
      </c>
      <c r="AK628" s="105" t="str">
        <f>IF(preDEL!$AG628,IFERROR(0/0,""),preDEL!AK628)</f>
        <v>Negative</v>
      </c>
      <c r="AL628" s="112" t="str">
        <f>IF(preDEL!$AG628,IFERROR(0/0,""),preDEL!AL628)</f>
        <v/>
      </c>
      <c r="AM628" s="112" t="str">
        <f>IF(preDEL!$AG628,IFERROR(0/0,""),preDEL!AM628)</f>
        <v>SpBEND713650</v>
      </c>
      <c r="AN628" s="112" t="str">
        <f>IF(preDEL!$AG628,IFERROR(0/0,""),preDEL!AN628)</f>
        <v>BEND638558</v>
      </c>
      <c r="AO628" s="112" t="str">
        <f>IF(preDEL!$AG628,IFERROR(0/0,""),preDEL!AO628)</f>
        <v/>
      </c>
      <c r="AP628" s="112" t="str">
        <f>IF(preDEL!$AG628,IFERROR(0/0,""),preDEL!AP628)</f>
        <v/>
      </c>
      <c r="AQ628" s="112" t="str">
        <f>IF(preDEL!$AG628,IFERROR(0/0,""),preDEL!AQ628)</f>
        <v/>
      </c>
      <c r="AR628" s="112" t="str">
        <f>IF(preDEL!$AG628,IFERROR(0/0,""),preDEL!AR628)</f>
        <v/>
      </c>
      <c r="AS628" s="112" t="str">
        <f>IF(preDEL!$AG628,IFERROR(0/0,""),preDEL!AS628)</f>
        <v/>
      </c>
      <c r="AT628" s="112" t="b">
        <f>IF(preDEL!$AG628,IFERROR(0/0,""),preDEL!AT628)</f>
        <v>0</v>
      </c>
      <c r="AU628" s="112" t="str">
        <f>IF(preDEL!$AG628,IFERROR(0/0,""),preDEL!AU628)</f>
        <v/>
      </c>
      <c r="AV628" s="112" t="str">
        <f>IF(preDEL!$AG628,IFERROR(0/0,""),preDEL!AV628)</f>
        <v/>
      </c>
      <c r="AW628" s="112" t="str">
        <f>IF(preDEL!$AG628,IFERROR(0/0,""),preDEL!AW628)</f>
        <v/>
      </c>
      <c r="AX628" s="112" t="str">
        <f>IF(preDEL!$AG628,IFERROR(0/0,""),preDEL!AX628)</f>
        <v/>
      </c>
      <c r="AY628" s="112" t="str">
        <f>IF(preDEL!$AG628,IFERROR(0/0,""),preDEL!AY628)</f>
        <v/>
      </c>
      <c r="AZ628" s="174"/>
      <c r="BA628" s="174"/>
      <c r="BB628" s="174"/>
      <c r="BC628" s="174"/>
      <c r="BD628" s="174"/>
      <c r="BE628" s="174"/>
      <c r="BF628" s="174"/>
      <c r="BG628" s="174"/>
      <c r="BH628" s="174"/>
      <c r="BI628" s="174"/>
      <c r="BJ628" s="174"/>
      <c r="BK628" s="174"/>
      <c r="BL628" s="174"/>
      <c r="BM628" s="174"/>
      <c r="BN628" s="174"/>
      <c r="BO628" s="174"/>
      <c r="BP628" s="174"/>
      <c r="BQ628" s="174"/>
      <c r="BR628" s="174"/>
      <c r="BS628" s="174"/>
      <c r="BT628" s="174"/>
      <c r="BU628" s="174"/>
      <c r="BV628" s="174"/>
      <c r="BW628" s="174"/>
      <c r="BX628" s="174"/>
      <c r="BY628" s="174"/>
      <c r="BZ628" s="174"/>
      <c r="CA628" s="174"/>
      <c r="CB628" s="174"/>
      <c r="CC628" s="174"/>
      <c r="CD628" s="174"/>
    </row>
    <row r="629">
      <c r="A629" s="105" t="str">
        <f>IF(preDEL!$AG629,IFERROR(0/0,""),preDEL!A629)</f>
        <v>MA1282</v>
      </c>
      <c r="B629" s="170">
        <f>IF(preDEL!$AG629,IFERROR(0/0,""),preDEL!B629)</f>
        <v>44621</v>
      </c>
      <c r="C629" s="171">
        <f>IF(preDEL!$AG629,IFERROR(0/0,""),preDEL!C629)</f>
        <v>0.3096875</v>
      </c>
      <c r="D629" s="105" t="str">
        <f>IF(preDEL!$AG629,IFERROR(0/0,""),preDEL!D629)</f>
        <v/>
      </c>
      <c r="E629" s="105" t="str">
        <f>IF(preDEL!$AG629,IFERROR(0/0,""),preDEL!E629)</f>
        <v/>
      </c>
      <c r="F629" s="112" t="str">
        <f>IF(preDEL!$AG629,IFERROR(0/0,""),preDEL!F629)</f>
        <v/>
      </c>
      <c r="G629" s="112" t="str">
        <f>IF(preDEL!$AG629,IFERROR(0/0,""),preDEL!G629)</f>
        <v/>
      </c>
      <c r="H629" s="112" t="str">
        <f>IF(preDEL!$AG629,IFERROR(0/0,""),preDEL!H629)</f>
        <v/>
      </c>
      <c r="I629" s="105" t="str">
        <f>IF(preDEL!$AG629,IFERROR(0/0,""),preDEL!I629)</f>
        <v/>
      </c>
      <c r="J629" s="105" t="str">
        <f>IF(preDEL!$AG629,IFERROR(0/0,""),preDEL!J629)</f>
        <v/>
      </c>
      <c r="K629" s="105" t="str">
        <f>IF(preDEL!$AG629,IFERROR(0/0,""),preDEL!K629)</f>
        <v>Negative</v>
      </c>
      <c r="L629" s="170">
        <f>IF(preDEL!$AG629,IFERROR(0/0,""),preDEL!L629)</f>
        <v>44627</v>
      </c>
      <c r="M629" s="171">
        <f>IF(preDEL!$AG629,IFERROR(0/0,""),preDEL!M629)</f>
        <v>0.4779166667</v>
      </c>
      <c r="N629" s="112" t="str">
        <f>IF(preDEL!$AG629,IFERROR(0/0,""),preDEL!N629)</f>
        <v/>
      </c>
      <c r="O629" s="112" t="str">
        <f>IF(preDEL!$AG629,IFERROR(0/0,""),preDEL!O629)</f>
        <v/>
      </c>
      <c r="P629" s="110" t="b">
        <f>IF(preDEL!$AG629,IFERROR(0/0,""),preDEL!P629)</f>
        <v>0</v>
      </c>
      <c r="Q629" s="110" t="str">
        <f>IF(preDEL!$AG629,IFERROR(0/0,""),preDEL!Q629)</f>
        <v>Result</v>
      </c>
      <c r="R629" s="104" t="b">
        <f>IF(preDEL!$AG629,IFERROR(0/0,""),preDEL!R629)</f>
        <v>1</v>
      </c>
      <c r="S629" s="104">
        <f>IF(preDEL!$AG629,IFERROR(0/0,""),preDEL!S629)</f>
        <v>1</v>
      </c>
      <c r="T629" s="110" t="str">
        <f>IF(preDEL!$AG629,IFERROR(0/0,""),preDEL!T629)</f>
        <v/>
      </c>
      <c r="U629" s="112" t="str">
        <f>IF(preDEL!$AG629,IFERROR(0/0,""),preDEL!U629)</f>
        <v/>
      </c>
      <c r="V629" s="105" t="str">
        <f>IF(preDEL!$AG629,IFERROR(0/0,""),preDEL!V629)</f>
        <v/>
      </c>
      <c r="W629" s="112" t="str">
        <f>IF(preDEL!$AG629,IFERROR(0/0,""),preDEL!W629)</f>
        <v/>
      </c>
      <c r="X629" s="104" t="b">
        <f>IF(preDEL!$AG629,IFERROR(0/0,""),preDEL!X629)</f>
        <v>0</v>
      </c>
      <c r="Y629" s="110" t="b">
        <f>IF(preDEL!$AG629,IFERROR(0/0,""),preDEL!Y629)</f>
        <v>0</v>
      </c>
      <c r="Z629" s="105" t="str">
        <f>IF(preDEL!$AG629,IFERROR(0/0,""),preDEL!Z629)</f>
        <v/>
      </c>
      <c r="AA629" s="110" t="b">
        <f>IF(preDEL!$AG629,IFERROR(0/0,""),preDEL!AA629)</f>
        <v>0</v>
      </c>
      <c r="AB629" s="110" t="b">
        <f>IF(preDEL!$AG629,IFERROR(0/0,""),preDEL!AB629)</f>
        <v>0</v>
      </c>
      <c r="AC629" s="172">
        <f>IF(preDEL!$AG629,IFERROR(0/0,""),preDEL!AC629)</f>
        <v>187</v>
      </c>
      <c r="AD629" s="104" t="b">
        <f>IF(preDEL!$AG629,IFERROR(0/0,""),preDEL!AD629)</f>
        <v>0</v>
      </c>
      <c r="AE629" s="173" t="str">
        <f>IF(preDEL!$AG629,IFERROR(0/0,""),preDEL!AE629)</f>
        <v/>
      </c>
      <c r="AF629" s="110" t="b">
        <f>IF(preDEL!$AG629,IFERROR(0/0,""),preDEL!AF629)</f>
        <v>0</v>
      </c>
      <c r="AG629" s="110" t="b">
        <f>IF(preDEL!$AG629,IFERROR(0/0,""),preDEL!AG629)</f>
        <v>0</v>
      </c>
      <c r="AH629" s="104" t="str">
        <f>IF(preDEL!$AG629,IFERROR(0/0,""),preDEL!AH629)</f>
        <v/>
      </c>
      <c r="AI629" s="105" t="str">
        <f>IF(preDEL!$AG629,IFERROR(0/0,""),preDEL!AI629)</f>
        <v/>
      </c>
      <c r="AJ629" s="112" t="str">
        <f>IF(preDEL!$AG629,IFERROR(0/0,""),preDEL!AJ629)</f>
        <v/>
      </c>
      <c r="AK629" s="105" t="str">
        <f>IF(preDEL!$AG629,IFERROR(0/0,""),preDEL!AK629)</f>
        <v>Negative</v>
      </c>
      <c r="AL629" s="112" t="str">
        <f>IF(preDEL!$AG629,IFERROR(0/0,""),preDEL!AL629)</f>
        <v/>
      </c>
      <c r="AM629" s="112" t="str">
        <f>IF(preDEL!$AG629,IFERROR(0/0,""),preDEL!AM629)</f>
        <v>SpBEND350015</v>
      </c>
      <c r="AN629" s="112" t="str">
        <f>IF(preDEL!$AG629,IFERROR(0/0,""),preDEL!AN629)</f>
        <v>BEND670149</v>
      </c>
      <c r="AO629" s="112" t="str">
        <f>IF(preDEL!$AG629,IFERROR(0/0,""),preDEL!AO629)</f>
        <v/>
      </c>
      <c r="AP629" s="112" t="str">
        <f>IF(preDEL!$AG629,IFERROR(0/0,""),preDEL!AP629)</f>
        <v/>
      </c>
      <c r="AQ629" s="112" t="str">
        <f>IF(preDEL!$AG629,IFERROR(0/0,""),preDEL!AQ629)</f>
        <v/>
      </c>
      <c r="AR629" s="112" t="str">
        <f>IF(preDEL!$AG629,IFERROR(0/0,""),preDEL!AR629)</f>
        <v/>
      </c>
      <c r="AS629" s="112" t="str">
        <f>IF(preDEL!$AG629,IFERROR(0/0,""),preDEL!AS629)</f>
        <v/>
      </c>
      <c r="AT629" s="112" t="b">
        <f>IF(preDEL!$AG629,IFERROR(0/0,""),preDEL!AT629)</f>
        <v>0</v>
      </c>
      <c r="AU629" s="112" t="str">
        <f>IF(preDEL!$AG629,IFERROR(0/0,""),preDEL!AU629)</f>
        <v/>
      </c>
      <c r="AV629" s="112" t="str">
        <f>IF(preDEL!$AG629,IFERROR(0/0,""),preDEL!AV629)</f>
        <v/>
      </c>
      <c r="AW629" s="112" t="str">
        <f>IF(preDEL!$AG629,IFERROR(0/0,""),preDEL!AW629)</f>
        <v/>
      </c>
      <c r="AX629" s="112" t="str">
        <f>IF(preDEL!$AG629,IFERROR(0/0,""),preDEL!AX629)</f>
        <v/>
      </c>
      <c r="AY629" s="112" t="str">
        <f>IF(preDEL!$AG629,IFERROR(0/0,""),preDEL!AY629)</f>
        <v/>
      </c>
      <c r="AZ629" s="174"/>
      <c r="BA629" s="174"/>
      <c r="BB629" s="174"/>
      <c r="BC629" s="174"/>
      <c r="BD629" s="174"/>
      <c r="BE629" s="174"/>
      <c r="BF629" s="174"/>
      <c r="BG629" s="174"/>
      <c r="BH629" s="174"/>
      <c r="BI629" s="174"/>
      <c r="BJ629" s="174"/>
      <c r="BK629" s="174"/>
      <c r="BL629" s="174"/>
      <c r="BM629" s="174"/>
      <c r="BN629" s="174"/>
      <c r="BO629" s="174"/>
      <c r="BP629" s="174"/>
      <c r="BQ629" s="174"/>
      <c r="BR629" s="174"/>
      <c r="BS629" s="174"/>
      <c r="BT629" s="174"/>
      <c r="BU629" s="174"/>
      <c r="BV629" s="174"/>
      <c r="BW629" s="174"/>
      <c r="BX629" s="174"/>
      <c r="BY629" s="174"/>
      <c r="BZ629" s="174"/>
      <c r="CA629" s="174"/>
      <c r="CB629" s="174"/>
      <c r="CC629" s="174"/>
      <c r="CD629" s="174"/>
    </row>
    <row r="630">
      <c r="A630" s="105" t="str">
        <f>IF(preDEL!$AG630,IFERROR(0/0,""),preDEL!A630)</f>
        <v/>
      </c>
      <c r="B630" s="170" t="str">
        <f>IF(preDEL!$AG630,IFERROR(0/0,""),preDEL!B630)</f>
        <v/>
      </c>
      <c r="C630" s="171" t="str">
        <f>IF(preDEL!$AG630,IFERROR(0/0,""),preDEL!C630)</f>
        <v/>
      </c>
      <c r="D630" s="105" t="str">
        <f>IF(preDEL!$AG630,IFERROR(0/0,""),preDEL!D630)</f>
        <v/>
      </c>
      <c r="E630" s="105" t="str">
        <f>IF(preDEL!$AG630,IFERROR(0/0,""),preDEL!E630)</f>
        <v/>
      </c>
      <c r="F630" s="112" t="str">
        <f>IF(preDEL!$AG630,IFERROR(0/0,""),preDEL!F630)</f>
        <v/>
      </c>
      <c r="G630" s="112" t="str">
        <f>IF(preDEL!$AG630,IFERROR(0/0,""),preDEL!G630)</f>
        <v/>
      </c>
      <c r="H630" s="112" t="str">
        <f>IF(preDEL!$AG630,IFERROR(0/0,""),preDEL!H630)</f>
        <v/>
      </c>
      <c r="I630" s="105" t="str">
        <f>IF(preDEL!$AG630,IFERROR(0/0,""),preDEL!I630)</f>
        <v/>
      </c>
      <c r="J630" s="105" t="str">
        <f>IF(preDEL!$AG630,IFERROR(0/0,""),preDEL!J630)</f>
        <v/>
      </c>
      <c r="K630" s="105" t="str">
        <f>IF(preDEL!$AG630,IFERROR(0/0,""),preDEL!K630)</f>
        <v/>
      </c>
      <c r="L630" s="170" t="str">
        <f>IF(preDEL!$AG630,IFERROR(0/0,""),preDEL!L630)</f>
        <v/>
      </c>
      <c r="M630" s="171" t="str">
        <f>IF(preDEL!$AG630,IFERROR(0/0,""),preDEL!M630)</f>
        <v/>
      </c>
      <c r="N630" s="112" t="str">
        <f>IF(preDEL!$AG630,IFERROR(0/0,""),preDEL!N630)</f>
        <v/>
      </c>
      <c r="O630" s="112" t="str">
        <f>IF(preDEL!$AG630,IFERROR(0/0,""),preDEL!O630)</f>
        <v/>
      </c>
      <c r="P630" s="110" t="str">
        <f>IF(preDEL!$AG630,IFERROR(0/0,""),preDEL!P630)</f>
        <v/>
      </c>
      <c r="Q630" s="110" t="str">
        <f>IF(preDEL!$AG630,IFERROR(0/0,""),preDEL!Q630)</f>
        <v/>
      </c>
      <c r="R630" s="104" t="str">
        <f>IF(preDEL!$AG630,IFERROR(0/0,""),preDEL!R630)</f>
        <v/>
      </c>
      <c r="S630" s="104" t="str">
        <f>IF(preDEL!$AG630,IFERROR(0/0,""),preDEL!S630)</f>
        <v/>
      </c>
      <c r="T630" s="110" t="str">
        <f>IF(preDEL!$AG630,IFERROR(0/0,""),preDEL!T630)</f>
        <v/>
      </c>
      <c r="U630" s="112" t="str">
        <f>IF(preDEL!$AG630,IFERROR(0/0,""),preDEL!U630)</f>
        <v/>
      </c>
      <c r="V630" s="105" t="str">
        <f>IF(preDEL!$AG630,IFERROR(0/0,""),preDEL!V630)</f>
        <v/>
      </c>
      <c r="W630" s="112" t="str">
        <f>IF(preDEL!$AG630,IFERROR(0/0,""),preDEL!W630)</f>
        <v/>
      </c>
      <c r="X630" s="104" t="str">
        <f>IF(preDEL!$AG630,IFERROR(0/0,""),preDEL!X630)</f>
        <v/>
      </c>
      <c r="Y630" s="110" t="str">
        <f>IF(preDEL!$AG630,IFERROR(0/0,""),preDEL!Y630)</f>
        <v/>
      </c>
      <c r="Z630" s="105" t="str">
        <f>IF(preDEL!$AG630,IFERROR(0/0,""),preDEL!Z630)</f>
        <v/>
      </c>
      <c r="AA630" s="110" t="str">
        <f>IF(preDEL!$AG630,IFERROR(0/0,""),preDEL!AA630)</f>
        <v/>
      </c>
      <c r="AB630" s="110" t="str">
        <f>IF(preDEL!$AG630,IFERROR(0/0,""),preDEL!AB630)</f>
        <v/>
      </c>
      <c r="AC630" s="172" t="str">
        <f>IF(preDEL!$AG630,IFERROR(0/0,""),preDEL!AC630)</f>
        <v/>
      </c>
      <c r="AD630" s="104" t="str">
        <f>IF(preDEL!$AG630,IFERROR(0/0,""),preDEL!AD630)</f>
        <v/>
      </c>
      <c r="AE630" s="173" t="str">
        <f>IF(preDEL!$AG630,IFERROR(0/0,""),preDEL!AE630)</f>
        <v/>
      </c>
      <c r="AF630" s="110" t="str">
        <f>IF(preDEL!$AG630,IFERROR(0/0,""),preDEL!AF630)</f>
        <v/>
      </c>
      <c r="AG630" s="110" t="str">
        <f>IF(preDEL!$AG630,IFERROR(0/0,""),preDEL!AG630)</f>
        <v/>
      </c>
      <c r="AH630" s="104" t="str">
        <f>IF(preDEL!$AG630,IFERROR(0/0,""),preDEL!AH630)</f>
        <v/>
      </c>
      <c r="AI630" s="105" t="str">
        <f>IF(preDEL!$AG630,IFERROR(0/0,""),preDEL!AI630)</f>
        <v/>
      </c>
      <c r="AJ630" s="112" t="str">
        <f>IF(preDEL!$AG630,IFERROR(0/0,""),preDEL!AJ630)</f>
        <v/>
      </c>
      <c r="AK630" s="105" t="str">
        <f>IF(preDEL!$AG630,IFERROR(0/0,""),preDEL!AK630)</f>
        <v/>
      </c>
      <c r="AL630" s="112" t="str">
        <f>IF(preDEL!$AG630,IFERROR(0/0,""),preDEL!AL630)</f>
        <v/>
      </c>
      <c r="AM630" s="112" t="str">
        <f>IF(preDEL!$AG630,IFERROR(0/0,""),preDEL!AM630)</f>
        <v/>
      </c>
      <c r="AN630" s="112" t="str">
        <f>IF(preDEL!$AG630,IFERROR(0/0,""),preDEL!AN630)</f>
        <v/>
      </c>
      <c r="AO630" s="112" t="str">
        <f>IF(preDEL!$AG630,IFERROR(0/0,""),preDEL!AO630)</f>
        <v/>
      </c>
      <c r="AP630" s="112" t="str">
        <f>IF(preDEL!$AG630,IFERROR(0/0,""),preDEL!AP630)</f>
        <v/>
      </c>
      <c r="AQ630" s="112" t="str">
        <f>IF(preDEL!$AG630,IFERROR(0/0,""),preDEL!AQ630)</f>
        <v/>
      </c>
      <c r="AR630" s="112" t="str">
        <f>IF(preDEL!$AG630,IFERROR(0/0,""),preDEL!AR630)</f>
        <v/>
      </c>
      <c r="AS630" s="112" t="str">
        <f>IF(preDEL!$AG630,IFERROR(0/0,""),preDEL!AS630)</f>
        <v/>
      </c>
      <c r="AT630" s="112" t="str">
        <f>IF(preDEL!$AG630,IFERROR(0/0,""),preDEL!AT630)</f>
        <v/>
      </c>
      <c r="AU630" s="112" t="str">
        <f>IF(preDEL!$AG630,IFERROR(0/0,""),preDEL!AU630)</f>
        <v/>
      </c>
      <c r="AV630" s="112" t="str">
        <f>IF(preDEL!$AG630,IFERROR(0/0,""),preDEL!AV630)</f>
        <v/>
      </c>
      <c r="AW630" s="112" t="str">
        <f>IF(preDEL!$AG630,IFERROR(0/0,""),preDEL!AW630)</f>
        <v/>
      </c>
      <c r="AX630" s="112" t="str">
        <f>IF(preDEL!$AG630,IFERROR(0/0,""),preDEL!AX630)</f>
        <v/>
      </c>
      <c r="AY630" s="112" t="str">
        <f>IF(preDEL!$AG630,IFERROR(0/0,""),preDEL!AY630)</f>
        <v/>
      </c>
      <c r="AZ630" s="174"/>
      <c r="BA630" s="174"/>
      <c r="BB630" s="174"/>
      <c r="BC630" s="174"/>
      <c r="BD630" s="174"/>
      <c r="BE630" s="174"/>
      <c r="BF630" s="174"/>
      <c r="BG630" s="174"/>
      <c r="BH630" s="174"/>
      <c r="BI630" s="174"/>
      <c r="BJ630" s="174"/>
      <c r="BK630" s="174"/>
      <c r="BL630" s="174"/>
      <c r="BM630" s="174"/>
      <c r="BN630" s="174"/>
      <c r="BO630" s="174"/>
      <c r="BP630" s="174"/>
      <c r="BQ630" s="174"/>
      <c r="BR630" s="174"/>
      <c r="BS630" s="174"/>
      <c r="BT630" s="174"/>
      <c r="BU630" s="174"/>
      <c r="BV630" s="174"/>
      <c r="BW630" s="174"/>
      <c r="BX630" s="174"/>
      <c r="BY630" s="174"/>
      <c r="BZ630" s="174"/>
      <c r="CA630" s="174"/>
      <c r="CB630" s="174"/>
      <c r="CC630" s="174"/>
      <c r="CD630" s="174"/>
    </row>
    <row r="631">
      <c r="A631" s="105" t="str">
        <f>IF(preDEL!$AG631,IFERROR(0/0,""),preDEL!A631)</f>
        <v>FM78</v>
      </c>
      <c r="B631" s="170">
        <f>IF(preDEL!$AG631,IFERROR(0/0,""),preDEL!B631)</f>
        <v>44621</v>
      </c>
      <c r="C631" s="171">
        <f>IF(preDEL!$AG631,IFERROR(0/0,""),preDEL!C631)</f>
        <v>0.3111921296</v>
      </c>
      <c r="D631" s="105" t="str">
        <f>IF(preDEL!$AG631,IFERROR(0/0,""),preDEL!D631)</f>
        <v/>
      </c>
      <c r="E631" s="105" t="str">
        <f>IF(preDEL!$AG631,IFERROR(0/0,""),preDEL!E631)</f>
        <v/>
      </c>
      <c r="F631" s="112" t="str">
        <f>IF(preDEL!$AG631,IFERROR(0/0,""),preDEL!F631)</f>
        <v/>
      </c>
      <c r="G631" s="112" t="str">
        <f>IF(preDEL!$AG631,IFERROR(0/0,""),preDEL!G631)</f>
        <v/>
      </c>
      <c r="H631" s="112" t="str">
        <f>IF(preDEL!$AG631,IFERROR(0/0,""),preDEL!H631)</f>
        <v/>
      </c>
      <c r="I631" s="105" t="str">
        <f>IF(preDEL!$AG631,IFERROR(0/0,""),preDEL!I631)</f>
        <v/>
      </c>
      <c r="J631" s="105" t="str">
        <f>IF(preDEL!$AG631,IFERROR(0/0,""),preDEL!J631)</f>
        <v/>
      </c>
      <c r="K631" s="105" t="str">
        <f>IF(preDEL!$AG631,IFERROR(0/0,""),preDEL!K631)</f>
        <v>Negative</v>
      </c>
      <c r="L631" s="170">
        <f>IF(preDEL!$AG631,IFERROR(0/0,""),preDEL!L631)</f>
        <v>44627</v>
      </c>
      <c r="M631" s="171">
        <f>IF(preDEL!$AG631,IFERROR(0/0,""),preDEL!M631)</f>
        <v>0.4779166667</v>
      </c>
      <c r="N631" s="112" t="str">
        <f>IF(preDEL!$AG631,IFERROR(0/0,""),preDEL!N631)</f>
        <v/>
      </c>
      <c r="O631" s="112" t="str">
        <f>IF(preDEL!$AG631,IFERROR(0/0,""),preDEL!O631)</f>
        <v/>
      </c>
      <c r="P631" s="110" t="b">
        <f>IF(preDEL!$AG631,IFERROR(0/0,""),preDEL!P631)</f>
        <v>0</v>
      </c>
      <c r="Q631" s="110" t="str">
        <f>IF(preDEL!$AG631,IFERROR(0/0,""),preDEL!Q631)</f>
        <v>Result</v>
      </c>
      <c r="R631" s="104" t="b">
        <f>IF(preDEL!$AG631,IFERROR(0/0,""),preDEL!R631)</f>
        <v>1</v>
      </c>
      <c r="S631" s="104">
        <f>IF(preDEL!$AG631,IFERROR(0/0,""),preDEL!S631)</f>
        <v>1</v>
      </c>
      <c r="T631" s="110" t="str">
        <f>IF(preDEL!$AG631,IFERROR(0/0,""),preDEL!T631)</f>
        <v/>
      </c>
      <c r="U631" s="112" t="str">
        <f>IF(preDEL!$AG631,IFERROR(0/0,""),preDEL!U631)</f>
        <v/>
      </c>
      <c r="V631" s="105" t="str">
        <f>IF(preDEL!$AG631,IFERROR(0/0,""),preDEL!V631)</f>
        <v/>
      </c>
      <c r="W631" s="112" t="str">
        <f>IF(preDEL!$AG631,IFERROR(0/0,""),preDEL!W631)</f>
        <v/>
      </c>
      <c r="X631" s="104" t="b">
        <f>IF(preDEL!$AG631,IFERROR(0/0,""),preDEL!X631)</f>
        <v>0</v>
      </c>
      <c r="Y631" s="110" t="b">
        <f>IF(preDEL!$AG631,IFERROR(0/0,""),preDEL!Y631)</f>
        <v>0</v>
      </c>
      <c r="Z631" s="105" t="str">
        <f>IF(preDEL!$AG631,IFERROR(0/0,""),preDEL!Z631)</f>
        <v/>
      </c>
      <c r="AA631" s="110" t="b">
        <f>IF(preDEL!$AG631,IFERROR(0/0,""),preDEL!AA631)</f>
        <v>0</v>
      </c>
      <c r="AB631" s="110" t="b">
        <f>IF(preDEL!$AG631,IFERROR(0/0,""),preDEL!AB631)</f>
        <v>0</v>
      </c>
      <c r="AC631" s="172">
        <f>IF(preDEL!$AG631,IFERROR(0/0,""),preDEL!AC631)</f>
        <v>185</v>
      </c>
      <c r="AD631" s="104" t="b">
        <f>IF(preDEL!$AG631,IFERROR(0/0,""),preDEL!AD631)</f>
        <v>0</v>
      </c>
      <c r="AE631" s="173" t="str">
        <f>IF(preDEL!$AG631,IFERROR(0/0,""),preDEL!AE631)</f>
        <v/>
      </c>
      <c r="AF631" s="110" t="b">
        <f>IF(preDEL!$AG631,IFERROR(0/0,""),preDEL!AF631)</f>
        <v>0</v>
      </c>
      <c r="AG631" s="110" t="b">
        <f>IF(preDEL!$AG631,IFERROR(0/0,""),preDEL!AG631)</f>
        <v>0</v>
      </c>
      <c r="AH631" s="104" t="str">
        <f>IF(preDEL!$AG631,IFERROR(0/0,""),preDEL!AH631)</f>
        <v/>
      </c>
      <c r="AI631" s="105" t="str">
        <f>IF(preDEL!$AG631,IFERROR(0/0,""),preDEL!AI631)</f>
        <v/>
      </c>
      <c r="AJ631" s="112" t="str">
        <f>IF(preDEL!$AG631,IFERROR(0/0,""),preDEL!AJ631)</f>
        <v/>
      </c>
      <c r="AK631" s="105" t="str">
        <f>IF(preDEL!$AG631,IFERROR(0/0,""),preDEL!AK631)</f>
        <v>Negative</v>
      </c>
      <c r="AL631" s="112" t="str">
        <f>IF(preDEL!$AG631,IFERROR(0/0,""),preDEL!AL631)</f>
        <v/>
      </c>
      <c r="AM631" s="112" t="str">
        <f>IF(preDEL!$AG631,IFERROR(0/0,""),preDEL!AM631)</f>
        <v>SpBEND967817</v>
      </c>
      <c r="AN631" s="112" t="str">
        <f>IF(preDEL!$AG631,IFERROR(0/0,""),preDEL!AN631)</f>
        <v>BEND525341</v>
      </c>
      <c r="AO631" s="112" t="str">
        <f>IF(preDEL!$AG631,IFERROR(0/0,""),preDEL!AO631)</f>
        <v/>
      </c>
      <c r="AP631" s="112" t="str">
        <f>IF(preDEL!$AG631,IFERROR(0/0,""),preDEL!AP631)</f>
        <v/>
      </c>
      <c r="AQ631" s="112" t="str">
        <f>IF(preDEL!$AG631,IFERROR(0/0,""),preDEL!AQ631)</f>
        <v/>
      </c>
      <c r="AR631" s="112" t="str">
        <f>IF(preDEL!$AG631,IFERROR(0/0,""),preDEL!AR631)</f>
        <v/>
      </c>
      <c r="AS631" s="112" t="str">
        <f>IF(preDEL!$AG631,IFERROR(0/0,""),preDEL!AS631)</f>
        <v/>
      </c>
      <c r="AT631" s="112" t="b">
        <f>IF(preDEL!$AG631,IFERROR(0/0,""),preDEL!AT631)</f>
        <v>0</v>
      </c>
      <c r="AU631" s="112" t="str">
        <f>IF(preDEL!$AG631,IFERROR(0/0,""),preDEL!AU631)</f>
        <v/>
      </c>
      <c r="AV631" s="112" t="str">
        <f>IF(preDEL!$AG631,IFERROR(0/0,""),preDEL!AV631)</f>
        <v/>
      </c>
      <c r="AW631" s="112" t="str">
        <f>IF(preDEL!$AG631,IFERROR(0/0,""),preDEL!AW631)</f>
        <v/>
      </c>
      <c r="AX631" s="112" t="str">
        <f>IF(preDEL!$AG631,IFERROR(0/0,""),preDEL!AX631)</f>
        <v/>
      </c>
      <c r="AY631" s="112" t="str">
        <f>IF(preDEL!$AG631,IFERROR(0/0,""),preDEL!AY631)</f>
        <v/>
      </c>
      <c r="AZ631" s="174"/>
      <c r="BA631" s="174"/>
      <c r="BB631" s="174"/>
      <c r="BC631" s="174"/>
      <c r="BD631" s="174"/>
      <c r="BE631" s="174"/>
      <c r="BF631" s="174"/>
      <c r="BG631" s="174"/>
      <c r="BH631" s="174"/>
      <c r="BI631" s="174"/>
      <c r="BJ631" s="174"/>
      <c r="BK631" s="174"/>
      <c r="BL631" s="174"/>
      <c r="BM631" s="174"/>
      <c r="BN631" s="174"/>
      <c r="BO631" s="174"/>
      <c r="BP631" s="174"/>
      <c r="BQ631" s="174"/>
      <c r="BR631" s="174"/>
      <c r="BS631" s="174"/>
      <c r="BT631" s="174"/>
      <c r="BU631" s="174"/>
      <c r="BV631" s="174"/>
      <c r="BW631" s="174"/>
      <c r="BX631" s="174"/>
      <c r="BY631" s="174"/>
      <c r="BZ631" s="174"/>
      <c r="CA631" s="174"/>
      <c r="CB631" s="174"/>
      <c r="CC631" s="174"/>
      <c r="CD631" s="174"/>
    </row>
    <row r="632">
      <c r="A632" s="105" t="str">
        <f>IF(preDEL!$AG632,IFERROR(0/0,""),preDEL!A632)</f>
        <v>FM2054</v>
      </c>
      <c r="B632" s="170">
        <f>IF(preDEL!$AG632,IFERROR(0/0,""),preDEL!B632)</f>
        <v>44621</v>
      </c>
      <c r="C632" s="171">
        <f>IF(preDEL!$AG632,IFERROR(0/0,""),preDEL!C632)</f>
        <v>0.3119675926</v>
      </c>
      <c r="D632" s="105" t="str">
        <f>IF(preDEL!$AG632,IFERROR(0/0,""),preDEL!D632)</f>
        <v/>
      </c>
      <c r="E632" s="105" t="str">
        <f>IF(preDEL!$AG632,IFERROR(0/0,""),preDEL!E632)</f>
        <v/>
      </c>
      <c r="F632" s="112" t="str">
        <f>IF(preDEL!$AG632,IFERROR(0/0,""),preDEL!F632)</f>
        <v/>
      </c>
      <c r="G632" s="112" t="str">
        <f>IF(preDEL!$AG632,IFERROR(0/0,""),preDEL!G632)</f>
        <v/>
      </c>
      <c r="H632" s="112" t="str">
        <f>IF(preDEL!$AG632,IFERROR(0/0,""),preDEL!H632)</f>
        <v/>
      </c>
      <c r="I632" s="105" t="str">
        <f>IF(preDEL!$AG632,IFERROR(0/0,""),preDEL!I632)</f>
        <v/>
      </c>
      <c r="J632" s="105" t="str">
        <f>IF(preDEL!$AG632,IFERROR(0/0,""),preDEL!J632)</f>
        <v/>
      </c>
      <c r="K632" s="105" t="str">
        <f>IF(preDEL!$AG632,IFERROR(0/0,""),preDEL!K632)</f>
        <v>Negative</v>
      </c>
      <c r="L632" s="170">
        <f>IF(preDEL!$AG632,IFERROR(0/0,""),preDEL!L632)</f>
        <v>44627</v>
      </c>
      <c r="M632" s="171">
        <f>IF(preDEL!$AG632,IFERROR(0/0,""),preDEL!M632)</f>
        <v>0.4779166667</v>
      </c>
      <c r="N632" s="112" t="str">
        <f>IF(preDEL!$AG632,IFERROR(0/0,""),preDEL!N632)</f>
        <v/>
      </c>
      <c r="O632" s="112" t="str">
        <f>IF(preDEL!$AG632,IFERROR(0/0,""),preDEL!O632)</f>
        <v/>
      </c>
      <c r="P632" s="110" t="b">
        <f>IF(preDEL!$AG632,IFERROR(0/0,""),preDEL!P632)</f>
        <v>0</v>
      </c>
      <c r="Q632" s="110" t="str">
        <f>IF(preDEL!$AG632,IFERROR(0/0,""),preDEL!Q632)</f>
        <v>Result</v>
      </c>
      <c r="R632" s="104" t="b">
        <f>IF(preDEL!$AG632,IFERROR(0/0,""),preDEL!R632)</f>
        <v>1</v>
      </c>
      <c r="S632" s="104">
        <f>IF(preDEL!$AG632,IFERROR(0/0,""),preDEL!S632)</f>
        <v>1</v>
      </c>
      <c r="T632" s="110" t="str">
        <f>IF(preDEL!$AG632,IFERROR(0/0,""),preDEL!T632)</f>
        <v/>
      </c>
      <c r="U632" s="112" t="str">
        <f>IF(preDEL!$AG632,IFERROR(0/0,""),preDEL!U632)</f>
        <v/>
      </c>
      <c r="V632" s="105" t="str">
        <f>IF(preDEL!$AG632,IFERROR(0/0,""),preDEL!V632)</f>
        <v/>
      </c>
      <c r="W632" s="112" t="str">
        <f>IF(preDEL!$AG632,IFERROR(0/0,""),preDEL!W632)</f>
        <v/>
      </c>
      <c r="X632" s="104" t="b">
        <f>IF(preDEL!$AG632,IFERROR(0/0,""),preDEL!X632)</f>
        <v>0</v>
      </c>
      <c r="Y632" s="110" t="b">
        <f>IF(preDEL!$AG632,IFERROR(0/0,""),preDEL!Y632)</f>
        <v>0</v>
      </c>
      <c r="Z632" s="105" t="str">
        <f>IF(preDEL!$AG632,IFERROR(0/0,""),preDEL!Z632)</f>
        <v/>
      </c>
      <c r="AA632" s="110" t="b">
        <f>IF(preDEL!$AG632,IFERROR(0/0,""),preDEL!AA632)</f>
        <v>0</v>
      </c>
      <c r="AB632" s="110" t="b">
        <f>IF(preDEL!$AG632,IFERROR(0/0,""),preDEL!AB632)</f>
        <v>0</v>
      </c>
      <c r="AC632" s="172">
        <f>IF(preDEL!$AG632,IFERROR(0/0,""),preDEL!AC632)</f>
        <v>184</v>
      </c>
      <c r="AD632" s="104" t="b">
        <f>IF(preDEL!$AG632,IFERROR(0/0,""),preDEL!AD632)</f>
        <v>0</v>
      </c>
      <c r="AE632" s="173" t="str">
        <f>IF(preDEL!$AG632,IFERROR(0/0,""),preDEL!AE632)</f>
        <v/>
      </c>
      <c r="AF632" s="110" t="b">
        <f>IF(preDEL!$AG632,IFERROR(0/0,""),preDEL!AF632)</f>
        <v>0</v>
      </c>
      <c r="AG632" s="110" t="b">
        <f>IF(preDEL!$AG632,IFERROR(0/0,""),preDEL!AG632)</f>
        <v>0</v>
      </c>
      <c r="AH632" s="104" t="str">
        <f>IF(preDEL!$AG632,IFERROR(0/0,""),preDEL!AH632)</f>
        <v/>
      </c>
      <c r="AI632" s="105" t="str">
        <f>IF(preDEL!$AG632,IFERROR(0/0,""),preDEL!AI632)</f>
        <v/>
      </c>
      <c r="AJ632" s="112" t="str">
        <f>IF(preDEL!$AG632,IFERROR(0/0,""),preDEL!AJ632)</f>
        <v/>
      </c>
      <c r="AK632" s="105" t="str">
        <f>IF(preDEL!$AG632,IFERROR(0/0,""),preDEL!AK632)</f>
        <v>Negative</v>
      </c>
      <c r="AL632" s="112" t="str">
        <f>IF(preDEL!$AG632,IFERROR(0/0,""),preDEL!AL632)</f>
        <v/>
      </c>
      <c r="AM632" s="112" t="str">
        <f>IF(preDEL!$AG632,IFERROR(0/0,""),preDEL!AM632)</f>
        <v>SpBEND584950</v>
      </c>
      <c r="AN632" s="112" t="str">
        <f>IF(preDEL!$AG632,IFERROR(0/0,""),preDEL!AN632)</f>
        <v>BEND749260</v>
      </c>
      <c r="AO632" s="112" t="str">
        <f>IF(preDEL!$AG632,IFERROR(0/0,""),preDEL!AO632)</f>
        <v/>
      </c>
      <c r="AP632" s="112" t="str">
        <f>IF(preDEL!$AG632,IFERROR(0/0,""),preDEL!AP632)</f>
        <v/>
      </c>
      <c r="AQ632" s="112" t="str">
        <f>IF(preDEL!$AG632,IFERROR(0/0,""),preDEL!AQ632)</f>
        <v/>
      </c>
      <c r="AR632" s="112" t="str">
        <f>IF(preDEL!$AG632,IFERROR(0/0,""),preDEL!AR632)</f>
        <v/>
      </c>
      <c r="AS632" s="112" t="str">
        <f>IF(preDEL!$AG632,IFERROR(0/0,""),preDEL!AS632)</f>
        <v/>
      </c>
      <c r="AT632" s="112" t="b">
        <f>IF(preDEL!$AG632,IFERROR(0/0,""),preDEL!AT632)</f>
        <v>0</v>
      </c>
      <c r="AU632" s="112" t="str">
        <f>IF(preDEL!$AG632,IFERROR(0/0,""),preDEL!AU632)</f>
        <v/>
      </c>
      <c r="AV632" s="112" t="str">
        <f>IF(preDEL!$AG632,IFERROR(0/0,""),preDEL!AV632)</f>
        <v/>
      </c>
      <c r="AW632" s="112" t="str">
        <f>IF(preDEL!$AG632,IFERROR(0/0,""),preDEL!AW632)</f>
        <v/>
      </c>
      <c r="AX632" s="112" t="str">
        <f>IF(preDEL!$AG632,IFERROR(0/0,""),preDEL!AX632)</f>
        <v/>
      </c>
      <c r="AY632" s="112" t="str">
        <f>IF(preDEL!$AG632,IFERROR(0/0,""),preDEL!AY632)</f>
        <v/>
      </c>
      <c r="AZ632" s="174"/>
      <c r="BA632" s="174"/>
      <c r="BB632" s="174"/>
      <c r="BC632" s="174"/>
      <c r="BD632" s="174"/>
      <c r="BE632" s="174"/>
      <c r="BF632" s="174"/>
      <c r="BG632" s="174"/>
      <c r="BH632" s="174"/>
      <c r="BI632" s="174"/>
      <c r="BJ632" s="174"/>
      <c r="BK632" s="174"/>
      <c r="BL632" s="174"/>
      <c r="BM632" s="174"/>
      <c r="BN632" s="174"/>
      <c r="BO632" s="174"/>
      <c r="BP632" s="174"/>
      <c r="BQ632" s="174"/>
      <c r="BR632" s="174"/>
      <c r="BS632" s="174"/>
      <c r="BT632" s="174"/>
      <c r="BU632" s="174"/>
      <c r="BV632" s="174"/>
      <c r="BW632" s="174"/>
      <c r="BX632" s="174"/>
      <c r="BY632" s="174"/>
      <c r="BZ632" s="174"/>
      <c r="CA632" s="174"/>
      <c r="CB632" s="174"/>
      <c r="CC632" s="174"/>
      <c r="CD632" s="174"/>
    </row>
    <row r="633">
      <c r="A633" s="105" t="str">
        <f>IF(preDEL!$AG633,IFERROR(0/0,""),preDEL!A633)</f>
        <v>MA322</v>
      </c>
      <c r="B633" s="170">
        <f>IF(preDEL!$AG633,IFERROR(0/0,""),preDEL!B633)</f>
        <v>44621</v>
      </c>
      <c r="C633" s="171">
        <f>IF(preDEL!$AG633,IFERROR(0/0,""),preDEL!C633)</f>
        <v>0.3153587963</v>
      </c>
      <c r="D633" s="105" t="str">
        <f>IF(preDEL!$AG633,IFERROR(0/0,""),preDEL!D633)</f>
        <v/>
      </c>
      <c r="E633" s="105" t="str">
        <f>IF(preDEL!$AG633,IFERROR(0/0,""),preDEL!E633)</f>
        <v/>
      </c>
      <c r="F633" s="112" t="str">
        <f>IF(preDEL!$AG633,IFERROR(0/0,""),preDEL!F633)</f>
        <v/>
      </c>
      <c r="G633" s="112" t="str">
        <f>IF(preDEL!$AG633,IFERROR(0/0,""),preDEL!G633)</f>
        <v/>
      </c>
      <c r="H633" s="112" t="str">
        <f>IF(preDEL!$AG633,IFERROR(0/0,""),preDEL!H633)</f>
        <v/>
      </c>
      <c r="I633" s="105" t="str">
        <f>IF(preDEL!$AG633,IFERROR(0/0,""),preDEL!I633)</f>
        <v/>
      </c>
      <c r="J633" s="105" t="str">
        <f>IF(preDEL!$AG633,IFERROR(0/0,""),preDEL!J633)</f>
        <v/>
      </c>
      <c r="K633" s="105" t="str">
        <f>IF(preDEL!$AG633,IFERROR(0/0,""),preDEL!K633)</f>
        <v>Negative</v>
      </c>
      <c r="L633" s="170">
        <f>IF(preDEL!$AG633,IFERROR(0/0,""),preDEL!L633)</f>
        <v>44623</v>
      </c>
      <c r="M633" s="171">
        <f>IF(preDEL!$AG633,IFERROR(0/0,""),preDEL!M633)</f>
        <v>0.4605787037</v>
      </c>
      <c r="N633" s="112" t="str">
        <f>IF(preDEL!$AG633,IFERROR(0/0,""),preDEL!N633)</f>
        <v/>
      </c>
      <c r="O633" s="112" t="str">
        <f>IF(preDEL!$AG633,IFERROR(0/0,""),preDEL!O633)</f>
        <v/>
      </c>
      <c r="P633" s="110" t="b">
        <f>IF(preDEL!$AG633,IFERROR(0/0,""),preDEL!P633)</f>
        <v>0</v>
      </c>
      <c r="Q633" s="110" t="str">
        <f>IF(preDEL!$AG633,IFERROR(0/0,""),preDEL!Q633)</f>
        <v>Result</v>
      </c>
      <c r="R633" s="104" t="b">
        <f>IF(preDEL!$AG633,IFERROR(0/0,""),preDEL!R633)</f>
        <v>1</v>
      </c>
      <c r="S633" s="104">
        <f>IF(preDEL!$AG633,IFERROR(0/0,""),preDEL!S633)</f>
        <v>1</v>
      </c>
      <c r="T633" s="110" t="str">
        <f>IF(preDEL!$AG633,IFERROR(0/0,""),preDEL!T633)</f>
        <v/>
      </c>
      <c r="U633" s="112" t="str">
        <f>IF(preDEL!$AG633,IFERROR(0/0,""),preDEL!U633)</f>
        <v/>
      </c>
      <c r="V633" s="105" t="str">
        <f>IF(preDEL!$AG633,IFERROR(0/0,""),preDEL!V633)</f>
        <v/>
      </c>
      <c r="W633" s="112" t="str">
        <f>IF(preDEL!$AG633,IFERROR(0/0,""),preDEL!W633)</f>
        <v/>
      </c>
      <c r="X633" s="104" t="b">
        <f>IF(preDEL!$AG633,IFERROR(0/0,""),preDEL!X633)</f>
        <v>0</v>
      </c>
      <c r="Y633" s="110" t="b">
        <f>IF(preDEL!$AG633,IFERROR(0/0,""),preDEL!Y633)</f>
        <v>0</v>
      </c>
      <c r="Z633" s="105" t="str">
        <f>IF(preDEL!$AG633,IFERROR(0/0,""),preDEL!Z633)</f>
        <v/>
      </c>
      <c r="AA633" s="110" t="b">
        <f>IF(preDEL!$AG633,IFERROR(0/0,""),preDEL!AA633)</f>
        <v>0</v>
      </c>
      <c r="AB633" s="110" t="b">
        <f>IF(preDEL!$AG633,IFERROR(0/0,""),preDEL!AB633)</f>
        <v>0</v>
      </c>
      <c r="AC633" s="172">
        <f>IF(preDEL!$AG633,IFERROR(0/0,""),preDEL!AC633)</f>
        <v>183</v>
      </c>
      <c r="AD633" s="104" t="b">
        <f>IF(preDEL!$AG633,IFERROR(0/0,""),preDEL!AD633)</f>
        <v>0</v>
      </c>
      <c r="AE633" s="173" t="str">
        <f>IF(preDEL!$AG633,IFERROR(0/0,""),preDEL!AE633)</f>
        <v/>
      </c>
      <c r="AF633" s="110" t="b">
        <f>IF(preDEL!$AG633,IFERROR(0/0,""),preDEL!AF633)</f>
        <v>0</v>
      </c>
      <c r="AG633" s="110" t="b">
        <f>IF(preDEL!$AG633,IFERROR(0/0,""),preDEL!AG633)</f>
        <v>0</v>
      </c>
      <c r="AH633" s="104" t="str">
        <f>IF(preDEL!$AG633,IFERROR(0/0,""),preDEL!AH633)</f>
        <v/>
      </c>
      <c r="AI633" s="105" t="str">
        <f>IF(preDEL!$AG633,IFERROR(0/0,""),preDEL!AI633)</f>
        <v/>
      </c>
      <c r="AJ633" s="112" t="str">
        <f>IF(preDEL!$AG633,IFERROR(0/0,""),preDEL!AJ633)</f>
        <v/>
      </c>
      <c r="AK633" s="105" t="str">
        <f>IF(preDEL!$AG633,IFERROR(0/0,""),preDEL!AK633)</f>
        <v>Negative</v>
      </c>
      <c r="AL633" s="112" t="str">
        <f>IF(preDEL!$AG633,IFERROR(0/0,""),preDEL!AL633)</f>
        <v/>
      </c>
      <c r="AM633" s="112" t="str">
        <f>IF(preDEL!$AG633,IFERROR(0/0,""),preDEL!AM633)</f>
        <v>SpBEND825522</v>
      </c>
      <c r="AN633" s="112" t="str">
        <f>IF(preDEL!$AG633,IFERROR(0/0,""),preDEL!AN633)</f>
        <v>BEND140857</v>
      </c>
      <c r="AO633" s="112" t="str">
        <f>IF(preDEL!$AG633,IFERROR(0/0,""),preDEL!AO633)</f>
        <v/>
      </c>
      <c r="AP633" s="112" t="str">
        <f>IF(preDEL!$AG633,IFERROR(0/0,""),preDEL!AP633)</f>
        <v/>
      </c>
      <c r="AQ633" s="112" t="str">
        <f>IF(preDEL!$AG633,IFERROR(0/0,""),preDEL!AQ633)</f>
        <v/>
      </c>
      <c r="AR633" s="112" t="str">
        <f>IF(preDEL!$AG633,IFERROR(0/0,""),preDEL!AR633)</f>
        <v/>
      </c>
      <c r="AS633" s="112" t="str">
        <f>IF(preDEL!$AG633,IFERROR(0/0,""),preDEL!AS633)</f>
        <v/>
      </c>
      <c r="AT633" s="112" t="b">
        <f>IF(preDEL!$AG633,IFERROR(0/0,""),preDEL!AT633)</f>
        <v>0</v>
      </c>
      <c r="AU633" s="112" t="str">
        <f>IF(preDEL!$AG633,IFERROR(0/0,""),preDEL!AU633)</f>
        <v/>
      </c>
      <c r="AV633" s="112" t="str">
        <f>IF(preDEL!$AG633,IFERROR(0/0,""),preDEL!AV633)</f>
        <v/>
      </c>
      <c r="AW633" s="112" t="str">
        <f>IF(preDEL!$AG633,IFERROR(0/0,""),preDEL!AW633)</f>
        <v/>
      </c>
      <c r="AX633" s="112" t="str">
        <f>IF(preDEL!$AG633,IFERROR(0/0,""),preDEL!AX633)</f>
        <v/>
      </c>
      <c r="AY633" s="112" t="str">
        <f>IF(preDEL!$AG633,IFERROR(0/0,""),preDEL!AY633)</f>
        <v/>
      </c>
      <c r="AZ633" s="174"/>
      <c r="BA633" s="174"/>
      <c r="BB633" s="174"/>
      <c r="BC633" s="174"/>
      <c r="BD633" s="174"/>
      <c r="BE633" s="174"/>
      <c r="BF633" s="174"/>
      <c r="BG633" s="174"/>
      <c r="BH633" s="174"/>
      <c r="BI633" s="174"/>
      <c r="BJ633" s="174"/>
      <c r="BK633" s="174"/>
      <c r="BL633" s="174"/>
      <c r="BM633" s="174"/>
      <c r="BN633" s="174"/>
      <c r="BO633" s="174"/>
      <c r="BP633" s="174"/>
      <c r="BQ633" s="174"/>
      <c r="BR633" s="174"/>
      <c r="BS633" s="174"/>
      <c r="BT633" s="174"/>
      <c r="BU633" s="174"/>
      <c r="BV633" s="174"/>
      <c r="BW633" s="174"/>
      <c r="BX633" s="174"/>
      <c r="BY633" s="174"/>
      <c r="BZ633" s="174"/>
      <c r="CA633" s="174"/>
      <c r="CB633" s="174"/>
      <c r="CC633" s="174"/>
      <c r="CD633" s="174"/>
    </row>
    <row r="634">
      <c r="A634" s="105" t="str">
        <f>IF(preDEL!$AG634,IFERROR(0/0,""),preDEL!A634)</f>
        <v>MA1264</v>
      </c>
      <c r="B634" s="170">
        <f>IF(preDEL!$AG634,IFERROR(0/0,""),preDEL!B634)</f>
        <v>44621</v>
      </c>
      <c r="C634" s="171">
        <f>IF(preDEL!$AG634,IFERROR(0/0,""),preDEL!C634)</f>
        <v>0.317349537</v>
      </c>
      <c r="D634" s="105" t="str">
        <f>IF(preDEL!$AG634,IFERROR(0/0,""),preDEL!D634)</f>
        <v/>
      </c>
      <c r="E634" s="105" t="str">
        <f>IF(preDEL!$AG634,IFERROR(0/0,""),preDEL!E634)</f>
        <v/>
      </c>
      <c r="F634" s="112" t="str">
        <f>IF(preDEL!$AG634,IFERROR(0/0,""),preDEL!F634)</f>
        <v/>
      </c>
      <c r="G634" s="112" t="str">
        <f>IF(preDEL!$AG634,IFERROR(0/0,""),preDEL!G634)</f>
        <v/>
      </c>
      <c r="H634" s="112" t="str">
        <f>IF(preDEL!$AG634,IFERROR(0/0,""),preDEL!H634)</f>
        <v/>
      </c>
      <c r="I634" s="105" t="str">
        <f>IF(preDEL!$AG634,IFERROR(0/0,""),preDEL!I634)</f>
        <v/>
      </c>
      <c r="J634" s="105" t="str">
        <f>IF(preDEL!$AG634,IFERROR(0/0,""),preDEL!J634)</f>
        <v/>
      </c>
      <c r="K634" s="105" t="str">
        <f>IF(preDEL!$AG634,IFERROR(0/0,""),preDEL!K634)</f>
        <v>Negative</v>
      </c>
      <c r="L634" s="170">
        <f>IF(preDEL!$AG634,IFERROR(0/0,""),preDEL!L634)</f>
        <v>44627</v>
      </c>
      <c r="M634" s="171">
        <f>IF(preDEL!$AG634,IFERROR(0/0,""),preDEL!M634)</f>
        <v>0.4779166667</v>
      </c>
      <c r="N634" s="112" t="str">
        <f>IF(preDEL!$AG634,IFERROR(0/0,""),preDEL!N634)</f>
        <v/>
      </c>
      <c r="O634" s="112" t="str">
        <f>IF(preDEL!$AG634,IFERROR(0/0,""),preDEL!O634)</f>
        <v/>
      </c>
      <c r="P634" s="110" t="b">
        <f>IF(preDEL!$AG634,IFERROR(0/0,""),preDEL!P634)</f>
        <v>0</v>
      </c>
      <c r="Q634" s="110" t="str">
        <f>IF(preDEL!$AG634,IFERROR(0/0,""),preDEL!Q634)</f>
        <v>Result</v>
      </c>
      <c r="R634" s="104" t="b">
        <f>IF(preDEL!$AG634,IFERROR(0/0,""),preDEL!R634)</f>
        <v>1</v>
      </c>
      <c r="S634" s="104">
        <f>IF(preDEL!$AG634,IFERROR(0/0,""),preDEL!S634)</f>
        <v>1</v>
      </c>
      <c r="T634" s="110" t="str">
        <f>IF(preDEL!$AG634,IFERROR(0/0,""),preDEL!T634)</f>
        <v/>
      </c>
      <c r="U634" s="112" t="str">
        <f>IF(preDEL!$AG634,IFERROR(0/0,""),preDEL!U634)</f>
        <v/>
      </c>
      <c r="V634" s="105" t="str">
        <f>IF(preDEL!$AG634,IFERROR(0/0,""),preDEL!V634)</f>
        <v/>
      </c>
      <c r="W634" s="112" t="str">
        <f>IF(preDEL!$AG634,IFERROR(0/0,""),preDEL!W634)</f>
        <v/>
      </c>
      <c r="X634" s="104" t="b">
        <f>IF(preDEL!$AG634,IFERROR(0/0,""),preDEL!X634)</f>
        <v>0</v>
      </c>
      <c r="Y634" s="110" t="b">
        <f>IF(preDEL!$AG634,IFERROR(0/0,""),preDEL!Y634)</f>
        <v>0</v>
      </c>
      <c r="Z634" s="105" t="str">
        <f>IF(preDEL!$AG634,IFERROR(0/0,""),preDEL!Z634)</f>
        <v/>
      </c>
      <c r="AA634" s="110" t="b">
        <f>IF(preDEL!$AG634,IFERROR(0/0,""),preDEL!AA634)</f>
        <v>0</v>
      </c>
      <c r="AB634" s="110" t="b">
        <f>IF(preDEL!$AG634,IFERROR(0/0,""),preDEL!AB634)</f>
        <v>0</v>
      </c>
      <c r="AC634" s="172">
        <f>IF(preDEL!$AG634,IFERROR(0/0,""),preDEL!AC634)</f>
        <v>182</v>
      </c>
      <c r="AD634" s="104" t="b">
        <f>IF(preDEL!$AG634,IFERROR(0/0,""),preDEL!AD634)</f>
        <v>0</v>
      </c>
      <c r="AE634" s="173" t="str">
        <f>IF(preDEL!$AG634,IFERROR(0/0,""),preDEL!AE634)</f>
        <v/>
      </c>
      <c r="AF634" s="110" t="b">
        <f>IF(preDEL!$AG634,IFERROR(0/0,""),preDEL!AF634)</f>
        <v>0</v>
      </c>
      <c r="AG634" s="110" t="b">
        <f>IF(preDEL!$AG634,IFERROR(0/0,""),preDEL!AG634)</f>
        <v>0</v>
      </c>
      <c r="AH634" s="104" t="str">
        <f>IF(preDEL!$AG634,IFERROR(0/0,""),preDEL!AH634)</f>
        <v/>
      </c>
      <c r="AI634" s="105" t="str">
        <f>IF(preDEL!$AG634,IFERROR(0/0,""),preDEL!AI634)</f>
        <v/>
      </c>
      <c r="AJ634" s="112" t="str">
        <f>IF(preDEL!$AG634,IFERROR(0/0,""),preDEL!AJ634)</f>
        <v/>
      </c>
      <c r="AK634" s="105" t="str">
        <f>IF(preDEL!$AG634,IFERROR(0/0,""),preDEL!AK634)</f>
        <v>Negative</v>
      </c>
      <c r="AL634" s="112" t="str">
        <f>IF(preDEL!$AG634,IFERROR(0/0,""),preDEL!AL634)</f>
        <v/>
      </c>
      <c r="AM634" s="112" t="str">
        <f>IF(preDEL!$AG634,IFERROR(0/0,""),preDEL!AM634)</f>
        <v>SpBEND492052</v>
      </c>
      <c r="AN634" s="112" t="str">
        <f>IF(preDEL!$AG634,IFERROR(0/0,""),preDEL!AN634)</f>
        <v>BEND350325</v>
      </c>
      <c r="AO634" s="112" t="str">
        <f>IF(preDEL!$AG634,IFERROR(0/0,""),preDEL!AO634)</f>
        <v/>
      </c>
      <c r="AP634" s="112" t="str">
        <f>IF(preDEL!$AG634,IFERROR(0/0,""),preDEL!AP634)</f>
        <v/>
      </c>
      <c r="AQ634" s="112" t="str">
        <f>IF(preDEL!$AG634,IFERROR(0/0,""),preDEL!AQ634)</f>
        <v/>
      </c>
      <c r="AR634" s="112" t="str">
        <f>IF(preDEL!$AG634,IFERROR(0/0,""),preDEL!AR634)</f>
        <v/>
      </c>
      <c r="AS634" s="112" t="str">
        <f>IF(preDEL!$AG634,IFERROR(0/0,""),preDEL!AS634)</f>
        <v/>
      </c>
      <c r="AT634" s="112" t="b">
        <f>IF(preDEL!$AG634,IFERROR(0/0,""),preDEL!AT634)</f>
        <v>0</v>
      </c>
      <c r="AU634" s="112" t="str">
        <f>IF(preDEL!$AG634,IFERROR(0/0,""),preDEL!AU634)</f>
        <v/>
      </c>
      <c r="AV634" s="112" t="str">
        <f>IF(preDEL!$AG634,IFERROR(0/0,""),preDEL!AV634)</f>
        <v/>
      </c>
      <c r="AW634" s="112" t="str">
        <f>IF(preDEL!$AG634,IFERROR(0/0,""),preDEL!AW634)</f>
        <v/>
      </c>
      <c r="AX634" s="112" t="str">
        <f>IF(preDEL!$AG634,IFERROR(0/0,""),preDEL!AX634)</f>
        <v/>
      </c>
      <c r="AY634" s="112" t="str">
        <f>IF(preDEL!$AG634,IFERROR(0/0,""),preDEL!AY634)</f>
        <v/>
      </c>
      <c r="AZ634" s="174"/>
      <c r="BA634" s="174"/>
      <c r="BB634" s="174"/>
      <c r="BC634" s="174"/>
      <c r="BD634" s="174"/>
      <c r="BE634" s="174"/>
      <c r="BF634" s="174"/>
      <c r="BG634" s="174"/>
      <c r="BH634" s="174"/>
      <c r="BI634" s="174"/>
      <c r="BJ634" s="174"/>
      <c r="BK634" s="174"/>
      <c r="BL634" s="174"/>
      <c r="BM634" s="174"/>
      <c r="BN634" s="174"/>
      <c r="BO634" s="174"/>
      <c r="BP634" s="174"/>
      <c r="BQ634" s="174"/>
      <c r="BR634" s="174"/>
      <c r="BS634" s="174"/>
      <c r="BT634" s="174"/>
      <c r="BU634" s="174"/>
      <c r="BV634" s="174"/>
      <c r="BW634" s="174"/>
      <c r="BX634" s="174"/>
      <c r="BY634" s="174"/>
      <c r="BZ634" s="174"/>
      <c r="CA634" s="174"/>
      <c r="CB634" s="174"/>
      <c r="CC634" s="174"/>
      <c r="CD634" s="174"/>
    </row>
    <row r="635">
      <c r="A635" s="105" t="str">
        <f>IF(preDEL!$AG635,IFERROR(0/0,""),preDEL!A635)</f>
        <v>MA380</v>
      </c>
      <c r="B635" s="170">
        <f>IF(preDEL!$AG635,IFERROR(0/0,""),preDEL!B635)</f>
        <v>44621</v>
      </c>
      <c r="C635" s="171">
        <f>IF(preDEL!$AG635,IFERROR(0/0,""),preDEL!C635)</f>
        <v>0.3239583333</v>
      </c>
      <c r="D635" s="105" t="str">
        <f>IF(preDEL!$AG635,IFERROR(0/0,""),preDEL!D635)</f>
        <v/>
      </c>
      <c r="E635" s="105" t="str">
        <f>IF(preDEL!$AG635,IFERROR(0/0,""),preDEL!E635)</f>
        <v/>
      </c>
      <c r="F635" s="112" t="str">
        <f>IF(preDEL!$AG635,IFERROR(0/0,""),preDEL!F635)</f>
        <v/>
      </c>
      <c r="G635" s="112" t="str">
        <f>IF(preDEL!$AG635,IFERROR(0/0,""),preDEL!G635)</f>
        <v/>
      </c>
      <c r="H635" s="112" t="str">
        <f>IF(preDEL!$AG635,IFERROR(0/0,""),preDEL!H635)</f>
        <v/>
      </c>
      <c r="I635" s="105" t="str">
        <f>IF(preDEL!$AG635,IFERROR(0/0,""),preDEL!I635)</f>
        <v/>
      </c>
      <c r="J635" s="105" t="str">
        <f>IF(preDEL!$AG635,IFERROR(0/0,""),preDEL!J635)</f>
        <v/>
      </c>
      <c r="K635" s="105" t="str">
        <f>IF(preDEL!$AG635,IFERROR(0/0,""),preDEL!K635)</f>
        <v>Negative</v>
      </c>
      <c r="L635" s="170">
        <f>IF(preDEL!$AG635,IFERROR(0/0,""),preDEL!L635)</f>
        <v>44627</v>
      </c>
      <c r="M635" s="171">
        <f>IF(preDEL!$AG635,IFERROR(0/0,""),preDEL!M635)</f>
        <v>0.4779166667</v>
      </c>
      <c r="N635" s="112" t="str">
        <f>IF(preDEL!$AG635,IFERROR(0/0,""),preDEL!N635)</f>
        <v/>
      </c>
      <c r="O635" s="112" t="str">
        <f>IF(preDEL!$AG635,IFERROR(0/0,""),preDEL!O635)</f>
        <v/>
      </c>
      <c r="P635" s="110" t="b">
        <f>IF(preDEL!$AG635,IFERROR(0/0,""),preDEL!P635)</f>
        <v>0</v>
      </c>
      <c r="Q635" s="110" t="str">
        <f>IF(preDEL!$AG635,IFERROR(0/0,""),preDEL!Q635)</f>
        <v>Result</v>
      </c>
      <c r="R635" s="104" t="b">
        <f>IF(preDEL!$AG635,IFERROR(0/0,""),preDEL!R635)</f>
        <v>1</v>
      </c>
      <c r="S635" s="104">
        <f>IF(preDEL!$AG635,IFERROR(0/0,""),preDEL!S635)</f>
        <v>1</v>
      </c>
      <c r="T635" s="110" t="str">
        <f>IF(preDEL!$AG635,IFERROR(0/0,""),preDEL!T635)</f>
        <v/>
      </c>
      <c r="U635" s="112" t="str">
        <f>IF(preDEL!$AG635,IFERROR(0/0,""),preDEL!U635)</f>
        <v/>
      </c>
      <c r="V635" s="105" t="str">
        <f>IF(preDEL!$AG635,IFERROR(0/0,""),preDEL!V635)</f>
        <v/>
      </c>
      <c r="W635" s="112" t="str">
        <f>IF(preDEL!$AG635,IFERROR(0/0,""),preDEL!W635)</f>
        <v/>
      </c>
      <c r="X635" s="104" t="b">
        <f>IF(preDEL!$AG635,IFERROR(0/0,""),preDEL!X635)</f>
        <v>0</v>
      </c>
      <c r="Y635" s="110" t="b">
        <f>IF(preDEL!$AG635,IFERROR(0/0,""),preDEL!Y635)</f>
        <v>0</v>
      </c>
      <c r="Z635" s="105" t="str">
        <f>IF(preDEL!$AG635,IFERROR(0/0,""),preDEL!Z635)</f>
        <v/>
      </c>
      <c r="AA635" s="110" t="b">
        <f>IF(preDEL!$AG635,IFERROR(0/0,""),preDEL!AA635)</f>
        <v>0</v>
      </c>
      <c r="AB635" s="110" t="b">
        <f>IF(preDEL!$AG635,IFERROR(0/0,""),preDEL!AB635)</f>
        <v>0</v>
      </c>
      <c r="AC635" s="172">
        <f>IF(preDEL!$AG635,IFERROR(0/0,""),preDEL!AC635)</f>
        <v>181</v>
      </c>
      <c r="AD635" s="104" t="b">
        <f>IF(preDEL!$AG635,IFERROR(0/0,""),preDEL!AD635)</f>
        <v>0</v>
      </c>
      <c r="AE635" s="173" t="str">
        <f>IF(preDEL!$AG635,IFERROR(0/0,""),preDEL!AE635)</f>
        <v/>
      </c>
      <c r="AF635" s="110" t="b">
        <f>IF(preDEL!$AG635,IFERROR(0/0,""),preDEL!AF635)</f>
        <v>0</v>
      </c>
      <c r="AG635" s="110" t="b">
        <f>IF(preDEL!$AG635,IFERROR(0/0,""),preDEL!AG635)</f>
        <v>0</v>
      </c>
      <c r="AH635" s="104" t="str">
        <f>IF(preDEL!$AG635,IFERROR(0/0,""),preDEL!AH635)</f>
        <v/>
      </c>
      <c r="AI635" s="105" t="str">
        <f>IF(preDEL!$AG635,IFERROR(0/0,""),preDEL!AI635)</f>
        <v/>
      </c>
      <c r="AJ635" s="112" t="str">
        <f>IF(preDEL!$AG635,IFERROR(0/0,""),preDEL!AJ635)</f>
        <v/>
      </c>
      <c r="AK635" s="105" t="str">
        <f>IF(preDEL!$AG635,IFERROR(0/0,""),preDEL!AK635)</f>
        <v>Negative</v>
      </c>
      <c r="AL635" s="112" t="str">
        <f>IF(preDEL!$AG635,IFERROR(0/0,""),preDEL!AL635)</f>
        <v/>
      </c>
      <c r="AM635" s="112" t="str">
        <f>IF(preDEL!$AG635,IFERROR(0/0,""),preDEL!AM635)</f>
        <v>SpBEND139816</v>
      </c>
      <c r="AN635" s="112" t="str">
        <f>IF(preDEL!$AG635,IFERROR(0/0,""),preDEL!AN635)</f>
        <v>BEND492855</v>
      </c>
      <c r="AO635" s="112" t="str">
        <f>IF(preDEL!$AG635,IFERROR(0/0,""),preDEL!AO635)</f>
        <v/>
      </c>
      <c r="AP635" s="112" t="str">
        <f>IF(preDEL!$AG635,IFERROR(0/0,""),preDEL!AP635)</f>
        <v/>
      </c>
      <c r="AQ635" s="112" t="str">
        <f>IF(preDEL!$AG635,IFERROR(0/0,""),preDEL!AQ635)</f>
        <v/>
      </c>
      <c r="AR635" s="112" t="str">
        <f>IF(preDEL!$AG635,IFERROR(0/0,""),preDEL!AR635)</f>
        <v/>
      </c>
      <c r="AS635" s="112" t="str">
        <f>IF(preDEL!$AG635,IFERROR(0/0,""),preDEL!AS635)</f>
        <v/>
      </c>
      <c r="AT635" s="112" t="b">
        <f>IF(preDEL!$AG635,IFERROR(0/0,""),preDEL!AT635)</f>
        <v>0</v>
      </c>
      <c r="AU635" s="112" t="str">
        <f>IF(preDEL!$AG635,IFERROR(0/0,""),preDEL!AU635)</f>
        <v/>
      </c>
      <c r="AV635" s="112" t="str">
        <f>IF(preDEL!$AG635,IFERROR(0/0,""),preDEL!AV635)</f>
        <v/>
      </c>
      <c r="AW635" s="112" t="str">
        <f>IF(preDEL!$AG635,IFERROR(0/0,""),preDEL!AW635)</f>
        <v/>
      </c>
      <c r="AX635" s="112" t="str">
        <f>IF(preDEL!$AG635,IFERROR(0/0,""),preDEL!AX635)</f>
        <v/>
      </c>
      <c r="AY635" s="112" t="str">
        <f>IF(preDEL!$AG635,IFERROR(0/0,""),preDEL!AY635)</f>
        <v/>
      </c>
      <c r="AZ635" s="174"/>
      <c r="BA635" s="174"/>
      <c r="BB635" s="174"/>
      <c r="BC635" s="174"/>
      <c r="BD635" s="174"/>
      <c r="BE635" s="174"/>
      <c r="BF635" s="174"/>
      <c r="BG635" s="174"/>
      <c r="BH635" s="174"/>
      <c r="BI635" s="174"/>
      <c r="BJ635" s="174"/>
      <c r="BK635" s="174"/>
      <c r="BL635" s="174"/>
      <c r="BM635" s="174"/>
      <c r="BN635" s="174"/>
      <c r="BO635" s="174"/>
      <c r="BP635" s="174"/>
      <c r="BQ635" s="174"/>
      <c r="BR635" s="174"/>
      <c r="BS635" s="174"/>
      <c r="BT635" s="174"/>
      <c r="BU635" s="174"/>
      <c r="BV635" s="174"/>
      <c r="BW635" s="174"/>
      <c r="BX635" s="174"/>
      <c r="BY635" s="174"/>
      <c r="BZ635" s="174"/>
      <c r="CA635" s="174"/>
      <c r="CB635" s="174"/>
      <c r="CC635" s="174"/>
      <c r="CD635" s="174"/>
    </row>
    <row r="636">
      <c r="A636" s="105" t="str">
        <f>IF(preDEL!$AG636,IFERROR(0/0,""),preDEL!A636)</f>
        <v>MA364</v>
      </c>
      <c r="B636" s="170">
        <f>IF(preDEL!$AG636,IFERROR(0/0,""),preDEL!B636)</f>
        <v>44621</v>
      </c>
      <c r="C636" s="171">
        <f>IF(preDEL!$AG636,IFERROR(0/0,""),preDEL!C636)</f>
        <v>0.3244675926</v>
      </c>
      <c r="D636" s="105" t="str">
        <f>IF(preDEL!$AG636,IFERROR(0/0,""),preDEL!D636)</f>
        <v/>
      </c>
      <c r="E636" s="105" t="str">
        <f>IF(preDEL!$AG636,IFERROR(0/0,""),preDEL!E636)</f>
        <v/>
      </c>
      <c r="F636" s="112" t="str">
        <f>IF(preDEL!$AG636,IFERROR(0/0,""),preDEL!F636)</f>
        <v/>
      </c>
      <c r="G636" s="112" t="str">
        <f>IF(preDEL!$AG636,IFERROR(0/0,""),preDEL!G636)</f>
        <v/>
      </c>
      <c r="H636" s="112" t="str">
        <f>IF(preDEL!$AG636,IFERROR(0/0,""),preDEL!H636)</f>
        <v/>
      </c>
      <c r="I636" s="105" t="str">
        <f>IF(preDEL!$AG636,IFERROR(0/0,""),preDEL!I636)</f>
        <v/>
      </c>
      <c r="J636" s="105" t="str">
        <f>IF(preDEL!$AG636,IFERROR(0/0,""),preDEL!J636)</f>
        <v/>
      </c>
      <c r="K636" s="105" t="str">
        <f>IF(preDEL!$AG636,IFERROR(0/0,""),preDEL!K636)</f>
        <v>Negative</v>
      </c>
      <c r="L636" s="170">
        <f>IF(preDEL!$AG636,IFERROR(0/0,""),preDEL!L636)</f>
        <v>44627</v>
      </c>
      <c r="M636" s="171">
        <f>IF(preDEL!$AG636,IFERROR(0/0,""),preDEL!M636)</f>
        <v>0.4779166667</v>
      </c>
      <c r="N636" s="112" t="str">
        <f>IF(preDEL!$AG636,IFERROR(0/0,""),preDEL!N636)</f>
        <v/>
      </c>
      <c r="O636" s="112" t="str">
        <f>IF(preDEL!$AG636,IFERROR(0/0,""),preDEL!O636)</f>
        <v/>
      </c>
      <c r="P636" s="110" t="b">
        <f>IF(preDEL!$AG636,IFERROR(0/0,""),preDEL!P636)</f>
        <v>0</v>
      </c>
      <c r="Q636" s="110" t="str">
        <f>IF(preDEL!$AG636,IFERROR(0/0,""),preDEL!Q636)</f>
        <v>Result</v>
      </c>
      <c r="R636" s="104" t="b">
        <f>IF(preDEL!$AG636,IFERROR(0/0,""),preDEL!R636)</f>
        <v>1</v>
      </c>
      <c r="S636" s="104">
        <f>IF(preDEL!$AG636,IFERROR(0/0,""),preDEL!S636)</f>
        <v>1</v>
      </c>
      <c r="T636" s="110" t="str">
        <f>IF(preDEL!$AG636,IFERROR(0/0,""),preDEL!T636)</f>
        <v/>
      </c>
      <c r="U636" s="112" t="str">
        <f>IF(preDEL!$AG636,IFERROR(0/0,""),preDEL!U636)</f>
        <v/>
      </c>
      <c r="V636" s="105" t="str">
        <f>IF(preDEL!$AG636,IFERROR(0/0,""),preDEL!V636)</f>
        <v/>
      </c>
      <c r="W636" s="112" t="str">
        <f>IF(preDEL!$AG636,IFERROR(0/0,""),preDEL!W636)</f>
        <v/>
      </c>
      <c r="X636" s="104" t="b">
        <f>IF(preDEL!$AG636,IFERROR(0/0,""),preDEL!X636)</f>
        <v>0</v>
      </c>
      <c r="Y636" s="110" t="b">
        <f>IF(preDEL!$AG636,IFERROR(0/0,""),preDEL!Y636)</f>
        <v>0</v>
      </c>
      <c r="Z636" s="105" t="str">
        <f>IF(preDEL!$AG636,IFERROR(0/0,""),preDEL!Z636)</f>
        <v/>
      </c>
      <c r="AA636" s="110" t="b">
        <f>IF(preDEL!$AG636,IFERROR(0/0,""),preDEL!AA636)</f>
        <v>0</v>
      </c>
      <c r="AB636" s="110" t="b">
        <f>IF(preDEL!$AG636,IFERROR(0/0,""),preDEL!AB636)</f>
        <v>0</v>
      </c>
      <c r="AC636" s="172">
        <f>IF(preDEL!$AG636,IFERROR(0/0,""),preDEL!AC636)</f>
        <v>180</v>
      </c>
      <c r="AD636" s="104" t="b">
        <f>IF(preDEL!$AG636,IFERROR(0/0,""),preDEL!AD636)</f>
        <v>0</v>
      </c>
      <c r="AE636" s="173" t="str">
        <f>IF(preDEL!$AG636,IFERROR(0/0,""),preDEL!AE636)</f>
        <v/>
      </c>
      <c r="AF636" s="110" t="b">
        <f>IF(preDEL!$AG636,IFERROR(0/0,""),preDEL!AF636)</f>
        <v>0</v>
      </c>
      <c r="AG636" s="110" t="b">
        <f>IF(preDEL!$AG636,IFERROR(0/0,""),preDEL!AG636)</f>
        <v>0</v>
      </c>
      <c r="AH636" s="104" t="str">
        <f>IF(preDEL!$AG636,IFERROR(0/0,""),preDEL!AH636)</f>
        <v/>
      </c>
      <c r="AI636" s="105" t="str">
        <f>IF(preDEL!$AG636,IFERROR(0/0,""),preDEL!AI636)</f>
        <v/>
      </c>
      <c r="AJ636" s="112" t="str">
        <f>IF(preDEL!$AG636,IFERROR(0/0,""),preDEL!AJ636)</f>
        <v/>
      </c>
      <c r="AK636" s="105" t="str">
        <f>IF(preDEL!$AG636,IFERROR(0/0,""),preDEL!AK636)</f>
        <v>Negative</v>
      </c>
      <c r="AL636" s="112" t="str">
        <f>IF(preDEL!$AG636,IFERROR(0/0,""),preDEL!AL636)</f>
        <v/>
      </c>
      <c r="AM636" s="112" t="str">
        <f>IF(preDEL!$AG636,IFERROR(0/0,""),preDEL!AM636)</f>
        <v>SpBEND328905</v>
      </c>
      <c r="AN636" s="112" t="str">
        <f>IF(preDEL!$AG636,IFERROR(0/0,""),preDEL!AN636)</f>
        <v>BEND972161</v>
      </c>
      <c r="AO636" s="112" t="str">
        <f>IF(preDEL!$AG636,IFERROR(0/0,""),preDEL!AO636)</f>
        <v/>
      </c>
      <c r="AP636" s="112" t="str">
        <f>IF(preDEL!$AG636,IFERROR(0/0,""),preDEL!AP636)</f>
        <v/>
      </c>
      <c r="AQ636" s="112" t="str">
        <f>IF(preDEL!$AG636,IFERROR(0/0,""),preDEL!AQ636)</f>
        <v/>
      </c>
      <c r="AR636" s="112" t="str">
        <f>IF(preDEL!$AG636,IFERROR(0/0,""),preDEL!AR636)</f>
        <v/>
      </c>
      <c r="AS636" s="112" t="str">
        <f>IF(preDEL!$AG636,IFERROR(0/0,""),preDEL!AS636)</f>
        <v/>
      </c>
      <c r="AT636" s="112" t="b">
        <f>IF(preDEL!$AG636,IFERROR(0/0,""),preDEL!AT636)</f>
        <v>0</v>
      </c>
      <c r="AU636" s="112" t="str">
        <f>IF(preDEL!$AG636,IFERROR(0/0,""),preDEL!AU636)</f>
        <v/>
      </c>
      <c r="AV636" s="112" t="str">
        <f>IF(preDEL!$AG636,IFERROR(0/0,""),preDEL!AV636)</f>
        <v/>
      </c>
      <c r="AW636" s="112" t="str">
        <f>IF(preDEL!$AG636,IFERROR(0/0,""),preDEL!AW636)</f>
        <v/>
      </c>
      <c r="AX636" s="112" t="str">
        <f>IF(preDEL!$AG636,IFERROR(0/0,""),preDEL!AX636)</f>
        <v/>
      </c>
      <c r="AY636" s="112" t="str">
        <f>IF(preDEL!$AG636,IFERROR(0/0,""),preDEL!AY636)</f>
        <v/>
      </c>
      <c r="AZ636" s="174"/>
      <c r="BA636" s="174"/>
      <c r="BB636" s="174"/>
      <c r="BC636" s="174"/>
      <c r="BD636" s="174"/>
      <c r="BE636" s="174"/>
      <c r="BF636" s="174"/>
      <c r="BG636" s="174"/>
      <c r="BH636" s="174"/>
      <c r="BI636" s="174"/>
      <c r="BJ636" s="174"/>
      <c r="BK636" s="174"/>
      <c r="BL636" s="174"/>
      <c r="BM636" s="174"/>
      <c r="BN636" s="174"/>
      <c r="BO636" s="174"/>
      <c r="BP636" s="174"/>
      <c r="BQ636" s="174"/>
      <c r="BR636" s="174"/>
      <c r="BS636" s="174"/>
      <c r="BT636" s="174"/>
      <c r="BU636" s="174"/>
      <c r="BV636" s="174"/>
      <c r="BW636" s="174"/>
      <c r="BX636" s="174"/>
      <c r="BY636" s="174"/>
      <c r="BZ636" s="174"/>
      <c r="CA636" s="174"/>
      <c r="CB636" s="174"/>
      <c r="CC636" s="174"/>
      <c r="CD636" s="174"/>
    </row>
    <row r="637">
      <c r="A637" s="105" t="str">
        <f>IF(preDEL!$AG637,IFERROR(0/0,""),preDEL!A637)</f>
        <v>FM343</v>
      </c>
      <c r="B637" s="170">
        <f>IF(preDEL!$AG637,IFERROR(0/0,""),preDEL!B637)</f>
        <v>44621</v>
      </c>
      <c r="C637" s="171">
        <f>IF(preDEL!$AG637,IFERROR(0/0,""),preDEL!C637)</f>
        <v>0.3262962963</v>
      </c>
      <c r="D637" s="105" t="str">
        <f>IF(preDEL!$AG637,IFERROR(0/0,""),preDEL!D637)</f>
        <v/>
      </c>
      <c r="E637" s="105" t="str">
        <f>IF(preDEL!$AG637,IFERROR(0/0,""),preDEL!E637)</f>
        <v/>
      </c>
      <c r="F637" s="112" t="str">
        <f>IF(preDEL!$AG637,IFERROR(0/0,""),preDEL!F637)</f>
        <v/>
      </c>
      <c r="G637" s="112" t="str">
        <f>IF(preDEL!$AG637,IFERROR(0/0,""),preDEL!G637)</f>
        <v/>
      </c>
      <c r="H637" s="112" t="str">
        <f>IF(preDEL!$AG637,IFERROR(0/0,""),preDEL!H637)</f>
        <v/>
      </c>
      <c r="I637" s="105" t="str">
        <f>IF(preDEL!$AG637,IFERROR(0/0,""),preDEL!I637)</f>
        <v/>
      </c>
      <c r="J637" s="105" t="str">
        <f>IF(preDEL!$AG637,IFERROR(0/0,""),preDEL!J637)</f>
        <v/>
      </c>
      <c r="K637" s="105" t="str">
        <f>IF(preDEL!$AG637,IFERROR(0/0,""),preDEL!K637)</f>
        <v>Negative</v>
      </c>
      <c r="L637" s="170">
        <f>IF(preDEL!$AG637,IFERROR(0/0,""),preDEL!L637)</f>
        <v>44627</v>
      </c>
      <c r="M637" s="171">
        <f>IF(preDEL!$AG637,IFERROR(0/0,""),preDEL!M637)</f>
        <v>0.4779166667</v>
      </c>
      <c r="N637" s="112" t="str">
        <f>IF(preDEL!$AG637,IFERROR(0/0,""),preDEL!N637)</f>
        <v/>
      </c>
      <c r="O637" s="112" t="str">
        <f>IF(preDEL!$AG637,IFERROR(0/0,""),preDEL!O637)</f>
        <v/>
      </c>
      <c r="P637" s="110" t="b">
        <f>IF(preDEL!$AG637,IFERROR(0/0,""),preDEL!P637)</f>
        <v>0</v>
      </c>
      <c r="Q637" s="110" t="str">
        <f>IF(preDEL!$AG637,IFERROR(0/0,""),preDEL!Q637)</f>
        <v>Result</v>
      </c>
      <c r="R637" s="104" t="b">
        <f>IF(preDEL!$AG637,IFERROR(0/0,""),preDEL!R637)</f>
        <v>1</v>
      </c>
      <c r="S637" s="104">
        <f>IF(preDEL!$AG637,IFERROR(0/0,""),preDEL!S637)</f>
        <v>1</v>
      </c>
      <c r="T637" s="110" t="str">
        <f>IF(preDEL!$AG637,IFERROR(0/0,""),preDEL!T637)</f>
        <v/>
      </c>
      <c r="U637" s="112" t="str">
        <f>IF(preDEL!$AG637,IFERROR(0/0,""),preDEL!U637)</f>
        <v/>
      </c>
      <c r="V637" s="105" t="str">
        <f>IF(preDEL!$AG637,IFERROR(0/0,""),preDEL!V637)</f>
        <v/>
      </c>
      <c r="W637" s="112" t="str">
        <f>IF(preDEL!$AG637,IFERROR(0/0,""),preDEL!W637)</f>
        <v/>
      </c>
      <c r="X637" s="104" t="b">
        <f>IF(preDEL!$AG637,IFERROR(0/0,""),preDEL!X637)</f>
        <v>0</v>
      </c>
      <c r="Y637" s="110" t="b">
        <f>IF(preDEL!$AG637,IFERROR(0/0,""),preDEL!Y637)</f>
        <v>0</v>
      </c>
      <c r="Z637" s="105" t="str">
        <f>IF(preDEL!$AG637,IFERROR(0/0,""),preDEL!Z637)</f>
        <v/>
      </c>
      <c r="AA637" s="110" t="b">
        <f>IF(preDEL!$AG637,IFERROR(0/0,""),preDEL!AA637)</f>
        <v>0</v>
      </c>
      <c r="AB637" s="110" t="b">
        <f>IF(preDEL!$AG637,IFERROR(0/0,""),preDEL!AB637)</f>
        <v>0</v>
      </c>
      <c r="AC637" s="172">
        <f>IF(preDEL!$AG637,IFERROR(0/0,""),preDEL!AC637)</f>
        <v>179</v>
      </c>
      <c r="AD637" s="104" t="b">
        <f>IF(preDEL!$AG637,IFERROR(0/0,""),preDEL!AD637)</f>
        <v>0</v>
      </c>
      <c r="AE637" s="173" t="str">
        <f>IF(preDEL!$AG637,IFERROR(0/0,""),preDEL!AE637)</f>
        <v/>
      </c>
      <c r="AF637" s="110" t="b">
        <f>IF(preDEL!$AG637,IFERROR(0/0,""),preDEL!AF637)</f>
        <v>0</v>
      </c>
      <c r="AG637" s="110" t="b">
        <f>IF(preDEL!$AG637,IFERROR(0/0,""),preDEL!AG637)</f>
        <v>0</v>
      </c>
      <c r="AH637" s="104" t="str">
        <f>IF(preDEL!$AG637,IFERROR(0/0,""),preDEL!AH637)</f>
        <v/>
      </c>
      <c r="AI637" s="105" t="str">
        <f>IF(preDEL!$AG637,IFERROR(0/0,""),preDEL!AI637)</f>
        <v/>
      </c>
      <c r="AJ637" s="112" t="str">
        <f>IF(preDEL!$AG637,IFERROR(0/0,""),preDEL!AJ637)</f>
        <v/>
      </c>
      <c r="AK637" s="105" t="str">
        <f>IF(preDEL!$AG637,IFERROR(0/0,""),preDEL!AK637)</f>
        <v>Negative</v>
      </c>
      <c r="AL637" s="112" t="str">
        <f>IF(preDEL!$AG637,IFERROR(0/0,""),preDEL!AL637)</f>
        <v/>
      </c>
      <c r="AM637" s="112" t="str">
        <f>IF(preDEL!$AG637,IFERROR(0/0,""),preDEL!AM637)</f>
        <v>SpBEND331858</v>
      </c>
      <c r="AN637" s="112" t="str">
        <f>IF(preDEL!$AG637,IFERROR(0/0,""),preDEL!AN637)</f>
        <v>BEND886229</v>
      </c>
      <c r="AO637" s="112" t="str">
        <f>IF(preDEL!$AG637,IFERROR(0/0,""),preDEL!AO637)</f>
        <v/>
      </c>
      <c r="AP637" s="112" t="str">
        <f>IF(preDEL!$AG637,IFERROR(0/0,""),preDEL!AP637)</f>
        <v/>
      </c>
      <c r="AQ637" s="112" t="str">
        <f>IF(preDEL!$AG637,IFERROR(0/0,""),preDEL!AQ637)</f>
        <v/>
      </c>
      <c r="AR637" s="112" t="str">
        <f>IF(preDEL!$AG637,IFERROR(0/0,""),preDEL!AR637)</f>
        <v/>
      </c>
      <c r="AS637" s="112" t="str">
        <f>IF(preDEL!$AG637,IFERROR(0/0,""),preDEL!AS637)</f>
        <v/>
      </c>
      <c r="AT637" s="112" t="b">
        <f>IF(preDEL!$AG637,IFERROR(0/0,""),preDEL!AT637)</f>
        <v>0</v>
      </c>
      <c r="AU637" s="112" t="str">
        <f>IF(preDEL!$AG637,IFERROR(0/0,""),preDEL!AU637)</f>
        <v/>
      </c>
      <c r="AV637" s="112" t="str">
        <f>IF(preDEL!$AG637,IFERROR(0/0,""),preDEL!AV637)</f>
        <v/>
      </c>
      <c r="AW637" s="112" t="str">
        <f>IF(preDEL!$AG637,IFERROR(0/0,""),preDEL!AW637)</f>
        <v/>
      </c>
      <c r="AX637" s="112" t="str">
        <f>IF(preDEL!$AG637,IFERROR(0/0,""),preDEL!AX637)</f>
        <v/>
      </c>
      <c r="AY637" s="112" t="str">
        <f>IF(preDEL!$AG637,IFERROR(0/0,""),preDEL!AY637)</f>
        <v/>
      </c>
      <c r="AZ637" s="174"/>
      <c r="BA637" s="174"/>
      <c r="BB637" s="174"/>
      <c r="BC637" s="174"/>
      <c r="BD637" s="174"/>
      <c r="BE637" s="174"/>
      <c r="BF637" s="174"/>
      <c r="BG637" s="174"/>
      <c r="BH637" s="174"/>
      <c r="BI637" s="174"/>
      <c r="BJ637" s="174"/>
      <c r="BK637" s="174"/>
      <c r="BL637" s="174"/>
      <c r="BM637" s="174"/>
      <c r="BN637" s="174"/>
      <c r="BO637" s="174"/>
      <c r="BP637" s="174"/>
      <c r="BQ637" s="174"/>
      <c r="BR637" s="174"/>
      <c r="BS637" s="174"/>
      <c r="BT637" s="174"/>
      <c r="BU637" s="174"/>
      <c r="BV637" s="174"/>
      <c r="BW637" s="174"/>
      <c r="BX637" s="174"/>
      <c r="BY637" s="174"/>
      <c r="BZ637" s="174"/>
      <c r="CA637" s="174"/>
      <c r="CB637" s="174"/>
      <c r="CC637" s="174"/>
      <c r="CD637" s="174"/>
    </row>
    <row r="638">
      <c r="A638" s="105" t="str">
        <f>IF(preDEL!$AG638,IFERROR(0/0,""),preDEL!A638)</f>
        <v>FM2057</v>
      </c>
      <c r="B638" s="170">
        <f>IF(preDEL!$AG638,IFERROR(0/0,""),preDEL!B638)</f>
        <v>44621</v>
      </c>
      <c r="C638" s="171">
        <f>IF(preDEL!$AG638,IFERROR(0/0,""),preDEL!C638)</f>
        <v>0.3267013889</v>
      </c>
      <c r="D638" s="105" t="str">
        <f>IF(preDEL!$AG638,IFERROR(0/0,""),preDEL!D638)</f>
        <v/>
      </c>
      <c r="E638" s="105" t="str">
        <f>IF(preDEL!$AG638,IFERROR(0/0,""),preDEL!E638)</f>
        <v/>
      </c>
      <c r="F638" s="112" t="str">
        <f>IF(preDEL!$AG638,IFERROR(0/0,""),preDEL!F638)</f>
        <v/>
      </c>
      <c r="G638" s="112" t="str">
        <f>IF(preDEL!$AG638,IFERROR(0/0,""),preDEL!G638)</f>
        <v/>
      </c>
      <c r="H638" s="112" t="str">
        <f>IF(preDEL!$AG638,IFERROR(0/0,""),preDEL!H638)</f>
        <v/>
      </c>
      <c r="I638" s="105" t="str">
        <f>IF(preDEL!$AG638,IFERROR(0/0,""),preDEL!I638)</f>
        <v/>
      </c>
      <c r="J638" s="105" t="str">
        <f>IF(preDEL!$AG638,IFERROR(0/0,""),preDEL!J638)</f>
        <v/>
      </c>
      <c r="K638" s="105" t="str">
        <f>IF(preDEL!$AG638,IFERROR(0/0,""),preDEL!K638)</f>
        <v>Negative</v>
      </c>
      <c r="L638" s="170">
        <f>IF(preDEL!$AG638,IFERROR(0/0,""),preDEL!L638)</f>
        <v>44627</v>
      </c>
      <c r="M638" s="171">
        <f>IF(preDEL!$AG638,IFERROR(0/0,""),preDEL!M638)</f>
        <v>0.4779166667</v>
      </c>
      <c r="N638" s="112" t="str">
        <f>IF(preDEL!$AG638,IFERROR(0/0,""),preDEL!N638)</f>
        <v/>
      </c>
      <c r="O638" s="112" t="str">
        <f>IF(preDEL!$AG638,IFERROR(0/0,""),preDEL!O638)</f>
        <v/>
      </c>
      <c r="P638" s="110" t="b">
        <f>IF(preDEL!$AG638,IFERROR(0/0,""),preDEL!P638)</f>
        <v>0</v>
      </c>
      <c r="Q638" s="110" t="str">
        <f>IF(preDEL!$AG638,IFERROR(0/0,""),preDEL!Q638)</f>
        <v>Result</v>
      </c>
      <c r="R638" s="104" t="b">
        <f>IF(preDEL!$AG638,IFERROR(0/0,""),preDEL!R638)</f>
        <v>1</v>
      </c>
      <c r="S638" s="104">
        <f>IF(preDEL!$AG638,IFERROR(0/0,""),preDEL!S638)</f>
        <v>1</v>
      </c>
      <c r="T638" s="110" t="str">
        <f>IF(preDEL!$AG638,IFERROR(0/0,""),preDEL!T638)</f>
        <v/>
      </c>
      <c r="U638" s="112" t="str">
        <f>IF(preDEL!$AG638,IFERROR(0/0,""),preDEL!U638)</f>
        <v/>
      </c>
      <c r="V638" s="105" t="str">
        <f>IF(preDEL!$AG638,IFERROR(0/0,""),preDEL!V638)</f>
        <v/>
      </c>
      <c r="W638" s="112" t="str">
        <f>IF(preDEL!$AG638,IFERROR(0/0,""),preDEL!W638)</f>
        <v/>
      </c>
      <c r="X638" s="104" t="b">
        <f>IF(preDEL!$AG638,IFERROR(0/0,""),preDEL!X638)</f>
        <v>0</v>
      </c>
      <c r="Y638" s="110" t="b">
        <f>IF(preDEL!$AG638,IFERROR(0/0,""),preDEL!Y638)</f>
        <v>0</v>
      </c>
      <c r="Z638" s="105" t="str">
        <f>IF(preDEL!$AG638,IFERROR(0/0,""),preDEL!Z638)</f>
        <v/>
      </c>
      <c r="AA638" s="110" t="b">
        <f>IF(preDEL!$AG638,IFERROR(0/0,""),preDEL!AA638)</f>
        <v>0</v>
      </c>
      <c r="AB638" s="110" t="b">
        <f>IF(preDEL!$AG638,IFERROR(0/0,""),preDEL!AB638)</f>
        <v>0</v>
      </c>
      <c r="AC638" s="172">
        <f>IF(preDEL!$AG638,IFERROR(0/0,""),preDEL!AC638)</f>
        <v>178</v>
      </c>
      <c r="AD638" s="104" t="b">
        <f>IF(preDEL!$AG638,IFERROR(0/0,""),preDEL!AD638)</f>
        <v>0</v>
      </c>
      <c r="AE638" s="173" t="str">
        <f>IF(preDEL!$AG638,IFERROR(0/0,""),preDEL!AE638)</f>
        <v/>
      </c>
      <c r="AF638" s="110" t="b">
        <f>IF(preDEL!$AG638,IFERROR(0/0,""),preDEL!AF638)</f>
        <v>0</v>
      </c>
      <c r="AG638" s="110" t="b">
        <f>IF(preDEL!$AG638,IFERROR(0/0,""),preDEL!AG638)</f>
        <v>0</v>
      </c>
      <c r="AH638" s="104" t="str">
        <f>IF(preDEL!$AG638,IFERROR(0/0,""),preDEL!AH638)</f>
        <v/>
      </c>
      <c r="AI638" s="105" t="str">
        <f>IF(preDEL!$AG638,IFERROR(0/0,""),preDEL!AI638)</f>
        <v/>
      </c>
      <c r="AJ638" s="112" t="str">
        <f>IF(preDEL!$AG638,IFERROR(0/0,""),preDEL!AJ638)</f>
        <v/>
      </c>
      <c r="AK638" s="105" t="str">
        <f>IF(preDEL!$AG638,IFERROR(0/0,""),preDEL!AK638)</f>
        <v>Negative</v>
      </c>
      <c r="AL638" s="112" t="str">
        <f>IF(preDEL!$AG638,IFERROR(0/0,""),preDEL!AL638)</f>
        <v/>
      </c>
      <c r="AM638" s="112" t="str">
        <f>IF(preDEL!$AG638,IFERROR(0/0,""),preDEL!AM638)</f>
        <v>SpBEND862115</v>
      </c>
      <c r="AN638" s="112" t="str">
        <f>IF(preDEL!$AG638,IFERROR(0/0,""),preDEL!AN638)</f>
        <v>BEND317332</v>
      </c>
      <c r="AO638" s="112" t="str">
        <f>IF(preDEL!$AG638,IFERROR(0/0,""),preDEL!AO638)</f>
        <v/>
      </c>
      <c r="AP638" s="112" t="str">
        <f>IF(preDEL!$AG638,IFERROR(0/0,""),preDEL!AP638)</f>
        <v/>
      </c>
      <c r="AQ638" s="112" t="str">
        <f>IF(preDEL!$AG638,IFERROR(0/0,""),preDEL!AQ638)</f>
        <v/>
      </c>
      <c r="AR638" s="112" t="str">
        <f>IF(preDEL!$AG638,IFERROR(0/0,""),preDEL!AR638)</f>
        <v/>
      </c>
      <c r="AS638" s="112" t="str">
        <f>IF(preDEL!$AG638,IFERROR(0/0,""),preDEL!AS638)</f>
        <v/>
      </c>
      <c r="AT638" s="112" t="b">
        <f>IF(preDEL!$AG638,IFERROR(0/0,""),preDEL!AT638)</f>
        <v>0</v>
      </c>
      <c r="AU638" s="112" t="str">
        <f>IF(preDEL!$AG638,IFERROR(0/0,""),preDEL!AU638)</f>
        <v/>
      </c>
      <c r="AV638" s="112" t="str">
        <f>IF(preDEL!$AG638,IFERROR(0/0,""),preDEL!AV638)</f>
        <v/>
      </c>
      <c r="AW638" s="112" t="str">
        <f>IF(preDEL!$AG638,IFERROR(0/0,""),preDEL!AW638)</f>
        <v/>
      </c>
      <c r="AX638" s="112" t="str">
        <f>IF(preDEL!$AG638,IFERROR(0/0,""),preDEL!AX638)</f>
        <v/>
      </c>
      <c r="AY638" s="112" t="str">
        <f>IF(preDEL!$AG638,IFERROR(0/0,""),preDEL!AY638)</f>
        <v/>
      </c>
      <c r="AZ638" s="174"/>
      <c r="BA638" s="174"/>
      <c r="BB638" s="174"/>
      <c r="BC638" s="174"/>
      <c r="BD638" s="174"/>
      <c r="BE638" s="174"/>
      <c r="BF638" s="174"/>
      <c r="BG638" s="174"/>
      <c r="BH638" s="174"/>
      <c r="BI638" s="174"/>
      <c r="BJ638" s="174"/>
      <c r="BK638" s="174"/>
      <c r="BL638" s="174"/>
      <c r="BM638" s="174"/>
      <c r="BN638" s="174"/>
      <c r="BO638" s="174"/>
      <c r="BP638" s="174"/>
      <c r="BQ638" s="174"/>
      <c r="BR638" s="174"/>
      <c r="BS638" s="174"/>
      <c r="BT638" s="174"/>
      <c r="BU638" s="174"/>
      <c r="BV638" s="174"/>
      <c r="BW638" s="174"/>
      <c r="BX638" s="174"/>
      <c r="BY638" s="174"/>
      <c r="BZ638" s="174"/>
      <c r="CA638" s="174"/>
      <c r="CB638" s="174"/>
      <c r="CC638" s="174"/>
      <c r="CD638" s="174"/>
    </row>
    <row r="639">
      <c r="A639" s="105" t="str">
        <f>IF(preDEL!$AG639,IFERROR(0/0,""),preDEL!A639)</f>
        <v>FM433</v>
      </c>
      <c r="B639" s="170">
        <f>IF(preDEL!$AG639,IFERROR(0/0,""),preDEL!B639)</f>
        <v>44621</v>
      </c>
      <c r="C639" s="171">
        <f>IF(preDEL!$AG639,IFERROR(0/0,""),preDEL!C639)</f>
        <v>0.3271527778</v>
      </c>
      <c r="D639" s="105" t="str">
        <f>IF(preDEL!$AG639,IFERROR(0/0,""),preDEL!D639)</f>
        <v/>
      </c>
      <c r="E639" s="105" t="str">
        <f>IF(preDEL!$AG639,IFERROR(0/0,""),preDEL!E639)</f>
        <v/>
      </c>
      <c r="F639" s="112" t="str">
        <f>IF(preDEL!$AG639,IFERROR(0/0,""),preDEL!F639)</f>
        <v/>
      </c>
      <c r="G639" s="112" t="str">
        <f>IF(preDEL!$AG639,IFERROR(0/0,""),preDEL!G639)</f>
        <v/>
      </c>
      <c r="H639" s="112" t="str">
        <f>IF(preDEL!$AG639,IFERROR(0/0,""),preDEL!H639)</f>
        <v/>
      </c>
      <c r="I639" s="105" t="str">
        <f>IF(preDEL!$AG639,IFERROR(0/0,""),preDEL!I639)</f>
        <v/>
      </c>
      <c r="J639" s="105" t="str">
        <f>IF(preDEL!$AG639,IFERROR(0/0,""),preDEL!J639)</f>
        <v/>
      </c>
      <c r="K639" s="105" t="str">
        <f>IF(preDEL!$AG639,IFERROR(0/0,""),preDEL!K639)</f>
        <v>Negative</v>
      </c>
      <c r="L639" s="170">
        <f>IF(preDEL!$AG639,IFERROR(0/0,""),preDEL!L639)</f>
        <v>44627</v>
      </c>
      <c r="M639" s="171">
        <f>IF(preDEL!$AG639,IFERROR(0/0,""),preDEL!M639)</f>
        <v>0.4779166667</v>
      </c>
      <c r="N639" s="112" t="str">
        <f>IF(preDEL!$AG639,IFERROR(0/0,""),preDEL!N639)</f>
        <v/>
      </c>
      <c r="O639" s="112" t="str">
        <f>IF(preDEL!$AG639,IFERROR(0/0,""),preDEL!O639)</f>
        <v/>
      </c>
      <c r="P639" s="110" t="b">
        <f>IF(preDEL!$AG639,IFERROR(0/0,""),preDEL!P639)</f>
        <v>0</v>
      </c>
      <c r="Q639" s="110" t="str">
        <f>IF(preDEL!$AG639,IFERROR(0/0,""),preDEL!Q639)</f>
        <v>Result</v>
      </c>
      <c r="R639" s="104" t="b">
        <f>IF(preDEL!$AG639,IFERROR(0/0,""),preDEL!R639)</f>
        <v>1</v>
      </c>
      <c r="S639" s="104">
        <f>IF(preDEL!$AG639,IFERROR(0/0,""),preDEL!S639)</f>
        <v>1</v>
      </c>
      <c r="T639" s="110" t="str">
        <f>IF(preDEL!$AG639,IFERROR(0/0,""),preDEL!T639)</f>
        <v/>
      </c>
      <c r="U639" s="112" t="str">
        <f>IF(preDEL!$AG639,IFERROR(0/0,""),preDEL!U639)</f>
        <v/>
      </c>
      <c r="V639" s="105" t="str">
        <f>IF(preDEL!$AG639,IFERROR(0/0,""),preDEL!V639)</f>
        <v/>
      </c>
      <c r="W639" s="112" t="str">
        <f>IF(preDEL!$AG639,IFERROR(0/0,""),preDEL!W639)</f>
        <v/>
      </c>
      <c r="X639" s="104" t="b">
        <f>IF(preDEL!$AG639,IFERROR(0/0,""),preDEL!X639)</f>
        <v>0</v>
      </c>
      <c r="Y639" s="110" t="b">
        <f>IF(preDEL!$AG639,IFERROR(0/0,""),preDEL!Y639)</f>
        <v>0</v>
      </c>
      <c r="Z639" s="105" t="str">
        <f>IF(preDEL!$AG639,IFERROR(0/0,""),preDEL!Z639)</f>
        <v/>
      </c>
      <c r="AA639" s="110" t="b">
        <f>IF(preDEL!$AG639,IFERROR(0/0,""),preDEL!AA639)</f>
        <v>0</v>
      </c>
      <c r="AB639" s="110" t="b">
        <f>IF(preDEL!$AG639,IFERROR(0/0,""),preDEL!AB639)</f>
        <v>0</v>
      </c>
      <c r="AC639" s="172">
        <f>IF(preDEL!$AG639,IFERROR(0/0,""),preDEL!AC639)</f>
        <v>177</v>
      </c>
      <c r="AD639" s="104" t="b">
        <f>IF(preDEL!$AG639,IFERROR(0/0,""),preDEL!AD639)</f>
        <v>0</v>
      </c>
      <c r="AE639" s="173" t="str">
        <f>IF(preDEL!$AG639,IFERROR(0/0,""),preDEL!AE639)</f>
        <v/>
      </c>
      <c r="AF639" s="110" t="b">
        <f>IF(preDEL!$AG639,IFERROR(0/0,""),preDEL!AF639)</f>
        <v>0</v>
      </c>
      <c r="AG639" s="110" t="b">
        <f>IF(preDEL!$AG639,IFERROR(0/0,""),preDEL!AG639)</f>
        <v>0</v>
      </c>
      <c r="AH639" s="104" t="str">
        <f>IF(preDEL!$AG639,IFERROR(0/0,""),preDEL!AH639)</f>
        <v/>
      </c>
      <c r="AI639" s="105" t="str">
        <f>IF(preDEL!$AG639,IFERROR(0/0,""),preDEL!AI639)</f>
        <v/>
      </c>
      <c r="AJ639" s="112" t="str">
        <f>IF(preDEL!$AG639,IFERROR(0/0,""),preDEL!AJ639)</f>
        <v/>
      </c>
      <c r="AK639" s="105" t="str">
        <f>IF(preDEL!$AG639,IFERROR(0/0,""),preDEL!AK639)</f>
        <v>Negative</v>
      </c>
      <c r="AL639" s="112" t="str">
        <f>IF(preDEL!$AG639,IFERROR(0/0,""),preDEL!AL639)</f>
        <v/>
      </c>
      <c r="AM639" s="112" t="str">
        <f>IF(preDEL!$AG639,IFERROR(0/0,""),preDEL!AM639)</f>
        <v>SpBEND982195</v>
      </c>
      <c r="AN639" s="112" t="str">
        <f>IF(preDEL!$AG639,IFERROR(0/0,""),preDEL!AN639)</f>
        <v>BEND186672</v>
      </c>
      <c r="AO639" s="112" t="str">
        <f>IF(preDEL!$AG639,IFERROR(0/0,""),preDEL!AO639)</f>
        <v/>
      </c>
      <c r="AP639" s="112" t="str">
        <f>IF(preDEL!$AG639,IFERROR(0/0,""),preDEL!AP639)</f>
        <v/>
      </c>
      <c r="AQ639" s="112" t="str">
        <f>IF(preDEL!$AG639,IFERROR(0/0,""),preDEL!AQ639)</f>
        <v/>
      </c>
      <c r="AR639" s="112" t="str">
        <f>IF(preDEL!$AG639,IFERROR(0/0,""),preDEL!AR639)</f>
        <v/>
      </c>
      <c r="AS639" s="112" t="str">
        <f>IF(preDEL!$AG639,IFERROR(0/0,""),preDEL!AS639)</f>
        <v/>
      </c>
      <c r="AT639" s="112" t="b">
        <f>IF(preDEL!$AG639,IFERROR(0/0,""),preDEL!AT639)</f>
        <v>0</v>
      </c>
      <c r="AU639" s="112" t="str">
        <f>IF(preDEL!$AG639,IFERROR(0/0,""),preDEL!AU639)</f>
        <v/>
      </c>
      <c r="AV639" s="112" t="str">
        <f>IF(preDEL!$AG639,IFERROR(0/0,""),preDEL!AV639)</f>
        <v/>
      </c>
      <c r="AW639" s="112" t="str">
        <f>IF(preDEL!$AG639,IFERROR(0/0,""),preDEL!AW639)</f>
        <v/>
      </c>
      <c r="AX639" s="112" t="str">
        <f>IF(preDEL!$AG639,IFERROR(0/0,""),preDEL!AX639)</f>
        <v/>
      </c>
      <c r="AY639" s="112" t="str">
        <f>IF(preDEL!$AG639,IFERROR(0/0,""),preDEL!AY639)</f>
        <v/>
      </c>
      <c r="AZ639" s="174"/>
      <c r="BA639" s="174"/>
      <c r="BB639" s="174"/>
      <c r="BC639" s="174"/>
      <c r="BD639" s="174"/>
      <c r="BE639" s="174"/>
      <c r="BF639" s="174"/>
      <c r="BG639" s="174"/>
      <c r="BH639" s="174"/>
      <c r="BI639" s="174"/>
      <c r="BJ639" s="174"/>
      <c r="BK639" s="174"/>
      <c r="BL639" s="174"/>
      <c r="BM639" s="174"/>
      <c r="BN639" s="174"/>
      <c r="BO639" s="174"/>
      <c r="BP639" s="174"/>
      <c r="BQ639" s="174"/>
      <c r="BR639" s="174"/>
      <c r="BS639" s="174"/>
      <c r="BT639" s="174"/>
      <c r="BU639" s="174"/>
      <c r="BV639" s="174"/>
      <c r="BW639" s="174"/>
      <c r="BX639" s="174"/>
      <c r="BY639" s="174"/>
      <c r="BZ639" s="174"/>
      <c r="CA639" s="174"/>
      <c r="CB639" s="174"/>
      <c r="CC639" s="174"/>
      <c r="CD639" s="174"/>
    </row>
    <row r="640">
      <c r="A640" s="105" t="str">
        <f>IF(preDEL!$AG640,IFERROR(0/0,""),preDEL!A640)</f>
        <v>FM390</v>
      </c>
      <c r="B640" s="170">
        <f>IF(preDEL!$AG640,IFERROR(0/0,""),preDEL!B640)</f>
        <v>44621</v>
      </c>
      <c r="C640" s="171">
        <f>IF(preDEL!$AG640,IFERROR(0/0,""),preDEL!C640)</f>
        <v>0.3284953704</v>
      </c>
      <c r="D640" s="105" t="str">
        <f>IF(preDEL!$AG640,IFERROR(0/0,""),preDEL!D640)</f>
        <v/>
      </c>
      <c r="E640" s="105" t="str">
        <f>IF(preDEL!$AG640,IFERROR(0/0,""),preDEL!E640)</f>
        <v/>
      </c>
      <c r="F640" s="112" t="str">
        <f>IF(preDEL!$AG640,IFERROR(0/0,""),preDEL!F640)</f>
        <v/>
      </c>
      <c r="G640" s="112" t="str">
        <f>IF(preDEL!$AG640,IFERROR(0/0,""),preDEL!G640)</f>
        <v/>
      </c>
      <c r="H640" s="112" t="str">
        <f>IF(preDEL!$AG640,IFERROR(0/0,""),preDEL!H640)</f>
        <v/>
      </c>
      <c r="I640" s="105" t="str">
        <f>IF(preDEL!$AG640,IFERROR(0/0,""),preDEL!I640)</f>
        <v/>
      </c>
      <c r="J640" s="105" t="str">
        <f>IF(preDEL!$AG640,IFERROR(0/0,""),preDEL!J640)</f>
        <v/>
      </c>
      <c r="K640" s="105" t="str">
        <f>IF(preDEL!$AG640,IFERROR(0/0,""),preDEL!K640)</f>
        <v>Negative</v>
      </c>
      <c r="L640" s="170">
        <f>IF(preDEL!$AG640,IFERROR(0/0,""),preDEL!L640)</f>
        <v>44627</v>
      </c>
      <c r="M640" s="171">
        <f>IF(preDEL!$AG640,IFERROR(0/0,""),preDEL!M640)</f>
        <v>0.4779166667</v>
      </c>
      <c r="N640" s="112" t="str">
        <f>IF(preDEL!$AG640,IFERROR(0/0,""),preDEL!N640)</f>
        <v/>
      </c>
      <c r="O640" s="112" t="str">
        <f>IF(preDEL!$AG640,IFERROR(0/0,""),preDEL!O640)</f>
        <v/>
      </c>
      <c r="P640" s="110" t="b">
        <f>IF(preDEL!$AG640,IFERROR(0/0,""),preDEL!P640)</f>
        <v>0</v>
      </c>
      <c r="Q640" s="110" t="str">
        <f>IF(preDEL!$AG640,IFERROR(0/0,""),preDEL!Q640)</f>
        <v>Result</v>
      </c>
      <c r="R640" s="104" t="b">
        <f>IF(preDEL!$AG640,IFERROR(0/0,""),preDEL!R640)</f>
        <v>1</v>
      </c>
      <c r="S640" s="104">
        <f>IF(preDEL!$AG640,IFERROR(0/0,""),preDEL!S640)</f>
        <v>1</v>
      </c>
      <c r="T640" s="110" t="str">
        <f>IF(preDEL!$AG640,IFERROR(0/0,""),preDEL!T640)</f>
        <v/>
      </c>
      <c r="U640" s="112" t="str">
        <f>IF(preDEL!$AG640,IFERROR(0/0,""),preDEL!U640)</f>
        <v/>
      </c>
      <c r="V640" s="105" t="str">
        <f>IF(preDEL!$AG640,IFERROR(0/0,""),preDEL!V640)</f>
        <v/>
      </c>
      <c r="W640" s="112" t="str">
        <f>IF(preDEL!$AG640,IFERROR(0/0,""),preDEL!W640)</f>
        <v/>
      </c>
      <c r="X640" s="104" t="b">
        <f>IF(preDEL!$AG640,IFERROR(0/0,""),preDEL!X640)</f>
        <v>0</v>
      </c>
      <c r="Y640" s="110" t="b">
        <f>IF(preDEL!$AG640,IFERROR(0/0,""),preDEL!Y640)</f>
        <v>0</v>
      </c>
      <c r="Z640" s="105" t="str">
        <f>IF(preDEL!$AG640,IFERROR(0/0,""),preDEL!Z640)</f>
        <v/>
      </c>
      <c r="AA640" s="110" t="b">
        <f>IF(preDEL!$AG640,IFERROR(0/0,""),preDEL!AA640)</f>
        <v>0</v>
      </c>
      <c r="AB640" s="110" t="b">
        <f>IF(preDEL!$AG640,IFERROR(0/0,""),preDEL!AB640)</f>
        <v>0</v>
      </c>
      <c r="AC640" s="172">
        <f>IF(preDEL!$AG640,IFERROR(0/0,""),preDEL!AC640)</f>
        <v>176</v>
      </c>
      <c r="AD640" s="104" t="b">
        <f>IF(preDEL!$AG640,IFERROR(0/0,""),preDEL!AD640)</f>
        <v>0</v>
      </c>
      <c r="AE640" s="173" t="str">
        <f>IF(preDEL!$AG640,IFERROR(0/0,""),preDEL!AE640)</f>
        <v/>
      </c>
      <c r="AF640" s="110" t="b">
        <f>IF(preDEL!$AG640,IFERROR(0/0,""),preDEL!AF640)</f>
        <v>0</v>
      </c>
      <c r="AG640" s="110" t="b">
        <f>IF(preDEL!$AG640,IFERROR(0/0,""),preDEL!AG640)</f>
        <v>0</v>
      </c>
      <c r="AH640" s="104" t="str">
        <f>IF(preDEL!$AG640,IFERROR(0/0,""),preDEL!AH640)</f>
        <v/>
      </c>
      <c r="AI640" s="105" t="str">
        <f>IF(preDEL!$AG640,IFERROR(0/0,""),preDEL!AI640)</f>
        <v/>
      </c>
      <c r="AJ640" s="112" t="str">
        <f>IF(preDEL!$AG640,IFERROR(0/0,""),preDEL!AJ640)</f>
        <v/>
      </c>
      <c r="AK640" s="105" t="str">
        <f>IF(preDEL!$AG640,IFERROR(0/0,""),preDEL!AK640)</f>
        <v>Negative</v>
      </c>
      <c r="AL640" s="112" t="str">
        <f>IF(preDEL!$AG640,IFERROR(0/0,""),preDEL!AL640)</f>
        <v/>
      </c>
      <c r="AM640" s="112" t="str">
        <f>IF(preDEL!$AG640,IFERROR(0/0,""),preDEL!AM640)</f>
        <v>SpBEND363177</v>
      </c>
      <c r="AN640" s="112" t="str">
        <f>IF(preDEL!$AG640,IFERROR(0/0,""),preDEL!AN640)</f>
        <v>BEND213287</v>
      </c>
      <c r="AO640" s="112" t="str">
        <f>IF(preDEL!$AG640,IFERROR(0/0,""),preDEL!AO640)</f>
        <v/>
      </c>
      <c r="AP640" s="112" t="str">
        <f>IF(preDEL!$AG640,IFERROR(0/0,""),preDEL!AP640)</f>
        <v/>
      </c>
      <c r="AQ640" s="112" t="str">
        <f>IF(preDEL!$AG640,IFERROR(0/0,""),preDEL!AQ640)</f>
        <v/>
      </c>
      <c r="AR640" s="112" t="str">
        <f>IF(preDEL!$AG640,IFERROR(0/0,""),preDEL!AR640)</f>
        <v/>
      </c>
      <c r="AS640" s="112" t="str">
        <f>IF(preDEL!$AG640,IFERROR(0/0,""),preDEL!AS640)</f>
        <v/>
      </c>
      <c r="AT640" s="112" t="b">
        <f>IF(preDEL!$AG640,IFERROR(0/0,""),preDEL!AT640)</f>
        <v>0</v>
      </c>
      <c r="AU640" s="112" t="str">
        <f>IF(preDEL!$AG640,IFERROR(0/0,""),preDEL!AU640)</f>
        <v/>
      </c>
      <c r="AV640" s="112" t="str">
        <f>IF(preDEL!$AG640,IFERROR(0/0,""),preDEL!AV640)</f>
        <v/>
      </c>
      <c r="AW640" s="112" t="str">
        <f>IF(preDEL!$AG640,IFERROR(0/0,""),preDEL!AW640)</f>
        <v/>
      </c>
      <c r="AX640" s="112" t="str">
        <f>IF(preDEL!$AG640,IFERROR(0/0,""),preDEL!AX640)</f>
        <v/>
      </c>
      <c r="AY640" s="112" t="str">
        <f>IF(preDEL!$AG640,IFERROR(0/0,""),preDEL!AY640)</f>
        <v/>
      </c>
      <c r="AZ640" s="174"/>
      <c r="BA640" s="174"/>
      <c r="BB640" s="174"/>
      <c r="BC640" s="174"/>
      <c r="BD640" s="174"/>
      <c r="BE640" s="174"/>
      <c r="BF640" s="174"/>
      <c r="BG640" s="174"/>
      <c r="BH640" s="174"/>
      <c r="BI640" s="174"/>
      <c r="BJ640" s="174"/>
      <c r="BK640" s="174"/>
      <c r="BL640" s="174"/>
      <c r="BM640" s="174"/>
      <c r="BN640" s="174"/>
      <c r="BO640" s="174"/>
      <c r="BP640" s="174"/>
      <c r="BQ640" s="174"/>
      <c r="BR640" s="174"/>
      <c r="BS640" s="174"/>
      <c r="BT640" s="174"/>
      <c r="BU640" s="174"/>
      <c r="BV640" s="174"/>
      <c r="BW640" s="174"/>
      <c r="BX640" s="174"/>
      <c r="BY640" s="174"/>
      <c r="BZ640" s="174"/>
      <c r="CA640" s="174"/>
      <c r="CB640" s="174"/>
      <c r="CC640" s="174"/>
      <c r="CD640" s="174"/>
    </row>
    <row r="641">
      <c r="A641" s="105" t="str">
        <f>IF(preDEL!$AG641,IFERROR(0/0,""),preDEL!A641)</f>
        <v>FM106</v>
      </c>
      <c r="B641" s="170">
        <f>IF(preDEL!$AG641,IFERROR(0/0,""),preDEL!B641)</f>
        <v>44621</v>
      </c>
      <c r="C641" s="171">
        <f>IF(preDEL!$AG641,IFERROR(0/0,""),preDEL!C641)</f>
        <v>0.3285648148</v>
      </c>
      <c r="D641" s="105" t="str">
        <f>IF(preDEL!$AG641,IFERROR(0/0,""),preDEL!D641)</f>
        <v/>
      </c>
      <c r="E641" s="105" t="str">
        <f>IF(preDEL!$AG641,IFERROR(0/0,""),preDEL!E641)</f>
        <v/>
      </c>
      <c r="F641" s="112" t="str">
        <f>IF(preDEL!$AG641,IFERROR(0/0,""),preDEL!F641)</f>
        <v/>
      </c>
      <c r="G641" s="112" t="str">
        <f>IF(preDEL!$AG641,IFERROR(0/0,""),preDEL!G641)</f>
        <v/>
      </c>
      <c r="H641" s="112" t="str">
        <f>IF(preDEL!$AG641,IFERROR(0/0,""),preDEL!H641)</f>
        <v/>
      </c>
      <c r="I641" s="105" t="str">
        <f>IF(preDEL!$AG641,IFERROR(0/0,""),preDEL!I641)</f>
        <v/>
      </c>
      <c r="J641" s="105" t="str">
        <f>IF(preDEL!$AG641,IFERROR(0/0,""),preDEL!J641)</f>
        <v/>
      </c>
      <c r="K641" s="105" t="str">
        <f>IF(preDEL!$AG641,IFERROR(0/0,""),preDEL!K641)</f>
        <v>Negative</v>
      </c>
      <c r="L641" s="170">
        <f>IF(preDEL!$AG641,IFERROR(0/0,""),preDEL!L641)</f>
        <v>44627</v>
      </c>
      <c r="M641" s="171">
        <f>IF(preDEL!$AG641,IFERROR(0/0,""),preDEL!M641)</f>
        <v>0.4779282407</v>
      </c>
      <c r="N641" s="112" t="str">
        <f>IF(preDEL!$AG641,IFERROR(0/0,""),preDEL!N641)</f>
        <v/>
      </c>
      <c r="O641" s="112" t="str">
        <f>IF(preDEL!$AG641,IFERROR(0/0,""),preDEL!O641)</f>
        <v/>
      </c>
      <c r="P641" s="110" t="b">
        <f>IF(preDEL!$AG641,IFERROR(0/0,""),preDEL!P641)</f>
        <v>0</v>
      </c>
      <c r="Q641" s="110" t="str">
        <f>IF(preDEL!$AG641,IFERROR(0/0,""),preDEL!Q641)</f>
        <v>Result</v>
      </c>
      <c r="R641" s="104" t="b">
        <f>IF(preDEL!$AG641,IFERROR(0/0,""),preDEL!R641)</f>
        <v>1</v>
      </c>
      <c r="S641" s="104">
        <f>IF(preDEL!$AG641,IFERROR(0/0,""),preDEL!S641)</f>
        <v>1</v>
      </c>
      <c r="T641" s="110" t="str">
        <f>IF(preDEL!$AG641,IFERROR(0/0,""),preDEL!T641)</f>
        <v/>
      </c>
      <c r="U641" s="112" t="str">
        <f>IF(preDEL!$AG641,IFERROR(0/0,""),preDEL!U641)</f>
        <v/>
      </c>
      <c r="V641" s="105" t="str">
        <f>IF(preDEL!$AG641,IFERROR(0/0,""),preDEL!V641)</f>
        <v/>
      </c>
      <c r="W641" s="112" t="str">
        <f>IF(preDEL!$AG641,IFERROR(0/0,""),preDEL!W641)</f>
        <v/>
      </c>
      <c r="X641" s="104" t="b">
        <f>IF(preDEL!$AG641,IFERROR(0/0,""),preDEL!X641)</f>
        <v>0</v>
      </c>
      <c r="Y641" s="110" t="b">
        <f>IF(preDEL!$AG641,IFERROR(0/0,""),preDEL!Y641)</f>
        <v>0</v>
      </c>
      <c r="Z641" s="105" t="str">
        <f>IF(preDEL!$AG641,IFERROR(0/0,""),preDEL!Z641)</f>
        <v/>
      </c>
      <c r="AA641" s="110" t="b">
        <f>IF(preDEL!$AG641,IFERROR(0/0,""),preDEL!AA641)</f>
        <v>0</v>
      </c>
      <c r="AB641" s="110" t="b">
        <f>IF(preDEL!$AG641,IFERROR(0/0,""),preDEL!AB641)</f>
        <v>0</v>
      </c>
      <c r="AC641" s="172">
        <f>IF(preDEL!$AG641,IFERROR(0/0,""),preDEL!AC641)</f>
        <v>175</v>
      </c>
      <c r="AD641" s="104" t="b">
        <f>IF(preDEL!$AG641,IFERROR(0/0,""),preDEL!AD641)</f>
        <v>0</v>
      </c>
      <c r="AE641" s="173" t="str">
        <f>IF(preDEL!$AG641,IFERROR(0/0,""),preDEL!AE641)</f>
        <v/>
      </c>
      <c r="AF641" s="110" t="b">
        <f>IF(preDEL!$AG641,IFERROR(0/0,""),preDEL!AF641)</f>
        <v>0</v>
      </c>
      <c r="AG641" s="110" t="b">
        <f>IF(preDEL!$AG641,IFERROR(0/0,""),preDEL!AG641)</f>
        <v>0</v>
      </c>
      <c r="AH641" s="104" t="str">
        <f>IF(preDEL!$AG641,IFERROR(0/0,""),preDEL!AH641)</f>
        <v/>
      </c>
      <c r="AI641" s="105" t="str">
        <f>IF(preDEL!$AG641,IFERROR(0/0,""),preDEL!AI641)</f>
        <v/>
      </c>
      <c r="AJ641" s="112" t="str">
        <f>IF(preDEL!$AG641,IFERROR(0/0,""),preDEL!AJ641)</f>
        <v/>
      </c>
      <c r="AK641" s="105" t="str">
        <f>IF(preDEL!$AG641,IFERROR(0/0,""),preDEL!AK641)</f>
        <v>Negative</v>
      </c>
      <c r="AL641" s="112" t="str">
        <f>IF(preDEL!$AG641,IFERROR(0/0,""),preDEL!AL641)</f>
        <v/>
      </c>
      <c r="AM641" s="112" t="str">
        <f>IF(preDEL!$AG641,IFERROR(0/0,""),preDEL!AM641)</f>
        <v>SpBEND349435</v>
      </c>
      <c r="AN641" s="112" t="str">
        <f>IF(preDEL!$AG641,IFERROR(0/0,""),preDEL!AN641)</f>
        <v>BEND759602</v>
      </c>
      <c r="AO641" s="112" t="str">
        <f>IF(preDEL!$AG641,IFERROR(0/0,""),preDEL!AO641)</f>
        <v/>
      </c>
      <c r="AP641" s="112" t="str">
        <f>IF(preDEL!$AG641,IFERROR(0/0,""),preDEL!AP641)</f>
        <v/>
      </c>
      <c r="AQ641" s="112" t="str">
        <f>IF(preDEL!$AG641,IFERROR(0/0,""),preDEL!AQ641)</f>
        <v/>
      </c>
      <c r="AR641" s="112" t="str">
        <f>IF(preDEL!$AG641,IFERROR(0/0,""),preDEL!AR641)</f>
        <v/>
      </c>
      <c r="AS641" s="112" t="str">
        <f>IF(preDEL!$AG641,IFERROR(0/0,""),preDEL!AS641)</f>
        <v/>
      </c>
      <c r="AT641" s="112" t="b">
        <f>IF(preDEL!$AG641,IFERROR(0/0,""),preDEL!AT641)</f>
        <v>0</v>
      </c>
      <c r="AU641" s="112" t="str">
        <f>IF(preDEL!$AG641,IFERROR(0/0,""),preDEL!AU641)</f>
        <v/>
      </c>
      <c r="AV641" s="112" t="str">
        <f>IF(preDEL!$AG641,IFERROR(0/0,""),preDEL!AV641)</f>
        <v/>
      </c>
      <c r="AW641" s="112" t="str">
        <f>IF(preDEL!$AG641,IFERROR(0/0,""),preDEL!AW641)</f>
        <v/>
      </c>
      <c r="AX641" s="112" t="str">
        <f>IF(preDEL!$AG641,IFERROR(0/0,""),preDEL!AX641)</f>
        <v/>
      </c>
      <c r="AY641" s="112" t="str">
        <f>IF(preDEL!$AG641,IFERROR(0/0,""),preDEL!AY641)</f>
        <v/>
      </c>
      <c r="AZ641" s="174"/>
      <c r="BA641" s="174"/>
      <c r="BB641" s="174"/>
      <c r="BC641" s="174"/>
      <c r="BD641" s="174"/>
      <c r="BE641" s="174"/>
      <c r="BF641" s="174"/>
      <c r="BG641" s="174"/>
      <c r="BH641" s="174"/>
      <c r="BI641" s="174"/>
      <c r="BJ641" s="174"/>
      <c r="BK641" s="174"/>
      <c r="BL641" s="174"/>
      <c r="BM641" s="174"/>
      <c r="BN641" s="174"/>
      <c r="BO641" s="174"/>
      <c r="BP641" s="174"/>
      <c r="BQ641" s="174"/>
      <c r="BR641" s="174"/>
      <c r="BS641" s="174"/>
      <c r="BT641" s="174"/>
      <c r="BU641" s="174"/>
      <c r="BV641" s="174"/>
      <c r="BW641" s="174"/>
      <c r="BX641" s="174"/>
      <c r="BY641" s="174"/>
      <c r="BZ641" s="174"/>
      <c r="CA641" s="174"/>
      <c r="CB641" s="174"/>
      <c r="CC641" s="174"/>
      <c r="CD641" s="174"/>
    </row>
    <row r="642">
      <c r="A642" s="105" t="str">
        <f>IF(preDEL!$AG642,IFERROR(0/0,""),preDEL!A642)</f>
        <v>FM374</v>
      </c>
      <c r="B642" s="170">
        <f>IF(preDEL!$AG642,IFERROR(0/0,""),preDEL!B642)</f>
        <v>44621</v>
      </c>
      <c r="C642" s="171">
        <f>IF(preDEL!$AG642,IFERROR(0/0,""),preDEL!C642)</f>
        <v>0.329224537</v>
      </c>
      <c r="D642" s="105" t="str">
        <f>IF(preDEL!$AG642,IFERROR(0/0,""),preDEL!D642)</f>
        <v/>
      </c>
      <c r="E642" s="105" t="str">
        <f>IF(preDEL!$AG642,IFERROR(0/0,""),preDEL!E642)</f>
        <v/>
      </c>
      <c r="F642" s="112" t="str">
        <f>IF(preDEL!$AG642,IFERROR(0/0,""),preDEL!F642)</f>
        <v/>
      </c>
      <c r="G642" s="112" t="str">
        <f>IF(preDEL!$AG642,IFERROR(0/0,""),preDEL!G642)</f>
        <v/>
      </c>
      <c r="H642" s="112" t="str">
        <f>IF(preDEL!$AG642,IFERROR(0/0,""),preDEL!H642)</f>
        <v/>
      </c>
      <c r="I642" s="105" t="str">
        <f>IF(preDEL!$AG642,IFERROR(0/0,""),preDEL!I642)</f>
        <v/>
      </c>
      <c r="J642" s="105" t="str">
        <f>IF(preDEL!$AG642,IFERROR(0/0,""),preDEL!J642)</f>
        <v/>
      </c>
      <c r="K642" s="105" t="str">
        <f>IF(preDEL!$AG642,IFERROR(0/0,""),preDEL!K642)</f>
        <v>Negative</v>
      </c>
      <c r="L642" s="170">
        <f>IF(preDEL!$AG642,IFERROR(0/0,""),preDEL!L642)</f>
        <v>44627</v>
      </c>
      <c r="M642" s="171">
        <f>IF(preDEL!$AG642,IFERROR(0/0,""),preDEL!M642)</f>
        <v>0.4779282407</v>
      </c>
      <c r="N642" s="112" t="str">
        <f>IF(preDEL!$AG642,IFERROR(0/0,""),preDEL!N642)</f>
        <v/>
      </c>
      <c r="O642" s="112" t="str">
        <f>IF(preDEL!$AG642,IFERROR(0/0,""),preDEL!O642)</f>
        <v/>
      </c>
      <c r="P642" s="110" t="b">
        <f>IF(preDEL!$AG642,IFERROR(0/0,""),preDEL!P642)</f>
        <v>0</v>
      </c>
      <c r="Q642" s="110" t="str">
        <f>IF(preDEL!$AG642,IFERROR(0/0,""),preDEL!Q642)</f>
        <v>Result</v>
      </c>
      <c r="R642" s="104" t="b">
        <f>IF(preDEL!$AG642,IFERROR(0/0,""),preDEL!R642)</f>
        <v>1</v>
      </c>
      <c r="S642" s="104">
        <f>IF(preDEL!$AG642,IFERROR(0/0,""),preDEL!S642)</f>
        <v>1</v>
      </c>
      <c r="T642" s="110" t="str">
        <f>IF(preDEL!$AG642,IFERROR(0/0,""),preDEL!T642)</f>
        <v/>
      </c>
      <c r="U642" s="112" t="str">
        <f>IF(preDEL!$AG642,IFERROR(0/0,""),preDEL!U642)</f>
        <v/>
      </c>
      <c r="V642" s="105" t="str">
        <f>IF(preDEL!$AG642,IFERROR(0/0,""),preDEL!V642)</f>
        <v/>
      </c>
      <c r="W642" s="112" t="str">
        <f>IF(preDEL!$AG642,IFERROR(0/0,""),preDEL!W642)</f>
        <v/>
      </c>
      <c r="X642" s="104" t="b">
        <f>IF(preDEL!$AG642,IFERROR(0/0,""),preDEL!X642)</f>
        <v>0</v>
      </c>
      <c r="Y642" s="110" t="b">
        <f>IF(preDEL!$AG642,IFERROR(0/0,""),preDEL!Y642)</f>
        <v>0</v>
      </c>
      <c r="Z642" s="105" t="str">
        <f>IF(preDEL!$AG642,IFERROR(0/0,""),preDEL!Z642)</f>
        <v/>
      </c>
      <c r="AA642" s="110" t="b">
        <f>IF(preDEL!$AG642,IFERROR(0/0,""),preDEL!AA642)</f>
        <v>0</v>
      </c>
      <c r="AB642" s="110" t="b">
        <f>IF(preDEL!$AG642,IFERROR(0/0,""),preDEL!AB642)</f>
        <v>0</v>
      </c>
      <c r="AC642" s="172">
        <f>IF(preDEL!$AG642,IFERROR(0/0,""),preDEL!AC642)</f>
        <v>174</v>
      </c>
      <c r="AD642" s="104" t="b">
        <f>IF(preDEL!$AG642,IFERROR(0/0,""),preDEL!AD642)</f>
        <v>0</v>
      </c>
      <c r="AE642" s="173" t="str">
        <f>IF(preDEL!$AG642,IFERROR(0/0,""),preDEL!AE642)</f>
        <v/>
      </c>
      <c r="AF642" s="110" t="b">
        <f>IF(preDEL!$AG642,IFERROR(0/0,""),preDEL!AF642)</f>
        <v>0</v>
      </c>
      <c r="AG642" s="110" t="b">
        <f>IF(preDEL!$AG642,IFERROR(0/0,""),preDEL!AG642)</f>
        <v>0</v>
      </c>
      <c r="AH642" s="104" t="str">
        <f>IF(preDEL!$AG642,IFERROR(0/0,""),preDEL!AH642)</f>
        <v/>
      </c>
      <c r="AI642" s="105" t="str">
        <f>IF(preDEL!$AG642,IFERROR(0/0,""),preDEL!AI642)</f>
        <v/>
      </c>
      <c r="AJ642" s="112" t="str">
        <f>IF(preDEL!$AG642,IFERROR(0/0,""),preDEL!AJ642)</f>
        <v/>
      </c>
      <c r="AK642" s="105" t="str">
        <f>IF(preDEL!$AG642,IFERROR(0/0,""),preDEL!AK642)</f>
        <v>Negative</v>
      </c>
      <c r="AL642" s="112" t="str">
        <f>IF(preDEL!$AG642,IFERROR(0/0,""),preDEL!AL642)</f>
        <v/>
      </c>
      <c r="AM642" s="112" t="str">
        <f>IF(preDEL!$AG642,IFERROR(0/0,""),preDEL!AM642)</f>
        <v>SpBEND652059</v>
      </c>
      <c r="AN642" s="112" t="str">
        <f>IF(preDEL!$AG642,IFERROR(0/0,""),preDEL!AN642)</f>
        <v>BEND520608</v>
      </c>
      <c r="AO642" s="112" t="str">
        <f>IF(preDEL!$AG642,IFERROR(0/0,""),preDEL!AO642)</f>
        <v/>
      </c>
      <c r="AP642" s="112" t="str">
        <f>IF(preDEL!$AG642,IFERROR(0/0,""),preDEL!AP642)</f>
        <v/>
      </c>
      <c r="AQ642" s="112" t="str">
        <f>IF(preDEL!$AG642,IFERROR(0/0,""),preDEL!AQ642)</f>
        <v/>
      </c>
      <c r="AR642" s="112" t="str">
        <f>IF(preDEL!$AG642,IFERROR(0/0,""),preDEL!AR642)</f>
        <v/>
      </c>
      <c r="AS642" s="112" t="str">
        <f>IF(preDEL!$AG642,IFERROR(0/0,""),preDEL!AS642)</f>
        <v/>
      </c>
      <c r="AT642" s="112" t="b">
        <f>IF(preDEL!$AG642,IFERROR(0/0,""),preDEL!AT642)</f>
        <v>0</v>
      </c>
      <c r="AU642" s="112" t="str">
        <f>IF(preDEL!$AG642,IFERROR(0/0,""),preDEL!AU642)</f>
        <v/>
      </c>
      <c r="AV642" s="112" t="str">
        <f>IF(preDEL!$AG642,IFERROR(0/0,""),preDEL!AV642)</f>
        <v/>
      </c>
      <c r="AW642" s="112" t="str">
        <f>IF(preDEL!$AG642,IFERROR(0/0,""),preDEL!AW642)</f>
        <v/>
      </c>
      <c r="AX642" s="112" t="str">
        <f>IF(preDEL!$AG642,IFERROR(0/0,""),preDEL!AX642)</f>
        <v/>
      </c>
      <c r="AY642" s="112" t="str">
        <f>IF(preDEL!$AG642,IFERROR(0/0,""),preDEL!AY642)</f>
        <v/>
      </c>
      <c r="AZ642" s="174"/>
      <c r="BA642" s="174"/>
      <c r="BB642" s="174"/>
      <c r="BC642" s="174"/>
      <c r="BD642" s="174"/>
      <c r="BE642" s="174"/>
      <c r="BF642" s="174"/>
      <c r="BG642" s="174"/>
      <c r="BH642" s="174"/>
      <c r="BI642" s="174"/>
      <c r="BJ642" s="174"/>
      <c r="BK642" s="174"/>
      <c r="BL642" s="174"/>
      <c r="BM642" s="174"/>
      <c r="BN642" s="174"/>
      <c r="BO642" s="174"/>
      <c r="BP642" s="174"/>
      <c r="BQ642" s="174"/>
      <c r="BR642" s="174"/>
      <c r="BS642" s="174"/>
      <c r="BT642" s="174"/>
      <c r="BU642" s="174"/>
      <c r="BV642" s="174"/>
      <c r="BW642" s="174"/>
      <c r="BX642" s="174"/>
      <c r="BY642" s="174"/>
      <c r="BZ642" s="174"/>
      <c r="CA642" s="174"/>
      <c r="CB642" s="174"/>
      <c r="CC642" s="174"/>
      <c r="CD642" s="174"/>
    </row>
    <row r="643">
      <c r="A643" s="105" t="str">
        <f>IF(preDEL!$AG643,IFERROR(0/0,""),preDEL!A643)</f>
        <v>FM821</v>
      </c>
      <c r="B643" s="170">
        <f>IF(preDEL!$AG643,IFERROR(0/0,""),preDEL!B643)</f>
        <v>44621</v>
      </c>
      <c r="C643" s="171">
        <f>IF(preDEL!$AG643,IFERROR(0/0,""),preDEL!C643)</f>
        <v>0.329525463</v>
      </c>
      <c r="D643" s="105" t="str">
        <f>IF(preDEL!$AG643,IFERROR(0/0,""),preDEL!D643)</f>
        <v/>
      </c>
      <c r="E643" s="105" t="str">
        <f>IF(preDEL!$AG643,IFERROR(0/0,""),preDEL!E643)</f>
        <v/>
      </c>
      <c r="F643" s="112" t="str">
        <f>IF(preDEL!$AG643,IFERROR(0/0,""),preDEL!F643)</f>
        <v/>
      </c>
      <c r="G643" s="112" t="str">
        <f>IF(preDEL!$AG643,IFERROR(0/0,""),preDEL!G643)</f>
        <v/>
      </c>
      <c r="H643" s="112" t="str">
        <f>IF(preDEL!$AG643,IFERROR(0/0,""),preDEL!H643)</f>
        <v/>
      </c>
      <c r="I643" s="105" t="str">
        <f>IF(preDEL!$AG643,IFERROR(0/0,""),preDEL!I643)</f>
        <v/>
      </c>
      <c r="J643" s="105" t="str">
        <f>IF(preDEL!$AG643,IFERROR(0/0,""),preDEL!J643)</f>
        <v/>
      </c>
      <c r="K643" s="105" t="str">
        <f>IF(preDEL!$AG643,IFERROR(0/0,""),preDEL!K643)</f>
        <v>Negative</v>
      </c>
      <c r="L643" s="170">
        <f>IF(preDEL!$AG643,IFERROR(0/0,""),preDEL!L643)</f>
        <v>44627</v>
      </c>
      <c r="M643" s="171">
        <f>IF(preDEL!$AG643,IFERROR(0/0,""),preDEL!M643)</f>
        <v>0.4779282407</v>
      </c>
      <c r="N643" s="112" t="str">
        <f>IF(preDEL!$AG643,IFERROR(0/0,""),preDEL!N643)</f>
        <v/>
      </c>
      <c r="O643" s="112" t="str">
        <f>IF(preDEL!$AG643,IFERROR(0/0,""),preDEL!O643)</f>
        <v/>
      </c>
      <c r="P643" s="110" t="b">
        <f>IF(preDEL!$AG643,IFERROR(0/0,""),preDEL!P643)</f>
        <v>0</v>
      </c>
      <c r="Q643" s="110" t="str">
        <f>IF(preDEL!$AG643,IFERROR(0/0,""),preDEL!Q643)</f>
        <v>Result</v>
      </c>
      <c r="R643" s="104" t="b">
        <f>IF(preDEL!$AG643,IFERROR(0/0,""),preDEL!R643)</f>
        <v>1</v>
      </c>
      <c r="S643" s="104">
        <f>IF(preDEL!$AG643,IFERROR(0/0,""),preDEL!S643)</f>
        <v>1</v>
      </c>
      <c r="T643" s="110" t="str">
        <f>IF(preDEL!$AG643,IFERROR(0/0,""),preDEL!T643)</f>
        <v/>
      </c>
      <c r="U643" s="112" t="str">
        <f>IF(preDEL!$AG643,IFERROR(0/0,""),preDEL!U643)</f>
        <v/>
      </c>
      <c r="V643" s="105" t="str">
        <f>IF(preDEL!$AG643,IFERROR(0/0,""),preDEL!V643)</f>
        <v/>
      </c>
      <c r="W643" s="112" t="str">
        <f>IF(preDEL!$AG643,IFERROR(0/0,""),preDEL!W643)</f>
        <v/>
      </c>
      <c r="X643" s="104" t="b">
        <f>IF(preDEL!$AG643,IFERROR(0/0,""),preDEL!X643)</f>
        <v>0</v>
      </c>
      <c r="Y643" s="110" t="b">
        <f>IF(preDEL!$AG643,IFERROR(0/0,""),preDEL!Y643)</f>
        <v>0</v>
      </c>
      <c r="Z643" s="105" t="str">
        <f>IF(preDEL!$AG643,IFERROR(0/0,""),preDEL!Z643)</f>
        <v/>
      </c>
      <c r="AA643" s="110" t="b">
        <f>IF(preDEL!$AG643,IFERROR(0/0,""),preDEL!AA643)</f>
        <v>0</v>
      </c>
      <c r="AB643" s="110" t="b">
        <f>IF(preDEL!$AG643,IFERROR(0/0,""),preDEL!AB643)</f>
        <v>0</v>
      </c>
      <c r="AC643" s="172">
        <f>IF(preDEL!$AG643,IFERROR(0/0,""),preDEL!AC643)</f>
        <v>173</v>
      </c>
      <c r="AD643" s="104" t="b">
        <f>IF(preDEL!$AG643,IFERROR(0/0,""),preDEL!AD643)</f>
        <v>0</v>
      </c>
      <c r="AE643" s="173" t="str">
        <f>IF(preDEL!$AG643,IFERROR(0/0,""),preDEL!AE643)</f>
        <v/>
      </c>
      <c r="AF643" s="110" t="b">
        <f>IF(preDEL!$AG643,IFERROR(0/0,""),preDEL!AF643)</f>
        <v>0</v>
      </c>
      <c r="AG643" s="110" t="b">
        <f>IF(preDEL!$AG643,IFERROR(0/0,""),preDEL!AG643)</f>
        <v>0</v>
      </c>
      <c r="AH643" s="104" t="str">
        <f>IF(preDEL!$AG643,IFERROR(0/0,""),preDEL!AH643)</f>
        <v/>
      </c>
      <c r="AI643" s="105" t="str">
        <f>IF(preDEL!$AG643,IFERROR(0/0,""),preDEL!AI643)</f>
        <v/>
      </c>
      <c r="AJ643" s="112" t="str">
        <f>IF(preDEL!$AG643,IFERROR(0/0,""),preDEL!AJ643)</f>
        <v/>
      </c>
      <c r="AK643" s="105" t="str">
        <f>IF(preDEL!$AG643,IFERROR(0/0,""),preDEL!AK643)</f>
        <v>Negative</v>
      </c>
      <c r="AL643" s="112" t="str">
        <f>IF(preDEL!$AG643,IFERROR(0/0,""),preDEL!AL643)</f>
        <v/>
      </c>
      <c r="AM643" s="112" t="str">
        <f>IF(preDEL!$AG643,IFERROR(0/0,""),preDEL!AM643)</f>
        <v>SpBEND914710</v>
      </c>
      <c r="AN643" s="112" t="str">
        <f>IF(preDEL!$AG643,IFERROR(0/0,""),preDEL!AN643)</f>
        <v>BEND199320</v>
      </c>
      <c r="AO643" s="112" t="str">
        <f>IF(preDEL!$AG643,IFERROR(0/0,""),preDEL!AO643)</f>
        <v/>
      </c>
      <c r="AP643" s="112" t="str">
        <f>IF(preDEL!$AG643,IFERROR(0/0,""),preDEL!AP643)</f>
        <v/>
      </c>
      <c r="AQ643" s="112" t="str">
        <f>IF(preDEL!$AG643,IFERROR(0/0,""),preDEL!AQ643)</f>
        <v/>
      </c>
      <c r="AR643" s="112" t="str">
        <f>IF(preDEL!$AG643,IFERROR(0/0,""),preDEL!AR643)</f>
        <v/>
      </c>
      <c r="AS643" s="112" t="str">
        <f>IF(preDEL!$AG643,IFERROR(0/0,""),preDEL!AS643)</f>
        <v/>
      </c>
      <c r="AT643" s="112" t="b">
        <f>IF(preDEL!$AG643,IFERROR(0/0,""),preDEL!AT643)</f>
        <v>0</v>
      </c>
      <c r="AU643" s="112" t="str">
        <f>IF(preDEL!$AG643,IFERROR(0/0,""),preDEL!AU643)</f>
        <v/>
      </c>
      <c r="AV643" s="112" t="str">
        <f>IF(preDEL!$AG643,IFERROR(0/0,""),preDEL!AV643)</f>
        <v/>
      </c>
      <c r="AW643" s="112" t="str">
        <f>IF(preDEL!$AG643,IFERROR(0/0,""),preDEL!AW643)</f>
        <v/>
      </c>
      <c r="AX643" s="112" t="str">
        <f>IF(preDEL!$AG643,IFERROR(0/0,""),preDEL!AX643)</f>
        <v/>
      </c>
      <c r="AY643" s="112" t="str">
        <f>IF(preDEL!$AG643,IFERROR(0/0,""),preDEL!AY643)</f>
        <v/>
      </c>
      <c r="AZ643" s="174"/>
      <c r="BA643" s="174"/>
      <c r="BB643" s="174"/>
      <c r="BC643" s="174"/>
      <c r="BD643" s="174"/>
      <c r="BE643" s="174"/>
      <c r="BF643" s="174"/>
      <c r="BG643" s="174"/>
      <c r="BH643" s="174"/>
      <c r="BI643" s="174"/>
      <c r="BJ643" s="174"/>
      <c r="BK643" s="174"/>
      <c r="BL643" s="174"/>
      <c r="BM643" s="174"/>
      <c r="BN643" s="174"/>
      <c r="BO643" s="174"/>
      <c r="BP643" s="174"/>
      <c r="BQ643" s="174"/>
      <c r="BR643" s="174"/>
      <c r="BS643" s="174"/>
      <c r="BT643" s="174"/>
      <c r="BU643" s="174"/>
      <c r="BV643" s="174"/>
      <c r="BW643" s="174"/>
      <c r="BX643" s="174"/>
      <c r="BY643" s="174"/>
      <c r="BZ643" s="174"/>
      <c r="CA643" s="174"/>
      <c r="CB643" s="174"/>
      <c r="CC643" s="174"/>
      <c r="CD643" s="174"/>
    </row>
    <row r="644">
      <c r="A644" s="105" t="str">
        <f>IF(preDEL!$AG644,IFERROR(0/0,""),preDEL!A644)</f>
        <v>FM41</v>
      </c>
      <c r="B644" s="170">
        <f>IF(preDEL!$AG644,IFERROR(0/0,""),preDEL!B644)</f>
        <v>44621</v>
      </c>
      <c r="C644" s="171">
        <f>IF(preDEL!$AG644,IFERROR(0/0,""),preDEL!C644)</f>
        <v>0.3312384259</v>
      </c>
      <c r="D644" s="105" t="str">
        <f>IF(preDEL!$AG644,IFERROR(0/0,""),preDEL!D644)</f>
        <v/>
      </c>
      <c r="E644" s="105" t="str">
        <f>IF(preDEL!$AG644,IFERROR(0/0,""),preDEL!E644)</f>
        <v/>
      </c>
      <c r="F644" s="112" t="str">
        <f>IF(preDEL!$AG644,IFERROR(0/0,""),preDEL!F644)</f>
        <v/>
      </c>
      <c r="G644" s="112" t="str">
        <f>IF(preDEL!$AG644,IFERROR(0/0,""),preDEL!G644)</f>
        <v/>
      </c>
      <c r="H644" s="112" t="str">
        <f>IF(preDEL!$AG644,IFERROR(0/0,""),preDEL!H644)</f>
        <v/>
      </c>
      <c r="I644" s="105" t="str">
        <f>IF(preDEL!$AG644,IFERROR(0/0,""),preDEL!I644)</f>
        <v/>
      </c>
      <c r="J644" s="105" t="str">
        <f>IF(preDEL!$AG644,IFERROR(0/0,""),preDEL!J644)</f>
        <v/>
      </c>
      <c r="K644" s="105" t="str">
        <f>IF(preDEL!$AG644,IFERROR(0/0,""),preDEL!K644)</f>
        <v>Negative</v>
      </c>
      <c r="L644" s="170">
        <f>IF(preDEL!$AG644,IFERROR(0/0,""),preDEL!L644)</f>
        <v>44627</v>
      </c>
      <c r="M644" s="171">
        <f>IF(preDEL!$AG644,IFERROR(0/0,""),preDEL!M644)</f>
        <v>0.4779282407</v>
      </c>
      <c r="N644" s="112" t="str">
        <f>IF(preDEL!$AG644,IFERROR(0/0,""),preDEL!N644)</f>
        <v/>
      </c>
      <c r="O644" s="112" t="str">
        <f>IF(preDEL!$AG644,IFERROR(0/0,""),preDEL!O644)</f>
        <v/>
      </c>
      <c r="P644" s="110" t="b">
        <f>IF(preDEL!$AG644,IFERROR(0/0,""),preDEL!P644)</f>
        <v>0</v>
      </c>
      <c r="Q644" s="110" t="str">
        <f>IF(preDEL!$AG644,IFERROR(0/0,""),preDEL!Q644)</f>
        <v>Result</v>
      </c>
      <c r="R644" s="104" t="b">
        <f>IF(preDEL!$AG644,IFERROR(0/0,""),preDEL!R644)</f>
        <v>1</v>
      </c>
      <c r="S644" s="104">
        <f>IF(preDEL!$AG644,IFERROR(0/0,""),preDEL!S644)</f>
        <v>1</v>
      </c>
      <c r="T644" s="110" t="str">
        <f>IF(preDEL!$AG644,IFERROR(0/0,""),preDEL!T644)</f>
        <v/>
      </c>
      <c r="U644" s="112" t="str">
        <f>IF(preDEL!$AG644,IFERROR(0/0,""),preDEL!U644)</f>
        <v/>
      </c>
      <c r="V644" s="105" t="str">
        <f>IF(preDEL!$AG644,IFERROR(0/0,""),preDEL!V644)</f>
        <v/>
      </c>
      <c r="W644" s="112" t="str">
        <f>IF(preDEL!$AG644,IFERROR(0/0,""),preDEL!W644)</f>
        <v/>
      </c>
      <c r="X644" s="104" t="b">
        <f>IF(preDEL!$AG644,IFERROR(0/0,""),preDEL!X644)</f>
        <v>0</v>
      </c>
      <c r="Y644" s="110" t="b">
        <f>IF(preDEL!$AG644,IFERROR(0/0,""),preDEL!Y644)</f>
        <v>0</v>
      </c>
      <c r="Z644" s="105" t="str">
        <f>IF(preDEL!$AG644,IFERROR(0/0,""),preDEL!Z644)</f>
        <v/>
      </c>
      <c r="AA644" s="110" t="b">
        <f>IF(preDEL!$AG644,IFERROR(0/0,""),preDEL!AA644)</f>
        <v>0</v>
      </c>
      <c r="AB644" s="110" t="b">
        <f>IF(preDEL!$AG644,IFERROR(0/0,""),preDEL!AB644)</f>
        <v>0</v>
      </c>
      <c r="AC644" s="172">
        <f>IF(preDEL!$AG644,IFERROR(0/0,""),preDEL!AC644)</f>
        <v>172</v>
      </c>
      <c r="AD644" s="104" t="b">
        <f>IF(preDEL!$AG644,IFERROR(0/0,""),preDEL!AD644)</f>
        <v>0</v>
      </c>
      <c r="AE644" s="173" t="str">
        <f>IF(preDEL!$AG644,IFERROR(0/0,""),preDEL!AE644)</f>
        <v/>
      </c>
      <c r="AF644" s="110" t="b">
        <f>IF(preDEL!$AG644,IFERROR(0/0,""),preDEL!AF644)</f>
        <v>0</v>
      </c>
      <c r="AG644" s="110" t="b">
        <f>IF(preDEL!$AG644,IFERROR(0/0,""),preDEL!AG644)</f>
        <v>0</v>
      </c>
      <c r="AH644" s="104" t="str">
        <f>IF(preDEL!$AG644,IFERROR(0/0,""),preDEL!AH644)</f>
        <v/>
      </c>
      <c r="AI644" s="105" t="str">
        <f>IF(preDEL!$AG644,IFERROR(0/0,""),preDEL!AI644)</f>
        <v/>
      </c>
      <c r="AJ644" s="112" t="str">
        <f>IF(preDEL!$AG644,IFERROR(0/0,""),preDEL!AJ644)</f>
        <v/>
      </c>
      <c r="AK644" s="105" t="str">
        <f>IF(preDEL!$AG644,IFERROR(0/0,""),preDEL!AK644)</f>
        <v>Negative</v>
      </c>
      <c r="AL644" s="112" t="str">
        <f>IF(preDEL!$AG644,IFERROR(0/0,""),preDEL!AL644)</f>
        <v/>
      </c>
      <c r="AM644" s="112" t="str">
        <f>IF(preDEL!$AG644,IFERROR(0/0,""),preDEL!AM644)</f>
        <v>SpBEND610784</v>
      </c>
      <c r="AN644" s="112" t="str">
        <f>IF(preDEL!$AG644,IFERROR(0/0,""),preDEL!AN644)</f>
        <v>BEND398577</v>
      </c>
      <c r="AO644" s="112" t="str">
        <f>IF(preDEL!$AG644,IFERROR(0/0,""),preDEL!AO644)</f>
        <v/>
      </c>
      <c r="AP644" s="112" t="str">
        <f>IF(preDEL!$AG644,IFERROR(0/0,""),preDEL!AP644)</f>
        <v/>
      </c>
      <c r="AQ644" s="112" t="str">
        <f>IF(preDEL!$AG644,IFERROR(0/0,""),preDEL!AQ644)</f>
        <v/>
      </c>
      <c r="AR644" s="112" t="str">
        <f>IF(preDEL!$AG644,IFERROR(0/0,""),preDEL!AR644)</f>
        <v/>
      </c>
      <c r="AS644" s="112" t="str">
        <f>IF(preDEL!$AG644,IFERROR(0/0,""),preDEL!AS644)</f>
        <v/>
      </c>
      <c r="AT644" s="112" t="b">
        <f>IF(preDEL!$AG644,IFERROR(0/0,""),preDEL!AT644)</f>
        <v>0</v>
      </c>
      <c r="AU644" s="112" t="str">
        <f>IF(preDEL!$AG644,IFERROR(0/0,""),preDEL!AU644)</f>
        <v/>
      </c>
      <c r="AV644" s="112" t="str">
        <f>IF(preDEL!$AG644,IFERROR(0/0,""),preDEL!AV644)</f>
        <v/>
      </c>
      <c r="AW644" s="112" t="str">
        <f>IF(preDEL!$AG644,IFERROR(0/0,""),preDEL!AW644)</f>
        <v/>
      </c>
      <c r="AX644" s="112" t="str">
        <f>IF(preDEL!$AG644,IFERROR(0/0,""),preDEL!AX644)</f>
        <v/>
      </c>
      <c r="AY644" s="112" t="str">
        <f>IF(preDEL!$AG644,IFERROR(0/0,""),preDEL!AY644)</f>
        <v/>
      </c>
      <c r="AZ644" s="174"/>
      <c r="BA644" s="174"/>
      <c r="BB644" s="174"/>
      <c r="BC644" s="174"/>
      <c r="BD644" s="174"/>
      <c r="BE644" s="174"/>
      <c r="BF644" s="174"/>
      <c r="BG644" s="174"/>
      <c r="BH644" s="174"/>
      <c r="BI644" s="174"/>
      <c r="BJ644" s="174"/>
      <c r="BK644" s="174"/>
      <c r="BL644" s="174"/>
      <c r="BM644" s="174"/>
      <c r="BN644" s="174"/>
      <c r="BO644" s="174"/>
      <c r="BP644" s="174"/>
      <c r="BQ644" s="174"/>
      <c r="BR644" s="174"/>
      <c r="BS644" s="174"/>
      <c r="BT644" s="174"/>
      <c r="BU644" s="174"/>
      <c r="BV644" s="174"/>
      <c r="BW644" s="174"/>
      <c r="BX644" s="174"/>
      <c r="BY644" s="174"/>
      <c r="BZ644" s="174"/>
      <c r="CA644" s="174"/>
      <c r="CB644" s="174"/>
      <c r="CC644" s="174"/>
      <c r="CD644" s="174"/>
    </row>
    <row r="645">
      <c r="A645" s="105" t="str">
        <f>IF(preDEL!$AG645,IFERROR(0/0,""),preDEL!A645)</f>
        <v>FM46</v>
      </c>
      <c r="B645" s="170">
        <f>IF(preDEL!$AG645,IFERROR(0/0,""),preDEL!B645)</f>
        <v>44621</v>
      </c>
      <c r="C645" s="171">
        <f>IF(preDEL!$AG645,IFERROR(0/0,""),preDEL!C645)</f>
        <v>0.3314351852</v>
      </c>
      <c r="D645" s="105" t="str">
        <f>IF(preDEL!$AG645,IFERROR(0/0,""),preDEL!D645)</f>
        <v/>
      </c>
      <c r="E645" s="105" t="str">
        <f>IF(preDEL!$AG645,IFERROR(0/0,""),preDEL!E645)</f>
        <v/>
      </c>
      <c r="F645" s="112" t="str">
        <f>IF(preDEL!$AG645,IFERROR(0/0,""),preDEL!F645)</f>
        <v/>
      </c>
      <c r="G645" s="112" t="str">
        <f>IF(preDEL!$AG645,IFERROR(0/0,""),preDEL!G645)</f>
        <v/>
      </c>
      <c r="H645" s="112" t="str">
        <f>IF(preDEL!$AG645,IFERROR(0/0,""),preDEL!H645)</f>
        <v/>
      </c>
      <c r="I645" s="105" t="str">
        <f>IF(preDEL!$AG645,IFERROR(0/0,""),preDEL!I645)</f>
        <v/>
      </c>
      <c r="J645" s="105" t="str">
        <f>IF(preDEL!$AG645,IFERROR(0/0,""),preDEL!J645)</f>
        <v/>
      </c>
      <c r="K645" s="105" t="str">
        <f>IF(preDEL!$AG645,IFERROR(0/0,""),preDEL!K645)</f>
        <v>Negative</v>
      </c>
      <c r="L645" s="170">
        <f>IF(preDEL!$AG645,IFERROR(0/0,""),preDEL!L645)</f>
        <v>44627</v>
      </c>
      <c r="M645" s="171">
        <f>IF(preDEL!$AG645,IFERROR(0/0,""),preDEL!M645)</f>
        <v>0.4779282407</v>
      </c>
      <c r="N645" s="112" t="str">
        <f>IF(preDEL!$AG645,IFERROR(0/0,""),preDEL!N645)</f>
        <v/>
      </c>
      <c r="O645" s="112" t="str">
        <f>IF(preDEL!$AG645,IFERROR(0/0,""),preDEL!O645)</f>
        <v/>
      </c>
      <c r="P645" s="110" t="b">
        <f>IF(preDEL!$AG645,IFERROR(0/0,""),preDEL!P645)</f>
        <v>0</v>
      </c>
      <c r="Q645" s="110" t="str">
        <f>IF(preDEL!$AG645,IFERROR(0/0,""),preDEL!Q645)</f>
        <v>Result</v>
      </c>
      <c r="R645" s="104" t="b">
        <f>IF(preDEL!$AG645,IFERROR(0/0,""),preDEL!R645)</f>
        <v>1</v>
      </c>
      <c r="S645" s="104">
        <f>IF(preDEL!$AG645,IFERROR(0/0,""),preDEL!S645)</f>
        <v>1</v>
      </c>
      <c r="T645" s="110" t="str">
        <f>IF(preDEL!$AG645,IFERROR(0/0,""),preDEL!T645)</f>
        <v/>
      </c>
      <c r="U645" s="112" t="str">
        <f>IF(preDEL!$AG645,IFERROR(0/0,""),preDEL!U645)</f>
        <v/>
      </c>
      <c r="V645" s="105" t="str">
        <f>IF(preDEL!$AG645,IFERROR(0/0,""),preDEL!V645)</f>
        <v/>
      </c>
      <c r="W645" s="112" t="str">
        <f>IF(preDEL!$AG645,IFERROR(0/0,""),preDEL!W645)</f>
        <v/>
      </c>
      <c r="X645" s="104" t="b">
        <f>IF(preDEL!$AG645,IFERROR(0/0,""),preDEL!X645)</f>
        <v>0</v>
      </c>
      <c r="Y645" s="110" t="b">
        <f>IF(preDEL!$AG645,IFERROR(0/0,""),preDEL!Y645)</f>
        <v>0</v>
      </c>
      <c r="Z645" s="105" t="str">
        <f>IF(preDEL!$AG645,IFERROR(0/0,""),preDEL!Z645)</f>
        <v/>
      </c>
      <c r="AA645" s="110" t="b">
        <f>IF(preDEL!$AG645,IFERROR(0/0,""),preDEL!AA645)</f>
        <v>0</v>
      </c>
      <c r="AB645" s="110" t="b">
        <f>IF(preDEL!$AG645,IFERROR(0/0,""),preDEL!AB645)</f>
        <v>0</v>
      </c>
      <c r="AC645" s="172">
        <f>IF(preDEL!$AG645,IFERROR(0/0,""),preDEL!AC645)</f>
        <v>171</v>
      </c>
      <c r="AD645" s="104" t="b">
        <f>IF(preDEL!$AG645,IFERROR(0/0,""),preDEL!AD645)</f>
        <v>0</v>
      </c>
      <c r="AE645" s="173" t="str">
        <f>IF(preDEL!$AG645,IFERROR(0/0,""),preDEL!AE645)</f>
        <v/>
      </c>
      <c r="AF645" s="110" t="b">
        <f>IF(preDEL!$AG645,IFERROR(0/0,""),preDEL!AF645)</f>
        <v>0</v>
      </c>
      <c r="AG645" s="110" t="b">
        <f>IF(preDEL!$AG645,IFERROR(0/0,""),preDEL!AG645)</f>
        <v>0</v>
      </c>
      <c r="AH645" s="104" t="str">
        <f>IF(preDEL!$AG645,IFERROR(0/0,""),preDEL!AH645)</f>
        <v/>
      </c>
      <c r="AI645" s="105" t="str">
        <f>IF(preDEL!$AG645,IFERROR(0/0,""),preDEL!AI645)</f>
        <v/>
      </c>
      <c r="AJ645" s="112" t="str">
        <f>IF(preDEL!$AG645,IFERROR(0/0,""),preDEL!AJ645)</f>
        <v/>
      </c>
      <c r="AK645" s="105" t="str">
        <f>IF(preDEL!$AG645,IFERROR(0/0,""),preDEL!AK645)</f>
        <v>Negative</v>
      </c>
      <c r="AL645" s="112" t="str">
        <f>IF(preDEL!$AG645,IFERROR(0/0,""),preDEL!AL645)</f>
        <v/>
      </c>
      <c r="AM645" s="112" t="str">
        <f>IF(preDEL!$AG645,IFERROR(0/0,""),preDEL!AM645)</f>
        <v>SpBEND643855</v>
      </c>
      <c r="AN645" s="112" t="str">
        <f>IF(preDEL!$AG645,IFERROR(0/0,""),preDEL!AN645)</f>
        <v>BEND364074</v>
      </c>
      <c r="AO645" s="112" t="str">
        <f>IF(preDEL!$AG645,IFERROR(0/0,""),preDEL!AO645)</f>
        <v/>
      </c>
      <c r="AP645" s="112" t="str">
        <f>IF(preDEL!$AG645,IFERROR(0/0,""),preDEL!AP645)</f>
        <v/>
      </c>
      <c r="AQ645" s="112" t="str">
        <f>IF(preDEL!$AG645,IFERROR(0/0,""),preDEL!AQ645)</f>
        <v/>
      </c>
      <c r="AR645" s="112" t="str">
        <f>IF(preDEL!$AG645,IFERROR(0/0,""),preDEL!AR645)</f>
        <v/>
      </c>
      <c r="AS645" s="112" t="str">
        <f>IF(preDEL!$AG645,IFERROR(0/0,""),preDEL!AS645)</f>
        <v/>
      </c>
      <c r="AT645" s="112" t="b">
        <f>IF(preDEL!$AG645,IFERROR(0/0,""),preDEL!AT645)</f>
        <v>0</v>
      </c>
      <c r="AU645" s="112" t="str">
        <f>IF(preDEL!$AG645,IFERROR(0/0,""),preDEL!AU645)</f>
        <v/>
      </c>
      <c r="AV645" s="112" t="str">
        <f>IF(preDEL!$AG645,IFERROR(0/0,""),preDEL!AV645)</f>
        <v/>
      </c>
      <c r="AW645" s="112" t="str">
        <f>IF(preDEL!$AG645,IFERROR(0/0,""),preDEL!AW645)</f>
        <v/>
      </c>
      <c r="AX645" s="112" t="str">
        <f>IF(preDEL!$AG645,IFERROR(0/0,""),preDEL!AX645)</f>
        <v/>
      </c>
      <c r="AY645" s="112" t="str">
        <f>IF(preDEL!$AG645,IFERROR(0/0,""),preDEL!AY645)</f>
        <v/>
      </c>
      <c r="AZ645" s="174"/>
      <c r="BA645" s="174"/>
      <c r="BB645" s="174"/>
      <c r="BC645" s="174"/>
      <c r="BD645" s="174"/>
      <c r="BE645" s="174"/>
      <c r="BF645" s="174"/>
      <c r="BG645" s="174"/>
      <c r="BH645" s="174"/>
      <c r="BI645" s="174"/>
      <c r="BJ645" s="174"/>
      <c r="BK645" s="174"/>
      <c r="BL645" s="174"/>
      <c r="BM645" s="174"/>
      <c r="BN645" s="174"/>
      <c r="BO645" s="174"/>
      <c r="BP645" s="174"/>
      <c r="BQ645" s="174"/>
      <c r="BR645" s="174"/>
      <c r="BS645" s="174"/>
      <c r="BT645" s="174"/>
      <c r="BU645" s="174"/>
      <c r="BV645" s="174"/>
      <c r="BW645" s="174"/>
      <c r="BX645" s="174"/>
      <c r="BY645" s="174"/>
      <c r="BZ645" s="174"/>
      <c r="CA645" s="174"/>
      <c r="CB645" s="174"/>
      <c r="CC645" s="174"/>
      <c r="CD645" s="174"/>
    </row>
    <row r="646">
      <c r="A646" s="105" t="str">
        <f>IF(preDEL!$AG646,IFERROR(0/0,""),preDEL!A646)</f>
        <v>FM82</v>
      </c>
      <c r="B646" s="170">
        <f>IF(preDEL!$AG646,IFERROR(0/0,""),preDEL!B646)</f>
        <v>44621</v>
      </c>
      <c r="C646" s="171">
        <f>IF(preDEL!$AG646,IFERROR(0/0,""),preDEL!C646)</f>
        <v>0.3319328704</v>
      </c>
      <c r="D646" s="105" t="str">
        <f>IF(preDEL!$AG646,IFERROR(0/0,""),preDEL!D646)</f>
        <v/>
      </c>
      <c r="E646" s="105" t="str">
        <f>IF(preDEL!$AG646,IFERROR(0/0,""),preDEL!E646)</f>
        <v/>
      </c>
      <c r="F646" s="112" t="str">
        <f>IF(preDEL!$AG646,IFERROR(0/0,""),preDEL!F646)</f>
        <v/>
      </c>
      <c r="G646" s="112" t="str">
        <f>IF(preDEL!$AG646,IFERROR(0/0,""),preDEL!G646)</f>
        <v/>
      </c>
      <c r="H646" s="112" t="str">
        <f>IF(preDEL!$AG646,IFERROR(0/0,""),preDEL!H646)</f>
        <v/>
      </c>
      <c r="I646" s="105" t="str">
        <f>IF(preDEL!$AG646,IFERROR(0/0,""),preDEL!I646)</f>
        <v/>
      </c>
      <c r="J646" s="105" t="str">
        <f>IF(preDEL!$AG646,IFERROR(0/0,""),preDEL!J646)</f>
        <v/>
      </c>
      <c r="K646" s="105" t="str">
        <f>IF(preDEL!$AG646,IFERROR(0/0,""),preDEL!K646)</f>
        <v>Negative</v>
      </c>
      <c r="L646" s="170">
        <f>IF(preDEL!$AG646,IFERROR(0/0,""),preDEL!L646)</f>
        <v>44627</v>
      </c>
      <c r="M646" s="171">
        <f>IF(preDEL!$AG646,IFERROR(0/0,""),preDEL!M646)</f>
        <v>0.4779282407</v>
      </c>
      <c r="N646" s="112" t="str">
        <f>IF(preDEL!$AG646,IFERROR(0/0,""),preDEL!N646)</f>
        <v/>
      </c>
      <c r="O646" s="112" t="str">
        <f>IF(preDEL!$AG646,IFERROR(0/0,""),preDEL!O646)</f>
        <v/>
      </c>
      <c r="P646" s="110" t="b">
        <f>IF(preDEL!$AG646,IFERROR(0/0,""),preDEL!P646)</f>
        <v>0</v>
      </c>
      <c r="Q646" s="110" t="str">
        <f>IF(preDEL!$AG646,IFERROR(0/0,""),preDEL!Q646)</f>
        <v>Result</v>
      </c>
      <c r="R646" s="104" t="b">
        <f>IF(preDEL!$AG646,IFERROR(0/0,""),preDEL!R646)</f>
        <v>1</v>
      </c>
      <c r="S646" s="104">
        <f>IF(preDEL!$AG646,IFERROR(0/0,""),preDEL!S646)</f>
        <v>1</v>
      </c>
      <c r="T646" s="110" t="str">
        <f>IF(preDEL!$AG646,IFERROR(0/0,""),preDEL!T646)</f>
        <v/>
      </c>
      <c r="U646" s="112" t="str">
        <f>IF(preDEL!$AG646,IFERROR(0/0,""),preDEL!U646)</f>
        <v/>
      </c>
      <c r="V646" s="105" t="str">
        <f>IF(preDEL!$AG646,IFERROR(0/0,""),preDEL!V646)</f>
        <v/>
      </c>
      <c r="W646" s="112" t="str">
        <f>IF(preDEL!$AG646,IFERROR(0/0,""),preDEL!W646)</f>
        <v/>
      </c>
      <c r="X646" s="104" t="b">
        <f>IF(preDEL!$AG646,IFERROR(0/0,""),preDEL!X646)</f>
        <v>0</v>
      </c>
      <c r="Y646" s="110" t="b">
        <f>IF(preDEL!$AG646,IFERROR(0/0,""),preDEL!Y646)</f>
        <v>0</v>
      </c>
      <c r="Z646" s="105" t="str">
        <f>IF(preDEL!$AG646,IFERROR(0/0,""),preDEL!Z646)</f>
        <v/>
      </c>
      <c r="AA646" s="110" t="b">
        <f>IF(preDEL!$AG646,IFERROR(0/0,""),preDEL!AA646)</f>
        <v>0</v>
      </c>
      <c r="AB646" s="110" t="b">
        <f>IF(preDEL!$AG646,IFERROR(0/0,""),preDEL!AB646)</f>
        <v>0</v>
      </c>
      <c r="AC646" s="172">
        <f>IF(preDEL!$AG646,IFERROR(0/0,""),preDEL!AC646)</f>
        <v>170</v>
      </c>
      <c r="AD646" s="104" t="b">
        <f>IF(preDEL!$AG646,IFERROR(0/0,""),preDEL!AD646)</f>
        <v>0</v>
      </c>
      <c r="AE646" s="173" t="str">
        <f>IF(preDEL!$AG646,IFERROR(0/0,""),preDEL!AE646)</f>
        <v/>
      </c>
      <c r="AF646" s="110" t="b">
        <f>IF(preDEL!$AG646,IFERROR(0/0,""),preDEL!AF646)</f>
        <v>0</v>
      </c>
      <c r="AG646" s="110" t="b">
        <f>IF(preDEL!$AG646,IFERROR(0/0,""),preDEL!AG646)</f>
        <v>0</v>
      </c>
      <c r="AH646" s="104" t="str">
        <f>IF(preDEL!$AG646,IFERROR(0/0,""),preDEL!AH646)</f>
        <v/>
      </c>
      <c r="AI646" s="105" t="str">
        <f>IF(preDEL!$AG646,IFERROR(0/0,""),preDEL!AI646)</f>
        <v/>
      </c>
      <c r="AJ646" s="112" t="str">
        <f>IF(preDEL!$AG646,IFERROR(0/0,""),preDEL!AJ646)</f>
        <v/>
      </c>
      <c r="AK646" s="105" t="str">
        <f>IF(preDEL!$AG646,IFERROR(0/0,""),preDEL!AK646)</f>
        <v>Negative</v>
      </c>
      <c r="AL646" s="112" t="str">
        <f>IF(preDEL!$AG646,IFERROR(0/0,""),preDEL!AL646)</f>
        <v/>
      </c>
      <c r="AM646" s="112" t="str">
        <f>IF(preDEL!$AG646,IFERROR(0/0,""),preDEL!AM646)</f>
        <v>SpBEND292554</v>
      </c>
      <c r="AN646" s="112" t="str">
        <f>IF(preDEL!$AG646,IFERROR(0/0,""),preDEL!AN646)</f>
        <v>BEND295131</v>
      </c>
      <c r="AO646" s="112" t="str">
        <f>IF(preDEL!$AG646,IFERROR(0/0,""),preDEL!AO646)</f>
        <v/>
      </c>
      <c r="AP646" s="112" t="str">
        <f>IF(preDEL!$AG646,IFERROR(0/0,""),preDEL!AP646)</f>
        <v/>
      </c>
      <c r="AQ646" s="112" t="str">
        <f>IF(preDEL!$AG646,IFERROR(0/0,""),preDEL!AQ646)</f>
        <v/>
      </c>
      <c r="AR646" s="112" t="str">
        <f>IF(preDEL!$AG646,IFERROR(0/0,""),preDEL!AR646)</f>
        <v/>
      </c>
      <c r="AS646" s="112" t="str">
        <f>IF(preDEL!$AG646,IFERROR(0/0,""),preDEL!AS646)</f>
        <v/>
      </c>
      <c r="AT646" s="112" t="b">
        <f>IF(preDEL!$AG646,IFERROR(0/0,""),preDEL!AT646)</f>
        <v>0</v>
      </c>
      <c r="AU646" s="112" t="str">
        <f>IF(preDEL!$AG646,IFERROR(0/0,""),preDEL!AU646)</f>
        <v/>
      </c>
      <c r="AV646" s="112" t="str">
        <f>IF(preDEL!$AG646,IFERROR(0/0,""),preDEL!AV646)</f>
        <v/>
      </c>
      <c r="AW646" s="112" t="str">
        <f>IF(preDEL!$AG646,IFERROR(0/0,""),preDEL!AW646)</f>
        <v/>
      </c>
      <c r="AX646" s="112" t="str">
        <f>IF(preDEL!$AG646,IFERROR(0/0,""),preDEL!AX646)</f>
        <v/>
      </c>
      <c r="AY646" s="112" t="str">
        <f>IF(preDEL!$AG646,IFERROR(0/0,""),preDEL!AY646)</f>
        <v/>
      </c>
      <c r="AZ646" s="174"/>
      <c r="BA646" s="174"/>
      <c r="BB646" s="174"/>
      <c r="BC646" s="174"/>
      <c r="BD646" s="174"/>
      <c r="BE646" s="174"/>
      <c r="BF646" s="174"/>
      <c r="BG646" s="174"/>
      <c r="BH646" s="174"/>
      <c r="BI646" s="174"/>
      <c r="BJ646" s="174"/>
      <c r="BK646" s="174"/>
      <c r="BL646" s="174"/>
      <c r="BM646" s="174"/>
      <c r="BN646" s="174"/>
      <c r="BO646" s="174"/>
      <c r="BP646" s="174"/>
      <c r="BQ646" s="174"/>
      <c r="BR646" s="174"/>
      <c r="BS646" s="174"/>
      <c r="BT646" s="174"/>
      <c r="BU646" s="174"/>
      <c r="BV646" s="174"/>
      <c r="BW646" s="174"/>
      <c r="BX646" s="174"/>
      <c r="BY646" s="174"/>
      <c r="BZ646" s="174"/>
      <c r="CA646" s="174"/>
      <c r="CB646" s="174"/>
      <c r="CC646" s="174"/>
      <c r="CD646" s="174"/>
    </row>
    <row r="647">
      <c r="A647" s="105" t="str">
        <f>IF(preDEL!$AG647,IFERROR(0/0,""),preDEL!A647)</f>
        <v>FM792</v>
      </c>
      <c r="B647" s="170">
        <f>IF(preDEL!$AG647,IFERROR(0/0,""),preDEL!B647)</f>
        <v>44621</v>
      </c>
      <c r="C647" s="171">
        <f>IF(preDEL!$AG647,IFERROR(0/0,""),preDEL!C647)</f>
        <v>0.3345949074</v>
      </c>
      <c r="D647" s="105" t="str">
        <f>IF(preDEL!$AG647,IFERROR(0/0,""),preDEL!D647)</f>
        <v/>
      </c>
      <c r="E647" s="105" t="str">
        <f>IF(preDEL!$AG647,IFERROR(0/0,""),preDEL!E647)</f>
        <v/>
      </c>
      <c r="F647" s="112" t="str">
        <f>IF(preDEL!$AG647,IFERROR(0/0,""),preDEL!F647)</f>
        <v/>
      </c>
      <c r="G647" s="112" t="str">
        <f>IF(preDEL!$AG647,IFERROR(0/0,""),preDEL!G647)</f>
        <v/>
      </c>
      <c r="H647" s="112" t="str">
        <f>IF(preDEL!$AG647,IFERROR(0/0,""),preDEL!H647)</f>
        <v/>
      </c>
      <c r="I647" s="105" t="str">
        <f>IF(preDEL!$AG647,IFERROR(0/0,""),preDEL!I647)</f>
        <v/>
      </c>
      <c r="J647" s="105" t="str">
        <f>IF(preDEL!$AG647,IFERROR(0/0,""),preDEL!J647)</f>
        <v/>
      </c>
      <c r="K647" s="105" t="str">
        <f>IF(preDEL!$AG647,IFERROR(0/0,""),preDEL!K647)</f>
        <v>Negative</v>
      </c>
      <c r="L647" s="170">
        <f>IF(preDEL!$AG647,IFERROR(0/0,""),preDEL!L647)</f>
        <v>44627</v>
      </c>
      <c r="M647" s="171">
        <f>IF(preDEL!$AG647,IFERROR(0/0,""),preDEL!M647)</f>
        <v>0.4779282407</v>
      </c>
      <c r="N647" s="112" t="str">
        <f>IF(preDEL!$AG647,IFERROR(0/0,""),preDEL!N647)</f>
        <v/>
      </c>
      <c r="O647" s="112" t="str">
        <f>IF(preDEL!$AG647,IFERROR(0/0,""),preDEL!O647)</f>
        <v/>
      </c>
      <c r="P647" s="110" t="b">
        <f>IF(preDEL!$AG647,IFERROR(0/0,""),preDEL!P647)</f>
        <v>0</v>
      </c>
      <c r="Q647" s="110" t="str">
        <f>IF(preDEL!$AG647,IFERROR(0/0,""),preDEL!Q647)</f>
        <v>Result</v>
      </c>
      <c r="R647" s="104" t="b">
        <f>IF(preDEL!$AG647,IFERROR(0/0,""),preDEL!R647)</f>
        <v>1</v>
      </c>
      <c r="S647" s="104">
        <f>IF(preDEL!$AG647,IFERROR(0/0,""),preDEL!S647)</f>
        <v>1</v>
      </c>
      <c r="T647" s="110" t="str">
        <f>IF(preDEL!$AG647,IFERROR(0/0,""),preDEL!T647)</f>
        <v/>
      </c>
      <c r="U647" s="112" t="str">
        <f>IF(preDEL!$AG647,IFERROR(0/0,""),preDEL!U647)</f>
        <v/>
      </c>
      <c r="V647" s="105" t="str">
        <f>IF(preDEL!$AG647,IFERROR(0/0,""),preDEL!V647)</f>
        <v/>
      </c>
      <c r="W647" s="112" t="str">
        <f>IF(preDEL!$AG647,IFERROR(0/0,""),preDEL!W647)</f>
        <v/>
      </c>
      <c r="X647" s="104" t="b">
        <f>IF(preDEL!$AG647,IFERROR(0/0,""),preDEL!X647)</f>
        <v>0</v>
      </c>
      <c r="Y647" s="110" t="b">
        <f>IF(preDEL!$AG647,IFERROR(0/0,""),preDEL!Y647)</f>
        <v>0</v>
      </c>
      <c r="Z647" s="105" t="str">
        <f>IF(preDEL!$AG647,IFERROR(0/0,""),preDEL!Z647)</f>
        <v/>
      </c>
      <c r="AA647" s="110" t="b">
        <f>IF(preDEL!$AG647,IFERROR(0/0,""),preDEL!AA647)</f>
        <v>0</v>
      </c>
      <c r="AB647" s="110" t="b">
        <f>IF(preDEL!$AG647,IFERROR(0/0,""),preDEL!AB647)</f>
        <v>0</v>
      </c>
      <c r="AC647" s="172">
        <f>IF(preDEL!$AG647,IFERROR(0/0,""),preDEL!AC647)</f>
        <v>169</v>
      </c>
      <c r="AD647" s="104" t="b">
        <f>IF(preDEL!$AG647,IFERROR(0/0,""),preDEL!AD647)</f>
        <v>0</v>
      </c>
      <c r="AE647" s="173" t="str">
        <f>IF(preDEL!$AG647,IFERROR(0/0,""),preDEL!AE647)</f>
        <v/>
      </c>
      <c r="AF647" s="110" t="b">
        <f>IF(preDEL!$AG647,IFERROR(0/0,""),preDEL!AF647)</f>
        <v>0</v>
      </c>
      <c r="AG647" s="110" t="b">
        <f>IF(preDEL!$AG647,IFERROR(0/0,""),preDEL!AG647)</f>
        <v>0</v>
      </c>
      <c r="AH647" s="104" t="str">
        <f>IF(preDEL!$AG647,IFERROR(0/0,""),preDEL!AH647)</f>
        <v/>
      </c>
      <c r="AI647" s="105" t="str">
        <f>IF(preDEL!$AG647,IFERROR(0/0,""),preDEL!AI647)</f>
        <v/>
      </c>
      <c r="AJ647" s="112" t="str">
        <f>IF(preDEL!$AG647,IFERROR(0/0,""),preDEL!AJ647)</f>
        <v/>
      </c>
      <c r="AK647" s="105" t="str">
        <f>IF(preDEL!$AG647,IFERROR(0/0,""),preDEL!AK647)</f>
        <v>Negative</v>
      </c>
      <c r="AL647" s="112" t="str">
        <f>IF(preDEL!$AG647,IFERROR(0/0,""),preDEL!AL647)</f>
        <v/>
      </c>
      <c r="AM647" s="112" t="str">
        <f>IF(preDEL!$AG647,IFERROR(0/0,""),preDEL!AM647)</f>
        <v>SpBEND982485</v>
      </c>
      <c r="AN647" s="112" t="str">
        <f>IF(preDEL!$AG647,IFERROR(0/0,""),preDEL!AN647)</f>
        <v>BEND192592</v>
      </c>
      <c r="AO647" s="112" t="str">
        <f>IF(preDEL!$AG647,IFERROR(0/0,""),preDEL!AO647)</f>
        <v/>
      </c>
      <c r="AP647" s="112" t="str">
        <f>IF(preDEL!$AG647,IFERROR(0/0,""),preDEL!AP647)</f>
        <v/>
      </c>
      <c r="AQ647" s="112" t="str">
        <f>IF(preDEL!$AG647,IFERROR(0/0,""),preDEL!AQ647)</f>
        <v/>
      </c>
      <c r="AR647" s="112" t="str">
        <f>IF(preDEL!$AG647,IFERROR(0/0,""),preDEL!AR647)</f>
        <v/>
      </c>
      <c r="AS647" s="112" t="str">
        <f>IF(preDEL!$AG647,IFERROR(0/0,""),preDEL!AS647)</f>
        <v/>
      </c>
      <c r="AT647" s="112" t="b">
        <f>IF(preDEL!$AG647,IFERROR(0/0,""),preDEL!AT647)</f>
        <v>0</v>
      </c>
      <c r="AU647" s="112" t="str">
        <f>IF(preDEL!$AG647,IFERROR(0/0,""),preDEL!AU647)</f>
        <v/>
      </c>
      <c r="AV647" s="112" t="str">
        <f>IF(preDEL!$AG647,IFERROR(0/0,""),preDEL!AV647)</f>
        <v/>
      </c>
      <c r="AW647" s="112" t="str">
        <f>IF(preDEL!$AG647,IFERROR(0/0,""),preDEL!AW647)</f>
        <v/>
      </c>
      <c r="AX647" s="112" t="str">
        <f>IF(preDEL!$AG647,IFERROR(0/0,""),preDEL!AX647)</f>
        <v/>
      </c>
      <c r="AY647" s="112" t="str">
        <f>IF(preDEL!$AG647,IFERROR(0/0,""),preDEL!AY647)</f>
        <v/>
      </c>
      <c r="AZ647" s="174"/>
      <c r="BA647" s="174"/>
      <c r="BB647" s="174"/>
      <c r="BC647" s="174"/>
      <c r="BD647" s="174"/>
      <c r="BE647" s="174"/>
      <c r="BF647" s="174"/>
      <c r="BG647" s="174"/>
      <c r="BH647" s="174"/>
      <c r="BI647" s="174"/>
      <c r="BJ647" s="174"/>
      <c r="BK647" s="174"/>
      <c r="BL647" s="174"/>
      <c r="BM647" s="174"/>
      <c r="BN647" s="174"/>
      <c r="BO647" s="174"/>
      <c r="BP647" s="174"/>
      <c r="BQ647" s="174"/>
      <c r="BR647" s="174"/>
      <c r="BS647" s="174"/>
      <c r="BT647" s="174"/>
      <c r="BU647" s="174"/>
      <c r="BV647" s="174"/>
      <c r="BW647" s="174"/>
      <c r="BX647" s="174"/>
      <c r="BY647" s="174"/>
      <c r="BZ647" s="174"/>
      <c r="CA647" s="174"/>
      <c r="CB647" s="174"/>
      <c r="CC647" s="174"/>
      <c r="CD647" s="174"/>
    </row>
    <row r="648">
      <c r="A648" s="105" t="str">
        <f>IF(preDEL!$AG648,IFERROR(0/0,""),preDEL!A648)</f>
        <v>FM372</v>
      </c>
      <c r="B648" s="170">
        <f>IF(preDEL!$AG648,IFERROR(0/0,""),preDEL!B648)</f>
        <v>44621</v>
      </c>
      <c r="C648" s="171">
        <f>IF(preDEL!$AG648,IFERROR(0/0,""),preDEL!C648)</f>
        <v>0.3350925926</v>
      </c>
      <c r="D648" s="105" t="str">
        <f>IF(preDEL!$AG648,IFERROR(0/0,""),preDEL!D648)</f>
        <v/>
      </c>
      <c r="E648" s="105" t="str">
        <f>IF(preDEL!$AG648,IFERROR(0/0,""),preDEL!E648)</f>
        <v/>
      </c>
      <c r="F648" s="112" t="str">
        <f>IF(preDEL!$AG648,IFERROR(0/0,""),preDEL!F648)</f>
        <v/>
      </c>
      <c r="G648" s="112" t="str">
        <f>IF(preDEL!$AG648,IFERROR(0/0,""),preDEL!G648)</f>
        <v/>
      </c>
      <c r="H648" s="112" t="str">
        <f>IF(preDEL!$AG648,IFERROR(0/0,""),preDEL!H648)</f>
        <v/>
      </c>
      <c r="I648" s="105" t="str">
        <f>IF(preDEL!$AG648,IFERROR(0/0,""),preDEL!I648)</f>
        <v/>
      </c>
      <c r="J648" s="105" t="str">
        <f>IF(preDEL!$AG648,IFERROR(0/0,""),preDEL!J648)</f>
        <v/>
      </c>
      <c r="K648" s="105" t="str">
        <f>IF(preDEL!$AG648,IFERROR(0/0,""),preDEL!K648)</f>
        <v>Negative</v>
      </c>
      <c r="L648" s="170">
        <f>IF(preDEL!$AG648,IFERROR(0/0,""),preDEL!L648)</f>
        <v>44627</v>
      </c>
      <c r="M648" s="171">
        <f>IF(preDEL!$AG648,IFERROR(0/0,""),preDEL!M648)</f>
        <v>0.4779282407</v>
      </c>
      <c r="N648" s="112" t="str">
        <f>IF(preDEL!$AG648,IFERROR(0/0,""),preDEL!N648)</f>
        <v/>
      </c>
      <c r="O648" s="112" t="str">
        <f>IF(preDEL!$AG648,IFERROR(0/0,""),preDEL!O648)</f>
        <v/>
      </c>
      <c r="P648" s="110" t="b">
        <f>IF(preDEL!$AG648,IFERROR(0/0,""),preDEL!P648)</f>
        <v>0</v>
      </c>
      <c r="Q648" s="110" t="str">
        <f>IF(preDEL!$AG648,IFERROR(0/0,""),preDEL!Q648)</f>
        <v>Result</v>
      </c>
      <c r="R648" s="104" t="b">
        <f>IF(preDEL!$AG648,IFERROR(0/0,""),preDEL!R648)</f>
        <v>1</v>
      </c>
      <c r="S648" s="104">
        <f>IF(preDEL!$AG648,IFERROR(0/0,""),preDEL!S648)</f>
        <v>1</v>
      </c>
      <c r="T648" s="110" t="str">
        <f>IF(preDEL!$AG648,IFERROR(0/0,""),preDEL!T648)</f>
        <v/>
      </c>
      <c r="U648" s="112" t="str">
        <f>IF(preDEL!$AG648,IFERROR(0/0,""),preDEL!U648)</f>
        <v/>
      </c>
      <c r="V648" s="105" t="str">
        <f>IF(preDEL!$AG648,IFERROR(0/0,""),preDEL!V648)</f>
        <v/>
      </c>
      <c r="W648" s="112" t="str">
        <f>IF(preDEL!$AG648,IFERROR(0/0,""),preDEL!W648)</f>
        <v/>
      </c>
      <c r="X648" s="104" t="b">
        <f>IF(preDEL!$AG648,IFERROR(0/0,""),preDEL!X648)</f>
        <v>0</v>
      </c>
      <c r="Y648" s="110" t="b">
        <f>IF(preDEL!$AG648,IFERROR(0/0,""),preDEL!Y648)</f>
        <v>0</v>
      </c>
      <c r="Z648" s="105" t="str">
        <f>IF(preDEL!$AG648,IFERROR(0/0,""),preDEL!Z648)</f>
        <v/>
      </c>
      <c r="AA648" s="110" t="b">
        <f>IF(preDEL!$AG648,IFERROR(0/0,""),preDEL!AA648)</f>
        <v>0</v>
      </c>
      <c r="AB648" s="110" t="b">
        <f>IF(preDEL!$AG648,IFERROR(0/0,""),preDEL!AB648)</f>
        <v>0</v>
      </c>
      <c r="AC648" s="172">
        <f>IF(preDEL!$AG648,IFERROR(0/0,""),preDEL!AC648)</f>
        <v>168</v>
      </c>
      <c r="AD648" s="104" t="b">
        <f>IF(preDEL!$AG648,IFERROR(0/0,""),preDEL!AD648)</f>
        <v>0</v>
      </c>
      <c r="AE648" s="173" t="str">
        <f>IF(preDEL!$AG648,IFERROR(0/0,""),preDEL!AE648)</f>
        <v/>
      </c>
      <c r="AF648" s="110" t="b">
        <f>IF(preDEL!$AG648,IFERROR(0/0,""),preDEL!AF648)</f>
        <v>0</v>
      </c>
      <c r="AG648" s="110" t="b">
        <f>IF(preDEL!$AG648,IFERROR(0/0,""),preDEL!AG648)</f>
        <v>0</v>
      </c>
      <c r="AH648" s="104" t="str">
        <f>IF(preDEL!$AG648,IFERROR(0/0,""),preDEL!AH648)</f>
        <v/>
      </c>
      <c r="AI648" s="105" t="str">
        <f>IF(preDEL!$AG648,IFERROR(0/0,""),preDEL!AI648)</f>
        <v/>
      </c>
      <c r="AJ648" s="112" t="str">
        <f>IF(preDEL!$AG648,IFERROR(0/0,""),preDEL!AJ648)</f>
        <v/>
      </c>
      <c r="AK648" s="105" t="str">
        <f>IF(preDEL!$AG648,IFERROR(0/0,""),preDEL!AK648)</f>
        <v>Negative</v>
      </c>
      <c r="AL648" s="112" t="str">
        <f>IF(preDEL!$AG648,IFERROR(0/0,""),preDEL!AL648)</f>
        <v/>
      </c>
      <c r="AM648" s="112" t="str">
        <f>IF(preDEL!$AG648,IFERROR(0/0,""),preDEL!AM648)</f>
        <v>SpBEND214692</v>
      </c>
      <c r="AN648" s="112" t="str">
        <f>IF(preDEL!$AG648,IFERROR(0/0,""),preDEL!AN648)</f>
        <v>BEND886978</v>
      </c>
      <c r="AO648" s="112" t="str">
        <f>IF(preDEL!$AG648,IFERROR(0/0,""),preDEL!AO648)</f>
        <v/>
      </c>
      <c r="AP648" s="112" t="str">
        <f>IF(preDEL!$AG648,IFERROR(0/0,""),preDEL!AP648)</f>
        <v/>
      </c>
      <c r="AQ648" s="112" t="str">
        <f>IF(preDEL!$AG648,IFERROR(0/0,""),preDEL!AQ648)</f>
        <v/>
      </c>
      <c r="AR648" s="112" t="str">
        <f>IF(preDEL!$AG648,IFERROR(0/0,""),preDEL!AR648)</f>
        <v/>
      </c>
      <c r="AS648" s="112" t="str">
        <f>IF(preDEL!$AG648,IFERROR(0/0,""),preDEL!AS648)</f>
        <v/>
      </c>
      <c r="AT648" s="112" t="b">
        <f>IF(preDEL!$AG648,IFERROR(0/0,""),preDEL!AT648)</f>
        <v>0</v>
      </c>
      <c r="AU648" s="112" t="str">
        <f>IF(preDEL!$AG648,IFERROR(0/0,""),preDEL!AU648)</f>
        <v/>
      </c>
      <c r="AV648" s="112" t="str">
        <f>IF(preDEL!$AG648,IFERROR(0/0,""),preDEL!AV648)</f>
        <v/>
      </c>
      <c r="AW648" s="112" t="str">
        <f>IF(preDEL!$AG648,IFERROR(0/0,""),preDEL!AW648)</f>
        <v/>
      </c>
      <c r="AX648" s="112" t="str">
        <f>IF(preDEL!$AG648,IFERROR(0/0,""),preDEL!AX648)</f>
        <v/>
      </c>
      <c r="AY648" s="112" t="str">
        <f>IF(preDEL!$AG648,IFERROR(0/0,""),preDEL!AY648)</f>
        <v/>
      </c>
      <c r="AZ648" s="174"/>
      <c r="BA648" s="174"/>
      <c r="BB648" s="174"/>
      <c r="BC648" s="174"/>
      <c r="BD648" s="174"/>
      <c r="BE648" s="174"/>
      <c r="BF648" s="174"/>
      <c r="BG648" s="174"/>
      <c r="BH648" s="174"/>
      <c r="BI648" s="174"/>
      <c r="BJ648" s="174"/>
      <c r="BK648" s="174"/>
      <c r="BL648" s="174"/>
      <c r="BM648" s="174"/>
      <c r="BN648" s="174"/>
      <c r="BO648" s="174"/>
      <c r="BP648" s="174"/>
      <c r="BQ648" s="174"/>
      <c r="BR648" s="174"/>
      <c r="BS648" s="174"/>
      <c r="BT648" s="174"/>
      <c r="BU648" s="174"/>
      <c r="BV648" s="174"/>
      <c r="BW648" s="174"/>
      <c r="BX648" s="174"/>
      <c r="BY648" s="174"/>
      <c r="BZ648" s="174"/>
      <c r="CA648" s="174"/>
      <c r="CB648" s="174"/>
      <c r="CC648" s="174"/>
      <c r="CD648" s="174"/>
    </row>
    <row r="649">
      <c r="A649" s="105" t="str">
        <f>IF(preDEL!$AG649,IFERROR(0/0,""),preDEL!A649)</f>
        <v>FM529</v>
      </c>
      <c r="B649" s="170">
        <f>IF(preDEL!$AG649,IFERROR(0/0,""),preDEL!B649)</f>
        <v>44621</v>
      </c>
      <c r="C649" s="171">
        <f>IF(preDEL!$AG649,IFERROR(0/0,""),preDEL!C649)</f>
        <v>0.3414351852</v>
      </c>
      <c r="D649" s="105" t="str">
        <f>IF(preDEL!$AG649,IFERROR(0/0,""),preDEL!D649)</f>
        <v/>
      </c>
      <c r="E649" s="105" t="str">
        <f>IF(preDEL!$AG649,IFERROR(0/0,""),preDEL!E649)</f>
        <v/>
      </c>
      <c r="F649" s="112" t="str">
        <f>IF(preDEL!$AG649,IFERROR(0/0,""),preDEL!F649)</f>
        <v/>
      </c>
      <c r="G649" s="112" t="str">
        <f>IF(preDEL!$AG649,IFERROR(0/0,""),preDEL!G649)</f>
        <v/>
      </c>
      <c r="H649" s="112" t="str">
        <f>IF(preDEL!$AG649,IFERROR(0/0,""),preDEL!H649)</f>
        <v/>
      </c>
      <c r="I649" s="105" t="str">
        <f>IF(preDEL!$AG649,IFERROR(0/0,""),preDEL!I649)</f>
        <v/>
      </c>
      <c r="J649" s="105" t="str">
        <f>IF(preDEL!$AG649,IFERROR(0/0,""),preDEL!J649)</f>
        <v/>
      </c>
      <c r="K649" s="105" t="str">
        <f>IF(preDEL!$AG649,IFERROR(0/0,""),preDEL!K649)</f>
        <v>Negative</v>
      </c>
      <c r="L649" s="170">
        <f>IF(preDEL!$AG649,IFERROR(0/0,""),preDEL!L649)</f>
        <v>44627</v>
      </c>
      <c r="M649" s="171">
        <f>IF(preDEL!$AG649,IFERROR(0/0,""),preDEL!M649)</f>
        <v>0.4779282407</v>
      </c>
      <c r="N649" s="112" t="str">
        <f>IF(preDEL!$AG649,IFERROR(0/0,""),preDEL!N649)</f>
        <v/>
      </c>
      <c r="O649" s="112" t="str">
        <f>IF(preDEL!$AG649,IFERROR(0/0,""),preDEL!O649)</f>
        <v/>
      </c>
      <c r="P649" s="110" t="b">
        <f>IF(preDEL!$AG649,IFERROR(0/0,""),preDEL!P649)</f>
        <v>0</v>
      </c>
      <c r="Q649" s="110" t="str">
        <f>IF(preDEL!$AG649,IFERROR(0/0,""),preDEL!Q649)</f>
        <v>Result</v>
      </c>
      <c r="R649" s="104" t="b">
        <f>IF(preDEL!$AG649,IFERROR(0/0,""),preDEL!R649)</f>
        <v>1</v>
      </c>
      <c r="S649" s="104">
        <f>IF(preDEL!$AG649,IFERROR(0/0,""),preDEL!S649)</f>
        <v>1</v>
      </c>
      <c r="T649" s="110" t="str">
        <f>IF(preDEL!$AG649,IFERROR(0/0,""),preDEL!T649)</f>
        <v/>
      </c>
      <c r="U649" s="112" t="str">
        <f>IF(preDEL!$AG649,IFERROR(0/0,""),preDEL!U649)</f>
        <v/>
      </c>
      <c r="V649" s="105" t="str">
        <f>IF(preDEL!$AG649,IFERROR(0/0,""),preDEL!V649)</f>
        <v/>
      </c>
      <c r="W649" s="112" t="str">
        <f>IF(preDEL!$AG649,IFERROR(0/0,""),preDEL!W649)</f>
        <v/>
      </c>
      <c r="X649" s="104" t="b">
        <f>IF(preDEL!$AG649,IFERROR(0/0,""),preDEL!X649)</f>
        <v>0</v>
      </c>
      <c r="Y649" s="110" t="b">
        <f>IF(preDEL!$AG649,IFERROR(0/0,""),preDEL!Y649)</f>
        <v>0</v>
      </c>
      <c r="Z649" s="105" t="str">
        <f>IF(preDEL!$AG649,IFERROR(0/0,""),preDEL!Z649)</f>
        <v/>
      </c>
      <c r="AA649" s="110" t="b">
        <f>IF(preDEL!$AG649,IFERROR(0/0,""),preDEL!AA649)</f>
        <v>0</v>
      </c>
      <c r="AB649" s="110" t="b">
        <f>IF(preDEL!$AG649,IFERROR(0/0,""),preDEL!AB649)</f>
        <v>0</v>
      </c>
      <c r="AC649" s="172">
        <f>IF(preDEL!$AG649,IFERROR(0/0,""),preDEL!AC649)</f>
        <v>167</v>
      </c>
      <c r="AD649" s="104" t="b">
        <f>IF(preDEL!$AG649,IFERROR(0/0,""),preDEL!AD649)</f>
        <v>0</v>
      </c>
      <c r="AE649" s="173" t="str">
        <f>IF(preDEL!$AG649,IFERROR(0/0,""),preDEL!AE649)</f>
        <v/>
      </c>
      <c r="AF649" s="110" t="b">
        <f>IF(preDEL!$AG649,IFERROR(0/0,""),preDEL!AF649)</f>
        <v>0</v>
      </c>
      <c r="AG649" s="110" t="b">
        <f>IF(preDEL!$AG649,IFERROR(0/0,""),preDEL!AG649)</f>
        <v>0</v>
      </c>
      <c r="AH649" s="104" t="str">
        <f>IF(preDEL!$AG649,IFERROR(0/0,""),preDEL!AH649)</f>
        <v/>
      </c>
      <c r="AI649" s="105" t="str">
        <f>IF(preDEL!$AG649,IFERROR(0/0,""),preDEL!AI649)</f>
        <v/>
      </c>
      <c r="AJ649" s="112" t="str">
        <f>IF(preDEL!$AG649,IFERROR(0/0,""),preDEL!AJ649)</f>
        <v/>
      </c>
      <c r="AK649" s="105" t="str">
        <f>IF(preDEL!$AG649,IFERROR(0/0,""),preDEL!AK649)</f>
        <v>Negative</v>
      </c>
      <c r="AL649" s="112" t="str">
        <f>IF(preDEL!$AG649,IFERROR(0/0,""),preDEL!AL649)</f>
        <v/>
      </c>
      <c r="AM649" s="112" t="str">
        <f>IF(preDEL!$AG649,IFERROR(0/0,""),preDEL!AM649)</f>
        <v>SpBEND541174</v>
      </c>
      <c r="AN649" s="112" t="str">
        <f>IF(preDEL!$AG649,IFERROR(0/0,""),preDEL!AN649)</f>
        <v>BEND785384</v>
      </c>
      <c r="AO649" s="112" t="str">
        <f>IF(preDEL!$AG649,IFERROR(0/0,""),preDEL!AO649)</f>
        <v/>
      </c>
      <c r="AP649" s="112" t="str">
        <f>IF(preDEL!$AG649,IFERROR(0/0,""),preDEL!AP649)</f>
        <v/>
      </c>
      <c r="AQ649" s="112" t="str">
        <f>IF(preDEL!$AG649,IFERROR(0/0,""),preDEL!AQ649)</f>
        <v/>
      </c>
      <c r="AR649" s="112" t="str">
        <f>IF(preDEL!$AG649,IFERROR(0/0,""),preDEL!AR649)</f>
        <v/>
      </c>
      <c r="AS649" s="112" t="str">
        <f>IF(preDEL!$AG649,IFERROR(0/0,""),preDEL!AS649)</f>
        <v/>
      </c>
      <c r="AT649" s="112" t="b">
        <f>IF(preDEL!$AG649,IFERROR(0/0,""),preDEL!AT649)</f>
        <v>0</v>
      </c>
      <c r="AU649" s="112" t="str">
        <f>IF(preDEL!$AG649,IFERROR(0/0,""),preDEL!AU649)</f>
        <v/>
      </c>
      <c r="AV649" s="112" t="str">
        <f>IF(preDEL!$AG649,IFERROR(0/0,""),preDEL!AV649)</f>
        <v/>
      </c>
      <c r="AW649" s="112" t="str">
        <f>IF(preDEL!$AG649,IFERROR(0/0,""),preDEL!AW649)</f>
        <v/>
      </c>
      <c r="AX649" s="112" t="str">
        <f>IF(preDEL!$AG649,IFERROR(0/0,""),preDEL!AX649)</f>
        <v/>
      </c>
      <c r="AY649" s="112" t="str">
        <f>IF(preDEL!$AG649,IFERROR(0/0,""),preDEL!AY649)</f>
        <v/>
      </c>
      <c r="AZ649" s="174"/>
      <c r="BA649" s="174"/>
      <c r="BB649" s="174"/>
      <c r="BC649" s="174"/>
      <c r="BD649" s="174"/>
      <c r="BE649" s="174"/>
      <c r="BF649" s="174"/>
      <c r="BG649" s="174"/>
      <c r="BH649" s="174"/>
      <c r="BI649" s="174"/>
      <c r="BJ649" s="174"/>
      <c r="BK649" s="174"/>
      <c r="BL649" s="174"/>
      <c r="BM649" s="174"/>
      <c r="BN649" s="174"/>
      <c r="BO649" s="174"/>
      <c r="BP649" s="174"/>
      <c r="BQ649" s="174"/>
      <c r="BR649" s="174"/>
      <c r="BS649" s="174"/>
      <c r="BT649" s="174"/>
      <c r="BU649" s="174"/>
      <c r="BV649" s="174"/>
      <c r="BW649" s="174"/>
      <c r="BX649" s="174"/>
      <c r="BY649" s="174"/>
      <c r="BZ649" s="174"/>
      <c r="CA649" s="174"/>
      <c r="CB649" s="174"/>
      <c r="CC649" s="174"/>
      <c r="CD649" s="174"/>
    </row>
    <row r="650">
      <c r="A650" s="105" t="str">
        <f>IF(preDEL!$AG650,IFERROR(0/0,""),preDEL!A650)</f>
        <v>MA1304</v>
      </c>
      <c r="B650" s="170">
        <f>IF(preDEL!$AG650,IFERROR(0/0,""),preDEL!B650)</f>
        <v>44621</v>
      </c>
      <c r="C650" s="171">
        <f>IF(preDEL!$AG650,IFERROR(0/0,""),preDEL!C650)</f>
        <v>0.3439699074</v>
      </c>
      <c r="D650" s="105" t="str">
        <f>IF(preDEL!$AG650,IFERROR(0/0,""),preDEL!D650)</f>
        <v/>
      </c>
      <c r="E650" s="105" t="str">
        <f>IF(preDEL!$AG650,IFERROR(0/0,""),preDEL!E650)</f>
        <v/>
      </c>
      <c r="F650" s="112" t="str">
        <f>IF(preDEL!$AG650,IFERROR(0/0,""),preDEL!F650)</f>
        <v/>
      </c>
      <c r="G650" s="112" t="str">
        <f>IF(preDEL!$AG650,IFERROR(0/0,""),preDEL!G650)</f>
        <v/>
      </c>
      <c r="H650" s="112" t="str">
        <f>IF(preDEL!$AG650,IFERROR(0/0,""),preDEL!H650)</f>
        <v/>
      </c>
      <c r="I650" s="105" t="str">
        <f>IF(preDEL!$AG650,IFERROR(0/0,""),preDEL!I650)</f>
        <v/>
      </c>
      <c r="J650" s="105" t="str">
        <f>IF(preDEL!$AG650,IFERROR(0/0,""),preDEL!J650)</f>
        <v/>
      </c>
      <c r="K650" s="105" t="str">
        <f>IF(preDEL!$AG650,IFERROR(0/0,""),preDEL!K650)</f>
        <v>Negative</v>
      </c>
      <c r="L650" s="170">
        <f>IF(preDEL!$AG650,IFERROR(0/0,""),preDEL!L650)</f>
        <v>44627</v>
      </c>
      <c r="M650" s="171">
        <f>IF(preDEL!$AG650,IFERROR(0/0,""),preDEL!M650)</f>
        <v>0.4779282407</v>
      </c>
      <c r="N650" s="112" t="str">
        <f>IF(preDEL!$AG650,IFERROR(0/0,""),preDEL!N650)</f>
        <v/>
      </c>
      <c r="O650" s="112" t="str">
        <f>IF(preDEL!$AG650,IFERROR(0/0,""),preDEL!O650)</f>
        <v/>
      </c>
      <c r="P650" s="110" t="b">
        <f>IF(preDEL!$AG650,IFERROR(0/0,""),preDEL!P650)</f>
        <v>0</v>
      </c>
      <c r="Q650" s="110" t="str">
        <f>IF(preDEL!$AG650,IFERROR(0/0,""),preDEL!Q650)</f>
        <v>Result</v>
      </c>
      <c r="R650" s="104" t="b">
        <f>IF(preDEL!$AG650,IFERROR(0/0,""),preDEL!R650)</f>
        <v>1</v>
      </c>
      <c r="S650" s="104">
        <f>IF(preDEL!$AG650,IFERROR(0/0,""),preDEL!S650)</f>
        <v>1</v>
      </c>
      <c r="T650" s="110" t="str">
        <f>IF(preDEL!$AG650,IFERROR(0/0,""),preDEL!T650)</f>
        <v/>
      </c>
      <c r="U650" s="112" t="str">
        <f>IF(preDEL!$AG650,IFERROR(0/0,""),preDEL!U650)</f>
        <v/>
      </c>
      <c r="V650" s="105" t="str">
        <f>IF(preDEL!$AG650,IFERROR(0/0,""),preDEL!V650)</f>
        <v/>
      </c>
      <c r="W650" s="112" t="str">
        <f>IF(preDEL!$AG650,IFERROR(0/0,""),preDEL!W650)</f>
        <v/>
      </c>
      <c r="X650" s="104" t="b">
        <f>IF(preDEL!$AG650,IFERROR(0/0,""),preDEL!X650)</f>
        <v>0</v>
      </c>
      <c r="Y650" s="110" t="b">
        <f>IF(preDEL!$AG650,IFERROR(0/0,""),preDEL!Y650)</f>
        <v>0</v>
      </c>
      <c r="Z650" s="105" t="str">
        <f>IF(preDEL!$AG650,IFERROR(0/0,""),preDEL!Z650)</f>
        <v/>
      </c>
      <c r="AA650" s="110" t="b">
        <f>IF(preDEL!$AG650,IFERROR(0/0,""),preDEL!AA650)</f>
        <v>0</v>
      </c>
      <c r="AB650" s="110" t="b">
        <f>IF(preDEL!$AG650,IFERROR(0/0,""),preDEL!AB650)</f>
        <v>0</v>
      </c>
      <c r="AC650" s="172">
        <f>IF(preDEL!$AG650,IFERROR(0/0,""),preDEL!AC650)</f>
        <v>166</v>
      </c>
      <c r="AD650" s="104" t="b">
        <f>IF(preDEL!$AG650,IFERROR(0/0,""),preDEL!AD650)</f>
        <v>0</v>
      </c>
      <c r="AE650" s="173" t="str">
        <f>IF(preDEL!$AG650,IFERROR(0/0,""),preDEL!AE650)</f>
        <v/>
      </c>
      <c r="AF650" s="110" t="b">
        <f>IF(preDEL!$AG650,IFERROR(0/0,""),preDEL!AF650)</f>
        <v>0</v>
      </c>
      <c r="AG650" s="110" t="b">
        <f>IF(preDEL!$AG650,IFERROR(0/0,""),preDEL!AG650)</f>
        <v>0</v>
      </c>
      <c r="AH650" s="104" t="str">
        <f>IF(preDEL!$AG650,IFERROR(0/0,""),preDEL!AH650)</f>
        <v/>
      </c>
      <c r="AI650" s="105" t="str">
        <f>IF(preDEL!$AG650,IFERROR(0/0,""),preDEL!AI650)</f>
        <v/>
      </c>
      <c r="AJ650" s="112" t="str">
        <f>IF(preDEL!$AG650,IFERROR(0/0,""),preDEL!AJ650)</f>
        <v/>
      </c>
      <c r="AK650" s="105" t="str">
        <f>IF(preDEL!$AG650,IFERROR(0/0,""),preDEL!AK650)</f>
        <v>Negative</v>
      </c>
      <c r="AL650" s="112" t="str">
        <f>IF(preDEL!$AG650,IFERROR(0/0,""),preDEL!AL650)</f>
        <v/>
      </c>
      <c r="AM650" s="112" t="str">
        <f>IF(preDEL!$AG650,IFERROR(0/0,""),preDEL!AM650)</f>
        <v>SpBEND977859</v>
      </c>
      <c r="AN650" s="112" t="str">
        <f>IF(preDEL!$AG650,IFERROR(0/0,""),preDEL!AN650)</f>
        <v>BEND143262</v>
      </c>
      <c r="AO650" s="112" t="str">
        <f>IF(preDEL!$AG650,IFERROR(0/0,""),preDEL!AO650)</f>
        <v/>
      </c>
      <c r="AP650" s="112" t="str">
        <f>IF(preDEL!$AG650,IFERROR(0/0,""),preDEL!AP650)</f>
        <v/>
      </c>
      <c r="AQ650" s="112" t="str">
        <f>IF(preDEL!$AG650,IFERROR(0/0,""),preDEL!AQ650)</f>
        <v/>
      </c>
      <c r="AR650" s="112" t="str">
        <f>IF(preDEL!$AG650,IFERROR(0/0,""),preDEL!AR650)</f>
        <v/>
      </c>
      <c r="AS650" s="112" t="str">
        <f>IF(preDEL!$AG650,IFERROR(0/0,""),preDEL!AS650)</f>
        <v/>
      </c>
      <c r="AT650" s="112" t="b">
        <f>IF(preDEL!$AG650,IFERROR(0/0,""),preDEL!AT650)</f>
        <v>0</v>
      </c>
      <c r="AU650" s="112" t="str">
        <f>IF(preDEL!$AG650,IFERROR(0/0,""),preDEL!AU650)</f>
        <v/>
      </c>
      <c r="AV650" s="112" t="str">
        <f>IF(preDEL!$AG650,IFERROR(0/0,""),preDEL!AV650)</f>
        <v/>
      </c>
      <c r="AW650" s="112" t="str">
        <f>IF(preDEL!$AG650,IFERROR(0/0,""),preDEL!AW650)</f>
        <v/>
      </c>
      <c r="AX650" s="112" t="str">
        <f>IF(preDEL!$AG650,IFERROR(0/0,""),preDEL!AX650)</f>
        <v/>
      </c>
      <c r="AY650" s="112" t="str">
        <f>IF(preDEL!$AG650,IFERROR(0/0,""),preDEL!AY650)</f>
        <v/>
      </c>
      <c r="AZ650" s="174"/>
      <c r="BA650" s="174"/>
      <c r="BB650" s="174"/>
      <c r="BC650" s="174"/>
      <c r="BD650" s="174"/>
      <c r="BE650" s="174"/>
      <c r="BF650" s="174"/>
      <c r="BG650" s="174"/>
      <c r="BH650" s="174"/>
      <c r="BI650" s="174"/>
      <c r="BJ650" s="174"/>
      <c r="BK650" s="174"/>
      <c r="BL650" s="174"/>
      <c r="BM650" s="174"/>
      <c r="BN650" s="174"/>
      <c r="BO650" s="174"/>
      <c r="BP650" s="174"/>
      <c r="BQ650" s="174"/>
      <c r="BR650" s="174"/>
      <c r="BS650" s="174"/>
      <c r="BT650" s="174"/>
      <c r="BU650" s="174"/>
      <c r="BV650" s="174"/>
      <c r="BW650" s="174"/>
      <c r="BX650" s="174"/>
      <c r="BY650" s="174"/>
      <c r="BZ650" s="174"/>
      <c r="CA650" s="174"/>
      <c r="CB650" s="174"/>
      <c r="CC650" s="174"/>
      <c r="CD650" s="174"/>
    </row>
    <row r="651">
      <c r="A651" s="105" t="str">
        <f>IF(preDEL!$AG651,IFERROR(0/0,""),preDEL!A651)</f>
        <v>MA1269</v>
      </c>
      <c r="B651" s="170">
        <f>IF(preDEL!$AG651,IFERROR(0/0,""),preDEL!B651)</f>
        <v>44621</v>
      </c>
      <c r="C651" s="171">
        <f>IF(preDEL!$AG651,IFERROR(0/0,""),preDEL!C651)</f>
        <v>0.3461805556</v>
      </c>
      <c r="D651" s="105" t="str">
        <f>IF(preDEL!$AG651,IFERROR(0/0,""),preDEL!D651)</f>
        <v/>
      </c>
      <c r="E651" s="105" t="str">
        <f>IF(preDEL!$AG651,IFERROR(0/0,""),preDEL!E651)</f>
        <v/>
      </c>
      <c r="F651" s="112" t="str">
        <f>IF(preDEL!$AG651,IFERROR(0/0,""),preDEL!F651)</f>
        <v/>
      </c>
      <c r="G651" s="112" t="str">
        <f>IF(preDEL!$AG651,IFERROR(0/0,""),preDEL!G651)</f>
        <v/>
      </c>
      <c r="H651" s="112" t="str">
        <f>IF(preDEL!$AG651,IFERROR(0/0,""),preDEL!H651)</f>
        <v/>
      </c>
      <c r="I651" s="105" t="str">
        <f>IF(preDEL!$AG651,IFERROR(0/0,""),preDEL!I651)</f>
        <v/>
      </c>
      <c r="J651" s="105" t="str">
        <f>IF(preDEL!$AG651,IFERROR(0/0,""),preDEL!J651)</f>
        <v/>
      </c>
      <c r="K651" s="105" t="str">
        <f>IF(preDEL!$AG651,IFERROR(0/0,""),preDEL!K651)</f>
        <v>Negative</v>
      </c>
      <c r="L651" s="170">
        <f>IF(preDEL!$AG651,IFERROR(0/0,""),preDEL!L651)</f>
        <v>44627</v>
      </c>
      <c r="M651" s="171">
        <f>IF(preDEL!$AG651,IFERROR(0/0,""),preDEL!M651)</f>
        <v>0.4779282407</v>
      </c>
      <c r="N651" s="112" t="str">
        <f>IF(preDEL!$AG651,IFERROR(0/0,""),preDEL!N651)</f>
        <v/>
      </c>
      <c r="O651" s="112" t="str">
        <f>IF(preDEL!$AG651,IFERROR(0/0,""),preDEL!O651)</f>
        <v/>
      </c>
      <c r="P651" s="110" t="b">
        <f>IF(preDEL!$AG651,IFERROR(0/0,""),preDEL!P651)</f>
        <v>0</v>
      </c>
      <c r="Q651" s="110" t="str">
        <f>IF(preDEL!$AG651,IFERROR(0/0,""),preDEL!Q651)</f>
        <v>Result</v>
      </c>
      <c r="R651" s="104" t="b">
        <f>IF(preDEL!$AG651,IFERROR(0/0,""),preDEL!R651)</f>
        <v>1</v>
      </c>
      <c r="S651" s="104">
        <f>IF(preDEL!$AG651,IFERROR(0/0,""),preDEL!S651)</f>
        <v>1</v>
      </c>
      <c r="T651" s="110" t="str">
        <f>IF(preDEL!$AG651,IFERROR(0/0,""),preDEL!T651)</f>
        <v/>
      </c>
      <c r="U651" s="112" t="str">
        <f>IF(preDEL!$AG651,IFERROR(0/0,""),preDEL!U651)</f>
        <v/>
      </c>
      <c r="V651" s="105" t="str">
        <f>IF(preDEL!$AG651,IFERROR(0/0,""),preDEL!V651)</f>
        <v/>
      </c>
      <c r="W651" s="112" t="str">
        <f>IF(preDEL!$AG651,IFERROR(0/0,""),preDEL!W651)</f>
        <v/>
      </c>
      <c r="X651" s="104" t="b">
        <f>IF(preDEL!$AG651,IFERROR(0/0,""),preDEL!X651)</f>
        <v>0</v>
      </c>
      <c r="Y651" s="110" t="b">
        <f>IF(preDEL!$AG651,IFERROR(0/0,""),preDEL!Y651)</f>
        <v>0</v>
      </c>
      <c r="Z651" s="105" t="str">
        <f>IF(preDEL!$AG651,IFERROR(0/0,""),preDEL!Z651)</f>
        <v/>
      </c>
      <c r="AA651" s="110" t="b">
        <f>IF(preDEL!$AG651,IFERROR(0/0,""),preDEL!AA651)</f>
        <v>0</v>
      </c>
      <c r="AB651" s="110" t="b">
        <f>IF(preDEL!$AG651,IFERROR(0/0,""),preDEL!AB651)</f>
        <v>0</v>
      </c>
      <c r="AC651" s="172">
        <f>IF(preDEL!$AG651,IFERROR(0/0,""),preDEL!AC651)</f>
        <v>165</v>
      </c>
      <c r="AD651" s="104" t="b">
        <f>IF(preDEL!$AG651,IFERROR(0/0,""),preDEL!AD651)</f>
        <v>0</v>
      </c>
      <c r="AE651" s="173" t="str">
        <f>IF(preDEL!$AG651,IFERROR(0/0,""),preDEL!AE651)</f>
        <v/>
      </c>
      <c r="AF651" s="110" t="b">
        <f>IF(preDEL!$AG651,IFERROR(0/0,""),preDEL!AF651)</f>
        <v>0</v>
      </c>
      <c r="AG651" s="110" t="b">
        <f>IF(preDEL!$AG651,IFERROR(0/0,""),preDEL!AG651)</f>
        <v>0</v>
      </c>
      <c r="AH651" s="104" t="str">
        <f>IF(preDEL!$AG651,IFERROR(0/0,""),preDEL!AH651)</f>
        <v/>
      </c>
      <c r="AI651" s="105" t="str">
        <f>IF(preDEL!$AG651,IFERROR(0/0,""),preDEL!AI651)</f>
        <v/>
      </c>
      <c r="AJ651" s="112" t="str">
        <f>IF(preDEL!$AG651,IFERROR(0/0,""),preDEL!AJ651)</f>
        <v/>
      </c>
      <c r="AK651" s="105" t="str">
        <f>IF(preDEL!$AG651,IFERROR(0/0,""),preDEL!AK651)</f>
        <v>Negative</v>
      </c>
      <c r="AL651" s="112" t="str">
        <f>IF(preDEL!$AG651,IFERROR(0/0,""),preDEL!AL651)</f>
        <v/>
      </c>
      <c r="AM651" s="112" t="str">
        <f>IF(preDEL!$AG651,IFERROR(0/0,""),preDEL!AM651)</f>
        <v>SpBEND305944</v>
      </c>
      <c r="AN651" s="112" t="str">
        <f>IF(preDEL!$AG651,IFERROR(0/0,""),preDEL!AN651)</f>
        <v>BEND538986</v>
      </c>
      <c r="AO651" s="112" t="str">
        <f>IF(preDEL!$AG651,IFERROR(0/0,""),preDEL!AO651)</f>
        <v/>
      </c>
      <c r="AP651" s="112" t="str">
        <f>IF(preDEL!$AG651,IFERROR(0/0,""),preDEL!AP651)</f>
        <v/>
      </c>
      <c r="AQ651" s="112" t="str">
        <f>IF(preDEL!$AG651,IFERROR(0/0,""),preDEL!AQ651)</f>
        <v/>
      </c>
      <c r="AR651" s="112" t="str">
        <f>IF(preDEL!$AG651,IFERROR(0/0,""),preDEL!AR651)</f>
        <v/>
      </c>
      <c r="AS651" s="112" t="str">
        <f>IF(preDEL!$AG651,IFERROR(0/0,""),preDEL!AS651)</f>
        <v/>
      </c>
      <c r="AT651" s="112" t="b">
        <f>IF(preDEL!$AG651,IFERROR(0/0,""),preDEL!AT651)</f>
        <v>0</v>
      </c>
      <c r="AU651" s="112" t="str">
        <f>IF(preDEL!$AG651,IFERROR(0/0,""),preDEL!AU651)</f>
        <v/>
      </c>
      <c r="AV651" s="112" t="str">
        <f>IF(preDEL!$AG651,IFERROR(0/0,""),preDEL!AV651)</f>
        <v/>
      </c>
      <c r="AW651" s="112" t="str">
        <f>IF(preDEL!$AG651,IFERROR(0/0,""),preDEL!AW651)</f>
        <v/>
      </c>
      <c r="AX651" s="112" t="str">
        <f>IF(preDEL!$AG651,IFERROR(0/0,""),preDEL!AX651)</f>
        <v/>
      </c>
      <c r="AY651" s="112" t="str">
        <f>IF(preDEL!$AG651,IFERROR(0/0,""),preDEL!AY651)</f>
        <v/>
      </c>
      <c r="AZ651" s="174"/>
      <c r="BA651" s="174"/>
      <c r="BB651" s="174"/>
      <c r="BC651" s="174"/>
      <c r="BD651" s="174"/>
      <c r="BE651" s="174"/>
      <c r="BF651" s="174"/>
      <c r="BG651" s="174"/>
      <c r="BH651" s="174"/>
      <c r="BI651" s="174"/>
      <c r="BJ651" s="174"/>
      <c r="BK651" s="174"/>
      <c r="BL651" s="174"/>
      <c r="BM651" s="174"/>
      <c r="BN651" s="174"/>
      <c r="BO651" s="174"/>
      <c r="BP651" s="174"/>
      <c r="BQ651" s="174"/>
      <c r="BR651" s="174"/>
      <c r="BS651" s="174"/>
      <c r="BT651" s="174"/>
      <c r="BU651" s="174"/>
      <c r="BV651" s="174"/>
      <c r="BW651" s="174"/>
      <c r="BX651" s="174"/>
      <c r="BY651" s="174"/>
      <c r="BZ651" s="174"/>
      <c r="CA651" s="174"/>
      <c r="CB651" s="174"/>
      <c r="CC651" s="174"/>
      <c r="CD651" s="174"/>
    </row>
    <row r="652">
      <c r="A652" s="105" t="str">
        <f>IF(preDEL!$AG652,IFERROR(0/0,""),preDEL!A652)</f>
        <v>FM799</v>
      </c>
      <c r="B652" s="170">
        <f>IF(preDEL!$AG652,IFERROR(0/0,""),preDEL!B652)</f>
        <v>44621</v>
      </c>
      <c r="C652" s="171">
        <f>IF(preDEL!$AG652,IFERROR(0/0,""),preDEL!C652)</f>
        <v>0.4451388889</v>
      </c>
      <c r="D652" s="105" t="str">
        <f>IF(preDEL!$AG652,IFERROR(0/0,""),preDEL!D652)</f>
        <v/>
      </c>
      <c r="E652" s="105" t="str">
        <f>IF(preDEL!$AG652,IFERROR(0/0,""),preDEL!E652)</f>
        <v/>
      </c>
      <c r="F652" s="112" t="str">
        <f>IF(preDEL!$AG652,IFERROR(0/0,""),preDEL!F652)</f>
        <v/>
      </c>
      <c r="G652" s="112" t="str">
        <f>IF(preDEL!$AG652,IFERROR(0/0,""),preDEL!G652)</f>
        <v/>
      </c>
      <c r="H652" s="112" t="str">
        <f>IF(preDEL!$AG652,IFERROR(0/0,""),preDEL!H652)</f>
        <v/>
      </c>
      <c r="I652" s="105" t="str">
        <f>IF(preDEL!$AG652,IFERROR(0/0,""),preDEL!I652)</f>
        <v/>
      </c>
      <c r="J652" s="105" t="str">
        <f>IF(preDEL!$AG652,IFERROR(0/0,""),preDEL!J652)</f>
        <v/>
      </c>
      <c r="K652" s="105" t="str">
        <f>IF(preDEL!$AG652,IFERROR(0/0,""),preDEL!K652)</f>
        <v>Negative</v>
      </c>
      <c r="L652" s="170">
        <f>IF(preDEL!$AG652,IFERROR(0/0,""),preDEL!L652)</f>
        <v>44623</v>
      </c>
      <c r="M652" s="171">
        <f>IF(preDEL!$AG652,IFERROR(0/0,""),preDEL!M652)</f>
        <v>0.4605787037</v>
      </c>
      <c r="N652" s="112" t="str">
        <f>IF(preDEL!$AG652,IFERROR(0/0,""),preDEL!N652)</f>
        <v/>
      </c>
      <c r="O652" s="112" t="str">
        <f>IF(preDEL!$AG652,IFERROR(0/0,""),preDEL!O652)</f>
        <v/>
      </c>
      <c r="P652" s="110" t="b">
        <f>IF(preDEL!$AG652,IFERROR(0/0,""),preDEL!P652)</f>
        <v>0</v>
      </c>
      <c r="Q652" s="110" t="str">
        <f>IF(preDEL!$AG652,IFERROR(0/0,""),preDEL!Q652)</f>
        <v>Result</v>
      </c>
      <c r="R652" s="104" t="b">
        <f>IF(preDEL!$AG652,IFERROR(0/0,""),preDEL!R652)</f>
        <v>1</v>
      </c>
      <c r="S652" s="104">
        <f>IF(preDEL!$AG652,IFERROR(0/0,""),preDEL!S652)</f>
        <v>1</v>
      </c>
      <c r="T652" s="110" t="str">
        <f>IF(preDEL!$AG652,IFERROR(0/0,""),preDEL!T652)</f>
        <v/>
      </c>
      <c r="U652" s="112" t="str">
        <f>IF(preDEL!$AG652,IFERROR(0/0,""),preDEL!U652)</f>
        <v/>
      </c>
      <c r="V652" s="105" t="str">
        <f>IF(preDEL!$AG652,IFERROR(0/0,""),preDEL!V652)</f>
        <v/>
      </c>
      <c r="W652" s="112" t="str">
        <f>IF(preDEL!$AG652,IFERROR(0/0,""),preDEL!W652)</f>
        <v/>
      </c>
      <c r="X652" s="104" t="b">
        <f>IF(preDEL!$AG652,IFERROR(0/0,""),preDEL!X652)</f>
        <v>0</v>
      </c>
      <c r="Y652" s="110" t="b">
        <f>IF(preDEL!$AG652,IFERROR(0/0,""),preDEL!Y652)</f>
        <v>0</v>
      </c>
      <c r="Z652" s="105" t="str">
        <f>IF(preDEL!$AG652,IFERROR(0/0,""),preDEL!Z652)</f>
        <v/>
      </c>
      <c r="AA652" s="110" t="b">
        <f>IF(preDEL!$AG652,IFERROR(0/0,""),preDEL!AA652)</f>
        <v>0</v>
      </c>
      <c r="AB652" s="110" t="b">
        <f>IF(preDEL!$AG652,IFERROR(0/0,""),preDEL!AB652)</f>
        <v>0</v>
      </c>
      <c r="AC652" s="172">
        <f>IF(preDEL!$AG652,IFERROR(0/0,""),preDEL!AC652)</f>
        <v>164</v>
      </c>
      <c r="AD652" s="104" t="b">
        <f>IF(preDEL!$AG652,IFERROR(0/0,""),preDEL!AD652)</f>
        <v>0</v>
      </c>
      <c r="AE652" s="173" t="str">
        <f>IF(preDEL!$AG652,IFERROR(0/0,""),preDEL!AE652)</f>
        <v/>
      </c>
      <c r="AF652" s="110" t="b">
        <f>IF(preDEL!$AG652,IFERROR(0/0,""),preDEL!AF652)</f>
        <v>0</v>
      </c>
      <c r="AG652" s="110" t="b">
        <f>IF(preDEL!$AG652,IFERROR(0/0,""),preDEL!AG652)</f>
        <v>0</v>
      </c>
      <c r="AH652" s="104" t="str">
        <f>IF(preDEL!$AG652,IFERROR(0/0,""),preDEL!AH652)</f>
        <v/>
      </c>
      <c r="AI652" s="105" t="str">
        <f>IF(preDEL!$AG652,IFERROR(0/0,""),preDEL!AI652)</f>
        <v/>
      </c>
      <c r="AJ652" s="112" t="str">
        <f>IF(preDEL!$AG652,IFERROR(0/0,""),preDEL!AJ652)</f>
        <v/>
      </c>
      <c r="AK652" s="105" t="str">
        <f>IF(preDEL!$AG652,IFERROR(0/0,""),preDEL!AK652)</f>
        <v>Negative</v>
      </c>
      <c r="AL652" s="112" t="str">
        <f>IF(preDEL!$AG652,IFERROR(0/0,""),preDEL!AL652)</f>
        <v/>
      </c>
      <c r="AM652" s="112" t="str">
        <f>IF(preDEL!$AG652,IFERROR(0/0,""),preDEL!AM652)</f>
        <v>SpBEND914710</v>
      </c>
      <c r="AN652" s="112" t="str">
        <f>IF(preDEL!$AG652,IFERROR(0/0,""),preDEL!AN652)</f>
        <v>BEND493351</v>
      </c>
      <c r="AO652" s="112" t="str">
        <f>IF(preDEL!$AG652,IFERROR(0/0,""),preDEL!AO652)</f>
        <v/>
      </c>
      <c r="AP652" s="112" t="str">
        <f>IF(preDEL!$AG652,IFERROR(0/0,""),preDEL!AP652)</f>
        <v/>
      </c>
      <c r="AQ652" s="112" t="str">
        <f>IF(preDEL!$AG652,IFERROR(0/0,""),preDEL!AQ652)</f>
        <v/>
      </c>
      <c r="AR652" s="112" t="str">
        <f>IF(preDEL!$AG652,IFERROR(0/0,""),preDEL!AR652)</f>
        <v/>
      </c>
      <c r="AS652" s="112" t="str">
        <f>IF(preDEL!$AG652,IFERROR(0/0,""),preDEL!AS652)</f>
        <v/>
      </c>
      <c r="AT652" s="112" t="b">
        <f>IF(preDEL!$AG652,IFERROR(0/0,""),preDEL!AT652)</f>
        <v>0</v>
      </c>
      <c r="AU652" s="112" t="str">
        <f>IF(preDEL!$AG652,IFERROR(0/0,""),preDEL!AU652)</f>
        <v/>
      </c>
      <c r="AV652" s="112" t="str">
        <f>IF(preDEL!$AG652,IFERROR(0/0,""),preDEL!AV652)</f>
        <v/>
      </c>
      <c r="AW652" s="112" t="str">
        <f>IF(preDEL!$AG652,IFERROR(0/0,""),preDEL!AW652)</f>
        <v/>
      </c>
      <c r="AX652" s="112" t="str">
        <f>IF(preDEL!$AG652,IFERROR(0/0,""),preDEL!AX652)</f>
        <v/>
      </c>
      <c r="AY652" s="112" t="str">
        <f>IF(preDEL!$AG652,IFERROR(0/0,""),preDEL!AY652)</f>
        <v/>
      </c>
      <c r="AZ652" s="174"/>
      <c r="BA652" s="174"/>
      <c r="BB652" s="174"/>
      <c r="BC652" s="174"/>
      <c r="BD652" s="174"/>
      <c r="BE652" s="174"/>
      <c r="BF652" s="174"/>
      <c r="BG652" s="174"/>
      <c r="BH652" s="174"/>
      <c r="BI652" s="174"/>
      <c r="BJ652" s="174"/>
      <c r="BK652" s="174"/>
      <c r="BL652" s="174"/>
      <c r="BM652" s="174"/>
      <c r="BN652" s="174"/>
      <c r="BO652" s="174"/>
      <c r="BP652" s="174"/>
      <c r="BQ652" s="174"/>
      <c r="BR652" s="174"/>
      <c r="BS652" s="174"/>
      <c r="BT652" s="174"/>
      <c r="BU652" s="174"/>
      <c r="BV652" s="174"/>
      <c r="BW652" s="174"/>
      <c r="BX652" s="174"/>
      <c r="BY652" s="174"/>
      <c r="BZ652" s="174"/>
      <c r="CA652" s="174"/>
      <c r="CB652" s="174"/>
      <c r="CC652" s="174"/>
      <c r="CD652" s="174"/>
    </row>
    <row r="653">
      <c r="A653" s="105" t="str">
        <f>IF(preDEL!$AG653,IFERROR(0/0,""),preDEL!A653)</f>
        <v>FM2090</v>
      </c>
      <c r="B653" s="170">
        <f>IF(preDEL!$AG653,IFERROR(0/0,""),preDEL!B653)</f>
        <v>44621</v>
      </c>
      <c r="C653" s="171">
        <f>IF(preDEL!$AG653,IFERROR(0/0,""),preDEL!C653)</f>
        <v>0.4674652778</v>
      </c>
      <c r="D653" s="105" t="str">
        <f>IF(preDEL!$AG653,IFERROR(0/0,""),preDEL!D653)</f>
        <v/>
      </c>
      <c r="E653" s="105" t="str">
        <f>IF(preDEL!$AG653,IFERROR(0/0,""),preDEL!E653)</f>
        <v/>
      </c>
      <c r="F653" s="112" t="str">
        <f>IF(preDEL!$AG653,IFERROR(0/0,""),preDEL!F653)</f>
        <v/>
      </c>
      <c r="G653" s="112" t="str">
        <f>IF(preDEL!$AG653,IFERROR(0/0,""),preDEL!G653)</f>
        <v/>
      </c>
      <c r="H653" s="112" t="str">
        <f>IF(preDEL!$AG653,IFERROR(0/0,""),preDEL!H653)</f>
        <v/>
      </c>
      <c r="I653" s="105" t="str">
        <f>IF(preDEL!$AG653,IFERROR(0/0,""),preDEL!I653)</f>
        <v/>
      </c>
      <c r="J653" s="105" t="str">
        <f>IF(preDEL!$AG653,IFERROR(0/0,""),preDEL!J653)</f>
        <v/>
      </c>
      <c r="K653" s="105" t="str">
        <f>IF(preDEL!$AG653,IFERROR(0/0,""),preDEL!K653)</f>
        <v>Negative</v>
      </c>
      <c r="L653" s="170">
        <f>IF(preDEL!$AG653,IFERROR(0/0,""),preDEL!L653)</f>
        <v>44627</v>
      </c>
      <c r="M653" s="171">
        <f>IF(preDEL!$AG653,IFERROR(0/0,""),preDEL!M653)</f>
        <v>0.4779282407</v>
      </c>
      <c r="N653" s="112" t="str">
        <f>IF(preDEL!$AG653,IFERROR(0/0,""),preDEL!N653)</f>
        <v/>
      </c>
      <c r="O653" s="112" t="str">
        <f>IF(preDEL!$AG653,IFERROR(0/0,""),preDEL!O653)</f>
        <v/>
      </c>
      <c r="P653" s="110" t="b">
        <f>IF(preDEL!$AG653,IFERROR(0/0,""),preDEL!P653)</f>
        <v>0</v>
      </c>
      <c r="Q653" s="110" t="str">
        <f>IF(preDEL!$AG653,IFERROR(0/0,""),preDEL!Q653)</f>
        <v>Result</v>
      </c>
      <c r="R653" s="104" t="b">
        <f>IF(preDEL!$AG653,IFERROR(0/0,""),preDEL!R653)</f>
        <v>1</v>
      </c>
      <c r="S653" s="104">
        <f>IF(preDEL!$AG653,IFERROR(0/0,""),preDEL!S653)</f>
        <v>1</v>
      </c>
      <c r="T653" s="110" t="str">
        <f>IF(preDEL!$AG653,IFERROR(0/0,""),preDEL!T653)</f>
        <v/>
      </c>
      <c r="U653" s="112" t="str">
        <f>IF(preDEL!$AG653,IFERROR(0/0,""),preDEL!U653)</f>
        <v/>
      </c>
      <c r="V653" s="105" t="str">
        <f>IF(preDEL!$AG653,IFERROR(0/0,""),preDEL!V653)</f>
        <v/>
      </c>
      <c r="W653" s="112" t="str">
        <f>IF(preDEL!$AG653,IFERROR(0/0,""),preDEL!W653)</f>
        <v/>
      </c>
      <c r="X653" s="104" t="b">
        <f>IF(preDEL!$AG653,IFERROR(0/0,""),preDEL!X653)</f>
        <v>0</v>
      </c>
      <c r="Y653" s="110" t="b">
        <f>IF(preDEL!$AG653,IFERROR(0/0,""),preDEL!Y653)</f>
        <v>0</v>
      </c>
      <c r="Z653" s="105" t="str">
        <f>IF(preDEL!$AG653,IFERROR(0/0,""),preDEL!Z653)</f>
        <v/>
      </c>
      <c r="AA653" s="110" t="b">
        <f>IF(preDEL!$AG653,IFERROR(0/0,""),preDEL!AA653)</f>
        <v>0</v>
      </c>
      <c r="AB653" s="110" t="b">
        <f>IF(preDEL!$AG653,IFERROR(0/0,""),preDEL!AB653)</f>
        <v>0</v>
      </c>
      <c r="AC653" s="172">
        <f>IF(preDEL!$AG653,IFERROR(0/0,""),preDEL!AC653)</f>
        <v>163</v>
      </c>
      <c r="AD653" s="104" t="b">
        <f>IF(preDEL!$AG653,IFERROR(0/0,""),preDEL!AD653)</f>
        <v>0</v>
      </c>
      <c r="AE653" s="173" t="str">
        <f>IF(preDEL!$AG653,IFERROR(0/0,""),preDEL!AE653)</f>
        <v/>
      </c>
      <c r="AF653" s="110" t="b">
        <f>IF(preDEL!$AG653,IFERROR(0/0,""),preDEL!AF653)</f>
        <v>0</v>
      </c>
      <c r="AG653" s="110" t="b">
        <f>IF(preDEL!$AG653,IFERROR(0/0,""),preDEL!AG653)</f>
        <v>0</v>
      </c>
      <c r="AH653" s="104" t="str">
        <f>IF(preDEL!$AG653,IFERROR(0/0,""),preDEL!AH653)</f>
        <v/>
      </c>
      <c r="AI653" s="105" t="str">
        <f>IF(preDEL!$AG653,IFERROR(0/0,""),preDEL!AI653)</f>
        <v/>
      </c>
      <c r="AJ653" s="112" t="str">
        <f>IF(preDEL!$AG653,IFERROR(0/0,""),preDEL!AJ653)</f>
        <v/>
      </c>
      <c r="AK653" s="105" t="str">
        <f>IF(preDEL!$AG653,IFERROR(0/0,""),preDEL!AK653)</f>
        <v>Negative</v>
      </c>
      <c r="AL653" s="112" t="str">
        <f>IF(preDEL!$AG653,IFERROR(0/0,""),preDEL!AL653)</f>
        <v/>
      </c>
      <c r="AM653" s="112" t="str">
        <f>IF(preDEL!$AG653,IFERROR(0/0,""),preDEL!AM653)</f>
        <v>SpBEND110967</v>
      </c>
      <c r="AN653" s="112" t="str">
        <f>IF(preDEL!$AG653,IFERROR(0/0,""),preDEL!AN653)</f>
        <v>BEND782925</v>
      </c>
      <c r="AO653" s="112" t="str">
        <f>IF(preDEL!$AG653,IFERROR(0/0,""),preDEL!AO653)</f>
        <v/>
      </c>
      <c r="AP653" s="112" t="str">
        <f>IF(preDEL!$AG653,IFERROR(0/0,""),preDEL!AP653)</f>
        <v/>
      </c>
      <c r="AQ653" s="112" t="str">
        <f>IF(preDEL!$AG653,IFERROR(0/0,""),preDEL!AQ653)</f>
        <v/>
      </c>
      <c r="AR653" s="112" t="str">
        <f>IF(preDEL!$AG653,IFERROR(0/0,""),preDEL!AR653)</f>
        <v/>
      </c>
      <c r="AS653" s="112" t="str">
        <f>IF(preDEL!$AG653,IFERROR(0/0,""),preDEL!AS653)</f>
        <v/>
      </c>
      <c r="AT653" s="112" t="b">
        <f>IF(preDEL!$AG653,IFERROR(0/0,""),preDEL!AT653)</f>
        <v>0</v>
      </c>
      <c r="AU653" s="112" t="str">
        <f>IF(preDEL!$AG653,IFERROR(0/0,""),preDEL!AU653)</f>
        <v/>
      </c>
      <c r="AV653" s="112" t="str">
        <f>IF(preDEL!$AG653,IFERROR(0/0,""),preDEL!AV653)</f>
        <v/>
      </c>
      <c r="AW653" s="112" t="str">
        <f>IF(preDEL!$AG653,IFERROR(0/0,""),preDEL!AW653)</f>
        <v/>
      </c>
      <c r="AX653" s="112" t="str">
        <f>IF(preDEL!$AG653,IFERROR(0/0,""),preDEL!AX653)</f>
        <v/>
      </c>
      <c r="AY653" s="112" t="str">
        <f>IF(preDEL!$AG653,IFERROR(0/0,""),preDEL!AY653)</f>
        <v/>
      </c>
      <c r="AZ653" s="174"/>
      <c r="BA653" s="174"/>
      <c r="BB653" s="174"/>
      <c r="BC653" s="174"/>
      <c r="BD653" s="174"/>
      <c r="BE653" s="174"/>
      <c r="BF653" s="174"/>
      <c r="BG653" s="174"/>
      <c r="BH653" s="174"/>
      <c r="BI653" s="174"/>
      <c r="BJ653" s="174"/>
      <c r="BK653" s="174"/>
      <c r="BL653" s="174"/>
      <c r="BM653" s="174"/>
      <c r="BN653" s="174"/>
      <c r="BO653" s="174"/>
      <c r="BP653" s="174"/>
      <c r="BQ653" s="174"/>
      <c r="BR653" s="174"/>
      <c r="BS653" s="174"/>
      <c r="BT653" s="174"/>
      <c r="BU653" s="174"/>
      <c r="BV653" s="174"/>
      <c r="BW653" s="174"/>
      <c r="BX653" s="174"/>
      <c r="BY653" s="174"/>
      <c r="BZ653" s="174"/>
      <c r="CA653" s="174"/>
      <c r="CB653" s="174"/>
      <c r="CC653" s="174"/>
      <c r="CD653" s="174"/>
    </row>
    <row r="654">
      <c r="A654" s="105" t="str">
        <f>IF(preDEL!$AG654,IFERROR(0/0,""),preDEL!A654)</f>
        <v>MA1251</v>
      </c>
      <c r="B654" s="170">
        <f>IF(preDEL!$AG654,IFERROR(0/0,""),preDEL!B654)</f>
        <v>44621</v>
      </c>
      <c r="C654" s="171">
        <f>IF(preDEL!$AG654,IFERROR(0/0,""),preDEL!C654)</f>
        <v>0.4679282407</v>
      </c>
      <c r="D654" s="105" t="str">
        <f>IF(preDEL!$AG654,IFERROR(0/0,""),preDEL!D654)</f>
        <v/>
      </c>
      <c r="E654" s="105" t="str">
        <f>IF(preDEL!$AG654,IFERROR(0/0,""),preDEL!E654)</f>
        <v/>
      </c>
      <c r="F654" s="112" t="str">
        <f>IF(preDEL!$AG654,IFERROR(0/0,""),preDEL!F654)</f>
        <v/>
      </c>
      <c r="G654" s="112" t="str">
        <f>IF(preDEL!$AG654,IFERROR(0/0,""),preDEL!G654)</f>
        <v/>
      </c>
      <c r="H654" s="112" t="str">
        <f>IF(preDEL!$AG654,IFERROR(0/0,""),preDEL!H654)</f>
        <v/>
      </c>
      <c r="I654" s="175" t="str">
        <f>IF(preDEL!$AG654,IFERROR(0/0,""),preDEL!I654)</f>
        <v/>
      </c>
      <c r="J654" s="105" t="str">
        <f>IF(preDEL!$AG654,IFERROR(0/0,""),preDEL!J654)</f>
        <v/>
      </c>
      <c r="K654" s="105" t="str">
        <f>IF(preDEL!$AG654,IFERROR(0/0,""),preDEL!K654)</f>
        <v>Negative</v>
      </c>
      <c r="L654" s="170">
        <f>IF(preDEL!$AG654,IFERROR(0/0,""),preDEL!L654)</f>
        <v>44627</v>
      </c>
      <c r="M654" s="171">
        <f>IF(preDEL!$AG654,IFERROR(0/0,""),preDEL!M654)</f>
        <v>0.4779398148</v>
      </c>
      <c r="N654" s="112" t="str">
        <f>IF(preDEL!$AG654,IFERROR(0/0,""),preDEL!N654)</f>
        <v>Primary</v>
      </c>
      <c r="O654" s="112" t="str">
        <f>IF(preDEL!$AG654,IFERROR(0/0,""),preDEL!O654)</f>
        <v/>
      </c>
      <c r="P654" s="110" t="b">
        <f>IF(preDEL!$AG654,IFERROR(0/0,""),preDEL!P654)</f>
        <v>0</v>
      </c>
      <c r="Q654" s="110" t="str">
        <f>IF(preDEL!$AG654,IFERROR(0/0,""),preDEL!Q654)</f>
        <v>Result</v>
      </c>
      <c r="R654" s="104" t="b">
        <f>IF(preDEL!$AG654,IFERROR(0/0,""),preDEL!R654)</f>
        <v>1</v>
      </c>
      <c r="S654" s="104">
        <f>IF(preDEL!$AG654,IFERROR(0/0,""),preDEL!S654)</f>
        <v>1</v>
      </c>
      <c r="T654" s="110">
        <f>IF(preDEL!$AG654,IFERROR(0/0,""),preDEL!T654)</f>
        <v>0</v>
      </c>
      <c r="U654" s="112" t="str">
        <f>IF(preDEL!$AG654,IFERROR(0/0,""),preDEL!U654)</f>
        <v/>
      </c>
      <c r="V654" s="105" t="str">
        <f>IF(preDEL!$AG654,IFERROR(0/0,""),preDEL!V654)</f>
        <v/>
      </c>
      <c r="W654" s="112" t="str">
        <f>IF(preDEL!$AG654,IFERROR(0/0,""),preDEL!W654)</f>
        <v/>
      </c>
      <c r="X654" s="104" t="b">
        <f>IF(preDEL!$AG654,IFERROR(0/0,""),preDEL!X654)</f>
        <v>0</v>
      </c>
      <c r="Y654" s="110" t="b">
        <f>IF(preDEL!$AG654,IFERROR(0/0,""),preDEL!Y654)</f>
        <v>0</v>
      </c>
      <c r="Z654" s="105" t="str">
        <f>IF(preDEL!$AG654,IFERROR(0/0,""),preDEL!Z654)</f>
        <v/>
      </c>
      <c r="AA654" s="110" t="b">
        <f>IF(preDEL!$AG654,IFERROR(0/0,""),preDEL!AA654)</f>
        <v>0</v>
      </c>
      <c r="AB654" s="110" t="b">
        <f>IF(preDEL!$AG654,IFERROR(0/0,""),preDEL!AB654)</f>
        <v>0</v>
      </c>
      <c r="AC654" s="172">
        <f>IF(preDEL!$AG654,IFERROR(0/0,""),preDEL!AC654)</f>
        <v>801</v>
      </c>
      <c r="AD654" s="104" t="b">
        <f>IF(preDEL!$AG654,IFERROR(0/0,""),preDEL!AD654)</f>
        <v>1</v>
      </c>
      <c r="AE654" s="173" t="str">
        <f>IF(preDEL!$AG654,IFERROR(0/0,""),preDEL!AE654)</f>
        <v/>
      </c>
      <c r="AF654" s="110" t="b">
        <f>IF(preDEL!$AG654,IFERROR(0/0,""),preDEL!AF654)</f>
        <v>0</v>
      </c>
      <c r="AG654" s="110" t="b">
        <f>IF(preDEL!$AG654,IFERROR(0/0,""),preDEL!AG654)</f>
        <v>0</v>
      </c>
      <c r="AH654" s="104" t="str">
        <f>IF(preDEL!$AG654,IFERROR(0/0,""),preDEL!AH654)</f>
        <v/>
      </c>
      <c r="AI654" s="105" t="str">
        <f>IF(preDEL!$AG654,IFERROR(0/0,""),preDEL!AI654)</f>
        <v/>
      </c>
      <c r="AJ654" s="112" t="str">
        <f>IF(preDEL!$AG654,IFERROR(0/0,""),preDEL!AJ654)</f>
        <v/>
      </c>
      <c r="AK654" s="105" t="str">
        <f>IF(preDEL!$AG654,IFERROR(0/0,""),preDEL!AK654)</f>
        <v>Negative</v>
      </c>
      <c r="AL654" s="112" t="str">
        <f>IF(preDEL!$AG654,IFERROR(0/0,""),preDEL!AL654)</f>
        <v/>
      </c>
      <c r="AM654" s="112" t="str">
        <f>IF(preDEL!$AG654,IFERROR(0/0,""),preDEL!AM654)</f>
        <v>SpBEND110967</v>
      </c>
      <c r="AN654" s="112" t="str">
        <f>IF(preDEL!$AG654,IFERROR(0/0,""),preDEL!AN654)</f>
        <v>BEND671526</v>
      </c>
      <c r="AO654" s="112" t="str">
        <f>IF(preDEL!$AG654,IFERROR(0/0,""),preDEL!AO654)</f>
        <v/>
      </c>
      <c r="AP654" s="112" t="str">
        <f>IF(preDEL!$AG654,IFERROR(0/0,""),preDEL!AP654)</f>
        <v/>
      </c>
      <c r="AQ654" s="112" t="str">
        <f>IF(preDEL!$AG654,IFERROR(0/0,""),preDEL!AQ654)</f>
        <v/>
      </c>
      <c r="AR654" s="112" t="str">
        <f>IF(preDEL!$AG654,IFERROR(0/0,""),preDEL!AR654)</f>
        <v/>
      </c>
      <c r="AS654" s="112" t="str">
        <f>IF(preDEL!$AG654,IFERROR(0/0,""),preDEL!AS654)</f>
        <v/>
      </c>
      <c r="AT654" s="112" t="b">
        <f>IF(preDEL!$AG654,IFERROR(0/0,""),preDEL!AT654)</f>
        <v>0</v>
      </c>
      <c r="AU654" s="112" t="str">
        <f>IF(preDEL!$AG654,IFERROR(0/0,""),preDEL!AU654)</f>
        <v/>
      </c>
      <c r="AV654" s="112" t="str">
        <f>IF(preDEL!$AG654,IFERROR(0/0,""),preDEL!AV654)</f>
        <v/>
      </c>
      <c r="AW654" s="112" t="str">
        <f>IF(preDEL!$AG654,IFERROR(0/0,""),preDEL!AW654)</f>
        <v/>
      </c>
      <c r="AX654" s="112" t="str">
        <f>IF(preDEL!$AG654,IFERROR(0/0,""),preDEL!AX654)</f>
        <v/>
      </c>
      <c r="AY654" s="112" t="str">
        <f>IF(preDEL!$AG654,IFERROR(0/0,""),preDEL!AY654)</f>
        <v/>
      </c>
      <c r="AZ654" s="174"/>
      <c r="BA654" s="174"/>
      <c r="BB654" s="174"/>
      <c r="BC654" s="174"/>
      <c r="BD654" s="174"/>
      <c r="BE654" s="174"/>
      <c r="BF654" s="174"/>
      <c r="BG654" s="174"/>
      <c r="BH654" s="174"/>
      <c r="BI654" s="174"/>
      <c r="BJ654" s="174"/>
      <c r="BK654" s="174"/>
      <c r="BL654" s="174"/>
      <c r="BM654" s="174"/>
      <c r="BN654" s="174"/>
      <c r="BO654" s="174"/>
      <c r="BP654" s="174"/>
      <c r="BQ654" s="174"/>
      <c r="BR654" s="174"/>
      <c r="BS654" s="174"/>
      <c r="BT654" s="174"/>
      <c r="BU654" s="174"/>
      <c r="BV654" s="174"/>
      <c r="BW654" s="174"/>
      <c r="BX654" s="174"/>
      <c r="BY654" s="174"/>
      <c r="BZ654" s="174"/>
      <c r="CA654" s="174"/>
      <c r="CB654" s="174"/>
      <c r="CC654" s="174"/>
      <c r="CD654" s="174"/>
    </row>
    <row r="655">
      <c r="A655" s="105" t="str">
        <f>IF(preDEL!$AG655,IFERROR(0/0,""),preDEL!A655)</f>
        <v>MA1293</v>
      </c>
      <c r="B655" s="170">
        <f>IF(preDEL!$AG655,IFERROR(0/0,""),preDEL!B655)</f>
        <v>44621</v>
      </c>
      <c r="C655" s="171">
        <f>IF(preDEL!$AG655,IFERROR(0/0,""),preDEL!C655)</f>
        <v>0.4681481481</v>
      </c>
      <c r="D655" s="105" t="str">
        <f>IF(preDEL!$AG655,IFERROR(0/0,""),preDEL!D655)</f>
        <v/>
      </c>
      <c r="E655" s="105" t="str">
        <f>IF(preDEL!$AG655,IFERROR(0/0,""),preDEL!E655)</f>
        <v/>
      </c>
      <c r="F655" s="112" t="str">
        <f>IF(preDEL!$AG655,IFERROR(0/0,""),preDEL!F655)</f>
        <v/>
      </c>
      <c r="G655" s="112" t="str">
        <f>IF(preDEL!$AG655,IFERROR(0/0,""),preDEL!G655)</f>
        <v/>
      </c>
      <c r="H655" s="112" t="str">
        <f>IF(preDEL!$AG655,IFERROR(0/0,""),preDEL!H655)</f>
        <v/>
      </c>
      <c r="I655" s="175" t="str">
        <f>IF(preDEL!$AG655,IFERROR(0/0,""),preDEL!I655)</f>
        <v/>
      </c>
      <c r="J655" s="105" t="str">
        <f>IF(preDEL!$AG655,IFERROR(0/0,""),preDEL!J655)</f>
        <v/>
      </c>
      <c r="K655" s="105" t="str">
        <f>IF(preDEL!$AG655,IFERROR(0/0,""),preDEL!K655)</f>
        <v>Negative</v>
      </c>
      <c r="L655" s="170">
        <f>IF(preDEL!$AG655,IFERROR(0/0,""),preDEL!L655)</f>
        <v>44627</v>
      </c>
      <c r="M655" s="171">
        <f>IF(preDEL!$AG655,IFERROR(0/0,""),preDEL!M655)</f>
        <v>0.4779398148</v>
      </c>
      <c r="N655" s="112" t="str">
        <f>IF(preDEL!$AG655,IFERROR(0/0,""),preDEL!N655)</f>
        <v>Primary</v>
      </c>
      <c r="O655" s="112" t="str">
        <f>IF(preDEL!$AG655,IFERROR(0/0,""),preDEL!O655)</f>
        <v/>
      </c>
      <c r="P655" s="110" t="b">
        <f>IF(preDEL!$AG655,IFERROR(0/0,""),preDEL!P655)</f>
        <v>0</v>
      </c>
      <c r="Q655" s="110" t="str">
        <f>IF(preDEL!$AG655,IFERROR(0/0,""),preDEL!Q655)</f>
        <v>Result</v>
      </c>
      <c r="R655" s="104" t="b">
        <f>IF(preDEL!$AG655,IFERROR(0/0,""),preDEL!R655)</f>
        <v>1</v>
      </c>
      <c r="S655" s="104">
        <f>IF(preDEL!$AG655,IFERROR(0/0,""),preDEL!S655)</f>
        <v>1</v>
      </c>
      <c r="T655" s="110">
        <f>IF(preDEL!$AG655,IFERROR(0/0,""),preDEL!T655)</f>
        <v>0</v>
      </c>
      <c r="U655" s="112" t="str">
        <f>IF(preDEL!$AG655,IFERROR(0/0,""),preDEL!U655)</f>
        <v/>
      </c>
      <c r="V655" s="105" t="str">
        <f>IF(preDEL!$AG655,IFERROR(0/0,""),preDEL!V655)</f>
        <v/>
      </c>
      <c r="W655" s="112" t="str">
        <f>IF(preDEL!$AG655,IFERROR(0/0,""),preDEL!W655)</f>
        <v/>
      </c>
      <c r="X655" s="104" t="b">
        <f>IF(preDEL!$AG655,IFERROR(0/0,""),preDEL!X655)</f>
        <v>0</v>
      </c>
      <c r="Y655" s="110" t="b">
        <f>IF(preDEL!$AG655,IFERROR(0/0,""),preDEL!Y655)</f>
        <v>0</v>
      </c>
      <c r="Z655" s="105" t="str">
        <f>IF(preDEL!$AG655,IFERROR(0/0,""),preDEL!Z655)</f>
        <v/>
      </c>
      <c r="AA655" s="110" t="b">
        <f>IF(preDEL!$AG655,IFERROR(0/0,""),preDEL!AA655)</f>
        <v>0</v>
      </c>
      <c r="AB655" s="110" t="b">
        <f>IF(preDEL!$AG655,IFERROR(0/0,""),preDEL!AB655)</f>
        <v>0</v>
      </c>
      <c r="AC655" s="172">
        <f>IF(preDEL!$AG655,IFERROR(0/0,""),preDEL!AC655)</f>
        <v>804</v>
      </c>
      <c r="AD655" s="104" t="b">
        <f>IF(preDEL!$AG655,IFERROR(0/0,""),preDEL!AD655)</f>
        <v>1</v>
      </c>
      <c r="AE655" s="173" t="str">
        <f>IF(preDEL!$AG655,IFERROR(0/0,""),preDEL!AE655)</f>
        <v/>
      </c>
      <c r="AF655" s="110" t="b">
        <f>IF(preDEL!$AG655,IFERROR(0/0,""),preDEL!AF655)</f>
        <v>0</v>
      </c>
      <c r="AG655" s="110" t="b">
        <f>IF(preDEL!$AG655,IFERROR(0/0,""),preDEL!AG655)</f>
        <v>0</v>
      </c>
      <c r="AH655" s="104" t="str">
        <f>IF(preDEL!$AG655,IFERROR(0/0,""),preDEL!AH655)</f>
        <v/>
      </c>
      <c r="AI655" s="105" t="str">
        <f>IF(preDEL!$AG655,IFERROR(0/0,""),preDEL!AI655)</f>
        <v/>
      </c>
      <c r="AJ655" s="112" t="str">
        <f>IF(preDEL!$AG655,IFERROR(0/0,""),preDEL!AJ655)</f>
        <v/>
      </c>
      <c r="AK655" s="105" t="str">
        <f>IF(preDEL!$AG655,IFERROR(0/0,""),preDEL!AK655)</f>
        <v>Negative</v>
      </c>
      <c r="AL655" s="112" t="str">
        <f>IF(preDEL!$AG655,IFERROR(0/0,""),preDEL!AL655)</f>
        <v/>
      </c>
      <c r="AM655" s="112" t="str">
        <f>IF(preDEL!$AG655,IFERROR(0/0,""),preDEL!AM655)</f>
        <v>SpBEND110967</v>
      </c>
      <c r="AN655" s="112" t="str">
        <f>IF(preDEL!$AG655,IFERROR(0/0,""),preDEL!AN655)</f>
        <v>BEND393840</v>
      </c>
      <c r="AO655" s="112" t="str">
        <f>IF(preDEL!$AG655,IFERROR(0/0,""),preDEL!AO655)</f>
        <v/>
      </c>
      <c r="AP655" s="112" t="str">
        <f>IF(preDEL!$AG655,IFERROR(0/0,""),preDEL!AP655)</f>
        <v/>
      </c>
      <c r="AQ655" s="112" t="str">
        <f>IF(preDEL!$AG655,IFERROR(0/0,""),preDEL!AQ655)</f>
        <v/>
      </c>
      <c r="AR655" s="112" t="str">
        <f>IF(preDEL!$AG655,IFERROR(0/0,""),preDEL!AR655)</f>
        <v/>
      </c>
      <c r="AS655" s="112" t="str">
        <f>IF(preDEL!$AG655,IFERROR(0/0,""),preDEL!AS655)</f>
        <v/>
      </c>
      <c r="AT655" s="112" t="b">
        <f>IF(preDEL!$AG655,IFERROR(0/0,""),preDEL!AT655)</f>
        <v>0</v>
      </c>
      <c r="AU655" s="112" t="str">
        <f>IF(preDEL!$AG655,IFERROR(0/0,""),preDEL!AU655)</f>
        <v/>
      </c>
      <c r="AV655" s="112" t="str">
        <f>IF(preDEL!$AG655,IFERROR(0/0,""),preDEL!AV655)</f>
        <v/>
      </c>
      <c r="AW655" s="112" t="str">
        <f>IF(preDEL!$AG655,IFERROR(0/0,""),preDEL!AW655)</f>
        <v/>
      </c>
      <c r="AX655" s="112" t="str">
        <f>IF(preDEL!$AG655,IFERROR(0/0,""),preDEL!AX655)</f>
        <v/>
      </c>
      <c r="AY655" s="112" t="str">
        <f>IF(preDEL!$AG655,IFERROR(0/0,""),preDEL!AY655)</f>
        <v/>
      </c>
      <c r="AZ655" s="174"/>
      <c r="BA655" s="174"/>
      <c r="BB655" s="174"/>
      <c r="BC655" s="174"/>
      <c r="BD655" s="174"/>
      <c r="BE655" s="174"/>
      <c r="BF655" s="174"/>
      <c r="BG655" s="174"/>
      <c r="BH655" s="174"/>
      <c r="BI655" s="174"/>
      <c r="BJ655" s="174"/>
      <c r="BK655" s="174"/>
      <c r="BL655" s="174"/>
      <c r="BM655" s="174"/>
      <c r="BN655" s="174"/>
      <c r="BO655" s="174"/>
      <c r="BP655" s="174"/>
      <c r="BQ655" s="174"/>
      <c r="BR655" s="174"/>
      <c r="BS655" s="174"/>
      <c r="BT655" s="174"/>
      <c r="BU655" s="174"/>
      <c r="BV655" s="174"/>
      <c r="BW655" s="174"/>
      <c r="BX655" s="174"/>
      <c r="BY655" s="174"/>
      <c r="BZ655" s="174"/>
      <c r="CA655" s="174"/>
      <c r="CB655" s="174"/>
      <c r="CC655" s="174"/>
      <c r="CD655" s="174"/>
    </row>
    <row r="656">
      <c r="A656" s="105" t="str">
        <f>IF(preDEL!$AG656,IFERROR(0/0,""),preDEL!A656)</f>
        <v/>
      </c>
      <c r="B656" s="170" t="str">
        <f>IF(preDEL!$AG656,IFERROR(0/0,""),preDEL!B656)</f>
        <v/>
      </c>
      <c r="C656" s="171" t="str">
        <f>IF(preDEL!$AG656,IFERROR(0/0,""),preDEL!C656)</f>
        <v/>
      </c>
      <c r="D656" s="105" t="str">
        <f>IF(preDEL!$AG656,IFERROR(0/0,""),preDEL!D656)</f>
        <v/>
      </c>
      <c r="E656" s="105" t="str">
        <f>IF(preDEL!$AG656,IFERROR(0/0,""),preDEL!E656)</f>
        <v/>
      </c>
      <c r="F656" s="112" t="str">
        <f>IF(preDEL!$AG656,IFERROR(0/0,""),preDEL!F656)</f>
        <v/>
      </c>
      <c r="G656" s="112" t="str">
        <f>IF(preDEL!$AG656,IFERROR(0/0,""),preDEL!G656)</f>
        <v/>
      </c>
      <c r="H656" s="112" t="str">
        <f>IF(preDEL!$AG656,IFERROR(0/0,""),preDEL!H656)</f>
        <v/>
      </c>
      <c r="I656" s="105" t="str">
        <f>IF(preDEL!$AG656,IFERROR(0/0,""),preDEL!I656)</f>
        <v/>
      </c>
      <c r="J656" s="105" t="str">
        <f>IF(preDEL!$AG656,IFERROR(0/0,""),preDEL!J656)</f>
        <v/>
      </c>
      <c r="K656" s="105" t="str">
        <f>IF(preDEL!$AG656,IFERROR(0/0,""),preDEL!K656)</f>
        <v/>
      </c>
      <c r="L656" s="170" t="str">
        <f>IF(preDEL!$AG656,IFERROR(0/0,""),preDEL!L656)</f>
        <v/>
      </c>
      <c r="M656" s="171" t="str">
        <f>IF(preDEL!$AG656,IFERROR(0/0,""),preDEL!M656)</f>
        <v/>
      </c>
      <c r="N656" s="112" t="str">
        <f>IF(preDEL!$AG656,IFERROR(0/0,""),preDEL!N656)</f>
        <v/>
      </c>
      <c r="O656" s="112" t="str">
        <f>IF(preDEL!$AG656,IFERROR(0/0,""),preDEL!O656)</f>
        <v/>
      </c>
      <c r="P656" s="110" t="str">
        <f>IF(preDEL!$AG656,IFERROR(0/0,""),preDEL!P656)</f>
        <v/>
      </c>
      <c r="Q656" s="110" t="str">
        <f>IF(preDEL!$AG656,IFERROR(0/0,""),preDEL!Q656)</f>
        <v/>
      </c>
      <c r="R656" s="104" t="str">
        <f>IF(preDEL!$AG656,IFERROR(0/0,""),preDEL!R656)</f>
        <v/>
      </c>
      <c r="S656" s="104" t="str">
        <f>IF(preDEL!$AG656,IFERROR(0/0,""),preDEL!S656)</f>
        <v/>
      </c>
      <c r="T656" s="110" t="str">
        <f>IF(preDEL!$AG656,IFERROR(0/0,""),preDEL!T656)</f>
        <v/>
      </c>
      <c r="U656" s="112" t="str">
        <f>IF(preDEL!$AG656,IFERROR(0/0,""),preDEL!U656)</f>
        <v/>
      </c>
      <c r="V656" s="105" t="str">
        <f>IF(preDEL!$AG656,IFERROR(0/0,""),preDEL!V656)</f>
        <v/>
      </c>
      <c r="W656" s="112" t="str">
        <f>IF(preDEL!$AG656,IFERROR(0/0,""),preDEL!W656)</f>
        <v/>
      </c>
      <c r="X656" s="104" t="str">
        <f>IF(preDEL!$AG656,IFERROR(0/0,""),preDEL!X656)</f>
        <v/>
      </c>
      <c r="Y656" s="110" t="str">
        <f>IF(preDEL!$AG656,IFERROR(0/0,""),preDEL!Y656)</f>
        <v/>
      </c>
      <c r="Z656" s="105" t="str">
        <f>IF(preDEL!$AG656,IFERROR(0/0,""),preDEL!Z656)</f>
        <v/>
      </c>
      <c r="AA656" s="110" t="str">
        <f>IF(preDEL!$AG656,IFERROR(0/0,""),preDEL!AA656)</f>
        <v/>
      </c>
      <c r="AB656" s="110" t="str">
        <f>IF(preDEL!$AG656,IFERROR(0/0,""),preDEL!AB656)</f>
        <v/>
      </c>
      <c r="AC656" s="172" t="str">
        <f>IF(preDEL!$AG656,IFERROR(0/0,""),preDEL!AC656)</f>
        <v/>
      </c>
      <c r="AD656" s="104" t="str">
        <f>IF(preDEL!$AG656,IFERROR(0/0,""),preDEL!AD656)</f>
        <v/>
      </c>
      <c r="AE656" s="173" t="str">
        <f>IF(preDEL!$AG656,IFERROR(0/0,""),preDEL!AE656)</f>
        <v/>
      </c>
      <c r="AF656" s="110" t="str">
        <f>IF(preDEL!$AG656,IFERROR(0/0,""),preDEL!AF656)</f>
        <v/>
      </c>
      <c r="AG656" s="110" t="str">
        <f>IF(preDEL!$AG656,IFERROR(0/0,""),preDEL!AG656)</f>
        <v/>
      </c>
      <c r="AH656" s="104" t="str">
        <f>IF(preDEL!$AG656,IFERROR(0/0,""),preDEL!AH656)</f>
        <v/>
      </c>
      <c r="AI656" s="105" t="str">
        <f>IF(preDEL!$AG656,IFERROR(0/0,""),preDEL!AI656)</f>
        <v/>
      </c>
      <c r="AJ656" s="112" t="str">
        <f>IF(preDEL!$AG656,IFERROR(0/0,""),preDEL!AJ656)</f>
        <v/>
      </c>
      <c r="AK656" s="105" t="str">
        <f>IF(preDEL!$AG656,IFERROR(0/0,""),preDEL!AK656)</f>
        <v/>
      </c>
      <c r="AL656" s="112" t="str">
        <f>IF(preDEL!$AG656,IFERROR(0/0,""),preDEL!AL656)</f>
        <v/>
      </c>
      <c r="AM656" s="112" t="str">
        <f>IF(preDEL!$AG656,IFERROR(0/0,""),preDEL!AM656)</f>
        <v/>
      </c>
      <c r="AN656" s="112" t="str">
        <f>IF(preDEL!$AG656,IFERROR(0/0,""),preDEL!AN656)</f>
        <v/>
      </c>
      <c r="AO656" s="112" t="str">
        <f>IF(preDEL!$AG656,IFERROR(0/0,""),preDEL!AO656)</f>
        <v/>
      </c>
      <c r="AP656" s="112" t="str">
        <f>IF(preDEL!$AG656,IFERROR(0/0,""),preDEL!AP656)</f>
        <v/>
      </c>
      <c r="AQ656" s="112" t="str">
        <f>IF(preDEL!$AG656,IFERROR(0/0,""),preDEL!AQ656)</f>
        <v/>
      </c>
      <c r="AR656" s="112" t="str">
        <f>IF(preDEL!$AG656,IFERROR(0/0,""),preDEL!AR656)</f>
        <v/>
      </c>
      <c r="AS656" s="112" t="str">
        <f>IF(preDEL!$AG656,IFERROR(0/0,""),preDEL!AS656)</f>
        <v/>
      </c>
      <c r="AT656" s="112" t="str">
        <f>IF(preDEL!$AG656,IFERROR(0/0,""),preDEL!AT656)</f>
        <v/>
      </c>
      <c r="AU656" s="112" t="str">
        <f>IF(preDEL!$AG656,IFERROR(0/0,""),preDEL!AU656)</f>
        <v/>
      </c>
      <c r="AV656" s="112" t="str">
        <f>IF(preDEL!$AG656,IFERROR(0/0,""),preDEL!AV656)</f>
        <v/>
      </c>
      <c r="AW656" s="112" t="str">
        <f>IF(preDEL!$AG656,IFERROR(0/0,""),preDEL!AW656)</f>
        <v/>
      </c>
      <c r="AX656" s="112" t="str">
        <f>IF(preDEL!$AG656,IFERROR(0/0,""),preDEL!AX656)</f>
        <v/>
      </c>
      <c r="AY656" s="112" t="str">
        <f>IF(preDEL!$AG656,IFERROR(0/0,""),preDEL!AY656)</f>
        <v/>
      </c>
      <c r="AZ656" s="174"/>
      <c r="BA656" s="174"/>
      <c r="BB656" s="174"/>
      <c r="BC656" s="174"/>
      <c r="BD656" s="174"/>
      <c r="BE656" s="174"/>
      <c r="BF656" s="174"/>
      <c r="BG656" s="174"/>
      <c r="BH656" s="174"/>
      <c r="BI656" s="174"/>
      <c r="BJ656" s="174"/>
      <c r="BK656" s="174"/>
      <c r="BL656" s="174"/>
      <c r="BM656" s="174"/>
      <c r="BN656" s="174"/>
      <c r="BO656" s="174"/>
      <c r="BP656" s="174"/>
      <c r="BQ656" s="174"/>
      <c r="BR656" s="174"/>
      <c r="BS656" s="174"/>
      <c r="BT656" s="174"/>
      <c r="BU656" s="174"/>
      <c r="BV656" s="174"/>
      <c r="BW656" s="174"/>
      <c r="BX656" s="174"/>
      <c r="BY656" s="174"/>
      <c r="BZ656" s="174"/>
      <c r="CA656" s="174"/>
      <c r="CB656" s="174"/>
      <c r="CC656" s="174"/>
      <c r="CD656" s="174"/>
    </row>
    <row r="657">
      <c r="A657" s="105" t="str">
        <f>IF(preDEL!$AG657,IFERROR(0/0,""),preDEL!A657)</f>
        <v>FM2083</v>
      </c>
      <c r="B657" s="170">
        <f>IF(preDEL!$AG657,IFERROR(0/0,""),preDEL!B657)</f>
        <v>44623</v>
      </c>
      <c r="C657" s="171">
        <f>IF(preDEL!$AG657,IFERROR(0/0,""),preDEL!C657)</f>
        <v>0.2943287037</v>
      </c>
      <c r="D657" s="105" t="str">
        <f>IF(preDEL!$AG657,IFERROR(0/0,""),preDEL!D657)</f>
        <v/>
      </c>
      <c r="E657" s="105" t="str">
        <f>IF(preDEL!$AG657,IFERROR(0/0,""),preDEL!E657)</f>
        <v/>
      </c>
      <c r="F657" s="112" t="str">
        <f>IF(preDEL!$AG657,IFERROR(0/0,""),preDEL!F657)</f>
        <v/>
      </c>
      <c r="G657" s="112" t="str">
        <f>IF(preDEL!$AG657,IFERROR(0/0,""),preDEL!G657)</f>
        <v/>
      </c>
      <c r="H657" s="112" t="str">
        <f>IF(preDEL!$AG657,IFERROR(0/0,""),preDEL!H657)</f>
        <v/>
      </c>
      <c r="I657" s="105" t="str">
        <f>IF(preDEL!$AG657,IFERROR(0/0,""),preDEL!I657)</f>
        <v/>
      </c>
      <c r="J657" s="105" t="str">
        <f>IF(preDEL!$AG657,IFERROR(0/0,""),preDEL!J657)</f>
        <v/>
      </c>
      <c r="K657" s="105" t="str">
        <f>IF(preDEL!$AG657,IFERROR(0/0,""),preDEL!K657)</f>
        <v>Negative</v>
      </c>
      <c r="L657" s="170">
        <f>IF(preDEL!$AG657,IFERROR(0/0,""),preDEL!L657)</f>
        <v>44623</v>
      </c>
      <c r="M657" s="171">
        <f>IF(preDEL!$AG657,IFERROR(0/0,""),preDEL!M657)</f>
        <v>0.4605902778</v>
      </c>
      <c r="N657" s="112" t="str">
        <f>IF(preDEL!$AG657,IFERROR(0/0,""),preDEL!N657)</f>
        <v/>
      </c>
      <c r="O657" s="112" t="str">
        <f>IF(preDEL!$AG657,IFERROR(0/0,""),preDEL!O657)</f>
        <v/>
      </c>
      <c r="P657" s="110" t="b">
        <f>IF(preDEL!$AG657,IFERROR(0/0,""),preDEL!P657)</f>
        <v>0</v>
      </c>
      <c r="Q657" s="110" t="str">
        <f>IF(preDEL!$AG657,IFERROR(0/0,""),preDEL!Q657)</f>
        <v>Result</v>
      </c>
      <c r="R657" s="104" t="b">
        <f>IF(preDEL!$AG657,IFERROR(0/0,""),preDEL!R657)</f>
        <v>1</v>
      </c>
      <c r="S657" s="104">
        <f>IF(preDEL!$AG657,IFERROR(0/0,""),preDEL!S657)</f>
        <v>1</v>
      </c>
      <c r="T657" s="110" t="str">
        <f>IF(preDEL!$AG657,IFERROR(0/0,""),preDEL!T657)</f>
        <v/>
      </c>
      <c r="U657" s="112" t="str">
        <f>IF(preDEL!$AG657,IFERROR(0/0,""),preDEL!U657)</f>
        <v/>
      </c>
      <c r="V657" s="105" t="str">
        <f>IF(preDEL!$AG657,IFERROR(0/0,""),preDEL!V657)</f>
        <v/>
      </c>
      <c r="W657" s="112" t="str">
        <f>IF(preDEL!$AG657,IFERROR(0/0,""),preDEL!W657)</f>
        <v/>
      </c>
      <c r="X657" s="104" t="b">
        <f>IF(preDEL!$AG657,IFERROR(0/0,""),preDEL!X657)</f>
        <v>0</v>
      </c>
      <c r="Y657" s="110" t="b">
        <f>IF(preDEL!$AG657,IFERROR(0/0,""),preDEL!Y657)</f>
        <v>0</v>
      </c>
      <c r="Z657" s="105" t="str">
        <f>IF(preDEL!$AG657,IFERROR(0/0,""),preDEL!Z657)</f>
        <v/>
      </c>
      <c r="AA657" s="110" t="b">
        <f>IF(preDEL!$AG657,IFERROR(0/0,""),preDEL!AA657)</f>
        <v>0</v>
      </c>
      <c r="AB657" s="110" t="b">
        <f>IF(preDEL!$AG657,IFERROR(0/0,""),preDEL!AB657)</f>
        <v>0</v>
      </c>
      <c r="AC657" s="172">
        <f>IF(preDEL!$AG657,IFERROR(0/0,""),preDEL!AC657)</f>
        <v>161</v>
      </c>
      <c r="AD657" s="104" t="b">
        <f>IF(preDEL!$AG657,IFERROR(0/0,""),preDEL!AD657)</f>
        <v>0</v>
      </c>
      <c r="AE657" s="173">
        <f>IF(preDEL!$AG657,IFERROR(0/0,""),preDEL!AE657)</f>
        <v>239.4166667</v>
      </c>
      <c r="AF657" s="110" t="b">
        <f>IF(preDEL!$AG657,IFERROR(0/0,""),preDEL!AF657)</f>
        <v>0</v>
      </c>
      <c r="AG657" s="110" t="b">
        <f>IF(preDEL!$AG657,IFERROR(0/0,""),preDEL!AG657)</f>
        <v>0</v>
      </c>
      <c r="AH657" s="104" t="str">
        <f>IF(preDEL!$AG657,IFERROR(0/0,""),preDEL!AH657)</f>
        <v/>
      </c>
      <c r="AI657" s="105" t="str">
        <f>IF(preDEL!$AG657,IFERROR(0/0,""),preDEL!AI657)</f>
        <v/>
      </c>
      <c r="AJ657" s="112" t="str">
        <f>IF(preDEL!$AG657,IFERROR(0/0,""),preDEL!AJ657)</f>
        <v/>
      </c>
      <c r="AK657" s="105" t="str">
        <f>IF(preDEL!$AG657,IFERROR(0/0,""),preDEL!AK657)</f>
        <v>Negative</v>
      </c>
      <c r="AL657" s="112" t="str">
        <f>IF(preDEL!$AG657,IFERROR(0/0,""),preDEL!AL657)</f>
        <v/>
      </c>
      <c r="AM657" s="112" t="str">
        <f>IF(preDEL!$AG657,IFERROR(0/0,""),preDEL!AM657)</f>
        <v>SpBEND996809</v>
      </c>
      <c r="AN657" s="112" t="str">
        <f>IF(preDEL!$AG657,IFERROR(0/0,""),preDEL!AN657)</f>
        <v>BEND637711</v>
      </c>
      <c r="AO657" s="112" t="str">
        <f>IF(preDEL!$AG657,IFERROR(0/0,""),preDEL!AO657)</f>
        <v/>
      </c>
      <c r="AP657" s="112" t="str">
        <f>IF(preDEL!$AG657,IFERROR(0/0,""),preDEL!AP657)</f>
        <v/>
      </c>
      <c r="AQ657" s="112" t="str">
        <f>IF(preDEL!$AG657,IFERROR(0/0,""),preDEL!AQ657)</f>
        <v/>
      </c>
      <c r="AR657" s="112" t="str">
        <f>IF(preDEL!$AG657,IFERROR(0/0,""),preDEL!AR657)</f>
        <v/>
      </c>
      <c r="AS657" s="112" t="str">
        <f>IF(preDEL!$AG657,IFERROR(0/0,""),preDEL!AS657)</f>
        <v/>
      </c>
      <c r="AT657" s="112" t="b">
        <f>IF(preDEL!$AG657,IFERROR(0/0,""),preDEL!AT657)</f>
        <v>0</v>
      </c>
      <c r="AU657" s="112" t="str">
        <f>IF(preDEL!$AG657,IFERROR(0/0,""),preDEL!AU657)</f>
        <v/>
      </c>
      <c r="AV657" s="112" t="str">
        <f>IF(preDEL!$AG657,IFERROR(0/0,""),preDEL!AV657)</f>
        <v/>
      </c>
      <c r="AW657" s="112" t="str">
        <f>IF(preDEL!$AG657,IFERROR(0/0,""),preDEL!AW657)</f>
        <v/>
      </c>
      <c r="AX657" s="112" t="str">
        <f>IF(preDEL!$AG657,IFERROR(0/0,""),preDEL!AX657)</f>
        <v/>
      </c>
      <c r="AY657" s="112" t="str">
        <f>IF(preDEL!$AG657,IFERROR(0/0,""),preDEL!AY657)</f>
        <v/>
      </c>
      <c r="AZ657" s="174"/>
      <c r="BA657" s="174"/>
      <c r="BB657" s="174"/>
      <c r="BC657" s="174"/>
      <c r="BD657" s="174"/>
      <c r="BE657" s="174"/>
      <c r="BF657" s="174"/>
      <c r="BG657" s="174"/>
      <c r="BH657" s="174"/>
      <c r="BI657" s="174"/>
      <c r="BJ657" s="174"/>
      <c r="BK657" s="174"/>
      <c r="BL657" s="174"/>
      <c r="BM657" s="174"/>
      <c r="BN657" s="174"/>
      <c r="BO657" s="174"/>
      <c r="BP657" s="174"/>
      <c r="BQ657" s="174"/>
      <c r="BR657" s="174"/>
      <c r="BS657" s="174"/>
      <c r="BT657" s="174"/>
      <c r="BU657" s="174"/>
      <c r="BV657" s="174"/>
      <c r="BW657" s="174"/>
      <c r="BX657" s="174"/>
      <c r="BY657" s="174"/>
      <c r="BZ657" s="174"/>
      <c r="CA657" s="174"/>
      <c r="CB657" s="174"/>
      <c r="CC657" s="174"/>
      <c r="CD657" s="174"/>
    </row>
    <row r="658">
      <c r="A658" s="105" t="str">
        <f>IF(preDEL!$AG658,IFERROR(0/0,""),preDEL!A658)</f>
        <v>FM1917</v>
      </c>
      <c r="B658" s="170">
        <f>IF(preDEL!$AG658,IFERROR(0/0,""),preDEL!B658)</f>
        <v>44623</v>
      </c>
      <c r="C658" s="171">
        <f>IF(preDEL!$AG658,IFERROR(0/0,""),preDEL!C658)</f>
        <v>0.2961574074</v>
      </c>
      <c r="D658" s="105" t="str">
        <f>IF(preDEL!$AG658,IFERROR(0/0,""),preDEL!D658)</f>
        <v/>
      </c>
      <c r="E658" s="105" t="str">
        <f>IF(preDEL!$AG658,IFERROR(0/0,""),preDEL!E658)</f>
        <v/>
      </c>
      <c r="F658" s="112" t="str">
        <f>IF(preDEL!$AG658,IFERROR(0/0,""),preDEL!F658)</f>
        <v/>
      </c>
      <c r="G658" s="112" t="str">
        <f>IF(preDEL!$AG658,IFERROR(0/0,""),preDEL!G658)</f>
        <v/>
      </c>
      <c r="H658" s="112" t="str">
        <f>IF(preDEL!$AG658,IFERROR(0/0,""),preDEL!H658)</f>
        <v/>
      </c>
      <c r="I658" s="105" t="str">
        <f>IF(preDEL!$AG658,IFERROR(0/0,""),preDEL!I658)</f>
        <v/>
      </c>
      <c r="J658" s="105" t="str">
        <f>IF(preDEL!$AG658,IFERROR(0/0,""),preDEL!J658)</f>
        <v/>
      </c>
      <c r="K658" s="105" t="str">
        <f>IF(preDEL!$AG658,IFERROR(0/0,""),preDEL!K658)</f>
        <v>Negative</v>
      </c>
      <c r="L658" s="170">
        <f>IF(preDEL!$AG658,IFERROR(0/0,""),preDEL!L658)</f>
        <v>44623</v>
      </c>
      <c r="M658" s="171">
        <f>IF(preDEL!$AG658,IFERROR(0/0,""),preDEL!M658)</f>
        <v>0.4605902778</v>
      </c>
      <c r="N658" s="112" t="str">
        <f>IF(preDEL!$AG658,IFERROR(0/0,""),preDEL!N658)</f>
        <v/>
      </c>
      <c r="O658" s="112" t="str">
        <f>IF(preDEL!$AG658,IFERROR(0/0,""),preDEL!O658)</f>
        <v/>
      </c>
      <c r="P658" s="110" t="b">
        <f>IF(preDEL!$AG658,IFERROR(0/0,""),preDEL!P658)</f>
        <v>0</v>
      </c>
      <c r="Q658" s="110" t="str">
        <f>IF(preDEL!$AG658,IFERROR(0/0,""),preDEL!Q658)</f>
        <v>Result</v>
      </c>
      <c r="R658" s="104" t="b">
        <f>IF(preDEL!$AG658,IFERROR(0/0,""),preDEL!R658)</f>
        <v>1</v>
      </c>
      <c r="S658" s="104">
        <f>IF(preDEL!$AG658,IFERROR(0/0,""),preDEL!S658)</f>
        <v>1</v>
      </c>
      <c r="T658" s="110" t="str">
        <f>IF(preDEL!$AG658,IFERROR(0/0,""),preDEL!T658)</f>
        <v/>
      </c>
      <c r="U658" s="112" t="str">
        <f>IF(preDEL!$AG658,IFERROR(0/0,""),preDEL!U658)</f>
        <v/>
      </c>
      <c r="V658" s="105" t="str">
        <f>IF(preDEL!$AG658,IFERROR(0/0,""),preDEL!V658)</f>
        <v/>
      </c>
      <c r="W658" s="112" t="str">
        <f>IF(preDEL!$AG658,IFERROR(0/0,""),preDEL!W658)</f>
        <v/>
      </c>
      <c r="X658" s="104" t="b">
        <f>IF(preDEL!$AG658,IFERROR(0/0,""),preDEL!X658)</f>
        <v>0</v>
      </c>
      <c r="Y658" s="110" t="b">
        <f>IF(preDEL!$AG658,IFERROR(0/0,""),preDEL!Y658)</f>
        <v>0</v>
      </c>
      <c r="Z658" s="105" t="str">
        <f>IF(preDEL!$AG658,IFERROR(0/0,""),preDEL!Z658)</f>
        <v/>
      </c>
      <c r="AA658" s="110" t="b">
        <f>IF(preDEL!$AG658,IFERROR(0/0,""),preDEL!AA658)</f>
        <v>0</v>
      </c>
      <c r="AB658" s="110" t="b">
        <f>IF(preDEL!$AG658,IFERROR(0/0,""),preDEL!AB658)</f>
        <v>0</v>
      </c>
      <c r="AC658" s="172">
        <f>IF(preDEL!$AG658,IFERROR(0/0,""),preDEL!AC658)</f>
        <v>160</v>
      </c>
      <c r="AD658" s="104" t="b">
        <f>IF(preDEL!$AG658,IFERROR(0/0,""),preDEL!AD658)</f>
        <v>0</v>
      </c>
      <c r="AE658" s="173">
        <f>IF(preDEL!$AG658,IFERROR(0/0,""),preDEL!AE658)</f>
        <v>236.7833333</v>
      </c>
      <c r="AF658" s="110" t="b">
        <f>IF(preDEL!$AG658,IFERROR(0/0,""),preDEL!AF658)</f>
        <v>0</v>
      </c>
      <c r="AG658" s="110" t="b">
        <f>IF(preDEL!$AG658,IFERROR(0/0,""),preDEL!AG658)</f>
        <v>0</v>
      </c>
      <c r="AH658" s="104" t="str">
        <f>IF(preDEL!$AG658,IFERROR(0/0,""),preDEL!AH658)</f>
        <v/>
      </c>
      <c r="AI658" s="105" t="str">
        <f>IF(preDEL!$AG658,IFERROR(0/0,""),preDEL!AI658)</f>
        <v/>
      </c>
      <c r="AJ658" s="112" t="str">
        <f>IF(preDEL!$AG658,IFERROR(0/0,""),preDEL!AJ658)</f>
        <v/>
      </c>
      <c r="AK658" s="105" t="str">
        <f>IF(preDEL!$AG658,IFERROR(0/0,""),preDEL!AK658)</f>
        <v>Negative</v>
      </c>
      <c r="AL658" s="112" t="str">
        <f>IF(preDEL!$AG658,IFERROR(0/0,""),preDEL!AL658)</f>
        <v/>
      </c>
      <c r="AM658" s="112" t="str">
        <f>IF(preDEL!$AG658,IFERROR(0/0,""),preDEL!AM658)</f>
        <v>SpBEND757435</v>
      </c>
      <c r="AN658" s="112" t="str">
        <f>IF(preDEL!$AG658,IFERROR(0/0,""),preDEL!AN658)</f>
        <v>BEND281843</v>
      </c>
      <c r="AO658" s="112" t="str">
        <f>IF(preDEL!$AG658,IFERROR(0/0,""),preDEL!AO658)</f>
        <v/>
      </c>
      <c r="AP658" s="112" t="str">
        <f>IF(preDEL!$AG658,IFERROR(0/0,""),preDEL!AP658)</f>
        <v/>
      </c>
      <c r="AQ658" s="112" t="str">
        <f>IF(preDEL!$AG658,IFERROR(0/0,""),preDEL!AQ658)</f>
        <v/>
      </c>
      <c r="AR658" s="112" t="str">
        <f>IF(preDEL!$AG658,IFERROR(0/0,""),preDEL!AR658)</f>
        <v/>
      </c>
      <c r="AS658" s="112" t="str">
        <f>IF(preDEL!$AG658,IFERROR(0/0,""),preDEL!AS658)</f>
        <v/>
      </c>
      <c r="AT658" s="112" t="b">
        <f>IF(preDEL!$AG658,IFERROR(0/0,""),preDEL!AT658)</f>
        <v>0</v>
      </c>
      <c r="AU658" s="112" t="str">
        <f>IF(preDEL!$AG658,IFERROR(0/0,""),preDEL!AU658)</f>
        <v/>
      </c>
      <c r="AV658" s="112" t="str">
        <f>IF(preDEL!$AG658,IFERROR(0/0,""),preDEL!AV658)</f>
        <v/>
      </c>
      <c r="AW658" s="112" t="str">
        <f>IF(preDEL!$AG658,IFERROR(0/0,""),preDEL!AW658)</f>
        <v/>
      </c>
      <c r="AX658" s="112" t="str">
        <f>IF(preDEL!$AG658,IFERROR(0/0,""),preDEL!AX658)</f>
        <v/>
      </c>
      <c r="AY658" s="112" t="str">
        <f>IF(preDEL!$AG658,IFERROR(0/0,""),preDEL!AY658)</f>
        <v/>
      </c>
      <c r="AZ658" s="174"/>
      <c r="BA658" s="174"/>
      <c r="BB658" s="174"/>
      <c r="BC658" s="174"/>
      <c r="BD658" s="174"/>
      <c r="BE658" s="174"/>
      <c r="BF658" s="174"/>
      <c r="BG658" s="174"/>
      <c r="BH658" s="174"/>
      <c r="BI658" s="174"/>
      <c r="BJ658" s="174"/>
      <c r="BK658" s="174"/>
      <c r="BL658" s="174"/>
      <c r="BM658" s="174"/>
      <c r="BN658" s="174"/>
      <c r="BO658" s="174"/>
      <c r="BP658" s="174"/>
      <c r="BQ658" s="174"/>
      <c r="BR658" s="174"/>
      <c r="BS658" s="174"/>
      <c r="BT658" s="174"/>
      <c r="BU658" s="174"/>
      <c r="BV658" s="174"/>
      <c r="BW658" s="174"/>
      <c r="BX658" s="174"/>
      <c r="BY658" s="174"/>
      <c r="BZ658" s="174"/>
      <c r="CA658" s="174"/>
      <c r="CB658" s="174"/>
      <c r="CC658" s="174"/>
      <c r="CD658" s="174"/>
    </row>
    <row r="659">
      <c r="A659" s="105" t="str">
        <f>IF(preDEL!$AG659,IFERROR(0/0,""),preDEL!A659)</f>
        <v>FM114</v>
      </c>
      <c r="B659" s="170">
        <f>IF(preDEL!$AG659,IFERROR(0/0,""),preDEL!B659)</f>
        <v>44623</v>
      </c>
      <c r="C659" s="171">
        <f>IF(preDEL!$AG659,IFERROR(0/0,""),preDEL!C659)</f>
        <v>0.3038541667</v>
      </c>
      <c r="D659" s="105" t="str">
        <f>IF(preDEL!$AG659,IFERROR(0/0,""),preDEL!D659)</f>
        <v/>
      </c>
      <c r="E659" s="105" t="str">
        <f>IF(preDEL!$AG659,IFERROR(0/0,""),preDEL!E659)</f>
        <v/>
      </c>
      <c r="F659" s="112" t="str">
        <f>IF(preDEL!$AG659,IFERROR(0/0,""),preDEL!F659)</f>
        <v/>
      </c>
      <c r="G659" s="112" t="str">
        <f>IF(preDEL!$AG659,IFERROR(0/0,""),preDEL!G659)</f>
        <v/>
      </c>
      <c r="H659" s="112" t="str">
        <f>IF(preDEL!$AG659,IFERROR(0/0,""),preDEL!H659)</f>
        <v/>
      </c>
      <c r="I659" s="105" t="str">
        <f>IF(preDEL!$AG659,IFERROR(0/0,""),preDEL!I659)</f>
        <v/>
      </c>
      <c r="J659" s="105" t="str">
        <f>IF(preDEL!$AG659,IFERROR(0/0,""),preDEL!J659)</f>
        <v/>
      </c>
      <c r="K659" s="105" t="str">
        <f>IF(preDEL!$AG659,IFERROR(0/0,""),preDEL!K659)</f>
        <v>Negative</v>
      </c>
      <c r="L659" s="170">
        <f>IF(preDEL!$AG659,IFERROR(0/0,""),preDEL!L659)</f>
        <v>44623</v>
      </c>
      <c r="M659" s="171">
        <f>IF(preDEL!$AG659,IFERROR(0/0,""),preDEL!M659)</f>
        <v>0.4605902778</v>
      </c>
      <c r="N659" s="112" t="str">
        <f>IF(preDEL!$AG659,IFERROR(0/0,""),preDEL!N659)</f>
        <v/>
      </c>
      <c r="O659" s="112" t="str">
        <f>IF(preDEL!$AG659,IFERROR(0/0,""),preDEL!O659)</f>
        <v/>
      </c>
      <c r="P659" s="110" t="b">
        <f>IF(preDEL!$AG659,IFERROR(0/0,""),preDEL!P659)</f>
        <v>0</v>
      </c>
      <c r="Q659" s="110" t="str">
        <f>IF(preDEL!$AG659,IFERROR(0/0,""),preDEL!Q659)</f>
        <v>Result</v>
      </c>
      <c r="R659" s="104" t="b">
        <f>IF(preDEL!$AG659,IFERROR(0/0,""),preDEL!R659)</f>
        <v>1</v>
      </c>
      <c r="S659" s="104">
        <f>IF(preDEL!$AG659,IFERROR(0/0,""),preDEL!S659)</f>
        <v>1</v>
      </c>
      <c r="T659" s="110" t="str">
        <f>IF(preDEL!$AG659,IFERROR(0/0,""),preDEL!T659)</f>
        <v/>
      </c>
      <c r="U659" s="112" t="str">
        <f>IF(preDEL!$AG659,IFERROR(0/0,""),preDEL!U659)</f>
        <v/>
      </c>
      <c r="V659" s="105" t="str">
        <f>IF(preDEL!$AG659,IFERROR(0/0,""),preDEL!V659)</f>
        <v/>
      </c>
      <c r="W659" s="112" t="str">
        <f>IF(preDEL!$AG659,IFERROR(0/0,""),preDEL!W659)</f>
        <v/>
      </c>
      <c r="X659" s="104" t="b">
        <f>IF(preDEL!$AG659,IFERROR(0/0,""),preDEL!X659)</f>
        <v>0</v>
      </c>
      <c r="Y659" s="110" t="b">
        <f>IF(preDEL!$AG659,IFERROR(0/0,""),preDEL!Y659)</f>
        <v>0</v>
      </c>
      <c r="Z659" s="105" t="str">
        <f>IF(preDEL!$AG659,IFERROR(0/0,""),preDEL!Z659)</f>
        <v/>
      </c>
      <c r="AA659" s="110" t="b">
        <f>IF(preDEL!$AG659,IFERROR(0/0,""),preDEL!AA659)</f>
        <v>0</v>
      </c>
      <c r="AB659" s="110" t="b">
        <f>IF(preDEL!$AG659,IFERROR(0/0,""),preDEL!AB659)</f>
        <v>0</v>
      </c>
      <c r="AC659" s="172">
        <f>IF(preDEL!$AG659,IFERROR(0/0,""),preDEL!AC659)</f>
        <v>159</v>
      </c>
      <c r="AD659" s="104" t="b">
        <f>IF(preDEL!$AG659,IFERROR(0/0,""),preDEL!AD659)</f>
        <v>0</v>
      </c>
      <c r="AE659" s="173">
        <f>IF(preDEL!$AG659,IFERROR(0/0,""),preDEL!AE659)</f>
        <v>225.7</v>
      </c>
      <c r="AF659" s="110" t="b">
        <f>IF(preDEL!$AG659,IFERROR(0/0,""),preDEL!AF659)</f>
        <v>0</v>
      </c>
      <c r="AG659" s="110" t="b">
        <f>IF(preDEL!$AG659,IFERROR(0/0,""),preDEL!AG659)</f>
        <v>0</v>
      </c>
      <c r="AH659" s="104" t="str">
        <f>IF(preDEL!$AG659,IFERROR(0/0,""),preDEL!AH659)</f>
        <v/>
      </c>
      <c r="AI659" s="105" t="str">
        <f>IF(preDEL!$AG659,IFERROR(0/0,""),preDEL!AI659)</f>
        <v/>
      </c>
      <c r="AJ659" s="112" t="str">
        <f>IF(preDEL!$AG659,IFERROR(0/0,""),preDEL!AJ659)</f>
        <v/>
      </c>
      <c r="AK659" s="105" t="str">
        <f>IF(preDEL!$AG659,IFERROR(0/0,""),preDEL!AK659)</f>
        <v>Negative</v>
      </c>
      <c r="AL659" s="112" t="str">
        <f>IF(preDEL!$AG659,IFERROR(0/0,""),preDEL!AL659)</f>
        <v/>
      </c>
      <c r="AM659" s="112" t="str">
        <f>IF(preDEL!$AG659,IFERROR(0/0,""),preDEL!AM659)</f>
        <v>SpBEND139600</v>
      </c>
      <c r="AN659" s="112" t="str">
        <f>IF(preDEL!$AG659,IFERROR(0/0,""),preDEL!AN659)</f>
        <v>BEND133778</v>
      </c>
      <c r="AO659" s="112" t="str">
        <f>IF(preDEL!$AG659,IFERROR(0/0,""),preDEL!AO659)</f>
        <v/>
      </c>
      <c r="AP659" s="112" t="str">
        <f>IF(preDEL!$AG659,IFERROR(0/0,""),preDEL!AP659)</f>
        <v/>
      </c>
      <c r="AQ659" s="112" t="str">
        <f>IF(preDEL!$AG659,IFERROR(0/0,""),preDEL!AQ659)</f>
        <v/>
      </c>
      <c r="AR659" s="112" t="str">
        <f>IF(preDEL!$AG659,IFERROR(0/0,""),preDEL!AR659)</f>
        <v/>
      </c>
      <c r="AS659" s="112" t="str">
        <f>IF(preDEL!$AG659,IFERROR(0/0,""),preDEL!AS659)</f>
        <v/>
      </c>
      <c r="AT659" s="112" t="b">
        <f>IF(preDEL!$AG659,IFERROR(0/0,""),preDEL!AT659)</f>
        <v>0</v>
      </c>
      <c r="AU659" s="112" t="str">
        <f>IF(preDEL!$AG659,IFERROR(0/0,""),preDEL!AU659)</f>
        <v/>
      </c>
      <c r="AV659" s="112" t="str">
        <f>IF(preDEL!$AG659,IFERROR(0/0,""),preDEL!AV659)</f>
        <v/>
      </c>
      <c r="AW659" s="112" t="str">
        <f>IF(preDEL!$AG659,IFERROR(0/0,""),preDEL!AW659)</f>
        <v/>
      </c>
      <c r="AX659" s="112" t="str">
        <f>IF(preDEL!$AG659,IFERROR(0/0,""),preDEL!AX659)</f>
        <v/>
      </c>
      <c r="AY659" s="112" t="str">
        <f>IF(preDEL!$AG659,IFERROR(0/0,""),preDEL!AY659)</f>
        <v/>
      </c>
      <c r="AZ659" s="174"/>
      <c r="BA659" s="174"/>
      <c r="BB659" s="174"/>
      <c r="BC659" s="174"/>
      <c r="BD659" s="174"/>
      <c r="BE659" s="174"/>
      <c r="BF659" s="174"/>
      <c r="BG659" s="174"/>
      <c r="BH659" s="174"/>
      <c r="BI659" s="174"/>
      <c r="BJ659" s="174"/>
      <c r="BK659" s="174"/>
      <c r="BL659" s="174"/>
      <c r="BM659" s="174"/>
      <c r="BN659" s="174"/>
      <c r="BO659" s="174"/>
      <c r="BP659" s="174"/>
      <c r="BQ659" s="174"/>
      <c r="BR659" s="174"/>
      <c r="BS659" s="174"/>
      <c r="BT659" s="174"/>
      <c r="BU659" s="174"/>
      <c r="BV659" s="174"/>
      <c r="BW659" s="174"/>
      <c r="BX659" s="174"/>
      <c r="BY659" s="174"/>
      <c r="BZ659" s="174"/>
      <c r="CA659" s="174"/>
      <c r="CB659" s="174"/>
      <c r="CC659" s="174"/>
      <c r="CD659" s="174"/>
    </row>
    <row r="660">
      <c r="A660" s="105" t="str">
        <f>IF(preDEL!$AG660,IFERROR(0/0,""),preDEL!A660)</f>
        <v>FM13</v>
      </c>
      <c r="B660" s="170">
        <f>IF(preDEL!$AG660,IFERROR(0/0,""),preDEL!B660)</f>
        <v>44623</v>
      </c>
      <c r="C660" s="171">
        <f>IF(preDEL!$AG660,IFERROR(0/0,""),preDEL!C660)</f>
        <v>0.3044791667</v>
      </c>
      <c r="D660" s="105" t="str">
        <f>IF(preDEL!$AG660,IFERROR(0/0,""),preDEL!D660)</f>
        <v/>
      </c>
      <c r="E660" s="105" t="str">
        <f>IF(preDEL!$AG660,IFERROR(0/0,""),preDEL!E660)</f>
        <v/>
      </c>
      <c r="F660" s="112" t="str">
        <f>IF(preDEL!$AG660,IFERROR(0/0,""),preDEL!F660)</f>
        <v/>
      </c>
      <c r="G660" s="112" t="str">
        <f>IF(preDEL!$AG660,IFERROR(0/0,""),preDEL!G660)</f>
        <v/>
      </c>
      <c r="H660" s="112" t="str">
        <f>IF(preDEL!$AG660,IFERROR(0/0,""),preDEL!H660)</f>
        <v/>
      </c>
      <c r="I660" s="105" t="str">
        <f>IF(preDEL!$AG660,IFERROR(0/0,""),preDEL!I660)</f>
        <v/>
      </c>
      <c r="J660" s="105" t="str">
        <f>IF(preDEL!$AG660,IFERROR(0/0,""),preDEL!J660)</f>
        <v/>
      </c>
      <c r="K660" s="105" t="str">
        <f>IF(preDEL!$AG660,IFERROR(0/0,""),preDEL!K660)</f>
        <v>Negative</v>
      </c>
      <c r="L660" s="170">
        <f>IF(preDEL!$AG660,IFERROR(0/0,""),preDEL!L660)</f>
        <v>44623</v>
      </c>
      <c r="M660" s="171">
        <f>IF(preDEL!$AG660,IFERROR(0/0,""),preDEL!M660)</f>
        <v>0.4605902778</v>
      </c>
      <c r="N660" s="112" t="str">
        <f>IF(preDEL!$AG660,IFERROR(0/0,""),preDEL!N660)</f>
        <v/>
      </c>
      <c r="O660" s="112" t="str">
        <f>IF(preDEL!$AG660,IFERROR(0/0,""),preDEL!O660)</f>
        <v/>
      </c>
      <c r="P660" s="110" t="b">
        <f>IF(preDEL!$AG660,IFERROR(0/0,""),preDEL!P660)</f>
        <v>0</v>
      </c>
      <c r="Q660" s="110" t="str">
        <f>IF(preDEL!$AG660,IFERROR(0/0,""),preDEL!Q660)</f>
        <v>Result</v>
      </c>
      <c r="R660" s="104" t="b">
        <f>IF(preDEL!$AG660,IFERROR(0/0,""),preDEL!R660)</f>
        <v>1</v>
      </c>
      <c r="S660" s="104">
        <f>IF(preDEL!$AG660,IFERROR(0/0,""),preDEL!S660)</f>
        <v>1</v>
      </c>
      <c r="T660" s="110" t="str">
        <f>IF(preDEL!$AG660,IFERROR(0/0,""),preDEL!T660)</f>
        <v/>
      </c>
      <c r="U660" s="112" t="str">
        <f>IF(preDEL!$AG660,IFERROR(0/0,""),preDEL!U660)</f>
        <v/>
      </c>
      <c r="V660" s="105" t="str">
        <f>IF(preDEL!$AG660,IFERROR(0/0,""),preDEL!V660)</f>
        <v/>
      </c>
      <c r="W660" s="112" t="str">
        <f>IF(preDEL!$AG660,IFERROR(0/0,""),preDEL!W660)</f>
        <v/>
      </c>
      <c r="X660" s="104" t="b">
        <f>IF(preDEL!$AG660,IFERROR(0/0,""),preDEL!X660)</f>
        <v>0</v>
      </c>
      <c r="Y660" s="110" t="b">
        <f>IF(preDEL!$AG660,IFERROR(0/0,""),preDEL!Y660)</f>
        <v>0</v>
      </c>
      <c r="Z660" s="105" t="str">
        <f>IF(preDEL!$AG660,IFERROR(0/0,""),preDEL!Z660)</f>
        <v/>
      </c>
      <c r="AA660" s="110" t="b">
        <f>IF(preDEL!$AG660,IFERROR(0/0,""),preDEL!AA660)</f>
        <v>0</v>
      </c>
      <c r="AB660" s="110" t="b">
        <f>IF(preDEL!$AG660,IFERROR(0/0,""),preDEL!AB660)</f>
        <v>0</v>
      </c>
      <c r="AC660" s="172">
        <f>IF(preDEL!$AG660,IFERROR(0/0,""),preDEL!AC660)</f>
        <v>158</v>
      </c>
      <c r="AD660" s="104" t="b">
        <f>IF(preDEL!$AG660,IFERROR(0/0,""),preDEL!AD660)</f>
        <v>0</v>
      </c>
      <c r="AE660" s="173">
        <f>IF(preDEL!$AG660,IFERROR(0/0,""),preDEL!AE660)</f>
        <v>224.8</v>
      </c>
      <c r="AF660" s="110" t="b">
        <f>IF(preDEL!$AG660,IFERROR(0/0,""),preDEL!AF660)</f>
        <v>0</v>
      </c>
      <c r="AG660" s="110" t="b">
        <f>IF(preDEL!$AG660,IFERROR(0/0,""),preDEL!AG660)</f>
        <v>0</v>
      </c>
      <c r="AH660" s="104" t="str">
        <f>IF(preDEL!$AG660,IFERROR(0/0,""),preDEL!AH660)</f>
        <v/>
      </c>
      <c r="AI660" s="105" t="str">
        <f>IF(preDEL!$AG660,IFERROR(0/0,""),preDEL!AI660)</f>
        <v/>
      </c>
      <c r="AJ660" s="112" t="str">
        <f>IF(preDEL!$AG660,IFERROR(0/0,""),preDEL!AJ660)</f>
        <v/>
      </c>
      <c r="AK660" s="105" t="str">
        <f>IF(preDEL!$AG660,IFERROR(0/0,""),preDEL!AK660)</f>
        <v>Negative</v>
      </c>
      <c r="AL660" s="112" t="str">
        <f>IF(preDEL!$AG660,IFERROR(0/0,""),preDEL!AL660)</f>
        <v/>
      </c>
      <c r="AM660" s="112" t="str">
        <f>IF(preDEL!$AG660,IFERROR(0/0,""),preDEL!AM660)</f>
        <v>SpBEND524085</v>
      </c>
      <c r="AN660" s="112" t="str">
        <f>IF(preDEL!$AG660,IFERROR(0/0,""),preDEL!AN660)</f>
        <v>BEND249479</v>
      </c>
      <c r="AO660" s="112" t="str">
        <f>IF(preDEL!$AG660,IFERROR(0/0,""),preDEL!AO660)</f>
        <v/>
      </c>
      <c r="AP660" s="112" t="str">
        <f>IF(preDEL!$AG660,IFERROR(0/0,""),preDEL!AP660)</f>
        <v/>
      </c>
      <c r="AQ660" s="112" t="str">
        <f>IF(preDEL!$AG660,IFERROR(0/0,""),preDEL!AQ660)</f>
        <v/>
      </c>
      <c r="AR660" s="112" t="str">
        <f>IF(preDEL!$AG660,IFERROR(0/0,""),preDEL!AR660)</f>
        <v/>
      </c>
      <c r="AS660" s="112" t="str">
        <f>IF(preDEL!$AG660,IFERROR(0/0,""),preDEL!AS660)</f>
        <v/>
      </c>
      <c r="AT660" s="112" t="b">
        <f>IF(preDEL!$AG660,IFERROR(0/0,""),preDEL!AT660)</f>
        <v>0</v>
      </c>
      <c r="AU660" s="112" t="str">
        <f>IF(preDEL!$AG660,IFERROR(0/0,""),preDEL!AU660)</f>
        <v/>
      </c>
      <c r="AV660" s="112" t="str">
        <f>IF(preDEL!$AG660,IFERROR(0/0,""),preDEL!AV660)</f>
        <v/>
      </c>
      <c r="AW660" s="112" t="str">
        <f>IF(preDEL!$AG660,IFERROR(0/0,""),preDEL!AW660)</f>
        <v/>
      </c>
      <c r="AX660" s="112" t="str">
        <f>IF(preDEL!$AG660,IFERROR(0/0,""),preDEL!AX660)</f>
        <v/>
      </c>
      <c r="AY660" s="112" t="str">
        <f>IF(preDEL!$AG660,IFERROR(0/0,""),preDEL!AY660)</f>
        <v/>
      </c>
      <c r="AZ660" s="174"/>
      <c r="BA660" s="174"/>
      <c r="BB660" s="174"/>
      <c r="BC660" s="174"/>
      <c r="BD660" s="174"/>
      <c r="BE660" s="174"/>
      <c r="BF660" s="174"/>
      <c r="BG660" s="174"/>
      <c r="BH660" s="174"/>
      <c r="BI660" s="174"/>
      <c r="BJ660" s="174"/>
      <c r="BK660" s="174"/>
      <c r="BL660" s="174"/>
      <c r="BM660" s="174"/>
      <c r="BN660" s="174"/>
      <c r="BO660" s="174"/>
      <c r="BP660" s="174"/>
      <c r="BQ660" s="174"/>
      <c r="BR660" s="174"/>
      <c r="BS660" s="174"/>
      <c r="BT660" s="174"/>
      <c r="BU660" s="174"/>
      <c r="BV660" s="174"/>
      <c r="BW660" s="174"/>
      <c r="BX660" s="174"/>
      <c r="BY660" s="174"/>
      <c r="BZ660" s="174"/>
      <c r="CA660" s="174"/>
      <c r="CB660" s="174"/>
      <c r="CC660" s="174"/>
      <c r="CD660" s="174"/>
    </row>
    <row r="661">
      <c r="A661" s="105" t="str">
        <f>IF(preDEL!$AG661,IFERROR(0/0,""),preDEL!A661)</f>
        <v>FM436</v>
      </c>
      <c r="B661" s="170">
        <f>IF(preDEL!$AG661,IFERROR(0/0,""),preDEL!B661)</f>
        <v>44623</v>
      </c>
      <c r="C661" s="171">
        <f>IF(preDEL!$AG661,IFERROR(0/0,""),preDEL!C661)</f>
        <v>0.3051388889</v>
      </c>
      <c r="D661" s="105" t="str">
        <f>IF(preDEL!$AG661,IFERROR(0/0,""),preDEL!D661)</f>
        <v/>
      </c>
      <c r="E661" s="105" t="str">
        <f>IF(preDEL!$AG661,IFERROR(0/0,""),preDEL!E661)</f>
        <v/>
      </c>
      <c r="F661" s="112" t="str">
        <f>IF(preDEL!$AG661,IFERROR(0/0,""),preDEL!F661)</f>
        <v/>
      </c>
      <c r="G661" s="112" t="str">
        <f>IF(preDEL!$AG661,IFERROR(0/0,""),preDEL!G661)</f>
        <v/>
      </c>
      <c r="H661" s="112" t="str">
        <f>IF(preDEL!$AG661,IFERROR(0/0,""),preDEL!H661)</f>
        <v/>
      </c>
      <c r="I661" s="105" t="str">
        <f>IF(preDEL!$AG661,IFERROR(0/0,""),preDEL!I661)</f>
        <v/>
      </c>
      <c r="J661" s="105" t="str">
        <f>IF(preDEL!$AG661,IFERROR(0/0,""),preDEL!J661)</f>
        <v/>
      </c>
      <c r="K661" s="105" t="str">
        <f>IF(preDEL!$AG661,IFERROR(0/0,""),preDEL!K661)</f>
        <v>Negative</v>
      </c>
      <c r="L661" s="170">
        <f>IF(preDEL!$AG661,IFERROR(0/0,""),preDEL!L661)</f>
        <v>44623</v>
      </c>
      <c r="M661" s="171">
        <f>IF(preDEL!$AG661,IFERROR(0/0,""),preDEL!M661)</f>
        <v>0.4605902778</v>
      </c>
      <c r="N661" s="112" t="str">
        <f>IF(preDEL!$AG661,IFERROR(0/0,""),preDEL!N661)</f>
        <v/>
      </c>
      <c r="O661" s="112" t="str">
        <f>IF(preDEL!$AG661,IFERROR(0/0,""),preDEL!O661)</f>
        <v/>
      </c>
      <c r="P661" s="110" t="b">
        <f>IF(preDEL!$AG661,IFERROR(0/0,""),preDEL!P661)</f>
        <v>0</v>
      </c>
      <c r="Q661" s="110" t="str">
        <f>IF(preDEL!$AG661,IFERROR(0/0,""),preDEL!Q661)</f>
        <v>Result</v>
      </c>
      <c r="R661" s="104" t="b">
        <f>IF(preDEL!$AG661,IFERROR(0/0,""),preDEL!R661)</f>
        <v>1</v>
      </c>
      <c r="S661" s="104">
        <f>IF(preDEL!$AG661,IFERROR(0/0,""),preDEL!S661)</f>
        <v>1</v>
      </c>
      <c r="T661" s="110" t="str">
        <f>IF(preDEL!$AG661,IFERROR(0/0,""),preDEL!T661)</f>
        <v/>
      </c>
      <c r="U661" s="112" t="str">
        <f>IF(preDEL!$AG661,IFERROR(0/0,""),preDEL!U661)</f>
        <v/>
      </c>
      <c r="V661" s="105" t="str">
        <f>IF(preDEL!$AG661,IFERROR(0/0,""),preDEL!V661)</f>
        <v/>
      </c>
      <c r="W661" s="112" t="str">
        <f>IF(preDEL!$AG661,IFERROR(0/0,""),preDEL!W661)</f>
        <v/>
      </c>
      <c r="X661" s="104" t="b">
        <f>IF(preDEL!$AG661,IFERROR(0/0,""),preDEL!X661)</f>
        <v>0</v>
      </c>
      <c r="Y661" s="110" t="b">
        <f>IF(preDEL!$AG661,IFERROR(0/0,""),preDEL!Y661)</f>
        <v>0</v>
      </c>
      <c r="Z661" s="105" t="str">
        <f>IF(preDEL!$AG661,IFERROR(0/0,""),preDEL!Z661)</f>
        <v/>
      </c>
      <c r="AA661" s="110" t="b">
        <f>IF(preDEL!$AG661,IFERROR(0/0,""),preDEL!AA661)</f>
        <v>0</v>
      </c>
      <c r="AB661" s="110" t="b">
        <f>IF(preDEL!$AG661,IFERROR(0/0,""),preDEL!AB661)</f>
        <v>0</v>
      </c>
      <c r="AC661" s="172">
        <f>IF(preDEL!$AG661,IFERROR(0/0,""),preDEL!AC661)</f>
        <v>157</v>
      </c>
      <c r="AD661" s="104" t="b">
        <f>IF(preDEL!$AG661,IFERROR(0/0,""),preDEL!AD661)</f>
        <v>0</v>
      </c>
      <c r="AE661" s="173">
        <f>IF(preDEL!$AG661,IFERROR(0/0,""),preDEL!AE661)</f>
        <v>223.85</v>
      </c>
      <c r="AF661" s="110" t="b">
        <f>IF(preDEL!$AG661,IFERROR(0/0,""),preDEL!AF661)</f>
        <v>0</v>
      </c>
      <c r="AG661" s="110" t="b">
        <f>IF(preDEL!$AG661,IFERROR(0/0,""),preDEL!AG661)</f>
        <v>0</v>
      </c>
      <c r="AH661" s="104" t="str">
        <f>IF(preDEL!$AG661,IFERROR(0/0,""),preDEL!AH661)</f>
        <v/>
      </c>
      <c r="AI661" s="105" t="str">
        <f>IF(preDEL!$AG661,IFERROR(0/0,""),preDEL!AI661)</f>
        <v/>
      </c>
      <c r="AJ661" s="112" t="str">
        <f>IF(preDEL!$AG661,IFERROR(0/0,""),preDEL!AJ661)</f>
        <v/>
      </c>
      <c r="AK661" s="105" t="str">
        <f>IF(preDEL!$AG661,IFERROR(0/0,""),preDEL!AK661)</f>
        <v>Negative</v>
      </c>
      <c r="AL661" s="112" t="str">
        <f>IF(preDEL!$AG661,IFERROR(0/0,""),preDEL!AL661)</f>
        <v/>
      </c>
      <c r="AM661" s="112" t="str">
        <f>IF(preDEL!$AG661,IFERROR(0/0,""),preDEL!AM661)</f>
        <v>SpBEND474338</v>
      </c>
      <c r="AN661" s="112" t="str">
        <f>IF(preDEL!$AG661,IFERROR(0/0,""),preDEL!AN661)</f>
        <v>BEND980447</v>
      </c>
      <c r="AO661" s="112" t="str">
        <f>IF(preDEL!$AG661,IFERROR(0/0,""),preDEL!AO661)</f>
        <v/>
      </c>
      <c r="AP661" s="112" t="str">
        <f>IF(preDEL!$AG661,IFERROR(0/0,""),preDEL!AP661)</f>
        <v/>
      </c>
      <c r="AQ661" s="112" t="str">
        <f>IF(preDEL!$AG661,IFERROR(0/0,""),preDEL!AQ661)</f>
        <v/>
      </c>
      <c r="AR661" s="112" t="str">
        <f>IF(preDEL!$AG661,IFERROR(0/0,""),preDEL!AR661)</f>
        <v/>
      </c>
      <c r="AS661" s="112" t="str">
        <f>IF(preDEL!$AG661,IFERROR(0/0,""),preDEL!AS661)</f>
        <v/>
      </c>
      <c r="AT661" s="112" t="b">
        <f>IF(preDEL!$AG661,IFERROR(0/0,""),preDEL!AT661)</f>
        <v>0</v>
      </c>
      <c r="AU661" s="112" t="str">
        <f>IF(preDEL!$AG661,IFERROR(0/0,""),preDEL!AU661)</f>
        <v/>
      </c>
      <c r="AV661" s="112" t="str">
        <f>IF(preDEL!$AG661,IFERROR(0/0,""),preDEL!AV661)</f>
        <v/>
      </c>
      <c r="AW661" s="112" t="str">
        <f>IF(preDEL!$AG661,IFERROR(0/0,""),preDEL!AW661)</f>
        <v/>
      </c>
      <c r="AX661" s="112" t="str">
        <f>IF(preDEL!$AG661,IFERROR(0/0,""),preDEL!AX661)</f>
        <v/>
      </c>
      <c r="AY661" s="112" t="str">
        <f>IF(preDEL!$AG661,IFERROR(0/0,""),preDEL!AY661)</f>
        <v/>
      </c>
      <c r="AZ661" s="174"/>
      <c r="BA661" s="174"/>
      <c r="BB661" s="174"/>
      <c r="BC661" s="174"/>
      <c r="BD661" s="174"/>
      <c r="BE661" s="174"/>
      <c r="BF661" s="174"/>
      <c r="BG661" s="174"/>
      <c r="BH661" s="174"/>
      <c r="BI661" s="174"/>
      <c r="BJ661" s="174"/>
      <c r="BK661" s="174"/>
      <c r="BL661" s="174"/>
      <c r="BM661" s="174"/>
      <c r="BN661" s="174"/>
      <c r="BO661" s="174"/>
      <c r="BP661" s="174"/>
      <c r="BQ661" s="174"/>
      <c r="BR661" s="174"/>
      <c r="BS661" s="174"/>
      <c r="BT661" s="174"/>
      <c r="BU661" s="174"/>
      <c r="BV661" s="174"/>
      <c r="BW661" s="174"/>
      <c r="BX661" s="174"/>
      <c r="BY661" s="174"/>
      <c r="BZ661" s="174"/>
      <c r="CA661" s="174"/>
      <c r="CB661" s="174"/>
      <c r="CC661" s="174"/>
      <c r="CD661" s="174"/>
    </row>
    <row r="662">
      <c r="A662" s="105" t="str">
        <f>IF(preDEL!$AG662,IFERROR(0/0,""),preDEL!A662)</f>
        <v>FM2061</v>
      </c>
      <c r="B662" s="170">
        <f>IF(preDEL!$AG662,IFERROR(0/0,""),preDEL!B662)</f>
        <v>44623</v>
      </c>
      <c r="C662" s="171">
        <f>IF(preDEL!$AG662,IFERROR(0/0,""),preDEL!C662)</f>
        <v>0.3095717593</v>
      </c>
      <c r="D662" s="105" t="str">
        <f>IF(preDEL!$AG662,IFERROR(0/0,""),preDEL!D662)</f>
        <v/>
      </c>
      <c r="E662" s="105" t="str">
        <f>IF(preDEL!$AG662,IFERROR(0/0,""),preDEL!E662)</f>
        <v/>
      </c>
      <c r="F662" s="112" t="str">
        <f>IF(preDEL!$AG662,IFERROR(0/0,""),preDEL!F662)</f>
        <v/>
      </c>
      <c r="G662" s="112" t="str">
        <f>IF(preDEL!$AG662,IFERROR(0/0,""),preDEL!G662)</f>
        <v/>
      </c>
      <c r="H662" s="112" t="str">
        <f>IF(preDEL!$AG662,IFERROR(0/0,""),preDEL!H662)</f>
        <v/>
      </c>
      <c r="I662" s="105" t="str">
        <f>IF(preDEL!$AG662,IFERROR(0/0,""),preDEL!I662)</f>
        <v/>
      </c>
      <c r="J662" s="105" t="str">
        <f>IF(preDEL!$AG662,IFERROR(0/0,""),preDEL!J662)</f>
        <v/>
      </c>
      <c r="K662" s="105" t="str">
        <f>IF(preDEL!$AG662,IFERROR(0/0,""),preDEL!K662)</f>
        <v>Negative</v>
      </c>
      <c r="L662" s="170">
        <f>IF(preDEL!$AG662,IFERROR(0/0,""),preDEL!L662)</f>
        <v>44623</v>
      </c>
      <c r="M662" s="171">
        <f>IF(preDEL!$AG662,IFERROR(0/0,""),preDEL!M662)</f>
        <v>0.4605902778</v>
      </c>
      <c r="N662" s="112" t="str">
        <f>IF(preDEL!$AG662,IFERROR(0/0,""),preDEL!N662)</f>
        <v/>
      </c>
      <c r="O662" s="112" t="str">
        <f>IF(preDEL!$AG662,IFERROR(0/0,""),preDEL!O662)</f>
        <v/>
      </c>
      <c r="P662" s="110" t="b">
        <f>IF(preDEL!$AG662,IFERROR(0/0,""),preDEL!P662)</f>
        <v>0</v>
      </c>
      <c r="Q662" s="110" t="str">
        <f>IF(preDEL!$AG662,IFERROR(0/0,""),preDEL!Q662)</f>
        <v>Result</v>
      </c>
      <c r="R662" s="104" t="b">
        <f>IF(preDEL!$AG662,IFERROR(0/0,""),preDEL!R662)</f>
        <v>1</v>
      </c>
      <c r="S662" s="104">
        <f>IF(preDEL!$AG662,IFERROR(0/0,""),preDEL!S662)</f>
        <v>1</v>
      </c>
      <c r="T662" s="110" t="str">
        <f>IF(preDEL!$AG662,IFERROR(0/0,""),preDEL!T662)</f>
        <v/>
      </c>
      <c r="U662" s="112" t="str">
        <f>IF(preDEL!$AG662,IFERROR(0/0,""),preDEL!U662)</f>
        <v/>
      </c>
      <c r="V662" s="105" t="str">
        <f>IF(preDEL!$AG662,IFERROR(0/0,""),preDEL!V662)</f>
        <v/>
      </c>
      <c r="W662" s="112" t="str">
        <f>IF(preDEL!$AG662,IFERROR(0/0,""),preDEL!W662)</f>
        <v/>
      </c>
      <c r="X662" s="104" t="b">
        <f>IF(preDEL!$AG662,IFERROR(0/0,""),preDEL!X662)</f>
        <v>0</v>
      </c>
      <c r="Y662" s="110" t="b">
        <f>IF(preDEL!$AG662,IFERROR(0/0,""),preDEL!Y662)</f>
        <v>0</v>
      </c>
      <c r="Z662" s="105" t="str">
        <f>IF(preDEL!$AG662,IFERROR(0/0,""),preDEL!Z662)</f>
        <v/>
      </c>
      <c r="AA662" s="110" t="b">
        <f>IF(preDEL!$AG662,IFERROR(0/0,""),preDEL!AA662)</f>
        <v>0</v>
      </c>
      <c r="AB662" s="110" t="b">
        <f>IF(preDEL!$AG662,IFERROR(0/0,""),preDEL!AB662)</f>
        <v>0</v>
      </c>
      <c r="AC662" s="172">
        <f>IF(preDEL!$AG662,IFERROR(0/0,""),preDEL!AC662)</f>
        <v>156</v>
      </c>
      <c r="AD662" s="104" t="b">
        <f>IF(preDEL!$AG662,IFERROR(0/0,""),preDEL!AD662)</f>
        <v>0</v>
      </c>
      <c r="AE662" s="173">
        <f>IF(preDEL!$AG662,IFERROR(0/0,""),preDEL!AE662)</f>
        <v>217.4666667</v>
      </c>
      <c r="AF662" s="110" t="b">
        <f>IF(preDEL!$AG662,IFERROR(0/0,""),preDEL!AF662)</f>
        <v>0</v>
      </c>
      <c r="AG662" s="110" t="b">
        <f>IF(preDEL!$AG662,IFERROR(0/0,""),preDEL!AG662)</f>
        <v>0</v>
      </c>
      <c r="AH662" s="104" t="str">
        <f>IF(preDEL!$AG662,IFERROR(0/0,""),preDEL!AH662)</f>
        <v/>
      </c>
      <c r="AI662" s="105" t="str">
        <f>IF(preDEL!$AG662,IFERROR(0/0,""),preDEL!AI662)</f>
        <v/>
      </c>
      <c r="AJ662" s="112" t="str">
        <f>IF(preDEL!$AG662,IFERROR(0/0,""),preDEL!AJ662)</f>
        <v/>
      </c>
      <c r="AK662" s="105" t="str">
        <f>IF(preDEL!$AG662,IFERROR(0/0,""),preDEL!AK662)</f>
        <v>Negative</v>
      </c>
      <c r="AL662" s="112" t="str">
        <f>IF(preDEL!$AG662,IFERROR(0/0,""),preDEL!AL662)</f>
        <v/>
      </c>
      <c r="AM662" s="112" t="str">
        <f>IF(preDEL!$AG662,IFERROR(0/0,""),preDEL!AM662)</f>
        <v>SpBEND637657</v>
      </c>
      <c r="AN662" s="112" t="str">
        <f>IF(preDEL!$AG662,IFERROR(0/0,""),preDEL!AN662)</f>
        <v>BEND142851</v>
      </c>
      <c r="AO662" s="112" t="str">
        <f>IF(preDEL!$AG662,IFERROR(0/0,""),preDEL!AO662)</f>
        <v/>
      </c>
      <c r="AP662" s="112" t="str">
        <f>IF(preDEL!$AG662,IFERROR(0/0,""),preDEL!AP662)</f>
        <v/>
      </c>
      <c r="AQ662" s="112" t="str">
        <f>IF(preDEL!$AG662,IFERROR(0/0,""),preDEL!AQ662)</f>
        <v/>
      </c>
      <c r="AR662" s="112" t="str">
        <f>IF(preDEL!$AG662,IFERROR(0/0,""),preDEL!AR662)</f>
        <v/>
      </c>
      <c r="AS662" s="112" t="str">
        <f>IF(preDEL!$AG662,IFERROR(0/0,""),preDEL!AS662)</f>
        <v/>
      </c>
      <c r="AT662" s="112" t="b">
        <f>IF(preDEL!$AG662,IFERROR(0/0,""),preDEL!AT662)</f>
        <v>0</v>
      </c>
      <c r="AU662" s="112" t="str">
        <f>IF(preDEL!$AG662,IFERROR(0/0,""),preDEL!AU662)</f>
        <v/>
      </c>
      <c r="AV662" s="112" t="str">
        <f>IF(preDEL!$AG662,IFERROR(0/0,""),preDEL!AV662)</f>
        <v/>
      </c>
      <c r="AW662" s="112" t="str">
        <f>IF(preDEL!$AG662,IFERROR(0/0,""),preDEL!AW662)</f>
        <v/>
      </c>
      <c r="AX662" s="112" t="str">
        <f>IF(preDEL!$AG662,IFERROR(0/0,""),preDEL!AX662)</f>
        <v/>
      </c>
      <c r="AY662" s="112" t="str">
        <f>IF(preDEL!$AG662,IFERROR(0/0,""),preDEL!AY662)</f>
        <v/>
      </c>
      <c r="AZ662" s="174"/>
      <c r="BA662" s="174"/>
      <c r="BB662" s="174"/>
      <c r="BC662" s="174"/>
      <c r="BD662" s="174"/>
      <c r="BE662" s="174"/>
      <c r="BF662" s="174"/>
      <c r="BG662" s="174"/>
      <c r="BH662" s="174"/>
      <c r="BI662" s="174"/>
      <c r="BJ662" s="174"/>
      <c r="BK662" s="174"/>
      <c r="BL662" s="174"/>
      <c r="BM662" s="174"/>
      <c r="BN662" s="174"/>
      <c r="BO662" s="174"/>
      <c r="BP662" s="174"/>
      <c r="BQ662" s="174"/>
      <c r="BR662" s="174"/>
      <c r="BS662" s="174"/>
      <c r="BT662" s="174"/>
      <c r="BU662" s="174"/>
      <c r="BV662" s="174"/>
      <c r="BW662" s="174"/>
      <c r="BX662" s="174"/>
      <c r="BY662" s="174"/>
      <c r="BZ662" s="174"/>
      <c r="CA662" s="174"/>
      <c r="CB662" s="174"/>
      <c r="CC662" s="174"/>
      <c r="CD662" s="174"/>
    </row>
    <row r="663">
      <c r="A663" s="105" t="str">
        <f>IF(preDEL!$AG663,IFERROR(0/0,""),preDEL!A663)</f>
        <v>FM813</v>
      </c>
      <c r="B663" s="170">
        <f>IF(preDEL!$AG663,IFERROR(0/0,""),preDEL!B663)</f>
        <v>44623</v>
      </c>
      <c r="C663" s="171">
        <f>IF(preDEL!$AG663,IFERROR(0/0,""),preDEL!C663)</f>
        <v>0.3102662037</v>
      </c>
      <c r="D663" s="105" t="str">
        <f>IF(preDEL!$AG663,IFERROR(0/0,""),preDEL!D663)</f>
        <v/>
      </c>
      <c r="E663" s="105" t="str">
        <f>IF(preDEL!$AG663,IFERROR(0/0,""),preDEL!E663)</f>
        <v/>
      </c>
      <c r="F663" s="112" t="str">
        <f>IF(preDEL!$AG663,IFERROR(0/0,""),preDEL!F663)</f>
        <v/>
      </c>
      <c r="G663" s="112" t="str">
        <f>IF(preDEL!$AG663,IFERROR(0/0,""),preDEL!G663)</f>
        <v/>
      </c>
      <c r="H663" s="112" t="str">
        <f>IF(preDEL!$AG663,IFERROR(0/0,""),preDEL!H663)</f>
        <v/>
      </c>
      <c r="I663" s="105" t="str">
        <f>IF(preDEL!$AG663,IFERROR(0/0,""),preDEL!I663)</f>
        <v/>
      </c>
      <c r="J663" s="105" t="str">
        <f>IF(preDEL!$AG663,IFERROR(0/0,""),preDEL!J663)</f>
        <v/>
      </c>
      <c r="K663" s="105" t="str">
        <f>IF(preDEL!$AG663,IFERROR(0/0,""),preDEL!K663)</f>
        <v>Negative</v>
      </c>
      <c r="L663" s="170">
        <f>IF(preDEL!$AG663,IFERROR(0/0,""),preDEL!L663)</f>
        <v>44623</v>
      </c>
      <c r="M663" s="171">
        <f>IF(preDEL!$AG663,IFERROR(0/0,""),preDEL!M663)</f>
        <v>0.4605902778</v>
      </c>
      <c r="N663" s="112" t="str">
        <f>IF(preDEL!$AG663,IFERROR(0/0,""),preDEL!N663)</f>
        <v/>
      </c>
      <c r="O663" s="112" t="str">
        <f>IF(preDEL!$AG663,IFERROR(0/0,""),preDEL!O663)</f>
        <v/>
      </c>
      <c r="P663" s="110" t="b">
        <f>IF(preDEL!$AG663,IFERROR(0/0,""),preDEL!P663)</f>
        <v>0</v>
      </c>
      <c r="Q663" s="110" t="str">
        <f>IF(preDEL!$AG663,IFERROR(0/0,""),preDEL!Q663)</f>
        <v>Result</v>
      </c>
      <c r="R663" s="104" t="b">
        <f>IF(preDEL!$AG663,IFERROR(0/0,""),preDEL!R663)</f>
        <v>1</v>
      </c>
      <c r="S663" s="104">
        <f>IF(preDEL!$AG663,IFERROR(0/0,""),preDEL!S663)</f>
        <v>1</v>
      </c>
      <c r="T663" s="110" t="str">
        <f>IF(preDEL!$AG663,IFERROR(0/0,""),preDEL!T663)</f>
        <v/>
      </c>
      <c r="U663" s="112" t="str">
        <f>IF(preDEL!$AG663,IFERROR(0/0,""),preDEL!U663)</f>
        <v/>
      </c>
      <c r="V663" s="105" t="str">
        <f>IF(preDEL!$AG663,IFERROR(0/0,""),preDEL!V663)</f>
        <v/>
      </c>
      <c r="W663" s="112" t="str">
        <f>IF(preDEL!$AG663,IFERROR(0/0,""),preDEL!W663)</f>
        <v/>
      </c>
      <c r="X663" s="104" t="b">
        <f>IF(preDEL!$AG663,IFERROR(0/0,""),preDEL!X663)</f>
        <v>0</v>
      </c>
      <c r="Y663" s="110" t="b">
        <f>IF(preDEL!$AG663,IFERROR(0/0,""),preDEL!Y663)</f>
        <v>0</v>
      </c>
      <c r="Z663" s="105" t="str">
        <f>IF(preDEL!$AG663,IFERROR(0/0,""),preDEL!Z663)</f>
        <v/>
      </c>
      <c r="AA663" s="110" t="b">
        <f>IF(preDEL!$AG663,IFERROR(0/0,""),preDEL!AA663)</f>
        <v>0</v>
      </c>
      <c r="AB663" s="110" t="b">
        <f>IF(preDEL!$AG663,IFERROR(0/0,""),preDEL!AB663)</f>
        <v>0</v>
      </c>
      <c r="AC663" s="172">
        <f>IF(preDEL!$AG663,IFERROR(0/0,""),preDEL!AC663)</f>
        <v>155</v>
      </c>
      <c r="AD663" s="104" t="b">
        <f>IF(preDEL!$AG663,IFERROR(0/0,""),preDEL!AD663)</f>
        <v>0</v>
      </c>
      <c r="AE663" s="173">
        <f>IF(preDEL!$AG663,IFERROR(0/0,""),preDEL!AE663)</f>
        <v>216.4666667</v>
      </c>
      <c r="AF663" s="110" t="b">
        <f>IF(preDEL!$AG663,IFERROR(0/0,""),preDEL!AF663)</f>
        <v>0</v>
      </c>
      <c r="AG663" s="110" t="b">
        <f>IF(preDEL!$AG663,IFERROR(0/0,""),preDEL!AG663)</f>
        <v>0</v>
      </c>
      <c r="AH663" s="104" t="str">
        <f>IF(preDEL!$AG663,IFERROR(0/0,""),preDEL!AH663)</f>
        <v/>
      </c>
      <c r="AI663" s="105" t="str">
        <f>IF(preDEL!$AG663,IFERROR(0/0,""),preDEL!AI663)</f>
        <v/>
      </c>
      <c r="AJ663" s="112" t="str">
        <f>IF(preDEL!$AG663,IFERROR(0/0,""),preDEL!AJ663)</f>
        <v/>
      </c>
      <c r="AK663" s="105" t="str">
        <f>IF(preDEL!$AG663,IFERROR(0/0,""),preDEL!AK663)</f>
        <v>Negative</v>
      </c>
      <c r="AL663" s="112" t="str">
        <f>IF(preDEL!$AG663,IFERROR(0/0,""),preDEL!AL663)</f>
        <v/>
      </c>
      <c r="AM663" s="112" t="str">
        <f>IF(preDEL!$AG663,IFERROR(0/0,""),preDEL!AM663)</f>
        <v>SpBEND845509</v>
      </c>
      <c r="AN663" s="112" t="str">
        <f>IF(preDEL!$AG663,IFERROR(0/0,""),preDEL!AN663)</f>
        <v>BEND935806</v>
      </c>
      <c r="AO663" s="112" t="str">
        <f>IF(preDEL!$AG663,IFERROR(0/0,""),preDEL!AO663)</f>
        <v/>
      </c>
      <c r="AP663" s="112" t="str">
        <f>IF(preDEL!$AG663,IFERROR(0/0,""),preDEL!AP663)</f>
        <v/>
      </c>
      <c r="AQ663" s="112" t="str">
        <f>IF(preDEL!$AG663,IFERROR(0/0,""),preDEL!AQ663)</f>
        <v/>
      </c>
      <c r="AR663" s="112" t="str">
        <f>IF(preDEL!$AG663,IFERROR(0/0,""),preDEL!AR663)</f>
        <v/>
      </c>
      <c r="AS663" s="112" t="str">
        <f>IF(preDEL!$AG663,IFERROR(0/0,""),preDEL!AS663)</f>
        <v/>
      </c>
      <c r="AT663" s="112" t="b">
        <f>IF(preDEL!$AG663,IFERROR(0/0,""),preDEL!AT663)</f>
        <v>0</v>
      </c>
      <c r="AU663" s="112" t="str">
        <f>IF(preDEL!$AG663,IFERROR(0/0,""),preDEL!AU663)</f>
        <v/>
      </c>
      <c r="AV663" s="112" t="str">
        <f>IF(preDEL!$AG663,IFERROR(0/0,""),preDEL!AV663)</f>
        <v/>
      </c>
      <c r="AW663" s="112" t="str">
        <f>IF(preDEL!$AG663,IFERROR(0/0,""),preDEL!AW663)</f>
        <v/>
      </c>
      <c r="AX663" s="112" t="str">
        <f>IF(preDEL!$AG663,IFERROR(0/0,""),preDEL!AX663)</f>
        <v/>
      </c>
      <c r="AY663" s="112" t="str">
        <f>IF(preDEL!$AG663,IFERROR(0/0,""),preDEL!AY663)</f>
        <v/>
      </c>
      <c r="AZ663" s="174"/>
      <c r="BA663" s="174"/>
      <c r="BB663" s="174"/>
      <c r="BC663" s="174"/>
      <c r="BD663" s="174"/>
      <c r="BE663" s="174"/>
      <c r="BF663" s="174"/>
      <c r="BG663" s="174"/>
      <c r="BH663" s="174"/>
      <c r="BI663" s="174"/>
      <c r="BJ663" s="174"/>
      <c r="BK663" s="174"/>
      <c r="BL663" s="174"/>
      <c r="BM663" s="174"/>
      <c r="BN663" s="174"/>
      <c r="BO663" s="174"/>
      <c r="BP663" s="174"/>
      <c r="BQ663" s="174"/>
      <c r="BR663" s="174"/>
      <c r="BS663" s="174"/>
      <c r="BT663" s="174"/>
      <c r="BU663" s="174"/>
      <c r="BV663" s="174"/>
      <c r="BW663" s="174"/>
      <c r="BX663" s="174"/>
      <c r="BY663" s="174"/>
      <c r="BZ663" s="174"/>
      <c r="CA663" s="174"/>
      <c r="CB663" s="174"/>
      <c r="CC663" s="174"/>
      <c r="CD663" s="174"/>
    </row>
    <row r="664">
      <c r="A664" s="105" t="str">
        <f>IF(preDEL!$AG664,IFERROR(0/0,""),preDEL!A664)</f>
        <v>FM2081</v>
      </c>
      <c r="B664" s="170">
        <f>IF(preDEL!$AG664,IFERROR(0/0,""),preDEL!B664)</f>
        <v>44623</v>
      </c>
      <c r="C664" s="171">
        <f>IF(preDEL!$AG664,IFERROR(0/0,""),preDEL!C664)</f>
        <v>0.3108680556</v>
      </c>
      <c r="D664" s="105" t="str">
        <f>IF(preDEL!$AG664,IFERROR(0/0,""),preDEL!D664)</f>
        <v/>
      </c>
      <c r="E664" s="105" t="str">
        <f>IF(preDEL!$AG664,IFERROR(0/0,""),preDEL!E664)</f>
        <v/>
      </c>
      <c r="F664" s="112" t="str">
        <f>IF(preDEL!$AG664,IFERROR(0/0,""),preDEL!F664)</f>
        <v/>
      </c>
      <c r="G664" s="112" t="str">
        <f>IF(preDEL!$AG664,IFERROR(0/0,""),preDEL!G664)</f>
        <v/>
      </c>
      <c r="H664" s="112" t="str">
        <f>IF(preDEL!$AG664,IFERROR(0/0,""),preDEL!H664)</f>
        <v/>
      </c>
      <c r="I664" s="105" t="str">
        <f>IF(preDEL!$AG664,IFERROR(0/0,""),preDEL!I664)</f>
        <v/>
      </c>
      <c r="J664" s="105" t="str">
        <f>IF(preDEL!$AG664,IFERROR(0/0,""),preDEL!J664)</f>
        <v/>
      </c>
      <c r="K664" s="105" t="str">
        <f>IF(preDEL!$AG664,IFERROR(0/0,""),preDEL!K664)</f>
        <v>Negative</v>
      </c>
      <c r="L664" s="170">
        <f>IF(preDEL!$AG664,IFERROR(0/0,""),preDEL!L664)</f>
        <v>44623</v>
      </c>
      <c r="M664" s="171">
        <f>IF(preDEL!$AG664,IFERROR(0/0,""),preDEL!M664)</f>
        <v>0.4605902778</v>
      </c>
      <c r="N664" s="112" t="str">
        <f>IF(preDEL!$AG664,IFERROR(0/0,""),preDEL!N664)</f>
        <v/>
      </c>
      <c r="O664" s="112" t="str">
        <f>IF(preDEL!$AG664,IFERROR(0/0,""),preDEL!O664)</f>
        <v/>
      </c>
      <c r="P664" s="110" t="b">
        <f>IF(preDEL!$AG664,IFERROR(0/0,""),preDEL!P664)</f>
        <v>0</v>
      </c>
      <c r="Q664" s="110" t="str">
        <f>IF(preDEL!$AG664,IFERROR(0/0,""),preDEL!Q664)</f>
        <v>Result</v>
      </c>
      <c r="R664" s="104" t="b">
        <f>IF(preDEL!$AG664,IFERROR(0/0,""),preDEL!R664)</f>
        <v>1</v>
      </c>
      <c r="S664" s="104">
        <f>IF(preDEL!$AG664,IFERROR(0/0,""),preDEL!S664)</f>
        <v>1</v>
      </c>
      <c r="T664" s="110" t="str">
        <f>IF(preDEL!$AG664,IFERROR(0/0,""),preDEL!T664)</f>
        <v/>
      </c>
      <c r="U664" s="112" t="str">
        <f>IF(preDEL!$AG664,IFERROR(0/0,""),preDEL!U664)</f>
        <v/>
      </c>
      <c r="V664" s="105" t="str">
        <f>IF(preDEL!$AG664,IFERROR(0/0,""),preDEL!V664)</f>
        <v/>
      </c>
      <c r="W664" s="112" t="str">
        <f>IF(preDEL!$AG664,IFERROR(0/0,""),preDEL!W664)</f>
        <v/>
      </c>
      <c r="X664" s="104" t="b">
        <f>IF(preDEL!$AG664,IFERROR(0/0,""),preDEL!X664)</f>
        <v>0</v>
      </c>
      <c r="Y664" s="110" t="b">
        <f>IF(preDEL!$AG664,IFERROR(0/0,""),preDEL!Y664)</f>
        <v>0</v>
      </c>
      <c r="Z664" s="105" t="str">
        <f>IF(preDEL!$AG664,IFERROR(0/0,""),preDEL!Z664)</f>
        <v/>
      </c>
      <c r="AA664" s="110" t="b">
        <f>IF(preDEL!$AG664,IFERROR(0/0,""),preDEL!AA664)</f>
        <v>0</v>
      </c>
      <c r="AB664" s="110" t="b">
        <f>IF(preDEL!$AG664,IFERROR(0/0,""),preDEL!AB664)</f>
        <v>0</v>
      </c>
      <c r="AC664" s="172">
        <f>IF(preDEL!$AG664,IFERROR(0/0,""),preDEL!AC664)</f>
        <v>154</v>
      </c>
      <c r="AD664" s="104" t="b">
        <f>IF(preDEL!$AG664,IFERROR(0/0,""),preDEL!AD664)</f>
        <v>0</v>
      </c>
      <c r="AE664" s="173">
        <f>IF(preDEL!$AG664,IFERROR(0/0,""),preDEL!AE664)</f>
        <v>215.6</v>
      </c>
      <c r="AF664" s="110" t="b">
        <f>IF(preDEL!$AG664,IFERROR(0/0,""),preDEL!AF664)</f>
        <v>0</v>
      </c>
      <c r="AG664" s="110" t="b">
        <f>IF(preDEL!$AG664,IFERROR(0/0,""),preDEL!AG664)</f>
        <v>0</v>
      </c>
      <c r="AH664" s="104" t="str">
        <f>IF(preDEL!$AG664,IFERROR(0/0,""),preDEL!AH664)</f>
        <v/>
      </c>
      <c r="AI664" s="105" t="str">
        <f>IF(preDEL!$AG664,IFERROR(0/0,""),preDEL!AI664)</f>
        <v/>
      </c>
      <c r="AJ664" s="112" t="str">
        <f>IF(preDEL!$AG664,IFERROR(0/0,""),preDEL!AJ664)</f>
        <v/>
      </c>
      <c r="AK664" s="105" t="str">
        <f>IF(preDEL!$AG664,IFERROR(0/0,""),preDEL!AK664)</f>
        <v>Negative</v>
      </c>
      <c r="AL664" s="112" t="str">
        <f>IF(preDEL!$AG664,IFERROR(0/0,""),preDEL!AL664)</f>
        <v/>
      </c>
      <c r="AM664" s="112" t="str">
        <f>IF(preDEL!$AG664,IFERROR(0/0,""),preDEL!AM664)</f>
        <v>SpBEND944634</v>
      </c>
      <c r="AN664" s="112" t="str">
        <f>IF(preDEL!$AG664,IFERROR(0/0,""),preDEL!AN664)</f>
        <v>BEND626338</v>
      </c>
      <c r="AO664" s="112" t="str">
        <f>IF(preDEL!$AG664,IFERROR(0/0,""),preDEL!AO664)</f>
        <v/>
      </c>
      <c r="AP664" s="112" t="str">
        <f>IF(preDEL!$AG664,IFERROR(0/0,""),preDEL!AP664)</f>
        <v/>
      </c>
      <c r="AQ664" s="112" t="str">
        <f>IF(preDEL!$AG664,IFERROR(0/0,""),preDEL!AQ664)</f>
        <v/>
      </c>
      <c r="AR664" s="112" t="str">
        <f>IF(preDEL!$AG664,IFERROR(0/0,""),preDEL!AR664)</f>
        <v/>
      </c>
      <c r="AS664" s="112" t="str">
        <f>IF(preDEL!$AG664,IFERROR(0/0,""),preDEL!AS664)</f>
        <v/>
      </c>
      <c r="AT664" s="112" t="b">
        <f>IF(preDEL!$AG664,IFERROR(0/0,""),preDEL!AT664)</f>
        <v>0</v>
      </c>
      <c r="AU664" s="112" t="str">
        <f>IF(preDEL!$AG664,IFERROR(0/0,""),preDEL!AU664)</f>
        <v/>
      </c>
      <c r="AV664" s="112" t="str">
        <f>IF(preDEL!$AG664,IFERROR(0/0,""),preDEL!AV664)</f>
        <v/>
      </c>
      <c r="AW664" s="112" t="str">
        <f>IF(preDEL!$AG664,IFERROR(0/0,""),preDEL!AW664)</f>
        <v/>
      </c>
      <c r="AX664" s="112" t="str">
        <f>IF(preDEL!$AG664,IFERROR(0/0,""),preDEL!AX664)</f>
        <v/>
      </c>
      <c r="AY664" s="112" t="str">
        <f>IF(preDEL!$AG664,IFERROR(0/0,""),preDEL!AY664)</f>
        <v/>
      </c>
      <c r="AZ664" s="174"/>
      <c r="BA664" s="174"/>
      <c r="BB664" s="174"/>
      <c r="BC664" s="174"/>
      <c r="BD664" s="174"/>
      <c r="BE664" s="174"/>
      <c r="BF664" s="174"/>
      <c r="BG664" s="174"/>
      <c r="BH664" s="174"/>
      <c r="BI664" s="174"/>
      <c r="BJ664" s="174"/>
      <c r="BK664" s="174"/>
      <c r="BL664" s="174"/>
      <c r="BM664" s="174"/>
      <c r="BN664" s="174"/>
      <c r="BO664" s="174"/>
      <c r="BP664" s="174"/>
      <c r="BQ664" s="174"/>
      <c r="BR664" s="174"/>
      <c r="BS664" s="174"/>
      <c r="BT664" s="174"/>
      <c r="BU664" s="174"/>
      <c r="BV664" s="174"/>
      <c r="BW664" s="174"/>
      <c r="BX664" s="174"/>
      <c r="BY664" s="174"/>
      <c r="BZ664" s="174"/>
      <c r="CA664" s="174"/>
      <c r="CB664" s="174"/>
      <c r="CC664" s="174"/>
      <c r="CD664" s="174"/>
    </row>
    <row r="665">
      <c r="A665" s="105" t="str">
        <f>IF(preDEL!$AG665,IFERROR(0/0,""),preDEL!A665)</f>
        <v>FM2089</v>
      </c>
      <c r="B665" s="170">
        <f>IF(preDEL!$AG665,IFERROR(0/0,""),preDEL!B665)</f>
        <v>44623</v>
      </c>
      <c r="C665" s="171">
        <f>IF(preDEL!$AG665,IFERROR(0/0,""),preDEL!C665)</f>
        <v>0.3110416667</v>
      </c>
      <c r="D665" s="105" t="str">
        <f>IF(preDEL!$AG665,IFERROR(0/0,""),preDEL!D665)</f>
        <v/>
      </c>
      <c r="E665" s="105" t="str">
        <f>IF(preDEL!$AG665,IFERROR(0/0,""),preDEL!E665)</f>
        <v/>
      </c>
      <c r="F665" s="112" t="str">
        <f>IF(preDEL!$AG665,IFERROR(0/0,""),preDEL!F665)</f>
        <v/>
      </c>
      <c r="G665" s="112" t="str">
        <f>IF(preDEL!$AG665,IFERROR(0/0,""),preDEL!G665)</f>
        <v/>
      </c>
      <c r="H665" s="112" t="str">
        <f>IF(preDEL!$AG665,IFERROR(0/0,""),preDEL!H665)</f>
        <v/>
      </c>
      <c r="I665" s="105" t="str">
        <f>IF(preDEL!$AG665,IFERROR(0/0,""),preDEL!I665)</f>
        <v/>
      </c>
      <c r="J665" s="105" t="str">
        <f>IF(preDEL!$AG665,IFERROR(0/0,""),preDEL!J665)</f>
        <v/>
      </c>
      <c r="K665" s="105" t="str">
        <f>IF(preDEL!$AG665,IFERROR(0/0,""),preDEL!K665)</f>
        <v>Negative</v>
      </c>
      <c r="L665" s="170">
        <f>IF(preDEL!$AG665,IFERROR(0/0,""),preDEL!L665)</f>
        <v>44623</v>
      </c>
      <c r="M665" s="171">
        <f>IF(preDEL!$AG665,IFERROR(0/0,""),preDEL!M665)</f>
        <v>0.4605902778</v>
      </c>
      <c r="N665" s="112" t="str">
        <f>IF(preDEL!$AG665,IFERROR(0/0,""),preDEL!N665)</f>
        <v/>
      </c>
      <c r="O665" s="112" t="str">
        <f>IF(preDEL!$AG665,IFERROR(0/0,""),preDEL!O665)</f>
        <v/>
      </c>
      <c r="P665" s="110" t="b">
        <f>IF(preDEL!$AG665,IFERROR(0/0,""),preDEL!P665)</f>
        <v>0</v>
      </c>
      <c r="Q665" s="110" t="str">
        <f>IF(preDEL!$AG665,IFERROR(0/0,""),preDEL!Q665)</f>
        <v>Result</v>
      </c>
      <c r="R665" s="104" t="b">
        <f>IF(preDEL!$AG665,IFERROR(0/0,""),preDEL!R665)</f>
        <v>1</v>
      </c>
      <c r="S665" s="104">
        <f>IF(preDEL!$AG665,IFERROR(0/0,""),preDEL!S665)</f>
        <v>1</v>
      </c>
      <c r="T665" s="110" t="str">
        <f>IF(preDEL!$AG665,IFERROR(0/0,""),preDEL!T665)</f>
        <v/>
      </c>
      <c r="U665" s="112" t="str">
        <f>IF(preDEL!$AG665,IFERROR(0/0,""),preDEL!U665)</f>
        <v/>
      </c>
      <c r="V665" s="105" t="str">
        <f>IF(preDEL!$AG665,IFERROR(0/0,""),preDEL!V665)</f>
        <v/>
      </c>
      <c r="W665" s="112" t="str">
        <f>IF(preDEL!$AG665,IFERROR(0/0,""),preDEL!W665)</f>
        <v/>
      </c>
      <c r="X665" s="104" t="b">
        <f>IF(preDEL!$AG665,IFERROR(0/0,""),preDEL!X665)</f>
        <v>0</v>
      </c>
      <c r="Y665" s="110" t="b">
        <f>IF(preDEL!$AG665,IFERROR(0/0,""),preDEL!Y665)</f>
        <v>0</v>
      </c>
      <c r="Z665" s="105" t="str">
        <f>IF(preDEL!$AG665,IFERROR(0/0,""),preDEL!Z665)</f>
        <v/>
      </c>
      <c r="AA665" s="110" t="b">
        <f>IF(preDEL!$AG665,IFERROR(0/0,""),preDEL!AA665)</f>
        <v>0</v>
      </c>
      <c r="AB665" s="110" t="b">
        <f>IF(preDEL!$AG665,IFERROR(0/0,""),preDEL!AB665)</f>
        <v>0</v>
      </c>
      <c r="AC665" s="172">
        <f>IF(preDEL!$AG665,IFERROR(0/0,""),preDEL!AC665)</f>
        <v>153</v>
      </c>
      <c r="AD665" s="104" t="b">
        <f>IF(preDEL!$AG665,IFERROR(0/0,""),preDEL!AD665)</f>
        <v>0</v>
      </c>
      <c r="AE665" s="173">
        <f>IF(preDEL!$AG665,IFERROR(0/0,""),preDEL!AE665)</f>
        <v>215.35</v>
      </c>
      <c r="AF665" s="110" t="b">
        <f>IF(preDEL!$AG665,IFERROR(0/0,""),preDEL!AF665)</f>
        <v>0</v>
      </c>
      <c r="AG665" s="110" t="b">
        <f>IF(preDEL!$AG665,IFERROR(0/0,""),preDEL!AG665)</f>
        <v>0</v>
      </c>
      <c r="AH665" s="104" t="str">
        <f>IF(preDEL!$AG665,IFERROR(0/0,""),preDEL!AH665)</f>
        <v/>
      </c>
      <c r="AI665" s="105" t="str">
        <f>IF(preDEL!$AG665,IFERROR(0/0,""),preDEL!AI665)</f>
        <v/>
      </c>
      <c r="AJ665" s="112" t="str">
        <f>IF(preDEL!$AG665,IFERROR(0/0,""),preDEL!AJ665)</f>
        <v/>
      </c>
      <c r="AK665" s="105" t="str">
        <f>IF(preDEL!$AG665,IFERROR(0/0,""),preDEL!AK665)</f>
        <v>Negative</v>
      </c>
      <c r="AL665" s="112" t="str">
        <f>IF(preDEL!$AG665,IFERROR(0/0,""),preDEL!AL665)</f>
        <v/>
      </c>
      <c r="AM665" s="112" t="str">
        <f>IF(preDEL!$AG665,IFERROR(0/0,""),preDEL!AM665)</f>
        <v>SpBEND985296</v>
      </c>
      <c r="AN665" s="112" t="str">
        <f>IF(preDEL!$AG665,IFERROR(0/0,""),preDEL!AN665)</f>
        <v>BEND326601</v>
      </c>
      <c r="AO665" s="112" t="str">
        <f>IF(preDEL!$AG665,IFERROR(0/0,""),preDEL!AO665)</f>
        <v/>
      </c>
      <c r="AP665" s="112" t="str">
        <f>IF(preDEL!$AG665,IFERROR(0/0,""),preDEL!AP665)</f>
        <v/>
      </c>
      <c r="AQ665" s="112" t="str">
        <f>IF(preDEL!$AG665,IFERROR(0/0,""),preDEL!AQ665)</f>
        <v/>
      </c>
      <c r="AR665" s="112" t="str">
        <f>IF(preDEL!$AG665,IFERROR(0/0,""),preDEL!AR665)</f>
        <v/>
      </c>
      <c r="AS665" s="112" t="str">
        <f>IF(preDEL!$AG665,IFERROR(0/0,""),preDEL!AS665)</f>
        <v/>
      </c>
      <c r="AT665" s="112" t="b">
        <f>IF(preDEL!$AG665,IFERROR(0/0,""),preDEL!AT665)</f>
        <v>0</v>
      </c>
      <c r="AU665" s="112" t="str">
        <f>IF(preDEL!$AG665,IFERROR(0/0,""),preDEL!AU665)</f>
        <v/>
      </c>
      <c r="AV665" s="112" t="str">
        <f>IF(preDEL!$AG665,IFERROR(0/0,""),preDEL!AV665)</f>
        <v/>
      </c>
      <c r="AW665" s="112" t="str">
        <f>IF(preDEL!$AG665,IFERROR(0/0,""),preDEL!AW665)</f>
        <v/>
      </c>
      <c r="AX665" s="112" t="str">
        <f>IF(preDEL!$AG665,IFERROR(0/0,""),preDEL!AX665)</f>
        <v/>
      </c>
      <c r="AY665" s="112" t="str">
        <f>IF(preDEL!$AG665,IFERROR(0/0,""),preDEL!AY665)</f>
        <v/>
      </c>
      <c r="AZ665" s="174"/>
      <c r="BA665" s="174"/>
      <c r="BB665" s="174"/>
      <c r="BC665" s="174"/>
      <c r="BD665" s="174"/>
      <c r="BE665" s="174"/>
      <c r="BF665" s="174"/>
      <c r="BG665" s="174"/>
      <c r="BH665" s="174"/>
      <c r="BI665" s="174"/>
      <c r="BJ665" s="174"/>
      <c r="BK665" s="174"/>
      <c r="BL665" s="174"/>
      <c r="BM665" s="174"/>
      <c r="BN665" s="174"/>
      <c r="BO665" s="174"/>
      <c r="BP665" s="174"/>
      <c r="BQ665" s="174"/>
      <c r="BR665" s="174"/>
      <c r="BS665" s="174"/>
      <c r="BT665" s="174"/>
      <c r="BU665" s="174"/>
      <c r="BV665" s="174"/>
      <c r="BW665" s="174"/>
      <c r="BX665" s="174"/>
      <c r="BY665" s="174"/>
      <c r="BZ665" s="174"/>
      <c r="CA665" s="174"/>
      <c r="CB665" s="174"/>
      <c r="CC665" s="174"/>
      <c r="CD665" s="174"/>
    </row>
    <row r="666">
      <c r="A666" s="105" t="str">
        <f>IF(preDEL!$AG666,IFERROR(0/0,""),preDEL!A666)</f>
        <v>FM968</v>
      </c>
      <c r="B666" s="170">
        <f>IF(preDEL!$AG666,IFERROR(0/0,""),preDEL!B666)</f>
        <v>44623</v>
      </c>
      <c r="C666" s="171">
        <f>IF(preDEL!$AG666,IFERROR(0/0,""),preDEL!C666)</f>
        <v>0.3132523148</v>
      </c>
      <c r="D666" s="105" t="str">
        <f>IF(preDEL!$AG666,IFERROR(0/0,""),preDEL!D666)</f>
        <v/>
      </c>
      <c r="E666" s="105" t="str">
        <f>IF(preDEL!$AG666,IFERROR(0/0,""),preDEL!E666)</f>
        <v/>
      </c>
      <c r="F666" s="112" t="str">
        <f>IF(preDEL!$AG666,IFERROR(0/0,""),preDEL!F666)</f>
        <v/>
      </c>
      <c r="G666" s="112" t="str">
        <f>IF(preDEL!$AG666,IFERROR(0/0,""),preDEL!G666)</f>
        <v/>
      </c>
      <c r="H666" s="112" t="str">
        <f>IF(preDEL!$AG666,IFERROR(0/0,""),preDEL!H666)</f>
        <v/>
      </c>
      <c r="I666" s="105" t="str">
        <f>IF(preDEL!$AG666,IFERROR(0/0,""),preDEL!I666)</f>
        <v/>
      </c>
      <c r="J666" s="105" t="str">
        <f>IF(preDEL!$AG666,IFERROR(0/0,""),preDEL!J666)</f>
        <v/>
      </c>
      <c r="K666" s="105" t="str">
        <f>IF(preDEL!$AG666,IFERROR(0/0,""),preDEL!K666)</f>
        <v>Negative</v>
      </c>
      <c r="L666" s="170">
        <f>IF(preDEL!$AG666,IFERROR(0/0,""),preDEL!L666)</f>
        <v>44623</v>
      </c>
      <c r="M666" s="171">
        <f>IF(preDEL!$AG666,IFERROR(0/0,""),preDEL!M666)</f>
        <v>0.4605902778</v>
      </c>
      <c r="N666" s="112" t="str">
        <f>IF(preDEL!$AG666,IFERROR(0/0,""),preDEL!N666)</f>
        <v/>
      </c>
      <c r="O666" s="112" t="str">
        <f>IF(preDEL!$AG666,IFERROR(0/0,""),preDEL!O666)</f>
        <v/>
      </c>
      <c r="P666" s="110" t="b">
        <f>IF(preDEL!$AG666,IFERROR(0/0,""),preDEL!P666)</f>
        <v>0</v>
      </c>
      <c r="Q666" s="110" t="str">
        <f>IF(preDEL!$AG666,IFERROR(0/0,""),preDEL!Q666)</f>
        <v>Result</v>
      </c>
      <c r="R666" s="104" t="b">
        <f>IF(preDEL!$AG666,IFERROR(0/0,""),preDEL!R666)</f>
        <v>1</v>
      </c>
      <c r="S666" s="104">
        <f>IF(preDEL!$AG666,IFERROR(0/0,""),preDEL!S666)</f>
        <v>1</v>
      </c>
      <c r="T666" s="110" t="str">
        <f>IF(preDEL!$AG666,IFERROR(0/0,""),preDEL!T666)</f>
        <v/>
      </c>
      <c r="U666" s="112" t="str">
        <f>IF(preDEL!$AG666,IFERROR(0/0,""),preDEL!U666)</f>
        <v/>
      </c>
      <c r="V666" s="105" t="str">
        <f>IF(preDEL!$AG666,IFERROR(0/0,""),preDEL!V666)</f>
        <v/>
      </c>
      <c r="W666" s="112" t="str">
        <f>IF(preDEL!$AG666,IFERROR(0/0,""),preDEL!W666)</f>
        <v/>
      </c>
      <c r="X666" s="104" t="b">
        <f>IF(preDEL!$AG666,IFERROR(0/0,""),preDEL!X666)</f>
        <v>0</v>
      </c>
      <c r="Y666" s="110" t="b">
        <f>IF(preDEL!$AG666,IFERROR(0/0,""),preDEL!Y666)</f>
        <v>0</v>
      </c>
      <c r="Z666" s="105" t="str">
        <f>IF(preDEL!$AG666,IFERROR(0/0,""),preDEL!Z666)</f>
        <v/>
      </c>
      <c r="AA666" s="110" t="b">
        <f>IF(preDEL!$AG666,IFERROR(0/0,""),preDEL!AA666)</f>
        <v>0</v>
      </c>
      <c r="AB666" s="110" t="b">
        <f>IF(preDEL!$AG666,IFERROR(0/0,""),preDEL!AB666)</f>
        <v>0</v>
      </c>
      <c r="AC666" s="172">
        <f>IF(preDEL!$AG666,IFERROR(0/0,""),preDEL!AC666)</f>
        <v>152</v>
      </c>
      <c r="AD666" s="104" t="b">
        <f>IF(preDEL!$AG666,IFERROR(0/0,""),preDEL!AD666)</f>
        <v>0</v>
      </c>
      <c r="AE666" s="173">
        <f>IF(preDEL!$AG666,IFERROR(0/0,""),preDEL!AE666)</f>
        <v>212.1666667</v>
      </c>
      <c r="AF666" s="110" t="b">
        <f>IF(preDEL!$AG666,IFERROR(0/0,""),preDEL!AF666)</f>
        <v>0</v>
      </c>
      <c r="AG666" s="110" t="b">
        <f>IF(preDEL!$AG666,IFERROR(0/0,""),preDEL!AG666)</f>
        <v>0</v>
      </c>
      <c r="AH666" s="104" t="str">
        <f>IF(preDEL!$AG666,IFERROR(0/0,""),preDEL!AH666)</f>
        <v/>
      </c>
      <c r="AI666" s="105" t="str">
        <f>IF(preDEL!$AG666,IFERROR(0/0,""),preDEL!AI666)</f>
        <v/>
      </c>
      <c r="AJ666" s="112" t="str">
        <f>IF(preDEL!$AG666,IFERROR(0/0,""),preDEL!AJ666)</f>
        <v/>
      </c>
      <c r="AK666" s="105" t="str">
        <f>IF(preDEL!$AG666,IFERROR(0/0,""),preDEL!AK666)</f>
        <v>Negative</v>
      </c>
      <c r="AL666" s="112" t="str">
        <f>IF(preDEL!$AG666,IFERROR(0/0,""),preDEL!AL666)</f>
        <v/>
      </c>
      <c r="AM666" s="112" t="str">
        <f>IF(preDEL!$AG666,IFERROR(0/0,""),preDEL!AM666)</f>
        <v>SpBEND816435</v>
      </c>
      <c r="AN666" s="112" t="str">
        <f>IF(preDEL!$AG666,IFERROR(0/0,""),preDEL!AN666)</f>
        <v>BEND139093</v>
      </c>
      <c r="AO666" s="112" t="str">
        <f>IF(preDEL!$AG666,IFERROR(0/0,""),preDEL!AO666)</f>
        <v/>
      </c>
      <c r="AP666" s="112" t="str">
        <f>IF(preDEL!$AG666,IFERROR(0/0,""),preDEL!AP666)</f>
        <v/>
      </c>
      <c r="AQ666" s="112" t="str">
        <f>IF(preDEL!$AG666,IFERROR(0/0,""),preDEL!AQ666)</f>
        <v/>
      </c>
      <c r="AR666" s="112" t="str">
        <f>IF(preDEL!$AG666,IFERROR(0/0,""),preDEL!AR666)</f>
        <v/>
      </c>
      <c r="AS666" s="112" t="str">
        <f>IF(preDEL!$AG666,IFERROR(0/0,""),preDEL!AS666)</f>
        <v/>
      </c>
      <c r="AT666" s="112" t="b">
        <f>IF(preDEL!$AG666,IFERROR(0/0,""),preDEL!AT666)</f>
        <v>0</v>
      </c>
      <c r="AU666" s="112" t="str">
        <f>IF(preDEL!$AG666,IFERROR(0/0,""),preDEL!AU666)</f>
        <v/>
      </c>
      <c r="AV666" s="112" t="str">
        <f>IF(preDEL!$AG666,IFERROR(0/0,""),preDEL!AV666)</f>
        <v/>
      </c>
      <c r="AW666" s="112" t="str">
        <f>IF(preDEL!$AG666,IFERROR(0/0,""),preDEL!AW666)</f>
        <v/>
      </c>
      <c r="AX666" s="112" t="str">
        <f>IF(preDEL!$AG666,IFERROR(0/0,""),preDEL!AX666)</f>
        <v/>
      </c>
      <c r="AY666" s="112" t="str">
        <f>IF(preDEL!$AG666,IFERROR(0/0,""),preDEL!AY666)</f>
        <v/>
      </c>
      <c r="AZ666" s="174"/>
      <c r="BA666" s="174"/>
      <c r="BB666" s="174"/>
      <c r="BC666" s="174"/>
      <c r="BD666" s="174"/>
      <c r="BE666" s="174"/>
      <c r="BF666" s="174"/>
      <c r="BG666" s="174"/>
      <c r="BH666" s="174"/>
      <c r="BI666" s="174"/>
      <c r="BJ666" s="174"/>
      <c r="BK666" s="174"/>
      <c r="BL666" s="174"/>
      <c r="BM666" s="174"/>
      <c r="BN666" s="174"/>
      <c r="BO666" s="174"/>
      <c r="BP666" s="174"/>
      <c r="BQ666" s="174"/>
      <c r="BR666" s="174"/>
      <c r="BS666" s="174"/>
      <c r="BT666" s="174"/>
      <c r="BU666" s="174"/>
      <c r="BV666" s="174"/>
      <c r="BW666" s="174"/>
      <c r="BX666" s="174"/>
      <c r="BY666" s="174"/>
      <c r="BZ666" s="174"/>
      <c r="CA666" s="174"/>
      <c r="CB666" s="174"/>
      <c r="CC666" s="174"/>
      <c r="CD666" s="174"/>
    </row>
    <row r="667">
      <c r="A667" s="105" t="str">
        <f>IF(preDEL!$AG667,IFERROR(0/0,""),preDEL!A667)</f>
        <v>FM2078</v>
      </c>
      <c r="B667" s="170">
        <f>IF(preDEL!$AG667,IFERROR(0/0,""),preDEL!B667)</f>
        <v>44623</v>
      </c>
      <c r="C667" s="171">
        <f>IF(preDEL!$AG667,IFERROR(0/0,""),preDEL!C667)</f>
        <v>0.3156481481</v>
      </c>
      <c r="D667" s="105" t="str">
        <f>IF(preDEL!$AG667,IFERROR(0/0,""),preDEL!D667)</f>
        <v/>
      </c>
      <c r="E667" s="105" t="str">
        <f>IF(preDEL!$AG667,IFERROR(0/0,""),preDEL!E667)</f>
        <v/>
      </c>
      <c r="F667" s="112" t="str">
        <f>IF(preDEL!$AG667,IFERROR(0/0,""),preDEL!F667)</f>
        <v/>
      </c>
      <c r="G667" s="112" t="str">
        <f>IF(preDEL!$AG667,IFERROR(0/0,""),preDEL!G667)</f>
        <v/>
      </c>
      <c r="H667" s="112" t="str">
        <f>IF(preDEL!$AG667,IFERROR(0/0,""),preDEL!H667)</f>
        <v/>
      </c>
      <c r="I667" s="105" t="str">
        <f>IF(preDEL!$AG667,IFERROR(0/0,""),preDEL!I667)</f>
        <v/>
      </c>
      <c r="J667" s="105" t="str">
        <f>IF(preDEL!$AG667,IFERROR(0/0,""),preDEL!J667)</f>
        <v/>
      </c>
      <c r="K667" s="105" t="str">
        <f>IF(preDEL!$AG667,IFERROR(0/0,""),preDEL!K667)</f>
        <v>Negative</v>
      </c>
      <c r="L667" s="170">
        <f>IF(preDEL!$AG667,IFERROR(0/0,""),preDEL!L667)</f>
        <v>44623</v>
      </c>
      <c r="M667" s="171">
        <f>IF(preDEL!$AG667,IFERROR(0/0,""),preDEL!M667)</f>
        <v>0.4605902778</v>
      </c>
      <c r="N667" s="112" t="str">
        <f>IF(preDEL!$AG667,IFERROR(0/0,""),preDEL!N667)</f>
        <v/>
      </c>
      <c r="O667" s="112" t="str">
        <f>IF(preDEL!$AG667,IFERROR(0/0,""),preDEL!O667)</f>
        <v/>
      </c>
      <c r="P667" s="110" t="b">
        <f>IF(preDEL!$AG667,IFERROR(0/0,""),preDEL!P667)</f>
        <v>0</v>
      </c>
      <c r="Q667" s="110" t="str">
        <f>IF(preDEL!$AG667,IFERROR(0/0,""),preDEL!Q667)</f>
        <v>Result</v>
      </c>
      <c r="R667" s="104" t="b">
        <f>IF(preDEL!$AG667,IFERROR(0/0,""),preDEL!R667)</f>
        <v>1</v>
      </c>
      <c r="S667" s="104">
        <f>IF(preDEL!$AG667,IFERROR(0/0,""),preDEL!S667)</f>
        <v>1</v>
      </c>
      <c r="T667" s="110" t="str">
        <f>IF(preDEL!$AG667,IFERROR(0/0,""),preDEL!T667)</f>
        <v/>
      </c>
      <c r="U667" s="112" t="str">
        <f>IF(preDEL!$AG667,IFERROR(0/0,""),preDEL!U667)</f>
        <v/>
      </c>
      <c r="V667" s="105" t="str">
        <f>IF(preDEL!$AG667,IFERROR(0/0,""),preDEL!V667)</f>
        <v/>
      </c>
      <c r="W667" s="112" t="str">
        <f>IF(preDEL!$AG667,IFERROR(0/0,""),preDEL!W667)</f>
        <v/>
      </c>
      <c r="X667" s="104" t="b">
        <f>IF(preDEL!$AG667,IFERROR(0/0,""),preDEL!X667)</f>
        <v>0</v>
      </c>
      <c r="Y667" s="110" t="b">
        <f>IF(preDEL!$AG667,IFERROR(0/0,""),preDEL!Y667)</f>
        <v>0</v>
      </c>
      <c r="Z667" s="105" t="str">
        <f>IF(preDEL!$AG667,IFERROR(0/0,""),preDEL!Z667)</f>
        <v/>
      </c>
      <c r="AA667" s="110" t="b">
        <f>IF(preDEL!$AG667,IFERROR(0/0,""),preDEL!AA667)</f>
        <v>0</v>
      </c>
      <c r="AB667" s="110" t="b">
        <f>IF(preDEL!$AG667,IFERROR(0/0,""),preDEL!AB667)</f>
        <v>0</v>
      </c>
      <c r="AC667" s="172">
        <f>IF(preDEL!$AG667,IFERROR(0/0,""),preDEL!AC667)</f>
        <v>151</v>
      </c>
      <c r="AD667" s="104" t="b">
        <f>IF(preDEL!$AG667,IFERROR(0/0,""),preDEL!AD667)</f>
        <v>0</v>
      </c>
      <c r="AE667" s="173">
        <f>IF(preDEL!$AG667,IFERROR(0/0,""),preDEL!AE667)</f>
        <v>208.7166667</v>
      </c>
      <c r="AF667" s="110" t="b">
        <f>IF(preDEL!$AG667,IFERROR(0/0,""),preDEL!AF667)</f>
        <v>0</v>
      </c>
      <c r="AG667" s="110" t="b">
        <f>IF(preDEL!$AG667,IFERROR(0/0,""),preDEL!AG667)</f>
        <v>0</v>
      </c>
      <c r="AH667" s="104" t="str">
        <f>IF(preDEL!$AG667,IFERROR(0/0,""),preDEL!AH667)</f>
        <v/>
      </c>
      <c r="AI667" s="105" t="str">
        <f>IF(preDEL!$AG667,IFERROR(0/0,""),preDEL!AI667)</f>
        <v/>
      </c>
      <c r="AJ667" s="112" t="str">
        <f>IF(preDEL!$AG667,IFERROR(0/0,""),preDEL!AJ667)</f>
        <v/>
      </c>
      <c r="AK667" s="105" t="str">
        <f>IF(preDEL!$AG667,IFERROR(0/0,""),preDEL!AK667)</f>
        <v>Negative</v>
      </c>
      <c r="AL667" s="112" t="str">
        <f>IF(preDEL!$AG667,IFERROR(0/0,""),preDEL!AL667)</f>
        <v/>
      </c>
      <c r="AM667" s="112" t="str">
        <f>IF(preDEL!$AG667,IFERROR(0/0,""),preDEL!AM667)</f>
        <v>SpBEND406814</v>
      </c>
      <c r="AN667" s="112" t="str">
        <f>IF(preDEL!$AG667,IFERROR(0/0,""),preDEL!AN667)</f>
        <v>BEND273259</v>
      </c>
      <c r="AO667" s="112" t="str">
        <f>IF(preDEL!$AG667,IFERROR(0/0,""),preDEL!AO667)</f>
        <v/>
      </c>
      <c r="AP667" s="112" t="str">
        <f>IF(preDEL!$AG667,IFERROR(0/0,""),preDEL!AP667)</f>
        <v/>
      </c>
      <c r="AQ667" s="112" t="str">
        <f>IF(preDEL!$AG667,IFERROR(0/0,""),preDEL!AQ667)</f>
        <v/>
      </c>
      <c r="AR667" s="112" t="str">
        <f>IF(preDEL!$AG667,IFERROR(0/0,""),preDEL!AR667)</f>
        <v/>
      </c>
      <c r="AS667" s="112" t="str">
        <f>IF(preDEL!$AG667,IFERROR(0/0,""),preDEL!AS667)</f>
        <v/>
      </c>
      <c r="AT667" s="112" t="b">
        <f>IF(preDEL!$AG667,IFERROR(0/0,""),preDEL!AT667)</f>
        <v>0</v>
      </c>
      <c r="AU667" s="112" t="str">
        <f>IF(preDEL!$AG667,IFERROR(0/0,""),preDEL!AU667)</f>
        <v/>
      </c>
      <c r="AV667" s="112" t="str">
        <f>IF(preDEL!$AG667,IFERROR(0/0,""),preDEL!AV667)</f>
        <v/>
      </c>
      <c r="AW667" s="112" t="str">
        <f>IF(preDEL!$AG667,IFERROR(0/0,""),preDEL!AW667)</f>
        <v/>
      </c>
      <c r="AX667" s="112" t="str">
        <f>IF(preDEL!$AG667,IFERROR(0/0,""),preDEL!AX667)</f>
        <v/>
      </c>
      <c r="AY667" s="112" t="str">
        <f>IF(preDEL!$AG667,IFERROR(0/0,""),preDEL!AY667)</f>
        <v/>
      </c>
      <c r="AZ667" s="174"/>
      <c r="BA667" s="174"/>
      <c r="BB667" s="174"/>
      <c r="BC667" s="174"/>
      <c r="BD667" s="174"/>
      <c r="BE667" s="174"/>
      <c r="BF667" s="174"/>
      <c r="BG667" s="174"/>
      <c r="BH667" s="174"/>
      <c r="BI667" s="174"/>
      <c r="BJ667" s="174"/>
      <c r="BK667" s="174"/>
      <c r="BL667" s="174"/>
      <c r="BM667" s="174"/>
      <c r="BN667" s="174"/>
      <c r="BO667" s="174"/>
      <c r="BP667" s="174"/>
      <c r="BQ667" s="174"/>
      <c r="BR667" s="174"/>
      <c r="BS667" s="174"/>
      <c r="BT667" s="174"/>
      <c r="BU667" s="174"/>
      <c r="BV667" s="174"/>
      <c r="BW667" s="174"/>
      <c r="BX667" s="174"/>
      <c r="BY667" s="174"/>
      <c r="BZ667" s="174"/>
      <c r="CA667" s="174"/>
      <c r="CB667" s="174"/>
      <c r="CC667" s="174"/>
      <c r="CD667" s="174"/>
    </row>
    <row r="668">
      <c r="A668" s="105" t="str">
        <f>IF(preDEL!$AG668,IFERROR(0/0,""),preDEL!A668)</f>
        <v>FM525</v>
      </c>
      <c r="B668" s="170">
        <f>IF(preDEL!$AG668,IFERROR(0/0,""),preDEL!B668)</f>
        <v>44623</v>
      </c>
      <c r="C668" s="171">
        <f>IF(preDEL!$AG668,IFERROR(0/0,""),preDEL!C668)</f>
        <v>0.3174074074</v>
      </c>
      <c r="D668" s="105" t="str">
        <f>IF(preDEL!$AG668,IFERROR(0/0,""),preDEL!D668)</f>
        <v/>
      </c>
      <c r="E668" s="105" t="str">
        <f>IF(preDEL!$AG668,IFERROR(0/0,""),preDEL!E668)</f>
        <v/>
      </c>
      <c r="F668" s="112" t="str">
        <f>IF(preDEL!$AG668,IFERROR(0/0,""),preDEL!F668)</f>
        <v/>
      </c>
      <c r="G668" s="112" t="str">
        <f>IF(preDEL!$AG668,IFERROR(0/0,""),preDEL!G668)</f>
        <v/>
      </c>
      <c r="H668" s="112" t="str">
        <f>IF(preDEL!$AG668,IFERROR(0/0,""),preDEL!H668)</f>
        <v/>
      </c>
      <c r="I668" s="105" t="str">
        <f>IF(preDEL!$AG668,IFERROR(0/0,""),preDEL!I668)</f>
        <v/>
      </c>
      <c r="J668" s="105" t="str">
        <f>IF(preDEL!$AG668,IFERROR(0/0,""),preDEL!J668)</f>
        <v/>
      </c>
      <c r="K668" s="105" t="str">
        <f>IF(preDEL!$AG668,IFERROR(0/0,""),preDEL!K668)</f>
        <v>Negative</v>
      </c>
      <c r="L668" s="170">
        <f>IF(preDEL!$AG668,IFERROR(0/0,""),preDEL!L668)</f>
        <v>44623</v>
      </c>
      <c r="M668" s="171">
        <f>IF(preDEL!$AG668,IFERROR(0/0,""),preDEL!M668)</f>
        <v>0.4605902778</v>
      </c>
      <c r="N668" s="112" t="str">
        <f>IF(preDEL!$AG668,IFERROR(0/0,""),preDEL!N668)</f>
        <v/>
      </c>
      <c r="O668" s="112" t="str">
        <f>IF(preDEL!$AG668,IFERROR(0/0,""),preDEL!O668)</f>
        <v/>
      </c>
      <c r="P668" s="110" t="b">
        <f>IF(preDEL!$AG668,IFERROR(0/0,""),preDEL!P668)</f>
        <v>0</v>
      </c>
      <c r="Q668" s="110" t="str">
        <f>IF(preDEL!$AG668,IFERROR(0/0,""),preDEL!Q668)</f>
        <v>Result</v>
      </c>
      <c r="R668" s="104" t="b">
        <f>IF(preDEL!$AG668,IFERROR(0/0,""),preDEL!R668)</f>
        <v>1</v>
      </c>
      <c r="S668" s="104">
        <f>IF(preDEL!$AG668,IFERROR(0/0,""),preDEL!S668)</f>
        <v>1</v>
      </c>
      <c r="T668" s="110" t="str">
        <f>IF(preDEL!$AG668,IFERROR(0/0,""),preDEL!T668)</f>
        <v/>
      </c>
      <c r="U668" s="112" t="str">
        <f>IF(preDEL!$AG668,IFERROR(0/0,""),preDEL!U668)</f>
        <v/>
      </c>
      <c r="V668" s="105" t="str">
        <f>IF(preDEL!$AG668,IFERROR(0/0,""),preDEL!V668)</f>
        <v/>
      </c>
      <c r="W668" s="112" t="str">
        <f>IF(preDEL!$AG668,IFERROR(0/0,""),preDEL!W668)</f>
        <v/>
      </c>
      <c r="X668" s="104" t="b">
        <f>IF(preDEL!$AG668,IFERROR(0/0,""),preDEL!X668)</f>
        <v>0</v>
      </c>
      <c r="Y668" s="110" t="b">
        <f>IF(preDEL!$AG668,IFERROR(0/0,""),preDEL!Y668)</f>
        <v>0</v>
      </c>
      <c r="Z668" s="105" t="str">
        <f>IF(preDEL!$AG668,IFERROR(0/0,""),preDEL!Z668)</f>
        <v/>
      </c>
      <c r="AA668" s="110" t="b">
        <f>IF(preDEL!$AG668,IFERROR(0/0,""),preDEL!AA668)</f>
        <v>0</v>
      </c>
      <c r="AB668" s="110" t="b">
        <f>IF(preDEL!$AG668,IFERROR(0/0,""),preDEL!AB668)</f>
        <v>0</v>
      </c>
      <c r="AC668" s="172">
        <f>IF(preDEL!$AG668,IFERROR(0/0,""),preDEL!AC668)</f>
        <v>150</v>
      </c>
      <c r="AD668" s="104" t="b">
        <f>IF(preDEL!$AG668,IFERROR(0/0,""),preDEL!AD668)</f>
        <v>0</v>
      </c>
      <c r="AE668" s="173">
        <f>IF(preDEL!$AG668,IFERROR(0/0,""),preDEL!AE668)</f>
        <v>206.1833333</v>
      </c>
      <c r="AF668" s="110" t="b">
        <f>IF(preDEL!$AG668,IFERROR(0/0,""),preDEL!AF668)</f>
        <v>0</v>
      </c>
      <c r="AG668" s="110" t="b">
        <f>IF(preDEL!$AG668,IFERROR(0/0,""),preDEL!AG668)</f>
        <v>0</v>
      </c>
      <c r="AH668" s="104" t="str">
        <f>IF(preDEL!$AG668,IFERROR(0/0,""),preDEL!AH668)</f>
        <v/>
      </c>
      <c r="AI668" s="105" t="str">
        <f>IF(preDEL!$AG668,IFERROR(0/0,""),preDEL!AI668)</f>
        <v/>
      </c>
      <c r="AJ668" s="112" t="str">
        <f>IF(preDEL!$AG668,IFERROR(0/0,""),preDEL!AJ668)</f>
        <v/>
      </c>
      <c r="AK668" s="105" t="str">
        <f>IF(preDEL!$AG668,IFERROR(0/0,""),preDEL!AK668)</f>
        <v>Negative</v>
      </c>
      <c r="AL668" s="112" t="str">
        <f>IF(preDEL!$AG668,IFERROR(0/0,""),preDEL!AL668)</f>
        <v/>
      </c>
      <c r="AM668" s="112" t="str">
        <f>IF(preDEL!$AG668,IFERROR(0/0,""),preDEL!AM668)</f>
        <v>SpBEND436062</v>
      </c>
      <c r="AN668" s="112" t="str">
        <f>IF(preDEL!$AG668,IFERROR(0/0,""),preDEL!AN668)</f>
        <v>BEND190541</v>
      </c>
      <c r="AO668" s="112" t="str">
        <f>IF(preDEL!$AG668,IFERROR(0/0,""),preDEL!AO668)</f>
        <v/>
      </c>
      <c r="AP668" s="112" t="str">
        <f>IF(preDEL!$AG668,IFERROR(0/0,""),preDEL!AP668)</f>
        <v/>
      </c>
      <c r="AQ668" s="112" t="str">
        <f>IF(preDEL!$AG668,IFERROR(0/0,""),preDEL!AQ668)</f>
        <v/>
      </c>
      <c r="AR668" s="112" t="str">
        <f>IF(preDEL!$AG668,IFERROR(0/0,""),preDEL!AR668)</f>
        <v/>
      </c>
      <c r="AS668" s="112" t="str">
        <f>IF(preDEL!$AG668,IFERROR(0/0,""),preDEL!AS668)</f>
        <v/>
      </c>
      <c r="AT668" s="112" t="b">
        <f>IF(preDEL!$AG668,IFERROR(0/0,""),preDEL!AT668)</f>
        <v>0</v>
      </c>
      <c r="AU668" s="112" t="str">
        <f>IF(preDEL!$AG668,IFERROR(0/0,""),preDEL!AU668)</f>
        <v/>
      </c>
      <c r="AV668" s="112" t="str">
        <f>IF(preDEL!$AG668,IFERROR(0/0,""),preDEL!AV668)</f>
        <v/>
      </c>
      <c r="AW668" s="112" t="str">
        <f>IF(preDEL!$AG668,IFERROR(0/0,""),preDEL!AW668)</f>
        <v/>
      </c>
      <c r="AX668" s="112" t="str">
        <f>IF(preDEL!$AG668,IFERROR(0/0,""),preDEL!AX668)</f>
        <v/>
      </c>
      <c r="AY668" s="112" t="str">
        <f>IF(preDEL!$AG668,IFERROR(0/0,""),preDEL!AY668)</f>
        <v/>
      </c>
      <c r="AZ668" s="174"/>
      <c r="BA668" s="174"/>
      <c r="BB668" s="174"/>
      <c r="BC668" s="174"/>
      <c r="BD668" s="174"/>
      <c r="BE668" s="174"/>
      <c r="BF668" s="174"/>
      <c r="BG668" s="174"/>
      <c r="BH668" s="174"/>
      <c r="BI668" s="174"/>
      <c r="BJ668" s="174"/>
      <c r="BK668" s="174"/>
      <c r="BL668" s="174"/>
      <c r="BM668" s="174"/>
      <c r="BN668" s="174"/>
      <c r="BO668" s="174"/>
      <c r="BP668" s="174"/>
      <c r="BQ668" s="174"/>
      <c r="BR668" s="174"/>
      <c r="BS668" s="174"/>
      <c r="BT668" s="174"/>
      <c r="BU668" s="174"/>
      <c r="BV668" s="174"/>
      <c r="BW668" s="174"/>
      <c r="BX668" s="174"/>
      <c r="BY668" s="174"/>
      <c r="BZ668" s="174"/>
      <c r="CA668" s="174"/>
      <c r="CB668" s="174"/>
      <c r="CC668" s="174"/>
      <c r="CD668" s="174"/>
    </row>
    <row r="669">
      <c r="A669" s="105" t="str">
        <f>IF(preDEL!$AG669,IFERROR(0/0,""),preDEL!A669)</f>
        <v>FM2085</v>
      </c>
      <c r="B669" s="170">
        <f>IF(preDEL!$AG669,IFERROR(0/0,""),preDEL!B669)</f>
        <v>44623</v>
      </c>
      <c r="C669" s="171">
        <f>IF(preDEL!$AG669,IFERROR(0/0,""),preDEL!C669)</f>
        <v>0.3192824074</v>
      </c>
      <c r="D669" s="105" t="str">
        <f>IF(preDEL!$AG669,IFERROR(0/0,""),preDEL!D669)</f>
        <v/>
      </c>
      <c r="E669" s="105" t="str">
        <f>IF(preDEL!$AG669,IFERROR(0/0,""),preDEL!E669)</f>
        <v/>
      </c>
      <c r="F669" s="112" t="str">
        <f>IF(preDEL!$AG669,IFERROR(0/0,""),preDEL!F669)</f>
        <v/>
      </c>
      <c r="G669" s="112" t="str">
        <f>IF(preDEL!$AG669,IFERROR(0/0,""),preDEL!G669)</f>
        <v/>
      </c>
      <c r="H669" s="112" t="str">
        <f>IF(preDEL!$AG669,IFERROR(0/0,""),preDEL!H669)</f>
        <v/>
      </c>
      <c r="I669" s="105" t="str">
        <f>IF(preDEL!$AG669,IFERROR(0/0,""),preDEL!I669)</f>
        <v/>
      </c>
      <c r="J669" s="105" t="str">
        <f>IF(preDEL!$AG669,IFERROR(0/0,""),preDEL!J669)</f>
        <v/>
      </c>
      <c r="K669" s="105" t="str">
        <f>IF(preDEL!$AG669,IFERROR(0/0,""),preDEL!K669)</f>
        <v>Negative</v>
      </c>
      <c r="L669" s="170">
        <f>IF(preDEL!$AG669,IFERROR(0/0,""),preDEL!L669)</f>
        <v>44623</v>
      </c>
      <c r="M669" s="171">
        <f>IF(preDEL!$AG669,IFERROR(0/0,""),preDEL!M669)</f>
        <v>0.4605902778</v>
      </c>
      <c r="N669" s="112" t="str">
        <f>IF(preDEL!$AG669,IFERROR(0/0,""),preDEL!N669)</f>
        <v/>
      </c>
      <c r="O669" s="112" t="str">
        <f>IF(preDEL!$AG669,IFERROR(0/0,""),preDEL!O669)</f>
        <v/>
      </c>
      <c r="P669" s="110" t="b">
        <f>IF(preDEL!$AG669,IFERROR(0/0,""),preDEL!P669)</f>
        <v>0</v>
      </c>
      <c r="Q669" s="110" t="str">
        <f>IF(preDEL!$AG669,IFERROR(0/0,""),preDEL!Q669)</f>
        <v>Result</v>
      </c>
      <c r="R669" s="104" t="b">
        <f>IF(preDEL!$AG669,IFERROR(0/0,""),preDEL!R669)</f>
        <v>1</v>
      </c>
      <c r="S669" s="104">
        <f>IF(preDEL!$AG669,IFERROR(0/0,""),preDEL!S669)</f>
        <v>1</v>
      </c>
      <c r="T669" s="110" t="str">
        <f>IF(preDEL!$AG669,IFERROR(0/0,""),preDEL!T669)</f>
        <v/>
      </c>
      <c r="U669" s="112" t="str">
        <f>IF(preDEL!$AG669,IFERROR(0/0,""),preDEL!U669)</f>
        <v/>
      </c>
      <c r="V669" s="105" t="str">
        <f>IF(preDEL!$AG669,IFERROR(0/0,""),preDEL!V669)</f>
        <v/>
      </c>
      <c r="W669" s="112" t="str">
        <f>IF(preDEL!$AG669,IFERROR(0/0,""),preDEL!W669)</f>
        <v/>
      </c>
      <c r="X669" s="104" t="b">
        <f>IF(preDEL!$AG669,IFERROR(0/0,""),preDEL!X669)</f>
        <v>0</v>
      </c>
      <c r="Y669" s="110" t="b">
        <f>IF(preDEL!$AG669,IFERROR(0/0,""),preDEL!Y669)</f>
        <v>0</v>
      </c>
      <c r="Z669" s="105" t="str">
        <f>IF(preDEL!$AG669,IFERROR(0/0,""),preDEL!Z669)</f>
        <v/>
      </c>
      <c r="AA669" s="110" t="b">
        <f>IF(preDEL!$AG669,IFERROR(0/0,""),preDEL!AA669)</f>
        <v>0</v>
      </c>
      <c r="AB669" s="110" t="b">
        <f>IF(preDEL!$AG669,IFERROR(0/0,""),preDEL!AB669)</f>
        <v>0</v>
      </c>
      <c r="AC669" s="172">
        <f>IF(preDEL!$AG669,IFERROR(0/0,""),preDEL!AC669)</f>
        <v>149</v>
      </c>
      <c r="AD669" s="104" t="b">
        <f>IF(preDEL!$AG669,IFERROR(0/0,""),preDEL!AD669)</f>
        <v>0</v>
      </c>
      <c r="AE669" s="173">
        <f>IF(preDEL!$AG669,IFERROR(0/0,""),preDEL!AE669)</f>
        <v>203.4833333</v>
      </c>
      <c r="AF669" s="110" t="b">
        <f>IF(preDEL!$AG669,IFERROR(0/0,""),preDEL!AF669)</f>
        <v>0</v>
      </c>
      <c r="AG669" s="110" t="b">
        <f>IF(preDEL!$AG669,IFERROR(0/0,""),preDEL!AG669)</f>
        <v>0</v>
      </c>
      <c r="AH669" s="104" t="str">
        <f>IF(preDEL!$AG669,IFERROR(0/0,""),preDEL!AH669)</f>
        <v/>
      </c>
      <c r="AI669" s="105" t="str">
        <f>IF(preDEL!$AG669,IFERROR(0/0,""),preDEL!AI669)</f>
        <v/>
      </c>
      <c r="AJ669" s="112" t="str">
        <f>IF(preDEL!$AG669,IFERROR(0/0,""),preDEL!AJ669)</f>
        <v/>
      </c>
      <c r="AK669" s="105" t="str">
        <f>IF(preDEL!$AG669,IFERROR(0/0,""),preDEL!AK669)</f>
        <v>Negative</v>
      </c>
      <c r="AL669" s="112" t="str">
        <f>IF(preDEL!$AG669,IFERROR(0/0,""),preDEL!AL669)</f>
        <v/>
      </c>
      <c r="AM669" s="112" t="str">
        <f>IF(preDEL!$AG669,IFERROR(0/0,""),preDEL!AM669)</f>
        <v>SpBEND319298</v>
      </c>
      <c r="AN669" s="112" t="str">
        <f>IF(preDEL!$AG669,IFERROR(0/0,""),preDEL!AN669)</f>
        <v>BEND966643</v>
      </c>
      <c r="AO669" s="112" t="str">
        <f>IF(preDEL!$AG669,IFERROR(0/0,""),preDEL!AO669)</f>
        <v/>
      </c>
      <c r="AP669" s="112" t="str">
        <f>IF(preDEL!$AG669,IFERROR(0/0,""),preDEL!AP669)</f>
        <v/>
      </c>
      <c r="AQ669" s="112" t="str">
        <f>IF(preDEL!$AG669,IFERROR(0/0,""),preDEL!AQ669)</f>
        <v/>
      </c>
      <c r="AR669" s="112" t="str">
        <f>IF(preDEL!$AG669,IFERROR(0/0,""),preDEL!AR669)</f>
        <v/>
      </c>
      <c r="AS669" s="112" t="str">
        <f>IF(preDEL!$AG669,IFERROR(0/0,""),preDEL!AS669)</f>
        <v/>
      </c>
      <c r="AT669" s="112" t="b">
        <f>IF(preDEL!$AG669,IFERROR(0/0,""),preDEL!AT669)</f>
        <v>0</v>
      </c>
      <c r="AU669" s="112" t="str">
        <f>IF(preDEL!$AG669,IFERROR(0/0,""),preDEL!AU669)</f>
        <v/>
      </c>
      <c r="AV669" s="112" t="str">
        <f>IF(preDEL!$AG669,IFERROR(0/0,""),preDEL!AV669)</f>
        <v/>
      </c>
      <c r="AW669" s="112" t="str">
        <f>IF(preDEL!$AG669,IFERROR(0/0,""),preDEL!AW669)</f>
        <v/>
      </c>
      <c r="AX669" s="112" t="str">
        <f>IF(preDEL!$AG669,IFERROR(0/0,""),preDEL!AX669)</f>
        <v/>
      </c>
      <c r="AY669" s="112" t="str">
        <f>IF(preDEL!$AG669,IFERROR(0/0,""),preDEL!AY669)</f>
        <v/>
      </c>
      <c r="AZ669" s="174"/>
      <c r="BA669" s="174"/>
      <c r="BB669" s="174"/>
      <c r="BC669" s="174"/>
      <c r="BD669" s="174"/>
      <c r="BE669" s="174"/>
      <c r="BF669" s="174"/>
      <c r="BG669" s="174"/>
      <c r="BH669" s="174"/>
      <c r="BI669" s="174"/>
      <c r="BJ669" s="174"/>
      <c r="BK669" s="174"/>
      <c r="BL669" s="174"/>
      <c r="BM669" s="174"/>
      <c r="BN669" s="174"/>
      <c r="BO669" s="174"/>
      <c r="BP669" s="174"/>
      <c r="BQ669" s="174"/>
      <c r="BR669" s="174"/>
      <c r="BS669" s="174"/>
      <c r="BT669" s="174"/>
      <c r="BU669" s="174"/>
      <c r="BV669" s="174"/>
      <c r="BW669" s="174"/>
      <c r="BX669" s="174"/>
      <c r="BY669" s="174"/>
      <c r="BZ669" s="174"/>
      <c r="CA669" s="174"/>
      <c r="CB669" s="174"/>
      <c r="CC669" s="174"/>
      <c r="CD669" s="174"/>
    </row>
    <row r="670">
      <c r="A670" s="105" t="str">
        <f>IF(preDEL!$AG670,IFERROR(0/0,""),preDEL!A670)</f>
        <v>FM802</v>
      </c>
      <c r="B670" s="170">
        <f>IF(preDEL!$AG670,IFERROR(0/0,""),preDEL!B670)</f>
        <v>44623</v>
      </c>
      <c r="C670" s="171">
        <f>IF(preDEL!$AG670,IFERROR(0/0,""),preDEL!C670)</f>
        <v>0.3211226852</v>
      </c>
      <c r="D670" s="105" t="str">
        <f>IF(preDEL!$AG670,IFERROR(0/0,""),preDEL!D670)</f>
        <v/>
      </c>
      <c r="E670" s="105" t="str">
        <f>IF(preDEL!$AG670,IFERROR(0/0,""),preDEL!E670)</f>
        <v/>
      </c>
      <c r="F670" s="112" t="str">
        <f>IF(preDEL!$AG670,IFERROR(0/0,""),preDEL!F670)</f>
        <v/>
      </c>
      <c r="G670" s="112" t="str">
        <f>IF(preDEL!$AG670,IFERROR(0/0,""),preDEL!G670)</f>
        <v/>
      </c>
      <c r="H670" s="112" t="str">
        <f>IF(preDEL!$AG670,IFERROR(0/0,""),preDEL!H670)</f>
        <v/>
      </c>
      <c r="I670" s="105" t="str">
        <f>IF(preDEL!$AG670,IFERROR(0/0,""),preDEL!I670)</f>
        <v/>
      </c>
      <c r="J670" s="105" t="str">
        <f>IF(preDEL!$AG670,IFERROR(0/0,""),preDEL!J670)</f>
        <v/>
      </c>
      <c r="K670" s="105" t="str">
        <f>IF(preDEL!$AG670,IFERROR(0/0,""),preDEL!K670)</f>
        <v>Negative</v>
      </c>
      <c r="L670" s="170">
        <f>IF(preDEL!$AG670,IFERROR(0/0,""),preDEL!L670)</f>
        <v>44623</v>
      </c>
      <c r="M670" s="171">
        <f>IF(preDEL!$AG670,IFERROR(0/0,""),preDEL!M670)</f>
        <v>0.4605902778</v>
      </c>
      <c r="N670" s="112" t="str">
        <f>IF(preDEL!$AG670,IFERROR(0/0,""),preDEL!N670)</f>
        <v/>
      </c>
      <c r="O670" s="112" t="str">
        <f>IF(preDEL!$AG670,IFERROR(0/0,""),preDEL!O670)</f>
        <v/>
      </c>
      <c r="P670" s="110" t="b">
        <f>IF(preDEL!$AG670,IFERROR(0/0,""),preDEL!P670)</f>
        <v>0</v>
      </c>
      <c r="Q670" s="110" t="str">
        <f>IF(preDEL!$AG670,IFERROR(0/0,""),preDEL!Q670)</f>
        <v>Result</v>
      </c>
      <c r="R670" s="104" t="b">
        <f>IF(preDEL!$AG670,IFERROR(0/0,""),preDEL!R670)</f>
        <v>1</v>
      </c>
      <c r="S670" s="104">
        <f>IF(preDEL!$AG670,IFERROR(0/0,""),preDEL!S670)</f>
        <v>1</v>
      </c>
      <c r="T670" s="110" t="str">
        <f>IF(preDEL!$AG670,IFERROR(0/0,""),preDEL!T670)</f>
        <v/>
      </c>
      <c r="U670" s="112" t="str">
        <f>IF(preDEL!$AG670,IFERROR(0/0,""),preDEL!U670)</f>
        <v/>
      </c>
      <c r="V670" s="105" t="str">
        <f>IF(preDEL!$AG670,IFERROR(0/0,""),preDEL!V670)</f>
        <v/>
      </c>
      <c r="W670" s="112" t="str">
        <f>IF(preDEL!$AG670,IFERROR(0/0,""),preDEL!W670)</f>
        <v/>
      </c>
      <c r="X670" s="104" t="b">
        <f>IF(preDEL!$AG670,IFERROR(0/0,""),preDEL!X670)</f>
        <v>0</v>
      </c>
      <c r="Y670" s="110" t="b">
        <f>IF(preDEL!$AG670,IFERROR(0/0,""),preDEL!Y670)</f>
        <v>0</v>
      </c>
      <c r="Z670" s="105" t="str">
        <f>IF(preDEL!$AG670,IFERROR(0/0,""),preDEL!Z670)</f>
        <v/>
      </c>
      <c r="AA670" s="110" t="b">
        <f>IF(preDEL!$AG670,IFERROR(0/0,""),preDEL!AA670)</f>
        <v>0</v>
      </c>
      <c r="AB670" s="110" t="b">
        <f>IF(preDEL!$AG670,IFERROR(0/0,""),preDEL!AB670)</f>
        <v>0</v>
      </c>
      <c r="AC670" s="172">
        <f>IF(preDEL!$AG670,IFERROR(0/0,""),preDEL!AC670)</f>
        <v>148</v>
      </c>
      <c r="AD670" s="104" t="b">
        <f>IF(preDEL!$AG670,IFERROR(0/0,""),preDEL!AD670)</f>
        <v>0</v>
      </c>
      <c r="AE670" s="173">
        <f>IF(preDEL!$AG670,IFERROR(0/0,""),preDEL!AE670)</f>
        <v>200.8333333</v>
      </c>
      <c r="AF670" s="110" t="b">
        <f>IF(preDEL!$AG670,IFERROR(0/0,""),preDEL!AF670)</f>
        <v>0</v>
      </c>
      <c r="AG670" s="110" t="b">
        <f>IF(preDEL!$AG670,IFERROR(0/0,""),preDEL!AG670)</f>
        <v>0</v>
      </c>
      <c r="AH670" s="104" t="str">
        <f>IF(preDEL!$AG670,IFERROR(0/0,""),preDEL!AH670)</f>
        <v/>
      </c>
      <c r="AI670" s="105" t="str">
        <f>IF(preDEL!$AG670,IFERROR(0/0,""),preDEL!AI670)</f>
        <v/>
      </c>
      <c r="AJ670" s="112" t="str">
        <f>IF(preDEL!$AG670,IFERROR(0/0,""),preDEL!AJ670)</f>
        <v/>
      </c>
      <c r="AK670" s="105" t="str">
        <f>IF(preDEL!$AG670,IFERROR(0/0,""),preDEL!AK670)</f>
        <v>Negative</v>
      </c>
      <c r="AL670" s="112" t="str">
        <f>IF(preDEL!$AG670,IFERROR(0/0,""),preDEL!AL670)</f>
        <v/>
      </c>
      <c r="AM670" s="112" t="str">
        <f>IF(preDEL!$AG670,IFERROR(0/0,""),preDEL!AM670)</f>
        <v>SpBEND672680</v>
      </c>
      <c r="AN670" s="112" t="str">
        <f>IF(preDEL!$AG670,IFERROR(0/0,""),preDEL!AN670)</f>
        <v>BEND955524</v>
      </c>
      <c r="AO670" s="112" t="str">
        <f>IF(preDEL!$AG670,IFERROR(0/0,""),preDEL!AO670)</f>
        <v/>
      </c>
      <c r="AP670" s="112" t="str">
        <f>IF(preDEL!$AG670,IFERROR(0/0,""),preDEL!AP670)</f>
        <v/>
      </c>
      <c r="AQ670" s="112" t="str">
        <f>IF(preDEL!$AG670,IFERROR(0/0,""),preDEL!AQ670)</f>
        <v/>
      </c>
      <c r="AR670" s="112" t="str">
        <f>IF(preDEL!$AG670,IFERROR(0/0,""),preDEL!AR670)</f>
        <v/>
      </c>
      <c r="AS670" s="112" t="str">
        <f>IF(preDEL!$AG670,IFERROR(0/0,""),preDEL!AS670)</f>
        <v/>
      </c>
      <c r="AT670" s="112" t="b">
        <f>IF(preDEL!$AG670,IFERROR(0/0,""),preDEL!AT670)</f>
        <v>0</v>
      </c>
      <c r="AU670" s="112" t="str">
        <f>IF(preDEL!$AG670,IFERROR(0/0,""),preDEL!AU670)</f>
        <v/>
      </c>
      <c r="AV670" s="112" t="str">
        <f>IF(preDEL!$AG670,IFERROR(0/0,""),preDEL!AV670)</f>
        <v/>
      </c>
      <c r="AW670" s="112" t="str">
        <f>IF(preDEL!$AG670,IFERROR(0/0,""),preDEL!AW670)</f>
        <v/>
      </c>
      <c r="AX670" s="112" t="str">
        <f>IF(preDEL!$AG670,IFERROR(0/0,""),preDEL!AX670)</f>
        <v/>
      </c>
      <c r="AY670" s="112" t="str">
        <f>IF(preDEL!$AG670,IFERROR(0/0,""),preDEL!AY670)</f>
        <v/>
      </c>
      <c r="AZ670" s="174"/>
      <c r="BA670" s="174"/>
      <c r="BB670" s="174"/>
      <c r="BC670" s="174"/>
      <c r="BD670" s="174"/>
      <c r="BE670" s="174"/>
      <c r="BF670" s="174"/>
      <c r="BG670" s="174"/>
      <c r="BH670" s="174"/>
      <c r="BI670" s="174"/>
      <c r="BJ670" s="174"/>
      <c r="BK670" s="174"/>
      <c r="BL670" s="174"/>
      <c r="BM670" s="174"/>
      <c r="BN670" s="174"/>
      <c r="BO670" s="174"/>
      <c r="BP670" s="174"/>
      <c r="BQ670" s="174"/>
      <c r="BR670" s="174"/>
      <c r="BS670" s="174"/>
      <c r="BT670" s="174"/>
      <c r="BU670" s="174"/>
      <c r="BV670" s="174"/>
      <c r="BW670" s="174"/>
      <c r="BX670" s="174"/>
      <c r="BY670" s="174"/>
      <c r="BZ670" s="174"/>
      <c r="CA670" s="174"/>
      <c r="CB670" s="174"/>
      <c r="CC670" s="174"/>
      <c r="CD670" s="174"/>
    </row>
    <row r="671">
      <c r="A671" s="105" t="str">
        <f>IF(preDEL!$AG671,IFERROR(0/0,""),preDEL!A671)</f>
        <v>MA1319</v>
      </c>
      <c r="B671" s="170">
        <f>IF(preDEL!$AG671,IFERROR(0/0,""),preDEL!B671)</f>
        <v>44623</v>
      </c>
      <c r="C671" s="171">
        <f>IF(preDEL!$AG671,IFERROR(0/0,""),preDEL!C671)</f>
        <v>0.3217824074</v>
      </c>
      <c r="D671" s="105" t="str">
        <f>IF(preDEL!$AG671,IFERROR(0/0,""),preDEL!D671)</f>
        <v/>
      </c>
      <c r="E671" s="105" t="str">
        <f>IF(preDEL!$AG671,IFERROR(0/0,""),preDEL!E671)</f>
        <v/>
      </c>
      <c r="F671" s="112" t="str">
        <f>IF(preDEL!$AG671,IFERROR(0/0,""),preDEL!F671)</f>
        <v/>
      </c>
      <c r="G671" s="112" t="str">
        <f>IF(preDEL!$AG671,IFERROR(0/0,""),preDEL!G671)</f>
        <v/>
      </c>
      <c r="H671" s="112" t="str">
        <f>IF(preDEL!$AG671,IFERROR(0/0,""),preDEL!H671)</f>
        <v/>
      </c>
      <c r="I671" s="105" t="str">
        <f>IF(preDEL!$AG671,IFERROR(0/0,""),preDEL!I671)</f>
        <v/>
      </c>
      <c r="J671" s="105" t="str">
        <f>IF(preDEL!$AG671,IFERROR(0/0,""),preDEL!J671)</f>
        <v/>
      </c>
      <c r="K671" s="105" t="str">
        <f>IF(preDEL!$AG671,IFERROR(0/0,""),preDEL!K671)</f>
        <v>Negative</v>
      </c>
      <c r="L671" s="170">
        <f>IF(preDEL!$AG671,IFERROR(0/0,""),preDEL!L671)</f>
        <v>44623</v>
      </c>
      <c r="M671" s="171">
        <f>IF(preDEL!$AG671,IFERROR(0/0,""),preDEL!M671)</f>
        <v>0.4605902778</v>
      </c>
      <c r="N671" s="112" t="str">
        <f>IF(preDEL!$AG671,IFERROR(0/0,""),preDEL!N671)</f>
        <v/>
      </c>
      <c r="O671" s="112" t="str">
        <f>IF(preDEL!$AG671,IFERROR(0/0,""),preDEL!O671)</f>
        <v/>
      </c>
      <c r="P671" s="110" t="b">
        <f>IF(preDEL!$AG671,IFERROR(0/0,""),preDEL!P671)</f>
        <v>0</v>
      </c>
      <c r="Q671" s="110" t="str">
        <f>IF(preDEL!$AG671,IFERROR(0/0,""),preDEL!Q671)</f>
        <v>Result</v>
      </c>
      <c r="R671" s="104" t="b">
        <f>IF(preDEL!$AG671,IFERROR(0/0,""),preDEL!R671)</f>
        <v>1</v>
      </c>
      <c r="S671" s="104">
        <f>IF(preDEL!$AG671,IFERROR(0/0,""),preDEL!S671)</f>
        <v>1</v>
      </c>
      <c r="T671" s="110" t="str">
        <f>IF(preDEL!$AG671,IFERROR(0/0,""),preDEL!T671)</f>
        <v/>
      </c>
      <c r="U671" s="112" t="str">
        <f>IF(preDEL!$AG671,IFERROR(0/0,""),preDEL!U671)</f>
        <v/>
      </c>
      <c r="V671" s="105" t="str">
        <f>IF(preDEL!$AG671,IFERROR(0/0,""),preDEL!V671)</f>
        <v/>
      </c>
      <c r="W671" s="112" t="str">
        <f>IF(preDEL!$AG671,IFERROR(0/0,""),preDEL!W671)</f>
        <v/>
      </c>
      <c r="X671" s="104" t="b">
        <f>IF(preDEL!$AG671,IFERROR(0/0,""),preDEL!X671)</f>
        <v>0</v>
      </c>
      <c r="Y671" s="110" t="b">
        <f>IF(preDEL!$AG671,IFERROR(0/0,""),preDEL!Y671)</f>
        <v>0</v>
      </c>
      <c r="Z671" s="105" t="str">
        <f>IF(preDEL!$AG671,IFERROR(0/0,""),preDEL!Z671)</f>
        <v/>
      </c>
      <c r="AA671" s="110" t="b">
        <f>IF(preDEL!$AG671,IFERROR(0/0,""),preDEL!AA671)</f>
        <v>0</v>
      </c>
      <c r="AB671" s="110" t="b">
        <f>IF(preDEL!$AG671,IFERROR(0/0,""),preDEL!AB671)</f>
        <v>0</v>
      </c>
      <c r="AC671" s="172">
        <f>IF(preDEL!$AG671,IFERROR(0/0,""),preDEL!AC671)</f>
        <v>147</v>
      </c>
      <c r="AD671" s="104" t="b">
        <f>IF(preDEL!$AG671,IFERROR(0/0,""),preDEL!AD671)</f>
        <v>0</v>
      </c>
      <c r="AE671" s="173">
        <f>IF(preDEL!$AG671,IFERROR(0/0,""),preDEL!AE671)</f>
        <v>199.8833333</v>
      </c>
      <c r="AF671" s="110" t="b">
        <f>IF(preDEL!$AG671,IFERROR(0/0,""),preDEL!AF671)</f>
        <v>0</v>
      </c>
      <c r="AG671" s="110" t="b">
        <f>IF(preDEL!$AG671,IFERROR(0/0,""),preDEL!AG671)</f>
        <v>0</v>
      </c>
      <c r="AH671" s="104" t="str">
        <f>IF(preDEL!$AG671,IFERROR(0/0,""),preDEL!AH671)</f>
        <v/>
      </c>
      <c r="AI671" s="105" t="str">
        <f>IF(preDEL!$AG671,IFERROR(0/0,""),preDEL!AI671)</f>
        <v/>
      </c>
      <c r="AJ671" s="112" t="str">
        <f>IF(preDEL!$AG671,IFERROR(0/0,""),preDEL!AJ671)</f>
        <v/>
      </c>
      <c r="AK671" s="105" t="str">
        <f>IF(preDEL!$AG671,IFERROR(0/0,""),preDEL!AK671)</f>
        <v>Negative</v>
      </c>
      <c r="AL671" s="112" t="str">
        <f>IF(preDEL!$AG671,IFERROR(0/0,""),preDEL!AL671)</f>
        <v/>
      </c>
      <c r="AM671" s="112" t="str">
        <f>IF(preDEL!$AG671,IFERROR(0/0,""),preDEL!AM671)</f>
        <v>SpBEND183210</v>
      </c>
      <c r="AN671" s="112" t="str">
        <f>IF(preDEL!$AG671,IFERROR(0/0,""),preDEL!AN671)</f>
        <v>BEND992347</v>
      </c>
      <c r="AO671" s="112" t="str">
        <f>IF(preDEL!$AG671,IFERROR(0/0,""),preDEL!AO671)</f>
        <v/>
      </c>
      <c r="AP671" s="112" t="str">
        <f>IF(preDEL!$AG671,IFERROR(0/0,""),preDEL!AP671)</f>
        <v/>
      </c>
      <c r="AQ671" s="112" t="str">
        <f>IF(preDEL!$AG671,IFERROR(0/0,""),preDEL!AQ671)</f>
        <v/>
      </c>
      <c r="AR671" s="112" t="str">
        <f>IF(preDEL!$AG671,IFERROR(0/0,""),preDEL!AR671)</f>
        <v/>
      </c>
      <c r="AS671" s="112" t="str">
        <f>IF(preDEL!$AG671,IFERROR(0/0,""),preDEL!AS671)</f>
        <v/>
      </c>
      <c r="AT671" s="112" t="b">
        <f>IF(preDEL!$AG671,IFERROR(0/0,""),preDEL!AT671)</f>
        <v>0</v>
      </c>
      <c r="AU671" s="112" t="str">
        <f>IF(preDEL!$AG671,IFERROR(0/0,""),preDEL!AU671)</f>
        <v/>
      </c>
      <c r="AV671" s="112" t="str">
        <f>IF(preDEL!$AG671,IFERROR(0/0,""),preDEL!AV671)</f>
        <v/>
      </c>
      <c r="AW671" s="112" t="str">
        <f>IF(preDEL!$AG671,IFERROR(0/0,""),preDEL!AW671)</f>
        <v/>
      </c>
      <c r="AX671" s="112" t="str">
        <f>IF(preDEL!$AG671,IFERROR(0/0,""),preDEL!AX671)</f>
        <v/>
      </c>
      <c r="AY671" s="112" t="str">
        <f>IF(preDEL!$AG671,IFERROR(0/0,""),preDEL!AY671)</f>
        <v/>
      </c>
      <c r="AZ671" s="174"/>
      <c r="BA671" s="174"/>
      <c r="BB671" s="174"/>
      <c r="BC671" s="174"/>
      <c r="BD671" s="174"/>
      <c r="BE671" s="174"/>
      <c r="BF671" s="174"/>
      <c r="BG671" s="174"/>
      <c r="BH671" s="174"/>
      <c r="BI671" s="174"/>
      <c r="BJ671" s="174"/>
      <c r="BK671" s="174"/>
      <c r="BL671" s="174"/>
      <c r="BM671" s="174"/>
      <c r="BN671" s="174"/>
      <c r="BO671" s="174"/>
      <c r="BP671" s="174"/>
      <c r="BQ671" s="174"/>
      <c r="BR671" s="174"/>
      <c r="BS671" s="174"/>
      <c r="BT671" s="174"/>
      <c r="BU671" s="174"/>
      <c r="BV671" s="174"/>
      <c r="BW671" s="174"/>
      <c r="BX671" s="174"/>
      <c r="BY671" s="174"/>
      <c r="BZ671" s="174"/>
      <c r="CA671" s="174"/>
      <c r="CB671" s="174"/>
      <c r="CC671" s="174"/>
      <c r="CD671" s="174"/>
    </row>
    <row r="672">
      <c r="A672" s="105" t="str">
        <f>IF(preDEL!$AG672,IFERROR(0/0,""),preDEL!A672)</f>
        <v>FM312</v>
      </c>
      <c r="B672" s="170">
        <f>IF(preDEL!$AG672,IFERROR(0/0,""),preDEL!B672)</f>
        <v>44623</v>
      </c>
      <c r="C672" s="171">
        <f>IF(preDEL!$AG672,IFERROR(0/0,""),preDEL!C672)</f>
        <v>0.3219791667</v>
      </c>
      <c r="D672" s="105" t="str">
        <f>IF(preDEL!$AG672,IFERROR(0/0,""),preDEL!D672)</f>
        <v/>
      </c>
      <c r="E672" s="105" t="str">
        <f>IF(preDEL!$AG672,IFERROR(0/0,""),preDEL!E672)</f>
        <v/>
      </c>
      <c r="F672" s="112" t="str">
        <f>IF(preDEL!$AG672,IFERROR(0/0,""),preDEL!F672)</f>
        <v/>
      </c>
      <c r="G672" s="112" t="str">
        <f>IF(preDEL!$AG672,IFERROR(0/0,""),preDEL!G672)</f>
        <v/>
      </c>
      <c r="H672" s="112" t="str">
        <f>IF(preDEL!$AG672,IFERROR(0/0,""),preDEL!H672)</f>
        <v/>
      </c>
      <c r="I672" s="105" t="str">
        <f>IF(preDEL!$AG672,IFERROR(0/0,""),preDEL!I672)</f>
        <v/>
      </c>
      <c r="J672" s="105" t="str">
        <f>IF(preDEL!$AG672,IFERROR(0/0,""),preDEL!J672)</f>
        <v/>
      </c>
      <c r="K672" s="105" t="str">
        <f>IF(preDEL!$AG672,IFERROR(0/0,""),preDEL!K672)</f>
        <v>Negative</v>
      </c>
      <c r="L672" s="170">
        <f>IF(preDEL!$AG672,IFERROR(0/0,""),preDEL!L672)</f>
        <v>44623</v>
      </c>
      <c r="M672" s="171">
        <f>IF(preDEL!$AG672,IFERROR(0/0,""),preDEL!M672)</f>
        <v>0.4605902778</v>
      </c>
      <c r="N672" s="112" t="str">
        <f>IF(preDEL!$AG672,IFERROR(0/0,""),preDEL!N672)</f>
        <v/>
      </c>
      <c r="O672" s="112" t="str">
        <f>IF(preDEL!$AG672,IFERROR(0/0,""),preDEL!O672)</f>
        <v/>
      </c>
      <c r="P672" s="110" t="b">
        <f>IF(preDEL!$AG672,IFERROR(0/0,""),preDEL!P672)</f>
        <v>0</v>
      </c>
      <c r="Q672" s="110" t="str">
        <f>IF(preDEL!$AG672,IFERROR(0/0,""),preDEL!Q672)</f>
        <v>Result</v>
      </c>
      <c r="R672" s="104" t="b">
        <f>IF(preDEL!$AG672,IFERROR(0/0,""),preDEL!R672)</f>
        <v>1</v>
      </c>
      <c r="S672" s="104">
        <f>IF(preDEL!$AG672,IFERROR(0/0,""),preDEL!S672)</f>
        <v>1</v>
      </c>
      <c r="T672" s="110" t="str">
        <f>IF(preDEL!$AG672,IFERROR(0/0,""),preDEL!T672)</f>
        <v/>
      </c>
      <c r="U672" s="112" t="str">
        <f>IF(preDEL!$AG672,IFERROR(0/0,""),preDEL!U672)</f>
        <v/>
      </c>
      <c r="V672" s="105" t="str">
        <f>IF(preDEL!$AG672,IFERROR(0/0,""),preDEL!V672)</f>
        <v/>
      </c>
      <c r="W672" s="112" t="str">
        <f>IF(preDEL!$AG672,IFERROR(0/0,""),preDEL!W672)</f>
        <v/>
      </c>
      <c r="X672" s="104" t="b">
        <f>IF(preDEL!$AG672,IFERROR(0/0,""),preDEL!X672)</f>
        <v>0</v>
      </c>
      <c r="Y672" s="110" t="b">
        <f>IF(preDEL!$AG672,IFERROR(0/0,""),preDEL!Y672)</f>
        <v>0</v>
      </c>
      <c r="Z672" s="105" t="str">
        <f>IF(preDEL!$AG672,IFERROR(0/0,""),preDEL!Z672)</f>
        <v/>
      </c>
      <c r="AA672" s="110" t="b">
        <f>IF(preDEL!$AG672,IFERROR(0/0,""),preDEL!AA672)</f>
        <v>0</v>
      </c>
      <c r="AB672" s="110" t="b">
        <f>IF(preDEL!$AG672,IFERROR(0/0,""),preDEL!AB672)</f>
        <v>0</v>
      </c>
      <c r="AC672" s="172">
        <f>IF(preDEL!$AG672,IFERROR(0/0,""),preDEL!AC672)</f>
        <v>146</v>
      </c>
      <c r="AD672" s="104" t="b">
        <f>IF(preDEL!$AG672,IFERROR(0/0,""),preDEL!AD672)</f>
        <v>0</v>
      </c>
      <c r="AE672" s="173">
        <f>IF(preDEL!$AG672,IFERROR(0/0,""),preDEL!AE672)</f>
        <v>199.6</v>
      </c>
      <c r="AF672" s="110" t="b">
        <f>IF(preDEL!$AG672,IFERROR(0/0,""),preDEL!AF672)</f>
        <v>0</v>
      </c>
      <c r="AG672" s="110" t="b">
        <f>IF(preDEL!$AG672,IFERROR(0/0,""),preDEL!AG672)</f>
        <v>0</v>
      </c>
      <c r="AH672" s="104" t="str">
        <f>IF(preDEL!$AG672,IFERROR(0/0,""),preDEL!AH672)</f>
        <v/>
      </c>
      <c r="AI672" s="105" t="str">
        <f>IF(preDEL!$AG672,IFERROR(0/0,""),preDEL!AI672)</f>
        <v/>
      </c>
      <c r="AJ672" s="112" t="str">
        <f>IF(preDEL!$AG672,IFERROR(0/0,""),preDEL!AJ672)</f>
        <v/>
      </c>
      <c r="AK672" s="105" t="str">
        <f>IF(preDEL!$AG672,IFERROR(0/0,""),preDEL!AK672)</f>
        <v>Negative</v>
      </c>
      <c r="AL672" s="112" t="str">
        <f>IF(preDEL!$AG672,IFERROR(0/0,""),preDEL!AL672)</f>
        <v/>
      </c>
      <c r="AM672" s="112" t="str">
        <f>IF(preDEL!$AG672,IFERROR(0/0,""),preDEL!AM672)</f>
        <v>SpBEND296258</v>
      </c>
      <c r="AN672" s="112" t="str">
        <f>IF(preDEL!$AG672,IFERROR(0/0,""),preDEL!AN672)</f>
        <v>BEND873094</v>
      </c>
      <c r="AO672" s="112" t="str">
        <f>IF(preDEL!$AG672,IFERROR(0/0,""),preDEL!AO672)</f>
        <v/>
      </c>
      <c r="AP672" s="112" t="str">
        <f>IF(preDEL!$AG672,IFERROR(0/0,""),preDEL!AP672)</f>
        <v/>
      </c>
      <c r="AQ672" s="112" t="str">
        <f>IF(preDEL!$AG672,IFERROR(0/0,""),preDEL!AQ672)</f>
        <v/>
      </c>
      <c r="AR672" s="112" t="str">
        <f>IF(preDEL!$AG672,IFERROR(0/0,""),preDEL!AR672)</f>
        <v/>
      </c>
      <c r="AS672" s="112" t="str">
        <f>IF(preDEL!$AG672,IFERROR(0/0,""),preDEL!AS672)</f>
        <v/>
      </c>
      <c r="AT672" s="112" t="b">
        <f>IF(preDEL!$AG672,IFERROR(0/0,""),preDEL!AT672)</f>
        <v>0</v>
      </c>
      <c r="AU672" s="112" t="str">
        <f>IF(preDEL!$AG672,IFERROR(0/0,""),preDEL!AU672)</f>
        <v/>
      </c>
      <c r="AV672" s="112" t="str">
        <f>IF(preDEL!$AG672,IFERROR(0/0,""),preDEL!AV672)</f>
        <v/>
      </c>
      <c r="AW672" s="112" t="str">
        <f>IF(preDEL!$AG672,IFERROR(0/0,""),preDEL!AW672)</f>
        <v/>
      </c>
      <c r="AX672" s="112" t="str">
        <f>IF(preDEL!$AG672,IFERROR(0/0,""),preDEL!AX672)</f>
        <v/>
      </c>
      <c r="AY672" s="112" t="str">
        <f>IF(preDEL!$AG672,IFERROR(0/0,""),preDEL!AY672)</f>
        <v/>
      </c>
      <c r="AZ672" s="174"/>
      <c r="BA672" s="174"/>
      <c r="BB672" s="174"/>
      <c r="BC672" s="174"/>
      <c r="BD672" s="174"/>
      <c r="BE672" s="174"/>
      <c r="BF672" s="174"/>
      <c r="BG672" s="174"/>
      <c r="BH672" s="174"/>
      <c r="BI672" s="174"/>
      <c r="BJ672" s="174"/>
      <c r="BK672" s="174"/>
      <c r="BL672" s="174"/>
      <c r="BM672" s="174"/>
      <c r="BN672" s="174"/>
      <c r="BO672" s="174"/>
      <c r="BP672" s="174"/>
      <c r="BQ672" s="174"/>
      <c r="BR672" s="174"/>
      <c r="BS672" s="174"/>
      <c r="BT672" s="174"/>
      <c r="BU672" s="174"/>
      <c r="BV672" s="174"/>
      <c r="BW672" s="174"/>
      <c r="BX672" s="174"/>
      <c r="BY672" s="174"/>
      <c r="BZ672" s="174"/>
      <c r="CA672" s="174"/>
      <c r="CB672" s="174"/>
      <c r="CC672" s="174"/>
      <c r="CD672" s="174"/>
    </row>
    <row r="673">
      <c r="A673" s="105" t="str">
        <f>IF(preDEL!$AG673,IFERROR(0/0,""),preDEL!A673)</f>
        <v>FM315</v>
      </c>
      <c r="B673" s="170">
        <f>IF(preDEL!$AG673,IFERROR(0/0,""),preDEL!B673)</f>
        <v>44623</v>
      </c>
      <c r="C673" s="171">
        <f>IF(preDEL!$AG673,IFERROR(0/0,""),preDEL!C673)</f>
        <v>0.3225694444</v>
      </c>
      <c r="D673" s="105" t="str">
        <f>IF(preDEL!$AG673,IFERROR(0/0,""),preDEL!D673)</f>
        <v/>
      </c>
      <c r="E673" s="105" t="str">
        <f>IF(preDEL!$AG673,IFERROR(0/0,""),preDEL!E673)</f>
        <v/>
      </c>
      <c r="F673" s="112" t="str">
        <f>IF(preDEL!$AG673,IFERROR(0/0,""),preDEL!F673)</f>
        <v/>
      </c>
      <c r="G673" s="112" t="str">
        <f>IF(preDEL!$AG673,IFERROR(0/0,""),preDEL!G673)</f>
        <v/>
      </c>
      <c r="H673" s="112" t="str">
        <f>IF(preDEL!$AG673,IFERROR(0/0,""),preDEL!H673)</f>
        <v/>
      </c>
      <c r="I673" s="105" t="str">
        <f>IF(preDEL!$AG673,IFERROR(0/0,""),preDEL!I673)</f>
        <v/>
      </c>
      <c r="J673" s="105" t="str">
        <f>IF(preDEL!$AG673,IFERROR(0/0,""),preDEL!J673)</f>
        <v/>
      </c>
      <c r="K673" s="105" t="str">
        <f>IF(preDEL!$AG673,IFERROR(0/0,""),preDEL!K673)</f>
        <v>Negative</v>
      </c>
      <c r="L673" s="170">
        <f>IF(preDEL!$AG673,IFERROR(0/0,""),preDEL!L673)</f>
        <v>44623</v>
      </c>
      <c r="M673" s="171">
        <f>IF(preDEL!$AG673,IFERROR(0/0,""),preDEL!M673)</f>
        <v>0.4605902778</v>
      </c>
      <c r="N673" s="112" t="str">
        <f>IF(preDEL!$AG673,IFERROR(0/0,""),preDEL!N673)</f>
        <v/>
      </c>
      <c r="O673" s="112" t="str">
        <f>IF(preDEL!$AG673,IFERROR(0/0,""),preDEL!O673)</f>
        <v/>
      </c>
      <c r="P673" s="110" t="b">
        <f>IF(preDEL!$AG673,IFERROR(0/0,""),preDEL!P673)</f>
        <v>0</v>
      </c>
      <c r="Q673" s="110" t="str">
        <f>IF(preDEL!$AG673,IFERROR(0/0,""),preDEL!Q673)</f>
        <v>Result</v>
      </c>
      <c r="R673" s="104" t="b">
        <f>IF(preDEL!$AG673,IFERROR(0/0,""),preDEL!R673)</f>
        <v>1</v>
      </c>
      <c r="S673" s="104">
        <f>IF(preDEL!$AG673,IFERROR(0/0,""),preDEL!S673)</f>
        <v>1</v>
      </c>
      <c r="T673" s="110" t="str">
        <f>IF(preDEL!$AG673,IFERROR(0/0,""),preDEL!T673)</f>
        <v/>
      </c>
      <c r="U673" s="112" t="str">
        <f>IF(preDEL!$AG673,IFERROR(0/0,""),preDEL!U673)</f>
        <v/>
      </c>
      <c r="V673" s="105" t="str">
        <f>IF(preDEL!$AG673,IFERROR(0/0,""),preDEL!V673)</f>
        <v/>
      </c>
      <c r="W673" s="112" t="str">
        <f>IF(preDEL!$AG673,IFERROR(0/0,""),preDEL!W673)</f>
        <v/>
      </c>
      <c r="X673" s="104" t="b">
        <f>IF(preDEL!$AG673,IFERROR(0/0,""),preDEL!X673)</f>
        <v>0</v>
      </c>
      <c r="Y673" s="110" t="b">
        <f>IF(preDEL!$AG673,IFERROR(0/0,""),preDEL!Y673)</f>
        <v>0</v>
      </c>
      <c r="Z673" s="105" t="str">
        <f>IF(preDEL!$AG673,IFERROR(0/0,""),preDEL!Z673)</f>
        <v/>
      </c>
      <c r="AA673" s="110" t="b">
        <f>IF(preDEL!$AG673,IFERROR(0/0,""),preDEL!AA673)</f>
        <v>0</v>
      </c>
      <c r="AB673" s="110" t="b">
        <f>IF(preDEL!$AG673,IFERROR(0/0,""),preDEL!AB673)</f>
        <v>0</v>
      </c>
      <c r="AC673" s="172">
        <f>IF(preDEL!$AG673,IFERROR(0/0,""),preDEL!AC673)</f>
        <v>145</v>
      </c>
      <c r="AD673" s="104" t="b">
        <f>IF(preDEL!$AG673,IFERROR(0/0,""),preDEL!AD673)</f>
        <v>0</v>
      </c>
      <c r="AE673" s="173">
        <f>IF(preDEL!$AG673,IFERROR(0/0,""),preDEL!AE673)</f>
        <v>198.75</v>
      </c>
      <c r="AF673" s="110" t="b">
        <f>IF(preDEL!$AG673,IFERROR(0/0,""),preDEL!AF673)</f>
        <v>0</v>
      </c>
      <c r="AG673" s="110" t="b">
        <f>IF(preDEL!$AG673,IFERROR(0/0,""),preDEL!AG673)</f>
        <v>0</v>
      </c>
      <c r="AH673" s="104" t="str">
        <f>IF(preDEL!$AG673,IFERROR(0/0,""),preDEL!AH673)</f>
        <v/>
      </c>
      <c r="AI673" s="105" t="str">
        <f>IF(preDEL!$AG673,IFERROR(0/0,""),preDEL!AI673)</f>
        <v/>
      </c>
      <c r="AJ673" s="112" t="str">
        <f>IF(preDEL!$AG673,IFERROR(0/0,""),preDEL!AJ673)</f>
        <v/>
      </c>
      <c r="AK673" s="105" t="str">
        <f>IF(preDEL!$AG673,IFERROR(0/0,""),preDEL!AK673)</f>
        <v>Negative</v>
      </c>
      <c r="AL673" s="112" t="str">
        <f>IF(preDEL!$AG673,IFERROR(0/0,""),preDEL!AL673)</f>
        <v/>
      </c>
      <c r="AM673" s="112" t="str">
        <f>IF(preDEL!$AG673,IFERROR(0/0,""),preDEL!AM673)</f>
        <v>SpBEND548976</v>
      </c>
      <c r="AN673" s="112" t="str">
        <f>IF(preDEL!$AG673,IFERROR(0/0,""),preDEL!AN673)</f>
        <v>BEND704851</v>
      </c>
      <c r="AO673" s="112" t="str">
        <f>IF(preDEL!$AG673,IFERROR(0/0,""),preDEL!AO673)</f>
        <v/>
      </c>
      <c r="AP673" s="112" t="str">
        <f>IF(preDEL!$AG673,IFERROR(0/0,""),preDEL!AP673)</f>
        <v/>
      </c>
      <c r="AQ673" s="112" t="str">
        <f>IF(preDEL!$AG673,IFERROR(0/0,""),preDEL!AQ673)</f>
        <v/>
      </c>
      <c r="AR673" s="112" t="str">
        <f>IF(preDEL!$AG673,IFERROR(0/0,""),preDEL!AR673)</f>
        <v/>
      </c>
      <c r="AS673" s="112" t="str">
        <f>IF(preDEL!$AG673,IFERROR(0/0,""),preDEL!AS673)</f>
        <v/>
      </c>
      <c r="AT673" s="112" t="b">
        <f>IF(preDEL!$AG673,IFERROR(0/0,""),preDEL!AT673)</f>
        <v>0</v>
      </c>
      <c r="AU673" s="112" t="str">
        <f>IF(preDEL!$AG673,IFERROR(0/0,""),preDEL!AU673)</f>
        <v/>
      </c>
      <c r="AV673" s="112" t="str">
        <f>IF(preDEL!$AG673,IFERROR(0/0,""),preDEL!AV673)</f>
        <v/>
      </c>
      <c r="AW673" s="112" t="str">
        <f>IF(preDEL!$AG673,IFERROR(0/0,""),preDEL!AW673)</f>
        <v/>
      </c>
      <c r="AX673" s="112" t="str">
        <f>IF(preDEL!$AG673,IFERROR(0/0,""),preDEL!AX673)</f>
        <v/>
      </c>
      <c r="AY673" s="112" t="str">
        <f>IF(preDEL!$AG673,IFERROR(0/0,""),preDEL!AY673)</f>
        <v/>
      </c>
      <c r="AZ673" s="174"/>
      <c r="BA673" s="174"/>
      <c r="BB673" s="174"/>
      <c r="BC673" s="174"/>
      <c r="BD673" s="174"/>
      <c r="BE673" s="174"/>
      <c r="BF673" s="174"/>
      <c r="BG673" s="174"/>
      <c r="BH673" s="174"/>
      <c r="BI673" s="174"/>
      <c r="BJ673" s="174"/>
      <c r="BK673" s="174"/>
      <c r="BL673" s="174"/>
      <c r="BM673" s="174"/>
      <c r="BN673" s="174"/>
      <c r="BO673" s="174"/>
      <c r="BP673" s="174"/>
      <c r="BQ673" s="174"/>
      <c r="BR673" s="174"/>
      <c r="BS673" s="174"/>
      <c r="BT673" s="174"/>
      <c r="BU673" s="174"/>
      <c r="BV673" s="174"/>
      <c r="BW673" s="174"/>
      <c r="BX673" s="174"/>
      <c r="BY673" s="174"/>
      <c r="BZ673" s="174"/>
      <c r="CA673" s="174"/>
      <c r="CB673" s="174"/>
      <c r="CC673" s="174"/>
      <c r="CD673" s="174"/>
    </row>
    <row r="674">
      <c r="A674" s="105" t="str">
        <f>IF(preDEL!$AG674,IFERROR(0/0,""),preDEL!A674)</f>
        <v>FM402</v>
      </c>
      <c r="B674" s="170">
        <f>IF(preDEL!$AG674,IFERROR(0/0,""),preDEL!B674)</f>
        <v>44623</v>
      </c>
      <c r="C674" s="171">
        <f>IF(preDEL!$AG674,IFERROR(0/0,""),preDEL!C674)</f>
        <v>0.3226041667</v>
      </c>
      <c r="D674" s="105" t="str">
        <f>IF(preDEL!$AG674,IFERROR(0/0,""),preDEL!D674)</f>
        <v/>
      </c>
      <c r="E674" s="105" t="str">
        <f>IF(preDEL!$AG674,IFERROR(0/0,""),preDEL!E674)</f>
        <v/>
      </c>
      <c r="F674" s="112" t="str">
        <f>IF(preDEL!$AG674,IFERROR(0/0,""),preDEL!F674)</f>
        <v/>
      </c>
      <c r="G674" s="112" t="str">
        <f>IF(preDEL!$AG674,IFERROR(0/0,""),preDEL!G674)</f>
        <v/>
      </c>
      <c r="H674" s="112" t="str">
        <f>IF(preDEL!$AG674,IFERROR(0/0,""),preDEL!H674)</f>
        <v/>
      </c>
      <c r="I674" s="105" t="str">
        <f>IF(preDEL!$AG674,IFERROR(0/0,""),preDEL!I674)</f>
        <v/>
      </c>
      <c r="J674" s="105" t="str">
        <f>IF(preDEL!$AG674,IFERROR(0/0,""),preDEL!J674)</f>
        <v/>
      </c>
      <c r="K674" s="105" t="str">
        <f>IF(preDEL!$AG674,IFERROR(0/0,""),preDEL!K674)</f>
        <v>Negative</v>
      </c>
      <c r="L674" s="170">
        <f>IF(preDEL!$AG674,IFERROR(0/0,""),preDEL!L674)</f>
        <v>44623</v>
      </c>
      <c r="M674" s="171">
        <f>IF(preDEL!$AG674,IFERROR(0/0,""),preDEL!M674)</f>
        <v>0.4605902778</v>
      </c>
      <c r="N674" s="112" t="str">
        <f>IF(preDEL!$AG674,IFERROR(0/0,""),preDEL!N674)</f>
        <v/>
      </c>
      <c r="O674" s="112" t="str">
        <f>IF(preDEL!$AG674,IFERROR(0/0,""),preDEL!O674)</f>
        <v/>
      </c>
      <c r="P674" s="110" t="b">
        <f>IF(preDEL!$AG674,IFERROR(0/0,""),preDEL!P674)</f>
        <v>0</v>
      </c>
      <c r="Q674" s="110" t="str">
        <f>IF(preDEL!$AG674,IFERROR(0/0,""),preDEL!Q674)</f>
        <v>Result</v>
      </c>
      <c r="R674" s="104" t="b">
        <f>IF(preDEL!$AG674,IFERROR(0/0,""),preDEL!R674)</f>
        <v>1</v>
      </c>
      <c r="S674" s="104">
        <f>IF(preDEL!$AG674,IFERROR(0/0,""),preDEL!S674)</f>
        <v>1</v>
      </c>
      <c r="T674" s="110" t="str">
        <f>IF(preDEL!$AG674,IFERROR(0/0,""),preDEL!T674)</f>
        <v/>
      </c>
      <c r="U674" s="112" t="str">
        <f>IF(preDEL!$AG674,IFERROR(0/0,""),preDEL!U674)</f>
        <v/>
      </c>
      <c r="V674" s="105" t="str">
        <f>IF(preDEL!$AG674,IFERROR(0/0,""),preDEL!V674)</f>
        <v/>
      </c>
      <c r="W674" s="112" t="str">
        <f>IF(preDEL!$AG674,IFERROR(0/0,""),preDEL!W674)</f>
        <v/>
      </c>
      <c r="X674" s="104" t="b">
        <f>IF(preDEL!$AG674,IFERROR(0/0,""),preDEL!X674)</f>
        <v>0</v>
      </c>
      <c r="Y674" s="110" t="b">
        <f>IF(preDEL!$AG674,IFERROR(0/0,""),preDEL!Y674)</f>
        <v>0</v>
      </c>
      <c r="Z674" s="105" t="str">
        <f>IF(preDEL!$AG674,IFERROR(0/0,""),preDEL!Z674)</f>
        <v/>
      </c>
      <c r="AA674" s="110" t="b">
        <f>IF(preDEL!$AG674,IFERROR(0/0,""),preDEL!AA674)</f>
        <v>0</v>
      </c>
      <c r="AB674" s="110" t="b">
        <f>IF(preDEL!$AG674,IFERROR(0/0,""),preDEL!AB674)</f>
        <v>0</v>
      </c>
      <c r="AC674" s="172">
        <f>IF(preDEL!$AG674,IFERROR(0/0,""),preDEL!AC674)</f>
        <v>144</v>
      </c>
      <c r="AD674" s="104" t="b">
        <f>IF(preDEL!$AG674,IFERROR(0/0,""),preDEL!AD674)</f>
        <v>0</v>
      </c>
      <c r="AE674" s="173">
        <f>IF(preDEL!$AG674,IFERROR(0/0,""),preDEL!AE674)</f>
        <v>198.7</v>
      </c>
      <c r="AF674" s="110" t="b">
        <f>IF(preDEL!$AG674,IFERROR(0/0,""),preDEL!AF674)</f>
        <v>0</v>
      </c>
      <c r="AG674" s="110" t="b">
        <f>IF(preDEL!$AG674,IFERROR(0/0,""),preDEL!AG674)</f>
        <v>0</v>
      </c>
      <c r="AH674" s="104" t="str">
        <f>IF(preDEL!$AG674,IFERROR(0/0,""),preDEL!AH674)</f>
        <v/>
      </c>
      <c r="AI674" s="105" t="str">
        <f>IF(preDEL!$AG674,IFERROR(0/0,""),preDEL!AI674)</f>
        <v/>
      </c>
      <c r="AJ674" s="112" t="str">
        <f>IF(preDEL!$AG674,IFERROR(0/0,""),preDEL!AJ674)</f>
        <v/>
      </c>
      <c r="AK674" s="105" t="str">
        <f>IF(preDEL!$AG674,IFERROR(0/0,""),preDEL!AK674)</f>
        <v>Negative</v>
      </c>
      <c r="AL674" s="112" t="str">
        <f>IF(preDEL!$AG674,IFERROR(0/0,""),preDEL!AL674)</f>
        <v/>
      </c>
      <c r="AM674" s="112" t="str">
        <f>IF(preDEL!$AG674,IFERROR(0/0,""),preDEL!AM674)</f>
        <v>SpBEND198321</v>
      </c>
      <c r="AN674" s="112" t="str">
        <f>IF(preDEL!$AG674,IFERROR(0/0,""),preDEL!AN674)</f>
        <v>BEND772881</v>
      </c>
      <c r="AO674" s="112" t="str">
        <f>IF(preDEL!$AG674,IFERROR(0/0,""),preDEL!AO674)</f>
        <v/>
      </c>
      <c r="AP674" s="112" t="str">
        <f>IF(preDEL!$AG674,IFERROR(0/0,""),preDEL!AP674)</f>
        <v/>
      </c>
      <c r="AQ674" s="112" t="str">
        <f>IF(preDEL!$AG674,IFERROR(0/0,""),preDEL!AQ674)</f>
        <v/>
      </c>
      <c r="AR674" s="112" t="str">
        <f>IF(preDEL!$AG674,IFERROR(0/0,""),preDEL!AR674)</f>
        <v/>
      </c>
      <c r="AS674" s="112" t="str">
        <f>IF(preDEL!$AG674,IFERROR(0/0,""),preDEL!AS674)</f>
        <v/>
      </c>
      <c r="AT674" s="112" t="b">
        <f>IF(preDEL!$AG674,IFERROR(0/0,""),preDEL!AT674)</f>
        <v>0</v>
      </c>
      <c r="AU674" s="112" t="str">
        <f>IF(preDEL!$AG674,IFERROR(0/0,""),preDEL!AU674)</f>
        <v/>
      </c>
      <c r="AV674" s="112" t="str">
        <f>IF(preDEL!$AG674,IFERROR(0/0,""),preDEL!AV674)</f>
        <v/>
      </c>
      <c r="AW674" s="112" t="str">
        <f>IF(preDEL!$AG674,IFERROR(0/0,""),preDEL!AW674)</f>
        <v/>
      </c>
      <c r="AX674" s="112" t="str">
        <f>IF(preDEL!$AG674,IFERROR(0/0,""),preDEL!AX674)</f>
        <v/>
      </c>
      <c r="AY674" s="112" t="str">
        <f>IF(preDEL!$AG674,IFERROR(0/0,""),preDEL!AY674)</f>
        <v/>
      </c>
      <c r="AZ674" s="174"/>
      <c r="BA674" s="174"/>
      <c r="BB674" s="174"/>
      <c r="BC674" s="174"/>
      <c r="BD674" s="174"/>
      <c r="BE674" s="174"/>
      <c r="BF674" s="174"/>
      <c r="BG674" s="174"/>
      <c r="BH674" s="174"/>
      <c r="BI674" s="174"/>
      <c r="BJ674" s="174"/>
      <c r="BK674" s="174"/>
      <c r="BL674" s="174"/>
      <c r="BM674" s="174"/>
      <c r="BN674" s="174"/>
      <c r="BO674" s="174"/>
      <c r="BP674" s="174"/>
      <c r="BQ674" s="174"/>
      <c r="BR674" s="174"/>
      <c r="BS674" s="174"/>
      <c r="BT674" s="174"/>
      <c r="BU674" s="174"/>
      <c r="BV674" s="174"/>
      <c r="BW674" s="174"/>
      <c r="BX674" s="174"/>
      <c r="BY674" s="174"/>
      <c r="BZ674" s="174"/>
      <c r="CA674" s="174"/>
      <c r="CB674" s="174"/>
      <c r="CC674" s="174"/>
      <c r="CD674" s="174"/>
    </row>
    <row r="675">
      <c r="A675" s="105" t="str">
        <f>IF(preDEL!$AG675,IFERROR(0/0,""),preDEL!A675)</f>
        <v>FM396</v>
      </c>
      <c r="B675" s="170">
        <f>IF(preDEL!$AG675,IFERROR(0/0,""),preDEL!B675)</f>
        <v>44623</v>
      </c>
      <c r="C675" s="171">
        <f>IF(preDEL!$AG675,IFERROR(0/0,""),preDEL!C675)</f>
        <v>0.3236342593</v>
      </c>
      <c r="D675" s="105" t="str">
        <f>IF(preDEL!$AG675,IFERROR(0/0,""),preDEL!D675)</f>
        <v/>
      </c>
      <c r="E675" s="105" t="str">
        <f>IF(preDEL!$AG675,IFERROR(0/0,""),preDEL!E675)</f>
        <v/>
      </c>
      <c r="F675" s="112" t="str">
        <f>IF(preDEL!$AG675,IFERROR(0/0,""),preDEL!F675)</f>
        <v/>
      </c>
      <c r="G675" s="112" t="str">
        <f>IF(preDEL!$AG675,IFERROR(0/0,""),preDEL!G675)</f>
        <v/>
      </c>
      <c r="H675" s="112" t="str">
        <f>IF(preDEL!$AG675,IFERROR(0/0,""),preDEL!H675)</f>
        <v/>
      </c>
      <c r="I675" s="105" t="str">
        <f>IF(preDEL!$AG675,IFERROR(0/0,""),preDEL!I675)</f>
        <v/>
      </c>
      <c r="J675" s="105" t="str">
        <f>IF(preDEL!$AG675,IFERROR(0/0,""),preDEL!J675)</f>
        <v/>
      </c>
      <c r="K675" s="105" t="str">
        <f>IF(preDEL!$AG675,IFERROR(0/0,""),preDEL!K675)</f>
        <v>Negative</v>
      </c>
      <c r="L675" s="170">
        <f>IF(preDEL!$AG675,IFERROR(0/0,""),preDEL!L675)</f>
        <v>44623</v>
      </c>
      <c r="M675" s="171">
        <f>IF(preDEL!$AG675,IFERROR(0/0,""),preDEL!M675)</f>
        <v>0.4605902778</v>
      </c>
      <c r="N675" s="112" t="str">
        <f>IF(preDEL!$AG675,IFERROR(0/0,""),preDEL!N675)</f>
        <v/>
      </c>
      <c r="O675" s="112" t="str">
        <f>IF(preDEL!$AG675,IFERROR(0/0,""),preDEL!O675)</f>
        <v/>
      </c>
      <c r="P675" s="110" t="b">
        <f>IF(preDEL!$AG675,IFERROR(0/0,""),preDEL!P675)</f>
        <v>0</v>
      </c>
      <c r="Q675" s="110" t="str">
        <f>IF(preDEL!$AG675,IFERROR(0/0,""),preDEL!Q675)</f>
        <v>Result</v>
      </c>
      <c r="R675" s="104" t="b">
        <f>IF(preDEL!$AG675,IFERROR(0/0,""),preDEL!R675)</f>
        <v>1</v>
      </c>
      <c r="S675" s="104">
        <f>IF(preDEL!$AG675,IFERROR(0/0,""),preDEL!S675)</f>
        <v>1</v>
      </c>
      <c r="T675" s="110" t="str">
        <f>IF(preDEL!$AG675,IFERROR(0/0,""),preDEL!T675)</f>
        <v/>
      </c>
      <c r="U675" s="112" t="str">
        <f>IF(preDEL!$AG675,IFERROR(0/0,""),preDEL!U675)</f>
        <v/>
      </c>
      <c r="V675" s="105" t="str">
        <f>IF(preDEL!$AG675,IFERROR(0/0,""),preDEL!V675)</f>
        <v/>
      </c>
      <c r="W675" s="112" t="str">
        <f>IF(preDEL!$AG675,IFERROR(0/0,""),preDEL!W675)</f>
        <v/>
      </c>
      <c r="X675" s="104" t="b">
        <f>IF(preDEL!$AG675,IFERROR(0/0,""),preDEL!X675)</f>
        <v>0</v>
      </c>
      <c r="Y675" s="110" t="b">
        <f>IF(preDEL!$AG675,IFERROR(0/0,""),preDEL!Y675)</f>
        <v>0</v>
      </c>
      <c r="Z675" s="105" t="str">
        <f>IF(preDEL!$AG675,IFERROR(0/0,""),preDEL!Z675)</f>
        <v/>
      </c>
      <c r="AA675" s="110" t="b">
        <f>IF(preDEL!$AG675,IFERROR(0/0,""),preDEL!AA675)</f>
        <v>0</v>
      </c>
      <c r="AB675" s="110" t="b">
        <f>IF(preDEL!$AG675,IFERROR(0/0,""),preDEL!AB675)</f>
        <v>0</v>
      </c>
      <c r="AC675" s="172">
        <f>IF(preDEL!$AG675,IFERROR(0/0,""),preDEL!AC675)</f>
        <v>143</v>
      </c>
      <c r="AD675" s="104" t="b">
        <f>IF(preDEL!$AG675,IFERROR(0/0,""),preDEL!AD675)</f>
        <v>0</v>
      </c>
      <c r="AE675" s="173">
        <f>IF(preDEL!$AG675,IFERROR(0/0,""),preDEL!AE675)</f>
        <v>197.2166667</v>
      </c>
      <c r="AF675" s="110" t="b">
        <f>IF(preDEL!$AG675,IFERROR(0/0,""),preDEL!AF675)</f>
        <v>0</v>
      </c>
      <c r="AG675" s="110" t="b">
        <f>IF(preDEL!$AG675,IFERROR(0/0,""),preDEL!AG675)</f>
        <v>0</v>
      </c>
      <c r="AH675" s="104" t="str">
        <f>IF(preDEL!$AG675,IFERROR(0/0,""),preDEL!AH675)</f>
        <v/>
      </c>
      <c r="AI675" s="105" t="str">
        <f>IF(preDEL!$AG675,IFERROR(0/0,""),preDEL!AI675)</f>
        <v/>
      </c>
      <c r="AJ675" s="112" t="str">
        <f>IF(preDEL!$AG675,IFERROR(0/0,""),preDEL!AJ675)</f>
        <v/>
      </c>
      <c r="AK675" s="105" t="str">
        <f>IF(preDEL!$AG675,IFERROR(0/0,""),preDEL!AK675)</f>
        <v>Negative</v>
      </c>
      <c r="AL675" s="112" t="str">
        <f>IF(preDEL!$AG675,IFERROR(0/0,""),preDEL!AL675)</f>
        <v/>
      </c>
      <c r="AM675" s="112" t="str">
        <f>IF(preDEL!$AG675,IFERROR(0/0,""),preDEL!AM675)</f>
        <v>SpBEND551372</v>
      </c>
      <c r="AN675" s="112" t="str">
        <f>IF(preDEL!$AG675,IFERROR(0/0,""),preDEL!AN675)</f>
        <v>BEND475899</v>
      </c>
      <c r="AO675" s="112" t="str">
        <f>IF(preDEL!$AG675,IFERROR(0/0,""),preDEL!AO675)</f>
        <v/>
      </c>
      <c r="AP675" s="112" t="str">
        <f>IF(preDEL!$AG675,IFERROR(0/0,""),preDEL!AP675)</f>
        <v/>
      </c>
      <c r="AQ675" s="112" t="str">
        <f>IF(preDEL!$AG675,IFERROR(0/0,""),preDEL!AQ675)</f>
        <v/>
      </c>
      <c r="AR675" s="112" t="str">
        <f>IF(preDEL!$AG675,IFERROR(0/0,""),preDEL!AR675)</f>
        <v/>
      </c>
      <c r="AS675" s="112" t="str">
        <f>IF(preDEL!$AG675,IFERROR(0/0,""),preDEL!AS675)</f>
        <v/>
      </c>
      <c r="AT675" s="112" t="b">
        <f>IF(preDEL!$AG675,IFERROR(0/0,""),preDEL!AT675)</f>
        <v>0</v>
      </c>
      <c r="AU675" s="112" t="str">
        <f>IF(preDEL!$AG675,IFERROR(0/0,""),preDEL!AU675)</f>
        <v/>
      </c>
      <c r="AV675" s="112" t="str">
        <f>IF(preDEL!$AG675,IFERROR(0/0,""),preDEL!AV675)</f>
        <v/>
      </c>
      <c r="AW675" s="112" t="str">
        <f>IF(preDEL!$AG675,IFERROR(0/0,""),preDEL!AW675)</f>
        <v/>
      </c>
      <c r="AX675" s="112" t="str">
        <f>IF(preDEL!$AG675,IFERROR(0/0,""),preDEL!AX675)</f>
        <v/>
      </c>
      <c r="AY675" s="112" t="str">
        <f>IF(preDEL!$AG675,IFERROR(0/0,""),preDEL!AY675)</f>
        <v/>
      </c>
      <c r="AZ675" s="174"/>
      <c r="BA675" s="174"/>
      <c r="BB675" s="174"/>
      <c r="BC675" s="174"/>
      <c r="BD675" s="174"/>
      <c r="BE675" s="174"/>
      <c r="BF675" s="174"/>
      <c r="BG675" s="174"/>
      <c r="BH675" s="174"/>
      <c r="BI675" s="174"/>
      <c r="BJ675" s="174"/>
      <c r="BK675" s="174"/>
      <c r="BL675" s="174"/>
      <c r="BM675" s="174"/>
      <c r="BN675" s="174"/>
      <c r="BO675" s="174"/>
      <c r="BP675" s="174"/>
      <c r="BQ675" s="174"/>
      <c r="BR675" s="174"/>
      <c r="BS675" s="174"/>
      <c r="BT675" s="174"/>
      <c r="BU675" s="174"/>
      <c r="BV675" s="174"/>
      <c r="BW675" s="174"/>
      <c r="BX675" s="174"/>
      <c r="BY675" s="174"/>
      <c r="BZ675" s="174"/>
      <c r="CA675" s="174"/>
      <c r="CB675" s="174"/>
      <c r="CC675" s="174"/>
      <c r="CD675" s="174"/>
    </row>
    <row r="676">
      <c r="A676" s="105" t="str">
        <f>IF(preDEL!$AG676,IFERROR(0/0,""),preDEL!A676)</f>
        <v>MA1258</v>
      </c>
      <c r="B676" s="170">
        <f>IF(preDEL!$AG676,IFERROR(0/0,""),preDEL!B676)</f>
        <v>44623</v>
      </c>
      <c r="C676" s="171">
        <f>IF(preDEL!$AG676,IFERROR(0/0,""),preDEL!C676)</f>
        <v>0.3271990741</v>
      </c>
      <c r="D676" s="105" t="str">
        <f>IF(preDEL!$AG676,IFERROR(0/0,""),preDEL!D676)</f>
        <v/>
      </c>
      <c r="E676" s="105" t="str">
        <f>IF(preDEL!$AG676,IFERROR(0/0,""),preDEL!E676)</f>
        <v/>
      </c>
      <c r="F676" s="112" t="str">
        <f>IF(preDEL!$AG676,IFERROR(0/0,""),preDEL!F676)</f>
        <v/>
      </c>
      <c r="G676" s="112" t="str">
        <f>IF(preDEL!$AG676,IFERROR(0/0,""),preDEL!G676)</f>
        <v/>
      </c>
      <c r="H676" s="112" t="str">
        <f>IF(preDEL!$AG676,IFERROR(0/0,""),preDEL!H676)</f>
        <v/>
      </c>
      <c r="I676" s="175" t="str">
        <f>IF(preDEL!$AG676,IFERROR(0/0,""),preDEL!I676)</f>
        <v/>
      </c>
      <c r="J676" s="105" t="str">
        <f>IF(preDEL!$AG676,IFERROR(0/0,""),preDEL!J676)</f>
        <v/>
      </c>
      <c r="K676" s="105" t="str">
        <f>IF(preDEL!$AG676,IFERROR(0/0,""),preDEL!K676)</f>
        <v>Negative</v>
      </c>
      <c r="L676" s="170">
        <f>IF(preDEL!$AG676,IFERROR(0/0,""),preDEL!L676)</f>
        <v>44623</v>
      </c>
      <c r="M676" s="171">
        <f>IF(preDEL!$AG676,IFERROR(0/0,""),preDEL!M676)</f>
        <v>0.4605902778</v>
      </c>
      <c r="N676" s="112" t="str">
        <f>IF(preDEL!$AG676,IFERROR(0/0,""),preDEL!N676)</f>
        <v>Primary</v>
      </c>
      <c r="O676" s="112" t="str">
        <f>IF(preDEL!$AG676,IFERROR(0/0,""),preDEL!O676)</f>
        <v/>
      </c>
      <c r="P676" s="110" t="b">
        <f>IF(preDEL!$AG676,IFERROR(0/0,""),preDEL!P676)</f>
        <v>0</v>
      </c>
      <c r="Q676" s="110" t="str">
        <f>IF(preDEL!$AG676,IFERROR(0/0,""),preDEL!Q676)</f>
        <v>Result</v>
      </c>
      <c r="R676" s="104" t="b">
        <f>IF(preDEL!$AG676,IFERROR(0/0,""),preDEL!R676)</f>
        <v>1</v>
      </c>
      <c r="S676" s="104">
        <f>IF(preDEL!$AG676,IFERROR(0/0,""),preDEL!S676)</f>
        <v>1</v>
      </c>
      <c r="T676" s="110">
        <f>IF(preDEL!$AG676,IFERROR(0/0,""),preDEL!T676)</f>
        <v>0</v>
      </c>
      <c r="U676" s="112" t="str">
        <f>IF(preDEL!$AG676,IFERROR(0/0,""),preDEL!U676)</f>
        <v/>
      </c>
      <c r="V676" s="105" t="str">
        <f>IF(preDEL!$AG676,IFERROR(0/0,""),preDEL!V676)</f>
        <v/>
      </c>
      <c r="W676" s="112" t="str">
        <f>IF(preDEL!$AG676,IFERROR(0/0,""),preDEL!W676)</f>
        <v/>
      </c>
      <c r="X676" s="104" t="b">
        <f>IF(preDEL!$AG676,IFERROR(0/0,""),preDEL!X676)</f>
        <v>0</v>
      </c>
      <c r="Y676" s="110" t="b">
        <f>IF(preDEL!$AG676,IFERROR(0/0,""),preDEL!Y676)</f>
        <v>0</v>
      </c>
      <c r="Z676" s="105" t="str">
        <f>IF(preDEL!$AG676,IFERROR(0/0,""),preDEL!Z676)</f>
        <v/>
      </c>
      <c r="AA676" s="110" t="b">
        <f>IF(preDEL!$AG676,IFERROR(0/0,""),preDEL!AA676)</f>
        <v>0</v>
      </c>
      <c r="AB676" s="110" t="b">
        <f>IF(preDEL!$AG676,IFERROR(0/0,""),preDEL!AB676)</f>
        <v>0</v>
      </c>
      <c r="AC676" s="172">
        <f>IF(preDEL!$AG676,IFERROR(0/0,""),preDEL!AC676)</f>
        <v>803</v>
      </c>
      <c r="AD676" s="104" t="b">
        <f>IF(preDEL!$AG676,IFERROR(0/0,""),preDEL!AD676)</f>
        <v>1</v>
      </c>
      <c r="AE676" s="173">
        <f>IF(preDEL!$AG676,IFERROR(0/0,""),preDEL!AE676)</f>
        <v>192.0833333</v>
      </c>
      <c r="AF676" s="110" t="b">
        <f>IF(preDEL!$AG676,IFERROR(0/0,""),preDEL!AF676)</f>
        <v>0</v>
      </c>
      <c r="AG676" s="110" t="b">
        <f>IF(preDEL!$AG676,IFERROR(0/0,""),preDEL!AG676)</f>
        <v>0</v>
      </c>
      <c r="AH676" s="104" t="str">
        <f>IF(preDEL!$AG676,IFERROR(0/0,""),preDEL!AH676)</f>
        <v/>
      </c>
      <c r="AI676" s="105" t="str">
        <f>IF(preDEL!$AG676,IFERROR(0/0,""),preDEL!AI676)</f>
        <v/>
      </c>
      <c r="AJ676" s="112" t="str">
        <f>IF(preDEL!$AG676,IFERROR(0/0,""),preDEL!AJ676)</f>
        <v/>
      </c>
      <c r="AK676" s="105" t="str">
        <f>IF(preDEL!$AG676,IFERROR(0/0,""),preDEL!AK676)</f>
        <v>Negative</v>
      </c>
      <c r="AL676" s="112" t="str">
        <f>IF(preDEL!$AG676,IFERROR(0/0,""),preDEL!AL676)</f>
        <v/>
      </c>
      <c r="AM676" s="112" t="str">
        <f>IF(preDEL!$AG676,IFERROR(0/0,""),preDEL!AM676)</f>
        <v>SpBEND587584</v>
      </c>
      <c r="AN676" s="112" t="str">
        <f>IF(preDEL!$AG676,IFERROR(0/0,""),preDEL!AN676)</f>
        <v>BEND196623</v>
      </c>
      <c r="AO676" s="112" t="str">
        <f>IF(preDEL!$AG676,IFERROR(0/0,""),preDEL!AO676)</f>
        <v/>
      </c>
      <c r="AP676" s="112" t="str">
        <f>IF(preDEL!$AG676,IFERROR(0/0,""),preDEL!AP676)</f>
        <v/>
      </c>
      <c r="AQ676" s="112" t="str">
        <f>IF(preDEL!$AG676,IFERROR(0/0,""),preDEL!AQ676)</f>
        <v/>
      </c>
      <c r="AR676" s="112" t="str">
        <f>IF(preDEL!$AG676,IFERROR(0/0,""),preDEL!AR676)</f>
        <v/>
      </c>
      <c r="AS676" s="112" t="str">
        <f>IF(preDEL!$AG676,IFERROR(0/0,""),preDEL!AS676)</f>
        <v/>
      </c>
      <c r="AT676" s="112" t="b">
        <f>IF(preDEL!$AG676,IFERROR(0/0,""),preDEL!AT676)</f>
        <v>0</v>
      </c>
      <c r="AU676" s="112" t="str">
        <f>IF(preDEL!$AG676,IFERROR(0/0,""),preDEL!AU676)</f>
        <v/>
      </c>
      <c r="AV676" s="112" t="str">
        <f>IF(preDEL!$AG676,IFERROR(0/0,""),preDEL!AV676)</f>
        <v/>
      </c>
      <c r="AW676" s="112" t="str">
        <f>IF(preDEL!$AG676,IFERROR(0/0,""),preDEL!AW676)</f>
        <v/>
      </c>
      <c r="AX676" s="112" t="str">
        <f>IF(preDEL!$AG676,IFERROR(0/0,""),preDEL!AX676)</f>
        <v/>
      </c>
      <c r="AY676" s="112" t="str">
        <f>IF(preDEL!$AG676,IFERROR(0/0,""),preDEL!AY676)</f>
        <v/>
      </c>
      <c r="AZ676" s="174"/>
      <c r="BA676" s="174"/>
      <c r="BB676" s="174"/>
      <c r="BC676" s="174"/>
      <c r="BD676" s="174"/>
      <c r="BE676" s="174"/>
      <c r="BF676" s="174"/>
      <c r="BG676" s="174"/>
      <c r="BH676" s="174"/>
      <c r="BI676" s="174"/>
      <c r="BJ676" s="174"/>
      <c r="BK676" s="174"/>
      <c r="BL676" s="174"/>
      <c r="BM676" s="174"/>
      <c r="BN676" s="174"/>
      <c r="BO676" s="174"/>
      <c r="BP676" s="174"/>
      <c r="BQ676" s="174"/>
      <c r="BR676" s="174"/>
      <c r="BS676" s="174"/>
      <c r="BT676" s="174"/>
      <c r="BU676" s="174"/>
      <c r="BV676" s="174"/>
      <c r="BW676" s="174"/>
      <c r="BX676" s="174"/>
      <c r="BY676" s="174"/>
      <c r="BZ676" s="174"/>
      <c r="CA676" s="174"/>
      <c r="CB676" s="174"/>
      <c r="CC676" s="174"/>
      <c r="CD676" s="174"/>
    </row>
    <row r="677">
      <c r="A677" s="105" t="str">
        <f>IF(preDEL!$AG677,IFERROR(0/0,""),preDEL!A677)</f>
        <v>FM97</v>
      </c>
      <c r="B677" s="170">
        <f>IF(preDEL!$AG677,IFERROR(0/0,""),preDEL!B677)</f>
        <v>44623</v>
      </c>
      <c r="C677" s="171">
        <f>IF(preDEL!$AG677,IFERROR(0/0,""),preDEL!C677)</f>
        <v>0.3344212963</v>
      </c>
      <c r="D677" s="105" t="str">
        <f>IF(preDEL!$AG677,IFERROR(0/0,""),preDEL!D677)</f>
        <v/>
      </c>
      <c r="E677" s="105" t="str">
        <f>IF(preDEL!$AG677,IFERROR(0/0,""),preDEL!E677)</f>
        <v/>
      </c>
      <c r="F677" s="112" t="str">
        <f>IF(preDEL!$AG677,IFERROR(0/0,""),preDEL!F677)</f>
        <v/>
      </c>
      <c r="G677" s="112" t="str">
        <f>IF(preDEL!$AG677,IFERROR(0/0,""),preDEL!G677)</f>
        <v/>
      </c>
      <c r="H677" s="112" t="str">
        <f>IF(preDEL!$AG677,IFERROR(0/0,""),preDEL!H677)</f>
        <v/>
      </c>
      <c r="I677" s="105" t="str">
        <f>IF(preDEL!$AG677,IFERROR(0/0,""),preDEL!I677)</f>
        <v/>
      </c>
      <c r="J677" s="105" t="str">
        <f>IF(preDEL!$AG677,IFERROR(0/0,""),preDEL!J677)</f>
        <v/>
      </c>
      <c r="K677" s="105" t="str">
        <f>IF(preDEL!$AG677,IFERROR(0/0,""),preDEL!K677)</f>
        <v>Negative</v>
      </c>
      <c r="L677" s="170">
        <f>IF(preDEL!$AG677,IFERROR(0/0,""),preDEL!L677)</f>
        <v>44623</v>
      </c>
      <c r="M677" s="171">
        <f>IF(preDEL!$AG677,IFERROR(0/0,""),preDEL!M677)</f>
        <v>0.4606018519</v>
      </c>
      <c r="N677" s="112" t="str">
        <f>IF(preDEL!$AG677,IFERROR(0/0,""),preDEL!N677)</f>
        <v/>
      </c>
      <c r="O677" s="112" t="str">
        <f>IF(preDEL!$AG677,IFERROR(0/0,""),preDEL!O677)</f>
        <v/>
      </c>
      <c r="P677" s="110" t="b">
        <f>IF(preDEL!$AG677,IFERROR(0/0,""),preDEL!P677)</f>
        <v>0</v>
      </c>
      <c r="Q677" s="110" t="str">
        <f>IF(preDEL!$AG677,IFERROR(0/0,""),preDEL!Q677)</f>
        <v>Result</v>
      </c>
      <c r="R677" s="104" t="b">
        <f>IF(preDEL!$AG677,IFERROR(0/0,""),preDEL!R677)</f>
        <v>1</v>
      </c>
      <c r="S677" s="104">
        <f>IF(preDEL!$AG677,IFERROR(0/0,""),preDEL!S677)</f>
        <v>1</v>
      </c>
      <c r="T677" s="110" t="str">
        <f>IF(preDEL!$AG677,IFERROR(0/0,""),preDEL!T677)</f>
        <v/>
      </c>
      <c r="U677" s="112" t="str">
        <f>IF(preDEL!$AG677,IFERROR(0/0,""),preDEL!U677)</f>
        <v/>
      </c>
      <c r="V677" s="105" t="str">
        <f>IF(preDEL!$AG677,IFERROR(0/0,""),preDEL!V677)</f>
        <v/>
      </c>
      <c r="W677" s="112" t="str">
        <f>IF(preDEL!$AG677,IFERROR(0/0,""),preDEL!W677)</f>
        <v/>
      </c>
      <c r="X677" s="104" t="b">
        <f>IF(preDEL!$AG677,IFERROR(0/0,""),preDEL!X677)</f>
        <v>0</v>
      </c>
      <c r="Y677" s="110" t="b">
        <f>IF(preDEL!$AG677,IFERROR(0/0,""),preDEL!Y677)</f>
        <v>0</v>
      </c>
      <c r="Z677" s="105" t="str">
        <f>IF(preDEL!$AG677,IFERROR(0/0,""),preDEL!Z677)</f>
        <v/>
      </c>
      <c r="AA677" s="110" t="b">
        <f>IF(preDEL!$AG677,IFERROR(0/0,""),preDEL!AA677)</f>
        <v>0</v>
      </c>
      <c r="AB677" s="110" t="b">
        <f>IF(preDEL!$AG677,IFERROR(0/0,""),preDEL!AB677)</f>
        <v>0</v>
      </c>
      <c r="AC677" s="172">
        <f>IF(preDEL!$AG677,IFERROR(0/0,""),preDEL!AC677)</f>
        <v>142</v>
      </c>
      <c r="AD677" s="104" t="b">
        <f>IF(preDEL!$AG677,IFERROR(0/0,""),preDEL!AD677)</f>
        <v>0</v>
      </c>
      <c r="AE677" s="173">
        <f>IF(preDEL!$AG677,IFERROR(0/0,""),preDEL!AE677)</f>
        <v>181.7</v>
      </c>
      <c r="AF677" s="110" t="b">
        <f>IF(preDEL!$AG677,IFERROR(0/0,""),preDEL!AF677)</f>
        <v>0</v>
      </c>
      <c r="AG677" s="110" t="b">
        <f>IF(preDEL!$AG677,IFERROR(0/0,""),preDEL!AG677)</f>
        <v>0</v>
      </c>
      <c r="AH677" s="104" t="str">
        <f>IF(preDEL!$AG677,IFERROR(0/0,""),preDEL!AH677)</f>
        <v/>
      </c>
      <c r="AI677" s="105" t="str">
        <f>IF(preDEL!$AG677,IFERROR(0/0,""),preDEL!AI677)</f>
        <v/>
      </c>
      <c r="AJ677" s="112" t="str">
        <f>IF(preDEL!$AG677,IFERROR(0/0,""),preDEL!AJ677)</f>
        <v/>
      </c>
      <c r="AK677" s="105" t="str">
        <f>IF(preDEL!$AG677,IFERROR(0/0,""),preDEL!AK677)</f>
        <v>Negative</v>
      </c>
      <c r="AL677" s="112" t="str">
        <f>IF(preDEL!$AG677,IFERROR(0/0,""),preDEL!AL677)</f>
        <v/>
      </c>
      <c r="AM677" s="112" t="str">
        <f>IF(preDEL!$AG677,IFERROR(0/0,""),preDEL!AM677)</f>
        <v>SpBEND643855</v>
      </c>
      <c r="AN677" s="112" t="str">
        <f>IF(preDEL!$AG677,IFERROR(0/0,""),preDEL!AN677)</f>
        <v>BEND364074</v>
      </c>
      <c r="AO677" s="112" t="str">
        <f>IF(preDEL!$AG677,IFERROR(0/0,""),preDEL!AO677)</f>
        <v/>
      </c>
      <c r="AP677" s="112" t="str">
        <f>IF(preDEL!$AG677,IFERROR(0/0,""),preDEL!AP677)</f>
        <v/>
      </c>
      <c r="AQ677" s="112" t="str">
        <f>IF(preDEL!$AG677,IFERROR(0/0,""),preDEL!AQ677)</f>
        <v/>
      </c>
      <c r="AR677" s="112" t="str">
        <f>IF(preDEL!$AG677,IFERROR(0/0,""),preDEL!AR677)</f>
        <v/>
      </c>
      <c r="AS677" s="112" t="str">
        <f>IF(preDEL!$AG677,IFERROR(0/0,""),preDEL!AS677)</f>
        <v/>
      </c>
      <c r="AT677" s="112" t="b">
        <f>IF(preDEL!$AG677,IFERROR(0/0,""),preDEL!AT677)</f>
        <v>0</v>
      </c>
      <c r="AU677" s="112" t="str">
        <f>IF(preDEL!$AG677,IFERROR(0/0,""),preDEL!AU677)</f>
        <v/>
      </c>
      <c r="AV677" s="112" t="str">
        <f>IF(preDEL!$AG677,IFERROR(0/0,""),preDEL!AV677)</f>
        <v/>
      </c>
      <c r="AW677" s="112" t="str">
        <f>IF(preDEL!$AG677,IFERROR(0/0,""),preDEL!AW677)</f>
        <v/>
      </c>
      <c r="AX677" s="112" t="str">
        <f>IF(preDEL!$AG677,IFERROR(0/0,""),preDEL!AX677)</f>
        <v/>
      </c>
      <c r="AY677" s="112" t="str">
        <f>IF(preDEL!$AG677,IFERROR(0/0,""),preDEL!AY677)</f>
        <v/>
      </c>
      <c r="AZ677" s="174"/>
      <c r="BA677" s="174"/>
      <c r="BB677" s="174"/>
      <c r="BC677" s="174"/>
      <c r="BD677" s="174"/>
      <c r="BE677" s="174"/>
      <c r="BF677" s="174"/>
      <c r="BG677" s="174"/>
      <c r="BH677" s="174"/>
      <c r="BI677" s="174"/>
      <c r="BJ677" s="174"/>
      <c r="BK677" s="174"/>
      <c r="BL677" s="174"/>
      <c r="BM677" s="174"/>
      <c r="BN677" s="174"/>
      <c r="BO677" s="174"/>
      <c r="BP677" s="174"/>
      <c r="BQ677" s="174"/>
      <c r="BR677" s="174"/>
      <c r="BS677" s="174"/>
      <c r="BT677" s="174"/>
      <c r="BU677" s="174"/>
      <c r="BV677" s="174"/>
      <c r="BW677" s="174"/>
      <c r="BX677" s="174"/>
      <c r="BY677" s="174"/>
      <c r="BZ677" s="174"/>
      <c r="CA677" s="174"/>
      <c r="CB677" s="174"/>
      <c r="CC677" s="174"/>
      <c r="CD677" s="174"/>
    </row>
    <row r="678">
      <c r="A678" s="105" t="str">
        <f>IF(preDEL!$AG678,IFERROR(0/0,""),preDEL!A678)</f>
        <v>FM29</v>
      </c>
      <c r="B678" s="170">
        <f>IF(preDEL!$AG678,IFERROR(0/0,""),preDEL!B678)</f>
        <v>44623</v>
      </c>
      <c r="C678" s="171">
        <f>IF(preDEL!$AG678,IFERROR(0/0,""),preDEL!C678)</f>
        <v>0.3357291667</v>
      </c>
      <c r="D678" s="105" t="str">
        <f>IF(preDEL!$AG678,IFERROR(0/0,""),preDEL!D678)</f>
        <v/>
      </c>
      <c r="E678" s="105" t="str">
        <f>IF(preDEL!$AG678,IFERROR(0/0,""),preDEL!E678)</f>
        <v/>
      </c>
      <c r="F678" s="112" t="str">
        <f>IF(preDEL!$AG678,IFERROR(0/0,""),preDEL!F678)</f>
        <v/>
      </c>
      <c r="G678" s="112" t="str">
        <f>IF(preDEL!$AG678,IFERROR(0/0,""),preDEL!G678)</f>
        <v/>
      </c>
      <c r="H678" s="112" t="str">
        <f>IF(preDEL!$AG678,IFERROR(0/0,""),preDEL!H678)</f>
        <v/>
      </c>
      <c r="I678" s="105" t="str">
        <f>IF(preDEL!$AG678,IFERROR(0/0,""),preDEL!I678)</f>
        <v/>
      </c>
      <c r="J678" s="105" t="str">
        <f>IF(preDEL!$AG678,IFERROR(0/0,""),preDEL!J678)</f>
        <v/>
      </c>
      <c r="K678" s="105" t="str">
        <f>IF(preDEL!$AG678,IFERROR(0/0,""),preDEL!K678)</f>
        <v>Negative</v>
      </c>
      <c r="L678" s="170">
        <f>IF(preDEL!$AG678,IFERROR(0/0,""),preDEL!L678)</f>
        <v>44623</v>
      </c>
      <c r="M678" s="171">
        <f>IF(preDEL!$AG678,IFERROR(0/0,""),preDEL!M678)</f>
        <v>0.4606018519</v>
      </c>
      <c r="N678" s="112" t="str">
        <f>IF(preDEL!$AG678,IFERROR(0/0,""),preDEL!N678)</f>
        <v/>
      </c>
      <c r="O678" s="112" t="str">
        <f>IF(preDEL!$AG678,IFERROR(0/0,""),preDEL!O678)</f>
        <v/>
      </c>
      <c r="P678" s="110" t="b">
        <f>IF(preDEL!$AG678,IFERROR(0/0,""),preDEL!P678)</f>
        <v>0</v>
      </c>
      <c r="Q678" s="110" t="str">
        <f>IF(preDEL!$AG678,IFERROR(0/0,""),preDEL!Q678)</f>
        <v>Result</v>
      </c>
      <c r="R678" s="104" t="b">
        <f>IF(preDEL!$AG678,IFERROR(0/0,""),preDEL!R678)</f>
        <v>1</v>
      </c>
      <c r="S678" s="104">
        <f>IF(preDEL!$AG678,IFERROR(0/0,""),preDEL!S678)</f>
        <v>1</v>
      </c>
      <c r="T678" s="110" t="str">
        <f>IF(preDEL!$AG678,IFERROR(0/0,""),preDEL!T678)</f>
        <v/>
      </c>
      <c r="U678" s="112" t="str">
        <f>IF(preDEL!$AG678,IFERROR(0/0,""),preDEL!U678)</f>
        <v/>
      </c>
      <c r="V678" s="105" t="str">
        <f>IF(preDEL!$AG678,IFERROR(0/0,""),preDEL!V678)</f>
        <v/>
      </c>
      <c r="W678" s="112" t="str">
        <f>IF(preDEL!$AG678,IFERROR(0/0,""),preDEL!W678)</f>
        <v/>
      </c>
      <c r="X678" s="104" t="b">
        <f>IF(preDEL!$AG678,IFERROR(0/0,""),preDEL!X678)</f>
        <v>0</v>
      </c>
      <c r="Y678" s="110" t="b">
        <f>IF(preDEL!$AG678,IFERROR(0/0,""),preDEL!Y678)</f>
        <v>0</v>
      </c>
      <c r="Z678" s="105" t="str">
        <f>IF(preDEL!$AG678,IFERROR(0/0,""),preDEL!Z678)</f>
        <v/>
      </c>
      <c r="AA678" s="110" t="b">
        <f>IF(preDEL!$AG678,IFERROR(0/0,""),preDEL!AA678)</f>
        <v>0</v>
      </c>
      <c r="AB678" s="110" t="b">
        <f>IF(preDEL!$AG678,IFERROR(0/0,""),preDEL!AB678)</f>
        <v>0</v>
      </c>
      <c r="AC678" s="172">
        <f>IF(preDEL!$AG678,IFERROR(0/0,""),preDEL!AC678)</f>
        <v>141</v>
      </c>
      <c r="AD678" s="104" t="b">
        <f>IF(preDEL!$AG678,IFERROR(0/0,""),preDEL!AD678)</f>
        <v>0</v>
      </c>
      <c r="AE678" s="173">
        <f>IF(preDEL!$AG678,IFERROR(0/0,""),preDEL!AE678)</f>
        <v>179.8166667</v>
      </c>
      <c r="AF678" s="110" t="b">
        <f>IF(preDEL!$AG678,IFERROR(0/0,""),preDEL!AF678)</f>
        <v>0</v>
      </c>
      <c r="AG678" s="110" t="b">
        <f>IF(preDEL!$AG678,IFERROR(0/0,""),preDEL!AG678)</f>
        <v>0</v>
      </c>
      <c r="AH678" s="104" t="str">
        <f>IF(preDEL!$AG678,IFERROR(0/0,""),preDEL!AH678)</f>
        <v/>
      </c>
      <c r="AI678" s="105" t="str">
        <f>IF(preDEL!$AG678,IFERROR(0/0,""),preDEL!AI678)</f>
        <v/>
      </c>
      <c r="AJ678" s="112" t="str">
        <f>IF(preDEL!$AG678,IFERROR(0/0,""),preDEL!AJ678)</f>
        <v/>
      </c>
      <c r="AK678" s="105" t="str">
        <f>IF(preDEL!$AG678,IFERROR(0/0,""),preDEL!AK678)</f>
        <v>Negative</v>
      </c>
      <c r="AL678" s="112" t="str">
        <f>IF(preDEL!$AG678,IFERROR(0/0,""),preDEL!AL678)</f>
        <v/>
      </c>
      <c r="AM678" s="112" t="str">
        <f>IF(preDEL!$AG678,IFERROR(0/0,""),preDEL!AM678)</f>
        <v>SpBEND385421</v>
      </c>
      <c r="AN678" s="112" t="str">
        <f>IF(preDEL!$AG678,IFERROR(0/0,""),preDEL!AN678)</f>
        <v>BEND440747</v>
      </c>
      <c r="AO678" s="112" t="str">
        <f>IF(preDEL!$AG678,IFERROR(0/0,""),preDEL!AO678)</f>
        <v/>
      </c>
      <c r="AP678" s="112" t="str">
        <f>IF(preDEL!$AG678,IFERROR(0/0,""),preDEL!AP678)</f>
        <v/>
      </c>
      <c r="AQ678" s="112" t="str">
        <f>IF(preDEL!$AG678,IFERROR(0/0,""),preDEL!AQ678)</f>
        <v/>
      </c>
      <c r="AR678" s="112" t="str">
        <f>IF(preDEL!$AG678,IFERROR(0/0,""),preDEL!AR678)</f>
        <v/>
      </c>
      <c r="AS678" s="112" t="str">
        <f>IF(preDEL!$AG678,IFERROR(0/0,""),preDEL!AS678)</f>
        <v/>
      </c>
      <c r="AT678" s="112" t="b">
        <f>IF(preDEL!$AG678,IFERROR(0/0,""),preDEL!AT678)</f>
        <v>0</v>
      </c>
      <c r="AU678" s="112" t="str">
        <f>IF(preDEL!$AG678,IFERROR(0/0,""),preDEL!AU678)</f>
        <v/>
      </c>
      <c r="AV678" s="112" t="str">
        <f>IF(preDEL!$AG678,IFERROR(0/0,""),preDEL!AV678)</f>
        <v/>
      </c>
      <c r="AW678" s="112" t="str">
        <f>IF(preDEL!$AG678,IFERROR(0/0,""),preDEL!AW678)</f>
        <v/>
      </c>
      <c r="AX678" s="112" t="str">
        <f>IF(preDEL!$AG678,IFERROR(0/0,""),preDEL!AX678)</f>
        <v/>
      </c>
      <c r="AY678" s="112" t="str">
        <f>IF(preDEL!$AG678,IFERROR(0/0,""),preDEL!AY678)</f>
        <v/>
      </c>
      <c r="AZ678" s="174"/>
      <c r="BA678" s="174"/>
      <c r="BB678" s="174"/>
      <c r="BC678" s="174"/>
      <c r="BD678" s="174"/>
      <c r="BE678" s="174"/>
      <c r="BF678" s="174"/>
      <c r="BG678" s="174"/>
      <c r="BH678" s="174"/>
      <c r="BI678" s="174"/>
      <c r="BJ678" s="174"/>
      <c r="BK678" s="174"/>
      <c r="BL678" s="174"/>
      <c r="BM678" s="174"/>
      <c r="BN678" s="174"/>
      <c r="BO678" s="174"/>
      <c r="BP678" s="174"/>
      <c r="BQ678" s="174"/>
      <c r="BR678" s="174"/>
      <c r="BS678" s="174"/>
      <c r="BT678" s="174"/>
      <c r="BU678" s="174"/>
      <c r="BV678" s="174"/>
      <c r="BW678" s="174"/>
      <c r="BX678" s="174"/>
      <c r="BY678" s="174"/>
      <c r="BZ678" s="174"/>
      <c r="CA678" s="174"/>
      <c r="CB678" s="174"/>
      <c r="CC678" s="174"/>
      <c r="CD678" s="174"/>
    </row>
    <row r="679">
      <c r="A679" s="105" t="str">
        <f>IF(preDEL!$AG679,IFERROR(0/0,""),preDEL!A679)</f>
        <v>FM40</v>
      </c>
      <c r="B679" s="170">
        <f>IF(preDEL!$AG679,IFERROR(0/0,""),preDEL!B679)</f>
        <v>44623</v>
      </c>
      <c r="C679" s="171">
        <f>IF(preDEL!$AG679,IFERROR(0/0,""),preDEL!C679)</f>
        <v>0.336400463</v>
      </c>
      <c r="D679" s="105" t="str">
        <f>IF(preDEL!$AG679,IFERROR(0/0,""),preDEL!D679)</f>
        <v/>
      </c>
      <c r="E679" s="105" t="str">
        <f>IF(preDEL!$AG679,IFERROR(0/0,""),preDEL!E679)</f>
        <v/>
      </c>
      <c r="F679" s="112" t="str">
        <f>IF(preDEL!$AG679,IFERROR(0/0,""),preDEL!F679)</f>
        <v/>
      </c>
      <c r="G679" s="112" t="str">
        <f>IF(preDEL!$AG679,IFERROR(0/0,""),preDEL!G679)</f>
        <v/>
      </c>
      <c r="H679" s="112" t="str">
        <f>IF(preDEL!$AG679,IFERROR(0/0,""),preDEL!H679)</f>
        <v/>
      </c>
      <c r="I679" s="105" t="str">
        <f>IF(preDEL!$AG679,IFERROR(0/0,""),preDEL!I679)</f>
        <v/>
      </c>
      <c r="J679" s="105" t="str">
        <f>IF(preDEL!$AG679,IFERROR(0/0,""),preDEL!J679)</f>
        <v/>
      </c>
      <c r="K679" s="105" t="str">
        <f>IF(preDEL!$AG679,IFERROR(0/0,""),preDEL!K679)</f>
        <v>Negative</v>
      </c>
      <c r="L679" s="170">
        <f>IF(preDEL!$AG679,IFERROR(0/0,""),preDEL!L679)</f>
        <v>44623</v>
      </c>
      <c r="M679" s="171">
        <f>IF(preDEL!$AG679,IFERROR(0/0,""),preDEL!M679)</f>
        <v>0.4606018519</v>
      </c>
      <c r="N679" s="112" t="str">
        <f>IF(preDEL!$AG679,IFERROR(0/0,""),preDEL!N679)</f>
        <v/>
      </c>
      <c r="O679" s="112" t="str">
        <f>IF(preDEL!$AG679,IFERROR(0/0,""),preDEL!O679)</f>
        <v/>
      </c>
      <c r="P679" s="110" t="b">
        <f>IF(preDEL!$AG679,IFERROR(0/0,""),preDEL!P679)</f>
        <v>0</v>
      </c>
      <c r="Q679" s="110" t="str">
        <f>IF(preDEL!$AG679,IFERROR(0/0,""),preDEL!Q679)</f>
        <v>Result</v>
      </c>
      <c r="R679" s="104" t="b">
        <f>IF(preDEL!$AG679,IFERROR(0/0,""),preDEL!R679)</f>
        <v>1</v>
      </c>
      <c r="S679" s="104">
        <f>IF(preDEL!$AG679,IFERROR(0/0,""),preDEL!S679)</f>
        <v>1</v>
      </c>
      <c r="T679" s="110" t="str">
        <f>IF(preDEL!$AG679,IFERROR(0/0,""),preDEL!T679)</f>
        <v/>
      </c>
      <c r="U679" s="112" t="str">
        <f>IF(preDEL!$AG679,IFERROR(0/0,""),preDEL!U679)</f>
        <v/>
      </c>
      <c r="V679" s="105" t="str">
        <f>IF(preDEL!$AG679,IFERROR(0/0,""),preDEL!V679)</f>
        <v/>
      </c>
      <c r="W679" s="112" t="str">
        <f>IF(preDEL!$AG679,IFERROR(0/0,""),preDEL!W679)</f>
        <v/>
      </c>
      <c r="X679" s="104" t="b">
        <f>IF(preDEL!$AG679,IFERROR(0/0,""),preDEL!X679)</f>
        <v>0</v>
      </c>
      <c r="Y679" s="110" t="b">
        <f>IF(preDEL!$AG679,IFERROR(0/0,""),preDEL!Y679)</f>
        <v>0</v>
      </c>
      <c r="Z679" s="105" t="str">
        <f>IF(preDEL!$AG679,IFERROR(0/0,""),preDEL!Z679)</f>
        <v/>
      </c>
      <c r="AA679" s="110" t="b">
        <f>IF(preDEL!$AG679,IFERROR(0/0,""),preDEL!AA679)</f>
        <v>0</v>
      </c>
      <c r="AB679" s="110" t="b">
        <f>IF(preDEL!$AG679,IFERROR(0/0,""),preDEL!AB679)</f>
        <v>0</v>
      </c>
      <c r="AC679" s="172">
        <f>IF(preDEL!$AG679,IFERROR(0/0,""),preDEL!AC679)</f>
        <v>140</v>
      </c>
      <c r="AD679" s="104" t="b">
        <f>IF(preDEL!$AG679,IFERROR(0/0,""),preDEL!AD679)</f>
        <v>0</v>
      </c>
      <c r="AE679" s="173">
        <f>IF(preDEL!$AG679,IFERROR(0/0,""),preDEL!AE679)</f>
        <v>178.85</v>
      </c>
      <c r="AF679" s="110" t="b">
        <f>IF(preDEL!$AG679,IFERROR(0/0,""),preDEL!AF679)</f>
        <v>0</v>
      </c>
      <c r="AG679" s="110" t="b">
        <f>IF(preDEL!$AG679,IFERROR(0/0,""),preDEL!AG679)</f>
        <v>0</v>
      </c>
      <c r="AH679" s="104" t="str">
        <f>IF(preDEL!$AG679,IFERROR(0/0,""),preDEL!AH679)</f>
        <v/>
      </c>
      <c r="AI679" s="105" t="str">
        <f>IF(preDEL!$AG679,IFERROR(0/0,""),preDEL!AI679)</f>
        <v/>
      </c>
      <c r="AJ679" s="112" t="str">
        <f>IF(preDEL!$AG679,IFERROR(0/0,""),preDEL!AJ679)</f>
        <v/>
      </c>
      <c r="AK679" s="105" t="str">
        <f>IF(preDEL!$AG679,IFERROR(0/0,""),preDEL!AK679)</f>
        <v>Negative</v>
      </c>
      <c r="AL679" s="112" t="str">
        <f>IF(preDEL!$AG679,IFERROR(0/0,""),preDEL!AL679)</f>
        <v/>
      </c>
      <c r="AM679" s="112" t="str">
        <f>IF(preDEL!$AG679,IFERROR(0/0,""),preDEL!AM679)</f>
        <v>SpBEND292554</v>
      </c>
      <c r="AN679" s="112" t="str">
        <f>IF(preDEL!$AG679,IFERROR(0/0,""),preDEL!AN679)</f>
        <v>BEND295131</v>
      </c>
      <c r="AO679" s="112" t="str">
        <f>IF(preDEL!$AG679,IFERROR(0/0,""),preDEL!AO679)</f>
        <v/>
      </c>
      <c r="AP679" s="112" t="str">
        <f>IF(preDEL!$AG679,IFERROR(0/0,""),preDEL!AP679)</f>
        <v/>
      </c>
      <c r="AQ679" s="112" t="str">
        <f>IF(preDEL!$AG679,IFERROR(0/0,""),preDEL!AQ679)</f>
        <v/>
      </c>
      <c r="AR679" s="112" t="str">
        <f>IF(preDEL!$AG679,IFERROR(0/0,""),preDEL!AR679)</f>
        <v/>
      </c>
      <c r="AS679" s="112" t="str">
        <f>IF(preDEL!$AG679,IFERROR(0/0,""),preDEL!AS679)</f>
        <v/>
      </c>
      <c r="AT679" s="112" t="b">
        <f>IF(preDEL!$AG679,IFERROR(0/0,""),preDEL!AT679)</f>
        <v>0</v>
      </c>
      <c r="AU679" s="112" t="str">
        <f>IF(preDEL!$AG679,IFERROR(0/0,""),preDEL!AU679)</f>
        <v/>
      </c>
      <c r="AV679" s="112" t="str">
        <f>IF(preDEL!$AG679,IFERROR(0/0,""),preDEL!AV679)</f>
        <v/>
      </c>
      <c r="AW679" s="112" t="str">
        <f>IF(preDEL!$AG679,IFERROR(0/0,""),preDEL!AW679)</f>
        <v/>
      </c>
      <c r="AX679" s="112" t="str">
        <f>IF(preDEL!$AG679,IFERROR(0/0,""),preDEL!AX679)</f>
        <v/>
      </c>
      <c r="AY679" s="112" t="str">
        <f>IF(preDEL!$AG679,IFERROR(0/0,""),preDEL!AY679)</f>
        <v/>
      </c>
      <c r="AZ679" s="174"/>
      <c r="BA679" s="174"/>
      <c r="BB679" s="174"/>
      <c r="BC679" s="174"/>
      <c r="BD679" s="174"/>
      <c r="BE679" s="174"/>
      <c r="BF679" s="174"/>
      <c r="BG679" s="174"/>
      <c r="BH679" s="174"/>
      <c r="BI679" s="174"/>
      <c r="BJ679" s="174"/>
      <c r="BK679" s="174"/>
      <c r="BL679" s="174"/>
      <c r="BM679" s="174"/>
      <c r="BN679" s="174"/>
      <c r="BO679" s="174"/>
      <c r="BP679" s="174"/>
      <c r="BQ679" s="174"/>
      <c r="BR679" s="174"/>
      <c r="BS679" s="174"/>
      <c r="BT679" s="174"/>
      <c r="BU679" s="174"/>
      <c r="BV679" s="174"/>
      <c r="BW679" s="174"/>
      <c r="BX679" s="174"/>
      <c r="BY679" s="174"/>
      <c r="BZ679" s="174"/>
      <c r="CA679" s="174"/>
      <c r="CB679" s="174"/>
      <c r="CC679" s="174"/>
      <c r="CD679" s="174"/>
    </row>
    <row r="680">
      <c r="A680" s="105" t="str">
        <f>IF(preDEL!$AG680,IFERROR(0/0,""),preDEL!A680)</f>
        <v>FM58</v>
      </c>
      <c r="B680" s="170">
        <f>IF(preDEL!$AG680,IFERROR(0/0,""),preDEL!B680)</f>
        <v>44623</v>
      </c>
      <c r="C680" s="171">
        <f>IF(preDEL!$AG680,IFERROR(0/0,""),preDEL!C680)</f>
        <v>0.3459143519</v>
      </c>
      <c r="D680" s="105" t="str">
        <f>IF(preDEL!$AG680,IFERROR(0/0,""),preDEL!D680)</f>
        <v/>
      </c>
      <c r="E680" s="105" t="str">
        <f>IF(preDEL!$AG680,IFERROR(0/0,""),preDEL!E680)</f>
        <v/>
      </c>
      <c r="F680" s="112" t="str">
        <f>IF(preDEL!$AG680,IFERROR(0/0,""),preDEL!F680)</f>
        <v/>
      </c>
      <c r="G680" s="112" t="str">
        <f>IF(preDEL!$AG680,IFERROR(0/0,""),preDEL!G680)</f>
        <v/>
      </c>
      <c r="H680" s="112" t="str">
        <f>IF(preDEL!$AG680,IFERROR(0/0,""),preDEL!H680)</f>
        <v/>
      </c>
      <c r="I680" s="105" t="str">
        <f>IF(preDEL!$AG680,IFERROR(0/0,""),preDEL!I680)</f>
        <v/>
      </c>
      <c r="J680" s="105" t="str">
        <f>IF(preDEL!$AG680,IFERROR(0/0,""),preDEL!J680)</f>
        <v/>
      </c>
      <c r="K680" s="105" t="str">
        <f>IF(preDEL!$AG680,IFERROR(0/0,""),preDEL!K680)</f>
        <v>Negative</v>
      </c>
      <c r="L680" s="170">
        <f>IF(preDEL!$AG680,IFERROR(0/0,""),preDEL!L680)</f>
        <v>44623</v>
      </c>
      <c r="M680" s="171">
        <f>IF(preDEL!$AG680,IFERROR(0/0,""),preDEL!M680)</f>
        <v>0.4606018519</v>
      </c>
      <c r="N680" s="112" t="str">
        <f>IF(preDEL!$AG680,IFERROR(0/0,""),preDEL!N680)</f>
        <v/>
      </c>
      <c r="O680" s="112" t="str">
        <f>IF(preDEL!$AG680,IFERROR(0/0,""),preDEL!O680)</f>
        <v/>
      </c>
      <c r="P680" s="110" t="b">
        <f>IF(preDEL!$AG680,IFERROR(0/0,""),preDEL!P680)</f>
        <v>0</v>
      </c>
      <c r="Q680" s="110" t="str">
        <f>IF(preDEL!$AG680,IFERROR(0/0,""),preDEL!Q680)</f>
        <v>Result</v>
      </c>
      <c r="R680" s="104" t="b">
        <f>IF(preDEL!$AG680,IFERROR(0/0,""),preDEL!R680)</f>
        <v>1</v>
      </c>
      <c r="S680" s="104">
        <f>IF(preDEL!$AG680,IFERROR(0/0,""),preDEL!S680)</f>
        <v>1</v>
      </c>
      <c r="T680" s="110" t="str">
        <f>IF(preDEL!$AG680,IFERROR(0/0,""),preDEL!T680)</f>
        <v/>
      </c>
      <c r="U680" s="112" t="str">
        <f>IF(preDEL!$AG680,IFERROR(0/0,""),preDEL!U680)</f>
        <v/>
      </c>
      <c r="V680" s="105" t="str">
        <f>IF(preDEL!$AG680,IFERROR(0/0,""),preDEL!V680)</f>
        <v/>
      </c>
      <c r="W680" s="112" t="str">
        <f>IF(preDEL!$AG680,IFERROR(0/0,""),preDEL!W680)</f>
        <v/>
      </c>
      <c r="X680" s="104" t="b">
        <f>IF(preDEL!$AG680,IFERROR(0/0,""),preDEL!X680)</f>
        <v>0</v>
      </c>
      <c r="Y680" s="110" t="b">
        <f>IF(preDEL!$AG680,IFERROR(0/0,""),preDEL!Y680)</f>
        <v>0</v>
      </c>
      <c r="Z680" s="105" t="str">
        <f>IF(preDEL!$AG680,IFERROR(0/0,""),preDEL!Z680)</f>
        <v/>
      </c>
      <c r="AA680" s="110" t="b">
        <f>IF(preDEL!$AG680,IFERROR(0/0,""),preDEL!AA680)</f>
        <v>0</v>
      </c>
      <c r="AB680" s="110" t="b">
        <f>IF(preDEL!$AG680,IFERROR(0/0,""),preDEL!AB680)</f>
        <v>0</v>
      </c>
      <c r="AC680" s="172">
        <f>IF(preDEL!$AG680,IFERROR(0/0,""),preDEL!AC680)</f>
        <v>139</v>
      </c>
      <c r="AD680" s="104" t="b">
        <f>IF(preDEL!$AG680,IFERROR(0/0,""),preDEL!AD680)</f>
        <v>0</v>
      </c>
      <c r="AE680" s="173">
        <f>IF(preDEL!$AG680,IFERROR(0/0,""),preDEL!AE680)</f>
        <v>165.15</v>
      </c>
      <c r="AF680" s="110" t="b">
        <f>IF(preDEL!$AG680,IFERROR(0/0,""),preDEL!AF680)</f>
        <v>0</v>
      </c>
      <c r="AG680" s="110" t="b">
        <f>IF(preDEL!$AG680,IFERROR(0/0,""),preDEL!AG680)</f>
        <v>0</v>
      </c>
      <c r="AH680" s="104" t="str">
        <f>IF(preDEL!$AG680,IFERROR(0/0,""),preDEL!AH680)</f>
        <v/>
      </c>
      <c r="AI680" s="105" t="str">
        <f>IF(preDEL!$AG680,IFERROR(0/0,""),preDEL!AI680)</f>
        <v/>
      </c>
      <c r="AJ680" s="112" t="str">
        <f>IF(preDEL!$AG680,IFERROR(0/0,""),preDEL!AJ680)</f>
        <v/>
      </c>
      <c r="AK680" s="105" t="str">
        <f>IF(preDEL!$AG680,IFERROR(0/0,""),preDEL!AK680)</f>
        <v>Negative</v>
      </c>
      <c r="AL680" s="112" t="str">
        <f>IF(preDEL!$AG680,IFERROR(0/0,""),preDEL!AL680)</f>
        <v/>
      </c>
      <c r="AM680" s="112" t="str">
        <f>IF(preDEL!$AG680,IFERROR(0/0,""),preDEL!AM680)</f>
        <v>SpBEND721986</v>
      </c>
      <c r="AN680" s="112" t="str">
        <f>IF(preDEL!$AG680,IFERROR(0/0,""),preDEL!AN680)</f>
        <v>BEND127889</v>
      </c>
      <c r="AO680" s="112" t="str">
        <f>IF(preDEL!$AG680,IFERROR(0/0,""),preDEL!AO680)</f>
        <v/>
      </c>
      <c r="AP680" s="112" t="str">
        <f>IF(preDEL!$AG680,IFERROR(0/0,""),preDEL!AP680)</f>
        <v/>
      </c>
      <c r="AQ680" s="112" t="str">
        <f>IF(preDEL!$AG680,IFERROR(0/0,""),preDEL!AQ680)</f>
        <v/>
      </c>
      <c r="AR680" s="112" t="str">
        <f>IF(preDEL!$AG680,IFERROR(0/0,""),preDEL!AR680)</f>
        <v/>
      </c>
      <c r="AS680" s="112" t="str">
        <f>IF(preDEL!$AG680,IFERROR(0/0,""),preDEL!AS680)</f>
        <v/>
      </c>
      <c r="AT680" s="112" t="b">
        <f>IF(preDEL!$AG680,IFERROR(0/0,""),preDEL!AT680)</f>
        <v>0</v>
      </c>
      <c r="AU680" s="112" t="str">
        <f>IF(preDEL!$AG680,IFERROR(0/0,""),preDEL!AU680)</f>
        <v/>
      </c>
      <c r="AV680" s="112" t="str">
        <f>IF(preDEL!$AG680,IFERROR(0/0,""),preDEL!AV680)</f>
        <v/>
      </c>
      <c r="AW680" s="112" t="str">
        <f>IF(preDEL!$AG680,IFERROR(0/0,""),preDEL!AW680)</f>
        <v/>
      </c>
      <c r="AX680" s="112" t="str">
        <f>IF(preDEL!$AG680,IFERROR(0/0,""),preDEL!AX680)</f>
        <v/>
      </c>
      <c r="AY680" s="112" t="str">
        <f>IF(preDEL!$AG680,IFERROR(0/0,""),preDEL!AY680)</f>
        <v/>
      </c>
      <c r="AZ680" s="174"/>
      <c r="BA680" s="174"/>
      <c r="BB680" s="174"/>
      <c r="BC680" s="174"/>
      <c r="BD680" s="174"/>
      <c r="BE680" s="174"/>
      <c r="BF680" s="174"/>
      <c r="BG680" s="174"/>
      <c r="BH680" s="174"/>
      <c r="BI680" s="174"/>
      <c r="BJ680" s="174"/>
      <c r="BK680" s="174"/>
      <c r="BL680" s="174"/>
      <c r="BM680" s="174"/>
      <c r="BN680" s="174"/>
      <c r="BO680" s="174"/>
      <c r="BP680" s="174"/>
      <c r="BQ680" s="174"/>
      <c r="BR680" s="174"/>
      <c r="BS680" s="174"/>
      <c r="BT680" s="174"/>
      <c r="BU680" s="174"/>
      <c r="BV680" s="174"/>
      <c r="BW680" s="174"/>
      <c r="BX680" s="174"/>
      <c r="BY680" s="174"/>
      <c r="BZ680" s="174"/>
      <c r="CA680" s="174"/>
      <c r="CB680" s="174"/>
      <c r="CC680" s="174"/>
      <c r="CD680" s="174"/>
    </row>
    <row r="681">
      <c r="A681" s="105" t="str">
        <f>IF(preDEL!$AG681,IFERROR(0/0,""),preDEL!A681)</f>
        <v>FM24</v>
      </c>
      <c r="B681" s="170">
        <f>IF(preDEL!$AG681,IFERROR(0/0,""),preDEL!B681)</f>
        <v>44623</v>
      </c>
      <c r="C681" s="171">
        <f>IF(preDEL!$AG681,IFERROR(0/0,""),preDEL!C681)</f>
        <v>0.3548032407</v>
      </c>
      <c r="D681" s="105" t="str">
        <f>IF(preDEL!$AG681,IFERROR(0/0,""),preDEL!D681)</f>
        <v/>
      </c>
      <c r="E681" s="105" t="str">
        <f>IF(preDEL!$AG681,IFERROR(0/0,""),preDEL!E681)</f>
        <v/>
      </c>
      <c r="F681" s="112" t="str">
        <f>IF(preDEL!$AG681,IFERROR(0/0,""),preDEL!F681)</f>
        <v/>
      </c>
      <c r="G681" s="112" t="str">
        <f>IF(preDEL!$AG681,IFERROR(0/0,""),preDEL!G681)</f>
        <v/>
      </c>
      <c r="H681" s="112" t="str">
        <f>IF(preDEL!$AG681,IFERROR(0/0,""),preDEL!H681)</f>
        <v/>
      </c>
      <c r="I681" s="105" t="str">
        <f>IF(preDEL!$AG681,IFERROR(0/0,""),preDEL!I681)</f>
        <v/>
      </c>
      <c r="J681" s="105" t="str">
        <f>IF(preDEL!$AG681,IFERROR(0/0,""),preDEL!J681)</f>
        <v/>
      </c>
      <c r="K681" s="105" t="str">
        <f>IF(preDEL!$AG681,IFERROR(0/0,""),preDEL!K681)</f>
        <v>Negative</v>
      </c>
      <c r="L681" s="170">
        <f>IF(preDEL!$AG681,IFERROR(0/0,""),preDEL!L681)</f>
        <v>44623</v>
      </c>
      <c r="M681" s="171">
        <f>IF(preDEL!$AG681,IFERROR(0/0,""),preDEL!M681)</f>
        <v>0.4606018519</v>
      </c>
      <c r="N681" s="112" t="str">
        <f>IF(preDEL!$AG681,IFERROR(0/0,""),preDEL!N681)</f>
        <v/>
      </c>
      <c r="O681" s="112" t="str">
        <f>IF(preDEL!$AG681,IFERROR(0/0,""),preDEL!O681)</f>
        <v/>
      </c>
      <c r="P681" s="110" t="b">
        <f>IF(preDEL!$AG681,IFERROR(0/0,""),preDEL!P681)</f>
        <v>0</v>
      </c>
      <c r="Q681" s="110" t="str">
        <f>IF(preDEL!$AG681,IFERROR(0/0,""),preDEL!Q681)</f>
        <v>Result</v>
      </c>
      <c r="R681" s="104" t="b">
        <f>IF(preDEL!$AG681,IFERROR(0/0,""),preDEL!R681)</f>
        <v>1</v>
      </c>
      <c r="S681" s="104">
        <f>IF(preDEL!$AG681,IFERROR(0/0,""),preDEL!S681)</f>
        <v>1</v>
      </c>
      <c r="T681" s="110" t="str">
        <f>IF(preDEL!$AG681,IFERROR(0/0,""),preDEL!T681)</f>
        <v/>
      </c>
      <c r="U681" s="112" t="str">
        <f>IF(preDEL!$AG681,IFERROR(0/0,""),preDEL!U681)</f>
        <v/>
      </c>
      <c r="V681" s="105" t="str">
        <f>IF(preDEL!$AG681,IFERROR(0/0,""),preDEL!V681)</f>
        <v/>
      </c>
      <c r="W681" s="112" t="str">
        <f>IF(preDEL!$AG681,IFERROR(0/0,""),preDEL!W681)</f>
        <v/>
      </c>
      <c r="X681" s="104" t="b">
        <f>IF(preDEL!$AG681,IFERROR(0/0,""),preDEL!X681)</f>
        <v>0</v>
      </c>
      <c r="Y681" s="110" t="b">
        <f>IF(preDEL!$AG681,IFERROR(0/0,""),preDEL!Y681)</f>
        <v>0</v>
      </c>
      <c r="Z681" s="105" t="str">
        <f>IF(preDEL!$AG681,IFERROR(0/0,""),preDEL!Z681)</f>
        <v/>
      </c>
      <c r="AA681" s="110" t="b">
        <f>IF(preDEL!$AG681,IFERROR(0/0,""),preDEL!AA681)</f>
        <v>0</v>
      </c>
      <c r="AB681" s="110" t="b">
        <f>IF(preDEL!$AG681,IFERROR(0/0,""),preDEL!AB681)</f>
        <v>0</v>
      </c>
      <c r="AC681" s="172">
        <f>IF(preDEL!$AG681,IFERROR(0/0,""),preDEL!AC681)</f>
        <v>138</v>
      </c>
      <c r="AD681" s="104" t="b">
        <f>IF(preDEL!$AG681,IFERROR(0/0,""),preDEL!AD681)</f>
        <v>0</v>
      </c>
      <c r="AE681" s="173">
        <f>IF(preDEL!$AG681,IFERROR(0/0,""),preDEL!AE681)</f>
        <v>152.35</v>
      </c>
      <c r="AF681" s="110" t="b">
        <f>IF(preDEL!$AG681,IFERROR(0/0,""),preDEL!AF681)</f>
        <v>0</v>
      </c>
      <c r="AG681" s="110" t="b">
        <f>IF(preDEL!$AG681,IFERROR(0/0,""),preDEL!AG681)</f>
        <v>0</v>
      </c>
      <c r="AH681" s="104" t="str">
        <f>IF(preDEL!$AG681,IFERROR(0/0,""),preDEL!AH681)</f>
        <v/>
      </c>
      <c r="AI681" s="105" t="str">
        <f>IF(preDEL!$AG681,IFERROR(0/0,""),preDEL!AI681)</f>
        <v/>
      </c>
      <c r="AJ681" s="112" t="str">
        <f>IF(preDEL!$AG681,IFERROR(0/0,""),preDEL!AJ681)</f>
        <v/>
      </c>
      <c r="AK681" s="105" t="str">
        <f>IF(preDEL!$AG681,IFERROR(0/0,""),preDEL!AK681)</f>
        <v>Negative</v>
      </c>
      <c r="AL681" s="112" t="str">
        <f>IF(preDEL!$AG681,IFERROR(0/0,""),preDEL!AL681)</f>
        <v/>
      </c>
      <c r="AM681" s="112" t="str">
        <f>IF(preDEL!$AG681,IFERROR(0/0,""),preDEL!AM681)</f>
        <v>SpBEND425753</v>
      </c>
      <c r="AN681" s="112" t="str">
        <f>IF(preDEL!$AG681,IFERROR(0/0,""),preDEL!AN681)</f>
        <v>BEND982858</v>
      </c>
      <c r="AO681" s="112" t="str">
        <f>IF(preDEL!$AG681,IFERROR(0/0,""),preDEL!AO681)</f>
        <v/>
      </c>
      <c r="AP681" s="112" t="str">
        <f>IF(preDEL!$AG681,IFERROR(0/0,""),preDEL!AP681)</f>
        <v/>
      </c>
      <c r="AQ681" s="112" t="str">
        <f>IF(preDEL!$AG681,IFERROR(0/0,""),preDEL!AQ681)</f>
        <v/>
      </c>
      <c r="AR681" s="112" t="str">
        <f>IF(preDEL!$AG681,IFERROR(0/0,""),preDEL!AR681)</f>
        <v/>
      </c>
      <c r="AS681" s="112" t="str">
        <f>IF(preDEL!$AG681,IFERROR(0/0,""),preDEL!AS681)</f>
        <v/>
      </c>
      <c r="AT681" s="112" t="b">
        <f>IF(preDEL!$AG681,IFERROR(0/0,""),preDEL!AT681)</f>
        <v>0</v>
      </c>
      <c r="AU681" s="112" t="str">
        <f>IF(preDEL!$AG681,IFERROR(0/0,""),preDEL!AU681)</f>
        <v/>
      </c>
      <c r="AV681" s="112" t="str">
        <f>IF(preDEL!$AG681,IFERROR(0/0,""),preDEL!AV681)</f>
        <v/>
      </c>
      <c r="AW681" s="112" t="str">
        <f>IF(preDEL!$AG681,IFERROR(0/0,""),preDEL!AW681)</f>
        <v/>
      </c>
      <c r="AX681" s="112" t="str">
        <f>IF(preDEL!$AG681,IFERROR(0/0,""),preDEL!AX681)</f>
        <v/>
      </c>
      <c r="AY681" s="112" t="str">
        <f>IF(preDEL!$AG681,IFERROR(0/0,""),preDEL!AY681)</f>
        <v/>
      </c>
      <c r="AZ681" s="174"/>
      <c r="BA681" s="174"/>
      <c r="BB681" s="174"/>
      <c r="BC681" s="174"/>
      <c r="BD681" s="174"/>
      <c r="BE681" s="174"/>
      <c r="BF681" s="174"/>
      <c r="BG681" s="174"/>
      <c r="BH681" s="174"/>
      <c r="BI681" s="174"/>
      <c r="BJ681" s="174"/>
      <c r="BK681" s="174"/>
      <c r="BL681" s="174"/>
      <c r="BM681" s="174"/>
      <c r="BN681" s="174"/>
      <c r="BO681" s="174"/>
      <c r="BP681" s="174"/>
      <c r="BQ681" s="174"/>
      <c r="BR681" s="174"/>
      <c r="BS681" s="174"/>
      <c r="BT681" s="174"/>
      <c r="BU681" s="174"/>
      <c r="BV681" s="174"/>
      <c r="BW681" s="174"/>
      <c r="BX681" s="174"/>
      <c r="BY681" s="174"/>
      <c r="BZ681" s="174"/>
      <c r="CA681" s="174"/>
      <c r="CB681" s="174"/>
      <c r="CC681" s="174"/>
      <c r="CD681" s="174"/>
    </row>
    <row r="682">
      <c r="A682" s="105" t="str">
        <f>IF(preDEL!$AG682,IFERROR(0/0,""),preDEL!A682)</f>
        <v>FM646</v>
      </c>
      <c r="B682" s="170">
        <f>IF(preDEL!$AG682,IFERROR(0/0,""),preDEL!B682)</f>
        <v>44623</v>
      </c>
      <c r="C682" s="171">
        <f>IF(preDEL!$AG682,IFERROR(0/0,""),preDEL!C682)</f>
        <v>0.3894097222</v>
      </c>
      <c r="D682" s="105" t="str">
        <f>IF(preDEL!$AG682,IFERROR(0/0,""),preDEL!D682)</f>
        <v/>
      </c>
      <c r="E682" s="105" t="str">
        <f>IF(preDEL!$AG682,IFERROR(0/0,""),preDEL!E682)</f>
        <v/>
      </c>
      <c r="F682" s="112" t="str">
        <f>IF(preDEL!$AG682,IFERROR(0/0,""),preDEL!F682)</f>
        <v/>
      </c>
      <c r="G682" s="112" t="str">
        <f>IF(preDEL!$AG682,IFERROR(0/0,""),preDEL!G682)</f>
        <v/>
      </c>
      <c r="H682" s="112" t="str">
        <f>IF(preDEL!$AG682,IFERROR(0/0,""),preDEL!H682)</f>
        <v/>
      </c>
      <c r="I682" s="105" t="str">
        <f>IF(preDEL!$AG682,IFERROR(0/0,""),preDEL!I682)</f>
        <v/>
      </c>
      <c r="J682" s="105" t="str">
        <f>IF(preDEL!$AG682,IFERROR(0/0,""),preDEL!J682)</f>
        <v/>
      </c>
      <c r="K682" s="105" t="str">
        <f>IF(preDEL!$AG682,IFERROR(0/0,""),preDEL!K682)</f>
        <v>Negative</v>
      </c>
      <c r="L682" s="170">
        <f>IF(preDEL!$AG682,IFERROR(0/0,""),preDEL!L682)</f>
        <v>44623</v>
      </c>
      <c r="M682" s="171">
        <f>IF(preDEL!$AG682,IFERROR(0/0,""),preDEL!M682)</f>
        <v>0.4606018519</v>
      </c>
      <c r="N682" s="112" t="str">
        <f>IF(preDEL!$AG682,IFERROR(0/0,""),preDEL!N682)</f>
        <v/>
      </c>
      <c r="O682" s="112" t="str">
        <f>IF(preDEL!$AG682,IFERROR(0/0,""),preDEL!O682)</f>
        <v/>
      </c>
      <c r="P682" s="110" t="b">
        <f>IF(preDEL!$AG682,IFERROR(0/0,""),preDEL!P682)</f>
        <v>0</v>
      </c>
      <c r="Q682" s="110" t="str">
        <f>IF(preDEL!$AG682,IFERROR(0/0,""),preDEL!Q682)</f>
        <v>Result</v>
      </c>
      <c r="R682" s="104" t="b">
        <f>IF(preDEL!$AG682,IFERROR(0/0,""),preDEL!R682)</f>
        <v>1</v>
      </c>
      <c r="S682" s="104">
        <f>IF(preDEL!$AG682,IFERROR(0/0,""),preDEL!S682)</f>
        <v>1</v>
      </c>
      <c r="T682" s="110" t="str">
        <f>IF(preDEL!$AG682,IFERROR(0/0,""),preDEL!T682)</f>
        <v/>
      </c>
      <c r="U682" s="112" t="str">
        <f>IF(preDEL!$AG682,IFERROR(0/0,""),preDEL!U682)</f>
        <v/>
      </c>
      <c r="V682" s="105" t="str">
        <f>IF(preDEL!$AG682,IFERROR(0/0,""),preDEL!V682)</f>
        <v/>
      </c>
      <c r="W682" s="112" t="str">
        <f>IF(preDEL!$AG682,IFERROR(0/0,""),preDEL!W682)</f>
        <v/>
      </c>
      <c r="X682" s="104" t="b">
        <f>IF(preDEL!$AG682,IFERROR(0/0,""),preDEL!X682)</f>
        <v>0</v>
      </c>
      <c r="Y682" s="110" t="b">
        <f>IF(preDEL!$AG682,IFERROR(0/0,""),preDEL!Y682)</f>
        <v>0</v>
      </c>
      <c r="Z682" s="105" t="str">
        <f>IF(preDEL!$AG682,IFERROR(0/0,""),preDEL!Z682)</f>
        <v/>
      </c>
      <c r="AA682" s="110" t="b">
        <f>IF(preDEL!$AG682,IFERROR(0/0,""),preDEL!AA682)</f>
        <v>0</v>
      </c>
      <c r="AB682" s="110" t="b">
        <f>IF(preDEL!$AG682,IFERROR(0/0,""),preDEL!AB682)</f>
        <v>0</v>
      </c>
      <c r="AC682" s="172">
        <f>IF(preDEL!$AG682,IFERROR(0/0,""),preDEL!AC682)</f>
        <v>137</v>
      </c>
      <c r="AD682" s="104" t="b">
        <f>IF(preDEL!$AG682,IFERROR(0/0,""),preDEL!AD682)</f>
        <v>0</v>
      </c>
      <c r="AE682" s="173">
        <f>IF(preDEL!$AG682,IFERROR(0/0,""),preDEL!AE682)</f>
        <v>102.5166667</v>
      </c>
      <c r="AF682" s="110" t="b">
        <f>IF(preDEL!$AG682,IFERROR(0/0,""),preDEL!AF682)</f>
        <v>0</v>
      </c>
      <c r="AG682" s="110" t="b">
        <f>IF(preDEL!$AG682,IFERROR(0/0,""),preDEL!AG682)</f>
        <v>0</v>
      </c>
      <c r="AH682" s="104" t="str">
        <f>IF(preDEL!$AG682,IFERROR(0/0,""),preDEL!AH682)</f>
        <v/>
      </c>
      <c r="AI682" s="105" t="str">
        <f>IF(preDEL!$AG682,IFERROR(0/0,""),preDEL!AI682)</f>
        <v/>
      </c>
      <c r="AJ682" s="112" t="str">
        <f>IF(preDEL!$AG682,IFERROR(0/0,""),preDEL!AJ682)</f>
        <v/>
      </c>
      <c r="AK682" s="105" t="str">
        <f>IF(preDEL!$AG682,IFERROR(0/0,""),preDEL!AK682)</f>
        <v>Negative</v>
      </c>
      <c r="AL682" s="112" t="str">
        <f>IF(preDEL!$AG682,IFERROR(0/0,""),preDEL!AL682)</f>
        <v/>
      </c>
      <c r="AM682" s="112" t="str">
        <f>IF(preDEL!$AG682,IFERROR(0/0,""),preDEL!AM682)</f>
        <v>SpBEND110967</v>
      </c>
      <c r="AN682" s="112" t="str">
        <f>IF(preDEL!$AG682,IFERROR(0/0,""),preDEL!AN682)</f>
        <v>BEND477901</v>
      </c>
      <c r="AO682" s="112" t="str">
        <f>IF(preDEL!$AG682,IFERROR(0/0,""),preDEL!AO682)</f>
        <v/>
      </c>
      <c r="AP682" s="112" t="str">
        <f>IF(preDEL!$AG682,IFERROR(0/0,""),preDEL!AP682)</f>
        <v/>
      </c>
      <c r="AQ682" s="112" t="str">
        <f>IF(preDEL!$AG682,IFERROR(0/0,""),preDEL!AQ682)</f>
        <v/>
      </c>
      <c r="AR682" s="112" t="str">
        <f>IF(preDEL!$AG682,IFERROR(0/0,""),preDEL!AR682)</f>
        <v/>
      </c>
      <c r="AS682" s="112" t="str">
        <f>IF(preDEL!$AG682,IFERROR(0/0,""),preDEL!AS682)</f>
        <v/>
      </c>
      <c r="AT682" s="112" t="b">
        <f>IF(preDEL!$AG682,IFERROR(0/0,""),preDEL!AT682)</f>
        <v>0</v>
      </c>
      <c r="AU682" s="112" t="str">
        <f>IF(preDEL!$AG682,IFERROR(0/0,""),preDEL!AU682)</f>
        <v/>
      </c>
      <c r="AV682" s="112" t="str">
        <f>IF(preDEL!$AG682,IFERROR(0/0,""),preDEL!AV682)</f>
        <v/>
      </c>
      <c r="AW682" s="112" t="str">
        <f>IF(preDEL!$AG682,IFERROR(0/0,""),preDEL!AW682)</f>
        <v/>
      </c>
      <c r="AX682" s="112" t="str">
        <f>IF(preDEL!$AG682,IFERROR(0/0,""),preDEL!AX682)</f>
        <v/>
      </c>
      <c r="AY682" s="112" t="str">
        <f>IF(preDEL!$AG682,IFERROR(0/0,""),preDEL!AY682)</f>
        <v/>
      </c>
      <c r="AZ682" s="174"/>
      <c r="BA682" s="174"/>
      <c r="BB682" s="174"/>
      <c r="BC682" s="174"/>
      <c r="BD682" s="174"/>
      <c r="BE682" s="174"/>
      <c r="BF682" s="174"/>
      <c r="BG682" s="174"/>
      <c r="BH682" s="174"/>
      <c r="BI682" s="174"/>
      <c r="BJ682" s="174"/>
      <c r="BK682" s="174"/>
      <c r="BL682" s="174"/>
      <c r="BM682" s="174"/>
      <c r="BN682" s="174"/>
      <c r="BO682" s="174"/>
      <c r="BP682" s="174"/>
      <c r="BQ682" s="174"/>
      <c r="BR682" s="174"/>
      <c r="BS682" s="174"/>
      <c r="BT682" s="174"/>
      <c r="BU682" s="174"/>
      <c r="BV682" s="174"/>
      <c r="BW682" s="174"/>
      <c r="BX682" s="174"/>
      <c r="BY682" s="174"/>
      <c r="BZ682" s="174"/>
      <c r="CA682" s="174"/>
      <c r="CB682" s="174"/>
      <c r="CC682" s="174"/>
      <c r="CD682" s="174"/>
    </row>
    <row r="683">
      <c r="A683" s="105" t="str">
        <f>IF(preDEL!$AG683,IFERROR(0/0,""),preDEL!A683)</f>
        <v>MA1307</v>
      </c>
      <c r="B683" s="170">
        <f>IF(preDEL!$AG683,IFERROR(0/0,""),preDEL!B683)</f>
        <v>44623</v>
      </c>
      <c r="C683" s="171">
        <f>IF(preDEL!$AG683,IFERROR(0/0,""),preDEL!C683)</f>
        <v>0.3907638889</v>
      </c>
      <c r="D683" s="105" t="str">
        <f>IF(preDEL!$AG683,IFERROR(0/0,""),preDEL!D683)</f>
        <v/>
      </c>
      <c r="E683" s="105" t="str">
        <f>IF(preDEL!$AG683,IFERROR(0/0,""),preDEL!E683)</f>
        <v/>
      </c>
      <c r="F683" s="112" t="str">
        <f>IF(preDEL!$AG683,IFERROR(0/0,""),preDEL!F683)</f>
        <v/>
      </c>
      <c r="G683" s="112" t="str">
        <f>IF(preDEL!$AG683,IFERROR(0/0,""),preDEL!G683)</f>
        <v/>
      </c>
      <c r="H683" s="176" t="str">
        <f>IF(preDEL!$AG683,IFERROR(0/0,""),preDEL!H683)</f>
        <v/>
      </c>
      <c r="I683" s="175" t="str">
        <f>IF(preDEL!$AG683,IFERROR(0/0,""),preDEL!I683)</f>
        <v/>
      </c>
      <c r="J683" s="105" t="str">
        <f>IF(preDEL!$AG683,IFERROR(0/0,""),preDEL!J683)</f>
        <v/>
      </c>
      <c r="K683" s="105" t="str">
        <f>IF(preDEL!$AG683,IFERROR(0/0,""),preDEL!K683)</f>
        <v>Negative</v>
      </c>
      <c r="L683" s="170">
        <f>IF(preDEL!$AG683,IFERROR(0/0,""),preDEL!L683)</f>
        <v>44623</v>
      </c>
      <c r="M683" s="171">
        <f>IF(preDEL!$AG683,IFERROR(0/0,""),preDEL!M683)</f>
        <v>0.4606018519</v>
      </c>
      <c r="N683" s="112" t="str">
        <f>IF(preDEL!$AG683,IFERROR(0/0,""),preDEL!N683)</f>
        <v>Primary</v>
      </c>
      <c r="O683" s="112" t="str">
        <f>IF(preDEL!$AG683,IFERROR(0/0,""),preDEL!O683)</f>
        <v/>
      </c>
      <c r="P683" s="110" t="b">
        <f>IF(preDEL!$AG683,IFERROR(0/0,""),preDEL!P683)</f>
        <v>0</v>
      </c>
      <c r="Q683" s="110" t="str">
        <f>IF(preDEL!$AG683,IFERROR(0/0,""),preDEL!Q683)</f>
        <v>Result</v>
      </c>
      <c r="R683" s="104" t="b">
        <f>IF(preDEL!$AG683,IFERROR(0/0,""),preDEL!R683)</f>
        <v>1</v>
      </c>
      <c r="S683" s="104">
        <f>IF(preDEL!$AG683,IFERROR(0/0,""),preDEL!S683)</f>
        <v>1</v>
      </c>
      <c r="T683" s="110">
        <f>IF(preDEL!$AG683,IFERROR(0/0,""),preDEL!T683)</f>
        <v>0</v>
      </c>
      <c r="U683" s="112" t="str">
        <f>IF(preDEL!$AG683,IFERROR(0/0,""),preDEL!U683)</f>
        <v/>
      </c>
      <c r="V683" s="105" t="str">
        <f>IF(preDEL!$AG683,IFERROR(0/0,""),preDEL!V683)</f>
        <v/>
      </c>
      <c r="W683" s="112" t="str">
        <f>IF(preDEL!$AG683,IFERROR(0/0,""),preDEL!W683)</f>
        <v/>
      </c>
      <c r="X683" s="104" t="b">
        <f>IF(preDEL!$AG683,IFERROR(0/0,""),preDEL!X683)</f>
        <v>0</v>
      </c>
      <c r="Y683" s="110" t="b">
        <f>IF(preDEL!$AG683,IFERROR(0/0,""),preDEL!Y683)</f>
        <v>0</v>
      </c>
      <c r="Z683" s="105" t="str">
        <f>IF(preDEL!$AG683,IFERROR(0/0,""),preDEL!Z683)</f>
        <v/>
      </c>
      <c r="AA683" s="110" t="b">
        <f>IF(preDEL!$AG683,IFERROR(0/0,""),preDEL!AA683)</f>
        <v>0</v>
      </c>
      <c r="AB683" s="110" t="b">
        <f>IF(preDEL!$AG683,IFERROR(0/0,""),preDEL!AB683)</f>
        <v>0</v>
      </c>
      <c r="AC683" s="172">
        <f>IF(preDEL!$AG683,IFERROR(0/0,""),preDEL!AC683)</f>
        <v>808</v>
      </c>
      <c r="AD683" s="104" t="b">
        <f>IF(preDEL!$AG683,IFERROR(0/0,""),preDEL!AD683)</f>
        <v>1</v>
      </c>
      <c r="AE683" s="173">
        <f>IF(preDEL!$AG683,IFERROR(0/0,""),preDEL!AE683)</f>
        <v>100.5666667</v>
      </c>
      <c r="AF683" s="110" t="b">
        <f>IF(preDEL!$AG683,IFERROR(0/0,""),preDEL!AF683)</f>
        <v>0</v>
      </c>
      <c r="AG683" s="110" t="b">
        <f>IF(preDEL!$AG683,IFERROR(0/0,""),preDEL!AG683)</f>
        <v>0</v>
      </c>
      <c r="AH683" s="104" t="str">
        <f>IF(preDEL!$AG683,IFERROR(0/0,""),preDEL!AH683)</f>
        <v/>
      </c>
      <c r="AI683" s="105" t="str">
        <f>IF(preDEL!$AG683,IFERROR(0/0,""),preDEL!AI683)</f>
        <v/>
      </c>
      <c r="AJ683" s="112" t="str">
        <f>IF(preDEL!$AG683,IFERROR(0/0,""),preDEL!AJ683)</f>
        <v/>
      </c>
      <c r="AK683" s="105" t="str">
        <f>IF(preDEL!$AG683,IFERROR(0/0,""),preDEL!AK683)</f>
        <v>Negative</v>
      </c>
      <c r="AL683" s="112" t="str">
        <f>IF(preDEL!$AG683,IFERROR(0/0,""),preDEL!AL683)</f>
        <v/>
      </c>
      <c r="AM683" s="112" t="str">
        <f>IF(preDEL!$AG683,IFERROR(0/0,""),preDEL!AM683)</f>
        <v>SpBEND110967</v>
      </c>
      <c r="AN683" s="112" t="str">
        <f>IF(preDEL!$AG683,IFERROR(0/0,""),preDEL!AN683)</f>
        <v>BEND109884</v>
      </c>
      <c r="AO683" s="112" t="str">
        <f>IF(preDEL!$AG683,IFERROR(0/0,""),preDEL!AO683)</f>
        <v/>
      </c>
      <c r="AP683" s="112" t="str">
        <f>IF(preDEL!$AG683,IFERROR(0/0,""),preDEL!AP683)</f>
        <v/>
      </c>
      <c r="AQ683" s="112" t="str">
        <f>IF(preDEL!$AG683,IFERROR(0/0,""),preDEL!AQ683)</f>
        <v/>
      </c>
      <c r="AR683" s="112" t="str">
        <f>IF(preDEL!$AG683,IFERROR(0/0,""),preDEL!AR683)</f>
        <v/>
      </c>
      <c r="AS683" s="112" t="str">
        <f>IF(preDEL!$AG683,IFERROR(0/0,""),preDEL!AS683)</f>
        <v/>
      </c>
      <c r="AT683" s="112" t="b">
        <f>IF(preDEL!$AG683,IFERROR(0/0,""),preDEL!AT683)</f>
        <v>0</v>
      </c>
      <c r="AU683" s="112" t="str">
        <f>IF(preDEL!$AG683,IFERROR(0/0,""),preDEL!AU683)</f>
        <v/>
      </c>
      <c r="AV683" s="112" t="str">
        <f>IF(preDEL!$AG683,IFERROR(0/0,""),preDEL!AV683)</f>
        <v/>
      </c>
      <c r="AW683" s="112" t="str">
        <f>IF(preDEL!$AG683,IFERROR(0/0,""),preDEL!AW683)</f>
        <v/>
      </c>
      <c r="AX683" s="112" t="str">
        <f>IF(preDEL!$AG683,IFERROR(0/0,""),preDEL!AX683)</f>
        <v/>
      </c>
      <c r="AY683" s="112" t="str">
        <f>IF(preDEL!$AG683,IFERROR(0/0,""),preDEL!AY683)</f>
        <v/>
      </c>
      <c r="AZ683" s="174"/>
      <c r="BA683" s="174"/>
      <c r="BB683" s="174"/>
      <c r="BC683" s="174"/>
      <c r="BD683" s="174"/>
      <c r="BE683" s="174"/>
      <c r="BF683" s="174"/>
      <c r="BG683" s="174"/>
      <c r="BH683" s="174"/>
      <c r="BI683" s="174"/>
      <c r="BJ683" s="174"/>
      <c r="BK683" s="174"/>
      <c r="BL683" s="174"/>
      <c r="BM683" s="174"/>
      <c r="BN683" s="174"/>
      <c r="BO683" s="174"/>
      <c r="BP683" s="174"/>
      <c r="BQ683" s="174"/>
      <c r="BR683" s="174"/>
      <c r="BS683" s="174"/>
      <c r="BT683" s="174"/>
      <c r="BU683" s="174"/>
      <c r="BV683" s="174"/>
      <c r="BW683" s="174"/>
      <c r="BX683" s="174"/>
      <c r="BY683" s="174"/>
      <c r="BZ683" s="174"/>
      <c r="CA683" s="174"/>
      <c r="CB683" s="174"/>
      <c r="CC683" s="174"/>
      <c r="CD683" s="174"/>
    </row>
    <row r="684">
      <c r="A684" s="105" t="str">
        <f>IF(preDEL!$AG684,IFERROR(0/0,""),preDEL!A684)</f>
        <v>MA1305</v>
      </c>
      <c r="B684" s="170">
        <f>IF(preDEL!$AG684,IFERROR(0/0,""),preDEL!B684)</f>
        <v>44623</v>
      </c>
      <c r="C684" s="171">
        <f>IF(preDEL!$AG684,IFERROR(0/0,""),preDEL!C684)</f>
        <v>0.3910416667</v>
      </c>
      <c r="D684" s="105" t="str">
        <f>IF(preDEL!$AG684,IFERROR(0/0,""),preDEL!D684)</f>
        <v/>
      </c>
      <c r="E684" s="105" t="str">
        <f>IF(preDEL!$AG684,IFERROR(0/0,""),preDEL!E684)</f>
        <v/>
      </c>
      <c r="F684" s="112" t="str">
        <f>IF(preDEL!$AG684,IFERROR(0/0,""),preDEL!F684)</f>
        <v/>
      </c>
      <c r="G684" s="112" t="str">
        <f>IF(preDEL!$AG684,IFERROR(0/0,""),preDEL!G684)</f>
        <v/>
      </c>
      <c r="H684" s="176" t="str">
        <f>IF(preDEL!$AG684,IFERROR(0/0,""),preDEL!H684)</f>
        <v/>
      </c>
      <c r="I684" s="175" t="str">
        <f>IF(preDEL!$AG684,IFERROR(0/0,""),preDEL!I684)</f>
        <v/>
      </c>
      <c r="J684" s="105" t="str">
        <f>IF(preDEL!$AG684,IFERROR(0/0,""),preDEL!J684)</f>
        <v/>
      </c>
      <c r="K684" s="105" t="str">
        <f>IF(preDEL!$AG684,IFERROR(0/0,""),preDEL!K684)</f>
        <v>Positive</v>
      </c>
      <c r="L684" s="170">
        <f>IF(preDEL!$AG684,IFERROR(0/0,""),preDEL!L684)</f>
        <v>44623</v>
      </c>
      <c r="M684" s="171">
        <f>IF(preDEL!$AG684,IFERROR(0/0,""),preDEL!M684)</f>
        <v>0.4603819444</v>
      </c>
      <c r="N684" s="112" t="str">
        <f>IF(preDEL!$AG684,IFERROR(0/0,""),preDEL!N684)</f>
        <v>Primary</v>
      </c>
      <c r="O684" s="112" t="str">
        <f>IF(preDEL!$AG684,IFERROR(0/0,""),preDEL!O684)</f>
        <v/>
      </c>
      <c r="P684" s="110" t="b">
        <f>IF(preDEL!$AG684,IFERROR(0/0,""),preDEL!P684)</f>
        <v>0</v>
      </c>
      <c r="Q684" s="110" t="str">
        <f>IF(preDEL!$AG684,IFERROR(0/0,""),preDEL!Q684)</f>
        <v>Result</v>
      </c>
      <c r="R684" s="104" t="b">
        <f>IF(preDEL!$AG684,IFERROR(0/0,""),preDEL!R684)</f>
        <v>1</v>
      </c>
      <c r="S684" s="104">
        <f>IF(preDEL!$AG684,IFERROR(0/0,""),preDEL!S684)</f>
        <v>1</v>
      </c>
      <c r="T684" s="110">
        <f>IF(preDEL!$AG684,IFERROR(0/0,""),preDEL!T684)</f>
        <v>0</v>
      </c>
      <c r="U684" s="112" t="str">
        <f>IF(preDEL!$AG684,IFERROR(0/0,""),preDEL!U684)</f>
        <v/>
      </c>
      <c r="V684" s="105" t="str">
        <f>IF(preDEL!$AG684,IFERROR(0/0,""),preDEL!V684)</f>
        <v/>
      </c>
      <c r="W684" s="112" t="str">
        <f>IF(preDEL!$AG684,IFERROR(0/0,""),preDEL!W684)</f>
        <v/>
      </c>
      <c r="X684" s="104" t="b">
        <f>IF(preDEL!$AG684,IFERROR(0/0,""),preDEL!X684)</f>
        <v>0</v>
      </c>
      <c r="Y684" s="110" t="b">
        <f>IF(preDEL!$AG684,IFERROR(0/0,""),preDEL!Y684)</f>
        <v>0</v>
      </c>
      <c r="Z684" s="105" t="str">
        <f>IF(preDEL!$AG684,IFERROR(0/0,""),preDEL!Z684)</f>
        <v/>
      </c>
      <c r="AA684" s="110" t="b">
        <f>IF(preDEL!$AG684,IFERROR(0/0,""),preDEL!AA684)</f>
        <v>0</v>
      </c>
      <c r="AB684" s="110" t="b">
        <f>IF(preDEL!$AG684,IFERROR(0/0,""),preDEL!AB684)</f>
        <v>0</v>
      </c>
      <c r="AC684" s="172">
        <f>IF(preDEL!$AG684,IFERROR(0/0,""),preDEL!AC684)</f>
        <v>807</v>
      </c>
      <c r="AD684" s="104" t="b">
        <f>IF(preDEL!$AG684,IFERROR(0/0,""),preDEL!AD684)</f>
        <v>1</v>
      </c>
      <c r="AE684" s="173">
        <f>IF(preDEL!$AG684,IFERROR(0/0,""),preDEL!AE684)</f>
        <v>99.85</v>
      </c>
      <c r="AF684" s="110" t="b">
        <f>IF(preDEL!$AG684,IFERROR(0/0,""),preDEL!AF684)</f>
        <v>0</v>
      </c>
      <c r="AG684" s="110" t="b">
        <f>IF(preDEL!$AG684,IFERROR(0/0,""),preDEL!AG684)</f>
        <v>0</v>
      </c>
      <c r="AH684" s="104" t="str">
        <f>IF(preDEL!$AG684,IFERROR(0/0,""),preDEL!AH684)</f>
        <v/>
      </c>
      <c r="AI684" s="105" t="str">
        <f>IF(preDEL!$AG684,IFERROR(0/0,""),preDEL!AI684)</f>
        <v/>
      </c>
      <c r="AJ684" s="112" t="str">
        <f>IF(preDEL!$AG684,IFERROR(0/0,""),preDEL!AJ684)</f>
        <v/>
      </c>
      <c r="AK684" s="105" t="str">
        <f>IF(preDEL!$AG684,IFERROR(0/0,""),preDEL!AK684)</f>
        <v>Positive</v>
      </c>
      <c r="AL684" s="112" t="str">
        <f>IF(preDEL!$AG684,IFERROR(0/0,""),preDEL!AL684)</f>
        <v/>
      </c>
      <c r="AM684" s="112" t="str">
        <f>IF(preDEL!$AG684,IFERROR(0/0,""),preDEL!AM684)</f>
        <v>SpBEND110967</v>
      </c>
      <c r="AN684" s="112" t="str">
        <f>IF(preDEL!$AG684,IFERROR(0/0,""),preDEL!AN684)</f>
        <v>BEND318962</v>
      </c>
      <c r="AO684" s="112" t="str">
        <f>IF(preDEL!$AG684,IFERROR(0/0,""),preDEL!AO684)</f>
        <v/>
      </c>
      <c r="AP684" s="112" t="str">
        <f>IF(preDEL!$AG684,IFERROR(0/0,""),preDEL!AP684)</f>
        <v/>
      </c>
      <c r="AQ684" s="112" t="str">
        <f>IF(preDEL!$AG684,IFERROR(0/0,""),preDEL!AQ684)</f>
        <v/>
      </c>
      <c r="AR684" s="112" t="str">
        <f>IF(preDEL!$AG684,IFERROR(0/0,""),preDEL!AR684)</f>
        <v/>
      </c>
      <c r="AS684" s="112" t="str">
        <f>IF(preDEL!$AG684,IFERROR(0/0,""),preDEL!AS684)</f>
        <v/>
      </c>
      <c r="AT684" s="112" t="b">
        <f>IF(preDEL!$AG684,IFERROR(0/0,""),preDEL!AT684)</f>
        <v>0</v>
      </c>
      <c r="AU684" s="112" t="str">
        <f>IF(preDEL!$AG684,IFERROR(0/0,""),preDEL!AU684)</f>
        <v/>
      </c>
      <c r="AV684" s="112" t="str">
        <f>IF(preDEL!$AG684,IFERROR(0/0,""),preDEL!AV684)</f>
        <v/>
      </c>
      <c r="AW684" s="112" t="str">
        <f>IF(preDEL!$AG684,IFERROR(0/0,""),preDEL!AW684)</f>
        <v/>
      </c>
      <c r="AX684" s="112" t="str">
        <f>IF(preDEL!$AG684,IFERROR(0/0,""),preDEL!AX684)</f>
        <v/>
      </c>
      <c r="AY684" s="112" t="str">
        <f>IF(preDEL!$AG684,IFERROR(0/0,""),preDEL!AY684)</f>
        <v/>
      </c>
      <c r="AZ684" s="174"/>
      <c r="BA684" s="174"/>
      <c r="BB684" s="174"/>
      <c r="BC684" s="174"/>
      <c r="BD684" s="174"/>
      <c r="BE684" s="174"/>
      <c r="BF684" s="174"/>
      <c r="BG684" s="174"/>
      <c r="BH684" s="174"/>
      <c r="BI684" s="174"/>
      <c r="BJ684" s="174"/>
      <c r="BK684" s="174"/>
      <c r="BL684" s="174"/>
      <c r="BM684" s="174"/>
      <c r="BN684" s="174"/>
      <c r="BO684" s="174"/>
      <c r="BP684" s="174"/>
      <c r="BQ684" s="174"/>
      <c r="BR684" s="174"/>
      <c r="BS684" s="174"/>
      <c r="BT684" s="174"/>
      <c r="BU684" s="174"/>
      <c r="BV684" s="174"/>
      <c r="BW684" s="174"/>
      <c r="BX684" s="174"/>
      <c r="BY684" s="174"/>
      <c r="BZ684" s="174"/>
      <c r="CA684" s="174"/>
      <c r="CB684" s="174"/>
      <c r="CC684" s="174"/>
      <c r="CD684" s="174"/>
    </row>
    <row r="685">
      <c r="A685" s="105" t="str">
        <f>IF(preDEL!$AG685,IFERROR(0/0,""),preDEL!A685)</f>
        <v>MA1316</v>
      </c>
      <c r="B685" s="170">
        <f>IF(preDEL!$AG685,IFERROR(0/0,""),preDEL!B685)</f>
        <v>44623</v>
      </c>
      <c r="C685" s="171">
        <f>IF(preDEL!$AG685,IFERROR(0/0,""),preDEL!C685)</f>
        <v>0.3912731481</v>
      </c>
      <c r="D685" s="105" t="str">
        <f>IF(preDEL!$AG685,IFERROR(0/0,""),preDEL!D685)</f>
        <v/>
      </c>
      <c r="E685" s="105" t="str">
        <f>IF(preDEL!$AG685,IFERROR(0/0,""),preDEL!E685)</f>
        <v/>
      </c>
      <c r="F685" s="112" t="str">
        <f>IF(preDEL!$AG685,IFERROR(0/0,""),preDEL!F685)</f>
        <v/>
      </c>
      <c r="G685" s="112" t="str">
        <f>IF(preDEL!$AG685,IFERROR(0/0,""),preDEL!G685)</f>
        <v/>
      </c>
      <c r="H685" s="176" t="str">
        <f>IF(preDEL!$AG685,IFERROR(0/0,""),preDEL!H685)</f>
        <v/>
      </c>
      <c r="I685" s="175" t="str">
        <f>IF(preDEL!$AG685,IFERROR(0/0,""),preDEL!I685)</f>
        <v/>
      </c>
      <c r="J685" s="105" t="str">
        <f>IF(preDEL!$AG685,IFERROR(0/0,""),preDEL!J685)</f>
        <v/>
      </c>
      <c r="K685" s="105" t="str">
        <f>IF(preDEL!$AG685,IFERROR(0/0,""),preDEL!K685)</f>
        <v>Negative</v>
      </c>
      <c r="L685" s="170">
        <f>IF(preDEL!$AG685,IFERROR(0/0,""),preDEL!L685)</f>
        <v>44623</v>
      </c>
      <c r="M685" s="171">
        <f>IF(preDEL!$AG685,IFERROR(0/0,""),preDEL!M685)</f>
        <v>0.4606018519</v>
      </c>
      <c r="N685" s="112" t="str">
        <f>IF(preDEL!$AG685,IFERROR(0/0,""),preDEL!N685)</f>
        <v>Primary</v>
      </c>
      <c r="O685" s="112" t="str">
        <f>IF(preDEL!$AG685,IFERROR(0/0,""),preDEL!O685)</f>
        <v/>
      </c>
      <c r="P685" s="110" t="b">
        <f>IF(preDEL!$AG685,IFERROR(0/0,""),preDEL!P685)</f>
        <v>0</v>
      </c>
      <c r="Q685" s="110" t="str">
        <f>IF(preDEL!$AG685,IFERROR(0/0,""),preDEL!Q685)</f>
        <v>Result</v>
      </c>
      <c r="R685" s="104" t="b">
        <f>IF(preDEL!$AG685,IFERROR(0/0,""),preDEL!R685)</f>
        <v>1</v>
      </c>
      <c r="S685" s="104">
        <f>IF(preDEL!$AG685,IFERROR(0/0,""),preDEL!S685)</f>
        <v>1</v>
      </c>
      <c r="T685" s="110">
        <f>IF(preDEL!$AG685,IFERROR(0/0,""),preDEL!T685)</f>
        <v>0</v>
      </c>
      <c r="U685" s="112" t="str">
        <f>IF(preDEL!$AG685,IFERROR(0/0,""),preDEL!U685)</f>
        <v/>
      </c>
      <c r="V685" s="105" t="str">
        <f>IF(preDEL!$AG685,IFERROR(0/0,""),preDEL!V685)</f>
        <v/>
      </c>
      <c r="W685" s="112" t="str">
        <f>IF(preDEL!$AG685,IFERROR(0/0,""),preDEL!W685)</f>
        <v/>
      </c>
      <c r="X685" s="104" t="b">
        <f>IF(preDEL!$AG685,IFERROR(0/0,""),preDEL!X685)</f>
        <v>0</v>
      </c>
      <c r="Y685" s="110" t="b">
        <f>IF(preDEL!$AG685,IFERROR(0/0,""),preDEL!Y685)</f>
        <v>0</v>
      </c>
      <c r="Z685" s="105" t="str">
        <f>IF(preDEL!$AG685,IFERROR(0/0,""),preDEL!Z685)</f>
        <v/>
      </c>
      <c r="AA685" s="110" t="b">
        <f>IF(preDEL!$AG685,IFERROR(0/0,""),preDEL!AA685)</f>
        <v>0</v>
      </c>
      <c r="AB685" s="110" t="b">
        <f>IF(preDEL!$AG685,IFERROR(0/0,""),preDEL!AB685)</f>
        <v>0</v>
      </c>
      <c r="AC685" s="172">
        <f>IF(preDEL!$AG685,IFERROR(0/0,""),preDEL!AC685)</f>
        <v>809</v>
      </c>
      <c r="AD685" s="104" t="b">
        <f>IF(preDEL!$AG685,IFERROR(0/0,""),preDEL!AD685)</f>
        <v>1</v>
      </c>
      <c r="AE685" s="173">
        <f>IF(preDEL!$AG685,IFERROR(0/0,""),preDEL!AE685)</f>
        <v>99.83333333</v>
      </c>
      <c r="AF685" s="110" t="b">
        <f>IF(preDEL!$AG685,IFERROR(0/0,""),preDEL!AF685)</f>
        <v>0</v>
      </c>
      <c r="AG685" s="110" t="b">
        <f>IF(preDEL!$AG685,IFERROR(0/0,""),preDEL!AG685)</f>
        <v>0</v>
      </c>
      <c r="AH685" s="104" t="str">
        <f>IF(preDEL!$AG685,IFERROR(0/0,""),preDEL!AH685)</f>
        <v/>
      </c>
      <c r="AI685" s="105" t="str">
        <f>IF(preDEL!$AG685,IFERROR(0/0,""),preDEL!AI685)</f>
        <v/>
      </c>
      <c r="AJ685" s="112" t="str">
        <f>IF(preDEL!$AG685,IFERROR(0/0,""),preDEL!AJ685)</f>
        <v/>
      </c>
      <c r="AK685" s="105" t="str">
        <f>IF(preDEL!$AG685,IFERROR(0/0,""),preDEL!AK685)</f>
        <v>Negative</v>
      </c>
      <c r="AL685" s="112" t="str">
        <f>IF(preDEL!$AG685,IFERROR(0/0,""),preDEL!AL685)</f>
        <v/>
      </c>
      <c r="AM685" s="112" t="str">
        <f>IF(preDEL!$AG685,IFERROR(0/0,""),preDEL!AM685)</f>
        <v>SpBEND110967</v>
      </c>
      <c r="AN685" s="112" t="str">
        <f>IF(preDEL!$AG685,IFERROR(0/0,""),preDEL!AN685)</f>
        <v>BEND823331</v>
      </c>
      <c r="AO685" s="112" t="str">
        <f>IF(preDEL!$AG685,IFERROR(0/0,""),preDEL!AO685)</f>
        <v/>
      </c>
      <c r="AP685" s="112" t="str">
        <f>IF(preDEL!$AG685,IFERROR(0/0,""),preDEL!AP685)</f>
        <v/>
      </c>
      <c r="AQ685" s="112" t="str">
        <f>IF(preDEL!$AG685,IFERROR(0/0,""),preDEL!AQ685)</f>
        <v/>
      </c>
      <c r="AR685" s="112" t="str">
        <f>IF(preDEL!$AG685,IFERROR(0/0,""),preDEL!AR685)</f>
        <v/>
      </c>
      <c r="AS685" s="112" t="str">
        <f>IF(preDEL!$AG685,IFERROR(0/0,""),preDEL!AS685)</f>
        <v/>
      </c>
      <c r="AT685" s="112" t="b">
        <f>IF(preDEL!$AG685,IFERROR(0/0,""),preDEL!AT685)</f>
        <v>0</v>
      </c>
      <c r="AU685" s="112" t="str">
        <f>IF(preDEL!$AG685,IFERROR(0/0,""),preDEL!AU685)</f>
        <v/>
      </c>
      <c r="AV685" s="112" t="str">
        <f>IF(preDEL!$AG685,IFERROR(0/0,""),preDEL!AV685)</f>
        <v/>
      </c>
      <c r="AW685" s="112" t="str">
        <f>IF(preDEL!$AG685,IFERROR(0/0,""),preDEL!AW685)</f>
        <v/>
      </c>
      <c r="AX685" s="112" t="str">
        <f>IF(preDEL!$AG685,IFERROR(0/0,""),preDEL!AX685)</f>
        <v/>
      </c>
      <c r="AY685" s="112" t="str">
        <f>IF(preDEL!$AG685,IFERROR(0/0,""),preDEL!AY685)</f>
        <v/>
      </c>
      <c r="AZ685" s="174"/>
      <c r="BA685" s="174"/>
      <c r="BB685" s="174"/>
      <c r="BC685" s="174"/>
      <c r="BD685" s="174"/>
      <c r="BE685" s="174"/>
      <c r="BF685" s="174"/>
      <c r="BG685" s="174"/>
      <c r="BH685" s="174"/>
      <c r="BI685" s="174"/>
      <c r="BJ685" s="174"/>
      <c r="BK685" s="174"/>
      <c r="BL685" s="174"/>
      <c r="BM685" s="174"/>
      <c r="BN685" s="174"/>
      <c r="BO685" s="174"/>
      <c r="BP685" s="174"/>
      <c r="BQ685" s="174"/>
      <c r="BR685" s="174"/>
      <c r="BS685" s="174"/>
      <c r="BT685" s="174"/>
      <c r="BU685" s="174"/>
      <c r="BV685" s="174"/>
      <c r="BW685" s="174"/>
      <c r="BX685" s="174"/>
      <c r="BY685" s="174"/>
      <c r="BZ685" s="174"/>
      <c r="CA685" s="174"/>
      <c r="CB685" s="174"/>
      <c r="CC685" s="174"/>
      <c r="CD685" s="174"/>
    </row>
    <row r="686">
      <c r="A686" s="105" t="str">
        <f>IF(preDEL!$AG686,IFERROR(0/0,""),preDEL!A686)</f>
        <v>MA1202</v>
      </c>
      <c r="B686" s="170">
        <f>IF(preDEL!$AG686,IFERROR(0/0,""),preDEL!B686)</f>
        <v>44623</v>
      </c>
      <c r="C686" s="171">
        <f>IF(preDEL!$AG686,IFERROR(0/0,""),preDEL!C686)</f>
        <v>0.3914930556</v>
      </c>
      <c r="D686" s="105" t="str">
        <f>IF(preDEL!$AG686,IFERROR(0/0,""),preDEL!D686)</f>
        <v/>
      </c>
      <c r="E686" s="105" t="str">
        <f>IF(preDEL!$AG686,IFERROR(0/0,""),preDEL!E686)</f>
        <v/>
      </c>
      <c r="F686" s="112" t="str">
        <f>IF(preDEL!$AG686,IFERROR(0/0,""),preDEL!F686)</f>
        <v/>
      </c>
      <c r="G686" s="112" t="str">
        <f>IF(preDEL!$AG686,IFERROR(0/0,""),preDEL!G686)</f>
        <v/>
      </c>
      <c r="H686" s="176" t="str">
        <f>IF(preDEL!$AG686,IFERROR(0/0,""),preDEL!H686)</f>
        <v/>
      </c>
      <c r="I686" s="175" t="str">
        <f>IF(preDEL!$AG686,IFERROR(0/0,""),preDEL!I686)</f>
        <v/>
      </c>
      <c r="J686" s="105" t="str">
        <f>IF(preDEL!$AG686,IFERROR(0/0,""),preDEL!J686)</f>
        <v/>
      </c>
      <c r="K686" s="105" t="str">
        <f>IF(preDEL!$AG686,IFERROR(0/0,""),preDEL!K686)</f>
        <v>Positive</v>
      </c>
      <c r="L686" s="170">
        <f>IF(preDEL!$AG686,IFERROR(0/0,""),preDEL!L686)</f>
        <v>44623</v>
      </c>
      <c r="M686" s="171">
        <f>IF(preDEL!$AG686,IFERROR(0/0,""),preDEL!M686)</f>
        <v>0.4603819444</v>
      </c>
      <c r="N686" s="112" t="str">
        <f>IF(preDEL!$AG686,IFERROR(0/0,""),preDEL!N686)</f>
        <v>Primary</v>
      </c>
      <c r="O686" s="112" t="str">
        <f>IF(preDEL!$AG686,IFERROR(0/0,""),preDEL!O686)</f>
        <v/>
      </c>
      <c r="P686" s="110" t="b">
        <f>IF(preDEL!$AG686,IFERROR(0/0,""),preDEL!P686)</f>
        <v>0</v>
      </c>
      <c r="Q686" s="110" t="str">
        <f>IF(preDEL!$AG686,IFERROR(0/0,""),preDEL!Q686)</f>
        <v>Result</v>
      </c>
      <c r="R686" s="104" t="b">
        <f>IF(preDEL!$AG686,IFERROR(0/0,""),preDEL!R686)</f>
        <v>1</v>
      </c>
      <c r="S686" s="104">
        <f>IF(preDEL!$AG686,IFERROR(0/0,""),preDEL!S686)</f>
        <v>1</v>
      </c>
      <c r="T686" s="110">
        <f>IF(preDEL!$AG686,IFERROR(0/0,""),preDEL!T686)</f>
        <v>0</v>
      </c>
      <c r="U686" s="112" t="str">
        <f>IF(preDEL!$AG686,IFERROR(0/0,""),preDEL!U686)</f>
        <v/>
      </c>
      <c r="V686" s="105" t="str">
        <f>IF(preDEL!$AG686,IFERROR(0/0,""),preDEL!V686)</f>
        <v/>
      </c>
      <c r="W686" s="112" t="str">
        <f>IF(preDEL!$AG686,IFERROR(0/0,""),preDEL!W686)</f>
        <v/>
      </c>
      <c r="X686" s="104" t="b">
        <f>IF(preDEL!$AG686,IFERROR(0/0,""),preDEL!X686)</f>
        <v>0</v>
      </c>
      <c r="Y686" s="110" t="b">
        <f>IF(preDEL!$AG686,IFERROR(0/0,""),preDEL!Y686)</f>
        <v>0</v>
      </c>
      <c r="Z686" s="105" t="str">
        <f>IF(preDEL!$AG686,IFERROR(0/0,""),preDEL!Z686)</f>
        <v/>
      </c>
      <c r="AA686" s="110" t="b">
        <f>IF(preDEL!$AG686,IFERROR(0/0,""),preDEL!AA686)</f>
        <v>0</v>
      </c>
      <c r="AB686" s="110" t="b">
        <f>IF(preDEL!$AG686,IFERROR(0/0,""),preDEL!AB686)</f>
        <v>0</v>
      </c>
      <c r="AC686" s="172">
        <f>IF(preDEL!$AG686,IFERROR(0/0,""),preDEL!AC686)</f>
        <v>796</v>
      </c>
      <c r="AD686" s="104" t="b">
        <f>IF(preDEL!$AG686,IFERROR(0/0,""),preDEL!AD686)</f>
        <v>1</v>
      </c>
      <c r="AE686" s="173">
        <f>IF(preDEL!$AG686,IFERROR(0/0,""),preDEL!AE686)</f>
        <v>99.2</v>
      </c>
      <c r="AF686" s="110" t="b">
        <f>IF(preDEL!$AG686,IFERROR(0/0,""),preDEL!AF686)</f>
        <v>0</v>
      </c>
      <c r="AG686" s="110" t="b">
        <f>IF(preDEL!$AG686,IFERROR(0/0,""),preDEL!AG686)</f>
        <v>0</v>
      </c>
      <c r="AH686" s="104" t="str">
        <f>IF(preDEL!$AG686,IFERROR(0/0,""),preDEL!AH686)</f>
        <v/>
      </c>
      <c r="AI686" s="105" t="str">
        <f>IF(preDEL!$AG686,IFERROR(0/0,""),preDEL!AI686)</f>
        <v/>
      </c>
      <c r="AJ686" s="112" t="str">
        <f>IF(preDEL!$AG686,IFERROR(0/0,""),preDEL!AJ686)</f>
        <v/>
      </c>
      <c r="AK686" s="105" t="str">
        <f>IF(preDEL!$AG686,IFERROR(0/0,""),preDEL!AK686)</f>
        <v>Positive</v>
      </c>
      <c r="AL686" s="112" t="str">
        <f>IF(preDEL!$AG686,IFERROR(0/0,""),preDEL!AL686)</f>
        <v/>
      </c>
      <c r="AM686" s="112" t="str">
        <f>IF(preDEL!$AG686,IFERROR(0/0,""),preDEL!AM686)</f>
        <v>SpBEND110967</v>
      </c>
      <c r="AN686" s="112" t="str">
        <f>IF(preDEL!$AG686,IFERROR(0/0,""),preDEL!AN686)</f>
        <v>BEND112877</v>
      </c>
      <c r="AO686" s="112" t="str">
        <f>IF(preDEL!$AG686,IFERROR(0/0,""),preDEL!AO686)</f>
        <v/>
      </c>
      <c r="AP686" s="112" t="str">
        <f>IF(preDEL!$AG686,IFERROR(0/0,""),preDEL!AP686)</f>
        <v/>
      </c>
      <c r="AQ686" s="112" t="str">
        <f>IF(preDEL!$AG686,IFERROR(0/0,""),preDEL!AQ686)</f>
        <v/>
      </c>
      <c r="AR686" s="112" t="str">
        <f>IF(preDEL!$AG686,IFERROR(0/0,""),preDEL!AR686)</f>
        <v/>
      </c>
      <c r="AS686" s="112" t="str">
        <f>IF(preDEL!$AG686,IFERROR(0/0,""),preDEL!AS686)</f>
        <v/>
      </c>
      <c r="AT686" s="112" t="b">
        <f>IF(preDEL!$AG686,IFERROR(0/0,""),preDEL!AT686)</f>
        <v>0</v>
      </c>
      <c r="AU686" s="112" t="str">
        <f>IF(preDEL!$AG686,IFERROR(0/0,""),preDEL!AU686)</f>
        <v/>
      </c>
      <c r="AV686" s="112" t="str">
        <f>IF(preDEL!$AG686,IFERROR(0/0,""),preDEL!AV686)</f>
        <v/>
      </c>
      <c r="AW686" s="112" t="str">
        <f>IF(preDEL!$AG686,IFERROR(0/0,""),preDEL!AW686)</f>
        <v/>
      </c>
      <c r="AX686" s="112" t="str">
        <f>IF(preDEL!$AG686,IFERROR(0/0,""),preDEL!AX686)</f>
        <v/>
      </c>
      <c r="AY686" s="112" t="str">
        <f>IF(preDEL!$AG686,IFERROR(0/0,""),preDEL!AY686)</f>
        <v/>
      </c>
      <c r="AZ686" s="174"/>
      <c r="BA686" s="174"/>
      <c r="BB686" s="174"/>
      <c r="BC686" s="174"/>
      <c r="BD686" s="174"/>
      <c r="BE686" s="174"/>
      <c r="BF686" s="174"/>
      <c r="BG686" s="174"/>
      <c r="BH686" s="174"/>
      <c r="BI686" s="174"/>
      <c r="BJ686" s="174"/>
      <c r="BK686" s="174"/>
      <c r="BL686" s="174"/>
      <c r="BM686" s="174"/>
      <c r="BN686" s="174"/>
      <c r="BO686" s="174"/>
      <c r="BP686" s="174"/>
      <c r="BQ686" s="174"/>
      <c r="BR686" s="174"/>
      <c r="BS686" s="174"/>
      <c r="BT686" s="174"/>
      <c r="BU686" s="174"/>
      <c r="BV686" s="174"/>
      <c r="BW686" s="174"/>
      <c r="BX686" s="174"/>
      <c r="BY686" s="174"/>
      <c r="BZ686" s="174"/>
      <c r="CA686" s="174"/>
      <c r="CB686" s="174"/>
      <c r="CC686" s="174"/>
      <c r="CD686" s="174"/>
    </row>
    <row r="687">
      <c r="A687" s="105" t="str">
        <f>IF(preDEL!$AG687,IFERROR(0/0,""),preDEL!A687)</f>
        <v>FM440</v>
      </c>
      <c r="B687" s="170">
        <f>IF(preDEL!$AG687,IFERROR(0/0,""),preDEL!B687)</f>
        <v>44623</v>
      </c>
      <c r="C687" s="171">
        <f>IF(preDEL!$AG687,IFERROR(0/0,""),preDEL!C687)</f>
        <v>0.4114699074</v>
      </c>
      <c r="D687" s="105" t="str">
        <f>IF(preDEL!$AG687,IFERROR(0/0,""),preDEL!D687)</f>
        <v/>
      </c>
      <c r="E687" s="105" t="str">
        <f>IF(preDEL!$AG687,IFERROR(0/0,""),preDEL!E687)</f>
        <v/>
      </c>
      <c r="F687" s="112" t="str">
        <f>IF(preDEL!$AG687,IFERROR(0/0,""),preDEL!F687)</f>
        <v/>
      </c>
      <c r="G687" s="112" t="str">
        <f>IF(preDEL!$AG687,IFERROR(0/0,""),preDEL!G687)</f>
        <v/>
      </c>
      <c r="H687" s="112" t="str">
        <f>IF(preDEL!$AG687,IFERROR(0/0,""),preDEL!H687)</f>
        <v/>
      </c>
      <c r="I687" s="105" t="str">
        <f>IF(preDEL!$AG687,IFERROR(0/0,""),preDEL!I687)</f>
        <v/>
      </c>
      <c r="J687" s="105" t="str">
        <f>IF(preDEL!$AG687,IFERROR(0/0,""),preDEL!J687)</f>
        <v/>
      </c>
      <c r="K687" s="105" t="str">
        <f>IF(preDEL!$AG687,IFERROR(0/0,""),preDEL!K687)</f>
        <v>Negative</v>
      </c>
      <c r="L687" s="170">
        <f>IF(preDEL!$AG687,IFERROR(0/0,""),preDEL!L687)</f>
        <v>44623</v>
      </c>
      <c r="M687" s="171">
        <f>IF(preDEL!$AG687,IFERROR(0/0,""),preDEL!M687)</f>
        <v>0.4606018519</v>
      </c>
      <c r="N687" s="112" t="str">
        <f>IF(preDEL!$AG687,IFERROR(0/0,""),preDEL!N687)</f>
        <v/>
      </c>
      <c r="O687" s="112" t="str">
        <f>IF(preDEL!$AG687,IFERROR(0/0,""),preDEL!O687)</f>
        <v/>
      </c>
      <c r="P687" s="110" t="b">
        <f>IF(preDEL!$AG687,IFERROR(0/0,""),preDEL!P687)</f>
        <v>0</v>
      </c>
      <c r="Q687" s="110" t="str">
        <f>IF(preDEL!$AG687,IFERROR(0/0,""),preDEL!Q687)</f>
        <v>Result</v>
      </c>
      <c r="R687" s="104" t="b">
        <f>IF(preDEL!$AG687,IFERROR(0/0,""),preDEL!R687)</f>
        <v>1</v>
      </c>
      <c r="S687" s="104">
        <f>IF(preDEL!$AG687,IFERROR(0/0,""),preDEL!S687)</f>
        <v>1</v>
      </c>
      <c r="T687" s="110" t="str">
        <f>IF(preDEL!$AG687,IFERROR(0/0,""),preDEL!T687)</f>
        <v/>
      </c>
      <c r="U687" s="112" t="str">
        <f>IF(preDEL!$AG687,IFERROR(0/0,""),preDEL!U687)</f>
        <v/>
      </c>
      <c r="V687" s="105" t="str">
        <f>IF(preDEL!$AG687,IFERROR(0/0,""),preDEL!V687)</f>
        <v/>
      </c>
      <c r="W687" s="112" t="str">
        <f>IF(preDEL!$AG687,IFERROR(0/0,""),preDEL!W687)</f>
        <v/>
      </c>
      <c r="X687" s="104" t="b">
        <f>IF(preDEL!$AG687,IFERROR(0/0,""),preDEL!X687)</f>
        <v>0</v>
      </c>
      <c r="Y687" s="110" t="b">
        <f>IF(preDEL!$AG687,IFERROR(0/0,""),preDEL!Y687)</f>
        <v>0</v>
      </c>
      <c r="Z687" s="105" t="str">
        <f>IF(preDEL!$AG687,IFERROR(0/0,""),preDEL!Z687)</f>
        <v/>
      </c>
      <c r="AA687" s="110" t="b">
        <f>IF(preDEL!$AG687,IFERROR(0/0,""),preDEL!AA687)</f>
        <v>0</v>
      </c>
      <c r="AB687" s="110" t="b">
        <f>IF(preDEL!$AG687,IFERROR(0/0,""),preDEL!AB687)</f>
        <v>0</v>
      </c>
      <c r="AC687" s="172">
        <f>IF(preDEL!$AG687,IFERROR(0/0,""),preDEL!AC687)</f>
        <v>136</v>
      </c>
      <c r="AD687" s="104" t="b">
        <f>IF(preDEL!$AG687,IFERROR(0/0,""),preDEL!AD687)</f>
        <v>0</v>
      </c>
      <c r="AE687" s="173">
        <f>IF(preDEL!$AG687,IFERROR(0/0,""),preDEL!AE687)</f>
        <v>70.75</v>
      </c>
      <c r="AF687" s="110" t="b">
        <f>IF(preDEL!$AG687,IFERROR(0/0,""),preDEL!AF687)</f>
        <v>0</v>
      </c>
      <c r="AG687" s="110" t="b">
        <f>IF(preDEL!$AG687,IFERROR(0/0,""),preDEL!AG687)</f>
        <v>0</v>
      </c>
      <c r="AH687" s="104" t="str">
        <f>IF(preDEL!$AG687,IFERROR(0/0,""),preDEL!AH687)</f>
        <v/>
      </c>
      <c r="AI687" s="105" t="str">
        <f>IF(preDEL!$AG687,IFERROR(0/0,""),preDEL!AI687)</f>
        <v/>
      </c>
      <c r="AJ687" s="112" t="str">
        <f>IF(preDEL!$AG687,IFERROR(0/0,""),preDEL!AJ687)</f>
        <v/>
      </c>
      <c r="AK687" s="105" t="str">
        <f>IF(preDEL!$AG687,IFERROR(0/0,""),preDEL!AK687)</f>
        <v>Negative</v>
      </c>
      <c r="AL687" s="112" t="str">
        <f>IF(preDEL!$AG687,IFERROR(0/0,""),preDEL!AL687)</f>
        <v/>
      </c>
      <c r="AM687" s="112" t="str">
        <f>IF(preDEL!$AG687,IFERROR(0/0,""),preDEL!AM687)</f>
        <v>SpBEND110967</v>
      </c>
      <c r="AN687" s="112" t="str">
        <f>IF(preDEL!$AG687,IFERROR(0/0,""),preDEL!AN687)</f>
        <v>BEND494971</v>
      </c>
      <c r="AO687" s="112" t="str">
        <f>IF(preDEL!$AG687,IFERROR(0/0,""),preDEL!AO687)</f>
        <v/>
      </c>
      <c r="AP687" s="112" t="str">
        <f>IF(preDEL!$AG687,IFERROR(0/0,""),preDEL!AP687)</f>
        <v/>
      </c>
      <c r="AQ687" s="112" t="str">
        <f>IF(preDEL!$AG687,IFERROR(0/0,""),preDEL!AQ687)</f>
        <v/>
      </c>
      <c r="AR687" s="112" t="str">
        <f>IF(preDEL!$AG687,IFERROR(0/0,""),preDEL!AR687)</f>
        <v/>
      </c>
      <c r="AS687" s="112" t="str">
        <f>IF(preDEL!$AG687,IFERROR(0/0,""),preDEL!AS687)</f>
        <v/>
      </c>
      <c r="AT687" s="112" t="b">
        <f>IF(preDEL!$AG687,IFERROR(0/0,""),preDEL!AT687)</f>
        <v>0</v>
      </c>
      <c r="AU687" s="112" t="str">
        <f>IF(preDEL!$AG687,IFERROR(0/0,""),preDEL!AU687)</f>
        <v/>
      </c>
      <c r="AV687" s="112" t="str">
        <f>IF(preDEL!$AG687,IFERROR(0/0,""),preDEL!AV687)</f>
        <v/>
      </c>
      <c r="AW687" s="112" t="str">
        <f>IF(preDEL!$AG687,IFERROR(0/0,""),preDEL!AW687)</f>
        <v/>
      </c>
      <c r="AX687" s="112" t="str">
        <f>IF(preDEL!$AG687,IFERROR(0/0,""),preDEL!AX687)</f>
        <v/>
      </c>
      <c r="AY687" s="112" t="str">
        <f>IF(preDEL!$AG687,IFERROR(0/0,""),preDEL!AY687)</f>
        <v/>
      </c>
      <c r="AZ687" s="174"/>
      <c r="BA687" s="174"/>
      <c r="BB687" s="174"/>
      <c r="BC687" s="174"/>
      <c r="BD687" s="174"/>
      <c r="BE687" s="174"/>
      <c r="BF687" s="174"/>
      <c r="BG687" s="174"/>
      <c r="BH687" s="174"/>
      <c r="BI687" s="174"/>
      <c r="BJ687" s="174"/>
      <c r="BK687" s="174"/>
      <c r="BL687" s="174"/>
      <c r="BM687" s="174"/>
      <c r="BN687" s="174"/>
      <c r="BO687" s="174"/>
      <c r="BP687" s="174"/>
      <c r="BQ687" s="174"/>
      <c r="BR687" s="174"/>
      <c r="BS687" s="174"/>
      <c r="BT687" s="174"/>
      <c r="BU687" s="174"/>
      <c r="BV687" s="174"/>
      <c r="BW687" s="174"/>
      <c r="BX687" s="174"/>
      <c r="BY687" s="174"/>
      <c r="BZ687" s="174"/>
      <c r="CA687" s="174"/>
      <c r="CB687" s="174"/>
      <c r="CC687" s="174"/>
      <c r="CD687" s="174"/>
    </row>
    <row r="688">
      <c r="A688" s="105" t="str">
        <f>IF(preDEL!$AG688,IFERROR(0/0,""),preDEL!A688)</f>
        <v>MA363</v>
      </c>
      <c r="B688" s="170">
        <f>IF(preDEL!$AG688,IFERROR(0/0,""),preDEL!B688)</f>
        <v>44623</v>
      </c>
      <c r="C688" s="171">
        <f>IF(preDEL!$AG688,IFERROR(0/0,""),preDEL!C688)</f>
        <v>0.4583564815</v>
      </c>
      <c r="D688" s="105" t="str">
        <f>IF(preDEL!$AG688,IFERROR(0/0,""),preDEL!D688)</f>
        <v/>
      </c>
      <c r="E688" s="105" t="str">
        <f>IF(preDEL!$AG688,IFERROR(0/0,""),preDEL!E688)</f>
        <v/>
      </c>
      <c r="F688" s="112" t="str">
        <f>IF(preDEL!$AG688,IFERROR(0/0,""),preDEL!F688)</f>
        <v/>
      </c>
      <c r="G688" s="112" t="str">
        <f>IF(preDEL!$AG688,IFERROR(0/0,""),preDEL!G688)</f>
        <v/>
      </c>
      <c r="H688" s="112" t="str">
        <f>IF(preDEL!$AG688,IFERROR(0/0,""),preDEL!H688)</f>
        <v/>
      </c>
      <c r="I688" s="105" t="str">
        <f>IF(preDEL!$AG688,IFERROR(0/0,""),preDEL!I688)</f>
        <v/>
      </c>
      <c r="J688" s="105" t="str">
        <f>IF(preDEL!$AG688,IFERROR(0/0,""),preDEL!J688)</f>
        <v/>
      </c>
      <c r="K688" s="105" t="str">
        <f>IF(preDEL!$AG688,IFERROR(0/0,""),preDEL!K688)</f>
        <v>Negative</v>
      </c>
      <c r="L688" s="170">
        <f>IF(preDEL!$AG688,IFERROR(0/0,""),preDEL!L688)</f>
        <v>44623</v>
      </c>
      <c r="M688" s="171">
        <f>IF(preDEL!$AG688,IFERROR(0/0,""),preDEL!M688)</f>
        <v>0.4606018519</v>
      </c>
      <c r="N688" s="112" t="str">
        <f>IF(preDEL!$AG688,IFERROR(0/0,""),preDEL!N688)</f>
        <v/>
      </c>
      <c r="O688" s="112" t="str">
        <f>IF(preDEL!$AG688,IFERROR(0/0,""),preDEL!O688)</f>
        <v/>
      </c>
      <c r="P688" s="110" t="b">
        <f>IF(preDEL!$AG688,IFERROR(0/0,""),preDEL!P688)</f>
        <v>0</v>
      </c>
      <c r="Q688" s="110" t="str">
        <f>IF(preDEL!$AG688,IFERROR(0/0,""),preDEL!Q688)</f>
        <v>Result</v>
      </c>
      <c r="R688" s="104" t="b">
        <f>IF(preDEL!$AG688,IFERROR(0/0,""),preDEL!R688)</f>
        <v>1</v>
      </c>
      <c r="S688" s="104">
        <f>IF(preDEL!$AG688,IFERROR(0/0,""),preDEL!S688)</f>
        <v>1</v>
      </c>
      <c r="T688" s="110" t="str">
        <f>IF(preDEL!$AG688,IFERROR(0/0,""),preDEL!T688)</f>
        <v/>
      </c>
      <c r="U688" s="112" t="str">
        <f>IF(preDEL!$AG688,IFERROR(0/0,""),preDEL!U688)</f>
        <v/>
      </c>
      <c r="V688" s="105" t="str">
        <f>IF(preDEL!$AG688,IFERROR(0/0,""),preDEL!V688)</f>
        <v/>
      </c>
      <c r="W688" s="112" t="str">
        <f>IF(preDEL!$AG688,IFERROR(0/0,""),preDEL!W688)</f>
        <v/>
      </c>
      <c r="X688" s="104" t="b">
        <f>IF(preDEL!$AG688,IFERROR(0/0,""),preDEL!X688)</f>
        <v>0</v>
      </c>
      <c r="Y688" s="110" t="b">
        <f>IF(preDEL!$AG688,IFERROR(0/0,""),preDEL!Y688)</f>
        <v>0</v>
      </c>
      <c r="Z688" s="105" t="str">
        <f>IF(preDEL!$AG688,IFERROR(0/0,""),preDEL!Z688)</f>
        <v/>
      </c>
      <c r="AA688" s="110" t="b">
        <f>IF(preDEL!$AG688,IFERROR(0/0,""),preDEL!AA688)</f>
        <v>0</v>
      </c>
      <c r="AB688" s="110" t="b">
        <f>IF(preDEL!$AG688,IFERROR(0/0,""),preDEL!AB688)</f>
        <v>0</v>
      </c>
      <c r="AC688" s="172">
        <f>IF(preDEL!$AG688,IFERROR(0/0,""),preDEL!AC688)</f>
        <v>135</v>
      </c>
      <c r="AD688" s="104" t="b">
        <f>IF(preDEL!$AG688,IFERROR(0/0,""),preDEL!AD688)</f>
        <v>0</v>
      </c>
      <c r="AE688" s="173">
        <f>IF(preDEL!$AG688,IFERROR(0/0,""),preDEL!AE688)</f>
        <v>3.233333333</v>
      </c>
      <c r="AF688" s="110" t="b">
        <f>IF(preDEL!$AG688,IFERROR(0/0,""),preDEL!AF688)</f>
        <v>0</v>
      </c>
      <c r="AG688" s="110" t="b">
        <f>IF(preDEL!$AG688,IFERROR(0/0,""),preDEL!AG688)</f>
        <v>0</v>
      </c>
      <c r="AH688" s="104" t="str">
        <f>IF(preDEL!$AG688,IFERROR(0/0,""),preDEL!AH688)</f>
        <v/>
      </c>
      <c r="AI688" s="105" t="str">
        <f>IF(preDEL!$AG688,IFERROR(0/0,""),preDEL!AI688)</f>
        <v/>
      </c>
      <c r="AJ688" s="112" t="str">
        <f>IF(preDEL!$AG688,IFERROR(0/0,""),preDEL!AJ688)</f>
        <v/>
      </c>
      <c r="AK688" s="105" t="str">
        <f>IF(preDEL!$AG688,IFERROR(0/0,""),preDEL!AK688)</f>
        <v>Negative</v>
      </c>
      <c r="AL688" s="112" t="str">
        <f>IF(preDEL!$AG688,IFERROR(0/0,""),preDEL!AL688)</f>
        <v/>
      </c>
      <c r="AM688" s="112" t="str">
        <f>IF(preDEL!$AG688,IFERROR(0/0,""),preDEL!AM688)</f>
        <v>SpBEND110967</v>
      </c>
      <c r="AN688" s="112" t="str">
        <f>IF(preDEL!$AG688,IFERROR(0/0,""),preDEL!AN688)</f>
        <v>BEND147991</v>
      </c>
      <c r="AO688" s="112" t="str">
        <f>IF(preDEL!$AG688,IFERROR(0/0,""),preDEL!AO688)</f>
        <v/>
      </c>
      <c r="AP688" s="112" t="str">
        <f>IF(preDEL!$AG688,IFERROR(0/0,""),preDEL!AP688)</f>
        <v/>
      </c>
      <c r="AQ688" s="112" t="str">
        <f>IF(preDEL!$AG688,IFERROR(0/0,""),preDEL!AQ688)</f>
        <v/>
      </c>
      <c r="AR688" s="112" t="str">
        <f>IF(preDEL!$AG688,IFERROR(0/0,""),preDEL!AR688)</f>
        <v/>
      </c>
      <c r="AS688" s="112" t="str">
        <f>IF(preDEL!$AG688,IFERROR(0/0,""),preDEL!AS688)</f>
        <v/>
      </c>
      <c r="AT688" s="112" t="b">
        <f>IF(preDEL!$AG688,IFERROR(0/0,""),preDEL!AT688)</f>
        <v>0</v>
      </c>
      <c r="AU688" s="112" t="str">
        <f>IF(preDEL!$AG688,IFERROR(0/0,""),preDEL!AU688)</f>
        <v/>
      </c>
      <c r="AV688" s="112" t="str">
        <f>IF(preDEL!$AG688,IFERROR(0/0,""),preDEL!AV688)</f>
        <v/>
      </c>
      <c r="AW688" s="112" t="str">
        <f>IF(preDEL!$AG688,IFERROR(0/0,""),preDEL!AW688)</f>
        <v/>
      </c>
      <c r="AX688" s="112" t="str">
        <f>IF(preDEL!$AG688,IFERROR(0/0,""),preDEL!AX688)</f>
        <v/>
      </c>
      <c r="AY688" s="112" t="str">
        <f>IF(preDEL!$AG688,IFERROR(0/0,""),preDEL!AY688)</f>
        <v/>
      </c>
      <c r="AZ688" s="174"/>
      <c r="BA688" s="174"/>
      <c r="BB688" s="174"/>
      <c r="BC688" s="174"/>
      <c r="BD688" s="174"/>
      <c r="BE688" s="174"/>
      <c r="BF688" s="174"/>
      <c r="BG688" s="174"/>
      <c r="BH688" s="174"/>
      <c r="BI688" s="174"/>
      <c r="BJ688" s="174"/>
      <c r="BK688" s="174"/>
      <c r="BL688" s="174"/>
      <c r="BM688" s="174"/>
      <c r="BN688" s="174"/>
      <c r="BO688" s="174"/>
      <c r="BP688" s="174"/>
      <c r="BQ688" s="174"/>
      <c r="BR688" s="174"/>
      <c r="BS688" s="174"/>
      <c r="BT688" s="174"/>
      <c r="BU688" s="174"/>
      <c r="BV688" s="174"/>
      <c r="BW688" s="174"/>
      <c r="BX688" s="174"/>
      <c r="BY688" s="174"/>
      <c r="BZ688" s="174"/>
      <c r="CA688" s="174"/>
      <c r="CB688" s="174"/>
      <c r="CC688" s="174"/>
      <c r="CD688" s="174"/>
    </row>
    <row r="689">
      <c r="A689" s="105" t="str">
        <f>IF(preDEL!$AG689,IFERROR(0/0,""),preDEL!A689)</f>
        <v>FM1202</v>
      </c>
      <c r="B689" s="170">
        <f>IF(preDEL!$AG689,IFERROR(0/0,""),preDEL!B689)</f>
        <v>44623</v>
      </c>
      <c r="C689" s="171">
        <f>IF(preDEL!$AG689,IFERROR(0/0,""),preDEL!C689)</f>
        <v>0.4691666667</v>
      </c>
      <c r="D689" s="105" t="str">
        <f>IF(preDEL!$AG689,IFERROR(0/0,""),preDEL!D689)</f>
        <v/>
      </c>
      <c r="E689" s="105" t="str">
        <f>IF(preDEL!$AG689,IFERROR(0/0,""),preDEL!E689)</f>
        <v/>
      </c>
      <c r="F689" s="112" t="str">
        <f>IF(preDEL!$AG689,IFERROR(0/0,""),preDEL!F689)</f>
        <v/>
      </c>
      <c r="G689" s="112" t="str">
        <f>IF(preDEL!$AG689,IFERROR(0/0,""),preDEL!G689)</f>
        <v/>
      </c>
      <c r="H689" s="112" t="str">
        <f>IF(preDEL!$AG689,IFERROR(0/0,""),preDEL!H689)</f>
        <v/>
      </c>
      <c r="I689" s="105" t="str">
        <f>IF(preDEL!$AG689,IFERROR(0/0,""),preDEL!I689)</f>
        <v/>
      </c>
      <c r="J689" s="105" t="str">
        <f>IF(preDEL!$AG689,IFERROR(0/0,""),preDEL!J689)</f>
        <v/>
      </c>
      <c r="K689" s="105" t="str">
        <f>IF(preDEL!$AG689,IFERROR(0/0,""),preDEL!K689)</f>
        <v>Null</v>
      </c>
      <c r="L689" s="170" t="str">
        <f>IF(preDEL!$AG689,IFERROR(0/0,""),preDEL!L689)</f>
        <v/>
      </c>
      <c r="M689" s="171" t="str">
        <f>IF(preDEL!$AG689,IFERROR(0/0,""),preDEL!M689)</f>
        <v/>
      </c>
      <c r="N689" s="112" t="str">
        <f>IF(preDEL!$AG689,IFERROR(0/0,""),preDEL!N689)</f>
        <v/>
      </c>
      <c r="O689" s="112" t="str">
        <f>IF(preDEL!$AG689,IFERROR(0/0,""),preDEL!O689)</f>
        <v/>
      </c>
      <c r="P689" s="110" t="b">
        <f>IF(preDEL!$AG689,IFERROR(0/0,""),preDEL!P689)</f>
        <v>0</v>
      </c>
      <c r="Q689" s="110" t="str">
        <f>IF(preDEL!$AG689,IFERROR(0/0,""),preDEL!Q689)</f>
        <v>Collected</v>
      </c>
      <c r="R689" s="104" t="b">
        <f>IF(preDEL!$AG689,IFERROR(0/0,""),preDEL!R689)</f>
        <v>1</v>
      </c>
      <c r="S689" s="104">
        <f>IF(preDEL!$AG689,IFERROR(0/0,""),preDEL!S689)</f>
        <v>1</v>
      </c>
      <c r="T689" s="110">
        <f>IF(preDEL!$AG689,IFERROR(0/0,""),preDEL!T689)</f>
        <v>0</v>
      </c>
      <c r="U689" s="112" t="str">
        <f>IF(preDEL!$AG689,IFERROR(0/0,""),preDEL!U689)</f>
        <v/>
      </c>
      <c r="V689" s="105" t="str">
        <f>IF(preDEL!$AG689,IFERROR(0/0,""),preDEL!V689)</f>
        <v/>
      </c>
      <c r="W689" s="112" t="str">
        <f>IF(preDEL!$AG689,IFERROR(0/0,""),preDEL!W689)</f>
        <v/>
      </c>
      <c r="X689" s="104" t="b">
        <f>IF(preDEL!$AG689,IFERROR(0/0,""),preDEL!X689)</f>
        <v>0</v>
      </c>
      <c r="Y689" s="110" t="b">
        <f>IF(preDEL!$AG689,IFERROR(0/0,""),preDEL!Y689)</f>
        <v>0</v>
      </c>
      <c r="Z689" s="105" t="str">
        <f>IF(preDEL!$AG689,IFERROR(0/0,""),preDEL!Z689)</f>
        <v/>
      </c>
      <c r="AA689" s="110" t="b">
        <f>IF(preDEL!$AG689,IFERROR(0/0,""),preDEL!AA689)</f>
        <v>0</v>
      </c>
      <c r="AB689" s="110" t="b">
        <f>IF(preDEL!$AG689,IFERROR(0/0,""),preDEL!AB689)</f>
        <v>0</v>
      </c>
      <c r="AC689" s="172">
        <f>IF(preDEL!$AG689,IFERROR(0/0,""),preDEL!AC689)</f>
        <v>134</v>
      </c>
      <c r="AD689" s="104" t="b">
        <f>IF(preDEL!$AG689,IFERROR(0/0,""),preDEL!AD689)</f>
        <v>0</v>
      </c>
      <c r="AE689" s="173" t="str">
        <f>IF(preDEL!$AG689,IFERROR(0/0,""),preDEL!AE689)</f>
        <v/>
      </c>
      <c r="AF689" s="110" t="b">
        <f>IF(preDEL!$AG689,IFERROR(0/0,""),preDEL!AF689)</f>
        <v>0</v>
      </c>
      <c r="AG689" s="110" t="b">
        <f>IF(preDEL!$AG689,IFERROR(0/0,""),preDEL!AG689)</f>
        <v>0</v>
      </c>
      <c r="AH689" s="104" t="str">
        <f>IF(preDEL!$AG689,IFERROR(0/0,""),preDEL!AH689)</f>
        <v/>
      </c>
      <c r="AI689" s="105" t="str">
        <f>IF(preDEL!$AG689,IFERROR(0/0,""),preDEL!AI689)</f>
        <v/>
      </c>
      <c r="AJ689" s="112">
        <f>IF(preDEL!$AG689,IFERROR(0/0,""),preDEL!AJ689)</f>
        <v>2</v>
      </c>
      <c r="AK689" s="105" t="str">
        <f>IF(preDEL!$AG689,IFERROR(0/0,""),preDEL!AK689)</f>
        <v>Negative</v>
      </c>
      <c r="AL689" s="112" t="str">
        <f>IF(preDEL!$AG689,IFERROR(0/0,""),preDEL!AL689)</f>
        <v/>
      </c>
      <c r="AM689" s="112" t="str">
        <f>IF(preDEL!$AG689,IFERROR(0/0,""),preDEL!AM689)</f>
        <v>SpBEND110967</v>
      </c>
      <c r="AN689" s="112" t="str">
        <f>IF(preDEL!$AG689,IFERROR(0/0,""),preDEL!AN689)</f>
        <v>BEND668004</v>
      </c>
      <c r="AO689" s="112" t="str">
        <f>IF(preDEL!$AG689,IFERROR(0/0,""),preDEL!AO689)</f>
        <v/>
      </c>
      <c r="AP689" s="112" t="str">
        <f>IF(preDEL!$AG689,IFERROR(0/0,""),preDEL!AP689)</f>
        <v/>
      </c>
      <c r="AQ689" s="112" t="str">
        <f>IF(preDEL!$AG689,IFERROR(0/0,""),preDEL!AQ689)</f>
        <v/>
      </c>
      <c r="AR689" s="112" t="str">
        <f>IF(preDEL!$AG689,IFERROR(0/0,""),preDEL!AR689)</f>
        <v/>
      </c>
      <c r="AS689" s="112" t="str">
        <f>IF(preDEL!$AG689,IFERROR(0/0,""),preDEL!AS689)</f>
        <v/>
      </c>
      <c r="AT689" s="112" t="b">
        <f>IF(preDEL!$AG689,IFERROR(0/0,""),preDEL!AT689)</f>
        <v>0</v>
      </c>
      <c r="AU689" s="112" t="str">
        <f>IF(preDEL!$AG689,IFERROR(0/0,""),preDEL!AU689)</f>
        <v/>
      </c>
      <c r="AV689" s="112" t="str">
        <f>IF(preDEL!$AG689,IFERROR(0/0,""),preDEL!AV689)</f>
        <v/>
      </c>
      <c r="AW689" s="112" t="str">
        <f>IF(preDEL!$AG689,IFERROR(0/0,""),preDEL!AW689)</f>
        <v/>
      </c>
      <c r="AX689" s="112" t="str">
        <f>IF(preDEL!$AG689,IFERROR(0/0,""),preDEL!AX689)</f>
        <v/>
      </c>
      <c r="AY689" s="112" t="str">
        <f>IF(preDEL!$AG689,IFERROR(0/0,""),preDEL!AY689)</f>
        <v/>
      </c>
      <c r="AZ689" s="174"/>
      <c r="BA689" s="174"/>
      <c r="BB689" s="174"/>
      <c r="BC689" s="174"/>
      <c r="BD689" s="174"/>
      <c r="BE689" s="174"/>
      <c r="BF689" s="174"/>
      <c r="BG689" s="174"/>
      <c r="BH689" s="174"/>
      <c r="BI689" s="174"/>
      <c r="BJ689" s="174"/>
      <c r="BK689" s="174"/>
      <c r="BL689" s="174"/>
      <c r="BM689" s="174"/>
      <c r="BN689" s="174"/>
      <c r="BO689" s="174"/>
      <c r="BP689" s="174"/>
      <c r="BQ689" s="174"/>
      <c r="BR689" s="174"/>
      <c r="BS689" s="174"/>
      <c r="BT689" s="174"/>
      <c r="BU689" s="174"/>
      <c r="BV689" s="174"/>
      <c r="BW689" s="174"/>
      <c r="BX689" s="174"/>
      <c r="BY689" s="174"/>
      <c r="BZ689" s="174"/>
      <c r="CA689" s="174"/>
      <c r="CB689" s="174"/>
      <c r="CC689" s="174"/>
      <c r="CD689" s="174"/>
    </row>
    <row r="690">
      <c r="A690" s="105" t="str">
        <f>IF(preDEL!$AG690,IFERROR(0/0,""),preDEL!A690)</f>
        <v>MA319</v>
      </c>
      <c r="B690" s="170">
        <f>IF(preDEL!$AG690,IFERROR(0/0,""),preDEL!B690)</f>
        <v>44625</v>
      </c>
      <c r="C690" s="171">
        <f>IF(preDEL!$AG690,IFERROR(0/0,""),preDEL!C690)</f>
        <v>0.2652893519</v>
      </c>
      <c r="D690" s="105" t="str">
        <f>IF(preDEL!$AG690,IFERROR(0/0,""),preDEL!D690)</f>
        <v/>
      </c>
      <c r="E690" s="105" t="str">
        <f>IF(preDEL!$AG690,IFERROR(0/0,""),preDEL!E690)</f>
        <v/>
      </c>
      <c r="F690" s="112" t="str">
        <f>IF(preDEL!$AG690,IFERROR(0/0,""),preDEL!F690)</f>
        <v/>
      </c>
      <c r="G690" s="112" t="str">
        <f>IF(preDEL!$AG690,IFERROR(0/0,""),preDEL!G690)</f>
        <v/>
      </c>
      <c r="H690" s="112" t="str">
        <f>IF(preDEL!$AG690,IFERROR(0/0,""),preDEL!H690)</f>
        <v/>
      </c>
      <c r="I690" s="105" t="str">
        <f>IF(preDEL!$AG690,IFERROR(0/0,""),preDEL!I690)</f>
        <v/>
      </c>
      <c r="J690" s="105" t="str">
        <f>IF(preDEL!$AG690,IFERROR(0/0,""),preDEL!J690)</f>
        <v/>
      </c>
      <c r="K690" s="105" t="str">
        <f>IF(preDEL!$AG690,IFERROR(0/0,""),preDEL!K690)</f>
        <v>Negative</v>
      </c>
      <c r="L690" s="170">
        <f>IF(preDEL!$AG690,IFERROR(0/0,""),preDEL!L690)</f>
        <v>44625</v>
      </c>
      <c r="M690" s="171">
        <f>IF(preDEL!$AG690,IFERROR(0/0,""),preDEL!M690)</f>
        <v>0.4897453704</v>
      </c>
      <c r="N690" s="112" t="str">
        <f>IF(preDEL!$AG690,IFERROR(0/0,""),preDEL!N690)</f>
        <v/>
      </c>
      <c r="O690" s="112" t="str">
        <f>IF(preDEL!$AG690,IFERROR(0/0,""),preDEL!O690)</f>
        <v/>
      </c>
      <c r="P690" s="110" t="b">
        <f>IF(preDEL!$AG690,IFERROR(0/0,""),preDEL!P690)</f>
        <v>0</v>
      </c>
      <c r="Q690" s="110" t="str">
        <f>IF(preDEL!$AG690,IFERROR(0/0,""),preDEL!Q690)</f>
        <v>Result</v>
      </c>
      <c r="R690" s="104" t="b">
        <f>IF(preDEL!$AG690,IFERROR(0/0,""),preDEL!R690)</f>
        <v>1</v>
      </c>
      <c r="S690" s="104">
        <f>IF(preDEL!$AG690,IFERROR(0/0,""),preDEL!S690)</f>
        <v>1</v>
      </c>
      <c r="T690" s="110" t="str">
        <f>IF(preDEL!$AG690,IFERROR(0/0,""),preDEL!T690)</f>
        <v/>
      </c>
      <c r="U690" s="112" t="str">
        <f>IF(preDEL!$AG690,IFERROR(0/0,""),preDEL!U690)</f>
        <v/>
      </c>
      <c r="V690" s="105" t="str">
        <f>IF(preDEL!$AG690,IFERROR(0/0,""),preDEL!V690)</f>
        <v/>
      </c>
      <c r="W690" s="112" t="str">
        <f>IF(preDEL!$AG690,IFERROR(0/0,""),preDEL!W690)</f>
        <v/>
      </c>
      <c r="X690" s="104" t="b">
        <f>IF(preDEL!$AG690,IFERROR(0/0,""),preDEL!X690)</f>
        <v>0</v>
      </c>
      <c r="Y690" s="110" t="b">
        <f>IF(preDEL!$AG690,IFERROR(0/0,""),preDEL!Y690)</f>
        <v>0</v>
      </c>
      <c r="Z690" s="105" t="str">
        <f>IF(preDEL!$AG690,IFERROR(0/0,""),preDEL!Z690)</f>
        <v/>
      </c>
      <c r="AA690" s="110" t="b">
        <f>IF(preDEL!$AG690,IFERROR(0/0,""),preDEL!AA690)</f>
        <v>0</v>
      </c>
      <c r="AB690" s="110" t="b">
        <f>IF(preDEL!$AG690,IFERROR(0/0,""),preDEL!AB690)</f>
        <v>0</v>
      </c>
      <c r="AC690" s="172">
        <f>IF(preDEL!$AG690,IFERROR(0/0,""),preDEL!AC690)</f>
        <v>133</v>
      </c>
      <c r="AD690" s="104" t="b">
        <f>IF(preDEL!$AG690,IFERROR(0/0,""),preDEL!AD690)</f>
        <v>0</v>
      </c>
      <c r="AE690" s="173">
        <f>IF(preDEL!$AG690,IFERROR(0/0,""),preDEL!AE690)</f>
        <v>323.2166667</v>
      </c>
      <c r="AF690" s="110" t="b">
        <f>IF(preDEL!$AG690,IFERROR(0/0,""),preDEL!AF690)</f>
        <v>0</v>
      </c>
      <c r="AG690" s="110" t="b">
        <f>IF(preDEL!$AG690,IFERROR(0/0,""),preDEL!AG690)</f>
        <v>0</v>
      </c>
      <c r="AH690" s="104" t="str">
        <f>IF(preDEL!$AG690,IFERROR(0/0,""),preDEL!AH690)</f>
        <v/>
      </c>
      <c r="AI690" s="105" t="str">
        <f>IF(preDEL!$AG690,IFERROR(0/0,""),preDEL!AI690)</f>
        <v/>
      </c>
      <c r="AJ690" s="112" t="str">
        <f>IF(preDEL!$AG690,IFERROR(0/0,""),preDEL!AJ690)</f>
        <v/>
      </c>
      <c r="AK690" s="105" t="str">
        <f>IF(preDEL!$AG690,IFERROR(0/0,""),preDEL!AK690)</f>
        <v>Negative</v>
      </c>
      <c r="AL690" s="112" t="str">
        <f>IF(preDEL!$AG690,IFERROR(0/0,""),preDEL!AL690)</f>
        <v/>
      </c>
      <c r="AM690" s="112" t="str">
        <f>IF(preDEL!$AG690,IFERROR(0/0,""),preDEL!AM690)</f>
        <v>SpBEND670368</v>
      </c>
      <c r="AN690" s="112" t="str">
        <f>IF(preDEL!$AG690,IFERROR(0/0,""),preDEL!AN690)</f>
        <v>BEND627699</v>
      </c>
      <c r="AO690" s="112" t="str">
        <f>IF(preDEL!$AG690,IFERROR(0/0,""),preDEL!AO690)</f>
        <v/>
      </c>
      <c r="AP690" s="112" t="str">
        <f>IF(preDEL!$AG690,IFERROR(0/0,""),preDEL!AP690)</f>
        <v/>
      </c>
      <c r="AQ690" s="112" t="str">
        <f>IF(preDEL!$AG690,IFERROR(0/0,""),preDEL!AQ690)</f>
        <v/>
      </c>
      <c r="AR690" s="112" t="str">
        <f>IF(preDEL!$AG690,IFERROR(0/0,""),preDEL!AR690)</f>
        <v/>
      </c>
      <c r="AS690" s="112" t="str">
        <f>IF(preDEL!$AG690,IFERROR(0/0,""),preDEL!AS690)</f>
        <v/>
      </c>
      <c r="AT690" s="112" t="b">
        <f>IF(preDEL!$AG690,IFERROR(0/0,""),preDEL!AT690)</f>
        <v>0</v>
      </c>
      <c r="AU690" s="112" t="str">
        <f>IF(preDEL!$AG690,IFERROR(0/0,""),preDEL!AU690)</f>
        <v/>
      </c>
      <c r="AV690" s="112" t="str">
        <f>IF(preDEL!$AG690,IFERROR(0/0,""),preDEL!AV690)</f>
        <v/>
      </c>
      <c r="AW690" s="112" t="str">
        <f>IF(preDEL!$AG690,IFERROR(0/0,""),preDEL!AW690)</f>
        <v/>
      </c>
      <c r="AX690" s="112" t="str">
        <f>IF(preDEL!$AG690,IFERROR(0/0,""),preDEL!AX690)</f>
        <v/>
      </c>
      <c r="AY690" s="112" t="str">
        <f>IF(preDEL!$AG690,IFERROR(0/0,""),preDEL!AY690)</f>
        <v/>
      </c>
      <c r="AZ690" s="174"/>
      <c r="BA690" s="174"/>
      <c r="BB690" s="174"/>
      <c r="BC690" s="174"/>
      <c r="BD690" s="174"/>
      <c r="BE690" s="174"/>
      <c r="BF690" s="174"/>
      <c r="BG690" s="174"/>
      <c r="BH690" s="174"/>
      <c r="BI690" s="174"/>
      <c r="BJ690" s="174"/>
      <c r="BK690" s="174"/>
      <c r="BL690" s="174"/>
      <c r="BM690" s="174"/>
      <c r="BN690" s="174"/>
      <c r="BO690" s="174"/>
      <c r="BP690" s="174"/>
      <c r="BQ690" s="174"/>
      <c r="BR690" s="174"/>
      <c r="BS690" s="174"/>
      <c r="BT690" s="174"/>
      <c r="BU690" s="174"/>
      <c r="BV690" s="174"/>
      <c r="BW690" s="174"/>
      <c r="BX690" s="174"/>
      <c r="BY690" s="174"/>
      <c r="BZ690" s="174"/>
      <c r="CA690" s="174"/>
      <c r="CB690" s="174"/>
      <c r="CC690" s="174"/>
      <c r="CD690" s="174"/>
    </row>
    <row r="691">
      <c r="A691" s="105" t="str">
        <f>IF(preDEL!$AG691,IFERROR(0/0,""),preDEL!A691)</f>
        <v>MA328</v>
      </c>
      <c r="B691" s="170">
        <f>IF(preDEL!$AG691,IFERROR(0/0,""),preDEL!B691)</f>
        <v>44625</v>
      </c>
      <c r="C691" s="171">
        <f>IF(preDEL!$AG691,IFERROR(0/0,""),preDEL!C691)</f>
        <v>0.2703587963</v>
      </c>
      <c r="D691" s="105" t="str">
        <f>IF(preDEL!$AG691,IFERROR(0/0,""),preDEL!D691)</f>
        <v/>
      </c>
      <c r="E691" s="105" t="str">
        <f>IF(preDEL!$AG691,IFERROR(0/0,""),preDEL!E691)</f>
        <v/>
      </c>
      <c r="F691" s="112" t="str">
        <f>IF(preDEL!$AG691,IFERROR(0/0,""),preDEL!F691)</f>
        <v/>
      </c>
      <c r="G691" s="112" t="str">
        <f>IF(preDEL!$AG691,IFERROR(0/0,""),preDEL!G691)</f>
        <v/>
      </c>
      <c r="H691" s="112" t="str">
        <f>IF(preDEL!$AG691,IFERROR(0/0,""),preDEL!H691)</f>
        <v/>
      </c>
      <c r="I691" s="105" t="str">
        <f>IF(preDEL!$AG691,IFERROR(0/0,""),preDEL!I691)</f>
        <v/>
      </c>
      <c r="J691" s="105" t="str">
        <f>IF(preDEL!$AG691,IFERROR(0/0,""),preDEL!J691)</f>
        <v/>
      </c>
      <c r="K691" s="105" t="str">
        <f>IF(preDEL!$AG691,IFERROR(0/0,""),preDEL!K691)</f>
        <v>Negative</v>
      </c>
      <c r="L691" s="170">
        <f>IF(preDEL!$AG691,IFERROR(0/0,""),preDEL!L691)</f>
        <v>44625</v>
      </c>
      <c r="M691" s="171">
        <f>IF(preDEL!$AG691,IFERROR(0/0,""),preDEL!M691)</f>
        <v>0.4897453704</v>
      </c>
      <c r="N691" s="112" t="str">
        <f>IF(preDEL!$AG691,IFERROR(0/0,""),preDEL!N691)</f>
        <v/>
      </c>
      <c r="O691" s="112" t="str">
        <f>IF(preDEL!$AG691,IFERROR(0/0,""),preDEL!O691)</f>
        <v/>
      </c>
      <c r="P691" s="110" t="b">
        <f>IF(preDEL!$AG691,IFERROR(0/0,""),preDEL!P691)</f>
        <v>0</v>
      </c>
      <c r="Q691" s="110" t="str">
        <f>IF(preDEL!$AG691,IFERROR(0/0,""),preDEL!Q691)</f>
        <v>Result</v>
      </c>
      <c r="R691" s="104" t="b">
        <f>IF(preDEL!$AG691,IFERROR(0/0,""),preDEL!R691)</f>
        <v>1</v>
      </c>
      <c r="S691" s="104">
        <f>IF(preDEL!$AG691,IFERROR(0/0,""),preDEL!S691)</f>
        <v>1</v>
      </c>
      <c r="T691" s="110" t="str">
        <f>IF(preDEL!$AG691,IFERROR(0/0,""),preDEL!T691)</f>
        <v/>
      </c>
      <c r="U691" s="112" t="str">
        <f>IF(preDEL!$AG691,IFERROR(0/0,""),preDEL!U691)</f>
        <v/>
      </c>
      <c r="V691" s="105" t="str">
        <f>IF(preDEL!$AG691,IFERROR(0/0,""),preDEL!V691)</f>
        <v/>
      </c>
      <c r="W691" s="112" t="str">
        <f>IF(preDEL!$AG691,IFERROR(0/0,""),preDEL!W691)</f>
        <v/>
      </c>
      <c r="X691" s="104" t="b">
        <f>IF(preDEL!$AG691,IFERROR(0/0,""),preDEL!X691)</f>
        <v>0</v>
      </c>
      <c r="Y691" s="110" t="b">
        <f>IF(preDEL!$AG691,IFERROR(0/0,""),preDEL!Y691)</f>
        <v>0</v>
      </c>
      <c r="Z691" s="105" t="str">
        <f>IF(preDEL!$AG691,IFERROR(0/0,""),preDEL!Z691)</f>
        <v/>
      </c>
      <c r="AA691" s="110" t="b">
        <f>IF(preDEL!$AG691,IFERROR(0/0,""),preDEL!AA691)</f>
        <v>0</v>
      </c>
      <c r="AB691" s="110" t="b">
        <f>IF(preDEL!$AG691,IFERROR(0/0,""),preDEL!AB691)</f>
        <v>0</v>
      </c>
      <c r="AC691" s="172">
        <f>IF(preDEL!$AG691,IFERROR(0/0,""),preDEL!AC691)</f>
        <v>132</v>
      </c>
      <c r="AD691" s="104" t="b">
        <f>IF(preDEL!$AG691,IFERROR(0/0,""),preDEL!AD691)</f>
        <v>0</v>
      </c>
      <c r="AE691" s="173">
        <f>IF(preDEL!$AG691,IFERROR(0/0,""),preDEL!AE691)</f>
        <v>315.9166667</v>
      </c>
      <c r="AF691" s="110" t="b">
        <f>IF(preDEL!$AG691,IFERROR(0/0,""),preDEL!AF691)</f>
        <v>0</v>
      </c>
      <c r="AG691" s="110" t="b">
        <f>IF(preDEL!$AG691,IFERROR(0/0,""),preDEL!AG691)</f>
        <v>0</v>
      </c>
      <c r="AH691" s="104" t="str">
        <f>IF(preDEL!$AG691,IFERROR(0/0,""),preDEL!AH691)</f>
        <v/>
      </c>
      <c r="AI691" s="105" t="str">
        <f>IF(preDEL!$AG691,IFERROR(0/0,""),preDEL!AI691)</f>
        <v/>
      </c>
      <c r="AJ691" s="112" t="str">
        <f>IF(preDEL!$AG691,IFERROR(0/0,""),preDEL!AJ691)</f>
        <v/>
      </c>
      <c r="AK691" s="105" t="str">
        <f>IF(preDEL!$AG691,IFERROR(0/0,""),preDEL!AK691)</f>
        <v>Negative</v>
      </c>
      <c r="AL691" s="112" t="str">
        <f>IF(preDEL!$AG691,IFERROR(0/0,""),preDEL!AL691)</f>
        <v/>
      </c>
      <c r="AM691" s="112" t="str">
        <f>IF(preDEL!$AG691,IFERROR(0/0,""),preDEL!AM691)</f>
        <v>SpBEND947055</v>
      </c>
      <c r="AN691" s="112" t="str">
        <f>IF(preDEL!$AG691,IFERROR(0/0,""),preDEL!AN691)</f>
        <v>BEND371889</v>
      </c>
      <c r="AO691" s="112" t="str">
        <f>IF(preDEL!$AG691,IFERROR(0/0,""),preDEL!AO691)</f>
        <v/>
      </c>
      <c r="AP691" s="112" t="str">
        <f>IF(preDEL!$AG691,IFERROR(0/0,""),preDEL!AP691)</f>
        <v/>
      </c>
      <c r="AQ691" s="112" t="str">
        <f>IF(preDEL!$AG691,IFERROR(0/0,""),preDEL!AQ691)</f>
        <v/>
      </c>
      <c r="AR691" s="112" t="str">
        <f>IF(preDEL!$AG691,IFERROR(0/0,""),preDEL!AR691)</f>
        <v/>
      </c>
      <c r="AS691" s="112" t="str">
        <f>IF(preDEL!$AG691,IFERROR(0/0,""),preDEL!AS691)</f>
        <v/>
      </c>
      <c r="AT691" s="112" t="b">
        <f>IF(preDEL!$AG691,IFERROR(0/0,""),preDEL!AT691)</f>
        <v>0</v>
      </c>
      <c r="AU691" s="112" t="str">
        <f>IF(preDEL!$AG691,IFERROR(0/0,""),preDEL!AU691)</f>
        <v/>
      </c>
      <c r="AV691" s="112" t="str">
        <f>IF(preDEL!$AG691,IFERROR(0/0,""),preDEL!AV691)</f>
        <v/>
      </c>
      <c r="AW691" s="112" t="str">
        <f>IF(preDEL!$AG691,IFERROR(0/0,""),preDEL!AW691)</f>
        <v/>
      </c>
      <c r="AX691" s="112" t="str">
        <f>IF(preDEL!$AG691,IFERROR(0/0,""),preDEL!AX691)</f>
        <v/>
      </c>
      <c r="AY691" s="112" t="str">
        <f>IF(preDEL!$AG691,IFERROR(0/0,""),preDEL!AY691)</f>
        <v/>
      </c>
      <c r="AZ691" s="174"/>
      <c r="BA691" s="174"/>
      <c r="BB691" s="174"/>
      <c r="BC691" s="174"/>
      <c r="BD691" s="174"/>
      <c r="BE691" s="174"/>
      <c r="BF691" s="174"/>
      <c r="BG691" s="174"/>
      <c r="BH691" s="174"/>
      <c r="BI691" s="174"/>
      <c r="BJ691" s="174"/>
      <c r="BK691" s="174"/>
      <c r="BL691" s="174"/>
      <c r="BM691" s="174"/>
      <c r="BN691" s="174"/>
      <c r="BO691" s="174"/>
      <c r="BP691" s="174"/>
      <c r="BQ691" s="174"/>
      <c r="BR691" s="174"/>
      <c r="BS691" s="174"/>
      <c r="BT691" s="174"/>
      <c r="BU691" s="174"/>
      <c r="BV691" s="174"/>
      <c r="BW691" s="174"/>
      <c r="BX691" s="174"/>
      <c r="BY691" s="174"/>
      <c r="BZ691" s="174"/>
      <c r="CA691" s="174"/>
      <c r="CB691" s="174"/>
      <c r="CC691" s="174"/>
      <c r="CD691" s="174"/>
    </row>
    <row r="692">
      <c r="A692" s="105" t="str">
        <f>IF(preDEL!$AG692,IFERROR(0/0,""),preDEL!A692)</f>
        <v>FM480</v>
      </c>
      <c r="B692" s="170">
        <f>IF(preDEL!$AG692,IFERROR(0/0,""),preDEL!B692)</f>
        <v>44625</v>
      </c>
      <c r="C692" s="171">
        <f>IF(preDEL!$AG692,IFERROR(0/0,""),preDEL!C692)</f>
        <v>0.2726851852</v>
      </c>
      <c r="D692" s="105" t="str">
        <f>IF(preDEL!$AG692,IFERROR(0/0,""),preDEL!D692)</f>
        <v/>
      </c>
      <c r="E692" s="105" t="str">
        <f>IF(preDEL!$AG692,IFERROR(0/0,""),preDEL!E692)</f>
        <v/>
      </c>
      <c r="F692" s="112" t="str">
        <f>IF(preDEL!$AG692,IFERROR(0/0,""),preDEL!F692)</f>
        <v/>
      </c>
      <c r="G692" s="112" t="str">
        <f>IF(preDEL!$AG692,IFERROR(0/0,""),preDEL!G692)</f>
        <v/>
      </c>
      <c r="H692" s="112" t="str">
        <f>IF(preDEL!$AG692,IFERROR(0/0,""),preDEL!H692)</f>
        <v/>
      </c>
      <c r="I692" s="105" t="str">
        <f>IF(preDEL!$AG692,IFERROR(0/0,""),preDEL!I692)</f>
        <v/>
      </c>
      <c r="J692" s="105" t="str">
        <f>IF(preDEL!$AG692,IFERROR(0/0,""),preDEL!J692)</f>
        <v/>
      </c>
      <c r="K692" s="105" t="str">
        <f>IF(preDEL!$AG692,IFERROR(0/0,""),preDEL!K692)</f>
        <v>Negative</v>
      </c>
      <c r="L692" s="170">
        <f>IF(preDEL!$AG692,IFERROR(0/0,""),preDEL!L692)</f>
        <v>44625</v>
      </c>
      <c r="M692" s="171">
        <f>IF(preDEL!$AG692,IFERROR(0/0,""),preDEL!M692)</f>
        <v>0.4897453704</v>
      </c>
      <c r="N692" s="112" t="str">
        <f>IF(preDEL!$AG692,IFERROR(0/0,""),preDEL!N692)</f>
        <v/>
      </c>
      <c r="O692" s="112" t="str">
        <f>IF(preDEL!$AG692,IFERROR(0/0,""),preDEL!O692)</f>
        <v/>
      </c>
      <c r="P692" s="110" t="b">
        <f>IF(preDEL!$AG692,IFERROR(0/0,""),preDEL!P692)</f>
        <v>0</v>
      </c>
      <c r="Q692" s="110" t="str">
        <f>IF(preDEL!$AG692,IFERROR(0/0,""),preDEL!Q692)</f>
        <v>Result</v>
      </c>
      <c r="R692" s="104" t="b">
        <f>IF(preDEL!$AG692,IFERROR(0/0,""),preDEL!R692)</f>
        <v>1</v>
      </c>
      <c r="S692" s="104">
        <f>IF(preDEL!$AG692,IFERROR(0/0,""),preDEL!S692)</f>
        <v>1</v>
      </c>
      <c r="T692" s="110" t="str">
        <f>IF(preDEL!$AG692,IFERROR(0/0,""),preDEL!T692)</f>
        <v/>
      </c>
      <c r="U692" s="112" t="str">
        <f>IF(preDEL!$AG692,IFERROR(0/0,""),preDEL!U692)</f>
        <v/>
      </c>
      <c r="V692" s="105" t="str">
        <f>IF(preDEL!$AG692,IFERROR(0/0,""),preDEL!V692)</f>
        <v/>
      </c>
      <c r="W692" s="112" t="str">
        <f>IF(preDEL!$AG692,IFERROR(0/0,""),preDEL!W692)</f>
        <v/>
      </c>
      <c r="X692" s="104" t="b">
        <f>IF(preDEL!$AG692,IFERROR(0/0,""),preDEL!X692)</f>
        <v>0</v>
      </c>
      <c r="Y692" s="110" t="b">
        <f>IF(preDEL!$AG692,IFERROR(0/0,""),preDEL!Y692)</f>
        <v>0</v>
      </c>
      <c r="Z692" s="105" t="str">
        <f>IF(preDEL!$AG692,IFERROR(0/0,""),preDEL!Z692)</f>
        <v/>
      </c>
      <c r="AA692" s="110" t="b">
        <f>IF(preDEL!$AG692,IFERROR(0/0,""),preDEL!AA692)</f>
        <v>0</v>
      </c>
      <c r="AB692" s="110" t="b">
        <f>IF(preDEL!$AG692,IFERROR(0/0,""),preDEL!AB692)</f>
        <v>0</v>
      </c>
      <c r="AC692" s="172">
        <f>IF(preDEL!$AG692,IFERROR(0/0,""),preDEL!AC692)</f>
        <v>131</v>
      </c>
      <c r="AD692" s="104" t="b">
        <f>IF(preDEL!$AG692,IFERROR(0/0,""),preDEL!AD692)</f>
        <v>0</v>
      </c>
      <c r="AE692" s="173">
        <f>IF(preDEL!$AG692,IFERROR(0/0,""),preDEL!AE692)</f>
        <v>312.5666667</v>
      </c>
      <c r="AF692" s="110" t="b">
        <f>IF(preDEL!$AG692,IFERROR(0/0,""),preDEL!AF692)</f>
        <v>0</v>
      </c>
      <c r="AG692" s="110" t="b">
        <f>IF(preDEL!$AG692,IFERROR(0/0,""),preDEL!AG692)</f>
        <v>0</v>
      </c>
      <c r="AH692" s="104" t="str">
        <f>IF(preDEL!$AG692,IFERROR(0/0,""),preDEL!AH692)</f>
        <v/>
      </c>
      <c r="AI692" s="105" t="str">
        <f>IF(preDEL!$AG692,IFERROR(0/0,""),preDEL!AI692)</f>
        <v/>
      </c>
      <c r="AJ692" s="112" t="str">
        <f>IF(preDEL!$AG692,IFERROR(0/0,""),preDEL!AJ692)</f>
        <v/>
      </c>
      <c r="AK692" s="105" t="str">
        <f>IF(preDEL!$AG692,IFERROR(0/0,""),preDEL!AK692)</f>
        <v>Negative</v>
      </c>
      <c r="AL692" s="112" t="str">
        <f>IF(preDEL!$AG692,IFERROR(0/0,""),preDEL!AL692)</f>
        <v/>
      </c>
      <c r="AM692" s="112" t="str">
        <f>IF(preDEL!$AG692,IFERROR(0/0,""),preDEL!AM692)</f>
        <v>SpBEND734943</v>
      </c>
      <c r="AN692" s="112" t="str">
        <f>IF(preDEL!$AG692,IFERROR(0/0,""),preDEL!AN692)</f>
        <v>BEND710690</v>
      </c>
      <c r="AO692" s="112" t="str">
        <f>IF(preDEL!$AG692,IFERROR(0/0,""),preDEL!AO692)</f>
        <v/>
      </c>
      <c r="AP692" s="112" t="str">
        <f>IF(preDEL!$AG692,IFERROR(0/0,""),preDEL!AP692)</f>
        <v/>
      </c>
      <c r="AQ692" s="112" t="str">
        <f>IF(preDEL!$AG692,IFERROR(0/0,""),preDEL!AQ692)</f>
        <v/>
      </c>
      <c r="AR692" s="112" t="str">
        <f>IF(preDEL!$AG692,IFERROR(0/0,""),preDEL!AR692)</f>
        <v/>
      </c>
      <c r="AS692" s="112" t="str">
        <f>IF(preDEL!$AG692,IFERROR(0/0,""),preDEL!AS692)</f>
        <v/>
      </c>
      <c r="AT692" s="112" t="b">
        <f>IF(preDEL!$AG692,IFERROR(0/0,""),preDEL!AT692)</f>
        <v>0</v>
      </c>
      <c r="AU692" s="112" t="str">
        <f>IF(preDEL!$AG692,IFERROR(0/0,""),preDEL!AU692)</f>
        <v/>
      </c>
      <c r="AV692" s="112" t="str">
        <f>IF(preDEL!$AG692,IFERROR(0/0,""),preDEL!AV692)</f>
        <v/>
      </c>
      <c r="AW692" s="112" t="str">
        <f>IF(preDEL!$AG692,IFERROR(0/0,""),preDEL!AW692)</f>
        <v/>
      </c>
      <c r="AX692" s="112" t="str">
        <f>IF(preDEL!$AG692,IFERROR(0/0,""),preDEL!AX692)</f>
        <v/>
      </c>
      <c r="AY692" s="112" t="str">
        <f>IF(preDEL!$AG692,IFERROR(0/0,""),preDEL!AY692)</f>
        <v/>
      </c>
      <c r="AZ692" s="174"/>
      <c r="BA692" s="174"/>
      <c r="BB692" s="174"/>
      <c r="BC692" s="174"/>
      <c r="BD692" s="174"/>
      <c r="BE692" s="174"/>
      <c r="BF692" s="174"/>
      <c r="BG692" s="174"/>
      <c r="BH692" s="174"/>
      <c r="BI692" s="174"/>
      <c r="BJ692" s="174"/>
      <c r="BK692" s="174"/>
      <c r="BL692" s="174"/>
      <c r="BM692" s="174"/>
      <c r="BN692" s="174"/>
      <c r="BO692" s="174"/>
      <c r="BP692" s="174"/>
      <c r="BQ692" s="174"/>
      <c r="BR692" s="174"/>
      <c r="BS692" s="174"/>
      <c r="BT692" s="174"/>
      <c r="BU692" s="174"/>
      <c r="BV692" s="174"/>
      <c r="BW692" s="174"/>
      <c r="BX692" s="174"/>
      <c r="BY692" s="174"/>
      <c r="BZ692" s="174"/>
      <c r="CA692" s="174"/>
      <c r="CB692" s="174"/>
      <c r="CC692" s="174"/>
      <c r="CD692" s="174"/>
    </row>
    <row r="693">
      <c r="A693" s="105" t="str">
        <f>IF(preDEL!$AG693,IFERROR(0/0,""),preDEL!A693)</f>
        <v>FM423</v>
      </c>
      <c r="B693" s="170">
        <f>IF(preDEL!$AG693,IFERROR(0/0,""),preDEL!B693)</f>
        <v>44625</v>
      </c>
      <c r="C693" s="171">
        <f>IF(preDEL!$AG693,IFERROR(0/0,""),preDEL!C693)</f>
        <v>0.2876967593</v>
      </c>
      <c r="D693" s="105" t="str">
        <f>IF(preDEL!$AG693,IFERROR(0/0,""),preDEL!D693)</f>
        <v/>
      </c>
      <c r="E693" s="105" t="str">
        <f>IF(preDEL!$AG693,IFERROR(0/0,""),preDEL!E693)</f>
        <v/>
      </c>
      <c r="F693" s="112" t="str">
        <f>IF(preDEL!$AG693,IFERROR(0/0,""),preDEL!F693)</f>
        <v/>
      </c>
      <c r="G693" s="112" t="str">
        <f>IF(preDEL!$AG693,IFERROR(0/0,""),preDEL!G693)</f>
        <v/>
      </c>
      <c r="H693" s="112" t="str">
        <f>IF(preDEL!$AG693,IFERROR(0/0,""),preDEL!H693)</f>
        <v/>
      </c>
      <c r="I693" s="105" t="str">
        <f>IF(preDEL!$AG693,IFERROR(0/0,""),preDEL!I693)</f>
        <v/>
      </c>
      <c r="J693" s="105" t="str">
        <f>IF(preDEL!$AG693,IFERROR(0/0,""),preDEL!J693)</f>
        <v/>
      </c>
      <c r="K693" s="105" t="str">
        <f>IF(preDEL!$AG693,IFERROR(0/0,""),preDEL!K693)</f>
        <v>Negative</v>
      </c>
      <c r="L693" s="170">
        <f>IF(preDEL!$AG693,IFERROR(0/0,""),preDEL!L693)</f>
        <v>44625</v>
      </c>
      <c r="M693" s="171">
        <f>IF(preDEL!$AG693,IFERROR(0/0,""),preDEL!M693)</f>
        <v>0.4897453704</v>
      </c>
      <c r="N693" s="112" t="str">
        <f>IF(preDEL!$AG693,IFERROR(0/0,""),preDEL!N693)</f>
        <v/>
      </c>
      <c r="O693" s="112" t="str">
        <f>IF(preDEL!$AG693,IFERROR(0/0,""),preDEL!O693)</f>
        <v/>
      </c>
      <c r="P693" s="110" t="b">
        <f>IF(preDEL!$AG693,IFERROR(0/0,""),preDEL!P693)</f>
        <v>0</v>
      </c>
      <c r="Q693" s="110" t="str">
        <f>IF(preDEL!$AG693,IFERROR(0/0,""),preDEL!Q693)</f>
        <v>Result</v>
      </c>
      <c r="R693" s="104" t="b">
        <f>IF(preDEL!$AG693,IFERROR(0/0,""),preDEL!R693)</f>
        <v>1</v>
      </c>
      <c r="S693" s="104">
        <f>IF(preDEL!$AG693,IFERROR(0/0,""),preDEL!S693)</f>
        <v>1</v>
      </c>
      <c r="T693" s="110" t="str">
        <f>IF(preDEL!$AG693,IFERROR(0/0,""),preDEL!T693)</f>
        <v/>
      </c>
      <c r="U693" s="112" t="str">
        <f>IF(preDEL!$AG693,IFERROR(0/0,""),preDEL!U693)</f>
        <v/>
      </c>
      <c r="V693" s="105" t="str">
        <f>IF(preDEL!$AG693,IFERROR(0/0,""),preDEL!V693)</f>
        <v/>
      </c>
      <c r="W693" s="112" t="str">
        <f>IF(preDEL!$AG693,IFERROR(0/0,""),preDEL!W693)</f>
        <v/>
      </c>
      <c r="X693" s="104" t="b">
        <f>IF(preDEL!$AG693,IFERROR(0/0,""),preDEL!X693)</f>
        <v>0</v>
      </c>
      <c r="Y693" s="110" t="b">
        <f>IF(preDEL!$AG693,IFERROR(0/0,""),preDEL!Y693)</f>
        <v>0</v>
      </c>
      <c r="Z693" s="105" t="str">
        <f>IF(preDEL!$AG693,IFERROR(0/0,""),preDEL!Z693)</f>
        <v/>
      </c>
      <c r="AA693" s="110" t="b">
        <f>IF(preDEL!$AG693,IFERROR(0/0,""),preDEL!AA693)</f>
        <v>0</v>
      </c>
      <c r="AB693" s="110" t="b">
        <f>IF(preDEL!$AG693,IFERROR(0/0,""),preDEL!AB693)</f>
        <v>0</v>
      </c>
      <c r="AC693" s="172">
        <f>IF(preDEL!$AG693,IFERROR(0/0,""),preDEL!AC693)</f>
        <v>130</v>
      </c>
      <c r="AD693" s="104" t="b">
        <f>IF(preDEL!$AG693,IFERROR(0/0,""),preDEL!AD693)</f>
        <v>0</v>
      </c>
      <c r="AE693" s="173">
        <f>IF(preDEL!$AG693,IFERROR(0/0,""),preDEL!AE693)</f>
        <v>290.95</v>
      </c>
      <c r="AF693" s="110" t="b">
        <f>IF(preDEL!$AG693,IFERROR(0/0,""),preDEL!AF693)</f>
        <v>0</v>
      </c>
      <c r="AG693" s="110" t="b">
        <f>IF(preDEL!$AG693,IFERROR(0/0,""),preDEL!AG693)</f>
        <v>0</v>
      </c>
      <c r="AH693" s="104" t="str">
        <f>IF(preDEL!$AG693,IFERROR(0/0,""),preDEL!AH693)</f>
        <v/>
      </c>
      <c r="AI693" s="105" t="str">
        <f>IF(preDEL!$AG693,IFERROR(0/0,""),preDEL!AI693)</f>
        <v/>
      </c>
      <c r="AJ693" s="112" t="str">
        <f>IF(preDEL!$AG693,IFERROR(0/0,""),preDEL!AJ693)</f>
        <v/>
      </c>
      <c r="AK693" s="105" t="str">
        <f>IF(preDEL!$AG693,IFERROR(0/0,""),preDEL!AK693)</f>
        <v>Negative</v>
      </c>
      <c r="AL693" s="112" t="str">
        <f>IF(preDEL!$AG693,IFERROR(0/0,""),preDEL!AL693)</f>
        <v/>
      </c>
      <c r="AM693" s="112" t="str">
        <f>IF(preDEL!$AG693,IFERROR(0/0,""),preDEL!AM693)</f>
        <v>SpBEND737678</v>
      </c>
      <c r="AN693" s="112" t="str">
        <f>IF(preDEL!$AG693,IFERROR(0/0,""),preDEL!AN693)</f>
        <v>BEND944448</v>
      </c>
      <c r="AO693" s="112" t="str">
        <f>IF(preDEL!$AG693,IFERROR(0/0,""),preDEL!AO693)</f>
        <v/>
      </c>
      <c r="AP693" s="112" t="str">
        <f>IF(preDEL!$AG693,IFERROR(0/0,""),preDEL!AP693)</f>
        <v/>
      </c>
      <c r="AQ693" s="112" t="str">
        <f>IF(preDEL!$AG693,IFERROR(0/0,""),preDEL!AQ693)</f>
        <v/>
      </c>
      <c r="AR693" s="112" t="str">
        <f>IF(preDEL!$AG693,IFERROR(0/0,""),preDEL!AR693)</f>
        <v/>
      </c>
      <c r="AS693" s="112" t="str">
        <f>IF(preDEL!$AG693,IFERROR(0/0,""),preDEL!AS693)</f>
        <v/>
      </c>
      <c r="AT693" s="112" t="b">
        <f>IF(preDEL!$AG693,IFERROR(0/0,""),preDEL!AT693)</f>
        <v>0</v>
      </c>
      <c r="AU693" s="112" t="str">
        <f>IF(preDEL!$AG693,IFERROR(0/0,""),preDEL!AU693)</f>
        <v/>
      </c>
      <c r="AV693" s="112" t="str">
        <f>IF(preDEL!$AG693,IFERROR(0/0,""),preDEL!AV693)</f>
        <v/>
      </c>
      <c r="AW693" s="112" t="str">
        <f>IF(preDEL!$AG693,IFERROR(0/0,""),preDEL!AW693)</f>
        <v/>
      </c>
      <c r="AX693" s="112" t="str">
        <f>IF(preDEL!$AG693,IFERROR(0/0,""),preDEL!AX693)</f>
        <v/>
      </c>
      <c r="AY693" s="112" t="str">
        <f>IF(preDEL!$AG693,IFERROR(0/0,""),preDEL!AY693)</f>
        <v/>
      </c>
      <c r="AZ693" s="174"/>
      <c r="BA693" s="174"/>
      <c r="BB693" s="174"/>
      <c r="BC693" s="174"/>
      <c r="BD693" s="174"/>
      <c r="BE693" s="174"/>
      <c r="BF693" s="174"/>
      <c r="BG693" s="174"/>
      <c r="BH693" s="174"/>
      <c r="BI693" s="174"/>
      <c r="BJ693" s="174"/>
      <c r="BK693" s="174"/>
      <c r="BL693" s="174"/>
      <c r="BM693" s="174"/>
      <c r="BN693" s="174"/>
      <c r="BO693" s="174"/>
      <c r="BP693" s="174"/>
      <c r="BQ693" s="174"/>
      <c r="BR693" s="174"/>
      <c r="BS693" s="174"/>
      <c r="BT693" s="174"/>
      <c r="BU693" s="174"/>
      <c r="BV693" s="174"/>
      <c r="BW693" s="174"/>
      <c r="BX693" s="174"/>
      <c r="BY693" s="174"/>
      <c r="BZ693" s="174"/>
      <c r="CA693" s="174"/>
      <c r="CB693" s="174"/>
      <c r="CC693" s="174"/>
      <c r="CD693" s="174"/>
    </row>
    <row r="694">
      <c r="A694" s="105" t="str">
        <f>IF(preDEL!$AG694,IFERROR(0/0,""),preDEL!A694)</f>
        <v>FM2041</v>
      </c>
      <c r="B694" s="170">
        <f>IF(preDEL!$AG694,IFERROR(0/0,""),preDEL!B694)</f>
        <v>44625</v>
      </c>
      <c r="C694" s="171">
        <f>IF(preDEL!$AG694,IFERROR(0/0,""),preDEL!C694)</f>
        <v>0.2926851852</v>
      </c>
      <c r="D694" s="105" t="str">
        <f>IF(preDEL!$AG694,IFERROR(0/0,""),preDEL!D694)</f>
        <v/>
      </c>
      <c r="E694" s="105" t="str">
        <f>IF(preDEL!$AG694,IFERROR(0/0,""),preDEL!E694)</f>
        <v/>
      </c>
      <c r="F694" s="112" t="str">
        <f>IF(preDEL!$AG694,IFERROR(0/0,""),preDEL!F694)</f>
        <v/>
      </c>
      <c r="G694" s="112" t="str">
        <f>IF(preDEL!$AG694,IFERROR(0/0,""),preDEL!G694)</f>
        <v/>
      </c>
      <c r="H694" s="112" t="str">
        <f>IF(preDEL!$AG694,IFERROR(0/0,""),preDEL!H694)</f>
        <v/>
      </c>
      <c r="I694" s="105" t="str">
        <f>IF(preDEL!$AG694,IFERROR(0/0,""),preDEL!I694)</f>
        <v/>
      </c>
      <c r="J694" s="105" t="str">
        <f>IF(preDEL!$AG694,IFERROR(0/0,""),preDEL!J694)</f>
        <v/>
      </c>
      <c r="K694" s="105" t="str">
        <f>IF(preDEL!$AG694,IFERROR(0/0,""),preDEL!K694)</f>
        <v>Negative</v>
      </c>
      <c r="L694" s="170">
        <f>IF(preDEL!$AG694,IFERROR(0/0,""),preDEL!L694)</f>
        <v>44625</v>
      </c>
      <c r="M694" s="171">
        <f>IF(preDEL!$AG694,IFERROR(0/0,""),preDEL!M694)</f>
        <v>0.4899884259</v>
      </c>
      <c r="N694" s="112" t="str">
        <f>IF(preDEL!$AG694,IFERROR(0/0,""),preDEL!N694)</f>
        <v/>
      </c>
      <c r="O694" s="112" t="str">
        <f>IF(preDEL!$AG694,IFERROR(0/0,""),preDEL!O694)</f>
        <v/>
      </c>
      <c r="P694" s="110" t="b">
        <f>IF(preDEL!$AG694,IFERROR(0/0,""),preDEL!P694)</f>
        <v>0</v>
      </c>
      <c r="Q694" s="110" t="str">
        <f>IF(preDEL!$AG694,IFERROR(0/0,""),preDEL!Q694)</f>
        <v>Result</v>
      </c>
      <c r="R694" s="104" t="b">
        <f>IF(preDEL!$AG694,IFERROR(0/0,""),preDEL!R694)</f>
        <v>1</v>
      </c>
      <c r="S694" s="104">
        <f>IF(preDEL!$AG694,IFERROR(0/0,""),preDEL!S694)</f>
        <v>1</v>
      </c>
      <c r="T694" s="110" t="str">
        <f>IF(preDEL!$AG694,IFERROR(0/0,""),preDEL!T694)</f>
        <v/>
      </c>
      <c r="U694" s="112" t="str">
        <f>IF(preDEL!$AG694,IFERROR(0/0,""),preDEL!U694)</f>
        <v/>
      </c>
      <c r="V694" s="105" t="str">
        <f>IF(preDEL!$AG694,IFERROR(0/0,""),preDEL!V694)</f>
        <v/>
      </c>
      <c r="W694" s="112" t="str">
        <f>IF(preDEL!$AG694,IFERROR(0/0,""),preDEL!W694)</f>
        <v/>
      </c>
      <c r="X694" s="104" t="b">
        <f>IF(preDEL!$AG694,IFERROR(0/0,""),preDEL!X694)</f>
        <v>0</v>
      </c>
      <c r="Y694" s="110" t="b">
        <f>IF(preDEL!$AG694,IFERROR(0/0,""),preDEL!Y694)</f>
        <v>0</v>
      </c>
      <c r="Z694" s="105" t="str">
        <f>IF(preDEL!$AG694,IFERROR(0/0,""),preDEL!Z694)</f>
        <v/>
      </c>
      <c r="AA694" s="110" t="b">
        <f>IF(preDEL!$AG694,IFERROR(0/0,""),preDEL!AA694)</f>
        <v>0</v>
      </c>
      <c r="AB694" s="110" t="b">
        <f>IF(preDEL!$AG694,IFERROR(0/0,""),preDEL!AB694)</f>
        <v>0</v>
      </c>
      <c r="AC694" s="172">
        <f>IF(preDEL!$AG694,IFERROR(0/0,""),preDEL!AC694)</f>
        <v>129</v>
      </c>
      <c r="AD694" s="104" t="b">
        <f>IF(preDEL!$AG694,IFERROR(0/0,""),preDEL!AD694)</f>
        <v>0</v>
      </c>
      <c r="AE694" s="173">
        <f>IF(preDEL!$AG694,IFERROR(0/0,""),preDEL!AE694)</f>
        <v>284.1166667</v>
      </c>
      <c r="AF694" s="110" t="b">
        <f>IF(preDEL!$AG694,IFERROR(0/0,""),preDEL!AF694)</f>
        <v>0</v>
      </c>
      <c r="AG694" s="110" t="b">
        <f>IF(preDEL!$AG694,IFERROR(0/0,""),preDEL!AG694)</f>
        <v>0</v>
      </c>
      <c r="AH694" s="104" t="str">
        <f>IF(preDEL!$AG694,IFERROR(0/0,""),preDEL!AH694)</f>
        <v/>
      </c>
      <c r="AI694" s="105" t="str">
        <f>IF(preDEL!$AG694,IFERROR(0/0,""),preDEL!AI694)</f>
        <v/>
      </c>
      <c r="AJ694" s="112" t="str">
        <f>IF(preDEL!$AG694,IFERROR(0/0,""),preDEL!AJ694)</f>
        <v/>
      </c>
      <c r="AK694" s="105" t="str">
        <f>IF(preDEL!$AG694,IFERROR(0/0,""),preDEL!AK694)</f>
        <v>Negative</v>
      </c>
      <c r="AL694" s="112" t="str">
        <f>IF(preDEL!$AG694,IFERROR(0/0,""),preDEL!AL694)</f>
        <v/>
      </c>
      <c r="AM694" s="112" t="str">
        <f>IF(preDEL!$AG694,IFERROR(0/0,""),preDEL!AM694)</f>
        <v>SpBEND321883</v>
      </c>
      <c r="AN694" s="112" t="str">
        <f>IF(preDEL!$AG694,IFERROR(0/0,""),preDEL!AN694)</f>
        <v>BEND395125</v>
      </c>
      <c r="AO694" s="112" t="str">
        <f>IF(preDEL!$AG694,IFERROR(0/0,""),preDEL!AO694)</f>
        <v/>
      </c>
      <c r="AP694" s="112" t="str">
        <f>IF(preDEL!$AG694,IFERROR(0/0,""),preDEL!AP694)</f>
        <v/>
      </c>
      <c r="AQ694" s="112" t="str">
        <f>IF(preDEL!$AG694,IFERROR(0/0,""),preDEL!AQ694)</f>
        <v/>
      </c>
      <c r="AR694" s="112" t="str">
        <f>IF(preDEL!$AG694,IFERROR(0/0,""),preDEL!AR694)</f>
        <v/>
      </c>
      <c r="AS694" s="112" t="str">
        <f>IF(preDEL!$AG694,IFERROR(0/0,""),preDEL!AS694)</f>
        <v/>
      </c>
      <c r="AT694" s="112" t="b">
        <f>IF(preDEL!$AG694,IFERROR(0/0,""),preDEL!AT694)</f>
        <v>0</v>
      </c>
      <c r="AU694" s="112" t="str">
        <f>IF(preDEL!$AG694,IFERROR(0/0,""),preDEL!AU694)</f>
        <v/>
      </c>
      <c r="AV694" s="112" t="str">
        <f>IF(preDEL!$AG694,IFERROR(0/0,""),preDEL!AV694)</f>
        <v/>
      </c>
      <c r="AW694" s="112" t="str">
        <f>IF(preDEL!$AG694,IFERROR(0/0,""),preDEL!AW694)</f>
        <v/>
      </c>
      <c r="AX694" s="112" t="str">
        <f>IF(preDEL!$AG694,IFERROR(0/0,""),preDEL!AX694)</f>
        <v/>
      </c>
      <c r="AY694" s="112" t="str">
        <f>IF(preDEL!$AG694,IFERROR(0/0,""),preDEL!AY694)</f>
        <v/>
      </c>
      <c r="AZ694" s="174"/>
      <c r="BA694" s="174"/>
      <c r="BB694" s="174"/>
      <c r="BC694" s="174"/>
      <c r="BD694" s="174"/>
      <c r="BE694" s="174"/>
      <c r="BF694" s="174"/>
      <c r="BG694" s="174"/>
      <c r="BH694" s="174"/>
      <c r="BI694" s="174"/>
      <c r="BJ694" s="174"/>
      <c r="BK694" s="174"/>
      <c r="BL694" s="174"/>
      <c r="BM694" s="174"/>
      <c r="BN694" s="174"/>
      <c r="BO694" s="174"/>
      <c r="BP694" s="174"/>
      <c r="BQ694" s="174"/>
      <c r="BR694" s="174"/>
      <c r="BS694" s="174"/>
      <c r="BT694" s="174"/>
      <c r="BU694" s="174"/>
      <c r="BV694" s="174"/>
      <c r="BW694" s="174"/>
      <c r="BX694" s="174"/>
      <c r="BY694" s="174"/>
      <c r="BZ694" s="174"/>
      <c r="CA694" s="174"/>
      <c r="CB694" s="174"/>
      <c r="CC694" s="174"/>
      <c r="CD694" s="174"/>
    </row>
    <row r="695">
      <c r="A695" s="105" t="str">
        <f>IF(preDEL!$AG695,IFERROR(0/0,""),preDEL!A695)</f>
        <v>FM95</v>
      </c>
      <c r="B695" s="170">
        <f>IF(preDEL!$AG695,IFERROR(0/0,""),preDEL!B695)</f>
        <v>44625</v>
      </c>
      <c r="C695" s="171">
        <f>IF(preDEL!$AG695,IFERROR(0/0,""),preDEL!C695)</f>
        <v>0.2944328704</v>
      </c>
      <c r="D695" s="105" t="str">
        <f>IF(preDEL!$AG695,IFERROR(0/0,""),preDEL!D695)</f>
        <v/>
      </c>
      <c r="E695" s="105" t="str">
        <f>IF(preDEL!$AG695,IFERROR(0/0,""),preDEL!E695)</f>
        <v/>
      </c>
      <c r="F695" s="112" t="str">
        <f>IF(preDEL!$AG695,IFERROR(0/0,""),preDEL!F695)</f>
        <v/>
      </c>
      <c r="G695" s="112" t="str">
        <f>IF(preDEL!$AG695,IFERROR(0/0,""),preDEL!G695)</f>
        <v/>
      </c>
      <c r="H695" s="112" t="str">
        <f>IF(preDEL!$AG695,IFERROR(0/0,""),preDEL!H695)</f>
        <v/>
      </c>
      <c r="I695" s="105" t="str">
        <f>IF(preDEL!$AG695,IFERROR(0/0,""),preDEL!I695)</f>
        <v/>
      </c>
      <c r="J695" s="105" t="str">
        <f>IF(preDEL!$AG695,IFERROR(0/0,""),preDEL!J695)</f>
        <v/>
      </c>
      <c r="K695" s="105" t="str">
        <f>IF(preDEL!$AG695,IFERROR(0/0,""),preDEL!K695)</f>
        <v>Negative</v>
      </c>
      <c r="L695" s="170">
        <f>IF(preDEL!$AG695,IFERROR(0/0,""),preDEL!L695)</f>
        <v>44625</v>
      </c>
      <c r="M695" s="171">
        <f>IF(preDEL!$AG695,IFERROR(0/0,""),preDEL!M695)</f>
        <v>0.4897453704</v>
      </c>
      <c r="N695" s="112" t="str">
        <f>IF(preDEL!$AG695,IFERROR(0/0,""),preDEL!N695)</f>
        <v/>
      </c>
      <c r="O695" s="112" t="str">
        <f>IF(preDEL!$AG695,IFERROR(0/0,""),preDEL!O695)</f>
        <v/>
      </c>
      <c r="P695" s="110" t="b">
        <f>IF(preDEL!$AG695,IFERROR(0/0,""),preDEL!P695)</f>
        <v>0</v>
      </c>
      <c r="Q695" s="110" t="str">
        <f>IF(preDEL!$AG695,IFERROR(0/0,""),preDEL!Q695)</f>
        <v>Result</v>
      </c>
      <c r="R695" s="104" t="b">
        <f>IF(preDEL!$AG695,IFERROR(0/0,""),preDEL!R695)</f>
        <v>1</v>
      </c>
      <c r="S695" s="104">
        <f>IF(preDEL!$AG695,IFERROR(0/0,""),preDEL!S695)</f>
        <v>1</v>
      </c>
      <c r="T695" s="110" t="str">
        <f>IF(preDEL!$AG695,IFERROR(0/0,""),preDEL!T695)</f>
        <v/>
      </c>
      <c r="U695" s="112" t="str">
        <f>IF(preDEL!$AG695,IFERROR(0/0,""),preDEL!U695)</f>
        <v/>
      </c>
      <c r="V695" s="105" t="str">
        <f>IF(preDEL!$AG695,IFERROR(0/0,""),preDEL!V695)</f>
        <v/>
      </c>
      <c r="W695" s="112" t="str">
        <f>IF(preDEL!$AG695,IFERROR(0/0,""),preDEL!W695)</f>
        <v/>
      </c>
      <c r="X695" s="104" t="b">
        <f>IF(preDEL!$AG695,IFERROR(0/0,""),preDEL!X695)</f>
        <v>0</v>
      </c>
      <c r="Y695" s="110" t="b">
        <f>IF(preDEL!$AG695,IFERROR(0/0,""),preDEL!Y695)</f>
        <v>0</v>
      </c>
      <c r="Z695" s="105" t="str">
        <f>IF(preDEL!$AG695,IFERROR(0/0,""),preDEL!Z695)</f>
        <v/>
      </c>
      <c r="AA695" s="110" t="b">
        <f>IF(preDEL!$AG695,IFERROR(0/0,""),preDEL!AA695)</f>
        <v>0</v>
      </c>
      <c r="AB695" s="110" t="b">
        <f>IF(preDEL!$AG695,IFERROR(0/0,""),preDEL!AB695)</f>
        <v>0</v>
      </c>
      <c r="AC695" s="172">
        <f>IF(preDEL!$AG695,IFERROR(0/0,""),preDEL!AC695)</f>
        <v>128</v>
      </c>
      <c r="AD695" s="104" t="b">
        <f>IF(preDEL!$AG695,IFERROR(0/0,""),preDEL!AD695)</f>
        <v>0</v>
      </c>
      <c r="AE695" s="173">
        <f>IF(preDEL!$AG695,IFERROR(0/0,""),preDEL!AE695)</f>
        <v>281.25</v>
      </c>
      <c r="AF695" s="110" t="b">
        <f>IF(preDEL!$AG695,IFERROR(0/0,""),preDEL!AF695)</f>
        <v>0</v>
      </c>
      <c r="AG695" s="110" t="b">
        <f>IF(preDEL!$AG695,IFERROR(0/0,""),preDEL!AG695)</f>
        <v>0</v>
      </c>
      <c r="AH695" s="104" t="str">
        <f>IF(preDEL!$AG695,IFERROR(0/0,""),preDEL!AH695)</f>
        <v/>
      </c>
      <c r="AI695" s="105" t="str">
        <f>IF(preDEL!$AG695,IFERROR(0/0,""),preDEL!AI695)</f>
        <v/>
      </c>
      <c r="AJ695" s="112" t="str">
        <f>IF(preDEL!$AG695,IFERROR(0/0,""),preDEL!AJ695)</f>
        <v/>
      </c>
      <c r="AK695" s="105" t="str">
        <f>IF(preDEL!$AG695,IFERROR(0/0,""),preDEL!AK695)</f>
        <v>Negative</v>
      </c>
      <c r="AL695" s="112" t="str">
        <f>IF(preDEL!$AG695,IFERROR(0/0,""),preDEL!AL695)</f>
        <v/>
      </c>
      <c r="AM695" s="112" t="str">
        <f>IF(preDEL!$AG695,IFERROR(0/0,""),preDEL!AM695)</f>
        <v>SpBEND610784</v>
      </c>
      <c r="AN695" s="112" t="str">
        <f>IF(preDEL!$AG695,IFERROR(0/0,""),preDEL!AN695)</f>
        <v>BEND398577</v>
      </c>
      <c r="AO695" s="112" t="str">
        <f>IF(preDEL!$AG695,IFERROR(0/0,""),preDEL!AO695)</f>
        <v/>
      </c>
      <c r="AP695" s="112" t="str">
        <f>IF(preDEL!$AG695,IFERROR(0/0,""),preDEL!AP695)</f>
        <v/>
      </c>
      <c r="AQ695" s="112" t="str">
        <f>IF(preDEL!$AG695,IFERROR(0/0,""),preDEL!AQ695)</f>
        <v/>
      </c>
      <c r="AR695" s="112" t="str">
        <f>IF(preDEL!$AG695,IFERROR(0/0,""),preDEL!AR695)</f>
        <v/>
      </c>
      <c r="AS695" s="112" t="str">
        <f>IF(preDEL!$AG695,IFERROR(0/0,""),preDEL!AS695)</f>
        <v/>
      </c>
      <c r="AT695" s="112" t="b">
        <f>IF(preDEL!$AG695,IFERROR(0/0,""),preDEL!AT695)</f>
        <v>0</v>
      </c>
      <c r="AU695" s="112" t="str">
        <f>IF(preDEL!$AG695,IFERROR(0/0,""),preDEL!AU695)</f>
        <v/>
      </c>
      <c r="AV695" s="112" t="str">
        <f>IF(preDEL!$AG695,IFERROR(0/0,""),preDEL!AV695)</f>
        <v/>
      </c>
      <c r="AW695" s="112" t="str">
        <f>IF(preDEL!$AG695,IFERROR(0/0,""),preDEL!AW695)</f>
        <v/>
      </c>
      <c r="AX695" s="112" t="str">
        <f>IF(preDEL!$AG695,IFERROR(0/0,""),preDEL!AX695)</f>
        <v/>
      </c>
      <c r="AY695" s="112" t="str">
        <f>IF(preDEL!$AG695,IFERROR(0/0,""),preDEL!AY695)</f>
        <v/>
      </c>
      <c r="AZ695" s="174"/>
      <c r="BA695" s="174"/>
      <c r="BB695" s="174"/>
      <c r="BC695" s="174"/>
      <c r="BD695" s="174"/>
      <c r="BE695" s="174"/>
      <c r="BF695" s="174"/>
      <c r="BG695" s="174"/>
      <c r="BH695" s="174"/>
      <c r="BI695" s="174"/>
      <c r="BJ695" s="174"/>
      <c r="BK695" s="174"/>
      <c r="BL695" s="174"/>
      <c r="BM695" s="174"/>
      <c r="BN695" s="174"/>
      <c r="BO695" s="174"/>
      <c r="BP695" s="174"/>
      <c r="BQ695" s="174"/>
      <c r="BR695" s="174"/>
      <c r="BS695" s="174"/>
      <c r="BT695" s="174"/>
      <c r="BU695" s="174"/>
      <c r="BV695" s="174"/>
      <c r="BW695" s="174"/>
      <c r="BX695" s="174"/>
      <c r="BY695" s="174"/>
      <c r="BZ695" s="174"/>
      <c r="CA695" s="174"/>
      <c r="CB695" s="174"/>
      <c r="CC695" s="174"/>
      <c r="CD695" s="174"/>
    </row>
    <row r="696">
      <c r="A696" s="105" t="str">
        <f>IF(preDEL!$AG696,IFERROR(0/0,""),preDEL!A696)</f>
        <v>FM370</v>
      </c>
      <c r="B696" s="170">
        <f>IF(preDEL!$AG696,IFERROR(0/0,""),preDEL!B696)</f>
        <v>44625</v>
      </c>
      <c r="C696" s="171">
        <f>IF(preDEL!$AG696,IFERROR(0/0,""),preDEL!C696)</f>
        <v>0.3011574074</v>
      </c>
      <c r="D696" s="105" t="str">
        <f>IF(preDEL!$AG696,IFERROR(0/0,""),preDEL!D696)</f>
        <v/>
      </c>
      <c r="E696" s="105" t="str">
        <f>IF(preDEL!$AG696,IFERROR(0/0,""),preDEL!E696)</f>
        <v/>
      </c>
      <c r="F696" s="112" t="str">
        <f>IF(preDEL!$AG696,IFERROR(0/0,""),preDEL!F696)</f>
        <v/>
      </c>
      <c r="G696" s="112" t="str">
        <f>IF(preDEL!$AG696,IFERROR(0/0,""),preDEL!G696)</f>
        <v/>
      </c>
      <c r="H696" s="112" t="str">
        <f>IF(preDEL!$AG696,IFERROR(0/0,""),preDEL!H696)</f>
        <v/>
      </c>
      <c r="I696" s="105" t="str">
        <f>IF(preDEL!$AG696,IFERROR(0/0,""),preDEL!I696)</f>
        <v/>
      </c>
      <c r="J696" s="105" t="str">
        <f>IF(preDEL!$AG696,IFERROR(0/0,""),preDEL!J696)</f>
        <v/>
      </c>
      <c r="K696" s="105" t="str">
        <f>IF(preDEL!$AG696,IFERROR(0/0,""),preDEL!K696)</f>
        <v>Negative</v>
      </c>
      <c r="L696" s="170">
        <f>IF(preDEL!$AG696,IFERROR(0/0,""),preDEL!L696)</f>
        <v>44625</v>
      </c>
      <c r="M696" s="171">
        <f>IF(preDEL!$AG696,IFERROR(0/0,""),preDEL!M696)</f>
        <v>0.4897453704</v>
      </c>
      <c r="N696" s="112" t="str">
        <f>IF(preDEL!$AG696,IFERROR(0/0,""),preDEL!N696)</f>
        <v/>
      </c>
      <c r="O696" s="112" t="str">
        <f>IF(preDEL!$AG696,IFERROR(0/0,""),preDEL!O696)</f>
        <v/>
      </c>
      <c r="P696" s="110" t="b">
        <f>IF(preDEL!$AG696,IFERROR(0/0,""),preDEL!P696)</f>
        <v>0</v>
      </c>
      <c r="Q696" s="110" t="str">
        <f>IF(preDEL!$AG696,IFERROR(0/0,""),preDEL!Q696)</f>
        <v>Result</v>
      </c>
      <c r="R696" s="104" t="b">
        <f>IF(preDEL!$AG696,IFERROR(0/0,""),preDEL!R696)</f>
        <v>1</v>
      </c>
      <c r="S696" s="104">
        <f>IF(preDEL!$AG696,IFERROR(0/0,""),preDEL!S696)</f>
        <v>1</v>
      </c>
      <c r="T696" s="110" t="str">
        <f>IF(preDEL!$AG696,IFERROR(0/0,""),preDEL!T696)</f>
        <v/>
      </c>
      <c r="U696" s="112" t="str">
        <f>IF(preDEL!$AG696,IFERROR(0/0,""),preDEL!U696)</f>
        <v/>
      </c>
      <c r="V696" s="105" t="str">
        <f>IF(preDEL!$AG696,IFERROR(0/0,""),preDEL!V696)</f>
        <v/>
      </c>
      <c r="W696" s="112" t="str">
        <f>IF(preDEL!$AG696,IFERROR(0/0,""),preDEL!W696)</f>
        <v/>
      </c>
      <c r="X696" s="104" t="b">
        <f>IF(preDEL!$AG696,IFERROR(0/0,""),preDEL!X696)</f>
        <v>0</v>
      </c>
      <c r="Y696" s="110" t="b">
        <f>IF(preDEL!$AG696,IFERROR(0/0,""),preDEL!Y696)</f>
        <v>0</v>
      </c>
      <c r="Z696" s="105" t="str">
        <f>IF(preDEL!$AG696,IFERROR(0/0,""),preDEL!Z696)</f>
        <v/>
      </c>
      <c r="AA696" s="110" t="b">
        <f>IF(preDEL!$AG696,IFERROR(0/0,""),preDEL!AA696)</f>
        <v>0</v>
      </c>
      <c r="AB696" s="110" t="b">
        <f>IF(preDEL!$AG696,IFERROR(0/0,""),preDEL!AB696)</f>
        <v>0</v>
      </c>
      <c r="AC696" s="172">
        <f>IF(preDEL!$AG696,IFERROR(0/0,""),preDEL!AC696)</f>
        <v>127</v>
      </c>
      <c r="AD696" s="104" t="b">
        <f>IF(preDEL!$AG696,IFERROR(0/0,""),preDEL!AD696)</f>
        <v>0</v>
      </c>
      <c r="AE696" s="173">
        <f>IF(preDEL!$AG696,IFERROR(0/0,""),preDEL!AE696)</f>
        <v>271.5666667</v>
      </c>
      <c r="AF696" s="110" t="b">
        <f>IF(preDEL!$AG696,IFERROR(0/0,""),preDEL!AF696)</f>
        <v>0</v>
      </c>
      <c r="AG696" s="110" t="b">
        <f>IF(preDEL!$AG696,IFERROR(0/0,""),preDEL!AG696)</f>
        <v>0</v>
      </c>
      <c r="AH696" s="104" t="str">
        <f>IF(preDEL!$AG696,IFERROR(0/0,""),preDEL!AH696)</f>
        <v/>
      </c>
      <c r="AI696" s="105" t="str">
        <f>IF(preDEL!$AG696,IFERROR(0/0,""),preDEL!AI696)</f>
        <v/>
      </c>
      <c r="AJ696" s="112" t="str">
        <f>IF(preDEL!$AG696,IFERROR(0/0,""),preDEL!AJ696)</f>
        <v/>
      </c>
      <c r="AK696" s="105" t="str">
        <f>IF(preDEL!$AG696,IFERROR(0/0,""),preDEL!AK696)</f>
        <v>Negative</v>
      </c>
      <c r="AL696" s="112" t="str">
        <f>IF(preDEL!$AG696,IFERROR(0/0,""),preDEL!AL696)</f>
        <v/>
      </c>
      <c r="AM696" s="112" t="str">
        <f>IF(preDEL!$AG696,IFERROR(0/0,""),preDEL!AM696)</f>
        <v>SpBEND691307</v>
      </c>
      <c r="AN696" s="112" t="str">
        <f>IF(preDEL!$AG696,IFERROR(0/0,""),preDEL!AN696)</f>
        <v>BEND608194</v>
      </c>
      <c r="AO696" s="112" t="str">
        <f>IF(preDEL!$AG696,IFERROR(0/0,""),preDEL!AO696)</f>
        <v/>
      </c>
      <c r="AP696" s="112" t="str">
        <f>IF(preDEL!$AG696,IFERROR(0/0,""),preDEL!AP696)</f>
        <v/>
      </c>
      <c r="AQ696" s="112" t="str">
        <f>IF(preDEL!$AG696,IFERROR(0/0,""),preDEL!AQ696)</f>
        <v/>
      </c>
      <c r="AR696" s="112" t="str">
        <f>IF(preDEL!$AG696,IFERROR(0/0,""),preDEL!AR696)</f>
        <v/>
      </c>
      <c r="AS696" s="112" t="str">
        <f>IF(preDEL!$AG696,IFERROR(0/0,""),preDEL!AS696)</f>
        <v/>
      </c>
      <c r="AT696" s="112" t="b">
        <f>IF(preDEL!$AG696,IFERROR(0/0,""),preDEL!AT696)</f>
        <v>0</v>
      </c>
      <c r="AU696" s="112" t="str">
        <f>IF(preDEL!$AG696,IFERROR(0/0,""),preDEL!AU696)</f>
        <v/>
      </c>
      <c r="AV696" s="112" t="str">
        <f>IF(preDEL!$AG696,IFERROR(0/0,""),preDEL!AV696)</f>
        <v/>
      </c>
      <c r="AW696" s="112" t="str">
        <f>IF(preDEL!$AG696,IFERROR(0/0,""),preDEL!AW696)</f>
        <v/>
      </c>
      <c r="AX696" s="112" t="str">
        <f>IF(preDEL!$AG696,IFERROR(0/0,""),preDEL!AX696)</f>
        <v/>
      </c>
      <c r="AY696" s="112" t="str">
        <f>IF(preDEL!$AG696,IFERROR(0/0,""),preDEL!AY696)</f>
        <v/>
      </c>
      <c r="AZ696" s="174"/>
      <c r="BA696" s="174"/>
      <c r="BB696" s="174"/>
      <c r="BC696" s="174"/>
      <c r="BD696" s="174"/>
      <c r="BE696" s="174"/>
      <c r="BF696" s="174"/>
      <c r="BG696" s="174"/>
      <c r="BH696" s="174"/>
      <c r="BI696" s="174"/>
      <c r="BJ696" s="174"/>
      <c r="BK696" s="174"/>
      <c r="BL696" s="174"/>
      <c r="BM696" s="174"/>
      <c r="BN696" s="174"/>
      <c r="BO696" s="174"/>
      <c r="BP696" s="174"/>
      <c r="BQ696" s="174"/>
      <c r="BR696" s="174"/>
      <c r="BS696" s="174"/>
      <c r="BT696" s="174"/>
      <c r="BU696" s="174"/>
      <c r="BV696" s="174"/>
      <c r="BW696" s="174"/>
      <c r="BX696" s="174"/>
      <c r="BY696" s="174"/>
      <c r="BZ696" s="174"/>
      <c r="CA696" s="174"/>
      <c r="CB696" s="174"/>
      <c r="CC696" s="174"/>
      <c r="CD696" s="174"/>
    </row>
    <row r="697">
      <c r="A697" s="105" t="str">
        <f>IF(preDEL!$AG697,IFERROR(0/0,""),preDEL!A697)</f>
        <v>FM329</v>
      </c>
      <c r="B697" s="170">
        <f>IF(preDEL!$AG697,IFERROR(0/0,""),preDEL!B697)</f>
        <v>44625</v>
      </c>
      <c r="C697" s="171">
        <f>IF(preDEL!$AG697,IFERROR(0/0,""),preDEL!C697)</f>
        <v>0.3053009259</v>
      </c>
      <c r="D697" s="105" t="str">
        <f>IF(preDEL!$AG697,IFERROR(0/0,""),preDEL!D697)</f>
        <v/>
      </c>
      <c r="E697" s="105" t="str">
        <f>IF(preDEL!$AG697,IFERROR(0/0,""),preDEL!E697)</f>
        <v/>
      </c>
      <c r="F697" s="112" t="str">
        <f>IF(preDEL!$AG697,IFERROR(0/0,""),preDEL!F697)</f>
        <v/>
      </c>
      <c r="G697" s="112" t="str">
        <f>IF(preDEL!$AG697,IFERROR(0/0,""),preDEL!G697)</f>
        <v/>
      </c>
      <c r="H697" s="112" t="str">
        <f>IF(preDEL!$AG697,IFERROR(0/0,""),preDEL!H697)</f>
        <v/>
      </c>
      <c r="I697" s="105" t="str">
        <f>IF(preDEL!$AG697,IFERROR(0/0,""),preDEL!I697)</f>
        <v/>
      </c>
      <c r="J697" s="105" t="str">
        <f>IF(preDEL!$AG697,IFERROR(0/0,""),preDEL!J697)</f>
        <v/>
      </c>
      <c r="K697" s="105" t="str">
        <f>IF(preDEL!$AG697,IFERROR(0/0,""),preDEL!K697)</f>
        <v>Negative</v>
      </c>
      <c r="L697" s="170">
        <f>IF(preDEL!$AG697,IFERROR(0/0,""),preDEL!L697)</f>
        <v>44625</v>
      </c>
      <c r="M697" s="171">
        <f>IF(preDEL!$AG697,IFERROR(0/0,""),preDEL!M697)</f>
        <v>0.4897453704</v>
      </c>
      <c r="N697" s="112" t="str">
        <f>IF(preDEL!$AG697,IFERROR(0/0,""),preDEL!N697)</f>
        <v/>
      </c>
      <c r="O697" s="112" t="str">
        <f>IF(preDEL!$AG697,IFERROR(0/0,""),preDEL!O697)</f>
        <v/>
      </c>
      <c r="P697" s="110" t="b">
        <f>IF(preDEL!$AG697,IFERROR(0/0,""),preDEL!P697)</f>
        <v>0</v>
      </c>
      <c r="Q697" s="110" t="str">
        <f>IF(preDEL!$AG697,IFERROR(0/0,""),preDEL!Q697)</f>
        <v>Result</v>
      </c>
      <c r="R697" s="104" t="b">
        <f>IF(preDEL!$AG697,IFERROR(0/0,""),preDEL!R697)</f>
        <v>1</v>
      </c>
      <c r="S697" s="104">
        <f>IF(preDEL!$AG697,IFERROR(0/0,""),preDEL!S697)</f>
        <v>1</v>
      </c>
      <c r="T697" s="110" t="str">
        <f>IF(preDEL!$AG697,IFERROR(0/0,""),preDEL!T697)</f>
        <v/>
      </c>
      <c r="U697" s="112" t="str">
        <f>IF(preDEL!$AG697,IFERROR(0/0,""),preDEL!U697)</f>
        <v/>
      </c>
      <c r="V697" s="105" t="str">
        <f>IF(preDEL!$AG697,IFERROR(0/0,""),preDEL!V697)</f>
        <v/>
      </c>
      <c r="W697" s="112" t="str">
        <f>IF(preDEL!$AG697,IFERROR(0/0,""),preDEL!W697)</f>
        <v/>
      </c>
      <c r="X697" s="104" t="b">
        <f>IF(preDEL!$AG697,IFERROR(0/0,""),preDEL!X697)</f>
        <v>0</v>
      </c>
      <c r="Y697" s="110" t="b">
        <f>IF(preDEL!$AG697,IFERROR(0/0,""),preDEL!Y697)</f>
        <v>0</v>
      </c>
      <c r="Z697" s="105" t="str">
        <f>IF(preDEL!$AG697,IFERROR(0/0,""),preDEL!Z697)</f>
        <v/>
      </c>
      <c r="AA697" s="110" t="b">
        <f>IF(preDEL!$AG697,IFERROR(0/0,""),preDEL!AA697)</f>
        <v>0</v>
      </c>
      <c r="AB697" s="110" t="b">
        <f>IF(preDEL!$AG697,IFERROR(0/0,""),preDEL!AB697)</f>
        <v>0</v>
      </c>
      <c r="AC697" s="172">
        <f>IF(preDEL!$AG697,IFERROR(0/0,""),preDEL!AC697)</f>
        <v>126</v>
      </c>
      <c r="AD697" s="104" t="b">
        <f>IF(preDEL!$AG697,IFERROR(0/0,""),preDEL!AD697)</f>
        <v>0</v>
      </c>
      <c r="AE697" s="173">
        <f>IF(preDEL!$AG697,IFERROR(0/0,""),preDEL!AE697)</f>
        <v>265.6</v>
      </c>
      <c r="AF697" s="110" t="b">
        <f>IF(preDEL!$AG697,IFERROR(0/0,""),preDEL!AF697)</f>
        <v>0</v>
      </c>
      <c r="AG697" s="110" t="b">
        <f>IF(preDEL!$AG697,IFERROR(0/0,""),preDEL!AG697)</f>
        <v>0</v>
      </c>
      <c r="AH697" s="104" t="str">
        <f>IF(preDEL!$AG697,IFERROR(0/0,""),preDEL!AH697)</f>
        <v/>
      </c>
      <c r="AI697" s="105" t="str">
        <f>IF(preDEL!$AG697,IFERROR(0/0,""),preDEL!AI697)</f>
        <v/>
      </c>
      <c r="AJ697" s="112" t="str">
        <f>IF(preDEL!$AG697,IFERROR(0/0,""),preDEL!AJ697)</f>
        <v/>
      </c>
      <c r="AK697" s="105" t="str">
        <f>IF(preDEL!$AG697,IFERROR(0/0,""),preDEL!AK697)</f>
        <v>Negative</v>
      </c>
      <c r="AL697" s="112" t="str">
        <f>IF(preDEL!$AG697,IFERROR(0/0,""),preDEL!AL697)</f>
        <v/>
      </c>
      <c r="AM697" s="112" t="str">
        <f>IF(preDEL!$AG697,IFERROR(0/0,""),preDEL!AM697)</f>
        <v>SpBEND490402</v>
      </c>
      <c r="AN697" s="112" t="str">
        <f>IF(preDEL!$AG697,IFERROR(0/0,""),preDEL!AN697)</f>
        <v>BEND842997</v>
      </c>
      <c r="AO697" s="112" t="str">
        <f>IF(preDEL!$AG697,IFERROR(0/0,""),preDEL!AO697)</f>
        <v/>
      </c>
      <c r="AP697" s="112" t="str">
        <f>IF(preDEL!$AG697,IFERROR(0/0,""),preDEL!AP697)</f>
        <v/>
      </c>
      <c r="AQ697" s="112" t="str">
        <f>IF(preDEL!$AG697,IFERROR(0/0,""),preDEL!AQ697)</f>
        <v/>
      </c>
      <c r="AR697" s="112" t="str">
        <f>IF(preDEL!$AG697,IFERROR(0/0,""),preDEL!AR697)</f>
        <v/>
      </c>
      <c r="AS697" s="112" t="str">
        <f>IF(preDEL!$AG697,IFERROR(0/0,""),preDEL!AS697)</f>
        <v/>
      </c>
      <c r="AT697" s="112" t="b">
        <f>IF(preDEL!$AG697,IFERROR(0/0,""),preDEL!AT697)</f>
        <v>0</v>
      </c>
      <c r="AU697" s="112" t="str">
        <f>IF(preDEL!$AG697,IFERROR(0/0,""),preDEL!AU697)</f>
        <v/>
      </c>
      <c r="AV697" s="112" t="str">
        <f>IF(preDEL!$AG697,IFERROR(0/0,""),preDEL!AV697)</f>
        <v/>
      </c>
      <c r="AW697" s="112" t="str">
        <f>IF(preDEL!$AG697,IFERROR(0/0,""),preDEL!AW697)</f>
        <v/>
      </c>
      <c r="AX697" s="112" t="str">
        <f>IF(preDEL!$AG697,IFERROR(0/0,""),preDEL!AX697)</f>
        <v/>
      </c>
      <c r="AY697" s="112" t="str">
        <f>IF(preDEL!$AG697,IFERROR(0/0,""),preDEL!AY697)</f>
        <v/>
      </c>
      <c r="AZ697" s="174"/>
      <c r="BA697" s="174"/>
      <c r="BB697" s="174"/>
      <c r="BC697" s="174"/>
      <c r="BD697" s="174"/>
      <c r="BE697" s="174"/>
      <c r="BF697" s="174"/>
      <c r="BG697" s="174"/>
      <c r="BH697" s="174"/>
      <c r="BI697" s="174"/>
      <c r="BJ697" s="174"/>
      <c r="BK697" s="174"/>
      <c r="BL697" s="174"/>
      <c r="BM697" s="174"/>
      <c r="BN697" s="174"/>
      <c r="BO697" s="174"/>
      <c r="BP697" s="174"/>
      <c r="BQ697" s="174"/>
      <c r="BR697" s="174"/>
      <c r="BS697" s="174"/>
      <c r="BT697" s="174"/>
      <c r="BU697" s="174"/>
      <c r="BV697" s="174"/>
      <c r="BW697" s="174"/>
      <c r="BX697" s="174"/>
      <c r="BY697" s="174"/>
      <c r="BZ697" s="174"/>
      <c r="CA697" s="174"/>
      <c r="CB697" s="174"/>
      <c r="CC697" s="174"/>
      <c r="CD697" s="174"/>
    </row>
    <row r="698">
      <c r="A698" s="105" t="str">
        <f>IF(preDEL!$AG698,IFERROR(0/0,""),preDEL!A698)</f>
        <v>FM2055</v>
      </c>
      <c r="B698" s="170">
        <f>IF(preDEL!$AG698,IFERROR(0/0,""),preDEL!B698)</f>
        <v>44625</v>
      </c>
      <c r="C698" s="171">
        <f>IF(preDEL!$AG698,IFERROR(0/0,""),preDEL!C698)</f>
        <v>0.3078935185</v>
      </c>
      <c r="D698" s="105" t="str">
        <f>IF(preDEL!$AG698,IFERROR(0/0,""),preDEL!D698)</f>
        <v/>
      </c>
      <c r="E698" s="105" t="str">
        <f>IF(preDEL!$AG698,IFERROR(0/0,""),preDEL!E698)</f>
        <v/>
      </c>
      <c r="F698" s="112" t="str">
        <f>IF(preDEL!$AG698,IFERROR(0/0,""),preDEL!F698)</f>
        <v/>
      </c>
      <c r="G698" s="112" t="str">
        <f>IF(preDEL!$AG698,IFERROR(0/0,""),preDEL!G698)</f>
        <v/>
      </c>
      <c r="H698" s="112" t="str">
        <f>IF(preDEL!$AG698,IFERROR(0/0,""),preDEL!H698)</f>
        <v/>
      </c>
      <c r="I698" s="105" t="str">
        <f>IF(preDEL!$AG698,IFERROR(0/0,""),preDEL!I698)</f>
        <v/>
      </c>
      <c r="J698" s="105" t="str">
        <f>IF(preDEL!$AG698,IFERROR(0/0,""),preDEL!J698)</f>
        <v/>
      </c>
      <c r="K698" s="105" t="str">
        <f>IF(preDEL!$AG698,IFERROR(0/0,""),preDEL!K698)</f>
        <v>Negative</v>
      </c>
      <c r="L698" s="170">
        <f>IF(preDEL!$AG698,IFERROR(0/0,""),preDEL!L698)</f>
        <v>44625</v>
      </c>
      <c r="M698" s="171">
        <f>IF(preDEL!$AG698,IFERROR(0/0,""),preDEL!M698)</f>
        <v>0.4897453704</v>
      </c>
      <c r="N698" s="112" t="str">
        <f>IF(preDEL!$AG698,IFERROR(0/0,""),preDEL!N698)</f>
        <v/>
      </c>
      <c r="O698" s="112" t="str">
        <f>IF(preDEL!$AG698,IFERROR(0/0,""),preDEL!O698)</f>
        <v/>
      </c>
      <c r="P698" s="110" t="b">
        <f>IF(preDEL!$AG698,IFERROR(0/0,""),preDEL!P698)</f>
        <v>0</v>
      </c>
      <c r="Q698" s="110" t="str">
        <f>IF(preDEL!$AG698,IFERROR(0/0,""),preDEL!Q698)</f>
        <v>Result</v>
      </c>
      <c r="R698" s="104" t="b">
        <f>IF(preDEL!$AG698,IFERROR(0/0,""),preDEL!R698)</f>
        <v>1</v>
      </c>
      <c r="S698" s="104">
        <f>IF(preDEL!$AG698,IFERROR(0/0,""),preDEL!S698)</f>
        <v>1</v>
      </c>
      <c r="T698" s="110" t="str">
        <f>IF(preDEL!$AG698,IFERROR(0/0,""),preDEL!T698)</f>
        <v/>
      </c>
      <c r="U698" s="112" t="str">
        <f>IF(preDEL!$AG698,IFERROR(0/0,""),preDEL!U698)</f>
        <v/>
      </c>
      <c r="V698" s="105" t="str">
        <f>IF(preDEL!$AG698,IFERROR(0/0,""),preDEL!V698)</f>
        <v/>
      </c>
      <c r="W698" s="112" t="str">
        <f>IF(preDEL!$AG698,IFERROR(0/0,""),preDEL!W698)</f>
        <v/>
      </c>
      <c r="X698" s="104" t="b">
        <f>IF(preDEL!$AG698,IFERROR(0/0,""),preDEL!X698)</f>
        <v>0</v>
      </c>
      <c r="Y698" s="110" t="b">
        <f>IF(preDEL!$AG698,IFERROR(0/0,""),preDEL!Y698)</f>
        <v>0</v>
      </c>
      <c r="Z698" s="105" t="str">
        <f>IF(preDEL!$AG698,IFERROR(0/0,""),preDEL!Z698)</f>
        <v/>
      </c>
      <c r="AA698" s="110" t="b">
        <f>IF(preDEL!$AG698,IFERROR(0/0,""),preDEL!AA698)</f>
        <v>0</v>
      </c>
      <c r="AB698" s="110" t="b">
        <f>IF(preDEL!$AG698,IFERROR(0/0,""),preDEL!AB698)</f>
        <v>0</v>
      </c>
      <c r="AC698" s="172">
        <f>IF(preDEL!$AG698,IFERROR(0/0,""),preDEL!AC698)</f>
        <v>125</v>
      </c>
      <c r="AD698" s="104" t="b">
        <f>IF(preDEL!$AG698,IFERROR(0/0,""),preDEL!AD698)</f>
        <v>0</v>
      </c>
      <c r="AE698" s="173">
        <f>IF(preDEL!$AG698,IFERROR(0/0,""),preDEL!AE698)</f>
        <v>261.8666667</v>
      </c>
      <c r="AF698" s="110" t="b">
        <f>IF(preDEL!$AG698,IFERROR(0/0,""),preDEL!AF698)</f>
        <v>0</v>
      </c>
      <c r="AG698" s="110" t="b">
        <f>IF(preDEL!$AG698,IFERROR(0/0,""),preDEL!AG698)</f>
        <v>0</v>
      </c>
      <c r="AH698" s="104" t="str">
        <f>IF(preDEL!$AG698,IFERROR(0/0,""),preDEL!AH698)</f>
        <v/>
      </c>
      <c r="AI698" s="105" t="str">
        <f>IF(preDEL!$AG698,IFERROR(0/0,""),preDEL!AI698)</f>
        <v/>
      </c>
      <c r="AJ698" s="112" t="str">
        <f>IF(preDEL!$AG698,IFERROR(0/0,""),preDEL!AJ698)</f>
        <v/>
      </c>
      <c r="AK698" s="105" t="str">
        <f>IF(preDEL!$AG698,IFERROR(0/0,""),preDEL!AK698)</f>
        <v>Negative</v>
      </c>
      <c r="AL698" s="112" t="str">
        <f>IF(preDEL!$AG698,IFERROR(0/0,""),preDEL!AL698)</f>
        <v/>
      </c>
      <c r="AM698" s="112" t="str">
        <f>IF(preDEL!$AG698,IFERROR(0/0,""),preDEL!AM698)</f>
        <v>SpBEND611299</v>
      </c>
      <c r="AN698" s="112" t="str">
        <f>IF(preDEL!$AG698,IFERROR(0/0,""),preDEL!AN698)</f>
        <v>BEND244963</v>
      </c>
      <c r="AO698" s="112" t="str">
        <f>IF(preDEL!$AG698,IFERROR(0/0,""),preDEL!AO698)</f>
        <v/>
      </c>
      <c r="AP698" s="112" t="str">
        <f>IF(preDEL!$AG698,IFERROR(0/0,""),preDEL!AP698)</f>
        <v/>
      </c>
      <c r="AQ698" s="112" t="str">
        <f>IF(preDEL!$AG698,IFERROR(0/0,""),preDEL!AQ698)</f>
        <v/>
      </c>
      <c r="AR698" s="112" t="str">
        <f>IF(preDEL!$AG698,IFERROR(0/0,""),preDEL!AR698)</f>
        <v/>
      </c>
      <c r="AS698" s="112" t="str">
        <f>IF(preDEL!$AG698,IFERROR(0/0,""),preDEL!AS698)</f>
        <v/>
      </c>
      <c r="AT698" s="112" t="b">
        <f>IF(preDEL!$AG698,IFERROR(0/0,""),preDEL!AT698)</f>
        <v>0</v>
      </c>
      <c r="AU698" s="112" t="str">
        <f>IF(preDEL!$AG698,IFERROR(0/0,""),preDEL!AU698)</f>
        <v/>
      </c>
      <c r="AV698" s="112" t="str">
        <f>IF(preDEL!$AG698,IFERROR(0/0,""),preDEL!AV698)</f>
        <v/>
      </c>
      <c r="AW698" s="112" t="str">
        <f>IF(preDEL!$AG698,IFERROR(0/0,""),preDEL!AW698)</f>
        <v/>
      </c>
      <c r="AX698" s="112" t="str">
        <f>IF(preDEL!$AG698,IFERROR(0/0,""),preDEL!AX698)</f>
        <v/>
      </c>
      <c r="AY698" s="112" t="str">
        <f>IF(preDEL!$AG698,IFERROR(0/0,""),preDEL!AY698)</f>
        <v/>
      </c>
      <c r="AZ698" s="174"/>
      <c r="BA698" s="174"/>
      <c r="BB698" s="174"/>
      <c r="BC698" s="174"/>
      <c r="BD698" s="174"/>
      <c r="BE698" s="174"/>
      <c r="BF698" s="174"/>
      <c r="BG698" s="174"/>
      <c r="BH698" s="174"/>
      <c r="BI698" s="174"/>
      <c r="BJ698" s="174"/>
      <c r="BK698" s="174"/>
      <c r="BL698" s="174"/>
      <c r="BM698" s="174"/>
      <c r="BN698" s="174"/>
      <c r="BO698" s="174"/>
      <c r="BP698" s="174"/>
      <c r="BQ698" s="174"/>
      <c r="BR698" s="174"/>
      <c r="BS698" s="174"/>
      <c r="BT698" s="174"/>
      <c r="BU698" s="174"/>
      <c r="BV698" s="174"/>
      <c r="BW698" s="174"/>
      <c r="BX698" s="174"/>
      <c r="BY698" s="174"/>
      <c r="BZ698" s="174"/>
      <c r="CA698" s="174"/>
      <c r="CB698" s="174"/>
      <c r="CC698" s="174"/>
      <c r="CD698" s="174"/>
    </row>
    <row r="699">
      <c r="A699" s="105" t="str">
        <f>IF(preDEL!$AG699,IFERROR(0/0,""),preDEL!A699)</f>
        <v>FM458</v>
      </c>
      <c r="B699" s="170">
        <f>IF(preDEL!$AG699,IFERROR(0/0,""),preDEL!B699)</f>
        <v>44625</v>
      </c>
      <c r="C699" s="171">
        <f>IF(preDEL!$AG699,IFERROR(0/0,""),preDEL!C699)</f>
        <v>0.3079861111</v>
      </c>
      <c r="D699" s="105" t="str">
        <f>IF(preDEL!$AG699,IFERROR(0/0,""),preDEL!D699)</f>
        <v/>
      </c>
      <c r="E699" s="105" t="str">
        <f>IF(preDEL!$AG699,IFERROR(0/0,""),preDEL!E699)</f>
        <v/>
      </c>
      <c r="F699" s="112" t="str">
        <f>IF(preDEL!$AG699,IFERROR(0/0,""),preDEL!F699)</f>
        <v/>
      </c>
      <c r="G699" s="112" t="str">
        <f>IF(preDEL!$AG699,IFERROR(0/0,""),preDEL!G699)</f>
        <v/>
      </c>
      <c r="H699" s="112" t="str">
        <f>IF(preDEL!$AG699,IFERROR(0/0,""),preDEL!H699)</f>
        <v/>
      </c>
      <c r="I699" s="105" t="str">
        <f>IF(preDEL!$AG699,IFERROR(0/0,""),preDEL!I699)</f>
        <v/>
      </c>
      <c r="J699" s="105" t="str">
        <f>IF(preDEL!$AG699,IFERROR(0/0,""),preDEL!J699)</f>
        <v/>
      </c>
      <c r="K699" s="105" t="str">
        <f>IF(preDEL!$AG699,IFERROR(0/0,""),preDEL!K699)</f>
        <v>Negative</v>
      </c>
      <c r="L699" s="170">
        <f>IF(preDEL!$AG699,IFERROR(0/0,""),preDEL!L699)</f>
        <v>44625</v>
      </c>
      <c r="M699" s="171">
        <f>IF(preDEL!$AG699,IFERROR(0/0,""),preDEL!M699)</f>
        <v>0.4897453704</v>
      </c>
      <c r="N699" s="112" t="str">
        <f>IF(preDEL!$AG699,IFERROR(0/0,""),preDEL!N699)</f>
        <v/>
      </c>
      <c r="O699" s="112" t="str">
        <f>IF(preDEL!$AG699,IFERROR(0/0,""),preDEL!O699)</f>
        <v/>
      </c>
      <c r="P699" s="110" t="b">
        <f>IF(preDEL!$AG699,IFERROR(0/0,""),preDEL!P699)</f>
        <v>0</v>
      </c>
      <c r="Q699" s="110" t="str">
        <f>IF(preDEL!$AG699,IFERROR(0/0,""),preDEL!Q699)</f>
        <v>Result</v>
      </c>
      <c r="R699" s="104" t="b">
        <f>IF(preDEL!$AG699,IFERROR(0/0,""),preDEL!R699)</f>
        <v>1</v>
      </c>
      <c r="S699" s="104">
        <f>IF(preDEL!$AG699,IFERROR(0/0,""),preDEL!S699)</f>
        <v>1</v>
      </c>
      <c r="T699" s="110" t="str">
        <f>IF(preDEL!$AG699,IFERROR(0/0,""),preDEL!T699)</f>
        <v/>
      </c>
      <c r="U699" s="112" t="str">
        <f>IF(preDEL!$AG699,IFERROR(0/0,""),preDEL!U699)</f>
        <v/>
      </c>
      <c r="V699" s="105" t="str">
        <f>IF(preDEL!$AG699,IFERROR(0/0,""),preDEL!V699)</f>
        <v/>
      </c>
      <c r="W699" s="112" t="str">
        <f>IF(preDEL!$AG699,IFERROR(0/0,""),preDEL!W699)</f>
        <v/>
      </c>
      <c r="X699" s="104" t="b">
        <f>IF(preDEL!$AG699,IFERROR(0/0,""),preDEL!X699)</f>
        <v>0</v>
      </c>
      <c r="Y699" s="110" t="b">
        <f>IF(preDEL!$AG699,IFERROR(0/0,""),preDEL!Y699)</f>
        <v>0</v>
      </c>
      <c r="Z699" s="105" t="str">
        <f>IF(preDEL!$AG699,IFERROR(0/0,""),preDEL!Z699)</f>
        <v/>
      </c>
      <c r="AA699" s="110" t="b">
        <f>IF(preDEL!$AG699,IFERROR(0/0,""),preDEL!AA699)</f>
        <v>0</v>
      </c>
      <c r="AB699" s="110" t="b">
        <f>IF(preDEL!$AG699,IFERROR(0/0,""),preDEL!AB699)</f>
        <v>0</v>
      </c>
      <c r="AC699" s="172">
        <f>IF(preDEL!$AG699,IFERROR(0/0,""),preDEL!AC699)</f>
        <v>124</v>
      </c>
      <c r="AD699" s="104" t="b">
        <f>IF(preDEL!$AG699,IFERROR(0/0,""),preDEL!AD699)</f>
        <v>0</v>
      </c>
      <c r="AE699" s="173">
        <f>IF(preDEL!$AG699,IFERROR(0/0,""),preDEL!AE699)</f>
        <v>261.7333333</v>
      </c>
      <c r="AF699" s="110" t="b">
        <f>IF(preDEL!$AG699,IFERROR(0/0,""),preDEL!AF699)</f>
        <v>0</v>
      </c>
      <c r="AG699" s="110" t="b">
        <f>IF(preDEL!$AG699,IFERROR(0/0,""),preDEL!AG699)</f>
        <v>0</v>
      </c>
      <c r="AH699" s="104" t="str">
        <f>IF(preDEL!$AG699,IFERROR(0/0,""),preDEL!AH699)</f>
        <v/>
      </c>
      <c r="AI699" s="105" t="str">
        <f>IF(preDEL!$AG699,IFERROR(0/0,""),preDEL!AI699)</f>
        <v/>
      </c>
      <c r="AJ699" s="112" t="str">
        <f>IF(preDEL!$AG699,IFERROR(0/0,""),preDEL!AJ699)</f>
        <v/>
      </c>
      <c r="AK699" s="105" t="str">
        <f>IF(preDEL!$AG699,IFERROR(0/0,""),preDEL!AK699)</f>
        <v>Negative</v>
      </c>
      <c r="AL699" s="112" t="str">
        <f>IF(preDEL!$AG699,IFERROR(0/0,""),preDEL!AL699)</f>
        <v/>
      </c>
      <c r="AM699" s="112" t="str">
        <f>IF(preDEL!$AG699,IFERROR(0/0,""),preDEL!AM699)</f>
        <v>SpBEND672680</v>
      </c>
      <c r="AN699" s="112" t="str">
        <f>IF(preDEL!$AG699,IFERROR(0/0,""),preDEL!AN699)</f>
        <v>BEND955524</v>
      </c>
      <c r="AO699" s="112" t="str">
        <f>IF(preDEL!$AG699,IFERROR(0/0,""),preDEL!AO699)</f>
        <v/>
      </c>
      <c r="AP699" s="112" t="str">
        <f>IF(preDEL!$AG699,IFERROR(0/0,""),preDEL!AP699)</f>
        <v/>
      </c>
      <c r="AQ699" s="112" t="str">
        <f>IF(preDEL!$AG699,IFERROR(0/0,""),preDEL!AQ699)</f>
        <v/>
      </c>
      <c r="AR699" s="112" t="str">
        <f>IF(preDEL!$AG699,IFERROR(0/0,""),preDEL!AR699)</f>
        <v/>
      </c>
      <c r="AS699" s="112" t="str">
        <f>IF(preDEL!$AG699,IFERROR(0/0,""),preDEL!AS699)</f>
        <v/>
      </c>
      <c r="AT699" s="112" t="b">
        <f>IF(preDEL!$AG699,IFERROR(0/0,""),preDEL!AT699)</f>
        <v>0</v>
      </c>
      <c r="AU699" s="112" t="str">
        <f>IF(preDEL!$AG699,IFERROR(0/0,""),preDEL!AU699)</f>
        <v/>
      </c>
      <c r="AV699" s="112" t="str">
        <f>IF(preDEL!$AG699,IFERROR(0/0,""),preDEL!AV699)</f>
        <v/>
      </c>
      <c r="AW699" s="112" t="str">
        <f>IF(preDEL!$AG699,IFERROR(0/0,""),preDEL!AW699)</f>
        <v/>
      </c>
      <c r="AX699" s="112" t="str">
        <f>IF(preDEL!$AG699,IFERROR(0/0,""),preDEL!AX699)</f>
        <v/>
      </c>
      <c r="AY699" s="112" t="str">
        <f>IF(preDEL!$AG699,IFERROR(0/0,""),preDEL!AY699)</f>
        <v/>
      </c>
      <c r="AZ699" s="174"/>
      <c r="BA699" s="174"/>
      <c r="BB699" s="174"/>
      <c r="BC699" s="174"/>
      <c r="BD699" s="174"/>
      <c r="BE699" s="174"/>
      <c r="BF699" s="174"/>
      <c r="BG699" s="174"/>
      <c r="BH699" s="174"/>
      <c r="BI699" s="174"/>
      <c r="BJ699" s="174"/>
      <c r="BK699" s="174"/>
      <c r="BL699" s="174"/>
      <c r="BM699" s="174"/>
      <c r="BN699" s="174"/>
      <c r="BO699" s="174"/>
      <c r="BP699" s="174"/>
      <c r="BQ699" s="174"/>
      <c r="BR699" s="174"/>
      <c r="BS699" s="174"/>
      <c r="BT699" s="174"/>
      <c r="BU699" s="174"/>
      <c r="BV699" s="174"/>
      <c r="BW699" s="174"/>
      <c r="BX699" s="174"/>
      <c r="BY699" s="174"/>
      <c r="BZ699" s="174"/>
      <c r="CA699" s="174"/>
      <c r="CB699" s="174"/>
      <c r="CC699" s="174"/>
      <c r="CD699" s="174"/>
    </row>
    <row r="700">
      <c r="A700" s="105" t="str">
        <f>IF(preDEL!$AG700,IFERROR(0/0,""),preDEL!A700)</f>
        <v>FM2048</v>
      </c>
      <c r="B700" s="170">
        <f>IF(preDEL!$AG700,IFERROR(0/0,""),preDEL!B700)</f>
        <v>44625</v>
      </c>
      <c r="C700" s="171">
        <f>IF(preDEL!$AG700,IFERROR(0/0,""),preDEL!C700)</f>
        <v>0.308599537</v>
      </c>
      <c r="D700" s="105" t="str">
        <f>IF(preDEL!$AG700,IFERROR(0/0,""),preDEL!D700)</f>
        <v/>
      </c>
      <c r="E700" s="105" t="str">
        <f>IF(preDEL!$AG700,IFERROR(0/0,""),preDEL!E700)</f>
        <v/>
      </c>
      <c r="F700" s="112" t="str">
        <f>IF(preDEL!$AG700,IFERROR(0/0,""),preDEL!F700)</f>
        <v/>
      </c>
      <c r="G700" s="112" t="str">
        <f>IF(preDEL!$AG700,IFERROR(0/0,""),preDEL!G700)</f>
        <v/>
      </c>
      <c r="H700" s="112" t="str">
        <f>IF(preDEL!$AG700,IFERROR(0/0,""),preDEL!H700)</f>
        <v/>
      </c>
      <c r="I700" s="105" t="str">
        <f>IF(preDEL!$AG700,IFERROR(0/0,""),preDEL!I700)</f>
        <v/>
      </c>
      <c r="J700" s="105" t="str">
        <f>IF(preDEL!$AG700,IFERROR(0/0,""),preDEL!J700)</f>
        <v/>
      </c>
      <c r="K700" s="105" t="str">
        <f>IF(preDEL!$AG700,IFERROR(0/0,""),preDEL!K700)</f>
        <v>Negative</v>
      </c>
      <c r="L700" s="170">
        <f>IF(preDEL!$AG700,IFERROR(0/0,""),preDEL!L700)</f>
        <v>44625</v>
      </c>
      <c r="M700" s="171">
        <f>IF(preDEL!$AG700,IFERROR(0/0,""),preDEL!M700)</f>
        <v>0.4897453704</v>
      </c>
      <c r="N700" s="112" t="str">
        <f>IF(preDEL!$AG700,IFERROR(0/0,""),preDEL!N700)</f>
        <v/>
      </c>
      <c r="O700" s="112" t="str">
        <f>IF(preDEL!$AG700,IFERROR(0/0,""),preDEL!O700)</f>
        <v/>
      </c>
      <c r="P700" s="110" t="b">
        <f>IF(preDEL!$AG700,IFERROR(0/0,""),preDEL!P700)</f>
        <v>0</v>
      </c>
      <c r="Q700" s="110" t="str">
        <f>IF(preDEL!$AG700,IFERROR(0/0,""),preDEL!Q700)</f>
        <v>Result</v>
      </c>
      <c r="R700" s="104" t="b">
        <f>IF(preDEL!$AG700,IFERROR(0/0,""),preDEL!R700)</f>
        <v>1</v>
      </c>
      <c r="S700" s="104">
        <f>IF(preDEL!$AG700,IFERROR(0/0,""),preDEL!S700)</f>
        <v>1</v>
      </c>
      <c r="T700" s="110" t="str">
        <f>IF(preDEL!$AG700,IFERROR(0/0,""),preDEL!T700)</f>
        <v/>
      </c>
      <c r="U700" s="112" t="str">
        <f>IF(preDEL!$AG700,IFERROR(0/0,""),preDEL!U700)</f>
        <v/>
      </c>
      <c r="V700" s="105" t="str">
        <f>IF(preDEL!$AG700,IFERROR(0/0,""),preDEL!V700)</f>
        <v/>
      </c>
      <c r="W700" s="112" t="str">
        <f>IF(preDEL!$AG700,IFERROR(0/0,""),preDEL!W700)</f>
        <v/>
      </c>
      <c r="X700" s="104" t="b">
        <f>IF(preDEL!$AG700,IFERROR(0/0,""),preDEL!X700)</f>
        <v>0</v>
      </c>
      <c r="Y700" s="110" t="b">
        <f>IF(preDEL!$AG700,IFERROR(0/0,""),preDEL!Y700)</f>
        <v>0</v>
      </c>
      <c r="Z700" s="105" t="str">
        <f>IF(preDEL!$AG700,IFERROR(0/0,""),preDEL!Z700)</f>
        <v/>
      </c>
      <c r="AA700" s="110" t="b">
        <f>IF(preDEL!$AG700,IFERROR(0/0,""),preDEL!AA700)</f>
        <v>0</v>
      </c>
      <c r="AB700" s="110" t="b">
        <f>IF(preDEL!$AG700,IFERROR(0/0,""),preDEL!AB700)</f>
        <v>0</v>
      </c>
      <c r="AC700" s="172">
        <f>IF(preDEL!$AG700,IFERROR(0/0,""),preDEL!AC700)</f>
        <v>123</v>
      </c>
      <c r="AD700" s="104" t="b">
        <f>IF(preDEL!$AG700,IFERROR(0/0,""),preDEL!AD700)</f>
        <v>0</v>
      </c>
      <c r="AE700" s="173">
        <f>IF(preDEL!$AG700,IFERROR(0/0,""),preDEL!AE700)</f>
        <v>260.85</v>
      </c>
      <c r="AF700" s="110" t="b">
        <f>IF(preDEL!$AG700,IFERROR(0/0,""),preDEL!AF700)</f>
        <v>0</v>
      </c>
      <c r="AG700" s="110" t="b">
        <f>IF(preDEL!$AG700,IFERROR(0/0,""),preDEL!AG700)</f>
        <v>0</v>
      </c>
      <c r="AH700" s="104" t="str">
        <f>IF(preDEL!$AG700,IFERROR(0/0,""),preDEL!AH700)</f>
        <v/>
      </c>
      <c r="AI700" s="105" t="str">
        <f>IF(preDEL!$AG700,IFERROR(0/0,""),preDEL!AI700)</f>
        <v/>
      </c>
      <c r="AJ700" s="112" t="str">
        <f>IF(preDEL!$AG700,IFERROR(0/0,""),preDEL!AJ700)</f>
        <v/>
      </c>
      <c r="AK700" s="105" t="str">
        <f>IF(preDEL!$AG700,IFERROR(0/0,""),preDEL!AK700)</f>
        <v>Negative</v>
      </c>
      <c r="AL700" s="112" t="str">
        <f>IF(preDEL!$AG700,IFERROR(0/0,""),preDEL!AL700)</f>
        <v/>
      </c>
      <c r="AM700" s="112" t="str">
        <f>IF(preDEL!$AG700,IFERROR(0/0,""),preDEL!AM700)</f>
        <v>SpBEND591184</v>
      </c>
      <c r="AN700" s="112" t="str">
        <f>IF(preDEL!$AG700,IFERROR(0/0,""),preDEL!AN700)</f>
        <v>BEND408435</v>
      </c>
      <c r="AO700" s="112" t="str">
        <f>IF(preDEL!$AG700,IFERROR(0/0,""),preDEL!AO700)</f>
        <v/>
      </c>
      <c r="AP700" s="112" t="str">
        <f>IF(preDEL!$AG700,IFERROR(0/0,""),preDEL!AP700)</f>
        <v/>
      </c>
      <c r="AQ700" s="112" t="str">
        <f>IF(preDEL!$AG700,IFERROR(0/0,""),preDEL!AQ700)</f>
        <v/>
      </c>
      <c r="AR700" s="112" t="str">
        <f>IF(preDEL!$AG700,IFERROR(0/0,""),preDEL!AR700)</f>
        <v/>
      </c>
      <c r="AS700" s="112" t="str">
        <f>IF(preDEL!$AG700,IFERROR(0/0,""),preDEL!AS700)</f>
        <v/>
      </c>
      <c r="AT700" s="112" t="b">
        <f>IF(preDEL!$AG700,IFERROR(0/0,""),preDEL!AT700)</f>
        <v>0</v>
      </c>
      <c r="AU700" s="112" t="str">
        <f>IF(preDEL!$AG700,IFERROR(0/0,""),preDEL!AU700)</f>
        <v/>
      </c>
      <c r="AV700" s="112" t="str">
        <f>IF(preDEL!$AG700,IFERROR(0/0,""),preDEL!AV700)</f>
        <v/>
      </c>
      <c r="AW700" s="112" t="str">
        <f>IF(preDEL!$AG700,IFERROR(0/0,""),preDEL!AW700)</f>
        <v/>
      </c>
      <c r="AX700" s="112" t="str">
        <f>IF(preDEL!$AG700,IFERROR(0/0,""),preDEL!AX700)</f>
        <v/>
      </c>
      <c r="AY700" s="112" t="str">
        <f>IF(preDEL!$AG700,IFERROR(0/0,""),preDEL!AY700)</f>
        <v/>
      </c>
      <c r="AZ700" s="174"/>
      <c r="BA700" s="174"/>
      <c r="BB700" s="174"/>
      <c r="BC700" s="174"/>
      <c r="BD700" s="174"/>
      <c r="BE700" s="174"/>
      <c r="BF700" s="174"/>
      <c r="BG700" s="174"/>
      <c r="BH700" s="174"/>
      <c r="BI700" s="174"/>
      <c r="BJ700" s="174"/>
      <c r="BK700" s="174"/>
      <c r="BL700" s="174"/>
      <c r="BM700" s="174"/>
      <c r="BN700" s="174"/>
      <c r="BO700" s="174"/>
      <c r="BP700" s="174"/>
      <c r="BQ700" s="174"/>
      <c r="BR700" s="174"/>
      <c r="BS700" s="174"/>
      <c r="BT700" s="174"/>
      <c r="BU700" s="174"/>
      <c r="BV700" s="174"/>
      <c r="BW700" s="174"/>
      <c r="BX700" s="174"/>
      <c r="BY700" s="174"/>
      <c r="BZ700" s="174"/>
      <c r="CA700" s="174"/>
      <c r="CB700" s="174"/>
      <c r="CC700" s="174"/>
      <c r="CD700" s="174"/>
    </row>
    <row r="701">
      <c r="A701" s="105" t="str">
        <f>IF(preDEL!$AG701,IFERROR(0/0,""),preDEL!A701)</f>
        <v>FM405</v>
      </c>
      <c r="B701" s="170">
        <f>IF(preDEL!$AG701,IFERROR(0/0,""),preDEL!B701)</f>
        <v>44625</v>
      </c>
      <c r="C701" s="171">
        <f>IF(preDEL!$AG701,IFERROR(0/0,""),preDEL!C701)</f>
        <v>0.3088657407</v>
      </c>
      <c r="D701" s="105" t="str">
        <f>IF(preDEL!$AG701,IFERROR(0/0,""),preDEL!D701)</f>
        <v/>
      </c>
      <c r="E701" s="105" t="str">
        <f>IF(preDEL!$AG701,IFERROR(0/0,""),preDEL!E701)</f>
        <v/>
      </c>
      <c r="F701" s="112" t="str">
        <f>IF(preDEL!$AG701,IFERROR(0/0,""),preDEL!F701)</f>
        <v/>
      </c>
      <c r="G701" s="112" t="str">
        <f>IF(preDEL!$AG701,IFERROR(0/0,""),preDEL!G701)</f>
        <v/>
      </c>
      <c r="H701" s="112" t="str">
        <f>IF(preDEL!$AG701,IFERROR(0/0,""),preDEL!H701)</f>
        <v/>
      </c>
      <c r="I701" s="105" t="str">
        <f>IF(preDEL!$AG701,IFERROR(0/0,""),preDEL!I701)</f>
        <v/>
      </c>
      <c r="J701" s="105" t="str">
        <f>IF(preDEL!$AG701,IFERROR(0/0,""),preDEL!J701)</f>
        <v/>
      </c>
      <c r="K701" s="105" t="str">
        <f>IF(preDEL!$AG701,IFERROR(0/0,""),preDEL!K701)</f>
        <v>Negative</v>
      </c>
      <c r="L701" s="170">
        <f>IF(preDEL!$AG701,IFERROR(0/0,""),preDEL!L701)</f>
        <v>44625</v>
      </c>
      <c r="M701" s="171">
        <f>IF(preDEL!$AG701,IFERROR(0/0,""),preDEL!M701)</f>
        <v>0.4897453704</v>
      </c>
      <c r="N701" s="112" t="str">
        <f>IF(preDEL!$AG701,IFERROR(0/0,""),preDEL!N701)</f>
        <v/>
      </c>
      <c r="O701" s="112" t="str">
        <f>IF(preDEL!$AG701,IFERROR(0/0,""),preDEL!O701)</f>
        <v/>
      </c>
      <c r="P701" s="110" t="b">
        <f>IF(preDEL!$AG701,IFERROR(0/0,""),preDEL!P701)</f>
        <v>0</v>
      </c>
      <c r="Q701" s="110" t="str">
        <f>IF(preDEL!$AG701,IFERROR(0/0,""),preDEL!Q701)</f>
        <v>Result</v>
      </c>
      <c r="R701" s="104" t="b">
        <f>IF(preDEL!$AG701,IFERROR(0/0,""),preDEL!R701)</f>
        <v>1</v>
      </c>
      <c r="S701" s="104">
        <f>IF(preDEL!$AG701,IFERROR(0/0,""),preDEL!S701)</f>
        <v>1</v>
      </c>
      <c r="T701" s="110" t="str">
        <f>IF(preDEL!$AG701,IFERROR(0/0,""),preDEL!T701)</f>
        <v/>
      </c>
      <c r="U701" s="112" t="str">
        <f>IF(preDEL!$AG701,IFERROR(0/0,""),preDEL!U701)</f>
        <v/>
      </c>
      <c r="V701" s="105" t="str">
        <f>IF(preDEL!$AG701,IFERROR(0/0,""),preDEL!V701)</f>
        <v/>
      </c>
      <c r="W701" s="112" t="str">
        <f>IF(preDEL!$AG701,IFERROR(0/0,""),preDEL!W701)</f>
        <v/>
      </c>
      <c r="X701" s="104" t="b">
        <f>IF(preDEL!$AG701,IFERROR(0/0,""),preDEL!X701)</f>
        <v>0</v>
      </c>
      <c r="Y701" s="110" t="b">
        <f>IF(preDEL!$AG701,IFERROR(0/0,""),preDEL!Y701)</f>
        <v>0</v>
      </c>
      <c r="Z701" s="105" t="str">
        <f>IF(preDEL!$AG701,IFERROR(0/0,""),preDEL!Z701)</f>
        <v/>
      </c>
      <c r="AA701" s="110" t="b">
        <f>IF(preDEL!$AG701,IFERROR(0/0,""),preDEL!AA701)</f>
        <v>0</v>
      </c>
      <c r="AB701" s="110" t="b">
        <f>IF(preDEL!$AG701,IFERROR(0/0,""),preDEL!AB701)</f>
        <v>0</v>
      </c>
      <c r="AC701" s="172">
        <f>IF(preDEL!$AG701,IFERROR(0/0,""),preDEL!AC701)</f>
        <v>122</v>
      </c>
      <c r="AD701" s="104" t="b">
        <f>IF(preDEL!$AG701,IFERROR(0/0,""),preDEL!AD701)</f>
        <v>0</v>
      </c>
      <c r="AE701" s="173">
        <f>IF(preDEL!$AG701,IFERROR(0/0,""),preDEL!AE701)</f>
        <v>260.4666667</v>
      </c>
      <c r="AF701" s="110" t="b">
        <f>IF(preDEL!$AG701,IFERROR(0/0,""),preDEL!AF701)</f>
        <v>0</v>
      </c>
      <c r="AG701" s="110" t="b">
        <f>IF(preDEL!$AG701,IFERROR(0/0,""),preDEL!AG701)</f>
        <v>0</v>
      </c>
      <c r="AH701" s="104" t="str">
        <f>IF(preDEL!$AG701,IFERROR(0/0,""),preDEL!AH701)</f>
        <v/>
      </c>
      <c r="AI701" s="105" t="str">
        <f>IF(preDEL!$AG701,IFERROR(0/0,""),preDEL!AI701)</f>
        <v/>
      </c>
      <c r="AJ701" s="112" t="str">
        <f>IF(preDEL!$AG701,IFERROR(0/0,""),preDEL!AJ701)</f>
        <v/>
      </c>
      <c r="AK701" s="105" t="str">
        <f>IF(preDEL!$AG701,IFERROR(0/0,""),preDEL!AK701)</f>
        <v>Negative</v>
      </c>
      <c r="AL701" s="112" t="str">
        <f>IF(preDEL!$AG701,IFERROR(0/0,""),preDEL!AL701)</f>
        <v/>
      </c>
      <c r="AM701" s="112" t="str">
        <f>IF(preDEL!$AG701,IFERROR(0/0,""),preDEL!AM701)</f>
        <v>SpBEND634692</v>
      </c>
      <c r="AN701" s="112" t="str">
        <f>IF(preDEL!$AG701,IFERROR(0/0,""),preDEL!AN701)</f>
        <v>BEND885483</v>
      </c>
      <c r="AO701" s="112" t="str">
        <f>IF(preDEL!$AG701,IFERROR(0/0,""),preDEL!AO701)</f>
        <v/>
      </c>
      <c r="AP701" s="112" t="str">
        <f>IF(preDEL!$AG701,IFERROR(0/0,""),preDEL!AP701)</f>
        <v/>
      </c>
      <c r="AQ701" s="112" t="str">
        <f>IF(preDEL!$AG701,IFERROR(0/0,""),preDEL!AQ701)</f>
        <v/>
      </c>
      <c r="AR701" s="112" t="str">
        <f>IF(preDEL!$AG701,IFERROR(0/0,""),preDEL!AR701)</f>
        <v/>
      </c>
      <c r="AS701" s="112" t="str">
        <f>IF(preDEL!$AG701,IFERROR(0/0,""),preDEL!AS701)</f>
        <v/>
      </c>
      <c r="AT701" s="112" t="b">
        <f>IF(preDEL!$AG701,IFERROR(0/0,""),preDEL!AT701)</f>
        <v>0</v>
      </c>
      <c r="AU701" s="112" t="str">
        <f>IF(preDEL!$AG701,IFERROR(0/0,""),preDEL!AU701)</f>
        <v/>
      </c>
      <c r="AV701" s="112" t="str">
        <f>IF(preDEL!$AG701,IFERROR(0/0,""),preDEL!AV701)</f>
        <v/>
      </c>
      <c r="AW701" s="112" t="str">
        <f>IF(preDEL!$AG701,IFERROR(0/0,""),preDEL!AW701)</f>
        <v/>
      </c>
      <c r="AX701" s="112" t="str">
        <f>IF(preDEL!$AG701,IFERROR(0/0,""),preDEL!AX701)</f>
        <v/>
      </c>
      <c r="AY701" s="112" t="str">
        <f>IF(preDEL!$AG701,IFERROR(0/0,""),preDEL!AY701)</f>
        <v/>
      </c>
      <c r="AZ701" s="174"/>
      <c r="BA701" s="174"/>
      <c r="BB701" s="174"/>
      <c r="BC701" s="174"/>
      <c r="BD701" s="174"/>
      <c r="BE701" s="174"/>
      <c r="BF701" s="174"/>
      <c r="BG701" s="174"/>
      <c r="BH701" s="174"/>
      <c r="BI701" s="174"/>
      <c r="BJ701" s="174"/>
      <c r="BK701" s="174"/>
      <c r="BL701" s="174"/>
      <c r="BM701" s="174"/>
      <c r="BN701" s="174"/>
      <c r="BO701" s="174"/>
      <c r="BP701" s="174"/>
      <c r="BQ701" s="174"/>
      <c r="BR701" s="174"/>
      <c r="BS701" s="174"/>
      <c r="BT701" s="174"/>
      <c r="BU701" s="174"/>
      <c r="BV701" s="174"/>
      <c r="BW701" s="174"/>
      <c r="BX701" s="174"/>
      <c r="BY701" s="174"/>
      <c r="BZ701" s="174"/>
      <c r="CA701" s="174"/>
      <c r="CB701" s="174"/>
      <c r="CC701" s="174"/>
      <c r="CD701" s="174"/>
    </row>
    <row r="702">
      <c r="A702" s="105" t="str">
        <f>IF(preDEL!$AG702,IFERROR(0/0,""),preDEL!A702)</f>
        <v>MA213</v>
      </c>
      <c r="B702" s="170">
        <f>IF(preDEL!$AG702,IFERROR(0/0,""),preDEL!B702)</f>
        <v>44625</v>
      </c>
      <c r="C702" s="171">
        <f>IF(preDEL!$AG702,IFERROR(0/0,""),preDEL!C702)</f>
        <v>0.3098148148</v>
      </c>
      <c r="D702" s="105" t="str">
        <f>IF(preDEL!$AG702,IFERROR(0/0,""),preDEL!D702)</f>
        <v/>
      </c>
      <c r="E702" s="105" t="str">
        <f>IF(preDEL!$AG702,IFERROR(0/0,""),preDEL!E702)</f>
        <v/>
      </c>
      <c r="F702" s="112" t="str">
        <f>IF(preDEL!$AG702,IFERROR(0/0,""),preDEL!F702)</f>
        <v/>
      </c>
      <c r="G702" s="112" t="str">
        <f>IF(preDEL!$AG702,IFERROR(0/0,""),preDEL!G702)</f>
        <v/>
      </c>
      <c r="H702" s="112" t="str">
        <f>IF(preDEL!$AG702,IFERROR(0/0,""),preDEL!H702)</f>
        <v/>
      </c>
      <c r="I702" s="105" t="str">
        <f>IF(preDEL!$AG702,IFERROR(0/0,""),preDEL!I702)</f>
        <v/>
      </c>
      <c r="J702" s="105" t="str">
        <f>IF(preDEL!$AG702,IFERROR(0/0,""),preDEL!J702)</f>
        <v/>
      </c>
      <c r="K702" s="105" t="str">
        <f>IF(preDEL!$AG702,IFERROR(0/0,""),preDEL!K702)</f>
        <v>Negative</v>
      </c>
      <c r="L702" s="170">
        <f>IF(preDEL!$AG702,IFERROR(0/0,""),preDEL!L702)</f>
        <v>44625</v>
      </c>
      <c r="M702" s="171">
        <f>IF(preDEL!$AG702,IFERROR(0/0,""),preDEL!M702)</f>
        <v>0.4897453704</v>
      </c>
      <c r="N702" s="112" t="str">
        <f>IF(preDEL!$AG702,IFERROR(0/0,""),preDEL!N702)</f>
        <v/>
      </c>
      <c r="O702" s="112" t="str">
        <f>IF(preDEL!$AG702,IFERROR(0/0,""),preDEL!O702)</f>
        <v/>
      </c>
      <c r="P702" s="110" t="b">
        <f>IF(preDEL!$AG702,IFERROR(0/0,""),preDEL!P702)</f>
        <v>0</v>
      </c>
      <c r="Q702" s="110" t="str">
        <f>IF(preDEL!$AG702,IFERROR(0/0,""),preDEL!Q702)</f>
        <v>Result</v>
      </c>
      <c r="R702" s="104" t="b">
        <f>IF(preDEL!$AG702,IFERROR(0/0,""),preDEL!R702)</f>
        <v>1</v>
      </c>
      <c r="S702" s="104">
        <f>IF(preDEL!$AG702,IFERROR(0/0,""),preDEL!S702)</f>
        <v>1</v>
      </c>
      <c r="T702" s="110" t="str">
        <f>IF(preDEL!$AG702,IFERROR(0/0,""),preDEL!T702)</f>
        <v/>
      </c>
      <c r="U702" s="112" t="str">
        <f>IF(preDEL!$AG702,IFERROR(0/0,""),preDEL!U702)</f>
        <v/>
      </c>
      <c r="V702" s="105" t="str">
        <f>IF(preDEL!$AG702,IFERROR(0/0,""),preDEL!V702)</f>
        <v/>
      </c>
      <c r="W702" s="112" t="str">
        <f>IF(preDEL!$AG702,IFERROR(0/0,""),preDEL!W702)</f>
        <v/>
      </c>
      <c r="X702" s="104" t="b">
        <f>IF(preDEL!$AG702,IFERROR(0/0,""),preDEL!X702)</f>
        <v>0</v>
      </c>
      <c r="Y702" s="110" t="b">
        <f>IF(preDEL!$AG702,IFERROR(0/0,""),preDEL!Y702)</f>
        <v>0</v>
      </c>
      <c r="Z702" s="105" t="str">
        <f>IF(preDEL!$AG702,IFERROR(0/0,""),preDEL!Z702)</f>
        <v/>
      </c>
      <c r="AA702" s="110" t="b">
        <f>IF(preDEL!$AG702,IFERROR(0/0,""),preDEL!AA702)</f>
        <v>0</v>
      </c>
      <c r="AB702" s="110" t="b">
        <f>IF(preDEL!$AG702,IFERROR(0/0,""),preDEL!AB702)</f>
        <v>0</v>
      </c>
      <c r="AC702" s="172">
        <f>IF(preDEL!$AG702,IFERROR(0/0,""),preDEL!AC702)</f>
        <v>121</v>
      </c>
      <c r="AD702" s="104" t="b">
        <f>IF(preDEL!$AG702,IFERROR(0/0,""),preDEL!AD702)</f>
        <v>0</v>
      </c>
      <c r="AE702" s="173">
        <f>IF(preDEL!$AG702,IFERROR(0/0,""),preDEL!AE702)</f>
        <v>259.1</v>
      </c>
      <c r="AF702" s="110" t="b">
        <f>IF(preDEL!$AG702,IFERROR(0/0,""),preDEL!AF702)</f>
        <v>0</v>
      </c>
      <c r="AG702" s="110" t="b">
        <f>IF(preDEL!$AG702,IFERROR(0/0,""),preDEL!AG702)</f>
        <v>0</v>
      </c>
      <c r="AH702" s="104" t="str">
        <f>IF(preDEL!$AG702,IFERROR(0/0,""),preDEL!AH702)</f>
        <v/>
      </c>
      <c r="AI702" s="105" t="str">
        <f>IF(preDEL!$AG702,IFERROR(0/0,""),preDEL!AI702)</f>
        <v/>
      </c>
      <c r="AJ702" s="112" t="str">
        <f>IF(preDEL!$AG702,IFERROR(0/0,""),preDEL!AJ702)</f>
        <v/>
      </c>
      <c r="AK702" s="105" t="str">
        <f>IF(preDEL!$AG702,IFERROR(0/0,""),preDEL!AK702)</f>
        <v>Negative</v>
      </c>
      <c r="AL702" s="112" t="str">
        <f>IF(preDEL!$AG702,IFERROR(0/0,""),preDEL!AL702)</f>
        <v/>
      </c>
      <c r="AM702" s="112" t="str">
        <f>IF(preDEL!$AG702,IFERROR(0/0,""),preDEL!AM702)</f>
        <v>SpBEND279112</v>
      </c>
      <c r="AN702" s="112" t="str">
        <f>IF(preDEL!$AG702,IFERROR(0/0,""),preDEL!AN702)</f>
        <v>BEND696303</v>
      </c>
      <c r="AO702" s="112" t="str">
        <f>IF(preDEL!$AG702,IFERROR(0/0,""),preDEL!AO702)</f>
        <v/>
      </c>
      <c r="AP702" s="112" t="str">
        <f>IF(preDEL!$AG702,IFERROR(0/0,""),preDEL!AP702)</f>
        <v/>
      </c>
      <c r="AQ702" s="112" t="str">
        <f>IF(preDEL!$AG702,IFERROR(0/0,""),preDEL!AQ702)</f>
        <v/>
      </c>
      <c r="AR702" s="112" t="str">
        <f>IF(preDEL!$AG702,IFERROR(0/0,""),preDEL!AR702)</f>
        <v/>
      </c>
      <c r="AS702" s="112" t="str">
        <f>IF(preDEL!$AG702,IFERROR(0/0,""),preDEL!AS702)</f>
        <v/>
      </c>
      <c r="AT702" s="112" t="b">
        <f>IF(preDEL!$AG702,IFERROR(0/0,""),preDEL!AT702)</f>
        <v>0</v>
      </c>
      <c r="AU702" s="112" t="str">
        <f>IF(preDEL!$AG702,IFERROR(0/0,""),preDEL!AU702)</f>
        <v/>
      </c>
      <c r="AV702" s="112" t="str">
        <f>IF(preDEL!$AG702,IFERROR(0/0,""),preDEL!AV702)</f>
        <v/>
      </c>
      <c r="AW702" s="112" t="str">
        <f>IF(preDEL!$AG702,IFERROR(0/0,""),preDEL!AW702)</f>
        <v/>
      </c>
      <c r="AX702" s="112" t="str">
        <f>IF(preDEL!$AG702,IFERROR(0/0,""),preDEL!AX702)</f>
        <v/>
      </c>
      <c r="AY702" s="112" t="str">
        <f>IF(preDEL!$AG702,IFERROR(0/0,""),preDEL!AY702)</f>
        <v/>
      </c>
      <c r="AZ702" s="174"/>
      <c r="BA702" s="174"/>
      <c r="BB702" s="174"/>
      <c r="BC702" s="174"/>
      <c r="BD702" s="174"/>
      <c r="BE702" s="174"/>
      <c r="BF702" s="174"/>
      <c r="BG702" s="174"/>
      <c r="BH702" s="174"/>
      <c r="BI702" s="174"/>
      <c r="BJ702" s="174"/>
      <c r="BK702" s="174"/>
      <c r="BL702" s="174"/>
      <c r="BM702" s="174"/>
      <c r="BN702" s="174"/>
      <c r="BO702" s="174"/>
      <c r="BP702" s="174"/>
      <c r="BQ702" s="174"/>
      <c r="BR702" s="174"/>
      <c r="BS702" s="174"/>
      <c r="BT702" s="174"/>
      <c r="BU702" s="174"/>
      <c r="BV702" s="174"/>
      <c r="BW702" s="174"/>
      <c r="BX702" s="174"/>
      <c r="BY702" s="174"/>
      <c r="BZ702" s="174"/>
      <c r="CA702" s="174"/>
      <c r="CB702" s="174"/>
      <c r="CC702" s="174"/>
      <c r="CD702" s="174"/>
    </row>
    <row r="703">
      <c r="A703" s="105" t="str">
        <f>IF(preDEL!$AG703,IFERROR(0/0,""),preDEL!A703)</f>
        <v>FM2076</v>
      </c>
      <c r="B703" s="170">
        <f>IF(preDEL!$AG703,IFERROR(0/0,""),preDEL!B703)</f>
        <v>44625</v>
      </c>
      <c r="C703" s="171">
        <f>IF(preDEL!$AG703,IFERROR(0/0,""),preDEL!C703)</f>
        <v>0.3107523148</v>
      </c>
      <c r="D703" s="105" t="str">
        <f>IF(preDEL!$AG703,IFERROR(0/0,""),preDEL!D703)</f>
        <v/>
      </c>
      <c r="E703" s="105" t="str">
        <f>IF(preDEL!$AG703,IFERROR(0/0,""),preDEL!E703)</f>
        <v/>
      </c>
      <c r="F703" s="112" t="str">
        <f>IF(preDEL!$AG703,IFERROR(0/0,""),preDEL!F703)</f>
        <v/>
      </c>
      <c r="G703" s="112" t="str">
        <f>IF(preDEL!$AG703,IFERROR(0/0,""),preDEL!G703)</f>
        <v/>
      </c>
      <c r="H703" s="112" t="str">
        <f>IF(preDEL!$AG703,IFERROR(0/0,""),preDEL!H703)</f>
        <v/>
      </c>
      <c r="I703" s="105" t="str">
        <f>IF(preDEL!$AG703,IFERROR(0/0,""),preDEL!I703)</f>
        <v/>
      </c>
      <c r="J703" s="105" t="str">
        <f>IF(preDEL!$AG703,IFERROR(0/0,""),preDEL!J703)</f>
        <v/>
      </c>
      <c r="K703" s="105" t="str">
        <f>IF(preDEL!$AG703,IFERROR(0/0,""),preDEL!K703)</f>
        <v>Negative</v>
      </c>
      <c r="L703" s="170">
        <f>IF(preDEL!$AG703,IFERROR(0/0,""),preDEL!L703)</f>
        <v>44625</v>
      </c>
      <c r="M703" s="171">
        <f>IF(preDEL!$AG703,IFERROR(0/0,""),preDEL!M703)</f>
        <v>0.4897453704</v>
      </c>
      <c r="N703" s="112" t="str">
        <f>IF(preDEL!$AG703,IFERROR(0/0,""),preDEL!N703)</f>
        <v/>
      </c>
      <c r="O703" s="112" t="str">
        <f>IF(preDEL!$AG703,IFERROR(0/0,""),preDEL!O703)</f>
        <v/>
      </c>
      <c r="P703" s="110" t="b">
        <f>IF(preDEL!$AG703,IFERROR(0/0,""),preDEL!P703)</f>
        <v>0</v>
      </c>
      <c r="Q703" s="110" t="str">
        <f>IF(preDEL!$AG703,IFERROR(0/0,""),preDEL!Q703)</f>
        <v>Result</v>
      </c>
      <c r="R703" s="104" t="b">
        <f>IF(preDEL!$AG703,IFERROR(0/0,""),preDEL!R703)</f>
        <v>1</v>
      </c>
      <c r="S703" s="104">
        <f>IF(preDEL!$AG703,IFERROR(0/0,""),preDEL!S703)</f>
        <v>1</v>
      </c>
      <c r="T703" s="110" t="str">
        <f>IF(preDEL!$AG703,IFERROR(0/0,""),preDEL!T703)</f>
        <v/>
      </c>
      <c r="U703" s="112" t="str">
        <f>IF(preDEL!$AG703,IFERROR(0/0,""),preDEL!U703)</f>
        <v/>
      </c>
      <c r="V703" s="105" t="str">
        <f>IF(preDEL!$AG703,IFERROR(0/0,""),preDEL!V703)</f>
        <v/>
      </c>
      <c r="W703" s="112" t="str">
        <f>IF(preDEL!$AG703,IFERROR(0/0,""),preDEL!W703)</f>
        <v/>
      </c>
      <c r="X703" s="104" t="b">
        <f>IF(preDEL!$AG703,IFERROR(0/0,""),preDEL!X703)</f>
        <v>0</v>
      </c>
      <c r="Y703" s="110" t="b">
        <f>IF(preDEL!$AG703,IFERROR(0/0,""),preDEL!Y703)</f>
        <v>0</v>
      </c>
      <c r="Z703" s="105" t="str">
        <f>IF(preDEL!$AG703,IFERROR(0/0,""),preDEL!Z703)</f>
        <v/>
      </c>
      <c r="AA703" s="110" t="b">
        <f>IF(preDEL!$AG703,IFERROR(0/0,""),preDEL!AA703)</f>
        <v>0</v>
      </c>
      <c r="AB703" s="110" t="b">
        <f>IF(preDEL!$AG703,IFERROR(0/0,""),preDEL!AB703)</f>
        <v>0</v>
      </c>
      <c r="AC703" s="172">
        <f>IF(preDEL!$AG703,IFERROR(0/0,""),preDEL!AC703)</f>
        <v>120</v>
      </c>
      <c r="AD703" s="104" t="b">
        <f>IF(preDEL!$AG703,IFERROR(0/0,""),preDEL!AD703)</f>
        <v>0</v>
      </c>
      <c r="AE703" s="173">
        <f>IF(preDEL!$AG703,IFERROR(0/0,""),preDEL!AE703)</f>
        <v>257.75</v>
      </c>
      <c r="AF703" s="110" t="b">
        <f>IF(preDEL!$AG703,IFERROR(0/0,""),preDEL!AF703)</f>
        <v>0</v>
      </c>
      <c r="AG703" s="110" t="b">
        <f>IF(preDEL!$AG703,IFERROR(0/0,""),preDEL!AG703)</f>
        <v>0</v>
      </c>
      <c r="AH703" s="104" t="str">
        <f>IF(preDEL!$AG703,IFERROR(0/0,""),preDEL!AH703)</f>
        <v/>
      </c>
      <c r="AI703" s="105" t="str">
        <f>IF(preDEL!$AG703,IFERROR(0/0,""),preDEL!AI703)</f>
        <v/>
      </c>
      <c r="AJ703" s="112" t="str">
        <f>IF(preDEL!$AG703,IFERROR(0/0,""),preDEL!AJ703)</f>
        <v/>
      </c>
      <c r="AK703" s="105" t="str">
        <f>IF(preDEL!$AG703,IFERROR(0/0,""),preDEL!AK703)</f>
        <v>Negative</v>
      </c>
      <c r="AL703" s="112" t="str">
        <f>IF(preDEL!$AG703,IFERROR(0/0,""),preDEL!AL703)</f>
        <v/>
      </c>
      <c r="AM703" s="112" t="str">
        <f>IF(preDEL!$AG703,IFERROR(0/0,""),preDEL!AM703)</f>
        <v>SpBEND815974</v>
      </c>
      <c r="AN703" s="112" t="str">
        <f>IF(preDEL!$AG703,IFERROR(0/0,""),preDEL!AN703)</f>
        <v>BEND381818</v>
      </c>
      <c r="AO703" s="112" t="str">
        <f>IF(preDEL!$AG703,IFERROR(0/0,""),preDEL!AO703)</f>
        <v/>
      </c>
      <c r="AP703" s="112" t="str">
        <f>IF(preDEL!$AG703,IFERROR(0/0,""),preDEL!AP703)</f>
        <v/>
      </c>
      <c r="AQ703" s="112" t="str">
        <f>IF(preDEL!$AG703,IFERROR(0/0,""),preDEL!AQ703)</f>
        <v/>
      </c>
      <c r="AR703" s="112" t="str">
        <f>IF(preDEL!$AG703,IFERROR(0/0,""),preDEL!AR703)</f>
        <v/>
      </c>
      <c r="AS703" s="112" t="str">
        <f>IF(preDEL!$AG703,IFERROR(0/0,""),preDEL!AS703)</f>
        <v/>
      </c>
      <c r="AT703" s="112" t="b">
        <f>IF(preDEL!$AG703,IFERROR(0/0,""),preDEL!AT703)</f>
        <v>0</v>
      </c>
      <c r="AU703" s="112" t="str">
        <f>IF(preDEL!$AG703,IFERROR(0/0,""),preDEL!AU703)</f>
        <v/>
      </c>
      <c r="AV703" s="112" t="str">
        <f>IF(preDEL!$AG703,IFERROR(0/0,""),preDEL!AV703)</f>
        <v/>
      </c>
      <c r="AW703" s="112" t="str">
        <f>IF(preDEL!$AG703,IFERROR(0/0,""),preDEL!AW703)</f>
        <v/>
      </c>
      <c r="AX703" s="112" t="str">
        <f>IF(preDEL!$AG703,IFERROR(0/0,""),preDEL!AX703)</f>
        <v/>
      </c>
      <c r="AY703" s="112" t="str">
        <f>IF(preDEL!$AG703,IFERROR(0/0,""),preDEL!AY703)</f>
        <v/>
      </c>
      <c r="AZ703" s="174"/>
      <c r="BA703" s="174"/>
      <c r="BB703" s="174"/>
      <c r="BC703" s="174"/>
      <c r="BD703" s="174"/>
      <c r="BE703" s="174"/>
      <c r="BF703" s="174"/>
      <c r="BG703" s="174"/>
      <c r="BH703" s="174"/>
      <c r="BI703" s="174"/>
      <c r="BJ703" s="174"/>
      <c r="BK703" s="174"/>
      <c r="BL703" s="174"/>
      <c r="BM703" s="174"/>
      <c r="BN703" s="174"/>
      <c r="BO703" s="174"/>
      <c r="BP703" s="174"/>
      <c r="BQ703" s="174"/>
      <c r="BR703" s="174"/>
      <c r="BS703" s="174"/>
      <c r="BT703" s="174"/>
      <c r="BU703" s="174"/>
      <c r="BV703" s="174"/>
      <c r="BW703" s="174"/>
      <c r="BX703" s="174"/>
      <c r="BY703" s="174"/>
      <c r="BZ703" s="174"/>
      <c r="CA703" s="174"/>
      <c r="CB703" s="174"/>
      <c r="CC703" s="174"/>
      <c r="CD703" s="174"/>
    </row>
    <row r="704">
      <c r="A704" s="105" t="str">
        <f>IF(preDEL!$AG704,IFERROR(0/0,""),preDEL!A704)</f>
        <v>MA1238</v>
      </c>
      <c r="B704" s="170">
        <f>IF(preDEL!$AG704,IFERROR(0/0,""),preDEL!B704)</f>
        <v>44625</v>
      </c>
      <c r="C704" s="171">
        <f>IF(preDEL!$AG704,IFERROR(0/0,""),preDEL!C704)</f>
        <v>0.3109953704</v>
      </c>
      <c r="D704" s="105" t="str">
        <f>IF(preDEL!$AG704,IFERROR(0/0,""),preDEL!D704)</f>
        <v/>
      </c>
      <c r="E704" s="105" t="str">
        <f>IF(preDEL!$AG704,IFERROR(0/0,""),preDEL!E704)</f>
        <v/>
      </c>
      <c r="F704" s="112" t="str">
        <f>IF(preDEL!$AG704,IFERROR(0/0,""),preDEL!F704)</f>
        <v/>
      </c>
      <c r="G704" s="112" t="str">
        <f>IF(preDEL!$AG704,IFERROR(0/0,""),preDEL!G704)</f>
        <v/>
      </c>
      <c r="H704" s="112" t="str">
        <f>IF(preDEL!$AG704,IFERROR(0/0,""),preDEL!H704)</f>
        <v/>
      </c>
      <c r="I704" s="105" t="str">
        <f>IF(preDEL!$AG704,IFERROR(0/0,""),preDEL!I704)</f>
        <v/>
      </c>
      <c r="J704" s="105" t="str">
        <f>IF(preDEL!$AG704,IFERROR(0/0,""),preDEL!J704)</f>
        <v/>
      </c>
      <c r="K704" s="105" t="str">
        <f>IF(preDEL!$AG704,IFERROR(0/0,""),preDEL!K704)</f>
        <v>Negative</v>
      </c>
      <c r="L704" s="170">
        <f>IF(preDEL!$AG704,IFERROR(0/0,""),preDEL!L704)</f>
        <v>44625</v>
      </c>
      <c r="M704" s="171">
        <f>IF(preDEL!$AG704,IFERROR(0/0,""),preDEL!M704)</f>
        <v>0.4897453704</v>
      </c>
      <c r="N704" s="112" t="str">
        <f>IF(preDEL!$AG704,IFERROR(0/0,""),preDEL!N704)</f>
        <v/>
      </c>
      <c r="O704" s="112" t="str">
        <f>IF(preDEL!$AG704,IFERROR(0/0,""),preDEL!O704)</f>
        <v/>
      </c>
      <c r="P704" s="110" t="b">
        <f>IF(preDEL!$AG704,IFERROR(0/0,""),preDEL!P704)</f>
        <v>0</v>
      </c>
      <c r="Q704" s="110" t="str">
        <f>IF(preDEL!$AG704,IFERROR(0/0,""),preDEL!Q704)</f>
        <v>Result</v>
      </c>
      <c r="R704" s="104" t="b">
        <f>IF(preDEL!$AG704,IFERROR(0/0,""),preDEL!R704)</f>
        <v>1</v>
      </c>
      <c r="S704" s="104">
        <f>IF(preDEL!$AG704,IFERROR(0/0,""),preDEL!S704)</f>
        <v>1</v>
      </c>
      <c r="T704" s="110" t="str">
        <f>IF(preDEL!$AG704,IFERROR(0/0,""),preDEL!T704)</f>
        <v/>
      </c>
      <c r="U704" s="112" t="str">
        <f>IF(preDEL!$AG704,IFERROR(0/0,""),preDEL!U704)</f>
        <v/>
      </c>
      <c r="V704" s="105" t="str">
        <f>IF(preDEL!$AG704,IFERROR(0/0,""),preDEL!V704)</f>
        <v/>
      </c>
      <c r="W704" s="112" t="str">
        <f>IF(preDEL!$AG704,IFERROR(0/0,""),preDEL!W704)</f>
        <v/>
      </c>
      <c r="X704" s="104" t="b">
        <f>IF(preDEL!$AG704,IFERROR(0/0,""),preDEL!X704)</f>
        <v>0</v>
      </c>
      <c r="Y704" s="110" t="b">
        <f>IF(preDEL!$AG704,IFERROR(0/0,""),preDEL!Y704)</f>
        <v>0</v>
      </c>
      <c r="Z704" s="105" t="str">
        <f>IF(preDEL!$AG704,IFERROR(0/0,""),preDEL!Z704)</f>
        <v/>
      </c>
      <c r="AA704" s="110" t="b">
        <f>IF(preDEL!$AG704,IFERROR(0/0,""),preDEL!AA704)</f>
        <v>0</v>
      </c>
      <c r="AB704" s="110" t="b">
        <f>IF(preDEL!$AG704,IFERROR(0/0,""),preDEL!AB704)</f>
        <v>0</v>
      </c>
      <c r="AC704" s="172">
        <f>IF(preDEL!$AG704,IFERROR(0/0,""),preDEL!AC704)</f>
        <v>119</v>
      </c>
      <c r="AD704" s="104" t="b">
        <f>IF(preDEL!$AG704,IFERROR(0/0,""),preDEL!AD704)</f>
        <v>0</v>
      </c>
      <c r="AE704" s="173">
        <f>IF(preDEL!$AG704,IFERROR(0/0,""),preDEL!AE704)</f>
        <v>257.4</v>
      </c>
      <c r="AF704" s="110" t="b">
        <f>IF(preDEL!$AG704,IFERROR(0/0,""),preDEL!AF704)</f>
        <v>0</v>
      </c>
      <c r="AG704" s="110" t="b">
        <f>IF(preDEL!$AG704,IFERROR(0/0,""),preDEL!AG704)</f>
        <v>0</v>
      </c>
      <c r="AH704" s="104" t="str">
        <f>IF(preDEL!$AG704,IFERROR(0/0,""),preDEL!AH704)</f>
        <v/>
      </c>
      <c r="AI704" s="105" t="str">
        <f>IF(preDEL!$AG704,IFERROR(0/0,""),preDEL!AI704)</f>
        <v/>
      </c>
      <c r="AJ704" s="112" t="str">
        <f>IF(preDEL!$AG704,IFERROR(0/0,""),preDEL!AJ704)</f>
        <v/>
      </c>
      <c r="AK704" s="105" t="str">
        <f>IF(preDEL!$AG704,IFERROR(0/0,""),preDEL!AK704)</f>
        <v>Negative</v>
      </c>
      <c r="AL704" s="112" t="str">
        <f>IF(preDEL!$AG704,IFERROR(0/0,""),preDEL!AL704)</f>
        <v/>
      </c>
      <c r="AM704" s="112" t="str">
        <f>IF(preDEL!$AG704,IFERROR(0/0,""),preDEL!AM704)</f>
        <v>SpBEND372845</v>
      </c>
      <c r="AN704" s="112" t="str">
        <f>IF(preDEL!$AG704,IFERROR(0/0,""),preDEL!AN704)</f>
        <v>BEND940774</v>
      </c>
      <c r="AO704" s="112" t="str">
        <f>IF(preDEL!$AG704,IFERROR(0/0,""),preDEL!AO704)</f>
        <v/>
      </c>
      <c r="AP704" s="112" t="str">
        <f>IF(preDEL!$AG704,IFERROR(0/0,""),preDEL!AP704)</f>
        <v/>
      </c>
      <c r="AQ704" s="112" t="str">
        <f>IF(preDEL!$AG704,IFERROR(0/0,""),preDEL!AQ704)</f>
        <v/>
      </c>
      <c r="AR704" s="112" t="str">
        <f>IF(preDEL!$AG704,IFERROR(0/0,""),preDEL!AR704)</f>
        <v/>
      </c>
      <c r="AS704" s="112" t="str">
        <f>IF(preDEL!$AG704,IFERROR(0/0,""),preDEL!AS704)</f>
        <v/>
      </c>
      <c r="AT704" s="112" t="b">
        <f>IF(preDEL!$AG704,IFERROR(0/0,""),preDEL!AT704)</f>
        <v>0</v>
      </c>
      <c r="AU704" s="112" t="str">
        <f>IF(preDEL!$AG704,IFERROR(0/0,""),preDEL!AU704)</f>
        <v/>
      </c>
      <c r="AV704" s="112" t="str">
        <f>IF(preDEL!$AG704,IFERROR(0/0,""),preDEL!AV704)</f>
        <v/>
      </c>
      <c r="AW704" s="112" t="str">
        <f>IF(preDEL!$AG704,IFERROR(0/0,""),preDEL!AW704)</f>
        <v/>
      </c>
      <c r="AX704" s="112" t="str">
        <f>IF(preDEL!$AG704,IFERROR(0/0,""),preDEL!AX704)</f>
        <v/>
      </c>
      <c r="AY704" s="112" t="str">
        <f>IF(preDEL!$AG704,IFERROR(0/0,""),preDEL!AY704)</f>
        <v/>
      </c>
      <c r="AZ704" s="174"/>
      <c r="BA704" s="174"/>
      <c r="BB704" s="174"/>
      <c r="BC704" s="174"/>
      <c r="BD704" s="174"/>
      <c r="BE704" s="174"/>
      <c r="BF704" s="174"/>
      <c r="BG704" s="174"/>
      <c r="BH704" s="174"/>
      <c r="BI704" s="174"/>
      <c r="BJ704" s="174"/>
      <c r="BK704" s="174"/>
      <c r="BL704" s="174"/>
      <c r="BM704" s="174"/>
      <c r="BN704" s="174"/>
      <c r="BO704" s="174"/>
      <c r="BP704" s="174"/>
      <c r="BQ704" s="174"/>
      <c r="BR704" s="174"/>
      <c r="BS704" s="174"/>
      <c r="BT704" s="174"/>
      <c r="BU704" s="174"/>
      <c r="BV704" s="174"/>
      <c r="BW704" s="174"/>
      <c r="BX704" s="174"/>
      <c r="BY704" s="174"/>
      <c r="BZ704" s="174"/>
      <c r="CA704" s="174"/>
      <c r="CB704" s="174"/>
      <c r="CC704" s="174"/>
      <c r="CD704" s="174"/>
    </row>
    <row r="705">
      <c r="A705" s="105" t="str">
        <f>IF(preDEL!$AG705,IFERROR(0/0,""),preDEL!A705)</f>
        <v>MA370</v>
      </c>
      <c r="B705" s="170">
        <f>IF(preDEL!$AG705,IFERROR(0/0,""),preDEL!B705)</f>
        <v>44625</v>
      </c>
      <c r="C705" s="171">
        <f>IF(preDEL!$AG705,IFERROR(0/0,""),preDEL!C705)</f>
        <v>0.3150115741</v>
      </c>
      <c r="D705" s="105" t="str">
        <f>IF(preDEL!$AG705,IFERROR(0/0,""),preDEL!D705)</f>
        <v/>
      </c>
      <c r="E705" s="105" t="str">
        <f>IF(preDEL!$AG705,IFERROR(0/0,""),preDEL!E705)</f>
        <v/>
      </c>
      <c r="F705" s="112" t="str">
        <f>IF(preDEL!$AG705,IFERROR(0/0,""),preDEL!F705)</f>
        <v/>
      </c>
      <c r="G705" s="112" t="str">
        <f>IF(preDEL!$AG705,IFERROR(0/0,""),preDEL!G705)</f>
        <v/>
      </c>
      <c r="H705" s="112" t="str">
        <f>IF(preDEL!$AG705,IFERROR(0/0,""),preDEL!H705)</f>
        <v/>
      </c>
      <c r="I705" s="105" t="str">
        <f>IF(preDEL!$AG705,IFERROR(0/0,""),preDEL!I705)</f>
        <v/>
      </c>
      <c r="J705" s="105" t="str">
        <f>IF(preDEL!$AG705,IFERROR(0/0,""),preDEL!J705)</f>
        <v/>
      </c>
      <c r="K705" s="105" t="str">
        <f>IF(preDEL!$AG705,IFERROR(0/0,""),preDEL!K705)</f>
        <v>Negative</v>
      </c>
      <c r="L705" s="170">
        <f>IF(preDEL!$AG705,IFERROR(0/0,""),preDEL!L705)</f>
        <v>44625</v>
      </c>
      <c r="M705" s="171">
        <f>IF(preDEL!$AG705,IFERROR(0/0,""),preDEL!M705)</f>
        <v>0.4897453704</v>
      </c>
      <c r="N705" s="112" t="str">
        <f>IF(preDEL!$AG705,IFERROR(0/0,""),preDEL!N705)</f>
        <v/>
      </c>
      <c r="O705" s="112" t="str">
        <f>IF(preDEL!$AG705,IFERROR(0/0,""),preDEL!O705)</f>
        <v/>
      </c>
      <c r="P705" s="110" t="b">
        <f>IF(preDEL!$AG705,IFERROR(0/0,""),preDEL!P705)</f>
        <v>0</v>
      </c>
      <c r="Q705" s="110" t="str">
        <f>IF(preDEL!$AG705,IFERROR(0/0,""),preDEL!Q705)</f>
        <v>Result</v>
      </c>
      <c r="R705" s="104" t="b">
        <f>IF(preDEL!$AG705,IFERROR(0/0,""),preDEL!R705)</f>
        <v>1</v>
      </c>
      <c r="S705" s="104">
        <f>IF(preDEL!$AG705,IFERROR(0/0,""),preDEL!S705)</f>
        <v>1</v>
      </c>
      <c r="T705" s="110" t="str">
        <f>IF(preDEL!$AG705,IFERROR(0/0,""),preDEL!T705)</f>
        <v/>
      </c>
      <c r="U705" s="112" t="str">
        <f>IF(preDEL!$AG705,IFERROR(0/0,""),preDEL!U705)</f>
        <v/>
      </c>
      <c r="V705" s="105" t="str">
        <f>IF(preDEL!$AG705,IFERROR(0/0,""),preDEL!V705)</f>
        <v/>
      </c>
      <c r="W705" s="112" t="str">
        <f>IF(preDEL!$AG705,IFERROR(0/0,""),preDEL!W705)</f>
        <v/>
      </c>
      <c r="X705" s="104" t="b">
        <f>IF(preDEL!$AG705,IFERROR(0/0,""),preDEL!X705)</f>
        <v>0</v>
      </c>
      <c r="Y705" s="110" t="b">
        <f>IF(preDEL!$AG705,IFERROR(0/0,""),preDEL!Y705)</f>
        <v>0</v>
      </c>
      <c r="Z705" s="105" t="str">
        <f>IF(preDEL!$AG705,IFERROR(0/0,""),preDEL!Z705)</f>
        <v/>
      </c>
      <c r="AA705" s="110" t="b">
        <f>IF(preDEL!$AG705,IFERROR(0/0,""),preDEL!AA705)</f>
        <v>0</v>
      </c>
      <c r="AB705" s="110" t="b">
        <f>IF(preDEL!$AG705,IFERROR(0/0,""),preDEL!AB705)</f>
        <v>0</v>
      </c>
      <c r="AC705" s="172">
        <f>IF(preDEL!$AG705,IFERROR(0/0,""),preDEL!AC705)</f>
        <v>118</v>
      </c>
      <c r="AD705" s="104" t="b">
        <f>IF(preDEL!$AG705,IFERROR(0/0,""),preDEL!AD705)</f>
        <v>0</v>
      </c>
      <c r="AE705" s="173">
        <f>IF(preDEL!$AG705,IFERROR(0/0,""),preDEL!AE705)</f>
        <v>251.6166667</v>
      </c>
      <c r="AF705" s="110" t="b">
        <f>IF(preDEL!$AG705,IFERROR(0/0,""),preDEL!AF705)</f>
        <v>0</v>
      </c>
      <c r="AG705" s="110" t="b">
        <f>IF(preDEL!$AG705,IFERROR(0/0,""),preDEL!AG705)</f>
        <v>0</v>
      </c>
      <c r="AH705" s="104" t="str">
        <f>IF(preDEL!$AG705,IFERROR(0/0,""),preDEL!AH705)</f>
        <v/>
      </c>
      <c r="AI705" s="105" t="str">
        <f>IF(preDEL!$AG705,IFERROR(0/0,""),preDEL!AI705)</f>
        <v/>
      </c>
      <c r="AJ705" s="112" t="str">
        <f>IF(preDEL!$AG705,IFERROR(0/0,""),preDEL!AJ705)</f>
        <v/>
      </c>
      <c r="AK705" s="105" t="str">
        <f>IF(preDEL!$AG705,IFERROR(0/0,""),preDEL!AK705)</f>
        <v>Negative</v>
      </c>
      <c r="AL705" s="112" t="str">
        <f>IF(preDEL!$AG705,IFERROR(0/0,""),preDEL!AL705)</f>
        <v/>
      </c>
      <c r="AM705" s="112" t="str">
        <f>IF(preDEL!$AG705,IFERROR(0/0,""),preDEL!AM705)</f>
        <v>SpBEND824412</v>
      </c>
      <c r="AN705" s="112" t="str">
        <f>IF(preDEL!$AG705,IFERROR(0/0,""),preDEL!AN705)</f>
        <v>BEND918814</v>
      </c>
      <c r="AO705" s="112" t="str">
        <f>IF(preDEL!$AG705,IFERROR(0/0,""),preDEL!AO705)</f>
        <v/>
      </c>
      <c r="AP705" s="112" t="str">
        <f>IF(preDEL!$AG705,IFERROR(0/0,""),preDEL!AP705)</f>
        <v/>
      </c>
      <c r="AQ705" s="112" t="str">
        <f>IF(preDEL!$AG705,IFERROR(0/0,""),preDEL!AQ705)</f>
        <v/>
      </c>
      <c r="AR705" s="112" t="str">
        <f>IF(preDEL!$AG705,IFERROR(0/0,""),preDEL!AR705)</f>
        <v/>
      </c>
      <c r="AS705" s="112" t="str">
        <f>IF(preDEL!$AG705,IFERROR(0/0,""),preDEL!AS705)</f>
        <v/>
      </c>
      <c r="AT705" s="112" t="b">
        <f>IF(preDEL!$AG705,IFERROR(0/0,""),preDEL!AT705)</f>
        <v>0</v>
      </c>
      <c r="AU705" s="112" t="str">
        <f>IF(preDEL!$AG705,IFERROR(0/0,""),preDEL!AU705)</f>
        <v/>
      </c>
      <c r="AV705" s="112" t="str">
        <f>IF(preDEL!$AG705,IFERROR(0/0,""),preDEL!AV705)</f>
        <v/>
      </c>
      <c r="AW705" s="112" t="str">
        <f>IF(preDEL!$AG705,IFERROR(0/0,""),preDEL!AW705)</f>
        <v/>
      </c>
      <c r="AX705" s="112" t="str">
        <f>IF(preDEL!$AG705,IFERROR(0/0,""),preDEL!AX705)</f>
        <v/>
      </c>
      <c r="AY705" s="112" t="str">
        <f>IF(preDEL!$AG705,IFERROR(0/0,""),preDEL!AY705)</f>
        <v/>
      </c>
      <c r="AZ705" s="174"/>
      <c r="BA705" s="174"/>
      <c r="BB705" s="174"/>
      <c r="BC705" s="174"/>
      <c r="BD705" s="174"/>
      <c r="BE705" s="174"/>
      <c r="BF705" s="174"/>
      <c r="BG705" s="174"/>
      <c r="BH705" s="174"/>
      <c r="BI705" s="174"/>
      <c r="BJ705" s="174"/>
      <c r="BK705" s="174"/>
      <c r="BL705" s="174"/>
      <c r="BM705" s="174"/>
      <c r="BN705" s="174"/>
      <c r="BO705" s="174"/>
      <c r="BP705" s="174"/>
      <c r="BQ705" s="174"/>
      <c r="BR705" s="174"/>
      <c r="BS705" s="174"/>
      <c r="BT705" s="174"/>
      <c r="BU705" s="174"/>
      <c r="BV705" s="174"/>
      <c r="BW705" s="174"/>
      <c r="BX705" s="174"/>
      <c r="BY705" s="174"/>
      <c r="BZ705" s="174"/>
      <c r="CA705" s="174"/>
      <c r="CB705" s="174"/>
      <c r="CC705" s="174"/>
      <c r="CD705" s="174"/>
    </row>
    <row r="706">
      <c r="A706" s="105" t="str">
        <f>IF(preDEL!$AG706,IFERROR(0/0,""),preDEL!A706)</f>
        <v>FM477</v>
      </c>
      <c r="B706" s="170">
        <f>IF(preDEL!$AG706,IFERROR(0/0,""),preDEL!B706)</f>
        <v>44625</v>
      </c>
      <c r="C706" s="171">
        <f>IF(preDEL!$AG706,IFERROR(0/0,""),preDEL!C706)</f>
        <v>0.3158564815</v>
      </c>
      <c r="D706" s="105" t="str">
        <f>IF(preDEL!$AG706,IFERROR(0/0,""),preDEL!D706)</f>
        <v/>
      </c>
      <c r="E706" s="105" t="str">
        <f>IF(preDEL!$AG706,IFERROR(0/0,""),preDEL!E706)</f>
        <v/>
      </c>
      <c r="F706" s="112" t="str">
        <f>IF(preDEL!$AG706,IFERROR(0/0,""),preDEL!F706)</f>
        <v/>
      </c>
      <c r="G706" s="112" t="str">
        <f>IF(preDEL!$AG706,IFERROR(0/0,""),preDEL!G706)</f>
        <v/>
      </c>
      <c r="H706" s="112" t="str">
        <f>IF(preDEL!$AG706,IFERROR(0/0,""),preDEL!H706)</f>
        <v/>
      </c>
      <c r="I706" s="105" t="str">
        <f>IF(preDEL!$AG706,IFERROR(0/0,""),preDEL!I706)</f>
        <v/>
      </c>
      <c r="J706" s="105" t="str">
        <f>IF(preDEL!$AG706,IFERROR(0/0,""),preDEL!J706)</f>
        <v/>
      </c>
      <c r="K706" s="105" t="str">
        <f>IF(preDEL!$AG706,IFERROR(0/0,""),preDEL!K706)</f>
        <v>Negative</v>
      </c>
      <c r="L706" s="170">
        <f>IF(preDEL!$AG706,IFERROR(0/0,""),preDEL!L706)</f>
        <v>44625</v>
      </c>
      <c r="M706" s="171">
        <f>IF(preDEL!$AG706,IFERROR(0/0,""),preDEL!M706)</f>
        <v>0.4897453704</v>
      </c>
      <c r="N706" s="112" t="str">
        <f>IF(preDEL!$AG706,IFERROR(0/0,""),preDEL!N706)</f>
        <v/>
      </c>
      <c r="O706" s="112" t="str">
        <f>IF(preDEL!$AG706,IFERROR(0/0,""),preDEL!O706)</f>
        <v/>
      </c>
      <c r="P706" s="110" t="b">
        <f>IF(preDEL!$AG706,IFERROR(0/0,""),preDEL!P706)</f>
        <v>0</v>
      </c>
      <c r="Q706" s="110" t="str">
        <f>IF(preDEL!$AG706,IFERROR(0/0,""),preDEL!Q706)</f>
        <v>Result</v>
      </c>
      <c r="R706" s="104" t="b">
        <f>IF(preDEL!$AG706,IFERROR(0/0,""),preDEL!R706)</f>
        <v>1</v>
      </c>
      <c r="S706" s="104">
        <f>IF(preDEL!$AG706,IFERROR(0/0,""),preDEL!S706)</f>
        <v>1</v>
      </c>
      <c r="T706" s="110" t="str">
        <f>IF(preDEL!$AG706,IFERROR(0/0,""),preDEL!T706)</f>
        <v/>
      </c>
      <c r="U706" s="112" t="str">
        <f>IF(preDEL!$AG706,IFERROR(0/0,""),preDEL!U706)</f>
        <v/>
      </c>
      <c r="V706" s="105" t="str">
        <f>IF(preDEL!$AG706,IFERROR(0/0,""),preDEL!V706)</f>
        <v/>
      </c>
      <c r="W706" s="112" t="str">
        <f>IF(preDEL!$AG706,IFERROR(0/0,""),preDEL!W706)</f>
        <v/>
      </c>
      <c r="X706" s="104" t="b">
        <f>IF(preDEL!$AG706,IFERROR(0/0,""),preDEL!X706)</f>
        <v>0</v>
      </c>
      <c r="Y706" s="110" t="b">
        <f>IF(preDEL!$AG706,IFERROR(0/0,""),preDEL!Y706)</f>
        <v>0</v>
      </c>
      <c r="Z706" s="105" t="str">
        <f>IF(preDEL!$AG706,IFERROR(0/0,""),preDEL!Z706)</f>
        <v/>
      </c>
      <c r="AA706" s="110" t="b">
        <f>IF(preDEL!$AG706,IFERROR(0/0,""),preDEL!AA706)</f>
        <v>0</v>
      </c>
      <c r="AB706" s="110" t="b">
        <f>IF(preDEL!$AG706,IFERROR(0/0,""),preDEL!AB706)</f>
        <v>0</v>
      </c>
      <c r="AC706" s="172">
        <f>IF(preDEL!$AG706,IFERROR(0/0,""),preDEL!AC706)</f>
        <v>117</v>
      </c>
      <c r="AD706" s="104" t="b">
        <f>IF(preDEL!$AG706,IFERROR(0/0,""),preDEL!AD706)</f>
        <v>0</v>
      </c>
      <c r="AE706" s="173">
        <f>IF(preDEL!$AG706,IFERROR(0/0,""),preDEL!AE706)</f>
        <v>250.4</v>
      </c>
      <c r="AF706" s="110" t="b">
        <f>IF(preDEL!$AG706,IFERROR(0/0,""),preDEL!AF706)</f>
        <v>0</v>
      </c>
      <c r="AG706" s="110" t="b">
        <f>IF(preDEL!$AG706,IFERROR(0/0,""),preDEL!AG706)</f>
        <v>0</v>
      </c>
      <c r="AH706" s="104" t="str">
        <f>IF(preDEL!$AG706,IFERROR(0/0,""),preDEL!AH706)</f>
        <v/>
      </c>
      <c r="AI706" s="105" t="str">
        <f>IF(preDEL!$AG706,IFERROR(0/0,""),preDEL!AI706)</f>
        <v/>
      </c>
      <c r="AJ706" s="112" t="str">
        <f>IF(preDEL!$AG706,IFERROR(0/0,""),preDEL!AJ706)</f>
        <v/>
      </c>
      <c r="AK706" s="105" t="str">
        <f>IF(preDEL!$AG706,IFERROR(0/0,""),preDEL!AK706)</f>
        <v>Negative</v>
      </c>
      <c r="AL706" s="112" t="str">
        <f>IF(preDEL!$AG706,IFERROR(0/0,""),preDEL!AL706)</f>
        <v/>
      </c>
      <c r="AM706" s="112" t="str">
        <f>IF(preDEL!$AG706,IFERROR(0/0,""),preDEL!AM706)</f>
        <v>SpBEND436062</v>
      </c>
      <c r="AN706" s="112" t="str">
        <f>IF(preDEL!$AG706,IFERROR(0/0,""),preDEL!AN706)</f>
        <v>BEND190541</v>
      </c>
      <c r="AO706" s="112" t="str">
        <f>IF(preDEL!$AG706,IFERROR(0/0,""),preDEL!AO706)</f>
        <v/>
      </c>
      <c r="AP706" s="112" t="str">
        <f>IF(preDEL!$AG706,IFERROR(0/0,""),preDEL!AP706)</f>
        <v/>
      </c>
      <c r="AQ706" s="112" t="str">
        <f>IF(preDEL!$AG706,IFERROR(0/0,""),preDEL!AQ706)</f>
        <v/>
      </c>
      <c r="AR706" s="112" t="str">
        <f>IF(preDEL!$AG706,IFERROR(0/0,""),preDEL!AR706)</f>
        <v/>
      </c>
      <c r="AS706" s="112" t="str">
        <f>IF(preDEL!$AG706,IFERROR(0/0,""),preDEL!AS706)</f>
        <v/>
      </c>
      <c r="AT706" s="112" t="b">
        <f>IF(preDEL!$AG706,IFERROR(0/0,""),preDEL!AT706)</f>
        <v>0</v>
      </c>
      <c r="AU706" s="112" t="str">
        <f>IF(preDEL!$AG706,IFERROR(0/0,""),preDEL!AU706)</f>
        <v/>
      </c>
      <c r="AV706" s="112" t="str">
        <f>IF(preDEL!$AG706,IFERROR(0/0,""),preDEL!AV706)</f>
        <v/>
      </c>
      <c r="AW706" s="112" t="str">
        <f>IF(preDEL!$AG706,IFERROR(0/0,""),preDEL!AW706)</f>
        <v/>
      </c>
      <c r="AX706" s="112" t="str">
        <f>IF(preDEL!$AG706,IFERROR(0/0,""),preDEL!AX706)</f>
        <v/>
      </c>
      <c r="AY706" s="112" t="str">
        <f>IF(preDEL!$AG706,IFERROR(0/0,""),preDEL!AY706)</f>
        <v/>
      </c>
      <c r="AZ706" s="174"/>
      <c r="BA706" s="174"/>
      <c r="BB706" s="174"/>
      <c r="BC706" s="174"/>
      <c r="BD706" s="174"/>
      <c r="BE706" s="174"/>
      <c r="BF706" s="174"/>
      <c r="BG706" s="174"/>
      <c r="BH706" s="174"/>
      <c r="BI706" s="174"/>
      <c r="BJ706" s="174"/>
      <c r="BK706" s="174"/>
      <c r="BL706" s="174"/>
      <c r="BM706" s="174"/>
      <c r="BN706" s="174"/>
      <c r="BO706" s="174"/>
      <c r="BP706" s="174"/>
      <c r="BQ706" s="174"/>
      <c r="BR706" s="174"/>
      <c r="BS706" s="174"/>
      <c r="BT706" s="174"/>
      <c r="BU706" s="174"/>
      <c r="BV706" s="174"/>
      <c r="BW706" s="174"/>
      <c r="BX706" s="174"/>
      <c r="BY706" s="174"/>
      <c r="BZ706" s="174"/>
      <c r="CA706" s="174"/>
      <c r="CB706" s="174"/>
      <c r="CC706" s="174"/>
      <c r="CD706" s="174"/>
    </row>
    <row r="707">
      <c r="A707" s="105" t="str">
        <f>IF(preDEL!$AG707,IFERROR(0/0,""),preDEL!A707)</f>
        <v>MA1272</v>
      </c>
      <c r="B707" s="170">
        <f>IF(preDEL!$AG707,IFERROR(0/0,""),preDEL!B707)</f>
        <v>44625</v>
      </c>
      <c r="C707" s="171">
        <f>IF(preDEL!$AG707,IFERROR(0/0,""),preDEL!C707)</f>
        <v>0.3159259259</v>
      </c>
      <c r="D707" s="105" t="str">
        <f>IF(preDEL!$AG707,IFERROR(0/0,""),preDEL!D707)</f>
        <v/>
      </c>
      <c r="E707" s="105" t="str">
        <f>IF(preDEL!$AG707,IFERROR(0/0,""),preDEL!E707)</f>
        <v/>
      </c>
      <c r="F707" s="112" t="str">
        <f>IF(preDEL!$AG707,IFERROR(0/0,""),preDEL!F707)</f>
        <v/>
      </c>
      <c r="G707" s="112" t="str">
        <f>IF(preDEL!$AG707,IFERROR(0/0,""),preDEL!G707)</f>
        <v/>
      </c>
      <c r="H707" s="112" t="str">
        <f>IF(preDEL!$AG707,IFERROR(0/0,""),preDEL!H707)</f>
        <v/>
      </c>
      <c r="I707" s="105" t="str">
        <f>IF(preDEL!$AG707,IFERROR(0/0,""),preDEL!I707)</f>
        <v/>
      </c>
      <c r="J707" s="105" t="str">
        <f>IF(preDEL!$AG707,IFERROR(0/0,""),preDEL!J707)</f>
        <v/>
      </c>
      <c r="K707" s="105" t="str">
        <f>IF(preDEL!$AG707,IFERROR(0/0,""),preDEL!K707)</f>
        <v>Negative</v>
      </c>
      <c r="L707" s="170">
        <f>IF(preDEL!$AG707,IFERROR(0/0,""),preDEL!L707)</f>
        <v>44625</v>
      </c>
      <c r="M707" s="171">
        <f>IF(preDEL!$AG707,IFERROR(0/0,""),preDEL!M707)</f>
        <v>0.4897569444</v>
      </c>
      <c r="N707" s="112" t="str">
        <f>IF(preDEL!$AG707,IFERROR(0/0,""),preDEL!N707)</f>
        <v/>
      </c>
      <c r="O707" s="112" t="str">
        <f>IF(preDEL!$AG707,IFERROR(0/0,""),preDEL!O707)</f>
        <v/>
      </c>
      <c r="P707" s="110" t="b">
        <f>IF(preDEL!$AG707,IFERROR(0/0,""),preDEL!P707)</f>
        <v>0</v>
      </c>
      <c r="Q707" s="110" t="str">
        <f>IF(preDEL!$AG707,IFERROR(0/0,""),preDEL!Q707)</f>
        <v>Result</v>
      </c>
      <c r="R707" s="104" t="b">
        <f>IF(preDEL!$AG707,IFERROR(0/0,""),preDEL!R707)</f>
        <v>1</v>
      </c>
      <c r="S707" s="104">
        <f>IF(preDEL!$AG707,IFERROR(0/0,""),preDEL!S707)</f>
        <v>1</v>
      </c>
      <c r="T707" s="110" t="str">
        <f>IF(preDEL!$AG707,IFERROR(0/0,""),preDEL!T707)</f>
        <v/>
      </c>
      <c r="U707" s="112" t="str">
        <f>IF(preDEL!$AG707,IFERROR(0/0,""),preDEL!U707)</f>
        <v/>
      </c>
      <c r="V707" s="105" t="str">
        <f>IF(preDEL!$AG707,IFERROR(0/0,""),preDEL!V707)</f>
        <v/>
      </c>
      <c r="W707" s="112" t="str">
        <f>IF(preDEL!$AG707,IFERROR(0/0,""),preDEL!W707)</f>
        <v/>
      </c>
      <c r="X707" s="104" t="b">
        <f>IF(preDEL!$AG707,IFERROR(0/0,""),preDEL!X707)</f>
        <v>0</v>
      </c>
      <c r="Y707" s="110" t="b">
        <f>IF(preDEL!$AG707,IFERROR(0/0,""),preDEL!Y707)</f>
        <v>0</v>
      </c>
      <c r="Z707" s="105" t="str">
        <f>IF(preDEL!$AG707,IFERROR(0/0,""),preDEL!Z707)</f>
        <v/>
      </c>
      <c r="AA707" s="110" t="b">
        <f>IF(preDEL!$AG707,IFERROR(0/0,""),preDEL!AA707)</f>
        <v>0</v>
      </c>
      <c r="AB707" s="110" t="b">
        <f>IF(preDEL!$AG707,IFERROR(0/0,""),preDEL!AB707)</f>
        <v>0</v>
      </c>
      <c r="AC707" s="172">
        <f>IF(preDEL!$AG707,IFERROR(0/0,""),preDEL!AC707)</f>
        <v>116</v>
      </c>
      <c r="AD707" s="104" t="b">
        <f>IF(preDEL!$AG707,IFERROR(0/0,""),preDEL!AD707)</f>
        <v>0</v>
      </c>
      <c r="AE707" s="173">
        <f>IF(preDEL!$AG707,IFERROR(0/0,""),preDEL!AE707)</f>
        <v>250.3166667</v>
      </c>
      <c r="AF707" s="110" t="b">
        <f>IF(preDEL!$AG707,IFERROR(0/0,""),preDEL!AF707)</f>
        <v>0</v>
      </c>
      <c r="AG707" s="110" t="b">
        <f>IF(preDEL!$AG707,IFERROR(0/0,""),preDEL!AG707)</f>
        <v>0</v>
      </c>
      <c r="AH707" s="104" t="str">
        <f>IF(preDEL!$AG707,IFERROR(0/0,""),preDEL!AH707)</f>
        <v/>
      </c>
      <c r="AI707" s="105" t="str">
        <f>IF(preDEL!$AG707,IFERROR(0/0,""),preDEL!AI707)</f>
        <v/>
      </c>
      <c r="AJ707" s="112" t="str">
        <f>IF(preDEL!$AG707,IFERROR(0/0,""),preDEL!AJ707)</f>
        <v/>
      </c>
      <c r="AK707" s="105" t="str">
        <f>IF(preDEL!$AG707,IFERROR(0/0,""),preDEL!AK707)</f>
        <v>Negative</v>
      </c>
      <c r="AL707" s="112" t="str">
        <f>IF(preDEL!$AG707,IFERROR(0/0,""),preDEL!AL707)</f>
        <v/>
      </c>
      <c r="AM707" s="112" t="str">
        <f>IF(preDEL!$AG707,IFERROR(0/0,""),preDEL!AM707)</f>
        <v>SpBEND302553</v>
      </c>
      <c r="AN707" s="112" t="str">
        <f>IF(preDEL!$AG707,IFERROR(0/0,""),preDEL!AN707)</f>
        <v>BEND219101</v>
      </c>
      <c r="AO707" s="112" t="str">
        <f>IF(preDEL!$AG707,IFERROR(0/0,""),preDEL!AO707)</f>
        <v/>
      </c>
      <c r="AP707" s="112" t="str">
        <f>IF(preDEL!$AG707,IFERROR(0/0,""),preDEL!AP707)</f>
        <v/>
      </c>
      <c r="AQ707" s="112" t="str">
        <f>IF(preDEL!$AG707,IFERROR(0/0,""),preDEL!AQ707)</f>
        <v/>
      </c>
      <c r="AR707" s="112" t="str">
        <f>IF(preDEL!$AG707,IFERROR(0/0,""),preDEL!AR707)</f>
        <v/>
      </c>
      <c r="AS707" s="112" t="str">
        <f>IF(preDEL!$AG707,IFERROR(0/0,""),preDEL!AS707)</f>
        <v/>
      </c>
      <c r="AT707" s="112" t="b">
        <f>IF(preDEL!$AG707,IFERROR(0/0,""),preDEL!AT707)</f>
        <v>0</v>
      </c>
      <c r="AU707" s="112" t="str">
        <f>IF(preDEL!$AG707,IFERROR(0/0,""),preDEL!AU707)</f>
        <v/>
      </c>
      <c r="AV707" s="112" t="str">
        <f>IF(preDEL!$AG707,IFERROR(0/0,""),preDEL!AV707)</f>
        <v/>
      </c>
      <c r="AW707" s="112" t="str">
        <f>IF(preDEL!$AG707,IFERROR(0/0,""),preDEL!AW707)</f>
        <v/>
      </c>
      <c r="AX707" s="112" t="str">
        <f>IF(preDEL!$AG707,IFERROR(0/0,""),preDEL!AX707)</f>
        <v/>
      </c>
      <c r="AY707" s="112" t="str">
        <f>IF(preDEL!$AG707,IFERROR(0/0,""),preDEL!AY707)</f>
        <v/>
      </c>
      <c r="AZ707" s="174"/>
      <c r="BA707" s="174"/>
      <c r="BB707" s="174"/>
      <c r="BC707" s="174"/>
      <c r="BD707" s="174"/>
      <c r="BE707" s="174"/>
      <c r="BF707" s="174"/>
      <c r="BG707" s="174"/>
      <c r="BH707" s="174"/>
      <c r="BI707" s="174"/>
      <c r="BJ707" s="174"/>
      <c r="BK707" s="174"/>
      <c r="BL707" s="174"/>
      <c r="BM707" s="174"/>
      <c r="BN707" s="174"/>
      <c r="BO707" s="174"/>
      <c r="BP707" s="174"/>
      <c r="BQ707" s="174"/>
      <c r="BR707" s="174"/>
      <c r="BS707" s="174"/>
      <c r="BT707" s="174"/>
      <c r="BU707" s="174"/>
      <c r="BV707" s="174"/>
      <c r="BW707" s="174"/>
      <c r="BX707" s="174"/>
      <c r="BY707" s="174"/>
      <c r="BZ707" s="174"/>
      <c r="CA707" s="174"/>
      <c r="CB707" s="174"/>
      <c r="CC707" s="174"/>
      <c r="CD707" s="174"/>
    </row>
    <row r="708">
      <c r="A708" s="105" t="str">
        <f>IF(preDEL!$AG708,IFERROR(0/0,""),preDEL!A708)</f>
        <v>FM991</v>
      </c>
      <c r="B708" s="170">
        <f>IF(preDEL!$AG708,IFERROR(0/0,""),preDEL!B708)</f>
        <v>44625</v>
      </c>
      <c r="C708" s="171">
        <f>IF(preDEL!$AG708,IFERROR(0/0,""),preDEL!C708)</f>
        <v>0.3188888889</v>
      </c>
      <c r="D708" s="105" t="str">
        <f>IF(preDEL!$AG708,IFERROR(0/0,""),preDEL!D708)</f>
        <v/>
      </c>
      <c r="E708" s="105" t="str">
        <f>IF(preDEL!$AG708,IFERROR(0/0,""),preDEL!E708)</f>
        <v/>
      </c>
      <c r="F708" s="112" t="str">
        <f>IF(preDEL!$AG708,IFERROR(0/0,""),preDEL!F708)</f>
        <v/>
      </c>
      <c r="G708" s="112" t="str">
        <f>IF(preDEL!$AG708,IFERROR(0/0,""),preDEL!G708)</f>
        <v/>
      </c>
      <c r="H708" s="112" t="str">
        <f>IF(preDEL!$AG708,IFERROR(0/0,""),preDEL!H708)</f>
        <v/>
      </c>
      <c r="I708" s="105" t="str">
        <f>IF(preDEL!$AG708,IFERROR(0/0,""),preDEL!I708)</f>
        <v/>
      </c>
      <c r="J708" s="105" t="str">
        <f>IF(preDEL!$AG708,IFERROR(0/0,""),preDEL!J708)</f>
        <v/>
      </c>
      <c r="K708" s="105" t="str">
        <f>IF(preDEL!$AG708,IFERROR(0/0,""),preDEL!K708)</f>
        <v>Negative</v>
      </c>
      <c r="L708" s="170">
        <f>IF(preDEL!$AG708,IFERROR(0/0,""),preDEL!L708)</f>
        <v>44627</v>
      </c>
      <c r="M708" s="171">
        <f>IF(preDEL!$AG708,IFERROR(0/0,""),preDEL!M708)</f>
        <v>0.4778819444</v>
      </c>
      <c r="N708" s="112" t="str">
        <f>IF(preDEL!$AG708,IFERROR(0/0,""),preDEL!N708)</f>
        <v/>
      </c>
      <c r="O708" s="112" t="str">
        <f>IF(preDEL!$AG708,IFERROR(0/0,""),preDEL!O708)</f>
        <v/>
      </c>
      <c r="P708" s="110" t="b">
        <f>IF(preDEL!$AG708,IFERROR(0/0,""),preDEL!P708)</f>
        <v>0</v>
      </c>
      <c r="Q708" s="110" t="str">
        <f>IF(preDEL!$AG708,IFERROR(0/0,""),preDEL!Q708)</f>
        <v>Result</v>
      </c>
      <c r="R708" s="104" t="b">
        <f>IF(preDEL!$AG708,IFERROR(0/0,""),preDEL!R708)</f>
        <v>1</v>
      </c>
      <c r="S708" s="104">
        <f>IF(preDEL!$AG708,IFERROR(0/0,""),preDEL!S708)</f>
        <v>1</v>
      </c>
      <c r="T708" s="110" t="str">
        <f>IF(preDEL!$AG708,IFERROR(0/0,""),preDEL!T708)</f>
        <v/>
      </c>
      <c r="U708" s="112" t="str">
        <f>IF(preDEL!$AG708,IFERROR(0/0,""),preDEL!U708)</f>
        <v/>
      </c>
      <c r="V708" s="105" t="str">
        <f>IF(preDEL!$AG708,IFERROR(0/0,""),preDEL!V708)</f>
        <v/>
      </c>
      <c r="W708" s="112" t="str">
        <f>IF(preDEL!$AG708,IFERROR(0/0,""),preDEL!W708)</f>
        <v/>
      </c>
      <c r="X708" s="104" t="b">
        <f>IF(preDEL!$AG708,IFERROR(0/0,""),preDEL!X708)</f>
        <v>0</v>
      </c>
      <c r="Y708" s="110" t="b">
        <f>IF(preDEL!$AG708,IFERROR(0/0,""),preDEL!Y708)</f>
        <v>0</v>
      </c>
      <c r="Z708" s="105" t="str">
        <f>IF(preDEL!$AG708,IFERROR(0/0,""),preDEL!Z708)</f>
        <v/>
      </c>
      <c r="AA708" s="110" t="b">
        <f>IF(preDEL!$AG708,IFERROR(0/0,""),preDEL!AA708)</f>
        <v>0</v>
      </c>
      <c r="AB708" s="110" t="b">
        <f>IF(preDEL!$AG708,IFERROR(0/0,""),preDEL!AB708)</f>
        <v>0</v>
      </c>
      <c r="AC708" s="172">
        <f>IF(preDEL!$AG708,IFERROR(0/0,""),preDEL!AC708)</f>
        <v>115</v>
      </c>
      <c r="AD708" s="104" t="b">
        <f>IF(preDEL!$AG708,IFERROR(0/0,""),preDEL!AD708)</f>
        <v>0</v>
      </c>
      <c r="AE708" s="173" t="str">
        <f>IF(preDEL!$AG708,IFERROR(0/0,""),preDEL!AE708)</f>
        <v/>
      </c>
      <c r="AF708" s="110" t="b">
        <f>IF(preDEL!$AG708,IFERROR(0/0,""),preDEL!AF708)</f>
        <v>0</v>
      </c>
      <c r="AG708" s="110" t="b">
        <f>IF(preDEL!$AG708,IFERROR(0/0,""),preDEL!AG708)</f>
        <v>0</v>
      </c>
      <c r="AH708" s="104" t="str">
        <f>IF(preDEL!$AG708,IFERROR(0/0,""),preDEL!AH708)</f>
        <v/>
      </c>
      <c r="AI708" s="105" t="str">
        <f>IF(preDEL!$AG708,IFERROR(0/0,""),preDEL!AI708)</f>
        <v/>
      </c>
      <c r="AJ708" s="112" t="str">
        <f>IF(preDEL!$AG708,IFERROR(0/0,""),preDEL!AJ708)</f>
        <v/>
      </c>
      <c r="AK708" s="105" t="str">
        <f>IF(preDEL!$AG708,IFERROR(0/0,""),preDEL!AK708)</f>
        <v>Negative</v>
      </c>
      <c r="AL708" s="112" t="str">
        <f>IF(preDEL!$AG708,IFERROR(0/0,""),preDEL!AL708)</f>
        <v/>
      </c>
      <c r="AM708" s="112" t="str">
        <f>IF(preDEL!$AG708,IFERROR(0/0,""),preDEL!AM708)</f>
        <v>SpBEND435789</v>
      </c>
      <c r="AN708" s="112" t="str">
        <f>IF(preDEL!$AG708,IFERROR(0/0,""),preDEL!AN708)</f>
        <v>BEND741633</v>
      </c>
      <c r="AO708" s="112" t="str">
        <f>IF(preDEL!$AG708,IFERROR(0/0,""),preDEL!AO708)</f>
        <v/>
      </c>
      <c r="AP708" s="112" t="str">
        <f>IF(preDEL!$AG708,IFERROR(0/0,""),preDEL!AP708)</f>
        <v/>
      </c>
      <c r="AQ708" s="112" t="str">
        <f>IF(preDEL!$AG708,IFERROR(0/0,""),preDEL!AQ708)</f>
        <v/>
      </c>
      <c r="AR708" s="112" t="str">
        <f>IF(preDEL!$AG708,IFERROR(0/0,""),preDEL!AR708)</f>
        <v/>
      </c>
      <c r="AS708" s="112" t="str">
        <f>IF(preDEL!$AG708,IFERROR(0/0,""),preDEL!AS708)</f>
        <v/>
      </c>
      <c r="AT708" s="112" t="b">
        <f>IF(preDEL!$AG708,IFERROR(0/0,""),preDEL!AT708)</f>
        <v>0</v>
      </c>
      <c r="AU708" s="112" t="str">
        <f>IF(preDEL!$AG708,IFERROR(0/0,""),preDEL!AU708)</f>
        <v/>
      </c>
      <c r="AV708" s="112" t="str">
        <f>IF(preDEL!$AG708,IFERROR(0/0,""),preDEL!AV708)</f>
        <v/>
      </c>
      <c r="AW708" s="112" t="str">
        <f>IF(preDEL!$AG708,IFERROR(0/0,""),preDEL!AW708)</f>
        <v/>
      </c>
      <c r="AX708" s="112" t="str">
        <f>IF(preDEL!$AG708,IFERROR(0/0,""),preDEL!AX708)</f>
        <v/>
      </c>
      <c r="AY708" s="112" t="str">
        <f>IF(preDEL!$AG708,IFERROR(0/0,""),preDEL!AY708)</f>
        <v/>
      </c>
      <c r="AZ708" s="174"/>
      <c r="BA708" s="174"/>
      <c r="BB708" s="174"/>
      <c r="BC708" s="174"/>
      <c r="BD708" s="174"/>
      <c r="BE708" s="174"/>
      <c r="BF708" s="174"/>
      <c r="BG708" s="174"/>
      <c r="BH708" s="174"/>
      <c r="BI708" s="174"/>
      <c r="BJ708" s="174"/>
      <c r="BK708" s="174"/>
      <c r="BL708" s="174"/>
      <c r="BM708" s="174"/>
      <c r="BN708" s="174"/>
      <c r="BO708" s="174"/>
      <c r="BP708" s="174"/>
      <c r="BQ708" s="174"/>
      <c r="BR708" s="174"/>
      <c r="BS708" s="174"/>
      <c r="BT708" s="174"/>
      <c r="BU708" s="174"/>
      <c r="BV708" s="174"/>
      <c r="BW708" s="174"/>
      <c r="BX708" s="174"/>
      <c r="BY708" s="174"/>
      <c r="BZ708" s="174"/>
      <c r="CA708" s="174"/>
      <c r="CB708" s="174"/>
      <c r="CC708" s="174"/>
      <c r="CD708" s="174"/>
    </row>
    <row r="709">
      <c r="A709" s="105" t="str">
        <f>IF(preDEL!$AG709,IFERROR(0/0,""),preDEL!A709)</f>
        <v>FM446</v>
      </c>
      <c r="B709" s="170">
        <f>IF(preDEL!$AG709,IFERROR(0/0,""),preDEL!B709)</f>
        <v>44625</v>
      </c>
      <c r="C709" s="171">
        <f>IF(preDEL!$AG709,IFERROR(0/0,""),preDEL!C709)</f>
        <v>0.3190277778</v>
      </c>
      <c r="D709" s="105" t="str">
        <f>IF(preDEL!$AG709,IFERROR(0/0,""),preDEL!D709)</f>
        <v/>
      </c>
      <c r="E709" s="105" t="str">
        <f>IF(preDEL!$AG709,IFERROR(0/0,""),preDEL!E709)</f>
        <v/>
      </c>
      <c r="F709" s="112" t="str">
        <f>IF(preDEL!$AG709,IFERROR(0/0,""),preDEL!F709)</f>
        <v/>
      </c>
      <c r="G709" s="112" t="str">
        <f>IF(preDEL!$AG709,IFERROR(0/0,""),preDEL!G709)</f>
        <v/>
      </c>
      <c r="H709" s="112" t="str">
        <f>IF(preDEL!$AG709,IFERROR(0/0,""),preDEL!H709)</f>
        <v/>
      </c>
      <c r="I709" s="105" t="str">
        <f>IF(preDEL!$AG709,IFERROR(0/0,""),preDEL!I709)</f>
        <v/>
      </c>
      <c r="J709" s="105" t="str">
        <f>IF(preDEL!$AG709,IFERROR(0/0,""),preDEL!J709)</f>
        <v/>
      </c>
      <c r="K709" s="105" t="str">
        <f>IF(preDEL!$AG709,IFERROR(0/0,""),preDEL!K709)</f>
        <v>Negative</v>
      </c>
      <c r="L709" s="170">
        <f>IF(preDEL!$AG709,IFERROR(0/0,""),preDEL!L709)</f>
        <v>44625</v>
      </c>
      <c r="M709" s="171">
        <f>IF(preDEL!$AG709,IFERROR(0/0,""),preDEL!M709)</f>
        <v>0.4897569444</v>
      </c>
      <c r="N709" s="112" t="str">
        <f>IF(preDEL!$AG709,IFERROR(0/0,""),preDEL!N709)</f>
        <v/>
      </c>
      <c r="O709" s="112" t="str">
        <f>IF(preDEL!$AG709,IFERROR(0/0,""),preDEL!O709)</f>
        <v/>
      </c>
      <c r="P709" s="110" t="b">
        <f>IF(preDEL!$AG709,IFERROR(0/0,""),preDEL!P709)</f>
        <v>0</v>
      </c>
      <c r="Q709" s="110" t="str">
        <f>IF(preDEL!$AG709,IFERROR(0/0,""),preDEL!Q709)</f>
        <v>Result</v>
      </c>
      <c r="R709" s="104" t="b">
        <f>IF(preDEL!$AG709,IFERROR(0/0,""),preDEL!R709)</f>
        <v>1</v>
      </c>
      <c r="S709" s="104">
        <f>IF(preDEL!$AG709,IFERROR(0/0,""),preDEL!S709)</f>
        <v>1</v>
      </c>
      <c r="T709" s="110" t="str">
        <f>IF(preDEL!$AG709,IFERROR(0/0,""),preDEL!T709)</f>
        <v/>
      </c>
      <c r="U709" s="112" t="str">
        <f>IF(preDEL!$AG709,IFERROR(0/0,""),preDEL!U709)</f>
        <v/>
      </c>
      <c r="V709" s="105" t="str">
        <f>IF(preDEL!$AG709,IFERROR(0/0,""),preDEL!V709)</f>
        <v/>
      </c>
      <c r="W709" s="112" t="str">
        <f>IF(preDEL!$AG709,IFERROR(0/0,""),preDEL!W709)</f>
        <v/>
      </c>
      <c r="X709" s="104" t="b">
        <f>IF(preDEL!$AG709,IFERROR(0/0,""),preDEL!X709)</f>
        <v>0</v>
      </c>
      <c r="Y709" s="110" t="b">
        <f>IF(preDEL!$AG709,IFERROR(0/0,""),preDEL!Y709)</f>
        <v>0</v>
      </c>
      <c r="Z709" s="105" t="str">
        <f>IF(preDEL!$AG709,IFERROR(0/0,""),preDEL!Z709)</f>
        <v/>
      </c>
      <c r="AA709" s="110" t="b">
        <f>IF(preDEL!$AG709,IFERROR(0/0,""),preDEL!AA709)</f>
        <v>0</v>
      </c>
      <c r="AB709" s="110" t="b">
        <f>IF(preDEL!$AG709,IFERROR(0/0,""),preDEL!AB709)</f>
        <v>0</v>
      </c>
      <c r="AC709" s="172">
        <f>IF(preDEL!$AG709,IFERROR(0/0,""),preDEL!AC709)</f>
        <v>114</v>
      </c>
      <c r="AD709" s="104" t="b">
        <f>IF(preDEL!$AG709,IFERROR(0/0,""),preDEL!AD709)</f>
        <v>0</v>
      </c>
      <c r="AE709" s="173">
        <f>IF(preDEL!$AG709,IFERROR(0/0,""),preDEL!AE709)</f>
        <v>245.85</v>
      </c>
      <c r="AF709" s="110" t="b">
        <f>IF(preDEL!$AG709,IFERROR(0/0,""),preDEL!AF709)</f>
        <v>0</v>
      </c>
      <c r="AG709" s="110" t="b">
        <f>IF(preDEL!$AG709,IFERROR(0/0,""),preDEL!AG709)</f>
        <v>0</v>
      </c>
      <c r="AH709" s="104" t="str">
        <f>IF(preDEL!$AG709,IFERROR(0/0,""),preDEL!AH709)</f>
        <v/>
      </c>
      <c r="AI709" s="105" t="str">
        <f>IF(preDEL!$AG709,IFERROR(0/0,""),preDEL!AI709)</f>
        <v/>
      </c>
      <c r="AJ709" s="112" t="str">
        <f>IF(preDEL!$AG709,IFERROR(0/0,""),preDEL!AJ709)</f>
        <v/>
      </c>
      <c r="AK709" s="105" t="str">
        <f>IF(preDEL!$AG709,IFERROR(0/0,""),preDEL!AK709)</f>
        <v>Negative</v>
      </c>
      <c r="AL709" s="112" t="str">
        <f>IF(preDEL!$AG709,IFERROR(0/0,""),preDEL!AL709)</f>
        <v/>
      </c>
      <c r="AM709" s="112" t="str">
        <f>IF(preDEL!$AG709,IFERROR(0/0,""),preDEL!AM709)</f>
        <v>SpBEND551372</v>
      </c>
      <c r="AN709" s="112" t="str">
        <f>IF(preDEL!$AG709,IFERROR(0/0,""),preDEL!AN709)</f>
        <v>BEND475899</v>
      </c>
      <c r="AO709" s="112" t="str">
        <f>IF(preDEL!$AG709,IFERROR(0/0,""),preDEL!AO709)</f>
        <v/>
      </c>
      <c r="AP709" s="112" t="str">
        <f>IF(preDEL!$AG709,IFERROR(0/0,""),preDEL!AP709)</f>
        <v/>
      </c>
      <c r="AQ709" s="112" t="str">
        <f>IF(preDEL!$AG709,IFERROR(0/0,""),preDEL!AQ709)</f>
        <v/>
      </c>
      <c r="AR709" s="112" t="str">
        <f>IF(preDEL!$AG709,IFERROR(0/0,""),preDEL!AR709)</f>
        <v/>
      </c>
      <c r="AS709" s="112" t="str">
        <f>IF(preDEL!$AG709,IFERROR(0/0,""),preDEL!AS709)</f>
        <v/>
      </c>
      <c r="AT709" s="112" t="b">
        <f>IF(preDEL!$AG709,IFERROR(0/0,""),preDEL!AT709)</f>
        <v>0</v>
      </c>
      <c r="AU709" s="112" t="str">
        <f>IF(preDEL!$AG709,IFERROR(0/0,""),preDEL!AU709)</f>
        <v/>
      </c>
      <c r="AV709" s="112" t="str">
        <f>IF(preDEL!$AG709,IFERROR(0/0,""),preDEL!AV709)</f>
        <v/>
      </c>
      <c r="AW709" s="112" t="str">
        <f>IF(preDEL!$AG709,IFERROR(0/0,""),preDEL!AW709)</f>
        <v/>
      </c>
      <c r="AX709" s="112" t="str">
        <f>IF(preDEL!$AG709,IFERROR(0/0,""),preDEL!AX709)</f>
        <v/>
      </c>
      <c r="AY709" s="112" t="str">
        <f>IF(preDEL!$AG709,IFERROR(0/0,""),preDEL!AY709)</f>
        <v/>
      </c>
      <c r="AZ709" s="174"/>
      <c r="BA709" s="174"/>
      <c r="BB709" s="174"/>
      <c r="BC709" s="174"/>
      <c r="BD709" s="174"/>
      <c r="BE709" s="174"/>
      <c r="BF709" s="174"/>
      <c r="BG709" s="174"/>
      <c r="BH709" s="174"/>
      <c r="BI709" s="174"/>
      <c r="BJ709" s="174"/>
      <c r="BK709" s="174"/>
      <c r="BL709" s="174"/>
      <c r="BM709" s="174"/>
      <c r="BN709" s="174"/>
      <c r="BO709" s="174"/>
      <c r="BP709" s="174"/>
      <c r="BQ709" s="174"/>
      <c r="BR709" s="174"/>
      <c r="BS709" s="174"/>
      <c r="BT709" s="174"/>
      <c r="BU709" s="174"/>
      <c r="BV709" s="174"/>
      <c r="BW709" s="174"/>
      <c r="BX709" s="174"/>
      <c r="BY709" s="174"/>
      <c r="BZ709" s="174"/>
      <c r="CA709" s="174"/>
      <c r="CB709" s="174"/>
      <c r="CC709" s="174"/>
      <c r="CD709" s="174"/>
    </row>
    <row r="710">
      <c r="A710" s="105" t="str">
        <f>IF(preDEL!$AG710,IFERROR(0/0,""),preDEL!A710)</f>
        <v>FM2045</v>
      </c>
      <c r="B710" s="170">
        <f>IF(preDEL!$AG710,IFERROR(0/0,""),preDEL!B710)</f>
        <v>44625</v>
      </c>
      <c r="C710" s="171">
        <f>IF(preDEL!$AG710,IFERROR(0/0,""),preDEL!C710)</f>
        <v>0.3232175926</v>
      </c>
      <c r="D710" s="105" t="str">
        <f>IF(preDEL!$AG710,IFERROR(0/0,""),preDEL!D710)</f>
        <v/>
      </c>
      <c r="E710" s="105" t="str">
        <f>IF(preDEL!$AG710,IFERROR(0/0,""),preDEL!E710)</f>
        <v/>
      </c>
      <c r="F710" s="112" t="str">
        <f>IF(preDEL!$AG710,IFERROR(0/0,""),preDEL!F710)</f>
        <v/>
      </c>
      <c r="G710" s="112" t="str">
        <f>IF(preDEL!$AG710,IFERROR(0/0,""),preDEL!G710)</f>
        <v/>
      </c>
      <c r="H710" s="112" t="str">
        <f>IF(preDEL!$AG710,IFERROR(0/0,""),preDEL!H710)</f>
        <v/>
      </c>
      <c r="I710" s="105" t="str">
        <f>IF(preDEL!$AG710,IFERROR(0/0,""),preDEL!I710)</f>
        <v/>
      </c>
      <c r="J710" s="105" t="str">
        <f>IF(preDEL!$AG710,IFERROR(0/0,""),preDEL!J710)</f>
        <v/>
      </c>
      <c r="K710" s="105" t="str">
        <f>IF(preDEL!$AG710,IFERROR(0/0,""),preDEL!K710)</f>
        <v>Negative</v>
      </c>
      <c r="L710" s="170">
        <f>IF(preDEL!$AG710,IFERROR(0/0,""),preDEL!L710)</f>
        <v>44625</v>
      </c>
      <c r="M710" s="171">
        <f>IF(preDEL!$AG710,IFERROR(0/0,""),preDEL!M710)</f>
        <v>0.4899768519</v>
      </c>
      <c r="N710" s="112" t="str">
        <f>IF(preDEL!$AG710,IFERROR(0/0,""),preDEL!N710)</f>
        <v/>
      </c>
      <c r="O710" s="112" t="str">
        <f>IF(preDEL!$AG710,IFERROR(0/0,""),preDEL!O710)</f>
        <v/>
      </c>
      <c r="P710" s="110" t="b">
        <f>IF(preDEL!$AG710,IFERROR(0/0,""),preDEL!P710)</f>
        <v>0</v>
      </c>
      <c r="Q710" s="110" t="str">
        <f>IF(preDEL!$AG710,IFERROR(0/0,""),preDEL!Q710)</f>
        <v>Result</v>
      </c>
      <c r="R710" s="104" t="b">
        <f>IF(preDEL!$AG710,IFERROR(0/0,""),preDEL!R710)</f>
        <v>1</v>
      </c>
      <c r="S710" s="104">
        <f>IF(preDEL!$AG710,IFERROR(0/0,""),preDEL!S710)</f>
        <v>1</v>
      </c>
      <c r="T710" s="110" t="str">
        <f>IF(preDEL!$AG710,IFERROR(0/0,""),preDEL!T710)</f>
        <v/>
      </c>
      <c r="U710" s="112" t="str">
        <f>IF(preDEL!$AG710,IFERROR(0/0,""),preDEL!U710)</f>
        <v/>
      </c>
      <c r="V710" s="105" t="str">
        <f>IF(preDEL!$AG710,IFERROR(0/0,""),preDEL!V710)</f>
        <v/>
      </c>
      <c r="W710" s="112" t="str">
        <f>IF(preDEL!$AG710,IFERROR(0/0,""),preDEL!W710)</f>
        <v/>
      </c>
      <c r="X710" s="104" t="b">
        <f>IF(preDEL!$AG710,IFERROR(0/0,""),preDEL!X710)</f>
        <v>0</v>
      </c>
      <c r="Y710" s="110" t="b">
        <f>IF(preDEL!$AG710,IFERROR(0/0,""),preDEL!Y710)</f>
        <v>0</v>
      </c>
      <c r="Z710" s="105" t="str">
        <f>IF(preDEL!$AG710,IFERROR(0/0,""),preDEL!Z710)</f>
        <v/>
      </c>
      <c r="AA710" s="110" t="b">
        <f>IF(preDEL!$AG710,IFERROR(0/0,""),preDEL!AA710)</f>
        <v>0</v>
      </c>
      <c r="AB710" s="110" t="b">
        <f>IF(preDEL!$AG710,IFERROR(0/0,""),preDEL!AB710)</f>
        <v>0</v>
      </c>
      <c r="AC710" s="172">
        <f>IF(preDEL!$AG710,IFERROR(0/0,""),preDEL!AC710)</f>
        <v>113</v>
      </c>
      <c r="AD710" s="104" t="b">
        <f>IF(preDEL!$AG710,IFERROR(0/0,""),preDEL!AD710)</f>
        <v>0</v>
      </c>
      <c r="AE710" s="173">
        <f>IF(preDEL!$AG710,IFERROR(0/0,""),preDEL!AE710)</f>
        <v>240.1333333</v>
      </c>
      <c r="AF710" s="110" t="b">
        <f>IF(preDEL!$AG710,IFERROR(0/0,""),preDEL!AF710)</f>
        <v>0</v>
      </c>
      <c r="AG710" s="110" t="b">
        <f>IF(preDEL!$AG710,IFERROR(0/0,""),preDEL!AG710)</f>
        <v>0</v>
      </c>
      <c r="AH710" s="104" t="str">
        <f>IF(preDEL!$AG710,IFERROR(0/0,""),preDEL!AH710)</f>
        <v/>
      </c>
      <c r="AI710" s="105" t="str">
        <f>IF(preDEL!$AG710,IFERROR(0/0,""),preDEL!AI710)</f>
        <v/>
      </c>
      <c r="AJ710" s="112" t="str">
        <f>IF(preDEL!$AG710,IFERROR(0/0,""),preDEL!AJ710)</f>
        <v/>
      </c>
      <c r="AK710" s="105" t="str">
        <f>IF(preDEL!$AG710,IFERROR(0/0,""),preDEL!AK710)</f>
        <v>Negative</v>
      </c>
      <c r="AL710" s="112" t="str">
        <f>IF(preDEL!$AG710,IFERROR(0/0,""),preDEL!AL710)</f>
        <v/>
      </c>
      <c r="AM710" s="112" t="str">
        <f>IF(preDEL!$AG710,IFERROR(0/0,""),preDEL!AM710)</f>
        <v>SpBEND904348</v>
      </c>
      <c r="AN710" s="112" t="str">
        <f>IF(preDEL!$AG710,IFERROR(0/0,""),preDEL!AN710)</f>
        <v>BEND640444</v>
      </c>
      <c r="AO710" s="112" t="str">
        <f>IF(preDEL!$AG710,IFERROR(0/0,""),preDEL!AO710)</f>
        <v/>
      </c>
      <c r="AP710" s="112" t="str">
        <f>IF(preDEL!$AG710,IFERROR(0/0,""),preDEL!AP710)</f>
        <v/>
      </c>
      <c r="AQ710" s="112" t="str">
        <f>IF(preDEL!$AG710,IFERROR(0/0,""),preDEL!AQ710)</f>
        <v/>
      </c>
      <c r="AR710" s="112" t="str">
        <f>IF(preDEL!$AG710,IFERROR(0/0,""),preDEL!AR710)</f>
        <v/>
      </c>
      <c r="AS710" s="112" t="str">
        <f>IF(preDEL!$AG710,IFERROR(0/0,""),preDEL!AS710)</f>
        <v/>
      </c>
      <c r="AT710" s="112" t="b">
        <f>IF(preDEL!$AG710,IFERROR(0/0,""),preDEL!AT710)</f>
        <v>0</v>
      </c>
      <c r="AU710" s="112" t="str">
        <f>IF(preDEL!$AG710,IFERROR(0/0,""),preDEL!AU710)</f>
        <v/>
      </c>
      <c r="AV710" s="112" t="str">
        <f>IF(preDEL!$AG710,IFERROR(0/0,""),preDEL!AV710)</f>
        <v/>
      </c>
      <c r="AW710" s="112" t="str">
        <f>IF(preDEL!$AG710,IFERROR(0/0,""),preDEL!AW710)</f>
        <v/>
      </c>
      <c r="AX710" s="112" t="str">
        <f>IF(preDEL!$AG710,IFERROR(0/0,""),preDEL!AX710)</f>
        <v/>
      </c>
      <c r="AY710" s="112" t="str">
        <f>IF(preDEL!$AG710,IFERROR(0/0,""),preDEL!AY710)</f>
        <v/>
      </c>
      <c r="AZ710" s="174"/>
      <c r="BA710" s="174"/>
      <c r="BB710" s="174"/>
      <c r="BC710" s="174"/>
      <c r="BD710" s="174"/>
      <c r="BE710" s="174"/>
      <c r="BF710" s="174"/>
      <c r="BG710" s="174"/>
      <c r="BH710" s="174"/>
      <c r="BI710" s="174"/>
      <c r="BJ710" s="174"/>
      <c r="BK710" s="174"/>
      <c r="BL710" s="174"/>
      <c r="BM710" s="174"/>
      <c r="BN710" s="174"/>
      <c r="BO710" s="174"/>
      <c r="BP710" s="174"/>
      <c r="BQ710" s="174"/>
      <c r="BR710" s="174"/>
      <c r="BS710" s="174"/>
      <c r="BT710" s="174"/>
      <c r="BU710" s="174"/>
      <c r="BV710" s="174"/>
      <c r="BW710" s="174"/>
      <c r="BX710" s="174"/>
      <c r="BY710" s="174"/>
      <c r="BZ710" s="174"/>
      <c r="CA710" s="174"/>
      <c r="CB710" s="174"/>
      <c r="CC710" s="174"/>
      <c r="CD710" s="174"/>
    </row>
    <row r="711">
      <c r="A711" s="105" t="str">
        <f>IF(preDEL!$AG711,IFERROR(0/0,""),preDEL!A711)</f>
        <v>MA403</v>
      </c>
      <c r="B711" s="170">
        <f>IF(preDEL!$AG711,IFERROR(0/0,""),preDEL!B711)</f>
        <v>44625</v>
      </c>
      <c r="C711" s="171">
        <f>IF(preDEL!$AG711,IFERROR(0/0,""),preDEL!C711)</f>
        <v>0.3318865741</v>
      </c>
      <c r="D711" s="105" t="str">
        <f>IF(preDEL!$AG711,IFERROR(0/0,""),preDEL!D711)</f>
        <v/>
      </c>
      <c r="E711" s="105" t="str">
        <f>IF(preDEL!$AG711,IFERROR(0/0,""),preDEL!E711)</f>
        <v/>
      </c>
      <c r="F711" s="112" t="str">
        <f>IF(preDEL!$AG711,IFERROR(0/0,""),preDEL!F711)</f>
        <v/>
      </c>
      <c r="G711" s="112" t="str">
        <f>IF(preDEL!$AG711,IFERROR(0/0,""),preDEL!G711)</f>
        <v/>
      </c>
      <c r="H711" s="112" t="str">
        <f>IF(preDEL!$AG711,IFERROR(0/0,""),preDEL!H711)</f>
        <v/>
      </c>
      <c r="I711" s="105" t="str">
        <f>IF(preDEL!$AG711,IFERROR(0/0,""),preDEL!I711)</f>
        <v/>
      </c>
      <c r="J711" s="105" t="str">
        <f>IF(preDEL!$AG711,IFERROR(0/0,""),preDEL!J711)</f>
        <v/>
      </c>
      <c r="K711" s="105" t="str">
        <f>IF(preDEL!$AG711,IFERROR(0/0,""),preDEL!K711)</f>
        <v>Negative</v>
      </c>
      <c r="L711" s="170">
        <f>IF(preDEL!$AG711,IFERROR(0/0,""),preDEL!L711)</f>
        <v>44625</v>
      </c>
      <c r="M711" s="171">
        <f>IF(preDEL!$AG711,IFERROR(0/0,""),preDEL!M711)</f>
        <v>0.4897569444</v>
      </c>
      <c r="N711" s="112" t="str">
        <f>IF(preDEL!$AG711,IFERROR(0/0,""),preDEL!N711)</f>
        <v/>
      </c>
      <c r="O711" s="112" t="str">
        <f>IF(preDEL!$AG711,IFERROR(0/0,""),preDEL!O711)</f>
        <v/>
      </c>
      <c r="P711" s="110" t="b">
        <f>IF(preDEL!$AG711,IFERROR(0/0,""),preDEL!P711)</f>
        <v>0</v>
      </c>
      <c r="Q711" s="110" t="str">
        <f>IF(preDEL!$AG711,IFERROR(0/0,""),preDEL!Q711)</f>
        <v>Result</v>
      </c>
      <c r="R711" s="104" t="b">
        <f>IF(preDEL!$AG711,IFERROR(0/0,""),preDEL!R711)</f>
        <v>1</v>
      </c>
      <c r="S711" s="104">
        <f>IF(preDEL!$AG711,IFERROR(0/0,""),preDEL!S711)</f>
        <v>1</v>
      </c>
      <c r="T711" s="110" t="str">
        <f>IF(preDEL!$AG711,IFERROR(0/0,""),preDEL!T711)</f>
        <v/>
      </c>
      <c r="U711" s="112" t="str">
        <f>IF(preDEL!$AG711,IFERROR(0/0,""),preDEL!U711)</f>
        <v/>
      </c>
      <c r="V711" s="105" t="str">
        <f>IF(preDEL!$AG711,IFERROR(0/0,""),preDEL!V711)</f>
        <v/>
      </c>
      <c r="W711" s="112" t="str">
        <f>IF(preDEL!$AG711,IFERROR(0/0,""),preDEL!W711)</f>
        <v/>
      </c>
      <c r="X711" s="104" t="b">
        <f>IF(preDEL!$AG711,IFERROR(0/0,""),preDEL!X711)</f>
        <v>0</v>
      </c>
      <c r="Y711" s="110" t="b">
        <f>IF(preDEL!$AG711,IFERROR(0/0,""),preDEL!Y711)</f>
        <v>0</v>
      </c>
      <c r="Z711" s="105" t="str">
        <f>IF(preDEL!$AG711,IFERROR(0/0,""),preDEL!Z711)</f>
        <v/>
      </c>
      <c r="AA711" s="110" t="b">
        <f>IF(preDEL!$AG711,IFERROR(0/0,""),preDEL!AA711)</f>
        <v>0</v>
      </c>
      <c r="AB711" s="110" t="b">
        <f>IF(preDEL!$AG711,IFERROR(0/0,""),preDEL!AB711)</f>
        <v>0</v>
      </c>
      <c r="AC711" s="172">
        <f>IF(preDEL!$AG711,IFERROR(0/0,""),preDEL!AC711)</f>
        <v>112</v>
      </c>
      <c r="AD711" s="104" t="b">
        <f>IF(preDEL!$AG711,IFERROR(0/0,""),preDEL!AD711)</f>
        <v>0</v>
      </c>
      <c r="AE711" s="173">
        <f>IF(preDEL!$AG711,IFERROR(0/0,""),preDEL!AE711)</f>
        <v>227.3333333</v>
      </c>
      <c r="AF711" s="110" t="b">
        <f>IF(preDEL!$AG711,IFERROR(0/0,""),preDEL!AF711)</f>
        <v>0</v>
      </c>
      <c r="AG711" s="110" t="b">
        <f>IF(preDEL!$AG711,IFERROR(0/0,""),preDEL!AG711)</f>
        <v>0</v>
      </c>
      <c r="AH711" s="104" t="str">
        <f>IF(preDEL!$AG711,IFERROR(0/0,""),preDEL!AH711)</f>
        <v/>
      </c>
      <c r="AI711" s="105" t="str">
        <f>IF(preDEL!$AG711,IFERROR(0/0,""),preDEL!AI711)</f>
        <v/>
      </c>
      <c r="AJ711" s="112" t="str">
        <f>IF(preDEL!$AG711,IFERROR(0/0,""),preDEL!AJ711)</f>
        <v/>
      </c>
      <c r="AK711" s="105" t="str">
        <f>IF(preDEL!$AG711,IFERROR(0/0,""),preDEL!AK711)</f>
        <v>Negative</v>
      </c>
      <c r="AL711" s="112" t="str">
        <f>IF(preDEL!$AG711,IFERROR(0/0,""),preDEL!AL711)</f>
        <v/>
      </c>
      <c r="AM711" s="112" t="str">
        <f>IF(preDEL!$AG711,IFERROR(0/0,""),preDEL!AM711)</f>
        <v>SpBEND708976</v>
      </c>
      <c r="AN711" s="112" t="str">
        <f>IF(preDEL!$AG711,IFERROR(0/0,""),preDEL!AN711)</f>
        <v>BEND525784</v>
      </c>
      <c r="AO711" s="112" t="str">
        <f>IF(preDEL!$AG711,IFERROR(0/0,""),preDEL!AO711)</f>
        <v/>
      </c>
      <c r="AP711" s="112" t="str">
        <f>IF(preDEL!$AG711,IFERROR(0/0,""),preDEL!AP711)</f>
        <v/>
      </c>
      <c r="AQ711" s="112" t="str">
        <f>IF(preDEL!$AG711,IFERROR(0/0,""),preDEL!AQ711)</f>
        <v/>
      </c>
      <c r="AR711" s="112" t="str">
        <f>IF(preDEL!$AG711,IFERROR(0/0,""),preDEL!AR711)</f>
        <v/>
      </c>
      <c r="AS711" s="112" t="str">
        <f>IF(preDEL!$AG711,IFERROR(0/0,""),preDEL!AS711)</f>
        <v/>
      </c>
      <c r="AT711" s="112" t="b">
        <f>IF(preDEL!$AG711,IFERROR(0/0,""),preDEL!AT711)</f>
        <v>0</v>
      </c>
      <c r="AU711" s="112" t="str">
        <f>IF(preDEL!$AG711,IFERROR(0/0,""),preDEL!AU711)</f>
        <v/>
      </c>
      <c r="AV711" s="112" t="str">
        <f>IF(preDEL!$AG711,IFERROR(0/0,""),preDEL!AV711)</f>
        <v/>
      </c>
      <c r="AW711" s="112" t="str">
        <f>IF(preDEL!$AG711,IFERROR(0/0,""),preDEL!AW711)</f>
        <v/>
      </c>
      <c r="AX711" s="112" t="str">
        <f>IF(preDEL!$AG711,IFERROR(0/0,""),preDEL!AX711)</f>
        <v/>
      </c>
      <c r="AY711" s="112" t="str">
        <f>IF(preDEL!$AG711,IFERROR(0/0,""),preDEL!AY711)</f>
        <v/>
      </c>
      <c r="AZ711" s="174"/>
      <c r="BA711" s="174"/>
      <c r="BB711" s="174"/>
      <c r="BC711" s="174"/>
      <c r="BD711" s="174"/>
      <c r="BE711" s="174"/>
      <c r="BF711" s="174"/>
      <c r="BG711" s="174"/>
      <c r="BH711" s="174"/>
      <c r="BI711" s="174"/>
      <c r="BJ711" s="174"/>
      <c r="BK711" s="174"/>
      <c r="BL711" s="174"/>
      <c r="BM711" s="174"/>
      <c r="BN711" s="174"/>
      <c r="BO711" s="174"/>
      <c r="BP711" s="174"/>
      <c r="BQ711" s="174"/>
      <c r="BR711" s="174"/>
      <c r="BS711" s="174"/>
      <c r="BT711" s="174"/>
      <c r="BU711" s="174"/>
      <c r="BV711" s="174"/>
      <c r="BW711" s="174"/>
      <c r="BX711" s="174"/>
      <c r="BY711" s="174"/>
      <c r="BZ711" s="174"/>
      <c r="CA711" s="174"/>
      <c r="CB711" s="174"/>
      <c r="CC711" s="174"/>
      <c r="CD711" s="174"/>
    </row>
    <row r="712">
      <c r="A712" s="105" t="str">
        <f>IF(preDEL!$AG712,IFERROR(0/0,""),preDEL!A712)</f>
        <v>FM470</v>
      </c>
      <c r="B712" s="170">
        <f>IF(preDEL!$AG712,IFERROR(0/0,""),preDEL!B712)</f>
        <v>44625</v>
      </c>
      <c r="C712" s="171">
        <f>IF(preDEL!$AG712,IFERROR(0/0,""),preDEL!C712)</f>
        <v>0.3324884259</v>
      </c>
      <c r="D712" s="105" t="str">
        <f>IF(preDEL!$AG712,IFERROR(0/0,""),preDEL!D712)</f>
        <v/>
      </c>
      <c r="E712" s="105" t="str">
        <f>IF(preDEL!$AG712,IFERROR(0/0,""),preDEL!E712)</f>
        <v/>
      </c>
      <c r="F712" s="112" t="str">
        <f>IF(preDEL!$AG712,IFERROR(0/0,""),preDEL!F712)</f>
        <v/>
      </c>
      <c r="G712" s="112" t="str">
        <f>IF(preDEL!$AG712,IFERROR(0/0,""),preDEL!G712)</f>
        <v/>
      </c>
      <c r="H712" s="112" t="str">
        <f>IF(preDEL!$AG712,IFERROR(0/0,""),preDEL!H712)</f>
        <v/>
      </c>
      <c r="I712" s="105" t="str">
        <f>IF(preDEL!$AG712,IFERROR(0/0,""),preDEL!I712)</f>
        <v/>
      </c>
      <c r="J712" s="105" t="str">
        <f>IF(preDEL!$AG712,IFERROR(0/0,""),preDEL!J712)</f>
        <v/>
      </c>
      <c r="K712" s="105" t="str">
        <f>IF(preDEL!$AG712,IFERROR(0/0,""),preDEL!K712)</f>
        <v>Negative</v>
      </c>
      <c r="L712" s="170">
        <f>IF(preDEL!$AG712,IFERROR(0/0,""),preDEL!L712)</f>
        <v>44625</v>
      </c>
      <c r="M712" s="171">
        <f>IF(preDEL!$AG712,IFERROR(0/0,""),preDEL!M712)</f>
        <v>0.4897569444</v>
      </c>
      <c r="N712" s="112" t="str">
        <f>IF(preDEL!$AG712,IFERROR(0/0,""),preDEL!N712)</f>
        <v/>
      </c>
      <c r="O712" s="112" t="str">
        <f>IF(preDEL!$AG712,IFERROR(0/0,""),preDEL!O712)</f>
        <v/>
      </c>
      <c r="P712" s="110" t="b">
        <f>IF(preDEL!$AG712,IFERROR(0/0,""),preDEL!P712)</f>
        <v>0</v>
      </c>
      <c r="Q712" s="110" t="str">
        <f>IF(preDEL!$AG712,IFERROR(0/0,""),preDEL!Q712)</f>
        <v>Result</v>
      </c>
      <c r="R712" s="104" t="b">
        <f>IF(preDEL!$AG712,IFERROR(0/0,""),preDEL!R712)</f>
        <v>1</v>
      </c>
      <c r="S712" s="104">
        <f>IF(preDEL!$AG712,IFERROR(0/0,""),preDEL!S712)</f>
        <v>1</v>
      </c>
      <c r="T712" s="110" t="str">
        <f>IF(preDEL!$AG712,IFERROR(0/0,""),preDEL!T712)</f>
        <v/>
      </c>
      <c r="U712" s="112" t="str">
        <f>IF(preDEL!$AG712,IFERROR(0/0,""),preDEL!U712)</f>
        <v/>
      </c>
      <c r="V712" s="105" t="str">
        <f>IF(preDEL!$AG712,IFERROR(0/0,""),preDEL!V712)</f>
        <v/>
      </c>
      <c r="W712" s="112" t="str">
        <f>IF(preDEL!$AG712,IFERROR(0/0,""),preDEL!W712)</f>
        <v/>
      </c>
      <c r="X712" s="104" t="b">
        <f>IF(preDEL!$AG712,IFERROR(0/0,""),preDEL!X712)</f>
        <v>0</v>
      </c>
      <c r="Y712" s="110" t="b">
        <f>IF(preDEL!$AG712,IFERROR(0/0,""),preDEL!Y712)</f>
        <v>0</v>
      </c>
      <c r="Z712" s="105" t="str">
        <f>IF(preDEL!$AG712,IFERROR(0/0,""),preDEL!Z712)</f>
        <v/>
      </c>
      <c r="AA712" s="110" t="b">
        <f>IF(preDEL!$AG712,IFERROR(0/0,""),preDEL!AA712)</f>
        <v>0</v>
      </c>
      <c r="AB712" s="110" t="b">
        <f>IF(preDEL!$AG712,IFERROR(0/0,""),preDEL!AB712)</f>
        <v>0</v>
      </c>
      <c r="AC712" s="172">
        <f>IF(preDEL!$AG712,IFERROR(0/0,""),preDEL!AC712)</f>
        <v>111</v>
      </c>
      <c r="AD712" s="104" t="b">
        <f>IF(preDEL!$AG712,IFERROR(0/0,""),preDEL!AD712)</f>
        <v>0</v>
      </c>
      <c r="AE712" s="173">
        <f>IF(preDEL!$AG712,IFERROR(0/0,""),preDEL!AE712)</f>
        <v>226.4666667</v>
      </c>
      <c r="AF712" s="110" t="b">
        <f>IF(preDEL!$AG712,IFERROR(0/0,""),preDEL!AF712)</f>
        <v>0</v>
      </c>
      <c r="AG712" s="110" t="b">
        <f>IF(preDEL!$AG712,IFERROR(0/0,""),preDEL!AG712)</f>
        <v>0</v>
      </c>
      <c r="AH712" s="104" t="str">
        <f>IF(preDEL!$AG712,IFERROR(0/0,""),preDEL!AH712)</f>
        <v/>
      </c>
      <c r="AI712" s="105" t="str">
        <f>IF(preDEL!$AG712,IFERROR(0/0,""),preDEL!AI712)</f>
        <v/>
      </c>
      <c r="AJ712" s="112" t="str">
        <f>IF(preDEL!$AG712,IFERROR(0/0,""),preDEL!AJ712)</f>
        <v/>
      </c>
      <c r="AK712" s="105" t="str">
        <f>IF(preDEL!$AG712,IFERROR(0/0,""),preDEL!AK712)</f>
        <v>Negative</v>
      </c>
      <c r="AL712" s="112" t="str">
        <f>IF(preDEL!$AG712,IFERROR(0/0,""),preDEL!AL712)</f>
        <v/>
      </c>
      <c r="AM712" s="112" t="str">
        <f>IF(preDEL!$AG712,IFERROR(0/0,""),preDEL!AM712)</f>
        <v>SpBEND296258</v>
      </c>
      <c r="AN712" s="112" t="str">
        <f>IF(preDEL!$AG712,IFERROR(0/0,""),preDEL!AN712)</f>
        <v>BEND873094</v>
      </c>
      <c r="AO712" s="112" t="str">
        <f>IF(preDEL!$AG712,IFERROR(0/0,""),preDEL!AO712)</f>
        <v/>
      </c>
      <c r="AP712" s="112" t="str">
        <f>IF(preDEL!$AG712,IFERROR(0/0,""),preDEL!AP712)</f>
        <v/>
      </c>
      <c r="AQ712" s="112" t="str">
        <f>IF(preDEL!$AG712,IFERROR(0/0,""),preDEL!AQ712)</f>
        <v/>
      </c>
      <c r="AR712" s="112" t="str">
        <f>IF(preDEL!$AG712,IFERROR(0/0,""),preDEL!AR712)</f>
        <v/>
      </c>
      <c r="AS712" s="112" t="str">
        <f>IF(preDEL!$AG712,IFERROR(0/0,""),preDEL!AS712)</f>
        <v/>
      </c>
      <c r="AT712" s="112" t="b">
        <f>IF(preDEL!$AG712,IFERROR(0/0,""),preDEL!AT712)</f>
        <v>0</v>
      </c>
      <c r="AU712" s="112" t="str">
        <f>IF(preDEL!$AG712,IFERROR(0/0,""),preDEL!AU712)</f>
        <v/>
      </c>
      <c r="AV712" s="112" t="str">
        <f>IF(preDEL!$AG712,IFERROR(0/0,""),preDEL!AV712)</f>
        <v/>
      </c>
      <c r="AW712" s="112" t="str">
        <f>IF(preDEL!$AG712,IFERROR(0/0,""),preDEL!AW712)</f>
        <v/>
      </c>
      <c r="AX712" s="112" t="str">
        <f>IF(preDEL!$AG712,IFERROR(0/0,""),preDEL!AX712)</f>
        <v/>
      </c>
      <c r="AY712" s="112" t="str">
        <f>IF(preDEL!$AG712,IFERROR(0/0,""),preDEL!AY712)</f>
        <v/>
      </c>
      <c r="AZ712" s="174"/>
      <c r="BA712" s="174"/>
      <c r="BB712" s="174"/>
      <c r="BC712" s="174"/>
      <c r="BD712" s="174"/>
      <c r="BE712" s="174"/>
      <c r="BF712" s="174"/>
      <c r="BG712" s="174"/>
      <c r="BH712" s="174"/>
      <c r="BI712" s="174"/>
      <c r="BJ712" s="174"/>
      <c r="BK712" s="174"/>
      <c r="BL712" s="174"/>
      <c r="BM712" s="174"/>
      <c r="BN712" s="174"/>
      <c r="BO712" s="174"/>
      <c r="BP712" s="174"/>
      <c r="BQ712" s="174"/>
      <c r="BR712" s="174"/>
      <c r="BS712" s="174"/>
      <c r="BT712" s="174"/>
      <c r="BU712" s="174"/>
      <c r="BV712" s="174"/>
      <c r="BW712" s="174"/>
      <c r="BX712" s="174"/>
      <c r="BY712" s="174"/>
      <c r="BZ712" s="174"/>
      <c r="CA712" s="174"/>
      <c r="CB712" s="174"/>
      <c r="CC712" s="174"/>
      <c r="CD712" s="174"/>
    </row>
    <row r="713">
      <c r="A713" s="105" t="str">
        <f>IF(preDEL!$AG713,IFERROR(0/0,""),preDEL!A713)</f>
        <v>FM337</v>
      </c>
      <c r="B713" s="170">
        <f>IF(preDEL!$AG713,IFERROR(0/0,""),preDEL!B713)</f>
        <v>44625</v>
      </c>
      <c r="C713" s="171">
        <f>IF(preDEL!$AG713,IFERROR(0/0,""),preDEL!C713)</f>
        <v>0.3350462963</v>
      </c>
      <c r="D713" s="105" t="str">
        <f>IF(preDEL!$AG713,IFERROR(0/0,""),preDEL!D713)</f>
        <v/>
      </c>
      <c r="E713" s="105" t="str">
        <f>IF(preDEL!$AG713,IFERROR(0/0,""),preDEL!E713)</f>
        <v/>
      </c>
      <c r="F713" s="112" t="str">
        <f>IF(preDEL!$AG713,IFERROR(0/0,""),preDEL!F713)</f>
        <v/>
      </c>
      <c r="G713" s="112" t="str">
        <f>IF(preDEL!$AG713,IFERROR(0/0,""),preDEL!G713)</f>
        <v/>
      </c>
      <c r="H713" s="112" t="str">
        <f>IF(preDEL!$AG713,IFERROR(0/0,""),preDEL!H713)</f>
        <v/>
      </c>
      <c r="I713" s="105" t="str">
        <f>IF(preDEL!$AG713,IFERROR(0/0,""),preDEL!I713)</f>
        <v/>
      </c>
      <c r="J713" s="105" t="str">
        <f>IF(preDEL!$AG713,IFERROR(0/0,""),preDEL!J713)</f>
        <v/>
      </c>
      <c r="K713" s="105" t="str">
        <f>IF(preDEL!$AG713,IFERROR(0/0,""),preDEL!K713)</f>
        <v>Negative</v>
      </c>
      <c r="L713" s="170">
        <f>IF(preDEL!$AG713,IFERROR(0/0,""),preDEL!L713)</f>
        <v>44625</v>
      </c>
      <c r="M713" s="171">
        <f>IF(preDEL!$AG713,IFERROR(0/0,""),preDEL!M713)</f>
        <v>0.4897569444</v>
      </c>
      <c r="N713" s="112" t="str">
        <f>IF(preDEL!$AG713,IFERROR(0/0,""),preDEL!N713)</f>
        <v/>
      </c>
      <c r="O713" s="112" t="str">
        <f>IF(preDEL!$AG713,IFERROR(0/0,""),preDEL!O713)</f>
        <v/>
      </c>
      <c r="P713" s="110" t="b">
        <f>IF(preDEL!$AG713,IFERROR(0/0,""),preDEL!P713)</f>
        <v>0</v>
      </c>
      <c r="Q713" s="110" t="str">
        <f>IF(preDEL!$AG713,IFERROR(0/0,""),preDEL!Q713)</f>
        <v>Result</v>
      </c>
      <c r="R713" s="104" t="b">
        <f>IF(preDEL!$AG713,IFERROR(0/0,""),preDEL!R713)</f>
        <v>1</v>
      </c>
      <c r="S713" s="104">
        <f>IF(preDEL!$AG713,IFERROR(0/0,""),preDEL!S713)</f>
        <v>1</v>
      </c>
      <c r="T713" s="110" t="str">
        <f>IF(preDEL!$AG713,IFERROR(0/0,""),preDEL!T713)</f>
        <v/>
      </c>
      <c r="U713" s="112" t="str">
        <f>IF(preDEL!$AG713,IFERROR(0/0,""),preDEL!U713)</f>
        <v/>
      </c>
      <c r="V713" s="105" t="str">
        <f>IF(preDEL!$AG713,IFERROR(0/0,""),preDEL!V713)</f>
        <v/>
      </c>
      <c r="W713" s="112" t="str">
        <f>IF(preDEL!$AG713,IFERROR(0/0,""),preDEL!W713)</f>
        <v/>
      </c>
      <c r="X713" s="104" t="b">
        <f>IF(preDEL!$AG713,IFERROR(0/0,""),preDEL!X713)</f>
        <v>0</v>
      </c>
      <c r="Y713" s="110" t="b">
        <f>IF(preDEL!$AG713,IFERROR(0/0,""),preDEL!Y713)</f>
        <v>0</v>
      </c>
      <c r="Z713" s="105" t="str">
        <f>IF(preDEL!$AG713,IFERROR(0/0,""),preDEL!Z713)</f>
        <v/>
      </c>
      <c r="AA713" s="110" t="b">
        <f>IF(preDEL!$AG713,IFERROR(0/0,""),preDEL!AA713)</f>
        <v>0</v>
      </c>
      <c r="AB713" s="110" t="b">
        <f>IF(preDEL!$AG713,IFERROR(0/0,""),preDEL!AB713)</f>
        <v>0</v>
      </c>
      <c r="AC713" s="172">
        <f>IF(preDEL!$AG713,IFERROR(0/0,""),preDEL!AC713)</f>
        <v>110</v>
      </c>
      <c r="AD713" s="104" t="b">
        <f>IF(preDEL!$AG713,IFERROR(0/0,""),preDEL!AD713)</f>
        <v>0</v>
      </c>
      <c r="AE713" s="173">
        <f>IF(preDEL!$AG713,IFERROR(0/0,""),preDEL!AE713)</f>
        <v>222.7833333</v>
      </c>
      <c r="AF713" s="110" t="b">
        <f>IF(preDEL!$AG713,IFERROR(0/0,""),preDEL!AF713)</f>
        <v>0</v>
      </c>
      <c r="AG713" s="110" t="b">
        <f>IF(preDEL!$AG713,IFERROR(0/0,""),preDEL!AG713)</f>
        <v>0</v>
      </c>
      <c r="AH713" s="104" t="str">
        <f>IF(preDEL!$AG713,IFERROR(0/0,""),preDEL!AH713)</f>
        <v/>
      </c>
      <c r="AI713" s="105" t="str">
        <f>IF(preDEL!$AG713,IFERROR(0/0,""),preDEL!AI713)</f>
        <v/>
      </c>
      <c r="AJ713" s="112" t="str">
        <f>IF(preDEL!$AG713,IFERROR(0/0,""),preDEL!AJ713)</f>
        <v/>
      </c>
      <c r="AK713" s="105" t="str">
        <f>IF(preDEL!$AG713,IFERROR(0/0,""),preDEL!AK713)</f>
        <v>Negative</v>
      </c>
      <c r="AL713" s="112" t="str">
        <f>IF(preDEL!$AG713,IFERROR(0/0,""),preDEL!AL713)</f>
        <v/>
      </c>
      <c r="AM713" s="112" t="str">
        <f>IF(preDEL!$AG713,IFERROR(0/0,""),preDEL!AM713)</f>
        <v>SpBEND845568</v>
      </c>
      <c r="AN713" s="112" t="str">
        <f>IF(preDEL!$AG713,IFERROR(0/0,""),preDEL!AN713)</f>
        <v>BEND601151</v>
      </c>
      <c r="AO713" s="112" t="str">
        <f>IF(preDEL!$AG713,IFERROR(0/0,""),preDEL!AO713)</f>
        <v/>
      </c>
      <c r="AP713" s="112" t="str">
        <f>IF(preDEL!$AG713,IFERROR(0/0,""),preDEL!AP713)</f>
        <v/>
      </c>
      <c r="AQ713" s="112" t="str">
        <f>IF(preDEL!$AG713,IFERROR(0/0,""),preDEL!AQ713)</f>
        <v/>
      </c>
      <c r="AR713" s="112" t="str">
        <f>IF(preDEL!$AG713,IFERROR(0/0,""),preDEL!AR713)</f>
        <v/>
      </c>
      <c r="AS713" s="112" t="str">
        <f>IF(preDEL!$AG713,IFERROR(0/0,""),preDEL!AS713)</f>
        <v/>
      </c>
      <c r="AT713" s="112" t="b">
        <f>IF(preDEL!$AG713,IFERROR(0/0,""),preDEL!AT713)</f>
        <v>0</v>
      </c>
      <c r="AU713" s="112" t="str">
        <f>IF(preDEL!$AG713,IFERROR(0/0,""),preDEL!AU713)</f>
        <v/>
      </c>
      <c r="AV713" s="112" t="str">
        <f>IF(preDEL!$AG713,IFERROR(0/0,""),preDEL!AV713)</f>
        <v/>
      </c>
      <c r="AW713" s="112" t="str">
        <f>IF(preDEL!$AG713,IFERROR(0/0,""),preDEL!AW713)</f>
        <v/>
      </c>
      <c r="AX713" s="112" t="str">
        <f>IF(preDEL!$AG713,IFERROR(0/0,""),preDEL!AX713)</f>
        <v/>
      </c>
      <c r="AY713" s="112" t="str">
        <f>IF(preDEL!$AG713,IFERROR(0/0,""),preDEL!AY713)</f>
        <v/>
      </c>
      <c r="AZ713" s="174"/>
      <c r="BA713" s="174"/>
      <c r="BB713" s="174"/>
      <c r="BC713" s="174"/>
      <c r="BD713" s="174"/>
      <c r="BE713" s="174"/>
      <c r="BF713" s="174"/>
      <c r="BG713" s="174"/>
      <c r="BH713" s="174"/>
      <c r="BI713" s="174"/>
      <c r="BJ713" s="174"/>
      <c r="BK713" s="174"/>
      <c r="BL713" s="174"/>
      <c r="BM713" s="174"/>
      <c r="BN713" s="174"/>
      <c r="BO713" s="174"/>
      <c r="BP713" s="174"/>
      <c r="BQ713" s="174"/>
      <c r="BR713" s="174"/>
      <c r="BS713" s="174"/>
      <c r="BT713" s="174"/>
      <c r="BU713" s="174"/>
      <c r="BV713" s="174"/>
      <c r="BW713" s="174"/>
      <c r="BX713" s="174"/>
      <c r="BY713" s="174"/>
      <c r="BZ713" s="174"/>
      <c r="CA713" s="174"/>
      <c r="CB713" s="174"/>
      <c r="CC713" s="174"/>
      <c r="CD713" s="174"/>
    </row>
    <row r="714">
      <c r="A714" s="105" t="str">
        <f>IF(preDEL!$AG714,IFERROR(0/0,""),preDEL!A714)</f>
        <v>FM8</v>
      </c>
      <c r="B714" s="170">
        <f>IF(preDEL!$AG714,IFERROR(0/0,""),preDEL!B714)</f>
        <v>44625</v>
      </c>
      <c r="C714" s="171">
        <f>IF(preDEL!$AG714,IFERROR(0/0,""),preDEL!C714)</f>
        <v>0.3416666667</v>
      </c>
      <c r="D714" s="105" t="str">
        <f>IF(preDEL!$AG714,IFERROR(0/0,""),preDEL!D714)</f>
        <v/>
      </c>
      <c r="E714" s="105" t="str">
        <f>IF(preDEL!$AG714,IFERROR(0/0,""),preDEL!E714)</f>
        <v/>
      </c>
      <c r="F714" s="112" t="str">
        <f>IF(preDEL!$AG714,IFERROR(0/0,""),preDEL!F714)</f>
        <v/>
      </c>
      <c r="G714" s="112" t="str">
        <f>IF(preDEL!$AG714,IFERROR(0/0,""),preDEL!G714)</f>
        <v/>
      </c>
      <c r="H714" s="112" t="str">
        <f>IF(preDEL!$AG714,IFERROR(0/0,""),preDEL!H714)</f>
        <v/>
      </c>
      <c r="I714" s="105" t="str">
        <f>IF(preDEL!$AG714,IFERROR(0/0,""),preDEL!I714)</f>
        <v/>
      </c>
      <c r="J714" s="105" t="str">
        <f>IF(preDEL!$AG714,IFERROR(0/0,""),preDEL!J714)</f>
        <v/>
      </c>
      <c r="K714" s="105" t="str">
        <f>IF(preDEL!$AG714,IFERROR(0/0,""),preDEL!K714)</f>
        <v>Negative</v>
      </c>
      <c r="L714" s="170">
        <f>IF(preDEL!$AG714,IFERROR(0/0,""),preDEL!L714)</f>
        <v>44625</v>
      </c>
      <c r="M714" s="171">
        <f>IF(preDEL!$AG714,IFERROR(0/0,""),preDEL!M714)</f>
        <v>0.4897569444</v>
      </c>
      <c r="N714" s="112" t="str">
        <f>IF(preDEL!$AG714,IFERROR(0/0,""),preDEL!N714)</f>
        <v/>
      </c>
      <c r="O714" s="112" t="str">
        <f>IF(preDEL!$AG714,IFERROR(0/0,""),preDEL!O714)</f>
        <v/>
      </c>
      <c r="P714" s="110" t="b">
        <f>IF(preDEL!$AG714,IFERROR(0/0,""),preDEL!P714)</f>
        <v>0</v>
      </c>
      <c r="Q714" s="110" t="str">
        <f>IF(preDEL!$AG714,IFERROR(0/0,""),preDEL!Q714)</f>
        <v>Result</v>
      </c>
      <c r="R714" s="104" t="b">
        <f>IF(preDEL!$AG714,IFERROR(0/0,""),preDEL!R714)</f>
        <v>1</v>
      </c>
      <c r="S714" s="104">
        <f>IF(preDEL!$AG714,IFERROR(0/0,""),preDEL!S714)</f>
        <v>1</v>
      </c>
      <c r="T714" s="110" t="str">
        <f>IF(preDEL!$AG714,IFERROR(0/0,""),preDEL!T714)</f>
        <v/>
      </c>
      <c r="U714" s="112" t="str">
        <f>IF(preDEL!$AG714,IFERROR(0/0,""),preDEL!U714)</f>
        <v/>
      </c>
      <c r="V714" s="105" t="str">
        <f>IF(preDEL!$AG714,IFERROR(0/0,""),preDEL!V714)</f>
        <v/>
      </c>
      <c r="W714" s="112" t="str">
        <f>IF(preDEL!$AG714,IFERROR(0/0,""),preDEL!W714)</f>
        <v/>
      </c>
      <c r="X714" s="104" t="b">
        <f>IF(preDEL!$AG714,IFERROR(0/0,""),preDEL!X714)</f>
        <v>0</v>
      </c>
      <c r="Y714" s="110" t="b">
        <f>IF(preDEL!$AG714,IFERROR(0/0,""),preDEL!Y714)</f>
        <v>0</v>
      </c>
      <c r="Z714" s="105" t="str">
        <f>IF(preDEL!$AG714,IFERROR(0/0,""),preDEL!Z714)</f>
        <v/>
      </c>
      <c r="AA714" s="110" t="b">
        <f>IF(preDEL!$AG714,IFERROR(0/0,""),preDEL!AA714)</f>
        <v>0</v>
      </c>
      <c r="AB714" s="110" t="b">
        <f>IF(preDEL!$AG714,IFERROR(0/0,""),preDEL!AB714)</f>
        <v>0</v>
      </c>
      <c r="AC714" s="172">
        <f>IF(preDEL!$AG714,IFERROR(0/0,""),preDEL!AC714)</f>
        <v>109</v>
      </c>
      <c r="AD714" s="104" t="b">
        <f>IF(preDEL!$AG714,IFERROR(0/0,""),preDEL!AD714)</f>
        <v>0</v>
      </c>
      <c r="AE714" s="173">
        <f>IF(preDEL!$AG714,IFERROR(0/0,""),preDEL!AE714)</f>
        <v>213.25</v>
      </c>
      <c r="AF714" s="110" t="b">
        <f>IF(preDEL!$AG714,IFERROR(0/0,""),preDEL!AF714)</f>
        <v>0</v>
      </c>
      <c r="AG714" s="110" t="b">
        <f>IF(preDEL!$AG714,IFERROR(0/0,""),preDEL!AG714)</f>
        <v>0</v>
      </c>
      <c r="AH714" s="104" t="str">
        <f>IF(preDEL!$AG714,IFERROR(0/0,""),preDEL!AH714)</f>
        <v/>
      </c>
      <c r="AI714" s="105" t="str">
        <f>IF(preDEL!$AG714,IFERROR(0/0,""),preDEL!AI714)</f>
        <v/>
      </c>
      <c r="AJ714" s="112" t="str">
        <f>IF(preDEL!$AG714,IFERROR(0/0,""),preDEL!AJ714)</f>
        <v/>
      </c>
      <c r="AK714" s="105" t="str">
        <f>IF(preDEL!$AG714,IFERROR(0/0,""),preDEL!AK714)</f>
        <v>Negative</v>
      </c>
      <c r="AL714" s="112" t="str">
        <f>IF(preDEL!$AG714,IFERROR(0/0,""),preDEL!AL714)</f>
        <v/>
      </c>
      <c r="AM714" s="112" t="str">
        <f>IF(preDEL!$AG714,IFERROR(0/0,""),preDEL!AM714)</f>
        <v>SpBEND524085</v>
      </c>
      <c r="AN714" s="112" t="str">
        <f>IF(preDEL!$AG714,IFERROR(0/0,""),preDEL!AN714)</f>
        <v>BEND249479</v>
      </c>
      <c r="AO714" s="112" t="str">
        <f>IF(preDEL!$AG714,IFERROR(0/0,""),preDEL!AO714)</f>
        <v/>
      </c>
      <c r="AP714" s="112" t="str">
        <f>IF(preDEL!$AG714,IFERROR(0/0,""),preDEL!AP714)</f>
        <v/>
      </c>
      <c r="AQ714" s="112" t="str">
        <f>IF(preDEL!$AG714,IFERROR(0/0,""),preDEL!AQ714)</f>
        <v/>
      </c>
      <c r="AR714" s="112" t="str">
        <f>IF(preDEL!$AG714,IFERROR(0/0,""),preDEL!AR714)</f>
        <v/>
      </c>
      <c r="AS714" s="112" t="str">
        <f>IF(preDEL!$AG714,IFERROR(0/0,""),preDEL!AS714)</f>
        <v/>
      </c>
      <c r="AT714" s="112" t="b">
        <f>IF(preDEL!$AG714,IFERROR(0/0,""),preDEL!AT714)</f>
        <v>0</v>
      </c>
      <c r="AU714" s="112" t="str">
        <f>IF(preDEL!$AG714,IFERROR(0/0,""),preDEL!AU714)</f>
        <v/>
      </c>
      <c r="AV714" s="112" t="str">
        <f>IF(preDEL!$AG714,IFERROR(0/0,""),preDEL!AV714)</f>
        <v/>
      </c>
      <c r="AW714" s="112" t="str">
        <f>IF(preDEL!$AG714,IFERROR(0/0,""),preDEL!AW714)</f>
        <v/>
      </c>
      <c r="AX714" s="112" t="str">
        <f>IF(preDEL!$AG714,IFERROR(0/0,""),preDEL!AX714)</f>
        <v/>
      </c>
      <c r="AY714" s="112" t="str">
        <f>IF(preDEL!$AG714,IFERROR(0/0,""),preDEL!AY714)</f>
        <v/>
      </c>
      <c r="AZ714" s="174"/>
      <c r="BA714" s="174"/>
      <c r="BB714" s="174"/>
      <c r="BC714" s="174"/>
      <c r="BD714" s="174"/>
      <c r="BE714" s="174"/>
      <c r="BF714" s="174"/>
      <c r="BG714" s="174"/>
      <c r="BH714" s="174"/>
      <c r="BI714" s="174"/>
      <c r="BJ714" s="174"/>
      <c r="BK714" s="174"/>
      <c r="BL714" s="174"/>
      <c r="BM714" s="174"/>
      <c r="BN714" s="174"/>
      <c r="BO714" s="174"/>
      <c r="BP714" s="174"/>
      <c r="BQ714" s="174"/>
      <c r="BR714" s="174"/>
      <c r="BS714" s="174"/>
      <c r="BT714" s="174"/>
      <c r="BU714" s="174"/>
      <c r="BV714" s="174"/>
      <c r="BW714" s="174"/>
      <c r="BX714" s="174"/>
      <c r="BY714" s="174"/>
      <c r="BZ714" s="174"/>
      <c r="CA714" s="174"/>
      <c r="CB714" s="174"/>
      <c r="CC714" s="174"/>
      <c r="CD714" s="174"/>
    </row>
    <row r="715">
      <c r="A715" s="105" t="str">
        <f>IF(preDEL!$AG715,IFERROR(0/0,""),preDEL!A715)</f>
        <v>FM30</v>
      </c>
      <c r="B715" s="170">
        <f>IF(preDEL!$AG715,IFERROR(0/0,""),preDEL!B715)</f>
        <v>44625</v>
      </c>
      <c r="C715" s="171">
        <f>IF(preDEL!$AG715,IFERROR(0/0,""),preDEL!C715)</f>
        <v>0.3419328704</v>
      </c>
      <c r="D715" s="105" t="str">
        <f>IF(preDEL!$AG715,IFERROR(0/0,""),preDEL!D715)</f>
        <v/>
      </c>
      <c r="E715" s="105" t="str">
        <f>IF(preDEL!$AG715,IFERROR(0/0,""),preDEL!E715)</f>
        <v/>
      </c>
      <c r="F715" s="112" t="str">
        <f>IF(preDEL!$AG715,IFERROR(0/0,""),preDEL!F715)</f>
        <v/>
      </c>
      <c r="G715" s="112" t="str">
        <f>IF(preDEL!$AG715,IFERROR(0/0,""),preDEL!G715)</f>
        <v/>
      </c>
      <c r="H715" s="112" t="str">
        <f>IF(preDEL!$AG715,IFERROR(0/0,""),preDEL!H715)</f>
        <v/>
      </c>
      <c r="I715" s="105" t="str">
        <f>IF(preDEL!$AG715,IFERROR(0/0,""),preDEL!I715)</f>
        <v/>
      </c>
      <c r="J715" s="105" t="str">
        <f>IF(preDEL!$AG715,IFERROR(0/0,""),preDEL!J715)</f>
        <v/>
      </c>
      <c r="K715" s="105" t="str">
        <f>IF(preDEL!$AG715,IFERROR(0/0,""),preDEL!K715)</f>
        <v>Negative</v>
      </c>
      <c r="L715" s="170">
        <f>IF(preDEL!$AG715,IFERROR(0/0,""),preDEL!L715)</f>
        <v>44625</v>
      </c>
      <c r="M715" s="171">
        <f>IF(preDEL!$AG715,IFERROR(0/0,""),preDEL!M715)</f>
        <v>0.4897569444</v>
      </c>
      <c r="N715" s="112" t="str">
        <f>IF(preDEL!$AG715,IFERROR(0/0,""),preDEL!N715)</f>
        <v/>
      </c>
      <c r="O715" s="112" t="str">
        <f>IF(preDEL!$AG715,IFERROR(0/0,""),preDEL!O715)</f>
        <v/>
      </c>
      <c r="P715" s="110" t="b">
        <f>IF(preDEL!$AG715,IFERROR(0/0,""),preDEL!P715)</f>
        <v>0</v>
      </c>
      <c r="Q715" s="110" t="str">
        <f>IF(preDEL!$AG715,IFERROR(0/0,""),preDEL!Q715)</f>
        <v>Result</v>
      </c>
      <c r="R715" s="104" t="b">
        <f>IF(preDEL!$AG715,IFERROR(0/0,""),preDEL!R715)</f>
        <v>1</v>
      </c>
      <c r="S715" s="104">
        <f>IF(preDEL!$AG715,IFERROR(0/0,""),preDEL!S715)</f>
        <v>1</v>
      </c>
      <c r="T715" s="110" t="str">
        <f>IF(preDEL!$AG715,IFERROR(0/0,""),preDEL!T715)</f>
        <v/>
      </c>
      <c r="U715" s="112" t="str">
        <f>IF(preDEL!$AG715,IFERROR(0/0,""),preDEL!U715)</f>
        <v/>
      </c>
      <c r="V715" s="105" t="str">
        <f>IF(preDEL!$AG715,IFERROR(0/0,""),preDEL!V715)</f>
        <v/>
      </c>
      <c r="W715" s="112" t="str">
        <f>IF(preDEL!$AG715,IFERROR(0/0,""),preDEL!W715)</f>
        <v/>
      </c>
      <c r="X715" s="104" t="b">
        <f>IF(preDEL!$AG715,IFERROR(0/0,""),preDEL!X715)</f>
        <v>0</v>
      </c>
      <c r="Y715" s="110" t="b">
        <f>IF(preDEL!$AG715,IFERROR(0/0,""),preDEL!Y715)</f>
        <v>0</v>
      </c>
      <c r="Z715" s="105" t="str">
        <f>IF(preDEL!$AG715,IFERROR(0/0,""),preDEL!Z715)</f>
        <v/>
      </c>
      <c r="AA715" s="110" t="b">
        <f>IF(preDEL!$AG715,IFERROR(0/0,""),preDEL!AA715)</f>
        <v>0</v>
      </c>
      <c r="AB715" s="110" t="b">
        <f>IF(preDEL!$AG715,IFERROR(0/0,""),preDEL!AB715)</f>
        <v>0</v>
      </c>
      <c r="AC715" s="172">
        <f>IF(preDEL!$AG715,IFERROR(0/0,""),preDEL!AC715)</f>
        <v>108</v>
      </c>
      <c r="AD715" s="104" t="b">
        <f>IF(preDEL!$AG715,IFERROR(0/0,""),preDEL!AD715)</f>
        <v>0</v>
      </c>
      <c r="AE715" s="173">
        <f>IF(preDEL!$AG715,IFERROR(0/0,""),preDEL!AE715)</f>
        <v>212.8666667</v>
      </c>
      <c r="AF715" s="110" t="b">
        <f>IF(preDEL!$AG715,IFERROR(0/0,""),preDEL!AF715)</f>
        <v>0</v>
      </c>
      <c r="AG715" s="110" t="b">
        <f>IF(preDEL!$AG715,IFERROR(0/0,""),preDEL!AG715)</f>
        <v>0</v>
      </c>
      <c r="AH715" s="104" t="str">
        <f>IF(preDEL!$AG715,IFERROR(0/0,""),preDEL!AH715)</f>
        <v/>
      </c>
      <c r="AI715" s="105" t="str">
        <f>IF(preDEL!$AG715,IFERROR(0/0,""),preDEL!AI715)</f>
        <v/>
      </c>
      <c r="AJ715" s="112" t="str">
        <f>IF(preDEL!$AG715,IFERROR(0/0,""),preDEL!AJ715)</f>
        <v/>
      </c>
      <c r="AK715" s="105" t="str">
        <f>IF(preDEL!$AG715,IFERROR(0/0,""),preDEL!AK715)</f>
        <v>Negative</v>
      </c>
      <c r="AL715" s="112" t="str">
        <f>IF(preDEL!$AG715,IFERROR(0/0,""),preDEL!AL715)</f>
        <v/>
      </c>
      <c r="AM715" s="112" t="str">
        <f>IF(preDEL!$AG715,IFERROR(0/0,""),preDEL!AM715)</f>
        <v>SpBEND481988</v>
      </c>
      <c r="AN715" s="112" t="str">
        <f>IF(preDEL!$AG715,IFERROR(0/0,""),preDEL!AN715)</f>
        <v>BEND223874</v>
      </c>
      <c r="AO715" s="112" t="str">
        <f>IF(preDEL!$AG715,IFERROR(0/0,""),preDEL!AO715)</f>
        <v/>
      </c>
      <c r="AP715" s="112" t="str">
        <f>IF(preDEL!$AG715,IFERROR(0/0,""),preDEL!AP715)</f>
        <v/>
      </c>
      <c r="AQ715" s="112" t="str">
        <f>IF(preDEL!$AG715,IFERROR(0/0,""),preDEL!AQ715)</f>
        <v/>
      </c>
      <c r="AR715" s="112" t="str">
        <f>IF(preDEL!$AG715,IFERROR(0/0,""),preDEL!AR715)</f>
        <v/>
      </c>
      <c r="AS715" s="112" t="str">
        <f>IF(preDEL!$AG715,IFERROR(0/0,""),preDEL!AS715)</f>
        <v/>
      </c>
      <c r="AT715" s="112" t="b">
        <f>IF(preDEL!$AG715,IFERROR(0/0,""),preDEL!AT715)</f>
        <v>0</v>
      </c>
      <c r="AU715" s="112" t="str">
        <f>IF(preDEL!$AG715,IFERROR(0/0,""),preDEL!AU715)</f>
        <v/>
      </c>
      <c r="AV715" s="112" t="str">
        <f>IF(preDEL!$AG715,IFERROR(0/0,""),preDEL!AV715)</f>
        <v/>
      </c>
      <c r="AW715" s="112" t="str">
        <f>IF(preDEL!$AG715,IFERROR(0/0,""),preDEL!AW715)</f>
        <v/>
      </c>
      <c r="AX715" s="112" t="str">
        <f>IF(preDEL!$AG715,IFERROR(0/0,""),preDEL!AX715)</f>
        <v/>
      </c>
      <c r="AY715" s="112" t="str">
        <f>IF(preDEL!$AG715,IFERROR(0/0,""),preDEL!AY715)</f>
        <v/>
      </c>
      <c r="AZ715" s="174"/>
      <c r="BA715" s="174"/>
      <c r="BB715" s="174"/>
      <c r="BC715" s="174"/>
      <c r="BD715" s="174"/>
      <c r="BE715" s="174"/>
      <c r="BF715" s="174"/>
      <c r="BG715" s="174"/>
      <c r="BH715" s="174"/>
      <c r="BI715" s="174"/>
      <c r="BJ715" s="174"/>
      <c r="BK715" s="174"/>
      <c r="BL715" s="174"/>
      <c r="BM715" s="174"/>
      <c r="BN715" s="174"/>
      <c r="BO715" s="174"/>
      <c r="BP715" s="174"/>
      <c r="BQ715" s="174"/>
      <c r="BR715" s="174"/>
      <c r="BS715" s="174"/>
      <c r="BT715" s="174"/>
      <c r="BU715" s="174"/>
      <c r="BV715" s="174"/>
      <c r="BW715" s="174"/>
      <c r="BX715" s="174"/>
      <c r="BY715" s="174"/>
      <c r="BZ715" s="174"/>
      <c r="CA715" s="174"/>
      <c r="CB715" s="174"/>
      <c r="CC715" s="174"/>
      <c r="CD715" s="174"/>
    </row>
    <row r="716">
      <c r="A716" s="105" t="str">
        <f>IF(preDEL!$AG716,IFERROR(0/0,""),preDEL!A716)</f>
        <v>FM75</v>
      </c>
      <c r="B716" s="170">
        <f>IF(preDEL!$AG716,IFERROR(0/0,""),preDEL!B716)</f>
        <v>44625</v>
      </c>
      <c r="C716" s="171">
        <f>IF(preDEL!$AG716,IFERROR(0/0,""),preDEL!C716)</f>
        <v>0.3421875</v>
      </c>
      <c r="D716" s="105" t="str">
        <f>IF(preDEL!$AG716,IFERROR(0/0,""),preDEL!D716)</f>
        <v/>
      </c>
      <c r="E716" s="105" t="str">
        <f>IF(preDEL!$AG716,IFERROR(0/0,""),preDEL!E716)</f>
        <v/>
      </c>
      <c r="F716" s="112" t="str">
        <f>IF(preDEL!$AG716,IFERROR(0/0,""),preDEL!F716)</f>
        <v/>
      </c>
      <c r="G716" s="112" t="str">
        <f>IF(preDEL!$AG716,IFERROR(0/0,""),preDEL!G716)</f>
        <v/>
      </c>
      <c r="H716" s="112" t="str">
        <f>IF(preDEL!$AG716,IFERROR(0/0,""),preDEL!H716)</f>
        <v/>
      </c>
      <c r="I716" s="105" t="str">
        <f>IF(preDEL!$AG716,IFERROR(0/0,""),preDEL!I716)</f>
        <v/>
      </c>
      <c r="J716" s="105" t="str">
        <f>IF(preDEL!$AG716,IFERROR(0/0,""),preDEL!J716)</f>
        <v/>
      </c>
      <c r="K716" s="105" t="str">
        <f>IF(preDEL!$AG716,IFERROR(0/0,""),preDEL!K716)</f>
        <v>Negative</v>
      </c>
      <c r="L716" s="170">
        <f>IF(preDEL!$AG716,IFERROR(0/0,""),preDEL!L716)</f>
        <v>44625</v>
      </c>
      <c r="M716" s="171">
        <f>IF(preDEL!$AG716,IFERROR(0/0,""),preDEL!M716)</f>
        <v>0.4897569444</v>
      </c>
      <c r="N716" s="112" t="str">
        <f>IF(preDEL!$AG716,IFERROR(0/0,""),preDEL!N716)</f>
        <v/>
      </c>
      <c r="O716" s="112" t="str">
        <f>IF(preDEL!$AG716,IFERROR(0/0,""),preDEL!O716)</f>
        <v/>
      </c>
      <c r="P716" s="110" t="b">
        <f>IF(preDEL!$AG716,IFERROR(0/0,""),preDEL!P716)</f>
        <v>0</v>
      </c>
      <c r="Q716" s="110" t="str">
        <f>IF(preDEL!$AG716,IFERROR(0/0,""),preDEL!Q716)</f>
        <v>Result</v>
      </c>
      <c r="R716" s="104" t="b">
        <f>IF(preDEL!$AG716,IFERROR(0/0,""),preDEL!R716)</f>
        <v>1</v>
      </c>
      <c r="S716" s="104">
        <f>IF(preDEL!$AG716,IFERROR(0/0,""),preDEL!S716)</f>
        <v>1</v>
      </c>
      <c r="T716" s="110" t="str">
        <f>IF(preDEL!$AG716,IFERROR(0/0,""),preDEL!T716)</f>
        <v/>
      </c>
      <c r="U716" s="112" t="str">
        <f>IF(preDEL!$AG716,IFERROR(0/0,""),preDEL!U716)</f>
        <v/>
      </c>
      <c r="V716" s="105" t="str">
        <f>IF(preDEL!$AG716,IFERROR(0/0,""),preDEL!V716)</f>
        <v/>
      </c>
      <c r="W716" s="112" t="str">
        <f>IF(preDEL!$AG716,IFERROR(0/0,""),preDEL!W716)</f>
        <v/>
      </c>
      <c r="X716" s="104" t="b">
        <f>IF(preDEL!$AG716,IFERROR(0/0,""),preDEL!X716)</f>
        <v>0</v>
      </c>
      <c r="Y716" s="110" t="b">
        <f>IF(preDEL!$AG716,IFERROR(0/0,""),preDEL!Y716)</f>
        <v>0</v>
      </c>
      <c r="Z716" s="105" t="str">
        <f>IF(preDEL!$AG716,IFERROR(0/0,""),preDEL!Z716)</f>
        <v/>
      </c>
      <c r="AA716" s="110" t="b">
        <f>IF(preDEL!$AG716,IFERROR(0/0,""),preDEL!AA716)</f>
        <v>0</v>
      </c>
      <c r="AB716" s="110" t="b">
        <f>IF(preDEL!$AG716,IFERROR(0/0,""),preDEL!AB716)</f>
        <v>0</v>
      </c>
      <c r="AC716" s="172">
        <f>IF(preDEL!$AG716,IFERROR(0/0,""),preDEL!AC716)</f>
        <v>107</v>
      </c>
      <c r="AD716" s="104" t="b">
        <f>IF(preDEL!$AG716,IFERROR(0/0,""),preDEL!AD716)</f>
        <v>0</v>
      </c>
      <c r="AE716" s="173">
        <f>IF(preDEL!$AG716,IFERROR(0/0,""),preDEL!AE716)</f>
        <v>212.5</v>
      </c>
      <c r="AF716" s="110" t="b">
        <f>IF(preDEL!$AG716,IFERROR(0/0,""),preDEL!AF716)</f>
        <v>0</v>
      </c>
      <c r="AG716" s="110" t="b">
        <f>IF(preDEL!$AG716,IFERROR(0/0,""),preDEL!AG716)</f>
        <v>0</v>
      </c>
      <c r="AH716" s="104" t="str">
        <f>IF(preDEL!$AG716,IFERROR(0/0,""),preDEL!AH716)</f>
        <v/>
      </c>
      <c r="AI716" s="105" t="str">
        <f>IF(preDEL!$AG716,IFERROR(0/0,""),preDEL!AI716)</f>
        <v/>
      </c>
      <c r="AJ716" s="112" t="str">
        <f>IF(preDEL!$AG716,IFERROR(0/0,""),preDEL!AJ716)</f>
        <v/>
      </c>
      <c r="AK716" s="105" t="str">
        <f>IF(preDEL!$AG716,IFERROR(0/0,""),preDEL!AK716)</f>
        <v>Negative</v>
      </c>
      <c r="AL716" s="112" t="str">
        <f>IF(preDEL!$AG716,IFERROR(0/0,""),preDEL!AL716)</f>
        <v/>
      </c>
      <c r="AM716" s="112" t="str">
        <f>IF(preDEL!$AG716,IFERROR(0/0,""),preDEL!AM716)</f>
        <v>SpBEND842248</v>
      </c>
      <c r="AN716" s="112" t="str">
        <f>IF(preDEL!$AG716,IFERROR(0/0,""),preDEL!AN716)</f>
        <v>BEND296589</v>
      </c>
      <c r="AO716" s="112" t="str">
        <f>IF(preDEL!$AG716,IFERROR(0/0,""),preDEL!AO716)</f>
        <v/>
      </c>
      <c r="AP716" s="112" t="str">
        <f>IF(preDEL!$AG716,IFERROR(0/0,""),preDEL!AP716)</f>
        <v/>
      </c>
      <c r="AQ716" s="112" t="str">
        <f>IF(preDEL!$AG716,IFERROR(0/0,""),preDEL!AQ716)</f>
        <v/>
      </c>
      <c r="AR716" s="112" t="str">
        <f>IF(preDEL!$AG716,IFERROR(0/0,""),preDEL!AR716)</f>
        <v/>
      </c>
      <c r="AS716" s="112" t="str">
        <f>IF(preDEL!$AG716,IFERROR(0/0,""),preDEL!AS716)</f>
        <v/>
      </c>
      <c r="AT716" s="112" t="b">
        <f>IF(preDEL!$AG716,IFERROR(0/0,""),preDEL!AT716)</f>
        <v>0</v>
      </c>
      <c r="AU716" s="112" t="str">
        <f>IF(preDEL!$AG716,IFERROR(0/0,""),preDEL!AU716)</f>
        <v/>
      </c>
      <c r="AV716" s="112" t="str">
        <f>IF(preDEL!$AG716,IFERROR(0/0,""),preDEL!AV716)</f>
        <v/>
      </c>
      <c r="AW716" s="112" t="str">
        <f>IF(preDEL!$AG716,IFERROR(0/0,""),preDEL!AW716)</f>
        <v/>
      </c>
      <c r="AX716" s="112" t="str">
        <f>IF(preDEL!$AG716,IFERROR(0/0,""),preDEL!AX716)</f>
        <v/>
      </c>
      <c r="AY716" s="112" t="str">
        <f>IF(preDEL!$AG716,IFERROR(0/0,""),preDEL!AY716)</f>
        <v/>
      </c>
      <c r="AZ716" s="174"/>
      <c r="BA716" s="174"/>
      <c r="BB716" s="174"/>
      <c r="BC716" s="174"/>
      <c r="BD716" s="174"/>
      <c r="BE716" s="174"/>
      <c r="BF716" s="174"/>
      <c r="BG716" s="174"/>
      <c r="BH716" s="174"/>
      <c r="BI716" s="174"/>
      <c r="BJ716" s="174"/>
      <c r="BK716" s="174"/>
      <c r="BL716" s="174"/>
      <c r="BM716" s="174"/>
      <c r="BN716" s="174"/>
      <c r="BO716" s="174"/>
      <c r="BP716" s="174"/>
      <c r="BQ716" s="174"/>
      <c r="BR716" s="174"/>
      <c r="BS716" s="174"/>
      <c r="BT716" s="174"/>
      <c r="BU716" s="174"/>
      <c r="BV716" s="174"/>
      <c r="BW716" s="174"/>
      <c r="BX716" s="174"/>
      <c r="BY716" s="174"/>
      <c r="BZ716" s="174"/>
      <c r="CA716" s="174"/>
      <c r="CB716" s="174"/>
      <c r="CC716" s="174"/>
      <c r="CD716" s="174"/>
    </row>
    <row r="717">
      <c r="A717" s="105" t="str">
        <f>IF(preDEL!$AG717,IFERROR(0/0,""),preDEL!A717)</f>
        <v>MA1294</v>
      </c>
      <c r="B717" s="170">
        <f>IF(preDEL!$AG717,IFERROR(0/0,""),preDEL!B717)</f>
        <v>44625</v>
      </c>
      <c r="C717" s="171">
        <f>IF(preDEL!$AG717,IFERROR(0/0,""),preDEL!C717)</f>
        <v>0.3553009259</v>
      </c>
      <c r="D717" s="105" t="str">
        <f>IF(preDEL!$AG717,IFERROR(0/0,""),preDEL!D717)</f>
        <v/>
      </c>
      <c r="E717" s="105" t="str">
        <f>IF(preDEL!$AG717,IFERROR(0/0,""),preDEL!E717)</f>
        <v/>
      </c>
      <c r="F717" s="112" t="str">
        <f>IF(preDEL!$AG717,IFERROR(0/0,""),preDEL!F717)</f>
        <v/>
      </c>
      <c r="G717" s="112" t="str">
        <f>IF(preDEL!$AG717,IFERROR(0/0,""),preDEL!G717)</f>
        <v/>
      </c>
      <c r="H717" s="112" t="str">
        <f>IF(preDEL!$AG717,IFERROR(0/0,""),preDEL!H717)</f>
        <v/>
      </c>
      <c r="I717" s="105" t="str">
        <f>IF(preDEL!$AG717,IFERROR(0/0,""),preDEL!I717)</f>
        <v/>
      </c>
      <c r="J717" s="105" t="str">
        <f>IF(preDEL!$AG717,IFERROR(0/0,""),preDEL!J717)</f>
        <v/>
      </c>
      <c r="K717" s="105" t="str">
        <f>IF(preDEL!$AG717,IFERROR(0/0,""),preDEL!K717)</f>
        <v>Positive</v>
      </c>
      <c r="L717" s="170">
        <f>IF(preDEL!$AG717,IFERROR(0/0,""),preDEL!L717)</f>
        <v>44627</v>
      </c>
      <c r="M717" s="171">
        <f>IF(preDEL!$AG717,IFERROR(0/0,""),preDEL!M717)</f>
        <v>0.4779861111</v>
      </c>
      <c r="N717" s="112" t="str">
        <f>IF(preDEL!$AG717,IFERROR(0/0,""),preDEL!N717)</f>
        <v/>
      </c>
      <c r="O717" s="112" t="str">
        <f>IF(preDEL!$AG717,IFERROR(0/0,""),preDEL!O717)</f>
        <v/>
      </c>
      <c r="P717" s="110" t="b">
        <f>IF(preDEL!$AG717,IFERROR(0/0,""),preDEL!P717)</f>
        <v>0</v>
      </c>
      <c r="Q717" s="110" t="str">
        <f>IF(preDEL!$AG717,IFERROR(0/0,""),preDEL!Q717)</f>
        <v>Result</v>
      </c>
      <c r="R717" s="104" t="b">
        <f>IF(preDEL!$AG717,IFERROR(0/0,""),preDEL!R717)</f>
        <v>1</v>
      </c>
      <c r="S717" s="104">
        <f>IF(preDEL!$AG717,IFERROR(0/0,""),preDEL!S717)</f>
        <v>1</v>
      </c>
      <c r="T717" s="110" t="str">
        <f>IF(preDEL!$AG717,IFERROR(0/0,""),preDEL!T717)</f>
        <v/>
      </c>
      <c r="U717" s="112" t="str">
        <f>IF(preDEL!$AG717,IFERROR(0/0,""),preDEL!U717)</f>
        <v/>
      </c>
      <c r="V717" s="105" t="str">
        <f>IF(preDEL!$AG717,IFERROR(0/0,""),preDEL!V717)</f>
        <v/>
      </c>
      <c r="W717" s="112" t="str">
        <f>IF(preDEL!$AG717,IFERROR(0/0,""),preDEL!W717)</f>
        <v/>
      </c>
      <c r="X717" s="104" t="b">
        <f>IF(preDEL!$AG717,IFERROR(0/0,""),preDEL!X717)</f>
        <v>0</v>
      </c>
      <c r="Y717" s="110" t="b">
        <f>IF(preDEL!$AG717,IFERROR(0/0,""),preDEL!Y717)</f>
        <v>0</v>
      </c>
      <c r="Z717" s="105" t="str">
        <f>IF(preDEL!$AG717,IFERROR(0/0,""),preDEL!Z717)</f>
        <v/>
      </c>
      <c r="AA717" s="110" t="b">
        <f>IF(preDEL!$AG717,IFERROR(0/0,""),preDEL!AA717)</f>
        <v>0</v>
      </c>
      <c r="AB717" s="110" t="b">
        <f>IF(preDEL!$AG717,IFERROR(0/0,""),preDEL!AB717)</f>
        <v>0</v>
      </c>
      <c r="AC717" s="172">
        <f>IF(preDEL!$AG717,IFERROR(0/0,""),preDEL!AC717)</f>
        <v>106</v>
      </c>
      <c r="AD717" s="104" t="b">
        <f>IF(preDEL!$AG717,IFERROR(0/0,""),preDEL!AD717)</f>
        <v>0</v>
      </c>
      <c r="AE717" s="173" t="str">
        <f>IF(preDEL!$AG717,IFERROR(0/0,""),preDEL!AE717)</f>
        <v/>
      </c>
      <c r="AF717" s="110" t="b">
        <f>IF(preDEL!$AG717,IFERROR(0/0,""),preDEL!AF717)</f>
        <v>0</v>
      </c>
      <c r="AG717" s="110" t="b">
        <f>IF(preDEL!$AG717,IFERROR(0/0,""),preDEL!AG717)</f>
        <v>0</v>
      </c>
      <c r="AH717" s="104" t="str">
        <f>IF(preDEL!$AG717,IFERROR(0/0,""),preDEL!AH717)</f>
        <v/>
      </c>
      <c r="AI717" s="105" t="str">
        <f>IF(preDEL!$AG717,IFERROR(0/0,""),preDEL!AI717)</f>
        <v/>
      </c>
      <c r="AJ717" s="112" t="str">
        <f>IF(preDEL!$AG717,IFERROR(0/0,""),preDEL!AJ717)</f>
        <v/>
      </c>
      <c r="AK717" s="105" t="str">
        <f>IF(preDEL!$AG717,IFERROR(0/0,""),preDEL!AK717)</f>
        <v>Positive</v>
      </c>
      <c r="AL717" s="112" t="str">
        <f>IF(preDEL!$AG717,IFERROR(0/0,""),preDEL!AL717)</f>
        <v/>
      </c>
      <c r="AM717" s="112" t="str">
        <f>IF(preDEL!$AG717,IFERROR(0/0,""),preDEL!AM717)</f>
        <v>SpBEND350015</v>
      </c>
      <c r="AN717" s="112" t="str">
        <f>IF(preDEL!$AG717,IFERROR(0/0,""),preDEL!AN717)</f>
        <v>BEND670149</v>
      </c>
      <c r="AO717" s="112" t="str">
        <f>IF(preDEL!$AG717,IFERROR(0/0,""),preDEL!AO717)</f>
        <v/>
      </c>
      <c r="AP717" s="112" t="str">
        <f>IF(preDEL!$AG717,IFERROR(0/0,""),preDEL!AP717)</f>
        <v/>
      </c>
      <c r="AQ717" s="112" t="str">
        <f>IF(preDEL!$AG717,IFERROR(0/0,""),preDEL!AQ717)</f>
        <v/>
      </c>
      <c r="AR717" s="112" t="str">
        <f>IF(preDEL!$AG717,IFERROR(0/0,""),preDEL!AR717)</f>
        <v/>
      </c>
      <c r="AS717" s="112" t="str">
        <f>IF(preDEL!$AG717,IFERROR(0/0,""),preDEL!AS717)</f>
        <v/>
      </c>
      <c r="AT717" s="112" t="b">
        <f>IF(preDEL!$AG717,IFERROR(0/0,""),preDEL!AT717)</f>
        <v>0</v>
      </c>
      <c r="AU717" s="112" t="str">
        <f>IF(preDEL!$AG717,IFERROR(0/0,""),preDEL!AU717)</f>
        <v/>
      </c>
      <c r="AV717" s="112" t="str">
        <f>IF(preDEL!$AG717,IFERROR(0/0,""),preDEL!AV717)</f>
        <v/>
      </c>
      <c r="AW717" s="112" t="str">
        <f>IF(preDEL!$AG717,IFERROR(0/0,""),preDEL!AW717)</f>
        <v/>
      </c>
      <c r="AX717" s="112" t="str">
        <f>IF(preDEL!$AG717,IFERROR(0/0,""),preDEL!AX717)</f>
        <v/>
      </c>
      <c r="AY717" s="112" t="str">
        <f>IF(preDEL!$AG717,IFERROR(0/0,""),preDEL!AY717)</f>
        <v/>
      </c>
      <c r="AZ717" s="174"/>
      <c r="BA717" s="174"/>
      <c r="BB717" s="174"/>
      <c r="BC717" s="174"/>
      <c r="BD717" s="174"/>
      <c r="BE717" s="174"/>
      <c r="BF717" s="174"/>
      <c r="BG717" s="174"/>
      <c r="BH717" s="174"/>
      <c r="BI717" s="174"/>
      <c r="BJ717" s="174"/>
      <c r="BK717" s="174"/>
      <c r="BL717" s="174"/>
      <c r="BM717" s="174"/>
      <c r="BN717" s="174"/>
      <c r="BO717" s="174"/>
      <c r="BP717" s="174"/>
      <c r="BQ717" s="174"/>
      <c r="BR717" s="174"/>
      <c r="BS717" s="174"/>
      <c r="BT717" s="174"/>
      <c r="BU717" s="174"/>
      <c r="BV717" s="174"/>
      <c r="BW717" s="174"/>
      <c r="BX717" s="174"/>
      <c r="BY717" s="174"/>
      <c r="BZ717" s="174"/>
      <c r="CA717" s="174"/>
      <c r="CB717" s="174"/>
      <c r="CC717" s="174"/>
      <c r="CD717" s="174"/>
    </row>
    <row r="718">
      <c r="A718" s="105" t="str">
        <f>IF(preDEL!$AG718,IFERROR(0/0,""),preDEL!A718)</f>
        <v>FM1905</v>
      </c>
      <c r="B718" s="170">
        <f>IF(preDEL!$AG718,IFERROR(0/0,""),preDEL!B718)</f>
        <v>44625</v>
      </c>
      <c r="C718" s="171">
        <f>IF(preDEL!$AG718,IFERROR(0/0,""),preDEL!C718)</f>
        <v>0.3676851852</v>
      </c>
      <c r="D718" s="105" t="str">
        <f>IF(preDEL!$AG718,IFERROR(0/0,""),preDEL!D718)</f>
        <v/>
      </c>
      <c r="E718" s="105" t="str">
        <f>IF(preDEL!$AG718,IFERROR(0/0,""),preDEL!E718)</f>
        <v/>
      </c>
      <c r="F718" s="112" t="str">
        <f>IF(preDEL!$AG718,IFERROR(0/0,""),preDEL!F718)</f>
        <v/>
      </c>
      <c r="G718" s="112" t="str">
        <f>IF(preDEL!$AG718,IFERROR(0/0,""),preDEL!G718)</f>
        <v/>
      </c>
      <c r="H718" s="112" t="str">
        <f>IF(preDEL!$AG718,IFERROR(0/0,""),preDEL!H718)</f>
        <v/>
      </c>
      <c r="I718" s="105" t="str">
        <f>IF(preDEL!$AG718,IFERROR(0/0,""),preDEL!I718)</f>
        <v/>
      </c>
      <c r="J718" s="105" t="str">
        <f>IF(preDEL!$AG718,IFERROR(0/0,""),preDEL!J718)</f>
        <v/>
      </c>
      <c r="K718" s="105" t="str">
        <f>IF(preDEL!$AG718,IFERROR(0/0,""),preDEL!K718)</f>
        <v>Negative</v>
      </c>
      <c r="L718" s="170">
        <f>IF(preDEL!$AG718,IFERROR(0/0,""),preDEL!L718)</f>
        <v>44625</v>
      </c>
      <c r="M718" s="171">
        <f>IF(preDEL!$AG718,IFERROR(0/0,""),preDEL!M718)</f>
        <v>0.4897569444</v>
      </c>
      <c r="N718" s="112" t="str">
        <f>IF(preDEL!$AG718,IFERROR(0/0,""),preDEL!N718)</f>
        <v/>
      </c>
      <c r="O718" s="112" t="str">
        <f>IF(preDEL!$AG718,IFERROR(0/0,""),preDEL!O718)</f>
        <v/>
      </c>
      <c r="P718" s="110" t="b">
        <f>IF(preDEL!$AG718,IFERROR(0/0,""),preDEL!P718)</f>
        <v>0</v>
      </c>
      <c r="Q718" s="110" t="str">
        <f>IF(preDEL!$AG718,IFERROR(0/0,""),preDEL!Q718)</f>
        <v>Result</v>
      </c>
      <c r="R718" s="104" t="b">
        <f>IF(preDEL!$AG718,IFERROR(0/0,""),preDEL!R718)</f>
        <v>1</v>
      </c>
      <c r="S718" s="104">
        <f>IF(preDEL!$AG718,IFERROR(0/0,""),preDEL!S718)</f>
        <v>1</v>
      </c>
      <c r="T718" s="110" t="str">
        <f>IF(preDEL!$AG718,IFERROR(0/0,""),preDEL!T718)</f>
        <v/>
      </c>
      <c r="U718" s="112" t="str">
        <f>IF(preDEL!$AG718,IFERROR(0/0,""),preDEL!U718)</f>
        <v/>
      </c>
      <c r="V718" s="105" t="str">
        <f>IF(preDEL!$AG718,IFERROR(0/0,""),preDEL!V718)</f>
        <v/>
      </c>
      <c r="W718" s="112" t="str">
        <f>IF(preDEL!$AG718,IFERROR(0/0,""),preDEL!W718)</f>
        <v/>
      </c>
      <c r="X718" s="104" t="b">
        <f>IF(preDEL!$AG718,IFERROR(0/0,""),preDEL!X718)</f>
        <v>0</v>
      </c>
      <c r="Y718" s="110" t="b">
        <f>IF(preDEL!$AG718,IFERROR(0/0,""),preDEL!Y718)</f>
        <v>0</v>
      </c>
      <c r="Z718" s="105" t="str">
        <f>IF(preDEL!$AG718,IFERROR(0/0,""),preDEL!Z718)</f>
        <v/>
      </c>
      <c r="AA718" s="110" t="b">
        <f>IF(preDEL!$AG718,IFERROR(0/0,""),preDEL!AA718)</f>
        <v>0</v>
      </c>
      <c r="AB718" s="110" t="b">
        <f>IF(preDEL!$AG718,IFERROR(0/0,""),preDEL!AB718)</f>
        <v>0</v>
      </c>
      <c r="AC718" s="172">
        <f>IF(preDEL!$AG718,IFERROR(0/0,""),preDEL!AC718)</f>
        <v>105</v>
      </c>
      <c r="AD718" s="104" t="b">
        <f>IF(preDEL!$AG718,IFERROR(0/0,""),preDEL!AD718)</f>
        <v>0</v>
      </c>
      <c r="AE718" s="173">
        <f>IF(preDEL!$AG718,IFERROR(0/0,""),preDEL!AE718)</f>
        <v>175.7833333</v>
      </c>
      <c r="AF718" s="110" t="b">
        <f>IF(preDEL!$AG718,IFERROR(0/0,""),preDEL!AF718)</f>
        <v>0</v>
      </c>
      <c r="AG718" s="110" t="b">
        <f>IF(preDEL!$AG718,IFERROR(0/0,""),preDEL!AG718)</f>
        <v>0</v>
      </c>
      <c r="AH718" s="104" t="str">
        <f>IF(preDEL!$AG718,IFERROR(0/0,""),preDEL!AH718)</f>
        <v/>
      </c>
      <c r="AI718" s="105" t="str">
        <f>IF(preDEL!$AG718,IFERROR(0/0,""),preDEL!AI718)</f>
        <v/>
      </c>
      <c r="AJ718" s="112" t="str">
        <f>IF(preDEL!$AG718,IFERROR(0/0,""),preDEL!AJ718)</f>
        <v/>
      </c>
      <c r="AK718" s="105" t="str">
        <f>IF(preDEL!$AG718,IFERROR(0/0,""),preDEL!AK718)</f>
        <v>Negative</v>
      </c>
      <c r="AL718" s="112" t="str">
        <f>IF(preDEL!$AG718,IFERROR(0/0,""),preDEL!AL718)</f>
        <v/>
      </c>
      <c r="AM718" s="112" t="str">
        <f>IF(preDEL!$AG718,IFERROR(0/0,""),preDEL!AM718)</f>
        <v>SpBEND387578</v>
      </c>
      <c r="AN718" s="112" t="str">
        <f>IF(preDEL!$AG718,IFERROR(0/0,""),preDEL!AN718)</f>
        <v>BEND375164</v>
      </c>
      <c r="AO718" s="112" t="str">
        <f>IF(preDEL!$AG718,IFERROR(0/0,""),preDEL!AO718)</f>
        <v/>
      </c>
      <c r="AP718" s="112" t="str">
        <f>IF(preDEL!$AG718,IFERROR(0/0,""),preDEL!AP718)</f>
        <v/>
      </c>
      <c r="AQ718" s="112" t="str">
        <f>IF(preDEL!$AG718,IFERROR(0/0,""),preDEL!AQ718)</f>
        <v/>
      </c>
      <c r="AR718" s="112" t="str">
        <f>IF(preDEL!$AG718,IFERROR(0/0,""),preDEL!AR718)</f>
        <v/>
      </c>
      <c r="AS718" s="112" t="str">
        <f>IF(preDEL!$AG718,IFERROR(0/0,""),preDEL!AS718)</f>
        <v/>
      </c>
      <c r="AT718" s="112" t="b">
        <f>IF(preDEL!$AG718,IFERROR(0/0,""),preDEL!AT718)</f>
        <v>0</v>
      </c>
      <c r="AU718" s="112" t="str">
        <f>IF(preDEL!$AG718,IFERROR(0/0,""),preDEL!AU718)</f>
        <v/>
      </c>
      <c r="AV718" s="112" t="str">
        <f>IF(preDEL!$AG718,IFERROR(0/0,""),preDEL!AV718)</f>
        <v/>
      </c>
      <c r="AW718" s="112" t="str">
        <f>IF(preDEL!$AG718,IFERROR(0/0,""),preDEL!AW718)</f>
        <v/>
      </c>
      <c r="AX718" s="112" t="str">
        <f>IF(preDEL!$AG718,IFERROR(0/0,""),preDEL!AX718)</f>
        <v/>
      </c>
      <c r="AY718" s="112" t="str">
        <f>IF(preDEL!$AG718,IFERROR(0/0,""),preDEL!AY718)</f>
        <v/>
      </c>
      <c r="AZ718" s="174"/>
      <c r="BA718" s="174"/>
      <c r="BB718" s="174"/>
      <c r="BC718" s="174"/>
      <c r="BD718" s="174"/>
      <c r="BE718" s="174"/>
      <c r="BF718" s="174"/>
      <c r="BG718" s="174"/>
      <c r="BH718" s="174"/>
      <c r="BI718" s="174"/>
      <c r="BJ718" s="174"/>
      <c r="BK718" s="174"/>
      <c r="BL718" s="174"/>
      <c r="BM718" s="174"/>
      <c r="BN718" s="174"/>
      <c r="BO718" s="174"/>
      <c r="BP718" s="174"/>
      <c r="BQ718" s="174"/>
      <c r="BR718" s="174"/>
      <c r="BS718" s="174"/>
      <c r="BT718" s="174"/>
      <c r="BU718" s="174"/>
      <c r="BV718" s="174"/>
      <c r="BW718" s="174"/>
      <c r="BX718" s="174"/>
      <c r="BY718" s="174"/>
      <c r="BZ718" s="174"/>
      <c r="CA718" s="174"/>
      <c r="CB718" s="174"/>
      <c r="CC718" s="174"/>
      <c r="CD718" s="174"/>
    </row>
    <row r="719">
      <c r="A719" s="105" t="str">
        <f>IF(preDEL!$AG719,IFERROR(0/0,""),preDEL!A719)</f>
        <v>FM85</v>
      </c>
      <c r="B719" s="170">
        <f>IF(preDEL!$AG719,IFERROR(0/0,""),preDEL!B719)</f>
        <v>44625</v>
      </c>
      <c r="C719" s="171">
        <f>IF(preDEL!$AG719,IFERROR(0/0,""),preDEL!C719)</f>
        <v>0.3858333333</v>
      </c>
      <c r="D719" s="105" t="str">
        <f>IF(preDEL!$AG719,IFERROR(0/0,""),preDEL!D719)</f>
        <v/>
      </c>
      <c r="E719" s="105" t="str">
        <f>IF(preDEL!$AG719,IFERROR(0/0,""),preDEL!E719)</f>
        <v/>
      </c>
      <c r="F719" s="112" t="str">
        <f>IF(preDEL!$AG719,IFERROR(0/0,""),preDEL!F719)</f>
        <v/>
      </c>
      <c r="G719" s="112" t="str">
        <f>IF(preDEL!$AG719,IFERROR(0/0,""),preDEL!G719)</f>
        <v/>
      </c>
      <c r="H719" s="112" t="str">
        <f>IF(preDEL!$AG719,IFERROR(0/0,""),preDEL!H719)</f>
        <v/>
      </c>
      <c r="I719" s="105" t="str">
        <f>IF(preDEL!$AG719,IFERROR(0/0,""),preDEL!I719)</f>
        <v/>
      </c>
      <c r="J719" s="105" t="str">
        <f>IF(preDEL!$AG719,IFERROR(0/0,""),preDEL!J719)</f>
        <v/>
      </c>
      <c r="K719" s="105" t="str">
        <f>IF(preDEL!$AG719,IFERROR(0/0,""),preDEL!K719)</f>
        <v>Negative</v>
      </c>
      <c r="L719" s="170">
        <f>IF(preDEL!$AG719,IFERROR(0/0,""),preDEL!L719)</f>
        <v>44625</v>
      </c>
      <c r="M719" s="171">
        <f>IF(preDEL!$AG719,IFERROR(0/0,""),preDEL!M719)</f>
        <v>0.4897569444</v>
      </c>
      <c r="N719" s="112" t="str">
        <f>IF(preDEL!$AG719,IFERROR(0/0,""),preDEL!N719)</f>
        <v/>
      </c>
      <c r="O719" s="112" t="str">
        <f>IF(preDEL!$AG719,IFERROR(0/0,""),preDEL!O719)</f>
        <v/>
      </c>
      <c r="P719" s="110" t="b">
        <f>IF(preDEL!$AG719,IFERROR(0/0,""),preDEL!P719)</f>
        <v>0</v>
      </c>
      <c r="Q719" s="110" t="str">
        <f>IF(preDEL!$AG719,IFERROR(0/0,""),preDEL!Q719)</f>
        <v>Result</v>
      </c>
      <c r="R719" s="104" t="b">
        <f>IF(preDEL!$AG719,IFERROR(0/0,""),preDEL!R719)</f>
        <v>1</v>
      </c>
      <c r="S719" s="104">
        <f>IF(preDEL!$AG719,IFERROR(0/0,""),preDEL!S719)</f>
        <v>1</v>
      </c>
      <c r="T719" s="110" t="str">
        <f>IF(preDEL!$AG719,IFERROR(0/0,""),preDEL!T719)</f>
        <v/>
      </c>
      <c r="U719" s="112" t="str">
        <f>IF(preDEL!$AG719,IFERROR(0/0,""),preDEL!U719)</f>
        <v/>
      </c>
      <c r="V719" s="105" t="str">
        <f>IF(preDEL!$AG719,IFERROR(0/0,""),preDEL!V719)</f>
        <v/>
      </c>
      <c r="W719" s="112" t="str">
        <f>IF(preDEL!$AG719,IFERROR(0/0,""),preDEL!W719)</f>
        <v/>
      </c>
      <c r="X719" s="104" t="b">
        <f>IF(preDEL!$AG719,IFERROR(0/0,""),preDEL!X719)</f>
        <v>0</v>
      </c>
      <c r="Y719" s="110" t="b">
        <f>IF(preDEL!$AG719,IFERROR(0/0,""),preDEL!Y719)</f>
        <v>0</v>
      </c>
      <c r="Z719" s="105" t="str">
        <f>IF(preDEL!$AG719,IFERROR(0/0,""),preDEL!Z719)</f>
        <v/>
      </c>
      <c r="AA719" s="110" t="b">
        <f>IF(preDEL!$AG719,IFERROR(0/0,""),preDEL!AA719)</f>
        <v>0</v>
      </c>
      <c r="AB719" s="110" t="b">
        <f>IF(preDEL!$AG719,IFERROR(0/0,""),preDEL!AB719)</f>
        <v>0</v>
      </c>
      <c r="AC719" s="172">
        <f>IF(preDEL!$AG719,IFERROR(0/0,""),preDEL!AC719)</f>
        <v>104</v>
      </c>
      <c r="AD719" s="104" t="b">
        <f>IF(preDEL!$AG719,IFERROR(0/0,""),preDEL!AD719)</f>
        <v>0</v>
      </c>
      <c r="AE719" s="173">
        <f>IF(preDEL!$AG719,IFERROR(0/0,""),preDEL!AE719)</f>
        <v>149.65</v>
      </c>
      <c r="AF719" s="110" t="b">
        <f>IF(preDEL!$AG719,IFERROR(0/0,""),preDEL!AF719)</f>
        <v>0</v>
      </c>
      <c r="AG719" s="110" t="b">
        <f>IF(preDEL!$AG719,IFERROR(0/0,""),preDEL!AG719)</f>
        <v>0</v>
      </c>
      <c r="AH719" s="104" t="str">
        <f>IF(preDEL!$AG719,IFERROR(0/0,""),preDEL!AH719)</f>
        <v/>
      </c>
      <c r="AI719" s="105" t="str">
        <f>IF(preDEL!$AG719,IFERROR(0/0,""),preDEL!AI719)</f>
        <v/>
      </c>
      <c r="AJ719" s="112" t="str">
        <f>IF(preDEL!$AG719,IFERROR(0/0,""),preDEL!AJ719)</f>
        <v/>
      </c>
      <c r="AK719" s="105" t="str">
        <f>IF(preDEL!$AG719,IFERROR(0/0,""),preDEL!AK719)</f>
        <v>Negative</v>
      </c>
      <c r="AL719" s="112" t="str">
        <f>IF(preDEL!$AG719,IFERROR(0/0,""),preDEL!AL719)</f>
        <v/>
      </c>
      <c r="AM719" s="112" t="str">
        <f>IF(preDEL!$AG719,IFERROR(0/0,""),preDEL!AM719)</f>
        <v>SpBEND899578</v>
      </c>
      <c r="AN719" s="112" t="str">
        <f>IF(preDEL!$AG719,IFERROR(0/0,""),preDEL!AN719)</f>
        <v>BEND949070</v>
      </c>
      <c r="AO719" s="112" t="str">
        <f>IF(preDEL!$AG719,IFERROR(0/0,""),preDEL!AO719)</f>
        <v/>
      </c>
      <c r="AP719" s="112" t="str">
        <f>IF(preDEL!$AG719,IFERROR(0/0,""),preDEL!AP719)</f>
        <v/>
      </c>
      <c r="AQ719" s="112" t="str">
        <f>IF(preDEL!$AG719,IFERROR(0/0,""),preDEL!AQ719)</f>
        <v/>
      </c>
      <c r="AR719" s="112" t="str">
        <f>IF(preDEL!$AG719,IFERROR(0/0,""),preDEL!AR719)</f>
        <v/>
      </c>
      <c r="AS719" s="112" t="str">
        <f>IF(preDEL!$AG719,IFERROR(0/0,""),preDEL!AS719)</f>
        <v/>
      </c>
      <c r="AT719" s="112" t="b">
        <f>IF(preDEL!$AG719,IFERROR(0/0,""),preDEL!AT719)</f>
        <v>0</v>
      </c>
      <c r="AU719" s="112" t="str">
        <f>IF(preDEL!$AG719,IFERROR(0/0,""),preDEL!AU719)</f>
        <v/>
      </c>
      <c r="AV719" s="112" t="str">
        <f>IF(preDEL!$AG719,IFERROR(0/0,""),preDEL!AV719)</f>
        <v/>
      </c>
      <c r="AW719" s="112" t="str">
        <f>IF(preDEL!$AG719,IFERROR(0/0,""),preDEL!AW719)</f>
        <v/>
      </c>
      <c r="AX719" s="112" t="str">
        <f>IF(preDEL!$AG719,IFERROR(0/0,""),preDEL!AX719)</f>
        <v/>
      </c>
      <c r="AY719" s="112" t="str">
        <f>IF(preDEL!$AG719,IFERROR(0/0,""),preDEL!AY719)</f>
        <v/>
      </c>
      <c r="AZ719" s="174"/>
      <c r="BA719" s="174"/>
      <c r="BB719" s="174"/>
      <c r="BC719" s="174"/>
      <c r="BD719" s="174"/>
      <c r="BE719" s="174"/>
      <c r="BF719" s="174"/>
      <c r="BG719" s="174"/>
      <c r="BH719" s="174"/>
      <c r="BI719" s="174"/>
      <c r="BJ719" s="174"/>
      <c r="BK719" s="174"/>
      <c r="BL719" s="174"/>
      <c r="BM719" s="174"/>
      <c r="BN719" s="174"/>
      <c r="BO719" s="174"/>
      <c r="BP719" s="174"/>
      <c r="BQ719" s="174"/>
      <c r="BR719" s="174"/>
      <c r="BS719" s="174"/>
      <c r="BT719" s="174"/>
      <c r="BU719" s="174"/>
      <c r="BV719" s="174"/>
      <c r="BW719" s="174"/>
      <c r="BX719" s="174"/>
      <c r="BY719" s="174"/>
      <c r="BZ719" s="174"/>
      <c r="CA719" s="174"/>
      <c r="CB719" s="174"/>
      <c r="CC719" s="174"/>
      <c r="CD719" s="174"/>
    </row>
    <row r="720">
      <c r="A720" s="105" t="str">
        <f>IF(preDEL!$AG720,IFERROR(0/0,""),preDEL!A720)</f>
        <v>MA1308</v>
      </c>
      <c r="B720" s="170">
        <f>IF(preDEL!$AG720,IFERROR(0/0,""),preDEL!B720)</f>
        <v>44625</v>
      </c>
      <c r="C720" s="171">
        <f>IF(preDEL!$AG720,IFERROR(0/0,""),preDEL!C720)</f>
        <v>0.3939930556</v>
      </c>
      <c r="D720" s="105" t="str">
        <f>IF(preDEL!$AG720,IFERROR(0/0,""),preDEL!D720)</f>
        <v/>
      </c>
      <c r="E720" s="105" t="str">
        <f>IF(preDEL!$AG720,IFERROR(0/0,""),preDEL!E720)</f>
        <v/>
      </c>
      <c r="F720" s="112" t="str">
        <f>IF(preDEL!$AG720,IFERROR(0/0,""),preDEL!F720)</f>
        <v/>
      </c>
      <c r="G720" s="112" t="str">
        <f>IF(preDEL!$AG720,IFERROR(0/0,""),preDEL!G720)</f>
        <v/>
      </c>
      <c r="H720" s="112" t="str">
        <f>IF(preDEL!$AG720,IFERROR(0/0,""),preDEL!H720)</f>
        <v/>
      </c>
      <c r="I720" s="105" t="str">
        <f>IF(preDEL!$AG720,IFERROR(0/0,""),preDEL!I720)</f>
        <v/>
      </c>
      <c r="J720" s="105" t="str">
        <f>IF(preDEL!$AG720,IFERROR(0/0,""),preDEL!J720)</f>
        <v/>
      </c>
      <c r="K720" s="105" t="str">
        <f>IF(preDEL!$AG720,IFERROR(0/0,""),preDEL!K720)</f>
        <v>Negative</v>
      </c>
      <c r="L720" s="170">
        <f>IF(preDEL!$AG720,IFERROR(0/0,""),preDEL!L720)</f>
        <v>44625</v>
      </c>
      <c r="M720" s="171">
        <f>IF(preDEL!$AG720,IFERROR(0/0,""),preDEL!M720)</f>
        <v>0.4899884259</v>
      </c>
      <c r="N720" s="112" t="str">
        <f>IF(preDEL!$AG720,IFERROR(0/0,""),preDEL!N720)</f>
        <v/>
      </c>
      <c r="O720" s="112" t="str">
        <f>IF(preDEL!$AG720,IFERROR(0/0,""),preDEL!O720)</f>
        <v/>
      </c>
      <c r="P720" s="110" t="b">
        <f>IF(preDEL!$AG720,IFERROR(0/0,""),preDEL!P720)</f>
        <v>0</v>
      </c>
      <c r="Q720" s="110" t="str">
        <f>IF(preDEL!$AG720,IFERROR(0/0,""),preDEL!Q720)</f>
        <v>Result</v>
      </c>
      <c r="R720" s="104" t="b">
        <f>IF(preDEL!$AG720,IFERROR(0/0,""),preDEL!R720)</f>
        <v>1</v>
      </c>
      <c r="S720" s="104">
        <f>IF(preDEL!$AG720,IFERROR(0/0,""),preDEL!S720)</f>
        <v>1</v>
      </c>
      <c r="T720" s="110">
        <f>IF(preDEL!$AG720,IFERROR(0/0,""),preDEL!T720)</f>
        <v>0</v>
      </c>
      <c r="U720" s="112" t="str">
        <f>IF(preDEL!$AG720,IFERROR(0/0,""),preDEL!U720)</f>
        <v/>
      </c>
      <c r="V720" s="105" t="str">
        <f>IF(preDEL!$AG720,IFERROR(0/0,""),preDEL!V720)</f>
        <v/>
      </c>
      <c r="W720" s="112" t="str">
        <f>IF(preDEL!$AG720,IFERROR(0/0,""),preDEL!W720)</f>
        <v/>
      </c>
      <c r="X720" s="104" t="b">
        <f>IF(preDEL!$AG720,IFERROR(0/0,""),preDEL!X720)</f>
        <v>0</v>
      </c>
      <c r="Y720" s="110" t="b">
        <f>IF(preDEL!$AG720,IFERROR(0/0,""),preDEL!Y720)</f>
        <v>0</v>
      </c>
      <c r="Z720" s="105" t="str">
        <f>IF(preDEL!$AG720,IFERROR(0/0,""),preDEL!Z720)</f>
        <v/>
      </c>
      <c r="AA720" s="110" t="b">
        <f>IF(preDEL!$AG720,IFERROR(0/0,""),preDEL!AA720)</f>
        <v>0</v>
      </c>
      <c r="AB720" s="110" t="b">
        <f>IF(preDEL!$AG720,IFERROR(0/0,""),preDEL!AB720)</f>
        <v>0</v>
      </c>
      <c r="AC720" s="172">
        <f>IF(preDEL!$AG720,IFERROR(0/0,""),preDEL!AC720)</f>
        <v>103</v>
      </c>
      <c r="AD720" s="104" t="b">
        <f>IF(preDEL!$AG720,IFERROR(0/0,""),preDEL!AD720)</f>
        <v>0</v>
      </c>
      <c r="AE720" s="173">
        <f>IF(preDEL!$AG720,IFERROR(0/0,""),preDEL!AE720)</f>
        <v>138.2333333</v>
      </c>
      <c r="AF720" s="110" t="b">
        <f>IF(preDEL!$AG720,IFERROR(0/0,""),preDEL!AF720)</f>
        <v>0</v>
      </c>
      <c r="AG720" s="110" t="b">
        <f>IF(preDEL!$AG720,IFERROR(0/0,""),preDEL!AG720)</f>
        <v>0</v>
      </c>
      <c r="AH720" s="104" t="str">
        <f>IF(preDEL!$AG720,IFERROR(0/0,""),preDEL!AH720)</f>
        <v/>
      </c>
      <c r="AI720" s="105" t="str">
        <f>IF(preDEL!$AG720,IFERROR(0/0,""),preDEL!AI720)</f>
        <v/>
      </c>
      <c r="AJ720" s="112" t="str">
        <f>IF(preDEL!$AG720,IFERROR(0/0,""),preDEL!AJ720)</f>
        <v/>
      </c>
      <c r="AK720" s="105" t="str">
        <f>IF(preDEL!$AG720,IFERROR(0/0,""),preDEL!AK720)</f>
        <v>Negative</v>
      </c>
      <c r="AL720" s="112" t="str">
        <f>IF(preDEL!$AG720,IFERROR(0/0,""),preDEL!AL720)</f>
        <v/>
      </c>
      <c r="AM720" s="112" t="str">
        <f>IF(preDEL!$AG720,IFERROR(0/0,""),preDEL!AM720)</f>
        <v>SpBEND151586</v>
      </c>
      <c r="AN720" s="112" t="str">
        <f>IF(preDEL!$AG720,IFERROR(0/0,""),preDEL!AN720)</f>
        <v>BEND668004</v>
      </c>
      <c r="AO720" s="112" t="str">
        <f>IF(preDEL!$AG720,IFERROR(0/0,""),preDEL!AO720)</f>
        <v/>
      </c>
      <c r="AP720" s="112" t="str">
        <f>IF(preDEL!$AG720,IFERROR(0/0,""),preDEL!AP720)</f>
        <v/>
      </c>
      <c r="AQ720" s="112" t="str">
        <f>IF(preDEL!$AG720,IFERROR(0/0,""),preDEL!AQ720)</f>
        <v/>
      </c>
      <c r="AR720" s="112" t="str">
        <f>IF(preDEL!$AG720,IFERROR(0/0,""),preDEL!AR720)</f>
        <v/>
      </c>
      <c r="AS720" s="112" t="str">
        <f>IF(preDEL!$AG720,IFERROR(0/0,""),preDEL!AS720)</f>
        <v/>
      </c>
      <c r="AT720" s="112" t="b">
        <f>IF(preDEL!$AG720,IFERROR(0/0,""),preDEL!AT720)</f>
        <v>0</v>
      </c>
      <c r="AU720" s="112" t="str">
        <f>IF(preDEL!$AG720,IFERROR(0/0,""),preDEL!AU720)</f>
        <v/>
      </c>
      <c r="AV720" s="112" t="str">
        <f>IF(preDEL!$AG720,IFERROR(0/0,""),preDEL!AV720)</f>
        <v/>
      </c>
      <c r="AW720" s="112" t="str">
        <f>IF(preDEL!$AG720,IFERROR(0/0,""),preDEL!AW720)</f>
        <v/>
      </c>
      <c r="AX720" s="112" t="str">
        <f>IF(preDEL!$AG720,IFERROR(0/0,""),preDEL!AX720)</f>
        <v/>
      </c>
      <c r="AY720" s="112" t="str">
        <f>IF(preDEL!$AG720,IFERROR(0/0,""),preDEL!AY720)</f>
        <v/>
      </c>
      <c r="AZ720" s="174"/>
      <c r="BA720" s="174"/>
      <c r="BB720" s="174"/>
      <c r="BC720" s="174"/>
      <c r="BD720" s="174"/>
      <c r="BE720" s="174"/>
      <c r="BF720" s="174"/>
      <c r="BG720" s="174"/>
      <c r="BH720" s="174"/>
      <c r="BI720" s="174"/>
      <c r="BJ720" s="174"/>
      <c r="BK720" s="174"/>
      <c r="BL720" s="174"/>
      <c r="BM720" s="174"/>
      <c r="BN720" s="174"/>
      <c r="BO720" s="174"/>
      <c r="BP720" s="174"/>
      <c r="BQ720" s="174"/>
      <c r="BR720" s="174"/>
      <c r="BS720" s="174"/>
      <c r="BT720" s="174"/>
      <c r="BU720" s="174"/>
      <c r="BV720" s="174"/>
      <c r="BW720" s="174"/>
      <c r="BX720" s="174"/>
      <c r="BY720" s="174"/>
      <c r="BZ720" s="174"/>
      <c r="CA720" s="174"/>
      <c r="CB720" s="174"/>
      <c r="CC720" s="174"/>
      <c r="CD720" s="174"/>
    </row>
    <row r="721">
      <c r="A721" s="105" t="str">
        <f>IF(preDEL!$AG721,IFERROR(0/0,""),preDEL!A721)</f>
        <v>MA1270</v>
      </c>
      <c r="B721" s="170">
        <f>IF(preDEL!$AG721,IFERROR(0/0,""),preDEL!B721)</f>
        <v>44625</v>
      </c>
      <c r="C721" s="171">
        <f>IF(preDEL!$AG721,IFERROR(0/0,""),preDEL!C721)</f>
        <v>0.3943171296</v>
      </c>
      <c r="D721" s="105" t="str">
        <f>IF(preDEL!$AG721,IFERROR(0/0,""),preDEL!D721)</f>
        <v/>
      </c>
      <c r="E721" s="105" t="str">
        <f>IF(preDEL!$AG721,IFERROR(0/0,""),preDEL!E721)</f>
        <v/>
      </c>
      <c r="F721" s="112" t="str">
        <f>IF(preDEL!$AG721,IFERROR(0/0,""),preDEL!F721)</f>
        <v/>
      </c>
      <c r="G721" s="112" t="str">
        <f>IF(preDEL!$AG721,IFERROR(0/0,""),preDEL!G721)</f>
        <v/>
      </c>
      <c r="H721" s="112" t="str">
        <f>IF(preDEL!$AG721,IFERROR(0/0,""),preDEL!H721)</f>
        <v/>
      </c>
      <c r="I721" s="105" t="str">
        <f>IF(preDEL!$AG721,IFERROR(0/0,""),preDEL!I721)</f>
        <v/>
      </c>
      <c r="J721" s="105" t="str">
        <f>IF(preDEL!$AG721,IFERROR(0/0,""),preDEL!J721)</f>
        <v/>
      </c>
      <c r="K721" s="105" t="str">
        <f>IF(preDEL!$AG721,IFERROR(0/0,""),preDEL!K721)</f>
        <v>Negative</v>
      </c>
      <c r="L721" s="170">
        <f>IF(preDEL!$AG721,IFERROR(0/0,""),preDEL!L721)</f>
        <v>44625</v>
      </c>
      <c r="M721" s="171">
        <f>IF(preDEL!$AG721,IFERROR(0/0,""),preDEL!M721)</f>
        <v>0.4897569444</v>
      </c>
      <c r="N721" s="112" t="str">
        <f>IF(preDEL!$AG721,IFERROR(0/0,""),preDEL!N721)</f>
        <v/>
      </c>
      <c r="O721" s="112" t="str">
        <f>IF(preDEL!$AG721,IFERROR(0/0,""),preDEL!O721)</f>
        <v/>
      </c>
      <c r="P721" s="110" t="b">
        <f>IF(preDEL!$AG721,IFERROR(0/0,""),preDEL!P721)</f>
        <v>0</v>
      </c>
      <c r="Q721" s="110" t="str">
        <f>IF(preDEL!$AG721,IFERROR(0/0,""),preDEL!Q721)</f>
        <v>Result</v>
      </c>
      <c r="R721" s="104" t="b">
        <f>IF(preDEL!$AG721,IFERROR(0/0,""),preDEL!R721)</f>
        <v>1</v>
      </c>
      <c r="S721" s="104">
        <f>IF(preDEL!$AG721,IFERROR(0/0,""),preDEL!S721)</f>
        <v>1</v>
      </c>
      <c r="T721" s="110">
        <f>IF(preDEL!$AG721,IFERROR(0/0,""),preDEL!T721)</f>
        <v>0</v>
      </c>
      <c r="U721" s="112" t="str">
        <f>IF(preDEL!$AG721,IFERROR(0/0,""),preDEL!U721)</f>
        <v/>
      </c>
      <c r="V721" s="105" t="str">
        <f>IF(preDEL!$AG721,IFERROR(0/0,""),preDEL!V721)</f>
        <v/>
      </c>
      <c r="W721" s="112" t="str">
        <f>IF(preDEL!$AG721,IFERROR(0/0,""),preDEL!W721)</f>
        <v/>
      </c>
      <c r="X721" s="104" t="b">
        <f>IF(preDEL!$AG721,IFERROR(0/0,""),preDEL!X721)</f>
        <v>0</v>
      </c>
      <c r="Y721" s="110" t="b">
        <f>IF(preDEL!$AG721,IFERROR(0/0,""),preDEL!Y721)</f>
        <v>0</v>
      </c>
      <c r="Z721" s="105" t="str">
        <f>IF(preDEL!$AG721,IFERROR(0/0,""),preDEL!Z721)</f>
        <v/>
      </c>
      <c r="AA721" s="110" t="b">
        <f>IF(preDEL!$AG721,IFERROR(0/0,""),preDEL!AA721)</f>
        <v>0</v>
      </c>
      <c r="AB721" s="110" t="b">
        <f>IF(preDEL!$AG721,IFERROR(0/0,""),preDEL!AB721)</f>
        <v>0</v>
      </c>
      <c r="AC721" s="172">
        <f>IF(preDEL!$AG721,IFERROR(0/0,""),preDEL!AC721)</f>
        <v>102</v>
      </c>
      <c r="AD721" s="104" t="b">
        <f>IF(preDEL!$AG721,IFERROR(0/0,""),preDEL!AD721)</f>
        <v>0</v>
      </c>
      <c r="AE721" s="173">
        <f>IF(preDEL!$AG721,IFERROR(0/0,""),preDEL!AE721)</f>
        <v>137.4333333</v>
      </c>
      <c r="AF721" s="110" t="b">
        <f>IF(preDEL!$AG721,IFERROR(0/0,""),preDEL!AF721)</f>
        <v>0</v>
      </c>
      <c r="AG721" s="110" t="b">
        <f>IF(preDEL!$AG721,IFERROR(0/0,""),preDEL!AG721)</f>
        <v>0</v>
      </c>
      <c r="AH721" s="104" t="str">
        <f>IF(preDEL!$AG721,IFERROR(0/0,""),preDEL!AH721)</f>
        <v/>
      </c>
      <c r="AI721" s="105" t="str">
        <f>IF(preDEL!$AG721,IFERROR(0/0,""),preDEL!AI721)</f>
        <v/>
      </c>
      <c r="AJ721" s="112" t="str">
        <f>IF(preDEL!$AG721,IFERROR(0/0,""),preDEL!AJ721)</f>
        <v/>
      </c>
      <c r="AK721" s="105" t="str">
        <f>IF(preDEL!$AG721,IFERROR(0/0,""),preDEL!AK721)</f>
        <v>Negative</v>
      </c>
      <c r="AL721" s="112" t="str">
        <f>IF(preDEL!$AG721,IFERROR(0/0,""),preDEL!AL721)</f>
        <v/>
      </c>
      <c r="AM721" s="112" t="str">
        <f>IF(preDEL!$AG721,IFERROR(0/0,""),preDEL!AM721)</f>
        <v>SpBEND151586</v>
      </c>
      <c r="AN721" s="112" t="str">
        <f>IF(preDEL!$AG721,IFERROR(0/0,""),preDEL!AN721)</f>
        <v>BEND671526</v>
      </c>
      <c r="AO721" s="112" t="str">
        <f>IF(preDEL!$AG721,IFERROR(0/0,""),preDEL!AO721)</f>
        <v/>
      </c>
      <c r="AP721" s="112" t="str">
        <f>IF(preDEL!$AG721,IFERROR(0/0,""),preDEL!AP721)</f>
        <v/>
      </c>
      <c r="AQ721" s="112" t="str">
        <f>IF(preDEL!$AG721,IFERROR(0/0,""),preDEL!AQ721)</f>
        <v/>
      </c>
      <c r="AR721" s="112" t="str">
        <f>IF(preDEL!$AG721,IFERROR(0/0,""),preDEL!AR721)</f>
        <v/>
      </c>
      <c r="AS721" s="112" t="str">
        <f>IF(preDEL!$AG721,IFERROR(0/0,""),preDEL!AS721)</f>
        <v/>
      </c>
      <c r="AT721" s="112" t="b">
        <f>IF(preDEL!$AG721,IFERROR(0/0,""),preDEL!AT721)</f>
        <v>0</v>
      </c>
      <c r="AU721" s="112" t="str">
        <f>IF(preDEL!$AG721,IFERROR(0/0,""),preDEL!AU721)</f>
        <v/>
      </c>
      <c r="AV721" s="112" t="str">
        <f>IF(preDEL!$AG721,IFERROR(0/0,""),preDEL!AV721)</f>
        <v/>
      </c>
      <c r="AW721" s="112" t="str">
        <f>IF(preDEL!$AG721,IFERROR(0/0,""),preDEL!AW721)</f>
        <v/>
      </c>
      <c r="AX721" s="112" t="str">
        <f>IF(preDEL!$AG721,IFERROR(0/0,""),preDEL!AX721)</f>
        <v/>
      </c>
      <c r="AY721" s="112" t="str">
        <f>IF(preDEL!$AG721,IFERROR(0/0,""),preDEL!AY721)</f>
        <v/>
      </c>
      <c r="AZ721" s="174"/>
      <c r="BA721" s="174"/>
      <c r="BB721" s="174"/>
      <c r="BC721" s="174"/>
      <c r="BD721" s="174"/>
      <c r="BE721" s="174"/>
      <c r="BF721" s="174"/>
      <c r="BG721" s="174"/>
      <c r="BH721" s="174"/>
      <c r="BI721" s="174"/>
      <c r="BJ721" s="174"/>
      <c r="BK721" s="174"/>
      <c r="BL721" s="174"/>
      <c r="BM721" s="174"/>
      <c r="BN721" s="174"/>
      <c r="BO721" s="174"/>
      <c r="BP721" s="174"/>
      <c r="BQ721" s="174"/>
      <c r="BR721" s="174"/>
      <c r="BS721" s="174"/>
      <c r="BT721" s="174"/>
      <c r="BU721" s="174"/>
      <c r="BV721" s="174"/>
      <c r="BW721" s="174"/>
      <c r="BX721" s="174"/>
      <c r="BY721" s="174"/>
      <c r="BZ721" s="174"/>
      <c r="CA721" s="174"/>
      <c r="CB721" s="174"/>
      <c r="CC721" s="174"/>
      <c r="CD721" s="174"/>
    </row>
    <row r="722">
      <c r="A722" s="105" t="str">
        <f>IF(preDEL!$AG722,IFERROR(0/0,""),preDEL!A722)</f>
        <v>MA1235</v>
      </c>
      <c r="B722" s="170">
        <f>IF(preDEL!$AG722,IFERROR(0/0,""),preDEL!B722)</f>
        <v>44625</v>
      </c>
      <c r="C722" s="171">
        <f>IF(preDEL!$AG722,IFERROR(0/0,""),preDEL!C722)</f>
        <v>0.3945717593</v>
      </c>
      <c r="D722" s="105" t="str">
        <f>IF(preDEL!$AG722,IFERROR(0/0,""),preDEL!D722)</f>
        <v/>
      </c>
      <c r="E722" s="105" t="str">
        <f>IF(preDEL!$AG722,IFERROR(0/0,""),preDEL!E722)</f>
        <v/>
      </c>
      <c r="F722" s="112" t="str">
        <f>IF(preDEL!$AG722,IFERROR(0/0,""),preDEL!F722)</f>
        <v/>
      </c>
      <c r="G722" s="112" t="str">
        <f>IF(preDEL!$AG722,IFERROR(0/0,""),preDEL!G722)</f>
        <v/>
      </c>
      <c r="H722" s="112" t="str">
        <f>IF(preDEL!$AG722,IFERROR(0/0,""),preDEL!H722)</f>
        <v/>
      </c>
      <c r="I722" s="105" t="str">
        <f>IF(preDEL!$AG722,IFERROR(0/0,""),preDEL!I722)</f>
        <v/>
      </c>
      <c r="J722" s="105" t="str">
        <f>IF(preDEL!$AG722,IFERROR(0/0,""),preDEL!J722)</f>
        <v/>
      </c>
      <c r="K722" s="105" t="str">
        <f>IF(preDEL!$AG722,IFERROR(0/0,""),preDEL!K722)</f>
        <v>Negative</v>
      </c>
      <c r="L722" s="170">
        <f>IF(preDEL!$AG722,IFERROR(0/0,""),preDEL!L722)</f>
        <v>44625</v>
      </c>
      <c r="M722" s="171">
        <f>IF(preDEL!$AG722,IFERROR(0/0,""),preDEL!M722)</f>
        <v>0.4897569444</v>
      </c>
      <c r="N722" s="112" t="str">
        <f>IF(preDEL!$AG722,IFERROR(0/0,""),preDEL!N722)</f>
        <v/>
      </c>
      <c r="O722" s="112" t="str">
        <f>IF(preDEL!$AG722,IFERROR(0/0,""),preDEL!O722)</f>
        <v/>
      </c>
      <c r="P722" s="110" t="b">
        <f>IF(preDEL!$AG722,IFERROR(0/0,""),preDEL!P722)</f>
        <v>0</v>
      </c>
      <c r="Q722" s="110" t="str">
        <f>IF(preDEL!$AG722,IFERROR(0/0,""),preDEL!Q722)</f>
        <v>Result</v>
      </c>
      <c r="R722" s="104" t="b">
        <f>IF(preDEL!$AG722,IFERROR(0/0,""),preDEL!R722)</f>
        <v>1</v>
      </c>
      <c r="S722" s="104">
        <f>IF(preDEL!$AG722,IFERROR(0/0,""),preDEL!S722)</f>
        <v>1</v>
      </c>
      <c r="T722" s="110">
        <f>IF(preDEL!$AG722,IFERROR(0/0,""),preDEL!T722)</f>
        <v>0</v>
      </c>
      <c r="U722" s="112" t="str">
        <f>IF(preDEL!$AG722,IFERROR(0/0,""),preDEL!U722)</f>
        <v/>
      </c>
      <c r="V722" s="105" t="str">
        <f>IF(preDEL!$AG722,IFERROR(0/0,""),preDEL!V722)</f>
        <v/>
      </c>
      <c r="W722" s="112" t="str">
        <f>IF(preDEL!$AG722,IFERROR(0/0,""),preDEL!W722)</f>
        <v/>
      </c>
      <c r="X722" s="104" t="b">
        <f>IF(preDEL!$AG722,IFERROR(0/0,""),preDEL!X722)</f>
        <v>0</v>
      </c>
      <c r="Y722" s="110" t="b">
        <f>IF(preDEL!$AG722,IFERROR(0/0,""),preDEL!Y722)</f>
        <v>0</v>
      </c>
      <c r="Z722" s="105" t="str">
        <f>IF(preDEL!$AG722,IFERROR(0/0,""),preDEL!Z722)</f>
        <v/>
      </c>
      <c r="AA722" s="110" t="b">
        <f>IF(preDEL!$AG722,IFERROR(0/0,""),preDEL!AA722)</f>
        <v>0</v>
      </c>
      <c r="AB722" s="110" t="b">
        <f>IF(preDEL!$AG722,IFERROR(0/0,""),preDEL!AB722)</f>
        <v>0</v>
      </c>
      <c r="AC722" s="172">
        <f>IF(preDEL!$AG722,IFERROR(0/0,""),preDEL!AC722)</f>
        <v>101</v>
      </c>
      <c r="AD722" s="104" t="b">
        <f>IF(preDEL!$AG722,IFERROR(0/0,""),preDEL!AD722)</f>
        <v>0</v>
      </c>
      <c r="AE722" s="173">
        <f>IF(preDEL!$AG722,IFERROR(0/0,""),preDEL!AE722)</f>
        <v>137.0666667</v>
      </c>
      <c r="AF722" s="110" t="b">
        <f>IF(preDEL!$AG722,IFERROR(0/0,""),preDEL!AF722)</f>
        <v>0</v>
      </c>
      <c r="AG722" s="110" t="b">
        <f>IF(preDEL!$AG722,IFERROR(0/0,""),preDEL!AG722)</f>
        <v>0</v>
      </c>
      <c r="AH722" s="104" t="str">
        <f>IF(preDEL!$AG722,IFERROR(0/0,""),preDEL!AH722)</f>
        <v/>
      </c>
      <c r="AI722" s="105" t="str">
        <f>IF(preDEL!$AG722,IFERROR(0/0,""),preDEL!AI722)</f>
        <v/>
      </c>
      <c r="AJ722" s="112" t="str">
        <f>IF(preDEL!$AG722,IFERROR(0/0,""),preDEL!AJ722)</f>
        <v/>
      </c>
      <c r="AK722" s="105" t="str">
        <f>IF(preDEL!$AG722,IFERROR(0/0,""),preDEL!AK722)</f>
        <v>Negative</v>
      </c>
      <c r="AL722" s="112" t="str">
        <f>IF(preDEL!$AG722,IFERROR(0/0,""),preDEL!AL722)</f>
        <v/>
      </c>
      <c r="AM722" s="112" t="str">
        <f>IF(preDEL!$AG722,IFERROR(0/0,""),preDEL!AM722)</f>
        <v>SpBEND151586</v>
      </c>
      <c r="AN722" s="112" t="str">
        <f>IF(preDEL!$AG722,IFERROR(0/0,""),preDEL!AN722)</f>
        <v>BEND393840</v>
      </c>
      <c r="AO722" s="112" t="str">
        <f>IF(preDEL!$AG722,IFERROR(0/0,""),preDEL!AO722)</f>
        <v/>
      </c>
      <c r="AP722" s="112" t="str">
        <f>IF(preDEL!$AG722,IFERROR(0/0,""),preDEL!AP722)</f>
        <v/>
      </c>
      <c r="AQ722" s="112" t="str">
        <f>IF(preDEL!$AG722,IFERROR(0/0,""),preDEL!AQ722)</f>
        <v/>
      </c>
      <c r="AR722" s="112" t="str">
        <f>IF(preDEL!$AG722,IFERROR(0/0,""),preDEL!AR722)</f>
        <v/>
      </c>
      <c r="AS722" s="112" t="str">
        <f>IF(preDEL!$AG722,IFERROR(0/0,""),preDEL!AS722)</f>
        <v/>
      </c>
      <c r="AT722" s="112" t="b">
        <f>IF(preDEL!$AG722,IFERROR(0/0,""),preDEL!AT722)</f>
        <v>0</v>
      </c>
      <c r="AU722" s="112" t="str">
        <f>IF(preDEL!$AG722,IFERROR(0/0,""),preDEL!AU722)</f>
        <v/>
      </c>
      <c r="AV722" s="112" t="str">
        <f>IF(preDEL!$AG722,IFERROR(0/0,""),preDEL!AV722)</f>
        <v/>
      </c>
      <c r="AW722" s="112" t="str">
        <f>IF(preDEL!$AG722,IFERROR(0/0,""),preDEL!AW722)</f>
        <v/>
      </c>
      <c r="AX722" s="112" t="str">
        <f>IF(preDEL!$AG722,IFERROR(0/0,""),preDEL!AX722)</f>
        <v/>
      </c>
      <c r="AY722" s="112" t="str">
        <f>IF(preDEL!$AG722,IFERROR(0/0,""),preDEL!AY722)</f>
        <v/>
      </c>
      <c r="AZ722" s="174"/>
      <c r="BA722" s="174"/>
      <c r="BB722" s="174"/>
      <c r="BC722" s="174"/>
      <c r="BD722" s="174"/>
      <c r="BE722" s="174"/>
      <c r="BF722" s="174"/>
      <c r="BG722" s="174"/>
      <c r="BH722" s="174"/>
      <c r="BI722" s="174"/>
      <c r="BJ722" s="174"/>
      <c r="BK722" s="174"/>
      <c r="BL722" s="174"/>
      <c r="BM722" s="174"/>
      <c r="BN722" s="174"/>
      <c r="BO722" s="174"/>
      <c r="BP722" s="174"/>
      <c r="BQ722" s="174"/>
      <c r="BR722" s="174"/>
      <c r="BS722" s="174"/>
      <c r="BT722" s="174"/>
      <c r="BU722" s="174"/>
      <c r="BV722" s="174"/>
      <c r="BW722" s="174"/>
      <c r="BX722" s="174"/>
      <c r="BY722" s="174"/>
      <c r="BZ722" s="174"/>
      <c r="CA722" s="174"/>
      <c r="CB722" s="174"/>
      <c r="CC722" s="174"/>
      <c r="CD722" s="174"/>
    </row>
    <row r="723">
      <c r="A723" s="105" t="str">
        <f>IF(preDEL!$AG723,IFERROR(0/0,""),preDEL!A723)</f>
        <v>FM410</v>
      </c>
      <c r="B723" s="170">
        <f>IF(preDEL!$AG723,IFERROR(0/0,""),preDEL!B723)</f>
        <v>44625</v>
      </c>
      <c r="C723" s="171">
        <f>IF(preDEL!$AG723,IFERROR(0/0,""),preDEL!C723)</f>
        <v>0.4318171296</v>
      </c>
      <c r="D723" s="105" t="str">
        <f>IF(preDEL!$AG723,IFERROR(0/0,""),preDEL!D723)</f>
        <v/>
      </c>
      <c r="E723" s="105" t="str">
        <f>IF(preDEL!$AG723,IFERROR(0/0,""),preDEL!E723)</f>
        <v/>
      </c>
      <c r="F723" s="112" t="str">
        <f>IF(preDEL!$AG723,IFERROR(0/0,""),preDEL!F723)</f>
        <v/>
      </c>
      <c r="G723" s="112" t="str">
        <f>IF(preDEL!$AG723,IFERROR(0/0,""),preDEL!G723)</f>
        <v/>
      </c>
      <c r="H723" s="112" t="str">
        <f>IF(preDEL!$AG723,IFERROR(0/0,""),preDEL!H723)</f>
        <v/>
      </c>
      <c r="I723" s="105" t="str">
        <f>IF(preDEL!$AG723,IFERROR(0/0,""),preDEL!I723)</f>
        <v/>
      </c>
      <c r="J723" s="105" t="str">
        <f>IF(preDEL!$AG723,IFERROR(0/0,""),preDEL!J723)</f>
        <v/>
      </c>
      <c r="K723" s="105" t="str">
        <f>IF(preDEL!$AG723,IFERROR(0/0,""),preDEL!K723)</f>
        <v>Negative</v>
      </c>
      <c r="L723" s="170">
        <f>IF(preDEL!$AG723,IFERROR(0/0,""),preDEL!L723)</f>
        <v>44625</v>
      </c>
      <c r="M723" s="171">
        <f>IF(preDEL!$AG723,IFERROR(0/0,""),preDEL!M723)</f>
        <v>0.4897569444</v>
      </c>
      <c r="N723" s="112" t="str">
        <f>IF(preDEL!$AG723,IFERROR(0/0,""),preDEL!N723)</f>
        <v/>
      </c>
      <c r="O723" s="112" t="str">
        <f>IF(preDEL!$AG723,IFERROR(0/0,""),preDEL!O723)</f>
        <v/>
      </c>
      <c r="P723" s="110" t="b">
        <f>IF(preDEL!$AG723,IFERROR(0/0,""),preDEL!P723)</f>
        <v>0</v>
      </c>
      <c r="Q723" s="110" t="str">
        <f>IF(preDEL!$AG723,IFERROR(0/0,""),preDEL!Q723)</f>
        <v>Result</v>
      </c>
      <c r="R723" s="104" t="b">
        <f>IF(preDEL!$AG723,IFERROR(0/0,""),preDEL!R723)</f>
        <v>1</v>
      </c>
      <c r="S723" s="104">
        <f>IF(preDEL!$AG723,IFERROR(0/0,""),preDEL!S723)</f>
        <v>1</v>
      </c>
      <c r="T723" s="110">
        <f>IF(preDEL!$AG723,IFERROR(0/0,""),preDEL!T723)</f>
        <v>0</v>
      </c>
      <c r="U723" s="112" t="str">
        <f>IF(preDEL!$AG723,IFERROR(0/0,""),preDEL!U723)</f>
        <v/>
      </c>
      <c r="V723" s="105" t="str">
        <f>IF(preDEL!$AG723,IFERROR(0/0,""),preDEL!V723)</f>
        <v/>
      </c>
      <c r="W723" s="112" t="str">
        <f>IF(preDEL!$AG723,IFERROR(0/0,""),preDEL!W723)</f>
        <v/>
      </c>
      <c r="X723" s="104" t="b">
        <f>IF(preDEL!$AG723,IFERROR(0/0,""),preDEL!X723)</f>
        <v>0</v>
      </c>
      <c r="Y723" s="110" t="b">
        <f>IF(preDEL!$AG723,IFERROR(0/0,""),preDEL!Y723)</f>
        <v>0</v>
      </c>
      <c r="Z723" s="105" t="str">
        <f>IF(preDEL!$AG723,IFERROR(0/0,""),preDEL!Z723)</f>
        <v/>
      </c>
      <c r="AA723" s="110" t="b">
        <f>IF(preDEL!$AG723,IFERROR(0/0,""),preDEL!AA723)</f>
        <v>0</v>
      </c>
      <c r="AB723" s="110" t="b">
        <f>IF(preDEL!$AG723,IFERROR(0/0,""),preDEL!AB723)</f>
        <v>0</v>
      </c>
      <c r="AC723" s="172">
        <f>IF(preDEL!$AG723,IFERROR(0/0,""),preDEL!AC723)</f>
        <v>100</v>
      </c>
      <c r="AD723" s="104" t="b">
        <f>IF(preDEL!$AG723,IFERROR(0/0,""),preDEL!AD723)</f>
        <v>0</v>
      </c>
      <c r="AE723" s="173">
        <f>IF(preDEL!$AG723,IFERROR(0/0,""),preDEL!AE723)</f>
        <v>83.43333333</v>
      </c>
      <c r="AF723" s="110" t="b">
        <f>IF(preDEL!$AG723,IFERROR(0/0,""),preDEL!AF723)</f>
        <v>0</v>
      </c>
      <c r="AG723" s="110" t="b">
        <f>IF(preDEL!$AG723,IFERROR(0/0,""),preDEL!AG723)</f>
        <v>0</v>
      </c>
      <c r="AH723" s="104" t="str">
        <f>IF(preDEL!$AG723,IFERROR(0/0,""),preDEL!AH723)</f>
        <v/>
      </c>
      <c r="AI723" s="105" t="str">
        <f>IF(preDEL!$AG723,IFERROR(0/0,""),preDEL!AI723)</f>
        <v/>
      </c>
      <c r="AJ723" s="112" t="str">
        <f>IF(preDEL!$AG723,IFERROR(0/0,""),preDEL!AJ723)</f>
        <v/>
      </c>
      <c r="AK723" s="105" t="str">
        <f>IF(preDEL!$AG723,IFERROR(0/0,""),preDEL!AK723)</f>
        <v>Negative</v>
      </c>
      <c r="AL723" s="112" t="str">
        <f>IF(preDEL!$AG723,IFERROR(0/0,""),preDEL!AL723)</f>
        <v/>
      </c>
      <c r="AM723" s="112" t="str">
        <f>IF(preDEL!$AG723,IFERROR(0/0,""),preDEL!AM723)</f>
        <v>SpBEND151586</v>
      </c>
      <c r="AN723" s="112" t="str">
        <f>IF(preDEL!$AG723,IFERROR(0/0,""),preDEL!AN723)</f>
        <v>BEND596080</v>
      </c>
      <c r="AO723" s="112" t="str">
        <f>IF(preDEL!$AG723,IFERROR(0/0,""),preDEL!AO723)</f>
        <v/>
      </c>
      <c r="AP723" s="112" t="str">
        <f>IF(preDEL!$AG723,IFERROR(0/0,""),preDEL!AP723)</f>
        <v/>
      </c>
      <c r="AQ723" s="112" t="str">
        <f>IF(preDEL!$AG723,IFERROR(0/0,""),preDEL!AQ723)</f>
        <v/>
      </c>
      <c r="AR723" s="112" t="str">
        <f>IF(preDEL!$AG723,IFERROR(0/0,""),preDEL!AR723)</f>
        <v/>
      </c>
      <c r="AS723" s="112" t="str">
        <f>IF(preDEL!$AG723,IFERROR(0/0,""),preDEL!AS723)</f>
        <v/>
      </c>
      <c r="AT723" s="112" t="b">
        <f>IF(preDEL!$AG723,IFERROR(0/0,""),preDEL!AT723)</f>
        <v>0</v>
      </c>
      <c r="AU723" s="112" t="str">
        <f>IF(preDEL!$AG723,IFERROR(0/0,""),preDEL!AU723)</f>
        <v/>
      </c>
      <c r="AV723" s="112" t="str">
        <f>IF(preDEL!$AG723,IFERROR(0/0,""),preDEL!AV723)</f>
        <v/>
      </c>
      <c r="AW723" s="112" t="str">
        <f>IF(preDEL!$AG723,IFERROR(0/0,""),preDEL!AW723)</f>
        <v/>
      </c>
      <c r="AX723" s="112" t="str">
        <f>IF(preDEL!$AG723,IFERROR(0/0,""),preDEL!AX723)</f>
        <v/>
      </c>
      <c r="AY723" s="112" t="str">
        <f>IF(preDEL!$AG723,IFERROR(0/0,""),preDEL!AY723)</f>
        <v/>
      </c>
      <c r="AZ723" s="174"/>
      <c r="BA723" s="174"/>
      <c r="BB723" s="174"/>
      <c r="BC723" s="174"/>
      <c r="BD723" s="174"/>
      <c r="BE723" s="174"/>
      <c r="BF723" s="174"/>
      <c r="BG723" s="174"/>
      <c r="BH723" s="174"/>
      <c r="BI723" s="174"/>
      <c r="BJ723" s="174"/>
      <c r="BK723" s="174"/>
      <c r="BL723" s="174"/>
      <c r="BM723" s="174"/>
      <c r="BN723" s="174"/>
      <c r="BO723" s="174"/>
      <c r="BP723" s="174"/>
      <c r="BQ723" s="174"/>
      <c r="BR723" s="174"/>
      <c r="BS723" s="174"/>
      <c r="BT723" s="174"/>
      <c r="BU723" s="174"/>
      <c r="BV723" s="174"/>
      <c r="BW723" s="174"/>
      <c r="BX723" s="174"/>
      <c r="BY723" s="174"/>
      <c r="BZ723" s="174"/>
      <c r="CA723" s="174"/>
      <c r="CB723" s="174"/>
      <c r="CC723" s="174"/>
      <c r="CD723" s="174"/>
    </row>
    <row r="724">
      <c r="A724" s="105" t="str">
        <f>IF(preDEL!$AG724,IFERROR(0/0,""),preDEL!A724)</f>
        <v>MA350</v>
      </c>
      <c r="B724" s="170">
        <f>IF(preDEL!$AG724,IFERROR(0/0,""),preDEL!B724)</f>
        <v>44627</v>
      </c>
      <c r="C724" s="171">
        <f>IF(preDEL!$AG724,IFERROR(0/0,""),preDEL!C724)</f>
        <v>0.2761805556</v>
      </c>
      <c r="D724" s="105" t="str">
        <f>IF(preDEL!$AG724,IFERROR(0/0,""),preDEL!D724)</f>
        <v/>
      </c>
      <c r="E724" s="105" t="str">
        <f>IF(preDEL!$AG724,IFERROR(0/0,""),preDEL!E724)</f>
        <v/>
      </c>
      <c r="F724" s="112" t="str">
        <f>IF(preDEL!$AG724,IFERROR(0/0,""),preDEL!F724)</f>
        <v/>
      </c>
      <c r="G724" s="112" t="str">
        <f>IF(preDEL!$AG724,IFERROR(0/0,""),preDEL!G724)</f>
        <v/>
      </c>
      <c r="H724" s="112" t="str">
        <f>IF(preDEL!$AG724,IFERROR(0/0,""),preDEL!H724)</f>
        <v/>
      </c>
      <c r="I724" s="105" t="str">
        <f>IF(preDEL!$AG724,IFERROR(0/0,""),preDEL!I724)</f>
        <v/>
      </c>
      <c r="J724" s="105" t="str">
        <f>IF(preDEL!$AG724,IFERROR(0/0,""),preDEL!J724)</f>
        <v/>
      </c>
      <c r="K724" s="105" t="str">
        <f>IF(preDEL!$AG724,IFERROR(0/0,""),preDEL!K724)</f>
        <v>Negative</v>
      </c>
      <c r="L724" s="170">
        <f>IF(preDEL!$AG724,IFERROR(0/0,""),preDEL!L724)</f>
        <v>44627</v>
      </c>
      <c r="M724" s="171">
        <f>IF(preDEL!$AG724,IFERROR(0/0,""),preDEL!M724)</f>
        <v>0.4778935185</v>
      </c>
      <c r="N724" s="112" t="str">
        <f>IF(preDEL!$AG724,IFERROR(0/0,""),preDEL!N724)</f>
        <v/>
      </c>
      <c r="O724" s="112" t="str">
        <f>IF(preDEL!$AG724,IFERROR(0/0,""),preDEL!O724)</f>
        <v/>
      </c>
      <c r="P724" s="110" t="b">
        <f>IF(preDEL!$AG724,IFERROR(0/0,""),preDEL!P724)</f>
        <v>0</v>
      </c>
      <c r="Q724" s="110" t="str">
        <f>IF(preDEL!$AG724,IFERROR(0/0,""),preDEL!Q724)</f>
        <v>Result</v>
      </c>
      <c r="R724" s="104" t="b">
        <f>IF(preDEL!$AG724,IFERROR(0/0,""),preDEL!R724)</f>
        <v>1</v>
      </c>
      <c r="S724" s="104">
        <f>IF(preDEL!$AG724,IFERROR(0/0,""),preDEL!S724)</f>
        <v>1</v>
      </c>
      <c r="T724" s="110" t="str">
        <f>IF(preDEL!$AG724,IFERROR(0/0,""),preDEL!T724)</f>
        <v/>
      </c>
      <c r="U724" s="112" t="str">
        <f>IF(preDEL!$AG724,IFERROR(0/0,""),preDEL!U724)</f>
        <v/>
      </c>
      <c r="V724" s="105" t="str">
        <f>IF(preDEL!$AG724,IFERROR(0/0,""),preDEL!V724)</f>
        <v/>
      </c>
      <c r="W724" s="112" t="str">
        <f>IF(preDEL!$AG724,IFERROR(0/0,""),preDEL!W724)</f>
        <v/>
      </c>
      <c r="X724" s="104" t="b">
        <f>IF(preDEL!$AG724,IFERROR(0/0,""),preDEL!X724)</f>
        <v>0</v>
      </c>
      <c r="Y724" s="110" t="b">
        <f>IF(preDEL!$AG724,IFERROR(0/0,""),preDEL!Y724)</f>
        <v>0</v>
      </c>
      <c r="Z724" s="105" t="str">
        <f>IF(preDEL!$AG724,IFERROR(0/0,""),preDEL!Z724)</f>
        <v/>
      </c>
      <c r="AA724" s="110" t="b">
        <f>IF(preDEL!$AG724,IFERROR(0/0,""),preDEL!AA724)</f>
        <v>0</v>
      </c>
      <c r="AB724" s="110" t="b">
        <f>IF(preDEL!$AG724,IFERROR(0/0,""),preDEL!AB724)</f>
        <v>0</v>
      </c>
      <c r="AC724" s="172">
        <f>IF(preDEL!$AG724,IFERROR(0/0,""),preDEL!AC724)</f>
        <v>99</v>
      </c>
      <c r="AD724" s="104" t="b">
        <f>IF(preDEL!$AG724,IFERROR(0/0,""),preDEL!AD724)</f>
        <v>0</v>
      </c>
      <c r="AE724" s="173">
        <f>IF(preDEL!$AG724,IFERROR(0/0,""),preDEL!AE724)</f>
        <v>290.4666667</v>
      </c>
      <c r="AF724" s="110" t="b">
        <f>IF(preDEL!$AG724,IFERROR(0/0,""),preDEL!AF724)</f>
        <v>0</v>
      </c>
      <c r="AG724" s="110" t="b">
        <f>IF(preDEL!$AG724,IFERROR(0/0,""),preDEL!AG724)</f>
        <v>0</v>
      </c>
      <c r="AH724" s="104" t="str">
        <f>IF(preDEL!$AG724,IFERROR(0/0,""),preDEL!AH724)</f>
        <v/>
      </c>
      <c r="AI724" s="105" t="str">
        <f>IF(preDEL!$AG724,IFERROR(0/0,""),preDEL!AI724)</f>
        <v/>
      </c>
      <c r="AJ724" s="112" t="str">
        <f>IF(preDEL!$AG724,IFERROR(0/0,""),preDEL!AJ724)</f>
        <v/>
      </c>
      <c r="AK724" s="105" t="str">
        <f>IF(preDEL!$AG724,IFERROR(0/0,""),preDEL!AK724)</f>
        <v>Negative</v>
      </c>
      <c r="AL724" s="112" t="str">
        <f>IF(preDEL!$AG724,IFERROR(0/0,""),preDEL!AL724)</f>
        <v/>
      </c>
      <c r="AM724" s="112" t="str">
        <f>IF(preDEL!$AG724,IFERROR(0/0,""),preDEL!AM724)</f>
        <v>SpBEND914710</v>
      </c>
      <c r="AN724" s="112" t="str">
        <f>IF(preDEL!$AG724,IFERROR(0/0,""),preDEL!AN724)</f>
        <v>BEND199320</v>
      </c>
      <c r="AO724" s="112" t="str">
        <f>IF(preDEL!$AG724,IFERROR(0/0,""),preDEL!AO724)</f>
        <v/>
      </c>
      <c r="AP724" s="112" t="str">
        <f>IF(preDEL!$AG724,IFERROR(0/0,""),preDEL!AP724)</f>
        <v/>
      </c>
      <c r="AQ724" s="112" t="str">
        <f>IF(preDEL!$AG724,IFERROR(0/0,""),preDEL!AQ724)</f>
        <v/>
      </c>
      <c r="AR724" s="112" t="str">
        <f>IF(preDEL!$AG724,IFERROR(0/0,""),preDEL!AR724)</f>
        <v/>
      </c>
      <c r="AS724" s="112" t="str">
        <f>IF(preDEL!$AG724,IFERROR(0/0,""),preDEL!AS724)</f>
        <v/>
      </c>
      <c r="AT724" s="112" t="b">
        <f>IF(preDEL!$AG724,IFERROR(0/0,""),preDEL!AT724)</f>
        <v>0</v>
      </c>
      <c r="AU724" s="112" t="str">
        <f>IF(preDEL!$AG724,IFERROR(0/0,""),preDEL!AU724)</f>
        <v/>
      </c>
      <c r="AV724" s="112" t="str">
        <f>IF(preDEL!$AG724,IFERROR(0/0,""),preDEL!AV724)</f>
        <v/>
      </c>
      <c r="AW724" s="112" t="str">
        <f>IF(preDEL!$AG724,IFERROR(0/0,""),preDEL!AW724)</f>
        <v/>
      </c>
      <c r="AX724" s="112" t="str">
        <f>IF(preDEL!$AG724,IFERROR(0/0,""),preDEL!AX724)</f>
        <v/>
      </c>
      <c r="AY724" s="112" t="str">
        <f>IF(preDEL!$AG724,IFERROR(0/0,""),preDEL!AY724)</f>
        <v/>
      </c>
      <c r="AZ724" s="174"/>
      <c r="BA724" s="174"/>
      <c r="BB724" s="174"/>
      <c r="BC724" s="174"/>
      <c r="BD724" s="174"/>
      <c r="BE724" s="174"/>
      <c r="BF724" s="174"/>
      <c r="BG724" s="174"/>
      <c r="BH724" s="174"/>
      <c r="BI724" s="174"/>
      <c r="BJ724" s="174"/>
      <c r="BK724" s="174"/>
      <c r="BL724" s="174"/>
      <c r="BM724" s="174"/>
      <c r="BN724" s="174"/>
      <c r="BO724" s="174"/>
      <c r="BP724" s="174"/>
      <c r="BQ724" s="174"/>
      <c r="BR724" s="174"/>
      <c r="BS724" s="174"/>
      <c r="BT724" s="174"/>
      <c r="BU724" s="174"/>
      <c r="BV724" s="174"/>
      <c r="BW724" s="174"/>
      <c r="BX724" s="174"/>
      <c r="BY724" s="174"/>
      <c r="BZ724" s="174"/>
      <c r="CA724" s="174"/>
      <c r="CB724" s="174"/>
      <c r="CC724" s="174"/>
      <c r="CD724" s="174"/>
    </row>
    <row r="725">
      <c r="A725" s="105" t="str">
        <f>IF(preDEL!$AG725,IFERROR(0/0,""),preDEL!A725)</f>
        <v>FM380</v>
      </c>
      <c r="B725" s="170">
        <f>IF(preDEL!$AG725,IFERROR(0/0,""),preDEL!B725)</f>
        <v>44627</v>
      </c>
      <c r="C725" s="171">
        <f>IF(preDEL!$AG725,IFERROR(0/0,""),preDEL!C725)</f>
        <v>0.2890393519</v>
      </c>
      <c r="D725" s="105" t="str">
        <f>IF(preDEL!$AG725,IFERROR(0/0,""),preDEL!D725)</f>
        <v/>
      </c>
      <c r="E725" s="105" t="str">
        <f>IF(preDEL!$AG725,IFERROR(0/0,""),preDEL!E725)</f>
        <v/>
      </c>
      <c r="F725" s="112" t="str">
        <f>IF(preDEL!$AG725,IFERROR(0/0,""),preDEL!F725)</f>
        <v/>
      </c>
      <c r="G725" s="112" t="str">
        <f>IF(preDEL!$AG725,IFERROR(0/0,""),preDEL!G725)</f>
        <v/>
      </c>
      <c r="H725" s="112" t="str">
        <f>IF(preDEL!$AG725,IFERROR(0/0,""),preDEL!H725)</f>
        <v/>
      </c>
      <c r="I725" s="105" t="str">
        <f>IF(preDEL!$AG725,IFERROR(0/0,""),preDEL!I725)</f>
        <v/>
      </c>
      <c r="J725" s="105" t="str">
        <f>IF(preDEL!$AG725,IFERROR(0/0,""),preDEL!J725)</f>
        <v/>
      </c>
      <c r="K725" s="105" t="str">
        <f>IF(preDEL!$AG725,IFERROR(0/0,""),preDEL!K725)</f>
        <v>Negative</v>
      </c>
      <c r="L725" s="170">
        <f>IF(preDEL!$AG725,IFERROR(0/0,""),preDEL!L725)</f>
        <v>44627</v>
      </c>
      <c r="M725" s="171">
        <f>IF(preDEL!$AG725,IFERROR(0/0,""),preDEL!M725)</f>
        <v>0.4778935185</v>
      </c>
      <c r="N725" s="112" t="str">
        <f>IF(preDEL!$AG725,IFERROR(0/0,""),preDEL!N725)</f>
        <v/>
      </c>
      <c r="O725" s="112" t="str">
        <f>IF(preDEL!$AG725,IFERROR(0/0,""),preDEL!O725)</f>
        <v/>
      </c>
      <c r="P725" s="110" t="b">
        <f>IF(preDEL!$AG725,IFERROR(0/0,""),preDEL!P725)</f>
        <v>0</v>
      </c>
      <c r="Q725" s="110" t="str">
        <f>IF(preDEL!$AG725,IFERROR(0/0,""),preDEL!Q725)</f>
        <v>Result</v>
      </c>
      <c r="R725" s="104" t="b">
        <f>IF(preDEL!$AG725,IFERROR(0/0,""),preDEL!R725)</f>
        <v>1</v>
      </c>
      <c r="S725" s="104">
        <f>IF(preDEL!$AG725,IFERROR(0/0,""),preDEL!S725)</f>
        <v>1</v>
      </c>
      <c r="T725" s="110" t="str">
        <f>IF(preDEL!$AG725,IFERROR(0/0,""),preDEL!T725)</f>
        <v/>
      </c>
      <c r="U725" s="112" t="str">
        <f>IF(preDEL!$AG725,IFERROR(0/0,""),preDEL!U725)</f>
        <v/>
      </c>
      <c r="V725" s="105" t="str">
        <f>IF(preDEL!$AG725,IFERROR(0/0,""),preDEL!V725)</f>
        <v/>
      </c>
      <c r="W725" s="112" t="str">
        <f>IF(preDEL!$AG725,IFERROR(0/0,""),preDEL!W725)</f>
        <v/>
      </c>
      <c r="X725" s="104" t="b">
        <f>IF(preDEL!$AG725,IFERROR(0/0,""),preDEL!X725)</f>
        <v>0</v>
      </c>
      <c r="Y725" s="110" t="b">
        <f>IF(preDEL!$AG725,IFERROR(0/0,""),preDEL!Y725)</f>
        <v>0</v>
      </c>
      <c r="Z725" s="105" t="str">
        <f>IF(preDEL!$AG725,IFERROR(0/0,""),preDEL!Z725)</f>
        <v/>
      </c>
      <c r="AA725" s="110" t="b">
        <f>IF(preDEL!$AG725,IFERROR(0/0,""),preDEL!AA725)</f>
        <v>0</v>
      </c>
      <c r="AB725" s="110" t="b">
        <f>IF(preDEL!$AG725,IFERROR(0/0,""),preDEL!AB725)</f>
        <v>0</v>
      </c>
      <c r="AC725" s="172">
        <f>IF(preDEL!$AG725,IFERROR(0/0,""),preDEL!AC725)</f>
        <v>98</v>
      </c>
      <c r="AD725" s="104" t="b">
        <f>IF(preDEL!$AG725,IFERROR(0/0,""),preDEL!AD725)</f>
        <v>0</v>
      </c>
      <c r="AE725" s="173">
        <f>IF(preDEL!$AG725,IFERROR(0/0,""),preDEL!AE725)</f>
        <v>271.95</v>
      </c>
      <c r="AF725" s="110" t="b">
        <f>IF(preDEL!$AG725,IFERROR(0/0,""),preDEL!AF725)</f>
        <v>0</v>
      </c>
      <c r="AG725" s="110" t="b">
        <f>IF(preDEL!$AG725,IFERROR(0/0,""),preDEL!AG725)</f>
        <v>0</v>
      </c>
      <c r="AH725" s="104" t="str">
        <f>IF(preDEL!$AG725,IFERROR(0/0,""),preDEL!AH725)</f>
        <v/>
      </c>
      <c r="AI725" s="105" t="str">
        <f>IF(preDEL!$AG725,IFERROR(0/0,""),preDEL!AI725)</f>
        <v/>
      </c>
      <c r="AJ725" s="112" t="str">
        <f>IF(preDEL!$AG725,IFERROR(0/0,""),preDEL!AJ725)</f>
        <v/>
      </c>
      <c r="AK725" s="105" t="str">
        <f>IF(preDEL!$AG725,IFERROR(0/0,""),preDEL!AK725)</f>
        <v>Negative</v>
      </c>
      <c r="AL725" s="112" t="str">
        <f>IF(preDEL!$AG725,IFERROR(0/0,""),preDEL!AL725)</f>
        <v/>
      </c>
      <c r="AM725" s="112" t="str">
        <f>IF(preDEL!$AG725,IFERROR(0/0,""),preDEL!AM725)</f>
        <v>SpBEND953422</v>
      </c>
      <c r="AN725" s="112" t="str">
        <f>IF(preDEL!$AG725,IFERROR(0/0,""),preDEL!AN725)</f>
        <v>BEND782925</v>
      </c>
      <c r="AO725" s="112" t="str">
        <f>IF(preDEL!$AG725,IFERROR(0/0,""),preDEL!AO725)</f>
        <v/>
      </c>
      <c r="AP725" s="112" t="str">
        <f>IF(preDEL!$AG725,IFERROR(0/0,""),preDEL!AP725)</f>
        <v/>
      </c>
      <c r="AQ725" s="112" t="str">
        <f>IF(preDEL!$AG725,IFERROR(0/0,""),preDEL!AQ725)</f>
        <v/>
      </c>
      <c r="AR725" s="112" t="str">
        <f>IF(preDEL!$AG725,IFERROR(0/0,""),preDEL!AR725)</f>
        <v/>
      </c>
      <c r="AS725" s="112" t="str">
        <f>IF(preDEL!$AG725,IFERROR(0/0,""),preDEL!AS725)</f>
        <v/>
      </c>
      <c r="AT725" s="112" t="b">
        <f>IF(preDEL!$AG725,IFERROR(0/0,""),preDEL!AT725)</f>
        <v>0</v>
      </c>
      <c r="AU725" s="112" t="str">
        <f>IF(preDEL!$AG725,IFERROR(0/0,""),preDEL!AU725)</f>
        <v/>
      </c>
      <c r="AV725" s="112" t="str">
        <f>IF(preDEL!$AG725,IFERROR(0/0,""),preDEL!AV725)</f>
        <v/>
      </c>
      <c r="AW725" s="112" t="str">
        <f>IF(preDEL!$AG725,IFERROR(0/0,""),preDEL!AW725)</f>
        <v/>
      </c>
      <c r="AX725" s="112" t="str">
        <f>IF(preDEL!$AG725,IFERROR(0/0,""),preDEL!AX725)</f>
        <v/>
      </c>
      <c r="AY725" s="112" t="str">
        <f>IF(preDEL!$AG725,IFERROR(0/0,""),preDEL!AY725)</f>
        <v/>
      </c>
      <c r="AZ725" s="174"/>
      <c r="BA725" s="174"/>
      <c r="BB725" s="174"/>
      <c r="BC725" s="174"/>
      <c r="BD725" s="174"/>
      <c r="BE725" s="174"/>
      <c r="BF725" s="174"/>
      <c r="BG725" s="174"/>
      <c r="BH725" s="174"/>
      <c r="BI725" s="174"/>
      <c r="BJ725" s="174"/>
      <c r="BK725" s="174"/>
      <c r="BL725" s="174"/>
      <c r="BM725" s="174"/>
      <c r="BN725" s="174"/>
      <c r="BO725" s="174"/>
      <c r="BP725" s="174"/>
      <c r="BQ725" s="174"/>
      <c r="BR725" s="174"/>
      <c r="BS725" s="174"/>
      <c r="BT725" s="174"/>
      <c r="BU725" s="174"/>
      <c r="BV725" s="174"/>
      <c r="BW725" s="174"/>
      <c r="BX725" s="174"/>
      <c r="BY725" s="174"/>
      <c r="BZ725" s="174"/>
      <c r="CA725" s="174"/>
      <c r="CB725" s="174"/>
      <c r="CC725" s="174"/>
      <c r="CD725" s="174"/>
    </row>
    <row r="726">
      <c r="A726" s="105" t="str">
        <f>IF(preDEL!$AG726,IFERROR(0/0,""),preDEL!A726)</f>
        <v>FM400</v>
      </c>
      <c r="B726" s="170">
        <f>IF(preDEL!$AG726,IFERROR(0/0,""),preDEL!B726)</f>
        <v>44627</v>
      </c>
      <c r="C726" s="171">
        <f>IF(preDEL!$AG726,IFERROR(0/0,""),preDEL!C726)</f>
        <v>0.2940972222</v>
      </c>
      <c r="D726" s="105" t="str">
        <f>IF(preDEL!$AG726,IFERROR(0/0,""),preDEL!D726)</f>
        <v/>
      </c>
      <c r="E726" s="105" t="str">
        <f>IF(preDEL!$AG726,IFERROR(0/0,""),preDEL!E726)</f>
        <v/>
      </c>
      <c r="F726" s="112" t="str">
        <f>IF(preDEL!$AG726,IFERROR(0/0,""),preDEL!F726)</f>
        <v/>
      </c>
      <c r="G726" s="112" t="str">
        <f>IF(preDEL!$AG726,IFERROR(0/0,""),preDEL!G726)</f>
        <v/>
      </c>
      <c r="H726" s="112" t="str">
        <f>IF(preDEL!$AG726,IFERROR(0/0,""),preDEL!H726)</f>
        <v/>
      </c>
      <c r="I726" s="105" t="str">
        <f>IF(preDEL!$AG726,IFERROR(0/0,""),preDEL!I726)</f>
        <v/>
      </c>
      <c r="J726" s="105" t="str">
        <f>IF(preDEL!$AG726,IFERROR(0/0,""),preDEL!J726)</f>
        <v/>
      </c>
      <c r="K726" s="105" t="str">
        <f>IF(preDEL!$AG726,IFERROR(0/0,""),preDEL!K726)</f>
        <v>Negative</v>
      </c>
      <c r="L726" s="170">
        <f>IF(preDEL!$AG726,IFERROR(0/0,""),preDEL!L726)</f>
        <v>44627</v>
      </c>
      <c r="M726" s="171">
        <f>IF(preDEL!$AG726,IFERROR(0/0,""),preDEL!M726)</f>
        <v>0.4778935185</v>
      </c>
      <c r="N726" s="112" t="str">
        <f>IF(preDEL!$AG726,IFERROR(0/0,""),preDEL!N726)</f>
        <v/>
      </c>
      <c r="O726" s="112" t="str">
        <f>IF(preDEL!$AG726,IFERROR(0/0,""),preDEL!O726)</f>
        <v/>
      </c>
      <c r="P726" s="110" t="b">
        <f>IF(preDEL!$AG726,IFERROR(0/0,""),preDEL!P726)</f>
        <v>0</v>
      </c>
      <c r="Q726" s="110" t="str">
        <f>IF(preDEL!$AG726,IFERROR(0/0,""),preDEL!Q726)</f>
        <v>Result</v>
      </c>
      <c r="R726" s="104" t="b">
        <f>IF(preDEL!$AG726,IFERROR(0/0,""),preDEL!R726)</f>
        <v>1</v>
      </c>
      <c r="S726" s="104">
        <f>IF(preDEL!$AG726,IFERROR(0/0,""),preDEL!S726)</f>
        <v>1</v>
      </c>
      <c r="T726" s="110" t="str">
        <f>IF(preDEL!$AG726,IFERROR(0/0,""),preDEL!T726)</f>
        <v/>
      </c>
      <c r="U726" s="112" t="str">
        <f>IF(preDEL!$AG726,IFERROR(0/0,""),preDEL!U726)</f>
        <v/>
      </c>
      <c r="V726" s="105" t="str">
        <f>IF(preDEL!$AG726,IFERROR(0/0,""),preDEL!V726)</f>
        <v/>
      </c>
      <c r="W726" s="112" t="str">
        <f>IF(preDEL!$AG726,IFERROR(0/0,""),preDEL!W726)</f>
        <v/>
      </c>
      <c r="X726" s="104" t="b">
        <f>IF(preDEL!$AG726,IFERROR(0/0,""),preDEL!X726)</f>
        <v>0</v>
      </c>
      <c r="Y726" s="110" t="b">
        <f>IF(preDEL!$AG726,IFERROR(0/0,""),preDEL!Y726)</f>
        <v>0</v>
      </c>
      <c r="Z726" s="105" t="str">
        <f>IF(preDEL!$AG726,IFERROR(0/0,""),preDEL!Z726)</f>
        <v/>
      </c>
      <c r="AA726" s="110" t="b">
        <f>IF(preDEL!$AG726,IFERROR(0/0,""),preDEL!AA726)</f>
        <v>0</v>
      </c>
      <c r="AB726" s="110" t="b">
        <f>IF(preDEL!$AG726,IFERROR(0/0,""),preDEL!AB726)</f>
        <v>0</v>
      </c>
      <c r="AC726" s="172">
        <f>IF(preDEL!$AG726,IFERROR(0/0,""),preDEL!AC726)</f>
        <v>97</v>
      </c>
      <c r="AD726" s="104" t="b">
        <f>IF(preDEL!$AG726,IFERROR(0/0,""),preDEL!AD726)</f>
        <v>0</v>
      </c>
      <c r="AE726" s="173">
        <f>IF(preDEL!$AG726,IFERROR(0/0,""),preDEL!AE726)</f>
        <v>264.6666667</v>
      </c>
      <c r="AF726" s="110" t="b">
        <f>IF(preDEL!$AG726,IFERROR(0/0,""),preDEL!AF726)</f>
        <v>0</v>
      </c>
      <c r="AG726" s="110" t="b">
        <f>IF(preDEL!$AG726,IFERROR(0/0,""),preDEL!AG726)</f>
        <v>0</v>
      </c>
      <c r="AH726" s="104" t="str">
        <f>IF(preDEL!$AG726,IFERROR(0/0,""),preDEL!AH726)</f>
        <v/>
      </c>
      <c r="AI726" s="105" t="str">
        <f>IF(preDEL!$AG726,IFERROR(0/0,""),preDEL!AI726)</f>
        <v/>
      </c>
      <c r="AJ726" s="112" t="str">
        <f>IF(preDEL!$AG726,IFERROR(0/0,""),preDEL!AJ726)</f>
        <v/>
      </c>
      <c r="AK726" s="105" t="str">
        <f>IF(preDEL!$AG726,IFERROR(0/0,""),preDEL!AK726)</f>
        <v>Negative</v>
      </c>
      <c r="AL726" s="112" t="str">
        <f>IF(preDEL!$AG726,IFERROR(0/0,""),preDEL!AL726)</f>
        <v/>
      </c>
      <c r="AM726" s="112" t="str">
        <f>IF(preDEL!$AG726,IFERROR(0/0,""),preDEL!AM726)</f>
        <v>SpBEND292213</v>
      </c>
      <c r="AN726" s="112" t="str">
        <f>IF(preDEL!$AG726,IFERROR(0/0,""),preDEL!AN726)</f>
        <v>BEND121582</v>
      </c>
      <c r="AO726" s="112" t="str">
        <f>IF(preDEL!$AG726,IFERROR(0/0,""),preDEL!AO726)</f>
        <v/>
      </c>
      <c r="AP726" s="112" t="str">
        <f>IF(preDEL!$AG726,IFERROR(0/0,""),preDEL!AP726)</f>
        <v/>
      </c>
      <c r="AQ726" s="112" t="str">
        <f>IF(preDEL!$AG726,IFERROR(0/0,""),preDEL!AQ726)</f>
        <v/>
      </c>
      <c r="AR726" s="112" t="str">
        <f>IF(preDEL!$AG726,IFERROR(0/0,""),preDEL!AR726)</f>
        <v/>
      </c>
      <c r="AS726" s="112" t="str">
        <f>IF(preDEL!$AG726,IFERROR(0/0,""),preDEL!AS726)</f>
        <v/>
      </c>
      <c r="AT726" s="112" t="b">
        <f>IF(preDEL!$AG726,IFERROR(0/0,""),preDEL!AT726)</f>
        <v>0</v>
      </c>
      <c r="AU726" s="112" t="str">
        <f>IF(preDEL!$AG726,IFERROR(0/0,""),preDEL!AU726)</f>
        <v/>
      </c>
      <c r="AV726" s="112" t="str">
        <f>IF(preDEL!$AG726,IFERROR(0/0,""),preDEL!AV726)</f>
        <v/>
      </c>
      <c r="AW726" s="112" t="str">
        <f>IF(preDEL!$AG726,IFERROR(0/0,""),preDEL!AW726)</f>
        <v/>
      </c>
      <c r="AX726" s="112" t="str">
        <f>IF(preDEL!$AG726,IFERROR(0/0,""),preDEL!AX726)</f>
        <v/>
      </c>
      <c r="AY726" s="112" t="str">
        <f>IF(preDEL!$AG726,IFERROR(0/0,""),preDEL!AY726)</f>
        <v/>
      </c>
      <c r="AZ726" s="174"/>
      <c r="BA726" s="174"/>
      <c r="BB726" s="174"/>
      <c r="BC726" s="174"/>
      <c r="BD726" s="174"/>
      <c r="BE726" s="174"/>
      <c r="BF726" s="174"/>
      <c r="BG726" s="174"/>
      <c r="BH726" s="174"/>
      <c r="BI726" s="174"/>
      <c r="BJ726" s="174"/>
      <c r="BK726" s="174"/>
      <c r="BL726" s="174"/>
      <c r="BM726" s="174"/>
      <c r="BN726" s="174"/>
      <c r="BO726" s="174"/>
      <c r="BP726" s="174"/>
      <c r="BQ726" s="174"/>
      <c r="BR726" s="174"/>
      <c r="BS726" s="174"/>
      <c r="BT726" s="174"/>
      <c r="BU726" s="174"/>
      <c r="BV726" s="174"/>
      <c r="BW726" s="174"/>
      <c r="BX726" s="174"/>
      <c r="BY726" s="174"/>
      <c r="BZ726" s="174"/>
      <c r="CA726" s="174"/>
      <c r="CB726" s="174"/>
      <c r="CC726" s="174"/>
      <c r="CD726" s="174"/>
    </row>
    <row r="727">
      <c r="A727" s="105" t="str">
        <f>IF(preDEL!$AG727,IFERROR(0/0,""),preDEL!A727)</f>
        <v>FM2082</v>
      </c>
      <c r="B727" s="170">
        <f>IF(preDEL!$AG727,IFERROR(0/0,""),preDEL!B727)</f>
        <v>44627</v>
      </c>
      <c r="C727" s="171">
        <f>IF(preDEL!$AG727,IFERROR(0/0,""),preDEL!C727)</f>
        <v>0.2957175926</v>
      </c>
      <c r="D727" s="105" t="str">
        <f>IF(preDEL!$AG727,IFERROR(0/0,""),preDEL!D727)</f>
        <v/>
      </c>
      <c r="E727" s="105" t="str">
        <f>IF(preDEL!$AG727,IFERROR(0/0,""),preDEL!E727)</f>
        <v/>
      </c>
      <c r="F727" s="112" t="str">
        <f>IF(preDEL!$AG727,IFERROR(0/0,""),preDEL!F727)</f>
        <v/>
      </c>
      <c r="G727" s="112" t="str">
        <f>IF(preDEL!$AG727,IFERROR(0/0,""),preDEL!G727)</f>
        <v/>
      </c>
      <c r="H727" s="112" t="str">
        <f>IF(preDEL!$AG727,IFERROR(0/0,""),preDEL!H727)</f>
        <v/>
      </c>
      <c r="I727" s="105" t="str">
        <f>IF(preDEL!$AG727,IFERROR(0/0,""),preDEL!I727)</f>
        <v/>
      </c>
      <c r="J727" s="105" t="str">
        <f>IF(preDEL!$AG727,IFERROR(0/0,""),preDEL!J727)</f>
        <v/>
      </c>
      <c r="K727" s="105" t="str">
        <f>IF(preDEL!$AG727,IFERROR(0/0,""),preDEL!K727)</f>
        <v>Negative</v>
      </c>
      <c r="L727" s="170">
        <f>IF(preDEL!$AG727,IFERROR(0/0,""),preDEL!L727)</f>
        <v>44627</v>
      </c>
      <c r="M727" s="171">
        <f>IF(preDEL!$AG727,IFERROR(0/0,""),preDEL!M727)</f>
        <v>0.4778935185</v>
      </c>
      <c r="N727" s="112" t="str">
        <f>IF(preDEL!$AG727,IFERROR(0/0,""),preDEL!N727)</f>
        <v/>
      </c>
      <c r="O727" s="112" t="str">
        <f>IF(preDEL!$AG727,IFERROR(0/0,""),preDEL!O727)</f>
        <v/>
      </c>
      <c r="P727" s="110" t="b">
        <f>IF(preDEL!$AG727,IFERROR(0/0,""),preDEL!P727)</f>
        <v>0</v>
      </c>
      <c r="Q727" s="110" t="str">
        <f>IF(preDEL!$AG727,IFERROR(0/0,""),preDEL!Q727)</f>
        <v>Result</v>
      </c>
      <c r="R727" s="104" t="b">
        <f>IF(preDEL!$AG727,IFERROR(0/0,""),preDEL!R727)</f>
        <v>1</v>
      </c>
      <c r="S727" s="104">
        <f>IF(preDEL!$AG727,IFERROR(0/0,""),preDEL!S727)</f>
        <v>1</v>
      </c>
      <c r="T727" s="110" t="str">
        <f>IF(preDEL!$AG727,IFERROR(0/0,""),preDEL!T727)</f>
        <v/>
      </c>
      <c r="U727" s="112" t="str">
        <f>IF(preDEL!$AG727,IFERROR(0/0,""),preDEL!U727)</f>
        <v/>
      </c>
      <c r="V727" s="105" t="str">
        <f>IF(preDEL!$AG727,IFERROR(0/0,""),preDEL!V727)</f>
        <v/>
      </c>
      <c r="W727" s="112" t="str">
        <f>IF(preDEL!$AG727,IFERROR(0/0,""),preDEL!W727)</f>
        <v/>
      </c>
      <c r="X727" s="104" t="b">
        <f>IF(preDEL!$AG727,IFERROR(0/0,""),preDEL!X727)</f>
        <v>0</v>
      </c>
      <c r="Y727" s="110" t="b">
        <f>IF(preDEL!$AG727,IFERROR(0/0,""),preDEL!Y727)</f>
        <v>0</v>
      </c>
      <c r="Z727" s="105" t="str">
        <f>IF(preDEL!$AG727,IFERROR(0/0,""),preDEL!Z727)</f>
        <v/>
      </c>
      <c r="AA727" s="110" t="b">
        <f>IF(preDEL!$AG727,IFERROR(0/0,""),preDEL!AA727)</f>
        <v>0</v>
      </c>
      <c r="AB727" s="110" t="b">
        <f>IF(preDEL!$AG727,IFERROR(0/0,""),preDEL!AB727)</f>
        <v>0</v>
      </c>
      <c r="AC727" s="172">
        <f>IF(preDEL!$AG727,IFERROR(0/0,""),preDEL!AC727)</f>
        <v>94</v>
      </c>
      <c r="AD727" s="104" t="b">
        <f>IF(preDEL!$AG727,IFERROR(0/0,""),preDEL!AD727)</f>
        <v>0</v>
      </c>
      <c r="AE727" s="173">
        <f>IF(preDEL!$AG727,IFERROR(0/0,""),preDEL!AE727)</f>
        <v>262.3333333</v>
      </c>
      <c r="AF727" s="110" t="b">
        <f>IF(preDEL!$AG727,IFERROR(0/0,""),preDEL!AF727)</f>
        <v>0</v>
      </c>
      <c r="AG727" s="110" t="b">
        <f>IF(preDEL!$AG727,IFERROR(0/0,""),preDEL!AG727)</f>
        <v>0</v>
      </c>
      <c r="AH727" s="104" t="str">
        <f>IF(preDEL!$AG727,IFERROR(0/0,""),preDEL!AH727)</f>
        <v/>
      </c>
      <c r="AI727" s="105" t="str">
        <f>IF(preDEL!$AG727,IFERROR(0/0,""),preDEL!AI727)</f>
        <v/>
      </c>
      <c r="AJ727" s="112" t="str">
        <f>IF(preDEL!$AG727,IFERROR(0/0,""),preDEL!AJ727)</f>
        <v/>
      </c>
      <c r="AK727" s="105" t="str">
        <f>IF(preDEL!$AG727,IFERROR(0/0,""),preDEL!AK727)</f>
        <v>Negative</v>
      </c>
      <c r="AL727" s="112" t="str">
        <f>IF(preDEL!$AG727,IFERROR(0/0,""),preDEL!AL727)</f>
        <v/>
      </c>
      <c r="AM727" s="112" t="str">
        <f>IF(preDEL!$AG727,IFERROR(0/0,""),preDEL!AM727)</f>
        <v>SpBEND264858</v>
      </c>
      <c r="AN727" s="112" t="str">
        <f>IF(preDEL!$AG727,IFERROR(0/0,""),preDEL!AN727)</f>
        <v>BEND939689</v>
      </c>
      <c r="AO727" s="112" t="str">
        <f>IF(preDEL!$AG727,IFERROR(0/0,""),preDEL!AO727)</f>
        <v/>
      </c>
      <c r="AP727" s="112" t="str">
        <f>IF(preDEL!$AG727,IFERROR(0/0,""),preDEL!AP727)</f>
        <v/>
      </c>
      <c r="AQ727" s="112" t="str">
        <f>IF(preDEL!$AG727,IFERROR(0/0,""),preDEL!AQ727)</f>
        <v/>
      </c>
      <c r="AR727" s="112" t="str">
        <f>IF(preDEL!$AG727,IFERROR(0/0,""),preDEL!AR727)</f>
        <v/>
      </c>
      <c r="AS727" s="112" t="str">
        <f>IF(preDEL!$AG727,IFERROR(0/0,""),preDEL!AS727)</f>
        <v/>
      </c>
      <c r="AT727" s="112" t="b">
        <f>IF(preDEL!$AG727,IFERROR(0/0,""),preDEL!AT727)</f>
        <v>0</v>
      </c>
      <c r="AU727" s="112" t="str">
        <f>IF(preDEL!$AG727,IFERROR(0/0,""),preDEL!AU727)</f>
        <v/>
      </c>
      <c r="AV727" s="112" t="str">
        <f>IF(preDEL!$AG727,IFERROR(0/0,""),preDEL!AV727)</f>
        <v/>
      </c>
      <c r="AW727" s="112" t="str">
        <f>IF(preDEL!$AG727,IFERROR(0/0,""),preDEL!AW727)</f>
        <v/>
      </c>
      <c r="AX727" s="112" t="str">
        <f>IF(preDEL!$AG727,IFERROR(0/0,""),preDEL!AX727)</f>
        <v/>
      </c>
      <c r="AY727" s="112" t="str">
        <f>IF(preDEL!$AG727,IFERROR(0/0,""),preDEL!AY727)</f>
        <v/>
      </c>
      <c r="AZ727" s="174"/>
      <c r="BA727" s="174"/>
      <c r="BB727" s="174"/>
      <c r="BC727" s="174"/>
      <c r="BD727" s="174"/>
      <c r="BE727" s="174"/>
      <c r="BF727" s="174"/>
      <c r="BG727" s="174"/>
      <c r="BH727" s="174"/>
      <c r="BI727" s="174"/>
      <c r="BJ727" s="174"/>
      <c r="BK727" s="174"/>
      <c r="BL727" s="174"/>
      <c r="BM727" s="174"/>
      <c r="BN727" s="174"/>
      <c r="BO727" s="174"/>
      <c r="BP727" s="174"/>
      <c r="BQ727" s="174"/>
      <c r="BR727" s="174"/>
      <c r="BS727" s="174"/>
      <c r="BT727" s="174"/>
      <c r="BU727" s="174"/>
      <c r="BV727" s="174"/>
      <c r="BW727" s="174"/>
      <c r="BX727" s="174"/>
      <c r="BY727" s="174"/>
      <c r="BZ727" s="174"/>
      <c r="CA727" s="174"/>
      <c r="CB727" s="174"/>
      <c r="CC727" s="174"/>
      <c r="CD727" s="174"/>
    </row>
    <row r="728">
      <c r="A728" s="105" t="str">
        <f>IF(preDEL!$AG728,IFERROR(0/0,""),preDEL!A728)</f>
        <v>FM417</v>
      </c>
      <c r="B728" s="170">
        <f>IF(preDEL!$AG728,IFERROR(0/0,""),preDEL!B728)</f>
        <v>44627</v>
      </c>
      <c r="C728" s="171">
        <f>IF(preDEL!$AG728,IFERROR(0/0,""),preDEL!C728)</f>
        <v>0.2964351852</v>
      </c>
      <c r="D728" s="105" t="str">
        <f>IF(preDEL!$AG728,IFERROR(0/0,""),preDEL!D728)</f>
        <v/>
      </c>
      <c r="E728" s="105" t="str">
        <f>IF(preDEL!$AG728,IFERROR(0/0,""),preDEL!E728)</f>
        <v/>
      </c>
      <c r="F728" s="112" t="str">
        <f>IF(preDEL!$AG728,IFERROR(0/0,""),preDEL!F728)</f>
        <v/>
      </c>
      <c r="G728" s="112" t="str">
        <f>IF(preDEL!$AG728,IFERROR(0/0,""),preDEL!G728)</f>
        <v/>
      </c>
      <c r="H728" s="112" t="str">
        <f>IF(preDEL!$AG728,IFERROR(0/0,""),preDEL!H728)</f>
        <v/>
      </c>
      <c r="I728" s="105" t="str">
        <f>IF(preDEL!$AG728,IFERROR(0/0,""),preDEL!I728)</f>
        <v/>
      </c>
      <c r="J728" s="105" t="str">
        <f>IF(preDEL!$AG728,IFERROR(0/0,""),preDEL!J728)</f>
        <v/>
      </c>
      <c r="K728" s="105" t="str">
        <f>IF(preDEL!$AG728,IFERROR(0/0,""),preDEL!K728)</f>
        <v>Negative</v>
      </c>
      <c r="L728" s="170">
        <f>IF(preDEL!$AG728,IFERROR(0/0,""),preDEL!L728)</f>
        <v>44627</v>
      </c>
      <c r="M728" s="171">
        <f>IF(preDEL!$AG728,IFERROR(0/0,""),preDEL!M728)</f>
        <v>0.4778935185</v>
      </c>
      <c r="N728" s="112" t="str">
        <f>IF(preDEL!$AG728,IFERROR(0/0,""),preDEL!N728)</f>
        <v/>
      </c>
      <c r="O728" s="112" t="str">
        <f>IF(preDEL!$AG728,IFERROR(0/0,""),preDEL!O728)</f>
        <v/>
      </c>
      <c r="P728" s="110" t="b">
        <f>IF(preDEL!$AG728,IFERROR(0/0,""),preDEL!P728)</f>
        <v>0</v>
      </c>
      <c r="Q728" s="110" t="str">
        <f>IF(preDEL!$AG728,IFERROR(0/0,""),preDEL!Q728)</f>
        <v>Result</v>
      </c>
      <c r="R728" s="104" t="b">
        <f>IF(preDEL!$AG728,IFERROR(0/0,""),preDEL!R728)</f>
        <v>1</v>
      </c>
      <c r="S728" s="104">
        <f>IF(preDEL!$AG728,IFERROR(0/0,""),preDEL!S728)</f>
        <v>1</v>
      </c>
      <c r="T728" s="110" t="str">
        <f>IF(preDEL!$AG728,IFERROR(0/0,""),preDEL!T728)</f>
        <v/>
      </c>
      <c r="U728" s="112" t="str">
        <f>IF(preDEL!$AG728,IFERROR(0/0,""),preDEL!U728)</f>
        <v/>
      </c>
      <c r="V728" s="105" t="str">
        <f>IF(preDEL!$AG728,IFERROR(0/0,""),preDEL!V728)</f>
        <v/>
      </c>
      <c r="W728" s="112" t="str">
        <f>IF(preDEL!$AG728,IFERROR(0/0,""),preDEL!W728)</f>
        <v/>
      </c>
      <c r="X728" s="104" t="b">
        <f>IF(preDEL!$AG728,IFERROR(0/0,""),preDEL!X728)</f>
        <v>0</v>
      </c>
      <c r="Y728" s="110" t="b">
        <f>IF(preDEL!$AG728,IFERROR(0/0,""),preDEL!Y728)</f>
        <v>0</v>
      </c>
      <c r="Z728" s="105" t="str">
        <f>IF(preDEL!$AG728,IFERROR(0/0,""),preDEL!Z728)</f>
        <v/>
      </c>
      <c r="AA728" s="110" t="b">
        <f>IF(preDEL!$AG728,IFERROR(0/0,""),preDEL!AA728)</f>
        <v>0</v>
      </c>
      <c r="AB728" s="110" t="b">
        <f>IF(preDEL!$AG728,IFERROR(0/0,""),preDEL!AB728)</f>
        <v>0</v>
      </c>
      <c r="AC728" s="172">
        <f>IF(preDEL!$AG728,IFERROR(0/0,""),preDEL!AC728)</f>
        <v>96</v>
      </c>
      <c r="AD728" s="104" t="b">
        <f>IF(preDEL!$AG728,IFERROR(0/0,""),preDEL!AD728)</f>
        <v>0</v>
      </c>
      <c r="AE728" s="173">
        <f>IF(preDEL!$AG728,IFERROR(0/0,""),preDEL!AE728)</f>
        <v>261.3</v>
      </c>
      <c r="AF728" s="110" t="b">
        <f>IF(preDEL!$AG728,IFERROR(0/0,""),preDEL!AF728)</f>
        <v>0</v>
      </c>
      <c r="AG728" s="110" t="b">
        <f>IF(preDEL!$AG728,IFERROR(0/0,""),preDEL!AG728)</f>
        <v>0</v>
      </c>
      <c r="AH728" s="104" t="str">
        <f>IF(preDEL!$AG728,IFERROR(0/0,""),preDEL!AH728)</f>
        <v/>
      </c>
      <c r="AI728" s="105" t="str">
        <f>IF(preDEL!$AG728,IFERROR(0/0,""),preDEL!AI728)</f>
        <v/>
      </c>
      <c r="AJ728" s="112" t="str">
        <f>IF(preDEL!$AG728,IFERROR(0/0,""),preDEL!AJ728)</f>
        <v/>
      </c>
      <c r="AK728" s="105" t="str">
        <f>IF(preDEL!$AG728,IFERROR(0/0,""),preDEL!AK728)</f>
        <v>Negative</v>
      </c>
      <c r="AL728" s="112" t="str">
        <f>IF(preDEL!$AG728,IFERROR(0/0,""),preDEL!AL728)</f>
        <v/>
      </c>
      <c r="AM728" s="112" t="str">
        <f>IF(preDEL!$AG728,IFERROR(0/0,""),preDEL!AM728)</f>
        <v>SpBEND363177</v>
      </c>
      <c r="AN728" s="112" t="str">
        <f>IF(preDEL!$AG728,IFERROR(0/0,""),preDEL!AN728)</f>
        <v>BEND213287</v>
      </c>
      <c r="AO728" s="112" t="str">
        <f>IF(preDEL!$AG728,IFERROR(0/0,""),preDEL!AO728)</f>
        <v/>
      </c>
      <c r="AP728" s="112" t="str">
        <f>IF(preDEL!$AG728,IFERROR(0/0,""),preDEL!AP728)</f>
        <v/>
      </c>
      <c r="AQ728" s="112" t="str">
        <f>IF(preDEL!$AG728,IFERROR(0/0,""),preDEL!AQ728)</f>
        <v/>
      </c>
      <c r="AR728" s="112" t="str">
        <f>IF(preDEL!$AG728,IFERROR(0/0,""),preDEL!AR728)</f>
        <v/>
      </c>
      <c r="AS728" s="112" t="str">
        <f>IF(preDEL!$AG728,IFERROR(0/0,""),preDEL!AS728)</f>
        <v/>
      </c>
      <c r="AT728" s="112" t="b">
        <f>IF(preDEL!$AG728,IFERROR(0/0,""),preDEL!AT728)</f>
        <v>0</v>
      </c>
      <c r="AU728" s="112" t="str">
        <f>IF(preDEL!$AG728,IFERROR(0/0,""),preDEL!AU728)</f>
        <v/>
      </c>
      <c r="AV728" s="112" t="str">
        <f>IF(preDEL!$AG728,IFERROR(0/0,""),preDEL!AV728)</f>
        <v/>
      </c>
      <c r="AW728" s="112" t="str">
        <f>IF(preDEL!$AG728,IFERROR(0/0,""),preDEL!AW728)</f>
        <v/>
      </c>
      <c r="AX728" s="112" t="str">
        <f>IF(preDEL!$AG728,IFERROR(0/0,""),preDEL!AX728)</f>
        <v/>
      </c>
      <c r="AY728" s="112" t="str">
        <f>IF(preDEL!$AG728,IFERROR(0/0,""),preDEL!AY728)</f>
        <v/>
      </c>
      <c r="AZ728" s="174"/>
      <c r="BA728" s="174"/>
      <c r="BB728" s="174"/>
      <c r="BC728" s="174"/>
      <c r="BD728" s="174"/>
      <c r="BE728" s="174"/>
      <c r="BF728" s="174"/>
      <c r="BG728" s="174"/>
      <c r="BH728" s="174"/>
      <c r="BI728" s="174"/>
      <c r="BJ728" s="174"/>
      <c r="BK728" s="174"/>
      <c r="BL728" s="174"/>
      <c r="BM728" s="174"/>
      <c r="BN728" s="174"/>
      <c r="BO728" s="174"/>
      <c r="BP728" s="174"/>
      <c r="BQ728" s="174"/>
      <c r="BR728" s="174"/>
      <c r="BS728" s="174"/>
      <c r="BT728" s="174"/>
      <c r="BU728" s="174"/>
      <c r="BV728" s="174"/>
      <c r="BW728" s="174"/>
      <c r="BX728" s="174"/>
      <c r="BY728" s="174"/>
      <c r="BZ728" s="174"/>
      <c r="CA728" s="174"/>
      <c r="CB728" s="174"/>
      <c r="CC728" s="174"/>
      <c r="CD728" s="174"/>
    </row>
    <row r="729">
      <c r="A729" s="105" t="str">
        <f>IF(preDEL!$AG729,IFERROR(0/0,""),preDEL!A729)</f>
        <v>FM476</v>
      </c>
      <c r="B729" s="170">
        <f>IF(preDEL!$AG729,IFERROR(0/0,""),preDEL!B729)</f>
        <v>44627</v>
      </c>
      <c r="C729" s="171">
        <f>IF(preDEL!$AG729,IFERROR(0/0,""),preDEL!C729)</f>
        <v>0.2971412037</v>
      </c>
      <c r="D729" s="105" t="str">
        <f>IF(preDEL!$AG729,IFERROR(0/0,""),preDEL!D729)</f>
        <v/>
      </c>
      <c r="E729" s="105" t="str">
        <f>IF(preDEL!$AG729,IFERROR(0/0,""),preDEL!E729)</f>
        <v/>
      </c>
      <c r="F729" s="112" t="str">
        <f>IF(preDEL!$AG729,IFERROR(0/0,""),preDEL!F729)</f>
        <v/>
      </c>
      <c r="G729" s="112" t="str">
        <f>IF(preDEL!$AG729,IFERROR(0/0,""),preDEL!G729)</f>
        <v/>
      </c>
      <c r="H729" s="112" t="str">
        <f>IF(preDEL!$AG729,IFERROR(0/0,""),preDEL!H729)</f>
        <v/>
      </c>
      <c r="I729" s="105" t="str">
        <f>IF(preDEL!$AG729,IFERROR(0/0,""),preDEL!I729)</f>
        <v/>
      </c>
      <c r="J729" s="105" t="str">
        <f>IF(preDEL!$AG729,IFERROR(0/0,""),preDEL!J729)</f>
        <v/>
      </c>
      <c r="K729" s="105" t="str">
        <f>IF(preDEL!$AG729,IFERROR(0/0,""),preDEL!K729)</f>
        <v>Negative</v>
      </c>
      <c r="L729" s="170">
        <f>IF(preDEL!$AG729,IFERROR(0/0,""),preDEL!L729)</f>
        <v>44627</v>
      </c>
      <c r="M729" s="171">
        <f>IF(preDEL!$AG729,IFERROR(0/0,""),preDEL!M729)</f>
        <v>0.4778935185</v>
      </c>
      <c r="N729" s="112" t="str">
        <f>IF(preDEL!$AG729,IFERROR(0/0,""),preDEL!N729)</f>
        <v/>
      </c>
      <c r="O729" s="112" t="str">
        <f>IF(preDEL!$AG729,IFERROR(0/0,""),preDEL!O729)</f>
        <v/>
      </c>
      <c r="P729" s="110" t="b">
        <f>IF(preDEL!$AG729,IFERROR(0/0,""),preDEL!P729)</f>
        <v>0</v>
      </c>
      <c r="Q729" s="110" t="str">
        <f>IF(preDEL!$AG729,IFERROR(0/0,""),preDEL!Q729)</f>
        <v>Result</v>
      </c>
      <c r="R729" s="104" t="b">
        <f>IF(preDEL!$AG729,IFERROR(0/0,""),preDEL!R729)</f>
        <v>1</v>
      </c>
      <c r="S729" s="104">
        <f>IF(preDEL!$AG729,IFERROR(0/0,""),preDEL!S729)</f>
        <v>1</v>
      </c>
      <c r="T729" s="110" t="str">
        <f>IF(preDEL!$AG729,IFERROR(0/0,""),preDEL!T729)</f>
        <v/>
      </c>
      <c r="U729" s="112" t="str">
        <f>IF(preDEL!$AG729,IFERROR(0/0,""),preDEL!U729)</f>
        <v/>
      </c>
      <c r="V729" s="105" t="str">
        <f>IF(preDEL!$AG729,IFERROR(0/0,""),preDEL!V729)</f>
        <v/>
      </c>
      <c r="W729" s="112" t="str">
        <f>IF(preDEL!$AG729,IFERROR(0/0,""),preDEL!W729)</f>
        <v/>
      </c>
      <c r="X729" s="104" t="b">
        <f>IF(preDEL!$AG729,IFERROR(0/0,""),preDEL!X729)</f>
        <v>0</v>
      </c>
      <c r="Y729" s="110" t="b">
        <f>IF(preDEL!$AG729,IFERROR(0/0,""),preDEL!Y729)</f>
        <v>0</v>
      </c>
      <c r="Z729" s="105" t="str">
        <f>IF(preDEL!$AG729,IFERROR(0/0,""),preDEL!Z729)</f>
        <v/>
      </c>
      <c r="AA729" s="110" t="b">
        <f>IF(preDEL!$AG729,IFERROR(0/0,""),preDEL!AA729)</f>
        <v>0</v>
      </c>
      <c r="AB729" s="110" t="b">
        <f>IF(preDEL!$AG729,IFERROR(0/0,""),preDEL!AB729)</f>
        <v>0</v>
      </c>
      <c r="AC729" s="172">
        <f>IF(preDEL!$AG729,IFERROR(0/0,""),preDEL!AC729)</f>
        <v>95</v>
      </c>
      <c r="AD729" s="104" t="b">
        <f>IF(preDEL!$AG729,IFERROR(0/0,""),preDEL!AD729)</f>
        <v>0</v>
      </c>
      <c r="AE729" s="173">
        <f>IF(preDEL!$AG729,IFERROR(0/0,""),preDEL!AE729)</f>
        <v>260.2833333</v>
      </c>
      <c r="AF729" s="110" t="b">
        <f>IF(preDEL!$AG729,IFERROR(0/0,""),preDEL!AF729)</f>
        <v>0</v>
      </c>
      <c r="AG729" s="110" t="b">
        <f>IF(preDEL!$AG729,IFERROR(0/0,""),preDEL!AG729)</f>
        <v>0</v>
      </c>
      <c r="AH729" s="104" t="str">
        <f>IF(preDEL!$AG729,IFERROR(0/0,""),preDEL!AH729)</f>
        <v/>
      </c>
      <c r="AI729" s="105" t="str">
        <f>IF(preDEL!$AG729,IFERROR(0/0,""),preDEL!AI729)</f>
        <v/>
      </c>
      <c r="AJ729" s="112" t="str">
        <f>IF(preDEL!$AG729,IFERROR(0/0,""),preDEL!AJ729)</f>
        <v/>
      </c>
      <c r="AK729" s="105" t="str">
        <f>IF(preDEL!$AG729,IFERROR(0/0,""),preDEL!AK729)</f>
        <v>Negative</v>
      </c>
      <c r="AL729" s="112" t="str">
        <f>IF(preDEL!$AG729,IFERROR(0/0,""),preDEL!AL729)</f>
        <v/>
      </c>
      <c r="AM729" s="112" t="str">
        <f>IF(preDEL!$AG729,IFERROR(0/0,""),preDEL!AM729)</f>
        <v>SpBEND713650</v>
      </c>
      <c r="AN729" s="112" t="str">
        <f>IF(preDEL!$AG729,IFERROR(0/0,""),preDEL!AN729)</f>
        <v>BEND638558</v>
      </c>
      <c r="AO729" s="112" t="str">
        <f>IF(preDEL!$AG729,IFERROR(0/0,""),preDEL!AO729)</f>
        <v/>
      </c>
      <c r="AP729" s="112" t="str">
        <f>IF(preDEL!$AG729,IFERROR(0/0,""),preDEL!AP729)</f>
        <v/>
      </c>
      <c r="AQ729" s="112" t="str">
        <f>IF(preDEL!$AG729,IFERROR(0/0,""),preDEL!AQ729)</f>
        <v/>
      </c>
      <c r="AR729" s="112" t="str">
        <f>IF(preDEL!$AG729,IFERROR(0/0,""),preDEL!AR729)</f>
        <v/>
      </c>
      <c r="AS729" s="112" t="str">
        <f>IF(preDEL!$AG729,IFERROR(0/0,""),preDEL!AS729)</f>
        <v/>
      </c>
      <c r="AT729" s="112" t="b">
        <f>IF(preDEL!$AG729,IFERROR(0/0,""),preDEL!AT729)</f>
        <v>0</v>
      </c>
      <c r="AU729" s="112" t="str">
        <f>IF(preDEL!$AG729,IFERROR(0/0,""),preDEL!AU729)</f>
        <v/>
      </c>
      <c r="AV729" s="112" t="str">
        <f>IF(preDEL!$AG729,IFERROR(0/0,""),preDEL!AV729)</f>
        <v/>
      </c>
      <c r="AW729" s="112" t="str">
        <f>IF(preDEL!$AG729,IFERROR(0/0,""),preDEL!AW729)</f>
        <v/>
      </c>
      <c r="AX729" s="112" t="str">
        <f>IF(preDEL!$AG729,IFERROR(0/0,""),preDEL!AX729)</f>
        <v/>
      </c>
      <c r="AY729" s="112" t="str">
        <f>IF(preDEL!$AG729,IFERROR(0/0,""),preDEL!AY729)</f>
        <v/>
      </c>
      <c r="AZ729" s="174"/>
      <c r="BA729" s="174"/>
      <c r="BB729" s="174"/>
      <c r="BC729" s="174"/>
      <c r="BD729" s="174"/>
      <c r="BE729" s="174"/>
      <c r="BF729" s="174"/>
      <c r="BG729" s="174"/>
      <c r="BH729" s="174"/>
      <c r="BI729" s="174"/>
      <c r="BJ729" s="174"/>
      <c r="BK729" s="174"/>
      <c r="BL729" s="174"/>
      <c r="BM729" s="174"/>
      <c r="BN729" s="174"/>
      <c r="BO729" s="174"/>
      <c r="BP729" s="174"/>
      <c r="BQ729" s="174"/>
      <c r="BR729" s="174"/>
      <c r="BS729" s="174"/>
      <c r="BT729" s="174"/>
      <c r="BU729" s="174"/>
      <c r="BV729" s="174"/>
      <c r="BW729" s="174"/>
      <c r="BX729" s="174"/>
      <c r="BY729" s="174"/>
      <c r="BZ729" s="174"/>
      <c r="CA729" s="174"/>
      <c r="CB729" s="174"/>
      <c r="CC729" s="174"/>
      <c r="CD729" s="174"/>
    </row>
    <row r="730">
      <c r="A730" s="105" t="str">
        <f>IF(preDEL!$AG730,IFERROR(0/0,""),preDEL!A730)</f>
        <v>FM388</v>
      </c>
      <c r="B730" s="170">
        <f>IF(preDEL!$AG730,IFERROR(0/0,""),preDEL!B730)</f>
        <v>44627</v>
      </c>
      <c r="C730" s="171">
        <f>IF(preDEL!$AG730,IFERROR(0/0,""),preDEL!C730)</f>
        <v>0.3037152778</v>
      </c>
      <c r="D730" s="105" t="str">
        <f>IF(preDEL!$AG730,IFERROR(0/0,""),preDEL!D730)</f>
        <v/>
      </c>
      <c r="E730" s="105" t="str">
        <f>IF(preDEL!$AG730,IFERROR(0/0,""),preDEL!E730)</f>
        <v/>
      </c>
      <c r="F730" s="112" t="str">
        <f>IF(preDEL!$AG730,IFERROR(0/0,""),preDEL!F730)</f>
        <v/>
      </c>
      <c r="G730" s="112" t="str">
        <f>IF(preDEL!$AG730,IFERROR(0/0,""),preDEL!G730)</f>
        <v/>
      </c>
      <c r="H730" s="112" t="str">
        <f>IF(preDEL!$AG730,IFERROR(0/0,""),preDEL!H730)</f>
        <v/>
      </c>
      <c r="I730" s="105" t="str">
        <f>IF(preDEL!$AG730,IFERROR(0/0,""),preDEL!I730)</f>
        <v/>
      </c>
      <c r="J730" s="105" t="str">
        <f>IF(preDEL!$AG730,IFERROR(0/0,""),preDEL!J730)</f>
        <v/>
      </c>
      <c r="K730" s="105" t="str">
        <f>IF(preDEL!$AG730,IFERROR(0/0,""),preDEL!K730)</f>
        <v>Negative</v>
      </c>
      <c r="L730" s="170">
        <f>IF(preDEL!$AG730,IFERROR(0/0,""),preDEL!L730)</f>
        <v>44627</v>
      </c>
      <c r="M730" s="171">
        <f>IF(preDEL!$AG730,IFERROR(0/0,""),preDEL!M730)</f>
        <v>0.4778935185</v>
      </c>
      <c r="N730" s="112" t="str">
        <f>IF(preDEL!$AG730,IFERROR(0/0,""),preDEL!N730)</f>
        <v/>
      </c>
      <c r="O730" s="112" t="str">
        <f>IF(preDEL!$AG730,IFERROR(0/0,""),preDEL!O730)</f>
        <v/>
      </c>
      <c r="P730" s="110" t="b">
        <f>IF(preDEL!$AG730,IFERROR(0/0,""),preDEL!P730)</f>
        <v>0</v>
      </c>
      <c r="Q730" s="110" t="str">
        <f>IF(preDEL!$AG730,IFERROR(0/0,""),preDEL!Q730)</f>
        <v>Result</v>
      </c>
      <c r="R730" s="104" t="b">
        <f>IF(preDEL!$AG730,IFERROR(0/0,""),preDEL!R730)</f>
        <v>1</v>
      </c>
      <c r="S730" s="104">
        <f>IF(preDEL!$AG730,IFERROR(0/0,""),preDEL!S730)</f>
        <v>1</v>
      </c>
      <c r="T730" s="110" t="str">
        <f>IF(preDEL!$AG730,IFERROR(0/0,""),preDEL!T730)</f>
        <v/>
      </c>
      <c r="U730" s="112" t="str">
        <f>IF(preDEL!$AG730,IFERROR(0/0,""),preDEL!U730)</f>
        <v/>
      </c>
      <c r="V730" s="105" t="str">
        <f>IF(preDEL!$AG730,IFERROR(0/0,""),preDEL!V730)</f>
        <v/>
      </c>
      <c r="W730" s="112" t="str">
        <f>IF(preDEL!$AG730,IFERROR(0/0,""),preDEL!W730)</f>
        <v/>
      </c>
      <c r="X730" s="104" t="b">
        <f>IF(preDEL!$AG730,IFERROR(0/0,""),preDEL!X730)</f>
        <v>0</v>
      </c>
      <c r="Y730" s="110" t="b">
        <f>IF(preDEL!$AG730,IFERROR(0/0,""),preDEL!Y730)</f>
        <v>0</v>
      </c>
      <c r="Z730" s="105" t="str">
        <f>IF(preDEL!$AG730,IFERROR(0/0,""),preDEL!Z730)</f>
        <v/>
      </c>
      <c r="AA730" s="110" t="b">
        <f>IF(preDEL!$AG730,IFERROR(0/0,""),preDEL!AA730)</f>
        <v>0</v>
      </c>
      <c r="AB730" s="110" t="b">
        <f>IF(preDEL!$AG730,IFERROR(0/0,""),preDEL!AB730)</f>
        <v>0</v>
      </c>
      <c r="AC730" s="172">
        <f>IF(preDEL!$AG730,IFERROR(0/0,""),preDEL!AC730)</f>
        <v>93</v>
      </c>
      <c r="AD730" s="104" t="b">
        <f>IF(preDEL!$AG730,IFERROR(0/0,""),preDEL!AD730)</f>
        <v>0</v>
      </c>
      <c r="AE730" s="173">
        <f>IF(preDEL!$AG730,IFERROR(0/0,""),preDEL!AE730)</f>
        <v>250.8166667</v>
      </c>
      <c r="AF730" s="110" t="b">
        <f>IF(preDEL!$AG730,IFERROR(0/0,""),preDEL!AF730)</f>
        <v>0</v>
      </c>
      <c r="AG730" s="110" t="b">
        <f>IF(preDEL!$AG730,IFERROR(0/0,""),preDEL!AG730)</f>
        <v>0</v>
      </c>
      <c r="AH730" s="104" t="str">
        <f>IF(preDEL!$AG730,IFERROR(0/0,""),preDEL!AH730)</f>
        <v/>
      </c>
      <c r="AI730" s="105" t="str">
        <f>IF(preDEL!$AG730,IFERROR(0/0,""),preDEL!AI730)</f>
        <v/>
      </c>
      <c r="AJ730" s="112" t="str">
        <f>IF(preDEL!$AG730,IFERROR(0/0,""),preDEL!AJ730)</f>
        <v/>
      </c>
      <c r="AK730" s="105" t="str">
        <f>IF(preDEL!$AG730,IFERROR(0/0,""),preDEL!AK730)</f>
        <v>Negative</v>
      </c>
      <c r="AL730" s="112" t="str">
        <f>IF(preDEL!$AG730,IFERROR(0/0,""),preDEL!AL730)</f>
        <v/>
      </c>
      <c r="AM730" s="112" t="str">
        <f>IF(preDEL!$AG730,IFERROR(0/0,""),preDEL!AM730)</f>
        <v>SpBEND982195</v>
      </c>
      <c r="AN730" s="112" t="str">
        <f>IF(preDEL!$AG730,IFERROR(0/0,""),preDEL!AN730)</f>
        <v>BEND601742</v>
      </c>
      <c r="AO730" s="112" t="str">
        <f>IF(preDEL!$AG730,IFERROR(0/0,""),preDEL!AO730)</f>
        <v/>
      </c>
      <c r="AP730" s="112" t="str">
        <f>IF(preDEL!$AG730,IFERROR(0/0,""),preDEL!AP730)</f>
        <v/>
      </c>
      <c r="AQ730" s="112" t="str">
        <f>IF(preDEL!$AG730,IFERROR(0/0,""),preDEL!AQ730)</f>
        <v/>
      </c>
      <c r="AR730" s="112" t="str">
        <f>IF(preDEL!$AG730,IFERROR(0/0,""),preDEL!AR730)</f>
        <v/>
      </c>
      <c r="AS730" s="112" t="str">
        <f>IF(preDEL!$AG730,IFERROR(0/0,""),preDEL!AS730)</f>
        <v/>
      </c>
      <c r="AT730" s="112" t="b">
        <f>IF(preDEL!$AG730,IFERROR(0/0,""),preDEL!AT730)</f>
        <v>0</v>
      </c>
      <c r="AU730" s="112" t="str">
        <f>IF(preDEL!$AG730,IFERROR(0/0,""),preDEL!AU730)</f>
        <v/>
      </c>
      <c r="AV730" s="112" t="str">
        <f>IF(preDEL!$AG730,IFERROR(0/0,""),preDEL!AV730)</f>
        <v/>
      </c>
      <c r="AW730" s="112" t="str">
        <f>IF(preDEL!$AG730,IFERROR(0/0,""),preDEL!AW730)</f>
        <v/>
      </c>
      <c r="AX730" s="112" t="str">
        <f>IF(preDEL!$AG730,IFERROR(0/0,""),preDEL!AX730)</f>
        <v/>
      </c>
      <c r="AY730" s="112" t="str">
        <f>IF(preDEL!$AG730,IFERROR(0/0,""),preDEL!AY730)</f>
        <v/>
      </c>
      <c r="AZ730" s="174"/>
      <c r="BA730" s="174"/>
      <c r="BB730" s="174"/>
      <c r="BC730" s="174"/>
      <c r="BD730" s="174"/>
      <c r="BE730" s="174"/>
      <c r="BF730" s="174"/>
      <c r="BG730" s="174"/>
      <c r="BH730" s="174"/>
      <c r="BI730" s="174"/>
      <c r="BJ730" s="174"/>
      <c r="BK730" s="174"/>
      <c r="BL730" s="174"/>
      <c r="BM730" s="174"/>
      <c r="BN730" s="174"/>
      <c r="BO730" s="174"/>
      <c r="BP730" s="174"/>
      <c r="BQ730" s="174"/>
      <c r="BR730" s="174"/>
      <c r="BS730" s="174"/>
      <c r="BT730" s="174"/>
      <c r="BU730" s="174"/>
      <c r="BV730" s="174"/>
      <c r="BW730" s="174"/>
      <c r="BX730" s="174"/>
      <c r="BY730" s="174"/>
      <c r="BZ730" s="174"/>
      <c r="CA730" s="174"/>
      <c r="CB730" s="174"/>
      <c r="CC730" s="174"/>
      <c r="CD730" s="174"/>
    </row>
    <row r="731">
      <c r="A731" s="105" t="str">
        <f>IF(preDEL!$AG731,IFERROR(0/0,""),preDEL!A731)</f>
        <v>FM52</v>
      </c>
      <c r="B731" s="170">
        <f>IF(preDEL!$AG731,IFERROR(0/0,""),preDEL!B731)</f>
        <v>44627</v>
      </c>
      <c r="C731" s="171">
        <f>IF(preDEL!$AG731,IFERROR(0/0,""),preDEL!C731)</f>
        <v>0.3088194444</v>
      </c>
      <c r="D731" s="105" t="str">
        <f>IF(preDEL!$AG731,IFERROR(0/0,""),preDEL!D731)</f>
        <v/>
      </c>
      <c r="E731" s="105" t="str">
        <f>IF(preDEL!$AG731,IFERROR(0/0,""),preDEL!E731)</f>
        <v/>
      </c>
      <c r="F731" s="112" t="str">
        <f>IF(preDEL!$AG731,IFERROR(0/0,""),preDEL!F731)</f>
        <v/>
      </c>
      <c r="G731" s="112" t="str">
        <f>IF(preDEL!$AG731,IFERROR(0/0,""),preDEL!G731)</f>
        <v/>
      </c>
      <c r="H731" s="112" t="str">
        <f>IF(preDEL!$AG731,IFERROR(0/0,""),preDEL!H731)</f>
        <v/>
      </c>
      <c r="I731" s="105" t="str">
        <f>IF(preDEL!$AG731,IFERROR(0/0,""),preDEL!I731)</f>
        <v/>
      </c>
      <c r="J731" s="105" t="str">
        <f>IF(preDEL!$AG731,IFERROR(0/0,""),preDEL!J731)</f>
        <v/>
      </c>
      <c r="K731" s="105" t="str">
        <f>IF(preDEL!$AG731,IFERROR(0/0,""),preDEL!K731)</f>
        <v>Negative</v>
      </c>
      <c r="L731" s="170">
        <f>IF(preDEL!$AG731,IFERROR(0/0,""),preDEL!L731)</f>
        <v>44627</v>
      </c>
      <c r="M731" s="171">
        <f>IF(preDEL!$AG731,IFERROR(0/0,""),preDEL!M731)</f>
        <v>0.4778935185</v>
      </c>
      <c r="N731" s="112" t="str">
        <f>IF(preDEL!$AG731,IFERROR(0/0,""),preDEL!N731)</f>
        <v/>
      </c>
      <c r="O731" s="112" t="str">
        <f>IF(preDEL!$AG731,IFERROR(0/0,""),preDEL!O731)</f>
        <v/>
      </c>
      <c r="P731" s="110" t="b">
        <f>IF(preDEL!$AG731,IFERROR(0/0,""),preDEL!P731)</f>
        <v>0</v>
      </c>
      <c r="Q731" s="110" t="str">
        <f>IF(preDEL!$AG731,IFERROR(0/0,""),preDEL!Q731)</f>
        <v>Result</v>
      </c>
      <c r="R731" s="104" t="b">
        <f>IF(preDEL!$AG731,IFERROR(0/0,""),preDEL!R731)</f>
        <v>1</v>
      </c>
      <c r="S731" s="104">
        <f>IF(preDEL!$AG731,IFERROR(0/0,""),preDEL!S731)</f>
        <v>1</v>
      </c>
      <c r="T731" s="110" t="str">
        <f>IF(preDEL!$AG731,IFERROR(0/0,""),preDEL!T731)</f>
        <v/>
      </c>
      <c r="U731" s="112" t="str">
        <f>IF(preDEL!$AG731,IFERROR(0/0,""),preDEL!U731)</f>
        <v/>
      </c>
      <c r="V731" s="105" t="str">
        <f>IF(preDEL!$AG731,IFERROR(0/0,""),preDEL!V731)</f>
        <v/>
      </c>
      <c r="W731" s="112" t="str">
        <f>IF(preDEL!$AG731,IFERROR(0/0,""),preDEL!W731)</f>
        <v/>
      </c>
      <c r="X731" s="104" t="b">
        <f>IF(preDEL!$AG731,IFERROR(0/0,""),preDEL!X731)</f>
        <v>0</v>
      </c>
      <c r="Y731" s="110" t="b">
        <f>IF(preDEL!$AG731,IFERROR(0/0,""),preDEL!Y731)</f>
        <v>0</v>
      </c>
      <c r="Z731" s="105" t="str">
        <f>IF(preDEL!$AG731,IFERROR(0/0,""),preDEL!Z731)</f>
        <v/>
      </c>
      <c r="AA731" s="110" t="b">
        <f>IF(preDEL!$AG731,IFERROR(0/0,""),preDEL!AA731)</f>
        <v>0</v>
      </c>
      <c r="AB731" s="110" t="b">
        <f>IF(preDEL!$AG731,IFERROR(0/0,""),preDEL!AB731)</f>
        <v>0</v>
      </c>
      <c r="AC731" s="172">
        <f>IF(preDEL!$AG731,IFERROR(0/0,""),preDEL!AC731)</f>
        <v>92</v>
      </c>
      <c r="AD731" s="104" t="b">
        <f>IF(preDEL!$AG731,IFERROR(0/0,""),preDEL!AD731)</f>
        <v>0</v>
      </c>
      <c r="AE731" s="173">
        <f>IF(preDEL!$AG731,IFERROR(0/0,""),preDEL!AE731)</f>
        <v>243.4666667</v>
      </c>
      <c r="AF731" s="110" t="b">
        <f>IF(preDEL!$AG731,IFERROR(0/0,""),preDEL!AF731)</f>
        <v>0</v>
      </c>
      <c r="AG731" s="110" t="b">
        <f>IF(preDEL!$AG731,IFERROR(0/0,""),preDEL!AG731)</f>
        <v>0</v>
      </c>
      <c r="AH731" s="104" t="str">
        <f>IF(preDEL!$AG731,IFERROR(0/0,""),preDEL!AH731)</f>
        <v/>
      </c>
      <c r="AI731" s="105" t="str">
        <f>IF(preDEL!$AG731,IFERROR(0/0,""),preDEL!AI731)</f>
        <v/>
      </c>
      <c r="AJ731" s="112" t="str">
        <f>IF(preDEL!$AG731,IFERROR(0/0,""),preDEL!AJ731)</f>
        <v/>
      </c>
      <c r="AK731" s="105" t="str">
        <f>IF(preDEL!$AG731,IFERROR(0/0,""),preDEL!AK731)</f>
        <v>Negative</v>
      </c>
      <c r="AL731" s="112" t="str">
        <f>IF(preDEL!$AG731,IFERROR(0/0,""),preDEL!AL731)</f>
        <v/>
      </c>
      <c r="AM731" s="112" t="str">
        <f>IF(preDEL!$AG731,IFERROR(0/0,""),preDEL!AM731)</f>
        <v>SpBEND768497</v>
      </c>
      <c r="AN731" s="112" t="str">
        <f>IF(preDEL!$AG731,IFERROR(0/0,""),preDEL!AN731)</f>
        <v>BEND900381</v>
      </c>
      <c r="AO731" s="112" t="str">
        <f>IF(preDEL!$AG731,IFERROR(0/0,""),preDEL!AO731)</f>
        <v/>
      </c>
      <c r="AP731" s="112" t="str">
        <f>IF(preDEL!$AG731,IFERROR(0/0,""),preDEL!AP731)</f>
        <v/>
      </c>
      <c r="AQ731" s="112" t="str">
        <f>IF(preDEL!$AG731,IFERROR(0/0,""),preDEL!AQ731)</f>
        <v/>
      </c>
      <c r="AR731" s="112" t="str">
        <f>IF(preDEL!$AG731,IFERROR(0/0,""),preDEL!AR731)</f>
        <v/>
      </c>
      <c r="AS731" s="112" t="str">
        <f>IF(preDEL!$AG731,IFERROR(0/0,""),preDEL!AS731)</f>
        <v/>
      </c>
      <c r="AT731" s="112" t="b">
        <f>IF(preDEL!$AG731,IFERROR(0/0,""),preDEL!AT731)</f>
        <v>0</v>
      </c>
      <c r="AU731" s="112" t="str">
        <f>IF(preDEL!$AG731,IFERROR(0/0,""),preDEL!AU731)</f>
        <v/>
      </c>
      <c r="AV731" s="112" t="str">
        <f>IF(preDEL!$AG731,IFERROR(0/0,""),preDEL!AV731)</f>
        <v/>
      </c>
      <c r="AW731" s="112" t="str">
        <f>IF(preDEL!$AG731,IFERROR(0/0,""),preDEL!AW731)</f>
        <v/>
      </c>
      <c r="AX731" s="112" t="str">
        <f>IF(preDEL!$AG731,IFERROR(0/0,""),preDEL!AX731)</f>
        <v/>
      </c>
      <c r="AY731" s="112" t="str">
        <f>IF(preDEL!$AG731,IFERROR(0/0,""),preDEL!AY731)</f>
        <v/>
      </c>
      <c r="AZ731" s="174"/>
      <c r="BA731" s="174"/>
      <c r="BB731" s="174"/>
      <c r="BC731" s="174"/>
      <c r="BD731" s="174"/>
      <c r="BE731" s="174"/>
      <c r="BF731" s="174"/>
      <c r="BG731" s="174"/>
      <c r="BH731" s="174"/>
      <c r="BI731" s="174"/>
      <c r="BJ731" s="174"/>
      <c r="BK731" s="174"/>
      <c r="BL731" s="174"/>
      <c r="BM731" s="174"/>
      <c r="BN731" s="174"/>
      <c r="BO731" s="174"/>
      <c r="BP731" s="174"/>
      <c r="BQ731" s="174"/>
      <c r="BR731" s="174"/>
      <c r="BS731" s="174"/>
      <c r="BT731" s="174"/>
      <c r="BU731" s="174"/>
      <c r="BV731" s="174"/>
      <c r="BW731" s="174"/>
      <c r="BX731" s="174"/>
      <c r="BY731" s="174"/>
      <c r="BZ731" s="174"/>
      <c r="CA731" s="174"/>
      <c r="CB731" s="174"/>
      <c r="CC731" s="174"/>
      <c r="CD731" s="174"/>
    </row>
    <row r="732">
      <c r="A732" s="105" t="str">
        <f>IF(preDEL!$AG732,IFERROR(0/0,""),preDEL!A732)</f>
        <v>FM369</v>
      </c>
      <c r="B732" s="170">
        <f>IF(preDEL!$AG732,IFERROR(0/0,""),preDEL!B732)</f>
        <v>44627</v>
      </c>
      <c r="C732" s="171">
        <f>IF(preDEL!$AG732,IFERROR(0/0,""),preDEL!C732)</f>
        <v>0.3127777778</v>
      </c>
      <c r="D732" s="105" t="str">
        <f>IF(preDEL!$AG732,IFERROR(0/0,""),preDEL!D732)</f>
        <v/>
      </c>
      <c r="E732" s="105" t="str">
        <f>IF(preDEL!$AG732,IFERROR(0/0,""),preDEL!E732)</f>
        <v/>
      </c>
      <c r="F732" s="112" t="str">
        <f>IF(preDEL!$AG732,IFERROR(0/0,""),preDEL!F732)</f>
        <v/>
      </c>
      <c r="G732" s="112" t="str">
        <f>IF(preDEL!$AG732,IFERROR(0/0,""),preDEL!G732)</f>
        <v/>
      </c>
      <c r="H732" s="112" t="str">
        <f>IF(preDEL!$AG732,IFERROR(0/0,""),preDEL!H732)</f>
        <v/>
      </c>
      <c r="I732" s="105" t="str">
        <f>IF(preDEL!$AG732,IFERROR(0/0,""),preDEL!I732)</f>
        <v/>
      </c>
      <c r="J732" s="105" t="str">
        <f>IF(preDEL!$AG732,IFERROR(0/0,""),preDEL!J732)</f>
        <v/>
      </c>
      <c r="K732" s="105" t="str">
        <f>IF(preDEL!$AG732,IFERROR(0/0,""),preDEL!K732)</f>
        <v>Negative</v>
      </c>
      <c r="L732" s="170">
        <f>IF(preDEL!$AG732,IFERROR(0/0,""),preDEL!L732)</f>
        <v>44627</v>
      </c>
      <c r="M732" s="171">
        <f>IF(preDEL!$AG732,IFERROR(0/0,""),preDEL!M732)</f>
        <v>0.4778935185</v>
      </c>
      <c r="N732" s="112" t="str">
        <f>IF(preDEL!$AG732,IFERROR(0/0,""),preDEL!N732)</f>
        <v/>
      </c>
      <c r="O732" s="112" t="str">
        <f>IF(preDEL!$AG732,IFERROR(0/0,""),preDEL!O732)</f>
        <v/>
      </c>
      <c r="P732" s="110" t="b">
        <f>IF(preDEL!$AG732,IFERROR(0/0,""),preDEL!P732)</f>
        <v>0</v>
      </c>
      <c r="Q732" s="110" t="str">
        <f>IF(preDEL!$AG732,IFERROR(0/0,""),preDEL!Q732)</f>
        <v>Result</v>
      </c>
      <c r="R732" s="104" t="b">
        <f>IF(preDEL!$AG732,IFERROR(0/0,""),preDEL!R732)</f>
        <v>1</v>
      </c>
      <c r="S732" s="104">
        <f>IF(preDEL!$AG732,IFERROR(0/0,""),preDEL!S732)</f>
        <v>1</v>
      </c>
      <c r="T732" s="110" t="str">
        <f>IF(preDEL!$AG732,IFERROR(0/0,""),preDEL!T732)</f>
        <v/>
      </c>
      <c r="U732" s="112" t="str">
        <f>IF(preDEL!$AG732,IFERROR(0/0,""),preDEL!U732)</f>
        <v/>
      </c>
      <c r="V732" s="105" t="str">
        <f>IF(preDEL!$AG732,IFERROR(0/0,""),preDEL!V732)</f>
        <v/>
      </c>
      <c r="W732" s="112" t="str">
        <f>IF(preDEL!$AG732,IFERROR(0/0,""),preDEL!W732)</f>
        <v/>
      </c>
      <c r="X732" s="104" t="b">
        <f>IF(preDEL!$AG732,IFERROR(0/0,""),preDEL!X732)</f>
        <v>0</v>
      </c>
      <c r="Y732" s="110" t="b">
        <f>IF(preDEL!$AG732,IFERROR(0/0,""),preDEL!Y732)</f>
        <v>0</v>
      </c>
      <c r="Z732" s="105" t="str">
        <f>IF(preDEL!$AG732,IFERROR(0/0,""),preDEL!Z732)</f>
        <v/>
      </c>
      <c r="AA732" s="110" t="b">
        <f>IF(preDEL!$AG732,IFERROR(0/0,""),preDEL!AA732)</f>
        <v>0</v>
      </c>
      <c r="AB732" s="110" t="b">
        <f>IF(preDEL!$AG732,IFERROR(0/0,""),preDEL!AB732)</f>
        <v>0</v>
      </c>
      <c r="AC732" s="172">
        <f>IF(preDEL!$AG732,IFERROR(0/0,""),preDEL!AC732)</f>
        <v>91</v>
      </c>
      <c r="AD732" s="104" t="b">
        <f>IF(preDEL!$AG732,IFERROR(0/0,""),preDEL!AD732)</f>
        <v>0</v>
      </c>
      <c r="AE732" s="173">
        <f>IF(preDEL!$AG732,IFERROR(0/0,""),preDEL!AE732)</f>
        <v>237.7666667</v>
      </c>
      <c r="AF732" s="110" t="b">
        <f>IF(preDEL!$AG732,IFERROR(0/0,""),preDEL!AF732)</f>
        <v>0</v>
      </c>
      <c r="AG732" s="110" t="b">
        <f>IF(preDEL!$AG732,IFERROR(0/0,""),preDEL!AG732)</f>
        <v>0</v>
      </c>
      <c r="AH732" s="104" t="str">
        <f>IF(preDEL!$AG732,IFERROR(0/0,""),preDEL!AH732)</f>
        <v/>
      </c>
      <c r="AI732" s="105" t="str">
        <f>IF(preDEL!$AG732,IFERROR(0/0,""),preDEL!AI732)</f>
        <v/>
      </c>
      <c r="AJ732" s="112" t="str">
        <f>IF(preDEL!$AG732,IFERROR(0/0,""),preDEL!AJ732)</f>
        <v/>
      </c>
      <c r="AK732" s="105" t="str">
        <f>IF(preDEL!$AG732,IFERROR(0/0,""),preDEL!AK732)</f>
        <v>Negative</v>
      </c>
      <c r="AL732" s="112" t="str">
        <f>IF(preDEL!$AG732,IFERROR(0/0,""),preDEL!AL732)</f>
        <v/>
      </c>
      <c r="AM732" s="112" t="str">
        <f>IF(preDEL!$AG732,IFERROR(0/0,""),preDEL!AM732)</f>
        <v>SpBEND445560</v>
      </c>
      <c r="AN732" s="112" t="str">
        <f>IF(preDEL!$AG732,IFERROR(0/0,""),preDEL!AN732)</f>
        <v>BEND470695</v>
      </c>
      <c r="AO732" s="112" t="str">
        <f>IF(preDEL!$AG732,IFERROR(0/0,""),preDEL!AO732)</f>
        <v/>
      </c>
      <c r="AP732" s="112" t="str">
        <f>IF(preDEL!$AG732,IFERROR(0/0,""),preDEL!AP732)</f>
        <v/>
      </c>
      <c r="AQ732" s="112" t="str">
        <f>IF(preDEL!$AG732,IFERROR(0/0,""),preDEL!AQ732)</f>
        <v/>
      </c>
      <c r="AR732" s="112" t="str">
        <f>IF(preDEL!$AG732,IFERROR(0/0,""),preDEL!AR732)</f>
        <v/>
      </c>
      <c r="AS732" s="112" t="str">
        <f>IF(preDEL!$AG732,IFERROR(0/0,""),preDEL!AS732)</f>
        <v/>
      </c>
      <c r="AT732" s="112" t="b">
        <f>IF(preDEL!$AG732,IFERROR(0/0,""),preDEL!AT732)</f>
        <v>0</v>
      </c>
      <c r="AU732" s="112" t="str">
        <f>IF(preDEL!$AG732,IFERROR(0/0,""),preDEL!AU732)</f>
        <v/>
      </c>
      <c r="AV732" s="112" t="str">
        <f>IF(preDEL!$AG732,IFERROR(0/0,""),preDEL!AV732)</f>
        <v/>
      </c>
      <c r="AW732" s="112" t="str">
        <f>IF(preDEL!$AG732,IFERROR(0/0,""),preDEL!AW732)</f>
        <v/>
      </c>
      <c r="AX732" s="112" t="str">
        <f>IF(preDEL!$AG732,IFERROR(0/0,""),preDEL!AX732)</f>
        <v/>
      </c>
      <c r="AY732" s="112" t="str">
        <f>IF(preDEL!$AG732,IFERROR(0/0,""),preDEL!AY732)</f>
        <v/>
      </c>
      <c r="AZ732" s="174"/>
      <c r="BA732" s="174"/>
      <c r="BB732" s="174"/>
      <c r="BC732" s="174"/>
      <c r="BD732" s="174"/>
      <c r="BE732" s="174"/>
      <c r="BF732" s="174"/>
      <c r="BG732" s="174"/>
      <c r="BH732" s="174"/>
      <c r="BI732" s="174"/>
      <c r="BJ732" s="174"/>
      <c r="BK732" s="174"/>
      <c r="BL732" s="174"/>
      <c r="BM732" s="174"/>
      <c r="BN732" s="174"/>
      <c r="BO732" s="174"/>
      <c r="BP732" s="174"/>
      <c r="BQ732" s="174"/>
      <c r="BR732" s="174"/>
      <c r="BS732" s="174"/>
      <c r="BT732" s="174"/>
      <c r="BU732" s="174"/>
      <c r="BV732" s="174"/>
      <c r="BW732" s="174"/>
      <c r="BX732" s="174"/>
      <c r="BY732" s="174"/>
      <c r="BZ732" s="174"/>
      <c r="CA732" s="174"/>
      <c r="CB732" s="174"/>
      <c r="CC732" s="174"/>
      <c r="CD732" s="174"/>
    </row>
    <row r="733">
      <c r="A733" s="105" t="str">
        <f>IF(preDEL!$AG733,IFERROR(0/0,""),preDEL!A733)</f>
        <v>FM54</v>
      </c>
      <c r="B733" s="170">
        <f>IF(preDEL!$AG733,IFERROR(0/0,""),preDEL!B733)</f>
        <v>44627</v>
      </c>
      <c r="C733" s="171">
        <f>IF(preDEL!$AG733,IFERROR(0/0,""),preDEL!C733)</f>
        <v>0.3136342593</v>
      </c>
      <c r="D733" s="105" t="str">
        <f>IF(preDEL!$AG733,IFERROR(0/0,""),preDEL!D733)</f>
        <v/>
      </c>
      <c r="E733" s="105" t="str">
        <f>IF(preDEL!$AG733,IFERROR(0/0,""),preDEL!E733)</f>
        <v/>
      </c>
      <c r="F733" s="112" t="str">
        <f>IF(preDEL!$AG733,IFERROR(0/0,""),preDEL!F733)</f>
        <v/>
      </c>
      <c r="G733" s="112" t="str">
        <f>IF(preDEL!$AG733,IFERROR(0/0,""),preDEL!G733)</f>
        <v/>
      </c>
      <c r="H733" s="112" t="str">
        <f>IF(preDEL!$AG733,IFERROR(0/0,""),preDEL!H733)</f>
        <v/>
      </c>
      <c r="I733" s="105" t="str">
        <f>IF(preDEL!$AG733,IFERROR(0/0,""),preDEL!I733)</f>
        <v/>
      </c>
      <c r="J733" s="105" t="str">
        <f>IF(preDEL!$AG733,IFERROR(0/0,""),preDEL!J733)</f>
        <v/>
      </c>
      <c r="K733" s="105" t="str">
        <f>IF(preDEL!$AG733,IFERROR(0/0,""),preDEL!K733)</f>
        <v>Negative</v>
      </c>
      <c r="L733" s="170">
        <f>IF(preDEL!$AG733,IFERROR(0/0,""),preDEL!L733)</f>
        <v>44627</v>
      </c>
      <c r="M733" s="171">
        <f>IF(preDEL!$AG733,IFERROR(0/0,""),preDEL!M733)</f>
        <v>0.4778935185</v>
      </c>
      <c r="N733" s="112" t="str">
        <f>IF(preDEL!$AG733,IFERROR(0/0,""),preDEL!N733)</f>
        <v/>
      </c>
      <c r="O733" s="112" t="str">
        <f>IF(preDEL!$AG733,IFERROR(0/0,""),preDEL!O733)</f>
        <v/>
      </c>
      <c r="P733" s="110" t="b">
        <f>IF(preDEL!$AG733,IFERROR(0/0,""),preDEL!P733)</f>
        <v>0</v>
      </c>
      <c r="Q733" s="110" t="str">
        <f>IF(preDEL!$AG733,IFERROR(0/0,""),preDEL!Q733)</f>
        <v>Result</v>
      </c>
      <c r="R733" s="104" t="b">
        <f>IF(preDEL!$AG733,IFERROR(0/0,""),preDEL!R733)</f>
        <v>1</v>
      </c>
      <c r="S733" s="104">
        <f>IF(preDEL!$AG733,IFERROR(0/0,""),preDEL!S733)</f>
        <v>1</v>
      </c>
      <c r="T733" s="110" t="str">
        <f>IF(preDEL!$AG733,IFERROR(0/0,""),preDEL!T733)</f>
        <v/>
      </c>
      <c r="U733" s="112" t="str">
        <f>IF(preDEL!$AG733,IFERROR(0/0,""),preDEL!U733)</f>
        <v/>
      </c>
      <c r="V733" s="105" t="str">
        <f>IF(preDEL!$AG733,IFERROR(0/0,""),preDEL!V733)</f>
        <v/>
      </c>
      <c r="W733" s="112" t="str">
        <f>IF(preDEL!$AG733,IFERROR(0/0,""),preDEL!W733)</f>
        <v/>
      </c>
      <c r="X733" s="104" t="b">
        <f>IF(preDEL!$AG733,IFERROR(0/0,""),preDEL!X733)</f>
        <v>0</v>
      </c>
      <c r="Y733" s="110" t="b">
        <f>IF(preDEL!$AG733,IFERROR(0/0,""),preDEL!Y733)</f>
        <v>0</v>
      </c>
      <c r="Z733" s="105" t="str">
        <f>IF(preDEL!$AG733,IFERROR(0/0,""),preDEL!Z733)</f>
        <v/>
      </c>
      <c r="AA733" s="110" t="b">
        <f>IF(preDEL!$AG733,IFERROR(0/0,""),preDEL!AA733)</f>
        <v>0</v>
      </c>
      <c r="AB733" s="110" t="b">
        <f>IF(preDEL!$AG733,IFERROR(0/0,""),preDEL!AB733)</f>
        <v>0</v>
      </c>
      <c r="AC733" s="172">
        <f>IF(preDEL!$AG733,IFERROR(0/0,""),preDEL!AC733)</f>
        <v>90</v>
      </c>
      <c r="AD733" s="104" t="b">
        <f>IF(preDEL!$AG733,IFERROR(0/0,""),preDEL!AD733)</f>
        <v>0</v>
      </c>
      <c r="AE733" s="173">
        <f>IF(preDEL!$AG733,IFERROR(0/0,""),preDEL!AE733)</f>
        <v>236.5333333</v>
      </c>
      <c r="AF733" s="110" t="b">
        <f>IF(preDEL!$AG733,IFERROR(0/0,""),preDEL!AF733)</f>
        <v>0</v>
      </c>
      <c r="AG733" s="110" t="b">
        <f>IF(preDEL!$AG733,IFERROR(0/0,""),preDEL!AG733)</f>
        <v>0</v>
      </c>
      <c r="AH733" s="104" t="str">
        <f>IF(preDEL!$AG733,IFERROR(0/0,""),preDEL!AH733)</f>
        <v/>
      </c>
      <c r="AI733" s="105" t="str">
        <f>IF(preDEL!$AG733,IFERROR(0/0,""),preDEL!AI733)</f>
        <v/>
      </c>
      <c r="AJ733" s="112" t="str">
        <f>IF(preDEL!$AG733,IFERROR(0/0,""),preDEL!AJ733)</f>
        <v/>
      </c>
      <c r="AK733" s="105" t="str">
        <f>IF(preDEL!$AG733,IFERROR(0/0,""),preDEL!AK733)</f>
        <v>Negative</v>
      </c>
      <c r="AL733" s="112" t="str">
        <f>IF(preDEL!$AG733,IFERROR(0/0,""),preDEL!AL733)</f>
        <v/>
      </c>
      <c r="AM733" s="112" t="str">
        <f>IF(preDEL!$AG733,IFERROR(0/0,""),preDEL!AM733)</f>
        <v>SpBEND967817</v>
      </c>
      <c r="AN733" s="112" t="str">
        <f>IF(preDEL!$AG733,IFERROR(0/0,""),preDEL!AN733)</f>
        <v>BEND525341</v>
      </c>
      <c r="AO733" s="112" t="str">
        <f>IF(preDEL!$AG733,IFERROR(0/0,""),preDEL!AO733)</f>
        <v/>
      </c>
      <c r="AP733" s="112" t="str">
        <f>IF(preDEL!$AG733,IFERROR(0/0,""),preDEL!AP733)</f>
        <v/>
      </c>
      <c r="AQ733" s="112" t="str">
        <f>IF(preDEL!$AG733,IFERROR(0/0,""),preDEL!AQ733)</f>
        <v/>
      </c>
      <c r="AR733" s="112" t="str">
        <f>IF(preDEL!$AG733,IFERROR(0/0,""),preDEL!AR733)</f>
        <v/>
      </c>
      <c r="AS733" s="112" t="str">
        <f>IF(preDEL!$AG733,IFERROR(0/0,""),preDEL!AS733)</f>
        <v/>
      </c>
      <c r="AT733" s="112" t="b">
        <f>IF(preDEL!$AG733,IFERROR(0/0,""),preDEL!AT733)</f>
        <v>0</v>
      </c>
      <c r="AU733" s="112" t="str">
        <f>IF(preDEL!$AG733,IFERROR(0/0,""),preDEL!AU733)</f>
        <v/>
      </c>
      <c r="AV733" s="112" t="str">
        <f>IF(preDEL!$AG733,IFERROR(0/0,""),preDEL!AV733)</f>
        <v/>
      </c>
      <c r="AW733" s="112" t="str">
        <f>IF(preDEL!$AG733,IFERROR(0/0,""),preDEL!AW733)</f>
        <v/>
      </c>
      <c r="AX733" s="112" t="str">
        <f>IF(preDEL!$AG733,IFERROR(0/0,""),preDEL!AX733)</f>
        <v/>
      </c>
      <c r="AY733" s="112" t="str">
        <f>IF(preDEL!$AG733,IFERROR(0/0,""),preDEL!AY733)</f>
        <v/>
      </c>
      <c r="AZ733" s="174"/>
      <c r="BA733" s="174"/>
      <c r="BB733" s="174"/>
      <c r="BC733" s="174"/>
      <c r="BD733" s="174"/>
      <c r="BE733" s="174"/>
      <c r="BF733" s="174"/>
      <c r="BG733" s="174"/>
      <c r="BH733" s="174"/>
      <c r="BI733" s="174"/>
      <c r="BJ733" s="174"/>
      <c r="BK733" s="174"/>
      <c r="BL733" s="174"/>
      <c r="BM733" s="174"/>
      <c r="BN733" s="174"/>
      <c r="BO733" s="174"/>
      <c r="BP733" s="174"/>
      <c r="BQ733" s="174"/>
      <c r="BR733" s="174"/>
      <c r="BS733" s="174"/>
      <c r="BT733" s="174"/>
      <c r="BU733" s="174"/>
      <c r="BV733" s="174"/>
      <c r="BW733" s="174"/>
      <c r="BX733" s="174"/>
      <c r="BY733" s="174"/>
      <c r="BZ733" s="174"/>
      <c r="CA733" s="174"/>
      <c r="CB733" s="174"/>
      <c r="CC733" s="174"/>
      <c r="CD733" s="174"/>
    </row>
    <row r="734">
      <c r="A734" s="105" t="str">
        <f>IF(preDEL!$AG734,IFERROR(0/0,""),preDEL!A734)</f>
        <v>MA340</v>
      </c>
      <c r="B734" s="170">
        <f>IF(preDEL!$AG734,IFERROR(0/0,""),preDEL!B734)</f>
        <v>44627</v>
      </c>
      <c r="C734" s="171">
        <f>IF(preDEL!$AG734,IFERROR(0/0,""),preDEL!C734)</f>
        <v>0.3145833333</v>
      </c>
      <c r="D734" s="105" t="str">
        <f>IF(preDEL!$AG734,IFERROR(0/0,""),preDEL!D734)</f>
        <v/>
      </c>
      <c r="E734" s="105" t="str">
        <f>IF(preDEL!$AG734,IFERROR(0/0,""),preDEL!E734)</f>
        <v/>
      </c>
      <c r="F734" s="112" t="str">
        <f>IF(preDEL!$AG734,IFERROR(0/0,""),preDEL!F734)</f>
        <v/>
      </c>
      <c r="G734" s="112" t="str">
        <f>IF(preDEL!$AG734,IFERROR(0/0,""),preDEL!G734)</f>
        <v/>
      </c>
      <c r="H734" s="112" t="str">
        <f>IF(preDEL!$AG734,IFERROR(0/0,""),preDEL!H734)</f>
        <v/>
      </c>
      <c r="I734" s="105" t="str">
        <f>IF(preDEL!$AG734,IFERROR(0/0,""),preDEL!I734)</f>
        <v/>
      </c>
      <c r="J734" s="105" t="str">
        <f>IF(preDEL!$AG734,IFERROR(0/0,""),preDEL!J734)</f>
        <v/>
      </c>
      <c r="K734" s="105" t="str">
        <f>IF(preDEL!$AG734,IFERROR(0/0,""),preDEL!K734)</f>
        <v>Negative</v>
      </c>
      <c r="L734" s="170">
        <f>IF(preDEL!$AG734,IFERROR(0/0,""),preDEL!L734)</f>
        <v>44627</v>
      </c>
      <c r="M734" s="171">
        <f>IF(preDEL!$AG734,IFERROR(0/0,""),preDEL!M734)</f>
        <v>0.4778935185</v>
      </c>
      <c r="N734" s="112" t="str">
        <f>IF(preDEL!$AG734,IFERROR(0/0,""),preDEL!N734)</f>
        <v/>
      </c>
      <c r="O734" s="112" t="str">
        <f>IF(preDEL!$AG734,IFERROR(0/0,""),preDEL!O734)</f>
        <v/>
      </c>
      <c r="P734" s="110" t="b">
        <f>IF(preDEL!$AG734,IFERROR(0/0,""),preDEL!P734)</f>
        <v>0</v>
      </c>
      <c r="Q734" s="110" t="str">
        <f>IF(preDEL!$AG734,IFERROR(0/0,""),preDEL!Q734)</f>
        <v>Result</v>
      </c>
      <c r="R734" s="104" t="b">
        <f>IF(preDEL!$AG734,IFERROR(0/0,""),preDEL!R734)</f>
        <v>1</v>
      </c>
      <c r="S734" s="104">
        <f>IF(preDEL!$AG734,IFERROR(0/0,""),preDEL!S734)</f>
        <v>1</v>
      </c>
      <c r="T734" s="110" t="str">
        <f>IF(preDEL!$AG734,IFERROR(0/0,""),preDEL!T734)</f>
        <v/>
      </c>
      <c r="U734" s="112" t="str">
        <f>IF(preDEL!$AG734,IFERROR(0/0,""),preDEL!U734)</f>
        <v/>
      </c>
      <c r="V734" s="105" t="str">
        <f>IF(preDEL!$AG734,IFERROR(0/0,""),preDEL!V734)</f>
        <v/>
      </c>
      <c r="W734" s="112" t="str">
        <f>IF(preDEL!$AG734,IFERROR(0/0,""),preDEL!W734)</f>
        <v/>
      </c>
      <c r="X734" s="104" t="b">
        <f>IF(preDEL!$AG734,IFERROR(0/0,""),preDEL!X734)</f>
        <v>0</v>
      </c>
      <c r="Y734" s="110" t="b">
        <f>IF(preDEL!$AG734,IFERROR(0/0,""),preDEL!Y734)</f>
        <v>0</v>
      </c>
      <c r="Z734" s="105" t="str">
        <f>IF(preDEL!$AG734,IFERROR(0/0,""),preDEL!Z734)</f>
        <v/>
      </c>
      <c r="AA734" s="110" t="b">
        <f>IF(preDEL!$AG734,IFERROR(0/0,""),preDEL!AA734)</f>
        <v>0</v>
      </c>
      <c r="AB734" s="110" t="b">
        <f>IF(preDEL!$AG734,IFERROR(0/0,""),preDEL!AB734)</f>
        <v>0</v>
      </c>
      <c r="AC734" s="172">
        <f>IF(preDEL!$AG734,IFERROR(0/0,""),preDEL!AC734)</f>
        <v>89</v>
      </c>
      <c r="AD734" s="104" t="b">
        <f>IF(preDEL!$AG734,IFERROR(0/0,""),preDEL!AD734)</f>
        <v>0</v>
      </c>
      <c r="AE734" s="173">
        <f>IF(preDEL!$AG734,IFERROR(0/0,""),preDEL!AE734)</f>
        <v>235.1666667</v>
      </c>
      <c r="AF734" s="110" t="b">
        <f>IF(preDEL!$AG734,IFERROR(0/0,""),preDEL!AF734)</f>
        <v>0</v>
      </c>
      <c r="AG734" s="110" t="b">
        <f>IF(preDEL!$AG734,IFERROR(0/0,""),preDEL!AG734)</f>
        <v>0</v>
      </c>
      <c r="AH734" s="104" t="str">
        <f>IF(preDEL!$AG734,IFERROR(0/0,""),preDEL!AH734)</f>
        <v/>
      </c>
      <c r="AI734" s="105" t="str">
        <f>IF(preDEL!$AG734,IFERROR(0/0,""),preDEL!AI734)</f>
        <v/>
      </c>
      <c r="AJ734" s="112" t="str">
        <f>IF(preDEL!$AG734,IFERROR(0/0,""),preDEL!AJ734)</f>
        <v/>
      </c>
      <c r="AK734" s="105" t="str">
        <f>IF(preDEL!$AG734,IFERROR(0/0,""),preDEL!AK734)</f>
        <v>Negative</v>
      </c>
      <c r="AL734" s="112" t="str">
        <f>IF(preDEL!$AG734,IFERROR(0/0,""),preDEL!AL734)</f>
        <v/>
      </c>
      <c r="AM734" s="112" t="str">
        <f>IF(preDEL!$AG734,IFERROR(0/0,""),preDEL!AM734)</f>
        <v>SpBEND637657</v>
      </c>
      <c r="AN734" s="112" t="str">
        <f>IF(preDEL!$AG734,IFERROR(0/0,""),preDEL!AN734)</f>
        <v>BEND142851</v>
      </c>
      <c r="AO734" s="112" t="str">
        <f>IF(preDEL!$AG734,IFERROR(0/0,""),preDEL!AO734)</f>
        <v/>
      </c>
      <c r="AP734" s="112" t="str">
        <f>IF(preDEL!$AG734,IFERROR(0/0,""),preDEL!AP734)</f>
        <v/>
      </c>
      <c r="AQ734" s="112" t="str">
        <f>IF(preDEL!$AG734,IFERROR(0/0,""),preDEL!AQ734)</f>
        <v/>
      </c>
      <c r="AR734" s="112" t="str">
        <f>IF(preDEL!$AG734,IFERROR(0/0,""),preDEL!AR734)</f>
        <v/>
      </c>
      <c r="AS734" s="112" t="str">
        <f>IF(preDEL!$AG734,IFERROR(0/0,""),preDEL!AS734)</f>
        <v/>
      </c>
      <c r="AT734" s="112" t="b">
        <f>IF(preDEL!$AG734,IFERROR(0/0,""),preDEL!AT734)</f>
        <v>0</v>
      </c>
      <c r="AU734" s="112" t="str">
        <f>IF(preDEL!$AG734,IFERROR(0/0,""),preDEL!AU734)</f>
        <v/>
      </c>
      <c r="AV734" s="112" t="str">
        <f>IF(preDEL!$AG734,IFERROR(0/0,""),preDEL!AV734)</f>
        <v/>
      </c>
      <c r="AW734" s="112" t="str">
        <f>IF(preDEL!$AG734,IFERROR(0/0,""),preDEL!AW734)</f>
        <v/>
      </c>
      <c r="AX734" s="112" t="str">
        <f>IF(preDEL!$AG734,IFERROR(0/0,""),preDEL!AX734)</f>
        <v/>
      </c>
      <c r="AY734" s="112" t="str">
        <f>IF(preDEL!$AG734,IFERROR(0/0,""),preDEL!AY734)</f>
        <v/>
      </c>
      <c r="AZ734" s="174"/>
      <c r="BA734" s="174"/>
      <c r="BB734" s="174"/>
      <c r="BC734" s="174"/>
      <c r="BD734" s="174"/>
      <c r="BE734" s="174"/>
      <c r="BF734" s="174"/>
      <c r="BG734" s="174"/>
      <c r="BH734" s="174"/>
      <c r="BI734" s="174"/>
      <c r="BJ734" s="174"/>
      <c r="BK734" s="174"/>
      <c r="BL734" s="174"/>
      <c r="BM734" s="174"/>
      <c r="BN734" s="174"/>
      <c r="BO734" s="174"/>
      <c r="BP734" s="174"/>
      <c r="BQ734" s="174"/>
      <c r="BR734" s="174"/>
      <c r="BS734" s="174"/>
      <c r="BT734" s="174"/>
      <c r="BU734" s="174"/>
      <c r="BV734" s="174"/>
      <c r="BW734" s="174"/>
      <c r="BX734" s="174"/>
      <c r="BY734" s="174"/>
      <c r="BZ734" s="174"/>
      <c r="CA734" s="174"/>
      <c r="CB734" s="174"/>
      <c r="CC734" s="174"/>
      <c r="CD734" s="174"/>
    </row>
    <row r="735">
      <c r="A735" s="105" t="str">
        <f>IF(preDEL!$AG735,IFERROR(0/0,""),preDEL!A735)</f>
        <v>MA1318</v>
      </c>
      <c r="B735" s="170">
        <f>IF(preDEL!$AG735,IFERROR(0/0,""),preDEL!B735)</f>
        <v>44627</v>
      </c>
      <c r="C735" s="171">
        <f>IF(preDEL!$AG735,IFERROR(0/0,""),preDEL!C735)</f>
        <v>0.318125</v>
      </c>
      <c r="D735" s="105" t="str">
        <f>IF(preDEL!$AG735,IFERROR(0/0,""),preDEL!D735)</f>
        <v/>
      </c>
      <c r="E735" s="105" t="str">
        <f>IF(preDEL!$AG735,IFERROR(0/0,""),preDEL!E735)</f>
        <v/>
      </c>
      <c r="F735" s="112" t="str">
        <f>IF(preDEL!$AG735,IFERROR(0/0,""),preDEL!F735)</f>
        <v/>
      </c>
      <c r="G735" s="112" t="str">
        <f>IF(preDEL!$AG735,IFERROR(0/0,""),preDEL!G735)</f>
        <v/>
      </c>
      <c r="H735" s="112" t="str">
        <f>IF(preDEL!$AG735,IFERROR(0/0,""),preDEL!H735)</f>
        <v/>
      </c>
      <c r="I735" s="105" t="str">
        <f>IF(preDEL!$AG735,IFERROR(0/0,""),preDEL!I735)</f>
        <v/>
      </c>
      <c r="J735" s="105" t="str">
        <f>IF(preDEL!$AG735,IFERROR(0/0,""),preDEL!J735)</f>
        <v/>
      </c>
      <c r="K735" s="105" t="str">
        <f>IF(preDEL!$AG735,IFERROR(0/0,""),preDEL!K735)</f>
        <v>Negative</v>
      </c>
      <c r="L735" s="170">
        <f>IF(preDEL!$AG735,IFERROR(0/0,""),preDEL!L735)</f>
        <v>44627</v>
      </c>
      <c r="M735" s="171">
        <f>IF(preDEL!$AG735,IFERROR(0/0,""),preDEL!M735)</f>
        <v>0.4778935185</v>
      </c>
      <c r="N735" s="112" t="str">
        <f>IF(preDEL!$AG735,IFERROR(0/0,""),preDEL!N735)</f>
        <v/>
      </c>
      <c r="O735" s="112" t="str">
        <f>IF(preDEL!$AG735,IFERROR(0/0,""),preDEL!O735)</f>
        <v/>
      </c>
      <c r="P735" s="110" t="b">
        <f>IF(preDEL!$AG735,IFERROR(0/0,""),preDEL!P735)</f>
        <v>0</v>
      </c>
      <c r="Q735" s="110" t="str">
        <f>IF(preDEL!$AG735,IFERROR(0/0,""),preDEL!Q735)</f>
        <v>Result</v>
      </c>
      <c r="R735" s="104" t="b">
        <f>IF(preDEL!$AG735,IFERROR(0/0,""),preDEL!R735)</f>
        <v>1</v>
      </c>
      <c r="S735" s="104">
        <f>IF(preDEL!$AG735,IFERROR(0/0,""),preDEL!S735)</f>
        <v>1</v>
      </c>
      <c r="T735" s="110" t="str">
        <f>IF(preDEL!$AG735,IFERROR(0/0,""),preDEL!T735)</f>
        <v/>
      </c>
      <c r="U735" s="112" t="str">
        <f>IF(preDEL!$AG735,IFERROR(0/0,""),preDEL!U735)</f>
        <v/>
      </c>
      <c r="V735" s="105" t="str">
        <f>IF(preDEL!$AG735,IFERROR(0/0,""),preDEL!V735)</f>
        <v/>
      </c>
      <c r="W735" s="112" t="str">
        <f>IF(preDEL!$AG735,IFERROR(0/0,""),preDEL!W735)</f>
        <v/>
      </c>
      <c r="X735" s="104" t="b">
        <f>IF(preDEL!$AG735,IFERROR(0/0,""),preDEL!X735)</f>
        <v>0</v>
      </c>
      <c r="Y735" s="110" t="b">
        <f>IF(preDEL!$AG735,IFERROR(0/0,""),preDEL!Y735)</f>
        <v>0</v>
      </c>
      <c r="Z735" s="105" t="str">
        <f>IF(preDEL!$AG735,IFERROR(0/0,""),preDEL!Z735)</f>
        <v/>
      </c>
      <c r="AA735" s="110" t="b">
        <f>IF(preDEL!$AG735,IFERROR(0/0,""),preDEL!AA735)</f>
        <v>0</v>
      </c>
      <c r="AB735" s="110" t="b">
        <f>IF(preDEL!$AG735,IFERROR(0/0,""),preDEL!AB735)</f>
        <v>0</v>
      </c>
      <c r="AC735" s="172">
        <f>IF(preDEL!$AG735,IFERROR(0/0,""),preDEL!AC735)</f>
        <v>88</v>
      </c>
      <c r="AD735" s="104" t="b">
        <f>IF(preDEL!$AG735,IFERROR(0/0,""),preDEL!AD735)</f>
        <v>0</v>
      </c>
      <c r="AE735" s="173">
        <f>IF(preDEL!$AG735,IFERROR(0/0,""),preDEL!AE735)</f>
        <v>230.0666667</v>
      </c>
      <c r="AF735" s="110" t="b">
        <f>IF(preDEL!$AG735,IFERROR(0/0,""),preDEL!AF735)</f>
        <v>0</v>
      </c>
      <c r="AG735" s="110" t="b">
        <f>IF(preDEL!$AG735,IFERROR(0/0,""),preDEL!AG735)</f>
        <v>0</v>
      </c>
      <c r="AH735" s="104" t="str">
        <f>IF(preDEL!$AG735,IFERROR(0/0,""),preDEL!AH735)</f>
        <v/>
      </c>
      <c r="AI735" s="105" t="str">
        <f>IF(preDEL!$AG735,IFERROR(0/0,""),preDEL!AI735)</f>
        <v/>
      </c>
      <c r="AJ735" s="112" t="str">
        <f>IF(preDEL!$AG735,IFERROR(0/0,""),preDEL!AJ735)</f>
        <v/>
      </c>
      <c r="AK735" s="105" t="str">
        <f>IF(preDEL!$AG735,IFERROR(0/0,""),preDEL!AK735)</f>
        <v>Negative</v>
      </c>
      <c r="AL735" s="112" t="str">
        <f>IF(preDEL!$AG735,IFERROR(0/0,""),preDEL!AL735)</f>
        <v/>
      </c>
      <c r="AM735" s="112" t="str">
        <f>IF(preDEL!$AG735,IFERROR(0/0,""),preDEL!AM735)</f>
        <v>SpBEND492052</v>
      </c>
      <c r="AN735" s="112" t="str">
        <f>IF(preDEL!$AG735,IFERROR(0/0,""),preDEL!AN735)</f>
        <v>BEND350325</v>
      </c>
      <c r="AO735" s="112" t="str">
        <f>IF(preDEL!$AG735,IFERROR(0/0,""),preDEL!AO735)</f>
        <v/>
      </c>
      <c r="AP735" s="112" t="str">
        <f>IF(preDEL!$AG735,IFERROR(0/0,""),preDEL!AP735)</f>
        <v/>
      </c>
      <c r="AQ735" s="112" t="str">
        <f>IF(preDEL!$AG735,IFERROR(0/0,""),preDEL!AQ735)</f>
        <v/>
      </c>
      <c r="AR735" s="112" t="str">
        <f>IF(preDEL!$AG735,IFERROR(0/0,""),preDEL!AR735)</f>
        <v/>
      </c>
      <c r="AS735" s="112" t="str">
        <f>IF(preDEL!$AG735,IFERROR(0/0,""),preDEL!AS735)</f>
        <v/>
      </c>
      <c r="AT735" s="112" t="b">
        <f>IF(preDEL!$AG735,IFERROR(0/0,""),preDEL!AT735)</f>
        <v>0</v>
      </c>
      <c r="AU735" s="112" t="str">
        <f>IF(preDEL!$AG735,IFERROR(0/0,""),preDEL!AU735)</f>
        <v/>
      </c>
      <c r="AV735" s="112" t="str">
        <f>IF(preDEL!$AG735,IFERROR(0/0,""),preDEL!AV735)</f>
        <v/>
      </c>
      <c r="AW735" s="112" t="str">
        <f>IF(preDEL!$AG735,IFERROR(0/0,""),preDEL!AW735)</f>
        <v/>
      </c>
      <c r="AX735" s="112" t="str">
        <f>IF(preDEL!$AG735,IFERROR(0/0,""),preDEL!AX735)</f>
        <v/>
      </c>
      <c r="AY735" s="112" t="str">
        <f>IF(preDEL!$AG735,IFERROR(0/0,""),preDEL!AY735)</f>
        <v/>
      </c>
      <c r="AZ735" s="174"/>
      <c r="BA735" s="174"/>
      <c r="BB735" s="174"/>
      <c r="BC735" s="174"/>
      <c r="BD735" s="174"/>
      <c r="BE735" s="174"/>
      <c r="BF735" s="174"/>
      <c r="BG735" s="174"/>
      <c r="BH735" s="174"/>
      <c r="BI735" s="174"/>
      <c r="BJ735" s="174"/>
      <c r="BK735" s="174"/>
      <c r="BL735" s="174"/>
      <c r="BM735" s="174"/>
      <c r="BN735" s="174"/>
      <c r="BO735" s="174"/>
      <c r="BP735" s="174"/>
      <c r="BQ735" s="174"/>
      <c r="BR735" s="174"/>
      <c r="BS735" s="174"/>
      <c r="BT735" s="174"/>
      <c r="BU735" s="174"/>
      <c r="BV735" s="174"/>
      <c r="BW735" s="174"/>
      <c r="BX735" s="174"/>
      <c r="BY735" s="174"/>
      <c r="BZ735" s="174"/>
      <c r="CA735" s="174"/>
      <c r="CB735" s="174"/>
      <c r="CC735" s="174"/>
      <c r="CD735" s="174"/>
    </row>
    <row r="736">
      <c r="A736" s="105" t="str">
        <f>IF(preDEL!$AG736,IFERROR(0/0,""),preDEL!A736)</f>
        <v>FM2068</v>
      </c>
      <c r="B736" s="170">
        <f>IF(preDEL!$AG736,IFERROR(0/0,""),preDEL!B736)</f>
        <v>44627</v>
      </c>
      <c r="C736" s="171">
        <f>IF(preDEL!$AG736,IFERROR(0/0,""),preDEL!C736)</f>
        <v>0.319849537</v>
      </c>
      <c r="D736" s="105" t="str">
        <f>IF(preDEL!$AG736,IFERROR(0/0,""),preDEL!D736)</f>
        <v/>
      </c>
      <c r="E736" s="105" t="str">
        <f>IF(preDEL!$AG736,IFERROR(0/0,""),preDEL!E736)</f>
        <v/>
      </c>
      <c r="F736" s="112" t="str">
        <f>IF(preDEL!$AG736,IFERROR(0/0,""),preDEL!F736)</f>
        <v/>
      </c>
      <c r="G736" s="112" t="str">
        <f>IF(preDEL!$AG736,IFERROR(0/0,""),preDEL!G736)</f>
        <v/>
      </c>
      <c r="H736" s="112" t="str">
        <f>IF(preDEL!$AG736,IFERROR(0/0,""),preDEL!H736)</f>
        <v/>
      </c>
      <c r="I736" s="105" t="str">
        <f>IF(preDEL!$AG736,IFERROR(0/0,""),preDEL!I736)</f>
        <v/>
      </c>
      <c r="J736" s="105" t="str">
        <f>IF(preDEL!$AG736,IFERROR(0/0,""),preDEL!J736)</f>
        <v/>
      </c>
      <c r="K736" s="105" t="str">
        <f>IF(preDEL!$AG736,IFERROR(0/0,""),preDEL!K736)</f>
        <v>Negative</v>
      </c>
      <c r="L736" s="170">
        <f>IF(preDEL!$AG736,IFERROR(0/0,""),preDEL!L736)</f>
        <v>44627</v>
      </c>
      <c r="M736" s="171">
        <f>IF(preDEL!$AG736,IFERROR(0/0,""),preDEL!M736)</f>
        <v>0.4778935185</v>
      </c>
      <c r="N736" s="112" t="str">
        <f>IF(preDEL!$AG736,IFERROR(0/0,""),preDEL!N736)</f>
        <v/>
      </c>
      <c r="O736" s="112" t="str">
        <f>IF(preDEL!$AG736,IFERROR(0/0,""),preDEL!O736)</f>
        <v/>
      </c>
      <c r="P736" s="110" t="b">
        <f>IF(preDEL!$AG736,IFERROR(0/0,""),preDEL!P736)</f>
        <v>0</v>
      </c>
      <c r="Q736" s="110" t="str">
        <f>IF(preDEL!$AG736,IFERROR(0/0,""),preDEL!Q736)</f>
        <v>Result</v>
      </c>
      <c r="R736" s="104" t="b">
        <f>IF(preDEL!$AG736,IFERROR(0/0,""),preDEL!R736)</f>
        <v>1</v>
      </c>
      <c r="S736" s="104">
        <f>IF(preDEL!$AG736,IFERROR(0/0,""),preDEL!S736)</f>
        <v>1</v>
      </c>
      <c r="T736" s="110" t="str">
        <f>IF(preDEL!$AG736,IFERROR(0/0,""),preDEL!T736)</f>
        <v/>
      </c>
      <c r="U736" s="112" t="str">
        <f>IF(preDEL!$AG736,IFERROR(0/0,""),preDEL!U736)</f>
        <v/>
      </c>
      <c r="V736" s="105" t="str">
        <f>IF(preDEL!$AG736,IFERROR(0/0,""),preDEL!V736)</f>
        <v/>
      </c>
      <c r="W736" s="112" t="str">
        <f>IF(preDEL!$AG736,IFERROR(0/0,""),preDEL!W736)</f>
        <v/>
      </c>
      <c r="X736" s="104" t="b">
        <f>IF(preDEL!$AG736,IFERROR(0/0,""),preDEL!X736)</f>
        <v>0</v>
      </c>
      <c r="Y736" s="110" t="b">
        <f>IF(preDEL!$AG736,IFERROR(0/0,""),preDEL!Y736)</f>
        <v>0</v>
      </c>
      <c r="Z736" s="105" t="str">
        <f>IF(preDEL!$AG736,IFERROR(0/0,""),preDEL!Z736)</f>
        <v/>
      </c>
      <c r="AA736" s="110" t="b">
        <f>IF(preDEL!$AG736,IFERROR(0/0,""),preDEL!AA736)</f>
        <v>0</v>
      </c>
      <c r="AB736" s="110" t="b">
        <f>IF(preDEL!$AG736,IFERROR(0/0,""),preDEL!AB736)</f>
        <v>0</v>
      </c>
      <c r="AC736" s="172">
        <f>IF(preDEL!$AG736,IFERROR(0/0,""),preDEL!AC736)</f>
        <v>87</v>
      </c>
      <c r="AD736" s="104" t="b">
        <f>IF(preDEL!$AG736,IFERROR(0/0,""),preDEL!AD736)</f>
        <v>0</v>
      </c>
      <c r="AE736" s="173">
        <f>IF(preDEL!$AG736,IFERROR(0/0,""),preDEL!AE736)</f>
        <v>227.5833333</v>
      </c>
      <c r="AF736" s="110" t="b">
        <f>IF(preDEL!$AG736,IFERROR(0/0,""),preDEL!AF736)</f>
        <v>0</v>
      </c>
      <c r="AG736" s="110" t="b">
        <f>IF(preDEL!$AG736,IFERROR(0/0,""),preDEL!AG736)</f>
        <v>0</v>
      </c>
      <c r="AH736" s="104" t="str">
        <f>IF(preDEL!$AG736,IFERROR(0/0,""),preDEL!AH736)</f>
        <v/>
      </c>
      <c r="AI736" s="105" t="str">
        <f>IF(preDEL!$AG736,IFERROR(0/0,""),preDEL!AI736)</f>
        <v/>
      </c>
      <c r="AJ736" s="112" t="str">
        <f>IF(preDEL!$AG736,IFERROR(0/0,""),preDEL!AJ736)</f>
        <v/>
      </c>
      <c r="AK736" s="105" t="str">
        <f>IF(preDEL!$AG736,IFERROR(0/0,""),preDEL!AK736)</f>
        <v>Negative</v>
      </c>
      <c r="AL736" s="112" t="str">
        <f>IF(preDEL!$AG736,IFERROR(0/0,""),preDEL!AL736)</f>
        <v/>
      </c>
      <c r="AM736" s="112" t="str">
        <f>IF(preDEL!$AG736,IFERROR(0/0,""),preDEL!AM736)</f>
        <v>SpBEND387578</v>
      </c>
      <c r="AN736" s="112" t="str">
        <f>IF(preDEL!$AG736,IFERROR(0/0,""),preDEL!AN736)</f>
        <v>BEND375164</v>
      </c>
      <c r="AO736" s="112" t="str">
        <f>IF(preDEL!$AG736,IFERROR(0/0,""),preDEL!AO736)</f>
        <v/>
      </c>
      <c r="AP736" s="112" t="str">
        <f>IF(preDEL!$AG736,IFERROR(0/0,""),preDEL!AP736)</f>
        <v/>
      </c>
      <c r="AQ736" s="112" t="str">
        <f>IF(preDEL!$AG736,IFERROR(0/0,""),preDEL!AQ736)</f>
        <v/>
      </c>
      <c r="AR736" s="112" t="str">
        <f>IF(preDEL!$AG736,IFERROR(0/0,""),preDEL!AR736)</f>
        <v/>
      </c>
      <c r="AS736" s="112" t="str">
        <f>IF(preDEL!$AG736,IFERROR(0/0,""),preDEL!AS736)</f>
        <v/>
      </c>
      <c r="AT736" s="112" t="b">
        <f>IF(preDEL!$AG736,IFERROR(0/0,""),preDEL!AT736)</f>
        <v>0</v>
      </c>
      <c r="AU736" s="112" t="str">
        <f>IF(preDEL!$AG736,IFERROR(0/0,""),preDEL!AU736)</f>
        <v/>
      </c>
      <c r="AV736" s="112" t="str">
        <f>IF(preDEL!$AG736,IFERROR(0/0,""),preDEL!AV736)</f>
        <v/>
      </c>
      <c r="AW736" s="112" t="str">
        <f>IF(preDEL!$AG736,IFERROR(0/0,""),preDEL!AW736)</f>
        <v/>
      </c>
      <c r="AX736" s="112" t="str">
        <f>IF(preDEL!$AG736,IFERROR(0/0,""),preDEL!AX736)</f>
        <v/>
      </c>
      <c r="AY736" s="112" t="str">
        <f>IF(preDEL!$AG736,IFERROR(0/0,""),preDEL!AY736)</f>
        <v/>
      </c>
      <c r="AZ736" s="174"/>
      <c r="BA736" s="174"/>
      <c r="BB736" s="174"/>
      <c r="BC736" s="174"/>
      <c r="BD736" s="174"/>
      <c r="BE736" s="174"/>
      <c r="BF736" s="174"/>
      <c r="BG736" s="174"/>
      <c r="BH736" s="174"/>
      <c r="BI736" s="174"/>
      <c r="BJ736" s="174"/>
      <c r="BK736" s="174"/>
      <c r="BL736" s="174"/>
      <c r="BM736" s="174"/>
      <c r="BN736" s="174"/>
      <c r="BO736" s="174"/>
      <c r="BP736" s="174"/>
      <c r="BQ736" s="174"/>
      <c r="BR736" s="174"/>
      <c r="BS736" s="174"/>
      <c r="BT736" s="174"/>
      <c r="BU736" s="174"/>
      <c r="BV736" s="174"/>
      <c r="BW736" s="174"/>
      <c r="BX736" s="174"/>
      <c r="BY736" s="174"/>
      <c r="BZ736" s="174"/>
      <c r="CA736" s="174"/>
      <c r="CB736" s="174"/>
      <c r="CC736" s="174"/>
      <c r="CD736" s="174"/>
    </row>
    <row r="737">
      <c r="A737" s="105" t="str">
        <f>IF(preDEL!$AG737,IFERROR(0/0,""),preDEL!A737)</f>
        <v>MA1284</v>
      </c>
      <c r="B737" s="170">
        <f>IF(preDEL!$AG737,IFERROR(0/0,""),preDEL!B737)</f>
        <v>44627</v>
      </c>
      <c r="C737" s="171">
        <f>IF(preDEL!$AG737,IFERROR(0/0,""),preDEL!C737)</f>
        <v>0.3199768519</v>
      </c>
      <c r="D737" s="105" t="str">
        <f>IF(preDEL!$AG737,IFERROR(0/0,""),preDEL!D737)</f>
        <v/>
      </c>
      <c r="E737" s="105" t="str">
        <f>IF(preDEL!$AG737,IFERROR(0/0,""),preDEL!E737)</f>
        <v/>
      </c>
      <c r="F737" s="112" t="str">
        <f>IF(preDEL!$AG737,IFERROR(0/0,""),preDEL!F737)</f>
        <v/>
      </c>
      <c r="G737" s="112" t="str">
        <f>IF(preDEL!$AG737,IFERROR(0/0,""),preDEL!G737)</f>
        <v/>
      </c>
      <c r="H737" s="112" t="str">
        <f>IF(preDEL!$AG737,IFERROR(0/0,""),preDEL!H737)</f>
        <v/>
      </c>
      <c r="I737" s="105" t="str">
        <f>IF(preDEL!$AG737,IFERROR(0/0,""),preDEL!I737)</f>
        <v/>
      </c>
      <c r="J737" s="105" t="str">
        <f>IF(preDEL!$AG737,IFERROR(0/0,""),preDEL!J737)</f>
        <v/>
      </c>
      <c r="K737" s="105" t="str">
        <f>IF(preDEL!$AG737,IFERROR(0/0,""),preDEL!K737)</f>
        <v>Negative</v>
      </c>
      <c r="L737" s="170">
        <f>IF(preDEL!$AG737,IFERROR(0/0,""),preDEL!L737)</f>
        <v>44627</v>
      </c>
      <c r="M737" s="171">
        <f>IF(preDEL!$AG737,IFERROR(0/0,""),preDEL!M737)</f>
        <v>0.4778935185</v>
      </c>
      <c r="N737" s="112" t="str">
        <f>IF(preDEL!$AG737,IFERROR(0/0,""),preDEL!N737)</f>
        <v/>
      </c>
      <c r="O737" s="112" t="str">
        <f>IF(preDEL!$AG737,IFERROR(0/0,""),preDEL!O737)</f>
        <v/>
      </c>
      <c r="P737" s="110" t="b">
        <f>IF(preDEL!$AG737,IFERROR(0/0,""),preDEL!P737)</f>
        <v>0</v>
      </c>
      <c r="Q737" s="110" t="str">
        <f>IF(preDEL!$AG737,IFERROR(0/0,""),preDEL!Q737)</f>
        <v>Result</v>
      </c>
      <c r="R737" s="104" t="b">
        <f>IF(preDEL!$AG737,IFERROR(0/0,""),preDEL!R737)</f>
        <v>1</v>
      </c>
      <c r="S737" s="104">
        <f>IF(preDEL!$AG737,IFERROR(0/0,""),preDEL!S737)</f>
        <v>1</v>
      </c>
      <c r="T737" s="110" t="str">
        <f>IF(preDEL!$AG737,IFERROR(0/0,""),preDEL!T737)</f>
        <v/>
      </c>
      <c r="U737" s="112" t="str">
        <f>IF(preDEL!$AG737,IFERROR(0/0,""),preDEL!U737)</f>
        <v/>
      </c>
      <c r="V737" s="105" t="str">
        <f>IF(preDEL!$AG737,IFERROR(0/0,""),preDEL!V737)</f>
        <v/>
      </c>
      <c r="W737" s="112" t="str">
        <f>IF(preDEL!$AG737,IFERROR(0/0,""),preDEL!W737)</f>
        <v/>
      </c>
      <c r="X737" s="104" t="b">
        <f>IF(preDEL!$AG737,IFERROR(0/0,""),preDEL!X737)</f>
        <v>0</v>
      </c>
      <c r="Y737" s="110" t="b">
        <f>IF(preDEL!$AG737,IFERROR(0/0,""),preDEL!Y737)</f>
        <v>0</v>
      </c>
      <c r="Z737" s="105" t="str">
        <f>IF(preDEL!$AG737,IFERROR(0/0,""),preDEL!Z737)</f>
        <v/>
      </c>
      <c r="AA737" s="110" t="b">
        <f>IF(preDEL!$AG737,IFERROR(0/0,""),preDEL!AA737)</f>
        <v>0</v>
      </c>
      <c r="AB737" s="110" t="b">
        <f>IF(preDEL!$AG737,IFERROR(0/0,""),preDEL!AB737)</f>
        <v>0</v>
      </c>
      <c r="AC737" s="172">
        <f>IF(preDEL!$AG737,IFERROR(0/0,""),preDEL!AC737)</f>
        <v>86</v>
      </c>
      <c r="AD737" s="104" t="b">
        <f>IF(preDEL!$AG737,IFERROR(0/0,""),preDEL!AD737)</f>
        <v>0</v>
      </c>
      <c r="AE737" s="173">
        <f>IF(preDEL!$AG737,IFERROR(0/0,""),preDEL!AE737)</f>
        <v>227.4</v>
      </c>
      <c r="AF737" s="110" t="b">
        <f>IF(preDEL!$AG737,IFERROR(0/0,""),preDEL!AF737)</f>
        <v>0</v>
      </c>
      <c r="AG737" s="110" t="b">
        <f>IF(preDEL!$AG737,IFERROR(0/0,""),preDEL!AG737)</f>
        <v>0</v>
      </c>
      <c r="AH737" s="104" t="str">
        <f>IF(preDEL!$AG737,IFERROR(0/0,""),preDEL!AH737)</f>
        <v/>
      </c>
      <c r="AI737" s="105" t="str">
        <f>IF(preDEL!$AG737,IFERROR(0/0,""),preDEL!AI737)</f>
        <v/>
      </c>
      <c r="AJ737" s="112" t="str">
        <f>IF(preDEL!$AG737,IFERROR(0/0,""),preDEL!AJ737)</f>
        <v/>
      </c>
      <c r="AK737" s="105" t="str">
        <f>IF(preDEL!$AG737,IFERROR(0/0,""),preDEL!AK737)</f>
        <v>Negative</v>
      </c>
      <c r="AL737" s="112" t="str">
        <f>IF(preDEL!$AG737,IFERROR(0/0,""),preDEL!AL737)</f>
        <v/>
      </c>
      <c r="AM737" s="112" t="str">
        <f>IF(preDEL!$AG737,IFERROR(0/0,""),preDEL!AM737)</f>
        <v>SpBEND305944</v>
      </c>
      <c r="AN737" s="112" t="str">
        <f>IF(preDEL!$AG737,IFERROR(0/0,""),preDEL!AN737)</f>
        <v>BEND538986</v>
      </c>
      <c r="AO737" s="112" t="str">
        <f>IF(preDEL!$AG737,IFERROR(0/0,""),preDEL!AO737)</f>
        <v/>
      </c>
      <c r="AP737" s="112" t="str">
        <f>IF(preDEL!$AG737,IFERROR(0/0,""),preDEL!AP737)</f>
        <v/>
      </c>
      <c r="AQ737" s="112" t="str">
        <f>IF(preDEL!$AG737,IFERROR(0/0,""),preDEL!AQ737)</f>
        <v/>
      </c>
      <c r="AR737" s="112" t="str">
        <f>IF(preDEL!$AG737,IFERROR(0/0,""),preDEL!AR737)</f>
        <v/>
      </c>
      <c r="AS737" s="112" t="str">
        <f>IF(preDEL!$AG737,IFERROR(0/0,""),preDEL!AS737)</f>
        <v/>
      </c>
      <c r="AT737" s="112" t="b">
        <f>IF(preDEL!$AG737,IFERROR(0/0,""),preDEL!AT737)</f>
        <v>0</v>
      </c>
      <c r="AU737" s="112" t="str">
        <f>IF(preDEL!$AG737,IFERROR(0/0,""),preDEL!AU737)</f>
        <v/>
      </c>
      <c r="AV737" s="112" t="str">
        <f>IF(preDEL!$AG737,IFERROR(0/0,""),preDEL!AV737)</f>
        <v/>
      </c>
      <c r="AW737" s="112" t="str">
        <f>IF(preDEL!$AG737,IFERROR(0/0,""),preDEL!AW737)</f>
        <v/>
      </c>
      <c r="AX737" s="112" t="str">
        <f>IF(preDEL!$AG737,IFERROR(0/0,""),preDEL!AX737)</f>
        <v/>
      </c>
      <c r="AY737" s="112" t="str">
        <f>IF(preDEL!$AG737,IFERROR(0/0,""),preDEL!AY737)</f>
        <v/>
      </c>
      <c r="AZ737" s="174"/>
      <c r="BA737" s="174"/>
      <c r="BB737" s="174"/>
      <c r="BC737" s="174"/>
      <c r="BD737" s="174"/>
      <c r="BE737" s="174"/>
      <c r="BF737" s="174"/>
      <c r="BG737" s="174"/>
      <c r="BH737" s="174"/>
      <c r="BI737" s="174"/>
      <c r="BJ737" s="174"/>
      <c r="BK737" s="174"/>
      <c r="BL737" s="174"/>
      <c r="BM737" s="174"/>
      <c r="BN737" s="174"/>
      <c r="BO737" s="174"/>
      <c r="BP737" s="174"/>
      <c r="BQ737" s="174"/>
      <c r="BR737" s="174"/>
      <c r="BS737" s="174"/>
      <c r="BT737" s="174"/>
      <c r="BU737" s="174"/>
      <c r="BV737" s="174"/>
      <c r="BW737" s="174"/>
      <c r="BX737" s="174"/>
      <c r="BY737" s="174"/>
      <c r="BZ737" s="174"/>
      <c r="CA737" s="174"/>
      <c r="CB737" s="174"/>
      <c r="CC737" s="174"/>
      <c r="CD737" s="174"/>
    </row>
    <row r="738">
      <c r="A738" s="105" t="str">
        <f>IF(preDEL!$AG738,IFERROR(0/0,""),preDEL!A738)</f>
        <v>FM2062</v>
      </c>
      <c r="B738" s="170">
        <f>IF(preDEL!$AG738,IFERROR(0/0,""),preDEL!B738)</f>
        <v>44627</v>
      </c>
      <c r="C738" s="171">
        <f>IF(preDEL!$AG738,IFERROR(0/0,""),preDEL!C738)</f>
        <v>0.3200925926</v>
      </c>
      <c r="D738" s="105" t="str">
        <f>IF(preDEL!$AG738,IFERROR(0/0,""),preDEL!D738)</f>
        <v/>
      </c>
      <c r="E738" s="105" t="str">
        <f>IF(preDEL!$AG738,IFERROR(0/0,""),preDEL!E738)</f>
        <v/>
      </c>
      <c r="F738" s="112" t="str">
        <f>IF(preDEL!$AG738,IFERROR(0/0,""),preDEL!F738)</f>
        <v/>
      </c>
      <c r="G738" s="112" t="str">
        <f>IF(preDEL!$AG738,IFERROR(0/0,""),preDEL!G738)</f>
        <v/>
      </c>
      <c r="H738" s="112" t="str">
        <f>IF(preDEL!$AG738,IFERROR(0/0,""),preDEL!H738)</f>
        <v/>
      </c>
      <c r="I738" s="105" t="str">
        <f>IF(preDEL!$AG738,IFERROR(0/0,""),preDEL!I738)</f>
        <v/>
      </c>
      <c r="J738" s="105" t="str">
        <f>IF(preDEL!$AG738,IFERROR(0/0,""),preDEL!J738)</f>
        <v/>
      </c>
      <c r="K738" s="105" t="str">
        <f>IF(preDEL!$AG738,IFERROR(0/0,""),preDEL!K738)</f>
        <v>Negative</v>
      </c>
      <c r="L738" s="170">
        <f>IF(preDEL!$AG738,IFERROR(0/0,""),preDEL!L738)</f>
        <v>44627</v>
      </c>
      <c r="M738" s="171">
        <f>IF(preDEL!$AG738,IFERROR(0/0,""),preDEL!M738)</f>
        <v>0.4778935185</v>
      </c>
      <c r="N738" s="112" t="str">
        <f>IF(preDEL!$AG738,IFERROR(0/0,""),preDEL!N738)</f>
        <v/>
      </c>
      <c r="O738" s="112" t="str">
        <f>IF(preDEL!$AG738,IFERROR(0/0,""),preDEL!O738)</f>
        <v/>
      </c>
      <c r="P738" s="110" t="b">
        <f>IF(preDEL!$AG738,IFERROR(0/0,""),preDEL!P738)</f>
        <v>0</v>
      </c>
      <c r="Q738" s="110" t="str">
        <f>IF(preDEL!$AG738,IFERROR(0/0,""),preDEL!Q738)</f>
        <v>Result</v>
      </c>
      <c r="R738" s="104" t="b">
        <f>IF(preDEL!$AG738,IFERROR(0/0,""),preDEL!R738)</f>
        <v>1</v>
      </c>
      <c r="S738" s="104">
        <f>IF(preDEL!$AG738,IFERROR(0/0,""),preDEL!S738)</f>
        <v>1</v>
      </c>
      <c r="T738" s="110" t="str">
        <f>IF(preDEL!$AG738,IFERROR(0/0,""),preDEL!T738)</f>
        <v/>
      </c>
      <c r="U738" s="112" t="str">
        <f>IF(preDEL!$AG738,IFERROR(0/0,""),preDEL!U738)</f>
        <v/>
      </c>
      <c r="V738" s="105" t="str">
        <f>IF(preDEL!$AG738,IFERROR(0/0,""),preDEL!V738)</f>
        <v/>
      </c>
      <c r="W738" s="112" t="str">
        <f>IF(preDEL!$AG738,IFERROR(0/0,""),preDEL!W738)</f>
        <v/>
      </c>
      <c r="X738" s="104" t="b">
        <f>IF(preDEL!$AG738,IFERROR(0/0,""),preDEL!X738)</f>
        <v>0</v>
      </c>
      <c r="Y738" s="110" t="b">
        <f>IF(preDEL!$AG738,IFERROR(0/0,""),preDEL!Y738)</f>
        <v>0</v>
      </c>
      <c r="Z738" s="105" t="str">
        <f>IF(preDEL!$AG738,IFERROR(0/0,""),preDEL!Z738)</f>
        <v/>
      </c>
      <c r="AA738" s="110" t="b">
        <f>IF(preDEL!$AG738,IFERROR(0/0,""),preDEL!AA738)</f>
        <v>0</v>
      </c>
      <c r="AB738" s="110" t="b">
        <f>IF(preDEL!$AG738,IFERROR(0/0,""),preDEL!AB738)</f>
        <v>0</v>
      </c>
      <c r="AC738" s="172">
        <f>IF(preDEL!$AG738,IFERROR(0/0,""),preDEL!AC738)</f>
        <v>85</v>
      </c>
      <c r="AD738" s="104" t="b">
        <f>IF(preDEL!$AG738,IFERROR(0/0,""),preDEL!AD738)</f>
        <v>0</v>
      </c>
      <c r="AE738" s="173">
        <f>IF(preDEL!$AG738,IFERROR(0/0,""),preDEL!AE738)</f>
        <v>227.2333333</v>
      </c>
      <c r="AF738" s="110" t="b">
        <f>IF(preDEL!$AG738,IFERROR(0/0,""),preDEL!AF738)</f>
        <v>0</v>
      </c>
      <c r="AG738" s="110" t="b">
        <f>IF(preDEL!$AG738,IFERROR(0/0,""),preDEL!AG738)</f>
        <v>0</v>
      </c>
      <c r="AH738" s="104" t="str">
        <f>IF(preDEL!$AG738,IFERROR(0/0,""),preDEL!AH738)</f>
        <v/>
      </c>
      <c r="AI738" s="105" t="str">
        <f>IF(preDEL!$AG738,IFERROR(0/0,""),preDEL!AI738)</f>
        <v/>
      </c>
      <c r="AJ738" s="112" t="str">
        <f>IF(preDEL!$AG738,IFERROR(0/0,""),preDEL!AJ738)</f>
        <v/>
      </c>
      <c r="AK738" s="105" t="str">
        <f>IF(preDEL!$AG738,IFERROR(0/0,""),preDEL!AK738)</f>
        <v>Negative</v>
      </c>
      <c r="AL738" s="112" t="str">
        <f>IF(preDEL!$AG738,IFERROR(0/0,""),preDEL!AL738)</f>
        <v/>
      </c>
      <c r="AM738" s="112" t="str">
        <f>IF(preDEL!$AG738,IFERROR(0/0,""),preDEL!AM738)</f>
        <v>SpBEND559802</v>
      </c>
      <c r="AN738" s="112" t="str">
        <f>IF(preDEL!$AG738,IFERROR(0/0,""),preDEL!AN738)</f>
        <v>BEND237252</v>
      </c>
      <c r="AO738" s="112" t="str">
        <f>IF(preDEL!$AG738,IFERROR(0/0,""),preDEL!AO738)</f>
        <v/>
      </c>
      <c r="AP738" s="112" t="str">
        <f>IF(preDEL!$AG738,IFERROR(0/0,""),preDEL!AP738)</f>
        <v/>
      </c>
      <c r="AQ738" s="112" t="str">
        <f>IF(preDEL!$AG738,IFERROR(0/0,""),preDEL!AQ738)</f>
        <v/>
      </c>
      <c r="AR738" s="112" t="str">
        <f>IF(preDEL!$AG738,IFERROR(0/0,""),preDEL!AR738)</f>
        <v/>
      </c>
      <c r="AS738" s="112" t="str">
        <f>IF(preDEL!$AG738,IFERROR(0/0,""),preDEL!AS738)</f>
        <v/>
      </c>
      <c r="AT738" s="112" t="b">
        <f>IF(preDEL!$AG738,IFERROR(0/0,""),preDEL!AT738)</f>
        <v>0</v>
      </c>
      <c r="AU738" s="112" t="str">
        <f>IF(preDEL!$AG738,IFERROR(0/0,""),preDEL!AU738)</f>
        <v/>
      </c>
      <c r="AV738" s="112" t="str">
        <f>IF(preDEL!$AG738,IFERROR(0/0,""),preDEL!AV738)</f>
        <v/>
      </c>
      <c r="AW738" s="112" t="str">
        <f>IF(preDEL!$AG738,IFERROR(0/0,""),preDEL!AW738)</f>
        <v/>
      </c>
      <c r="AX738" s="112" t="str">
        <f>IF(preDEL!$AG738,IFERROR(0/0,""),preDEL!AX738)</f>
        <v/>
      </c>
      <c r="AY738" s="112" t="str">
        <f>IF(preDEL!$AG738,IFERROR(0/0,""),preDEL!AY738)</f>
        <v/>
      </c>
      <c r="AZ738" s="174"/>
      <c r="BA738" s="174"/>
      <c r="BB738" s="174"/>
      <c r="BC738" s="174"/>
      <c r="BD738" s="174"/>
      <c r="BE738" s="174"/>
      <c r="BF738" s="174"/>
      <c r="BG738" s="174"/>
      <c r="BH738" s="174"/>
      <c r="BI738" s="174"/>
      <c r="BJ738" s="174"/>
      <c r="BK738" s="174"/>
      <c r="BL738" s="174"/>
      <c r="BM738" s="174"/>
      <c r="BN738" s="174"/>
      <c r="BO738" s="174"/>
      <c r="BP738" s="174"/>
      <c r="BQ738" s="174"/>
      <c r="BR738" s="174"/>
      <c r="BS738" s="174"/>
      <c r="BT738" s="174"/>
      <c r="BU738" s="174"/>
      <c r="BV738" s="174"/>
      <c r="BW738" s="174"/>
      <c r="BX738" s="174"/>
      <c r="BY738" s="174"/>
      <c r="BZ738" s="174"/>
      <c r="CA738" s="174"/>
      <c r="CB738" s="174"/>
      <c r="CC738" s="174"/>
      <c r="CD738" s="174"/>
    </row>
    <row r="739">
      <c r="A739" s="105" t="str">
        <f>IF(preDEL!$AG739,IFERROR(0/0,""),preDEL!A739)</f>
        <v>MA1227</v>
      </c>
      <c r="B739" s="170">
        <f>IF(preDEL!$AG739,IFERROR(0/0,""),preDEL!B739)</f>
        <v>44627</v>
      </c>
      <c r="C739" s="171">
        <f>IF(preDEL!$AG739,IFERROR(0/0,""),preDEL!C739)</f>
        <v>0.320474537</v>
      </c>
      <c r="D739" s="105" t="str">
        <f>IF(preDEL!$AG739,IFERROR(0/0,""),preDEL!D739)</f>
        <v/>
      </c>
      <c r="E739" s="105" t="str">
        <f>IF(preDEL!$AG739,IFERROR(0/0,""),preDEL!E739)</f>
        <v/>
      </c>
      <c r="F739" s="112" t="str">
        <f>IF(preDEL!$AG739,IFERROR(0/0,""),preDEL!F739)</f>
        <v/>
      </c>
      <c r="G739" s="112" t="str">
        <f>IF(preDEL!$AG739,IFERROR(0/0,""),preDEL!G739)</f>
        <v/>
      </c>
      <c r="H739" s="112" t="str">
        <f>IF(preDEL!$AG739,IFERROR(0/0,""),preDEL!H739)</f>
        <v/>
      </c>
      <c r="I739" s="105" t="str">
        <f>IF(preDEL!$AG739,IFERROR(0/0,""),preDEL!I739)</f>
        <v/>
      </c>
      <c r="J739" s="105" t="str">
        <f>IF(preDEL!$AG739,IFERROR(0/0,""),preDEL!J739)</f>
        <v/>
      </c>
      <c r="K739" s="105" t="str">
        <f>IF(preDEL!$AG739,IFERROR(0/0,""),preDEL!K739)</f>
        <v>Negative</v>
      </c>
      <c r="L739" s="170">
        <f>IF(preDEL!$AG739,IFERROR(0/0,""),preDEL!L739)</f>
        <v>44627</v>
      </c>
      <c r="M739" s="171">
        <f>IF(preDEL!$AG739,IFERROR(0/0,""),preDEL!M739)</f>
        <v>0.4778935185</v>
      </c>
      <c r="N739" s="112" t="str">
        <f>IF(preDEL!$AG739,IFERROR(0/0,""),preDEL!N739)</f>
        <v/>
      </c>
      <c r="O739" s="112" t="str">
        <f>IF(preDEL!$AG739,IFERROR(0/0,""),preDEL!O739)</f>
        <v/>
      </c>
      <c r="P739" s="110" t="b">
        <f>IF(preDEL!$AG739,IFERROR(0/0,""),preDEL!P739)</f>
        <v>0</v>
      </c>
      <c r="Q739" s="110" t="str">
        <f>IF(preDEL!$AG739,IFERROR(0/0,""),preDEL!Q739)</f>
        <v>Result</v>
      </c>
      <c r="R739" s="104" t="b">
        <f>IF(preDEL!$AG739,IFERROR(0/0,""),preDEL!R739)</f>
        <v>1</v>
      </c>
      <c r="S739" s="104">
        <f>IF(preDEL!$AG739,IFERROR(0/0,""),preDEL!S739)</f>
        <v>1</v>
      </c>
      <c r="T739" s="110" t="str">
        <f>IF(preDEL!$AG739,IFERROR(0/0,""),preDEL!T739)</f>
        <v/>
      </c>
      <c r="U739" s="112" t="str">
        <f>IF(preDEL!$AG739,IFERROR(0/0,""),preDEL!U739)</f>
        <v/>
      </c>
      <c r="V739" s="105" t="str">
        <f>IF(preDEL!$AG739,IFERROR(0/0,""),preDEL!V739)</f>
        <v/>
      </c>
      <c r="W739" s="112" t="str">
        <f>IF(preDEL!$AG739,IFERROR(0/0,""),preDEL!W739)</f>
        <v/>
      </c>
      <c r="X739" s="104" t="b">
        <f>IF(preDEL!$AG739,IFERROR(0/0,""),preDEL!X739)</f>
        <v>0</v>
      </c>
      <c r="Y739" s="110" t="b">
        <f>IF(preDEL!$AG739,IFERROR(0/0,""),preDEL!Y739)</f>
        <v>0</v>
      </c>
      <c r="Z739" s="105" t="str">
        <f>IF(preDEL!$AG739,IFERROR(0/0,""),preDEL!Z739)</f>
        <v/>
      </c>
      <c r="AA739" s="110" t="b">
        <f>IF(preDEL!$AG739,IFERROR(0/0,""),preDEL!AA739)</f>
        <v>0</v>
      </c>
      <c r="AB739" s="110" t="b">
        <f>IF(preDEL!$AG739,IFERROR(0/0,""),preDEL!AB739)</f>
        <v>0</v>
      </c>
      <c r="AC739" s="172">
        <f>IF(preDEL!$AG739,IFERROR(0/0,""),preDEL!AC739)</f>
        <v>84</v>
      </c>
      <c r="AD739" s="104" t="b">
        <f>IF(preDEL!$AG739,IFERROR(0/0,""),preDEL!AD739)</f>
        <v>0</v>
      </c>
      <c r="AE739" s="173">
        <f>IF(preDEL!$AG739,IFERROR(0/0,""),preDEL!AE739)</f>
        <v>226.6833333</v>
      </c>
      <c r="AF739" s="110" t="b">
        <f>IF(preDEL!$AG739,IFERROR(0/0,""),preDEL!AF739)</f>
        <v>0</v>
      </c>
      <c r="AG739" s="110" t="b">
        <f>IF(preDEL!$AG739,IFERROR(0/0,""),preDEL!AG739)</f>
        <v>0</v>
      </c>
      <c r="AH739" s="104" t="str">
        <f>IF(preDEL!$AG739,IFERROR(0/0,""),preDEL!AH739)</f>
        <v/>
      </c>
      <c r="AI739" s="105" t="str">
        <f>IF(preDEL!$AG739,IFERROR(0/0,""),preDEL!AI739)</f>
        <v/>
      </c>
      <c r="AJ739" s="112" t="str">
        <f>IF(preDEL!$AG739,IFERROR(0/0,""),preDEL!AJ739)</f>
        <v/>
      </c>
      <c r="AK739" s="105" t="str">
        <f>IF(preDEL!$AG739,IFERROR(0/0,""),preDEL!AK739)</f>
        <v>Negative</v>
      </c>
      <c r="AL739" s="112" t="str">
        <f>IF(preDEL!$AG739,IFERROR(0/0,""),preDEL!AL739)</f>
        <v/>
      </c>
      <c r="AM739" s="112" t="str">
        <f>IF(preDEL!$AG739,IFERROR(0/0,""),preDEL!AM739)</f>
        <v>SpBEND977859</v>
      </c>
      <c r="AN739" s="112" t="str">
        <f>IF(preDEL!$AG739,IFERROR(0/0,""),preDEL!AN739)</f>
        <v>BEND143262</v>
      </c>
      <c r="AO739" s="112" t="str">
        <f>IF(preDEL!$AG739,IFERROR(0/0,""),preDEL!AO739)</f>
        <v/>
      </c>
      <c r="AP739" s="112" t="str">
        <f>IF(preDEL!$AG739,IFERROR(0/0,""),preDEL!AP739)</f>
        <v/>
      </c>
      <c r="AQ739" s="112" t="str">
        <f>IF(preDEL!$AG739,IFERROR(0/0,""),preDEL!AQ739)</f>
        <v/>
      </c>
      <c r="AR739" s="112" t="str">
        <f>IF(preDEL!$AG739,IFERROR(0/0,""),preDEL!AR739)</f>
        <v/>
      </c>
      <c r="AS739" s="112" t="str">
        <f>IF(preDEL!$AG739,IFERROR(0/0,""),preDEL!AS739)</f>
        <v/>
      </c>
      <c r="AT739" s="112" t="b">
        <f>IF(preDEL!$AG739,IFERROR(0/0,""),preDEL!AT739)</f>
        <v>0</v>
      </c>
      <c r="AU739" s="112" t="str">
        <f>IF(preDEL!$AG739,IFERROR(0/0,""),preDEL!AU739)</f>
        <v/>
      </c>
      <c r="AV739" s="112" t="str">
        <f>IF(preDEL!$AG739,IFERROR(0/0,""),preDEL!AV739)</f>
        <v/>
      </c>
      <c r="AW739" s="112" t="str">
        <f>IF(preDEL!$AG739,IFERROR(0/0,""),preDEL!AW739)</f>
        <v/>
      </c>
      <c r="AX739" s="112" t="str">
        <f>IF(preDEL!$AG739,IFERROR(0/0,""),preDEL!AX739)</f>
        <v/>
      </c>
      <c r="AY739" s="112" t="str">
        <f>IF(preDEL!$AG739,IFERROR(0/0,""),preDEL!AY739)</f>
        <v/>
      </c>
      <c r="AZ739" s="174"/>
      <c r="BA739" s="174"/>
      <c r="BB739" s="174"/>
      <c r="BC739" s="174"/>
      <c r="BD739" s="174"/>
      <c r="BE739" s="174"/>
      <c r="BF739" s="174"/>
      <c r="BG739" s="174"/>
      <c r="BH739" s="174"/>
      <c r="BI739" s="174"/>
      <c r="BJ739" s="174"/>
      <c r="BK739" s="174"/>
      <c r="BL739" s="174"/>
      <c r="BM739" s="174"/>
      <c r="BN739" s="174"/>
      <c r="BO739" s="174"/>
      <c r="BP739" s="174"/>
      <c r="BQ739" s="174"/>
      <c r="BR739" s="174"/>
      <c r="BS739" s="174"/>
      <c r="BT739" s="174"/>
      <c r="BU739" s="174"/>
      <c r="BV739" s="174"/>
      <c r="BW739" s="174"/>
      <c r="BX739" s="174"/>
      <c r="BY739" s="174"/>
      <c r="BZ739" s="174"/>
      <c r="CA739" s="174"/>
      <c r="CB739" s="174"/>
      <c r="CC739" s="174"/>
      <c r="CD739" s="174"/>
    </row>
    <row r="740">
      <c r="A740" s="105" t="str">
        <f>IF(preDEL!$AG740,IFERROR(0/0,""),preDEL!A740)</f>
        <v>FM63</v>
      </c>
      <c r="B740" s="170">
        <f>IF(preDEL!$AG740,IFERROR(0/0,""),preDEL!B740)</f>
        <v>44627</v>
      </c>
      <c r="C740" s="171">
        <f>IF(preDEL!$AG740,IFERROR(0/0,""),preDEL!C740)</f>
        <v>0.3215740741</v>
      </c>
      <c r="D740" s="105" t="str">
        <f>IF(preDEL!$AG740,IFERROR(0/0,""),preDEL!D740)</f>
        <v/>
      </c>
      <c r="E740" s="105" t="str">
        <f>IF(preDEL!$AG740,IFERROR(0/0,""),preDEL!E740)</f>
        <v/>
      </c>
      <c r="F740" s="112" t="str">
        <f>IF(preDEL!$AG740,IFERROR(0/0,""),preDEL!F740)</f>
        <v/>
      </c>
      <c r="G740" s="112" t="str">
        <f>IF(preDEL!$AG740,IFERROR(0/0,""),preDEL!G740)</f>
        <v/>
      </c>
      <c r="H740" s="112" t="str">
        <f>IF(preDEL!$AG740,IFERROR(0/0,""),preDEL!H740)</f>
        <v/>
      </c>
      <c r="I740" s="105" t="str">
        <f>IF(preDEL!$AG740,IFERROR(0/0,""),preDEL!I740)</f>
        <v/>
      </c>
      <c r="J740" s="105" t="str">
        <f>IF(preDEL!$AG740,IFERROR(0/0,""),preDEL!J740)</f>
        <v/>
      </c>
      <c r="K740" s="105" t="str">
        <f>IF(preDEL!$AG740,IFERROR(0/0,""),preDEL!K740)</f>
        <v>Negative</v>
      </c>
      <c r="L740" s="170">
        <f>IF(preDEL!$AG740,IFERROR(0/0,""),preDEL!L740)</f>
        <v>44627</v>
      </c>
      <c r="M740" s="171">
        <f>IF(preDEL!$AG740,IFERROR(0/0,""),preDEL!M740)</f>
        <v>0.4779050926</v>
      </c>
      <c r="N740" s="112" t="str">
        <f>IF(preDEL!$AG740,IFERROR(0/0,""),preDEL!N740)</f>
        <v/>
      </c>
      <c r="O740" s="112" t="str">
        <f>IF(preDEL!$AG740,IFERROR(0/0,""),preDEL!O740)</f>
        <v/>
      </c>
      <c r="P740" s="110" t="b">
        <f>IF(preDEL!$AG740,IFERROR(0/0,""),preDEL!P740)</f>
        <v>0</v>
      </c>
      <c r="Q740" s="110" t="str">
        <f>IF(preDEL!$AG740,IFERROR(0/0,""),preDEL!Q740)</f>
        <v>Result</v>
      </c>
      <c r="R740" s="104" t="b">
        <f>IF(preDEL!$AG740,IFERROR(0/0,""),preDEL!R740)</f>
        <v>1</v>
      </c>
      <c r="S740" s="104">
        <f>IF(preDEL!$AG740,IFERROR(0/0,""),preDEL!S740)</f>
        <v>1</v>
      </c>
      <c r="T740" s="110" t="str">
        <f>IF(preDEL!$AG740,IFERROR(0/0,""),preDEL!T740)</f>
        <v/>
      </c>
      <c r="U740" s="112" t="str">
        <f>IF(preDEL!$AG740,IFERROR(0/0,""),preDEL!U740)</f>
        <v/>
      </c>
      <c r="V740" s="105" t="str">
        <f>IF(preDEL!$AG740,IFERROR(0/0,""),preDEL!V740)</f>
        <v/>
      </c>
      <c r="W740" s="112" t="str">
        <f>IF(preDEL!$AG740,IFERROR(0/0,""),preDEL!W740)</f>
        <v/>
      </c>
      <c r="X740" s="104" t="b">
        <f>IF(preDEL!$AG740,IFERROR(0/0,""),preDEL!X740)</f>
        <v>0</v>
      </c>
      <c r="Y740" s="110" t="b">
        <f>IF(preDEL!$AG740,IFERROR(0/0,""),preDEL!Y740)</f>
        <v>0</v>
      </c>
      <c r="Z740" s="105" t="str">
        <f>IF(preDEL!$AG740,IFERROR(0/0,""),preDEL!Z740)</f>
        <v/>
      </c>
      <c r="AA740" s="110" t="b">
        <f>IF(preDEL!$AG740,IFERROR(0/0,""),preDEL!AA740)</f>
        <v>0</v>
      </c>
      <c r="AB740" s="110" t="b">
        <f>IF(preDEL!$AG740,IFERROR(0/0,""),preDEL!AB740)</f>
        <v>0</v>
      </c>
      <c r="AC740" s="172">
        <f>IF(preDEL!$AG740,IFERROR(0/0,""),preDEL!AC740)</f>
        <v>83</v>
      </c>
      <c r="AD740" s="104" t="b">
        <f>IF(preDEL!$AG740,IFERROR(0/0,""),preDEL!AD740)</f>
        <v>0</v>
      </c>
      <c r="AE740" s="173">
        <f>IF(preDEL!$AG740,IFERROR(0/0,""),preDEL!AE740)</f>
        <v>225.1166667</v>
      </c>
      <c r="AF740" s="110" t="b">
        <f>IF(preDEL!$AG740,IFERROR(0/0,""),preDEL!AF740)</f>
        <v>0</v>
      </c>
      <c r="AG740" s="110" t="b">
        <f>IF(preDEL!$AG740,IFERROR(0/0,""),preDEL!AG740)</f>
        <v>0</v>
      </c>
      <c r="AH740" s="104" t="str">
        <f>IF(preDEL!$AG740,IFERROR(0/0,""),preDEL!AH740)</f>
        <v/>
      </c>
      <c r="AI740" s="105" t="str">
        <f>IF(preDEL!$AG740,IFERROR(0/0,""),preDEL!AI740)</f>
        <v/>
      </c>
      <c r="AJ740" s="112" t="str">
        <f>IF(preDEL!$AG740,IFERROR(0/0,""),preDEL!AJ740)</f>
        <v/>
      </c>
      <c r="AK740" s="105" t="str">
        <f>IF(preDEL!$AG740,IFERROR(0/0,""),preDEL!AK740)</f>
        <v>Negative</v>
      </c>
      <c r="AL740" s="112" t="str">
        <f>IF(preDEL!$AG740,IFERROR(0/0,""),preDEL!AL740)</f>
        <v/>
      </c>
      <c r="AM740" s="112" t="str">
        <f>IF(preDEL!$AG740,IFERROR(0/0,""),preDEL!AM740)</f>
        <v>SpBEND842248</v>
      </c>
      <c r="AN740" s="112" t="str">
        <f>IF(preDEL!$AG740,IFERROR(0/0,""),preDEL!AN740)</f>
        <v>BEND296589</v>
      </c>
      <c r="AO740" s="112" t="str">
        <f>IF(preDEL!$AG740,IFERROR(0/0,""),preDEL!AO740)</f>
        <v/>
      </c>
      <c r="AP740" s="112" t="str">
        <f>IF(preDEL!$AG740,IFERROR(0/0,""),preDEL!AP740)</f>
        <v/>
      </c>
      <c r="AQ740" s="112" t="str">
        <f>IF(preDEL!$AG740,IFERROR(0/0,""),preDEL!AQ740)</f>
        <v/>
      </c>
      <c r="AR740" s="112" t="str">
        <f>IF(preDEL!$AG740,IFERROR(0/0,""),preDEL!AR740)</f>
        <v/>
      </c>
      <c r="AS740" s="112" t="str">
        <f>IF(preDEL!$AG740,IFERROR(0/0,""),preDEL!AS740)</f>
        <v/>
      </c>
      <c r="AT740" s="112" t="b">
        <f>IF(preDEL!$AG740,IFERROR(0/0,""),preDEL!AT740)</f>
        <v>0</v>
      </c>
      <c r="AU740" s="112" t="str">
        <f>IF(preDEL!$AG740,IFERROR(0/0,""),preDEL!AU740)</f>
        <v/>
      </c>
      <c r="AV740" s="112" t="str">
        <f>IF(preDEL!$AG740,IFERROR(0/0,""),preDEL!AV740)</f>
        <v/>
      </c>
      <c r="AW740" s="112" t="str">
        <f>IF(preDEL!$AG740,IFERROR(0/0,""),preDEL!AW740)</f>
        <v/>
      </c>
      <c r="AX740" s="112" t="str">
        <f>IF(preDEL!$AG740,IFERROR(0/0,""),preDEL!AX740)</f>
        <v/>
      </c>
      <c r="AY740" s="112" t="str">
        <f>IF(preDEL!$AG740,IFERROR(0/0,""),preDEL!AY740)</f>
        <v/>
      </c>
      <c r="AZ740" s="174"/>
      <c r="BA740" s="174"/>
      <c r="BB740" s="174"/>
      <c r="BC740" s="174"/>
      <c r="BD740" s="174"/>
      <c r="BE740" s="174"/>
      <c r="BF740" s="174"/>
      <c r="BG740" s="174"/>
      <c r="BH740" s="174"/>
      <c r="BI740" s="174"/>
      <c r="BJ740" s="174"/>
      <c r="BK740" s="174"/>
      <c r="BL740" s="174"/>
      <c r="BM740" s="174"/>
      <c r="BN740" s="174"/>
      <c r="BO740" s="174"/>
      <c r="BP740" s="174"/>
      <c r="BQ740" s="174"/>
      <c r="BR740" s="174"/>
      <c r="BS740" s="174"/>
      <c r="BT740" s="174"/>
      <c r="BU740" s="174"/>
      <c r="BV740" s="174"/>
      <c r="BW740" s="174"/>
      <c r="BX740" s="174"/>
      <c r="BY740" s="174"/>
      <c r="BZ740" s="174"/>
      <c r="CA740" s="174"/>
      <c r="CB740" s="174"/>
      <c r="CC740" s="174"/>
      <c r="CD740" s="174"/>
    </row>
    <row r="741">
      <c r="A741" s="105" t="str">
        <f>IF(preDEL!$AG741,IFERROR(0/0,""),preDEL!A741)</f>
        <v>FM43</v>
      </c>
      <c r="B741" s="170">
        <f>IF(preDEL!$AG741,IFERROR(0/0,""),preDEL!B741)</f>
        <v>44627</v>
      </c>
      <c r="C741" s="171">
        <f>IF(preDEL!$AG741,IFERROR(0/0,""),preDEL!C741)</f>
        <v>0.3216087963</v>
      </c>
      <c r="D741" s="105" t="str">
        <f>IF(preDEL!$AG741,IFERROR(0/0,""),preDEL!D741)</f>
        <v/>
      </c>
      <c r="E741" s="105" t="str">
        <f>IF(preDEL!$AG741,IFERROR(0/0,""),preDEL!E741)</f>
        <v/>
      </c>
      <c r="F741" s="112" t="str">
        <f>IF(preDEL!$AG741,IFERROR(0/0,""),preDEL!F741)</f>
        <v/>
      </c>
      <c r="G741" s="112" t="str">
        <f>IF(preDEL!$AG741,IFERROR(0/0,""),preDEL!G741)</f>
        <v/>
      </c>
      <c r="H741" s="112" t="str">
        <f>IF(preDEL!$AG741,IFERROR(0/0,""),preDEL!H741)</f>
        <v/>
      </c>
      <c r="I741" s="105" t="str">
        <f>IF(preDEL!$AG741,IFERROR(0/0,""),preDEL!I741)</f>
        <v/>
      </c>
      <c r="J741" s="105" t="str">
        <f>IF(preDEL!$AG741,IFERROR(0/0,""),preDEL!J741)</f>
        <v/>
      </c>
      <c r="K741" s="105" t="str">
        <f>IF(preDEL!$AG741,IFERROR(0/0,""),preDEL!K741)</f>
        <v>Negative</v>
      </c>
      <c r="L741" s="170">
        <f>IF(preDEL!$AG741,IFERROR(0/0,""),preDEL!L741)</f>
        <v>44627</v>
      </c>
      <c r="M741" s="171">
        <f>IF(preDEL!$AG741,IFERROR(0/0,""),preDEL!M741)</f>
        <v>0.4779050926</v>
      </c>
      <c r="N741" s="112" t="str">
        <f>IF(preDEL!$AG741,IFERROR(0/0,""),preDEL!N741)</f>
        <v/>
      </c>
      <c r="O741" s="112" t="str">
        <f>IF(preDEL!$AG741,IFERROR(0/0,""),preDEL!O741)</f>
        <v/>
      </c>
      <c r="P741" s="110" t="b">
        <f>IF(preDEL!$AG741,IFERROR(0/0,""),preDEL!P741)</f>
        <v>0</v>
      </c>
      <c r="Q741" s="110" t="str">
        <f>IF(preDEL!$AG741,IFERROR(0/0,""),preDEL!Q741)</f>
        <v>Result</v>
      </c>
      <c r="R741" s="104" t="b">
        <f>IF(preDEL!$AG741,IFERROR(0/0,""),preDEL!R741)</f>
        <v>1</v>
      </c>
      <c r="S741" s="104">
        <f>IF(preDEL!$AG741,IFERROR(0/0,""),preDEL!S741)</f>
        <v>1</v>
      </c>
      <c r="T741" s="110" t="str">
        <f>IF(preDEL!$AG741,IFERROR(0/0,""),preDEL!T741)</f>
        <v/>
      </c>
      <c r="U741" s="112" t="str">
        <f>IF(preDEL!$AG741,IFERROR(0/0,""),preDEL!U741)</f>
        <v/>
      </c>
      <c r="V741" s="105" t="str">
        <f>IF(preDEL!$AG741,IFERROR(0/0,""),preDEL!V741)</f>
        <v/>
      </c>
      <c r="W741" s="112" t="str">
        <f>IF(preDEL!$AG741,IFERROR(0/0,""),preDEL!W741)</f>
        <v/>
      </c>
      <c r="X741" s="104" t="b">
        <f>IF(preDEL!$AG741,IFERROR(0/0,""),preDEL!X741)</f>
        <v>0</v>
      </c>
      <c r="Y741" s="110" t="b">
        <f>IF(preDEL!$AG741,IFERROR(0/0,""),preDEL!Y741)</f>
        <v>0</v>
      </c>
      <c r="Z741" s="105" t="str">
        <f>IF(preDEL!$AG741,IFERROR(0/0,""),preDEL!Z741)</f>
        <v/>
      </c>
      <c r="AA741" s="110" t="b">
        <f>IF(preDEL!$AG741,IFERROR(0/0,""),preDEL!AA741)</f>
        <v>0</v>
      </c>
      <c r="AB741" s="110" t="b">
        <f>IF(preDEL!$AG741,IFERROR(0/0,""),preDEL!AB741)</f>
        <v>0</v>
      </c>
      <c r="AC741" s="172">
        <f>IF(preDEL!$AG741,IFERROR(0/0,""),preDEL!AC741)</f>
        <v>82</v>
      </c>
      <c r="AD741" s="104" t="b">
        <f>IF(preDEL!$AG741,IFERROR(0/0,""),preDEL!AD741)</f>
        <v>0</v>
      </c>
      <c r="AE741" s="173">
        <f>IF(preDEL!$AG741,IFERROR(0/0,""),preDEL!AE741)</f>
        <v>225.0666667</v>
      </c>
      <c r="AF741" s="110" t="b">
        <f>IF(preDEL!$AG741,IFERROR(0/0,""),preDEL!AF741)</f>
        <v>0</v>
      </c>
      <c r="AG741" s="110" t="b">
        <f>IF(preDEL!$AG741,IFERROR(0/0,""),preDEL!AG741)</f>
        <v>0</v>
      </c>
      <c r="AH741" s="104" t="str">
        <f>IF(preDEL!$AG741,IFERROR(0/0,""),preDEL!AH741)</f>
        <v/>
      </c>
      <c r="AI741" s="105" t="str">
        <f>IF(preDEL!$AG741,IFERROR(0/0,""),preDEL!AI741)</f>
        <v/>
      </c>
      <c r="AJ741" s="112" t="str">
        <f>IF(preDEL!$AG741,IFERROR(0/0,""),preDEL!AJ741)</f>
        <v/>
      </c>
      <c r="AK741" s="105" t="str">
        <f>IF(preDEL!$AG741,IFERROR(0/0,""),preDEL!AK741)</f>
        <v>Negative</v>
      </c>
      <c r="AL741" s="112" t="str">
        <f>IF(preDEL!$AG741,IFERROR(0/0,""),preDEL!AL741)</f>
        <v/>
      </c>
      <c r="AM741" s="112" t="str">
        <f>IF(preDEL!$AG741,IFERROR(0/0,""),preDEL!AM741)</f>
        <v>SpBEND481988</v>
      </c>
      <c r="AN741" s="112" t="str">
        <f>IF(preDEL!$AG741,IFERROR(0/0,""),preDEL!AN741)</f>
        <v>BEND223874</v>
      </c>
      <c r="AO741" s="112" t="str">
        <f>IF(preDEL!$AG741,IFERROR(0/0,""),preDEL!AO741)</f>
        <v/>
      </c>
      <c r="AP741" s="112" t="str">
        <f>IF(preDEL!$AG741,IFERROR(0/0,""),preDEL!AP741)</f>
        <v/>
      </c>
      <c r="AQ741" s="112" t="str">
        <f>IF(preDEL!$AG741,IFERROR(0/0,""),preDEL!AQ741)</f>
        <v/>
      </c>
      <c r="AR741" s="112" t="str">
        <f>IF(preDEL!$AG741,IFERROR(0/0,""),preDEL!AR741)</f>
        <v/>
      </c>
      <c r="AS741" s="112" t="str">
        <f>IF(preDEL!$AG741,IFERROR(0/0,""),preDEL!AS741)</f>
        <v/>
      </c>
      <c r="AT741" s="112" t="b">
        <f>IF(preDEL!$AG741,IFERROR(0/0,""),preDEL!AT741)</f>
        <v>0</v>
      </c>
      <c r="AU741" s="112" t="str">
        <f>IF(preDEL!$AG741,IFERROR(0/0,""),preDEL!AU741)</f>
        <v/>
      </c>
      <c r="AV741" s="112" t="str">
        <f>IF(preDEL!$AG741,IFERROR(0/0,""),preDEL!AV741)</f>
        <v/>
      </c>
      <c r="AW741" s="112" t="str">
        <f>IF(preDEL!$AG741,IFERROR(0/0,""),preDEL!AW741)</f>
        <v/>
      </c>
      <c r="AX741" s="112" t="str">
        <f>IF(preDEL!$AG741,IFERROR(0/0,""),preDEL!AX741)</f>
        <v/>
      </c>
      <c r="AY741" s="112" t="str">
        <f>IF(preDEL!$AG741,IFERROR(0/0,""),preDEL!AY741)</f>
        <v/>
      </c>
      <c r="AZ741" s="174"/>
      <c r="BA741" s="174"/>
      <c r="BB741" s="174"/>
      <c r="BC741" s="174"/>
      <c r="BD741" s="174"/>
      <c r="BE741" s="174"/>
      <c r="BF741" s="174"/>
      <c r="BG741" s="174"/>
      <c r="BH741" s="174"/>
      <c r="BI741" s="174"/>
      <c r="BJ741" s="174"/>
      <c r="BK741" s="174"/>
      <c r="BL741" s="174"/>
      <c r="BM741" s="174"/>
      <c r="BN741" s="174"/>
      <c r="BO741" s="174"/>
      <c r="BP741" s="174"/>
      <c r="BQ741" s="174"/>
      <c r="BR741" s="174"/>
      <c r="BS741" s="174"/>
      <c r="BT741" s="174"/>
      <c r="BU741" s="174"/>
      <c r="BV741" s="174"/>
      <c r="BW741" s="174"/>
      <c r="BX741" s="174"/>
      <c r="BY741" s="174"/>
      <c r="BZ741" s="174"/>
      <c r="CA741" s="174"/>
      <c r="CB741" s="174"/>
      <c r="CC741" s="174"/>
      <c r="CD741" s="174"/>
    </row>
    <row r="742">
      <c r="A742" s="105" t="str">
        <f>IF(preDEL!$AG742,IFERROR(0/0,""),preDEL!A742)</f>
        <v>FM521</v>
      </c>
      <c r="B742" s="170">
        <f>IF(preDEL!$AG742,IFERROR(0/0,""),preDEL!B742)</f>
        <v>44627</v>
      </c>
      <c r="C742" s="171">
        <f>IF(preDEL!$AG742,IFERROR(0/0,""),preDEL!C742)</f>
        <v>0.3231018519</v>
      </c>
      <c r="D742" s="105" t="str">
        <f>IF(preDEL!$AG742,IFERROR(0/0,""),preDEL!D742)</f>
        <v/>
      </c>
      <c r="E742" s="105" t="str">
        <f>IF(preDEL!$AG742,IFERROR(0/0,""),preDEL!E742)</f>
        <v/>
      </c>
      <c r="F742" s="112" t="str">
        <f>IF(preDEL!$AG742,IFERROR(0/0,""),preDEL!F742)</f>
        <v/>
      </c>
      <c r="G742" s="112" t="str">
        <f>IF(preDEL!$AG742,IFERROR(0/0,""),preDEL!G742)</f>
        <v/>
      </c>
      <c r="H742" s="112" t="str">
        <f>IF(preDEL!$AG742,IFERROR(0/0,""),preDEL!H742)</f>
        <v/>
      </c>
      <c r="I742" s="105" t="str">
        <f>IF(preDEL!$AG742,IFERROR(0/0,""),preDEL!I742)</f>
        <v/>
      </c>
      <c r="J742" s="105" t="str">
        <f>IF(preDEL!$AG742,IFERROR(0/0,""),preDEL!J742)</f>
        <v/>
      </c>
      <c r="K742" s="105" t="str">
        <f>IF(preDEL!$AG742,IFERROR(0/0,""),preDEL!K742)</f>
        <v>Negative</v>
      </c>
      <c r="L742" s="170">
        <f>IF(preDEL!$AG742,IFERROR(0/0,""),preDEL!L742)</f>
        <v>44627</v>
      </c>
      <c r="M742" s="171">
        <f>IF(preDEL!$AG742,IFERROR(0/0,""),preDEL!M742)</f>
        <v>0.4779050926</v>
      </c>
      <c r="N742" s="112" t="str">
        <f>IF(preDEL!$AG742,IFERROR(0/0,""),preDEL!N742)</f>
        <v/>
      </c>
      <c r="O742" s="112" t="str">
        <f>IF(preDEL!$AG742,IFERROR(0/0,""),preDEL!O742)</f>
        <v/>
      </c>
      <c r="P742" s="110" t="b">
        <f>IF(preDEL!$AG742,IFERROR(0/0,""),preDEL!P742)</f>
        <v>0</v>
      </c>
      <c r="Q742" s="110" t="str">
        <f>IF(preDEL!$AG742,IFERROR(0/0,""),preDEL!Q742)</f>
        <v>Result</v>
      </c>
      <c r="R742" s="104" t="b">
        <f>IF(preDEL!$AG742,IFERROR(0/0,""),preDEL!R742)</f>
        <v>1</v>
      </c>
      <c r="S742" s="104">
        <f>IF(preDEL!$AG742,IFERROR(0/0,""),preDEL!S742)</f>
        <v>1</v>
      </c>
      <c r="T742" s="110" t="str">
        <f>IF(preDEL!$AG742,IFERROR(0/0,""),preDEL!T742)</f>
        <v/>
      </c>
      <c r="U742" s="112" t="str">
        <f>IF(preDEL!$AG742,IFERROR(0/0,""),preDEL!U742)</f>
        <v/>
      </c>
      <c r="V742" s="105" t="str">
        <f>IF(preDEL!$AG742,IFERROR(0/0,""),preDEL!V742)</f>
        <v/>
      </c>
      <c r="W742" s="112" t="str">
        <f>IF(preDEL!$AG742,IFERROR(0/0,""),preDEL!W742)</f>
        <v/>
      </c>
      <c r="X742" s="104" t="b">
        <f>IF(preDEL!$AG742,IFERROR(0/0,""),preDEL!X742)</f>
        <v>0</v>
      </c>
      <c r="Y742" s="110" t="b">
        <f>IF(preDEL!$AG742,IFERROR(0/0,""),preDEL!Y742)</f>
        <v>0</v>
      </c>
      <c r="Z742" s="105" t="str">
        <f>IF(preDEL!$AG742,IFERROR(0/0,""),preDEL!Z742)</f>
        <v/>
      </c>
      <c r="AA742" s="110" t="b">
        <f>IF(preDEL!$AG742,IFERROR(0/0,""),preDEL!AA742)</f>
        <v>0</v>
      </c>
      <c r="AB742" s="110" t="b">
        <f>IF(preDEL!$AG742,IFERROR(0/0,""),preDEL!AB742)</f>
        <v>0</v>
      </c>
      <c r="AC742" s="172">
        <f>IF(preDEL!$AG742,IFERROR(0/0,""),preDEL!AC742)</f>
        <v>81</v>
      </c>
      <c r="AD742" s="104" t="b">
        <f>IF(preDEL!$AG742,IFERROR(0/0,""),preDEL!AD742)</f>
        <v>0</v>
      </c>
      <c r="AE742" s="173">
        <f>IF(preDEL!$AG742,IFERROR(0/0,""),preDEL!AE742)</f>
        <v>222.9166667</v>
      </c>
      <c r="AF742" s="110" t="b">
        <f>IF(preDEL!$AG742,IFERROR(0/0,""),preDEL!AF742)</f>
        <v>0</v>
      </c>
      <c r="AG742" s="110" t="b">
        <f>IF(preDEL!$AG742,IFERROR(0/0,""),preDEL!AG742)</f>
        <v>0</v>
      </c>
      <c r="AH742" s="104" t="str">
        <f>IF(preDEL!$AG742,IFERROR(0/0,""),preDEL!AH742)</f>
        <v/>
      </c>
      <c r="AI742" s="105" t="str">
        <f>IF(preDEL!$AG742,IFERROR(0/0,""),preDEL!AI742)</f>
        <v/>
      </c>
      <c r="AJ742" s="112" t="str">
        <f>IF(preDEL!$AG742,IFERROR(0/0,""),preDEL!AJ742)</f>
        <v/>
      </c>
      <c r="AK742" s="105" t="str">
        <f>IF(preDEL!$AG742,IFERROR(0/0,""),preDEL!AK742)</f>
        <v>Negative</v>
      </c>
      <c r="AL742" s="112" t="str">
        <f>IF(preDEL!$AG742,IFERROR(0/0,""),preDEL!AL742)</f>
        <v/>
      </c>
      <c r="AM742" s="112" t="str">
        <f>IF(preDEL!$AG742,IFERROR(0/0,""),preDEL!AM742)</f>
        <v>SpBEND387532</v>
      </c>
      <c r="AN742" s="112" t="str">
        <f>IF(preDEL!$AG742,IFERROR(0/0,""),preDEL!AN742)</f>
        <v>BEND796718</v>
      </c>
      <c r="AO742" s="112" t="str">
        <f>IF(preDEL!$AG742,IFERROR(0/0,""),preDEL!AO742)</f>
        <v/>
      </c>
      <c r="AP742" s="112" t="str">
        <f>IF(preDEL!$AG742,IFERROR(0/0,""),preDEL!AP742)</f>
        <v/>
      </c>
      <c r="AQ742" s="112" t="str">
        <f>IF(preDEL!$AG742,IFERROR(0/0,""),preDEL!AQ742)</f>
        <v/>
      </c>
      <c r="AR742" s="112" t="str">
        <f>IF(preDEL!$AG742,IFERROR(0/0,""),preDEL!AR742)</f>
        <v/>
      </c>
      <c r="AS742" s="112" t="str">
        <f>IF(preDEL!$AG742,IFERROR(0/0,""),preDEL!AS742)</f>
        <v/>
      </c>
      <c r="AT742" s="112" t="b">
        <f>IF(preDEL!$AG742,IFERROR(0/0,""),preDEL!AT742)</f>
        <v>0</v>
      </c>
      <c r="AU742" s="112" t="str">
        <f>IF(preDEL!$AG742,IFERROR(0/0,""),preDEL!AU742)</f>
        <v/>
      </c>
      <c r="AV742" s="112" t="str">
        <f>IF(preDEL!$AG742,IFERROR(0/0,""),preDEL!AV742)</f>
        <v/>
      </c>
      <c r="AW742" s="112" t="str">
        <f>IF(preDEL!$AG742,IFERROR(0/0,""),preDEL!AW742)</f>
        <v/>
      </c>
      <c r="AX742" s="112" t="str">
        <f>IF(preDEL!$AG742,IFERROR(0/0,""),preDEL!AX742)</f>
        <v/>
      </c>
      <c r="AY742" s="112" t="str">
        <f>IF(preDEL!$AG742,IFERROR(0/0,""),preDEL!AY742)</f>
        <v/>
      </c>
      <c r="AZ742" s="174"/>
      <c r="BA742" s="174"/>
      <c r="BB742" s="174"/>
      <c r="BC742" s="174"/>
      <c r="BD742" s="174"/>
      <c r="BE742" s="174"/>
      <c r="BF742" s="174"/>
      <c r="BG742" s="174"/>
      <c r="BH742" s="174"/>
      <c r="BI742" s="174"/>
      <c r="BJ742" s="174"/>
      <c r="BK742" s="174"/>
      <c r="BL742" s="174"/>
      <c r="BM742" s="174"/>
      <c r="BN742" s="174"/>
      <c r="BO742" s="174"/>
      <c r="BP742" s="174"/>
      <c r="BQ742" s="174"/>
      <c r="BR742" s="174"/>
      <c r="BS742" s="174"/>
      <c r="BT742" s="174"/>
      <c r="BU742" s="174"/>
      <c r="BV742" s="174"/>
      <c r="BW742" s="174"/>
      <c r="BX742" s="174"/>
      <c r="BY742" s="174"/>
      <c r="BZ742" s="174"/>
      <c r="CA742" s="174"/>
      <c r="CB742" s="174"/>
      <c r="CC742" s="174"/>
      <c r="CD742" s="174"/>
    </row>
    <row r="743">
      <c r="A743" s="105" t="str">
        <f>IF(preDEL!$AG743,IFERROR(0/0,""),preDEL!A743)</f>
        <v>FM1007</v>
      </c>
      <c r="B743" s="170">
        <f>IF(preDEL!$AG743,IFERROR(0/0,""),preDEL!B743)</f>
        <v>44627</v>
      </c>
      <c r="C743" s="171">
        <f>IF(preDEL!$AG743,IFERROR(0/0,""),preDEL!C743)</f>
        <v>0.3245023148</v>
      </c>
      <c r="D743" s="105" t="str">
        <f>IF(preDEL!$AG743,IFERROR(0/0,""),preDEL!D743)</f>
        <v/>
      </c>
      <c r="E743" s="105" t="str">
        <f>IF(preDEL!$AG743,IFERROR(0/0,""),preDEL!E743)</f>
        <v/>
      </c>
      <c r="F743" s="112" t="str">
        <f>IF(preDEL!$AG743,IFERROR(0/0,""),preDEL!F743)</f>
        <v/>
      </c>
      <c r="G743" s="112" t="str">
        <f>IF(preDEL!$AG743,IFERROR(0/0,""),preDEL!G743)</f>
        <v/>
      </c>
      <c r="H743" s="112" t="str">
        <f>IF(preDEL!$AG743,IFERROR(0/0,""),preDEL!H743)</f>
        <v/>
      </c>
      <c r="I743" s="105" t="str">
        <f>IF(preDEL!$AG743,IFERROR(0/0,""),preDEL!I743)</f>
        <v/>
      </c>
      <c r="J743" s="105" t="str">
        <f>IF(preDEL!$AG743,IFERROR(0/0,""),preDEL!J743)</f>
        <v/>
      </c>
      <c r="K743" s="105" t="str">
        <f>IF(preDEL!$AG743,IFERROR(0/0,""),preDEL!K743)</f>
        <v>Negative</v>
      </c>
      <c r="L743" s="170">
        <f>IF(preDEL!$AG743,IFERROR(0/0,""),preDEL!L743)</f>
        <v>44627</v>
      </c>
      <c r="M743" s="171">
        <f>IF(preDEL!$AG743,IFERROR(0/0,""),preDEL!M743)</f>
        <v>0.4779050926</v>
      </c>
      <c r="N743" s="112" t="str">
        <f>IF(preDEL!$AG743,IFERROR(0/0,""),preDEL!N743)</f>
        <v/>
      </c>
      <c r="O743" s="112" t="str">
        <f>IF(preDEL!$AG743,IFERROR(0/0,""),preDEL!O743)</f>
        <v/>
      </c>
      <c r="P743" s="110" t="b">
        <f>IF(preDEL!$AG743,IFERROR(0/0,""),preDEL!P743)</f>
        <v>0</v>
      </c>
      <c r="Q743" s="110" t="str">
        <f>IF(preDEL!$AG743,IFERROR(0/0,""),preDEL!Q743)</f>
        <v>Result</v>
      </c>
      <c r="R743" s="104" t="b">
        <f>IF(preDEL!$AG743,IFERROR(0/0,""),preDEL!R743)</f>
        <v>1</v>
      </c>
      <c r="S743" s="104">
        <f>IF(preDEL!$AG743,IFERROR(0/0,""),preDEL!S743)</f>
        <v>1</v>
      </c>
      <c r="T743" s="110" t="str">
        <f>IF(preDEL!$AG743,IFERROR(0/0,""),preDEL!T743)</f>
        <v/>
      </c>
      <c r="U743" s="112" t="str">
        <f>IF(preDEL!$AG743,IFERROR(0/0,""),preDEL!U743)</f>
        <v/>
      </c>
      <c r="V743" s="105" t="str">
        <f>IF(preDEL!$AG743,IFERROR(0/0,""),preDEL!V743)</f>
        <v/>
      </c>
      <c r="W743" s="112" t="str">
        <f>IF(preDEL!$AG743,IFERROR(0/0,""),preDEL!W743)</f>
        <v/>
      </c>
      <c r="X743" s="104" t="b">
        <f>IF(preDEL!$AG743,IFERROR(0/0,""),preDEL!X743)</f>
        <v>0</v>
      </c>
      <c r="Y743" s="110" t="b">
        <f>IF(preDEL!$AG743,IFERROR(0/0,""),preDEL!Y743)</f>
        <v>0</v>
      </c>
      <c r="Z743" s="105" t="str">
        <f>IF(preDEL!$AG743,IFERROR(0/0,""),preDEL!Z743)</f>
        <v/>
      </c>
      <c r="AA743" s="110" t="b">
        <f>IF(preDEL!$AG743,IFERROR(0/0,""),preDEL!AA743)</f>
        <v>0</v>
      </c>
      <c r="AB743" s="110" t="b">
        <f>IF(preDEL!$AG743,IFERROR(0/0,""),preDEL!AB743)</f>
        <v>0</v>
      </c>
      <c r="AC743" s="172">
        <f>IF(preDEL!$AG743,IFERROR(0/0,""),preDEL!AC743)</f>
        <v>80</v>
      </c>
      <c r="AD743" s="104" t="b">
        <f>IF(preDEL!$AG743,IFERROR(0/0,""),preDEL!AD743)</f>
        <v>0</v>
      </c>
      <c r="AE743" s="173">
        <f>IF(preDEL!$AG743,IFERROR(0/0,""),preDEL!AE743)</f>
        <v>220.9</v>
      </c>
      <c r="AF743" s="110" t="b">
        <f>IF(preDEL!$AG743,IFERROR(0/0,""),preDEL!AF743)</f>
        <v>0</v>
      </c>
      <c r="AG743" s="110" t="b">
        <f>IF(preDEL!$AG743,IFERROR(0/0,""),preDEL!AG743)</f>
        <v>0</v>
      </c>
      <c r="AH743" s="104" t="str">
        <f>IF(preDEL!$AG743,IFERROR(0/0,""),preDEL!AH743)</f>
        <v/>
      </c>
      <c r="AI743" s="105" t="str">
        <f>IF(preDEL!$AG743,IFERROR(0/0,""),preDEL!AI743)</f>
        <v/>
      </c>
      <c r="AJ743" s="112" t="str">
        <f>IF(preDEL!$AG743,IFERROR(0/0,""),preDEL!AJ743)</f>
        <v/>
      </c>
      <c r="AK743" s="105" t="str">
        <f>IF(preDEL!$AG743,IFERROR(0/0,""),preDEL!AK743)</f>
        <v>Negative</v>
      </c>
      <c r="AL743" s="112" t="str">
        <f>IF(preDEL!$AG743,IFERROR(0/0,""),preDEL!AL743)</f>
        <v/>
      </c>
      <c r="AM743" s="112" t="str">
        <f>IF(preDEL!$AG743,IFERROR(0/0,""),preDEL!AM743)</f>
        <v>SpBEND328905</v>
      </c>
      <c r="AN743" s="112" t="str">
        <f>IF(preDEL!$AG743,IFERROR(0/0,""),preDEL!AN743)</f>
        <v>BEND972161</v>
      </c>
      <c r="AO743" s="112" t="str">
        <f>IF(preDEL!$AG743,IFERROR(0/0,""),preDEL!AO743)</f>
        <v/>
      </c>
      <c r="AP743" s="112" t="str">
        <f>IF(preDEL!$AG743,IFERROR(0/0,""),preDEL!AP743)</f>
        <v/>
      </c>
      <c r="AQ743" s="112" t="str">
        <f>IF(preDEL!$AG743,IFERROR(0/0,""),preDEL!AQ743)</f>
        <v/>
      </c>
      <c r="AR743" s="112" t="str">
        <f>IF(preDEL!$AG743,IFERROR(0/0,""),preDEL!AR743)</f>
        <v/>
      </c>
      <c r="AS743" s="112" t="str">
        <f>IF(preDEL!$AG743,IFERROR(0/0,""),preDEL!AS743)</f>
        <v/>
      </c>
      <c r="AT743" s="112" t="b">
        <f>IF(preDEL!$AG743,IFERROR(0/0,""),preDEL!AT743)</f>
        <v>0</v>
      </c>
      <c r="AU743" s="112" t="str">
        <f>IF(preDEL!$AG743,IFERROR(0/0,""),preDEL!AU743)</f>
        <v/>
      </c>
      <c r="AV743" s="112" t="str">
        <f>IF(preDEL!$AG743,IFERROR(0/0,""),preDEL!AV743)</f>
        <v/>
      </c>
      <c r="AW743" s="112" t="str">
        <f>IF(preDEL!$AG743,IFERROR(0/0,""),preDEL!AW743)</f>
        <v/>
      </c>
      <c r="AX743" s="112" t="str">
        <f>IF(preDEL!$AG743,IFERROR(0/0,""),preDEL!AX743)</f>
        <v/>
      </c>
      <c r="AY743" s="112" t="str">
        <f>IF(preDEL!$AG743,IFERROR(0/0,""),preDEL!AY743)</f>
        <v/>
      </c>
      <c r="AZ743" s="174"/>
      <c r="BA743" s="174"/>
      <c r="BB743" s="174"/>
      <c r="BC743" s="174"/>
      <c r="BD743" s="174"/>
      <c r="BE743" s="174"/>
      <c r="BF743" s="174"/>
      <c r="BG743" s="174"/>
      <c r="BH743" s="174"/>
      <c r="BI743" s="174"/>
      <c r="BJ743" s="174"/>
      <c r="BK743" s="174"/>
      <c r="BL743" s="174"/>
      <c r="BM743" s="174"/>
      <c r="BN743" s="174"/>
      <c r="BO743" s="174"/>
      <c r="BP743" s="174"/>
      <c r="BQ743" s="174"/>
      <c r="BR743" s="174"/>
      <c r="BS743" s="174"/>
      <c r="BT743" s="174"/>
      <c r="BU743" s="174"/>
      <c r="BV743" s="174"/>
      <c r="BW743" s="174"/>
      <c r="BX743" s="174"/>
      <c r="BY743" s="174"/>
      <c r="BZ743" s="174"/>
      <c r="CA743" s="174"/>
      <c r="CB743" s="174"/>
      <c r="CC743" s="174"/>
      <c r="CD743" s="174"/>
    </row>
    <row r="744">
      <c r="A744" s="105" t="str">
        <f>IF(preDEL!$AG744,IFERROR(0/0,""),preDEL!A744)</f>
        <v>FM93</v>
      </c>
      <c r="B744" s="170">
        <f>IF(preDEL!$AG744,IFERROR(0/0,""),preDEL!B744)</f>
        <v>44627</v>
      </c>
      <c r="C744" s="171">
        <f>IF(preDEL!$AG744,IFERROR(0/0,""),preDEL!C744)</f>
        <v>0.3253125</v>
      </c>
      <c r="D744" s="105" t="str">
        <f>IF(preDEL!$AG744,IFERROR(0/0,""),preDEL!D744)</f>
        <v/>
      </c>
      <c r="E744" s="105" t="str">
        <f>IF(preDEL!$AG744,IFERROR(0/0,""),preDEL!E744)</f>
        <v/>
      </c>
      <c r="F744" s="112" t="str">
        <f>IF(preDEL!$AG744,IFERROR(0/0,""),preDEL!F744)</f>
        <v/>
      </c>
      <c r="G744" s="112" t="str">
        <f>IF(preDEL!$AG744,IFERROR(0/0,""),preDEL!G744)</f>
        <v/>
      </c>
      <c r="H744" s="112" t="str">
        <f>IF(preDEL!$AG744,IFERROR(0/0,""),preDEL!H744)</f>
        <v/>
      </c>
      <c r="I744" s="105" t="str">
        <f>IF(preDEL!$AG744,IFERROR(0/0,""),preDEL!I744)</f>
        <v/>
      </c>
      <c r="J744" s="105" t="str">
        <f>IF(preDEL!$AG744,IFERROR(0/0,""),preDEL!J744)</f>
        <v/>
      </c>
      <c r="K744" s="105" t="str">
        <f>IF(preDEL!$AG744,IFERROR(0/0,""),preDEL!K744)</f>
        <v>Negative</v>
      </c>
      <c r="L744" s="170">
        <f>IF(preDEL!$AG744,IFERROR(0/0,""),preDEL!L744)</f>
        <v>44627</v>
      </c>
      <c r="M744" s="171">
        <f>IF(preDEL!$AG744,IFERROR(0/0,""),preDEL!M744)</f>
        <v>0.4779050926</v>
      </c>
      <c r="N744" s="112" t="str">
        <f>IF(preDEL!$AG744,IFERROR(0/0,""),preDEL!N744)</f>
        <v/>
      </c>
      <c r="O744" s="112" t="str">
        <f>IF(preDEL!$AG744,IFERROR(0/0,""),preDEL!O744)</f>
        <v/>
      </c>
      <c r="P744" s="110" t="b">
        <f>IF(preDEL!$AG744,IFERROR(0/0,""),preDEL!P744)</f>
        <v>0</v>
      </c>
      <c r="Q744" s="110" t="str">
        <f>IF(preDEL!$AG744,IFERROR(0/0,""),preDEL!Q744)</f>
        <v>Result</v>
      </c>
      <c r="R744" s="104" t="b">
        <f>IF(preDEL!$AG744,IFERROR(0/0,""),preDEL!R744)</f>
        <v>1</v>
      </c>
      <c r="S744" s="104">
        <f>IF(preDEL!$AG744,IFERROR(0/0,""),preDEL!S744)</f>
        <v>1</v>
      </c>
      <c r="T744" s="110" t="str">
        <f>IF(preDEL!$AG744,IFERROR(0/0,""),preDEL!T744)</f>
        <v/>
      </c>
      <c r="U744" s="112" t="str">
        <f>IF(preDEL!$AG744,IFERROR(0/0,""),preDEL!U744)</f>
        <v/>
      </c>
      <c r="V744" s="105" t="str">
        <f>IF(preDEL!$AG744,IFERROR(0/0,""),preDEL!V744)</f>
        <v/>
      </c>
      <c r="W744" s="112" t="str">
        <f>IF(preDEL!$AG744,IFERROR(0/0,""),preDEL!W744)</f>
        <v/>
      </c>
      <c r="X744" s="104" t="b">
        <f>IF(preDEL!$AG744,IFERROR(0/0,""),preDEL!X744)</f>
        <v>0</v>
      </c>
      <c r="Y744" s="110" t="b">
        <f>IF(preDEL!$AG744,IFERROR(0/0,""),preDEL!Y744)</f>
        <v>0</v>
      </c>
      <c r="Z744" s="105" t="str">
        <f>IF(preDEL!$AG744,IFERROR(0/0,""),preDEL!Z744)</f>
        <v/>
      </c>
      <c r="AA744" s="110" t="b">
        <f>IF(preDEL!$AG744,IFERROR(0/0,""),preDEL!AA744)</f>
        <v>0</v>
      </c>
      <c r="AB744" s="110" t="b">
        <f>IF(preDEL!$AG744,IFERROR(0/0,""),preDEL!AB744)</f>
        <v>0</v>
      </c>
      <c r="AC744" s="172">
        <f>IF(preDEL!$AG744,IFERROR(0/0,""),preDEL!AC744)</f>
        <v>79</v>
      </c>
      <c r="AD744" s="104" t="b">
        <f>IF(preDEL!$AG744,IFERROR(0/0,""),preDEL!AD744)</f>
        <v>0</v>
      </c>
      <c r="AE744" s="173">
        <f>IF(preDEL!$AG744,IFERROR(0/0,""),preDEL!AE744)</f>
        <v>219.7333333</v>
      </c>
      <c r="AF744" s="110" t="b">
        <f>IF(preDEL!$AG744,IFERROR(0/0,""),preDEL!AF744)</f>
        <v>0</v>
      </c>
      <c r="AG744" s="110" t="b">
        <f>IF(preDEL!$AG744,IFERROR(0/0,""),preDEL!AG744)</f>
        <v>0</v>
      </c>
      <c r="AH744" s="104" t="str">
        <f>IF(preDEL!$AG744,IFERROR(0/0,""),preDEL!AH744)</f>
        <v/>
      </c>
      <c r="AI744" s="105" t="str">
        <f>IF(preDEL!$AG744,IFERROR(0/0,""),preDEL!AI744)</f>
        <v/>
      </c>
      <c r="AJ744" s="112" t="str">
        <f>IF(preDEL!$AG744,IFERROR(0/0,""),preDEL!AJ744)</f>
        <v/>
      </c>
      <c r="AK744" s="105" t="str">
        <f>IF(preDEL!$AG744,IFERROR(0/0,""),preDEL!AK744)</f>
        <v>Negative</v>
      </c>
      <c r="AL744" s="112" t="str">
        <f>IF(preDEL!$AG744,IFERROR(0/0,""),preDEL!AL744)</f>
        <v/>
      </c>
      <c r="AM744" s="112" t="str">
        <f>IF(preDEL!$AG744,IFERROR(0/0,""),preDEL!AM744)</f>
        <v>SpBEND643855</v>
      </c>
      <c r="AN744" s="112" t="str">
        <f>IF(preDEL!$AG744,IFERROR(0/0,""),preDEL!AN744)</f>
        <v>BEND364074</v>
      </c>
      <c r="AO744" s="112" t="str">
        <f>IF(preDEL!$AG744,IFERROR(0/0,""),preDEL!AO744)</f>
        <v/>
      </c>
      <c r="AP744" s="112" t="str">
        <f>IF(preDEL!$AG744,IFERROR(0/0,""),preDEL!AP744)</f>
        <v/>
      </c>
      <c r="AQ744" s="112" t="str">
        <f>IF(preDEL!$AG744,IFERROR(0/0,""),preDEL!AQ744)</f>
        <v/>
      </c>
      <c r="AR744" s="112" t="str">
        <f>IF(preDEL!$AG744,IFERROR(0/0,""),preDEL!AR744)</f>
        <v/>
      </c>
      <c r="AS744" s="112" t="str">
        <f>IF(preDEL!$AG744,IFERROR(0/0,""),preDEL!AS744)</f>
        <v/>
      </c>
      <c r="AT744" s="112" t="b">
        <f>IF(preDEL!$AG744,IFERROR(0/0,""),preDEL!AT744)</f>
        <v>0</v>
      </c>
      <c r="AU744" s="112" t="str">
        <f>IF(preDEL!$AG744,IFERROR(0/0,""),preDEL!AU744)</f>
        <v/>
      </c>
      <c r="AV744" s="112" t="str">
        <f>IF(preDEL!$AG744,IFERROR(0/0,""),preDEL!AV744)</f>
        <v/>
      </c>
      <c r="AW744" s="112" t="str">
        <f>IF(preDEL!$AG744,IFERROR(0/0,""),preDEL!AW744)</f>
        <v/>
      </c>
      <c r="AX744" s="112" t="str">
        <f>IF(preDEL!$AG744,IFERROR(0/0,""),preDEL!AX744)</f>
        <v/>
      </c>
      <c r="AY744" s="112" t="str">
        <f>IF(preDEL!$AG744,IFERROR(0/0,""),preDEL!AY744)</f>
        <v/>
      </c>
      <c r="AZ744" s="174"/>
      <c r="BA744" s="174"/>
      <c r="BB744" s="174"/>
      <c r="BC744" s="174"/>
      <c r="BD744" s="174"/>
      <c r="BE744" s="174"/>
      <c r="BF744" s="174"/>
      <c r="BG744" s="174"/>
      <c r="BH744" s="174"/>
      <c r="BI744" s="174"/>
      <c r="BJ744" s="174"/>
      <c r="BK744" s="174"/>
      <c r="BL744" s="174"/>
      <c r="BM744" s="174"/>
      <c r="BN744" s="174"/>
      <c r="BO744" s="174"/>
      <c r="BP744" s="174"/>
      <c r="BQ744" s="174"/>
      <c r="BR744" s="174"/>
      <c r="BS744" s="174"/>
      <c r="BT744" s="174"/>
      <c r="BU744" s="174"/>
      <c r="BV744" s="174"/>
      <c r="BW744" s="174"/>
      <c r="BX744" s="174"/>
      <c r="BY744" s="174"/>
      <c r="BZ744" s="174"/>
      <c r="CA744" s="174"/>
      <c r="CB744" s="174"/>
      <c r="CC744" s="174"/>
      <c r="CD744" s="174"/>
    </row>
    <row r="745">
      <c r="A745" s="105" t="str">
        <f>IF(preDEL!$AG745,IFERROR(0/0,""),preDEL!A745)</f>
        <v>FM448</v>
      </c>
      <c r="B745" s="170">
        <f>IF(preDEL!$AG745,IFERROR(0/0,""),preDEL!B745)</f>
        <v>44627</v>
      </c>
      <c r="C745" s="171">
        <f>IF(preDEL!$AG745,IFERROR(0/0,""),preDEL!C745)</f>
        <v>0.3256712963</v>
      </c>
      <c r="D745" s="105" t="str">
        <f>IF(preDEL!$AG745,IFERROR(0/0,""),preDEL!D745)</f>
        <v/>
      </c>
      <c r="E745" s="105" t="str">
        <f>IF(preDEL!$AG745,IFERROR(0/0,""),preDEL!E745)</f>
        <v/>
      </c>
      <c r="F745" s="112" t="str">
        <f>IF(preDEL!$AG745,IFERROR(0/0,""),preDEL!F745)</f>
        <v/>
      </c>
      <c r="G745" s="112" t="str">
        <f>IF(preDEL!$AG745,IFERROR(0/0,""),preDEL!G745)</f>
        <v/>
      </c>
      <c r="H745" s="112" t="str">
        <f>IF(preDEL!$AG745,IFERROR(0/0,""),preDEL!H745)</f>
        <v/>
      </c>
      <c r="I745" s="105" t="str">
        <f>IF(preDEL!$AG745,IFERROR(0/0,""),preDEL!I745)</f>
        <v/>
      </c>
      <c r="J745" s="105" t="str">
        <f>IF(preDEL!$AG745,IFERROR(0/0,""),preDEL!J745)</f>
        <v/>
      </c>
      <c r="K745" s="105" t="str">
        <f>IF(preDEL!$AG745,IFERROR(0/0,""),preDEL!K745)</f>
        <v>Negative</v>
      </c>
      <c r="L745" s="170">
        <f>IF(preDEL!$AG745,IFERROR(0/0,""),preDEL!L745)</f>
        <v>44627</v>
      </c>
      <c r="M745" s="171">
        <f>IF(preDEL!$AG745,IFERROR(0/0,""),preDEL!M745)</f>
        <v>0.4779050926</v>
      </c>
      <c r="N745" s="112" t="str">
        <f>IF(preDEL!$AG745,IFERROR(0/0,""),preDEL!N745)</f>
        <v/>
      </c>
      <c r="O745" s="112" t="str">
        <f>IF(preDEL!$AG745,IFERROR(0/0,""),preDEL!O745)</f>
        <v/>
      </c>
      <c r="P745" s="110" t="b">
        <f>IF(preDEL!$AG745,IFERROR(0/0,""),preDEL!P745)</f>
        <v>0</v>
      </c>
      <c r="Q745" s="110" t="str">
        <f>IF(preDEL!$AG745,IFERROR(0/0,""),preDEL!Q745)</f>
        <v>Result</v>
      </c>
      <c r="R745" s="104" t="b">
        <f>IF(preDEL!$AG745,IFERROR(0/0,""),preDEL!R745)</f>
        <v>1</v>
      </c>
      <c r="S745" s="104">
        <f>IF(preDEL!$AG745,IFERROR(0/0,""),preDEL!S745)</f>
        <v>1</v>
      </c>
      <c r="T745" s="110" t="str">
        <f>IF(preDEL!$AG745,IFERROR(0/0,""),preDEL!T745)</f>
        <v/>
      </c>
      <c r="U745" s="112" t="str">
        <f>IF(preDEL!$AG745,IFERROR(0/0,""),preDEL!U745)</f>
        <v/>
      </c>
      <c r="V745" s="105" t="str">
        <f>IF(preDEL!$AG745,IFERROR(0/0,""),preDEL!V745)</f>
        <v/>
      </c>
      <c r="W745" s="112" t="str">
        <f>IF(preDEL!$AG745,IFERROR(0/0,""),preDEL!W745)</f>
        <v/>
      </c>
      <c r="X745" s="104" t="b">
        <f>IF(preDEL!$AG745,IFERROR(0/0,""),preDEL!X745)</f>
        <v>0</v>
      </c>
      <c r="Y745" s="110" t="b">
        <f>IF(preDEL!$AG745,IFERROR(0/0,""),preDEL!Y745)</f>
        <v>0</v>
      </c>
      <c r="Z745" s="105" t="str">
        <f>IF(preDEL!$AG745,IFERROR(0/0,""),preDEL!Z745)</f>
        <v/>
      </c>
      <c r="AA745" s="110" t="b">
        <f>IF(preDEL!$AG745,IFERROR(0/0,""),preDEL!AA745)</f>
        <v>0</v>
      </c>
      <c r="AB745" s="110" t="b">
        <f>IF(preDEL!$AG745,IFERROR(0/0,""),preDEL!AB745)</f>
        <v>0</v>
      </c>
      <c r="AC745" s="172">
        <f>IF(preDEL!$AG745,IFERROR(0/0,""),preDEL!AC745)</f>
        <v>78</v>
      </c>
      <c r="AD745" s="104" t="b">
        <f>IF(preDEL!$AG745,IFERROR(0/0,""),preDEL!AD745)</f>
        <v>0</v>
      </c>
      <c r="AE745" s="173">
        <f>IF(preDEL!$AG745,IFERROR(0/0,""),preDEL!AE745)</f>
        <v>219.2166667</v>
      </c>
      <c r="AF745" s="110" t="b">
        <f>IF(preDEL!$AG745,IFERROR(0/0,""),preDEL!AF745)</f>
        <v>0</v>
      </c>
      <c r="AG745" s="110" t="b">
        <f>IF(preDEL!$AG745,IFERROR(0/0,""),preDEL!AG745)</f>
        <v>0</v>
      </c>
      <c r="AH745" s="104" t="str">
        <f>IF(preDEL!$AG745,IFERROR(0/0,""),preDEL!AH745)</f>
        <v/>
      </c>
      <c r="AI745" s="105" t="str">
        <f>IF(preDEL!$AG745,IFERROR(0/0,""),preDEL!AI745)</f>
        <v/>
      </c>
      <c r="AJ745" s="112" t="str">
        <f>IF(preDEL!$AG745,IFERROR(0/0,""),preDEL!AJ745)</f>
        <v/>
      </c>
      <c r="AK745" s="105" t="str">
        <f>IF(preDEL!$AG745,IFERROR(0/0,""),preDEL!AK745)</f>
        <v>Negative</v>
      </c>
      <c r="AL745" s="112" t="str">
        <f>IF(preDEL!$AG745,IFERROR(0/0,""),preDEL!AL745)</f>
        <v/>
      </c>
      <c r="AM745" s="112" t="str">
        <f>IF(preDEL!$AG745,IFERROR(0/0,""),preDEL!AM745)</f>
        <v>SpBEND541174</v>
      </c>
      <c r="AN745" s="112" t="str">
        <f>IF(preDEL!$AG745,IFERROR(0/0,""),preDEL!AN745)</f>
        <v>BEND785384</v>
      </c>
      <c r="AO745" s="112" t="str">
        <f>IF(preDEL!$AG745,IFERROR(0/0,""),preDEL!AO745)</f>
        <v/>
      </c>
      <c r="AP745" s="112" t="str">
        <f>IF(preDEL!$AG745,IFERROR(0/0,""),preDEL!AP745)</f>
        <v/>
      </c>
      <c r="AQ745" s="112" t="str">
        <f>IF(preDEL!$AG745,IFERROR(0/0,""),preDEL!AQ745)</f>
        <v/>
      </c>
      <c r="AR745" s="112" t="str">
        <f>IF(preDEL!$AG745,IFERROR(0/0,""),preDEL!AR745)</f>
        <v/>
      </c>
      <c r="AS745" s="112" t="str">
        <f>IF(preDEL!$AG745,IFERROR(0/0,""),preDEL!AS745)</f>
        <v/>
      </c>
      <c r="AT745" s="112" t="b">
        <f>IF(preDEL!$AG745,IFERROR(0/0,""),preDEL!AT745)</f>
        <v>0</v>
      </c>
      <c r="AU745" s="112" t="str">
        <f>IF(preDEL!$AG745,IFERROR(0/0,""),preDEL!AU745)</f>
        <v/>
      </c>
      <c r="AV745" s="112" t="str">
        <f>IF(preDEL!$AG745,IFERROR(0/0,""),preDEL!AV745)</f>
        <v/>
      </c>
      <c r="AW745" s="112" t="str">
        <f>IF(preDEL!$AG745,IFERROR(0/0,""),preDEL!AW745)</f>
        <v/>
      </c>
      <c r="AX745" s="112" t="str">
        <f>IF(preDEL!$AG745,IFERROR(0/0,""),preDEL!AX745)</f>
        <v/>
      </c>
      <c r="AY745" s="112" t="str">
        <f>IF(preDEL!$AG745,IFERROR(0/0,""),preDEL!AY745)</f>
        <v/>
      </c>
      <c r="AZ745" s="174"/>
      <c r="BA745" s="174"/>
      <c r="BB745" s="174"/>
      <c r="BC745" s="174"/>
      <c r="BD745" s="174"/>
      <c r="BE745" s="174"/>
      <c r="BF745" s="174"/>
      <c r="BG745" s="174"/>
      <c r="BH745" s="174"/>
      <c r="BI745" s="174"/>
      <c r="BJ745" s="174"/>
      <c r="BK745" s="174"/>
      <c r="BL745" s="174"/>
      <c r="BM745" s="174"/>
      <c r="BN745" s="174"/>
      <c r="BO745" s="174"/>
      <c r="BP745" s="174"/>
      <c r="BQ745" s="174"/>
      <c r="BR745" s="174"/>
      <c r="BS745" s="174"/>
      <c r="BT745" s="174"/>
      <c r="BU745" s="174"/>
      <c r="BV745" s="174"/>
      <c r="BW745" s="174"/>
      <c r="BX745" s="174"/>
      <c r="BY745" s="174"/>
      <c r="BZ745" s="174"/>
      <c r="CA745" s="174"/>
      <c r="CB745" s="174"/>
      <c r="CC745" s="174"/>
      <c r="CD745" s="174"/>
    </row>
    <row r="746">
      <c r="A746" s="105" t="str">
        <f>IF(preDEL!$AG746,IFERROR(0/0,""),preDEL!A746)</f>
        <v>FM2080</v>
      </c>
      <c r="B746" s="170">
        <f>IF(preDEL!$AG746,IFERROR(0/0,""),preDEL!B746)</f>
        <v>44627</v>
      </c>
      <c r="C746" s="171">
        <f>IF(preDEL!$AG746,IFERROR(0/0,""),preDEL!C746)</f>
        <v>0.3267939815</v>
      </c>
      <c r="D746" s="105" t="str">
        <f>IF(preDEL!$AG746,IFERROR(0/0,""),preDEL!D746)</f>
        <v/>
      </c>
      <c r="E746" s="105" t="str">
        <f>IF(preDEL!$AG746,IFERROR(0/0,""),preDEL!E746)</f>
        <v/>
      </c>
      <c r="F746" s="112" t="str">
        <f>IF(preDEL!$AG746,IFERROR(0/0,""),preDEL!F746)</f>
        <v/>
      </c>
      <c r="G746" s="112" t="str">
        <f>IF(preDEL!$AG746,IFERROR(0/0,""),preDEL!G746)</f>
        <v/>
      </c>
      <c r="H746" s="112" t="str">
        <f>IF(preDEL!$AG746,IFERROR(0/0,""),preDEL!H746)</f>
        <v/>
      </c>
      <c r="I746" s="105" t="str">
        <f>IF(preDEL!$AG746,IFERROR(0/0,""),preDEL!I746)</f>
        <v/>
      </c>
      <c r="J746" s="105" t="str">
        <f>IF(preDEL!$AG746,IFERROR(0/0,""),preDEL!J746)</f>
        <v/>
      </c>
      <c r="K746" s="105" t="str">
        <f>IF(preDEL!$AG746,IFERROR(0/0,""),preDEL!K746)</f>
        <v>Negative</v>
      </c>
      <c r="L746" s="170">
        <f>IF(preDEL!$AG746,IFERROR(0/0,""),preDEL!L746)</f>
        <v>44627</v>
      </c>
      <c r="M746" s="171">
        <f>IF(preDEL!$AG746,IFERROR(0/0,""),preDEL!M746)</f>
        <v>0.4779050926</v>
      </c>
      <c r="N746" s="112" t="str">
        <f>IF(preDEL!$AG746,IFERROR(0/0,""),preDEL!N746)</f>
        <v/>
      </c>
      <c r="O746" s="112" t="str">
        <f>IF(preDEL!$AG746,IFERROR(0/0,""),preDEL!O746)</f>
        <v/>
      </c>
      <c r="P746" s="110" t="b">
        <f>IF(preDEL!$AG746,IFERROR(0/0,""),preDEL!P746)</f>
        <v>0</v>
      </c>
      <c r="Q746" s="110" t="str">
        <f>IF(preDEL!$AG746,IFERROR(0/0,""),preDEL!Q746)</f>
        <v>Result</v>
      </c>
      <c r="R746" s="104" t="b">
        <f>IF(preDEL!$AG746,IFERROR(0/0,""),preDEL!R746)</f>
        <v>1</v>
      </c>
      <c r="S746" s="104">
        <f>IF(preDEL!$AG746,IFERROR(0/0,""),preDEL!S746)</f>
        <v>1</v>
      </c>
      <c r="T746" s="110" t="str">
        <f>IF(preDEL!$AG746,IFERROR(0/0,""),preDEL!T746)</f>
        <v/>
      </c>
      <c r="U746" s="112" t="str">
        <f>IF(preDEL!$AG746,IFERROR(0/0,""),preDEL!U746)</f>
        <v/>
      </c>
      <c r="V746" s="105" t="str">
        <f>IF(preDEL!$AG746,IFERROR(0/0,""),preDEL!V746)</f>
        <v/>
      </c>
      <c r="W746" s="112" t="str">
        <f>IF(preDEL!$AG746,IFERROR(0/0,""),preDEL!W746)</f>
        <v/>
      </c>
      <c r="X746" s="104" t="b">
        <f>IF(preDEL!$AG746,IFERROR(0/0,""),preDEL!X746)</f>
        <v>0</v>
      </c>
      <c r="Y746" s="110" t="b">
        <f>IF(preDEL!$AG746,IFERROR(0/0,""),preDEL!Y746)</f>
        <v>0</v>
      </c>
      <c r="Z746" s="105" t="str">
        <f>IF(preDEL!$AG746,IFERROR(0/0,""),preDEL!Z746)</f>
        <v/>
      </c>
      <c r="AA746" s="110" t="b">
        <f>IF(preDEL!$AG746,IFERROR(0/0,""),preDEL!AA746)</f>
        <v>0</v>
      </c>
      <c r="AB746" s="110" t="b">
        <f>IF(preDEL!$AG746,IFERROR(0/0,""),preDEL!AB746)</f>
        <v>0</v>
      </c>
      <c r="AC746" s="172">
        <f>IF(preDEL!$AG746,IFERROR(0/0,""),preDEL!AC746)</f>
        <v>77</v>
      </c>
      <c r="AD746" s="104" t="b">
        <f>IF(preDEL!$AG746,IFERROR(0/0,""),preDEL!AD746)</f>
        <v>0</v>
      </c>
      <c r="AE746" s="173">
        <f>IF(preDEL!$AG746,IFERROR(0/0,""),preDEL!AE746)</f>
        <v>217.6</v>
      </c>
      <c r="AF746" s="110" t="b">
        <f>IF(preDEL!$AG746,IFERROR(0/0,""),preDEL!AF746)</f>
        <v>0</v>
      </c>
      <c r="AG746" s="110" t="b">
        <f>IF(preDEL!$AG746,IFERROR(0/0,""),preDEL!AG746)</f>
        <v>0</v>
      </c>
      <c r="AH746" s="104" t="str">
        <f>IF(preDEL!$AG746,IFERROR(0/0,""),preDEL!AH746)</f>
        <v/>
      </c>
      <c r="AI746" s="105" t="str">
        <f>IF(preDEL!$AG746,IFERROR(0/0,""),preDEL!AI746)</f>
        <v/>
      </c>
      <c r="AJ746" s="112" t="str">
        <f>IF(preDEL!$AG746,IFERROR(0/0,""),preDEL!AJ746)</f>
        <v/>
      </c>
      <c r="AK746" s="105" t="str">
        <f>IF(preDEL!$AG746,IFERROR(0/0,""),preDEL!AK746)</f>
        <v>Negative</v>
      </c>
      <c r="AL746" s="112" t="str">
        <f>IF(preDEL!$AG746,IFERROR(0/0,""),preDEL!AL746)</f>
        <v/>
      </c>
      <c r="AM746" s="112" t="str">
        <f>IF(preDEL!$AG746,IFERROR(0/0,""),preDEL!AM746)</f>
        <v>SpBEND862115</v>
      </c>
      <c r="AN746" s="112" t="str">
        <f>IF(preDEL!$AG746,IFERROR(0/0,""),preDEL!AN746)</f>
        <v>BEND317332</v>
      </c>
      <c r="AO746" s="112" t="str">
        <f>IF(preDEL!$AG746,IFERROR(0/0,""),preDEL!AO746)</f>
        <v/>
      </c>
      <c r="AP746" s="112" t="str">
        <f>IF(preDEL!$AG746,IFERROR(0/0,""),preDEL!AP746)</f>
        <v/>
      </c>
      <c r="AQ746" s="112" t="str">
        <f>IF(preDEL!$AG746,IFERROR(0/0,""),preDEL!AQ746)</f>
        <v/>
      </c>
      <c r="AR746" s="112" t="str">
        <f>IF(preDEL!$AG746,IFERROR(0/0,""),preDEL!AR746)</f>
        <v/>
      </c>
      <c r="AS746" s="112" t="str">
        <f>IF(preDEL!$AG746,IFERROR(0/0,""),preDEL!AS746)</f>
        <v/>
      </c>
      <c r="AT746" s="112" t="b">
        <f>IF(preDEL!$AG746,IFERROR(0/0,""),preDEL!AT746)</f>
        <v>0</v>
      </c>
      <c r="AU746" s="112" t="str">
        <f>IF(preDEL!$AG746,IFERROR(0/0,""),preDEL!AU746)</f>
        <v/>
      </c>
      <c r="AV746" s="112" t="str">
        <f>IF(preDEL!$AG746,IFERROR(0/0,""),preDEL!AV746)</f>
        <v/>
      </c>
      <c r="AW746" s="112" t="str">
        <f>IF(preDEL!$AG746,IFERROR(0/0,""),preDEL!AW746)</f>
        <v/>
      </c>
      <c r="AX746" s="112" t="str">
        <f>IF(preDEL!$AG746,IFERROR(0/0,""),preDEL!AX746)</f>
        <v/>
      </c>
      <c r="AY746" s="112" t="str">
        <f>IF(preDEL!$AG746,IFERROR(0/0,""),preDEL!AY746)</f>
        <v/>
      </c>
      <c r="AZ746" s="174"/>
      <c r="BA746" s="174"/>
      <c r="BB746" s="174"/>
      <c r="BC746" s="174"/>
      <c r="BD746" s="174"/>
      <c r="BE746" s="174"/>
      <c r="BF746" s="174"/>
      <c r="BG746" s="174"/>
      <c r="BH746" s="174"/>
      <c r="BI746" s="174"/>
      <c r="BJ746" s="174"/>
      <c r="BK746" s="174"/>
      <c r="BL746" s="174"/>
      <c r="BM746" s="174"/>
      <c r="BN746" s="174"/>
      <c r="BO746" s="174"/>
      <c r="BP746" s="174"/>
      <c r="BQ746" s="174"/>
      <c r="BR746" s="174"/>
      <c r="BS746" s="174"/>
      <c r="BT746" s="174"/>
      <c r="BU746" s="174"/>
      <c r="BV746" s="174"/>
      <c r="BW746" s="174"/>
      <c r="BX746" s="174"/>
      <c r="BY746" s="174"/>
      <c r="BZ746" s="174"/>
      <c r="CA746" s="174"/>
      <c r="CB746" s="174"/>
      <c r="CC746" s="174"/>
      <c r="CD746" s="174"/>
    </row>
    <row r="747">
      <c r="A747" s="105" t="str">
        <f>IF(preDEL!$AG747,IFERROR(0/0,""),preDEL!A747)</f>
        <v>FM1789</v>
      </c>
      <c r="B747" s="170">
        <f>IF(preDEL!$AG747,IFERROR(0/0,""),preDEL!B747)</f>
        <v>44627</v>
      </c>
      <c r="C747" s="171">
        <f>IF(preDEL!$AG747,IFERROR(0/0,""),preDEL!C747)</f>
        <v>0.3278240741</v>
      </c>
      <c r="D747" s="105" t="str">
        <f>IF(preDEL!$AG747,IFERROR(0/0,""),preDEL!D747)</f>
        <v/>
      </c>
      <c r="E747" s="105" t="str">
        <f>IF(preDEL!$AG747,IFERROR(0/0,""),preDEL!E747)</f>
        <v/>
      </c>
      <c r="F747" s="112" t="str">
        <f>IF(preDEL!$AG747,IFERROR(0/0,""),preDEL!F747)</f>
        <v/>
      </c>
      <c r="G747" s="112" t="str">
        <f>IF(preDEL!$AG747,IFERROR(0/0,""),preDEL!G747)</f>
        <v/>
      </c>
      <c r="H747" s="112" t="str">
        <f>IF(preDEL!$AG747,IFERROR(0/0,""),preDEL!H747)</f>
        <v/>
      </c>
      <c r="I747" s="105" t="str">
        <f>IF(preDEL!$AG747,IFERROR(0/0,""),preDEL!I747)</f>
        <v/>
      </c>
      <c r="J747" s="105" t="str">
        <f>IF(preDEL!$AG747,IFERROR(0/0,""),preDEL!J747)</f>
        <v/>
      </c>
      <c r="K747" s="105" t="str">
        <f>IF(preDEL!$AG747,IFERROR(0/0,""),preDEL!K747)</f>
        <v>Negative</v>
      </c>
      <c r="L747" s="170">
        <f>IF(preDEL!$AG747,IFERROR(0/0,""),preDEL!L747)</f>
        <v>44627</v>
      </c>
      <c r="M747" s="171">
        <f>IF(preDEL!$AG747,IFERROR(0/0,""),preDEL!M747)</f>
        <v>0.4779050926</v>
      </c>
      <c r="N747" s="112" t="str">
        <f>IF(preDEL!$AG747,IFERROR(0/0,""),preDEL!N747)</f>
        <v/>
      </c>
      <c r="O747" s="112" t="str">
        <f>IF(preDEL!$AG747,IFERROR(0/0,""),preDEL!O747)</f>
        <v/>
      </c>
      <c r="P747" s="110" t="b">
        <f>IF(preDEL!$AG747,IFERROR(0/0,""),preDEL!P747)</f>
        <v>0</v>
      </c>
      <c r="Q747" s="110" t="str">
        <f>IF(preDEL!$AG747,IFERROR(0/0,""),preDEL!Q747)</f>
        <v>Result</v>
      </c>
      <c r="R747" s="104" t="b">
        <f>IF(preDEL!$AG747,IFERROR(0/0,""),preDEL!R747)</f>
        <v>1</v>
      </c>
      <c r="S747" s="104">
        <f>IF(preDEL!$AG747,IFERROR(0/0,""),preDEL!S747)</f>
        <v>1</v>
      </c>
      <c r="T747" s="110" t="str">
        <f>IF(preDEL!$AG747,IFERROR(0/0,""),preDEL!T747)</f>
        <v/>
      </c>
      <c r="U747" s="112" t="str">
        <f>IF(preDEL!$AG747,IFERROR(0/0,""),preDEL!U747)</f>
        <v/>
      </c>
      <c r="V747" s="105" t="str">
        <f>IF(preDEL!$AG747,IFERROR(0/0,""),preDEL!V747)</f>
        <v/>
      </c>
      <c r="W747" s="112" t="str">
        <f>IF(preDEL!$AG747,IFERROR(0/0,""),preDEL!W747)</f>
        <v/>
      </c>
      <c r="X747" s="104" t="b">
        <f>IF(preDEL!$AG747,IFERROR(0/0,""),preDEL!X747)</f>
        <v>0</v>
      </c>
      <c r="Y747" s="110" t="b">
        <f>IF(preDEL!$AG747,IFERROR(0/0,""),preDEL!Y747)</f>
        <v>0</v>
      </c>
      <c r="Z747" s="105" t="str">
        <f>IF(preDEL!$AG747,IFERROR(0/0,""),preDEL!Z747)</f>
        <v/>
      </c>
      <c r="AA747" s="110" t="b">
        <f>IF(preDEL!$AG747,IFERROR(0/0,""),preDEL!AA747)</f>
        <v>0</v>
      </c>
      <c r="AB747" s="110" t="b">
        <f>IF(preDEL!$AG747,IFERROR(0/0,""),preDEL!AB747)</f>
        <v>0</v>
      </c>
      <c r="AC747" s="172">
        <f>IF(preDEL!$AG747,IFERROR(0/0,""),preDEL!AC747)</f>
        <v>76</v>
      </c>
      <c r="AD747" s="104" t="b">
        <f>IF(preDEL!$AG747,IFERROR(0/0,""),preDEL!AD747)</f>
        <v>0</v>
      </c>
      <c r="AE747" s="173">
        <f>IF(preDEL!$AG747,IFERROR(0/0,""),preDEL!AE747)</f>
        <v>216.1166667</v>
      </c>
      <c r="AF747" s="110" t="b">
        <f>IF(preDEL!$AG747,IFERROR(0/0,""),preDEL!AF747)</f>
        <v>0</v>
      </c>
      <c r="AG747" s="110" t="b">
        <f>IF(preDEL!$AG747,IFERROR(0/0,""),preDEL!AG747)</f>
        <v>0</v>
      </c>
      <c r="AH747" s="104" t="str">
        <f>IF(preDEL!$AG747,IFERROR(0/0,""),preDEL!AH747)</f>
        <v/>
      </c>
      <c r="AI747" s="105" t="str">
        <f>IF(preDEL!$AG747,IFERROR(0/0,""),preDEL!AI747)</f>
        <v/>
      </c>
      <c r="AJ747" s="112" t="str">
        <f>IF(preDEL!$AG747,IFERROR(0/0,""),preDEL!AJ747)</f>
        <v/>
      </c>
      <c r="AK747" s="105" t="str">
        <f>IF(preDEL!$AG747,IFERROR(0/0,""),preDEL!AK747)</f>
        <v>Negative</v>
      </c>
      <c r="AL747" s="112" t="str">
        <f>IF(preDEL!$AG747,IFERROR(0/0,""),preDEL!AL747)</f>
        <v/>
      </c>
      <c r="AM747" s="112" t="str">
        <f>IF(preDEL!$AG747,IFERROR(0/0,""),preDEL!AM747)</f>
        <v>SpBEND522465</v>
      </c>
      <c r="AN747" s="112" t="str">
        <f>IF(preDEL!$AG747,IFERROR(0/0,""),preDEL!AN747)</f>
        <v>BEND934970</v>
      </c>
      <c r="AO747" s="112" t="str">
        <f>IF(preDEL!$AG747,IFERROR(0/0,""),preDEL!AO747)</f>
        <v/>
      </c>
      <c r="AP747" s="112" t="str">
        <f>IF(preDEL!$AG747,IFERROR(0/0,""),preDEL!AP747)</f>
        <v/>
      </c>
      <c r="AQ747" s="112" t="str">
        <f>IF(preDEL!$AG747,IFERROR(0/0,""),preDEL!AQ747)</f>
        <v/>
      </c>
      <c r="AR747" s="112" t="str">
        <f>IF(preDEL!$AG747,IFERROR(0/0,""),preDEL!AR747)</f>
        <v/>
      </c>
      <c r="AS747" s="112" t="str">
        <f>IF(preDEL!$AG747,IFERROR(0/0,""),preDEL!AS747)</f>
        <v/>
      </c>
      <c r="AT747" s="112" t="b">
        <f>IF(preDEL!$AG747,IFERROR(0/0,""),preDEL!AT747)</f>
        <v>0</v>
      </c>
      <c r="AU747" s="112" t="str">
        <f>IF(preDEL!$AG747,IFERROR(0/0,""),preDEL!AU747)</f>
        <v/>
      </c>
      <c r="AV747" s="112" t="str">
        <f>IF(preDEL!$AG747,IFERROR(0/0,""),preDEL!AV747)</f>
        <v/>
      </c>
      <c r="AW747" s="112" t="str">
        <f>IF(preDEL!$AG747,IFERROR(0/0,""),preDEL!AW747)</f>
        <v/>
      </c>
      <c r="AX747" s="112" t="str">
        <f>IF(preDEL!$AG747,IFERROR(0/0,""),preDEL!AX747)</f>
        <v/>
      </c>
      <c r="AY747" s="112" t="str">
        <f>IF(preDEL!$AG747,IFERROR(0/0,""),preDEL!AY747)</f>
        <v/>
      </c>
      <c r="AZ747" s="174"/>
      <c r="BA747" s="174"/>
      <c r="BB747" s="174"/>
      <c r="BC747" s="174"/>
      <c r="BD747" s="174"/>
      <c r="BE747" s="174"/>
      <c r="BF747" s="174"/>
      <c r="BG747" s="174"/>
      <c r="BH747" s="174"/>
      <c r="BI747" s="174"/>
      <c r="BJ747" s="174"/>
      <c r="BK747" s="174"/>
      <c r="BL747" s="174"/>
      <c r="BM747" s="174"/>
      <c r="BN747" s="174"/>
      <c r="BO747" s="174"/>
      <c r="BP747" s="174"/>
      <c r="BQ747" s="174"/>
      <c r="BR747" s="174"/>
      <c r="BS747" s="174"/>
      <c r="BT747" s="174"/>
      <c r="BU747" s="174"/>
      <c r="BV747" s="174"/>
      <c r="BW747" s="174"/>
      <c r="BX747" s="174"/>
      <c r="BY747" s="174"/>
      <c r="BZ747" s="174"/>
      <c r="CA747" s="174"/>
      <c r="CB747" s="174"/>
      <c r="CC747" s="174"/>
      <c r="CD747" s="174"/>
    </row>
    <row r="748">
      <c r="A748" s="105" t="str">
        <f>IF(preDEL!$AG748,IFERROR(0/0,""),preDEL!A748)</f>
        <v>MA378</v>
      </c>
      <c r="B748" s="170">
        <f>IF(preDEL!$AG748,IFERROR(0/0,""),preDEL!B748)</f>
        <v>44627</v>
      </c>
      <c r="C748" s="171">
        <f>IF(preDEL!$AG748,IFERROR(0/0,""),preDEL!C748)</f>
        <v>0.3370023148</v>
      </c>
      <c r="D748" s="105" t="str">
        <f>IF(preDEL!$AG748,IFERROR(0/0,""),preDEL!D748)</f>
        <v/>
      </c>
      <c r="E748" s="105" t="str">
        <f>IF(preDEL!$AG748,IFERROR(0/0,""),preDEL!E748)</f>
        <v/>
      </c>
      <c r="F748" s="112" t="str">
        <f>IF(preDEL!$AG748,IFERROR(0/0,""),preDEL!F748)</f>
        <v/>
      </c>
      <c r="G748" s="112" t="str">
        <f>IF(preDEL!$AG748,IFERROR(0/0,""),preDEL!G748)</f>
        <v/>
      </c>
      <c r="H748" s="112" t="str">
        <f>IF(preDEL!$AG748,IFERROR(0/0,""),preDEL!H748)</f>
        <v/>
      </c>
      <c r="I748" s="105" t="str">
        <f>IF(preDEL!$AG748,IFERROR(0/0,""),preDEL!I748)</f>
        <v/>
      </c>
      <c r="J748" s="105" t="str">
        <f>IF(preDEL!$AG748,IFERROR(0/0,""),preDEL!J748)</f>
        <v/>
      </c>
      <c r="K748" s="105" t="str">
        <f>IF(preDEL!$AG748,IFERROR(0/0,""),preDEL!K748)</f>
        <v>Negative</v>
      </c>
      <c r="L748" s="170">
        <f>IF(preDEL!$AG748,IFERROR(0/0,""),preDEL!L748)</f>
        <v>44627</v>
      </c>
      <c r="M748" s="171">
        <f>IF(preDEL!$AG748,IFERROR(0/0,""),preDEL!M748)</f>
        <v>0.4779050926</v>
      </c>
      <c r="N748" s="112" t="str">
        <f>IF(preDEL!$AG748,IFERROR(0/0,""),preDEL!N748)</f>
        <v/>
      </c>
      <c r="O748" s="112" t="str">
        <f>IF(preDEL!$AG748,IFERROR(0/0,""),preDEL!O748)</f>
        <v/>
      </c>
      <c r="P748" s="110" t="b">
        <f>IF(preDEL!$AG748,IFERROR(0/0,""),preDEL!P748)</f>
        <v>0</v>
      </c>
      <c r="Q748" s="110" t="str">
        <f>IF(preDEL!$AG748,IFERROR(0/0,""),preDEL!Q748)</f>
        <v>Result</v>
      </c>
      <c r="R748" s="104" t="b">
        <f>IF(preDEL!$AG748,IFERROR(0/0,""),preDEL!R748)</f>
        <v>1</v>
      </c>
      <c r="S748" s="104">
        <f>IF(preDEL!$AG748,IFERROR(0/0,""),preDEL!S748)</f>
        <v>1</v>
      </c>
      <c r="T748" s="110" t="str">
        <f>IF(preDEL!$AG748,IFERROR(0/0,""),preDEL!T748)</f>
        <v/>
      </c>
      <c r="U748" s="112" t="str">
        <f>IF(preDEL!$AG748,IFERROR(0/0,""),preDEL!U748)</f>
        <v/>
      </c>
      <c r="V748" s="105" t="str">
        <f>IF(preDEL!$AG748,IFERROR(0/0,""),preDEL!V748)</f>
        <v/>
      </c>
      <c r="W748" s="112" t="str">
        <f>IF(preDEL!$AG748,IFERROR(0/0,""),preDEL!W748)</f>
        <v/>
      </c>
      <c r="X748" s="104" t="b">
        <f>IF(preDEL!$AG748,IFERROR(0/0,""),preDEL!X748)</f>
        <v>0</v>
      </c>
      <c r="Y748" s="110" t="b">
        <f>IF(preDEL!$AG748,IFERROR(0/0,""),preDEL!Y748)</f>
        <v>0</v>
      </c>
      <c r="Z748" s="105" t="str">
        <f>IF(preDEL!$AG748,IFERROR(0/0,""),preDEL!Z748)</f>
        <v/>
      </c>
      <c r="AA748" s="110" t="b">
        <f>IF(preDEL!$AG748,IFERROR(0/0,""),preDEL!AA748)</f>
        <v>0</v>
      </c>
      <c r="AB748" s="110" t="b">
        <f>IF(preDEL!$AG748,IFERROR(0/0,""),preDEL!AB748)</f>
        <v>0</v>
      </c>
      <c r="AC748" s="172">
        <f>IF(preDEL!$AG748,IFERROR(0/0,""),preDEL!AC748)</f>
        <v>75</v>
      </c>
      <c r="AD748" s="104" t="b">
        <f>IF(preDEL!$AG748,IFERROR(0/0,""),preDEL!AD748)</f>
        <v>0</v>
      </c>
      <c r="AE748" s="173">
        <f>IF(preDEL!$AG748,IFERROR(0/0,""),preDEL!AE748)</f>
        <v>202.9</v>
      </c>
      <c r="AF748" s="110" t="b">
        <f>IF(preDEL!$AG748,IFERROR(0/0,""),preDEL!AF748)</f>
        <v>0</v>
      </c>
      <c r="AG748" s="110" t="b">
        <f>IF(preDEL!$AG748,IFERROR(0/0,""),preDEL!AG748)</f>
        <v>0</v>
      </c>
      <c r="AH748" s="104" t="str">
        <f>IF(preDEL!$AG748,IFERROR(0/0,""),preDEL!AH748)</f>
        <v/>
      </c>
      <c r="AI748" s="105" t="str">
        <f>IF(preDEL!$AG748,IFERROR(0/0,""),preDEL!AI748)</f>
        <v/>
      </c>
      <c r="AJ748" s="112" t="str">
        <f>IF(preDEL!$AG748,IFERROR(0/0,""),preDEL!AJ748)</f>
        <v/>
      </c>
      <c r="AK748" s="105" t="str">
        <f>IF(preDEL!$AG748,IFERROR(0/0,""),preDEL!AK748)</f>
        <v>Negative</v>
      </c>
      <c r="AL748" s="112" t="str">
        <f>IF(preDEL!$AG748,IFERROR(0/0,""),preDEL!AL748)</f>
        <v/>
      </c>
      <c r="AM748" s="112" t="str">
        <f>IF(preDEL!$AG748,IFERROR(0/0,""),preDEL!AM748)</f>
        <v>SpBEND982485</v>
      </c>
      <c r="AN748" s="112" t="str">
        <f>IF(preDEL!$AG748,IFERROR(0/0,""),preDEL!AN748)</f>
        <v>BEND192592</v>
      </c>
      <c r="AO748" s="112" t="str">
        <f>IF(preDEL!$AG748,IFERROR(0/0,""),preDEL!AO748)</f>
        <v/>
      </c>
      <c r="AP748" s="112" t="str">
        <f>IF(preDEL!$AG748,IFERROR(0/0,""),preDEL!AP748)</f>
        <v/>
      </c>
      <c r="AQ748" s="112" t="str">
        <f>IF(preDEL!$AG748,IFERROR(0/0,""),preDEL!AQ748)</f>
        <v/>
      </c>
      <c r="AR748" s="112" t="str">
        <f>IF(preDEL!$AG748,IFERROR(0/0,""),preDEL!AR748)</f>
        <v/>
      </c>
      <c r="AS748" s="112" t="str">
        <f>IF(preDEL!$AG748,IFERROR(0/0,""),preDEL!AS748)</f>
        <v/>
      </c>
      <c r="AT748" s="112" t="b">
        <f>IF(preDEL!$AG748,IFERROR(0/0,""),preDEL!AT748)</f>
        <v>0</v>
      </c>
      <c r="AU748" s="112" t="str">
        <f>IF(preDEL!$AG748,IFERROR(0/0,""),preDEL!AU748)</f>
        <v/>
      </c>
      <c r="AV748" s="112" t="str">
        <f>IF(preDEL!$AG748,IFERROR(0/0,""),preDEL!AV748)</f>
        <v/>
      </c>
      <c r="AW748" s="112" t="str">
        <f>IF(preDEL!$AG748,IFERROR(0/0,""),preDEL!AW748)</f>
        <v/>
      </c>
      <c r="AX748" s="112" t="str">
        <f>IF(preDEL!$AG748,IFERROR(0/0,""),preDEL!AX748)</f>
        <v/>
      </c>
      <c r="AY748" s="112" t="str">
        <f>IF(preDEL!$AG748,IFERROR(0/0,""),preDEL!AY748)</f>
        <v/>
      </c>
      <c r="AZ748" s="174"/>
      <c r="BA748" s="174"/>
      <c r="BB748" s="174"/>
      <c r="BC748" s="174"/>
      <c r="BD748" s="174"/>
      <c r="BE748" s="174"/>
      <c r="BF748" s="174"/>
      <c r="BG748" s="174"/>
      <c r="BH748" s="174"/>
      <c r="BI748" s="174"/>
      <c r="BJ748" s="174"/>
      <c r="BK748" s="174"/>
      <c r="BL748" s="174"/>
      <c r="BM748" s="174"/>
      <c r="BN748" s="174"/>
      <c r="BO748" s="174"/>
      <c r="BP748" s="174"/>
      <c r="BQ748" s="174"/>
      <c r="BR748" s="174"/>
      <c r="BS748" s="174"/>
      <c r="BT748" s="174"/>
      <c r="BU748" s="174"/>
      <c r="BV748" s="174"/>
      <c r="BW748" s="174"/>
      <c r="BX748" s="174"/>
      <c r="BY748" s="174"/>
      <c r="BZ748" s="174"/>
      <c r="CA748" s="174"/>
      <c r="CB748" s="174"/>
      <c r="CC748" s="174"/>
      <c r="CD748" s="174"/>
    </row>
    <row r="749">
      <c r="A749" s="105" t="str">
        <f>IF(preDEL!$AG749,IFERROR(0/0,""),preDEL!A749)</f>
        <v>MA353</v>
      </c>
      <c r="B749" s="170">
        <f>IF(preDEL!$AG749,IFERROR(0/0,""),preDEL!B749)</f>
        <v>44627</v>
      </c>
      <c r="C749" s="171">
        <f>IF(preDEL!$AG749,IFERROR(0/0,""),preDEL!C749)</f>
        <v>0.3383449074</v>
      </c>
      <c r="D749" s="105" t="str">
        <f>IF(preDEL!$AG749,IFERROR(0/0,""),preDEL!D749)</f>
        <v/>
      </c>
      <c r="E749" s="105" t="str">
        <f>IF(preDEL!$AG749,IFERROR(0/0,""),preDEL!E749)</f>
        <v/>
      </c>
      <c r="F749" s="112" t="str">
        <f>IF(preDEL!$AG749,IFERROR(0/0,""),preDEL!F749)</f>
        <v/>
      </c>
      <c r="G749" s="112" t="str">
        <f>IF(preDEL!$AG749,IFERROR(0/0,""),preDEL!G749)</f>
        <v/>
      </c>
      <c r="H749" s="112" t="str">
        <f>IF(preDEL!$AG749,IFERROR(0/0,""),preDEL!H749)</f>
        <v/>
      </c>
      <c r="I749" s="105" t="str">
        <f>IF(preDEL!$AG749,IFERROR(0/0,""),preDEL!I749)</f>
        <v/>
      </c>
      <c r="J749" s="105" t="str">
        <f>IF(preDEL!$AG749,IFERROR(0/0,""),preDEL!J749)</f>
        <v/>
      </c>
      <c r="K749" s="105" t="str">
        <f>IF(preDEL!$AG749,IFERROR(0/0,""),preDEL!K749)</f>
        <v>Negative</v>
      </c>
      <c r="L749" s="170">
        <f>IF(preDEL!$AG749,IFERROR(0/0,""),preDEL!L749)</f>
        <v>44627</v>
      </c>
      <c r="M749" s="171">
        <f>IF(preDEL!$AG749,IFERROR(0/0,""),preDEL!M749)</f>
        <v>0.4779050926</v>
      </c>
      <c r="N749" s="112" t="str">
        <f>IF(preDEL!$AG749,IFERROR(0/0,""),preDEL!N749)</f>
        <v/>
      </c>
      <c r="O749" s="112" t="str">
        <f>IF(preDEL!$AG749,IFERROR(0/0,""),preDEL!O749)</f>
        <v/>
      </c>
      <c r="P749" s="110" t="b">
        <f>IF(preDEL!$AG749,IFERROR(0/0,""),preDEL!P749)</f>
        <v>0</v>
      </c>
      <c r="Q749" s="110" t="str">
        <f>IF(preDEL!$AG749,IFERROR(0/0,""),preDEL!Q749)</f>
        <v>Result</v>
      </c>
      <c r="R749" s="104" t="b">
        <f>IF(preDEL!$AG749,IFERROR(0/0,""),preDEL!R749)</f>
        <v>1</v>
      </c>
      <c r="S749" s="104">
        <f>IF(preDEL!$AG749,IFERROR(0/0,""),preDEL!S749)</f>
        <v>1</v>
      </c>
      <c r="T749" s="110" t="str">
        <f>IF(preDEL!$AG749,IFERROR(0/0,""),preDEL!T749)</f>
        <v/>
      </c>
      <c r="U749" s="112" t="str">
        <f>IF(preDEL!$AG749,IFERROR(0/0,""),preDEL!U749)</f>
        <v/>
      </c>
      <c r="V749" s="105" t="str">
        <f>IF(preDEL!$AG749,IFERROR(0/0,""),preDEL!V749)</f>
        <v/>
      </c>
      <c r="W749" s="112" t="str">
        <f>IF(preDEL!$AG749,IFERROR(0/0,""),preDEL!W749)</f>
        <v/>
      </c>
      <c r="X749" s="104" t="b">
        <f>IF(preDEL!$AG749,IFERROR(0/0,""),preDEL!X749)</f>
        <v>0</v>
      </c>
      <c r="Y749" s="110" t="b">
        <f>IF(preDEL!$AG749,IFERROR(0/0,""),preDEL!Y749)</f>
        <v>0</v>
      </c>
      <c r="Z749" s="105" t="str">
        <f>IF(preDEL!$AG749,IFERROR(0/0,""),preDEL!Z749)</f>
        <v/>
      </c>
      <c r="AA749" s="110" t="b">
        <f>IF(preDEL!$AG749,IFERROR(0/0,""),preDEL!AA749)</f>
        <v>0</v>
      </c>
      <c r="AB749" s="110" t="b">
        <f>IF(preDEL!$AG749,IFERROR(0/0,""),preDEL!AB749)</f>
        <v>0</v>
      </c>
      <c r="AC749" s="172">
        <f>IF(preDEL!$AG749,IFERROR(0/0,""),preDEL!AC749)</f>
        <v>74</v>
      </c>
      <c r="AD749" s="104" t="b">
        <f>IF(preDEL!$AG749,IFERROR(0/0,""),preDEL!AD749)</f>
        <v>0</v>
      </c>
      <c r="AE749" s="173">
        <f>IF(preDEL!$AG749,IFERROR(0/0,""),preDEL!AE749)</f>
        <v>200.9666667</v>
      </c>
      <c r="AF749" s="110" t="b">
        <f>IF(preDEL!$AG749,IFERROR(0/0,""),preDEL!AF749)</f>
        <v>0</v>
      </c>
      <c r="AG749" s="110" t="b">
        <f>IF(preDEL!$AG749,IFERROR(0/0,""),preDEL!AG749)</f>
        <v>0</v>
      </c>
      <c r="AH749" s="104" t="str">
        <f>IF(preDEL!$AG749,IFERROR(0/0,""),preDEL!AH749)</f>
        <v/>
      </c>
      <c r="AI749" s="105" t="str">
        <f>IF(preDEL!$AG749,IFERROR(0/0,""),preDEL!AI749)</f>
        <v/>
      </c>
      <c r="AJ749" s="112" t="str">
        <f>IF(preDEL!$AG749,IFERROR(0/0,""),preDEL!AJ749)</f>
        <v/>
      </c>
      <c r="AK749" s="105" t="str">
        <f>IF(preDEL!$AG749,IFERROR(0/0,""),preDEL!AK749)</f>
        <v>Negative</v>
      </c>
      <c r="AL749" s="112" t="str">
        <f>IF(preDEL!$AG749,IFERROR(0/0,""),preDEL!AL749)</f>
        <v/>
      </c>
      <c r="AM749" s="112" t="str">
        <f>IF(preDEL!$AG749,IFERROR(0/0,""),preDEL!AM749)</f>
        <v>SpBEND982485</v>
      </c>
      <c r="AN749" s="112" t="str">
        <f>IF(preDEL!$AG749,IFERROR(0/0,""),preDEL!AN749)</f>
        <v>BEND186672</v>
      </c>
      <c r="AO749" s="112" t="str">
        <f>IF(preDEL!$AG749,IFERROR(0/0,""),preDEL!AO749)</f>
        <v/>
      </c>
      <c r="AP749" s="112" t="str">
        <f>IF(preDEL!$AG749,IFERROR(0/0,""),preDEL!AP749)</f>
        <v/>
      </c>
      <c r="AQ749" s="112" t="str">
        <f>IF(preDEL!$AG749,IFERROR(0/0,""),preDEL!AQ749)</f>
        <v/>
      </c>
      <c r="AR749" s="112" t="str">
        <f>IF(preDEL!$AG749,IFERROR(0/0,""),preDEL!AR749)</f>
        <v/>
      </c>
      <c r="AS749" s="112" t="str">
        <f>IF(preDEL!$AG749,IFERROR(0/0,""),preDEL!AS749)</f>
        <v/>
      </c>
      <c r="AT749" s="112" t="b">
        <f>IF(preDEL!$AG749,IFERROR(0/0,""),preDEL!AT749)</f>
        <v>0</v>
      </c>
      <c r="AU749" s="112" t="str">
        <f>IF(preDEL!$AG749,IFERROR(0/0,""),preDEL!AU749)</f>
        <v/>
      </c>
      <c r="AV749" s="112" t="str">
        <f>IF(preDEL!$AG749,IFERROR(0/0,""),preDEL!AV749)</f>
        <v/>
      </c>
      <c r="AW749" s="112" t="str">
        <f>IF(preDEL!$AG749,IFERROR(0/0,""),preDEL!AW749)</f>
        <v/>
      </c>
      <c r="AX749" s="112" t="str">
        <f>IF(preDEL!$AG749,IFERROR(0/0,""),preDEL!AX749)</f>
        <v/>
      </c>
      <c r="AY749" s="112" t="str">
        <f>IF(preDEL!$AG749,IFERROR(0/0,""),preDEL!AY749)</f>
        <v/>
      </c>
      <c r="AZ749" s="174"/>
      <c r="BA749" s="174"/>
      <c r="BB749" s="174"/>
      <c r="BC749" s="174"/>
      <c r="BD749" s="174"/>
      <c r="BE749" s="174"/>
      <c r="BF749" s="174"/>
      <c r="BG749" s="174"/>
      <c r="BH749" s="174"/>
      <c r="BI749" s="174"/>
      <c r="BJ749" s="174"/>
      <c r="BK749" s="174"/>
      <c r="BL749" s="174"/>
      <c r="BM749" s="174"/>
      <c r="BN749" s="174"/>
      <c r="BO749" s="174"/>
      <c r="BP749" s="174"/>
      <c r="BQ749" s="174"/>
      <c r="BR749" s="174"/>
      <c r="BS749" s="174"/>
      <c r="BT749" s="174"/>
      <c r="BU749" s="174"/>
      <c r="BV749" s="174"/>
      <c r="BW749" s="174"/>
      <c r="BX749" s="174"/>
      <c r="BY749" s="174"/>
      <c r="BZ749" s="174"/>
      <c r="CA749" s="174"/>
      <c r="CB749" s="174"/>
      <c r="CC749" s="174"/>
      <c r="CD749" s="174"/>
    </row>
    <row r="750">
      <c r="A750" s="105" t="str">
        <f>IF(preDEL!$AG750,IFERROR(0/0,""),preDEL!A750)</f>
        <v>FM367</v>
      </c>
      <c r="B750" s="170">
        <f>IF(preDEL!$AG750,IFERROR(0/0,""),preDEL!B750)</f>
        <v>44627</v>
      </c>
      <c r="C750" s="171">
        <f>IF(preDEL!$AG750,IFERROR(0/0,""),preDEL!C750)</f>
        <v>0.3385300926</v>
      </c>
      <c r="D750" s="105" t="str">
        <f>IF(preDEL!$AG750,IFERROR(0/0,""),preDEL!D750)</f>
        <v/>
      </c>
      <c r="E750" s="105" t="str">
        <f>IF(preDEL!$AG750,IFERROR(0/0,""),preDEL!E750)</f>
        <v/>
      </c>
      <c r="F750" s="112" t="str">
        <f>IF(preDEL!$AG750,IFERROR(0/0,""),preDEL!F750)</f>
        <v/>
      </c>
      <c r="G750" s="112" t="str">
        <f>IF(preDEL!$AG750,IFERROR(0/0,""),preDEL!G750)</f>
        <v/>
      </c>
      <c r="H750" s="112" t="str">
        <f>IF(preDEL!$AG750,IFERROR(0/0,""),preDEL!H750)</f>
        <v/>
      </c>
      <c r="I750" s="105" t="str">
        <f>IF(preDEL!$AG750,IFERROR(0/0,""),preDEL!I750)</f>
        <v/>
      </c>
      <c r="J750" s="105" t="str">
        <f>IF(preDEL!$AG750,IFERROR(0/0,""),preDEL!J750)</f>
        <v/>
      </c>
      <c r="K750" s="105" t="str">
        <f>IF(preDEL!$AG750,IFERROR(0/0,""),preDEL!K750)</f>
        <v>Negative</v>
      </c>
      <c r="L750" s="170">
        <f>IF(preDEL!$AG750,IFERROR(0/0,""),preDEL!L750)</f>
        <v>44627</v>
      </c>
      <c r="M750" s="171">
        <f>IF(preDEL!$AG750,IFERROR(0/0,""),preDEL!M750)</f>
        <v>0.4779050926</v>
      </c>
      <c r="N750" s="112" t="str">
        <f>IF(preDEL!$AG750,IFERROR(0/0,""),preDEL!N750)</f>
        <v/>
      </c>
      <c r="O750" s="112" t="str">
        <f>IF(preDEL!$AG750,IFERROR(0/0,""),preDEL!O750)</f>
        <v/>
      </c>
      <c r="P750" s="110" t="b">
        <f>IF(preDEL!$AG750,IFERROR(0/0,""),preDEL!P750)</f>
        <v>0</v>
      </c>
      <c r="Q750" s="110" t="str">
        <f>IF(preDEL!$AG750,IFERROR(0/0,""),preDEL!Q750)</f>
        <v>Result</v>
      </c>
      <c r="R750" s="104" t="b">
        <f>IF(preDEL!$AG750,IFERROR(0/0,""),preDEL!R750)</f>
        <v>1</v>
      </c>
      <c r="S750" s="104">
        <f>IF(preDEL!$AG750,IFERROR(0/0,""),preDEL!S750)</f>
        <v>1</v>
      </c>
      <c r="T750" s="110" t="str">
        <f>IF(preDEL!$AG750,IFERROR(0/0,""),preDEL!T750)</f>
        <v/>
      </c>
      <c r="U750" s="112" t="str">
        <f>IF(preDEL!$AG750,IFERROR(0/0,""),preDEL!U750)</f>
        <v/>
      </c>
      <c r="V750" s="105" t="str">
        <f>IF(preDEL!$AG750,IFERROR(0/0,""),preDEL!V750)</f>
        <v/>
      </c>
      <c r="W750" s="112" t="str">
        <f>IF(preDEL!$AG750,IFERROR(0/0,""),preDEL!W750)</f>
        <v/>
      </c>
      <c r="X750" s="104" t="b">
        <f>IF(preDEL!$AG750,IFERROR(0/0,""),preDEL!X750)</f>
        <v>0</v>
      </c>
      <c r="Y750" s="110" t="b">
        <f>IF(preDEL!$AG750,IFERROR(0/0,""),preDEL!Y750)</f>
        <v>0</v>
      </c>
      <c r="Z750" s="105" t="str">
        <f>IF(preDEL!$AG750,IFERROR(0/0,""),preDEL!Z750)</f>
        <v/>
      </c>
      <c r="AA750" s="110" t="b">
        <f>IF(preDEL!$AG750,IFERROR(0/0,""),preDEL!AA750)</f>
        <v>0</v>
      </c>
      <c r="AB750" s="110" t="b">
        <f>IF(preDEL!$AG750,IFERROR(0/0,""),preDEL!AB750)</f>
        <v>0</v>
      </c>
      <c r="AC750" s="172">
        <f>IF(preDEL!$AG750,IFERROR(0/0,""),preDEL!AC750)</f>
        <v>73</v>
      </c>
      <c r="AD750" s="104" t="b">
        <f>IF(preDEL!$AG750,IFERROR(0/0,""),preDEL!AD750)</f>
        <v>0</v>
      </c>
      <c r="AE750" s="173">
        <f>IF(preDEL!$AG750,IFERROR(0/0,""),preDEL!AE750)</f>
        <v>200.7</v>
      </c>
      <c r="AF750" s="110" t="b">
        <f>IF(preDEL!$AG750,IFERROR(0/0,""),preDEL!AF750)</f>
        <v>0</v>
      </c>
      <c r="AG750" s="110" t="b">
        <f>IF(preDEL!$AG750,IFERROR(0/0,""),preDEL!AG750)</f>
        <v>0</v>
      </c>
      <c r="AH750" s="104" t="str">
        <f>IF(preDEL!$AG750,IFERROR(0/0,""),preDEL!AH750)</f>
        <v/>
      </c>
      <c r="AI750" s="105" t="str">
        <f>IF(preDEL!$AG750,IFERROR(0/0,""),preDEL!AI750)</f>
        <v/>
      </c>
      <c r="AJ750" s="112" t="str">
        <f>IF(preDEL!$AG750,IFERROR(0/0,""),preDEL!AJ750)</f>
        <v/>
      </c>
      <c r="AK750" s="105" t="str">
        <f>IF(preDEL!$AG750,IFERROR(0/0,""),preDEL!AK750)</f>
        <v>Negative</v>
      </c>
      <c r="AL750" s="112" t="str">
        <f>IF(preDEL!$AG750,IFERROR(0/0,""),preDEL!AL750)</f>
        <v/>
      </c>
      <c r="AM750" s="112" t="str">
        <f>IF(preDEL!$AG750,IFERROR(0/0,""),preDEL!AM750)</f>
        <v>SpBEND331858</v>
      </c>
      <c r="AN750" s="112" t="str">
        <f>IF(preDEL!$AG750,IFERROR(0/0,""),preDEL!AN750)</f>
        <v>BEND886229</v>
      </c>
      <c r="AO750" s="112" t="str">
        <f>IF(preDEL!$AG750,IFERROR(0/0,""),preDEL!AO750)</f>
        <v/>
      </c>
      <c r="AP750" s="112" t="str">
        <f>IF(preDEL!$AG750,IFERROR(0/0,""),preDEL!AP750)</f>
        <v/>
      </c>
      <c r="AQ750" s="112" t="str">
        <f>IF(preDEL!$AG750,IFERROR(0/0,""),preDEL!AQ750)</f>
        <v/>
      </c>
      <c r="AR750" s="112" t="str">
        <f>IF(preDEL!$AG750,IFERROR(0/0,""),preDEL!AR750)</f>
        <v/>
      </c>
      <c r="AS750" s="112" t="str">
        <f>IF(preDEL!$AG750,IFERROR(0/0,""),preDEL!AS750)</f>
        <v/>
      </c>
      <c r="AT750" s="112" t="b">
        <f>IF(preDEL!$AG750,IFERROR(0/0,""),preDEL!AT750)</f>
        <v>0</v>
      </c>
      <c r="AU750" s="112" t="str">
        <f>IF(preDEL!$AG750,IFERROR(0/0,""),preDEL!AU750)</f>
        <v/>
      </c>
      <c r="AV750" s="112" t="str">
        <f>IF(preDEL!$AG750,IFERROR(0/0,""),preDEL!AV750)</f>
        <v/>
      </c>
      <c r="AW750" s="112" t="str">
        <f>IF(preDEL!$AG750,IFERROR(0/0,""),preDEL!AW750)</f>
        <v/>
      </c>
      <c r="AX750" s="112" t="str">
        <f>IF(preDEL!$AG750,IFERROR(0/0,""),preDEL!AX750)</f>
        <v/>
      </c>
      <c r="AY750" s="112" t="str">
        <f>IF(preDEL!$AG750,IFERROR(0/0,""),preDEL!AY750)</f>
        <v/>
      </c>
      <c r="AZ750" s="174"/>
      <c r="BA750" s="174"/>
      <c r="BB750" s="174"/>
      <c r="BC750" s="174"/>
      <c r="BD750" s="174"/>
      <c r="BE750" s="174"/>
      <c r="BF750" s="174"/>
      <c r="BG750" s="174"/>
      <c r="BH750" s="174"/>
      <c r="BI750" s="174"/>
      <c r="BJ750" s="174"/>
      <c r="BK750" s="174"/>
      <c r="BL750" s="174"/>
      <c r="BM750" s="174"/>
      <c r="BN750" s="174"/>
      <c r="BO750" s="174"/>
      <c r="BP750" s="174"/>
      <c r="BQ750" s="174"/>
      <c r="BR750" s="174"/>
      <c r="BS750" s="174"/>
      <c r="BT750" s="174"/>
      <c r="BU750" s="174"/>
      <c r="BV750" s="174"/>
      <c r="BW750" s="174"/>
      <c r="BX750" s="174"/>
      <c r="BY750" s="174"/>
      <c r="BZ750" s="174"/>
      <c r="CA750" s="174"/>
      <c r="CB750" s="174"/>
      <c r="CC750" s="174"/>
      <c r="CD750" s="174"/>
    </row>
    <row r="751">
      <c r="A751" s="105" t="str">
        <f>IF(preDEL!$AG751,IFERROR(0/0,""),preDEL!A751)</f>
        <v>FM413</v>
      </c>
      <c r="B751" s="170">
        <f>IF(preDEL!$AG751,IFERROR(0/0,""),preDEL!B751)</f>
        <v>44627</v>
      </c>
      <c r="C751" s="171">
        <f>IF(preDEL!$AG751,IFERROR(0/0,""),preDEL!C751)</f>
        <v>0.3386458333</v>
      </c>
      <c r="D751" s="105" t="str">
        <f>IF(preDEL!$AG751,IFERROR(0/0,""),preDEL!D751)</f>
        <v/>
      </c>
      <c r="E751" s="105" t="str">
        <f>IF(preDEL!$AG751,IFERROR(0/0,""),preDEL!E751)</f>
        <v/>
      </c>
      <c r="F751" s="112" t="str">
        <f>IF(preDEL!$AG751,IFERROR(0/0,""),preDEL!F751)</f>
        <v/>
      </c>
      <c r="G751" s="112" t="str">
        <f>IF(preDEL!$AG751,IFERROR(0/0,""),preDEL!G751)</f>
        <v/>
      </c>
      <c r="H751" s="112" t="str">
        <f>IF(preDEL!$AG751,IFERROR(0/0,""),preDEL!H751)</f>
        <v/>
      </c>
      <c r="I751" s="105" t="str">
        <f>IF(preDEL!$AG751,IFERROR(0/0,""),preDEL!I751)</f>
        <v/>
      </c>
      <c r="J751" s="105" t="str">
        <f>IF(preDEL!$AG751,IFERROR(0/0,""),preDEL!J751)</f>
        <v/>
      </c>
      <c r="K751" s="105" t="str">
        <f>IF(preDEL!$AG751,IFERROR(0/0,""),preDEL!K751)</f>
        <v>Negative</v>
      </c>
      <c r="L751" s="170">
        <f>IF(preDEL!$AG751,IFERROR(0/0,""),preDEL!L751)</f>
        <v>44627</v>
      </c>
      <c r="M751" s="171">
        <f>IF(preDEL!$AG751,IFERROR(0/0,""),preDEL!M751)</f>
        <v>0.4779050926</v>
      </c>
      <c r="N751" s="112" t="str">
        <f>IF(preDEL!$AG751,IFERROR(0/0,""),preDEL!N751)</f>
        <v/>
      </c>
      <c r="O751" s="112" t="str">
        <f>IF(preDEL!$AG751,IFERROR(0/0,""),preDEL!O751)</f>
        <v/>
      </c>
      <c r="P751" s="110" t="b">
        <f>IF(preDEL!$AG751,IFERROR(0/0,""),preDEL!P751)</f>
        <v>0</v>
      </c>
      <c r="Q751" s="110" t="str">
        <f>IF(preDEL!$AG751,IFERROR(0/0,""),preDEL!Q751)</f>
        <v>Result</v>
      </c>
      <c r="R751" s="104" t="b">
        <f>IF(preDEL!$AG751,IFERROR(0/0,""),preDEL!R751)</f>
        <v>1</v>
      </c>
      <c r="S751" s="104">
        <f>IF(preDEL!$AG751,IFERROR(0/0,""),preDEL!S751)</f>
        <v>1</v>
      </c>
      <c r="T751" s="110" t="str">
        <f>IF(preDEL!$AG751,IFERROR(0/0,""),preDEL!T751)</f>
        <v/>
      </c>
      <c r="U751" s="112" t="str">
        <f>IF(preDEL!$AG751,IFERROR(0/0,""),preDEL!U751)</f>
        <v/>
      </c>
      <c r="V751" s="105" t="str">
        <f>IF(preDEL!$AG751,IFERROR(0/0,""),preDEL!V751)</f>
        <v/>
      </c>
      <c r="W751" s="112" t="str">
        <f>IF(preDEL!$AG751,IFERROR(0/0,""),preDEL!W751)</f>
        <v/>
      </c>
      <c r="X751" s="104" t="b">
        <f>IF(preDEL!$AG751,IFERROR(0/0,""),preDEL!X751)</f>
        <v>0</v>
      </c>
      <c r="Y751" s="110" t="b">
        <f>IF(preDEL!$AG751,IFERROR(0/0,""),preDEL!Y751)</f>
        <v>0</v>
      </c>
      <c r="Z751" s="105" t="str">
        <f>IF(preDEL!$AG751,IFERROR(0/0,""),preDEL!Z751)</f>
        <v/>
      </c>
      <c r="AA751" s="110" t="b">
        <f>IF(preDEL!$AG751,IFERROR(0/0,""),preDEL!AA751)</f>
        <v>0</v>
      </c>
      <c r="AB751" s="110" t="b">
        <f>IF(preDEL!$AG751,IFERROR(0/0,""),preDEL!AB751)</f>
        <v>0</v>
      </c>
      <c r="AC751" s="172">
        <f>IF(preDEL!$AG751,IFERROR(0/0,""),preDEL!AC751)</f>
        <v>72</v>
      </c>
      <c r="AD751" s="104" t="b">
        <f>IF(preDEL!$AG751,IFERROR(0/0,""),preDEL!AD751)</f>
        <v>0</v>
      </c>
      <c r="AE751" s="173">
        <f>IF(preDEL!$AG751,IFERROR(0/0,""),preDEL!AE751)</f>
        <v>200.5333333</v>
      </c>
      <c r="AF751" s="110" t="b">
        <f>IF(preDEL!$AG751,IFERROR(0/0,""),preDEL!AF751)</f>
        <v>0</v>
      </c>
      <c r="AG751" s="110" t="b">
        <f>IF(preDEL!$AG751,IFERROR(0/0,""),preDEL!AG751)</f>
        <v>0</v>
      </c>
      <c r="AH751" s="104" t="str">
        <f>IF(preDEL!$AG751,IFERROR(0/0,""),preDEL!AH751)</f>
        <v/>
      </c>
      <c r="AI751" s="105" t="str">
        <f>IF(preDEL!$AG751,IFERROR(0/0,""),preDEL!AI751)</f>
        <v/>
      </c>
      <c r="AJ751" s="112" t="str">
        <f>IF(preDEL!$AG751,IFERROR(0/0,""),preDEL!AJ751)</f>
        <v/>
      </c>
      <c r="AK751" s="105" t="str">
        <f>IF(preDEL!$AG751,IFERROR(0/0,""),preDEL!AK751)</f>
        <v>Negative</v>
      </c>
      <c r="AL751" s="112" t="str">
        <f>IF(preDEL!$AG751,IFERROR(0/0,""),preDEL!AL751)</f>
        <v/>
      </c>
      <c r="AM751" s="112" t="str">
        <f>IF(preDEL!$AG751,IFERROR(0/0,""),preDEL!AM751)</f>
        <v>SpBEND652059</v>
      </c>
      <c r="AN751" s="112" t="str">
        <f>IF(preDEL!$AG751,IFERROR(0/0,""),preDEL!AN751)</f>
        <v>BEND520608</v>
      </c>
      <c r="AO751" s="112" t="str">
        <f>IF(preDEL!$AG751,IFERROR(0/0,""),preDEL!AO751)</f>
        <v/>
      </c>
      <c r="AP751" s="112" t="str">
        <f>IF(preDEL!$AG751,IFERROR(0/0,""),preDEL!AP751)</f>
        <v/>
      </c>
      <c r="AQ751" s="112" t="str">
        <f>IF(preDEL!$AG751,IFERROR(0/0,""),preDEL!AQ751)</f>
        <v/>
      </c>
      <c r="AR751" s="112" t="str">
        <f>IF(preDEL!$AG751,IFERROR(0/0,""),preDEL!AR751)</f>
        <v/>
      </c>
      <c r="AS751" s="112" t="str">
        <f>IF(preDEL!$AG751,IFERROR(0/0,""),preDEL!AS751)</f>
        <v/>
      </c>
      <c r="AT751" s="112" t="b">
        <f>IF(preDEL!$AG751,IFERROR(0/0,""),preDEL!AT751)</f>
        <v>0</v>
      </c>
      <c r="AU751" s="112" t="str">
        <f>IF(preDEL!$AG751,IFERROR(0/0,""),preDEL!AU751)</f>
        <v/>
      </c>
      <c r="AV751" s="112" t="str">
        <f>IF(preDEL!$AG751,IFERROR(0/0,""),preDEL!AV751)</f>
        <v/>
      </c>
      <c r="AW751" s="112" t="str">
        <f>IF(preDEL!$AG751,IFERROR(0/0,""),preDEL!AW751)</f>
        <v/>
      </c>
      <c r="AX751" s="112" t="str">
        <f>IF(preDEL!$AG751,IFERROR(0/0,""),preDEL!AX751)</f>
        <v/>
      </c>
      <c r="AY751" s="112" t="str">
        <f>IF(preDEL!$AG751,IFERROR(0/0,""),preDEL!AY751)</f>
        <v/>
      </c>
      <c r="AZ751" s="174"/>
      <c r="BA751" s="174"/>
      <c r="BB751" s="174"/>
      <c r="BC751" s="174"/>
      <c r="BD751" s="174"/>
      <c r="BE751" s="174"/>
      <c r="BF751" s="174"/>
      <c r="BG751" s="174"/>
      <c r="BH751" s="174"/>
      <c r="BI751" s="174"/>
      <c r="BJ751" s="174"/>
      <c r="BK751" s="174"/>
      <c r="BL751" s="174"/>
      <c r="BM751" s="174"/>
      <c r="BN751" s="174"/>
      <c r="BO751" s="174"/>
      <c r="BP751" s="174"/>
      <c r="BQ751" s="174"/>
      <c r="BR751" s="174"/>
      <c r="BS751" s="174"/>
      <c r="BT751" s="174"/>
      <c r="BU751" s="174"/>
      <c r="BV751" s="174"/>
      <c r="BW751" s="174"/>
      <c r="BX751" s="174"/>
      <c r="BY751" s="174"/>
      <c r="BZ751" s="174"/>
      <c r="CA751" s="174"/>
      <c r="CB751" s="174"/>
      <c r="CC751" s="174"/>
      <c r="CD751" s="174"/>
    </row>
    <row r="752">
      <c r="A752" s="105" t="str">
        <f>IF(preDEL!$AG752,IFERROR(0/0,""),preDEL!A752)</f>
        <v>MA314</v>
      </c>
      <c r="B752" s="170">
        <f>IF(preDEL!$AG752,IFERROR(0/0,""),preDEL!B752)</f>
        <v>44627</v>
      </c>
      <c r="C752" s="171">
        <f>IF(preDEL!$AG752,IFERROR(0/0,""),preDEL!C752)</f>
        <v>0.3476967593</v>
      </c>
      <c r="D752" s="105" t="str">
        <f>IF(preDEL!$AG752,IFERROR(0/0,""),preDEL!D752)</f>
        <v/>
      </c>
      <c r="E752" s="105" t="str">
        <f>IF(preDEL!$AG752,IFERROR(0/0,""),preDEL!E752)</f>
        <v/>
      </c>
      <c r="F752" s="112" t="str">
        <f>IF(preDEL!$AG752,IFERROR(0/0,""),preDEL!F752)</f>
        <v/>
      </c>
      <c r="G752" s="112" t="str">
        <f>IF(preDEL!$AG752,IFERROR(0/0,""),preDEL!G752)</f>
        <v/>
      </c>
      <c r="H752" s="112" t="str">
        <f>IF(preDEL!$AG752,IFERROR(0/0,""),preDEL!H752)</f>
        <v/>
      </c>
      <c r="I752" s="105" t="str">
        <f>IF(preDEL!$AG752,IFERROR(0/0,""),preDEL!I752)</f>
        <v/>
      </c>
      <c r="J752" s="105" t="str">
        <f>IF(preDEL!$AG752,IFERROR(0/0,""),preDEL!J752)</f>
        <v/>
      </c>
      <c r="K752" s="105" t="str">
        <f>IF(preDEL!$AG752,IFERROR(0/0,""),preDEL!K752)</f>
        <v>Negative</v>
      </c>
      <c r="L752" s="170">
        <f>IF(preDEL!$AG752,IFERROR(0/0,""),preDEL!L752)</f>
        <v>44627</v>
      </c>
      <c r="M752" s="171">
        <f>IF(preDEL!$AG752,IFERROR(0/0,""),preDEL!M752)</f>
        <v>0.4779050926</v>
      </c>
      <c r="N752" s="112" t="str">
        <f>IF(preDEL!$AG752,IFERROR(0/0,""),preDEL!N752)</f>
        <v/>
      </c>
      <c r="O752" s="112" t="str">
        <f>IF(preDEL!$AG752,IFERROR(0/0,""),preDEL!O752)</f>
        <v/>
      </c>
      <c r="P752" s="110" t="b">
        <f>IF(preDEL!$AG752,IFERROR(0/0,""),preDEL!P752)</f>
        <v>0</v>
      </c>
      <c r="Q752" s="110" t="str">
        <f>IF(preDEL!$AG752,IFERROR(0/0,""),preDEL!Q752)</f>
        <v>Result</v>
      </c>
      <c r="R752" s="104" t="b">
        <f>IF(preDEL!$AG752,IFERROR(0/0,""),preDEL!R752)</f>
        <v>1</v>
      </c>
      <c r="S752" s="104">
        <f>IF(preDEL!$AG752,IFERROR(0/0,""),preDEL!S752)</f>
        <v>1</v>
      </c>
      <c r="T752" s="110" t="str">
        <f>IF(preDEL!$AG752,IFERROR(0/0,""),preDEL!T752)</f>
        <v/>
      </c>
      <c r="U752" s="112" t="str">
        <f>IF(preDEL!$AG752,IFERROR(0/0,""),preDEL!U752)</f>
        <v/>
      </c>
      <c r="V752" s="105" t="str">
        <f>IF(preDEL!$AG752,IFERROR(0/0,""),preDEL!V752)</f>
        <v/>
      </c>
      <c r="W752" s="112" t="str">
        <f>IF(preDEL!$AG752,IFERROR(0/0,""),preDEL!W752)</f>
        <v/>
      </c>
      <c r="X752" s="104" t="b">
        <f>IF(preDEL!$AG752,IFERROR(0/0,""),preDEL!X752)</f>
        <v>0</v>
      </c>
      <c r="Y752" s="110" t="b">
        <f>IF(preDEL!$AG752,IFERROR(0/0,""),preDEL!Y752)</f>
        <v>0</v>
      </c>
      <c r="Z752" s="105" t="str">
        <f>IF(preDEL!$AG752,IFERROR(0/0,""),preDEL!Z752)</f>
        <v/>
      </c>
      <c r="AA752" s="110" t="b">
        <f>IF(preDEL!$AG752,IFERROR(0/0,""),preDEL!AA752)</f>
        <v>0</v>
      </c>
      <c r="AB752" s="110" t="b">
        <f>IF(preDEL!$AG752,IFERROR(0/0,""),preDEL!AB752)</f>
        <v>0</v>
      </c>
      <c r="AC752" s="172">
        <f>IF(preDEL!$AG752,IFERROR(0/0,""),preDEL!AC752)</f>
        <v>70</v>
      </c>
      <c r="AD752" s="104" t="b">
        <f>IF(preDEL!$AG752,IFERROR(0/0,""),preDEL!AD752)</f>
        <v>0</v>
      </c>
      <c r="AE752" s="173">
        <f>IF(preDEL!$AG752,IFERROR(0/0,""),preDEL!AE752)</f>
        <v>187.5</v>
      </c>
      <c r="AF752" s="110" t="b">
        <f>IF(preDEL!$AG752,IFERROR(0/0,""),preDEL!AF752)</f>
        <v>0</v>
      </c>
      <c r="AG752" s="110" t="b">
        <f>IF(preDEL!$AG752,IFERROR(0/0,""),preDEL!AG752)</f>
        <v>0</v>
      </c>
      <c r="AH752" s="104" t="str">
        <f>IF(preDEL!$AG752,IFERROR(0/0,""),preDEL!AH752)</f>
        <v/>
      </c>
      <c r="AI752" s="105" t="str">
        <f>IF(preDEL!$AG752,IFERROR(0/0,""),preDEL!AI752)</f>
        <v/>
      </c>
      <c r="AJ752" s="112" t="str">
        <f>IF(preDEL!$AG752,IFERROR(0/0,""),preDEL!AJ752)</f>
        <v/>
      </c>
      <c r="AK752" s="105" t="str">
        <f>IF(preDEL!$AG752,IFERROR(0/0,""),preDEL!AK752)</f>
        <v>Negative</v>
      </c>
      <c r="AL752" s="112" t="str">
        <f>IF(preDEL!$AG752,IFERROR(0/0,""),preDEL!AL752)</f>
        <v/>
      </c>
      <c r="AM752" s="112" t="str">
        <f>IF(preDEL!$AG752,IFERROR(0/0,""),preDEL!AM752)</f>
        <v>SpBEND985296</v>
      </c>
      <c r="AN752" s="112" t="str">
        <f>IF(preDEL!$AG752,IFERROR(0/0,""),preDEL!AN752)</f>
        <v>BEND326601</v>
      </c>
      <c r="AO752" s="112" t="str">
        <f>IF(preDEL!$AG752,IFERROR(0/0,""),preDEL!AO752)</f>
        <v/>
      </c>
      <c r="AP752" s="112" t="str">
        <f>IF(preDEL!$AG752,IFERROR(0/0,""),preDEL!AP752)</f>
        <v/>
      </c>
      <c r="AQ752" s="112" t="str">
        <f>IF(preDEL!$AG752,IFERROR(0/0,""),preDEL!AQ752)</f>
        <v/>
      </c>
      <c r="AR752" s="112" t="str">
        <f>IF(preDEL!$AG752,IFERROR(0/0,""),preDEL!AR752)</f>
        <v/>
      </c>
      <c r="AS752" s="112" t="str">
        <f>IF(preDEL!$AG752,IFERROR(0/0,""),preDEL!AS752)</f>
        <v/>
      </c>
      <c r="AT752" s="112" t="b">
        <f>IF(preDEL!$AG752,IFERROR(0/0,""),preDEL!AT752)</f>
        <v>0</v>
      </c>
      <c r="AU752" s="112" t="str">
        <f>IF(preDEL!$AG752,IFERROR(0/0,""),preDEL!AU752)</f>
        <v/>
      </c>
      <c r="AV752" s="112" t="str">
        <f>IF(preDEL!$AG752,IFERROR(0/0,""),preDEL!AV752)</f>
        <v/>
      </c>
      <c r="AW752" s="112" t="str">
        <f>IF(preDEL!$AG752,IFERROR(0/0,""),preDEL!AW752)</f>
        <v/>
      </c>
      <c r="AX752" s="112" t="str">
        <f>IF(preDEL!$AG752,IFERROR(0/0,""),preDEL!AX752)</f>
        <v/>
      </c>
      <c r="AY752" s="112" t="str">
        <f>IF(preDEL!$AG752,IFERROR(0/0,""),preDEL!AY752)</f>
        <v/>
      </c>
      <c r="AZ752" s="174"/>
      <c r="BA752" s="174"/>
      <c r="BB752" s="174"/>
      <c r="BC752" s="174"/>
      <c r="BD752" s="174"/>
      <c r="BE752" s="174"/>
      <c r="BF752" s="174"/>
      <c r="BG752" s="174"/>
      <c r="BH752" s="174"/>
      <c r="BI752" s="174"/>
      <c r="BJ752" s="174"/>
      <c r="BK752" s="174"/>
      <c r="BL752" s="174"/>
      <c r="BM752" s="174"/>
      <c r="BN752" s="174"/>
      <c r="BO752" s="174"/>
      <c r="BP752" s="174"/>
      <c r="BQ752" s="174"/>
      <c r="BR752" s="174"/>
      <c r="BS752" s="174"/>
      <c r="BT752" s="174"/>
      <c r="BU752" s="174"/>
      <c r="BV752" s="174"/>
      <c r="BW752" s="174"/>
      <c r="BX752" s="174"/>
      <c r="BY752" s="174"/>
      <c r="BZ752" s="174"/>
      <c r="CA752" s="174"/>
      <c r="CB752" s="174"/>
      <c r="CC752" s="174"/>
      <c r="CD752" s="174"/>
    </row>
    <row r="753">
      <c r="A753" s="105" t="str">
        <f>IF(preDEL!$AG753,IFERROR(0/0,""),preDEL!A753)</f>
        <v>FM2099</v>
      </c>
      <c r="B753" s="170">
        <f>IF(preDEL!$AG753,IFERROR(0/0,""),preDEL!B753)</f>
        <v>44627</v>
      </c>
      <c r="C753" s="171">
        <f>IF(preDEL!$AG753,IFERROR(0/0,""),preDEL!C753)</f>
        <v>0.3519560185</v>
      </c>
      <c r="D753" s="105" t="str">
        <f>IF(preDEL!$AG753,IFERROR(0/0,""),preDEL!D753)</f>
        <v/>
      </c>
      <c r="E753" s="105" t="str">
        <f>IF(preDEL!$AG753,IFERROR(0/0,""),preDEL!E753)</f>
        <v/>
      </c>
      <c r="F753" s="112" t="str">
        <f>IF(preDEL!$AG753,IFERROR(0/0,""),preDEL!F753)</f>
        <v/>
      </c>
      <c r="G753" s="112" t="str">
        <f>IF(preDEL!$AG753,IFERROR(0/0,""),preDEL!G753)</f>
        <v/>
      </c>
      <c r="H753" s="112" t="str">
        <f>IF(preDEL!$AG753,IFERROR(0/0,""),preDEL!H753)</f>
        <v/>
      </c>
      <c r="I753" s="105" t="str">
        <f>IF(preDEL!$AG753,IFERROR(0/0,""),preDEL!I753)</f>
        <v/>
      </c>
      <c r="J753" s="105" t="str">
        <f>IF(preDEL!$AG753,IFERROR(0/0,""),preDEL!J753)</f>
        <v/>
      </c>
      <c r="K753" s="105" t="str">
        <f>IF(preDEL!$AG753,IFERROR(0/0,""),preDEL!K753)</f>
        <v>Negative</v>
      </c>
      <c r="L753" s="170">
        <f>IF(preDEL!$AG753,IFERROR(0/0,""),preDEL!L753)</f>
        <v>44627</v>
      </c>
      <c r="M753" s="171">
        <f>IF(preDEL!$AG753,IFERROR(0/0,""),preDEL!M753)</f>
        <v>0.4779050926</v>
      </c>
      <c r="N753" s="112" t="str">
        <f>IF(preDEL!$AG753,IFERROR(0/0,""),preDEL!N753)</f>
        <v/>
      </c>
      <c r="O753" s="112" t="str">
        <f>IF(preDEL!$AG753,IFERROR(0/0,""),preDEL!O753)</f>
        <v/>
      </c>
      <c r="P753" s="110" t="b">
        <f>IF(preDEL!$AG753,IFERROR(0/0,""),preDEL!P753)</f>
        <v>0</v>
      </c>
      <c r="Q753" s="110" t="str">
        <f>IF(preDEL!$AG753,IFERROR(0/0,""),preDEL!Q753)</f>
        <v>Result</v>
      </c>
      <c r="R753" s="104" t="b">
        <f>IF(preDEL!$AG753,IFERROR(0/0,""),preDEL!R753)</f>
        <v>1</v>
      </c>
      <c r="S753" s="104">
        <f>IF(preDEL!$AG753,IFERROR(0/0,""),preDEL!S753)</f>
        <v>1</v>
      </c>
      <c r="T753" s="110" t="str">
        <f>IF(preDEL!$AG753,IFERROR(0/0,""),preDEL!T753)</f>
        <v/>
      </c>
      <c r="U753" s="112" t="str">
        <f>IF(preDEL!$AG753,IFERROR(0/0,""),preDEL!U753)</f>
        <v/>
      </c>
      <c r="V753" s="105" t="str">
        <f>IF(preDEL!$AG753,IFERROR(0/0,""),preDEL!V753)</f>
        <v/>
      </c>
      <c r="W753" s="112" t="str">
        <f>IF(preDEL!$AG753,IFERROR(0/0,""),preDEL!W753)</f>
        <v/>
      </c>
      <c r="X753" s="104" t="b">
        <f>IF(preDEL!$AG753,IFERROR(0/0,""),preDEL!X753)</f>
        <v>0</v>
      </c>
      <c r="Y753" s="110" t="b">
        <f>IF(preDEL!$AG753,IFERROR(0/0,""),preDEL!Y753)</f>
        <v>0</v>
      </c>
      <c r="Z753" s="105" t="str">
        <f>IF(preDEL!$AG753,IFERROR(0/0,""),preDEL!Z753)</f>
        <v/>
      </c>
      <c r="AA753" s="110" t="b">
        <f>IF(preDEL!$AG753,IFERROR(0/0,""),preDEL!AA753)</f>
        <v>0</v>
      </c>
      <c r="AB753" s="110" t="b">
        <f>IF(preDEL!$AG753,IFERROR(0/0,""),preDEL!AB753)</f>
        <v>0</v>
      </c>
      <c r="AC753" s="172">
        <f>IF(preDEL!$AG753,IFERROR(0/0,""),preDEL!AC753)</f>
        <v>69</v>
      </c>
      <c r="AD753" s="104" t="b">
        <f>IF(preDEL!$AG753,IFERROR(0/0,""),preDEL!AD753)</f>
        <v>0</v>
      </c>
      <c r="AE753" s="173">
        <f>IF(preDEL!$AG753,IFERROR(0/0,""),preDEL!AE753)</f>
        <v>181.3666667</v>
      </c>
      <c r="AF753" s="110" t="b">
        <f>IF(preDEL!$AG753,IFERROR(0/0,""),preDEL!AF753)</f>
        <v>0</v>
      </c>
      <c r="AG753" s="110" t="b">
        <f>IF(preDEL!$AG753,IFERROR(0/0,""),preDEL!AG753)</f>
        <v>0</v>
      </c>
      <c r="AH753" s="104" t="str">
        <f>IF(preDEL!$AG753,IFERROR(0/0,""),preDEL!AH753)</f>
        <v/>
      </c>
      <c r="AI753" s="105" t="str">
        <f>IF(preDEL!$AG753,IFERROR(0/0,""),preDEL!AI753)</f>
        <v/>
      </c>
      <c r="AJ753" s="112" t="str">
        <f>IF(preDEL!$AG753,IFERROR(0/0,""),preDEL!AJ753)</f>
        <v/>
      </c>
      <c r="AK753" s="105" t="str">
        <f>IF(preDEL!$AG753,IFERROR(0/0,""),preDEL!AK753)</f>
        <v>Negative</v>
      </c>
      <c r="AL753" s="112" t="str">
        <f>IF(preDEL!$AG753,IFERROR(0/0,""),preDEL!AL753)</f>
        <v/>
      </c>
      <c r="AM753" s="112" t="str">
        <f>IF(preDEL!$AG753,IFERROR(0/0,""),preDEL!AM753)</f>
        <v>SpBEND611299</v>
      </c>
      <c r="AN753" s="112" t="str">
        <f>IF(preDEL!$AG753,IFERROR(0/0,""),preDEL!AN753)</f>
        <v>BEND244963</v>
      </c>
      <c r="AO753" s="112" t="str">
        <f>IF(preDEL!$AG753,IFERROR(0/0,""),preDEL!AO753)</f>
        <v/>
      </c>
      <c r="AP753" s="112" t="str">
        <f>IF(preDEL!$AG753,IFERROR(0/0,""),preDEL!AP753)</f>
        <v/>
      </c>
      <c r="AQ753" s="112" t="str">
        <f>IF(preDEL!$AG753,IFERROR(0/0,""),preDEL!AQ753)</f>
        <v/>
      </c>
      <c r="AR753" s="112" t="str">
        <f>IF(preDEL!$AG753,IFERROR(0/0,""),preDEL!AR753)</f>
        <v/>
      </c>
      <c r="AS753" s="112" t="str">
        <f>IF(preDEL!$AG753,IFERROR(0/0,""),preDEL!AS753)</f>
        <v/>
      </c>
      <c r="AT753" s="112" t="b">
        <f>IF(preDEL!$AG753,IFERROR(0/0,""),preDEL!AT753)</f>
        <v>0</v>
      </c>
      <c r="AU753" s="112" t="str">
        <f>IF(preDEL!$AG753,IFERROR(0/0,""),preDEL!AU753)</f>
        <v/>
      </c>
      <c r="AV753" s="112" t="str">
        <f>IF(preDEL!$AG753,IFERROR(0/0,""),preDEL!AV753)</f>
        <v/>
      </c>
      <c r="AW753" s="112" t="str">
        <f>IF(preDEL!$AG753,IFERROR(0/0,""),preDEL!AW753)</f>
        <v/>
      </c>
      <c r="AX753" s="112" t="str">
        <f>IF(preDEL!$AG753,IFERROR(0/0,""),preDEL!AX753)</f>
        <v/>
      </c>
      <c r="AY753" s="112" t="str">
        <f>IF(preDEL!$AG753,IFERROR(0/0,""),preDEL!AY753)</f>
        <v/>
      </c>
      <c r="AZ753" s="174"/>
      <c r="BA753" s="174"/>
      <c r="BB753" s="174"/>
      <c r="BC753" s="174"/>
      <c r="BD753" s="174"/>
      <c r="BE753" s="174"/>
      <c r="BF753" s="174"/>
      <c r="BG753" s="174"/>
      <c r="BH753" s="174"/>
      <c r="BI753" s="174"/>
      <c r="BJ753" s="174"/>
      <c r="BK753" s="174"/>
      <c r="BL753" s="174"/>
      <c r="BM753" s="174"/>
      <c r="BN753" s="174"/>
      <c r="BO753" s="174"/>
      <c r="BP753" s="174"/>
      <c r="BQ753" s="174"/>
      <c r="BR753" s="174"/>
      <c r="BS753" s="174"/>
      <c r="BT753" s="174"/>
      <c r="BU753" s="174"/>
      <c r="BV753" s="174"/>
      <c r="BW753" s="174"/>
      <c r="BX753" s="174"/>
      <c r="BY753" s="174"/>
      <c r="BZ753" s="174"/>
      <c r="CA753" s="174"/>
      <c r="CB753" s="174"/>
      <c r="CC753" s="174"/>
      <c r="CD753" s="174"/>
    </row>
    <row r="754">
      <c r="A754" s="105" t="str">
        <f>IF(preDEL!$AG754,IFERROR(0/0,""),preDEL!A754)</f>
        <v>FM2049</v>
      </c>
      <c r="B754" s="170">
        <f>IF(preDEL!$AG754,IFERROR(0/0,""),preDEL!B754)</f>
        <v>44629</v>
      </c>
      <c r="C754" s="171">
        <f>IF(preDEL!$AG754,IFERROR(0/0,""),preDEL!C754)</f>
        <v>0.2939699074</v>
      </c>
      <c r="D754" s="105" t="str">
        <f>IF(preDEL!$AG754,IFERROR(0/0,""),preDEL!D754)</f>
        <v/>
      </c>
      <c r="E754" s="105" t="str">
        <f>IF(preDEL!$AG754,IFERROR(0/0,""),preDEL!E754)</f>
        <v/>
      </c>
      <c r="F754" s="112" t="str">
        <f>IF(preDEL!$AG754,IFERROR(0/0,""),preDEL!F754)</f>
        <v/>
      </c>
      <c r="G754" s="112" t="str">
        <f>IF(preDEL!$AG754,IFERROR(0/0,""),preDEL!G754)</f>
        <v/>
      </c>
      <c r="H754" s="112" t="str">
        <f>IF(preDEL!$AG754,IFERROR(0/0,""),preDEL!H754)</f>
        <v/>
      </c>
      <c r="I754" s="105" t="str">
        <f>IF(preDEL!$AG754,IFERROR(0/0,""),preDEL!I754)</f>
        <v/>
      </c>
      <c r="J754" s="105" t="str">
        <f>IF(preDEL!$AG754,IFERROR(0/0,""),preDEL!J754)</f>
        <v/>
      </c>
      <c r="K754" s="105" t="str">
        <f>IF(preDEL!$AG754,IFERROR(0/0,""),preDEL!K754)</f>
        <v>Negative</v>
      </c>
      <c r="L754" s="170">
        <f>IF(preDEL!$AG754,IFERROR(0/0,""),preDEL!L754)</f>
        <v>44629</v>
      </c>
      <c r="M754" s="171">
        <f>IF(preDEL!$AG754,IFERROR(0/0,""),preDEL!M754)</f>
        <v>0.4994328704</v>
      </c>
      <c r="N754" s="112" t="str">
        <f>IF(preDEL!$AG754,IFERROR(0/0,""),preDEL!N754)</f>
        <v/>
      </c>
      <c r="O754" s="112" t="str">
        <f>IF(preDEL!$AG754,IFERROR(0/0,""),preDEL!O754)</f>
        <v/>
      </c>
      <c r="P754" s="110" t="b">
        <f>IF(preDEL!$AG754,IFERROR(0/0,""),preDEL!P754)</f>
        <v>0</v>
      </c>
      <c r="Q754" s="110" t="str">
        <f>IF(preDEL!$AG754,IFERROR(0/0,""),preDEL!Q754)</f>
        <v>Result</v>
      </c>
      <c r="R754" s="104" t="b">
        <f>IF(preDEL!$AG754,IFERROR(0/0,""),preDEL!R754)</f>
        <v>1</v>
      </c>
      <c r="S754" s="104">
        <f>IF(preDEL!$AG754,IFERROR(0/0,""),preDEL!S754)</f>
        <v>1</v>
      </c>
      <c r="T754" s="110" t="str">
        <f>IF(preDEL!$AG754,IFERROR(0/0,""),preDEL!T754)</f>
        <v/>
      </c>
      <c r="U754" s="112" t="str">
        <f>IF(preDEL!$AG754,IFERROR(0/0,""),preDEL!U754)</f>
        <v/>
      </c>
      <c r="V754" s="105" t="str">
        <f>IF(preDEL!$AG754,IFERROR(0/0,""),preDEL!V754)</f>
        <v/>
      </c>
      <c r="W754" s="112" t="str">
        <f>IF(preDEL!$AG754,IFERROR(0/0,""),preDEL!W754)</f>
        <v/>
      </c>
      <c r="X754" s="104" t="b">
        <f>IF(preDEL!$AG754,IFERROR(0/0,""),preDEL!X754)</f>
        <v>0</v>
      </c>
      <c r="Y754" s="110" t="b">
        <f>IF(preDEL!$AG754,IFERROR(0/0,""),preDEL!Y754)</f>
        <v>0</v>
      </c>
      <c r="Z754" s="105" t="str">
        <f>IF(preDEL!$AG754,IFERROR(0/0,""),preDEL!Z754)</f>
        <v/>
      </c>
      <c r="AA754" s="110" t="b">
        <f>IF(preDEL!$AG754,IFERROR(0/0,""),preDEL!AA754)</f>
        <v>0</v>
      </c>
      <c r="AB754" s="110" t="b">
        <f>IF(preDEL!$AG754,IFERROR(0/0,""),preDEL!AB754)</f>
        <v>0</v>
      </c>
      <c r="AC754" s="172">
        <f>IF(preDEL!$AG754,IFERROR(0/0,""),preDEL!AC754)</f>
        <v>68</v>
      </c>
      <c r="AD754" s="104" t="b">
        <f>IF(preDEL!$AG754,IFERROR(0/0,""),preDEL!AD754)</f>
        <v>0</v>
      </c>
      <c r="AE754" s="173">
        <f>IF(preDEL!$AG754,IFERROR(0/0,""),preDEL!AE754)</f>
        <v>295.8666667</v>
      </c>
      <c r="AF754" s="110" t="b">
        <f>IF(preDEL!$AG754,IFERROR(0/0,""),preDEL!AF754)</f>
        <v>0</v>
      </c>
      <c r="AG754" s="110" t="b">
        <f>IF(preDEL!$AG754,IFERROR(0/0,""),preDEL!AG754)</f>
        <v>0</v>
      </c>
      <c r="AH754" s="104" t="str">
        <f>IF(preDEL!$AG754,IFERROR(0/0,""),preDEL!AH754)</f>
        <v/>
      </c>
      <c r="AI754" s="105" t="str">
        <f>IF(preDEL!$AG754,IFERROR(0/0,""),preDEL!AI754)</f>
        <v/>
      </c>
      <c r="AJ754" s="112" t="str">
        <f>IF(preDEL!$AG754,IFERROR(0/0,""),preDEL!AJ754)</f>
        <v/>
      </c>
      <c r="AK754" s="105" t="str">
        <f>IF(preDEL!$AG754,IFERROR(0/0,""),preDEL!AK754)</f>
        <v>Negative</v>
      </c>
      <c r="AL754" s="112" t="str">
        <f>IF(preDEL!$AG754,IFERROR(0/0,""),preDEL!AL754)</f>
        <v/>
      </c>
      <c r="AM754" s="112" t="str">
        <f>IF(preDEL!$AG754,IFERROR(0/0,""),preDEL!AM754)</f>
        <v>SpBEND757435</v>
      </c>
      <c r="AN754" s="112" t="str">
        <f>IF(preDEL!$AG754,IFERROR(0/0,""),preDEL!AN754)</f>
        <v>BEND281843</v>
      </c>
      <c r="AO754" s="112" t="str">
        <f>IF(preDEL!$AG754,IFERROR(0/0,""),preDEL!AO754)</f>
        <v/>
      </c>
      <c r="AP754" s="112" t="str">
        <f>IF(preDEL!$AG754,IFERROR(0/0,""),preDEL!AP754)</f>
        <v/>
      </c>
      <c r="AQ754" s="112" t="str">
        <f>IF(preDEL!$AG754,IFERROR(0/0,""),preDEL!AQ754)</f>
        <v/>
      </c>
      <c r="AR754" s="112" t="str">
        <f>IF(preDEL!$AG754,IFERROR(0/0,""),preDEL!AR754)</f>
        <v/>
      </c>
      <c r="AS754" s="112" t="str">
        <f>IF(preDEL!$AG754,IFERROR(0/0,""),preDEL!AS754)</f>
        <v/>
      </c>
      <c r="AT754" s="112" t="b">
        <f>IF(preDEL!$AG754,IFERROR(0/0,""),preDEL!AT754)</f>
        <v>0</v>
      </c>
      <c r="AU754" s="112" t="str">
        <f>IF(preDEL!$AG754,IFERROR(0/0,""),preDEL!AU754)</f>
        <v/>
      </c>
      <c r="AV754" s="112" t="str">
        <f>IF(preDEL!$AG754,IFERROR(0/0,""),preDEL!AV754)</f>
        <v/>
      </c>
      <c r="AW754" s="112" t="str">
        <f>IF(preDEL!$AG754,IFERROR(0/0,""),preDEL!AW754)</f>
        <v/>
      </c>
      <c r="AX754" s="112" t="str">
        <f>IF(preDEL!$AG754,IFERROR(0/0,""),preDEL!AX754)</f>
        <v/>
      </c>
      <c r="AY754" s="112" t="str">
        <f>IF(preDEL!$AG754,IFERROR(0/0,""),preDEL!AY754)</f>
        <v/>
      </c>
      <c r="AZ754" s="174"/>
      <c r="BA754" s="174"/>
      <c r="BB754" s="174"/>
      <c r="BC754" s="174"/>
      <c r="BD754" s="174"/>
      <c r="BE754" s="174"/>
      <c r="BF754" s="174"/>
      <c r="BG754" s="174"/>
      <c r="BH754" s="174"/>
      <c r="BI754" s="174"/>
      <c r="BJ754" s="174"/>
      <c r="BK754" s="174"/>
      <c r="BL754" s="174"/>
      <c r="BM754" s="174"/>
      <c r="BN754" s="174"/>
      <c r="BO754" s="174"/>
      <c r="BP754" s="174"/>
      <c r="BQ754" s="174"/>
      <c r="BR754" s="174"/>
      <c r="BS754" s="174"/>
      <c r="BT754" s="174"/>
      <c r="BU754" s="174"/>
      <c r="BV754" s="174"/>
      <c r="BW754" s="174"/>
      <c r="BX754" s="174"/>
      <c r="BY754" s="174"/>
      <c r="BZ754" s="174"/>
      <c r="CA754" s="174"/>
      <c r="CB754" s="174"/>
      <c r="CC754" s="174"/>
      <c r="CD754" s="174"/>
    </row>
    <row r="755">
      <c r="A755" s="105" t="str">
        <f>IF(preDEL!$AG755,IFERROR(0/0,""),preDEL!A755)</f>
        <v>FM395</v>
      </c>
      <c r="B755" s="170">
        <f>IF(preDEL!$AG755,IFERROR(0/0,""),preDEL!B755)</f>
        <v>44629</v>
      </c>
      <c r="C755" s="171">
        <f>IF(preDEL!$AG755,IFERROR(0/0,""),preDEL!C755)</f>
        <v>0.3113657407</v>
      </c>
      <c r="D755" s="105" t="str">
        <f>IF(preDEL!$AG755,IFERROR(0/0,""),preDEL!D755)</f>
        <v/>
      </c>
      <c r="E755" s="105" t="str">
        <f>IF(preDEL!$AG755,IFERROR(0/0,""),preDEL!E755)</f>
        <v/>
      </c>
      <c r="F755" s="112" t="str">
        <f>IF(preDEL!$AG755,IFERROR(0/0,""),preDEL!F755)</f>
        <v/>
      </c>
      <c r="G755" s="112" t="str">
        <f>IF(preDEL!$AG755,IFERROR(0/0,""),preDEL!G755)</f>
        <v/>
      </c>
      <c r="H755" s="112" t="str">
        <f>IF(preDEL!$AG755,IFERROR(0/0,""),preDEL!H755)</f>
        <v/>
      </c>
      <c r="I755" s="105" t="str">
        <f>IF(preDEL!$AG755,IFERROR(0/0,""),preDEL!I755)</f>
        <v/>
      </c>
      <c r="J755" s="105" t="str">
        <f>IF(preDEL!$AG755,IFERROR(0/0,""),preDEL!J755)</f>
        <v/>
      </c>
      <c r="K755" s="105" t="str">
        <f>IF(preDEL!$AG755,IFERROR(0/0,""),preDEL!K755)</f>
        <v>Null</v>
      </c>
      <c r="L755" s="170" t="str">
        <f>IF(preDEL!$AG755,IFERROR(0/0,""),preDEL!L755)</f>
        <v/>
      </c>
      <c r="M755" s="171" t="str">
        <f>IF(preDEL!$AG755,IFERROR(0/0,""),preDEL!M755)</f>
        <v/>
      </c>
      <c r="N755" s="112" t="str">
        <f>IF(preDEL!$AG755,IFERROR(0/0,""),preDEL!N755)</f>
        <v/>
      </c>
      <c r="O755" s="112" t="str">
        <f>IF(preDEL!$AG755,IFERROR(0/0,""),preDEL!O755)</f>
        <v/>
      </c>
      <c r="P755" s="110" t="b">
        <f>IF(preDEL!$AG755,IFERROR(0/0,""),preDEL!P755)</f>
        <v>0</v>
      </c>
      <c r="Q755" s="110" t="str">
        <f>IF(preDEL!$AG755,IFERROR(0/0,""),preDEL!Q755)</f>
        <v>Collected</v>
      </c>
      <c r="R755" s="104" t="b">
        <f>IF(preDEL!$AG755,IFERROR(0/0,""),preDEL!R755)</f>
        <v>1</v>
      </c>
      <c r="S755" s="104">
        <f>IF(preDEL!$AG755,IFERROR(0/0,""),preDEL!S755)</f>
        <v>1</v>
      </c>
      <c r="T755" s="110" t="str">
        <f>IF(preDEL!$AG755,IFERROR(0/0,""),preDEL!T755)</f>
        <v/>
      </c>
      <c r="U755" s="112" t="str">
        <f>IF(preDEL!$AG755,IFERROR(0/0,""),preDEL!U755)</f>
        <v/>
      </c>
      <c r="V755" s="105" t="str">
        <f>IF(preDEL!$AG755,IFERROR(0/0,""),preDEL!V755)</f>
        <v/>
      </c>
      <c r="W755" s="112" t="str">
        <f>IF(preDEL!$AG755,IFERROR(0/0,""),preDEL!W755)</f>
        <v/>
      </c>
      <c r="X755" s="104" t="b">
        <f>IF(preDEL!$AG755,IFERROR(0/0,""),preDEL!X755)</f>
        <v>0</v>
      </c>
      <c r="Y755" s="110" t="b">
        <f>IF(preDEL!$AG755,IFERROR(0/0,""),preDEL!Y755)</f>
        <v>0</v>
      </c>
      <c r="Z755" s="105" t="str">
        <f>IF(preDEL!$AG755,IFERROR(0/0,""),preDEL!Z755)</f>
        <v/>
      </c>
      <c r="AA755" s="110" t="b">
        <f>IF(preDEL!$AG755,IFERROR(0/0,""),preDEL!AA755)</f>
        <v>0</v>
      </c>
      <c r="AB755" s="110" t="b">
        <f>IF(preDEL!$AG755,IFERROR(0/0,""),preDEL!AB755)</f>
        <v>0</v>
      </c>
      <c r="AC755" s="172">
        <f>IF(preDEL!$AG755,IFERROR(0/0,""),preDEL!AC755)</f>
        <v>67</v>
      </c>
      <c r="AD755" s="104" t="b">
        <f>IF(preDEL!$AG755,IFERROR(0/0,""),preDEL!AD755)</f>
        <v>0</v>
      </c>
      <c r="AE755" s="173" t="str">
        <f>IF(preDEL!$AG755,IFERROR(0/0,""),preDEL!AE755)</f>
        <v/>
      </c>
      <c r="AF755" s="110" t="b">
        <f>IF(preDEL!$AG755,IFERROR(0/0,""),preDEL!AF755)</f>
        <v>0</v>
      </c>
      <c r="AG755" s="110" t="b">
        <f>IF(preDEL!$AG755,IFERROR(0/0,""),preDEL!AG755)</f>
        <v>0</v>
      </c>
      <c r="AH755" s="104" t="str">
        <f>IF(preDEL!$AG755,IFERROR(0/0,""),preDEL!AH755)</f>
        <v/>
      </c>
      <c r="AI755" s="105" t="str">
        <f>IF(preDEL!$AG755,IFERROR(0/0,""),preDEL!AI755)</f>
        <v/>
      </c>
      <c r="AJ755" s="112">
        <f>IF(preDEL!$AG755,IFERROR(0/0,""),preDEL!AJ755)</f>
        <v>2</v>
      </c>
      <c r="AK755" s="105" t="str">
        <f>IF(preDEL!$AG755,IFERROR(0/0,""),preDEL!AK755)</f>
        <v>Negative</v>
      </c>
      <c r="AL755" s="112" t="str">
        <f>IF(preDEL!$AG755,IFERROR(0/0,""),preDEL!AL755)</f>
        <v/>
      </c>
      <c r="AM755" s="112" t="str">
        <f>IF(preDEL!$AG755,IFERROR(0/0,""),preDEL!AM755)</f>
        <v>SpBEND548976</v>
      </c>
      <c r="AN755" s="112" t="str">
        <f>IF(preDEL!$AG755,IFERROR(0/0,""),preDEL!AN755)</f>
        <v>BEND704851</v>
      </c>
      <c r="AO755" s="112" t="str">
        <f>IF(preDEL!$AG755,IFERROR(0/0,""),preDEL!AO755)</f>
        <v/>
      </c>
      <c r="AP755" s="112" t="str">
        <f>IF(preDEL!$AG755,IFERROR(0/0,""),preDEL!AP755)</f>
        <v/>
      </c>
      <c r="AQ755" s="112" t="str">
        <f>IF(preDEL!$AG755,IFERROR(0/0,""),preDEL!AQ755)</f>
        <v/>
      </c>
      <c r="AR755" s="112" t="str">
        <f>IF(preDEL!$AG755,IFERROR(0/0,""),preDEL!AR755)</f>
        <v/>
      </c>
      <c r="AS755" s="112" t="str">
        <f>IF(preDEL!$AG755,IFERROR(0/0,""),preDEL!AS755)</f>
        <v/>
      </c>
      <c r="AT755" s="112" t="b">
        <f>IF(preDEL!$AG755,IFERROR(0/0,""),preDEL!AT755)</f>
        <v>0</v>
      </c>
      <c r="AU755" s="112" t="str">
        <f>IF(preDEL!$AG755,IFERROR(0/0,""),preDEL!AU755)</f>
        <v/>
      </c>
      <c r="AV755" s="112" t="str">
        <f>IF(preDEL!$AG755,IFERROR(0/0,""),preDEL!AV755)</f>
        <v/>
      </c>
      <c r="AW755" s="112" t="str">
        <f>IF(preDEL!$AG755,IFERROR(0/0,""),preDEL!AW755)</f>
        <v/>
      </c>
      <c r="AX755" s="112" t="str">
        <f>IF(preDEL!$AG755,IFERROR(0/0,""),preDEL!AX755)</f>
        <v/>
      </c>
      <c r="AY755" s="112" t="str">
        <f>IF(preDEL!$AG755,IFERROR(0/0,""),preDEL!AY755)</f>
        <v/>
      </c>
      <c r="AZ755" s="174"/>
      <c r="BA755" s="174"/>
      <c r="BB755" s="174"/>
      <c r="BC755" s="174"/>
      <c r="BD755" s="174"/>
      <c r="BE755" s="174"/>
      <c r="BF755" s="174"/>
      <c r="BG755" s="174"/>
      <c r="BH755" s="174"/>
      <c r="BI755" s="174"/>
      <c r="BJ755" s="174"/>
      <c r="BK755" s="174"/>
      <c r="BL755" s="174"/>
      <c r="BM755" s="174"/>
      <c r="BN755" s="174"/>
      <c r="BO755" s="174"/>
      <c r="BP755" s="174"/>
      <c r="BQ755" s="174"/>
      <c r="BR755" s="174"/>
      <c r="BS755" s="174"/>
      <c r="BT755" s="174"/>
      <c r="BU755" s="174"/>
      <c r="BV755" s="174"/>
      <c r="BW755" s="174"/>
      <c r="BX755" s="174"/>
      <c r="BY755" s="174"/>
      <c r="BZ755" s="174"/>
      <c r="CA755" s="174"/>
      <c r="CB755" s="174"/>
      <c r="CC755" s="174"/>
      <c r="CD755" s="174"/>
    </row>
    <row r="756">
      <c r="A756" s="105" t="str">
        <f>IF(preDEL!$AG756,IFERROR(0/0,""),preDEL!A756)</f>
        <v>MA1275</v>
      </c>
      <c r="B756" s="170">
        <f>IF(preDEL!$AG756,IFERROR(0/0,""),preDEL!B756)</f>
        <v>44629</v>
      </c>
      <c r="C756" s="171">
        <f>IF(preDEL!$AG756,IFERROR(0/0,""),preDEL!C756)</f>
        <v>0.3117708333</v>
      </c>
      <c r="D756" s="105" t="str">
        <f>IF(preDEL!$AG756,IFERROR(0/0,""),preDEL!D756)</f>
        <v/>
      </c>
      <c r="E756" s="105" t="str">
        <f>IF(preDEL!$AG756,IFERROR(0/0,""),preDEL!E756)</f>
        <v/>
      </c>
      <c r="F756" s="112" t="str">
        <f>IF(preDEL!$AG756,IFERROR(0/0,""),preDEL!F756)</f>
        <v/>
      </c>
      <c r="G756" s="112" t="str">
        <f>IF(preDEL!$AG756,IFERROR(0/0,""),preDEL!G756)</f>
        <v/>
      </c>
      <c r="H756" s="112" t="str">
        <f>IF(preDEL!$AG756,IFERROR(0/0,""),preDEL!H756)</f>
        <v/>
      </c>
      <c r="I756" s="105" t="str">
        <f>IF(preDEL!$AG756,IFERROR(0/0,""),preDEL!I756)</f>
        <v/>
      </c>
      <c r="J756" s="105" t="str">
        <f>IF(preDEL!$AG756,IFERROR(0/0,""),preDEL!J756)</f>
        <v/>
      </c>
      <c r="K756" s="105" t="str">
        <f>IF(preDEL!$AG756,IFERROR(0/0,""),preDEL!K756)</f>
        <v>Negative</v>
      </c>
      <c r="L756" s="170">
        <f>IF(preDEL!$AG756,IFERROR(0/0,""),preDEL!L756)</f>
        <v>44629</v>
      </c>
      <c r="M756" s="171">
        <f>IF(preDEL!$AG756,IFERROR(0/0,""),preDEL!M756)</f>
        <v>0.4994444444</v>
      </c>
      <c r="N756" s="112" t="str">
        <f>IF(preDEL!$AG756,IFERROR(0/0,""),preDEL!N756)</f>
        <v/>
      </c>
      <c r="O756" s="112" t="str">
        <f>IF(preDEL!$AG756,IFERROR(0/0,""),preDEL!O756)</f>
        <v/>
      </c>
      <c r="P756" s="110" t="b">
        <f>IF(preDEL!$AG756,IFERROR(0/0,""),preDEL!P756)</f>
        <v>0</v>
      </c>
      <c r="Q756" s="110" t="str">
        <f>IF(preDEL!$AG756,IFERROR(0/0,""),preDEL!Q756)</f>
        <v>Result</v>
      </c>
      <c r="R756" s="104" t="b">
        <f>IF(preDEL!$AG756,IFERROR(0/0,""),preDEL!R756)</f>
        <v>1</v>
      </c>
      <c r="S756" s="104">
        <f>IF(preDEL!$AG756,IFERROR(0/0,""),preDEL!S756)</f>
        <v>1</v>
      </c>
      <c r="T756" s="110" t="str">
        <f>IF(preDEL!$AG756,IFERROR(0/0,""),preDEL!T756)</f>
        <v/>
      </c>
      <c r="U756" s="112" t="str">
        <f>IF(preDEL!$AG756,IFERROR(0/0,""),preDEL!U756)</f>
        <v/>
      </c>
      <c r="V756" s="105" t="str">
        <f>IF(preDEL!$AG756,IFERROR(0/0,""),preDEL!V756)</f>
        <v/>
      </c>
      <c r="W756" s="112" t="str">
        <f>IF(preDEL!$AG756,IFERROR(0/0,""),preDEL!W756)</f>
        <v/>
      </c>
      <c r="X756" s="104" t="b">
        <f>IF(preDEL!$AG756,IFERROR(0/0,""),preDEL!X756)</f>
        <v>0</v>
      </c>
      <c r="Y756" s="110" t="b">
        <f>IF(preDEL!$AG756,IFERROR(0/0,""),preDEL!Y756)</f>
        <v>0</v>
      </c>
      <c r="Z756" s="105" t="str">
        <f>IF(preDEL!$AG756,IFERROR(0/0,""),preDEL!Z756)</f>
        <v/>
      </c>
      <c r="AA756" s="110" t="b">
        <f>IF(preDEL!$AG756,IFERROR(0/0,""),preDEL!AA756)</f>
        <v>0</v>
      </c>
      <c r="AB756" s="110" t="b">
        <f>IF(preDEL!$AG756,IFERROR(0/0,""),preDEL!AB756)</f>
        <v>0</v>
      </c>
      <c r="AC756" s="172">
        <f>IF(preDEL!$AG756,IFERROR(0/0,""),preDEL!AC756)</f>
        <v>66</v>
      </c>
      <c r="AD756" s="104" t="b">
        <f>IF(preDEL!$AG756,IFERROR(0/0,""),preDEL!AD756)</f>
        <v>0</v>
      </c>
      <c r="AE756" s="173">
        <f>IF(preDEL!$AG756,IFERROR(0/0,""),preDEL!AE756)</f>
        <v>270.25</v>
      </c>
      <c r="AF756" s="110" t="b">
        <f>IF(preDEL!$AG756,IFERROR(0/0,""),preDEL!AF756)</f>
        <v>0</v>
      </c>
      <c r="AG756" s="110" t="b">
        <f>IF(preDEL!$AG756,IFERROR(0/0,""),preDEL!AG756)</f>
        <v>0</v>
      </c>
      <c r="AH756" s="104" t="str">
        <f>IF(preDEL!$AG756,IFERROR(0/0,""),preDEL!AH756)</f>
        <v/>
      </c>
      <c r="AI756" s="105" t="str">
        <f>IF(preDEL!$AG756,IFERROR(0/0,""),preDEL!AI756)</f>
        <v/>
      </c>
      <c r="AJ756" s="112" t="str">
        <f>IF(preDEL!$AG756,IFERROR(0/0,""),preDEL!AJ756)</f>
        <v/>
      </c>
      <c r="AK756" s="105" t="str">
        <f>IF(preDEL!$AG756,IFERROR(0/0,""),preDEL!AK756)</f>
        <v>Negative</v>
      </c>
      <c r="AL756" s="112" t="str">
        <f>IF(preDEL!$AG756,IFERROR(0/0,""),preDEL!AL756)</f>
        <v/>
      </c>
      <c r="AM756" s="112" t="str">
        <f>IF(preDEL!$AG756,IFERROR(0/0,""),preDEL!AM756)</f>
        <v>SpBEND183210</v>
      </c>
      <c r="AN756" s="112" t="str">
        <f>IF(preDEL!$AG756,IFERROR(0/0,""),preDEL!AN756)</f>
        <v>BEND992347</v>
      </c>
      <c r="AO756" s="112" t="str">
        <f>IF(preDEL!$AG756,IFERROR(0/0,""),preDEL!AO756)</f>
        <v/>
      </c>
      <c r="AP756" s="112" t="str">
        <f>IF(preDEL!$AG756,IFERROR(0/0,""),preDEL!AP756)</f>
        <v/>
      </c>
      <c r="AQ756" s="112" t="str">
        <f>IF(preDEL!$AG756,IFERROR(0/0,""),preDEL!AQ756)</f>
        <v/>
      </c>
      <c r="AR756" s="112" t="str">
        <f>IF(preDEL!$AG756,IFERROR(0/0,""),preDEL!AR756)</f>
        <v/>
      </c>
      <c r="AS756" s="112" t="str">
        <f>IF(preDEL!$AG756,IFERROR(0/0,""),preDEL!AS756)</f>
        <v/>
      </c>
      <c r="AT756" s="112" t="b">
        <f>IF(preDEL!$AG756,IFERROR(0/0,""),preDEL!AT756)</f>
        <v>0</v>
      </c>
      <c r="AU756" s="112" t="str">
        <f>IF(preDEL!$AG756,IFERROR(0/0,""),preDEL!AU756)</f>
        <v/>
      </c>
      <c r="AV756" s="112" t="str">
        <f>IF(preDEL!$AG756,IFERROR(0/0,""),preDEL!AV756)</f>
        <v/>
      </c>
      <c r="AW756" s="112" t="str">
        <f>IF(preDEL!$AG756,IFERROR(0/0,""),preDEL!AW756)</f>
        <v/>
      </c>
      <c r="AX756" s="112" t="str">
        <f>IF(preDEL!$AG756,IFERROR(0/0,""),preDEL!AX756)</f>
        <v/>
      </c>
      <c r="AY756" s="112" t="str">
        <f>IF(preDEL!$AG756,IFERROR(0/0,""),preDEL!AY756)</f>
        <v/>
      </c>
      <c r="AZ756" s="174"/>
      <c r="BA756" s="174"/>
      <c r="BB756" s="174"/>
      <c r="BC756" s="174"/>
      <c r="BD756" s="174"/>
      <c r="BE756" s="174"/>
      <c r="BF756" s="174"/>
      <c r="BG756" s="174"/>
      <c r="BH756" s="174"/>
      <c r="BI756" s="174"/>
      <c r="BJ756" s="174"/>
      <c r="BK756" s="174"/>
      <c r="BL756" s="174"/>
      <c r="BM756" s="174"/>
      <c r="BN756" s="174"/>
      <c r="BO756" s="174"/>
      <c r="BP756" s="174"/>
      <c r="BQ756" s="174"/>
      <c r="BR756" s="174"/>
      <c r="BS756" s="174"/>
      <c r="BT756" s="174"/>
      <c r="BU756" s="174"/>
      <c r="BV756" s="174"/>
      <c r="BW756" s="174"/>
      <c r="BX756" s="174"/>
      <c r="BY756" s="174"/>
      <c r="BZ756" s="174"/>
      <c r="CA756" s="174"/>
      <c r="CB756" s="174"/>
      <c r="CC756" s="174"/>
      <c r="CD756" s="174"/>
    </row>
    <row r="757">
      <c r="A757" s="105" t="str">
        <f>IF(preDEL!$AG757,IFERROR(0/0,""),preDEL!A757)</f>
        <v>FM2067</v>
      </c>
      <c r="B757" s="170">
        <f>IF(preDEL!$AG757,IFERROR(0/0,""),preDEL!B757)</f>
        <v>44629</v>
      </c>
      <c r="C757" s="171">
        <f>IF(preDEL!$AG757,IFERROR(0/0,""),preDEL!C757)</f>
        <v>0.3121527778</v>
      </c>
      <c r="D757" s="105" t="str">
        <f>IF(preDEL!$AG757,IFERROR(0/0,""),preDEL!D757)</f>
        <v/>
      </c>
      <c r="E757" s="105" t="str">
        <f>IF(preDEL!$AG757,IFERROR(0/0,""),preDEL!E757)</f>
        <v/>
      </c>
      <c r="F757" s="112" t="str">
        <f>IF(preDEL!$AG757,IFERROR(0/0,""),preDEL!F757)</f>
        <v/>
      </c>
      <c r="G757" s="112" t="str">
        <f>IF(preDEL!$AG757,IFERROR(0/0,""),preDEL!G757)</f>
        <v/>
      </c>
      <c r="H757" s="112" t="str">
        <f>IF(preDEL!$AG757,IFERROR(0/0,""),preDEL!H757)</f>
        <v/>
      </c>
      <c r="I757" s="105" t="str">
        <f>IF(preDEL!$AG757,IFERROR(0/0,""),preDEL!I757)</f>
        <v/>
      </c>
      <c r="J757" s="105" t="str">
        <f>IF(preDEL!$AG757,IFERROR(0/0,""),preDEL!J757)</f>
        <v/>
      </c>
      <c r="K757" s="105" t="str">
        <f>IF(preDEL!$AG757,IFERROR(0/0,""),preDEL!K757)</f>
        <v>Negative</v>
      </c>
      <c r="L757" s="170">
        <f>IF(preDEL!$AG757,IFERROR(0/0,""),preDEL!L757)</f>
        <v>44629</v>
      </c>
      <c r="M757" s="171">
        <f>IF(preDEL!$AG757,IFERROR(0/0,""),preDEL!M757)</f>
        <v>0.4994444444</v>
      </c>
      <c r="N757" s="112" t="str">
        <f>IF(preDEL!$AG757,IFERROR(0/0,""),preDEL!N757)</f>
        <v/>
      </c>
      <c r="O757" s="112" t="str">
        <f>IF(preDEL!$AG757,IFERROR(0/0,""),preDEL!O757)</f>
        <v/>
      </c>
      <c r="P757" s="110" t="b">
        <f>IF(preDEL!$AG757,IFERROR(0/0,""),preDEL!P757)</f>
        <v>0</v>
      </c>
      <c r="Q757" s="110" t="str">
        <f>IF(preDEL!$AG757,IFERROR(0/0,""),preDEL!Q757)</f>
        <v>Result</v>
      </c>
      <c r="R757" s="104" t="b">
        <f>IF(preDEL!$AG757,IFERROR(0/0,""),preDEL!R757)</f>
        <v>1</v>
      </c>
      <c r="S757" s="104">
        <f>IF(preDEL!$AG757,IFERROR(0/0,""),preDEL!S757)</f>
        <v>1</v>
      </c>
      <c r="T757" s="110" t="str">
        <f>IF(preDEL!$AG757,IFERROR(0/0,""),preDEL!T757)</f>
        <v/>
      </c>
      <c r="U757" s="112" t="str">
        <f>IF(preDEL!$AG757,IFERROR(0/0,""),preDEL!U757)</f>
        <v/>
      </c>
      <c r="V757" s="105" t="str">
        <f>IF(preDEL!$AG757,IFERROR(0/0,""),preDEL!V757)</f>
        <v/>
      </c>
      <c r="W757" s="112" t="str">
        <f>IF(preDEL!$AG757,IFERROR(0/0,""),preDEL!W757)</f>
        <v/>
      </c>
      <c r="X757" s="104" t="b">
        <f>IF(preDEL!$AG757,IFERROR(0/0,""),preDEL!X757)</f>
        <v>0</v>
      </c>
      <c r="Y757" s="110" t="b">
        <f>IF(preDEL!$AG757,IFERROR(0/0,""),preDEL!Y757)</f>
        <v>0</v>
      </c>
      <c r="Z757" s="105" t="str">
        <f>IF(preDEL!$AG757,IFERROR(0/0,""),preDEL!Z757)</f>
        <v/>
      </c>
      <c r="AA757" s="110" t="b">
        <f>IF(preDEL!$AG757,IFERROR(0/0,""),preDEL!AA757)</f>
        <v>0</v>
      </c>
      <c r="AB757" s="110" t="b">
        <f>IF(preDEL!$AG757,IFERROR(0/0,""),preDEL!AB757)</f>
        <v>0</v>
      </c>
      <c r="AC757" s="172">
        <f>IF(preDEL!$AG757,IFERROR(0/0,""),preDEL!AC757)</f>
        <v>65</v>
      </c>
      <c r="AD757" s="104" t="b">
        <f>IF(preDEL!$AG757,IFERROR(0/0,""),preDEL!AD757)</f>
        <v>0</v>
      </c>
      <c r="AE757" s="173">
        <f>IF(preDEL!$AG757,IFERROR(0/0,""),preDEL!AE757)</f>
        <v>269.7</v>
      </c>
      <c r="AF757" s="110" t="b">
        <f>IF(preDEL!$AG757,IFERROR(0/0,""),preDEL!AF757)</f>
        <v>0</v>
      </c>
      <c r="AG757" s="110" t="b">
        <f>IF(preDEL!$AG757,IFERROR(0/0,""),preDEL!AG757)</f>
        <v>0</v>
      </c>
      <c r="AH757" s="104" t="str">
        <f>IF(preDEL!$AG757,IFERROR(0/0,""),preDEL!AH757)</f>
        <v/>
      </c>
      <c r="AI757" s="105" t="str">
        <f>IF(preDEL!$AG757,IFERROR(0/0,""),preDEL!AI757)</f>
        <v/>
      </c>
      <c r="AJ757" s="112" t="str">
        <f>IF(preDEL!$AG757,IFERROR(0/0,""),preDEL!AJ757)</f>
        <v/>
      </c>
      <c r="AK757" s="105" t="str">
        <f>IF(preDEL!$AG757,IFERROR(0/0,""),preDEL!AK757)</f>
        <v>Negative</v>
      </c>
      <c r="AL757" s="112" t="str">
        <f>IF(preDEL!$AG757,IFERROR(0/0,""),preDEL!AL757)</f>
        <v/>
      </c>
      <c r="AM757" s="112" t="str">
        <f>IF(preDEL!$AG757,IFERROR(0/0,""),preDEL!AM757)</f>
        <v>SpBEND816435</v>
      </c>
      <c r="AN757" s="112" t="str">
        <f>IF(preDEL!$AG757,IFERROR(0/0,""),preDEL!AN757)</f>
        <v>BEND139093</v>
      </c>
      <c r="AO757" s="112" t="str">
        <f>IF(preDEL!$AG757,IFERROR(0/0,""),preDEL!AO757)</f>
        <v/>
      </c>
      <c r="AP757" s="112" t="str">
        <f>IF(preDEL!$AG757,IFERROR(0/0,""),preDEL!AP757)</f>
        <v/>
      </c>
      <c r="AQ757" s="112" t="str">
        <f>IF(preDEL!$AG757,IFERROR(0/0,""),preDEL!AQ757)</f>
        <v/>
      </c>
      <c r="AR757" s="112" t="str">
        <f>IF(preDEL!$AG757,IFERROR(0/0,""),preDEL!AR757)</f>
        <v/>
      </c>
      <c r="AS757" s="112" t="str">
        <f>IF(preDEL!$AG757,IFERROR(0/0,""),preDEL!AS757)</f>
        <v/>
      </c>
      <c r="AT757" s="112" t="b">
        <f>IF(preDEL!$AG757,IFERROR(0/0,""),preDEL!AT757)</f>
        <v>0</v>
      </c>
      <c r="AU757" s="112" t="str">
        <f>IF(preDEL!$AG757,IFERROR(0/0,""),preDEL!AU757)</f>
        <v/>
      </c>
      <c r="AV757" s="112" t="str">
        <f>IF(preDEL!$AG757,IFERROR(0/0,""),preDEL!AV757)</f>
        <v/>
      </c>
      <c r="AW757" s="112" t="str">
        <f>IF(preDEL!$AG757,IFERROR(0/0,""),preDEL!AW757)</f>
        <v/>
      </c>
      <c r="AX757" s="112" t="str">
        <f>IF(preDEL!$AG757,IFERROR(0/0,""),preDEL!AX757)</f>
        <v/>
      </c>
      <c r="AY757" s="112" t="str">
        <f>IF(preDEL!$AG757,IFERROR(0/0,""),preDEL!AY757)</f>
        <v/>
      </c>
      <c r="AZ757" s="174"/>
      <c r="BA757" s="174"/>
      <c r="BB757" s="174"/>
      <c r="BC757" s="174"/>
      <c r="BD757" s="174"/>
      <c r="BE757" s="174"/>
      <c r="BF757" s="174"/>
      <c r="BG757" s="174"/>
      <c r="BH757" s="174"/>
      <c r="BI757" s="174"/>
      <c r="BJ757" s="174"/>
      <c r="BK757" s="174"/>
      <c r="BL757" s="174"/>
      <c r="BM757" s="174"/>
      <c r="BN757" s="174"/>
      <c r="BO757" s="174"/>
      <c r="BP757" s="174"/>
      <c r="BQ757" s="174"/>
      <c r="BR757" s="174"/>
      <c r="BS757" s="174"/>
      <c r="BT757" s="174"/>
      <c r="BU757" s="174"/>
      <c r="BV757" s="174"/>
      <c r="BW757" s="174"/>
      <c r="BX757" s="174"/>
      <c r="BY757" s="174"/>
      <c r="BZ757" s="174"/>
      <c r="CA757" s="174"/>
      <c r="CB757" s="174"/>
      <c r="CC757" s="174"/>
      <c r="CD757" s="174"/>
    </row>
    <row r="758">
      <c r="A758" s="105" t="str">
        <f>IF(preDEL!$AG758,IFERROR(0/0,""),preDEL!A758)</f>
        <v>FM310</v>
      </c>
      <c r="B758" s="170">
        <f>IF(preDEL!$AG758,IFERROR(0/0,""),preDEL!B758)</f>
        <v>44629</v>
      </c>
      <c r="C758" s="171">
        <f>IF(preDEL!$AG758,IFERROR(0/0,""),preDEL!C758)</f>
        <v>0.3122569444</v>
      </c>
      <c r="D758" s="105" t="str">
        <f>IF(preDEL!$AG758,IFERROR(0/0,""),preDEL!D758)</f>
        <v/>
      </c>
      <c r="E758" s="105" t="str">
        <f>IF(preDEL!$AG758,IFERROR(0/0,""),preDEL!E758)</f>
        <v/>
      </c>
      <c r="F758" s="112" t="str">
        <f>IF(preDEL!$AG758,IFERROR(0/0,""),preDEL!F758)</f>
        <v/>
      </c>
      <c r="G758" s="112" t="str">
        <f>IF(preDEL!$AG758,IFERROR(0/0,""),preDEL!G758)</f>
        <v/>
      </c>
      <c r="H758" s="112" t="str">
        <f>IF(preDEL!$AG758,IFERROR(0/0,""),preDEL!H758)</f>
        <v/>
      </c>
      <c r="I758" s="105" t="str">
        <f>IF(preDEL!$AG758,IFERROR(0/0,""),preDEL!I758)</f>
        <v/>
      </c>
      <c r="J758" s="105" t="str">
        <f>IF(preDEL!$AG758,IFERROR(0/0,""),preDEL!J758)</f>
        <v/>
      </c>
      <c r="K758" s="105" t="str">
        <f>IF(preDEL!$AG758,IFERROR(0/0,""),preDEL!K758)</f>
        <v>Negative</v>
      </c>
      <c r="L758" s="170">
        <f>IF(preDEL!$AG758,IFERROR(0/0,""),preDEL!L758)</f>
        <v>44629</v>
      </c>
      <c r="M758" s="171">
        <f>IF(preDEL!$AG758,IFERROR(0/0,""),preDEL!M758)</f>
        <v>0.4994444444</v>
      </c>
      <c r="N758" s="112" t="str">
        <f>IF(preDEL!$AG758,IFERROR(0/0,""),preDEL!N758)</f>
        <v/>
      </c>
      <c r="O758" s="112" t="str">
        <f>IF(preDEL!$AG758,IFERROR(0/0,""),preDEL!O758)</f>
        <v/>
      </c>
      <c r="P758" s="110" t="b">
        <f>IF(preDEL!$AG758,IFERROR(0/0,""),preDEL!P758)</f>
        <v>0</v>
      </c>
      <c r="Q758" s="110" t="str">
        <f>IF(preDEL!$AG758,IFERROR(0/0,""),preDEL!Q758)</f>
        <v>Result</v>
      </c>
      <c r="R758" s="104" t="b">
        <f>IF(preDEL!$AG758,IFERROR(0/0,""),preDEL!R758)</f>
        <v>1</v>
      </c>
      <c r="S758" s="104">
        <f>IF(preDEL!$AG758,IFERROR(0/0,""),preDEL!S758)</f>
        <v>1</v>
      </c>
      <c r="T758" s="110" t="str">
        <f>IF(preDEL!$AG758,IFERROR(0/0,""),preDEL!T758)</f>
        <v/>
      </c>
      <c r="U758" s="112" t="str">
        <f>IF(preDEL!$AG758,IFERROR(0/0,""),preDEL!U758)</f>
        <v/>
      </c>
      <c r="V758" s="105" t="str">
        <f>IF(preDEL!$AG758,IFERROR(0/0,""),preDEL!V758)</f>
        <v/>
      </c>
      <c r="W758" s="112" t="str">
        <f>IF(preDEL!$AG758,IFERROR(0/0,""),preDEL!W758)</f>
        <v/>
      </c>
      <c r="X758" s="104" t="b">
        <f>IF(preDEL!$AG758,IFERROR(0/0,""),preDEL!X758)</f>
        <v>0</v>
      </c>
      <c r="Y758" s="110" t="b">
        <f>IF(preDEL!$AG758,IFERROR(0/0,""),preDEL!Y758)</f>
        <v>0</v>
      </c>
      <c r="Z758" s="105" t="str">
        <f>IF(preDEL!$AG758,IFERROR(0/0,""),preDEL!Z758)</f>
        <v/>
      </c>
      <c r="AA758" s="110" t="b">
        <f>IF(preDEL!$AG758,IFERROR(0/0,""),preDEL!AA758)</f>
        <v>0</v>
      </c>
      <c r="AB758" s="110" t="b">
        <f>IF(preDEL!$AG758,IFERROR(0/0,""),preDEL!AB758)</f>
        <v>0</v>
      </c>
      <c r="AC758" s="172">
        <f>IF(preDEL!$AG758,IFERROR(0/0,""),preDEL!AC758)</f>
        <v>64</v>
      </c>
      <c r="AD758" s="104" t="b">
        <f>IF(preDEL!$AG758,IFERROR(0/0,""),preDEL!AD758)</f>
        <v>0</v>
      </c>
      <c r="AE758" s="173">
        <f>IF(preDEL!$AG758,IFERROR(0/0,""),preDEL!AE758)</f>
        <v>269.55</v>
      </c>
      <c r="AF758" s="110" t="b">
        <f>IF(preDEL!$AG758,IFERROR(0/0,""),preDEL!AF758)</f>
        <v>0</v>
      </c>
      <c r="AG758" s="110" t="b">
        <f>IF(preDEL!$AG758,IFERROR(0/0,""),preDEL!AG758)</f>
        <v>0</v>
      </c>
      <c r="AH758" s="104" t="str">
        <f>IF(preDEL!$AG758,IFERROR(0/0,""),preDEL!AH758)</f>
        <v/>
      </c>
      <c r="AI758" s="105" t="str">
        <f>IF(preDEL!$AG758,IFERROR(0/0,""),preDEL!AI758)</f>
        <v/>
      </c>
      <c r="AJ758" s="112" t="str">
        <f>IF(preDEL!$AG758,IFERROR(0/0,""),preDEL!AJ758)</f>
        <v/>
      </c>
      <c r="AK758" s="105" t="str">
        <f>IF(preDEL!$AG758,IFERROR(0/0,""),preDEL!AK758)</f>
        <v>Negative</v>
      </c>
      <c r="AL758" s="112" t="str">
        <f>IF(preDEL!$AG758,IFERROR(0/0,""),preDEL!AL758)</f>
        <v/>
      </c>
      <c r="AM758" s="112" t="str">
        <f>IF(preDEL!$AG758,IFERROR(0/0,""),preDEL!AM758)</f>
        <v>SpBEND296258</v>
      </c>
      <c r="AN758" s="112" t="str">
        <f>IF(preDEL!$AG758,IFERROR(0/0,""),preDEL!AN758)</f>
        <v>BEND873094</v>
      </c>
      <c r="AO758" s="112" t="str">
        <f>IF(preDEL!$AG758,IFERROR(0/0,""),preDEL!AO758)</f>
        <v/>
      </c>
      <c r="AP758" s="112" t="str">
        <f>IF(preDEL!$AG758,IFERROR(0/0,""),preDEL!AP758)</f>
        <v/>
      </c>
      <c r="AQ758" s="112" t="str">
        <f>IF(preDEL!$AG758,IFERROR(0/0,""),preDEL!AQ758)</f>
        <v/>
      </c>
      <c r="AR758" s="112" t="str">
        <f>IF(preDEL!$AG758,IFERROR(0/0,""),preDEL!AR758)</f>
        <v/>
      </c>
      <c r="AS758" s="112" t="str">
        <f>IF(preDEL!$AG758,IFERROR(0/0,""),preDEL!AS758)</f>
        <v/>
      </c>
      <c r="AT758" s="112" t="b">
        <f>IF(preDEL!$AG758,IFERROR(0/0,""),preDEL!AT758)</f>
        <v>0</v>
      </c>
      <c r="AU758" s="112" t="str">
        <f>IF(preDEL!$AG758,IFERROR(0/0,""),preDEL!AU758)</f>
        <v/>
      </c>
      <c r="AV758" s="112" t="str">
        <f>IF(preDEL!$AG758,IFERROR(0/0,""),preDEL!AV758)</f>
        <v/>
      </c>
      <c r="AW758" s="112" t="str">
        <f>IF(preDEL!$AG758,IFERROR(0/0,""),preDEL!AW758)</f>
        <v/>
      </c>
      <c r="AX758" s="112" t="str">
        <f>IF(preDEL!$AG758,IFERROR(0/0,""),preDEL!AX758)</f>
        <v/>
      </c>
      <c r="AY758" s="112" t="str">
        <f>IF(preDEL!$AG758,IFERROR(0/0,""),preDEL!AY758)</f>
        <v/>
      </c>
      <c r="AZ758" s="174"/>
      <c r="BA758" s="174"/>
      <c r="BB758" s="174"/>
      <c r="BC758" s="174"/>
      <c r="BD758" s="174"/>
      <c r="BE758" s="174"/>
      <c r="BF758" s="174"/>
      <c r="BG758" s="174"/>
      <c r="BH758" s="174"/>
      <c r="BI758" s="174"/>
      <c r="BJ758" s="174"/>
      <c r="BK758" s="174"/>
      <c r="BL758" s="174"/>
      <c r="BM758" s="174"/>
      <c r="BN758" s="174"/>
      <c r="BO758" s="174"/>
      <c r="BP758" s="174"/>
      <c r="BQ758" s="174"/>
      <c r="BR758" s="174"/>
      <c r="BS758" s="174"/>
      <c r="BT758" s="174"/>
      <c r="BU758" s="174"/>
      <c r="BV758" s="174"/>
      <c r="BW758" s="174"/>
      <c r="BX758" s="174"/>
      <c r="BY758" s="174"/>
      <c r="BZ758" s="174"/>
      <c r="CA758" s="174"/>
      <c r="CB758" s="174"/>
      <c r="CC758" s="174"/>
      <c r="CD758" s="174"/>
    </row>
    <row r="759">
      <c r="A759" s="105" t="str">
        <f>IF(preDEL!$AG759,IFERROR(0/0,""),preDEL!A759)</f>
        <v>FM2046</v>
      </c>
      <c r="B759" s="170">
        <f>IF(preDEL!$AG759,IFERROR(0/0,""),preDEL!B759)</f>
        <v>44629</v>
      </c>
      <c r="C759" s="171">
        <f>IF(preDEL!$AG759,IFERROR(0/0,""),preDEL!C759)</f>
        <v>0.312962963</v>
      </c>
      <c r="D759" s="105" t="str">
        <f>IF(preDEL!$AG759,IFERROR(0/0,""),preDEL!D759)</f>
        <v/>
      </c>
      <c r="E759" s="105" t="str">
        <f>IF(preDEL!$AG759,IFERROR(0/0,""),preDEL!E759)</f>
        <v/>
      </c>
      <c r="F759" s="112" t="str">
        <f>IF(preDEL!$AG759,IFERROR(0/0,""),preDEL!F759)</f>
        <v/>
      </c>
      <c r="G759" s="112" t="str">
        <f>IF(preDEL!$AG759,IFERROR(0/0,""),preDEL!G759)</f>
        <v/>
      </c>
      <c r="H759" s="112" t="str">
        <f>IF(preDEL!$AG759,IFERROR(0/0,""),preDEL!H759)</f>
        <v/>
      </c>
      <c r="I759" s="105" t="str">
        <f>IF(preDEL!$AG759,IFERROR(0/0,""),preDEL!I759)</f>
        <v/>
      </c>
      <c r="J759" s="105" t="str">
        <f>IF(preDEL!$AG759,IFERROR(0/0,""),preDEL!J759)</f>
        <v/>
      </c>
      <c r="K759" s="105" t="str">
        <f>IF(preDEL!$AG759,IFERROR(0/0,""),preDEL!K759)</f>
        <v>Negative</v>
      </c>
      <c r="L759" s="170">
        <f>IF(preDEL!$AG759,IFERROR(0/0,""),preDEL!L759)</f>
        <v>44629</v>
      </c>
      <c r="M759" s="171">
        <f>IF(preDEL!$AG759,IFERROR(0/0,""),preDEL!M759)</f>
        <v>0.4994444444</v>
      </c>
      <c r="N759" s="112" t="str">
        <f>IF(preDEL!$AG759,IFERROR(0/0,""),preDEL!N759)</f>
        <v/>
      </c>
      <c r="O759" s="112" t="str">
        <f>IF(preDEL!$AG759,IFERROR(0/0,""),preDEL!O759)</f>
        <v/>
      </c>
      <c r="P759" s="110" t="b">
        <f>IF(preDEL!$AG759,IFERROR(0/0,""),preDEL!P759)</f>
        <v>0</v>
      </c>
      <c r="Q759" s="110" t="str">
        <f>IF(preDEL!$AG759,IFERROR(0/0,""),preDEL!Q759)</f>
        <v>Result</v>
      </c>
      <c r="R759" s="104" t="b">
        <f>IF(preDEL!$AG759,IFERROR(0/0,""),preDEL!R759)</f>
        <v>1</v>
      </c>
      <c r="S759" s="104">
        <f>IF(preDEL!$AG759,IFERROR(0/0,""),preDEL!S759)</f>
        <v>1</v>
      </c>
      <c r="T759" s="110" t="str">
        <f>IF(preDEL!$AG759,IFERROR(0/0,""),preDEL!T759)</f>
        <v/>
      </c>
      <c r="U759" s="112" t="str">
        <f>IF(preDEL!$AG759,IFERROR(0/0,""),preDEL!U759)</f>
        <v/>
      </c>
      <c r="V759" s="105" t="str">
        <f>IF(preDEL!$AG759,IFERROR(0/0,""),preDEL!V759)</f>
        <v/>
      </c>
      <c r="W759" s="112" t="str">
        <f>IF(preDEL!$AG759,IFERROR(0/0,""),preDEL!W759)</f>
        <v/>
      </c>
      <c r="X759" s="104" t="b">
        <f>IF(preDEL!$AG759,IFERROR(0/0,""),preDEL!X759)</f>
        <v>0</v>
      </c>
      <c r="Y759" s="110" t="b">
        <f>IF(preDEL!$AG759,IFERROR(0/0,""),preDEL!Y759)</f>
        <v>0</v>
      </c>
      <c r="Z759" s="105" t="str">
        <f>IF(preDEL!$AG759,IFERROR(0/0,""),preDEL!Z759)</f>
        <v/>
      </c>
      <c r="AA759" s="110" t="b">
        <f>IF(preDEL!$AG759,IFERROR(0/0,""),preDEL!AA759)</f>
        <v>0</v>
      </c>
      <c r="AB759" s="110" t="b">
        <f>IF(preDEL!$AG759,IFERROR(0/0,""),preDEL!AB759)</f>
        <v>0</v>
      </c>
      <c r="AC759" s="172">
        <f>IF(preDEL!$AG759,IFERROR(0/0,""),preDEL!AC759)</f>
        <v>63</v>
      </c>
      <c r="AD759" s="104" t="b">
        <f>IF(preDEL!$AG759,IFERROR(0/0,""),preDEL!AD759)</f>
        <v>0</v>
      </c>
      <c r="AE759" s="173">
        <f>IF(preDEL!$AG759,IFERROR(0/0,""),preDEL!AE759)</f>
        <v>268.5333333</v>
      </c>
      <c r="AF759" s="110" t="b">
        <f>IF(preDEL!$AG759,IFERROR(0/0,""),preDEL!AF759)</f>
        <v>0</v>
      </c>
      <c r="AG759" s="110" t="b">
        <f>IF(preDEL!$AG759,IFERROR(0/0,""),preDEL!AG759)</f>
        <v>0</v>
      </c>
      <c r="AH759" s="104" t="str">
        <f>IF(preDEL!$AG759,IFERROR(0/0,""),preDEL!AH759)</f>
        <v/>
      </c>
      <c r="AI759" s="105" t="str">
        <f>IF(preDEL!$AG759,IFERROR(0/0,""),preDEL!AI759)</f>
        <v/>
      </c>
      <c r="AJ759" s="112" t="str">
        <f>IF(preDEL!$AG759,IFERROR(0/0,""),preDEL!AJ759)</f>
        <v/>
      </c>
      <c r="AK759" s="105" t="str">
        <f>IF(preDEL!$AG759,IFERROR(0/0,""),preDEL!AK759)</f>
        <v>Negative</v>
      </c>
      <c r="AL759" s="112" t="str">
        <f>IF(preDEL!$AG759,IFERROR(0/0,""),preDEL!AL759)</f>
        <v/>
      </c>
      <c r="AM759" s="112" t="str">
        <f>IF(preDEL!$AG759,IFERROR(0/0,""),preDEL!AM759)</f>
        <v>SpBEND110967</v>
      </c>
      <c r="AN759" s="112" t="str">
        <f>IF(preDEL!$AG759,IFERROR(0/0,""),preDEL!AN759)</f>
        <v>BEND477901</v>
      </c>
      <c r="AO759" s="112" t="str">
        <f>IF(preDEL!$AG759,IFERROR(0/0,""),preDEL!AO759)</f>
        <v/>
      </c>
      <c r="AP759" s="112" t="str">
        <f>IF(preDEL!$AG759,IFERROR(0/0,""),preDEL!AP759)</f>
        <v/>
      </c>
      <c r="AQ759" s="112" t="str">
        <f>IF(preDEL!$AG759,IFERROR(0/0,""),preDEL!AQ759)</f>
        <v/>
      </c>
      <c r="AR759" s="112" t="str">
        <f>IF(preDEL!$AG759,IFERROR(0/0,""),preDEL!AR759)</f>
        <v/>
      </c>
      <c r="AS759" s="112" t="str">
        <f>IF(preDEL!$AG759,IFERROR(0/0,""),preDEL!AS759)</f>
        <v/>
      </c>
      <c r="AT759" s="112" t="b">
        <f>IF(preDEL!$AG759,IFERROR(0/0,""),preDEL!AT759)</f>
        <v>0</v>
      </c>
      <c r="AU759" s="112" t="str">
        <f>IF(preDEL!$AG759,IFERROR(0/0,""),preDEL!AU759)</f>
        <v/>
      </c>
      <c r="AV759" s="112" t="str">
        <f>IF(preDEL!$AG759,IFERROR(0/0,""),preDEL!AV759)</f>
        <v/>
      </c>
      <c r="AW759" s="112" t="str">
        <f>IF(preDEL!$AG759,IFERROR(0/0,""),preDEL!AW759)</f>
        <v/>
      </c>
      <c r="AX759" s="112" t="str">
        <f>IF(preDEL!$AG759,IFERROR(0/0,""),preDEL!AX759)</f>
        <v/>
      </c>
      <c r="AY759" s="112" t="str">
        <f>IF(preDEL!$AG759,IFERROR(0/0,""),preDEL!AY759)</f>
        <v/>
      </c>
      <c r="AZ759" s="174"/>
      <c r="BA759" s="174"/>
      <c r="BB759" s="174"/>
      <c r="BC759" s="174"/>
      <c r="BD759" s="174"/>
      <c r="BE759" s="174"/>
      <c r="BF759" s="174"/>
      <c r="BG759" s="174"/>
      <c r="BH759" s="174"/>
      <c r="BI759" s="174"/>
      <c r="BJ759" s="174"/>
      <c r="BK759" s="174"/>
      <c r="BL759" s="174"/>
      <c r="BM759" s="174"/>
      <c r="BN759" s="174"/>
      <c r="BO759" s="174"/>
      <c r="BP759" s="174"/>
      <c r="BQ759" s="174"/>
      <c r="BR759" s="174"/>
      <c r="BS759" s="174"/>
      <c r="BT759" s="174"/>
      <c r="BU759" s="174"/>
      <c r="BV759" s="174"/>
      <c r="BW759" s="174"/>
      <c r="BX759" s="174"/>
      <c r="BY759" s="174"/>
      <c r="BZ759" s="174"/>
      <c r="CA759" s="174"/>
      <c r="CB759" s="174"/>
      <c r="CC759" s="174"/>
      <c r="CD759" s="174"/>
    </row>
    <row r="760">
      <c r="A760" s="105" t="str">
        <f>IF(preDEL!$AG760,IFERROR(0/0,""),preDEL!A760)</f>
        <v>FM304</v>
      </c>
      <c r="B760" s="170">
        <f>IF(preDEL!$AG760,IFERROR(0/0,""),preDEL!B760)</f>
        <v>44629</v>
      </c>
      <c r="C760" s="171">
        <f>IF(preDEL!$AG760,IFERROR(0/0,""),preDEL!C760)</f>
        <v>0.3130902778</v>
      </c>
      <c r="D760" s="105" t="str">
        <f>IF(preDEL!$AG760,IFERROR(0/0,""),preDEL!D760)</f>
        <v/>
      </c>
      <c r="E760" s="105" t="str">
        <f>IF(preDEL!$AG760,IFERROR(0/0,""),preDEL!E760)</f>
        <v/>
      </c>
      <c r="F760" s="112" t="str">
        <f>IF(preDEL!$AG760,IFERROR(0/0,""),preDEL!F760)</f>
        <v/>
      </c>
      <c r="G760" s="112" t="str">
        <f>IF(preDEL!$AG760,IFERROR(0/0,""),preDEL!G760)</f>
        <v/>
      </c>
      <c r="H760" s="112" t="str">
        <f>IF(preDEL!$AG760,IFERROR(0/0,""),preDEL!H760)</f>
        <v/>
      </c>
      <c r="I760" s="105" t="str">
        <f>IF(preDEL!$AG760,IFERROR(0/0,""),preDEL!I760)</f>
        <v/>
      </c>
      <c r="J760" s="105" t="str">
        <f>IF(preDEL!$AG760,IFERROR(0/0,""),preDEL!J760)</f>
        <v/>
      </c>
      <c r="K760" s="105" t="str">
        <f>IF(preDEL!$AG760,IFERROR(0/0,""),preDEL!K760)</f>
        <v>Negative</v>
      </c>
      <c r="L760" s="170">
        <f>IF(preDEL!$AG760,IFERROR(0/0,""),preDEL!L760)</f>
        <v>44629</v>
      </c>
      <c r="M760" s="171">
        <f>IF(preDEL!$AG760,IFERROR(0/0,""),preDEL!M760)</f>
        <v>0.4994444444</v>
      </c>
      <c r="N760" s="112" t="str">
        <f>IF(preDEL!$AG760,IFERROR(0/0,""),preDEL!N760)</f>
        <v/>
      </c>
      <c r="O760" s="112" t="str">
        <f>IF(preDEL!$AG760,IFERROR(0/0,""),preDEL!O760)</f>
        <v/>
      </c>
      <c r="P760" s="110" t="b">
        <f>IF(preDEL!$AG760,IFERROR(0/0,""),preDEL!P760)</f>
        <v>0</v>
      </c>
      <c r="Q760" s="110" t="str">
        <f>IF(preDEL!$AG760,IFERROR(0/0,""),preDEL!Q760)</f>
        <v>Result</v>
      </c>
      <c r="R760" s="104" t="b">
        <f>IF(preDEL!$AG760,IFERROR(0/0,""),preDEL!R760)</f>
        <v>1</v>
      </c>
      <c r="S760" s="104">
        <f>IF(preDEL!$AG760,IFERROR(0/0,""),preDEL!S760)</f>
        <v>1</v>
      </c>
      <c r="T760" s="110" t="str">
        <f>IF(preDEL!$AG760,IFERROR(0/0,""),preDEL!T760)</f>
        <v/>
      </c>
      <c r="U760" s="112" t="str">
        <f>IF(preDEL!$AG760,IFERROR(0/0,""),preDEL!U760)</f>
        <v/>
      </c>
      <c r="V760" s="105" t="str">
        <f>IF(preDEL!$AG760,IFERROR(0/0,""),preDEL!V760)</f>
        <v/>
      </c>
      <c r="W760" s="112" t="str">
        <f>IF(preDEL!$AG760,IFERROR(0/0,""),preDEL!W760)</f>
        <v/>
      </c>
      <c r="X760" s="104" t="b">
        <f>IF(preDEL!$AG760,IFERROR(0/0,""),preDEL!X760)</f>
        <v>0</v>
      </c>
      <c r="Y760" s="110" t="b">
        <f>IF(preDEL!$AG760,IFERROR(0/0,""),preDEL!Y760)</f>
        <v>0</v>
      </c>
      <c r="Z760" s="105" t="str">
        <f>IF(preDEL!$AG760,IFERROR(0/0,""),preDEL!Z760)</f>
        <v/>
      </c>
      <c r="AA760" s="110" t="b">
        <f>IF(preDEL!$AG760,IFERROR(0/0,""),preDEL!AA760)</f>
        <v>0</v>
      </c>
      <c r="AB760" s="110" t="b">
        <f>IF(preDEL!$AG760,IFERROR(0/0,""),preDEL!AB760)</f>
        <v>0</v>
      </c>
      <c r="AC760" s="172">
        <f>IF(preDEL!$AG760,IFERROR(0/0,""),preDEL!AC760)</f>
        <v>62</v>
      </c>
      <c r="AD760" s="104" t="b">
        <f>IF(preDEL!$AG760,IFERROR(0/0,""),preDEL!AD760)</f>
        <v>0</v>
      </c>
      <c r="AE760" s="173">
        <f>IF(preDEL!$AG760,IFERROR(0/0,""),preDEL!AE760)</f>
        <v>268.35</v>
      </c>
      <c r="AF760" s="110" t="b">
        <f>IF(preDEL!$AG760,IFERROR(0/0,""),preDEL!AF760)</f>
        <v>0</v>
      </c>
      <c r="AG760" s="110" t="b">
        <f>IF(preDEL!$AG760,IFERROR(0/0,""),preDEL!AG760)</f>
        <v>0</v>
      </c>
      <c r="AH760" s="104" t="str">
        <f>IF(preDEL!$AG760,IFERROR(0/0,""),preDEL!AH760)</f>
        <v/>
      </c>
      <c r="AI760" s="105" t="str">
        <f>IF(preDEL!$AG760,IFERROR(0/0,""),preDEL!AI760)</f>
        <v/>
      </c>
      <c r="AJ760" s="112" t="str">
        <f>IF(preDEL!$AG760,IFERROR(0/0,""),preDEL!AJ760)</f>
        <v/>
      </c>
      <c r="AK760" s="105" t="str">
        <f>IF(preDEL!$AG760,IFERROR(0/0,""),preDEL!AK760)</f>
        <v>Negative</v>
      </c>
      <c r="AL760" s="112" t="str">
        <f>IF(preDEL!$AG760,IFERROR(0/0,""),preDEL!AL760)</f>
        <v/>
      </c>
      <c r="AM760" s="112" t="str">
        <f>IF(preDEL!$AG760,IFERROR(0/0,""),preDEL!AM760)</f>
        <v>SpBEND406814</v>
      </c>
      <c r="AN760" s="112" t="str">
        <f>IF(preDEL!$AG760,IFERROR(0/0,""),preDEL!AN760)</f>
        <v>BEND273259</v>
      </c>
      <c r="AO760" s="112" t="str">
        <f>IF(preDEL!$AG760,IFERROR(0/0,""),preDEL!AO760)</f>
        <v/>
      </c>
      <c r="AP760" s="112" t="str">
        <f>IF(preDEL!$AG760,IFERROR(0/0,""),preDEL!AP760)</f>
        <v/>
      </c>
      <c r="AQ760" s="112" t="str">
        <f>IF(preDEL!$AG760,IFERROR(0/0,""),preDEL!AQ760)</f>
        <v/>
      </c>
      <c r="AR760" s="112" t="str">
        <f>IF(preDEL!$AG760,IFERROR(0/0,""),preDEL!AR760)</f>
        <v/>
      </c>
      <c r="AS760" s="112" t="str">
        <f>IF(preDEL!$AG760,IFERROR(0/0,""),preDEL!AS760)</f>
        <v/>
      </c>
      <c r="AT760" s="112" t="b">
        <f>IF(preDEL!$AG760,IFERROR(0/0,""),preDEL!AT760)</f>
        <v>0</v>
      </c>
      <c r="AU760" s="112" t="str">
        <f>IF(preDEL!$AG760,IFERROR(0/0,""),preDEL!AU760)</f>
        <v/>
      </c>
      <c r="AV760" s="112" t="str">
        <f>IF(preDEL!$AG760,IFERROR(0/0,""),preDEL!AV760)</f>
        <v/>
      </c>
      <c r="AW760" s="112" t="str">
        <f>IF(preDEL!$AG760,IFERROR(0/0,""),preDEL!AW760)</f>
        <v/>
      </c>
      <c r="AX760" s="112" t="str">
        <f>IF(preDEL!$AG760,IFERROR(0/0,""),preDEL!AX760)</f>
        <v/>
      </c>
      <c r="AY760" s="112" t="str">
        <f>IF(preDEL!$AG760,IFERROR(0/0,""),preDEL!AY760)</f>
        <v/>
      </c>
      <c r="AZ760" s="174"/>
      <c r="BA760" s="174"/>
      <c r="BB760" s="174"/>
      <c r="BC760" s="174"/>
      <c r="BD760" s="174"/>
      <c r="BE760" s="174"/>
      <c r="BF760" s="174"/>
      <c r="BG760" s="174"/>
      <c r="BH760" s="174"/>
      <c r="BI760" s="174"/>
      <c r="BJ760" s="174"/>
      <c r="BK760" s="174"/>
      <c r="BL760" s="174"/>
      <c r="BM760" s="174"/>
      <c r="BN760" s="174"/>
      <c r="BO760" s="174"/>
      <c r="BP760" s="174"/>
      <c r="BQ760" s="174"/>
      <c r="BR760" s="174"/>
      <c r="BS760" s="174"/>
      <c r="BT760" s="174"/>
      <c r="BU760" s="174"/>
      <c r="BV760" s="174"/>
      <c r="BW760" s="174"/>
      <c r="BX760" s="174"/>
      <c r="BY760" s="174"/>
      <c r="BZ760" s="174"/>
      <c r="CA760" s="174"/>
      <c r="CB760" s="174"/>
      <c r="CC760" s="174"/>
      <c r="CD760" s="174"/>
    </row>
    <row r="761">
      <c r="A761" s="105" t="str">
        <f>IF(preDEL!$AG761,IFERROR(0/0,""),preDEL!A761)</f>
        <v>FM2097</v>
      </c>
      <c r="B761" s="170">
        <f>IF(preDEL!$AG761,IFERROR(0/0,""),preDEL!B761)</f>
        <v>44629</v>
      </c>
      <c r="C761" s="171">
        <f>IF(preDEL!$AG761,IFERROR(0/0,""),preDEL!C761)</f>
        <v>0.3144097222</v>
      </c>
      <c r="D761" s="105" t="str">
        <f>IF(preDEL!$AG761,IFERROR(0/0,""),preDEL!D761)</f>
        <v/>
      </c>
      <c r="E761" s="105" t="str">
        <f>IF(preDEL!$AG761,IFERROR(0/0,""),preDEL!E761)</f>
        <v/>
      </c>
      <c r="F761" s="112" t="str">
        <f>IF(preDEL!$AG761,IFERROR(0/0,""),preDEL!F761)</f>
        <v/>
      </c>
      <c r="G761" s="112" t="str">
        <f>IF(preDEL!$AG761,IFERROR(0/0,""),preDEL!G761)</f>
        <v/>
      </c>
      <c r="H761" s="112" t="str">
        <f>IF(preDEL!$AG761,IFERROR(0/0,""),preDEL!H761)</f>
        <v/>
      </c>
      <c r="I761" s="105" t="str">
        <f>IF(preDEL!$AG761,IFERROR(0/0,""),preDEL!I761)</f>
        <v/>
      </c>
      <c r="J761" s="105" t="str">
        <f>IF(preDEL!$AG761,IFERROR(0/0,""),preDEL!J761)</f>
        <v/>
      </c>
      <c r="K761" s="105" t="str">
        <f>IF(preDEL!$AG761,IFERROR(0/0,""),preDEL!K761)</f>
        <v>Negative</v>
      </c>
      <c r="L761" s="170">
        <f>IF(preDEL!$AG761,IFERROR(0/0,""),preDEL!L761)</f>
        <v>44629</v>
      </c>
      <c r="M761" s="171">
        <f>IF(preDEL!$AG761,IFERROR(0/0,""),preDEL!M761)</f>
        <v>0.4994444444</v>
      </c>
      <c r="N761" s="112" t="str">
        <f>IF(preDEL!$AG761,IFERROR(0/0,""),preDEL!N761)</f>
        <v/>
      </c>
      <c r="O761" s="112" t="str">
        <f>IF(preDEL!$AG761,IFERROR(0/0,""),preDEL!O761)</f>
        <v/>
      </c>
      <c r="P761" s="110" t="b">
        <f>IF(preDEL!$AG761,IFERROR(0/0,""),preDEL!P761)</f>
        <v>0</v>
      </c>
      <c r="Q761" s="110" t="str">
        <f>IF(preDEL!$AG761,IFERROR(0/0,""),preDEL!Q761)</f>
        <v>Result</v>
      </c>
      <c r="R761" s="104" t="b">
        <f>IF(preDEL!$AG761,IFERROR(0/0,""),preDEL!R761)</f>
        <v>1</v>
      </c>
      <c r="S761" s="104">
        <f>IF(preDEL!$AG761,IFERROR(0/0,""),preDEL!S761)</f>
        <v>1</v>
      </c>
      <c r="T761" s="110" t="str">
        <f>IF(preDEL!$AG761,IFERROR(0/0,""),preDEL!T761)</f>
        <v/>
      </c>
      <c r="U761" s="112" t="str">
        <f>IF(preDEL!$AG761,IFERROR(0/0,""),preDEL!U761)</f>
        <v/>
      </c>
      <c r="V761" s="105" t="str">
        <f>IF(preDEL!$AG761,IFERROR(0/0,""),preDEL!V761)</f>
        <v/>
      </c>
      <c r="W761" s="112" t="str">
        <f>IF(preDEL!$AG761,IFERROR(0/0,""),preDEL!W761)</f>
        <v/>
      </c>
      <c r="X761" s="104" t="b">
        <f>IF(preDEL!$AG761,IFERROR(0/0,""),preDEL!X761)</f>
        <v>0</v>
      </c>
      <c r="Y761" s="110" t="b">
        <f>IF(preDEL!$AG761,IFERROR(0/0,""),preDEL!Y761)</f>
        <v>0</v>
      </c>
      <c r="Z761" s="105" t="str">
        <f>IF(preDEL!$AG761,IFERROR(0/0,""),preDEL!Z761)</f>
        <v/>
      </c>
      <c r="AA761" s="110" t="b">
        <f>IF(preDEL!$AG761,IFERROR(0/0,""),preDEL!AA761)</f>
        <v>0</v>
      </c>
      <c r="AB761" s="110" t="b">
        <f>IF(preDEL!$AG761,IFERROR(0/0,""),preDEL!AB761)</f>
        <v>0</v>
      </c>
      <c r="AC761" s="172">
        <f>IF(preDEL!$AG761,IFERROR(0/0,""),preDEL!AC761)</f>
        <v>61</v>
      </c>
      <c r="AD761" s="104" t="b">
        <f>IF(preDEL!$AG761,IFERROR(0/0,""),preDEL!AD761)</f>
        <v>0</v>
      </c>
      <c r="AE761" s="173">
        <f>IF(preDEL!$AG761,IFERROR(0/0,""),preDEL!AE761)</f>
        <v>266.45</v>
      </c>
      <c r="AF761" s="110" t="b">
        <f>IF(preDEL!$AG761,IFERROR(0/0,""),preDEL!AF761)</f>
        <v>0</v>
      </c>
      <c r="AG761" s="110" t="b">
        <f>IF(preDEL!$AG761,IFERROR(0/0,""),preDEL!AG761)</f>
        <v>0</v>
      </c>
      <c r="AH761" s="104" t="str">
        <f>IF(preDEL!$AG761,IFERROR(0/0,""),preDEL!AH761)</f>
        <v/>
      </c>
      <c r="AI761" s="105" t="str">
        <f>IF(preDEL!$AG761,IFERROR(0/0,""),preDEL!AI761)</f>
        <v/>
      </c>
      <c r="AJ761" s="112" t="str">
        <f>IF(preDEL!$AG761,IFERROR(0/0,""),preDEL!AJ761)</f>
        <v/>
      </c>
      <c r="AK761" s="105" t="str">
        <f>IF(preDEL!$AG761,IFERROR(0/0,""),preDEL!AK761)</f>
        <v>Negative</v>
      </c>
      <c r="AL761" s="112" t="str">
        <f>IF(preDEL!$AG761,IFERROR(0/0,""),preDEL!AL761)</f>
        <v/>
      </c>
      <c r="AM761" s="112" t="str">
        <f>IF(preDEL!$AG761,IFERROR(0/0,""),preDEL!AM761)</f>
        <v>SpBEND198321</v>
      </c>
      <c r="AN761" s="112" t="str">
        <f>IF(preDEL!$AG761,IFERROR(0/0,""),preDEL!AN761)</f>
        <v>BEND772881</v>
      </c>
      <c r="AO761" s="112" t="str">
        <f>IF(preDEL!$AG761,IFERROR(0/0,""),preDEL!AO761)</f>
        <v/>
      </c>
      <c r="AP761" s="112" t="str">
        <f>IF(preDEL!$AG761,IFERROR(0/0,""),preDEL!AP761)</f>
        <v/>
      </c>
      <c r="AQ761" s="112" t="str">
        <f>IF(preDEL!$AG761,IFERROR(0/0,""),preDEL!AQ761)</f>
        <v/>
      </c>
      <c r="AR761" s="112" t="str">
        <f>IF(preDEL!$AG761,IFERROR(0/0,""),preDEL!AR761)</f>
        <v/>
      </c>
      <c r="AS761" s="112" t="str">
        <f>IF(preDEL!$AG761,IFERROR(0/0,""),preDEL!AS761)</f>
        <v/>
      </c>
      <c r="AT761" s="112" t="b">
        <f>IF(preDEL!$AG761,IFERROR(0/0,""),preDEL!AT761)</f>
        <v>0</v>
      </c>
      <c r="AU761" s="112" t="str">
        <f>IF(preDEL!$AG761,IFERROR(0/0,""),preDEL!AU761)</f>
        <v/>
      </c>
      <c r="AV761" s="112" t="str">
        <f>IF(preDEL!$AG761,IFERROR(0/0,""),preDEL!AV761)</f>
        <v/>
      </c>
      <c r="AW761" s="112" t="str">
        <f>IF(preDEL!$AG761,IFERROR(0/0,""),preDEL!AW761)</f>
        <v/>
      </c>
      <c r="AX761" s="112" t="str">
        <f>IF(preDEL!$AG761,IFERROR(0/0,""),preDEL!AX761)</f>
        <v/>
      </c>
      <c r="AY761" s="112" t="str">
        <f>IF(preDEL!$AG761,IFERROR(0/0,""),preDEL!AY761)</f>
        <v/>
      </c>
      <c r="AZ761" s="174"/>
      <c r="BA761" s="174"/>
      <c r="BB761" s="174"/>
      <c r="BC761" s="174"/>
      <c r="BD761" s="174"/>
      <c r="BE761" s="174"/>
      <c r="BF761" s="174"/>
      <c r="BG761" s="174"/>
      <c r="BH761" s="174"/>
      <c r="BI761" s="174"/>
      <c r="BJ761" s="174"/>
      <c r="BK761" s="174"/>
      <c r="BL761" s="174"/>
      <c r="BM761" s="174"/>
      <c r="BN761" s="174"/>
      <c r="BO761" s="174"/>
      <c r="BP761" s="174"/>
      <c r="BQ761" s="174"/>
      <c r="BR761" s="174"/>
      <c r="BS761" s="174"/>
      <c r="BT761" s="174"/>
      <c r="BU761" s="174"/>
      <c r="BV761" s="174"/>
      <c r="BW761" s="174"/>
      <c r="BX761" s="174"/>
      <c r="BY761" s="174"/>
      <c r="BZ761" s="174"/>
      <c r="CA761" s="174"/>
      <c r="CB761" s="174"/>
      <c r="CC761" s="174"/>
      <c r="CD761" s="174"/>
    </row>
    <row r="762">
      <c r="A762" s="105" t="str">
        <f>IF(preDEL!$AG762,IFERROR(0/0,""),preDEL!A762)</f>
        <v>FM498</v>
      </c>
      <c r="B762" s="170">
        <f>IF(preDEL!$AG762,IFERROR(0/0,""),preDEL!B762)</f>
        <v>44629</v>
      </c>
      <c r="C762" s="171">
        <f>IF(preDEL!$AG762,IFERROR(0/0,""),preDEL!C762)</f>
        <v>0.3148263889</v>
      </c>
      <c r="D762" s="105" t="str">
        <f>IF(preDEL!$AG762,IFERROR(0/0,""),preDEL!D762)</f>
        <v/>
      </c>
      <c r="E762" s="105" t="str">
        <f>IF(preDEL!$AG762,IFERROR(0/0,""),preDEL!E762)</f>
        <v/>
      </c>
      <c r="F762" s="112" t="str">
        <f>IF(preDEL!$AG762,IFERROR(0/0,""),preDEL!F762)</f>
        <v/>
      </c>
      <c r="G762" s="112" t="str">
        <f>IF(preDEL!$AG762,IFERROR(0/0,""),preDEL!G762)</f>
        <v/>
      </c>
      <c r="H762" s="112" t="str">
        <f>IF(preDEL!$AG762,IFERROR(0/0,""),preDEL!H762)</f>
        <v/>
      </c>
      <c r="I762" s="105" t="str">
        <f>IF(preDEL!$AG762,IFERROR(0/0,""),preDEL!I762)</f>
        <v/>
      </c>
      <c r="J762" s="105" t="str">
        <f>IF(preDEL!$AG762,IFERROR(0/0,""),preDEL!J762)</f>
        <v/>
      </c>
      <c r="K762" s="105" t="str">
        <f>IF(preDEL!$AG762,IFERROR(0/0,""),preDEL!K762)</f>
        <v>Negative</v>
      </c>
      <c r="L762" s="170">
        <f>IF(preDEL!$AG762,IFERROR(0/0,""),preDEL!L762)</f>
        <v>44629</v>
      </c>
      <c r="M762" s="171">
        <f>IF(preDEL!$AG762,IFERROR(0/0,""),preDEL!M762)</f>
        <v>0.4994444444</v>
      </c>
      <c r="N762" s="112" t="str">
        <f>IF(preDEL!$AG762,IFERROR(0/0,""),preDEL!N762)</f>
        <v/>
      </c>
      <c r="O762" s="112" t="str">
        <f>IF(preDEL!$AG762,IFERROR(0/0,""),preDEL!O762)</f>
        <v/>
      </c>
      <c r="P762" s="110" t="b">
        <f>IF(preDEL!$AG762,IFERROR(0/0,""),preDEL!P762)</f>
        <v>0</v>
      </c>
      <c r="Q762" s="110" t="str">
        <f>IF(preDEL!$AG762,IFERROR(0/0,""),preDEL!Q762)</f>
        <v>Result</v>
      </c>
      <c r="R762" s="104" t="b">
        <f>IF(preDEL!$AG762,IFERROR(0/0,""),preDEL!R762)</f>
        <v>1</v>
      </c>
      <c r="S762" s="104">
        <f>IF(preDEL!$AG762,IFERROR(0/0,""),preDEL!S762)</f>
        <v>1</v>
      </c>
      <c r="T762" s="110" t="str">
        <f>IF(preDEL!$AG762,IFERROR(0/0,""),preDEL!T762)</f>
        <v/>
      </c>
      <c r="U762" s="112" t="str">
        <f>IF(preDEL!$AG762,IFERROR(0/0,""),preDEL!U762)</f>
        <v/>
      </c>
      <c r="V762" s="105" t="str">
        <f>IF(preDEL!$AG762,IFERROR(0/0,""),preDEL!V762)</f>
        <v/>
      </c>
      <c r="W762" s="112" t="str">
        <f>IF(preDEL!$AG762,IFERROR(0/0,""),preDEL!W762)</f>
        <v/>
      </c>
      <c r="X762" s="104" t="b">
        <f>IF(preDEL!$AG762,IFERROR(0/0,""),preDEL!X762)</f>
        <v>0</v>
      </c>
      <c r="Y762" s="110" t="b">
        <f>IF(preDEL!$AG762,IFERROR(0/0,""),preDEL!Y762)</f>
        <v>0</v>
      </c>
      <c r="Z762" s="105" t="str">
        <f>IF(preDEL!$AG762,IFERROR(0/0,""),preDEL!Z762)</f>
        <v/>
      </c>
      <c r="AA762" s="110" t="b">
        <f>IF(preDEL!$AG762,IFERROR(0/0,""),preDEL!AA762)</f>
        <v>0</v>
      </c>
      <c r="AB762" s="110" t="b">
        <f>IF(preDEL!$AG762,IFERROR(0/0,""),preDEL!AB762)</f>
        <v>0</v>
      </c>
      <c r="AC762" s="172">
        <f>IF(preDEL!$AG762,IFERROR(0/0,""),preDEL!AC762)</f>
        <v>60</v>
      </c>
      <c r="AD762" s="104" t="b">
        <f>IF(preDEL!$AG762,IFERROR(0/0,""),preDEL!AD762)</f>
        <v>0</v>
      </c>
      <c r="AE762" s="173">
        <f>IF(preDEL!$AG762,IFERROR(0/0,""),preDEL!AE762)</f>
        <v>265.85</v>
      </c>
      <c r="AF762" s="110" t="b">
        <f>IF(preDEL!$AG762,IFERROR(0/0,""),preDEL!AF762)</f>
        <v>0</v>
      </c>
      <c r="AG762" s="110" t="b">
        <f>IF(preDEL!$AG762,IFERROR(0/0,""),preDEL!AG762)</f>
        <v>0</v>
      </c>
      <c r="AH762" s="104" t="str">
        <f>IF(preDEL!$AG762,IFERROR(0/0,""),preDEL!AH762)</f>
        <v/>
      </c>
      <c r="AI762" s="105" t="str">
        <f>IF(preDEL!$AG762,IFERROR(0/0,""),preDEL!AI762)</f>
        <v/>
      </c>
      <c r="AJ762" s="112" t="str">
        <f>IF(preDEL!$AG762,IFERROR(0/0,""),preDEL!AJ762)</f>
        <v/>
      </c>
      <c r="AK762" s="105" t="str">
        <f>IF(preDEL!$AG762,IFERROR(0/0,""),preDEL!AK762)</f>
        <v>Negative</v>
      </c>
      <c r="AL762" s="112" t="str">
        <f>IF(preDEL!$AG762,IFERROR(0/0,""),preDEL!AL762)</f>
        <v/>
      </c>
      <c r="AM762" s="112" t="str">
        <f>IF(preDEL!$AG762,IFERROR(0/0,""),preDEL!AM762)</f>
        <v>SpBEND551372</v>
      </c>
      <c r="AN762" s="112" t="str">
        <f>IF(preDEL!$AG762,IFERROR(0/0,""),preDEL!AN762)</f>
        <v>BEND475899</v>
      </c>
      <c r="AO762" s="112" t="str">
        <f>IF(preDEL!$AG762,IFERROR(0/0,""),preDEL!AO762)</f>
        <v/>
      </c>
      <c r="AP762" s="112" t="str">
        <f>IF(preDEL!$AG762,IFERROR(0/0,""),preDEL!AP762)</f>
        <v/>
      </c>
      <c r="AQ762" s="112" t="str">
        <f>IF(preDEL!$AG762,IFERROR(0/0,""),preDEL!AQ762)</f>
        <v/>
      </c>
      <c r="AR762" s="112" t="str">
        <f>IF(preDEL!$AG762,IFERROR(0/0,""),preDEL!AR762)</f>
        <v/>
      </c>
      <c r="AS762" s="112" t="str">
        <f>IF(preDEL!$AG762,IFERROR(0/0,""),preDEL!AS762)</f>
        <v/>
      </c>
      <c r="AT762" s="112" t="b">
        <f>IF(preDEL!$AG762,IFERROR(0/0,""),preDEL!AT762)</f>
        <v>0</v>
      </c>
      <c r="AU762" s="112" t="str">
        <f>IF(preDEL!$AG762,IFERROR(0/0,""),preDEL!AU762)</f>
        <v/>
      </c>
      <c r="AV762" s="112" t="str">
        <f>IF(preDEL!$AG762,IFERROR(0/0,""),preDEL!AV762)</f>
        <v/>
      </c>
      <c r="AW762" s="112" t="str">
        <f>IF(preDEL!$AG762,IFERROR(0/0,""),preDEL!AW762)</f>
        <v/>
      </c>
      <c r="AX762" s="112" t="str">
        <f>IF(preDEL!$AG762,IFERROR(0/0,""),preDEL!AX762)</f>
        <v/>
      </c>
      <c r="AY762" s="112" t="str">
        <f>IF(preDEL!$AG762,IFERROR(0/0,""),preDEL!AY762)</f>
        <v/>
      </c>
      <c r="AZ762" s="174"/>
      <c r="BA762" s="174"/>
      <c r="BB762" s="174"/>
      <c r="BC762" s="174"/>
      <c r="BD762" s="174"/>
      <c r="BE762" s="174"/>
      <c r="BF762" s="174"/>
      <c r="BG762" s="174"/>
      <c r="BH762" s="174"/>
      <c r="BI762" s="174"/>
      <c r="BJ762" s="174"/>
      <c r="BK762" s="174"/>
      <c r="BL762" s="174"/>
      <c r="BM762" s="174"/>
      <c r="BN762" s="174"/>
      <c r="BO762" s="174"/>
      <c r="BP762" s="174"/>
      <c r="BQ762" s="174"/>
      <c r="BR762" s="174"/>
      <c r="BS762" s="174"/>
      <c r="BT762" s="174"/>
      <c r="BU762" s="174"/>
      <c r="BV762" s="174"/>
      <c r="BW762" s="174"/>
      <c r="BX762" s="174"/>
      <c r="BY762" s="174"/>
      <c r="BZ762" s="174"/>
      <c r="CA762" s="174"/>
      <c r="CB762" s="174"/>
      <c r="CC762" s="174"/>
      <c r="CD762" s="174"/>
    </row>
    <row r="763">
      <c r="A763" s="105" t="str">
        <f>IF(preDEL!$AG763,IFERROR(0/0,""),preDEL!A763)</f>
        <v>FM422</v>
      </c>
      <c r="B763" s="170">
        <f>IF(preDEL!$AG763,IFERROR(0/0,""),preDEL!B763)</f>
        <v>44629</v>
      </c>
      <c r="C763" s="171">
        <f>IF(preDEL!$AG763,IFERROR(0/0,""),preDEL!C763)</f>
        <v>0.3169328704</v>
      </c>
      <c r="D763" s="105" t="str">
        <f>IF(preDEL!$AG763,IFERROR(0/0,""),preDEL!D763)</f>
        <v/>
      </c>
      <c r="E763" s="105" t="str">
        <f>IF(preDEL!$AG763,IFERROR(0/0,""),preDEL!E763)</f>
        <v/>
      </c>
      <c r="F763" s="112" t="str">
        <f>IF(preDEL!$AG763,IFERROR(0/0,""),preDEL!F763)</f>
        <v/>
      </c>
      <c r="G763" s="112" t="str">
        <f>IF(preDEL!$AG763,IFERROR(0/0,""),preDEL!G763)</f>
        <v/>
      </c>
      <c r="H763" s="112" t="str">
        <f>IF(preDEL!$AG763,IFERROR(0/0,""),preDEL!H763)</f>
        <v/>
      </c>
      <c r="I763" s="105" t="str">
        <f>IF(preDEL!$AG763,IFERROR(0/0,""),preDEL!I763)</f>
        <v/>
      </c>
      <c r="J763" s="105" t="str">
        <f>IF(preDEL!$AG763,IFERROR(0/0,""),preDEL!J763)</f>
        <v/>
      </c>
      <c r="K763" s="105" t="str">
        <f>IF(preDEL!$AG763,IFERROR(0/0,""),preDEL!K763)</f>
        <v>Negative</v>
      </c>
      <c r="L763" s="170">
        <f>IF(preDEL!$AG763,IFERROR(0/0,""),preDEL!L763)</f>
        <v>44629</v>
      </c>
      <c r="M763" s="171">
        <f>IF(preDEL!$AG763,IFERROR(0/0,""),preDEL!M763)</f>
        <v>0.4994444444</v>
      </c>
      <c r="N763" s="112" t="str">
        <f>IF(preDEL!$AG763,IFERROR(0/0,""),preDEL!N763)</f>
        <v/>
      </c>
      <c r="O763" s="112" t="str">
        <f>IF(preDEL!$AG763,IFERROR(0/0,""),preDEL!O763)</f>
        <v/>
      </c>
      <c r="P763" s="110" t="b">
        <f>IF(preDEL!$AG763,IFERROR(0/0,""),preDEL!P763)</f>
        <v>0</v>
      </c>
      <c r="Q763" s="110" t="str">
        <f>IF(preDEL!$AG763,IFERROR(0/0,""),preDEL!Q763)</f>
        <v>Result</v>
      </c>
      <c r="R763" s="104" t="b">
        <f>IF(preDEL!$AG763,IFERROR(0/0,""),preDEL!R763)</f>
        <v>1</v>
      </c>
      <c r="S763" s="104">
        <f>IF(preDEL!$AG763,IFERROR(0/0,""),preDEL!S763)</f>
        <v>1</v>
      </c>
      <c r="T763" s="110" t="str">
        <f>IF(preDEL!$AG763,IFERROR(0/0,""),preDEL!T763)</f>
        <v/>
      </c>
      <c r="U763" s="112" t="str">
        <f>IF(preDEL!$AG763,IFERROR(0/0,""),preDEL!U763)</f>
        <v/>
      </c>
      <c r="V763" s="105" t="str">
        <f>IF(preDEL!$AG763,IFERROR(0/0,""),preDEL!V763)</f>
        <v/>
      </c>
      <c r="W763" s="112" t="str">
        <f>IF(preDEL!$AG763,IFERROR(0/0,""),preDEL!W763)</f>
        <v/>
      </c>
      <c r="X763" s="104" t="b">
        <f>IF(preDEL!$AG763,IFERROR(0/0,""),preDEL!X763)</f>
        <v>0</v>
      </c>
      <c r="Y763" s="110" t="b">
        <f>IF(preDEL!$AG763,IFERROR(0/0,""),preDEL!Y763)</f>
        <v>0</v>
      </c>
      <c r="Z763" s="105" t="str">
        <f>IF(preDEL!$AG763,IFERROR(0/0,""),preDEL!Z763)</f>
        <v/>
      </c>
      <c r="AA763" s="110" t="b">
        <f>IF(preDEL!$AG763,IFERROR(0/0,""),preDEL!AA763)</f>
        <v>0</v>
      </c>
      <c r="AB763" s="110" t="b">
        <f>IF(preDEL!$AG763,IFERROR(0/0,""),preDEL!AB763)</f>
        <v>0</v>
      </c>
      <c r="AC763" s="172">
        <f>IF(preDEL!$AG763,IFERROR(0/0,""),preDEL!AC763)</f>
        <v>59</v>
      </c>
      <c r="AD763" s="104" t="b">
        <f>IF(preDEL!$AG763,IFERROR(0/0,""),preDEL!AD763)</f>
        <v>0</v>
      </c>
      <c r="AE763" s="173">
        <f>IF(preDEL!$AG763,IFERROR(0/0,""),preDEL!AE763)</f>
        <v>262.8166667</v>
      </c>
      <c r="AF763" s="110" t="b">
        <f>IF(preDEL!$AG763,IFERROR(0/0,""),preDEL!AF763)</f>
        <v>0</v>
      </c>
      <c r="AG763" s="110" t="b">
        <f>IF(preDEL!$AG763,IFERROR(0/0,""),preDEL!AG763)</f>
        <v>0</v>
      </c>
      <c r="AH763" s="104" t="str">
        <f>IF(preDEL!$AG763,IFERROR(0/0,""),preDEL!AH763)</f>
        <v/>
      </c>
      <c r="AI763" s="105" t="str">
        <f>IF(preDEL!$AG763,IFERROR(0/0,""),preDEL!AI763)</f>
        <v/>
      </c>
      <c r="AJ763" s="112" t="str">
        <f>IF(preDEL!$AG763,IFERROR(0/0,""),preDEL!AJ763)</f>
        <v/>
      </c>
      <c r="AK763" s="105" t="str">
        <f>IF(preDEL!$AG763,IFERROR(0/0,""),preDEL!AK763)</f>
        <v>Negative</v>
      </c>
      <c r="AL763" s="112" t="str">
        <f>IF(preDEL!$AG763,IFERROR(0/0,""),preDEL!AL763)</f>
        <v/>
      </c>
      <c r="AM763" s="112" t="str">
        <f>IF(preDEL!$AG763,IFERROR(0/0,""),preDEL!AM763)</f>
        <v>SpBEND474338</v>
      </c>
      <c r="AN763" s="112" t="str">
        <f>IF(preDEL!$AG763,IFERROR(0/0,""),preDEL!AN763)</f>
        <v>BEND980447</v>
      </c>
      <c r="AO763" s="112" t="str">
        <f>IF(preDEL!$AG763,IFERROR(0/0,""),preDEL!AO763)</f>
        <v/>
      </c>
      <c r="AP763" s="112" t="str">
        <f>IF(preDEL!$AG763,IFERROR(0/0,""),preDEL!AP763)</f>
        <v/>
      </c>
      <c r="AQ763" s="112" t="str">
        <f>IF(preDEL!$AG763,IFERROR(0/0,""),preDEL!AQ763)</f>
        <v/>
      </c>
      <c r="AR763" s="112" t="str">
        <f>IF(preDEL!$AG763,IFERROR(0/0,""),preDEL!AR763)</f>
        <v/>
      </c>
      <c r="AS763" s="112" t="str">
        <f>IF(preDEL!$AG763,IFERROR(0/0,""),preDEL!AS763)</f>
        <v/>
      </c>
      <c r="AT763" s="112" t="b">
        <f>IF(preDEL!$AG763,IFERROR(0/0,""),preDEL!AT763)</f>
        <v>0</v>
      </c>
      <c r="AU763" s="112" t="str">
        <f>IF(preDEL!$AG763,IFERROR(0/0,""),preDEL!AU763)</f>
        <v/>
      </c>
      <c r="AV763" s="112" t="str">
        <f>IF(preDEL!$AG763,IFERROR(0/0,""),preDEL!AV763)</f>
        <v/>
      </c>
      <c r="AW763" s="112" t="str">
        <f>IF(preDEL!$AG763,IFERROR(0/0,""),preDEL!AW763)</f>
        <v/>
      </c>
      <c r="AX763" s="112" t="str">
        <f>IF(preDEL!$AG763,IFERROR(0/0,""),preDEL!AX763)</f>
        <v/>
      </c>
      <c r="AY763" s="112" t="str">
        <f>IF(preDEL!$AG763,IFERROR(0/0,""),preDEL!AY763)</f>
        <v/>
      </c>
      <c r="AZ763" s="174"/>
      <c r="BA763" s="174"/>
      <c r="BB763" s="174"/>
      <c r="BC763" s="174"/>
      <c r="BD763" s="174"/>
      <c r="BE763" s="174"/>
      <c r="BF763" s="174"/>
      <c r="BG763" s="174"/>
      <c r="BH763" s="174"/>
      <c r="BI763" s="174"/>
      <c r="BJ763" s="174"/>
      <c r="BK763" s="174"/>
      <c r="BL763" s="174"/>
      <c r="BM763" s="174"/>
      <c r="BN763" s="174"/>
      <c r="BO763" s="174"/>
      <c r="BP763" s="174"/>
      <c r="BQ763" s="174"/>
      <c r="BR763" s="174"/>
      <c r="BS763" s="174"/>
      <c r="BT763" s="174"/>
      <c r="BU763" s="174"/>
      <c r="BV763" s="174"/>
      <c r="BW763" s="174"/>
      <c r="BX763" s="174"/>
      <c r="BY763" s="174"/>
      <c r="BZ763" s="174"/>
      <c r="CA763" s="174"/>
      <c r="CB763" s="174"/>
      <c r="CC763" s="174"/>
      <c r="CD763" s="174"/>
    </row>
    <row r="764">
      <c r="A764" s="105" t="str">
        <f>IF(preDEL!$AG764,IFERROR(0/0,""),preDEL!A764)</f>
        <v>FM91</v>
      </c>
      <c r="B764" s="170">
        <f>IF(preDEL!$AG764,IFERROR(0/0,""),preDEL!B764)</f>
        <v>44629</v>
      </c>
      <c r="C764" s="171">
        <f>IF(preDEL!$AG764,IFERROR(0/0,""),preDEL!C764)</f>
        <v>0.317349537</v>
      </c>
      <c r="D764" s="105" t="str">
        <f>IF(preDEL!$AG764,IFERROR(0/0,""),preDEL!D764)</f>
        <v/>
      </c>
      <c r="E764" s="105" t="str">
        <f>IF(preDEL!$AG764,IFERROR(0/0,""),preDEL!E764)</f>
        <v/>
      </c>
      <c r="F764" s="112" t="str">
        <f>IF(preDEL!$AG764,IFERROR(0/0,""),preDEL!F764)</f>
        <v/>
      </c>
      <c r="G764" s="112" t="str">
        <f>IF(preDEL!$AG764,IFERROR(0/0,""),preDEL!G764)</f>
        <v/>
      </c>
      <c r="H764" s="112" t="str">
        <f>IF(preDEL!$AG764,IFERROR(0/0,""),preDEL!H764)</f>
        <v/>
      </c>
      <c r="I764" s="105" t="str">
        <f>IF(preDEL!$AG764,IFERROR(0/0,""),preDEL!I764)</f>
        <v/>
      </c>
      <c r="J764" s="105" t="str">
        <f>IF(preDEL!$AG764,IFERROR(0/0,""),preDEL!J764)</f>
        <v/>
      </c>
      <c r="K764" s="105" t="str">
        <f>IF(preDEL!$AG764,IFERROR(0/0,""),preDEL!K764)</f>
        <v>Negative</v>
      </c>
      <c r="L764" s="170">
        <f>IF(preDEL!$AG764,IFERROR(0/0,""),preDEL!L764)</f>
        <v>44629</v>
      </c>
      <c r="M764" s="171">
        <f>IF(preDEL!$AG764,IFERROR(0/0,""),preDEL!M764)</f>
        <v>0.4994444444</v>
      </c>
      <c r="N764" s="112" t="str">
        <f>IF(preDEL!$AG764,IFERROR(0/0,""),preDEL!N764)</f>
        <v/>
      </c>
      <c r="O764" s="112" t="str">
        <f>IF(preDEL!$AG764,IFERROR(0/0,""),preDEL!O764)</f>
        <v/>
      </c>
      <c r="P764" s="110" t="b">
        <f>IF(preDEL!$AG764,IFERROR(0/0,""),preDEL!P764)</f>
        <v>0</v>
      </c>
      <c r="Q764" s="110" t="str">
        <f>IF(preDEL!$AG764,IFERROR(0/0,""),preDEL!Q764)</f>
        <v>Result</v>
      </c>
      <c r="R764" s="104" t="b">
        <f>IF(preDEL!$AG764,IFERROR(0/0,""),preDEL!R764)</f>
        <v>1</v>
      </c>
      <c r="S764" s="104">
        <f>IF(preDEL!$AG764,IFERROR(0/0,""),preDEL!S764)</f>
        <v>1</v>
      </c>
      <c r="T764" s="110" t="str">
        <f>IF(preDEL!$AG764,IFERROR(0/0,""),preDEL!T764)</f>
        <v/>
      </c>
      <c r="U764" s="112" t="str">
        <f>IF(preDEL!$AG764,IFERROR(0/0,""),preDEL!U764)</f>
        <v/>
      </c>
      <c r="V764" s="105" t="str">
        <f>IF(preDEL!$AG764,IFERROR(0/0,""),preDEL!V764)</f>
        <v/>
      </c>
      <c r="W764" s="112" t="str">
        <f>IF(preDEL!$AG764,IFERROR(0/0,""),preDEL!W764)</f>
        <v/>
      </c>
      <c r="X764" s="104" t="b">
        <f>IF(preDEL!$AG764,IFERROR(0/0,""),preDEL!X764)</f>
        <v>0</v>
      </c>
      <c r="Y764" s="110" t="b">
        <f>IF(preDEL!$AG764,IFERROR(0/0,""),preDEL!Y764)</f>
        <v>0</v>
      </c>
      <c r="Z764" s="105" t="str">
        <f>IF(preDEL!$AG764,IFERROR(0/0,""),preDEL!Z764)</f>
        <v/>
      </c>
      <c r="AA764" s="110" t="b">
        <f>IF(preDEL!$AG764,IFERROR(0/0,""),preDEL!AA764)</f>
        <v>0</v>
      </c>
      <c r="AB764" s="110" t="b">
        <f>IF(preDEL!$AG764,IFERROR(0/0,""),preDEL!AB764)</f>
        <v>0</v>
      </c>
      <c r="AC764" s="172">
        <f>IF(preDEL!$AG764,IFERROR(0/0,""),preDEL!AC764)</f>
        <v>58</v>
      </c>
      <c r="AD764" s="104" t="b">
        <f>IF(preDEL!$AG764,IFERROR(0/0,""),preDEL!AD764)</f>
        <v>0</v>
      </c>
      <c r="AE764" s="173">
        <f>IF(preDEL!$AG764,IFERROR(0/0,""),preDEL!AE764)</f>
        <v>262.2166667</v>
      </c>
      <c r="AF764" s="110" t="b">
        <f>IF(preDEL!$AG764,IFERROR(0/0,""),preDEL!AF764)</f>
        <v>0</v>
      </c>
      <c r="AG764" s="110" t="b">
        <f>IF(preDEL!$AG764,IFERROR(0/0,""),preDEL!AG764)</f>
        <v>0</v>
      </c>
      <c r="AH764" s="104" t="str">
        <f>IF(preDEL!$AG764,IFERROR(0/0,""),preDEL!AH764)</f>
        <v/>
      </c>
      <c r="AI764" s="105" t="str">
        <f>IF(preDEL!$AG764,IFERROR(0/0,""),preDEL!AI764)</f>
        <v/>
      </c>
      <c r="AJ764" s="112" t="str">
        <f>IF(preDEL!$AG764,IFERROR(0/0,""),preDEL!AJ764)</f>
        <v/>
      </c>
      <c r="AK764" s="105" t="str">
        <f>IF(preDEL!$AG764,IFERROR(0/0,""),preDEL!AK764)</f>
        <v>Negative</v>
      </c>
      <c r="AL764" s="112" t="str">
        <f>IF(preDEL!$AG764,IFERROR(0/0,""),preDEL!AL764)</f>
        <v/>
      </c>
      <c r="AM764" s="112" t="str">
        <f>IF(preDEL!$AG764,IFERROR(0/0,""),preDEL!AM764)</f>
        <v>SpBEND139600</v>
      </c>
      <c r="AN764" s="112" t="str">
        <f>IF(preDEL!$AG764,IFERROR(0/0,""),preDEL!AN764)</f>
        <v>BEND133778</v>
      </c>
      <c r="AO764" s="112" t="str">
        <f>IF(preDEL!$AG764,IFERROR(0/0,""),preDEL!AO764)</f>
        <v/>
      </c>
      <c r="AP764" s="112" t="str">
        <f>IF(preDEL!$AG764,IFERROR(0/0,""),preDEL!AP764)</f>
        <v/>
      </c>
      <c r="AQ764" s="112" t="str">
        <f>IF(preDEL!$AG764,IFERROR(0/0,""),preDEL!AQ764)</f>
        <v/>
      </c>
      <c r="AR764" s="112" t="str">
        <f>IF(preDEL!$AG764,IFERROR(0/0,""),preDEL!AR764)</f>
        <v/>
      </c>
      <c r="AS764" s="112" t="str">
        <f>IF(preDEL!$AG764,IFERROR(0/0,""),preDEL!AS764)</f>
        <v/>
      </c>
      <c r="AT764" s="112" t="b">
        <f>IF(preDEL!$AG764,IFERROR(0/0,""),preDEL!AT764)</f>
        <v>0</v>
      </c>
      <c r="AU764" s="112" t="str">
        <f>IF(preDEL!$AG764,IFERROR(0/0,""),preDEL!AU764)</f>
        <v/>
      </c>
      <c r="AV764" s="112" t="str">
        <f>IF(preDEL!$AG764,IFERROR(0/0,""),preDEL!AV764)</f>
        <v/>
      </c>
      <c r="AW764" s="112" t="str">
        <f>IF(preDEL!$AG764,IFERROR(0/0,""),preDEL!AW764)</f>
        <v/>
      </c>
      <c r="AX764" s="112" t="str">
        <f>IF(preDEL!$AG764,IFERROR(0/0,""),preDEL!AX764)</f>
        <v/>
      </c>
      <c r="AY764" s="112" t="str">
        <f>IF(preDEL!$AG764,IFERROR(0/0,""),preDEL!AY764)</f>
        <v/>
      </c>
      <c r="AZ764" s="174"/>
      <c r="BA764" s="174"/>
      <c r="BB764" s="174"/>
      <c r="BC764" s="174"/>
      <c r="BD764" s="174"/>
      <c r="BE764" s="174"/>
      <c r="BF764" s="174"/>
      <c r="BG764" s="174"/>
      <c r="BH764" s="174"/>
      <c r="BI764" s="174"/>
      <c r="BJ764" s="174"/>
      <c r="BK764" s="174"/>
      <c r="BL764" s="174"/>
      <c r="BM764" s="174"/>
      <c r="BN764" s="174"/>
      <c r="BO764" s="174"/>
      <c r="BP764" s="174"/>
      <c r="BQ764" s="174"/>
      <c r="BR764" s="174"/>
      <c r="BS764" s="174"/>
      <c r="BT764" s="174"/>
      <c r="BU764" s="174"/>
      <c r="BV764" s="174"/>
      <c r="BW764" s="174"/>
      <c r="BX764" s="174"/>
      <c r="BY764" s="174"/>
      <c r="BZ764" s="174"/>
      <c r="CA764" s="174"/>
      <c r="CB764" s="174"/>
      <c r="CC764" s="174"/>
      <c r="CD764" s="174"/>
    </row>
    <row r="765">
      <c r="A765" s="105" t="str">
        <f>IF(preDEL!$AG765,IFERROR(0/0,""),preDEL!A765)</f>
        <v>FM16</v>
      </c>
      <c r="B765" s="170">
        <f>IF(preDEL!$AG765,IFERROR(0/0,""),preDEL!B765)</f>
        <v>44629</v>
      </c>
      <c r="C765" s="171">
        <f>IF(preDEL!$AG765,IFERROR(0/0,""),preDEL!C765)</f>
        <v>0.3182407407</v>
      </c>
      <c r="D765" s="105" t="str">
        <f>IF(preDEL!$AG765,IFERROR(0/0,""),preDEL!D765)</f>
        <v/>
      </c>
      <c r="E765" s="105" t="str">
        <f>IF(preDEL!$AG765,IFERROR(0/0,""),preDEL!E765)</f>
        <v/>
      </c>
      <c r="F765" s="112" t="str">
        <f>IF(preDEL!$AG765,IFERROR(0/0,""),preDEL!F765)</f>
        <v/>
      </c>
      <c r="G765" s="112" t="str">
        <f>IF(preDEL!$AG765,IFERROR(0/0,""),preDEL!G765)</f>
        <v/>
      </c>
      <c r="H765" s="112" t="str">
        <f>IF(preDEL!$AG765,IFERROR(0/0,""),preDEL!H765)</f>
        <v/>
      </c>
      <c r="I765" s="105" t="str">
        <f>IF(preDEL!$AG765,IFERROR(0/0,""),preDEL!I765)</f>
        <v/>
      </c>
      <c r="J765" s="105" t="str">
        <f>IF(preDEL!$AG765,IFERROR(0/0,""),preDEL!J765)</f>
        <v/>
      </c>
      <c r="K765" s="105" t="str">
        <f>IF(preDEL!$AG765,IFERROR(0/0,""),preDEL!K765)</f>
        <v>Negative</v>
      </c>
      <c r="L765" s="170">
        <f>IF(preDEL!$AG765,IFERROR(0/0,""),preDEL!L765)</f>
        <v>44629</v>
      </c>
      <c r="M765" s="171">
        <f>IF(preDEL!$AG765,IFERROR(0/0,""),preDEL!M765)</f>
        <v>0.4994444444</v>
      </c>
      <c r="N765" s="112" t="str">
        <f>IF(preDEL!$AG765,IFERROR(0/0,""),preDEL!N765)</f>
        <v/>
      </c>
      <c r="O765" s="112" t="str">
        <f>IF(preDEL!$AG765,IFERROR(0/0,""),preDEL!O765)</f>
        <v/>
      </c>
      <c r="P765" s="110" t="b">
        <f>IF(preDEL!$AG765,IFERROR(0/0,""),preDEL!P765)</f>
        <v>0</v>
      </c>
      <c r="Q765" s="110" t="str">
        <f>IF(preDEL!$AG765,IFERROR(0/0,""),preDEL!Q765)</f>
        <v>Result</v>
      </c>
      <c r="R765" s="104" t="b">
        <f>IF(preDEL!$AG765,IFERROR(0/0,""),preDEL!R765)</f>
        <v>1</v>
      </c>
      <c r="S765" s="104">
        <f>IF(preDEL!$AG765,IFERROR(0/0,""),preDEL!S765)</f>
        <v>1</v>
      </c>
      <c r="T765" s="110" t="str">
        <f>IF(preDEL!$AG765,IFERROR(0/0,""),preDEL!T765)</f>
        <v/>
      </c>
      <c r="U765" s="112" t="str">
        <f>IF(preDEL!$AG765,IFERROR(0/0,""),preDEL!U765)</f>
        <v/>
      </c>
      <c r="V765" s="105" t="str">
        <f>IF(preDEL!$AG765,IFERROR(0/0,""),preDEL!V765)</f>
        <v/>
      </c>
      <c r="W765" s="112" t="str">
        <f>IF(preDEL!$AG765,IFERROR(0/0,""),preDEL!W765)</f>
        <v/>
      </c>
      <c r="X765" s="104" t="b">
        <f>IF(preDEL!$AG765,IFERROR(0/0,""),preDEL!X765)</f>
        <v>0</v>
      </c>
      <c r="Y765" s="110" t="b">
        <f>IF(preDEL!$AG765,IFERROR(0/0,""),preDEL!Y765)</f>
        <v>0</v>
      </c>
      <c r="Z765" s="105" t="str">
        <f>IF(preDEL!$AG765,IFERROR(0/0,""),preDEL!Z765)</f>
        <v/>
      </c>
      <c r="AA765" s="110" t="b">
        <f>IF(preDEL!$AG765,IFERROR(0/0,""),preDEL!AA765)</f>
        <v>0</v>
      </c>
      <c r="AB765" s="110" t="b">
        <f>IF(preDEL!$AG765,IFERROR(0/0,""),preDEL!AB765)</f>
        <v>0</v>
      </c>
      <c r="AC765" s="172">
        <f>IF(preDEL!$AG765,IFERROR(0/0,""),preDEL!AC765)</f>
        <v>57</v>
      </c>
      <c r="AD765" s="104" t="b">
        <f>IF(preDEL!$AG765,IFERROR(0/0,""),preDEL!AD765)</f>
        <v>0</v>
      </c>
      <c r="AE765" s="173">
        <f>IF(preDEL!$AG765,IFERROR(0/0,""),preDEL!AE765)</f>
        <v>260.9333333</v>
      </c>
      <c r="AF765" s="110" t="b">
        <f>IF(preDEL!$AG765,IFERROR(0/0,""),preDEL!AF765)</f>
        <v>0</v>
      </c>
      <c r="AG765" s="110" t="b">
        <f>IF(preDEL!$AG765,IFERROR(0/0,""),preDEL!AG765)</f>
        <v>0</v>
      </c>
      <c r="AH765" s="104" t="str">
        <f>IF(preDEL!$AG765,IFERROR(0/0,""),preDEL!AH765)</f>
        <v/>
      </c>
      <c r="AI765" s="105" t="str">
        <f>IF(preDEL!$AG765,IFERROR(0/0,""),preDEL!AI765)</f>
        <v/>
      </c>
      <c r="AJ765" s="112" t="str">
        <f>IF(preDEL!$AG765,IFERROR(0/0,""),preDEL!AJ765)</f>
        <v/>
      </c>
      <c r="AK765" s="105" t="str">
        <f>IF(preDEL!$AG765,IFERROR(0/0,""),preDEL!AK765)</f>
        <v>Negative</v>
      </c>
      <c r="AL765" s="112" t="str">
        <f>IF(preDEL!$AG765,IFERROR(0/0,""),preDEL!AL765)</f>
        <v/>
      </c>
      <c r="AM765" s="112" t="str">
        <f>IF(preDEL!$AG765,IFERROR(0/0,""),preDEL!AM765)</f>
        <v>SpBEND292554</v>
      </c>
      <c r="AN765" s="112" t="str">
        <f>IF(preDEL!$AG765,IFERROR(0/0,""),preDEL!AN765)</f>
        <v>BEND295131</v>
      </c>
      <c r="AO765" s="112" t="str">
        <f>IF(preDEL!$AG765,IFERROR(0/0,""),preDEL!AO765)</f>
        <v/>
      </c>
      <c r="AP765" s="112" t="str">
        <f>IF(preDEL!$AG765,IFERROR(0/0,""),preDEL!AP765)</f>
        <v/>
      </c>
      <c r="AQ765" s="112" t="str">
        <f>IF(preDEL!$AG765,IFERROR(0/0,""),preDEL!AQ765)</f>
        <v/>
      </c>
      <c r="AR765" s="112" t="str">
        <f>IF(preDEL!$AG765,IFERROR(0/0,""),preDEL!AR765)</f>
        <v/>
      </c>
      <c r="AS765" s="112" t="str">
        <f>IF(preDEL!$AG765,IFERROR(0/0,""),preDEL!AS765)</f>
        <v/>
      </c>
      <c r="AT765" s="112" t="b">
        <f>IF(preDEL!$AG765,IFERROR(0/0,""),preDEL!AT765)</f>
        <v>0</v>
      </c>
      <c r="AU765" s="112" t="str">
        <f>IF(preDEL!$AG765,IFERROR(0/0,""),preDEL!AU765)</f>
        <v/>
      </c>
      <c r="AV765" s="112" t="str">
        <f>IF(preDEL!$AG765,IFERROR(0/0,""),preDEL!AV765)</f>
        <v/>
      </c>
      <c r="AW765" s="112" t="str">
        <f>IF(preDEL!$AG765,IFERROR(0/0,""),preDEL!AW765)</f>
        <v/>
      </c>
      <c r="AX765" s="112" t="str">
        <f>IF(preDEL!$AG765,IFERROR(0/0,""),preDEL!AX765)</f>
        <v/>
      </c>
      <c r="AY765" s="112" t="str">
        <f>IF(preDEL!$AG765,IFERROR(0/0,""),preDEL!AY765)</f>
        <v/>
      </c>
      <c r="AZ765" s="174"/>
      <c r="BA765" s="174"/>
      <c r="BB765" s="174"/>
      <c r="BC765" s="174"/>
      <c r="BD765" s="174"/>
      <c r="BE765" s="174"/>
      <c r="BF765" s="174"/>
      <c r="BG765" s="174"/>
      <c r="BH765" s="174"/>
      <c r="BI765" s="174"/>
      <c r="BJ765" s="174"/>
      <c r="BK765" s="174"/>
      <c r="BL765" s="174"/>
      <c r="BM765" s="174"/>
      <c r="BN765" s="174"/>
      <c r="BO765" s="174"/>
      <c r="BP765" s="174"/>
      <c r="BQ765" s="174"/>
      <c r="BR765" s="174"/>
      <c r="BS765" s="174"/>
      <c r="BT765" s="174"/>
      <c r="BU765" s="174"/>
      <c r="BV765" s="174"/>
      <c r="BW765" s="174"/>
      <c r="BX765" s="174"/>
      <c r="BY765" s="174"/>
      <c r="BZ765" s="174"/>
      <c r="CA765" s="174"/>
      <c r="CB765" s="174"/>
      <c r="CC765" s="174"/>
      <c r="CD765" s="174"/>
    </row>
    <row r="766">
      <c r="A766" s="105" t="str">
        <f>IF(preDEL!$AG766,IFERROR(0/0,""),preDEL!A766)</f>
        <v>FM340</v>
      </c>
      <c r="B766" s="170">
        <f>IF(preDEL!$AG766,IFERROR(0/0,""),preDEL!B766)</f>
        <v>44629</v>
      </c>
      <c r="C766" s="171">
        <f>IF(preDEL!$AG766,IFERROR(0/0,""),preDEL!C766)</f>
        <v>0.3201851852</v>
      </c>
      <c r="D766" s="105" t="str">
        <f>IF(preDEL!$AG766,IFERROR(0/0,""),preDEL!D766)</f>
        <v/>
      </c>
      <c r="E766" s="105" t="str">
        <f>IF(preDEL!$AG766,IFERROR(0/0,""),preDEL!E766)</f>
        <v/>
      </c>
      <c r="F766" s="112" t="str">
        <f>IF(preDEL!$AG766,IFERROR(0/0,""),preDEL!F766)</f>
        <v/>
      </c>
      <c r="G766" s="112" t="str">
        <f>IF(preDEL!$AG766,IFERROR(0/0,""),preDEL!G766)</f>
        <v/>
      </c>
      <c r="H766" s="112" t="str">
        <f>IF(preDEL!$AG766,IFERROR(0/0,""),preDEL!H766)</f>
        <v/>
      </c>
      <c r="I766" s="105" t="str">
        <f>IF(preDEL!$AG766,IFERROR(0/0,""),preDEL!I766)</f>
        <v/>
      </c>
      <c r="J766" s="105" t="str">
        <f>IF(preDEL!$AG766,IFERROR(0/0,""),preDEL!J766)</f>
        <v/>
      </c>
      <c r="K766" s="105" t="str">
        <f>IF(preDEL!$AG766,IFERROR(0/0,""),preDEL!K766)</f>
        <v>Negative</v>
      </c>
      <c r="L766" s="170">
        <f>IF(preDEL!$AG766,IFERROR(0/0,""),preDEL!L766)</f>
        <v>44629</v>
      </c>
      <c r="M766" s="171">
        <f>IF(preDEL!$AG766,IFERROR(0/0,""),preDEL!M766)</f>
        <v>0.4994444444</v>
      </c>
      <c r="N766" s="112" t="str">
        <f>IF(preDEL!$AG766,IFERROR(0/0,""),preDEL!N766)</f>
        <v/>
      </c>
      <c r="O766" s="112" t="str">
        <f>IF(preDEL!$AG766,IFERROR(0/0,""),preDEL!O766)</f>
        <v/>
      </c>
      <c r="P766" s="110" t="b">
        <f>IF(preDEL!$AG766,IFERROR(0/0,""),preDEL!P766)</f>
        <v>0</v>
      </c>
      <c r="Q766" s="110" t="str">
        <f>IF(preDEL!$AG766,IFERROR(0/0,""),preDEL!Q766)</f>
        <v>Result</v>
      </c>
      <c r="R766" s="104" t="b">
        <f>IF(preDEL!$AG766,IFERROR(0/0,""),preDEL!R766)</f>
        <v>1</v>
      </c>
      <c r="S766" s="104">
        <f>IF(preDEL!$AG766,IFERROR(0/0,""),preDEL!S766)</f>
        <v>1</v>
      </c>
      <c r="T766" s="110" t="str">
        <f>IF(preDEL!$AG766,IFERROR(0/0,""),preDEL!T766)</f>
        <v/>
      </c>
      <c r="U766" s="112" t="str">
        <f>IF(preDEL!$AG766,IFERROR(0/0,""),preDEL!U766)</f>
        <v/>
      </c>
      <c r="V766" s="105" t="str">
        <f>IF(preDEL!$AG766,IFERROR(0/0,""),preDEL!V766)</f>
        <v/>
      </c>
      <c r="W766" s="112" t="str">
        <f>IF(preDEL!$AG766,IFERROR(0/0,""),preDEL!W766)</f>
        <v/>
      </c>
      <c r="X766" s="104" t="b">
        <f>IF(preDEL!$AG766,IFERROR(0/0,""),preDEL!X766)</f>
        <v>0</v>
      </c>
      <c r="Y766" s="110" t="b">
        <f>IF(preDEL!$AG766,IFERROR(0/0,""),preDEL!Y766)</f>
        <v>0</v>
      </c>
      <c r="Z766" s="105" t="str">
        <f>IF(preDEL!$AG766,IFERROR(0/0,""),preDEL!Z766)</f>
        <v/>
      </c>
      <c r="AA766" s="110" t="b">
        <f>IF(preDEL!$AG766,IFERROR(0/0,""),preDEL!AA766)</f>
        <v>0</v>
      </c>
      <c r="AB766" s="110" t="b">
        <f>IF(preDEL!$AG766,IFERROR(0/0,""),preDEL!AB766)</f>
        <v>0</v>
      </c>
      <c r="AC766" s="172">
        <f>IF(preDEL!$AG766,IFERROR(0/0,""),preDEL!AC766)</f>
        <v>56</v>
      </c>
      <c r="AD766" s="104" t="b">
        <f>IF(preDEL!$AG766,IFERROR(0/0,""),preDEL!AD766)</f>
        <v>0</v>
      </c>
      <c r="AE766" s="173">
        <f>IF(preDEL!$AG766,IFERROR(0/0,""),preDEL!AE766)</f>
        <v>258.1333333</v>
      </c>
      <c r="AF766" s="110" t="b">
        <f>IF(preDEL!$AG766,IFERROR(0/0,""),preDEL!AF766)</f>
        <v>0</v>
      </c>
      <c r="AG766" s="110" t="b">
        <f>IF(preDEL!$AG766,IFERROR(0/0,""),preDEL!AG766)</f>
        <v>0</v>
      </c>
      <c r="AH766" s="104" t="str">
        <f>IF(preDEL!$AG766,IFERROR(0/0,""),preDEL!AH766)</f>
        <v/>
      </c>
      <c r="AI766" s="105" t="str">
        <f>IF(preDEL!$AG766,IFERROR(0/0,""),preDEL!AI766)</f>
        <v/>
      </c>
      <c r="AJ766" s="112" t="str">
        <f>IF(preDEL!$AG766,IFERROR(0/0,""),preDEL!AJ766)</f>
        <v/>
      </c>
      <c r="AK766" s="105" t="str">
        <f>IF(preDEL!$AG766,IFERROR(0/0,""),preDEL!AK766)</f>
        <v>Negative</v>
      </c>
      <c r="AL766" s="112" t="str">
        <f>IF(preDEL!$AG766,IFERROR(0/0,""),preDEL!AL766)</f>
        <v/>
      </c>
      <c r="AM766" s="112" t="str">
        <f>IF(preDEL!$AG766,IFERROR(0/0,""),preDEL!AM766)</f>
        <v>SpBEND445560</v>
      </c>
      <c r="AN766" s="112" t="str">
        <f>IF(preDEL!$AG766,IFERROR(0/0,""),preDEL!AN766)</f>
        <v>BEND470695</v>
      </c>
      <c r="AO766" s="112" t="str">
        <f>IF(preDEL!$AG766,IFERROR(0/0,""),preDEL!AO766)</f>
        <v/>
      </c>
      <c r="AP766" s="112" t="str">
        <f>IF(preDEL!$AG766,IFERROR(0/0,""),preDEL!AP766)</f>
        <v/>
      </c>
      <c r="AQ766" s="112" t="str">
        <f>IF(preDEL!$AG766,IFERROR(0/0,""),preDEL!AQ766)</f>
        <v/>
      </c>
      <c r="AR766" s="112" t="str">
        <f>IF(preDEL!$AG766,IFERROR(0/0,""),preDEL!AR766)</f>
        <v/>
      </c>
      <c r="AS766" s="112" t="str">
        <f>IF(preDEL!$AG766,IFERROR(0/0,""),preDEL!AS766)</f>
        <v/>
      </c>
      <c r="AT766" s="112" t="b">
        <f>IF(preDEL!$AG766,IFERROR(0/0,""),preDEL!AT766)</f>
        <v>0</v>
      </c>
      <c r="AU766" s="112" t="str">
        <f>IF(preDEL!$AG766,IFERROR(0/0,""),preDEL!AU766)</f>
        <v/>
      </c>
      <c r="AV766" s="112" t="str">
        <f>IF(preDEL!$AG766,IFERROR(0/0,""),preDEL!AV766)</f>
        <v/>
      </c>
      <c r="AW766" s="112" t="str">
        <f>IF(preDEL!$AG766,IFERROR(0/0,""),preDEL!AW766)</f>
        <v/>
      </c>
      <c r="AX766" s="112" t="str">
        <f>IF(preDEL!$AG766,IFERROR(0/0,""),preDEL!AX766)</f>
        <v/>
      </c>
      <c r="AY766" s="112" t="str">
        <f>IF(preDEL!$AG766,IFERROR(0/0,""),preDEL!AY766)</f>
        <v/>
      </c>
      <c r="AZ766" s="174"/>
      <c r="BA766" s="174"/>
      <c r="BB766" s="174"/>
      <c r="BC766" s="174"/>
      <c r="BD766" s="174"/>
      <c r="BE766" s="174"/>
      <c r="BF766" s="174"/>
      <c r="BG766" s="174"/>
      <c r="BH766" s="174"/>
      <c r="BI766" s="174"/>
      <c r="BJ766" s="174"/>
      <c r="BK766" s="174"/>
      <c r="BL766" s="174"/>
      <c r="BM766" s="174"/>
      <c r="BN766" s="174"/>
      <c r="BO766" s="174"/>
      <c r="BP766" s="174"/>
      <c r="BQ766" s="174"/>
      <c r="BR766" s="174"/>
      <c r="BS766" s="174"/>
      <c r="BT766" s="174"/>
      <c r="BU766" s="174"/>
      <c r="BV766" s="174"/>
      <c r="BW766" s="174"/>
      <c r="BX766" s="174"/>
      <c r="BY766" s="174"/>
      <c r="BZ766" s="174"/>
      <c r="CA766" s="174"/>
      <c r="CB766" s="174"/>
      <c r="CC766" s="174"/>
      <c r="CD766" s="174"/>
    </row>
    <row r="767">
      <c r="A767" s="105" t="str">
        <f>IF(preDEL!$AG767,IFERROR(0/0,""),preDEL!A767)</f>
        <v>FM1889</v>
      </c>
      <c r="B767" s="170">
        <f>IF(preDEL!$AG767,IFERROR(0/0,""),preDEL!B767)</f>
        <v>44629</v>
      </c>
      <c r="C767" s="171">
        <f>IF(preDEL!$AG767,IFERROR(0/0,""),preDEL!C767)</f>
        <v>0.3218634259</v>
      </c>
      <c r="D767" s="105" t="str">
        <f>IF(preDEL!$AG767,IFERROR(0/0,""),preDEL!D767)</f>
        <v/>
      </c>
      <c r="E767" s="105" t="str">
        <f>IF(preDEL!$AG767,IFERROR(0/0,""),preDEL!E767)</f>
        <v/>
      </c>
      <c r="F767" s="112" t="str">
        <f>IF(preDEL!$AG767,IFERROR(0/0,""),preDEL!F767)</f>
        <v/>
      </c>
      <c r="G767" s="112" t="str">
        <f>IF(preDEL!$AG767,IFERROR(0/0,""),preDEL!G767)</f>
        <v/>
      </c>
      <c r="H767" s="112" t="str">
        <f>IF(preDEL!$AG767,IFERROR(0/0,""),preDEL!H767)</f>
        <v/>
      </c>
      <c r="I767" s="105" t="str">
        <f>IF(preDEL!$AG767,IFERROR(0/0,""),preDEL!I767)</f>
        <v/>
      </c>
      <c r="J767" s="105" t="str">
        <f>IF(preDEL!$AG767,IFERROR(0/0,""),preDEL!J767)</f>
        <v/>
      </c>
      <c r="K767" s="105" t="str">
        <f>IF(preDEL!$AG767,IFERROR(0/0,""),preDEL!K767)</f>
        <v>Negative</v>
      </c>
      <c r="L767" s="170">
        <f>IF(preDEL!$AG767,IFERROR(0/0,""),preDEL!L767)</f>
        <v>44629</v>
      </c>
      <c r="M767" s="171">
        <f>IF(preDEL!$AG767,IFERROR(0/0,""),preDEL!M767)</f>
        <v>0.4994444444</v>
      </c>
      <c r="N767" s="112" t="str">
        <f>IF(preDEL!$AG767,IFERROR(0/0,""),preDEL!N767)</f>
        <v/>
      </c>
      <c r="O767" s="112" t="str">
        <f>IF(preDEL!$AG767,IFERROR(0/0,""),preDEL!O767)</f>
        <v/>
      </c>
      <c r="P767" s="110" t="b">
        <f>IF(preDEL!$AG767,IFERROR(0/0,""),preDEL!P767)</f>
        <v>0</v>
      </c>
      <c r="Q767" s="110" t="str">
        <f>IF(preDEL!$AG767,IFERROR(0/0,""),preDEL!Q767)</f>
        <v>Result</v>
      </c>
      <c r="R767" s="104" t="b">
        <f>IF(preDEL!$AG767,IFERROR(0/0,""),preDEL!R767)</f>
        <v>1</v>
      </c>
      <c r="S767" s="104">
        <f>IF(preDEL!$AG767,IFERROR(0/0,""),preDEL!S767)</f>
        <v>1</v>
      </c>
      <c r="T767" s="110" t="str">
        <f>IF(preDEL!$AG767,IFERROR(0/0,""),preDEL!T767)</f>
        <v/>
      </c>
      <c r="U767" s="112" t="str">
        <f>IF(preDEL!$AG767,IFERROR(0/0,""),preDEL!U767)</f>
        <v/>
      </c>
      <c r="V767" s="105" t="str">
        <f>IF(preDEL!$AG767,IFERROR(0/0,""),preDEL!V767)</f>
        <v/>
      </c>
      <c r="W767" s="112" t="str">
        <f>IF(preDEL!$AG767,IFERROR(0/0,""),preDEL!W767)</f>
        <v/>
      </c>
      <c r="X767" s="104" t="b">
        <f>IF(preDEL!$AG767,IFERROR(0/0,""),preDEL!X767)</f>
        <v>0</v>
      </c>
      <c r="Y767" s="110" t="b">
        <f>IF(preDEL!$AG767,IFERROR(0/0,""),preDEL!Y767)</f>
        <v>0</v>
      </c>
      <c r="Z767" s="105" t="str">
        <f>IF(preDEL!$AG767,IFERROR(0/0,""),preDEL!Z767)</f>
        <v/>
      </c>
      <c r="AA767" s="110" t="b">
        <f>IF(preDEL!$AG767,IFERROR(0/0,""),preDEL!AA767)</f>
        <v>0</v>
      </c>
      <c r="AB767" s="110" t="b">
        <f>IF(preDEL!$AG767,IFERROR(0/0,""),preDEL!AB767)</f>
        <v>0</v>
      </c>
      <c r="AC767" s="172">
        <f>IF(preDEL!$AG767,IFERROR(0/0,""),preDEL!AC767)</f>
        <v>55</v>
      </c>
      <c r="AD767" s="104" t="b">
        <f>IF(preDEL!$AG767,IFERROR(0/0,""),preDEL!AD767)</f>
        <v>0</v>
      </c>
      <c r="AE767" s="173">
        <f>IF(preDEL!$AG767,IFERROR(0/0,""),preDEL!AE767)</f>
        <v>255.7166667</v>
      </c>
      <c r="AF767" s="110" t="b">
        <f>IF(preDEL!$AG767,IFERROR(0/0,""),preDEL!AF767)</f>
        <v>0</v>
      </c>
      <c r="AG767" s="110" t="b">
        <f>IF(preDEL!$AG767,IFERROR(0/0,""),preDEL!AG767)</f>
        <v>0</v>
      </c>
      <c r="AH767" s="104" t="str">
        <f>IF(preDEL!$AG767,IFERROR(0/0,""),preDEL!AH767)</f>
        <v/>
      </c>
      <c r="AI767" s="105" t="str">
        <f>IF(preDEL!$AG767,IFERROR(0/0,""),preDEL!AI767)</f>
        <v/>
      </c>
      <c r="AJ767" s="112" t="str">
        <f>IF(preDEL!$AG767,IFERROR(0/0,""),preDEL!AJ767)</f>
        <v/>
      </c>
      <c r="AK767" s="105" t="str">
        <f>IF(preDEL!$AG767,IFERROR(0/0,""),preDEL!AK767)</f>
        <v>Negative</v>
      </c>
      <c r="AL767" s="112" t="str">
        <f>IF(preDEL!$AG767,IFERROR(0/0,""),preDEL!AL767)</f>
        <v/>
      </c>
      <c r="AM767" s="112" t="str">
        <f>IF(preDEL!$AG767,IFERROR(0/0,""),preDEL!AM767)</f>
        <v>SpBEND637657</v>
      </c>
      <c r="AN767" s="112" t="str">
        <f>IF(preDEL!$AG767,IFERROR(0/0,""),preDEL!AN767)</f>
        <v>BEND142851</v>
      </c>
      <c r="AO767" s="112" t="str">
        <f>IF(preDEL!$AG767,IFERROR(0/0,""),preDEL!AO767)</f>
        <v/>
      </c>
      <c r="AP767" s="112" t="str">
        <f>IF(preDEL!$AG767,IFERROR(0/0,""),preDEL!AP767)</f>
        <v/>
      </c>
      <c r="AQ767" s="112" t="str">
        <f>IF(preDEL!$AG767,IFERROR(0/0,""),preDEL!AQ767)</f>
        <v/>
      </c>
      <c r="AR767" s="112" t="str">
        <f>IF(preDEL!$AG767,IFERROR(0/0,""),preDEL!AR767)</f>
        <v/>
      </c>
      <c r="AS767" s="112" t="str">
        <f>IF(preDEL!$AG767,IFERROR(0/0,""),preDEL!AS767)</f>
        <v/>
      </c>
      <c r="AT767" s="112" t="b">
        <f>IF(preDEL!$AG767,IFERROR(0/0,""),preDEL!AT767)</f>
        <v>0</v>
      </c>
      <c r="AU767" s="112" t="str">
        <f>IF(preDEL!$AG767,IFERROR(0/0,""),preDEL!AU767)</f>
        <v/>
      </c>
      <c r="AV767" s="112" t="str">
        <f>IF(preDEL!$AG767,IFERROR(0/0,""),preDEL!AV767)</f>
        <v/>
      </c>
      <c r="AW767" s="112" t="str">
        <f>IF(preDEL!$AG767,IFERROR(0/0,""),preDEL!AW767)</f>
        <v/>
      </c>
      <c r="AX767" s="112" t="str">
        <f>IF(preDEL!$AG767,IFERROR(0/0,""),preDEL!AX767)</f>
        <v/>
      </c>
      <c r="AY767" s="112" t="str">
        <f>IF(preDEL!$AG767,IFERROR(0/0,""),preDEL!AY767)</f>
        <v/>
      </c>
      <c r="AZ767" s="174"/>
      <c r="BA767" s="174"/>
      <c r="BB767" s="174"/>
      <c r="BC767" s="174"/>
      <c r="BD767" s="174"/>
      <c r="BE767" s="174"/>
      <c r="BF767" s="174"/>
      <c r="BG767" s="174"/>
      <c r="BH767" s="174"/>
      <c r="BI767" s="174"/>
      <c r="BJ767" s="174"/>
      <c r="BK767" s="174"/>
      <c r="BL767" s="174"/>
      <c r="BM767" s="174"/>
      <c r="BN767" s="174"/>
      <c r="BO767" s="174"/>
      <c r="BP767" s="174"/>
      <c r="BQ767" s="174"/>
      <c r="BR767" s="174"/>
      <c r="BS767" s="174"/>
      <c r="BT767" s="174"/>
      <c r="BU767" s="174"/>
      <c r="BV767" s="174"/>
      <c r="BW767" s="174"/>
      <c r="BX767" s="174"/>
      <c r="BY767" s="174"/>
      <c r="BZ767" s="174"/>
      <c r="CA767" s="174"/>
      <c r="CB767" s="174"/>
      <c r="CC767" s="174"/>
      <c r="CD767" s="174"/>
    </row>
    <row r="768">
      <c r="A768" s="105" t="str">
        <f>IF(preDEL!$AG768,IFERROR(0/0,""),preDEL!A768)</f>
        <v>FM401</v>
      </c>
      <c r="B768" s="170">
        <f>IF(preDEL!$AG768,IFERROR(0/0,""),preDEL!B768)</f>
        <v>44629</v>
      </c>
      <c r="C768" s="171">
        <f>IF(preDEL!$AG768,IFERROR(0/0,""),preDEL!C768)</f>
        <v>0.3237847222</v>
      </c>
      <c r="D768" s="105" t="str">
        <f>IF(preDEL!$AG768,IFERROR(0/0,""),preDEL!D768)</f>
        <v/>
      </c>
      <c r="E768" s="105" t="str">
        <f>IF(preDEL!$AG768,IFERROR(0/0,""),preDEL!E768)</f>
        <v/>
      </c>
      <c r="F768" s="112" t="str">
        <f>IF(preDEL!$AG768,IFERROR(0/0,""),preDEL!F768)</f>
        <v/>
      </c>
      <c r="G768" s="112" t="str">
        <f>IF(preDEL!$AG768,IFERROR(0/0,""),preDEL!G768)</f>
        <v/>
      </c>
      <c r="H768" s="112" t="str">
        <f>IF(preDEL!$AG768,IFERROR(0/0,""),preDEL!H768)</f>
        <v/>
      </c>
      <c r="I768" s="105" t="str">
        <f>IF(preDEL!$AG768,IFERROR(0/0,""),preDEL!I768)</f>
        <v/>
      </c>
      <c r="J768" s="105" t="str">
        <f>IF(preDEL!$AG768,IFERROR(0/0,""),preDEL!J768)</f>
        <v/>
      </c>
      <c r="K768" s="105" t="str">
        <f>IF(preDEL!$AG768,IFERROR(0/0,""),preDEL!K768)</f>
        <v>Negative</v>
      </c>
      <c r="L768" s="170">
        <f>IF(preDEL!$AG768,IFERROR(0/0,""),preDEL!L768)</f>
        <v>44629</v>
      </c>
      <c r="M768" s="171">
        <f>IF(preDEL!$AG768,IFERROR(0/0,""),preDEL!M768)</f>
        <v>0.4994444444</v>
      </c>
      <c r="N768" s="112" t="str">
        <f>IF(preDEL!$AG768,IFERROR(0/0,""),preDEL!N768)</f>
        <v/>
      </c>
      <c r="O768" s="112" t="str">
        <f>IF(preDEL!$AG768,IFERROR(0/0,""),preDEL!O768)</f>
        <v/>
      </c>
      <c r="P768" s="110" t="b">
        <f>IF(preDEL!$AG768,IFERROR(0/0,""),preDEL!P768)</f>
        <v>0</v>
      </c>
      <c r="Q768" s="110" t="str">
        <f>IF(preDEL!$AG768,IFERROR(0/0,""),preDEL!Q768)</f>
        <v>Result</v>
      </c>
      <c r="R768" s="104" t="b">
        <f>IF(preDEL!$AG768,IFERROR(0/0,""),preDEL!R768)</f>
        <v>1</v>
      </c>
      <c r="S768" s="104">
        <f>IF(preDEL!$AG768,IFERROR(0/0,""),preDEL!S768)</f>
        <v>1</v>
      </c>
      <c r="T768" s="110" t="str">
        <f>IF(preDEL!$AG768,IFERROR(0/0,""),preDEL!T768)</f>
        <v/>
      </c>
      <c r="U768" s="112" t="str">
        <f>IF(preDEL!$AG768,IFERROR(0/0,""),preDEL!U768)</f>
        <v/>
      </c>
      <c r="V768" s="105" t="str">
        <f>IF(preDEL!$AG768,IFERROR(0/0,""),preDEL!V768)</f>
        <v/>
      </c>
      <c r="W768" s="112" t="str">
        <f>IF(preDEL!$AG768,IFERROR(0/0,""),preDEL!W768)</f>
        <v/>
      </c>
      <c r="X768" s="104" t="b">
        <f>IF(preDEL!$AG768,IFERROR(0/0,""),preDEL!X768)</f>
        <v>0</v>
      </c>
      <c r="Y768" s="110" t="b">
        <f>IF(preDEL!$AG768,IFERROR(0/0,""),preDEL!Y768)</f>
        <v>0</v>
      </c>
      <c r="Z768" s="105" t="str">
        <f>IF(preDEL!$AG768,IFERROR(0/0,""),preDEL!Z768)</f>
        <v/>
      </c>
      <c r="AA768" s="110" t="b">
        <f>IF(preDEL!$AG768,IFERROR(0/0,""),preDEL!AA768)</f>
        <v>0</v>
      </c>
      <c r="AB768" s="110" t="b">
        <f>IF(preDEL!$AG768,IFERROR(0/0,""),preDEL!AB768)</f>
        <v>0</v>
      </c>
      <c r="AC768" s="172">
        <f>IF(preDEL!$AG768,IFERROR(0/0,""),preDEL!AC768)</f>
        <v>54</v>
      </c>
      <c r="AD768" s="104" t="b">
        <f>IF(preDEL!$AG768,IFERROR(0/0,""),preDEL!AD768)</f>
        <v>0</v>
      </c>
      <c r="AE768" s="173">
        <f>IF(preDEL!$AG768,IFERROR(0/0,""),preDEL!AE768)</f>
        <v>252.95</v>
      </c>
      <c r="AF768" s="110" t="b">
        <f>IF(preDEL!$AG768,IFERROR(0/0,""),preDEL!AF768)</f>
        <v>0</v>
      </c>
      <c r="AG768" s="110" t="b">
        <f>IF(preDEL!$AG768,IFERROR(0/0,""),preDEL!AG768)</f>
        <v>0</v>
      </c>
      <c r="AH768" s="104" t="str">
        <f>IF(preDEL!$AG768,IFERROR(0/0,""),preDEL!AH768)</f>
        <v/>
      </c>
      <c r="AI768" s="105" t="str">
        <f>IF(preDEL!$AG768,IFERROR(0/0,""),preDEL!AI768)</f>
        <v/>
      </c>
      <c r="AJ768" s="112" t="str">
        <f>IF(preDEL!$AG768,IFERROR(0/0,""),preDEL!AJ768)</f>
        <v/>
      </c>
      <c r="AK768" s="105" t="str">
        <f>IF(preDEL!$AG768,IFERROR(0/0,""),preDEL!AK768)</f>
        <v>Negative</v>
      </c>
      <c r="AL768" s="112" t="str">
        <f>IF(preDEL!$AG768,IFERROR(0/0,""),preDEL!AL768)</f>
        <v/>
      </c>
      <c r="AM768" s="112" t="str">
        <f>IF(preDEL!$AG768,IFERROR(0/0,""),preDEL!AM768)</f>
        <v>SpBEND980783</v>
      </c>
      <c r="AN768" s="112" t="str">
        <f>IF(preDEL!$AG768,IFERROR(0/0,""),preDEL!AN768)</f>
        <v>BEND162474</v>
      </c>
      <c r="AO768" s="112" t="str">
        <f>IF(preDEL!$AG768,IFERROR(0/0,""),preDEL!AO768)</f>
        <v/>
      </c>
      <c r="AP768" s="112" t="str">
        <f>IF(preDEL!$AG768,IFERROR(0/0,""),preDEL!AP768)</f>
        <v/>
      </c>
      <c r="AQ768" s="112" t="str">
        <f>IF(preDEL!$AG768,IFERROR(0/0,""),preDEL!AQ768)</f>
        <v/>
      </c>
      <c r="AR768" s="112" t="str">
        <f>IF(preDEL!$AG768,IFERROR(0/0,""),preDEL!AR768)</f>
        <v/>
      </c>
      <c r="AS768" s="112" t="str">
        <f>IF(preDEL!$AG768,IFERROR(0/0,""),preDEL!AS768)</f>
        <v/>
      </c>
      <c r="AT768" s="112" t="b">
        <f>IF(preDEL!$AG768,IFERROR(0/0,""),preDEL!AT768)</f>
        <v>0</v>
      </c>
      <c r="AU768" s="112" t="str">
        <f>IF(preDEL!$AG768,IFERROR(0/0,""),preDEL!AU768)</f>
        <v/>
      </c>
      <c r="AV768" s="112" t="str">
        <f>IF(preDEL!$AG768,IFERROR(0/0,""),preDEL!AV768)</f>
        <v/>
      </c>
      <c r="AW768" s="112" t="str">
        <f>IF(preDEL!$AG768,IFERROR(0/0,""),preDEL!AW768)</f>
        <v/>
      </c>
      <c r="AX768" s="112" t="str">
        <f>IF(preDEL!$AG768,IFERROR(0/0,""),preDEL!AX768)</f>
        <v/>
      </c>
      <c r="AY768" s="112" t="str">
        <f>IF(preDEL!$AG768,IFERROR(0/0,""),preDEL!AY768)</f>
        <v/>
      </c>
      <c r="AZ768" s="174"/>
      <c r="BA768" s="174"/>
      <c r="BB768" s="174"/>
      <c r="BC768" s="174"/>
      <c r="BD768" s="174"/>
      <c r="BE768" s="174"/>
      <c r="BF768" s="174"/>
      <c r="BG768" s="174"/>
      <c r="BH768" s="174"/>
      <c r="BI768" s="174"/>
      <c r="BJ768" s="174"/>
      <c r="BK768" s="174"/>
      <c r="BL768" s="174"/>
      <c r="BM768" s="174"/>
      <c r="BN768" s="174"/>
      <c r="BO768" s="174"/>
      <c r="BP768" s="174"/>
      <c r="BQ768" s="174"/>
      <c r="BR768" s="174"/>
      <c r="BS768" s="174"/>
      <c r="BT768" s="174"/>
      <c r="BU768" s="174"/>
      <c r="BV768" s="174"/>
      <c r="BW768" s="174"/>
      <c r="BX768" s="174"/>
      <c r="BY768" s="174"/>
      <c r="BZ768" s="174"/>
      <c r="CA768" s="174"/>
      <c r="CB768" s="174"/>
      <c r="CC768" s="174"/>
      <c r="CD768" s="174"/>
    </row>
    <row r="769">
      <c r="A769" s="105" t="str">
        <f>IF(preDEL!$AG769,IFERROR(0/0,""),preDEL!A769)</f>
        <v>FM1797</v>
      </c>
      <c r="B769" s="170">
        <f>IF(preDEL!$AG769,IFERROR(0/0,""),preDEL!B769)</f>
        <v>44629</v>
      </c>
      <c r="C769" s="171">
        <f>IF(preDEL!$AG769,IFERROR(0/0,""),preDEL!C769)</f>
        <v>0.3240162037</v>
      </c>
      <c r="D769" s="105" t="str">
        <f>IF(preDEL!$AG769,IFERROR(0/0,""),preDEL!D769)</f>
        <v/>
      </c>
      <c r="E769" s="105" t="str">
        <f>IF(preDEL!$AG769,IFERROR(0/0,""),preDEL!E769)</f>
        <v/>
      </c>
      <c r="F769" s="112" t="str">
        <f>IF(preDEL!$AG769,IFERROR(0/0,""),preDEL!F769)</f>
        <v/>
      </c>
      <c r="G769" s="112" t="str">
        <f>IF(preDEL!$AG769,IFERROR(0/0,""),preDEL!G769)</f>
        <v/>
      </c>
      <c r="H769" s="112" t="str">
        <f>IF(preDEL!$AG769,IFERROR(0/0,""),preDEL!H769)</f>
        <v/>
      </c>
      <c r="I769" s="105" t="str">
        <f>IF(preDEL!$AG769,IFERROR(0/0,""),preDEL!I769)</f>
        <v/>
      </c>
      <c r="J769" s="105" t="str">
        <f>IF(preDEL!$AG769,IFERROR(0/0,""),preDEL!J769)</f>
        <v/>
      </c>
      <c r="K769" s="105" t="str">
        <f>IF(preDEL!$AG769,IFERROR(0/0,""),preDEL!K769)</f>
        <v>Negative</v>
      </c>
      <c r="L769" s="170">
        <f>IF(preDEL!$AG769,IFERROR(0/0,""),preDEL!L769)</f>
        <v>44629</v>
      </c>
      <c r="M769" s="171">
        <f>IF(preDEL!$AG769,IFERROR(0/0,""),preDEL!M769)</f>
        <v>0.4994560185</v>
      </c>
      <c r="N769" s="112" t="str">
        <f>IF(preDEL!$AG769,IFERROR(0/0,""),preDEL!N769)</f>
        <v/>
      </c>
      <c r="O769" s="112" t="str">
        <f>IF(preDEL!$AG769,IFERROR(0/0,""),preDEL!O769)</f>
        <v/>
      </c>
      <c r="P769" s="110" t="b">
        <f>IF(preDEL!$AG769,IFERROR(0/0,""),preDEL!P769)</f>
        <v>0</v>
      </c>
      <c r="Q769" s="110" t="str">
        <f>IF(preDEL!$AG769,IFERROR(0/0,""),preDEL!Q769)</f>
        <v>Result</v>
      </c>
      <c r="R769" s="104" t="b">
        <f>IF(preDEL!$AG769,IFERROR(0/0,""),preDEL!R769)</f>
        <v>1</v>
      </c>
      <c r="S769" s="104">
        <f>IF(preDEL!$AG769,IFERROR(0/0,""),preDEL!S769)</f>
        <v>1</v>
      </c>
      <c r="T769" s="110" t="str">
        <f>IF(preDEL!$AG769,IFERROR(0/0,""),preDEL!T769)</f>
        <v/>
      </c>
      <c r="U769" s="112" t="str">
        <f>IF(preDEL!$AG769,IFERROR(0/0,""),preDEL!U769)</f>
        <v/>
      </c>
      <c r="V769" s="105" t="str">
        <f>IF(preDEL!$AG769,IFERROR(0/0,""),preDEL!V769)</f>
        <v/>
      </c>
      <c r="W769" s="112" t="str">
        <f>IF(preDEL!$AG769,IFERROR(0/0,""),preDEL!W769)</f>
        <v/>
      </c>
      <c r="X769" s="104" t="b">
        <f>IF(preDEL!$AG769,IFERROR(0/0,""),preDEL!X769)</f>
        <v>0</v>
      </c>
      <c r="Y769" s="110" t="b">
        <f>IF(preDEL!$AG769,IFERROR(0/0,""),preDEL!Y769)</f>
        <v>0</v>
      </c>
      <c r="Z769" s="105" t="str">
        <f>IF(preDEL!$AG769,IFERROR(0/0,""),preDEL!Z769)</f>
        <v/>
      </c>
      <c r="AA769" s="110" t="b">
        <f>IF(preDEL!$AG769,IFERROR(0/0,""),preDEL!AA769)</f>
        <v>0</v>
      </c>
      <c r="AB769" s="110" t="b">
        <f>IF(preDEL!$AG769,IFERROR(0/0,""),preDEL!AB769)</f>
        <v>0</v>
      </c>
      <c r="AC769" s="172">
        <f>IF(preDEL!$AG769,IFERROR(0/0,""),preDEL!AC769)</f>
        <v>53</v>
      </c>
      <c r="AD769" s="104" t="b">
        <f>IF(preDEL!$AG769,IFERROR(0/0,""),preDEL!AD769)</f>
        <v>0</v>
      </c>
      <c r="AE769" s="173">
        <f>IF(preDEL!$AG769,IFERROR(0/0,""),preDEL!AE769)</f>
        <v>252.6333333</v>
      </c>
      <c r="AF769" s="110" t="b">
        <f>IF(preDEL!$AG769,IFERROR(0/0,""),preDEL!AF769)</f>
        <v>0</v>
      </c>
      <c r="AG769" s="110" t="b">
        <f>IF(preDEL!$AG769,IFERROR(0/0,""),preDEL!AG769)</f>
        <v>0</v>
      </c>
      <c r="AH769" s="104" t="str">
        <f>IF(preDEL!$AG769,IFERROR(0/0,""),preDEL!AH769)</f>
        <v/>
      </c>
      <c r="AI769" s="105" t="str">
        <f>IF(preDEL!$AG769,IFERROR(0/0,""),preDEL!AI769)</f>
        <v/>
      </c>
      <c r="AJ769" s="112" t="str">
        <f>IF(preDEL!$AG769,IFERROR(0/0,""),preDEL!AJ769)</f>
        <v/>
      </c>
      <c r="AK769" s="105" t="str">
        <f>IF(preDEL!$AG769,IFERROR(0/0,""),preDEL!AK769)</f>
        <v>Negative</v>
      </c>
      <c r="AL769" s="112" t="str">
        <f>IF(preDEL!$AG769,IFERROR(0/0,""),preDEL!AL769)</f>
        <v/>
      </c>
      <c r="AM769" s="112" t="str">
        <f>IF(preDEL!$AG769,IFERROR(0/0,""),preDEL!AM769)</f>
        <v>SpBEND387578</v>
      </c>
      <c r="AN769" s="112" t="str">
        <f>IF(preDEL!$AG769,IFERROR(0/0,""),preDEL!AN769)</f>
        <v>BEND375164</v>
      </c>
      <c r="AO769" s="112" t="str">
        <f>IF(preDEL!$AG769,IFERROR(0/0,""),preDEL!AO769)</f>
        <v/>
      </c>
      <c r="AP769" s="112" t="str">
        <f>IF(preDEL!$AG769,IFERROR(0/0,""),preDEL!AP769)</f>
        <v/>
      </c>
      <c r="AQ769" s="112" t="str">
        <f>IF(preDEL!$AG769,IFERROR(0/0,""),preDEL!AQ769)</f>
        <v/>
      </c>
      <c r="AR769" s="112" t="str">
        <f>IF(preDEL!$AG769,IFERROR(0/0,""),preDEL!AR769)</f>
        <v/>
      </c>
      <c r="AS769" s="112" t="str">
        <f>IF(preDEL!$AG769,IFERROR(0/0,""),preDEL!AS769)</f>
        <v/>
      </c>
      <c r="AT769" s="112" t="b">
        <f>IF(preDEL!$AG769,IFERROR(0/0,""),preDEL!AT769)</f>
        <v>0</v>
      </c>
      <c r="AU769" s="112" t="str">
        <f>IF(preDEL!$AG769,IFERROR(0/0,""),preDEL!AU769)</f>
        <v/>
      </c>
      <c r="AV769" s="112" t="str">
        <f>IF(preDEL!$AG769,IFERROR(0/0,""),preDEL!AV769)</f>
        <v/>
      </c>
      <c r="AW769" s="112" t="str">
        <f>IF(preDEL!$AG769,IFERROR(0/0,""),preDEL!AW769)</f>
        <v/>
      </c>
      <c r="AX769" s="112" t="str">
        <f>IF(preDEL!$AG769,IFERROR(0/0,""),preDEL!AX769)</f>
        <v/>
      </c>
      <c r="AY769" s="112" t="str">
        <f>IF(preDEL!$AG769,IFERROR(0/0,""),preDEL!AY769)</f>
        <v/>
      </c>
      <c r="AZ769" s="174"/>
      <c r="BA769" s="174"/>
      <c r="BB769" s="174"/>
      <c r="BC769" s="174"/>
      <c r="BD769" s="174"/>
      <c r="BE769" s="174"/>
      <c r="BF769" s="174"/>
      <c r="BG769" s="174"/>
      <c r="BH769" s="174"/>
      <c r="BI769" s="174"/>
      <c r="BJ769" s="174"/>
      <c r="BK769" s="174"/>
      <c r="BL769" s="174"/>
      <c r="BM769" s="174"/>
      <c r="BN769" s="174"/>
      <c r="BO769" s="174"/>
      <c r="BP769" s="174"/>
      <c r="BQ769" s="174"/>
      <c r="BR769" s="174"/>
      <c r="BS769" s="174"/>
      <c r="BT769" s="174"/>
      <c r="BU769" s="174"/>
      <c r="BV769" s="174"/>
      <c r="BW769" s="174"/>
      <c r="BX769" s="174"/>
      <c r="BY769" s="174"/>
      <c r="BZ769" s="174"/>
      <c r="CA769" s="174"/>
      <c r="CB769" s="174"/>
      <c r="CC769" s="174"/>
      <c r="CD769" s="174"/>
    </row>
    <row r="770">
      <c r="A770" s="105" t="str">
        <f>IF(preDEL!$AG770,IFERROR(0/0,""),preDEL!A770)</f>
        <v>MA333</v>
      </c>
      <c r="B770" s="170">
        <f>IF(preDEL!$AG770,IFERROR(0/0,""),preDEL!B770)</f>
        <v>44629</v>
      </c>
      <c r="C770" s="171">
        <f>IF(preDEL!$AG770,IFERROR(0/0,""),preDEL!C770)</f>
        <v>0.328287037</v>
      </c>
      <c r="D770" s="105" t="str">
        <f>IF(preDEL!$AG770,IFERROR(0/0,""),preDEL!D770)</f>
        <v/>
      </c>
      <c r="E770" s="105" t="str">
        <f>IF(preDEL!$AG770,IFERROR(0/0,""),preDEL!E770)</f>
        <v/>
      </c>
      <c r="F770" s="112" t="str">
        <f>IF(preDEL!$AG770,IFERROR(0/0,""),preDEL!F770)</f>
        <v/>
      </c>
      <c r="G770" s="112" t="str">
        <f>IF(preDEL!$AG770,IFERROR(0/0,""),preDEL!G770)</f>
        <v/>
      </c>
      <c r="H770" s="112" t="str">
        <f>IF(preDEL!$AG770,IFERROR(0/0,""),preDEL!H770)</f>
        <v/>
      </c>
      <c r="I770" s="105" t="str">
        <f>IF(preDEL!$AG770,IFERROR(0/0,""),preDEL!I770)</f>
        <v/>
      </c>
      <c r="J770" s="105" t="str">
        <f>IF(preDEL!$AG770,IFERROR(0/0,""),preDEL!J770)</f>
        <v/>
      </c>
      <c r="K770" s="105" t="str">
        <f>IF(preDEL!$AG770,IFERROR(0/0,""),preDEL!K770)</f>
        <v>Negative</v>
      </c>
      <c r="L770" s="170">
        <f>IF(preDEL!$AG770,IFERROR(0/0,""),preDEL!L770)</f>
        <v>44629</v>
      </c>
      <c r="M770" s="171">
        <f>IF(preDEL!$AG770,IFERROR(0/0,""),preDEL!M770)</f>
        <v>0.4994560185</v>
      </c>
      <c r="N770" s="112" t="str">
        <f>IF(preDEL!$AG770,IFERROR(0/0,""),preDEL!N770)</f>
        <v/>
      </c>
      <c r="O770" s="112" t="str">
        <f>IF(preDEL!$AG770,IFERROR(0/0,""),preDEL!O770)</f>
        <v/>
      </c>
      <c r="P770" s="110" t="b">
        <f>IF(preDEL!$AG770,IFERROR(0/0,""),preDEL!P770)</f>
        <v>0</v>
      </c>
      <c r="Q770" s="110" t="str">
        <f>IF(preDEL!$AG770,IFERROR(0/0,""),preDEL!Q770)</f>
        <v>Result</v>
      </c>
      <c r="R770" s="104" t="b">
        <f>IF(preDEL!$AG770,IFERROR(0/0,""),preDEL!R770)</f>
        <v>1</v>
      </c>
      <c r="S770" s="104">
        <f>IF(preDEL!$AG770,IFERROR(0/0,""),preDEL!S770)</f>
        <v>1</v>
      </c>
      <c r="T770" s="110" t="str">
        <f>IF(preDEL!$AG770,IFERROR(0/0,""),preDEL!T770)</f>
        <v/>
      </c>
      <c r="U770" s="112" t="str">
        <f>IF(preDEL!$AG770,IFERROR(0/0,""),preDEL!U770)</f>
        <v/>
      </c>
      <c r="V770" s="105" t="str">
        <f>IF(preDEL!$AG770,IFERROR(0/0,""),preDEL!V770)</f>
        <v/>
      </c>
      <c r="W770" s="112" t="str">
        <f>IF(preDEL!$AG770,IFERROR(0/0,""),preDEL!W770)</f>
        <v/>
      </c>
      <c r="X770" s="104" t="b">
        <f>IF(preDEL!$AG770,IFERROR(0/0,""),preDEL!X770)</f>
        <v>0</v>
      </c>
      <c r="Y770" s="110" t="b">
        <f>IF(preDEL!$AG770,IFERROR(0/0,""),preDEL!Y770)</f>
        <v>0</v>
      </c>
      <c r="Z770" s="105" t="str">
        <f>IF(preDEL!$AG770,IFERROR(0/0,""),preDEL!Z770)</f>
        <v/>
      </c>
      <c r="AA770" s="110" t="b">
        <f>IF(preDEL!$AG770,IFERROR(0/0,""),preDEL!AA770)</f>
        <v>0</v>
      </c>
      <c r="AB770" s="110" t="b">
        <f>IF(preDEL!$AG770,IFERROR(0/0,""),preDEL!AB770)</f>
        <v>0</v>
      </c>
      <c r="AC770" s="172">
        <f>IF(preDEL!$AG770,IFERROR(0/0,""),preDEL!AC770)</f>
        <v>52</v>
      </c>
      <c r="AD770" s="104" t="b">
        <f>IF(preDEL!$AG770,IFERROR(0/0,""),preDEL!AD770)</f>
        <v>0</v>
      </c>
      <c r="AE770" s="173">
        <f>IF(preDEL!$AG770,IFERROR(0/0,""),preDEL!AE770)</f>
        <v>246.4833333</v>
      </c>
      <c r="AF770" s="110" t="b">
        <f>IF(preDEL!$AG770,IFERROR(0/0,""),preDEL!AF770)</f>
        <v>0</v>
      </c>
      <c r="AG770" s="110" t="b">
        <f>IF(preDEL!$AG770,IFERROR(0/0,""),preDEL!AG770)</f>
        <v>0</v>
      </c>
      <c r="AH770" s="104" t="str">
        <f>IF(preDEL!$AG770,IFERROR(0/0,""),preDEL!AH770)</f>
        <v/>
      </c>
      <c r="AI770" s="105" t="str">
        <f>IF(preDEL!$AG770,IFERROR(0/0,""),preDEL!AI770)</f>
        <v/>
      </c>
      <c r="AJ770" s="112" t="str">
        <f>IF(preDEL!$AG770,IFERROR(0/0,""),preDEL!AJ770)</f>
        <v/>
      </c>
      <c r="AK770" s="105" t="str">
        <f>IF(preDEL!$AG770,IFERROR(0/0,""),preDEL!AK770)</f>
        <v>Negative</v>
      </c>
      <c r="AL770" s="112" t="str">
        <f>IF(preDEL!$AG770,IFERROR(0/0,""),preDEL!AL770)</f>
        <v/>
      </c>
      <c r="AM770" s="112" t="str">
        <f>IF(preDEL!$AG770,IFERROR(0/0,""),preDEL!AM770)</f>
        <v>SpBEND437215</v>
      </c>
      <c r="AN770" s="112" t="str">
        <f>IF(preDEL!$AG770,IFERROR(0/0,""),preDEL!AN770)</f>
        <v>BEND378516</v>
      </c>
      <c r="AO770" s="112" t="str">
        <f>IF(preDEL!$AG770,IFERROR(0/0,""),preDEL!AO770)</f>
        <v/>
      </c>
      <c r="AP770" s="112" t="str">
        <f>IF(preDEL!$AG770,IFERROR(0/0,""),preDEL!AP770)</f>
        <v/>
      </c>
      <c r="AQ770" s="112" t="str">
        <f>IF(preDEL!$AG770,IFERROR(0/0,""),preDEL!AQ770)</f>
        <v/>
      </c>
      <c r="AR770" s="112" t="str">
        <f>IF(preDEL!$AG770,IFERROR(0/0,""),preDEL!AR770)</f>
        <v/>
      </c>
      <c r="AS770" s="112" t="str">
        <f>IF(preDEL!$AG770,IFERROR(0/0,""),preDEL!AS770)</f>
        <v/>
      </c>
      <c r="AT770" s="112" t="b">
        <f>IF(preDEL!$AG770,IFERROR(0/0,""),preDEL!AT770)</f>
        <v>0</v>
      </c>
      <c r="AU770" s="112" t="str">
        <f>IF(preDEL!$AG770,IFERROR(0/0,""),preDEL!AU770)</f>
        <v/>
      </c>
      <c r="AV770" s="112" t="str">
        <f>IF(preDEL!$AG770,IFERROR(0/0,""),preDEL!AV770)</f>
        <v/>
      </c>
      <c r="AW770" s="112" t="str">
        <f>IF(preDEL!$AG770,IFERROR(0/0,""),preDEL!AW770)</f>
        <v/>
      </c>
      <c r="AX770" s="112" t="str">
        <f>IF(preDEL!$AG770,IFERROR(0/0,""),preDEL!AX770)</f>
        <v/>
      </c>
      <c r="AY770" s="112" t="str">
        <f>IF(preDEL!$AG770,IFERROR(0/0,""),preDEL!AY770)</f>
        <v/>
      </c>
      <c r="AZ770" s="174"/>
      <c r="BA770" s="174"/>
      <c r="BB770" s="174"/>
      <c r="BC770" s="174"/>
      <c r="BD770" s="174"/>
      <c r="BE770" s="174"/>
      <c r="BF770" s="174"/>
      <c r="BG770" s="174"/>
      <c r="BH770" s="174"/>
      <c r="BI770" s="174"/>
      <c r="BJ770" s="174"/>
      <c r="BK770" s="174"/>
      <c r="BL770" s="174"/>
      <c r="BM770" s="174"/>
      <c r="BN770" s="174"/>
      <c r="BO770" s="174"/>
      <c r="BP770" s="174"/>
      <c r="BQ770" s="174"/>
      <c r="BR770" s="174"/>
      <c r="BS770" s="174"/>
      <c r="BT770" s="174"/>
      <c r="BU770" s="174"/>
      <c r="BV770" s="174"/>
      <c r="BW770" s="174"/>
      <c r="BX770" s="174"/>
      <c r="BY770" s="174"/>
      <c r="BZ770" s="174"/>
      <c r="CA770" s="174"/>
      <c r="CB770" s="174"/>
      <c r="CC770" s="174"/>
      <c r="CD770" s="174"/>
    </row>
    <row r="771">
      <c r="A771" s="105" t="str">
        <f>IF(preDEL!$AG771,IFERROR(0/0,""),preDEL!A771)</f>
        <v>FM47</v>
      </c>
      <c r="B771" s="170">
        <f>IF(preDEL!$AG771,IFERROR(0/0,""),preDEL!B771)</f>
        <v>44629</v>
      </c>
      <c r="C771" s="171">
        <f>IF(preDEL!$AG771,IFERROR(0/0,""),preDEL!C771)</f>
        <v>0.3285300926</v>
      </c>
      <c r="D771" s="105" t="str">
        <f>IF(preDEL!$AG771,IFERROR(0/0,""),preDEL!D771)</f>
        <v/>
      </c>
      <c r="E771" s="105" t="str">
        <f>IF(preDEL!$AG771,IFERROR(0/0,""),preDEL!E771)</f>
        <v/>
      </c>
      <c r="F771" s="112" t="str">
        <f>IF(preDEL!$AG771,IFERROR(0/0,""),preDEL!F771)</f>
        <v/>
      </c>
      <c r="G771" s="112" t="str">
        <f>IF(preDEL!$AG771,IFERROR(0/0,""),preDEL!G771)</f>
        <v/>
      </c>
      <c r="H771" s="112" t="str">
        <f>IF(preDEL!$AG771,IFERROR(0/0,""),preDEL!H771)</f>
        <v/>
      </c>
      <c r="I771" s="105" t="str">
        <f>IF(preDEL!$AG771,IFERROR(0/0,""),preDEL!I771)</f>
        <v/>
      </c>
      <c r="J771" s="105" t="str">
        <f>IF(preDEL!$AG771,IFERROR(0/0,""),preDEL!J771)</f>
        <v/>
      </c>
      <c r="K771" s="105" t="str">
        <f>IF(preDEL!$AG771,IFERROR(0/0,""),preDEL!K771)</f>
        <v>Negative</v>
      </c>
      <c r="L771" s="170">
        <f>IF(preDEL!$AG771,IFERROR(0/0,""),preDEL!L771)</f>
        <v>44629</v>
      </c>
      <c r="M771" s="171">
        <f>IF(preDEL!$AG771,IFERROR(0/0,""),preDEL!M771)</f>
        <v>0.4994560185</v>
      </c>
      <c r="N771" s="112" t="str">
        <f>IF(preDEL!$AG771,IFERROR(0/0,""),preDEL!N771)</f>
        <v/>
      </c>
      <c r="O771" s="112" t="str">
        <f>IF(preDEL!$AG771,IFERROR(0/0,""),preDEL!O771)</f>
        <v/>
      </c>
      <c r="P771" s="110" t="b">
        <f>IF(preDEL!$AG771,IFERROR(0/0,""),preDEL!P771)</f>
        <v>0</v>
      </c>
      <c r="Q771" s="110" t="str">
        <f>IF(preDEL!$AG771,IFERROR(0/0,""),preDEL!Q771)</f>
        <v>Result</v>
      </c>
      <c r="R771" s="104" t="b">
        <f>IF(preDEL!$AG771,IFERROR(0/0,""),preDEL!R771)</f>
        <v>1</v>
      </c>
      <c r="S771" s="104">
        <f>IF(preDEL!$AG771,IFERROR(0/0,""),preDEL!S771)</f>
        <v>1</v>
      </c>
      <c r="T771" s="110" t="str">
        <f>IF(preDEL!$AG771,IFERROR(0/0,""),preDEL!T771)</f>
        <v/>
      </c>
      <c r="U771" s="112" t="str">
        <f>IF(preDEL!$AG771,IFERROR(0/0,""),preDEL!U771)</f>
        <v/>
      </c>
      <c r="V771" s="105" t="str">
        <f>IF(preDEL!$AG771,IFERROR(0/0,""),preDEL!V771)</f>
        <v/>
      </c>
      <c r="W771" s="112" t="str">
        <f>IF(preDEL!$AG771,IFERROR(0/0,""),preDEL!W771)</f>
        <v/>
      </c>
      <c r="X771" s="104" t="b">
        <f>IF(preDEL!$AG771,IFERROR(0/0,""),preDEL!X771)</f>
        <v>0</v>
      </c>
      <c r="Y771" s="110" t="b">
        <f>IF(preDEL!$AG771,IFERROR(0/0,""),preDEL!Y771)</f>
        <v>0</v>
      </c>
      <c r="Z771" s="105" t="str">
        <f>IF(preDEL!$AG771,IFERROR(0/0,""),preDEL!Z771)</f>
        <v/>
      </c>
      <c r="AA771" s="110" t="b">
        <f>IF(preDEL!$AG771,IFERROR(0/0,""),preDEL!AA771)</f>
        <v>0</v>
      </c>
      <c r="AB771" s="110" t="b">
        <f>IF(preDEL!$AG771,IFERROR(0/0,""),preDEL!AB771)</f>
        <v>0</v>
      </c>
      <c r="AC771" s="172">
        <f>IF(preDEL!$AG771,IFERROR(0/0,""),preDEL!AC771)</f>
        <v>51</v>
      </c>
      <c r="AD771" s="104" t="b">
        <f>IF(preDEL!$AG771,IFERROR(0/0,""),preDEL!AD771)</f>
        <v>0</v>
      </c>
      <c r="AE771" s="173">
        <f>IF(preDEL!$AG771,IFERROR(0/0,""),preDEL!AE771)</f>
        <v>246.1333333</v>
      </c>
      <c r="AF771" s="110" t="b">
        <f>IF(preDEL!$AG771,IFERROR(0/0,""),preDEL!AF771)</f>
        <v>0</v>
      </c>
      <c r="AG771" s="110" t="b">
        <f>IF(preDEL!$AG771,IFERROR(0/0,""),preDEL!AG771)</f>
        <v>0</v>
      </c>
      <c r="AH771" s="104" t="str">
        <f>IF(preDEL!$AG771,IFERROR(0/0,""),preDEL!AH771)</f>
        <v/>
      </c>
      <c r="AI771" s="105" t="str">
        <f>IF(preDEL!$AG771,IFERROR(0/0,""),preDEL!AI771)</f>
        <v/>
      </c>
      <c r="AJ771" s="112" t="str">
        <f>IF(preDEL!$AG771,IFERROR(0/0,""),preDEL!AJ771)</f>
        <v/>
      </c>
      <c r="AK771" s="105" t="str">
        <f>IF(preDEL!$AG771,IFERROR(0/0,""),preDEL!AK771)</f>
        <v>Negative</v>
      </c>
      <c r="AL771" s="112" t="str">
        <f>IF(preDEL!$AG771,IFERROR(0/0,""),preDEL!AL771)</f>
        <v/>
      </c>
      <c r="AM771" s="112" t="str">
        <f>IF(preDEL!$AG771,IFERROR(0/0,""),preDEL!AM771)</f>
        <v>SpBEND996809</v>
      </c>
      <c r="AN771" s="112" t="str">
        <f>IF(preDEL!$AG771,IFERROR(0/0,""),preDEL!AN771)</f>
        <v>BEND637711</v>
      </c>
      <c r="AO771" s="112" t="str">
        <f>IF(preDEL!$AG771,IFERROR(0/0,""),preDEL!AO771)</f>
        <v/>
      </c>
      <c r="AP771" s="112" t="str">
        <f>IF(preDEL!$AG771,IFERROR(0/0,""),preDEL!AP771)</f>
        <v/>
      </c>
      <c r="AQ771" s="112" t="str">
        <f>IF(preDEL!$AG771,IFERROR(0/0,""),preDEL!AQ771)</f>
        <v/>
      </c>
      <c r="AR771" s="112" t="str">
        <f>IF(preDEL!$AG771,IFERROR(0/0,""),preDEL!AR771)</f>
        <v/>
      </c>
      <c r="AS771" s="112" t="str">
        <f>IF(preDEL!$AG771,IFERROR(0/0,""),preDEL!AS771)</f>
        <v/>
      </c>
      <c r="AT771" s="112" t="b">
        <f>IF(preDEL!$AG771,IFERROR(0/0,""),preDEL!AT771)</f>
        <v>0</v>
      </c>
      <c r="AU771" s="112" t="str">
        <f>IF(preDEL!$AG771,IFERROR(0/0,""),preDEL!AU771)</f>
        <v/>
      </c>
      <c r="AV771" s="112" t="str">
        <f>IF(preDEL!$AG771,IFERROR(0/0,""),preDEL!AV771)</f>
        <v/>
      </c>
      <c r="AW771" s="112" t="str">
        <f>IF(preDEL!$AG771,IFERROR(0/0,""),preDEL!AW771)</f>
        <v/>
      </c>
      <c r="AX771" s="112" t="str">
        <f>IF(preDEL!$AG771,IFERROR(0/0,""),preDEL!AX771)</f>
        <v/>
      </c>
      <c r="AY771" s="112" t="str">
        <f>IF(preDEL!$AG771,IFERROR(0/0,""),preDEL!AY771)</f>
        <v/>
      </c>
      <c r="AZ771" s="174"/>
      <c r="BA771" s="174"/>
      <c r="BB771" s="174"/>
      <c r="BC771" s="174"/>
      <c r="BD771" s="174"/>
      <c r="BE771" s="174"/>
      <c r="BF771" s="174"/>
      <c r="BG771" s="174"/>
      <c r="BH771" s="174"/>
      <c r="BI771" s="174"/>
      <c r="BJ771" s="174"/>
      <c r="BK771" s="174"/>
      <c r="BL771" s="174"/>
      <c r="BM771" s="174"/>
      <c r="BN771" s="174"/>
      <c r="BO771" s="174"/>
      <c r="BP771" s="174"/>
      <c r="BQ771" s="174"/>
      <c r="BR771" s="174"/>
      <c r="BS771" s="174"/>
      <c r="BT771" s="174"/>
      <c r="BU771" s="174"/>
      <c r="BV771" s="174"/>
      <c r="BW771" s="174"/>
      <c r="BX771" s="174"/>
      <c r="BY771" s="174"/>
      <c r="BZ771" s="174"/>
      <c r="CA771" s="174"/>
      <c r="CB771" s="174"/>
      <c r="CC771" s="174"/>
      <c r="CD771" s="174"/>
    </row>
    <row r="772">
      <c r="A772" s="105" t="str">
        <f>IF(preDEL!$AG772,IFERROR(0/0,""),preDEL!A772)</f>
        <v>MA357</v>
      </c>
      <c r="B772" s="170">
        <f>IF(preDEL!$AG772,IFERROR(0/0,""),preDEL!B772)</f>
        <v>44629</v>
      </c>
      <c r="C772" s="171">
        <f>IF(preDEL!$AG772,IFERROR(0/0,""),preDEL!C772)</f>
        <v>0.3330324074</v>
      </c>
      <c r="D772" s="105" t="str">
        <f>IF(preDEL!$AG772,IFERROR(0/0,""),preDEL!D772)</f>
        <v/>
      </c>
      <c r="E772" s="105" t="str">
        <f>IF(preDEL!$AG772,IFERROR(0/0,""),preDEL!E772)</f>
        <v/>
      </c>
      <c r="F772" s="112" t="str">
        <f>IF(preDEL!$AG772,IFERROR(0/0,""),preDEL!F772)</f>
        <v/>
      </c>
      <c r="G772" s="112" t="str">
        <f>IF(preDEL!$AG772,IFERROR(0/0,""),preDEL!G772)</f>
        <v/>
      </c>
      <c r="H772" s="112" t="str">
        <f>IF(preDEL!$AG772,IFERROR(0/0,""),preDEL!H772)</f>
        <v/>
      </c>
      <c r="I772" s="105" t="str">
        <f>IF(preDEL!$AG772,IFERROR(0/0,""),preDEL!I772)</f>
        <v/>
      </c>
      <c r="J772" s="105" t="str">
        <f>IF(preDEL!$AG772,IFERROR(0/0,""),preDEL!J772)</f>
        <v/>
      </c>
      <c r="K772" s="105" t="str">
        <f>IF(preDEL!$AG772,IFERROR(0/0,""),preDEL!K772)</f>
        <v>Negative</v>
      </c>
      <c r="L772" s="170">
        <f>IF(preDEL!$AG772,IFERROR(0/0,""),preDEL!L772)</f>
        <v>44629</v>
      </c>
      <c r="M772" s="171">
        <f>IF(preDEL!$AG772,IFERROR(0/0,""),preDEL!M772)</f>
        <v>0.4994560185</v>
      </c>
      <c r="N772" s="112" t="str">
        <f>IF(preDEL!$AG772,IFERROR(0/0,""),preDEL!N772)</f>
        <v/>
      </c>
      <c r="O772" s="112" t="str">
        <f>IF(preDEL!$AG772,IFERROR(0/0,""),preDEL!O772)</f>
        <v/>
      </c>
      <c r="P772" s="110" t="b">
        <f>IF(preDEL!$AG772,IFERROR(0/0,""),preDEL!P772)</f>
        <v>0</v>
      </c>
      <c r="Q772" s="110" t="str">
        <f>IF(preDEL!$AG772,IFERROR(0/0,""),preDEL!Q772)</f>
        <v>Result</v>
      </c>
      <c r="R772" s="104" t="b">
        <f>IF(preDEL!$AG772,IFERROR(0/0,""),preDEL!R772)</f>
        <v>1</v>
      </c>
      <c r="S772" s="104">
        <f>IF(preDEL!$AG772,IFERROR(0/0,""),preDEL!S772)</f>
        <v>1</v>
      </c>
      <c r="T772" s="110" t="str">
        <f>IF(preDEL!$AG772,IFERROR(0/0,""),preDEL!T772)</f>
        <v/>
      </c>
      <c r="U772" s="112" t="str">
        <f>IF(preDEL!$AG772,IFERROR(0/0,""),preDEL!U772)</f>
        <v/>
      </c>
      <c r="V772" s="105" t="str">
        <f>IF(preDEL!$AG772,IFERROR(0/0,""),preDEL!V772)</f>
        <v/>
      </c>
      <c r="W772" s="112" t="str">
        <f>IF(preDEL!$AG772,IFERROR(0/0,""),preDEL!W772)</f>
        <v/>
      </c>
      <c r="X772" s="104" t="b">
        <f>IF(preDEL!$AG772,IFERROR(0/0,""),preDEL!X772)</f>
        <v>0</v>
      </c>
      <c r="Y772" s="110" t="b">
        <f>IF(preDEL!$AG772,IFERROR(0/0,""),preDEL!Y772)</f>
        <v>0</v>
      </c>
      <c r="Z772" s="105" t="str">
        <f>IF(preDEL!$AG772,IFERROR(0/0,""),preDEL!Z772)</f>
        <v/>
      </c>
      <c r="AA772" s="110" t="b">
        <f>IF(preDEL!$AG772,IFERROR(0/0,""),preDEL!AA772)</f>
        <v>0</v>
      </c>
      <c r="AB772" s="110" t="b">
        <f>IF(preDEL!$AG772,IFERROR(0/0,""),preDEL!AB772)</f>
        <v>0</v>
      </c>
      <c r="AC772" s="172">
        <f>IF(preDEL!$AG772,IFERROR(0/0,""),preDEL!AC772)</f>
        <v>50</v>
      </c>
      <c r="AD772" s="104" t="b">
        <f>IF(preDEL!$AG772,IFERROR(0/0,""),preDEL!AD772)</f>
        <v>0</v>
      </c>
      <c r="AE772" s="173">
        <f>IF(preDEL!$AG772,IFERROR(0/0,""),preDEL!AE772)</f>
        <v>239.65</v>
      </c>
      <c r="AF772" s="110" t="b">
        <f>IF(preDEL!$AG772,IFERROR(0/0,""),preDEL!AF772)</f>
        <v>0</v>
      </c>
      <c r="AG772" s="110" t="b">
        <f>IF(preDEL!$AG772,IFERROR(0/0,""),preDEL!AG772)</f>
        <v>0</v>
      </c>
      <c r="AH772" s="104" t="str">
        <f>IF(preDEL!$AG772,IFERROR(0/0,""),preDEL!AH772)</f>
        <v/>
      </c>
      <c r="AI772" s="105" t="str">
        <f>IF(preDEL!$AG772,IFERROR(0/0,""),preDEL!AI772)</f>
        <v/>
      </c>
      <c r="AJ772" s="112" t="str">
        <f>IF(preDEL!$AG772,IFERROR(0/0,""),preDEL!AJ772)</f>
        <v/>
      </c>
      <c r="AK772" s="105" t="str">
        <f>IF(preDEL!$AG772,IFERROR(0/0,""),preDEL!AK772)</f>
        <v>Negative</v>
      </c>
      <c r="AL772" s="112" t="str">
        <f>IF(preDEL!$AG772,IFERROR(0/0,""),preDEL!AL772)</f>
        <v/>
      </c>
      <c r="AM772" s="112" t="str">
        <f>IF(preDEL!$AG772,IFERROR(0/0,""),preDEL!AM772)</f>
        <v>SpBEND147819</v>
      </c>
      <c r="AN772" s="112" t="str">
        <f>IF(preDEL!$AG772,IFERROR(0/0,""),preDEL!AN772)</f>
        <v>BEND883753</v>
      </c>
      <c r="AO772" s="112" t="str">
        <f>IF(preDEL!$AG772,IFERROR(0/0,""),preDEL!AO772)</f>
        <v/>
      </c>
      <c r="AP772" s="112" t="str">
        <f>IF(preDEL!$AG772,IFERROR(0/0,""),preDEL!AP772)</f>
        <v/>
      </c>
      <c r="AQ772" s="112" t="str">
        <f>IF(preDEL!$AG772,IFERROR(0/0,""),preDEL!AQ772)</f>
        <v/>
      </c>
      <c r="AR772" s="112" t="str">
        <f>IF(preDEL!$AG772,IFERROR(0/0,""),preDEL!AR772)</f>
        <v/>
      </c>
      <c r="AS772" s="112" t="str">
        <f>IF(preDEL!$AG772,IFERROR(0/0,""),preDEL!AS772)</f>
        <v/>
      </c>
      <c r="AT772" s="112" t="b">
        <f>IF(preDEL!$AG772,IFERROR(0/0,""),preDEL!AT772)</f>
        <v>0</v>
      </c>
      <c r="AU772" s="112" t="str">
        <f>IF(preDEL!$AG772,IFERROR(0/0,""),preDEL!AU772)</f>
        <v/>
      </c>
      <c r="AV772" s="112" t="str">
        <f>IF(preDEL!$AG772,IFERROR(0/0,""),preDEL!AV772)</f>
        <v/>
      </c>
      <c r="AW772" s="112" t="str">
        <f>IF(preDEL!$AG772,IFERROR(0/0,""),preDEL!AW772)</f>
        <v/>
      </c>
      <c r="AX772" s="112" t="str">
        <f>IF(preDEL!$AG772,IFERROR(0/0,""),preDEL!AX772)</f>
        <v/>
      </c>
      <c r="AY772" s="112" t="str">
        <f>IF(preDEL!$AG772,IFERROR(0/0,""),preDEL!AY772)</f>
        <v/>
      </c>
      <c r="AZ772" s="174"/>
      <c r="BA772" s="174"/>
      <c r="BB772" s="174"/>
      <c r="BC772" s="174"/>
      <c r="BD772" s="174"/>
      <c r="BE772" s="174"/>
      <c r="BF772" s="174"/>
      <c r="BG772" s="174"/>
      <c r="BH772" s="174"/>
      <c r="BI772" s="174"/>
      <c r="BJ772" s="174"/>
      <c r="BK772" s="174"/>
      <c r="BL772" s="174"/>
      <c r="BM772" s="174"/>
      <c r="BN772" s="174"/>
      <c r="BO772" s="174"/>
      <c r="BP772" s="174"/>
      <c r="BQ772" s="174"/>
      <c r="BR772" s="174"/>
      <c r="BS772" s="174"/>
      <c r="BT772" s="174"/>
      <c r="BU772" s="174"/>
      <c r="BV772" s="174"/>
      <c r="BW772" s="174"/>
      <c r="BX772" s="174"/>
      <c r="BY772" s="174"/>
      <c r="BZ772" s="174"/>
      <c r="CA772" s="174"/>
      <c r="CB772" s="174"/>
      <c r="CC772" s="174"/>
      <c r="CD772" s="174"/>
    </row>
    <row r="773">
      <c r="A773" s="105" t="str">
        <f>IF(preDEL!$AG773,IFERROR(0/0,""),preDEL!A773)</f>
        <v>MA395</v>
      </c>
      <c r="B773" s="170">
        <f>IF(preDEL!$AG773,IFERROR(0/0,""),preDEL!B773)</f>
        <v>44629</v>
      </c>
      <c r="C773" s="171">
        <f>IF(preDEL!$AG773,IFERROR(0/0,""),preDEL!C773)</f>
        <v>0.334837963</v>
      </c>
      <c r="D773" s="105" t="str">
        <f>IF(preDEL!$AG773,IFERROR(0/0,""),preDEL!D773)</f>
        <v/>
      </c>
      <c r="E773" s="105" t="str">
        <f>IF(preDEL!$AG773,IFERROR(0/0,""),preDEL!E773)</f>
        <v/>
      </c>
      <c r="F773" s="112" t="str">
        <f>IF(preDEL!$AG773,IFERROR(0/0,""),preDEL!F773)</f>
        <v/>
      </c>
      <c r="G773" s="112" t="str">
        <f>IF(preDEL!$AG773,IFERROR(0/0,""),preDEL!G773)</f>
        <v/>
      </c>
      <c r="H773" s="112" t="str">
        <f>IF(preDEL!$AG773,IFERROR(0/0,""),preDEL!H773)</f>
        <v/>
      </c>
      <c r="I773" s="105" t="str">
        <f>IF(preDEL!$AG773,IFERROR(0/0,""),preDEL!I773)</f>
        <v/>
      </c>
      <c r="J773" s="105" t="str">
        <f>IF(preDEL!$AG773,IFERROR(0/0,""),preDEL!J773)</f>
        <v/>
      </c>
      <c r="K773" s="105" t="str">
        <f>IF(preDEL!$AG773,IFERROR(0/0,""),preDEL!K773)</f>
        <v>Negative</v>
      </c>
      <c r="L773" s="170">
        <f>IF(preDEL!$AG773,IFERROR(0/0,""),preDEL!L773)</f>
        <v>44629</v>
      </c>
      <c r="M773" s="171">
        <f>IF(preDEL!$AG773,IFERROR(0/0,""),preDEL!M773)</f>
        <v>0.4994560185</v>
      </c>
      <c r="N773" s="112" t="str">
        <f>IF(preDEL!$AG773,IFERROR(0/0,""),preDEL!N773)</f>
        <v/>
      </c>
      <c r="O773" s="112" t="str">
        <f>IF(preDEL!$AG773,IFERROR(0/0,""),preDEL!O773)</f>
        <v/>
      </c>
      <c r="P773" s="110" t="b">
        <f>IF(preDEL!$AG773,IFERROR(0/0,""),preDEL!P773)</f>
        <v>0</v>
      </c>
      <c r="Q773" s="110" t="str">
        <f>IF(preDEL!$AG773,IFERROR(0/0,""),preDEL!Q773)</f>
        <v>Result</v>
      </c>
      <c r="R773" s="104" t="b">
        <f>IF(preDEL!$AG773,IFERROR(0/0,""),preDEL!R773)</f>
        <v>1</v>
      </c>
      <c r="S773" s="104">
        <f>IF(preDEL!$AG773,IFERROR(0/0,""),preDEL!S773)</f>
        <v>1</v>
      </c>
      <c r="T773" s="110" t="str">
        <f>IF(preDEL!$AG773,IFERROR(0/0,""),preDEL!T773)</f>
        <v/>
      </c>
      <c r="U773" s="112" t="str">
        <f>IF(preDEL!$AG773,IFERROR(0/0,""),preDEL!U773)</f>
        <v/>
      </c>
      <c r="V773" s="105" t="str">
        <f>IF(preDEL!$AG773,IFERROR(0/0,""),preDEL!V773)</f>
        <v/>
      </c>
      <c r="W773" s="112" t="str">
        <f>IF(preDEL!$AG773,IFERROR(0/0,""),preDEL!W773)</f>
        <v/>
      </c>
      <c r="X773" s="104" t="b">
        <f>IF(preDEL!$AG773,IFERROR(0/0,""),preDEL!X773)</f>
        <v>0</v>
      </c>
      <c r="Y773" s="110" t="b">
        <f>IF(preDEL!$AG773,IFERROR(0/0,""),preDEL!Y773)</f>
        <v>0</v>
      </c>
      <c r="Z773" s="105" t="str">
        <f>IF(preDEL!$AG773,IFERROR(0/0,""),preDEL!Z773)</f>
        <v/>
      </c>
      <c r="AA773" s="110" t="b">
        <f>IF(preDEL!$AG773,IFERROR(0/0,""),preDEL!AA773)</f>
        <v>0</v>
      </c>
      <c r="AB773" s="110" t="b">
        <f>IF(preDEL!$AG773,IFERROR(0/0,""),preDEL!AB773)</f>
        <v>0</v>
      </c>
      <c r="AC773" s="172">
        <f>IF(preDEL!$AG773,IFERROR(0/0,""),preDEL!AC773)</f>
        <v>49</v>
      </c>
      <c r="AD773" s="104" t="b">
        <f>IF(preDEL!$AG773,IFERROR(0/0,""),preDEL!AD773)</f>
        <v>0</v>
      </c>
      <c r="AE773" s="173">
        <f>IF(preDEL!$AG773,IFERROR(0/0,""),preDEL!AE773)</f>
        <v>237.05</v>
      </c>
      <c r="AF773" s="110" t="b">
        <f>IF(preDEL!$AG773,IFERROR(0/0,""),preDEL!AF773)</f>
        <v>0</v>
      </c>
      <c r="AG773" s="110" t="b">
        <f>IF(preDEL!$AG773,IFERROR(0/0,""),preDEL!AG773)</f>
        <v>0</v>
      </c>
      <c r="AH773" s="104" t="str">
        <f>IF(preDEL!$AG773,IFERROR(0/0,""),preDEL!AH773)</f>
        <v/>
      </c>
      <c r="AI773" s="105" t="str">
        <f>IF(preDEL!$AG773,IFERROR(0/0,""),preDEL!AI773)</f>
        <v/>
      </c>
      <c r="AJ773" s="112" t="str">
        <f>IF(preDEL!$AG773,IFERROR(0/0,""),preDEL!AJ773)</f>
        <v/>
      </c>
      <c r="AK773" s="105" t="str">
        <f>IF(preDEL!$AG773,IFERROR(0/0,""),preDEL!AK773)</f>
        <v>Negative</v>
      </c>
      <c r="AL773" s="112" t="str">
        <f>IF(preDEL!$AG773,IFERROR(0/0,""),preDEL!AL773)</f>
        <v/>
      </c>
      <c r="AM773" s="112" t="str">
        <f>IF(preDEL!$AG773,IFERROR(0/0,""),preDEL!AM773)</f>
        <v>SpBEND721986</v>
      </c>
      <c r="AN773" s="112" t="str">
        <f>IF(preDEL!$AG773,IFERROR(0/0,""),preDEL!AN773)</f>
        <v>BEND127889</v>
      </c>
      <c r="AO773" s="112" t="str">
        <f>IF(preDEL!$AG773,IFERROR(0/0,""),preDEL!AO773)</f>
        <v/>
      </c>
      <c r="AP773" s="112" t="str">
        <f>IF(preDEL!$AG773,IFERROR(0/0,""),preDEL!AP773)</f>
        <v/>
      </c>
      <c r="AQ773" s="112" t="str">
        <f>IF(preDEL!$AG773,IFERROR(0/0,""),preDEL!AQ773)</f>
        <v/>
      </c>
      <c r="AR773" s="112" t="str">
        <f>IF(preDEL!$AG773,IFERROR(0/0,""),preDEL!AR773)</f>
        <v/>
      </c>
      <c r="AS773" s="112" t="str">
        <f>IF(preDEL!$AG773,IFERROR(0/0,""),preDEL!AS773)</f>
        <v/>
      </c>
      <c r="AT773" s="112" t="b">
        <f>IF(preDEL!$AG773,IFERROR(0/0,""),preDEL!AT773)</f>
        <v>0</v>
      </c>
      <c r="AU773" s="112" t="str">
        <f>IF(preDEL!$AG773,IFERROR(0/0,""),preDEL!AU773)</f>
        <v/>
      </c>
      <c r="AV773" s="112" t="str">
        <f>IF(preDEL!$AG773,IFERROR(0/0,""),preDEL!AV773)</f>
        <v/>
      </c>
      <c r="AW773" s="112" t="str">
        <f>IF(preDEL!$AG773,IFERROR(0/0,""),preDEL!AW773)</f>
        <v/>
      </c>
      <c r="AX773" s="112" t="str">
        <f>IF(preDEL!$AG773,IFERROR(0/0,""),preDEL!AX773)</f>
        <v/>
      </c>
      <c r="AY773" s="112" t="str">
        <f>IF(preDEL!$AG773,IFERROR(0/0,""),preDEL!AY773)</f>
        <v/>
      </c>
      <c r="AZ773" s="174"/>
      <c r="BA773" s="174"/>
      <c r="BB773" s="174"/>
      <c r="BC773" s="174"/>
      <c r="BD773" s="174"/>
      <c r="BE773" s="174"/>
      <c r="BF773" s="174"/>
      <c r="BG773" s="174"/>
      <c r="BH773" s="174"/>
      <c r="BI773" s="174"/>
      <c r="BJ773" s="174"/>
      <c r="BK773" s="174"/>
      <c r="BL773" s="174"/>
      <c r="BM773" s="174"/>
      <c r="BN773" s="174"/>
      <c r="BO773" s="174"/>
      <c r="BP773" s="174"/>
      <c r="BQ773" s="174"/>
      <c r="BR773" s="174"/>
      <c r="BS773" s="174"/>
      <c r="BT773" s="174"/>
      <c r="BU773" s="174"/>
      <c r="BV773" s="174"/>
      <c r="BW773" s="174"/>
      <c r="BX773" s="174"/>
      <c r="BY773" s="174"/>
      <c r="BZ773" s="174"/>
      <c r="CA773" s="174"/>
      <c r="CB773" s="174"/>
      <c r="CC773" s="174"/>
      <c r="CD773" s="174"/>
    </row>
    <row r="774">
      <c r="A774" s="105" t="str">
        <f>IF(preDEL!$AG774,IFERROR(0/0,""),preDEL!A774)</f>
        <v>MA379</v>
      </c>
      <c r="B774" s="170">
        <f>IF(preDEL!$AG774,IFERROR(0/0,""),preDEL!B774)</f>
        <v>44629</v>
      </c>
      <c r="C774" s="171">
        <f>IF(preDEL!$AG774,IFERROR(0/0,""),preDEL!C774)</f>
        <v>0.3349074074</v>
      </c>
      <c r="D774" s="105" t="str">
        <f>IF(preDEL!$AG774,IFERROR(0/0,""),preDEL!D774)</f>
        <v/>
      </c>
      <c r="E774" s="105" t="str">
        <f>IF(preDEL!$AG774,IFERROR(0/0,""),preDEL!E774)</f>
        <v/>
      </c>
      <c r="F774" s="112" t="str">
        <f>IF(preDEL!$AG774,IFERROR(0/0,""),preDEL!F774)</f>
        <v/>
      </c>
      <c r="G774" s="112" t="str">
        <f>IF(preDEL!$AG774,IFERROR(0/0,""),preDEL!G774)</f>
        <v/>
      </c>
      <c r="H774" s="112" t="str">
        <f>IF(preDEL!$AG774,IFERROR(0/0,""),preDEL!H774)</f>
        <v/>
      </c>
      <c r="I774" s="105" t="str">
        <f>IF(preDEL!$AG774,IFERROR(0/0,""),preDEL!I774)</f>
        <v/>
      </c>
      <c r="J774" s="105" t="str">
        <f>IF(preDEL!$AG774,IFERROR(0/0,""),preDEL!J774)</f>
        <v/>
      </c>
      <c r="K774" s="105" t="str">
        <f>IF(preDEL!$AG774,IFERROR(0/0,""),preDEL!K774)</f>
        <v>Negative</v>
      </c>
      <c r="L774" s="170">
        <f>IF(preDEL!$AG774,IFERROR(0/0,""),preDEL!L774)</f>
        <v>44629</v>
      </c>
      <c r="M774" s="171">
        <f>IF(preDEL!$AG774,IFERROR(0/0,""),preDEL!M774)</f>
        <v>0.4994560185</v>
      </c>
      <c r="N774" s="112" t="str">
        <f>IF(preDEL!$AG774,IFERROR(0/0,""),preDEL!N774)</f>
        <v/>
      </c>
      <c r="O774" s="112" t="str">
        <f>IF(preDEL!$AG774,IFERROR(0/0,""),preDEL!O774)</f>
        <v/>
      </c>
      <c r="P774" s="110" t="b">
        <f>IF(preDEL!$AG774,IFERROR(0/0,""),preDEL!P774)</f>
        <v>0</v>
      </c>
      <c r="Q774" s="110" t="str">
        <f>IF(preDEL!$AG774,IFERROR(0/0,""),preDEL!Q774)</f>
        <v>Result</v>
      </c>
      <c r="R774" s="104" t="b">
        <f>IF(preDEL!$AG774,IFERROR(0/0,""),preDEL!R774)</f>
        <v>1</v>
      </c>
      <c r="S774" s="104">
        <f>IF(preDEL!$AG774,IFERROR(0/0,""),preDEL!S774)</f>
        <v>1</v>
      </c>
      <c r="T774" s="110" t="str">
        <f>IF(preDEL!$AG774,IFERROR(0/0,""),preDEL!T774)</f>
        <v/>
      </c>
      <c r="U774" s="112" t="str">
        <f>IF(preDEL!$AG774,IFERROR(0/0,""),preDEL!U774)</f>
        <v/>
      </c>
      <c r="V774" s="105" t="str">
        <f>IF(preDEL!$AG774,IFERROR(0/0,""),preDEL!V774)</f>
        <v/>
      </c>
      <c r="W774" s="112" t="str">
        <f>IF(preDEL!$AG774,IFERROR(0/0,""),preDEL!W774)</f>
        <v/>
      </c>
      <c r="X774" s="104" t="b">
        <f>IF(preDEL!$AG774,IFERROR(0/0,""),preDEL!X774)</f>
        <v>0</v>
      </c>
      <c r="Y774" s="110" t="b">
        <f>IF(preDEL!$AG774,IFERROR(0/0,""),preDEL!Y774)</f>
        <v>0</v>
      </c>
      <c r="Z774" s="105" t="str">
        <f>IF(preDEL!$AG774,IFERROR(0/0,""),preDEL!Z774)</f>
        <v/>
      </c>
      <c r="AA774" s="110" t="b">
        <f>IF(preDEL!$AG774,IFERROR(0/0,""),preDEL!AA774)</f>
        <v>0</v>
      </c>
      <c r="AB774" s="110" t="b">
        <f>IF(preDEL!$AG774,IFERROR(0/0,""),preDEL!AB774)</f>
        <v>0</v>
      </c>
      <c r="AC774" s="172">
        <f>IF(preDEL!$AG774,IFERROR(0/0,""),preDEL!AC774)</f>
        <v>48</v>
      </c>
      <c r="AD774" s="104" t="b">
        <f>IF(preDEL!$AG774,IFERROR(0/0,""),preDEL!AD774)</f>
        <v>0</v>
      </c>
      <c r="AE774" s="173">
        <f>IF(preDEL!$AG774,IFERROR(0/0,""),preDEL!AE774)</f>
        <v>236.95</v>
      </c>
      <c r="AF774" s="110" t="b">
        <f>IF(preDEL!$AG774,IFERROR(0/0,""),preDEL!AF774)</f>
        <v>0</v>
      </c>
      <c r="AG774" s="110" t="b">
        <f>IF(preDEL!$AG774,IFERROR(0/0,""),preDEL!AG774)</f>
        <v>0</v>
      </c>
      <c r="AH774" s="104" t="str">
        <f>IF(preDEL!$AG774,IFERROR(0/0,""),preDEL!AH774)</f>
        <v/>
      </c>
      <c r="AI774" s="105" t="str">
        <f>IF(preDEL!$AG774,IFERROR(0/0,""),preDEL!AI774)</f>
        <v/>
      </c>
      <c r="AJ774" s="112" t="str">
        <f>IF(preDEL!$AG774,IFERROR(0/0,""),preDEL!AJ774)</f>
        <v/>
      </c>
      <c r="AK774" s="105" t="str">
        <f>IF(preDEL!$AG774,IFERROR(0/0,""),preDEL!AK774)</f>
        <v>Negative</v>
      </c>
      <c r="AL774" s="112" t="str">
        <f>IF(preDEL!$AG774,IFERROR(0/0,""),preDEL!AL774)</f>
        <v/>
      </c>
      <c r="AM774" s="112" t="str">
        <f>IF(preDEL!$AG774,IFERROR(0/0,""),preDEL!AM774)</f>
        <v>SpBEND522465</v>
      </c>
      <c r="AN774" s="112" t="str">
        <f>IF(preDEL!$AG774,IFERROR(0/0,""),preDEL!AN774)</f>
        <v>BEND934970</v>
      </c>
      <c r="AO774" s="112" t="str">
        <f>IF(preDEL!$AG774,IFERROR(0/0,""),preDEL!AO774)</f>
        <v/>
      </c>
      <c r="AP774" s="112" t="str">
        <f>IF(preDEL!$AG774,IFERROR(0/0,""),preDEL!AP774)</f>
        <v/>
      </c>
      <c r="AQ774" s="112" t="str">
        <f>IF(preDEL!$AG774,IFERROR(0/0,""),preDEL!AQ774)</f>
        <v/>
      </c>
      <c r="AR774" s="112" t="str">
        <f>IF(preDEL!$AG774,IFERROR(0/0,""),preDEL!AR774)</f>
        <v/>
      </c>
      <c r="AS774" s="112" t="str">
        <f>IF(preDEL!$AG774,IFERROR(0/0,""),preDEL!AS774)</f>
        <v/>
      </c>
      <c r="AT774" s="112" t="b">
        <f>IF(preDEL!$AG774,IFERROR(0/0,""),preDEL!AT774)</f>
        <v>0</v>
      </c>
      <c r="AU774" s="112" t="str">
        <f>IF(preDEL!$AG774,IFERROR(0/0,""),preDEL!AU774)</f>
        <v/>
      </c>
      <c r="AV774" s="112" t="str">
        <f>IF(preDEL!$AG774,IFERROR(0/0,""),preDEL!AV774)</f>
        <v/>
      </c>
      <c r="AW774" s="112" t="str">
        <f>IF(preDEL!$AG774,IFERROR(0/0,""),preDEL!AW774)</f>
        <v/>
      </c>
      <c r="AX774" s="112" t="str">
        <f>IF(preDEL!$AG774,IFERROR(0/0,""),preDEL!AX774)</f>
        <v/>
      </c>
      <c r="AY774" s="112" t="str">
        <f>IF(preDEL!$AG774,IFERROR(0/0,""),preDEL!AY774)</f>
        <v/>
      </c>
      <c r="AZ774" s="174"/>
      <c r="BA774" s="174"/>
      <c r="BB774" s="174"/>
      <c r="BC774" s="174"/>
      <c r="BD774" s="174"/>
      <c r="BE774" s="174"/>
      <c r="BF774" s="174"/>
      <c r="BG774" s="174"/>
      <c r="BH774" s="174"/>
      <c r="BI774" s="174"/>
      <c r="BJ774" s="174"/>
      <c r="BK774" s="174"/>
      <c r="BL774" s="174"/>
      <c r="BM774" s="174"/>
      <c r="BN774" s="174"/>
      <c r="BO774" s="174"/>
      <c r="BP774" s="174"/>
      <c r="BQ774" s="174"/>
      <c r="BR774" s="174"/>
      <c r="BS774" s="174"/>
      <c r="BT774" s="174"/>
      <c r="BU774" s="174"/>
      <c r="BV774" s="174"/>
      <c r="BW774" s="174"/>
      <c r="BX774" s="174"/>
      <c r="BY774" s="174"/>
      <c r="BZ774" s="174"/>
      <c r="CA774" s="174"/>
      <c r="CB774" s="174"/>
      <c r="CC774" s="174"/>
      <c r="CD774" s="174"/>
    </row>
    <row r="775">
      <c r="A775" s="105" t="str">
        <f>IF(preDEL!$AG775,IFERROR(0/0,""),preDEL!A775)</f>
        <v>FM83</v>
      </c>
      <c r="B775" s="170">
        <f>IF(preDEL!$AG775,IFERROR(0/0,""),preDEL!B775)</f>
        <v>44629</v>
      </c>
      <c r="C775" s="171">
        <f>IF(preDEL!$AG775,IFERROR(0/0,""),preDEL!C775)</f>
        <v>0.3370949074</v>
      </c>
      <c r="D775" s="105" t="str">
        <f>IF(preDEL!$AG775,IFERROR(0/0,""),preDEL!D775)</f>
        <v/>
      </c>
      <c r="E775" s="105" t="str">
        <f>IF(preDEL!$AG775,IFERROR(0/0,""),preDEL!E775)</f>
        <v/>
      </c>
      <c r="F775" s="112" t="str">
        <f>IF(preDEL!$AG775,IFERROR(0/0,""),preDEL!F775)</f>
        <v/>
      </c>
      <c r="G775" s="112" t="str">
        <f>IF(preDEL!$AG775,IFERROR(0/0,""),preDEL!G775)</f>
        <v/>
      </c>
      <c r="H775" s="112" t="str">
        <f>IF(preDEL!$AG775,IFERROR(0/0,""),preDEL!H775)</f>
        <v/>
      </c>
      <c r="I775" s="105" t="str">
        <f>IF(preDEL!$AG775,IFERROR(0/0,""),preDEL!I775)</f>
        <v/>
      </c>
      <c r="J775" s="105" t="str">
        <f>IF(preDEL!$AG775,IFERROR(0/0,""),preDEL!J775)</f>
        <v/>
      </c>
      <c r="K775" s="105" t="str">
        <f>IF(preDEL!$AG775,IFERROR(0/0,""),preDEL!K775)</f>
        <v>Negative</v>
      </c>
      <c r="L775" s="170">
        <f>IF(preDEL!$AG775,IFERROR(0/0,""),preDEL!L775)</f>
        <v>44629</v>
      </c>
      <c r="M775" s="171">
        <f>IF(preDEL!$AG775,IFERROR(0/0,""),preDEL!M775)</f>
        <v>0.4994560185</v>
      </c>
      <c r="N775" s="112" t="str">
        <f>IF(preDEL!$AG775,IFERROR(0/0,""),preDEL!N775)</f>
        <v/>
      </c>
      <c r="O775" s="112" t="str">
        <f>IF(preDEL!$AG775,IFERROR(0/0,""),preDEL!O775)</f>
        <v/>
      </c>
      <c r="P775" s="110" t="b">
        <f>IF(preDEL!$AG775,IFERROR(0/0,""),preDEL!P775)</f>
        <v>0</v>
      </c>
      <c r="Q775" s="110" t="str">
        <f>IF(preDEL!$AG775,IFERROR(0/0,""),preDEL!Q775)</f>
        <v>Result</v>
      </c>
      <c r="R775" s="104" t="b">
        <f>IF(preDEL!$AG775,IFERROR(0/0,""),preDEL!R775)</f>
        <v>1</v>
      </c>
      <c r="S775" s="104">
        <f>IF(preDEL!$AG775,IFERROR(0/0,""),preDEL!S775)</f>
        <v>1</v>
      </c>
      <c r="T775" s="110" t="str">
        <f>IF(preDEL!$AG775,IFERROR(0/0,""),preDEL!T775)</f>
        <v/>
      </c>
      <c r="U775" s="112" t="str">
        <f>IF(preDEL!$AG775,IFERROR(0/0,""),preDEL!U775)</f>
        <v/>
      </c>
      <c r="V775" s="105" t="str">
        <f>IF(preDEL!$AG775,IFERROR(0/0,""),preDEL!V775)</f>
        <v/>
      </c>
      <c r="W775" s="112" t="str">
        <f>IF(preDEL!$AG775,IFERROR(0/0,""),preDEL!W775)</f>
        <v/>
      </c>
      <c r="X775" s="104" t="b">
        <f>IF(preDEL!$AG775,IFERROR(0/0,""),preDEL!X775)</f>
        <v>0</v>
      </c>
      <c r="Y775" s="110" t="b">
        <f>IF(preDEL!$AG775,IFERROR(0/0,""),preDEL!Y775)</f>
        <v>0</v>
      </c>
      <c r="Z775" s="105" t="str">
        <f>IF(preDEL!$AG775,IFERROR(0/0,""),preDEL!Z775)</f>
        <v/>
      </c>
      <c r="AA775" s="110" t="b">
        <f>IF(preDEL!$AG775,IFERROR(0/0,""),preDEL!AA775)</f>
        <v>0</v>
      </c>
      <c r="AB775" s="110" t="b">
        <f>IF(preDEL!$AG775,IFERROR(0/0,""),preDEL!AB775)</f>
        <v>0</v>
      </c>
      <c r="AC775" s="172">
        <f>IF(preDEL!$AG775,IFERROR(0/0,""),preDEL!AC775)</f>
        <v>47</v>
      </c>
      <c r="AD775" s="104" t="b">
        <f>IF(preDEL!$AG775,IFERROR(0/0,""),preDEL!AD775)</f>
        <v>0</v>
      </c>
      <c r="AE775" s="173">
        <f>IF(preDEL!$AG775,IFERROR(0/0,""),preDEL!AE775)</f>
        <v>233.8</v>
      </c>
      <c r="AF775" s="110" t="b">
        <f>IF(preDEL!$AG775,IFERROR(0/0,""),preDEL!AF775)</f>
        <v>0</v>
      </c>
      <c r="AG775" s="110" t="b">
        <f>IF(preDEL!$AG775,IFERROR(0/0,""),preDEL!AG775)</f>
        <v>0</v>
      </c>
      <c r="AH775" s="104" t="str">
        <f>IF(preDEL!$AG775,IFERROR(0/0,""),preDEL!AH775)</f>
        <v/>
      </c>
      <c r="AI775" s="105" t="str">
        <f>IF(preDEL!$AG775,IFERROR(0/0,""),preDEL!AI775)</f>
        <v/>
      </c>
      <c r="AJ775" s="112" t="str">
        <f>IF(preDEL!$AG775,IFERROR(0/0,""),preDEL!AJ775)</f>
        <v/>
      </c>
      <c r="AK775" s="105" t="str">
        <f>IF(preDEL!$AG775,IFERROR(0/0,""),preDEL!AK775)</f>
        <v>Negative</v>
      </c>
      <c r="AL775" s="112" t="str">
        <f>IF(preDEL!$AG775,IFERROR(0/0,""),preDEL!AL775)</f>
        <v/>
      </c>
      <c r="AM775" s="112" t="str">
        <f>IF(preDEL!$AG775,IFERROR(0/0,""),preDEL!AM775)</f>
        <v>SpBEND643855</v>
      </c>
      <c r="AN775" s="112" t="str">
        <f>IF(preDEL!$AG775,IFERROR(0/0,""),preDEL!AN775)</f>
        <v>BEND364074</v>
      </c>
      <c r="AO775" s="112" t="str">
        <f>IF(preDEL!$AG775,IFERROR(0/0,""),preDEL!AO775)</f>
        <v/>
      </c>
      <c r="AP775" s="112" t="str">
        <f>IF(preDEL!$AG775,IFERROR(0/0,""),preDEL!AP775)</f>
        <v/>
      </c>
      <c r="AQ775" s="112" t="str">
        <f>IF(preDEL!$AG775,IFERROR(0/0,""),preDEL!AQ775)</f>
        <v/>
      </c>
      <c r="AR775" s="112" t="str">
        <f>IF(preDEL!$AG775,IFERROR(0/0,""),preDEL!AR775)</f>
        <v/>
      </c>
      <c r="AS775" s="112" t="str">
        <f>IF(preDEL!$AG775,IFERROR(0/0,""),preDEL!AS775)</f>
        <v/>
      </c>
      <c r="AT775" s="112" t="b">
        <f>IF(preDEL!$AG775,IFERROR(0/0,""),preDEL!AT775)</f>
        <v>0</v>
      </c>
      <c r="AU775" s="112" t="str">
        <f>IF(preDEL!$AG775,IFERROR(0/0,""),preDEL!AU775)</f>
        <v/>
      </c>
      <c r="AV775" s="112" t="str">
        <f>IF(preDEL!$AG775,IFERROR(0/0,""),preDEL!AV775)</f>
        <v/>
      </c>
      <c r="AW775" s="112" t="str">
        <f>IF(preDEL!$AG775,IFERROR(0/0,""),preDEL!AW775)</f>
        <v/>
      </c>
      <c r="AX775" s="112" t="str">
        <f>IF(preDEL!$AG775,IFERROR(0/0,""),preDEL!AX775)</f>
        <v/>
      </c>
      <c r="AY775" s="112" t="str">
        <f>IF(preDEL!$AG775,IFERROR(0/0,""),preDEL!AY775)</f>
        <v/>
      </c>
      <c r="AZ775" s="174"/>
      <c r="BA775" s="174"/>
      <c r="BB775" s="174"/>
      <c r="BC775" s="174"/>
      <c r="BD775" s="174"/>
      <c r="BE775" s="174"/>
      <c r="BF775" s="174"/>
      <c r="BG775" s="174"/>
      <c r="BH775" s="174"/>
      <c r="BI775" s="174"/>
      <c r="BJ775" s="174"/>
      <c r="BK775" s="174"/>
      <c r="BL775" s="174"/>
      <c r="BM775" s="174"/>
      <c r="BN775" s="174"/>
      <c r="BO775" s="174"/>
      <c r="BP775" s="174"/>
      <c r="BQ775" s="174"/>
      <c r="BR775" s="174"/>
      <c r="BS775" s="174"/>
      <c r="BT775" s="174"/>
      <c r="BU775" s="174"/>
      <c r="BV775" s="174"/>
      <c r="BW775" s="174"/>
      <c r="BX775" s="174"/>
      <c r="BY775" s="174"/>
      <c r="BZ775" s="174"/>
      <c r="CA775" s="174"/>
      <c r="CB775" s="174"/>
      <c r="CC775" s="174"/>
      <c r="CD775" s="174"/>
    </row>
    <row r="776">
      <c r="A776" s="105" t="str">
        <f>IF(preDEL!$AG776,IFERROR(0/0,""),preDEL!A776)</f>
        <v>FM60</v>
      </c>
      <c r="B776" s="170">
        <f>IF(preDEL!$AG776,IFERROR(0/0,""),preDEL!B776)</f>
        <v>44629</v>
      </c>
      <c r="C776" s="171">
        <f>IF(preDEL!$AG776,IFERROR(0/0,""),preDEL!C776)</f>
        <v>0.4018287037</v>
      </c>
      <c r="D776" s="105" t="str">
        <f>IF(preDEL!$AG776,IFERROR(0/0,""),preDEL!D776)</f>
        <v/>
      </c>
      <c r="E776" s="105" t="str">
        <f>IF(preDEL!$AG776,IFERROR(0/0,""),preDEL!E776)</f>
        <v/>
      </c>
      <c r="F776" s="112" t="str">
        <f>IF(preDEL!$AG776,IFERROR(0/0,""),preDEL!F776)</f>
        <v/>
      </c>
      <c r="G776" s="112" t="str">
        <f>IF(preDEL!$AG776,IFERROR(0/0,""),preDEL!G776)</f>
        <v/>
      </c>
      <c r="H776" s="112" t="str">
        <f>IF(preDEL!$AG776,IFERROR(0/0,""),preDEL!H776)</f>
        <v/>
      </c>
      <c r="I776" s="105" t="str">
        <f>IF(preDEL!$AG776,IFERROR(0/0,""),preDEL!I776)</f>
        <v/>
      </c>
      <c r="J776" s="105" t="str">
        <f>IF(preDEL!$AG776,IFERROR(0/0,""),preDEL!J776)</f>
        <v/>
      </c>
      <c r="K776" s="105" t="str">
        <f>IF(preDEL!$AG776,IFERROR(0/0,""),preDEL!K776)</f>
        <v>Negative</v>
      </c>
      <c r="L776" s="170">
        <f>IF(preDEL!$AG776,IFERROR(0/0,""),preDEL!L776)</f>
        <v>44629</v>
      </c>
      <c r="M776" s="171">
        <f>IF(preDEL!$AG776,IFERROR(0/0,""),preDEL!M776)</f>
        <v>0.4994560185</v>
      </c>
      <c r="N776" s="112" t="str">
        <f>IF(preDEL!$AG776,IFERROR(0/0,""),preDEL!N776)</f>
        <v/>
      </c>
      <c r="O776" s="112" t="str">
        <f>IF(preDEL!$AG776,IFERROR(0/0,""),preDEL!O776)</f>
        <v/>
      </c>
      <c r="P776" s="110" t="b">
        <f>IF(preDEL!$AG776,IFERROR(0/0,""),preDEL!P776)</f>
        <v>0</v>
      </c>
      <c r="Q776" s="110" t="str">
        <f>IF(preDEL!$AG776,IFERROR(0/0,""),preDEL!Q776)</f>
        <v>Result</v>
      </c>
      <c r="R776" s="104" t="b">
        <f>IF(preDEL!$AG776,IFERROR(0/0,""),preDEL!R776)</f>
        <v>1</v>
      </c>
      <c r="S776" s="104">
        <f>IF(preDEL!$AG776,IFERROR(0/0,""),preDEL!S776)</f>
        <v>1</v>
      </c>
      <c r="T776" s="110" t="str">
        <f>IF(preDEL!$AG776,IFERROR(0/0,""),preDEL!T776)</f>
        <v/>
      </c>
      <c r="U776" s="112" t="str">
        <f>IF(preDEL!$AG776,IFERROR(0/0,""),preDEL!U776)</f>
        <v/>
      </c>
      <c r="V776" s="105" t="str">
        <f>IF(preDEL!$AG776,IFERROR(0/0,""),preDEL!V776)</f>
        <v/>
      </c>
      <c r="W776" s="112" t="str">
        <f>IF(preDEL!$AG776,IFERROR(0/0,""),preDEL!W776)</f>
        <v/>
      </c>
      <c r="X776" s="104" t="b">
        <f>IF(preDEL!$AG776,IFERROR(0/0,""),preDEL!X776)</f>
        <v>0</v>
      </c>
      <c r="Y776" s="110" t="b">
        <f>IF(preDEL!$AG776,IFERROR(0/0,""),preDEL!Y776)</f>
        <v>0</v>
      </c>
      <c r="Z776" s="105" t="str">
        <f>IF(preDEL!$AG776,IFERROR(0/0,""),preDEL!Z776)</f>
        <v/>
      </c>
      <c r="AA776" s="110" t="b">
        <f>IF(preDEL!$AG776,IFERROR(0/0,""),preDEL!AA776)</f>
        <v>0</v>
      </c>
      <c r="AB776" s="110" t="b">
        <f>IF(preDEL!$AG776,IFERROR(0/0,""),preDEL!AB776)</f>
        <v>0</v>
      </c>
      <c r="AC776" s="172">
        <f>IF(preDEL!$AG776,IFERROR(0/0,""),preDEL!AC776)</f>
        <v>46</v>
      </c>
      <c r="AD776" s="104" t="b">
        <f>IF(preDEL!$AG776,IFERROR(0/0,""),preDEL!AD776)</f>
        <v>0</v>
      </c>
      <c r="AE776" s="173">
        <f>IF(preDEL!$AG776,IFERROR(0/0,""),preDEL!AE776)</f>
        <v>140.5833333</v>
      </c>
      <c r="AF776" s="110" t="b">
        <f>IF(preDEL!$AG776,IFERROR(0/0,""),preDEL!AF776)</f>
        <v>0</v>
      </c>
      <c r="AG776" s="110" t="b">
        <f>IF(preDEL!$AG776,IFERROR(0/0,""),preDEL!AG776)</f>
        <v>0</v>
      </c>
      <c r="AH776" s="104" t="str">
        <f>IF(preDEL!$AG776,IFERROR(0/0,""),preDEL!AH776)</f>
        <v/>
      </c>
      <c r="AI776" s="105" t="str">
        <f>IF(preDEL!$AG776,IFERROR(0/0,""),preDEL!AI776)</f>
        <v/>
      </c>
      <c r="AJ776" s="112" t="str">
        <f>IF(preDEL!$AG776,IFERROR(0/0,""),preDEL!AJ776)</f>
        <v/>
      </c>
      <c r="AK776" s="105" t="str">
        <f>IF(preDEL!$AG776,IFERROR(0/0,""),preDEL!AK776)</f>
        <v>Negative</v>
      </c>
      <c r="AL776" s="112" t="str">
        <f>IF(preDEL!$AG776,IFERROR(0/0,""),preDEL!AL776)</f>
        <v/>
      </c>
      <c r="AM776" s="112" t="str">
        <f>IF(preDEL!$AG776,IFERROR(0/0,""),preDEL!AM776)</f>
        <v>SpBEND425753</v>
      </c>
      <c r="AN776" s="112" t="str">
        <f>IF(preDEL!$AG776,IFERROR(0/0,""),preDEL!AN776)</f>
        <v>BEND982858</v>
      </c>
      <c r="AO776" s="112" t="str">
        <f>IF(preDEL!$AG776,IFERROR(0/0,""),preDEL!AO776)</f>
        <v/>
      </c>
      <c r="AP776" s="112" t="str">
        <f>IF(preDEL!$AG776,IFERROR(0/0,""),preDEL!AP776)</f>
        <v/>
      </c>
      <c r="AQ776" s="112" t="str">
        <f>IF(preDEL!$AG776,IFERROR(0/0,""),preDEL!AQ776)</f>
        <v/>
      </c>
      <c r="AR776" s="112" t="str">
        <f>IF(preDEL!$AG776,IFERROR(0/0,""),preDEL!AR776)</f>
        <v/>
      </c>
      <c r="AS776" s="112" t="str">
        <f>IF(preDEL!$AG776,IFERROR(0/0,""),preDEL!AS776)</f>
        <v/>
      </c>
      <c r="AT776" s="112" t="b">
        <f>IF(preDEL!$AG776,IFERROR(0/0,""),preDEL!AT776)</f>
        <v>0</v>
      </c>
      <c r="AU776" s="112" t="str">
        <f>IF(preDEL!$AG776,IFERROR(0/0,""),preDEL!AU776)</f>
        <v/>
      </c>
      <c r="AV776" s="112" t="str">
        <f>IF(preDEL!$AG776,IFERROR(0/0,""),preDEL!AV776)</f>
        <v/>
      </c>
      <c r="AW776" s="112" t="str">
        <f>IF(preDEL!$AG776,IFERROR(0/0,""),preDEL!AW776)</f>
        <v/>
      </c>
      <c r="AX776" s="112" t="str">
        <f>IF(preDEL!$AG776,IFERROR(0/0,""),preDEL!AX776)</f>
        <v/>
      </c>
      <c r="AY776" s="112" t="str">
        <f>IF(preDEL!$AG776,IFERROR(0/0,""),preDEL!AY776)</f>
        <v/>
      </c>
      <c r="AZ776" s="174"/>
      <c r="BA776" s="174"/>
      <c r="BB776" s="174"/>
      <c r="BC776" s="174"/>
      <c r="BD776" s="174"/>
      <c r="BE776" s="174"/>
      <c r="BF776" s="174"/>
      <c r="BG776" s="174"/>
      <c r="BH776" s="174"/>
      <c r="BI776" s="174"/>
      <c r="BJ776" s="174"/>
      <c r="BK776" s="174"/>
      <c r="BL776" s="174"/>
      <c r="BM776" s="174"/>
      <c r="BN776" s="174"/>
      <c r="BO776" s="174"/>
      <c r="BP776" s="174"/>
      <c r="BQ776" s="174"/>
      <c r="BR776" s="174"/>
      <c r="BS776" s="174"/>
      <c r="BT776" s="174"/>
      <c r="BU776" s="174"/>
      <c r="BV776" s="174"/>
      <c r="BW776" s="174"/>
      <c r="BX776" s="174"/>
      <c r="BY776" s="174"/>
      <c r="BZ776" s="174"/>
      <c r="CA776" s="174"/>
      <c r="CB776" s="174"/>
      <c r="CC776" s="174"/>
      <c r="CD776" s="174"/>
    </row>
    <row r="777">
      <c r="A777" s="105" t="str">
        <f>IF(preDEL!$AG777,IFERROR(0/0,""),preDEL!A777)</f>
        <v>MA1313</v>
      </c>
      <c r="B777" s="170">
        <f>IF(preDEL!$AG777,IFERROR(0/0,""),preDEL!B777)</f>
        <v>44629</v>
      </c>
      <c r="C777" s="171">
        <f>IF(preDEL!$AG777,IFERROR(0/0,""),preDEL!C777)</f>
        <v>0.4059606481</v>
      </c>
      <c r="D777" s="105" t="str">
        <f>IF(preDEL!$AG777,IFERROR(0/0,""),preDEL!D777)</f>
        <v/>
      </c>
      <c r="E777" s="105" t="str">
        <f>IF(preDEL!$AG777,IFERROR(0/0,""),preDEL!E777)</f>
        <v/>
      </c>
      <c r="F777" s="112" t="str">
        <f>IF(preDEL!$AG777,IFERROR(0/0,""),preDEL!F777)</f>
        <v/>
      </c>
      <c r="G777" s="112" t="str">
        <f>IF(preDEL!$AG777,IFERROR(0/0,""),preDEL!G777)</f>
        <v/>
      </c>
      <c r="H777" s="112" t="str">
        <f>IF(preDEL!$AG777,IFERROR(0/0,""),preDEL!H777)</f>
        <v/>
      </c>
      <c r="I777" s="105" t="str">
        <f>IF(preDEL!$AG777,IFERROR(0/0,""),preDEL!I777)</f>
        <v/>
      </c>
      <c r="J777" s="105" t="str">
        <f>IF(preDEL!$AG777,IFERROR(0/0,""),preDEL!J777)</f>
        <v/>
      </c>
      <c r="K777" s="105" t="str">
        <f>IF(preDEL!$AG777,IFERROR(0/0,""),preDEL!K777)</f>
        <v>Negative</v>
      </c>
      <c r="L777" s="170">
        <f>IF(preDEL!$AG777,IFERROR(0/0,""),preDEL!L777)</f>
        <v>44629</v>
      </c>
      <c r="M777" s="171">
        <f>IF(preDEL!$AG777,IFERROR(0/0,""),preDEL!M777)</f>
        <v>0.4994560185</v>
      </c>
      <c r="N777" s="112" t="str">
        <f>IF(preDEL!$AG777,IFERROR(0/0,""),preDEL!N777)</f>
        <v/>
      </c>
      <c r="O777" s="112" t="str">
        <f>IF(preDEL!$AG777,IFERROR(0/0,""),preDEL!O777)</f>
        <v/>
      </c>
      <c r="P777" s="110" t="b">
        <f>IF(preDEL!$AG777,IFERROR(0/0,""),preDEL!P777)</f>
        <v>0</v>
      </c>
      <c r="Q777" s="110" t="str">
        <f>IF(preDEL!$AG777,IFERROR(0/0,""),preDEL!Q777)</f>
        <v>Result</v>
      </c>
      <c r="R777" s="104" t="b">
        <f>IF(preDEL!$AG777,IFERROR(0/0,""),preDEL!R777)</f>
        <v>1</v>
      </c>
      <c r="S777" s="104">
        <f>IF(preDEL!$AG777,IFERROR(0/0,""),preDEL!S777)</f>
        <v>1</v>
      </c>
      <c r="T777" s="110" t="str">
        <f>IF(preDEL!$AG777,IFERROR(0/0,""),preDEL!T777)</f>
        <v/>
      </c>
      <c r="U777" s="112" t="str">
        <f>IF(preDEL!$AG777,IFERROR(0/0,""),preDEL!U777)</f>
        <v/>
      </c>
      <c r="V777" s="105" t="str">
        <f>IF(preDEL!$AG777,IFERROR(0/0,""),preDEL!V777)</f>
        <v/>
      </c>
      <c r="W777" s="112" t="str">
        <f>IF(preDEL!$AG777,IFERROR(0/0,""),preDEL!W777)</f>
        <v/>
      </c>
      <c r="X777" s="104" t="b">
        <f>IF(preDEL!$AG777,IFERROR(0/0,""),preDEL!X777)</f>
        <v>0</v>
      </c>
      <c r="Y777" s="110" t="b">
        <f>IF(preDEL!$AG777,IFERROR(0/0,""),preDEL!Y777)</f>
        <v>0</v>
      </c>
      <c r="Z777" s="105" t="str">
        <f>IF(preDEL!$AG777,IFERROR(0/0,""),preDEL!Z777)</f>
        <v/>
      </c>
      <c r="AA777" s="110" t="b">
        <f>IF(preDEL!$AG777,IFERROR(0/0,""),preDEL!AA777)</f>
        <v>0</v>
      </c>
      <c r="AB777" s="110" t="b">
        <f>IF(preDEL!$AG777,IFERROR(0/0,""),preDEL!AB777)</f>
        <v>0</v>
      </c>
      <c r="AC777" s="172">
        <f>IF(preDEL!$AG777,IFERROR(0/0,""),preDEL!AC777)</f>
        <v>45</v>
      </c>
      <c r="AD777" s="104" t="b">
        <f>IF(preDEL!$AG777,IFERROR(0/0,""),preDEL!AD777)</f>
        <v>0</v>
      </c>
      <c r="AE777" s="173">
        <f>IF(preDEL!$AG777,IFERROR(0/0,""),preDEL!AE777)</f>
        <v>134.6333333</v>
      </c>
      <c r="AF777" s="110" t="b">
        <f>IF(preDEL!$AG777,IFERROR(0/0,""),preDEL!AF777)</f>
        <v>0</v>
      </c>
      <c r="AG777" s="110" t="b">
        <f>IF(preDEL!$AG777,IFERROR(0/0,""),preDEL!AG777)</f>
        <v>0</v>
      </c>
      <c r="AH777" s="104" t="str">
        <f>IF(preDEL!$AG777,IFERROR(0/0,""),preDEL!AH777)</f>
        <v/>
      </c>
      <c r="AI777" s="105" t="str">
        <f>IF(preDEL!$AG777,IFERROR(0/0,""),preDEL!AI777)</f>
        <v/>
      </c>
      <c r="AJ777" s="112" t="str">
        <f>IF(preDEL!$AG777,IFERROR(0/0,""),preDEL!AJ777)</f>
        <v/>
      </c>
      <c r="AK777" s="105" t="str">
        <f>IF(preDEL!$AG777,IFERROR(0/0,""),preDEL!AK777)</f>
        <v>Negative</v>
      </c>
      <c r="AL777" s="112" t="str">
        <f>IF(preDEL!$AG777,IFERROR(0/0,""),preDEL!AL777)</f>
        <v/>
      </c>
      <c r="AM777" s="112" t="str">
        <f>IF(preDEL!$AG777,IFERROR(0/0,""),preDEL!AM777)</f>
        <v>SpBEND183210</v>
      </c>
      <c r="AN777" s="112" t="str">
        <f>IF(preDEL!$AG777,IFERROR(0/0,""),preDEL!AN777)</f>
        <v>BEND147991</v>
      </c>
      <c r="AO777" s="112" t="str">
        <f>IF(preDEL!$AG777,IFERROR(0/0,""),preDEL!AO777)</f>
        <v/>
      </c>
      <c r="AP777" s="112" t="str">
        <f>IF(preDEL!$AG777,IFERROR(0/0,""),preDEL!AP777)</f>
        <v/>
      </c>
      <c r="AQ777" s="112" t="str">
        <f>IF(preDEL!$AG777,IFERROR(0/0,""),preDEL!AQ777)</f>
        <v/>
      </c>
      <c r="AR777" s="112" t="str">
        <f>IF(preDEL!$AG777,IFERROR(0/0,""),preDEL!AR777)</f>
        <v/>
      </c>
      <c r="AS777" s="112" t="str">
        <f>IF(preDEL!$AG777,IFERROR(0/0,""),preDEL!AS777)</f>
        <v/>
      </c>
      <c r="AT777" s="112" t="b">
        <f>IF(preDEL!$AG777,IFERROR(0/0,""),preDEL!AT777)</f>
        <v>0</v>
      </c>
      <c r="AU777" s="112" t="str">
        <f>IF(preDEL!$AG777,IFERROR(0/0,""),preDEL!AU777)</f>
        <v/>
      </c>
      <c r="AV777" s="112" t="str">
        <f>IF(preDEL!$AG777,IFERROR(0/0,""),preDEL!AV777)</f>
        <v/>
      </c>
      <c r="AW777" s="112" t="str">
        <f>IF(preDEL!$AG777,IFERROR(0/0,""),preDEL!AW777)</f>
        <v/>
      </c>
      <c r="AX777" s="112" t="str">
        <f>IF(preDEL!$AG777,IFERROR(0/0,""),preDEL!AX777)</f>
        <v/>
      </c>
      <c r="AY777" s="112" t="str">
        <f>IF(preDEL!$AG777,IFERROR(0/0,""),preDEL!AY777)</f>
        <v/>
      </c>
      <c r="AZ777" s="174"/>
      <c r="BA777" s="174"/>
      <c r="BB777" s="174"/>
      <c r="BC777" s="174"/>
      <c r="BD777" s="174"/>
      <c r="BE777" s="174"/>
      <c r="BF777" s="174"/>
      <c r="BG777" s="174"/>
      <c r="BH777" s="174"/>
      <c r="BI777" s="174"/>
      <c r="BJ777" s="174"/>
      <c r="BK777" s="174"/>
      <c r="BL777" s="174"/>
      <c r="BM777" s="174"/>
      <c r="BN777" s="174"/>
      <c r="BO777" s="174"/>
      <c r="BP777" s="174"/>
      <c r="BQ777" s="174"/>
      <c r="BR777" s="174"/>
      <c r="BS777" s="174"/>
      <c r="BT777" s="174"/>
      <c r="BU777" s="174"/>
      <c r="BV777" s="174"/>
      <c r="BW777" s="174"/>
      <c r="BX777" s="174"/>
      <c r="BY777" s="174"/>
      <c r="BZ777" s="174"/>
      <c r="CA777" s="174"/>
      <c r="CB777" s="174"/>
      <c r="CC777" s="174"/>
      <c r="CD777" s="174"/>
    </row>
    <row r="778">
      <c r="A778" s="105" t="str">
        <f>IF(preDEL!$AG778,IFERROR(0/0,""),preDEL!A778)</f>
        <v>MA1254</v>
      </c>
      <c r="B778" s="170">
        <f>IF(preDEL!$AG778,IFERROR(0/0,""),preDEL!B778)</f>
        <v>44629</v>
      </c>
      <c r="C778" s="171">
        <f>IF(preDEL!$AG778,IFERROR(0/0,""),preDEL!C778)</f>
        <v>0.407349537</v>
      </c>
      <c r="D778" s="105" t="str">
        <f>IF(preDEL!$AG778,IFERROR(0/0,""),preDEL!D778)</f>
        <v/>
      </c>
      <c r="E778" s="105" t="str">
        <f>IF(preDEL!$AG778,IFERROR(0/0,""),preDEL!E778)</f>
        <v/>
      </c>
      <c r="F778" s="112" t="str">
        <f>IF(preDEL!$AG778,IFERROR(0/0,""),preDEL!F778)</f>
        <v/>
      </c>
      <c r="G778" s="112" t="str">
        <f>IF(preDEL!$AG778,IFERROR(0/0,""),preDEL!G778)</f>
        <v/>
      </c>
      <c r="H778" s="112" t="str">
        <f>IF(preDEL!$AG778,IFERROR(0/0,""),preDEL!H778)</f>
        <v/>
      </c>
      <c r="I778" s="175" t="str">
        <f>IF(preDEL!$AG778,IFERROR(0/0,""),preDEL!I778)</f>
        <v/>
      </c>
      <c r="J778" s="105" t="str">
        <f>IF(preDEL!$AG778,IFERROR(0/0,""),preDEL!J778)</f>
        <v/>
      </c>
      <c r="K778" s="105" t="str">
        <f>IF(preDEL!$AG778,IFERROR(0/0,""),preDEL!K778)</f>
        <v>Null</v>
      </c>
      <c r="L778" s="170">
        <f>IF(preDEL!$AG778,IFERROR(0/0,""),preDEL!L778)</f>
        <v>44861</v>
      </c>
      <c r="M778" s="171">
        <f>IF(preDEL!$AG778,IFERROR(0/0,""),preDEL!M778)</f>
        <v>0.4895023148</v>
      </c>
      <c r="N778" s="112" t="str">
        <f>IF(preDEL!$AG778,IFERROR(0/0,""),preDEL!N778)</f>
        <v>Primary</v>
      </c>
      <c r="O778" s="112" t="str">
        <f>IF(preDEL!$AG778,IFERROR(0/0,""),preDEL!O778)</f>
        <v/>
      </c>
      <c r="P778" s="110" t="b">
        <f>IF(preDEL!$AG778,IFERROR(0/0,""),preDEL!P778)</f>
        <v>0</v>
      </c>
      <c r="Q778" s="110" t="str">
        <f>IF(preDEL!$AG778,IFERROR(0/0,""),preDEL!Q778)</f>
        <v>Collected</v>
      </c>
      <c r="R778" s="104" t="b">
        <f>IF(preDEL!$AG778,IFERROR(0/0,""),preDEL!R778)</f>
        <v>1</v>
      </c>
      <c r="S778" s="104">
        <f>IF(preDEL!$AG778,IFERROR(0/0,""),preDEL!S778)</f>
        <v>1</v>
      </c>
      <c r="T778" s="110">
        <f>IF(preDEL!$AG778,IFERROR(0/0,""),preDEL!T778)</f>
        <v>0</v>
      </c>
      <c r="U778" s="112" t="str">
        <f>IF(preDEL!$AG778,IFERROR(0/0,""),preDEL!U778)</f>
        <v/>
      </c>
      <c r="V778" s="105" t="str">
        <f>IF(preDEL!$AG778,IFERROR(0/0,""),preDEL!V778)</f>
        <v/>
      </c>
      <c r="W778" s="112" t="str">
        <f>IF(preDEL!$AG778,IFERROR(0/0,""),preDEL!W778)</f>
        <v/>
      </c>
      <c r="X778" s="104" t="b">
        <f>IF(preDEL!$AG778,IFERROR(0/0,""),preDEL!X778)</f>
        <v>0</v>
      </c>
      <c r="Y778" s="110" t="b">
        <f>IF(preDEL!$AG778,IFERROR(0/0,""),preDEL!Y778)</f>
        <v>0</v>
      </c>
      <c r="Z778" s="105" t="str">
        <f>IF(preDEL!$AG778,IFERROR(0/0,""),preDEL!Z778)</f>
        <v/>
      </c>
      <c r="AA778" s="110" t="b">
        <f>IF(preDEL!$AG778,IFERROR(0/0,""),preDEL!AA778)</f>
        <v>0</v>
      </c>
      <c r="AB778" s="110" t="b">
        <f>IF(preDEL!$AG778,IFERROR(0/0,""),preDEL!AB778)</f>
        <v>0</v>
      </c>
      <c r="AC778" s="172">
        <f>IF(preDEL!$AG778,IFERROR(0/0,""),preDEL!AC778)</f>
        <v>802</v>
      </c>
      <c r="AD778" s="104" t="b">
        <f>IF(preDEL!$AG778,IFERROR(0/0,""),preDEL!AD778)</f>
        <v>1</v>
      </c>
      <c r="AE778" s="173" t="str">
        <f>IF(preDEL!$AG778,IFERROR(0/0,""),preDEL!AE778)</f>
        <v/>
      </c>
      <c r="AF778" s="110" t="b">
        <f>IF(preDEL!$AG778,IFERROR(0/0,""),preDEL!AF778)</f>
        <v>0</v>
      </c>
      <c r="AG778" s="110" t="b">
        <f>IF(preDEL!$AG778,IFERROR(0/0,""),preDEL!AG778)</f>
        <v>0</v>
      </c>
      <c r="AH778" s="104" t="str">
        <f>IF(preDEL!$AG778,IFERROR(0/0,""),preDEL!AH778)</f>
        <v/>
      </c>
      <c r="AI778" s="105" t="str">
        <f>IF(preDEL!$AG778,IFERROR(0/0,""),preDEL!AI778)</f>
        <v/>
      </c>
      <c r="AJ778" s="112">
        <f>IF(preDEL!$AG778,IFERROR(0/0,""),preDEL!AJ778)</f>
        <v>2</v>
      </c>
      <c r="AK778" s="105" t="str">
        <f>IF(preDEL!$AG778,IFERROR(0/0,""),preDEL!AK778)</f>
        <v>Negative</v>
      </c>
      <c r="AL778" s="112" t="str">
        <f>IF(preDEL!$AG778,IFERROR(0/0,""),preDEL!AL778)</f>
        <v/>
      </c>
      <c r="AM778" s="112" t="str">
        <f>IF(preDEL!$AG778,IFERROR(0/0,""),preDEL!AM778)</f>
        <v>SpBEND587584</v>
      </c>
      <c r="AN778" s="112" t="str">
        <f>IF(preDEL!$AG778,IFERROR(0/0,""),preDEL!AN778)</f>
        <v>BEND196623</v>
      </c>
      <c r="AO778" s="112" t="str">
        <f>IF(preDEL!$AG778,IFERROR(0/0,""),preDEL!AO778)</f>
        <v/>
      </c>
      <c r="AP778" s="112" t="str">
        <f>IF(preDEL!$AG778,IFERROR(0/0,""),preDEL!AP778)</f>
        <v/>
      </c>
      <c r="AQ778" s="112" t="str">
        <f>IF(preDEL!$AG778,IFERROR(0/0,""),preDEL!AQ778)</f>
        <v/>
      </c>
      <c r="AR778" s="112" t="str">
        <f>IF(preDEL!$AG778,IFERROR(0/0,""),preDEL!AR778)</f>
        <v/>
      </c>
      <c r="AS778" s="112" t="str">
        <f>IF(preDEL!$AG778,IFERROR(0/0,""),preDEL!AS778)</f>
        <v/>
      </c>
      <c r="AT778" s="112" t="b">
        <f>IF(preDEL!$AG778,IFERROR(0/0,""),preDEL!AT778)</f>
        <v>0</v>
      </c>
      <c r="AU778" s="112" t="str">
        <f>IF(preDEL!$AG778,IFERROR(0/0,""),preDEL!AU778)</f>
        <v/>
      </c>
      <c r="AV778" s="112" t="str">
        <f>IF(preDEL!$AG778,IFERROR(0/0,""),preDEL!AV778)</f>
        <v/>
      </c>
      <c r="AW778" s="112" t="str">
        <f>IF(preDEL!$AG778,IFERROR(0/0,""),preDEL!AW778)</f>
        <v/>
      </c>
      <c r="AX778" s="112" t="str">
        <f>IF(preDEL!$AG778,IFERROR(0/0,""),preDEL!AX778)</f>
        <v/>
      </c>
      <c r="AY778" s="112" t="str">
        <f>IF(preDEL!$AG778,IFERROR(0/0,""),preDEL!AY778)</f>
        <v/>
      </c>
      <c r="AZ778" s="174"/>
      <c r="BA778" s="174"/>
      <c r="BB778" s="174"/>
      <c r="BC778" s="174"/>
      <c r="BD778" s="174"/>
      <c r="BE778" s="174"/>
      <c r="BF778" s="174"/>
      <c r="BG778" s="174"/>
      <c r="BH778" s="174"/>
      <c r="BI778" s="174"/>
      <c r="BJ778" s="174"/>
      <c r="BK778" s="174"/>
      <c r="BL778" s="174"/>
      <c r="BM778" s="174"/>
      <c r="BN778" s="174"/>
      <c r="BO778" s="174"/>
      <c r="BP778" s="174"/>
      <c r="BQ778" s="174"/>
      <c r="BR778" s="174"/>
      <c r="BS778" s="174"/>
      <c r="BT778" s="174"/>
      <c r="BU778" s="174"/>
      <c r="BV778" s="174"/>
      <c r="BW778" s="174"/>
      <c r="BX778" s="174"/>
      <c r="BY778" s="174"/>
      <c r="BZ778" s="174"/>
      <c r="CA778" s="174"/>
      <c r="CB778" s="174"/>
      <c r="CC778" s="174"/>
      <c r="CD778" s="174"/>
    </row>
    <row r="779">
      <c r="A779" s="105" t="str">
        <f>IF(preDEL!$AG779,IFERROR(0/0,""),preDEL!A779)</f>
        <v>FM427</v>
      </c>
      <c r="B779" s="170">
        <f>IF(preDEL!$AG779,IFERROR(0/0,""),preDEL!B779)</f>
        <v>44629</v>
      </c>
      <c r="C779" s="171">
        <f>IF(preDEL!$AG779,IFERROR(0/0,""),preDEL!C779)</f>
        <v>0.4893287037</v>
      </c>
      <c r="D779" s="105" t="str">
        <f>IF(preDEL!$AG779,IFERROR(0/0,""),preDEL!D779)</f>
        <v/>
      </c>
      <c r="E779" s="105" t="str">
        <f>IF(preDEL!$AG779,IFERROR(0/0,""),preDEL!E779)</f>
        <v/>
      </c>
      <c r="F779" s="112" t="str">
        <f>IF(preDEL!$AG779,IFERROR(0/0,""),preDEL!F779)</f>
        <v/>
      </c>
      <c r="G779" s="112" t="str">
        <f>IF(preDEL!$AG779,IFERROR(0/0,""),preDEL!G779)</f>
        <v/>
      </c>
      <c r="H779" s="112" t="str">
        <f>IF(preDEL!$AG779,IFERROR(0/0,""),preDEL!H779)</f>
        <v/>
      </c>
      <c r="I779" s="105" t="str">
        <f>IF(preDEL!$AG779,IFERROR(0/0,""),preDEL!I779)</f>
        <v/>
      </c>
      <c r="J779" s="105" t="str">
        <f>IF(preDEL!$AG779,IFERROR(0/0,""),preDEL!J779)</f>
        <v/>
      </c>
      <c r="K779" s="105" t="str">
        <f>IF(preDEL!$AG779,IFERROR(0/0,""),preDEL!K779)</f>
        <v>Negative</v>
      </c>
      <c r="L779" s="170">
        <f>IF(preDEL!$AG779,IFERROR(0/0,""),preDEL!L779)</f>
        <v>44629</v>
      </c>
      <c r="M779" s="171">
        <f>IF(preDEL!$AG779,IFERROR(0/0,""),preDEL!M779)</f>
        <v>0.4994560185</v>
      </c>
      <c r="N779" s="112" t="str">
        <f>IF(preDEL!$AG779,IFERROR(0/0,""),preDEL!N779)</f>
        <v/>
      </c>
      <c r="O779" s="112" t="str">
        <f>IF(preDEL!$AG779,IFERROR(0/0,""),preDEL!O779)</f>
        <v/>
      </c>
      <c r="P779" s="110" t="b">
        <f>IF(preDEL!$AG779,IFERROR(0/0,""),preDEL!P779)</f>
        <v>0</v>
      </c>
      <c r="Q779" s="110" t="str">
        <f>IF(preDEL!$AG779,IFERROR(0/0,""),preDEL!Q779)</f>
        <v>Result</v>
      </c>
      <c r="R779" s="104" t="b">
        <f>IF(preDEL!$AG779,IFERROR(0/0,""),preDEL!R779)</f>
        <v>1</v>
      </c>
      <c r="S779" s="104">
        <f>IF(preDEL!$AG779,IFERROR(0/0,""),preDEL!S779)</f>
        <v>1</v>
      </c>
      <c r="T779" s="110" t="str">
        <f>IF(preDEL!$AG779,IFERROR(0/0,""),preDEL!T779)</f>
        <v/>
      </c>
      <c r="U779" s="112" t="str">
        <f>IF(preDEL!$AG779,IFERROR(0/0,""),preDEL!U779)</f>
        <v/>
      </c>
      <c r="V779" s="105" t="str">
        <f>IF(preDEL!$AG779,IFERROR(0/0,""),preDEL!V779)</f>
        <v/>
      </c>
      <c r="W779" s="112" t="str">
        <f>IF(preDEL!$AG779,IFERROR(0/0,""),preDEL!W779)</f>
        <v/>
      </c>
      <c r="X779" s="104" t="b">
        <f>IF(preDEL!$AG779,IFERROR(0/0,""),preDEL!X779)</f>
        <v>0</v>
      </c>
      <c r="Y779" s="110" t="b">
        <f>IF(preDEL!$AG779,IFERROR(0/0,""),preDEL!Y779)</f>
        <v>0</v>
      </c>
      <c r="Z779" s="105" t="str">
        <f>IF(preDEL!$AG779,IFERROR(0/0,""),preDEL!Z779)</f>
        <v/>
      </c>
      <c r="AA779" s="110" t="b">
        <f>IF(preDEL!$AG779,IFERROR(0/0,""),preDEL!AA779)</f>
        <v>0</v>
      </c>
      <c r="AB779" s="110" t="b">
        <f>IF(preDEL!$AG779,IFERROR(0/0,""),preDEL!AB779)</f>
        <v>0</v>
      </c>
      <c r="AC779" s="172">
        <f>IF(preDEL!$AG779,IFERROR(0/0,""),preDEL!AC779)</f>
        <v>44</v>
      </c>
      <c r="AD779" s="104" t="b">
        <f>IF(preDEL!$AG779,IFERROR(0/0,""),preDEL!AD779)</f>
        <v>0</v>
      </c>
      <c r="AE779" s="173">
        <f>IF(preDEL!$AG779,IFERROR(0/0,""),preDEL!AE779)</f>
        <v>14.58333333</v>
      </c>
      <c r="AF779" s="110" t="b">
        <f>IF(preDEL!$AG779,IFERROR(0/0,""),preDEL!AF779)</f>
        <v>0</v>
      </c>
      <c r="AG779" s="110" t="b">
        <f>IF(preDEL!$AG779,IFERROR(0/0,""),preDEL!AG779)</f>
        <v>0</v>
      </c>
      <c r="AH779" s="104" t="str">
        <f>IF(preDEL!$AG779,IFERROR(0/0,""),preDEL!AH779)</f>
        <v/>
      </c>
      <c r="AI779" s="105" t="str">
        <f>IF(preDEL!$AG779,IFERROR(0/0,""),preDEL!AI779)</f>
        <v/>
      </c>
      <c r="AJ779" s="112" t="str">
        <f>IF(preDEL!$AG779,IFERROR(0/0,""),preDEL!AJ779)</f>
        <v/>
      </c>
      <c r="AK779" s="105" t="str">
        <f>IF(preDEL!$AG779,IFERROR(0/0,""),preDEL!AK779)</f>
        <v>Negative</v>
      </c>
      <c r="AL779" s="112" t="str">
        <f>IF(preDEL!$AG779,IFERROR(0/0,""),preDEL!AL779)</f>
        <v/>
      </c>
      <c r="AM779" s="112" t="str">
        <f>IF(preDEL!$AG779,IFERROR(0/0,""),preDEL!AM779)</f>
        <v>SpBEND394154</v>
      </c>
      <c r="AN779" s="112" t="str">
        <f>IF(preDEL!$AG779,IFERROR(0/0,""),preDEL!AN779)</f>
        <v>BEND494971</v>
      </c>
      <c r="AO779" s="112" t="str">
        <f>IF(preDEL!$AG779,IFERROR(0/0,""),preDEL!AO779)</f>
        <v/>
      </c>
      <c r="AP779" s="112" t="str">
        <f>IF(preDEL!$AG779,IFERROR(0/0,""),preDEL!AP779)</f>
        <v/>
      </c>
      <c r="AQ779" s="112" t="str">
        <f>IF(preDEL!$AG779,IFERROR(0/0,""),preDEL!AQ779)</f>
        <v/>
      </c>
      <c r="AR779" s="112" t="str">
        <f>IF(preDEL!$AG779,IFERROR(0/0,""),preDEL!AR779)</f>
        <v/>
      </c>
      <c r="AS779" s="112" t="str">
        <f>IF(preDEL!$AG779,IFERROR(0/0,""),preDEL!AS779)</f>
        <v/>
      </c>
      <c r="AT779" s="112" t="b">
        <f>IF(preDEL!$AG779,IFERROR(0/0,""),preDEL!AT779)</f>
        <v>0</v>
      </c>
      <c r="AU779" s="112" t="str">
        <f>IF(preDEL!$AG779,IFERROR(0/0,""),preDEL!AU779)</f>
        <v/>
      </c>
      <c r="AV779" s="112" t="str">
        <f>IF(preDEL!$AG779,IFERROR(0/0,""),preDEL!AV779)</f>
        <v/>
      </c>
      <c r="AW779" s="112" t="str">
        <f>IF(preDEL!$AG779,IFERROR(0/0,""),preDEL!AW779)</f>
        <v/>
      </c>
      <c r="AX779" s="112" t="str">
        <f>IF(preDEL!$AG779,IFERROR(0/0,""),preDEL!AX779)</f>
        <v/>
      </c>
      <c r="AY779" s="112" t="str">
        <f>IF(preDEL!$AG779,IFERROR(0/0,""),preDEL!AY779)</f>
        <v/>
      </c>
      <c r="AZ779" s="174"/>
      <c r="BA779" s="174"/>
      <c r="BB779" s="174"/>
      <c r="BC779" s="174"/>
      <c r="BD779" s="174"/>
      <c r="BE779" s="174"/>
      <c r="BF779" s="174"/>
      <c r="BG779" s="174"/>
      <c r="BH779" s="174"/>
      <c r="BI779" s="174"/>
      <c r="BJ779" s="174"/>
      <c r="BK779" s="174"/>
      <c r="BL779" s="174"/>
      <c r="BM779" s="174"/>
      <c r="BN779" s="174"/>
      <c r="BO779" s="174"/>
      <c r="BP779" s="174"/>
      <c r="BQ779" s="174"/>
      <c r="BR779" s="174"/>
      <c r="BS779" s="174"/>
      <c r="BT779" s="174"/>
      <c r="BU779" s="174"/>
      <c r="BV779" s="174"/>
      <c r="BW779" s="174"/>
      <c r="BX779" s="174"/>
      <c r="BY779" s="174"/>
      <c r="BZ779" s="174"/>
      <c r="CA779" s="174"/>
      <c r="CB779" s="174"/>
      <c r="CC779" s="174"/>
      <c r="CD779" s="174"/>
    </row>
    <row r="780">
      <c r="A780" s="105" t="str">
        <f>IF(preDEL!$AG780,IFERROR(0/0,""),preDEL!A780)</f>
        <v>FM439</v>
      </c>
      <c r="B780" s="170">
        <f>IF(preDEL!$AG780,IFERROR(0/0,""),preDEL!B780)</f>
        <v>44629</v>
      </c>
      <c r="C780" s="171">
        <f>IF(preDEL!$AG780,IFERROR(0/0,""),preDEL!C780)</f>
        <v>0.4899074074</v>
      </c>
      <c r="D780" s="105" t="str">
        <f>IF(preDEL!$AG780,IFERROR(0/0,""),preDEL!D780)</f>
        <v/>
      </c>
      <c r="E780" s="105" t="str">
        <f>IF(preDEL!$AG780,IFERROR(0/0,""),preDEL!E780)</f>
        <v/>
      </c>
      <c r="F780" s="112" t="str">
        <f>IF(preDEL!$AG780,IFERROR(0/0,""),preDEL!F780)</f>
        <v/>
      </c>
      <c r="G780" s="112" t="str">
        <f>IF(preDEL!$AG780,IFERROR(0/0,""),preDEL!G780)</f>
        <v/>
      </c>
      <c r="H780" s="112" t="str">
        <f>IF(preDEL!$AG780,IFERROR(0/0,""),preDEL!H780)</f>
        <v/>
      </c>
      <c r="I780" s="105" t="str">
        <f>IF(preDEL!$AG780,IFERROR(0/0,""),preDEL!I780)</f>
        <v/>
      </c>
      <c r="J780" s="105" t="str">
        <f>IF(preDEL!$AG780,IFERROR(0/0,""),preDEL!J780)</f>
        <v/>
      </c>
      <c r="K780" s="105" t="str">
        <f>IF(preDEL!$AG780,IFERROR(0/0,""),preDEL!K780)</f>
        <v>Negative</v>
      </c>
      <c r="L780" s="170">
        <f>IF(preDEL!$AG780,IFERROR(0/0,""),preDEL!L780)</f>
        <v>44629</v>
      </c>
      <c r="M780" s="171">
        <f>IF(preDEL!$AG780,IFERROR(0/0,""),preDEL!M780)</f>
        <v>0.4994560185</v>
      </c>
      <c r="N780" s="112" t="str">
        <f>IF(preDEL!$AG780,IFERROR(0/0,""),preDEL!N780)</f>
        <v/>
      </c>
      <c r="O780" s="112" t="str">
        <f>IF(preDEL!$AG780,IFERROR(0/0,""),preDEL!O780)</f>
        <v/>
      </c>
      <c r="P780" s="110" t="b">
        <f>IF(preDEL!$AG780,IFERROR(0/0,""),preDEL!P780)</f>
        <v>0</v>
      </c>
      <c r="Q780" s="110" t="str">
        <f>IF(preDEL!$AG780,IFERROR(0/0,""),preDEL!Q780)</f>
        <v>Result</v>
      </c>
      <c r="R780" s="104" t="b">
        <f>IF(preDEL!$AG780,IFERROR(0/0,""),preDEL!R780)</f>
        <v>1</v>
      </c>
      <c r="S780" s="104">
        <f>IF(preDEL!$AG780,IFERROR(0/0,""),preDEL!S780)</f>
        <v>1</v>
      </c>
      <c r="T780" s="110" t="str">
        <f>IF(preDEL!$AG780,IFERROR(0/0,""),preDEL!T780)</f>
        <v/>
      </c>
      <c r="U780" s="112" t="str">
        <f>IF(preDEL!$AG780,IFERROR(0/0,""),preDEL!U780)</f>
        <v/>
      </c>
      <c r="V780" s="105" t="str">
        <f>IF(preDEL!$AG780,IFERROR(0/0,""),preDEL!V780)</f>
        <v/>
      </c>
      <c r="W780" s="112" t="str">
        <f>IF(preDEL!$AG780,IFERROR(0/0,""),preDEL!W780)</f>
        <v/>
      </c>
      <c r="X780" s="104" t="b">
        <f>IF(preDEL!$AG780,IFERROR(0/0,""),preDEL!X780)</f>
        <v>0</v>
      </c>
      <c r="Y780" s="110" t="b">
        <f>IF(preDEL!$AG780,IFERROR(0/0,""),preDEL!Y780)</f>
        <v>0</v>
      </c>
      <c r="Z780" s="105" t="str">
        <f>IF(preDEL!$AG780,IFERROR(0/0,""),preDEL!Z780)</f>
        <v/>
      </c>
      <c r="AA780" s="110" t="b">
        <f>IF(preDEL!$AG780,IFERROR(0/0,""),preDEL!AA780)</f>
        <v>0</v>
      </c>
      <c r="AB780" s="110" t="b">
        <f>IF(preDEL!$AG780,IFERROR(0/0,""),preDEL!AB780)</f>
        <v>0</v>
      </c>
      <c r="AC780" s="172">
        <f>IF(preDEL!$AG780,IFERROR(0/0,""),preDEL!AC780)</f>
        <v>43</v>
      </c>
      <c r="AD780" s="104" t="b">
        <f>IF(preDEL!$AG780,IFERROR(0/0,""),preDEL!AD780)</f>
        <v>0</v>
      </c>
      <c r="AE780" s="173">
        <f>IF(preDEL!$AG780,IFERROR(0/0,""),preDEL!AE780)</f>
        <v>13.75</v>
      </c>
      <c r="AF780" s="110" t="b">
        <f>IF(preDEL!$AG780,IFERROR(0/0,""),preDEL!AF780)</f>
        <v>0</v>
      </c>
      <c r="AG780" s="110" t="b">
        <f>IF(preDEL!$AG780,IFERROR(0/0,""),preDEL!AG780)</f>
        <v>0</v>
      </c>
      <c r="AH780" s="104" t="str">
        <f>IF(preDEL!$AG780,IFERROR(0/0,""),preDEL!AH780)</f>
        <v/>
      </c>
      <c r="AI780" s="105" t="str">
        <f>IF(preDEL!$AG780,IFERROR(0/0,""),preDEL!AI780)</f>
        <v/>
      </c>
      <c r="AJ780" s="112" t="str">
        <f>IF(preDEL!$AG780,IFERROR(0/0,""),preDEL!AJ780)</f>
        <v/>
      </c>
      <c r="AK780" s="105" t="str">
        <f>IF(preDEL!$AG780,IFERROR(0/0,""),preDEL!AK780)</f>
        <v>Negative</v>
      </c>
      <c r="AL780" s="112" t="str">
        <f>IF(preDEL!$AG780,IFERROR(0/0,""),preDEL!AL780)</f>
        <v/>
      </c>
      <c r="AM780" s="112" t="str">
        <f>IF(preDEL!$AG780,IFERROR(0/0,""),preDEL!AM780)</f>
        <v>SpBEND394154</v>
      </c>
      <c r="AN780" s="112" t="str">
        <f>IF(preDEL!$AG780,IFERROR(0/0,""),preDEL!AN780)</f>
        <v>BEND714296</v>
      </c>
      <c r="AO780" s="112" t="str">
        <f>IF(preDEL!$AG780,IFERROR(0/0,""),preDEL!AO780)</f>
        <v/>
      </c>
      <c r="AP780" s="112" t="str">
        <f>IF(preDEL!$AG780,IFERROR(0/0,""),preDEL!AP780)</f>
        <v/>
      </c>
      <c r="AQ780" s="112" t="str">
        <f>IF(preDEL!$AG780,IFERROR(0/0,""),preDEL!AQ780)</f>
        <v/>
      </c>
      <c r="AR780" s="112" t="str">
        <f>IF(preDEL!$AG780,IFERROR(0/0,""),preDEL!AR780)</f>
        <v/>
      </c>
      <c r="AS780" s="112" t="str">
        <f>IF(preDEL!$AG780,IFERROR(0/0,""),preDEL!AS780)</f>
        <v/>
      </c>
      <c r="AT780" s="112" t="b">
        <f>IF(preDEL!$AG780,IFERROR(0/0,""),preDEL!AT780)</f>
        <v>0</v>
      </c>
      <c r="AU780" s="112" t="str">
        <f>IF(preDEL!$AG780,IFERROR(0/0,""),preDEL!AU780)</f>
        <v/>
      </c>
      <c r="AV780" s="112" t="str">
        <f>IF(preDEL!$AG780,IFERROR(0/0,""),preDEL!AV780)</f>
        <v/>
      </c>
      <c r="AW780" s="112" t="str">
        <f>IF(preDEL!$AG780,IFERROR(0/0,""),preDEL!AW780)</f>
        <v/>
      </c>
      <c r="AX780" s="112" t="str">
        <f>IF(preDEL!$AG780,IFERROR(0/0,""),preDEL!AX780)</f>
        <v/>
      </c>
      <c r="AY780" s="112" t="str">
        <f>IF(preDEL!$AG780,IFERROR(0/0,""),preDEL!AY780)</f>
        <v/>
      </c>
      <c r="AZ780" s="174"/>
      <c r="BA780" s="174"/>
      <c r="BB780" s="174"/>
      <c r="BC780" s="174"/>
      <c r="BD780" s="174"/>
      <c r="BE780" s="174"/>
      <c r="BF780" s="174"/>
      <c r="BG780" s="174"/>
      <c r="BH780" s="174"/>
      <c r="BI780" s="174"/>
      <c r="BJ780" s="174"/>
      <c r="BK780" s="174"/>
      <c r="BL780" s="174"/>
      <c r="BM780" s="174"/>
      <c r="BN780" s="174"/>
      <c r="BO780" s="174"/>
      <c r="BP780" s="174"/>
      <c r="BQ780" s="174"/>
      <c r="BR780" s="174"/>
      <c r="BS780" s="174"/>
      <c r="BT780" s="174"/>
      <c r="BU780" s="174"/>
      <c r="BV780" s="174"/>
      <c r="BW780" s="174"/>
      <c r="BX780" s="174"/>
      <c r="BY780" s="174"/>
      <c r="BZ780" s="174"/>
      <c r="CA780" s="174"/>
      <c r="CB780" s="174"/>
      <c r="CC780" s="174"/>
      <c r="CD780" s="174"/>
    </row>
    <row r="781">
      <c r="A781" s="105" t="str">
        <f>IF(preDEL!$AG781,IFERROR(0/0,""),preDEL!A781)</f>
        <v>MA1210</v>
      </c>
      <c r="B781" s="170">
        <f>IF(preDEL!$AG781,IFERROR(0/0,""),preDEL!B781)</f>
        <v>44631</v>
      </c>
      <c r="C781" s="171">
        <f>IF(preDEL!$AG781,IFERROR(0/0,""),preDEL!C781)</f>
        <v>0.2678009259</v>
      </c>
      <c r="D781" s="105" t="str">
        <f>IF(preDEL!$AG781,IFERROR(0/0,""),preDEL!D781)</f>
        <v/>
      </c>
      <c r="E781" s="105" t="str">
        <f>IF(preDEL!$AG781,IFERROR(0/0,""),preDEL!E781)</f>
        <v/>
      </c>
      <c r="F781" s="112" t="str">
        <f>IF(preDEL!$AG781,IFERROR(0/0,""),preDEL!F781)</f>
        <v/>
      </c>
      <c r="G781" s="112" t="str">
        <f>IF(preDEL!$AG781,IFERROR(0/0,""),preDEL!G781)</f>
        <v/>
      </c>
      <c r="H781" s="112" t="str">
        <f>IF(preDEL!$AG781,IFERROR(0/0,""),preDEL!H781)</f>
        <v/>
      </c>
      <c r="I781" s="105" t="str">
        <f>IF(preDEL!$AG781,IFERROR(0/0,""),preDEL!I781)</f>
        <v/>
      </c>
      <c r="J781" s="105" t="str">
        <f>IF(preDEL!$AG781,IFERROR(0/0,""),preDEL!J781)</f>
        <v/>
      </c>
      <c r="K781" s="105" t="str">
        <f>IF(preDEL!$AG781,IFERROR(0/0,""),preDEL!K781)</f>
        <v>Negative</v>
      </c>
      <c r="L781" s="170">
        <f>IF(preDEL!$AG781,IFERROR(0/0,""),preDEL!L781)</f>
        <v>44631</v>
      </c>
      <c r="M781" s="171">
        <f>IF(preDEL!$AG781,IFERROR(0/0,""),preDEL!M781)</f>
        <v>0.4860763889</v>
      </c>
      <c r="N781" s="112" t="str">
        <f>IF(preDEL!$AG781,IFERROR(0/0,""),preDEL!N781)</f>
        <v/>
      </c>
      <c r="O781" s="112" t="str">
        <f>IF(preDEL!$AG781,IFERROR(0/0,""),preDEL!O781)</f>
        <v/>
      </c>
      <c r="P781" s="110" t="b">
        <f>IF(preDEL!$AG781,IFERROR(0/0,""),preDEL!P781)</f>
        <v>0</v>
      </c>
      <c r="Q781" s="110" t="str">
        <f>IF(preDEL!$AG781,IFERROR(0/0,""),preDEL!Q781)</f>
        <v>Result</v>
      </c>
      <c r="R781" s="104" t="b">
        <f>IF(preDEL!$AG781,IFERROR(0/0,""),preDEL!R781)</f>
        <v>1</v>
      </c>
      <c r="S781" s="104">
        <f>IF(preDEL!$AG781,IFERROR(0/0,""),preDEL!S781)</f>
        <v>1</v>
      </c>
      <c r="T781" s="110" t="str">
        <f>IF(preDEL!$AG781,IFERROR(0/0,""),preDEL!T781)</f>
        <v/>
      </c>
      <c r="U781" s="112" t="str">
        <f>IF(preDEL!$AG781,IFERROR(0/0,""),preDEL!U781)</f>
        <v/>
      </c>
      <c r="V781" s="105" t="str">
        <f>IF(preDEL!$AG781,IFERROR(0/0,""),preDEL!V781)</f>
        <v/>
      </c>
      <c r="W781" s="112" t="str">
        <f>IF(preDEL!$AG781,IFERROR(0/0,""),preDEL!W781)</f>
        <v/>
      </c>
      <c r="X781" s="104" t="b">
        <f>IF(preDEL!$AG781,IFERROR(0/0,""),preDEL!X781)</f>
        <v>0</v>
      </c>
      <c r="Y781" s="110" t="b">
        <f>IF(preDEL!$AG781,IFERROR(0/0,""),preDEL!Y781)</f>
        <v>0</v>
      </c>
      <c r="Z781" s="105" t="str">
        <f>IF(preDEL!$AG781,IFERROR(0/0,""),preDEL!Z781)</f>
        <v/>
      </c>
      <c r="AA781" s="110" t="b">
        <f>IF(preDEL!$AG781,IFERROR(0/0,""),preDEL!AA781)</f>
        <v>0</v>
      </c>
      <c r="AB781" s="110" t="b">
        <f>IF(preDEL!$AG781,IFERROR(0/0,""),preDEL!AB781)</f>
        <v>0</v>
      </c>
      <c r="AC781" s="172">
        <f>IF(preDEL!$AG781,IFERROR(0/0,""),preDEL!AC781)</f>
        <v>42</v>
      </c>
      <c r="AD781" s="104" t="b">
        <f>IF(preDEL!$AG781,IFERROR(0/0,""),preDEL!AD781)</f>
        <v>0</v>
      </c>
      <c r="AE781" s="173">
        <f>IF(preDEL!$AG781,IFERROR(0/0,""),preDEL!AE781)</f>
        <v>314.3166667</v>
      </c>
      <c r="AF781" s="110" t="b">
        <f>IF(preDEL!$AG781,IFERROR(0/0,""),preDEL!AF781)</f>
        <v>0</v>
      </c>
      <c r="AG781" s="110" t="b">
        <f>IF(preDEL!$AG781,IFERROR(0/0,""),preDEL!AG781)</f>
        <v>0</v>
      </c>
      <c r="AH781" s="104" t="str">
        <f>IF(preDEL!$AG781,IFERROR(0/0,""),preDEL!AH781)</f>
        <v/>
      </c>
      <c r="AI781" s="105" t="str">
        <f>IF(preDEL!$AG781,IFERROR(0/0,""),preDEL!AI781)</f>
        <v/>
      </c>
      <c r="AJ781" s="112" t="str">
        <f>IF(preDEL!$AG781,IFERROR(0/0,""),preDEL!AJ781)</f>
        <v/>
      </c>
      <c r="AK781" s="105" t="str">
        <f>IF(preDEL!$AG781,IFERROR(0/0,""),preDEL!AK781)</f>
        <v>Negative</v>
      </c>
      <c r="AL781" s="112" t="str">
        <f>IF(preDEL!$AG781,IFERROR(0/0,""),preDEL!AL781)</f>
        <v/>
      </c>
      <c r="AM781" s="112" t="str">
        <f>IF(preDEL!$AG781,IFERROR(0/0,""),preDEL!AM781)</f>
        <v>SpBEND302553</v>
      </c>
      <c r="AN781" s="112" t="str">
        <f>IF(preDEL!$AG781,IFERROR(0/0,""),preDEL!AN781)</f>
        <v>BEND219101</v>
      </c>
      <c r="AO781" s="112" t="str">
        <f>IF(preDEL!$AG781,IFERROR(0/0,""),preDEL!AO781)</f>
        <v/>
      </c>
      <c r="AP781" s="112" t="str">
        <f>IF(preDEL!$AG781,IFERROR(0/0,""),preDEL!AP781)</f>
        <v/>
      </c>
      <c r="AQ781" s="112" t="str">
        <f>IF(preDEL!$AG781,IFERROR(0/0,""),preDEL!AQ781)</f>
        <v/>
      </c>
      <c r="AR781" s="112" t="str">
        <f>IF(preDEL!$AG781,IFERROR(0/0,""),preDEL!AR781)</f>
        <v/>
      </c>
      <c r="AS781" s="112" t="str">
        <f>IF(preDEL!$AG781,IFERROR(0/0,""),preDEL!AS781)</f>
        <v/>
      </c>
      <c r="AT781" s="112" t="b">
        <f>IF(preDEL!$AG781,IFERROR(0/0,""),preDEL!AT781)</f>
        <v>0</v>
      </c>
      <c r="AU781" s="112" t="str">
        <f>IF(preDEL!$AG781,IFERROR(0/0,""),preDEL!AU781)</f>
        <v/>
      </c>
      <c r="AV781" s="112" t="str">
        <f>IF(preDEL!$AG781,IFERROR(0/0,""),preDEL!AV781)</f>
        <v/>
      </c>
      <c r="AW781" s="112" t="str">
        <f>IF(preDEL!$AG781,IFERROR(0/0,""),preDEL!AW781)</f>
        <v/>
      </c>
      <c r="AX781" s="112" t="str">
        <f>IF(preDEL!$AG781,IFERROR(0/0,""),preDEL!AX781)</f>
        <v/>
      </c>
      <c r="AY781" s="112" t="str">
        <f>IF(preDEL!$AG781,IFERROR(0/0,""),preDEL!AY781)</f>
        <v/>
      </c>
      <c r="AZ781" s="174"/>
      <c r="BA781" s="174"/>
      <c r="BB781" s="174"/>
      <c r="BC781" s="174"/>
      <c r="BD781" s="174"/>
      <c r="BE781" s="174"/>
      <c r="BF781" s="174"/>
      <c r="BG781" s="174"/>
      <c r="BH781" s="174"/>
      <c r="BI781" s="174"/>
      <c r="BJ781" s="174"/>
      <c r="BK781" s="174"/>
      <c r="BL781" s="174"/>
      <c r="BM781" s="174"/>
      <c r="BN781" s="174"/>
      <c r="BO781" s="174"/>
      <c r="BP781" s="174"/>
      <c r="BQ781" s="174"/>
      <c r="BR781" s="174"/>
      <c r="BS781" s="174"/>
      <c r="BT781" s="174"/>
      <c r="BU781" s="174"/>
      <c r="BV781" s="174"/>
      <c r="BW781" s="174"/>
      <c r="BX781" s="174"/>
      <c r="BY781" s="174"/>
      <c r="BZ781" s="174"/>
      <c r="CA781" s="174"/>
      <c r="CB781" s="174"/>
      <c r="CC781" s="174"/>
      <c r="CD781" s="174"/>
    </row>
    <row r="782">
      <c r="A782" s="105" t="str">
        <f>IF(preDEL!$AG782,IFERROR(0/0,""),preDEL!A782)</f>
        <v>MA1302</v>
      </c>
      <c r="B782" s="170">
        <f>IF(preDEL!$AG782,IFERROR(0/0,""),preDEL!B782)</f>
        <v>44631</v>
      </c>
      <c r="C782" s="171">
        <f>IF(preDEL!$AG782,IFERROR(0/0,""),preDEL!C782)</f>
        <v>0.2694328704</v>
      </c>
      <c r="D782" s="105" t="str">
        <f>IF(preDEL!$AG782,IFERROR(0/0,""),preDEL!D782)</f>
        <v/>
      </c>
      <c r="E782" s="105" t="str">
        <f>IF(preDEL!$AG782,IFERROR(0/0,""),preDEL!E782)</f>
        <v/>
      </c>
      <c r="F782" s="112" t="str">
        <f>IF(preDEL!$AG782,IFERROR(0/0,""),preDEL!F782)</f>
        <v/>
      </c>
      <c r="G782" s="112" t="str">
        <f>IF(preDEL!$AG782,IFERROR(0/0,""),preDEL!G782)</f>
        <v/>
      </c>
      <c r="H782" s="112" t="str">
        <f>IF(preDEL!$AG782,IFERROR(0/0,""),preDEL!H782)</f>
        <v/>
      </c>
      <c r="I782" s="105" t="str">
        <f>IF(preDEL!$AG782,IFERROR(0/0,""),preDEL!I782)</f>
        <v/>
      </c>
      <c r="J782" s="105" t="str">
        <f>IF(preDEL!$AG782,IFERROR(0/0,""),preDEL!J782)</f>
        <v/>
      </c>
      <c r="K782" s="105" t="str">
        <f>IF(preDEL!$AG782,IFERROR(0/0,""),preDEL!K782)</f>
        <v>Negative</v>
      </c>
      <c r="L782" s="170">
        <f>IF(preDEL!$AG782,IFERROR(0/0,""),preDEL!L782)</f>
        <v>44631</v>
      </c>
      <c r="M782" s="171">
        <f>IF(preDEL!$AG782,IFERROR(0/0,""),preDEL!M782)</f>
        <v>0.4860763889</v>
      </c>
      <c r="N782" s="112" t="str">
        <f>IF(preDEL!$AG782,IFERROR(0/0,""),preDEL!N782)</f>
        <v/>
      </c>
      <c r="O782" s="112" t="str">
        <f>IF(preDEL!$AG782,IFERROR(0/0,""),preDEL!O782)</f>
        <v/>
      </c>
      <c r="P782" s="110" t="b">
        <f>IF(preDEL!$AG782,IFERROR(0/0,""),preDEL!P782)</f>
        <v>0</v>
      </c>
      <c r="Q782" s="110" t="str">
        <f>IF(preDEL!$AG782,IFERROR(0/0,""),preDEL!Q782)</f>
        <v>Result</v>
      </c>
      <c r="R782" s="104" t="b">
        <f>IF(preDEL!$AG782,IFERROR(0/0,""),preDEL!R782)</f>
        <v>1</v>
      </c>
      <c r="S782" s="104">
        <f>IF(preDEL!$AG782,IFERROR(0/0,""),preDEL!S782)</f>
        <v>1</v>
      </c>
      <c r="T782" s="110">
        <f>IF(preDEL!$AG782,IFERROR(0/0,""),preDEL!T782)</f>
        <v>0</v>
      </c>
      <c r="U782" s="112" t="str">
        <f>IF(preDEL!$AG782,IFERROR(0/0,""),preDEL!U782)</f>
        <v/>
      </c>
      <c r="V782" s="105" t="str">
        <f>IF(preDEL!$AG782,IFERROR(0/0,""),preDEL!V782)</f>
        <v/>
      </c>
      <c r="W782" s="112" t="str">
        <f>IF(preDEL!$AG782,IFERROR(0/0,""),preDEL!W782)</f>
        <v/>
      </c>
      <c r="X782" s="104" t="b">
        <f>IF(preDEL!$AG782,IFERROR(0/0,""),preDEL!X782)</f>
        <v>0</v>
      </c>
      <c r="Y782" s="110" t="b">
        <f>IF(preDEL!$AG782,IFERROR(0/0,""),preDEL!Y782)</f>
        <v>0</v>
      </c>
      <c r="Z782" s="105" t="str">
        <f>IF(preDEL!$AG782,IFERROR(0/0,""),preDEL!Z782)</f>
        <v/>
      </c>
      <c r="AA782" s="110" t="b">
        <f>IF(preDEL!$AG782,IFERROR(0/0,""),preDEL!AA782)</f>
        <v>0</v>
      </c>
      <c r="AB782" s="110" t="b">
        <f>IF(preDEL!$AG782,IFERROR(0/0,""),preDEL!AB782)</f>
        <v>0</v>
      </c>
      <c r="AC782" s="172">
        <f>IF(preDEL!$AG782,IFERROR(0/0,""),preDEL!AC782)</f>
        <v>41</v>
      </c>
      <c r="AD782" s="104" t="b">
        <f>IF(preDEL!$AG782,IFERROR(0/0,""),preDEL!AD782)</f>
        <v>0</v>
      </c>
      <c r="AE782" s="173">
        <f>IF(preDEL!$AG782,IFERROR(0/0,""),preDEL!AE782)</f>
        <v>311.9666667</v>
      </c>
      <c r="AF782" s="110" t="b">
        <f>IF(preDEL!$AG782,IFERROR(0/0,""),preDEL!AF782)</f>
        <v>0</v>
      </c>
      <c r="AG782" s="110" t="b">
        <f>IF(preDEL!$AG782,IFERROR(0/0,""),preDEL!AG782)</f>
        <v>0</v>
      </c>
      <c r="AH782" s="104" t="str">
        <f>IF(preDEL!$AG782,IFERROR(0/0,""),preDEL!AH782)</f>
        <v/>
      </c>
      <c r="AI782" s="105" t="str">
        <f>IF(preDEL!$AG782,IFERROR(0/0,""),preDEL!AI782)</f>
        <v/>
      </c>
      <c r="AJ782" s="112" t="str">
        <f>IF(preDEL!$AG782,IFERROR(0/0,""),preDEL!AJ782)</f>
        <v/>
      </c>
      <c r="AK782" s="105" t="str">
        <f>IF(preDEL!$AG782,IFERROR(0/0,""),preDEL!AK782)</f>
        <v>Negative</v>
      </c>
      <c r="AL782" s="112" t="str">
        <f>IF(preDEL!$AG782,IFERROR(0/0,""),preDEL!AL782)</f>
        <v/>
      </c>
      <c r="AM782" s="112" t="str">
        <f>IF(preDEL!$AG782,IFERROR(0/0,""),preDEL!AM782)</f>
        <v>SpBEND302553</v>
      </c>
      <c r="AN782" s="112" t="str">
        <f>IF(preDEL!$AG782,IFERROR(0/0,""),preDEL!AN782)</f>
        <v>BEND216083</v>
      </c>
      <c r="AO782" s="112" t="str">
        <f>IF(preDEL!$AG782,IFERROR(0/0,""),preDEL!AO782)</f>
        <v/>
      </c>
      <c r="AP782" s="112" t="str">
        <f>IF(preDEL!$AG782,IFERROR(0/0,""),preDEL!AP782)</f>
        <v/>
      </c>
      <c r="AQ782" s="112" t="str">
        <f>IF(preDEL!$AG782,IFERROR(0/0,""),preDEL!AQ782)</f>
        <v/>
      </c>
      <c r="AR782" s="112" t="str">
        <f>IF(preDEL!$AG782,IFERROR(0/0,""),preDEL!AR782)</f>
        <v/>
      </c>
      <c r="AS782" s="112" t="str">
        <f>IF(preDEL!$AG782,IFERROR(0/0,""),preDEL!AS782)</f>
        <v/>
      </c>
      <c r="AT782" s="112" t="b">
        <f>IF(preDEL!$AG782,IFERROR(0/0,""),preDEL!AT782)</f>
        <v>0</v>
      </c>
      <c r="AU782" s="112" t="str">
        <f>IF(preDEL!$AG782,IFERROR(0/0,""),preDEL!AU782)</f>
        <v/>
      </c>
      <c r="AV782" s="112" t="str">
        <f>IF(preDEL!$AG782,IFERROR(0/0,""),preDEL!AV782)</f>
        <v/>
      </c>
      <c r="AW782" s="112" t="str">
        <f>IF(preDEL!$AG782,IFERROR(0/0,""),preDEL!AW782)</f>
        <v/>
      </c>
      <c r="AX782" s="112" t="str">
        <f>IF(preDEL!$AG782,IFERROR(0/0,""),preDEL!AX782)</f>
        <v/>
      </c>
      <c r="AY782" s="112" t="str">
        <f>IF(preDEL!$AG782,IFERROR(0/0,""),preDEL!AY782)</f>
        <v/>
      </c>
      <c r="AZ782" s="174"/>
      <c r="BA782" s="174"/>
      <c r="BB782" s="174"/>
      <c r="BC782" s="174"/>
      <c r="BD782" s="174"/>
      <c r="BE782" s="174"/>
      <c r="BF782" s="174"/>
      <c r="BG782" s="174"/>
      <c r="BH782" s="174"/>
      <c r="BI782" s="174"/>
      <c r="BJ782" s="174"/>
      <c r="BK782" s="174"/>
      <c r="BL782" s="174"/>
      <c r="BM782" s="174"/>
      <c r="BN782" s="174"/>
      <c r="BO782" s="174"/>
      <c r="BP782" s="174"/>
      <c r="BQ782" s="174"/>
      <c r="BR782" s="174"/>
      <c r="BS782" s="174"/>
      <c r="BT782" s="174"/>
      <c r="BU782" s="174"/>
      <c r="BV782" s="174"/>
      <c r="BW782" s="174"/>
      <c r="BX782" s="174"/>
      <c r="BY782" s="174"/>
      <c r="BZ782" s="174"/>
      <c r="CA782" s="174"/>
      <c r="CB782" s="174"/>
      <c r="CC782" s="174"/>
      <c r="CD782" s="174"/>
    </row>
    <row r="783">
      <c r="A783" s="105" t="str">
        <f>IF(preDEL!$AG783,IFERROR(0/0,""),preDEL!A783)</f>
        <v>MA345</v>
      </c>
      <c r="B783" s="170">
        <f>IF(preDEL!$AG783,IFERROR(0/0,""),preDEL!B783)</f>
        <v>44631</v>
      </c>
      <c r="C783" s="171">
        <f>IF(preDEL!$AG783,IFERROR(0/0,""),preDEL!C783)</f>
        <v>0.2769097222</v>
      </c>
      <c r="D783" s="105" t="str">
        <f>IF(preDEL!$AG783,IFERROR(0/0,""),preDEL!D783)</f>
        <v/>
      </c>
      <c r="E783" s="105" t="str">
        <f>IF(preDEL!$AG783,IFERROR(0/0,""),preDEL!E783)</f>
        <v/>
      </c>
      <c r="F783" s="112" t="str">
        <f>IF(preDEL!$AG783,IFERROR(0/0,""),preDEL!F783)</f>
        <v/>
      </c>
      <c r="G783" s="112" t="str">
        <f>IF(preDEL!$AG783,IFERROR(0/0,""),preDEL!G783)</f>
        <v/>
      </c>
      <c r="H783" s="112" t="str">
        <f>IF(preDEL!$AG783,IFERROR(0/0,""),preDEL!H783)</f>
        <v/>
      </c>
      <c r="I783" s="105" t="str">
        <f>IF(preDEL!$AG783,IFERROR(0/0,""),preDEL!I783)</f>
        <v/>
      </c>
      <c r="J783" s="105" t="str">
        <f>IF(preDEL!$AG783,IFERROR(0/0,""),preDEL!J783)</f>
        <v/>
      </c>
      <c r="K783" s="105" t="str">
        <f>IF(preDEL!$AG783,IFERROR(0/0,""),preDEL!K783)</f>
        <v>Negative</v>
      </c>
      <c r="L783" s="170">
        <f>IF(preDEL!$AG783,IFERROR(0/0,""),preDEL!L783)</f>
        <v>44631</v>
      </c>
      <c r="M783" s="171">
        <f>IF(preDEL!$AG783,IFERROR(0/0,""),preDEL!M783)</f>
        <v>0.4860763889</v>
      </c>
      <c r="N783" s="112" t="str">
        <f>IF(preDEL!$AG783,IFERROR(0/0,""),preDEL!N783)</f>
        <v/>
      </c>
      <c r="O783" s="112" t="str">
        <f>IF(preDEL!$AG783,IFERROR(0/0,""),preDEL!O783)</f>
        <v/>
      </c>
      <c r="P783" s="110" t="b">
        <f>IF(preDEL!$AG783,IFERROR(0/0,""),preDEL!P783)</f>
        <v>0</v>
      </c>
      <c r="Q783" s="110" t="str">
        <f>IF(preDEL!$AG783,IFERROR(0/0,""),preDEL!Q783)</f>
        <v>Result</v>
      </c>
      <c r="R783" s="104" t="b">
        <f>IF(preDEL!$AG783,IFERROR(0/0,""),preDEL!R783)</f>
        <v>1</v>
      </c>
      <c r="S783" s="104">
        <f>IF(preDEL!$AG783,IFERROR(0/0,""),preDEL!S783)</f>
        <v>1</v>
      </c>
      <c r="T783" s="110" t="str">
        <f>IF(preDEL!$AG783,IFERROR(0/0,""),preDEL!T783)</f>
        <v/>
      </c>
      <c r="U783" s="112" t="str">
        <f>IF(preDEL!$AG783,IFERROR(0/0,""),preDEL!U783)</f>
        <v/>
      </c>
      <c r="V783" s="105" t="str">
        <f>IF(preDEL!$AG783,IFERROR(0/0,""),preDEL!V783)</f>
        <v/>
      </c>
      <c r="W783" s="112" t="str">
        <f>IF(preDEL!$AG783,IFERROR(0/0,""),preDEL!W783)</f>
        <v/>
      </c>
      <c r="X783" s="104" t="b">
        <f>IF(preDEL!$AG783,IFERROR(0/0,""),preDEL!X783)</f>
        <v>0</v>
      </c>
      <c r="Y783" s="110" t="b">
        <f>IF(preDEL!$AG783,IFERROR(0/0,""),preDEL!Y783)</f>
        <v>0</v>
      </c>
      <c r="Z783" s="105" t="str">
        <f>IF(preDEL!$AG783,IFERROR(0/0,""),preDEL!Z783)</f>
        <v/>
      </c>
      <c r="AA783" s="110" t="b">
        <f>IF(preDEL!$AG783,IFERROR(0/0,""),preDEL!AA783)</f>
        <v>0</v>
      </c>
      <c r="AB783" s="110" t="b">
        <f>IF(preDEL!$AG783,IFERROR(0/0,""),preDEL!AB783)</f>
        <v>0</v>
      </c>
      <c r="AC783" s="172">
        <f>IF(preDEL!$AG783,IFERROR(0/0,""),preDEL!AC783)</f>
        <v>40</v>
      </c>
      <c r="AD783" s="104" t="b">
        <f>IF(preDEL!$AG783,IFERROR(0/0,""),preDEL!AD783)</f>
        <v>0</v>
      </c>
      <c r="AE783" s="173">
        <f>IF(preDEL!$AG783,IFERROR(0/0,""),preDEL!AE783)</f>
        <v>301.2</v>
      </c>
      <c r="AF783" s="110" t="b">
        <f>IF(preDEL!$AG783,IFERROR(0/0,""),preDEL!AF783)</f>
        <v>0</v>
      </c>
      <c r="AG783" s="110" t="b">
        <f>IF(preDEL!$AG783,IFERROR(0/0,""),preDEL!AG783)</f>
        <v>0</v>
      </c>
      <c r="AH783" s="104" t="str">
        <f>IF(preDEL!$AG783,IFERROR(0/0,""),preDEL!AH783)</f>
        <v/>
      </c>
      <c r="AI783" s="105" t="str">
        <f>IF(preDEL!$AG783,IFERROR(0/0,""),preDEL!AI783)</f>
        <v/>
      </c>
      <c r="AJ783" s="112" t="str">
        <f>IF(preDEL!$AG783,IFERROR(0/0,""),preDEL!AJ783)</f>
        <v/>
      </c>
      <c r="AK783" s="105" t="str">
        <f>IF(preDEL!$AG783,IFERROR(0/0,""),preDEL!AK783)</f>
        <v>Negative</v>
      </c>
      <c r="AL783" s="112" t="str">
        <f>IF(preDEL!$AG783,IFERROR(0/0,""),preDEL!AL783)</f>
        <v/>
      </c>
      <c r="AM783" s="112" t="str">
        <f>IF(preDEL!$AG783,IFERROR(0/0,""),preDEL!AM783)</f>
        <v>SpBEND670368</v>
      </c>
      <c r="AN783" s="112" t="str">
        <f>IF(preDEL!$AG783,IFERROR(0/0,""),preDEL!AN783)</f>
        <v>BEND627699</v>
      </c>
      <c r="AO783" s="112" t="str">
        <f>IF(preDEL!$AG783,IFERROR(0/0,""),preDEL!AO783)</f>
        <v/>
      </c>
      <c r="AP783" s="112" t="str">
        <f>IF(preDEL!$AG783,IFERROR(0/0,""),preDEL!AP783)</f>
        <v/>
      </c>
      <c r="AQ783" s="112" t="str">
        <f>IF(preDEL!$AG783,IFERROR(0/0,""),preDEL!AQ783)</f>
        <v/>
      </c>
      <c r="AR783" s="112" t="str">
        <f>IF(preDEL!$AG783,IFERROR(0/0,""),preDEL!AR783)</f>
        <v/>
      </c>
      <c r="AS783" s="112" t="str">
        <f>IF(preDEL!$AG783,IFERROR(0/0,""),preDEL!AS783)</f>
        <v/>
      </c>
      <c r="AT783" s="112" t="b">
        <f>IF(preDEL!$AG783,IFERROR(0/0,""),preDEL!AT783)</f>
        <v>0</v>
      </c>
      <c r="AU783" s="112" t="str">
        <f>IF(preDEL!$AG783,IFERROR(0/0,""),preDEL!AU783)</f>
        <v/>
      </c>
      <c r="AV783" s="112" t="str">
        <f>IF(preDEL!$AG783,IFERROR(0/0,""),preDEL!AV783)</f>
        <v/>
      </c>
      <c r="AW783" s="112" t="str">
        <f>IF(preDEL!$AG783,IFERROR(0/0,""),preDEL!AW783)</f>
        <v/>
      </c>
      <c r="AX783" s="112" t="str">
        <f>IF(preDEL!$AG783,IFERROR(0/0,""),preDEL!AX783)</f>
        <v/>
      </c>
      <c r="AY783" s="112" t="str">
        <f>IF(preDEL!$AG783,IFERROR(0/0,""),preDEL!AY783)</f>
        <v/>
      </c>
      <c r="AZ783" s="174"/>
      <c r="BA783" s="174"/>
      <c r="BB783" s="174"/>
      <c r="BC783" s="174"/>
      <c r="BD783" s="174"/>
      <c r="BE783" s="174"/>
      <c r="BF783" s="174"/>
      <c r="BG783" s="174"/>
      <c r="BH783" s="174"/>
      <c r="BI783" s="174"/>
      <c r="BJ783" s="174"/>
      <c r="BK783" s="174"/>
      <c r="BL783" s="174"/>
      <c r="BM783" s="174"/>
      <c r="BN783" s="174"/>
      <c r="BO783" s="174"/>
      <c r="BP783" s="174"/>
      <c r="BQ783" s="174"/>
      <c r="BR783" s="174"/>
      <c r="BS783" s="174"/>
      <c r="BT783" s="174"/>
      <c r="BU783" s="174"/>
      <c r="BV783" s="174"/>
      <c r="BW783" s="174"/>
      <c r="BX783" s="174"/>
      <c r="BY783" s="174"/>
      <c r="BZ783" s="174"/>
      <c r="CA783" s="174"/>
      <c r="CB783" s="174"/>
      <c r="CC783" s="174"/>
      <c r="CD783" s="174"/>
    </row>
    <row r="784">
      <c r="A784" s="105" t="str">
        <f>IF(preDEL!$AG784,IFERROR(0/0,""),preDEL!A784)</f>
        <v>FM2060</v>
      </c>
      <c r="B784" s="170">
        <f>IF(preDEL!$AG784,IFERROR(0/0,""),preDEL!B784)</f>
        <v>44631</v>
      </c>
      <c r="C784" s="171">
        <f>IF(preDEL!$AG784,IFERROR(0/0,""),preDEL!C784)</f>
        <v>0.287662037</v>
      </c>
      <c r="D784" s="105" t="str">
        <f>IF(preDEL!$AG784,IFERROR(0/0,""),preDEL!D784)</f>
        <v/>
      </c>
      <c r="E784" s="105" t="str">
        <f>IF(preDEL!$AG784,IFERROR(0/0,""),preDEL!E784)</f>
        <v/>
      </c>
      <c r="F784" s="112" t="str">
        <f>IF(preDEL!$AG784,IFERROR(0/0,""),preDEL!F784)</f>
        <v/>
      </c>
      <c r="G784" s="112" t="str">
        <f>IF(preDEL!$AG784,IFERROR(0/0,""),preDEL!G784)</f>
        <v/>
      </c>
      <c r="H784" s="112" t="str">
        <f>IF(preDEL!$AG784,IFERROR(0/0,""),preDEL!H784)</f>
        <v/>
      </c>
      <c r="I784" s="105" t="str">
        <f>IF(preDEL!$AG784,IFERROR(0/0,""),preDEL!I784)</f>
        <v/>
      </c>
      <c r="J784" s="105" t="str">
        <f>IF(preDEL!$AG784,IFERROR(0/0,""),preDEL!J784)</f>
        <v/>
      </c>
      <c r="K784" s="105" t="str">
        <f>IF(preDEL!$AG784,IFERROR(0/0,""),preDEL!K784)</f>
        <v>Negative</v>
      </c>
      <c r="L784" s="170">
        <f>IF(preDEL!$AG784,IFERROR(0/0,""),preDEL!L784)</f>
        <v>44631</v>
      </c>
      <c r="M784" s="171">
        <f>IF(preDEL!$AG784,IFERROR(0/0,""),preDEL!M784)</f>
        <v>0.4860763889</v>
      </c>
      <c r="N784" s="112" t="str">
        <f>IF(preDEL!$AG784,IFERROR(0/0,""),preDEL!N784)</f>
        <v/>
      </c>
      <c r="O784" s="112" t="str">
        <f>IF(preDEL!$AG784,IFERROR(0/0,""),preDEL!O784)</f>
        <v/>
      </c>
      <c r="P784" s="110" t="b">
        <f>IF(preDEL!$AG784,IFERROR(0/0,""),preDEL!P784)</f>
        <v>0</v>
      </c>
      <c r="Q784" s="110" t="str">
        <f>IF(preDEL!$AG784,IFERROR(0/0,""),preDEL!Q784)</f>
        <v>Result</v>
      </c>
      <c r="R784" s="104" t="b">
        <f>IF(preDEL!$AG784,IFERROR(0/0,""),preDEL!R784)</f>
        <v>1</v>
      </c>
      <c r="S784" s="104">
        <f>IF(preDEL!$AG784,IFERROR(0/0,""),preDEL!S784)</f>
        <v>1</v>
      </c>
      <c r="T784" s="110" t="str">
        <f>IF(preDEL!$AG784,IFERROR(0/0,""),preDEL!T784)</f>
        <v/>
      </c>
      <c r="U784" s="112" t="str">
        <f>IF(preDEL!$AG784,IFERROR(0/0,""),preDEL!U784)</f>
        <v/>
      </c>
      <c r="V784" s="105" t="str">
        <f>IF(preDEL!$AG784,IFERROR(0/0,""),preDEL!V784)</f>
        <v/>
      </c>
      <c r="W784" s="112" t="str">
        <f>IF(preDEL!$AG784,IFERROR(0/0,""),preDEL!W784)</f>
        <v/>
      </c>
      <c r="X784" s="104" t="b">
        <f>IF(preDEL!$AG784,IFERROR(0/0,""),preDEL!X784)</f>
        <v>0</v>
      </c>
      <c r="Y784" s="110" t="b">
        <f>IF(preDEL!$AG784,IFERROR(0/0,""),preDEL!Y784)</f>
        <v>0</v>
      </c>
      <c r="Z784" s="105" t="str">
        <f>IF(preDEL!$AG784,IFERROR(0/0,""),preDEL!Z784)</f>
        <v/>
      </c>
      <c r="AA784" s="110" t="b">
        <f>IF(preDEL!$AG784,IFERROR(0/0,""),preDEL!AA784)</f>
        <v>0</v>
      </c>
      <c r="AB784" s="110" t="b">
        <f>IF(preDEL!$AG784,IFERROR(0/0,""),preDEL!AB784)</f>
        <v>0</v>
      </c>
      <c r="AC784" s="172">
        <f>IF(preDEL!$AG784,IFERROR(0/0,""),preDEL!AC784)</f>
        <v>39</v>
      </c>
      <c r="AD784" s="104" t="b">
        <f>IF(preDEL!$AG784,IFERROR(0/0,""),preDEL!AD784)</f>
        <v>0</v>
      </c>
      <c r="AE784" s="173">
        <f>IF(preDEL!$AG784,IFERROR(0/0,""),preDEL!AE784)</f>
        <v>285.7166667</v>
      </c>
      <c r="AF784" s="110" t="b">
        <f>IF(preDEL!$AG784,IFERROR(0/0,""),preDEL!AF784)</f>
        <v>0</v>
      </c>
      <c r="AG784" s="110" t="b">
        <f>IF(preDEL!$AG784,IFERROR(0/0,""),preDEL!AG784)</f>
        <v>0</v>
      </c>
      <c r="AH784" s="104" t="str">
        <f>IF(preDEL!$AG784,IFERROR(0/0,""),preDEL!AH784)</f>
        <v/>
      </c>
      <c r="AI784" s="105" t="str">
        <f>IF(preDEL!$AG784,IFERROR(0/0,""),preDEL!AI784)</f>
        <v/>
      </c>
      <c r="AJ784" s="112" t="str">
        <f>IF(preDEL!$AG784,IFERROR(0/0,""),preDEL!AJ784)</f>
        <v/>
      </c>
      <c r="AK784" s="105" t="str">
        <f>IF(preDEL!$AG784,IFERROR(0/0,""),preDEL!AK784)</f>
        <v>Negative</v>
      </c>
      <c r="AL784" s="112" t="str">
        <f>IF(preDEL!$AG784,IFERROR(0/0,""),preDEL!AL784)</f>
        <v/>
      </c>
      <c r="AM784" s="112" t="str">
        <f>IF(preDEL!$AG784,IFERROR(0/0,""),preDEL!AM784)</f>
        <v>SpBEND321883</v>
      </c>
      <c r="AN784" s="112" t="str">
        <f>IF(preDEL!$AG784,IFERROR(0/0,""),preDEL!AN784)</f>
        <v>BEND395125</v>
      </c>
      <c r="AO784" s="112" t="str">
        <f>IF(preDEL!$AG784,IFERROR(0/0,""),preDEL!AO784)</f>
        <v/>
      </c>
      <c r="AP784" s="112" t="str">
        <f>IF(preDEL!$AG784,IFERROR(0/0,""),preDEL!AP784)</f>
        <v/>
      </c>
      <c r="AQ784" s="112" t="str">
        <f>IF(preDEL!$AG784,IFERROR(0/0,""),preDEL!AQ784)</f>
        <v/>
      </c>
      <c r="AR784" s="112" t="str">
        <f>IF(preDEL!$AG784,IFERROR(0/0,""),preDEL!AR784)</f>
        <v/>
      </c>
      <c r="AS784" s="112" t="str">
        <f>IF(preDEL!$AG784,IFERROR(0/0,""),preDEL!AS784)</f>
        <v/>
      </c>
      <c r="AT784" s="112" t="b">
        <f>IF(preDEL!$AG784,IFERROR(0/0,""),preDEL!AT784)</f>
        <v>0</v>
      </c>
      <c r="AU784" s="112" t="str">
        <f>IF(preDEL!$AG784,IFERROR(0/0,""),preDEL!AU784)</f>
        <v/>
      </c>
      <c r="AV784" s="112" t="str">
        <f>IF(preDEL!$AG784,IFERROR(0/0,""),preDEL!AV784)</f>
        <v/>
      </c>
      <c r="AW784" s="112" t="str">
        <f>IF(preDEL!$AG784,IFERROR(0/0,""),preDEL!AW784)</f>
        <v/>
      </c>
      <c r="AX784" s="112" t="str">
        <f>IF(preDEL!$AG784,IFERROR(0/0,""),preDEL!AX784)</f>
        <v/>
      </c>
      <c r="AY784" s="112" t="str">
        <f>IF(preDEL!$AG784,IFERROR(0/0,""),preDEL!AY784)</f>
        <v/>
      </c>
      <c r="AZ784" s="174"/>
      <c r="BA784" s="174"/>
      <c r="BB784" s="174"/>
      <c r="BC784" s="174"/>
      <c r="BD784" s="174"/>
      <c r="BE784" s="174"/>
      <c r="BF784" s="174"/>
      <c r="BG784" s="174"/>
      <c r="BH784" s="174"/>
      <c r="BI784" s="174"/>
      <c r="BJ784" s="174"/>
      <c r="BK784" s="174"/>
      <c r="BL784" s="174"/>
      <c r="BM784" s="174"/>
      <c r="BN784" s="174"/>
      <c r="BO784" s="174"/>
      <c r="BP784" s="174"/>
      <c r="BQ784" s="174"/>
      <c r="BR784" s="174"/>
      <c r="BS784" s="174"/>
      <c r="BT784" s="174"/>
      <c r="BU784" s="174"/>
      <c r="BV784" s="174"/>
      <c r="BW784" s="174"/>
      <c r="BX784" s="174"/>
      <c r="BY784" s="174"/>
      <c r="BZ784" s="174"/>
      <c r="CA784" s="174"/>
      <c r="CB784" s="174"/>
      <c r="CC784" s="174"/>
      <c r="CD784" s="174"/>
    </row>
    <row r="785">
      <c r="A785" s="105" t="str">
        <f>IF(preDEL!$AG785,IFERROR(0/0,""),preDEL!A785)</f>
        <v>FM318</v>
      </c>
      <c r="B785" s="170">
        <f>IF(preDEL!$AG785,IFERROR(0/0,""),preDEL!B785)</f>
        <v>44631</v>
      </c>
      <c r="C785" s="171">
        <f>IF(preDEL!$AG785,IFERROR(0/0,""),preDEL!C785)</f>
        <v>0.2908101852</v>
      </c>
      <c r="D785" s="105" t="str">
        <f>IF(preDEL!$AG785,IFERROR(0/0,""),preDEL!D785)</f>
        <v/>
      </c>
      <c r="E785" s="105" t="str">
        <f>IF(preDEL!$AG785,IFERROR(0/0,""),preDEL!E785)</f>
        <v/>
      </c>
      <c r="F785" s="112" t="str">
        <f>IF(preDEL!$AG785,IFERROR(0/0,""),preDEL!F785)</f>
        <v/>
      </c>
      <c r="G785" s="112" t="str">
        <f>IF(preDEL!$AG785,IFERROR(0/0,""),preDEL!G785)</f>
        <v/>
      </c>
      <c r="H785" s="112" t="str">
        <f>IF(preDEL!$AG785,IFERROR(0/0,""),preDEL!H785)</f>
        <v/>
      </c>
      <c r="I785" s="105" t="str">
        <f>IF(preDEL!$AG785,IFERROR(0/0,""),preDEL!I785)</f>
        <v/>
      </c>
      <c r="J785" s="105" t="str">
        <f>IF(preDEL!$AG785,IFERROR(0/0,""),preDEL!J785)</f>
        <v/>
      </c>
      <c r="K785" s="105" t="str">
        <f>IF(preDEL!$AG785,IFERROR(0/0,""),preDEL!K785)</f>
        <v>Negative</v>
      </c>
      <c r="L785" s="170">
        <f>IF(preDEL!$AG785,IFERROR(0/0,""),preDEL!L785)</f>
        <v>44631</v>
      </c>
      <c r="M785" s="171">
        <f>IF(preDEL!$AG785,IFERROR(0/0,""),preDEL!M785)</f>
        <v>0.4860763889</v>
      </c>
      <c r="N785" s="112" t="str">
        <f>IF(preDEL!$AG785,IFERROR(0/0,""),preDEL!N785)</f>
        <v/>
      </c>
      <c r="O785" s="112" t="str">
        <f>IF(preDEL!$AG785,IFERROR(0/0,""),preDEL!O785)</f>
        <v/>
      </c>
      <c r="P785" s="110" t="b">
        <f>IF(preDEL!$AG785,IFERROR(0/0,""),preDEL!P785)</f>
        <v>0</v>
      </c>
      <c r="Q785" s="110" t="str">
        <f>IF(preDEL!$AG785,IFERROR(0/0,""),preDEL!Q785)</f>
        <v>Result</v>
      </c>
      <c r="R785" s="104" t="b">
        <f>IF(preDEL!$AG785,IFERROR(0/0,""),preDEL!R785)</f>
        <v>1</v>
      </c>
      <c r="S785" s="104">
        <f>IF(preDEL!$AG785,IFERROR(0/0,""),preDEL!S785)</f>
        <v>1</v>
      </c>
      <c r="T785" s="110" t="str">
        <f>IF(preDEL!$AG785,IFERROR(0/0,""),preDEL!T785)</f>
        <v/>
      </c>
      <c r="U785" s="112" t="str">
        <f>IF(preDEL!$AG785,IFERROR(0/0,""),preDEL!U785)</f>
        <v/>
      </c>
      <c r="V785" s="105" t="str">
        <f>IF(preDEL!$AG785,IFERROR(0/0,""),preDEL!V785)</f>
        <v/>
      </c>
      <c r="W785" s="112" t="str">
        <f>IF(preDEL!$AG785,IFERROR(0/0,""),preDEL!W785)</f>
        <v/>
      </c>
      <c r="X785" s="104" t="b">
        <f>IF(preDEL!$AG785,IFERROR(0/0,""),preDEL!X785)</f>
        <v>0</v>
      </c>
      <c r="Y785" s="110" t="b">
        <f>IF(preDEL!$AG785,IFERROR(0/0,""),preDEL!Y785)</f>
        <v>0</v>
      </c>
      <c r="Z785" s="105" t="str">
        <f>IF(preDEL!$AG785,IFERROR(0/0,""),preDEL!Z785)</f>
        <v/>
      </c>
      <c r="AA785" s="110" t="b">
        <f>IF(preDEL!$AG785,IFERROR(0/0,""),preDEL!AA785)</f>
        <v>0</v>
      </c>
      <c r="AB785" s="110" t="b">
        <f>IF(preDEL!$AG785,IFERROR(0/0,""),preDEL!AB785)</f>
        <v>0</v>
      </c>
      <c r="AC785" s="172">
        <f>IF(preDEL!$AG785,IFERROR(0/0,""),preDEL!AC785)</f>
        <v>38</v>
      </c>
      <c r="AD785" s="104" t="b">
        <f>IF(preDEL!$AG785,IFERROR(0/0,""),preDEL!AD785)</f>
        <v>0</v>
      </c>
      <c r="AE785" s="173">
        <f>IF(preDEL!$AG785,IFERROR(0/0,""),preDEL!AE785)</f>
        <v>281.1833333</v>
      </c>
      <c r="AF785" s="110" t="b">
        <f>IF(preDEL!$AG785,IFERROR(0/0,""),preDEL!AF785)</f>
        <v>0</v>
      </c>
      <c r="AG785" s="110" t="b">
        <f>IF(preDEL!$AG785,IFERROR(0/0,""),preDEL!AG785)</f>
        <v>0</v>
      </c>
      <c r="AH785" s="104" t="str">
        <f>IF(preDEL!$AG785,IFERROR(0/0,""),preDEL!AH785)</f>
        <v/>
      </c>
      <c r="AI785" s="105" t="str">
        <f>IF(preDEL!$AG785,IFERROR(0/0,""),preDEL!AI785)</f>
        <v/>
      </c>
      <c r="AJ785" s="112" t="str">
        <f>IF(preDEL!$AG785,IFERROR(0/0,""),preDEL!AJ785)</f>
        <v/>
      </c>
      <c r="AK785" s="105" t="str">
        <f>IF(preDEL!$AG785,IFERROR(0/0,""),preDEL!AK785)</f>
        <v>Negative</v>
      </c>
      <c r="AL785" s="112" t="str">
        <f>IF(preDEL!$AG785,IFERROR(0/0,""),preDEL!AL785)</f>
        <v/>
      </c>
      <c r="AM785" s="112" t="str">
        <f>IF(preDEL!$AG785,IFERROR(0/0,""),preDEL!AM785)</f>
        <v>SpBEND845568</v>
      </c>
      <c r="AN785" s="112" t="str">
        <f>IF(preDEL!$AG785,IFERROR(0/0,""),preDEL!AN785)</f>
        <v>BEND601151</v>
      </c>
      <c r="AO785" s="112" t="str">
        <f>IF(preDEL!$AG785,IFERROR(0/0,""),preDEL!AO785)</f>
        <v/>
      </c>
      <c r="AP785" s="112" t="str">
        <f>IF(preDEL!$AG785,IFERROR(0/0,""),preDEL!AP785)</f>
        <v/>
      </c>
      <c r="AQ785" s="112" t="str">
        <f>IF(preDEL!$AG785,IFERROR(0/0,""),preDEL!AQ785)</f>
        <v/>
      </c>
      <c r="AR785" s="112" t="str">
        <f>IF(preDEL!$AG785,IFERROR(0/0,""),preDEL!AR785)</f>
        <v/>
      </c>
      <c r="AS785" s="112" t="str">
        <f>IF(preDEL!$AG785,IFERROR(0/0,""),preDEL!AS785)</f>
        <v/>
      </c>
      <c r="AT785" s="112" t="b">
        <f>IF(preDEL!$AG785,IFERROR(0/0,""),preDEL!AT785)</f>
        <v>0</v>
      </c>
      <c r="AU785" s="112" t="str">
        <f>IF(preDEL!$AG785,IFERROR(0/0,""),preDEL!AU785)</f>
        <v/>
      </c>
      <c r="AV785" s="112" t="str">
        <f>IF(preDEL!$AG785,IFERROR(0/0,""),preDEL!AV785)</f>
        <v/>
      </c>
      <c r="AW785" s="112" t="str">
        <f>IF(preDEL!$AG785,IFERROR(0/0,""),preDEL!AW785)</f>
        <v/>
      </c>
      <c r="AX785" s="112" t="str">
        <f>IF(preDEL!$AG785,IFERROR(0/0,""),preDEL!AX785)</f>
        <v/>
      </c>
      <c r="AY785" s="112" t="str">
        <f>IF(preDEL!$AG785,IFERROR(0/0,""),preDEL!AY785)</f>
        <v/>
      </c>
      <c r="AZ785" s="174"/>
      <c r="BA785" s="174"/>
      <c r="BB785" s="174"/>
      <c r="BC785" s="174"/>
      <c r="BD785" s="174"/>
      <c r="BE785" s="174"/>
      <c r="BF785" s="174"/>
      <c r="BG785" s="174"/>
      <c r="BH785" s="174"/>
      <c r="BI785" s="174"/>
      <c r="BJ785" s="174"/>
      <c r="BK785" s="174"/>
      <c r="BL785" s="174"/>
      <c r="BM785" s="174"/>
      <c r="BN785" s="174"/>
      <c r="BO785" s="174"/>
      <c r="BP785" s="174"/>
      <c r="BQ785" s="174"/>
      <c r="BR785" s="174"/>
      <c r="BS785" s="174"/>
      <c r="BT785" s="174"/>
      <c r="BU785" s="174"/>
      <c r="BV785" s="174"/>
      <c r="BW785" s="174"/>
      <c r="BX785" s="174"/>
      <c r="BY785" s="174"/>
      <c r="BZ785" s="174"/>
      <c r="CA785" s="174"/>
      <c r="CB785" s="174"/>
      <c r="CC785" s="174"/>
      <c r="CD785" s="174"/>
    </row>
    <row r="786">
      <c r="A786" s="105" t="str">
        <f>IF(preDEL!$AG786,IFERROR(0/0,""),preDEL!A786)</f>
        <v>FM2042</v>
      </c>
      <c r="B786" s="170">
        <f>IF(preDEL!$AG786,IFERROR(0/0,""),preDEL!B786)</f>
        <v>44631</v>
      </c>
      <c r="C786" s="171">
        <f>IF(preDEL!$AG786,IFERROR(0/0,""),preDEL!C786)</f>
        <v>0.2971875</v>
      </c>
      <c r="D786" s="105" t="str">
        <f>IF(preDEL!$AG786,IFERROR(0/0,""),preDEL!D786)</f>
        <v/>
      </c>
      <c r="E786" s="105" t="str">
        <f>IF(preDEL!$AG786,IFERROR(0/0,""),preDEL!E786)</f>
        <v/>
      </c>
      <c r="F786" s="112" t="str">
        <f>IF(preDEL!$AG786,IFERROR(0/0,""),preDEL!F786)</f>
        <v/>
      </c>
      <c r="G786" s="112" t="str">
        <f>IF(preDEL!$AG786,IFERROR(0/0,""),preDEL!G786)</f>
        <v/>
      </c>
      <c r="H786" s="112" t="str">
        <f>IF(preDEL!$AG786,IFERROR(0/0,""),preDEL!H786)</f>
        <v/>
      </c>
      <c r="I786" s="105" t="str">
        <f>IF(preDEL!$AG786,IFERROR(0/0,""),preDEL!I786)</f>
        <v/>
      </c>
      <c r="J786" s="105" t="str">
        <f>IF(preDEL!$AG786,IFERROR(0/0,""),preDEL!J786)</f>
        <v/>
      </c>
      <c r="K786" s="105" t="str">
        <f>IF(preDEL!$AG786,IFERROR(0/0,""),preDEL!K786)</f>
        <v>Negative</v>
      </c>
      <c r="L786" s="170">
        <f>IF(preDEL!$AG786,IFERROR(0/0,""),preDEL!L786)</f>
        <v>44631</v>
      </c>
      <c r="M786" s="171">
        <f>IF(preDEL!$AG786,IFERROR(0/0,""),preDEL!M786)</f>
        <v>0.486087963</v>
      </c>
      <c r="N786" s="112" t="str">
        <f>IF(preDEL!$AG786,IFERROR(0/0,""),preDEL!N786)</f>
        <v/>
      </c>
      <c r="O786" s="112" t="str">
        <f>IF(preDEL!$AG786,IFERROR(0/0,""),preDEL!O786)</f>
        <v/>
      </c>
      <c r="P786" s="110" t="b">
        <f>IF(preDEL!$AG786,IFERROR(0/0,""),preDEL!P786)</f>
        <v>0</v>
      </c>
      <c r="Q786" s="110" t="str">
        <f>IF(preDEL!$AG786,IFERROR(0/0,""),preDEL!Q786)</f>
        <v>Result</v>
      </c>
      <c r="R786" s="104" t="b">
        <f>IF(preDEL!$AG786,IFERROR(0/0,""),preDEL!R786)</f>
        <v>1</v>
      </c>
      <c r="S786" s="104">
        <f>IF(preDEL!$AG786,IFERROR(0/0,""),preDEL!S786)</f>
        <v>1</v>
      </c>
      <c r="T786" s="110" t="str">
        <f>IF(preDEL!$AG786,IFERROR(0/0,""),preDEL!T786)</f>
        <v/>
      </c>
      <c r="U786" s="112" t="str">
        <f>IF(preDEL!$AG786,IFERROR(0/0,""),preDEL!U786)</f>
        <v/>
      </c>
      <c r="V786" s="105" t="str">
        <f>IF(preDEL!$AG786,IFERROR(0/0,""),preDEL!V786)</f>
        <v/>
      </c>
      <c r="W786" s="112" t="str">
        <f>IF(preDEL!$AG786,IFERROR(0/0,""),preDEL!W786)</f>
        <v/>
      </c>
      <c r="X786" s="104" t="b">
        <f>IF(preDEL!$AG786,IFERROR(0/0,""),preDEL!X786)</f>
        <v>0</v>
      </c>
      <c r="Y786" s="110" t="b">
        <f>IF(preDEL!$AG786,IFERROR(0/0,""),preDEL!Y786)</f>
        <v>0</v>
      </c>
      <c r="Z786" s="105" t="str">
        <f>IF(preDEL!$AG786,IFERROR(0/0,""),preDEL!Z786)</f>
        <v/>
      </c>
      <c r="AA786" s="110" t="b">
        <f>IF(preDEL!$AG786,IFERROR(0/0,""),preDEL!AA786)</f>
        <v>0</v>
      </c>
      <c r="AB786" s="110" t="b">
        <f>IF(preDEL!$AG786,IFERROR(0/0,""),preDEL!AB786)</f>
        <v>0</v>
      </c>
      <c r="AC786" s="172">
        <f>IF(preDEL!$AG786,IFERROR(0/0,""),preDEL!AC786)</f>
        <v>37</v>
      </c>
      <c r="AD786" s="104" t="b">
        <f>IF(preDEL!$AG786,IFERROR(0/0,""),preDEL!AD786)</f>
        <v>0</v>
      </c>
      <c r="AE786" s="173">
        <f>IF(preDEL!$AG786,IFERROR(0/0,""),preDEL!AE786)</f>
        <v>272.0166667</v>
      </c>
      <c r="AF786" s="110" t="b">
        <f>IF(preDEL!$AG786,IFERROR(0/0,""),preDEL!AF786)</f>
        <v>0</v>
      </c>
      <c r="AG786" s="110" t="b">
        <f>IF(preDEL!$AG786,IFERROR(0/0,""),preDEL!AG786)</f>
        <v>0</v>
      </c>
      <c r="AH786" s="104" t="str">
        <f>IF(preDEL!$AG786,IFERROR(0/0,""),preDEL!AH786)</f>
        <v/>
      </c>
      <c r="AI786" s="105" t="str">
        <f>IF(preDEL!$AG786,IFERROR(0/0,""),preDEL!AI786)</f>
        <v/>
      </c>
      <c r="AJ786" s="112" t="str">
        <f>IF(preDEL!$AG786,IFERROR(0/0,""),preDEL!AJ786)</f>
        <v/>
      </c>
      <c r="AK786" s="105" t="str">
        <f>IF(preDEL!$AG786,IFERROR(0/0,""),preDEL!AK786)</f>
        <v>Negative</v>
      </c>
      <c r="AL786" s="112" t="str">
        <f>IF(preDEL!$AG786,IFERROR(0/0,""),preDEL!AL786)</f>
        <v/>
      </c>
      <c r="AM786" s="112" t="str">
        <f>IF(preDEL!$AG786,IFERROR(0/0,""),preDEL!AM786)</f>
        <v>SpBEND815974</v>
      </c>
      <c r="AN786" s="112" t="str">
        <f>IF(preDEL!$AG786,IFERROR(0/0,""),preDEL!AN786)</f>
        <v>BEND381818</v>
      </c>
      <c r="AO786" s="112" t="str">
        <f>IF(preDEL!$AG786,IFERROR(0/0,""),preDEL!AO786)</f>
        <v/>
      </c>
      <c r="AP786" s="112" t="str">
        <f>IF(preDEL!$AG786,IFERROR(0/0,""),preDEL!AP786)</f>
        <v/>
      </c>
      <c r="AQ786" s="112" t="str">
        <f>IF(preDEL!$AG786,IFERROR(0/0,""),preDEL!AQ786)</f>
        <v/>
      </c>
      <c r="AR786" s="112" t="str">
        <f>IF(preDEL!$AG786,IFERROR(0/0,""),preDEL!AR786)</f>
        <v/>
      </c>
      <c r="AS786" s="112" t="str">
        <f>IF(preDEL!$AG786,IFERROR(0/0,""),preDEL!AS786)</f>
        <v/>
      </c>
      <c r="AT786" s="112" t="b">
        <f>IF(preDEL!$AG786,IFERROR(0/0,""),preDEL!AT786)</f>
        <v>0</v>
      </c>
      <c r="AU786" s="112" t="str">
        <f>IF(preDEL!$AG786,IFERROR(0/0,""),preDEL!AU786)</f>
        <v/>
      </c>
      <c r="AV786" s="112" t="str">
        <f>IF(preDEL!$AG786,IFERROR(0/0,""),preDEL!AV786)</f>
        <v/>
      </c>
      <c r="AW786" s="112" t="str">
        <f>IF(preDEL!$AG786,IFERROR(0/0,""),preDEL!AW786)</f>
        <v/>
      </c>
      <c r="AX786" s="112" t="str">
        <f>IF(preDEL!$AG786,IFERROR(0/0,""),preDEL!AX786)</f>
        <v/>
      </c>
      <c r="AY786" s="112" t="str">
        <f>IF(preDEL!$AG786,IFERROR(0/0,""),preDEL!AY786)</f>
        <v/>
      </c>
      <c r="AZ786" s="174"/>
      <c r="BA786" s="174"/>
      <c r="BB786" s="174"/>
      <c r="BC786" s="174"/>
      <c r="BD786" s="174"/>
      <c r="BE786" s="174"/>
      <c r="BF786" s="174"/>
      <c r="BG786" s="174"/>
      <c r="BH786" s="174"/>
      <c r="BI786" s="174"/>
      <c r="BJ786" s="174"/>
      <c r="BK786" s="174"/>
      <c r="BL786" s="174"/>
      <c r="BM786" s="174"/>
      <c r="BN786" s="174"/>
      <c r="BO786" s="174"/>
      <c r="BP786" s="174"/>
      <c r="BQ786" s="174"/>
      <c r="BR786" s="174"/>
      <c r="BS786" s="174"/>
      <c r="BT786" s="174"/>
      <c r="BU786" s="174"/>
      <c r="BV786" s="174"/>
      <c r="BW786" s="174"/>
      <c r="BX786" s="174"/>
      <c r="BY786" s="174"/>
      <c r="BZ786" s="174"/>
      <c r="CA786" s="174"/>
      <c r="CB786" s="174"/>
      <c r="CC786" s="174"/>
      <c r="CD786" s="174"/>
    </row>
    <row r="787">
      <c r="A787" s="105" t="str">
        <f>IF(preDEL!$AG787,IFERROR(0/0,""),preDEL!A787)</f>
        <v>FM438</v>
      </c>
      <c r="B787" s="170">
        <f>IF(preDEL!$AG787,IFERROR(0/0,""),preDEL!B787)</f>
        <v>44631</v>
      </c>
      <c r="C787" s="171">
        <f>IF(preDEL!$AG787,IFERROR(0/0,""),preDEL!C787)</f>
        <v>0.3004166667</v>
      </c>
      <c r="D787" s="105" t="str">
        <f>IF(preDEL!$AG787,IFERROR(0/0,""),preDEL!D787)</f>
        <v/>
      </c>
      <c r="E787" s="105" t="str">
        <f>IF(preDEL!$AG787,IFERROR(0/0,""),preDEL!E787)</f>
        <v/>
      </c>
      <c r="F787" s="112" t="str">
        <f>IF(preDEL!$AG787,IFERROR(0/0,""),preDEL!F787)</f>
        <v/>
      </c>
      <c r="G787" s="112" t="str">
        <f>IF(preDEL!$AG787,IFERROR(0/0,""),preDEL!G787)</f>
        <v/>
      </c>
      <c r="H787" s="112" t="str">
        <f>IF(preDEL!$AG787,IFERROR(0/0,""),preDEL!H787)</f>
        <v/>
      </c>
      <c r="I787" s="105" t="str">
        <f>IF(preDEL!$AG787,IFERROR(0/0,""),preDEL!I787)</f>
        <v/>
      </c>
      <c r="J787" s="105" t="str">
        <f>IF(preDEL!$AG787,IFERROR(0/0,""),preDEL!J787)</f>
        <v/>
      </c>
      <c r="K787" s="105" t="str">
        <f>IF(preDEL!$AG787,IFERROR(0/0,""),preDEL!K787)</f>
        <v>Negative</v>
      </c>
      <c r="L787" s="170">
        <f>IF(preDEL!$AG787,IFERROR(0/0,""),preDEL!L787)</f>
        <v>44631</v>
      </c>
      <c r="M787" s="171">
        <f>IF(preDEL!$AG787,IFERROR(0/0,""),preDEL!M787)</f>
        <v>0.486087963</v>
      </c>
      <c r="N787" s="112" t="str">
        <f>IF(preDEL!$AG787,IFERROR(0/0,""),preDEL!N787)</f>
        <v/>
      </c>
      <c r="O787" s="112" t="str">
        <f>IF(preDEL!$AG787,IFERROR(0/0,""),preDEL!O787)</f>
        <v/>
      </c>
      <c r="P787" s="110" t="b">
        <f>IF(preDEL!$AG787,IFERROR(0/0,""),preDEL!P787)</f>
        <v>0</v>
      </c>
      <c r="Q787" s="110" t="str">
        <f>IF(preDEL!$AG787,IFERROR(0/0,""),preDEL!Q787)</f>
        <v>Result</v>
      </c>
      <c r="R787" s="104" t="b">
        <f>IF(preDEL!$AG787,IFERROR(0/0,""),preDEL!R787)</f>
        <v>1</v>
      </c>
      <c r="S787" s="104">
        <f>IF(preDEL!$AG787,IFERROR(0/0,""),preDEL!S787)</f>
        <v>1</v>
      </c>
      <c r="T787" s="110" t="str">
        <f>IF(preDEL!$AG787,IFERROR(0/0,""),preDEL!T787)</f>
        <v/>
      </c>
      <c r="U787" s="112" t="str">
        <f>IF(preDEL!$AG787,IFERROR(0/0,""),preDEL!U787)</f>
        <v/>
      </c>
      <c r="V787" s="105" t="str">
        <f>IF(preDEL!$AG787,IFERROR(0/0,""),preDEL!V787)</f>
        <v/>
      </c>
      <c r="W787" s="112" t="str">
        <f>IF(preDEL!$AG787,IFERROR(0/0,""),preDEL!W787)</f>
        <v/>
      </c>
      <c r="X787" s="104" t="b">
        <f>IF(preDEL!$AG787,IFERROR(0/0,""),preDEL!X787)</f>
        <v>0</v>
      </c>
      <c r="Y787" s="110" t="b">
        <f>IF(preDEL!$AG787,IFERROR(0/0,""),preDEL!Y787)</f>
        <v>0</v>
      </c>
      <c r="Z787" s="105" t="str">
        <f>IF(preDEL!$AG787,IFERROR(0/0,""),preDEL!Z787)</f>
        <v/>
      </c>
      <c r="AA787" s="110" t="b">
        <f>IF(preDEL!$AG787,IFERROR(0/0,""),preDEL!AA787)</f>
        <v>0</v>
      </c>
      <c r="AB787" s="110" t="b">
        <f>IF(preDEL!$AG787,IFERROR(0/0,""),preDEL!AB787)</f>
        <v>0</v>
      </c>
      <c r="AC787" s="172">
        <f>IF(preDEL!$AG787,IFERROR(0/0,""),preDEL!AC787)</f>
        <v>36</v>
      </c>
      <c r="AD787" s="104" t="b">
        <f>IF(preDEL!$AG787,IFERROR(0/0,""),preDEL!AD787)</f>
        <v>0</v>
      </c>
      <c r="AE787" s="173">
        <f>IF(preDEL!$AG787,IFERROR(0/0,""),preDEL!AE787)</f>
        <v>267.3666667</v>
      </c>
      <c r="AF787" s="110" t="b">
        <f>IF(preDEL!$AG787,IFERROR(0/0,""),preDEL!AF787)</f>
        <v>0</v>
      </c>
      <c r="AG787" s="110" t="b">
        <f>IF(preDEL!$AG787,IFERROR(0/0,""),preDEL!AG787)</f>
        <v>0</v>
      </c>
      <c r="AH787" s="104" t="str">
        <f>IF(preDEL!$AG787,IFERROR(0/0,""),preDEL!AH787)</f>
        <v/>
      </c>
      <c r="AI787" s="105" t="str">
        <f>IF(preDEL!$AG787,IFERROR(0/0,""),preDEL!AI787)</f>
        <v/>
      </c>
      <c r="AJ787" s="112" t="str">
        <f>IF(preDEL!$AG787,IFERROR(0/0,""),preDEL!AJ787)</f>
        <v/>
      </c>
      <c r="AK787" s="105" t="str">
        <f>IF(preDEL!$AG787,IFERROR(0/0,""),preDEL!AK787)</f>
        <v>Negative</v>
      </c>
      <c r="AL787" s="112" t="str">
        <f>IF(preDEL!$AG787,IFERROR(0/0,""),preDEL!AL787)</f>
        <v/>
      </c>
      <c r="AM787" s="112" t="str">
        <f>IF(preDEL!$AG787,IFERROR(0/0,""),preDEL!AM787)</f>
        <v>SpBEND734943</v>
      </c>
      <c r="AN787" s="112" t="str">
        <f>IF(preDEL!$AG787,IFERROR(0/0,""),preDEL!AN787)</f>
        <v>BEND710690</v>
      </c>
      <c r="AO787" s="112" t="str">
        <f>IF(preDEL!$AG787,IFERROR(0/0,""),preDEL!AO787)</f>
        <v/>
      </c>
      <c r="AP787" s="112" t="str">
        <f>IF(preDEL!$AG787,IFERROR(0/0,""),preDEL!AP787)</f>
        <v/>
      </c>
      <c r="AQ787" s="112" t="str">
        <f>IF(preDEL!$AG787,IFERROR(0/0,""),preDEL!AQ787)</f>
        <v/>
      </c>
      <c r="AR787" s="112" t="str">
        <f>IF(preDEL!$AG787,IFERROR(0/0,""),preDEL!AR787)</f>
        <v/>
      </c>
      <c r="AS787" s="112" t="str">
        <f>IF(preDEL!$AG787,IFERROR(0/0,""),preDEL!AS787)</f>
        <v/>
      </c>
      <c r="AT787" s="112" t="b">
        <f>IF(preDEL!$AG787,IFERROR(0/0,""),preDEL!AT787)</f>
        <v>0</v>
      </c>
      <c r="AU787" s="112" t="str">
        <f>IF(preDEL!$AG787,IFERROR(0/0,""),preDEL!AU787)</f>
        <v/>
      </c>
      <c r="AV787" s="112" t="str">
        <f>IF(preDEL!$AG787,IFERROR(0/0,""),preDEL!AV787)</f>
        <v/>
      </c>
      <c r="AW787" s="112" t="str">
        <f>IF(preDEL!$AG787,IFERROR(0/0,""),preDEL!AW787)</f>
        <v/>
      </c>
      <c r="AX787" s="112" t="str">
        <f>IF(preDEL!$AG787,IFERROR(0/0,""),preDEL!AX787)</f>
        <v/>
      </c>
      <c r="AY787" s="112" t="str">
        <f>IF(preDEL!$AG787,IFERROR(0/0,""),preDEL!AY787)</f>
        <v/>
      </c>
      <c r="AZ787" s="174"/>
      <c r="BA787" s="174"/>
      <c r="BB787" s="174"/>
      <c r="BC787" s="174"/>
      <c r="BD787" s="174"/>
      <c r="BE787" s="174"/>
      <c r="BF787" s="174"/>
      <c r="BG787" s="174"/>
      <c r="BH787" s="174"/>
      <c r="BI787" s="174"/>
      <c r="BJ787" s="174"/>
      <c r="BK787" s="174"/>
      <c r="BL787" s="174"/>
      <c r="BM787" s="174"/>
      <c r="BN787" s="174"/>
      <c r="BO787" s="174"/>
      <c r="BP787" s="174"/>
      <c r="BQ787" s="174"/>
      <c r="BR787" s="174"/>
      <c r="BS787" s="174"/>
      <c r="BT787" s="174"/>
      <c r="BU787" s="174"/>
      <c r="BV787" s="174"/>
      <c r="BW787" s="174"/>
      <c r="BX787" s="174"/>
      <c r="BY787" s="174"/>
      <c r="BZ787" s="174"/>
      <c r="CA787" s="174"/>
      <c r="CB787" s="174"/>
      <c r="CC787" s="174"/>
      <c r="CD787" s="174"/>
    </row>
    <row r="788">
      <c r="A788" s="105" t="str">
        <f>IF(preDEL!$AG788,IFERROR(0/0,""),preDEL!A788)</f>
        <v>FM355</v>
      </c>
      <c r="B788" s="170">
        <f>IF(preDEL!$AG788,IFERROR(0/0,""),preDEL!B788)</f>
        <v>44631</v>
      </c>
      <c r="C788" s="171">
        <f>IF(preDEL!$AG788,IFERROR(0/0,""),preDEL!C788)</f>
        <v>0.3006712963</v>
      </c>
      <c r="D788" s="105" t="str">
        <f>IF(preDEL!$AG788,IFERROR(0/0,""),preDEL!D788)</f>
        <v/>
      </c>
      <c r="E788" s="105" t="str">
        <f>IF(preDEL!$AG788,IFERROR(0/0,""),preDEL!E788)</f>
        <v/>
      </c>
      <c r="F788" s="112" t="str">
        <f>IF(preDEL!$AG788,IFERROR(0/0,""),preDEL!F788)</f>
        <v/>
      </c>
      <c r="G788" s="112" t="str">
        <f>IF(preDEL!$AG788,IFERROR(0/0,""),preDEL!G788)</f>
        <v/>
      </c>
      <c r="H788" s="112" t="str">
        <f>IF(preDEL!$AG788,IFERROR(0/0,""),preDEL!H788)</f>
        <v/>
      </c>
      <c r="I788" s="105" t="str">
        <f>IF(preDEL!$AG788,IFERROR(0/0,""),preDEL!I788)</f>
        <v/>
      </c>
      <c r="J788" s="105" t="str">
        <f>IF(preDEL!$AG788,IFERROR(0/0,""),preDEL!J788)</f>
        <v/>
      </c>
      <c r="K788" s="105" t="str">
        <f>IF(preDEL!$AG788,IFERROR(0/0,""),preDEL!K788)</f>
        <v>Negative</v>
      </c>
      <c r="L788" s="170">
        <f>IF(preDEL!$AG788,IFERROR(0/0,""),preDEL!L788)</f>
        <v>44631</v>
      </c>
      <c r="M788" s="171">
        <f>IF(preDEL!$AG788,IFERROR(0/0,""),preDEL!M788)</f>
        <v>0.486087963</v>
      </c>
      <c r="N788" s="112" t="str">
        <f>IF(preDEL!$AG788,IFERROR(0/0,""),preDEL!N788)</f>
        <v/>
      </c>
      <c r="O788" s="112" t="str">
        <f>IF(preDEL!$AG788,IFERROR(0/0,""),preDEL!O788)</f>
        <v/>
      </c>
      <c r="P788" s="110" t="b">
        <f>IF(preDEL!$AG788,IFERROR(0/0,""),preDEL!P788)</f>
        <v>0</v>
      </c>
      <c r="Q788" s="110" t="str">
        <f>IF(preDEL!$AG788,IFERROR(0/0,""),preDEL!Q788)</f>
        <v>Result</v>
      </c>
      <c r="R788" s="104" t="b">
        <f>IF(preDEL!$AG788,IFERROR(0/0,""),preDEL!R788)</f>
        <v>1</v>
      </c>
      <c r="S788" s="104">
        <f>IF(preDEL!$AG788,IFERROR(0/0,""),preDEL!S788)</f>
        <v>1</v>
      </c>
      <c r="T788" s="110" t="str">
        <f>IF(preDEL!$AG788,IFERROR(0/0,""),preDEL!T788)</f>
        <v/>
      </c>
      <c r="U788" s="112" t="str">
        <f>IF(preDEL!$AG788,IFERROR(0/0,""),preDEL!U788)</f>
        <v/>
      </c>
      <c r="V788" s="105" t="str">
        <f>IF(preDEL!$AG788,IFERROR(0/0,""),preDEL!V788)</f>
        <v/>
      </c>
      <c r="W788" s="112" t="str">
        <f>IF(preDEL!$AG788,IFERROR(0/0,""),preDEL!W788)</f>
        <v/>
      </c>
      <c r="X788" s="104" t="b">
        <f>IF(preDEL!$AG788,IFERROR(0/0,""),preDEL!X788)</f>
        <v>0</v>
      </c>
      <c r="Y788" s="110" t="b">
        <f>IF(preDEL!$AG788,IFERROR(0/0,""),preDEL!Y788)</f>
        <v>0</v>
      </c>
      <c r="Z788" s="105" t="str">
        <f>IF(preDEL!$AG788,IFERROR(0/0,""),preDEL!Z788)</f>
        <v/>
      </c>
      <c r="AA788" s="110" t="b">
        <f>IF(preDEL!$AG788,IFERROR(0/0,""),preDEL!AA788)</f>
        <v>0</v>
      </c>
      <c r="AB788" s="110" t="b">
        <f>IF(preDEL!$AG788,IFERROR(0/0,""),preDEL!AB788)</f>
        <v>0</v>
      </c>
      <c r="AC788" s="172">
        <f>IF(preDEL!$AG788,IFERROR(0/0,""),preDEL!AC788)</f>
        <v>35</v>
      </c>
      <c r="AD788" s="104" t="b">
        <f>IF(preDEL!$AG788,IFERROR(0/0,""),preDEL!AD788)</f>
        <v>0</v>
      </c>
      <c r="AE788" s="173">
        <f>IF(preDEL!$AG788,IFERROR(0/0,""),preDEL!AE788)</f>
        <v>267</v>
      </c>
      <c r="AF788" s="110" t="b">
        <f>IF(preDEL!$AG788,IFERROR(0/0,""),preDEL!AF788)</f>
        <v>0</v>
      </c>
      <c r="AG788" s="110" t="b">
        <f>IF(preDEL!$AG788,IFERROR(0/0,""),preDEL!AG788)</f>
        <v>0</v>
      </c>
      <c r="AH788" s="104" t="str">
        <f>IF(preDEL!$AG788,IFERROR(0/0,""),preDEL!AH788)</f>
        <v/>
      </c>
      <c r="AI788" s="105" t="str">
        <f>IF(preDEL!$AG788,IFERROR(0/0,""),preDEL!AI788)</f>
        <v/>
      </c>
      <c r="AJ788" s="112" t="str">
        <f>IF(preDEL!$AG788,IFERROR(0/0,""),preDEL!AJ788)</f>
        <v/>
      </c>
      <c r="AK788" s="105" t="str">
        <f>IF(preDEL!$AG788,IFERROR(0/0,""),preDEL!AK788)</f>
        <v>Negative</v>
      </c>
      <c r="AL788" s="112" t="str">
        <f>IF(preDEL!$AG788,IFERROR(0/0,""),preDEL!AL788)</f>
        <v/>
      </c>
      <c r="AM788" s="112" t="str">
        <f>IF(preDEL!$AG788,IFERROR(0/0,""),preDEL!AM788)</f>
        <v>SpBEND501019</v>
      </c>
      <c r="AN788" s="112" t="str">
        <f>IF(preDEL!$AG788,IFERROR(0/0,""),preDEL!AN788)</f>
        <v>BEND941934</v>
      </c>
      <c r="AO788" s="112" t="str">
        <f>IF(preDEL!$AG788,IFERROR(0/0,""),preDEL!AO788)</f>
        <v/>
      </c>
      <c r="AP788" s="112" t="str">
        <f>IF(preDEL!$AG788,IFERROR(0/0,""),preDEL!AP788)</f>
        <v/>
      </c>
      <c r="AQ788" s="112" t="str">
        <f>IF(preDEL!$AG788,IFERROR(0/0,""),preDEL!AQ788)</f>
        <v/>
      </c>
      <c r="AR788" s="112" t="str">
        <f>IF(preDEL!$AG788,IFERROR(0/0,""),preDEL!AR788)</f>
        <v/>
      </c>
      <c r="AS788" s="112" t="str">
        <f>IF(preDEL!$AG788,IFERROR(0/0,""),preDEL!AS788)</f>
        <v/>
      </c>
      <c r="AT788" s="112" t="b">
        <f>IF(preDEL!$AG788,IFERROR(0/0,""),preDEL!AT788)</f>
        <v>0</v>
      </c>
      <c r="AU788" s="112" t="str">
        <f>IF(preDEL!$AG788,IFERROR(0/0,""),preDEL!AU788)</f>
        <v/>
      </c>
      <c r="AV788" s="112" t="str">
        <f>IF(preDEL!$AG788,IFERROR(0/0,""),preDEL!AV788)</f>
        <v/>
      </c>
      <c r="AW788" s="112" t="str">
        <f>IF(preDEL!$AG788,IFERROR(0/0,""),preDEL!AW788)</f>
        <v/>
      </c>
      <c r="AX788" s="112" t="str">
        <f>IF(preDEL!$AG788,IFERROR(0/0,""),preDEL!AX788)</f>
        <v/>
      </c>
      <c r="AY788" s="112" t="str">
        <f>IF(preDEL!$AG788,IFERROR(0/0,""),preDEL!AY788)</f>
        <v/>
      </c>
      <c r="AZ788" s="174"/>
      <c r="BA788" s="174"/>
      <c r="BB788" s="174"/>
      <c r="BC788" s="174"/>
      <c r="BD788" s="174"/>
      <c r="BE788" s="174"/>
      <c r="BF788" s="174"/>
      <c r="BG788" s="174"/>
      <c r="BH788" s="174"/>
      <c r="BI788" s="174"/>
      <c r="BJ788" s="174"/>
      <c r="BK788" s="174"/>
      <c r="BL788" s="174"/>
      <c r="BM788" s="174"/>
      <c r="BN788" s="174"/>
      <c r="BO788" s="174"/>
      <c r="BP788" s="174"/>
      <c r="BQ788" s="174"/>
      <c r="BR788" s="174"/>
      <c r="BS788" s="174"/>
      <c r="BT788" s="174"/>
      <c r="BU788" s="174"/>
      <c r="BV788" s="174"/>
      <c r="BW788" s="174"/>
      <c r="BX788" s="174"/>
      <c r="BY788" s="174"/>
      <c r="BZ788" s="174"/>
      <c r="CA788" s="174"/>
      <c r="CB788" s="174"/>
      <c r="CC788" s="174"/>
      <c r="CD788" s="174"/>
    </row>
    <row r="789">
      <c r="A789" s="105" t="str">
        <f>IF(preDEL!$AG789,IFERROR(0/0,""),preDEL!A789)</f>
        <v>MA407</v>
      </c>
      <c r="B789" s="170">
        <f>IF(preDEL!$AG789,IFERROR(0/0,""),preDEL!B789)</f>
        <v>44631</v>
      </c>
      <c r="C789" s="171">
        <f>IF(preDEL!$AG789,IFERROR(0/0,""),preDEL!C789)</f>
        <v>0.3019444444</v>
      </c>
      <c r="D789" s="105" t="str">
        <f>IF(preDEL!$AG789,IFERROR(0/0,""),preDEL!D789)</f>
        <v/>
      </c>
      <c r="E789" s="105" t="str">
        <f>IF(preDEL!$AG789,IFERROR(0/0,""),preDEL!E789)</f>
        <v/>
      </c>
      <c r="F789" s="112" t="str">
        <f>IF(preDEL!$AG789,IFERROR(0/0,""),preDEL!F789)</f>
        <v/>
      </c>
      <c r="G789" s="112" t="str">
        <f>IF(preDEL!$AG789,IFERROR(0/0,""),preDEL!G789)</f>
        <v/>
      </c>
      <c r="H789" s="112" t="str">
        <f>IF(preDEL!$AG789,IFERROR(0/0,""),preDEL!H789)</f>
        <v/>
      </c>
      <c r="I789" s="105" t="str">
        <f>IF(preDEL!$AG789,IFERROR(0/0,""),preDEL!I789)</f>
        <v/>
      </c>
      <c r="J789" s="105" t="str">
        <f>IF(preDEL!$AG789,IFERROR(0/0,""),preDEL!J789)</f>
        <v/>
      </c>
      <c r="K789" s="105" t="str">
        <f>IF(preDEL!$AG789,IFERROR(0/0,""),preDEL!K789)</f>
        <v>Negative</v>
      </c>
      <c r="L789" s="170">
        <f>IF(preDEL!$AG789,IFERROR(0/0,""),preDEL!L789)</f>
        <v>44631</v>
      </c>
      <c r="M789" s="171">
        <f>IF(preDEL!$AG789,IFERROR(0/0,""),preDEL!M789)</f>
        <v>0.486087963</v>
      </c>
      <c r="N789" s="112" t="str">
        <f>IF(preDEL!$AG789,IFERROR(0/0,""),preDEL!N789)</f>
        <v/>
      </c>
      <c r="O789" s="112" t="str">
        <f>IF(preDEL!$AG789,IFERROR(0/0,""),preDEL!O789)</f>
        <v/>
      </c>
      <c r="P789" s="110" t="b">
        <f>IF(preDEL!$AG789,IFERROR(0/0,""),preDEL!P789)</f>
        <v>0</v>
      </c>
      <c r="Q789" s="110" t="str">
        <f>IF(preDEL!$AG789,IFERROR(0/0,""),preDEL!Q789)</f>
        <v>Result</v>
      </c>
      <c r="R789" s="104" t="b">
        <f>IF(preDEL!$AG789,IFERROR(0/0,""),preDEL!R789)</f>
        <v>1</v>
      </c>
      <c r="S789" s="104">
        <f>IF(preDEL!$AG789,IFERROR(0/0,""),preDEL!S789)</f>
        <v>1</v>
      </c>
      <c r="T789" s="110" t="str">
        <f>IF(preDEL!$AG789,IFERROR(0/0,""),preDEL!T789)</f>
        <v/>
      </c>
      <c r="U789" s="112" t="str">
        <f>IF(preDEL!$AG789,IFERROR(0/0,""),preDEL!U789)</f>
        <v/>
      </c>
      <c r="V789" s="105" t="str">
        <f>IF(preDEL!$AG789,IFERROR(0/0,""),preDEL!V789)</f>
        <v/>
      </c>
      <c r="W789" s="112" t="str">
        <f>IF(preDEL!$AG789,IFERROR(0/0,""),preDEL!W789)</f>
        <v/>
      </c>
      <c r="X789" s="104" t="b">
        <f>IF(preDEL!$AG789,IFERROR(0/0,""),preDEL!X789)</f>
        <v>0</v>
      </c>
      <c r="Y789" s="110" t="b">
        <f>IF(preDEL!$AG789,IFERROR(0/0,""),preDEL!Y789)</f>
        <v>0</v>
      </c>
      <c r="Z789" s="105" t="str">
        <f>IF(preDEL!$AG789,IFERROR(0/0,""),preDEL!Z789)</f>
        <v/>
      </c>
      <c r="AA789" s="110" t="b">
        <f>IF(preDEL!$AG789,IFERROR(0/0,""),preDEL!AA789)</f>
        <v>0</v>
      </c>
      <c r="AB789" s="110" t="b">
        <f>IF(preDEL!$AG789,IFERROR(0/0,""),preDEL!AB789)</f>
        <v>0</v>
      </c>
      <c r="AC789" s="172">
        <f>IF(preDEL!$AG789,IFERROR(0/0,""),preDEL!AC789)</f>
        <v>34</v>
      </c>
      <c r="AD789" s="104" t="b">
        <f>IF(preDEL!$AG789,IFERROR(0/0,""),preDEL!AD789)</f>
        <v>0</v>
      </c>
      <c r="AE789" s="173">
        <f>IF(preDEL!$AG789,IFERROR(0/0,""),preDEL!AE789)</f>
        <v>265.1666667</v>
      </c>
      <c r="AF789" s="110" t="b">
        <f>IF(preDEL!$AG789,IFERROR(0/0,""),preDEL!AF789)</f>
        <v>0</v>
      </c>
      <c r="AG789" s="110" t="b">
        <f>IF(preDEL!$AG789,IFERROR(0/0,""),preDEL!AG789)</f>
        <v>0</v>
      </c>
      <c r="AH789" s="104" t="str">
        <f>IF(preDEL!$AG789,IFERROR(0/0,""),preDEL!AH789)</f>
        <v/>
      </c>
      <c r="AI789" s="105" t="str">
        <f>IF(preDEL!$AG789,IFERROR(0/0,""),preDEL!AI789)</f>
        <v/>
      </c>
      <c r="AJ789" s="112" t="str">
        <f>IF(preDEL!$AG789,IFERROR(0/0,""),preDEL!AJ789)</f>
        <v/>
      </c>
      <c r="AK789" s="105" t="str">
        <f>IF(preDEL!$AG789,IFERROR(0/0,""),preDEL!AK789)</f>
        <v>Negative</v>
      </c>
      <c r="AL789" s="112" t="str">
        <f>IF(preDEL!$AG789,IFERROR(0/0,""),preDEL!AL789)</f>
        <v/>
      </c>
      <c r="AM789" s="112" t="str">
        <f>IF(preDEL!$AG789,IFERROR(0/0,""),preDEL!AM789)</f>
        <v>SpBEND435789</v>
      </c>
      <c r="AN789" s="112" t="str">
        <f>IF(preDEL!$AG789,IFERROR(0/0,""),preDEL!AN789)</f>
        <v>BEND741633</v>
      </c>
      <c r="AO789" s="112" t="str">
        <f>IF(preDEL!$AG789,IFERROR(0/0,""),preDEL!AO789)</f>
        <v/>
      </c>
      <c r="AP789" s="112" t="str">
        <f>IF(preDEL!$AG789,IFERROR(0/0,""),preDEL!AP789)</f>
        <v/>
      </c>
      <c r="AQ789" s="112" t="str">
        <f>IF(preDEL!$AG789,IFERROR(0/0,""),preDEL!AQ789)</f>
        <v/>
      </c>
      <c r="AR789" s="112" t="str">
        <f>IF(preDEL!$AG789,IFERROR(0/0,""),preDEL!AR789)</f>
        <v/>
      </c>
      <c r="AS789" s="112" t="str">
        <f>IF(preDEL!$AG789,IFERROR(0/0,""),preDEL!AS789)</f>
        <v/>
      </c>
      <c r="AT789" s="112" t="b">
        <f>IF(preDEL!$AG789,IFERROR(0/0,""),preDEL!AT789)</f>
        <v>0</v>
      </c>
      <c r="AU789" s="112" t="str">
        <f>IF(preDEL!$AG789,IFERROR(0/0,""),preDEL!AU789)</f>
        <v/>
      </c>
      <c r="AV789" s="112" t="str">
        <f>IF(preDEL!$AG789,IFERROR(0/0,""),preDEL!AV789)</f>
        <v/>
      </c>
      <c r="AW789" s="112" t="str">
        <f>IF(preDEL!$AG789,IFERROR(0/0,""),preDEL!AW789)</f>
        <v/>
      </c>
      <c r="AX789" s="112" t="str">
        <f>IF(preDEL!$AG789,IFERROR(0/0,""),preDEL!AX789)</f>
        <v/>
      </c>
      <c r="AY789" s="112" t="str">
        <f>IF(preDEL!$AG789,IFERROR(0/0,""),preDEL!AY789)</f>
        <v/>
      </c>
      <c r="AZ789" s="174"/>
      <c r="BA789" s="174"/>
      <c r="BB789" s="174"/>
      <c r="BC789" s="174"/>
      <c r="BD789" s="174"/>
      <c r="BE789" s="174"/>
      <c r="BF789" s="174"/>
      <c r="BG789" s="174"/>
      <c r="BH789" s="174"/>
      <c r="BI789" s="174"/>
      <c r="BJ789" s="174"/>
      <c r="BK789" s="174"/>
      <c r="BL789" s="174"/>
      <c r="BM789" s="174"/>
      <c r="BN789" s="174"/>
      <c r="BO789" s="174"/>
      <c r="BP789" s="174"/>
      <c r="BQ789" s="174"/>
      <c r="BR789" s="174"/>
      <c r="BS789" s="174"/>
      <c r="BT789" s="174"/>
      <c r="BU789" s="174"/>
      <c r="BV789" s="174"/>
      <c r="BW789" s="174"/>
      <c r="BX789" s="174"/>
      <c r="BY789" s="174"/>
      <c r="BZ789" s="174"/>
      <c r="CA789" s="174"/>
      <c r="CB789" s="174"/>
      <c r="CC789" s="174"/>
      <c r="CD789" s="174"/>
    </row>
    <row r="790">
      <c r="A790" s="105" t="str">
        <f>IF(preDEL!$AG790,IFERROR(0/0,""),preDEL!A790)</f>
        <v>MA325</v>
      </c>
      <c r="B790" s="170">
        <f>IF(preDEL!$AG790,IFERROR(0/0,""),preDEL!B790)</f>
        <v>44631</v>
      </c>
      <c r="C790" s="171">
        <f>IF(preDEL!$AG790,IFERROR(0/0,""),preDEL!C790)</f>
        <v>0.3019560185</v>
      </c>
      <c r="D790" s="105" t="str">
        <f>IF(preDEL!$AG790,IFERROR(0/0,""),preDEL!D790)</f>
        <v/>
      </c>
      <c r="E790" s="105" t="str">
        <f>IF(preDEL!$AG790,IFERROR(0/0,""),preDEL!E790)</f>
        <v/>
      </c>
      <c r="F790" s="112" t="str">
        <f>IF(preDEL!$AG790,IFERROR(0/0,""),preDEL!F790)</f>
        <v/>
      </c>
      <c r="G790" s="112" t="str">
        <f>IF(preDEL!$AG790,IFERROR(0/0,""),preDEL!G790)</f>
        <v/>
      </c>
      <c r="H790" s="112" t="str">
        <f>IF(preDEL!$AG790,IFERROR(0/0,""),preDEL!H790)</f>
        <v/>
      </c>
      <c r="I790" s="105" t="str">
        <f>IF(preDEL!$AG790,IFERROR(0/0,""),preDEL!I790)</f>
        <v/>
      </c>
      <c r="J790" s="105" t="str">
        <f>IF(preDEL!$AG790,IFERROR(0/0,""),preDEL!J790)</f>
        <v/>
      </c>
      <c r="K790" s="105" t="str">
        <f>IF(preDEL!$AG790,IFERROR(0/0,""),preDEL!K790)</f>
        <v>Negative</v>
      </c>
      <c r="L790" s="170">
        <f>IF(preDEL!$AG790,IFERROR(0/0,""),preDEL!L790)</f>
        <v>44631</v>
      </c>
      <c r="M790" s="171">
        <f>IF(preDEL!$AG790,IFERROR(0/0,""),preDEL!M790)</f>
        <v>0.486087963</v>
      </c>
      <c r="N790" s="112" t="str">
        <f>IF(preDEL!$AG790,IFERROR(0/0,""),preDEL!N790)</f>
        <v/>
      </c>
      <c r="O790" s="112" t="str">
        <f>IF(preDEL!$AG790,IFERROR(0/0,""),preDEL!O790)</f>
        <v/>
      </c>
      <c r="P790" s="110" t="b">
        <f>IF(preDEL!$AG790,IFERROR(0/0,""),preDEL!P790)</f>
        <v>0</v>
      </c>
      <c r="Q790" s="110" t="str">
        <f>IF(preDEL!$AG790,IFERROR(0/0,""),preDEL!Q790)</f>
        <v>Result</v>
      </c>
      <c r="R790" s="104" t="b">
        <f>IF(preDEL!$AG790,IFERROR(0/0,""),preDEL!R790)</f>
        <v>1</v>
      </c>
      <c r="S790" s="104">
        <f>IF(preDEL!$AG790,IFERROR(0/0,""),preDEL!S790)</f>
        <v>1</v>
      </c>
      <c r="T790" s="110" t="str">
        <f>IF(preDEL!$AG790,IFERROR(0/0,""),preDEL!T790)</f>
        <v/>
      </c>
      <c r="U790" s="112" t="str">
        <f>IF(preDEL!$AG790,IFERROR(0/0,""),preDEL!U790)</f>
        <v/>
      </c>
      <c r="V790" s="105" t="str">
        <f>IF(preDEL!$AG790,IFERROR(0/0,""),preDEL!V790)</f>
        <v/>
      </c>
      <c r="W790" s="112" t="str">
        <f>IF(preDEL!$AG790,IFERROR(0/0,""),preDEL!W790)</f>
        <v/>
      </c>
      <c r="X790" s="104" t="b">
        <f>IF(preDEL!$AG790,IFERROR(0/0,""),preDEL!X790)</f>
        <v>0</v>
      </c>
      <c r="Y790" s="110" t="b">
        <f>IF(preDEL!$AG790,IFERROR(0/0,""),preDEL!Y790)</f>
        <v>0</v>
      </c>
      <c r="Z790" s="105" t="str">
        <f>IF(preDEL!$AG790,IFERROR(0/0,""),preDEL!Z790)</f>
        <v/>
      </c>
      <c r="AA790" s="110" t="b">
        <f>IF(preDEL!$AG790,IFERROR(0/0,""),preDEL!AA790)</f>
        <v>0</v>
      </c>
      <c r="AB790" s="110" t="b">
        <f>IF(preDEL!$AG790,IFERROR(0/0,""),preDEL!AB790)</f>
        <v>0</v>
      </c>
      <c r="AC790" s="172">
        <f>IF(preDEL!$AG790,IFERROR(0/0,""),preDEL!AC790)</f>
        <v>33</v>
      </c>
      <c r="AD790" s="104" t="b">
        <f>IF(preDEL!$AG790,IFERROR(0/0,""),preDEL!AD790)</f>
        <v>0</v>
      </c>
      <c r="AE790" s="173">
        <f>IF(preDEL!$AG790,IFERROR(0/0,""),preDEL!AE790)</f>
        <v>265.15</v>
      </c>
      <c r="AF790" s="110" t="b">
        <f>IF(preDEL!$AG790,IFERROR(0/0,""),preDEL!AF790)</f>
        <v>0</v>
      </c>
      <c r="AG790" s="110" t="b">
        <f>IF(preDEL!$AG790,IFERROR(0/0,""),preDEL!AG790)</f>
        <v>0</v>
      </c>
      <c r="AH790" s="104" t="str">
        <f>IF(preDEL!$AG790,IFERROR(0/0,""),preDEL!AH790)</f>
        <v/>
      </c>
      <c r="AI790" s="105" t="str">
        <f>IF(preDEL!$AG790,IFERROR(0/0,""),preDEL!AI790)</f>
        <v/>
      </c>
      <c r="AJ790" s="112" t="str">
        <f>IF(preDEL!$AG790,IFERROR(0/0,""),preDEL!AJ790)</f>
        <v/>
      </c>
      <c r="AK790" s="105" t="str">
        <f>IF(preDEL!$AG790,IFERROR(0/0,""),preDEL!AK790)</f>
        <v>Negative</v>
      </c>
      <c r="AL790" s="112" t="str">
        <f>IF(preDEL!$AG790,IFERROR(0/0,""),preDEL!AL790)</f>
        <v/>
      </c>
      <c r="AM790" s="112" t="str">
        <f>IF(preDEL!$AG790,IFERROR(0/0,""),preDEL!AM790)</f>
        <v>SpBEND824412</v>
      </c>
      <c r="AN790" s="112" t="str">
        <f>IF(preDEL!$AG790,IFERROR(0/0,""),preDEL!AN790)</f>
        <v>BEND918814</v>
      </c>
      <c r="AO790" s="112" t="str">
        <f>IF(preDEL!$AG790,IFERROR(0/0,""),preDEL!AO790)</f>
        <v/>
      </c>
      <c r="AP790" s="112" t="str">
        <f>IF(preDEL!$AG790,IFERROR(0/0,""),preDEL!AP790)</f>
        <v/>
      </c>
      <c r="AQ790" s="112" t="str">
        <f>IF(preDEL!$AG790,IFERROR(0/0,""),preDEL!AQ790)</f>
        <v/>
      </c>
      <c r="AR790" s="112" t="str">
        <f>IF(preDEL!$AG790,IFERROR(0/0,""),preDEL!AR790)</f>
        <v/>
      </c>
      <c r="AS790" s="112" t="str">
        <f>IF(preDEL!$AG790,IFERROR(0/0,""),preDEL!AS790)</f>
        <v/>
      </c>
      <c r="AT790" s="112" t="b">
        <f>IF(preDEL!$AG790,IFERROR(0/0,""),preDEL!AT790)</f>
        <v>0</v>
      </c>
      <c r="AU790" s="112" t="str">
        <f>IF(preDEL!$AG790,IFERROR(0/0,""),preDEL!AU790)</f>
        <v/>
      </c>
      <c r="AV790" s="112" t="str">
        <f>IF(preDEL!$AG790,IFERROR(0/0,""),preDEL!AV790)</f>
        <v/>
      </c>
      <c r="AW790" s="112" t="str">
        <f>IF(preDEL!$AG790,IFERROR(0/0,""),preDEL!AW790)</f>
        <v/>
      </c>
      <c r="AX790" s="112" t="str">
        <f>IF(preDEL!$AG790,IFERROR(0/0,""),preDEL!AX790)</f>
        <v/>
      </c>
      <c r="AY790" s="112" t="str">
        <f>IF(preDEL!$AG790,IFERROR(0/0,""),preDEL!AY790)</f>
        <v/>
      </c>
      <c r="AZ790" s="174"/>
      <c r="BA790" s="174"/>
      <c r="BB790" s="174"/>
      <c r="BC790" s="174"/>
      <c r="BD790" s="174"/>
      <c r="BE790" s="174"/>
      <c r="BF790" s="174"/>
      <c r="BG790" s="174"/>
      <c r="BH790" s="174"/>
      <c r="BI790" s="174"/>
      <c r="BJ790" s="174"/>
      <c r="BK790" s="174"/>
      <c r="BL790" s="174"/>
      <c r="BM790" s="174"/>
      <c r="BN790" s="174"/>
      <c r="BO790" s="174"/>
      <c r="BP790" s="174"/>
      <c r="BQ790" s="174"/>
      <c r="BR790" s="174"/>
      <c r="BS790" s="174"/>
      <c r="BT790" s="174"/>
      <c r="BU790" s="174"/>
      <c r="BV790" s="174"/>
      <c r="BW790" s="174"/>
      <c r="BX790" s="174"/>
      <c r="BY790" s="174"/>
      <c r="BZ790" s="174"/>
      <c r="CA790" s="174"/>
      <c r="CB790" s="174"/>
      <c r="CC790" s="174"/>
      <c r="CD790" s="174"/>
    </row>
    <row r="791">
      <c r="A791" s="105" t="str">
        <f>IF(preDEL!$AG791,IFERROR(0/0,""),preDEL!A791)</f>
        <v>FM17</v>
      </c>
      <c r="B791" s="170">
        <f>IF(preDEL!$AG791,IFERROR(0/0,""),preDEL!B791)</f>
        <v>44631</v>
      </c>
      <c r="C791" s="171">
        <f>IF(preDEL!$AG791,IFERROR(0/0,""),preDEL!C791)</f>
        <v>0.3064467593</v>
      </c>
      <c r="D791" s="105" t="str">
        <f>IF(preDEL!$AG791,IFERROR(0/0,""),preDEL!D791)</f>
        <v/>
      </c>
      <c r="E791" s="105" t="str">
        <f>IF(preDEL!$AG791,IFERROR(0/0,""),preDEL!E791)</f>
        <v/>
      </c>
      <c r="F791" s="112" t="str">
        <f>IF(preDEL!$AG791,IFERROR(0/0,""),preDEL!F791)</f>
        <v/>
      </c>
      <c r="G791" s="112" t="str">
        <f>IF(preDEL!$AG791,IFERROR(0/0,""),preDEL!G791)</f>
        <v/>
      </c>
      <c r="H791" s="112" t="str">
        <f>IF(preDEL!$AG791,IFERROR(0/0,""),preDEL!H791)</f>
        <v/>
      </c>
      <c r="I791" s="105" t="str">
        <f>IF(preDEL!$AG791,IFERROR(0/0,""),preDEL!I791)</f>
        <v/>
      </c>
      <c r="J791" s="105" t="str">
        <f>IF(preDEL!$AG791,IFERROR(0/0,""),preDEL!J791)</f>
        <v/>
      </c>
      <c r="K791" s="105" t="str">
        <f>IF(preDEL!$AG791,IFERROR(0/0,""),preDEL!K791)</f>
        <v>Negative</v>
      </c>
      <c r="L791" s="170">
        <f>IF(preDEL!$AG791,IFERROR(0/0,""),preDEL!L791)</f>
        <v>44631</v>
      </c>
      <c r="M791" s="171">
        <f>IF(preDEL!$AG791,IFERROR(0/0,""),preDEL!M791)</f>
        <v>0.486087963</v>
      </c>
      <c r="N791" s="112" t="str">
        <f>IF(preDEL!$AG791,IFERROR(0/0,""),preDEL!N791)</f>
        <v/>
      </c>
      <c r="O791" s="112" t="str">
        <f>IF(preDEL!$AG791,IFERROR(0/0,""),preDEL!O791)</f>
        <v/>
      </c>
      <c r="P791" s="110" t="b">
        <f>IF(preDEL!$AG791,IFERROR(0/0,""),preDEL!P791)</f>
        <v>0</v>
      </c>
      <c r="Q791" s="110" t="str">
        <f>IF(preDEL!$AG791,IFERROR(0/0,""),preDEL!Q791)</f>
        <v>Result</v>
      </c>
      <c r="R791" s="104" t="b">
        <f>IF(preDEL!$AG791,IFERROR(0/0,""),preDEL!R791)</f>
        <v>1</v>
      </c>
      <c r="S791" s="104">
        <f>IF(preDEL!$AG791,IFERROR(0/0,""),preDEL!S791)</f>
        <v>1</v>
      </c>
      <c r="T791" s="110" t="str">
        <f>IF(preDEL!$AG791,IFERROR(0/0,""),preDEL!T791)</f>
        <v/>
      </c>
      <c r="U791" s="112" t="str">
        <f>IF(preDEL!$AG791,IFERROR(0/0,""),preDEL!U791)</f>
        <v/>
      </c>
      <c r="V791" s="105" t="str">
        <f>IF(preDEL!$AG791,IFERROR(0/0,""),preDEL!V791)</f>
        <v/>
      </c>
      <c r="W791" s="112" t="str">
        <f>IF(preDEL!$AG791,IFERROR(0/0,""),preDEL!W791)</f>
        <v/>
      </c>
      <c r="X791" s="104" t="b">
        <f>IF(preDEL!$AG791,IFERROR(0/0,""),preDEL!X791)</f>
        <v>0</v>
      </c>
      <c r="Y791" s="110" t="b">
        <f>IF(preDEL!$AG791,IFERROR(0/0,""),preDEL!Y791)</f>
        <v>0</v>
      </c>
      <c r="Z791" s="105" t="str">
        <f>IF(preDEL!$AG791,IFERROR(0/0,""),preDEL!Z791)</f>
        <v/>
      </c>
      <c r="AA791" s="110" t="b">
        <f>IF(preDEL!$AG791,IFERROR(0/0,""),preDEL!AA791)</f>
        <v>0</v>
      </c>
      <c r="AB791" s="110" t="b">
        <f>IF(preDEL!$AG791,IFERROR(0/0,""),preDEL!AB791)</f>
        <v>0</v>
      </c>
      <c r="AC791" s="172">
        <f>IF(preDEL!$AG791,IFERROR(0/0,""),preDEL!AC791)</f>
        <v>32</v>
      </c>
      <c r="AD791" s="104" t="b">
        <f>IF(preDEL!$AG791,IFERROR(0/0,""),preDEL!AD791)</f>
        <v>0</v>
      </c>
      <c r="AE791" s="173">
        <f>IF(preDEL!$AG791,IFERROR(0/0,""),preDEL!AE791)</f>
        <v>258.6833333</v>
      </c>
      <c r="AF791" s="110" t="b">
        <f>IF(preDEL!$AG791,IFERROR(0/0,""),preDEL!AF791)</f>
        <v>0</v>
      </c>
      <c r="AG791" s="110" t="b">
        <f>IF(preDEL!$AG791,IFERROR(0/0,""),preDEL!AG791)</f>
        <v>0</v>
      </c>
      <c r="AH791" s="104" t="str">
        <f>IF(preDEL!$AG791,IFERROR(0/0,""),preDEL!AH791)</f>
        <v/>
      </c>
      <c r="AI791" s="105" t="str">
        <f>IF(preDEL!$AG791,IFERROR(0/0,""),preDEL!AI791)</f>
        <v/>
      </c>
      <c r="AJ791" s="112" t="str">
        <f>IF(preDEL!$AG791,IFERROR(0/0,""),preDEL!AJ791)</f>
        <v/>
      </c>
      <c r="AK791" s="105" t="str">
        <f>IF(preDEL!$AG791,IFERROR(0/0,""),preDEL!AK791)</f>
        <v>Negative</v>
      </c>
      <c r="AL791" s="112" t="str">
        <f>IF(preDEL!$AG791,IFERROR(0/0,""),preDEL!AL791)</f>
        <v/>
      </c>
      <c r="AM791" s="112" t="str">
        <f>IF(preDEL!$AG791,IFERROR(0/0,""),preDEL!AM791)</f>
        <v>SpBEND842248</v>
      </c>
      <c r="AN791" s="112" t="str">
        <f>IF(preDEL!$AG791,IFERROR(0/0,""),preDEL!AN791)</f>
        <v>BEND296589</v>
      </c>
      <c r="AO791" s="112" t="str">
        <f>IF(preDEL!$AG791,IFERROR(0/0,""),preDEL!AO791)</f>
        <v/>
      </c>
      <c r="AP791" s="112" t="str">
        <f>IF(preDEL!$AG791,IFERROR(0/0,""),preDEL!AP791)</f>
        <v/>
      </c>
      <c r="AQ791" s="112" t="str">
        <f>IF(preDEL!$AG791,IFERROR(0/0,""),preDEL!AQ791)</f>
        <v/>
      </c>
      <c r="AR791" s="112" t="str">
        <f>IF(preDEL!$AG791,IFERROR(0/0,""),preDEL!AR791)</f>
        <v/>
      </c>
      <c r="AS791" s="112" t="str">
        <f>IF(preDEL!$AG791,IFERROR(0/0,""),preDEL!AS791)</f>
        <v/>
      </c>
      <c r="AT791" s="112" t="b">
        <f>IF(preDEL!$AG791,IFERROR(0/0,""),preDEL!AT791)</f>
        <v>0</v>
      </c>
      <c r="AU791" s="112" t="str">
        <f>IF(preDEL!$AG791,IFERROR(0/0,""),preDEL!AU791)</f>
        <v/>
      </c>
      <c r="AV791" s="112" t="str">
        <f>IF(preDEL!$AG791,IFERROR(0/0,""),preDEL!AV791)</f>
        <v/>
      </c>
      <c r="AW791" s="112" t="str">
        <f>IF(preDEL!$AG791,IFERROR(0/0,""),preDEL!AW791)</f>
        <v/>
      </c>
      <c r="AX791" s="112" t="str">
        <f>IF(preDEL!$AG791,IFERROR(0/0,""),preDEL!AX791)</f>
        <v/>
      </c>
      <c r="AY791" s="112" t="str">
        <f>IF(preDEL!$AG791,IFERROR(0/0,""),preDEL!AY791)</f>
        <v/>
      </c>
      <c r="AZ791" s="174"/>
      <c r="BA791" s="174"/>
      <c r="BB791" s="174"/>
      <c r="BC791" s="174"/>
      <c r="BD791" s="174"/>
      <c r="BE791" s="174"/>
      <c r="BF791" s="174"/>
      <c r="BG791" s="174"/>
      <c r="BH791" s="174"/>
      <c r="BI791" s="174"/>
      <c r="BJ791" s="174"/>
      <c r="BK791" s="174"/>
      <c r="BL791" s="174"/>
      <c r="BM791" s="174"/>
      <c r="BN791" s="174"/>
      <c r="BO791" s="174"/>
      <c r="BP791" s="174"/>
      <c r="BQ791" s="174"/>
      <c r="BR791" s="174"/>
      <c r="BS791" s="174"/>
      <c r="BT791" s="174"/>
      <c r="BU791" s="174"/>
      <c r="BV791" s="174"/>
      <c r="BW791" s="174"/>
      <c r="BX791" s="174"/>
      <c r="BY791" s="174"/>
      <c r="BZ791" s="174"/>
      <c r="CA791" s="174"/>
      <c r="CB791" s="174"/>
      <c r="CC791" s="174"/>
      <c r="CD791" s="174"/>
    </row>
    <row r="792">
      <c r="A792" s="105" t="str">
        <f>IF(preDEL!$AG792,IFERROR(0/0,""),preDEL!A792)</f>
        <v>FM105</v>
      </c>
      <c r="B792" s="170">
        <f>IF(preDEL!$AG792,IFERROR(0/0,""),preDEL!B792)</f>
        <v>44631</v>
      </c>
      <c r="C792" s="171">
        <f>IF(preDEL!$AG792,IFERROR(0/0,""),preDEL!C792)</f>
        <v>0.3066898148</v>
      </c>
      <c r="D792" s="105" t="str">
        <f>IF(preDEL!$AG792,IFERROR(0/0,""),preDEL!D792)</f>
        <v/>
      </c>
      <c r="E792" s="105" t="str">
        <f>IF(preDEL!$AG792,IFERROR(0/0,""),preDEL!E792)</f>
        <v/>
      </c>
      <c r="F792" s="112" t="str">
        <f>IF(preDEL!$AG792,IFERROR(0/0,""),preDEL!F792)</f>
        <v/>
      </c>
      <c r="G792" s="112" t="str">
        <f>IF(preDEL!$AG792,IFERROR(0/0,""),preDEL!G792)</f>
        <v/>
      </c>
      <c r="H792" s="112" t="str">
        <f>IF(preDEL!$AG792,IFERROR(0/0,""),preDEL!H792)</f>
        <v/>
      </c>
      <c r="I792" s="105" t="str">
        <f>IF(preDEL!$AG792,IFERROR(0/0,""),preDEL!I792)</f>
        <v/>
      </c>
      <c r="J792" s="105" t="str">
        <f>IF(preDEL!$AG792,IFERROR(0/0,""),preDEL!J792)</f>
        <v/>
      </c>
      <c r="K792" s="105" t="str">
        <f>IF(preDEL!$AG792,IFERROR(0/0,""),preDEL!K792)</f>
        <v>Negative</v>
      </c>
      <c r="L792" s="170">
        <f>IF(preDEL!$AG792,IFERROR(0/0,""),preDEL!L792)</f>
        <v>44631</v>
      </c>
      <c r="M792" s="171">
        <f>IF(preDEL!$AG792,IFERROR(0/0,""),preDEL!M792)</f>
        <v>0.486087963</v>
      </c>
      <c r="N792" s="112" t="str">
        <f>IF(preDEL!$AG792,IFERROR(0/0,""),preDEL!N792)</f>
        <v/>
      </c>
      <c r="O792" s="112" t="str">
        <f>IF(preDEL!$AG792,IFERROR(0/0,""),preDEL!O792)</f>
        <v/>
      </c>
      <c r="P792" s="110" t="b">
        <f>IF(preDEL!$AG792,IFERROR(0/0,""),preDEL!P792)</f>
        <v>0</v>
      </c>
      <c r="Q792" s="110" t="str">
        <f>IF(preDEL!$AG792,IFERROR(0/0,""),preDEL!Q792)</f>
        <v>Result</v>
      </c>
      <c r="R792" s="104" t="b">
        <f>IF(preDEL!$AG792,IFERROR(0/0,""),preDEL!R792)</f>
        <v>1</v>
      </c>
      <c r="S792" s="104">
        <f>IF(preDEL!$AG792,IFERROR(0/0,""),preDEL!S792)</f>
        <v>1</v>
      </c>
      <c r="T792" s="110" t="str">
        <f>IF(preDEL!$AG792,IFERROR(0/0,""),preDEL!T792)</f>
        <v/>
      </c>
      <c r="U792" s="112" t="str">
        <f>IF(preDEL!$AG792,IFERROR(0/0,""),preDEL!U792)</f>
        <v/>
      </c>
      <c r="V792" s="105" t="str">
        <f>IF(preDEL!$AG792,IFERROR(0/0,""),preDEL!V792)</f>
        <v/>
      </c>
      <c r="W792" s="112" t="str">
        <f>IF(preDEL!$AG792,IFERROR(0/0,""),preDEL!W792)</f>
        <v/>
      </c>
      <c r="X792" s="104" t="b">
        <f>IF(preDEL!$AG792,IFERROR(0/0,""),preDEL!X792)</f>
        <v>0</v>
      </c>
      <c r="Y792" s="110" t="b">
        <f>IF(preDEL!$AG792,IFERROR(0/0,""),preDEL!Y792)</f>
        <v>0</v>
      </c>
      <c r="Z792" s="105" t="str">
        <f>IF(preDEL!$AG792,IFERROR(0/0,""),preDEL!Z792)</f>
        <v/>
      </c>
      <c r="AA792" s="110" t="b">
        <f>IF(preDEL!$AG792,IFERROR(0/0,""),preDEL!AA792)</f>
        <v>0</v>
      </c>
      <c r="AB792" s="110" t="b">
        <f>IF(preDEL!$AG792,IFERROR(0/0,""),preDEL!AB792)</f>
        <v>0</v>
      </c>
      <c r="AC792" s="172">
        <f>IF(preDEL!$AG792,IFERROR(0/0,""),preDEL!AC792)</f>
        <v>31</v>
      </c>
      <c r="AD792" s="104" t="b">
        <f>IF(preDEL!$AG792,IFERROR(0/0,""),preDEL!AD792)</f>
        <v>0</v>
      </c>
      <c r="AE792" s="173">
        <f>IF(preDEL!$AG792,IFERROR(0/0,""),preDEL!AE792)</f>
        <v>258.3333333</v>
      </c>
      <c r="AF792" s="110" t="b">
        <f>IF(preDEL!$AG792,IFERROR(0/0,""),preDEL!AF792)</f>
        <v>0</v>
      </c>
      <c r="AG792" s="110" t="b">
        <f>IF(preDEL!$AG792,IFERROR(0/0,""),preDEL!AG792)</f>
        <v>0</v>
      </c>
      <c r="AH792" s="104" t="str">
        <f>IF(preDEL!$AG792,IFERROR(0/0,""),preDEL!AH792)</f>
        <v/>
      </c>
      <c r="AI792" s="105" t="str">
        <f>IF(preDEL!$AG792,IFERROR(0/0,""),preDEL!AI792)</f>
        <v/>
      </c>
      <c r="AJ792" s="112" t="str">
        <f>IF(preDEL!$AG792,IFERROR(0/0,""),preDEL!AJ792)</f>
        <v/>
      </c>
      <c r="AK792" s="105" t="str">
        <f>IF(preDEL!$AG792,IFERROR(0/0,""),preDEL!AK792)</f>
        <v>Negative</v>
      </c>
      <c r="AL792" s="112" t="str">
        <f>IF(preDEL!$AG792,IFERROR(0/0,""),preDEL!AL792)</f>
        <v/>
      </c>
      <c r="AM792" s="112" t="str">
        <f>IF(preDEL!$AG792,IFERROR(0/0,""),preDEL!AM792)</f>
        <v>SpBEND868438</v>
      </c>
      <c r="AN792" s="112" t="str">
        <f>IF(preDEL!$AG792,IFERROR(0/0,""),preDEL!AN792)</f>
        <v>BEND949481</v>
      </c>
      <c r="AO792" s="112" t="str">
        <f>IF(preDEL!$AG792,IFERROR(0/0,""),preDEL!AO792)</f>
        <v/>
      </c>
      <c r="AP792" s="112" t="str">
        <f>IF(preDEL!$AG792,IFERROR(0/0,""),preDEL!AP792)</f>
        <v/>
      </c>
      <c r="AQ792" s="112" t="str">
        <f>IF(preDEL!$AG792,IFERROR(0/0,""),preDEL!AQ792)</f>
        <v/>
      </c>
      <c r="AR792" s="112" t="str">
        <f>IF(preDEL!$AG792,IFERROR(0/0,""),preDEL!AR792)</f>
        <v/>
      </c>
      <c r="AS792" s="112" t="str">
        <f>IF(preDEL!$AG792,IFERROR(0/0,""),preDEL!AS792)</f>
        <v/>
      </c>
      <c r="AT792" s="112" t="b">
        <f>IF(preDEL!$AG792,IFERROR(0/0,""),preDEL!AT792)</f>
        <v>0</v>
      </c>
      <c r="AU792" s="112" t="str">
        <f>IF(preDEL!$AG792,IFERROR(0/0,""),preDEL!AU792)</f>
        <v/>
      </c>
      <c r="AV792" s="112" t="str">
        <f>IF(preDEL!$AG792,IFERROR(0/0,""),preDEL!AV792)</f>
        <v/>
      </c>
      <c r="AW792" s="112" t="str">
        <f>IF(preDEL!$AG792,IFERROR(0/0,""),preDEL!AW792)</f>
        <v/>
      </c>
      <c r="AX792" s="112" t="str">
        <f>IF(preDEL!$AG792,IFERROR(0/0,""),preDEL!AX792)</f>
        <v/>
      </c>
      <c r="AY792" s="112" t="str">
        <f>IF(preDEL!$AG792,IFERROR(0/0,""),preDEL!AY792)</f>
        <v/>
      </c>
      <c r="AZ792" s="174"/>
      <c r="BA792" s="174"/>
      <c r="BB792" s="174"/>
      <c r="BC792" s="174"/>
      <c r="BD792" s="174"/>
      <c r="BE792" s="174"/>
      <c r="BF792" s="174"/>
      <c r="BG792" s="174"/>
      <c r="BH792" s="174"/>
      <c r="BI792" s="174"/>
      <c r="BJ792" s="174"/>
      <c r="BK792" s="174"/>
      <c r="BL792" s="174"/>
      <c r="BM792" s="174"/>
      <c r="BN792" s="174"/>
      <c r="BO792" s="174"/>
      <c r="BP792" s="174"/>
      <c r="BQ792" s="174"/>
      <c r="BR792" s="174"/>
      <c r="BS792" s="174"/>
      <c r="BT792" s="174"/>
      <c r="BU792" s="174"/>
      <c r="BV792" s="174"/>
      <c r="BW792" s="174"/>
      <c r="BX792" s="174"/>
      <c r="BY792" s="174"/>
      <c r="BZ792" s="174"/>
      <c r="CA792" s="174"/>
      <c r="CB792" s="174"/>
      <c r="CC792" s="174"/>
      <c r="CD792" s="174"/>
    </row>
    <row r="793">
      <c r="A793" s="105" t="str">
        <f>IF(preDEL!$AG793,IFERROR(0/0,""),preDEL!A793)</f>
        <v>FM1870</v>
      </c>
      <c r="B793" s="170">
        <f>IF(preDEL!$AG793,IFERROR(0/0,""),preDEL!B793)</f>
        <v>44631</v>
      </c>
      <c r="C793" s="171">
        <f>IF(preDEL!$AG793,IFERROR(0/0,""),preDEL!C793)</f>
        <v>0.3084953704</v>
      </c>
      <c r="D793" s="105" t="str">
        <f>IF(preDEL!$AG793,IFERROR(0/0,""),preDEL!D793)</f>
        <v/>
      </c>
      <c r="E793" s="105" t="str">
        <f>IF(preDEL!$AG793,IFERROR(0/0,""),preDEL!E793)</f>
        <v/>
      </c>
      <c r="F793" s="112" t="str">
        <f>IF(preDEL!$AG793,IFERROR(0/0,""),preDEL!F793)</f>
        <v/>
      </c>
      <c r="G793" s="112" t="str">
        <f>IF(preDEL!$AG793,IFERROR(0/0,""),preDEL!G793)</f>
        <v/>
      </c>
      <c r="H793" s="112" t="str">
        <f>IF(preDEL!$AG793,IFERROR(0/0,""),preDEL!H793)</f>
        <v/>
      </c>
      <c r="I793" s="105" t="str">
        <f>IF(preDEL!$AG793,IFERROR(0/0,""),preDEL!I793)</f>
        <v/>
      </c>
      <c r="J793" s="105" t="str">
        <f>IF(preDEL!$AG793,IFERROR(0/0,""),preDEL!J793)</f>
        <v/>
      </c>
      <c r="K793" s="105" t="str">
        <f>IF(preDEL!$AG793,IFERROR(0/0,""),preDEL!K793)</f>
        <v>Negative</v>
      </c>
      <c r="L793" s="170">
        <f>IF(preDEL!$AG793,IFERROR(0/0,""),preDEL!L793)</f>
        <v>44631</v>
      </c>
      <c r="M793" s="171">
        <f>IF(preDEL!$AG793,IFERROR(0/0,""),preDEL!M793)</f>
        <v>0.486087963</v>
      </c>
      <c r="N793" s="112" t="str">
        <f>IF(preDEL!$AG793,IFERROR(0/0,""),preDEL!N793)</f>
        <v/>
      </c>
      <c r="O793" s="112" t="str">
        <f>IF(preDEL!$AG793,IFERROR(0/0,""),preDEL!O793)</f>
        <v/>
      </c>
      <c r="P793" s="110" t="b">
        <f>IF(preDEL!$AG793,IFERROR(0/0,""),preDEL!P793)</f>
        <v>0</v>
      </c>
      <c r="Q793" s="110" t="str">
        <f>IF(preDEL!$AG793,IFERROR(0/0,""),preDEL!Q793)</f>
        <v>Result</v>
      </c>
      <c r="R793" s="104" t="b">
        <f>IF(preDEL!$AG793,IFERROR(0/0,""),preDEL!R793)</f>
        <v>1</v>
      </c>
      <c r="S793" s="104">
        <f>IF(preDEL!$AG793,IFERROR(0/0,""),preDEL!S793)</f>
        <v>1</v>
      </c>
      <c r="T793" s="110" t="str">
        <f>IF(preDEL!$AG793,IFERROR(0/0,""),preDEL!T793)</f>
        <v/>
      </c>
      <c r="U793" s="112" t="str">
        <f>IF(preDEL!$AG793,IFERROR(0/0,""),preDEL!U793)</f>
        <v/>
      </c>
      <c r="V793" s="105" t="str">
        <f>IF(preDEL!$AG793,IFERROR(0/0,""),preDEL!V793)</f>
        <v/>
      </c>
      <c r="W793" s="112" t="str">
        <f>IF(preDEL!$AG793,IFERROR(0/0,""),preDEL!W793)</f>
        <v/>
      </c>
      <c r="X793" s="104" t="b">
        <f>IF(preDEL!$AG793,IFERROR(0/0,""),preDEL!X793)</f>
        <v>0</v>
      </c>
      <c r="Y793" s="110" t="b">
        <f>IF(preDEL!$AG793,IFERROR(0/0,""),preDEL!Y793)</f>
        <v>0</v>
      </c>
      <c r="Z793" s="105" t="str">
        <f>IF(preDEL!$AG793,IFERROR(0/0,""),preDEL!Z793)</f>
        <v/>
      </c>
      <c r="AA793" s="110" t="b">
        <f>IF(preDEL!$AG793,IFERROR(0/0,""),preDEL!AA793)</f>
        <v>0</v>
      </c>
      <c r="AB793" s="110" t="b">
        <f>IF(preDEL!$AG793,IFERROR(0/0,""),preDEL!AB793)</f>
        <v>0</v>
      </c>
      <c r="AC793" s="172">
        <f>IF(preDEL!$AG793,IFERROR(0/0,""),preDEL!AC793)</f>
        <v>30</v>
      </c>
      <c r="AD793" s="104" t="b">
        <f>IF(preDEL!$AG793,IFERROR(0/0,""),preDEL!AD793)</f>
        <v>0</v>
      </c>
      <c r="AE793" s="173">
        <f>IF(preDEL!$AG793,IFERROR(0/0,""),preDEL!AE793)</f>
        <v>255.7333333</v>
      </c>
      <c r="AF793" s="110" t="b">
        <f>IF(preDEL!$AG793,IFERROR(0/0,""),preDEL!AF793)</f>
        <v>0</v>
      </c>
      <c r="AG793" s="110" t="b">
        <f>IF(preDEL!$AG793,IFERROR(0/0,""),preDEL!AG793)</f>
        <v>0</v>
      </c>
      <c r="AH793" s="104" t="str">
        <f>IF(preDEL!$AG793,IFERROR(0/0,""),preDEL!AH793)</f>
        <v/>
      </c>
      <c r="AI793" s="105" t="str">
        <f>IF(preDEL!$AG793,IFERROR(0/0,""),preDEL!AI793)</f>
        <v/>
      </c>
      <c r="AJ793" s="112" t="str">
        <f>IF(preDEL!$AG793,IFERROR(0/0,""),preDEL!AJ793)</f>
        <v/>
      </c>
      <c r="AK793" s="105" t="str">
        <f>IF(preDEL!$AG793,IFERROR(0/0,""),preDEL!AK793)</f>
        <v>Negative</v>
      </c>
      <c r="AL793" s="112" t="str">
        <f>IF(preDEL!$AG793,IFERROR(0/0,""),preDEL!AL793)</f>
        <v/>
      </c>
      <c r="AM793" s="112" t="str">
        <f>IF(preDEL!$AG793,IFERROR(0/0,""),preDEL!AM793)</f>
        <v>SpBEND904348</v>
      </c>
      <c r="AN793" s="112" t="str">
        <f>IF(preDEL!$AG793,IFERROR(0/0,""),preDEL!AN793)</f>
        <v>BEND640444</v>
      </c>
      <c r="AO793" s="112" t="str">
        <f>IF(preDEL!$AG793,IFERROR(0/0,""),preDEL!AO793)</f>
        <v/>
      </c>
      <c r="AP793" s="112" t="str">
        <f>IF(preDEL!$AG793,IFERROR(0/0,""),preDEL!AP793)</f>
        <v/>
      </c>
      <c r="AQ793" s="112" t="str">
        <f>IF(preDEL!$AG793,IFERROR(0/0,""),preDEL!AQ793)</f>
        <v/>
      </c>
      <c r="AR793" s="112" t="str">
        <f>IF(preDEL!$AG793,IFERROR(0/0,""),preDEL!AR793)</f>
        <v/>
      </c>
      <c r="AS793" s="112" t="str">
        <f>IF(preDEL!$AG793,IFERROR(0/0,""),preDEL!AS793)</f>
        <v/>
      </c>
      <c r="AT793" s="112" t="b">
        <f>IF(preDEL!$AG793,IFERROR(0/0,""),preDEL!AT793)</f>
        <v>0</v>
      </c>
      <c r="AU793" s="112" t="str">
        <f>IF(preDEL!$AG793,IFERROR(0/0,""),preDEL!AU793)</f>
        <v/>
      </c>
      <c r="AV793" s="112" t="str">
        <f>IF(preDEL!$AG793,IFERROR(0/0,""),preDEL!AV793)</f>
        <v/>
      </c>
      <c r="AW793" s="112" t="str">
        <f>IF(preDEL!$AG793,IFERROR(0/0,""),preDEL!AW793)</f>
        <v/>
      </c>
      <c r="AX793" s="112" t="str">
        <f>IF(preDEL!$AG793,IFERROR(0/0,""),preDEL!AX793)</f>
        <v/>
      </c>
      <c r="AY793" s="112" t="str">
        <f>IF(preDEL!$AG793,IFERROR(0/0,""),preDEL!AY793)</f>
        <v/>
      </c>
      <c r="AZ793" s="174"/>
      <c r="BA793" s="174"/>
      <c r="BB793" s="174"/>
      <c r="BC793" s="174"/>
      <c r="BD793" s="174"/>
      <c r="BE793" s="174"/>
      <c r="BF793" s="174"/>
      <c r="BG793" s="174"/>
      <c r="BH793" s="174"/>
      <c r="BI793" s="174"/>
      <c r="BJ793" s="174"/>
      <c r="BK793" s="174"/>
      <c r="BL793" s="174"/>
      <c r="BM793" s="174"/>
      <c r="BN793" s="174"/>
      <c r="BO793" s="174"/>
      <c r="BP793" s="174"/>
      <c r="BQ793" s="174"/>
      <c r="BR793" s="174"/>
      <c r="BS793" s="174"/>
      <c r="BT793" s="174"/>
      <c r="BU793" s="174"/>
      <c r="BV793" s="174"/>
      <c r="BW793" s="174"/>
      <c r="BX793" s="174"/>
      <c r="BY793" s="174"/>
      <c r="BZ793" s="174"/>
      <c r="CA793" s="174"/>
      <c r="CB793" s="174"/>
      <c r="CC793" s="174"/>
      <c r="CD793" s="174"/>
    </row>
    <row r="794">
      <c r="A794" s="105" t="str">
        <f>IF(preDEL!$AG794,IFERROR(0/0,""),preDEL!A794)</f>
        <v>FM1786</v>
      </c>
      <c r="B794" s="170">
        <f>IF(preDEL!$AG794,IFERROR(0/0,""),preDEL!B794)</f>
        <v>44631</v>
      </c>
      <c r="C794" s="171">
        <f>IF(preDEL!$AG794,IFERROR(0/0,""),preDEL!C794)</f>
        <v>0.3091782407</v>
      </c>
      <c r="D794" s="105" t="str">
        <f>IF(preDEL!$AG794,IFERROR(0/0,""),preDEL!D794)</f>
        <v/>
      </c>
      <c r="E794" s="105" t="str">
        <f>IF(preDEL!$AG794,IFERROR(0/0,""),preDEL!E794)</f>
        <v/>
      </c>
      <c r="F794" s="112" t="str">
        <f>IF(preDEL!$AG794,IFERROR(0/0,""),preDEL!F794)</f>
        <v/>
      </c>
      <c r="G794" s="112" t="str">
        <f>IF(preDEL!$AG794,IFERROR(0/0,""),preDEL!G794)</f>
        <v/>
      </c>
      <c r="H794" s="112" t="str">
        <f>IF(preDEL!$AG794,IFERROR(0/0,""),preDEL!H794)</f>
        <v/>
      </c>
      <c r="I794" s="105" t="str">
        <f>IF(preDEL!$AG794,IFERROR(0/0,""),preDEL!I794)</f>
        <v/>
      </c>
      <c r="J794" s="105" t="str">
        <f>IF(preDEL!$AG794,IFERROR(0/0,""),preDEL!J794)</f>
        <v/>
      </c>
      <c r="K794" s="105" t="str">
        <f>IF(preDEL!$AG794,IFERROR(0/0,""),preDEL!K794)</f>
        <v>Negative</v>
      </c>
      <c r="L794" s="170">
        <f>IF(preDEL!$AG794,IFERROR(0/0,""),preDEL!L794)</f>
        <v>44631</v>
      </c>
      <c r="M794" s="171">
        <f>IF(preDEL!$AG794,IFERROR(0/0,""),preDEL!M794)</f>
        <v>0.486087963</v>
      </c>
      <c r="N794" s="112" t="str">
        <f>IF(preDEL!$AG794,IFERROR(0/0,""),preDEL!N794)</f>
        <v/>
      </c>
      <c r="O794" s="112" t="str">
        <f>IF(preDEL!$AG794,IFERROR(0/0,""),preDEL!O794)</f>
        <v/>
      </c>
      <c r="P794" s="110" t="b">
        <f>IF(preDEL!$AG794,IFERROR(0/0,""),preDEL!P794)</f>
        <v>0</v>
      </c>
      <c r="Q794" s="110" t="str">
        <f>IF(preDEL!$AG794,IFERROR(0/0,""),preDEL!Q794)</f>
        <v>Result</v>
      </c>
      <c r="R794" s="104" t="b">
        <f>IF(preDEL!$AG794,IFERROR(0/0,""),preDEL!R794)</f>
        <v>1</v>
      </c>
      <c r="S794" s="104">
        <f>IF(preDEL!$AG794,IFERROR(0/0,""),preDEL!S794)</f>
        <v>1</v>
      </c>
      <c r="T794" s="110">
        <f>IF(preDEL!$AG794,IFERROR(0/0,""),preDEL!T794)</f>
        <v>0</v>
      </c>
      <c r="U794" s="112" t="str">
        <f>IF(preDEL!$AG794,IFERROR(0/0,""),preDEL!U794)</f>
        <v/>
      </c>
      <c r="V794" s="105" t="str">
        <f>IF(preDEL!$AG794,IFERROR(0/0,""),preDEL!V794)</f>
        <v/>
      </c>
      <c r="W794" s="112" t="str">
        <f>IF(preDEL!$AG794,IFERROR(0/0,""),preDEL!W794)</f>
        <v/>
      </c>
      <c r="X794" s="104" t="b">
        <f>IF(preDEL!$AG794,IFERROR(0/0,""),preDEL!X794)</f>
        <v>0</v>
      </c>
      <c r="Y794" s="110" t="b">
        <f>IF(preDEL!$AG794,IFERROR(0/0,""),preDEL!Y794)</f>
        <v>0</v>
      </c>
      <c r="Z794" s="105" t="str">
        <f>IF(preDEL!$AG794,IFERROR(0/0,""),preDEL!Z794)</f>
        <v/>
      </c>
      <c r="AA794" s="110" t="b">
        <f>IF(preDEL!$AG794,IFERROR(0/0,""),preDEL!AA794)</f>
        <v>0</v>
      </c>
      <c r="AB794" s="110" t="b">
        <f>IF(preDEL!$AG794,IFERROR(0/0,""),preDEL!AB794)</f>
        <v>0</v>
      </c>
      <c r="AC794" s="172">
        <f>IF(preDEL!$AG794,IFERROR(0/0,""),preDEL!AC794)</f>
        <v>29</v>
      </c>
      <c r="AD794" s="104" t="b">
        <f>IF(preDEL!$AG794,IFERROR(0/0,""),preDEL!AD794)</f>
        <v>0</v>
      </c>
      <c r="AE794" s="173">
        <f>IF(preDEL!$AG794,IFERROR(0/0,""),preDEL!AE794)</f>
        <v>254.75</v>
      </c>
      <c r="AF794" s="110" t="b">
        <f>IF(preDEL!$AG794,IFERROR(0/0,""),preDEL!AF794)</f>
        <v>0</v>
      </c>
      <c r="AG794" s="110" t="b">
        <f>IF(preDEL!$AG794,IFERROR(0/0,""),preDEL!AG794)</f>
        <v>0</v>
      </c>
      <c r="AH794" s="104" t="str">
        <f>IF(preDEL!$AG794,IFERROR(0/0,""),preDEL!AH794)</f>
        <v/>
      </c>
      <c r="AI794" s="105" t="str">
        <f>IF(preDEL!$AG794,IFERROR(0/0,""),preDEL!AI794)</f>
        <v/>
      </c>
      <c r="AJ794" s="112" t="str">
        <f>IF(preDEL!$AG794,IFERROR(0/0,""),preDEL!AJ794)</f>
        <v/>
      </c>
      <c r="AK794" s="105" t="str">
        <f>IF(preDEL!$AG794,IFERROR(0/0,""),preDEL!AK794)</f>
        <v>Negative</v>
      </c>
      <c r="AL794" s="112" t="str">
        <f>IF(preDEL!$AG794,IFERROR(0/0,""),preDEL!AL794)</f>
        <v/>
      </c>
      <c r="AM794" s="112" t="str">
        <f>IF(preDEL!$AG794,IFERROR(0/0,""),preDEL!AM794)</f>
        <v>SpBEND904348</v>
      </c>
      <c r="AN794" s="112" t="str">
        <f>IF(preDEL!$AG794,IFERROR(0/0,""),preDEL!AN794)</f>
        <v>BEND191568</v>
      </c>
      <c r="AO794" s="112" t="str">
        <f>IF(preDEL!$AG794,IFERROR(0/0,""),preDEL!AO794)</f>
        <v/>
      </c>
      <c r="AP794" s="112" t="str">
        <f>IF(preDEL!$AG794,IFERROR(0/0,""),preDEL!AP794)</f>
        <v/>
      </c>
      <c r="AQ794" s="112" t="str">
        <f>IF(preDEL!$AG794,IFERROR(0/0,""),preDEL!AQ794)</f>
        <v/>
      </c>
      <c r="AR794" s="112" t="str">
        <f>IF(preDEL!$AG794,IFERROR(0/0,""),preDEL!AR794)</f>
        <v/>
      </c>
      <c r="AS794" s="112" t="str">
        <f>IF(preDEL!$AG794,IFERROR(0/0,""),preDEL!AS794)</f>
        <v/>
      </c>
      <c r="AT794" s="112" t="b">
        <f>IF(preDEL!$AG794,IFERROR(0/0,""),preDEL!AT794)</f>
        <v>0</v>
      </c>
      <c r="AU794" s="112" t="str">
        <f>IF(preDEL!$AG794,IFERROR(0/0,""),preDEL!AU794)</f>
        <v/>
      </c>
      <c r="AV794" s="112" t="str">
        <f>IF(preDEL!$AG794,IFERROR(0/0,""),preDEL!AV794)</f>
        <v/>
      </c>
      <c r="AW794" s="112" t="str">
        <f>IF(preDEL!$AG794,IFERROR(0/0,""),preDEL!AW794)</f>
        <v/>
      </c>
      <c r="AX794" s="112" t="str">
        <f>IF(preDEL!$AG794,IFERROR(0/0,""),preDEL!AX794)</f>
        <v/>
      </c>
      <c r="AY794" s="112" t="str">
        <f>IF(preDEL!$AG794,IFERROR(0/0,""),preDEL!AY794)</f>
        <v/>
      </c>
      <c r="AZ794" s="174"/>
      <c r="BA794" s="174"/>
      <c r="BB794" s="174"/>
      <c r="BC794" s="174"/>
      <c r="BD794" s="174"/>
      <c r="BE794" s="174"/>
      <c r="BF794" s="174"/>
      <c r="BG794" s="174"/>
      <c r="BH794" s="174"/>
      <c r="BI794" s="174"/>
      <c r="BJ794" s="174"/>
      <c r="BK794" s="174"/>
      <c r="BL794" s="174"/>
      <c r="BM794" s="174"/>
      <c r="BN794" s="174"/>
      <c r="BO794" s="174"/>
      <c r="BP794" s="174"/>
      <c r="BQ794" s="174"/>
      <c r="BR794" s="174"/>
      <c r="BS794" s="174"/>
      <c r="BT794" s="174"/>
      <c r="BU794" s="174"/>
      <c r="BV794" s="174"/>
      <c r="BW794" s="174"/>
      <c r="BX794" s="174"/>
      <c r="BY794" s="174"/>
      <c r="BZ794" s="174"/>
      <c r="CA794" s="174"/>
      <c r="CB794" s="174"/>
      <c r="CC794" s="174"/>
      <c r="CD794" s="174"/>
    </row>
    <row r="795">
      <c r="A795" s="105" t="str">
        <f>IF(preDEL!$AG795,IFERROR(0/0,""),preDEL!A795)</f>
        <v>FM2063</v>
      </c>
      <c r="B795" s="170">
        <f>IF(preDEL!$AG795,IFERROR(0/0,""),preDEL!B795)</f>
        <v>44631</v>
      </c>
      <c r="C795" s="171">
        <f>IF(preDEL!$AG795,IFERROR(0/0,""),preDEL!C795)</f>
        <v>0.3173032407</v>
      </c>
      <c r="D795" s="105" t="str">
        <f>IF(preDEL!$AG795,IFERROR(0/0,""),preDEL!D795)</f>
        <v/>
      </c>
      <c r="E795" s="105" t="str">
        <f>IF(preDEL!$AG795,IFERROR(0/0,""),preDEL!E795)</f>
        <v/>
      </c>
      <c r="F795" s="112" t="str">
        <f>IF(preDEL!$AG795,IFERROR(0/0,""),preDEL!F795)</f>
        <v/>
      </c>
      <c r="G795" s="112" t="str">
        <f>IF(preDEL!$AG795,IFERROR(0/0,""),preDEL!G795)</f>
        <v/>
      </c>
      <c r="H795" s="112" t="str">
        <f>IF(preDEL!$AG795,IFERROR(0/0,""),preDEL!H795)</f>
        <v/>
      </c>
      <c r="I795" s="105" t="str">
        <f>IF(preDEL!$AG795,IFERROR(0/0,""),preDEL!I795)</f>
        <v/>
      </c>
      <c r="J795" s="105" t="str">
        <f>IF(preDEL!$AG795,IFERROR(0/0,""),preDEL!J795)</f>
        <v/>
      </c>
      <c r="K795" s="105" t="str">
        <f>IF(preDEL!$AG795,IFERROR(0/0,""),preDEL!K795)</f>
        <v>Negative</v>
      </c>
      <c r="L795" s="170">
        <f>IF(preDEL!$AG795,IFERROR(0/0,""),preDEL!L795)</f>
        <v>44631</v>
      </c>
      <c r="M795" s="171">
        <f>IF(preDEL!$AG795,IFERROR(0/0,""),preDEL!M795)</f>
        <v>0.486087963</v>
      </c>
      <c r="N795" s="112" t="str">
        <f>IF(preDEL!$AG795,IFERROR(0/0,""),preDEL!N795)</f>
        <v/>
      </c>
      <c r="O795" s="112" t="str">
        <f>IF(preDEL!$AG795,IFERROR(0/0,""),preDEL!O795)</f>
        <v/>
      </c>
      <c r="P795" s="110" t="b">
        <f>IF(preDEL!$AG795,IFERROR(0/0,""),preDEL!P795)</f>
        <v>0</v>
      </c>
      <c r="Q795" s="110" t="str">
        <f>IF(preDEL!$AG795,IFERROR(0/0,""),preDEL!Q795)</f>
        <v>Result</v>
      </c>
      <c r="R795" s="104" t="b">
        <f>IF(preDEL!$AG795,IFERROR(0/0,""),preDEL!R795)</f>
        <v>1</v>
      </c>
      <c r="S795" s="104">
        <f>IF(preDEL!$AG795,IFERROR(0/0,""),preDEL!S795)</f>
        <v>1</v>
      </c>
      <c r="T795" s="110" t="str">
        <f>IF(preDEL!$AG795,IFERROR(0/0,""),preDEL!T795)</f>
        <v/>
      </c>
      <c r="U795" s="112" t="str">
        <f>IF(preDEL!$AG795,IFERROR(0/0,""),preDEL!U795)</f>
        <v/>
      </c>
      <c r="V795" s="105" t="str">
        <f>IF(preDEL!$AG795,IFERROR(0/0,""),preDEL!V795)</f>
        <v/>
      </c>
      <c r="W795" s="112" t="str">
        <f>IF(preDEL!$AG795,IFERROR(0/0,""),preDEL!W795)</f>
        <v/>
      </c>
      <c r="X795" s="104" t="b">
        <f>IF(preDEL!$AG795,IFERROR(0/0,""),preDEL!X795)</f>
        <v>0</v>
      </c>
      <c r="Y795" s="110" t="b">
        <f>IF(preDEL!$AG795,IFERROR(0/0,""),preDEL!Y795)</f>
        <v>0</v>
      </c>
      <c r="Z795" s="105" t="str">
        <f>IF(preDEL!$AG795,IFERROR(0/0,""),preDEL!Z795)</f>
        <v/>
      </c>
      <c r="AA795" s="110" t="b">
        <f>IF(preDEL!$AG795,IFERROR(0/0,""),preDEL!AA795)</f>
        <v>0</v>
      </c>
      <c r="AB795" s="110" t="b">
        <f>IF(preDEL!$AG795,IFERROR(0/0,""),preDEL!AB795)</f>
        <v>0</v>
      </c>
      <c r="AC795" s="172">
        <f>IF(preDEL!$AG795,IFERROR(0/0,""),preDEL!AC795)</f>
        <v>28</v>
      </c>
      <c r="AD795" s="104" t="b">
        <f>IF(preDEL!$AG795,IFERROR(0/0,""),preDEL!AD795)</f>
        <v>0</v>
      </c>
      <c r="AE795" s="173">
        <f>IF(preDEL!$AG795,IFERROR(0/0,""),preDEL!AE795)</f>
        <v>243.05</v>
      </c>
      <c r="AF795" s="110" t="b">
        <f>IF(preDEL!$AG795,IFERROR(0/0,""),preDEL!AF795)</f>
        <v>0</v>
      </c>
      <c r="AG795" s="110" t="b">
        <f>IF(preDEL!$AG795,IFERROR(0/0,""),preDEL!AG795)</f>
        <v>0</v>
      </c>
      <c r="AH795" s="104" t="str">
        <f>IF(preDEL!$AG795,IFERROR(0/0,""),preDEL!AH795)</f>
        <v/>
      </c>
      <c r="AI795" s="105" t="str">
        <f>IF(preDEL!$AG795,IFERROR(0/0,""),preDEL!AI795)</f>
        <v/>
      </c>
      <c r="AJ795" s="112" t="str">
        <f>IF(preDEL!$AG795,IFERROR(0/0,""),preDEL!AJ795)</f>
        <v/>
      </c>
      <c r="AK795" s="105" t="str">
        <f>IF(preDEL!$AG795,IFERROR(0/0,""),preDEL!AK795)</f>
        <v>Negative</v>
      </c>
      <c r="AL795" s="112" t="str">
        <f>IF(preDEL!$AG795,IFERROR(0/0,""),preDEL!AL795)</f>
        <v/>
      </c>
      <c r="AM795" s="112" t="str">
        <f>IF(preDEL!$AG795,IFERROR(0/0,""),preDEL!AM795)</f>
        <v>SpBEND387578</v>
      </c>
      <c r="AN795" s="112" t="str">
        <f>IF(preDEL!$AG795,IFERROR(0/0,""),preDEL!AN795)</f>
        <v>BEND375164</v>
      </c>
      <c r="AO795" s="112" t="str">
        <f>IF(preDEL!$AG795,IFERROR(0/0,""),preDEL!AO795)</f>
        <v/>
      </c>
      <c r="AP795" s="112" t="str">
        <f>IF(preDEL!$AG795,IFERROR(0/0,""),preDEL!AP795)</f>
        <v/>
      </c>
      <c r="AQ795" s="112" t="str">
        <f>IF(preDEL!$AG795,IFERROR(0/0,""),preDEL!AQ795)</f>
        <v/>
      </c>
      <c r="AR795" s="112" t="str">
        <f>IF(preDEL!$AG795,IFERROR(0/0,""),preDEL!AR795)</f>
        <v/>
      </c>
      <c r="AS795" s="112" t="str">
        <f>IF(preDEL!$AG795,IFERROR(0/0,""),preDEL!AS795)</f>
        <v/>
      </c>
      <c r="AT795" s="112" t="b">
        <f>IF(preDEL!$AG795,IFERROR(0/0,""),preDEL!AT795)</f>
        <v>0</v>
      </c>
      <c r="AU795" s="112" t="str">
        <f>IF(preDEL!$AG795,IFERROR(0/0,""),preDEL!AU795)</f>
        <v/>
      </c>
      <c r="AV795" s="112" t="str">
        <f>IF(preDEL!$AG795,IFERROR(0/0,""),preDEL!AV795)</f>
        <v/>
      </c>
      <c r="AW795" s="112" t="str">
        <f>IF(preDEL!$AG795,IFERROR(0/0,""),preDEL!AW795)</f>
        <v/>
      </c>
      <c r="AX795" s="112" t="str">
        <f>IF(preDEL!$AG795,IFERROR(0/0,""),preDEL!AX795)</f>
        <v/>
      </c>
      <c r="AY795" s="112" t="str">
        <f>IF(preDEL!$AG795,IFERROR(0/0,""),preDEL!AY795)</f>
        <v/>
      </c>
      <c r="AZ795" s="174"/>
      <c r="BA795" s="174"/>
      <c r="BB795" s="174"/>
      <c r="BC795" s="174"/>
      <c r="BD795" s="174"/>
      <c r="BE795" s="174"/>
      <c r="BF795" s="174"/>
      <c r="BG795" s="174"/>
      <c r="BH795" s="174"/>
      <c r="BI795" s="174"/>
      <c r="BJ795" s="174"/>
      <c r="BK795" s="174"/>
      <c r="BL795" s="174"/>
      <c r="BM795" s="174"/>
      <c r="BN795" s="174"/>
      <c r="BO795" s="174"/>
      <c r="BP795" s="174"/>
      <c r="BQ795" s="174"/>
      <c r="BR795" s="174"/>
      <c r="BS795" s="174"/>
      <c r="BT795" s="174"/>
      <c r="BU795" s="174"/>
      <c r="BV795" s="174"/>
      <c r="BW795" s="174"/>
      <c r="BX795" s="174"/>
      <c r="BY795" s="174"/>
      <c r="BZ795" s="174"/>
      <c r="CA795" s="174"/>
      <c r="CB795" s="174"/>
      <c r="CC795" s="174"/>
      <c r="CD795" s="174"/>
    </row>
    <row r="796">
      <c r="A796" s="105" t="str">
        <f>IF(preDEL!$AG796,IFERROR(0/0,""),preDEL!A796)</f>
        <v>FM39</v>
      </c>
      <c r="B796" s="170">
        <f>IF(preDEL!$AG796,IFERROR(0/0,""),preDEL!B796)</f>
        <v>44631</v>
      </c>
      <c r="C796" s="171">
        <f>IF(preDEL!$AG796,IFERROR(0/0,""),preDEL!C796)</f>
        <v>0.3235763889</v>
      </c>
      <c r="D796" s="105" t="str">
        <f>IF(preDEL!$AG796,IFERROR(0/0,""),preDEL!D796)</f>
        <v/>
      </c>
      <c r="E796" s="105" t="str">
        <f>IF(preDEL!$AG796,IFERROR(0/0,""),preDEL!E796)</f>
        <v/>
      </c>
      <c r="F796" s="112" t="str">
        <f>IF(preDEL!$AG796,IFERROR(0/0,""),preDEL!F796)</f>
        <v/>
      </c>
      <c r="G796" s="112" t="str">
        <f>IF(preDEL!$AG796,IFERROR(0/0,""),preDEL!G796)</f>
        <v/>
      </c>
      <c r="H796" s="112" t="str">
        <f>IF(preDEL!$AG796,IFERROR(0/0,""),preDEL!H796)</f>
        <v/>
      </c>
      <c r="I796" s="105" t="str">
        <f>IF(preDEL!$AG796,IFERROR(0/0,""),preDEL!I796)</f>
        <v/>
      </c>
      <c r="J796" s="105" t="str">
        <f>IF(preDEL!$AG796,IFERROR(0/0,""),preDEL!J796)</f>
        <v/>
      </c>
      <c r="K796" s="105" t="str">
        <f>IF(preDEL!$AG796,IFERROR(0/0,""),preDEL!K796)</f>
        <v>Negative</v>
      </c>
      <c r="L796" s="170">
        <f>IF(preDEL!$AG796,IFERROR(0/0,""),preDEL!L796)</f>
        <v>44631</v>
      </c>
      <c r="M796" s="171">
        <f>IF(preDEL!$AG796,IFERROR(0/0,""),preDEL!M796)</f>
        <v>0.486087963</v>
      </c>
      <c r="N796" s="112" t="str">
        <f>IF(preDEL!$AG796,IFERROR(0/0,""),preDEL!N796)</f>
        <v/>
      </c>
      <c r="O796" s="112" t="str">
        <f>IF(preDEL!$AG796,IFERROR(0/0,""),preDEL!O796)</f>
        <v/>
      </c>
      <c r="P796" s="110" t="b">
        <f>IF(preDEL!$AG796,IFERROR(0/0,""),preDEL!P796)</f>
        <v>0</v>
      </c>
      <c r="Q796" s="110" t="str">
        <f>IF(preDEL!$AG796,IFERROR(0/0,""),preDEL!Q796)</f>
        <v>Result</v>
      </c>
      <c r="R796" s="104" t="b">
        <f>IF(preDEL!$AG796,IFERROR(0/0,""),preDEL!R796)</f>
        <v>1</v>
      </c>
      <c r="S796" s="104">
        <f>IF(preDEL!$AG796,IFERROR(0/0,""),preDEL!S796)</f>
        <v>1</v>
      </c>
      <c r="T796" s="110" t="str">
        <f>IF(preDEL!$AG796,IFERROR(0/0,""),preDEL!T796)</f>
        <v/>
      </c>
      <c r="U796" s="112" t="str">
        <f>IF(preDEL!$AG796,IFERROR(0/0,""),preDEL!U796)</f>
        <v/>
      </c>
      <c r="V796" s="105" t="str">
        <f>IF(preDEL!$AG796,IFERROR(0/0,""),preDEL!V796)</f>
        <v/>
      </c>
      <c r="W796" s="112" t="str">
        <f>IF(preDEL!$AG796,IFERROR(0/0,""),preDEL!W796)</f>
        <v/>
      </c>
      <c r="X796" s="104" t="b">
        <f>IF(preDEL!$AG796,IFERROR(0/0,""),preDEL!X796)</f>
        <v>0</v>
      </c>
      <c r="Y796" s="110" t="b">
        <f>IF(preDEL!$AG796,IFERROR(0/0,""),preDEL!Y796)</f>
        <v>0</v>
      </c>
      <c r="Z796" s="105" t="str">
        <f>IF(preDEL!$AG796,IFERROR(0/0,""),preDEL!Z796)</f>
        <v/>
      </c>
      <c r="AA796" s="110" t="b">
        <f>IF(preDEL!$AG796,IFERROR(0/0,""),preDEL!AA796)</f>
        <v>0</v>
      </c>
      <c r="AB796" s="110" t="b">
        <f>IF(preDEL!$AG796,IFERROR(0/0,""),preDEL!AB796)</f>
        <v>0</v>
      </c>
      <c r="AC796" s="172">
        <f>IF(preDEL!$AG796,IFERROR(0/0,""),preDEL!AC796)</f>
        <v>27</v>
      </c>
      <c r="AD796" s="104" t="b">
        <f>IF(preDEL!$AG796,IFERROR(0/0,""),preDEL!AD796)</f>
        <v>0</v>
      </c>
      <c r="AE796" s="173">
        <f>IF(preDEL!$AG796,IFERROR(0/0,""),preDEL!AE796)</f>
        <v>234.0166667</v>
      </c>
      <c r="AF796" s="110" t="b">
        <f>IF(preDEL!$AG796,IFERROR(0/0,""),preDEL!AF796)</f>
        <v>0</v>
      </c>
      <c r="AG796" s="110" t="b">
        <f>IF(preDEL!$AG796,IFERROR(0/0,""),preDEL!AG796)</f>
        <v>0</v>
      </c>
      <c r="AH796" s="104" t="str">
        <f>IF(preDEL!$AG796,IFERROR(0/0,""),preDEL!AH796)</f>
        <v/>
      </c>
      <c r="AI796" s="105" t="str">
        <f>IF(preDEL!$AG796,IFERROR(0/0,""),preDEL!AI796)</f>
        <v/>
      </c>
      <c r="AJ796" s="112" t="str">
        <f>IF(preDEL!$AG796,IFERROR(0/0,""),preDEL!AJ796)</f>
        <v/>
      </c>
      <c r="AK796" s="105" t="str">
        <f>IF(preDEL!$AG796,IFERROR(0/0,""),preDEL!AK796)</f>
        <v>Negative</v>
      </c>
      <c r="AL796" s="112" t="str">
        <f>IF(preDEL!$AG796,IFERROR(0/0,""),preDEL!AL796)</f>
        <v/>
      </c>
      <c r="AM796" s="112" t="str">
        <f>IF(preDEL!$AG796,IFERROR(0/0,""),preDEL!AM796)</f>
        <v>SpBEND643855</v>
      </c>
      <c r="AN796" s="112" t="str">
        <f>IF(preDEL!$AG796,IFERROR(0/0,""),preDEL!AN796)</f>
        <v>BEND364074</v>
      </c>
      <c r="AO796" s="112" t="str">
        <f>IF(preDEL!$AG796,IFERROR(0/0,""),preDEL!AO796)</f>
        <v/>
      </c>
      <c r="AP796" s="112" t="str">
        <f>IF(preDEL!$AG796,IFERROR(0/0,""),preDEL!AP796)</f>
        <v/>
      </c>
      <c r="AQ796" s="112" t="str">
        <f>IF(preDEL!$AG796,IFERROR(0/0,""),preDEL!AQ796)</f>
        <v/>
      </c>
      <c r="AR796" s="112" t="str">
        <f>IF(preDEL!$AG796,IFERROR(0/0,""),preDEL!AR796)</f>
        <v/>
      </c>
      <c r="AS796" s="112" t="str">
        <f>IF(preDEL!$AG796,IFERROR(0/0,""),preDEL!AS796)</f>
        <v/>
      </c>
      <c r="AT796" s="112" t="b">
        <f>IF(preDEL!$AG796,IFERROR(0/0,""),preDEL!AT796)</f>
        <v>0</v>
      </c>
      <c r="AU796" s="112" t="str">
        <f>IF(preDEL!$AG796,IFERROR(0/0,""),preDEL!AU796)</f>
        <v/>
      </c>
      <c r="AV796" s="112" t="str">
        <f>IF(preDEL!$AG796,IFERROR(0/0,""),preDEL!AV796)</f>
        <v/>
      </c>
      <c r="AW796" s="112" t="str">
        <f>IF(preDEL!$AG796,IFERROR(0/0,""),preDEL!AW796)</f>
        <v/>
      </c>
      <c r="AX796" s="112" t="str">
        <f>IF(preDEL!$AG796,IFERROR(0/0,""),preDEL!AX796)</f>
        <v/>
      </c>
      <c r="AY796" s="112" t="str">
        <f>IF(preDEL!$AG796,IFERROR(0/0,""),preDEL!AY796)</f>
        <v/>
      </c>
      <c r="AZ796" s="174"/>
      <c r="BA796" s="174"/>
      <c r="BB796" s="174"/>
      <c r="BC796" s="174"/>
      <c r="BD796" s="174"/>
      <c r="BE796" s="174"/>
      <c r="BF796" s="174"/>
      <c r="BG796" s="174"/>
      <c r="BH796" s="174"/>
      <c r="BI796" s="174"/>
      <c r="BJ796" s="174"/>
      <c r="BK796" s="174"/>
      <c r="BL796" s="174"/>
      <c r="BM796" s="174"/>
      <c r="BN796" s="174"/>
      <c r="BO796" s="174"/>
      <c r="BP796" s="174"/>
      <c r="BQ796" s="174"/>
      <c r="BR796" s="174"/>
      <c r="BS796" s="174"/>
      <c r="BT796" s="174"/>
      <c r="BU796" s="174"/>
      <c r="BV796" s="174"/>
      <c r="BW796" s="174"/>
      <c r="BX796" s="174"/>
      <c r="BY796" s="174"/>
      <c r="BZ796" s="174"/>
      <c r="CA796" s="174"/>
      <c r="CB796" s="174"/>
      <c r="CC796" s="174"/>
      <c r="CD796" s="174"/>
    </row>
    <row r="797">
      <c r="A797" s="105" t="str">
        <f>IF(preDEL!$AG797,IFERROR(0/0,""),preDEL!A797)</f>
        <v>FM15</v>
      </c>
      <c r="B797" s="170">
        <f>IF(preDEL!$AG797,IFERROR(0/0,""),preDEL!B797)</f>
        <v>44631</v>
      </c>
      <c r="C797" s="171">
        <f>IF(preDEL!$AG797,IFERROR(0/0,""),preDEL!C797)</f>
        <v>0.323587963</v>
      </c>
      <c r="D797" s="105" t="str">
        <f>IF(preDEL!$AG797,IFERROR(0/0,""),preDEL!D797)</f>
        <v/>
      </c>
      <c r="E797" s="105" t="str">
        <f>IF(preDEL!$AG797,IFERROR(0/0,""),preDEL!E797)</f>
        <v/>
      </c>
      <c r="F797" s="112" t="str">
        <f>IF(preDEL!$AG797,IFERROR(0/0,""),preDEL!F797)</f>
        <v/>
      </c>
      <c r="G797" s="112" t="str">
        <f>IF(preDEL!$AG797,IFERROR(0/0,""),preDEL!G797)</f>
        <v/>
      </c>
      <c r="H797" s="112" t="str">
        <f>IF(preDEL!$AG797,IFERROR(0/0,""),preDEL!H797)</f>
        <v/>
      </c>
      <c r="I797" s="105" t="str">
        <f>IF(preDEL!$AG797,IFERROR(0/0,""),preDEL!I797)</f>
        <v/>
      </c>
      <c r="J797" s="105" t="str">
        <f>IF(preDEL!$AG797,IFERROR(0/0,""),preDEL!J797)</f>
        <v/>
      </c>
      <c r="K797" s="105" t="str">
        <f>IF(preDEL!$AG797,IFERROR(0/0,""),preDEL!K797)</f>
        <v>Negative</v>
      </c>
      <c r="L797" s="170">
        <f>IF(preDEL!$AG797,IFERROR(0/0,""),preDEL!L797)</f>
        <v>44631</v>
      </c>
      <c r="M797" s="171">
        <f>IF(preDEL!$AG797,IFERROR(0/0,""),preDEL!M797)</f>
        <v>0.486087963</v>
      </c>
      <c r="N797" s="112" t="str">
        <f>IF(preDEL!$AG797,IFERROR(0/0,""),preDEL!N797)</f>
        <v/>
      </c>
      <c r="O797" s="112" t="str">
        <f>IF(preDEL!$AG797,IFERROR(0/0,""),preDEL!O797)</f>
        <v/>
      </c>
      <c r="P797" s="110" t="b">
        <f>IF(preDEL!$AG797,IFERROR(0/0,""),preDEL!P797)</f>
        <v>0</v>
      </c>
      <c r="Q797" s="110" t="str">
        <f>IF(preDEL!$AG797,IFERROR(0/0,""),preDEL!Q797)</f>
        <v>Result</v>
      </c>
      <c r="R797" s="104" t="b">
        <f>IF(preDEL!$AG797,IFERROR(0/0,""),preDEL!R797)</f>
        <v>1</v>
      </c>
      <c r="S797" s="104">
        <f>IF(preDEL!$AG797,IFERROR(0/0,""),preDEL!S797)</f>
        <v>1</v>
      </c>
      <c r="T797" s="110" t="str">
        <f>IF(preDEL!$AG797,IFERROR(0/0,""),preDEL!T797)</f>
        <v/>
      </c>
      <c r="U797" s="112" t="str">
        <f>IF(preDEL!$AG797,IFERROR(0/0,""),preDEL!U797)</f>
        <v/>
      </c>
      <c r="V797" s="105" t="str">
        <f>IF(preDEL!$AG797,IFERROR(0/0,""),preDEL!V797)</f>
        <v/>
      </c>
      <c r="W797" s="112" t="str">
        <f>IF(preDEL!$AG797,IFERROR(0/0,""),preDEL!W797)</f>
        <v/>
      </c>
      <c r="X797" s="104" t="b">
        <f>IF(preDEL!$AG797,IFERROR(0/0,""),preDEL!X797)</f>
        <v>0</v>
      </c>
      <c r="Y797" s="110" t="b">
        <f>IF(preDEL!$AG797,IFERROR(0/0,""),preDEL!Y797)</f>
        <v>0</v>
      </c>
      <c r="Z797" s="105" t="str">
        <f>IF(preDEL!$AG797,IFERROR(0/0,""),preDEL!Z797)</f>
        <v/>
      </c>
      <c r="AA797" s="110" t="b">
        <f>IF(preDEL!$AG797,IFERROR(0/0,""),preDEL!AA797)</f>
        <v>0</v>
      </c>
      <c r="AB797" s="110" t="b">
        <f>IF(preDEL!$AG797,IFERROR(0/0,""),preDEL!AB797)</f>
        <v>0</v>
      </c>
      <c r="AC797" s="172">
        <f>IF(preDEL!$AG797,IFERROR(0/0,""),preDEL!AC797)</f>
        <v>26</v>
      </c>
      <c r="AD797" s="104" t="b">
        <f>IF(preDEL!$AG797,IFERROR(0/0,""),preDEL!AD797)</f>
        <v>0</v>
      </c>
      <c r="AE797" s="173">
        <f>IF(preDEL!$AG797,IFERROR(0/0,""),preDEL!AE797)</f>
        <v>234</v>
      </c>
      <c r="AF797" s="110" t="b">
        <f>IF(preDEL!$AG797,IFERROR(0/0,""),preDEL!AF797)</f>
        <v>0</v>
      </c>
      <c r="AG797" s="110" t="b">
        <f>IF(preDEL!$AG797,IFERROR(0/0,""),preDEL!AG797)</f>
        <v>0</v>
      </c>
      <c r="AH797" s="104" t="str">
        <f>IF(preDEL!$AG797,IFERROR(0/0,""),preDEL!AH797)</f>
        <v/>
      </c>
      <c r="AI797" s="105" t="str">
        <f>IF(preDEL!$AG797,IFERROR(0/0,""),preDEL!AI797)</f>
        <v/>
      </c>
      <c r="AJ797" s="112" t="str">
        <f>IF(preDEL!$AG797,IFERROR(0/0,""),preDEL!AJ797)</f>
        <v/>
      </c>
      <c r="AK797" s="105" t="str">
        <f>IF(preDEL!$AG797,IFERROR(0/0,""),preDEL!AK797)</f>
        <v>Negative</v>
      </c>
      <c r="AL797" s="112" t="str">
        <f>IF(preDEL!$AG797,IFERROR(0/0,""),preDEL!AL797)</f>
        <v/>
      </c>
      <c r="AM797" s="112" t="str">
        <f>IF(preDEL!$AG797,IFERROR(0/0,""),preDEL!AM797)</f>
        <v>SpBEND481988</v>
      </c>
      <c r="AN797" s="112" t="str">
        <f>IF(preDEL!$AG797,IFERROR(0/0,""),preDEL!AN797)</f>
        <v>BEND223874</v>
      </c>
      <c r="AO797" s="112" t="str">
        <f>IF(preDEL!$AG797,IFERROR(0/0,""),preDEL!AO797)</f>
        <v/>
      </c>
      <c r="AP797" s="112" t="str">
        <f>IF(preDEL!$AG797,IFERROR(0/0,""),preDEL!AP797)</f>
        <v/>
      </c>
      <c r="AQ797" s="112" t="str">
        <f>IF(preDEL!$AG797,IFERROR(0/0,""),preDEL!AQ797)</f>
        <v/>
      </c>
      <c r="AR797" s="112" t="str">
        <f>IF(preDEL!$AG797,IFERROR(0/0,""),preDEL!AR797)</f>
        <v/>
      </c>
      <c r="AS797" s="112" t="str">
        <f>IF(preDEL!$AG797,IFERROR(0/0,""),preDEL!AS797)</f>
        <v/>
      </c>
      <c r="AT797" s="112" t="b">
        <f>IF(preDEL!$AG797,IFERROR(0/0,""),preDEL!AT797)</f>
        <v>0</v>
      </c>
      <c r="AU797" s="112" t="str">
        <f>IF(preDEL!$AG797,IFERROR(0/0,""),preDEL!AU797)</f>
        <v/>
      </c>
      <c r="AV797" s="112" t="str">
        <f>IF(preDEL!$AG797,IFERROR(0/0,""),preDEL!AV797)</f>
        <v/>
      </c>
      <c r="AW797" s="112" t="str">
        <f>IF(preDEL!$AG797,IFERROR(0/0,""),preDEL!AW797)</f>
        <v/>
      </c>
      <c r="AX797" s="112" t="str">
        <f>IF(preDEL!$AG797,IFERROR(0/0,""),preDEL!AX797)</f>
        <v/>
      </c>
      <c r="AY797" s="112" t="str">
        <f>IF(preDEL!$AG797,IFERROR(0/0,""),preDEL!AY797)</f>
        <v/>
      </c>
      <c r="AZ797" s="174"/>
      <c r="BA797" s="174"/>
      <c r="BB797" s="174"/>
      <c r="BC797" s="174"/>
      <c r="BD797" s="174"/>
      <c r="BE797" s="174"/>
      <c r="BF797" s="174"/>
      <c r="BG797" s="174"/>
      <c r="BH797" s="174"/>
      <c r="BI797" s="174"/>
      <c r="BJ797" s="174"/>
      <c r="BK797" s="174"/>
      <c r="BL797" s="174"/>
      <c r="BM797" s="174"/>
      <c r="BN797" s="174"/>
      <c r="BO797" s="174"/>
      <c r="BP797" s="174"/>
      <c r="BQ797" s="174"/>
      <c r="BR797" s="174"/>
      <c r="BS797" s="174"/>
      <c r="BT797" s="174"/>
      <c r="BU797" s="174"/>
      <c r="BV797" s="174"/>
      <c r="BW797" s="174"/>
      <c r="BX797" s="174"/>
      <c r="BY797" s="174"/>
      <c r="BZ797" s="174"/>
      <c r="CA797" s="174"/>
      <c r="CB797" s="174"/>
      <c r="CC797" s="174"/>
      <c r="CD797" s="174"/>
    </row>
    <row r="798">
      <c r="A798" s="105" t="str">
        <f>IF(preDEL!$AG798,IFERROR(0/0,""),preDEL!A798)</f>
        <v>FM113</v>
      </c>
      <c r="B798" s="170">
        <f>IF(preDEL!$AG798,IFERROR(0/0,""),preDEL!B798)</f>
        <v>44631</v>
      </c>
      <c r="C798" s="171">
        <f>IF(preDEL!$AG798,IFERROR(0/0,""),preDEL!C798)</f>
        <v>0.3240740741</v>
      </c>
      <c r="D798" s="105" t="str">
        <f>IF(preDEL!$AG798,IFERROR(0/0,""),preDEL!D798)</f>
        <v/>
      </c>
      <c r="E798" s="105" t="str">
        <f>IF(preDEL!$AG798,IFERROR(0/0,""),preDEL!E798)</f>
        <v/>
      </c>
      <c r="F798" s="112" t="str">
        <f>IF(preDEL!$AG798,IFERROR(0/0,""),preDEL!F798)</f>
        <v/>
      </c>
      <c r="G798" s="112" t="str">
        <f>IF(preDEL!$AG798,IFERROR(0/0,""),preDEL!G798)</f>
        <v/>
      </c>
      <c r="H798" s="112" t="str">
        <f>IF(preDEL!$AG798,IFERROR(0/0,""),preDEL!H798)</f>
        <v/>
      </c>
      <c r="I798" s="175" t="str">
        <f>IF(preDEL!$AG798,IFERROR(0/0,""),preDEL!I798)</f>
        <v/>
      </c>
      <c r="J798" s="105" t="str">
        <f>IF(preDEL!$AG798,IFERROR(0/0,""),preDEL!J798)</f>
        <v/>
      </c>
      <c r="K798" s="105" t="str">
        <f>IF(preDEL!$AG798,IFERROR(0/0,""),preDEL!K798)</f>
        <v>Negative</v>
      </c>
      <c r="L798" s="170">
        <f>IF(preDEL!$AG798,IFERROR(0/0,""),preDEL!L798)</f>
        <v>44631</v>
      </c>
      <c r="M798" s="171">
        <f>IF(preDEL!$AG798,IFERROR(0/0,""),preDEL!M798)</f>
        <v>0.486099537</v>
      </c>
      <c r="N798" s="112" t="str">
        <f>IF(preDEL!$AG798,IFERROR(0/0,""),preDEL!N798)</f>
        <v>Primary</v>
      </c>
      <c r="O798" s="112" t="str">
        <f>IF(preDEL!$AG798,IFERROR(0/0,""),preDEL!O798)</f>
        <v/>
      </c>
      <c r="P798" s="110" t="b">
        <f>IF(preDEL!$AG798,IFERROR(0/0,""),preDEL!P798)</f>
        <v>0</v>
      </c>
      <c r="Q798" s="110" t="str">
        <f>IF(preDEL!$AG798,IFERROR(0/0,""),preDEL!Q798)</f>
        <v>Result</v>
      </c>
      <c r="R798" s="104" t="b">
        <f>IF(preDEL!$AG798,IFERROR(0/0,""),preDEL!R798)</f>
        <v>1</v>
      </c>
      <c r="S798" s="104">
        <f>IF(preDEL!$AG798,IFERROR(0/0,""),preDEL!S798)</f>
        <v>1</v>
      </c>
      <c r="T798" s="110">
        <f>IF(preDEL!$AG798,IFERROR(0/0,""),preDEL!T798)</f>
        <v>0</v>
      </c>
      <c r="U798" s="112" t="str">
        <f>IF(preDEL!$AG798,IFERROR(0/0,""),preDEL!U798)</f>
        <v/>
      </c>
      <c r="V798" s="105" t="str">
        <f>IF(preDEL!$AG798,IFERROR(0/0,""),preDEL!V798)</f>
        <v/>
      </c>
      <c r="W798" s="112" t="str">
        <f>IF(preDEL!$AG798,IFERROR(0/0,""),preDEL!W798)</f>
        <v/>
      </c>
      <c r="X798" s="104" t="b">
        <f>IF(preDEL!$AG798,IFERROR(0/0,""),preDEL!X798)</f>
        <v>0</v>
      </c>
      <c r="Y798" s="110" t="b">
        <f>IF(preDEL!$AG798,IFERROR(0/0,""),preDEL!Y798)</f>
        <v>0</v>
      </c>
      <c r="Z798" s="105" t="str">
        <f>IF(preDEL!$AG798,IFERROR(0/0,""),preDEL!Z798)</f>
        <v/>
      </c>
      <c r="AA798" s="110" t="b">
        <f>IF(preDEL!$AG798,IFERROR(0/0,""),preDEL!AA798)</f>
        <v>0</v>
      </c>
      <c r="AB798" s="110" t="b">
        <f>IF(preDEL!$AG798,IFERROR(0/0,""),preDEL!AB798)</f>
        <v>0</v>
      </c>
      <c r="AC798" s="172">
        <f>IF(preDEL!$AG798,IFERROR(0/0,""),preDEL!AC798)</f>
        <v>787</v>
      </c>
      <c r="AD798" s="104" t="b">
        <f>IF(preDEL!$AG798,IFERROR(0/0,""),preDEL!AD798)</f>
        <v>1</v>
      </c>
      <c r="AE798" s="173">
        <f>IF(preDEL!$AG798,IFERROR(0/0,""),preDEL!AE798)</f>
        <v>233.3166667</v>
      </c>
      <c r="AF798" s="110" t="b">
        <f>IF(preDEL!$AG798,IFERROR(0/0,""),preDEL!AF798)</f>
        <v>0</v>
      </c>
      <c r="AG798" s="110" t="b">
        <f>IF(preDEL!$AG798,IFERROR(0/0,""),preDEL!AG798)</f>
        <v>0</v>
      </c>
      <c r="AH798" s="104" t="str">
        <f>IF(preDEL!$AG798,IFERROR(0/0,""),preDEL!AH798)</f>
        <v/>
      </c>
      <c r="AI798" s="105" t="str">
        <f>IF(preDEL!$AG798,IFERROR(0/0,""),preDEL!AI798)</f>
        <v/>
      </c>
      <c r="AJ798" s="112" t="str">
        <f>IF(preDEL!$AG798,IFERROR(0/0,""),preDEL!AJ798)</f>
        <v/>
      </c>
      <c r="AK798" s="105" t="str">
        <f>IF(preDEL!$AG798,IFERROR(0/0,""),preDEL!AK798)</f>
        <v>Negative</v>
      </c>
      <c r="AL798" s="112" t="str">
        <f>IF(preDEL!$AG798,IFERROR(0/0,""),preDEL!AL798)</f>
        <v/>
      </c>
      <c r="AM798" s="112" t="str">
        <f>IF(preDEL!$AG798,IFERROR(0/0,""),preDEL!AM798)</f>
        <v>SpBEND136234</v>
      </c>
      <c r="AN798" s="112" t="str">
        <f>IF(preDEL!$AG798,IFERROR(0/0,""),preDEL!AN798)</f>
        <v>BEND350468</v>
      </c>
      <c r="AO798" s="112" t="str">
        <f>IF(preDEL!$AG798,IFERROR(0/0,""),preDEL!AO798)</f>
        <v/>
      </c>
      <c r="AP798" s="112" t="str">
        <f>IF(preDEL!$AG798,IFERROR(0/0,""),preDEL!AP798)</f>
        <v/>
      </c>
      <c r="AQ798" s="112" t="str">
        <f>IF(preDEL!$AG798,IFERROR(0/0,""),preDEL!AQ798)</f>
        <v/>
      </c>
      <c r="AR798" s="112" t="str">
        <f>IF(preDEL!$AG798,IFERROR(0/0,""),preDEL!AR798)</f>
        <v/>
      </c>
      <c r="AS798" s="112" t="str">
        <f>IF(preDEL!$AG798,IFERROR(0/0,""),preDEL!AS798)</f>
        <v/>
      </c>
      <c r="AT798" s="112" t="b">
        <f>IF(preDEL!$AG798,IFERROR(0/0,""),preDEL!AT798)</f>
        <v>0</v>
      </c>
      <c r="AU798" s="112" t="str">
        <f>IF(preDEL!$AG798,IFERROR(0/0,""),preDEL!AU798)</f>
        <v/>
      </c>
      <c r="AV798" s="112" t="str">
        <f>IF(preDEL!$AG798,IFERROR(0/0,""),preDEL!AV798)</f>
        <v/>
      </c>
      <c r="AW798" s="112" t="str">
        <f>IF(preDEL!$AG798,IFERROR(0/0,""),preDEL!AW798)</f>
        <v/>
      </c>
      <c r="AX798" s="112" t="str">
        <f>IF(preDEL!$AG798,IFERROR(0/0,""),preDEL!AX798)</f>
        <v/>
      </c>
      <c r="AY798" s="112" t="str">
        <f>IF(preDEL!$AG798,IFERROR(0/0,""),preDEL!AY798)</f>
        <v/>
      </c>
      <c r="AZ798" s="174"/>
      <c r="BA798" s="174"/>
      <c r="BB798" s="174"/>
      <c r="BC798" s="174"/>
      <c r="BD798" s="174"/>
      <c r="BE798" s="174"/>
      <c r="BF798" s="174"/>
      <c r="BG798" s="174"/>
      <c r="BH798" s="174"/>
      <c r="BI798" s="174"/>
      <c r="BJ798" s="174"/>
      <c r="BK798" s="174"/>
      <c r="BL798" s="174"/>
      <c r="BM798" s="174"/>
      <c r="BN798" s="174"/>
      <c r="BO798" s="174"/>
      <c r="BP798" s="174"/>
      <c r="BQ798" s="174"/>
      <c r="BR798" s="174"/>
      <c r="BS798" s="174"/>
      <c r="BT798" s="174"/>
      <c r="BU798" s="174"/>
      <c r="BV798" s="174"/>
      <c r="BW798" s="174"/>
      <c r="BX798" s="174"/>
      <c r="BY798" s="174"/>
      <c r="BZ798" s="174"/>
      <c r="CA798" s="174"/>
      <c r="CB798" s="174"/>
      <c r="CC798" s="174"/>
      <c r="CD798" s="174"/>
    </row>
    <row r="799">
      <c r="A799" s="105" t="str">
        <f>IF(preDEL!$AG799,IFERROR(0/0,""),preDEL!A799)</f>
        <v>FM404</v>
      </c>
      <c r="B799" s="170">
        <f>IF(preDEL!$AG799,IFERROR(0/0,""),preDEL!B799)</f>
        <v>44631</v>
      </c>
      <c r="C799" s="171">
        <f>IF(preDEL!$AG799,IFERROR(0/0,""),preDEL!C799)</f>
        <v>0.3271064815</v>
      </c>
      <c r="D799" s="105" t="str">
        <f>IF(preDEL!$AG799,IFERROR(0/0,""),preDEL!D799)</f>
        <v/>
      </c>
      <c r="E799" s="105" t="str">
        <f>IF(preDEL!$AG799,IFERROR(0/0,""),preDEL!E799)</f>
        <v/>
      </c>
      <c r="F799" s="112" t="str">
        <f>IF(preDEL!$AG799,IFERROR(0/0,""),preDEL!F799)</f>
        <v/>
      </c>
      <c r="G799" s="112" t="str">
        <f>IF(preDEL!$AG799,IFERROR(0/0,""),preDEL!G799)</f>
        <v/>
      </c>
      <c r="H799" s="112" t="str">
        <f>IF(preDEL!$AG799,IFERROR(0/0,""),preDEL!H799)</f>
        <v/>
      </c>
      <c r="I799" s="105" t="str">
        <f>IF(preDEL!$AG799,IFERROR(0/0,""),preDEL!I799)</f>
        <v/>
      </c>
      <c r="J799" s="105" t="str">
        <f>IF(preDEL!$AG799,IFERROR(0/0,""),preDEL!J799)</f>
        <v/>
      </c>
      <c r="K799" s="105" t="str">
        <f>IF(preDEL!$AG799,IFERROR(0/0,""),preDEL!K799)</f>
        <v>Negative</v>
      </c>
      <c r="L799" s="170">
        <f>IF(preDEL!$AG799,IFERROR(0/0,""),preDEL!L799)</f>
        <v>44631</v>
      </c>
      <c r="M799" s="171">
        <f>IF(preDEL!$AG799,IFERROR(0/0,""),preDEL!M799)</f>
        <v>0.486099537</v>
      </c>
      <c r="N799" s="112" t="str">
        <f>IF(preDEL!$AG799,IFERROR(0/0,""),preDEL!N799)</f>
        <v/>
      </c>
      <c r="O799" s="112" t="str">
        <f>IF(preDEL!$AG799,IFERROR(0/0,""),preDEL!O799)</f>
        <v/>
      </c>
      <c r="P799" s="110" t="b">
        <f>IF(preDEL!$AG799,IFERROR(0/0,""),preDEL!P799)</f>
        <v>0</v>
      </c>
      <c r="Q799" s="110" t="str">
        <f>IF(preDEL!$AG799,IFERROR(0/0,""),preDEL!Q799)</f>
        <v>Result</v>
      </c>
      <c r="R799" s="104" t="b">
        <f>IF(preDEL!$AG799,IFERROR(0/0,""),preDEL!R799)</f>
        <v>1</v>
      </c>
      <c r="S799" s="104">
        <f>IF(preDEL!$AG799,IFERROR(0/0,""),preDEL!S799)</f>
        <v>1</v>
      </c>
      <c r="T799" s="110" t="str">
        <f>IF(preDEL!$AG799,IFERROR(0/0,""),preDEL!T799)</f>
        <v/>
      </c>
      <c r="U799" s="112" t="str">
        <f>IF(preDEL!$AG799,IFERROR(0/0,""),preDEL!U799)</f>
        <v/>
      </c>
      <c r="V799" s="105" t="str">
        <f>IF(preDEL!$AG799,IFERROR(0/0,""),preDEL!V799)</f>
        <v/>
      </c>
      <c r="W799" s="112" t="str">
        <f>IF(preDEL!$AG799,IFERROR(0/0,""),preDEL!W799)</f>
        <v/>
      </c>
      <c r="X799" s="104" t="b">
        <f>IF(preDEL!$AG799,IFERROR(0/0,""),preDEL!X799)</f>
        <v>0</v>
      </c>
      <c r="Y799" s="110" t="b">
        <f>IF(preDEL!$AG799,IFERROR(0/0,""),preDEL!Y799)</f>
        <v>0</v>
      </c>
      <c r="Z799" s="105" t="str">
        <f>IF(preDEL!$AG799,IFERROR(0/0,""),preDEL!Z799)</f>
        <v/>
      </c>
      <c r="AA799" s="110" t="b">
        <f>IF(preDEL!$AG799,IFERROR(0/0,""),preDEL!AA799)</f>
        <v>0</v>
      </c>
      <c r="AB799" s="110" t="b">
        <f>IF(preDEL!$AG799,IFERROR(0/0,""),preDEL!AB799)</f>
        <v>0</v>
      </c>
      <c r="AC799" s="172">
        <f>IF(preDEL!$AG799,IFERROR(0/0,""),preDEL!AC799)</f>
        <v>25</v>
      </c>
      <c r="AD799" s="104" t="b">
        <f>IF(preDEL!$AG799,IFERROR(0/0,""),preDEL!AD799)</f>
        <v>0</v>
      </c>
      <c r="AE799" s="173">
        <f>IF(preDEL!$AG799,IFERROR(0/0,""),preDEL!AE799)</f>
        <v>228.95</v>
      </c>
      <c r="AF799" s="110" t="b">
        <f>IF(preDEL!$AG799,IFERROR(0/0,""),preDEL!AF799)</f>
        <v>0</v>
      </c>
      <c r="AG799" s="110" t="b">
        <f>IF(preDEL!$AG799,IFERROR(0/0,""),preDEL!AG799)</f>
        <v>0</v>
      </c>
      <c r="AH799" s="104" t="str">
        <f>IF(preDEL!$AG799,IFERROR(0/0,""),preDEL!AH799)</f>
        <v/>
      </c>
      <c r="AI799" s="105" t="str">
        <f>IF(preDEL!$AG799,IFERROR(0/0,""),preDEL!AI799)</f>
        <v/>
      </c>
      <c r="AJ799" s="112" t="str">
        <f>IF(preDEL!$AG799,IFERROR(0/0,""),preDEL!AJ799)</f>
        <v/>
      </c>
      <c r="AK799" s="105" t="str">
        <f>IF(preDEL!$AG799,IFERROR(0/0,""),preDEL!AK799)</f>
        <v>Negative</v>
      </c>
      <c r="AL799" s="112" t="str">
        <f>IF(preDEL!$AG799,IFERROR(0/0,""),preDEL!AL799)</f>
        <v/>
      </c>
      <c r="AM799" s="112" t="str">
        <f>IF(preDEL!$AG799,IFERROR(0/0,""),preDEL!AM799)</f>
        <v>SpBEND672680</v>
      </c>
      <c r="AN799" s="112" t="str">
        <f>IF(preDEL!$AG799,IFERROR(0/0,""),preDEL!AN799)</f>
        <v>BEND955524</v>
      </c>
      <c r="AO799" s="112" t="str">
        <f>IF(preDEL!$AG799,IFERROR(0/0,""),preDEL!AO799)</f>
        <v/>
      </c>
      <c r="AP799" s="112" t="str">
        <f>IF(preDEL!$AG799,IFERROR(0/0,""),preDEL!AP799)</f>
        <v/>
      </c>
      <c r="AQ799" s="112" t="str">
        <f>IF(preDEL!$AG799,IFERROR(0/0,""),preDEL!AQ799)</f>
        <v/>
      </c>
      <c r="AR799" s="112" t="str">
        <f>IF(preDEL!$AG799,IFERROR(0/0,""),preDEL!AR799)</f>
        <v/>
      </c>
      <c r="AS799" s="112" t="str">
        <f>IF(preDEL!$AG799,IFERROR(0/0,""),preDEL!AS799)</f>
        <v/>
      </c>
      <c r="AT799" s="112" t="b">
        <f>IF(preDEL!$AG799,IFERROR(0/0,""),preDEL!AT799)</f>
        <v>0</v>
      </c>
      <c r="AU799" s="112" t="str">
        <f>IF(preDEL!$AG799,IFERROR(0/0,""),preDEL!AU799)</f>
        <v/>
      </c>
      <c r="AV799" s="112" t="str">
        <f>IF(preDEL!$AG799,IFERROR(0/0,""),preDEL!AV799)</f>
        <v/>
      </c>
      <c r="AW799" s="112" t="str">
        <f>IF(preDEL!$AG799,IFERROR(0/0,""),preDEL!AW799)</f>
        <v/>
      </c>
      <c r="AX799" s="112" t="str">
        <f>IF(preDEL!$AG799,IFERROR(0/0,""),preDEL!AX799)</f>
        <v/>
      </c>
      <c r="AY799" s="112" t="str">
        <f>IF(preDEL!$AG799,IFERROR(0/0,""),preDEL!AY799)</f>
        <v/>
      </c>
      <c r="AZ799" s="174"/>
      <c r="BA799" s="174"/>
      <c r="BB799" s="174"/>
      <c r="BC799" s="174"/>
      <c r="BD799" s="174"/>
      <c r="BE799" s="174"/>
      <c r="BF799" s="174"/>
      <c r="BG799" s="174"/>
      <c r="BH799" s="174"/>
      <c r="BI799" s="174"/>
      <c r="BJ799" s="174"/>
      <c r="BK799" s="174"/>
      <c r="BL799" s="174"/>
      <c r="BM799" s="174"/>
      <c r="BN799" s="174"/>
      <c r="BO799" s="174"/>
      <c r="BP799" s="174"/>
      <c r="BQ799" s="174"/>
      <c r="BR799" s="174"/>
      <c r="BS799" s="174"/>
      <c r="BT799" s="174"/>
      <c r="BU799" s="174"/>
      <c r="BV799" s="174"/>
      <c r="BW799" s="174"/>
      <c r="BX799" s="174"/>
      <c r="BY799" s="174"/>
      <c r="BZ799" s="174"/>
      <c r="CA799" s="174"/>
      <c r="CB799" s="174"/>
      <c r="CC799" s="174"/>
      <c r="CD799" s="174"/>
    </row>
    <row r="800">
      <c r="A800" s="105" t="str">
        <f>IF(preDEL!$AG800,IFERROR(0/0,""),preDEL!A800)</f>
        <v>FM464</v>
      </c>
      <c r="B800" s="170">
        <f>IF(preDEL!$AG800,IFERROR(0/0,""),preDEL!B800)</f>
        <v>44631</v>
      </c>
      <c r="C800" s="171">
        <f>IF(preDEL!$AG800,IFERROR(0/0,""),preDEL!C800)</f>
        <v>0.3299884259</v>
      </c>
      <c r="D800" s="105" t="str">
        <f>IF(preDEL!$AG800,IFERROR(0/0,""),preDEL!D800)</f>
        <v/>
      </c>
      <c r="E800" s="105" t="str">
        <f>IF(preDEL!$AG800,IFERROR(0/0,""),preDEL!E800)</f>
        <v/>
      </c>
      <c r="F800" s="112" t="str">
        <f>IF(preDEL!$AG800,IFERROR(0/0,""),preDEL!F800)</f>
        <v/>
      </c>
      <c r="G800" s="112" t="str">
        <f>IF(preDEL!$AG800,IFERROR(0/0,""),preDEL!G800)</f>
        <v/>
      </c>
      <c r="H800" s="112" t="str">
        <f>IF(preDEL!$AG800,IFERROR(0/0,""),preDEL!H800)</f>
        <v/>
      </c>
      <c r="I800" s="105" t="str">
        <f>IF(preDEL!$AG800,IFERROR(0/0,""),preDEL!I800)</f>
        <v/>
      </c>
      <c r="J800" s="105" t="str">
        <f>IF(preDEL!$AG800,IFERROR(0/0,""),preDEL!J800)</f>
        <v/>
      </c>
      <c r="K800" s="105" t="str">
        <f>IF(preDEL!$AG800,IFERROR(0/0,""),preDEL!K800)</f>
        <v>Negative</v>
      </c>
      <c r="L800" s="170">
        <f>IF(preDEL!$AG800,IFERROR(0/0,""),preDEL!L800)</f>
        <v>44631</v>
      </c>
      <c r="M800" s="171">
        <f>IF(preDEL!$AG800,IFERROR(0/0,""),preDEL!M800)</f>
        <v>0.486099537</v>
      </c>
      <c r="N800" s="112" t="str">
        <f>IF(preDEL!$AG800,IFERROR(0/0,""),preDEL!N800)</f>
        <v/>
      </c>
      <c r="O800" s="112" t="str">
        <f>IF(preDEL!$AG800,IFERROR(0/0,""),preDEL!O800)</f>
        <v/>
      </c>
      <c r="P800" s="110" t="b">
        <f>IF(preDEL!$AG800,IFERROR(0/0,""),preDEL!P800)</f>
        <v>0</v>
      </c>
      <c r="Q800" s="110" t="str">
        <f>IF(preDEL!$AG800,IFERROR(0/0,""),preDEL!Q800)</f>
        <v>Result</v>
      </c>
      <c r="R800" s="104" t="b">
        <f>IF(preDEL!$AG800,IFERROR(0/0,""),preDEL!R800)</f>
        <v>1</v>
      </c>
      <c r="S800" s="104">
        <f>IF(preDEL!$AG800,IFERROR(0/0,""),preDEL!S800)</f>
        <v>1</v>
      </c>
      <c r="T800" s="110" t="str">
        <f>IF(preDEL!$AG800,IFERROR(0/0,""),preDEL!T800)</f>
        <v/>
      </c>
      <c r="U800" s="112" t="str">
        <f>IF(preDEL!$AG800,IFERROR(0/0,""),preDEL!U800)</f>
        <v/>
      </c>
      <c r="V800" s="105" t="str">
        <f>IF(preDEL!$AG800,IFERROR(0/0,""),preDEL!V800)</f>
        <v/>
      </c>
      <c r="W800" s="112" t="str">
        <f>IF(preDEL!$AG800,IFERROR(0/0,""),preDEL!W800)</f>
        <v/>
      </c>
      <c r="X800" s="104" t="b">
        <f>IF(preDEL!$AG800,IFERROR(0/0,""),preDEL!X800)</f>
        <v>0</v>
      </c>
      <c r="Y800" s="110" t="b">
        <f>IF(preDEL!$AG800,IFERROR(0/0,""),preDEL!Y800)</f>
        <v>0</v>
      </c>
      <c r="Z800" s="105" t="str">
        <f>IF(preDEL!$AG800,IFERROR(0/0,""),preDEL!Z800)</f>
        <v/>
      </c>
      <c r="AA800" s="110" t="b">
        <f>IF(preDEL!$AG800,IFERROR(0/0,""),preDEL!AA800)</f>
        <v>0</v>
      </c>
      <c r="AB800" s="110" t="b">
        <f>IF(preDEL!$AG800,IFERROR(0/0,""),preDEL!AB800)</f>
        <v>0</v>
      </c>
      <c r="AC800" s="172">
        <f>IF(preDEL!$AG800,IFERROR(0/0,""),preDEL!AC800)</f>
        <v>24</v>
      </c>
      <c r="AD800" s="104" t="b">
        <f>IF(preDEL!$AG800,IFERROR(0/0,""),preDEL!AD800)</f>
        <v>0</v>
      </c>
      <c r="AE800" s="173">
        <f>IF(preDEL!$AG800,IFERROR(0/0,""),preDEL!AE800)</f>
        <v>224.8</v>
      </c>
      <c r="AF800" s="110" t="b">
        <f>IF(preDEL!$AG800,IFERROR(0/0,""),preDEL!AF800)</f>
        <v>0</v>
      </c>
      <c r="AG800" s="110" t="b">
        <f>IF(preDEL!$AG800,IFERROR(0/0,""),preDEL!AG800)</f>
        <v>0</v>
      </c>
      <c r="AH800" s="104" t="str">
        <f>IF(preDEL!$AG800,IFERROR(0/0,""),preDEL!AH800)</f>
        <v/>
      </c>
      <c r="AI800" s="105" t="str">
        <f>IF(preDEL!$AG800,IFERROR(0/0,""),preDEL!AI800)</f>
        <v/>
      </c>
      <c r="AJ800" s="112" t="str">
        <f>IF(preDEL!$AG800,IFERROR(0/0,""),preDEL!AJ800)</f>
        <v/>
      </c>
      <c r="AK800" s="105" t="str">
        <f>IF(preDEL!$AG800,IFERROR(0/0,""),preDEL!AK800)</f>
        <v>Negative</v>
      </c>
      <c r="AL800" s="112" t="str">
        <f>IF(preDEL!$AG800,IFERROR(0/0,""),preDEL!AL800)</f>
        <v/>
      </c>
      <c r="AM800" s="112" t="str">
        <f>IF(preDEL!$AG800,IFERROR(0/0,""),preDEL!AM800)</f>
        <v>SpBEND642175</v>
      </c>
      <c r="AN800" s="112" t="str">
        <f>IF(preDEL!$AG800,IFERROR(0/0,""),preDEL!AN800)</f>
        <v>BEND883134</v>
      </c>
      <c r="AO800" s="112" t="str">
        <f>IF(preDEL!$AG800,IFERROR(0/0,""),preDEL!AO800)</f>
        <v/>
      </c>
      <c r="AP800" s="112" t="str">
        <f>IF(preDEL!$AG800,IFERROR(0/0,""),preDEL!AP800)</f>
        <v/>
      </c>
      <c r="AQ800" s="112" t="str">
        <f>IF(preDEL!$AG800,IFERROR(0/0,""),preDEL!AQ800)</f>
        <v/>
      </c>
      <c r="AR800" s="112" t="str">
        <f>IF(preDEL!$AG800,IFERROR(0/0,""),preDEL!AR800)</f>
        <v/>
      </c>
      <c r="AS800" s="112" t="str">
        <f>IF(preDEL!$AG800,IFERROR(0/0,""),preDEL!AS800)</f>
        <v/>
      </c>
      <c r="AT800" s="112" t="b">
        <f>IF(preDEL!$AG800,IFERROR(0/0,""),preDEL!AT800)</f>
        <v>0</v>
      </c>
      <c r="AU800" s="112" t="str">
        <f>IF(preDEL!$AG800,IFERROR(0/0,""),preDEL!AU800)</f>
        <v/>
      </c>
      <c r="AV800" s="112" t="str">
        <f>IF(preDEL!$AG800,IFERROR(0/0,""),preDEL!AV800)</f>
        <v/>
      </c>
      <c r="AW800" s="112" t="str">
        <f>IF(preDEL!$AG800,IFERROR(0/0,""),preDEL!AW800)</f>
        <v/>
      </c>
      <c r="AX800" s="112" t="str">
        <f>IF(preDEL!$AG800,IFERROR(0/0,""),preDEL!AX800)</f>
        <v/>
      </c>
      <c r="AY800" s="112" t="str">
        <f>IF(preDEL!$AG800,IFERROR(0/0,""),preDEL!AY800)</f>
        <v/>
      </c>
      <c r="AZ800" s="174"/>
      <c r="BA800" s="174"/>
      <c r="BB800" s="174"/>
      <c r="BC800" s="174"/>
      <c r="BD800" s="174"/>
      <c r="BE800" s="174"/>
      <c r="BF800" s="174"/>
      <c r="BG800" s="174"/>
      <c r="BH800" s="174"/>
      <c r="BI800" s="174"/>
      <c r="BJ800" s="174"/>
      <c r="BK800" s="174"/>
      <c r="BL800" s="174"/>
      <c r="BM800" s="174"/>
      <c r="BN800" s="174"/>
      <c r="BO800" s="174"/>
      <c r="BP800" s="174"/>
      <c r="BQ800" s="174"/>
      <c r="BR800" s="174"/>
      <c r="BS800" s="174"/>
      <c r="BT800" s="174"/>
      <c r="BU800" s="174"/>
      <c r="BV800" s="174"/>
      <c r="BW800" s="174"/>
      <c r="BX800" s="174"/>
      <c r="BY800" s="174"/>
      <c r="BZ800" s="174"/>
      <c r="CA800" s="174"/>
      <c r="CB800" s="174"/>
      <c r="CC800" s="174"/>
      <c r="CD800" s="174"/>
    </row>
    <row r="801">
      <c r="A801" s="105" t="str">
        <f>IF(preDEL!$AG801,IFERROR(0/0,""),preDEL!A801)</f>
        <v>FM360</v>
      </c>
      <c r="B801" s="170">
        <f>IF(preDEL!$AG801,IFERROR(0/0,""),preDEL!B801)</f>
        <v>44631</v>
      </c>
      <c r="C801" s="171">
        <f>IF(preDEL!$AG801,IFERROR(0/0,""),preDEL!C801)</f>
        <v>0.3314236111</v>
      </c>
      <c r="D801" s="105" t="str">
        <f>IF(preDEL!$AG801,IFERROR(0/0,""),preDEL!D801)</f>
        <v/>
      </c>
      <c r="E801" s="105" t="str">
        <f>IF(preDEL!$AG801,IFERROR(0/0,""),preDEL!E801)</f>
        <v/>
      </c>
      <c r="F801" s="112" t="str">
        <f>IF(preDEL!$AG801,IFERROR(0/0,""),preDEL!F801)</f>
        <v/>
      </c>
      <c r="G801" s="112" t="str">
        <f>IF(preDEL!$AG801,IFERROR(0/0,""),preDEL!G801)</f>
        <v/>
      </c>
      <c r="H801" s="112" t="str">
        <f>IF(preDEL!$AG801,IFERROR(0/0,""),preDEL!H801)</f>
        <v/>
      </c>
      <c r="I801" s="105" t="str">
        <f>IF(preDEL!$AG801,IFERROR(0/0,""),preDEL!I801)</f>
        <v/>
      </c>
      <c r="J801" s="105" t="str">
        <f>IF(preDEL!$AG801,IFERROR(0/0,""),preDEL!J801)</f>
        <v/>
      </c>
      <c r="K801" s="105" t="str">
        <f>IF(preDEL!$AG801,IFERROR(0/0,""),preDEL!K801)</f>
        <v>Negative</v>
      </c>
      <c r="L801" s="170">
        <f>IF(preDEL!$AG801,IFERROR(0/0,""),preDEL!L801)</f>
        <v>44631</v>
      </c>
      <c r="M801" s="171">
        <f>IF(preDEL!$AG801,IFERROR(0/0,""),preDEL!M801)</f>
        <v>0.486099537</v>
      </c>
      <c r="N801" s="112" t="str">
        <f>IF(preDEL!$AG801,IFERROR(0/0,""),preDEL!N801)</f>
        <v/>
      </c>
      <c r="O801" s="112" t="str">
        <f>IF(preDEL!$AG801,IFERROR(0/0,""),preDEL!O801)</f>
        <v/>
      </c>
      <c r="P801" s="110" t="b">
        <f>IF(preDEL!$AG801,IFERROR(0/0,""),preDEL!P801)</f>
        <v>0</v>
      </c>
      <c r="Q801" s="110" t="str">
        <f>IF(preDEL!$AG801,IFERROR(0/0,""),preDEL!Q801)</f>
        <v>Result</v>
      </c>
      <c r="R801" s="104" t="b">
        <f>IF(preDEL!$AG801,IFERROR(0/0,""),preDEL!R801)</f>
        <v>1</v>
      </c>
      <c r="S801" s="104">
        <f>IF(preDEL!$AG801,IFERROR(0/0,""),preDEL!S801)</f>
        <v>1</v>
      </c>
      <c r="T801" s="110" t="str">
        <f>IF(preDEL!$AG801,IFERROR(0/0,""),preDEL!T801)</f>
        <v/>
      </c>
      <c r="U801" s="112" t="str">
        <f>IF(preDEL!$AG801,IFERROR(0/0,""),preDEL!U801)</f>
        <v/>
      </c>
      <c r="V801" s="105" t="str">
        <f>IF(preDEL!$AG801,IFERROR(0/0,""),preDEL!V801)</f>
        <v/>
      </c>
      <c r="W801" s="112" t="str">
        <f>IF(preDEL!$AG801,IFERROR(0/0,""),preDEL!W801)</f>
        <v/>
      </c>
      <c r="X801" s="104" t="b">
        <f>IF(preDEL!$AG801,IFERROR(0/0,""),preDEL!X801)</f>
        <v>0</v>
      </c>
      <c r="Y801" s="110" t="b">
        <f>IF(preDEL!$AG801,IFERROR(0/0,""),preDEL!Y801)</f>
        <v>0</v>
      </c>
      <c r="Z801" s="105" t="str">
        <f>IF(preDEL!$AG801,IFERROR(0/0,""),preDEL!Z801)</f>
        <v/>
      </c>
      <c r="AA801" s="110" t="b">
        <f>IF(preDEL!$AG801,IFERROR(0/0,""),preDEL!AA801)</f>
        <v>0</v>
      </c>
      <c r="AB801" s="110" t="b">
        <f>IF(preDEL!$AG801,IFERROR(0/0,""),preDEL!AB801)</f>
        <v>0</v>
      </c>
      <c r="AC801" s="172">
        <f>IF(preDEL!$AG801,IFERROR(0/0,""),preDEL!AC801)</f>
        <v>23</v>
      </c>
      <c r="AD801" s="104" t="b">
        <f>IF(preDEL!$AG801,IFERROR(0/0,""),preDEL!AD801)</f>
        <v>0</v>
      </c>
      <c r="AE801" s="173">
        <f>IF(preDEL!$AG801,IFERROR(0/0,""),preDEL!AE801)</f>
        <v>222.7333333</v>
      </c>
      <c r="AF801" s="110" t="b">
        <f>IF(preDEL!$AG801,IFERROR(0/0,""),preDEL!AF801)</f>
        <v>0</v>
      </c>
      <c r="AG801" s="110" t="b">
        <f>IF(preDEL!$AG801,IFERROR(0/0,""),preDEL!AG801)</f>
        <v>0</v>
      </c>
      <c r="AH801" s="104" t="str">
        <f>IF(preDEL!$AG801,IFERROR(0/0,""),preDEL!AH801)</f>
        <v/>
      </c>
      <c r="AI801" s="105" t="str">
        <f>IF(preDEL!$AG801,IFERROR(0/0,""),preDEL!AI801)</f>
        <v/>
      </c>
      <c r="AJ801" s="112" t="str">
        <f>IF(preDEL!$AG801,IFERROR(0/0,""),preDEL!AJ801)</f>
        <v/>
      </c>
      <c r="AK801" s="105" t="str">
        <f>IF(preDEL!$AG801,IFERROR(0/0,""),preDEL!AK801)</f>
        <v>Negative</v>
      </c>
      <c r="AL801" s="112" t="str">
        <f>IF(preDEL!$AG801,IFERROR(0/0,""),preDEL!AL801)</f>
        <v/>
      </c>
      <c r="AM801" s="112" t="str">
        <f>IF(preDEL!$AG801,IFERROR(0/0,""),preDEL!AM801)</f>
        <v>SpBEND634692</v>
      </c>
      <c r="AN801" s="112" t="str">
        <f>IF(preDEL!$AG801,IFERROR(0/0,""),preDEL!AN801)</f>
        <v>BEND885483</v>
      </c>
      <c r="AO801" s="112" t="str">
        <f>IF(preDEL!$AG801,IFERROR(0/0,""),preDEL!AO801)</f>
        <v/>
      </c>
      <c r="AP801" s="112" t="str">
        <f>IF(preDEL!$AG801,IFERROR(0/0,""),preDEL!AP801)</f>
        <v/>
      </c>
      <c r="AQ801" s="112" t="str">
        <f>IF(preDEL!$AG801,IFERROR(0/0,""),preDEL!AQ801)</f>
        <v/>
      </c>
      <c r="AR801" s="112" t="str">
        <f>IF(preDEL!$AG801,IFERROR(0/0,""),preDEL!AR801)</f>
        <v/>
      </c>
      <c r="AS801" s="112" t="str">
        <f>IF(preDEL!$AG801,IFERROR(0/0,""),preDEL!AS801)</f>
        <v/>
      </c>
      <c r="AT801" s="112" t="b">
        <f>IF(preDEL!$AG801,IFERROR(0/0,""),preDEL!AT801)</f>
        <v>0</v>
      </c>
      <c r="AU801" s="112" t="str">
        <f>IF(preDEL!$AG801,IFERROR(0/0,""),preDEL!AU801)</f>
        <v/>
      </c>
      <c r="AV801" s="112" t="str">
        <f>IF(preDEL!$AG801,IFERROR(0/0,""),preDEL!AV801)</f>
        <v/>
      </c>
      <c r="AW801" s="112" t="str">
        <f>IF(preDEL!$AG801,IFERROR(0/0,""),preDEL!AW801)</f>
        <v/>
      </c>
      <c r="AX801" s="112" t="str">
        <f>IF(preDEL!$AG801,IFERROR(0/0,""),preDEL!AX801)</f>
        <v/>
      </c>
      <c r="AY801" s="112" t="str">
        <f>IF(preDEL!$AG801,IFERROR(0/0,""),preDEL!AY801)</f>
        <v/>
      </c>
      <c r="AZ801" s="174"/>
      <c r="BA801" s="174"/>
      <c r="BB801" s="174"/>
      <c r="BC801" s="174"/>
      <c r="BD801" s="174"/>
      <c r="BE801" s="174"/>
      <c r="BF801" s="174"/>
      <c r="BG801" s="174"/>
      <c r="BH801" s="174"/>
      <c r="BI801" s="174"/>
      <c r="BJ801" s="174"/>
      <c r="BK801" s="174"/>
      <c r="BL801" s="174"/>
      <c r="BM801" s="174"/>
      <c r="BN801" s="174"/>
      <c r="BO801" s="174"/>
      <c r="BP801" s="174"/>
      <c r="BQ801" s="174"/>
      <c r="BR801" s="174"/>
      <c r="BS801" s="174"/>
      <c r="BT801" s="174"/>
      <c r="BU801" s="174"/>
      <c r="BV801" s="174"/>
      <c r="BW801" s="174"/>
      <c r="BX801" s="174"/>
      <c r="BY801" s="174"/>
      <c r="BZ801" s="174"/>
      <c r="CA801" s="174"/>
      <c r="CB801" s="174"/>
      <c r="CC801" s="174"/>
      <c r="CD801" s="174"/>
    </row>
    <row r="802">
      <c r="A802" s="105" t="str">
        <f>IF(preDEL!$AG802,IFERROR(0/0,""),preDEL!A802)</f>
        <v>FM65</v>
      </c>
      <c r="B802" s="170">
        <f>IF(preDEL!$AG802,IFERROR(0/0,""),preDEL!B802)</f>
        <v>44631</v>
      </c>
      <c r="C802" s="171">
        <f>IF(preDEL!$AG802,IFERROR(0/0,""),preDEL!C802)</f>
        <v>0.3362962963</v>
      </c>
      <c r="D802" s="105" t="str">
        <f>IF(preDEL!$AG802,IFERROR(0/0,""),preDEL!D802)</f>
        <v/>
      </c>
      <c r="E802" s="105" t="str">
        <f>IF(preDEL!$AG802,IFERROR(0/0,""),preDEL!E802)</f>
        <v/>
      </c>
      <c r="F802" s="112" t="str">
        <f>IF(preDEL!$AG802,IFERROR(0/0,""),preDEL!F802)</f>
        <v/>
      </c>
      <c r="G802" s="112" t="str">
        <f>IF(preDEL!$AG802,IFERROR(0/0,""),preDEL!G802)</f>
        <v/>
      </c>
      <c r="H802" s="112" t="str">
        <f>IF(preDEL!$AG802,IFERROR(0/0,""),preDEL!H802)</f>
        <v/>
      </c>
      <c r="I802" s="105" t="str">
        <f>IF(preDEL!$AG802,IFERROR(0/0,""),preDEL!I802)</f>
        <v/>
      </c>
      <c r="J802" s="105" t="str">
        <f>IF(preDEL!$AG802,IFERROR(0/0,""),preDEL!J802)</f>
        <v/>
      </c>
      <c r="K802" s="105" t="str">
        <f>IF(preDEL!$AG802,IFERROR(0/0,""),preDEL!K802)</f>
        <v>Negative</v>
      </c>
      <c r="L802" s="170">
        <f>IF(preDEL!$AG802,IFERROR(0/0,""),preDEL!L802)</f>
        <v>44631</v>
      </c>
      <c r="M802" s="171">
        <f>IF(preDEL!$AG802,IFERROR(0/0,""),preDEL!M802)</f>
        <v>0.486099537</v>
      </c>
      <c r="N802" s="112" t="str">
        <f>IF(preDEL!$AG802,IFERROR(0/0,""),preDEL!N802)</f>
        <v/>
      </c>
      <c r="O802" s="112" t="str">
        <f>IF(preDEL!$AG802,IFERROR(0/0,""),preDEL!O802)</f>
        <v/>
      </c>
      <c r="P802" s="110" t="b">
        <f>IF(preDEL!$AG802,IFERROR(0/0,""),preDEL!P802)</f>
        <v>0</v>
      </c>
      <c r="Q802" s="110" t="str">
        <f>IF(preDEL!$AG802,IFERROR(0/0,""),preDEL!Q802)</f>
        <v>Result</v>
      </c>
      <c r="R802" s="104" t="b">
        <f>IF(preDEL!$AG802,IFERROR(0/0,""),preDEL!R802)</f>
        <v>1</v>
      </c>
      <c r="S802" s="104">
        <f>IF(preDEL!$AG802,IFERROR(0/0,""),preDEL!S802)</f>
        <v>1</v>
      </c>
      <c r="T802" s="110" t="str">
        <f>IF(preDEL!$AG802,IFERROR(0/0,""),preDEL!T802)</f>
        <v/>
      </c>
      <c r="U802" s="112" t="str">
        <f>IF(preDEL!$AG802,IFERROR(0/0,""),preDEL!U802)</f>
        <v/>
      </c>
      <c r="V802" s="105" t="str">
        <f>IF(preDEL!$AG802,IFERROR(0/0,""),preDEL!V802)</f>
        <v/>
      </c>
      <c r="W802" s="112" t="str">
        <f>IF(preDEL!$AG802,IFERROR(0/0,""),preDEL!W802)</f>
        <v/>
      </c>
      <c r="X802" s="104" t="b">
        <f>IF(preDEL!$AG802,IFERROR(0/0,""),preDEL!X802)</f>
        <v>0</v>
      </c>
      <c r="Y802" s="110" t="b">
        <f>IF(preDEL!$AG802,IFERROR(0/0,""),preDEL!Y802)</f>
        <v>0</v>
      </c>
      <c r="Z802" s="105" t="str">
        <f>IF(preDEL!$AG802,IFERROR(0/0,""),preDEL!Z802)</f>
        <v/>
      </c>
      <c r="AA802" s="110" t="b">
        <f>IF(preDEL!$AG802,IFERROR(0/0,""),preDEL!AA802)</f>
        <v>0</v>
      </c>
      <c r="AB802" s="110" t="b">
        <f>IF(preDEL!$AG802,IFERROR(0/0,""),preDEL!AB802)</f>
        <v>0</v>
      </c>
      <c r="AC802" s="172">
        <f>IF(preDEL!$AG802,IFERROR(0/0,""),preDEL!AC802)</f>
        <v>22</v>
      </c>
      <c r="AD802" s="104" t="b">
        <f>IF(preDEL!$AG802,IFERROR(0/0,""),preDEL!AD802)</f>
        <v>0</v>
      </c>
      <c r="AE802" s="173">
        <f>IF(preDEL!$AG802,IFERROR(0/0,""),preDEL!AE802)</f>
        <v>215.7166667</v>
      </c>
      <c r="AF802" s="110" t="b">
        <f>IF(preDEL!$AG802,IFERROR(0/0,""),preDEL!AF802)</f>
        <v>0</v>
      </c>
      <c r="AG802" s="110" t="b">
        <f>IF(preDEL!$AG802,IFERROR(0/0,""),preDEL!AG802)</f>
        <v>0</v>
      </c>
      <c r="AH802" s="104" t="str">
        <f>IF(preDEL!$AG802,IFERROR(0/0,""),preDEL!AH802)</f>
        <v/>
      </c>
      <c r="AI802" s="105" t="str">
        <f>IF(preDEL!$AG802,IFERROR(0/0,""),preDEL!AI802)</f>
        <v/>
      </c>
      <c r="AJ802" s="112" t="str">
        <f>IF(preDEL!$AG802,IFERROR(0/0,""),preDEL!AJ802)</f>
        <v/>
      </c>
      <c r="AK802" s="105" t="str">
        <f>IF(preDEL!$AG802,IFERROR(0/0,""),preDEL!AK802)</f>
        <v>Negative</v>
      </c>
      <c r="AL802" s="112" t="str">
        <f>IF(preDEL!$AG802,IFERROR(0/0,""),preDEL!AL802)</f>
        <v/>
      </c>
      <c r="AM802" s="112" t="str">
        <f>IF(preDEL!$AG802,IFERROR(0/0,""),preDEL!AM802)</f>
        <v>SpBEND899578</v>
      </c>
      <c r="AN802" s="112" t="str">
        <f>IF(preDEL!$AG802,IFERROR(0/0,""),preDEL!AN802)</f>
        <v>BEND949070</v>
      </c>
      <c r="AO802" s="112" t="str">
        <f>IF(preDEL!$AG802,IFERROR(0/0,""),preDEL!AO802)</f>
        <v/>
      </c>
      <c r="AP802" s="112" t="str">
        <f>IF(preDEL!$AG802,IFERROR(0/0,""),preDEL!AP802)</f>
        <v/>
      </c>
      <c r="AQ802" s="112" t="str">
        <f>IF(preDEL!$AG802,IFERROR(0/0,""),preDEL!AQ802)</f>
        <v/>
      </c>
      <c r="AR802" s="112" t="str">
        <f>IF(preDEL!$AG802,IFERROR(0/0,""),preDEL!AR802)</f>
        <v/>
      </c>
      <c r="AS802" s="112" t="str">
        <f>IF(preDEL!$AG802,IFERROR(0/0,""),preDEL!AS802)</f>
        <v/>
      </c>
      <c r="AT802" s="112" t="b">
        <f>IF(preDEL!$AG802,IFERROR(0/0,""),preDEL!AT802)</f>
        <v>0</v>
      </c>
      <c r="AU802" s="112" t="str">
        <f>IF(preDEL!$AG802,IFERROR(0/0,""),preDEL!AU802)</f>
        <v/>
      </c>
      <c r="AV802" s="112" t="str">
        <f>IF(preDEL!$AG802,IFERROR(0/0,""),preDEL!AV802)</f>
        <v/>
      </c>
      <c r="AW802" s="112" t="str">
        <f>IF(preDEL!$AG802,IFERROR(0/0,""),preDEL!AW802)</f>
        <v/>
      </c>
      <c r="AX802" s="112" t="str">
        <f>IF(preDEL!$AG802,IFERROR(0/0,""),preDEL!AX802)</f>
        <v/>
      </c>
      <c r="AY802" s="112" t="str">
        <f>IF(preDEL!$AG802,IFERROR(0/0,""),preDEL!AY802)</f>
        <v/>
      </c>
      <c r="AZ802" s="174"/>
      <c r="BA802" s="174"/>
      <c r="BB802" s="174"/>
      <c r="BC802" s="174"/>
      <c r="BD802" s="174"/>
      <c r="BE802" s="174"/>
      <c r="BF802" s="174"/>
      <c r="BG802" s="174"/>
      <c r="BH802" s="174"/>
      <c r="BI802" s="174"/>
      <c r="BJ802" s="174"/>
      <c r="BK802" s="174"/>
      <c r="BL802" s="174"/>
      <c r="BM802" s="174"/>
      <c r="BN802" s="174"/>
      <c r="BO802" s="174"/>
      <c r="BP802" s="174"/>
      <c r="BQ802" s="174"/>
      <c r="BR802" s="174"/>
      <c r="BS802" s="174"/>
      <c r="BT802" s="174"/>
      <c r="BU802" s="174"/>
      <c r="BV802" s="174"/>
      <c r="BW802" s="174"/>
      <c r="BX802" s="174"/>
      <c r="BY802" s="174"/>
      <c r="BZ802" s="174"/>
      <c r="CA802" s="174"/>
      <c r="CB802" s="174"/>
      <c r="CC802" s="174"/>
      <c r="CD802" s="174"/>
    </row>
    <row r="803">
      <c r="A803" s="105" t="str">
        <f>IF(preDEL!$AG803,IFERROR(0/0,""),preDEL!A803)</f>
        <v>FM599</v>
      </c>
      <c r="B803" s="170">
        <f>IF(preDEL!$AG803,IFERROR(0/0,""),preDEL!B803)</f>
        <v>44631</v>
      </c>
      <c r="C803" s="171">
        <f>IF(preDEL!$AG803,IFERROR(0/0,""),preDEL!C803)</f>
        <v>0.340625</v>
      </c>
      <c r="D803" s="105" t="str">
        <f>IF(preDEL!$AG803,IFERROR(0/0,""),preDEL!D803)</f>
        <v/>
      </c>
      <c r="E803" s="105" t="str">
        <f>IF(preDEL!$AG803,IFERROR(0/0,""),preDEL!E803)</f>
        <v/>
      </c>
      <c r="F803" s="112" t="str">
        <f>IF(preDEL!$AG803,IFERROR(0/0,""),preDEL!F803)</f>
        <v/>
      </c>
      <c r="G803" s="112" t="str">
        <f>IF(preDEL!$AG803,IFERROR(0/0,""),preDEL!G803)</f>
        <v/>
      </c>
      <c r="H803" s="112" t="str">
        <f>IF(preDEL!$AG803,IFERROR(0/0,""),preDEL!H803)</f>
        <v/>
      </c>
      <c r="I803" s="105" t="str">
        <f>IF(preDEL!$AG803,IFERROR(0/0,""),preDEL!I803)</f>
        <v/>
      </c>
      <c r="J803" s="105" t="str">
        <f>IF(preDEL!$AG803,IFERROR(0/0,""),preDEL!J803)</f>
        <v/>
      </c>
      <c r="K803" s="105" t="str">
        <f>IF(preDEL!$AG803,IFERROR(0/0,""),preDEL!K803)</f>
        <v>Negative</v>
      </c>
      <c r="L803" s="170">
        <f>IF(preDEL!$AG803,IFERROR(0/0,""),preDEL!L803)</f>
        <v>44631</v>
      </c>
      <c r="M803" s="171">
        <f>IF(preDEL!$AG803,IFERROR(0/0,""),preDEL!M803)</f>
        <v>0.486099537</v>
      </c>
      <c r="N803" s="112" t="str">
        <f>IF(preDEL!$AG803,IFERROR(0/0,""),preDEL!N803)</f>
        <v/>
      </c>
      <c r="O803" s="112" t="str">
        <f>IF(preDEL!$AG803,IFERROR(0/0,""),preDEL!O803)</f>
        <v/>
      </c>
      <c r="P803" s="110" t="b">
        <f>IF(preDEL!$AG803,IFERROR(0/0,""),preDEL!P803)</f>
        <v>0</v>
      </c>
      <c r="Q803" s="110" t="str">
        <f>IF(preDEL!$AG803,IFERROR(0/0,""),preDEL!Q803)</f>
        <v>Result</v>
      </c>
      <c r="R803" s="104" t="b">
        <f>IF(preDEL!$AG803,IFERROR(0/0,""),preDEL!R803)</f>
        <v>1</v>
      </c>
      <c r="S803" s="104">
        <f>IF(preDEL!$AG803,IFERROR(0/0,""),preDEL!S803)</f>
        <v>1</v>
      </c>
      <c r="T803" s="110" t="str">
        <f>IF(preDEL!$AG803,IFERROR(0/0,""),preDEL!T803)</f>
        <v/>
      </c>
      <c r="U803" s="112" t="str">
        <f>IF(preDEL!$AG803,IFERROR(0/0,""),preDEL!U803)</f>
        <v/>
      </c>
      <c r="V803" s="105" t="str">
        <f>IF(preDEL!$AG803,IFERROR(0/0,""),preDEL!V803)</f>
        <v/>
      </c>
      <c r="W803" s="112" t="str">
        <f>IF(preDEL!$AG803,IFERROR(0/0,""),preDEL!W803)</f>
        <v/>
      </c>
      <c r="X803" s="104" t="b">
        <f>IF(preDEL!$AG803,IFERROR(0/0,""),preDEL!X803)</f>
        <v>0</v>
      </c>
      <c r="Y803" s="110" t="b">
        <f>IF(preDEL!$AG803,IFERROR(0/0,""),preDEL!Y803)</f>
        <v>0</v>
      </c>
      <c r="Z803" s="105" t="str">
        <f>IF(preDEL!$AG803,IFERROR(0/0,""),preDEL!Z803)</f>
        <v/>
      </c>
      <c r="AA803" s="110" t="b">
        <f>IF(preDEL!$AG803,IFERROR(0/0,""),preDEL!AA803)</f>
        <v>0</v>
      </c>
      <c r="AB803" s="110" t="b">
        <f>IF(preDEL!$AG803,IFERROR(0/0,""),preDEL!AB803)</f>
        <v>0</v>
      </c>
      <c r="AC803" s="172">
        <f>IF(preDEL!$AG803,IFERROR(0/0,""),preDEL!AC803)</f>
        <v>21</v>
      </c>
      <c r="AD803" s="104" t="b">
        <f>IF(preDEL!$AG803,IFERROR(0/0,""),preDEL!AD803)</f>
        <v>0</v>
      </c>
      <c r="AE803" s="173">
        <f>IF(preDEL!$AG803,IFERROR(0/0,""),preDEL!AE803)</f>
        <v>209.4833333</v>
      </c>
      <c r="AF803" s="110" t="b">
        <f>IF(preDEL!$AG803,IFERROR(0/0,""),preDEL!AF803)</f>
        <v>0</v>
      </c>
      <c r="AG803" s="110" t="b">
        <f>IF(preDEL!$AG803,IFERROR(0/0,""),preDEL!AG803)</f>
        <v>0</v>
      </c>
      <c r="AH803" s="104" t="str">
        <f>IF(preDEL!$AG803,IFERROR(0/0,""),preDEL!AH803)</f>
        <v/>
      </c>
      <c r="AI803" s="105" t="str">
        <f>IF(preDEL!$AG803,IFERROR(0/0,""),preDEL!AI803)</f>
        <v/>
      </c>
      <c r="AJ803" s="112" t="str">
        <f>IF(preDEL!$AG803,IFERROR(0/0,""),preDEL!AJ803)</f>
        <v/>
      </c>
      <c r="AK803" s="105" t="str">
        <f>IF(preDEL!$AG803,IFERROR(0/0,""),preDEL!AK803)</f>
        <v>Negative</v>
      </c>
      <c r="AL803" s="112" t="str">
        <f>IF(preDEL!$AG803,IFERROR(0/0,""),preDEL!AL803)</f>
        <v/>
      </c>
      <c r="AM803" s="112" t="str">
        <f>IF(preDEL!$AG803,IFERROR(0/0,""),preDEL!AM803)</f>
        <v>SpBEND372845</v>
      </c>
      <c r="AN803" s="112" t="str">
        <f>IF(preDEL!$AG803,IFERROR(0/0,""),preDEL!AN803)</f>
        <v>BEND940774</v>
      </c>
      <c r="AO803" s="112" t="str">
        <f>IF(preDEL!$AG803,IFERROR(0/0,""),preDEL!AO803)</f>
        <v/>
      </c>
      <c r="AP803" s="112" t="str">
        <f>IF(preDEL!$AG803,IFERROR(0/0,""),preDEL!AP803)</f>
        <v/>
      </c>
      <c r="AQ803" s="112" t="str">
        <f>IF(preDEL!$AG803,IFERROR(0/0,""),preDEL!AQ803)</f>
        <v/>
      </c>
      <c r="AR803" s="112" t="str">
        <f>IF(preDEL!$AG803,IFERROR(0/0,""),preDEL!AR803)</f>
        <v/>
      </c>
      <c r="AS803" s="112" t="str">
        <f>IF(preDEL!$AG803,IFERROR(0/0,""),preDEL!AS803)</f>
        <v/>
      </c>
      <c r="AT803" s="112" t="b">
        <f>IF(preDEL!$AG803,IFERROR(0/0,""),preDEL!AT803)</f>
        <v>0</v>
      </c>
      <c r="AU803" s="112" t="str">
        <f>IF(preDEL!$AG803,IFERROR(0/0,""),preDEL!AU803)</f>
        <v/>
      </c>
      <c r="AV803" s="112" t="str">
        <f>IF(preDEL!$AG803,IFERROR(0/0,""),preDEL!AV803)</f>
        <v/>
      </c>
      <c r="AW803" s="112" t="str">
        <f>IF(preDEL!$AG803,IFERROR(0/0,""),preDEL!AW803)</f>
        <v/>
      </c>
      <c r="AX803" s="112" t="str">
        <f>IF(preDEL!$AG803,IFERROR(0/0,""),preDEL!AX803)</f>
        <v/>
      </c>
      <c r="AY803" s="112" t="str">
        <f>IF(preDEL!$AG803,IFERROR(0/0,""),preDEL!AY803)</f>
        <v/>
      </c>
      <c r="AZ803" s="174"/>
      <c r="BA803" s="174"/>
      <c r="BB803" s="174"/>
      <c r="BC803" s="174"/>
      <c r="BD803" s="174"/>
      <c r="BE803" s="174"/>
      <c r="BF803" s="174"/>
      <c r="BG803" s="174"/>
      <c r="BH803" s="174"/>
      <c r="BI803" s="174"/>
      <c r="BJ803" s="174"/>
      <c r="BK803" s="174"/>
      <c r="BL803" s="174"/>
      <c r="BM803" s="174"/>
      <c r="BN803" s="174"/>
      <c r="BO803" s="174"/>
      <c r="BP803" s="174"/>
      <c r="BQ803" s="174"/>
      <c r="BR803" s="174"/>
      <c r="BS803" s="174"/>
      <c r="BT803" s="174"/>
      <c r="BU803" s="174"/>
      <c r="BV803" s="174"/>
      <c r="BW803" s="174"/>
      <c r="BX803" s="174"/>
      <c r="BY803" s="174"/>
      <c r="BZ803" s="174"/>
      <c r="CA803" s="174"/>
      <c r="CB803" s="174"/>
      <c r="CC803" s="174"/>
      <c r="CD803" s="174"/>
    </row>
    <row r="804">
      <c r="A804" s="105" t="str">
        <f>IF(preDEL!$AG804,IFERROR(0/0,""),preDEL!A804)</f>
        <v>FM569</v>
      </c>
      <c r="B804" s="170">
        <f>IF(preDEL!$AG804,IFERROR(0/0,""),preDEL!B804)</f>
        <v>44631</v>
      </c>
      <c r="C804" s="171">
        <f>IF(preDEL!$AG804,IFERROR(0/0,""),preDEL!C804)</f>
        <v>0.3409606481</v>
      </c>
      <c r="D804" s="105" t="str">
        <f>IF(preDEL!$AG804,IFERROR(0/0,""),preDEL!D804)</f>
        <v/>
      </c>
      <c r="E804" s="105" t="str">
        <f>IF(preDEL!$AG804,IFERROR(0/0,""),preDEL!E804)</f>
        <v/>
      </c>
      <c r="F804" s="112" t="str">
        <f>IF(preDEL!$AG804,IFERROR(0/0,""),preDEL!F804)</f>
        <v/>
      </c>
      <c r="G804" s="112" t="str">
        <f>IF(preDEL!$AG804,IFERROR(0/0,""),preDEL!G804)</f>
        <v/>
      </c>
      <c r="H804" s="112" t="str">
        <f>IF(preDEL!$AG804,IFERROR(0/0,""),preDEL!H804)</f>
        <v/>
      </c>
      <c r="I804" s="105" t="str">
        <f>IF(preDEL!$AG804,IFERROR(0/0,""),preDEL!I804)</f>
        <v/>
      </c>
      <c r="J804" s="105" t="str">
        <f>IF(preDEL!$AG804,IFERROR(0/0,""),preDEL!J804)</f>
        <v/>
      </c>
      <c r="K804" s="105" t="str">
        <f>IF(preDEL!$AG804,IFERROR(0/0,""),preDEL!K804)</f>
        <v>Negative</v>
      </c>
      <c r="L804" s="170">
        <f>IF(preDEL!$AG804,IFERROR(0/0,""),preDEL!L804)</f>
        <v>44631</v>
      </c>
      <c r="M804" s="171">
        <f>IF(preDEL!$AG804,IFERROR(0/0,""),preDEL!M804)</f>
        <v>0.486099537</v>
      </c>
      <c r="N804" s="112" t="str">
        <f>IF(preDEL!$AG804,IFERROR(0/0,""),preDEL!N804)</f>
        <v/>
      </c>
      <c r="O804" s="112" t="str">
        <f>IF(preDEL!$AG804,IFERROR(0/0,""),preDEL!O804)</f>
        <v/>
      </c>
      <c r="P804" s="110" t="b">
        <f>IF(preDEL!$AG804,IFERROR(0/0,""),preDEL!P804)</f>
        <v>0</v>
      </c>
      <c r="Q804" s="110" t="str">
        <f>IF(preDEL!$AG804,IFERROR(0/0,""),preDEL!Q804)</f>
        <v>Result</v>
      </c>
      <c r="R804" s="104" t="b">
        <f>IF(preDEL!$AG804,IFERROR(0/0,""),preDEL!R804)</f>
        <v>1</v>
      </c>
      <c r="S804" s="104">
        <f>IF(preDEL!$AG804,IFERROR(0/0,""),preDEL!S804)</f>
        <v>1</v>
      </c>
      <c r="T804" s="110" t="str">
        <f>IF(preDEL!$AG804,IFERROR(0/0,""),preDEL!T804)</f>
        <v/>
      </c>
      <c r="U804" s="112" t="str">
        <f>IF(preDEL!$AG804,IFERROR(0/0,""),preDEL!U804)</f>
        <v/>
      </c>
      <c r="V804" s="105" t="str">
        <f>IF(preDEL!$AG804,IFERROR(0/0,""),preDEL!V804)</f>
        <v/>
      </c>
      <c r="W804" s="112" t="str">
        <f>IF(preDEL!$AG804,IFERROR(0/0,""),preDEL!W804)</f>
        <v/>
      </c>
      <c r="X804" s="104" t="b">
        <f>IF(preDEL!$AG804,IFERROR(0/0,""),preDEL!X804)</f>
        <v>0</v>
      </c>
      <c r="Y804" s="110" t="b">
        <f>IF(preDEL!$AG804,IFERROR(0/0,""),preDEL!Y804)</f>
        <v>0</v>
      </c>
      <c r="Z804" s="105" t="str">
        <f>IF(preDEL!$AG804,IFERROR(0/0,""),preDEL!Z804)</f>
        <v/>
      </c>
      <c r="AA804" s="110" t="b">
        <f>IF(preDEL!$AG804,IFERROR(0/0,""),preDEL!AA804)</f>
        <v>0</v>
      </c>
      <c r="AB804" s="110" t="b">
        <f>IF(preDEL!$AG804,IFERROR(0/0,""),preDEL!AB804)</f>
        <v>0</v>
      </c>
      <c r="AC804" s="172">
        <f>IF(preDEL!$AG804,IFERROR(0/0,""),preDEL!AC804)</f>
        <v>20</v>
      </c>
      <c r="AD804" s="104" t="b">
        <f>IF(preDEL!$AG804,IFERROR(0/0,""),preDEL!AD804)</f>
        <v>0</v>
      </c>
      <c r="AE804" s="173">
        <f>IF(preDEL!$AG804,IFERROR(0/0,""),preDEL!AE804)</f>
        <v>209</v>
      </c>
      <c r="AF804" s="110" t="b">
        <f>IF(preDEL!$AG804,IFERROR(0/0,""),preDEL!AF804)</f>
        <v>0</v>
      </c>
      <c r="AG804" s="110" t="b">
        <f>IF(preDEL!$AG804,IFERROR(0/0,""),preDEL!AG804)</f>
        <v>0</v>
      </c>
      <c r="AH804" s="104" t="str">
        <f>IF(preDEL!$AG804,IFERROR(0/0,""),preDEL!AH804)</f>
        <v/>
      </c>
      <c r="AI804" s="105" t="str">
        <f>IF(preDEL!$AG804,IFERROR(0/0,""),preDEL!AI804)</f>
        <v/>
      </c>
      <c r="AJ804" s="112" t="str">
        <f>IF(preDEL!$AG804,IFERROR(0/0,""),preDEL!AJ804)</f>
        <v/>
      </c>
      <c r="AK804" s="105" t="str">
        <f>IF(preDEL!$AG804,IFERROR(0/0,""),preDEL!AK804)</f>
        <v>Negative</v>
      </c>
      <c r="AL804" s="112" t="str">
        <f>IF(preDEL!$AG804,IFERROR(0/0,""),preDEL!AL804)</f>
        <v/>
      </c>
      <c r="AM804" s="112" t="str">
        <f>IF(preDEL!$AG804,IFERROR(0/0,""),preDEL!AM804)</f>
        <v>SpBEND279112</v>
      </c>
      <c r="AN804" s="112" t="str">
        <f>IF(preDEL!$AG804,IFERROR(0/0,""),preDEL!AN804)</f>
        <v>BEND696303</v>
      </c>
      <c r="AO804" s="112" t="str">
        <f>IF(preDEL!$AG804,IFERROR(0/0,""),preDEL!AO804)</f>
        <v/>
      </c>
      <c r="AP804" s="112" t="str">
        <f>IF(preDEL!$AG804,IFERROR(0/0,""),preDEL!AP804)</f>
        <v/>
      </c>
      <c r="AQ804" s="112" t="str">
        <f>IF(preDEL!$AG804,IFERROR(0/0,""),preDEL!AQ804)</f>
        <v/>
      </c>
      <c r="AR804" s="112" t="str">
        <f>IF(preDEL!$AG804,IFERROR(0/0,""),preDEL!AR804)</f>
        <v/>
      </c>
      <c r="AS804" s="112" t="str">
        <f>IF(preDEL!$AG804,IFERROR(0/0,""),preDEL!AS804)</f>
        <v/>
      </c>
      <c r="AT804" s="112" t="b">
        <f>IF(preDEL!$AG804,IFERROR(0/0,""),preDEL!AT804)</f>
        <v>0</v>
      </c>
      <c r="AU804" s="112" t="str">
        <f>IF(preDEL!$AG804,IFERROR(0/0,""),preDEL!AU804)</f>
        <v/>
      </c>
      <c r="AV804" s="112" t="str">
        <f>IF(preDEL!$AG804,IFERROR(0/0,""),preDEL!AV804)</f>
        <v/>
      </c>
      <c r="AW804" s="112" t="str">
        <f>IF(preDEL!$AG804,IFERROR(0/0,""),preDEL!AW804)</f>
        <v/>
      </c>
      <c r="AX804" s="112" t="str">
        <f>IF(preDEL!$AG804,IFERROR(0/0,""),preDEL!AX804)</f>
        <v/>
      </c>
      <c r="AY804" s="112" t="str">
        <f>IF(preDEL!$AG804,IFERROR(0/0,""),preDEL!AY804)</f>
        <v/>
      </c>
      <c r="AZ804" s="174"/>
      <c r="BA804" s="174"/>
      <c r="BB804" s="174"/>
      <c r="BC804" s="174"/>
      <c r="BD804" s="174"/>
      <c r="BE804" s="174"/>
      <c r="BF804" s="174"/>
      <c r="BG804" s="174"/>
      <c r="BH804" s="174"/>
      <c r="BI804" s="174"/>
      <c r="BJ804" s="174"/>
      <c r="BK804" s="174"/>
      <c r="BL804" s="174"/>
      <c r="BM804" s="174"/>
      <c r="BN804" s="174"/>
      <c r="BO804" s="174"/>
      <c r="BP804" s="174"/>
      <c r="BQ804" s="174"/>
      <c r="BR804" s="174"/>
      <c r="BS804" s="174"/>
      <c r="BT804" s="174"/>
      <c r="BU804" s="174"/>
      <c r="BV804" s="174"/>
      <c r="BW804" s="174"/>
      <c r="BX804" s="174"/>
      <c r="BY804" s="174"/>
      <c r="BZ804" s="174"/>
      <c r="CA804" s="174"/>
      <c r="CB804" s="174"/>
      <c r="CC804" s="174"/>
      <c r="CD804" s="174"/>
    </row>
    <row r="805">
      <c r="A805" s="105" t="str">
        <f>IF(preDEL!$AG805,IFERROR(0/0,""),preDEL!A805)</f>
        <v>FM2044</v>
      </c>
      <c r="B805" s="170">
        <f>IF(preDEL!$AG805,IFERROR(0/0,""),preDEL!B805)</f>
        <v>44631</v>
      </c>
      <c r="C805" s="171">
        <f>IF(preDEL!$AG805,IFERROR(0/0,""),preDEL!C805)</f>
        <v>0.3429398148</v>
      </c>
      <c r="D805" s="105" t="str">
        <f>IF(preDEL!$AG805,IFERROR(0/0,""),preDEL!D805)</f>
        <v/>
      </c>
      <c r="E805" s="105" t="str">
        <f>IF(preDEL!$AG805,IFERROR(0/0,""),preDEL!E805)</f>
        <v/>
      </c>
      <c r="F805" s="112" t="str">
        <f>IF(preDEL!$AG805,IFERROR(0/0,""),preDEL!F805)</f>
        <v/>
      </c>
      <c r="G805" s="112" t="str">
        <f>IF(preDEL!$AG805,IFERROR(0/0,""),preDEL!G805)</f>
        <v/>
      </c>
      <c r="H805" s="112" t="str">
        <f>IF(preDEL!$AG805,IFERROR(0/0,""),preDEL!H805)</f>
        <v/>
      </c>
      <c r="I805" s="105" t="str">
        <f>IF(preDEL!$AG805,IFERROR(0/0,""),preDEL!I805)</f>
        <v/>
      </c>
      <c r="J805" s="105" t="str">
        <f>IF(preDEL!$AG805,IFERROR(0/0,""),preDEL!J805)</f>
        <v/>
      </c>
      <c r="K805" s="105" t="str">
        <f>IF(preDEL!$AG805,IFERROR(0/0,""),preDEL!K805)</f>
        <v>Negative</v>
      </c>
      <c r="L805" s="170">
        <f>IF(preDEL!$AG805,IFERROR(0/0,""),preDEL!L805)</f>
        <v>44631</v>
      </c>
      <c r="M805" s="171">
        <f>IF(preDEL!$AG805,IFERROR(0/0,""),preDEL!M805)</f>
        <v>0.486099537</v>
      </c>
      <c r="N805" s="112" t="str">
        <f>IF(preDEL!$AG805,IFERROR(0/0,""),preDEL!N805)</f>
        <v/>
      </c>
      <c r="O805" s="112" t="str">
        <f>IF(preDEL!$AG805,IFERROR(0/0,""),preDEL!O805)</f>
        <v/>
      </c>
      <c r="P805" s="110" t="b">
        <f>IF(preDEL!$AG805,IFERROR(0/0,""),preDEL!P805)</f>
        <v>0</v>
      </c>
      <c r="Q805" s="110" t="str">
        <f>IF(preDEL!$AG805,IFERROR(0/0,""),preDEL!Q805)</f>
        <v>Result</v>
      </c>
      <c r="R805" s="104" t="b">
        <f>IF(preDEL!$AG805,IFERROR(0/0,""),preDEL!R805)</f>
        <v>1</v>
      </c>
      <c r="S805" s="104">
        <f>IF(preDEL!$AG805,IFERROR(0/0,""),preDEL!S805)</f>
        <v>1</v>
      </c>
      <c r="T805" s="110" t="str">
        <f>IF(preDEL!$AG805,IFERROR(0/0,""),preDEL!T805)</f>
        <v/>
      </c>
      <c r="U805" s="112" t="str">
        <f>IF(preDEL!$AG805,IFERROR(0/0,""),preDEL!U805)</f>
        <v/>
      </c>
      <c r="V805" s="105" t="str">
        <f>IF(preDEL!$AG805,IFERROR(0/0,""),preDEL!V805)</f>
        <v/>
      </c>
      <c r="W805" s="112" t="str">
        <f>IF(preDEL!$AG805,IFERROR(0/0,""),preDEL!W805)</f>
        <v/>
      </c>
      <c r="X805" s="104" t="b">
        <f>IF(preDEL!$AG805,IFERROR(0/0,""),preDEL!X805)</f>
        <v>0</v>
      </c>
      <c r="Y805" s="110" t="b">
        <f>IF(preDEL!$AG805,IFERROR(0/0,""),preDEL!Y805)</f>
        <v>0</v>
      </c>
      <c r="Z805" s="105" t="str">
        <f>IF(preDEL!$AG805,IFERROR(0/0,""),preDEL!Z805)</f>
        <v/>
      </c>
      <c r="AA805" s="110" t="b">
        <f>IF(preDEL!$AG805,IFERROR(0/0,""),preDEL!AA805)</f>
        <v>0</v>
      </c>
      <c r="AB805" s="110" t="b">
        <f>IF(preDEL!$AG805,IFERROR(0/0,""),preDEL!AB805)</f>
        <v>0</v>
      </c>
      <c r="AC805" s="172">
        <f>IF(preDEL!$AG805,IFERROR(0/0,""),preDEL!AC805)</f>
        <v>19</v>
      </c>
      <c r="AD805" s="104" t="b">
        <f>IF(preDEL!$AG805,IFERROR(0/0,""),preDEL!AD805)</f>
        <v>0</v>
      </c>
      <c r="AE805" s="173">
        <f>IF(preDEL!$AG805,IFERROR(0/0,""),preDEL!AE805)</f>
        <v>206.15</v>
      </c>
      <c r="AF805" s="110" t="b">
        <f>IF(preDEL!$AG805,IFERROR(0/0,""),preDEL!AF805)</f>
        <v>0</v>
      </c>
      <c r="AG805" s="110" t="b">
        <f>IF(preDEL!$AG805,IFERROR(0/0,""),preDEL!AG805)</f>
        <v>0</v>
      </c>
      <c r="AH805" s="104" t="str">
        <f>IF(preDEL!$AG805,IFERROR(0/0,""),preDEL!AH805)</f>
        <v/>
      </c>
      <c r="AI805" s="105" t="str">
        <f>IF(preDEL!$AG805,IFERROR(0/0,""),preDEL!AI805)</f>
        <v/>
      </c>
      <c r="AJ805" s="112" t="str">
        <f>IF(preDEL!$AG805,IFERROR(0/0,""),preDEL!AJ805)</f>
        <v/>
      </c>
      <c r="AK805" s="105" t="str">
        <f>IF(preDEL!$AG805,IFERROR(0/0,""),preDEL!AK805)</f>
        <v>Negative</v>
      </c>
      <c r="AL805" s="112" t="str">
        <f>IF(preDEL!$AG805,IFERROR(0/0,""),preDEL!AL805)</f>
        <v/>
      </c>
      <c r="AM805" s="112" t="str">
        <f>IF(preDEL!$AG805,IFERROR(0/0,""),preDEL!AM805)</f>
        <v>SpBEND985296</v>
      </c>
      <c r="AN805" s="112" t="str">
        <f>IF(preDEL!$AG805,IFERROR(0/0,""),preDEL!AN805)</f>
        <v>BEND326601</v>
      </c>
      <c r="AO805" s="112" t="str">
        <f>IF(preDEL!$AG805,IFERROR(0/0,""),preDEL!AO805)</f>
        <v/>
      </c>
      <c r="AP805" s="112" t="str">
        <f>IF(preDEL!$AG805,IFERROR(0/0,""),preDEL!AP805)</f>
        <v/>
      </c>
      <c r="AQ805" s="112" t="str">
        <f>IF(preDEL!$AG805,IFERROR(0/0,""),preDEL!AQ805)</f>
        <v/>
      </c>
      <c r="AR805" s="112" t="str">
        <f>IF(preDEL!$AG805,IFERROR(0/0,""),preDEL!AR805)</f>
        <v/>
      </c>
      <c r="AS805" s="112" t="str">
        <f>IF(preDEL!$AG805,IFERROR(0/0,""),preDEL!AS805)</f>
        <v/>
      </c>
      <c r="AT805" s="112" t="b">
        <f>IF(preDEL!$AG805,IFERROR(0/0,""),preDEL!AT805)</f>
        <v>0</v>
      </c>
      <c r="AU805" s="112" t="str">
        <f>IF(preDEL!$AG805,IFERROR(0/0,""),preDEL!AU805)</f>
        <v/>
      </c>
      <c r="AV805" s="112" t="str">
        <f>IF(preDEL!$AG805,IFERROR(0/0,""),preDEL!AV805)</f>
        <v/>
      </c>
      <c r="AW805" s="112" t="str">
        <f>IF(preDEL!$AG805,IFERROR(0/0,""),preDEL!AW805)</f>
        <v/>
      </c>
      <c r="AX805" s="112" t="str">
        <f>IF(preDEL!$AG805,IFERROR(0/0,""),preDEL!AX805)</f>
        <v/>
      </c>
      <c r="AY805" s="112" t="str">
        <f>IF(preDEL!$AG805,IFERROR(0/0,""),preDEL!AY805)</f>
        <v/>
      </c>
      <c r="AZ805" s="174"/>
      <c r="BA805" s="174"/>
      <c r="BB805" s="174"/>
      <c r="BC805" s="174"/>
      <c r="BD805" s="174"/>
      <c r="BE805" s="174"/>
      <c r="BF805" s="174"/>
      <c r="BG805" s="174"/>
      <c r="BH805" s="174"/>
      <c r="BI805" s="174"/>
      <c r="BJ805" s="174"/>
      <c r="BK805" s="174"/>
      <c r="BL805" s="174"/>
      <c r="BM805" s="174"/>
      <c r="BN805" s="174"/>
      <c r="BO805" s="174"/>
      <c r="BP805" s="174"/>
      <c r="BQ805" s="174"/>
      <c r="BR805" s="174"/>
      <c r="BS805" s="174"/>
      <c r="BT805" s="174"/>
      <c r="BU805" s="174"/>
      <c r="BV805" s="174"/>
      <c r="BW805" s="174"/>
      <c r="BX805" s="174"/>
      <c r="BY805" s="174"/>
      <c r="BZ805" s="174"/>
      <c r="CA805" s="174"/>
      <c r="CB805" s="174"/>
      <c r="CC805" s="174"/>
      <c r="CD805" s="174"/>
    </row>
    <row r="806">
      <c r="A806" s="105" t="str">
        <f>IF(preDEL!$AG806,IFERROR(0/0,""),preDEL!A806)</f>
        <v>MA375</v>
      </c>
      <c r="B806" s="170">
        <f>IF(preDEL!$AG806,IFERROR(0/0,""),preDEL!B806)</f>
        <v>44631</v>
      </c>
      <c r="C806" s="171">
        <f>IF(preDEL!$AG806,IFERROR(0/0,""),preDEL!C806)</f>
        <v>0.3450115741</v>
      </c>
      <c r="D806" s="105" t="str">
        <f>IF(preDEL!$AG806,IFERROR(0/0,""),preDEL!D806)</f>
        <v/>
      </c>
      <c r="E806" s="105" t="str">
        <f>IF(preDEL!$AG806,IFERROR(0/0,""),preDEL!E806)</f>
        <v/>
      </c>
      <c r="F806" s="112" t="str">
        <f>IF(preDEL!$AG806,IFERROR(0/0,""),preDEL!F806)</f>
        <v/>
      </c>
      <c r="G806" s="112" t="str">
        <f>IF(preDEL!$AG806,IFERROR(0/0,""),preDEL!G806)</f>
        <v/>
      </c>
      <c r="H806" s="112" t="str">
        <f>IF(preDEL!$AG806,IFERROR(0/0,""),preDEL!H806)</f>
        <v/>
      </c>
      <c r="I806" s="105" t="str">
        <f>IF(preDEL!$AG806,IFERROR(0/0,""),preDEL!I806)</f>
        <v/>
      </c>
      <c r="J806" s="105" t="str">
        <f>IF(preDEL!$AG806,IFERROR(0/0,""),preDEL!J806)</f>
        <v/>
      </c>
      <c r="K806" s="105" t="str">
        <f>IF(preDEL!$AG806,IFERROR(0/0,""),preDEL!K806)</f>
        <v>Negative</v>
      </c>
      <c r="L806" s="170">
        <f>IF(preDEL!$AG806,IFERROR(0/0,""),preDEL!L806)</f>
        <v>44631</v>
      </c>
      <c r="M806" s="171">
        <f>IF(preDEL!$AG806,IFERROR(0/0,""),preDEL!M806)</f>
        <v>0.486099537</v>
      </c>
      <c r="N806" s="112" t="str">
        <f>IF(preDEL!$AG806,IFERROR(0/0,""),preDEL!N806)</f>
        <v/>
      </c>
      <c r="O806" s="112" t="str">
        <f>IF(preDEL!$AG806,IFERROR(0/0,""),preDEL!O806)</f>
        <v/>
      </c>
      <c r="P806" s="110" t="b">
        <f>IF(preDEL!$AG806,IFERROR(0/0,""),preDEL!P806)</f>
        <v>0</v>
      </c>
      <c r="Q806" s="110" t="str">
        <f>IF(preDEL!$AG806,IFERROR(0/0,""),preDEL!Q806)</f>
        <v>Result</v>
      </c>
      <c r="R806" s="104" t="b">
        <f>IF(preDEL!$AG806,IFERROR(0/0,""),preDEL!R806)</f>
        <v>1</v>
      </c>
      <c r="S806" s="104">
        <f>IF(preDEL!$AG806,IFERROR(0/0,""),preDEL!S806)</f>
        <v>1</v>
      </c>
      <c r="T806" s="110" t="str">
        <f>IF(preDEL!$AG806,IFERROR(0/0,""),preDEL!T806)</f>
        <v/>
      </c>
      <c r="U806" s="112" t="str">
        <f>IF(preDEL!$AG806,IFERROR(0/0,""),preDEL!U806)</f>
        <v/>
      </c>
      <c r="V806" s="105" t="str">
        <f>IF(preDEL!$AG806,IFERROR(0/0,""),preDEL!V806)</f>
        <v/>
      </c>
      <c r="W806" s="112" t="str">
        <f>IF(preDEL!$AG806,IFERROR(0/0,""),preDEL!W806)</f>
        <v/>
      </c>
      <c r="X806" s="104" t="b">
        <f>IF(preDEL!$AG806,IFERROR(0/0,""),preDEL!X806)</f>
        <v>0</v>
      </c>
      <c r="Y806" s="110" t="b">
        <f>IF(preDEL!$AG806,IFERROR(0/0,""),preDEL!Y806)</f>
        <v>0</v>
      </c>
      <c r="Z806" s="105" t="str">
        <f>IF(preDEL!$AG806,IFERROR(0/0,""),preDEL!Z806)</f>
        <v/>
      </c>
      <c r="AA806" s="110" t="b">
        <f>IF(preDEL!$AG806,IFERROR(0/0,""),preDEL!AA806)</f>
        <v>0</v>
      </c>
      <c r="AB806" s="110" t="b">
        <f>IF(preDEL!$AG806,IFERROR(0/0,""),preDEL!AB806)</f>
        <v>0</v>
      </c>
      <c r="AC806" s="172">
        <f>IF(preDEL!$AG806,IFERROR(0/0,""),preDEL!AC806)</f>
        <v>18</v>
      </c>
      <c r="AD806" s="104" t="b">
        <f>IF(preDEL!$AG806,IFERROR(0/0,""),preDEL!AD806)</f>
        <v>0</v>
      </c>
      <c r="AE806" s="173">
        <f>IF(preDEL!$AG806,IFERROR(0/0,""),preDEL!AE806)</f>
        <v>203.1666667</v>
      </c>
      <c r="AF806" s="110" t="b">
        <f>IF(preDEL!$AG806,IFERROR(0/0,""),preDEL!AF806)</f>
        <v>0</v>
      </c>
      <c r="AG806" s="110" t="b">
        <f>IF(preDEL!$AG806,IFERROR(0/0,""),preDEL!AG806)</f>
        <v>0</v>
      </c>
      <c r="AH806" s="104" t="str">
        <f>IF(preDEL!$AG806,IFERROR(0/0,""),preDEL!AH806)</f>
        <v/>
      </c>
      <c r="AI806" s="105" t="str">
        <f>IF(preDEL!$AG806,IFERROR(0/0,""),preDEL!AI806)</f>
        <v/>
      </c>
      <c r="AJ806" s="112" t="str">
        <f>IF(preDEL!$AG806,IFERROR(0/0,""),preDEL!AJ806)</f>
        <v/>
      </c>
      <c r="AK806" s="105" t="str">
        <f>IF(preDEL!$AG806,IFERROR(0/0,""),preDEL!AK806)</f>
        <v>Negative</v>
      </c>
      <c r="AL806" s="112" t="str">
        <f>IF(preDEL!$AG806,IFERROR(0/0,""),preDEL!AL806)</f>
        <v/>
      </c>
      <c r="AM806" s="112" t="str">
        <f>IF(preDEL!$AG806,IFERROR(0/0,""),preDEL!AM806)</f>
        <v>SpBEND977859</v>
      </c>
      <c r="AN806" s="112" t="str">
        <f>IF(preDEL!$AG806,IFERROR(0/0,""),preDEL!AN806)</f>
        <v>BEND143262</v>
      </c>
      <c r="AO806" s="112" t="str">
        <f>IF(preDEL!$AG806,IFERROR(0/0,""),preDEL!AO806)</f>
        <v/>
      </c>
      <c r="AP806" s="112" t="str">
        <f>IF(preDEL!$AG806,IFERROR(0/0,""),preDEL!AP806)</f>
        <v/>
      </c>
      <c r="AQ806" s="112" t="str">
        <f>IF(preDEL!$AG806,IFERROR(0/0,""),preDEL!AQ806)</f>
        <v/>
      </c>
      <c r="AR806" s="112" t="str">
        <f>IF(preDEL!$AG806,IFERROR(0/0,""),preDEL!AR806)</f>
        <v/>
      </c>
      <c r="AS806" s="112" t="str">
        <f>IF(preDEL!$AG806,IFERROR(0/0,""),preDEL!AS806)</f>
        <v/>
      </c>
      <c r="AT806" s="112" t="b">
        <f>IF(preDEL!$AG806,IFERROR(0/0,""),preDEL!AT806)</f>
        <v>0</v>
      </c>
      <c r="AU806" s="112" t="str">
        <f>IF(preDEL!$AG806,IFERROR(0/0,""),preDEL!AU806)</f>
        <v/>
      </c>
      <c r="AV806" s="112" t="str">
        <f>IF(preDEL!$AG806,IFERROR(0/0,""),preDEL!AV806)</f>
        <v/>
      </c>
      <c r="AW806" s="112" t="str">
        <f>IF(preDEL!$AG806,IFERROR(0/0,""),preDEL!AW806)</f>
        <v/>
      </c>
      <c r="AX806" s="112" t="str">
        <f>IF(preDEL!$AG806,IFERROR(0/0,""),preDEL!AX806)</f>
        <v/>
      </c>
      <c r="AY806" s="112" t="str">
        <f>IF(preDEL!$AG806,IFERROR(0/0,""),preDEL!AY806)</f>
        <v/>
      </c>
      <c r="AZ806" s="174"/>
      <c r="BA806" s="174"/>
      <c r="BB806" s="174"/>
      <c r="BC806" s="174"/>
      <c r="BD806" s="174"/>
      <c r="BE806" s="174"/>
      <c r="BF806" s="174"/>
      <c r="BG806" s="174"/>
      <c r="BH806" s="174"/>
      <c r="BI806" s="174"/>
      <c r="BJ806" s="174"/>
      <c r="BK806" s="174"/>
      <c r="BL806" s="174"/>
      <c r="BM806" s="174"/>
      <c r="BN806" s="174"/>
      <c r="BO806" s="174"/>
      <c r="BP806" s="174"/>
      <c r="BQ806" s="174"/>
      <c r="BR806" s="174"/>
      <c r="BS806" s="174"/>
      <c r="BT806" s="174"/>
      <c r="BU806" s="174"/>
      <c r="BV806" s="174"/>
      <c r="BW806" s="174"/>
      <c r="BX806" s="174"/>
      <c r="BY806" s="174"/>
      <c r="BZ806" s="174"/>
      <c r="CA806" s="174"/>
      <c r="CB806" s="174"/>
      <c r="CC806" s="174"/>
      <c r="CD806" s="174"/>
    </row>
    <row r="807">
      <c r="A807" s="105" t="str">
        <f>IF(preDEL!$AG807,IFERROR(0/0,""),preDEL!A807)</f>
        <v>FM339</v>
      </c>
      <c r="B807" s="170">
        <f>IF(preDEL!$AG807,IFERROR(0/0,""),preDEL!B807)</f>
        <v>44631</v>
      </c>
      <c r="C807" s="171">
        <f>IF(preDEL!$AG807,IFERROR(0/0,""),preDEL!C807)</f>
        <v>0.3989583333</v>
      </c>
      <c r="D807" s="105" t="str">
        <f>IF(preDEL!$AG807,IFERROR(0/0,""),preDEL!D807)</f>
        <v/>
      </c>
      <c r="E807" s="105" t="str">
        <f>IF(preDEL!$AG807,IFERROR(0/0,""),preDEL!E807)</f>
        <v/>
      </c>
      <c r="F807" s="112" t="str">
        <f>IF(preDEL!$AG807,IFERROR(0/0,""),preDEL!F807)</f>
        <v/>
      </c>
      <c r="G807" s="112" t="str">
        <f>IF(preDEL!$AG807,IFERROR(0/0,""),preDEL!G807)</f>
        <v/>
      </c>
      <c r="H807" s="112" t="str">
        <f>IF(preDEL!$AG807,IFERROR(0/0,""),preDEL!H807)</f>
        <v/>
      </c>
      <c r="I807" s="175" t="str">
        <f>IF(preDEL!$AG807,IFERROR(0/0,""),preDEL!I807)</f>
        <v/>
      </c>
      <c r="J807" s="105" t="str">
        <f>IF(preDEL!$AG807,IFERROR(0/0,""),preDEL!J807)</f>
        <v/>
      </c>
      <c r="K807" s="105" t="str">
        <f>IF(preDEL!$AG807,IFERROR(0/0,""),preDEL!K807)</f>
        <v>Negative</v>
      </c>
      <c r="L807" s="170">
        <f>IF(preDEL!$AG807,IFERROR(0/0,""),preDEL!L807)</f>
        <v>44631</v>
      </c>
      <c r="M807" s="171">
        <f>IF(preDEL!$AG807,IFERROR(0/0,""),preDEL!M807)</f>
        <v>0.486099537</v>
      </c>
      <c r="N807" s="112" t="str">
        <f>IF(preDEL!$AG807,IFERROR(0/0,""),preDEL!N807)</f>
        <v>Primary</v>
      </c>
      <c r="O807" s="112" t="str">
        <f>IF(preDEL!$AG807,IFERROR(0/0,""),preDEL!O807)</f>
        <v/>
      </c>
      <c r="P807" s="110" t="b">
        <f>IF(preDEL!$AG807,IFERROR(0/0,""),preDEL!P807)</f>
        <v>0</v>
      </c>
      <c r="Q807" s="110" t="str">
        <f>IF(preDEL!$AG807,IFERROR(0/0,""),preDEL!Q807)</f>
        <v>Result</v>
      </c>
      <c r="R807" s="104" t="b">
        <f>IF(preDEL!$AG807,IFERROR(0/0,""),preDEL!R807)</f>
        <v>1</v>
      </c>
      <c r="S807" s="104">
        <f>IF(preDEL!$AG807,IFERROR(0/0,""),preDEL!S807)</f>
        <v>1</v>
      </c>
      <c r="T807" s="110">
        <f>IF(preDEL!$AG807,IFERROR(0/0,""),preDEL!T807)</f>
        <v>0</v>
      </c>
      <c r="U807" s="112" t="str">
        <f>IF(preDEL!$AG807,IFERROR(0/0,""),preDEL!U807)</f>
        <v/>
      </c>
      <c r="V807" s="105" t="str">
        <f>IF(preDEL!$AG807,IFERROR(0/0,""),preDEL!V807)</f>
        <v/>
      </c>
      <c r="W807" s="112" t="str">
        <f>IF(preDEL!$AG807,IFERROR(0/0,""),preDEL!W807)</f>
        <v/>
      </c>
      <c r="X807" s="104" t="b">
        <f>IF(preDEL!$AG807,IFERROR(0/0,""),preDEL!X807)</f>
        <v>0</v>
      </c>
      <c r="Y807" s="110" t="b">
        <f>IF(preDEL!$AG807,IFERROR(0/0,""),preDEL!Y807)</f>
        <v>0</v>
      </c>
      <c r="Z807" s="105" t="str">
        <f>IF(preDEL!$AG807,IFERROR(0/0,""),preDEL!Z807)</f>
        <v/>
      </c>
      <c r="AA807" s="110" t="b">
        <f>IF(preDEL!$AG807,IFERROR(0/0,""),preDEL!AA807)</f>
        <v>0</v>
      </c>
      <c r="AB807" s="110" t="b">
        <f>IF(preDEL!$AG807,IFERROR(0/0,""),preDEL!AB807)</f>
        <v>0</v>
      </c>
      <c r="AC807" s="172">
        <f>IF(preDEL!$AG807,IFERROR(0/0,""),preDEL!AC807)</f>
        <v>789</v>
      </c>
      <c r="AD807" s="104" t="b">
        <f>IF(preDEL!$AG807,IFERROR(0/0,""),preDEL!AD807)</f>
        <v>1</v>
      </c>
      <c r="AE807" s="173">
        <f>IF(preDEL!$AG807,IFERROR(0/0,""),preDEL!AE807)</f>
        <v>125.4833333</v>
      </c>
      <c r="AF807" s="110" t="b">
        <f>IF(preDEL!$AG807,IFERROR(0/0,""),preDEL!AF807)</f>
        <v>0</v>
      </c>
      <c r="AG807" s="110" t="b">
        <f>IF(preDEL!$AG807,IFERROR(0/0,""),preDEL!AG807)</f>
        <v>0</v>
      </c>
      <c r="AH807" s="104" t="str">
        <f>IF(preDEL!$AG807,IFERROR(0/0,""),preDEL!AH807)</f>
        <v/>
      </c>
      <c r="AI807" s="105" t="str">
        <f>IF(preDEL!$AG807,IFERROR(0/0,""),preDEL!AI807)</f>
        <v/>
      </c>
      <c r="AJ807" s="112" t="str">
        <f>IF(preDEL!$AG807,IFERROR(0/0,""),preDEL!AJ807)</f>
        <v/>
      </c>
      <c r="AK807" s="105" t="str">
        <f>IF(preDEL!$AG807,IFERROR(0/0,""),preDEL!AK807)</f>
        <v>Negative</v>
      </c>
      <c r="AL807" s="112" t="str">
        <f>IF(preDEL!$AG807,IFERROR(0/0,""),preDEL!AL807)</f>
        <v/>
      </c>
      <c r="AM807" s="112" t="str">
        <f>IF(preDEL!$AG807,IFERROR(0/0,""),preDEL!AM807)</f>
        <v>SpBEND269695</v>
      </c>
      <c r="AN807" s="112" t="str">
        <f>IF(preDEL!$AG807,IFERROR(0/0,""),preDEL!AN807)</f>
        <v>BEND200214</v>
      </c>
      <c r="AO807" s="112" t="str">
        <f>IF(preDEL!$AG807,IFERROR(0/0,""),preDEL!AO807)</f>
        <v/>
      </c>
      <c r="AP807" s="112" t="str">
        <f>IF(preDEL!$AG807,IFERROR(0/0,""),preDEL!AP807)</f>
        <v/>
      </c>
      <c r="AQ807" s="112" t="str">
        <f>IF(preDEL!$AG807,IFERROR(0/0,""),preDEL!AQ807)</f>
        <v/>
      </c>
      <c r="AR807" s="112" t="str">
        <f>IF(preDEL!$AG807,IFERROR(0/0,""),preDEL!AR807)</f>
        <v/>
      </c>
      <c r="AS807" s="112" t="str">
        <f>IF(preDEL!$AG807,IFERROR(0/0,""),preDEL!AS807)</f>
        <v/>
      </c>
      <c r="AT807" s="112" t="b">
        <f>IF(preDEL!$AG807,IFERROR(0/0,""),preDEL!AT807)</f>
        <v>0</v>
      </c>
      <c r="AU807" s="112" t="str">
        <f>IF(preDEL!$AG807,IFERROR(0/0,""),preDEL!AU807)</f>
        <v/>
      </c>
      <c r="AV807" s="112" t="str">
        <f>IF(preDEL!$AG807,IFERROR(0/0,""),preDEL!AV807)</f>
        <v/>
      </c>
      <c r="AW807" s="112" t="str">
        <f>IF(preDEL!$AG807,IFERROR(0/0,""),preDEL!AW807)</f>
        <v/>
      </c>
      <c r="AX807" s="112" t="str">
        <f>IF(preDEL!$AG807,IFERROR(0/0,""),preDEL!AX807)</f>
        <v/>
      </c>
      <c r="AY807" s="112" t="str">
        <f>IF(preDEL!$AG807,IFERROR(0/0,""),preDEL!AY807)</f>
        <v/>
      </c>
      <c r="AZ807" s="174"/>
      <c r="BA807" s="174"/>
      <c r="BB807" s="174"/>
      <c r="BC807" s="174"/>
      <c r="BD807" s="174"/>
      <c r="BE807" s="174"/>
      <c r="BF807" s="174"/>
      <c r="BG807" s="174"/>
      <c r="BH807" s="174"/>
      <c r="BI807" s="174"/>
      <c r="BJ807" s="174"/>
      <c r="BK807" s="174"/>
      <c r="BL807" s="174"/>
      <c r="BM807" s="174"/>
      <c r="BN807" s="174"/>
      <c r="BO807" s="174"/>
      <c r="BP807" s="174"/>
      <c r="BQ807" s="174"/>
      <c r="BR807" s="174"/>
      <c r="BS807" s="174"/>
      <c r="BT807" s="174"/>
      <c r="BU807" s="174"/>
      <c r="BV807" s="174"/>
      <c r="BW807" s="174"/>
      <c r="BX807" s="174"/>
      <c r="BY807" s="174"/>
      <c r="BZ807" s="174"/>
      <c r="CA807" s="174"/>
      <c r="CB807" s="174"/>
      <c r="CC807" s="174"/>
      <c r="CD807" s="174"/>
    </row>
    <row r="808">
      <c r="A808" s="105" t="str">
        <f>IF(preDEL!$AG808,IFERROR(0/0,""),preDEL!A808)</f>
        <v>FM371</v>
      </c>
      <c r="B808" s="170">
        <f>IF(preDEL!$AG808,IFERROR(0/0,""),preDEL!B808)</f>
        <v>44631</v>
      </c>
      <c r="C808" s="171">
        <f>IF(preDEL!$AG808,IFERROR(0/0,""),preDEL!C808)</f>
        <v>0.4051388889</v>
      </c>
      <c r="D808" s="105" t="str">
        <f>IF(preDEL!$AG808,IFERROR(0/0,""),preDEL!D808)</f>
        <v/>
      </c>
      <c r="E808" s="105" t="str">
        <f>IF(preDEL!$AG808,IFERROR(0/0,""),preDEL!E808)</f>
        <v/>
      </c>
      <c r="F808" s="112" t="str">
        <f>IF(preDEL!$AG808,IFERROR(0/0,""),preDEL!F808)</f>
        <v/>
      </c>
      <c r="G808" s="112" t="str">
        <f>IF(preDEL!$AG808,IFERROR(0/0,""),preDEL!G808)</f>
        <v/>
      </c>
      <c r="H808" s="112" t="str">
        <f>IF(preDEL!$AG808,IFERROR(0/0,""),preDEL!H808)</f>
        <v/>
      </c>
      <c r="I808" s="105" t="str">
        <f>IF(preDEL!$AG808,IFERROR(0/0,""),preDEL!I808)</f>
        <v/>
      </c>
      <c r="J808" s="105" t="str">
        <f>IF(preDEL!$AG808,IFERROR(0/0,""),preDEL!J808)</f>
        <v/>
      </c>
      <c r="K808" s="105" t="str">
        <f>IF(preDEL!$AG808,IFERROR(0/0,""),preDEL!K808)</f>
        <v>Negative</v>
      </c>
      <c r="L808" s="170">
        <f>IF(preDEL!$AG808,IFERROR(0/0,""),preDEL!L808)</f>
        <v>44631</v>
      </c>
      <c r="M808" s="171">
        <f>IF(preDEL!$AG808,IFERROR(0/0,""),preDEL!M808)</f>
        <v>0.486099537</v>
      </c>
      <c r="N808" s="112" t="str">
        <f>IF(preDEL!$AG808,IFERROR(0/0,""),preDEL!N808)</f>
        <v/>
      </c>
      <c r="O808" s="112" t="str">
        <f>IF(preDEL!$AG808,IFERROR(0/0,""),preDEL!O808)</f>
        <v/>
      </c>
      <c r="P808" s="110" t="b">
        <f>IF(preDEL!$AG808,IFERROR(0/0,""),preDEL!P808)</f>
        <v>0</v>
      </c>
      <c r="Q808" s="110" t="str">
        <f>IF(preDEL!$AG808,IFERROR(0/0,""),preDEL!Q808)</f>
        <v>Result</v>
      </c>
      <c r="R808" s="104" t="b">
        <f>IF(preDEL!$AG808,IFERROR(0/0,""),preDEL!R808)</f>
        <v>1</v>
      </c>
      <c r="S808" s="104">
        <f>IF(preDEL!$AG808,IFERROR(0/0,""),preDEL!S808)</f>
        <v>1</v>
      </c>
      <c r="T808" s="110" t="str">
        <f>IF(preDEL!$AG808,IFERROR(0/0,""),preDEL!T808)</f>
        <v/>
      </c>
      <c r="U808" s="112" t="str">
        <f>IF(preDEL!$AG808,IFERROR(0/0,""),preDEL!U808)</f>
        <v/>
      </c>
      <c r="V808" s="105" t="str">
        <f>IF(preDEL!$AG808,IFERROR(0/0,""),preDEL!V808)</f>
        <v/>
      </c>
      <c r="W808" s="112" t="str">
        <f>IF(preDEL!$AG808,IFERROR(0/0,""),preDEL!W808)</f>
        <v/>
      </c>
      <c r="X808" s="104" t="b">
        <f>IF(preDEL!$AG808,IFERROR(0/0,""),preDEL!X808)</f>
        <v>0</v>
      </c>
      <c r="Y808" s="110" t="b">
        <f>IF(preDEL!$AG808,IFERROR(0/0,""),preDEL!Y808)</f>
        <v>0</v>
      </c>
      <c r="Z808" s="105" t="str">
        <f>IF(preDEL!$AG808,IFERROR(0/0,""),preDEL!Z808)</f>
        <v/>
      </c>
      <c r="AA808" s="110" t="b">
        <f>IF(preDEL!$AG808,IFERROR(0/0,""),preDEL!AA808)</f>
        <v>0</v>
      </c>
      <c r="AB808" s="110" t="b">
        <f>IF(preDEL!$AG808,IFERROR(0/0,""),preDEL!AB808)</f>
        <v>0</v>
      </c>
      <c r="AC808" s="172">
        <f>IF(preDEL!$AG808,IFERROR(0/0,""),preDEL!AC808)</f>
        <v>17</v>
      </c>
      <c r="AD808" s="104" t="b">
        <f>IF(preDEL!$AG808,IFERROR(0/0,""),preDEL!AD808)</f>
        <v>0</v>
      </c>
      <c r="AE808" s="173">
        <f>IF(preDEL!$AG808,IFERROR(0/0,""),preDEL!AE808)</f>
        <v>116.5833333</v>
      </c>
      <c r="AF808" s="110" t="b">
        <f>IF(preDEL!$AG808,IFERROR(0/0,""),preDEL!AF808)</f>
        <v>0</v>
      </c>
      <c r="AG808" s="110" t="b">
        <f>IF(preDEL!$AG808,IFERROR(0/0,""),preDEL!AG808)</f>
        <v>0</v>
      </c>
      <c r="AH808" s="104" t="str">
        <f>IF(preDEL!$AG808,IFERROR(0/0,""),preDEL!AH808)</f>
        <v/>
      </c>
      <c r="AI808" s="105" t="str">
        <f>IF(preDEL!$AG808,IFERROR(0/0,""),preDEL!AI808)</f>
        <v/>
      </c>
      <c r="AJ808" s="112" t="str">
        <f>IF(preDEL!$AG808,IFERROR(0/0,""),preDEL!AJ808)</f>
        <v/>
      </c>
      <c r="AK808" s="105" t="str">
        <f>IF(preDEL!$AG808,IFERROR(0/0,""),preDEL!AK808)</f>
        <v>Negative</v>
      </c>
      <c r="AL808" s="112" t="str">
        <f>IF(preDEL!$AG808,IFERROR(0/0,""),preDEL!AL808)</f>
        <v/>
      </c>
      <c r="AM808" s="112" t="str">
        <f>IF(preDEL!$AG808,IFERROR(0/0,""),preDEL!AM808)</f>
        <v>SpBEND382241</v>
      </c>
      <c r="AN808" s="112" t="str">
        <f>IF(preDEL!$AG808,IFERROR(0/0,""),preDEL!AN808)</f>
        <v>BEND761743</v>
      </c>
      <c r="AO808" s="112" t="str">
        <f>IF(preDEL!$AG808,IFERROR(0/0,""),preDEL!AO808)</f>
        <v/>
      </c>
      <c r="AP808" s="112" t="str">
        <f>IF(preDEL!$AG808,IFERROR(0/0,""),preDEL!AP808)</f>
        <v/>
      </c>
      <c r="AQ808" s="112" t="str">
        <f>IF(preDEL!$AG808,IFERROR(0/0,""),preDEL!AQ808)</f>
        <v/>
      </c>
      <c r="AR808" s="112" t="str">
        <f>IF(preDEL!$AG808,IFERROR(0/0,""),preDEL!AR808)</f>
        <v/>
      </c>
      <c r="AS808" s="112" t="str">
        <f>IF(preDEL!$AG808,IFERROR(0/0,""),preDEL!AS808)</f>
        <v/>
      </c>
      <c r="AT808" s="112" t="b">
        <f>IF(preDEL!$AG808,IFERROR(0/0,""),preDEL!AT808)</f>
        <v>0</v>
      </c>
      <c r="AU808" s="112" t="str">
        <f>IF(preDEL!$AG808,IFERROR(0/0,""),preDEL!AU808)</f>
        <v/>
      </c>
      <c r="AV808" s="112" t="str">
        <f>IF(preDEL!$AG808,IFERROR(0/0,""),preDEL!AV808)</f>
        <v/>
      </c>
      <c r="AW808" s="112" t="str">
        <f>IF(preDEL!$AG808,IFERROR(0/0,""),preDEL!AW808)</f>
        <v/>
      </c>
      <c r="AX808" s="112" t="str">
        <f>IF(preDEL!$AG808,IFERROR(0/0,""),preDEL!AX808)</f>
        <v/>
      </c>
      <c r="AY808" s="112" t="str">
        <f>IF(preDEL!$AG808,IFERROR(0/0,""),preDEL!AY808)</f>
        <v/>
      </c>
      <c r="AZ808" s="174"/>
      <c r="BA808" s="174"/>
      <c r="BB808" s="174"/>
      <c r="BC808" s="174"/>
      <c r="BD808" s="174"/>
      <c r="BE808" s="174"/>
      <c r="BF808" s="174"/>
      <c r="BG808" s="174"/>
      <c r="BH808" s="174"/>
      <c r="BI808" s="174"/>
      <c r="BJ808" s="174"/>
      <c r="BK808" s="174"/>
      <c r="BL808" s="174"/>
      <c r="BM808" s="174"/>
      <c r="BN808" s="174"/>
      <c r="BO808" s="174"/>
      <c r="BP808" s="174"/>
      <c r="BQ808" s="174"/>
      <c r="BR808" s="174"/>
      <c r="BS808" s="174"/>
      <c r="BT808" s="174"/>
      <c r="BU808" s="174"/>
      <c r="BV808" s="174"/>
      <c r="BW808" s="174"/>
      <c r="BX808" s="174"/>
      <c r="BY808" s="174"/>
      <c r="BZ808" s="174"/>
      <c r="CA808" s="174"/>
      <c r="CB808" s="174"/>
      <c r="CC808" s="174"/>
      <c r="CD808" s="174"/>
    </row>
    <row r="809">
      <c r="A809" s="105" t="str">
        <f>IF(preDEL!$AG809,IFERROR(0/0,""),preDEL!A809)</f>
        <v/>
      </c>
      <c r="B809" s="170" t="str">
        <f>IF(preDEL!$AG809,IFERROR(0/0,""),preDEL!B809)</f>
        <v/>
      </c>
      <c r="C809" s="171" t="str">
        <f>IF(preDEL!$AG809,IFERROR(0/0,""),preDEL!C809)</f>
        <v/>
      </c>
      <c r="D809" s="105" t="str">
        <f>IF(preDEL!$AG809,IFERROR(0/0,""),preDEL!D809)</f>
        <v/>
      </c>
      <c r="E809" s="105" t="str">
        <f>IF(preDEL!$AG809,IFERROR(0/0,""),preDEL!E809)</f>
        <v/>
      </c>
      <c r="F809" s="112" t="str">
        <f>IF(preDEL!$AG809,IFERROR(0/0,""),preDEL!F809)</f>
        <v/>
      </c>
      <c r="G809" s="112" t="str">
        <f>IF(preDEL!$AG809,IFERROR(0/0,""),preDEL!G809)</f>
        <v/>
      </c>
      <c r="H809" s="112" t="str">
        <f>IF(preDEL!$AG809,IFERROR(0/0,""),preDEL!H809)</f>
        <v/>
      </c>
      <c r="I809" s="105" t="str">
        <f>IF(preDEL!$AG809,IFERROR(0/0,""),preDEL!I809)</f>
        <v/>
      </c>
      <c r="J809" s="105" t="str">
        <f>IF(preDEL!$AG809,IFERROR(0/0,""),preDEL!J809)</f>
        <v/>
      </c>
      <c r="K809" s="105" t="str">
        <f>IF(preDEL!$AG809,IFERROR(0/0,""),preDEL!K809)</f>
        <v/>
      </c>
      <c r="L809" s="170" t="str">
        <f>IF(preDEL!$AG809,IFERROR(0/0,""),preDEL!L809)</f>
        <v/>
      </c>
      <c r="M809" s="171" t="str">
        <f>IF(preDEL!$AG809,IFERROR(0/0,""),preDEL!M809)</f>
        <v/>
      </c>
      <c r="N809" s="112" t="str">
        <f>IF(preDEL!$AG809,IFERROR(0/0,""),preDEL!N809)</f>
        <v/>
      </c>
      <c r="O809" s="112" t="str">
        <f>IF(preDEL!$AG809,IFERROR(0/0,""),preDEL!O809)</f>
        <v/>
      </c>
      <c r="P809" s="110" t="str">
        <f>IF(preDEL!$AG809,IFERROR(0/0,""),preDEL!P809)</f>
        <v/>
      </c>
      <c r="Q809" s="110" t="str">
        <f>IF(preDEL!$AG809,IFERROR(0/0,""),preDEL!Q809)</f>
        <v/>
      </c>
      <c r="R809" s="104" t="str">
        <f>IF(preDEL!$AG809,IFERROR(0/0,""),preDEL!R809)</f>
        <v/>
      </c>
      <c r="S809" s="104" t="str">
        <f>IF(preDEL!$AG809,IFERROR(0/0,""),preDEL!S809)</f>
        <v/>
      </c>
      <c r="T809" s="110" t="str">
        <f>IF(preDEL!$AG809,IFERROR(0/0,""),preDEL!T809)</f>
        <v/>
      </c>
      <c r="U809" s="112" t="str">
        <f>IF(preDEL!$AG809,IFERROR(0/0,""),preDEL!U809)</f>
        <v/>
      </c>
      <c r="V809" s="105" t="str">
        <f>IF(preDEL!$AG809,IFERROR(0/0,""),preDEL!V809)</f>
        <v/>
      </c>
      <c r="W809" s="112" t="str">
        <f>IF(preDEL!$AG809,IFERROR(0/0,""),preDEL!W809)</f>
        <v/>
      </c>
      <c r="X809" s="104" t="str">
        <f>IF(preDEL!$AG809,IFERROR(0/0,""),preDEL!X809)</f>
        <v/>
      </c>
      <c r="Y809" s="110" t="str">
        <f>IF(preDEL!$AG809,IFERROR(0/0,""),preDEL!Y809)</f>
        <v/>
      </c>
      <c r="Z809" s="105" t="str">
        <f>IF(preDEL!$AG809,IFERROR(0/0,""),preDEL!Z809)</f>
        <v/>
      </c>
      <c r="AA809" s="110" t="str">
        <f>IF(preDEL!$AG809,IFERROR(0/0,""),preDEL!AA809)</f>
        <v/>
      </c>
      <c r="AB809" s="110" t="str">
        <f>IF(preDEL!$AG809,IFERROR(0/0,""),preDEL!AB809)</f>
        <v/>
      </c>
      <c r="AC809" s="172" t="str">
        <f>IF(preDEL!$AG809,IFERROR(0/0,""),preDEL!AC809)</f>
        <v/>
      </c>
      <c r="AD809" s="104" t="str">
        <f>IF(preDEL!$AG809,IFERROR(0/0,""),preDEL!AD809)</f>
        <v/>
      </c>
      <c r="AE809" s="173" t="str">
        <f>IF(preDEL!$AG809,IFERROR(0/0,""),preDEL!AE809)</f>
        <v/>
      </c>
      <c r="AF809" s="110" t="str">
        <f>IF(preDEL!$AG809,IFERROR(0/0,""),preDEL!AF809)</f>
        <v/>
      </c>
      <c r="AG809" s="110" t="str">
        <f>IF(preDEL!$AG809,IFERROR(0/0,""),preDEL!AG809)</f>
        <v/>
      </c>
      <c r="AH809" s="104" t="str">
        <f>IF(preDEL!$AG809,IFERROR(0/0,""),preDEL!AH809)</f>
        <v/>
      </c>
      <c r="AI809" s="105" t="str">
        <f>IF(preDEL!$AG809,IFERROR(0/0,""),preDEL!AI809)</f>
        <v/>
      </c>
      <c r="AJ809" s="112" t="str">
        <f>IF(preDEL!$AG809,IFERROR(0/0,""),preDEL!AJ809)</f>
        <v/>
      </c>
      <c r="AK809" s="105" t="str">
        <f>IF(preDEL!$AG809,IFERROR(0/0,""),preDEL!AK809)</f>
        <v/>
      </c>
      <c r="AL809" s="112" t="str">
        <f>IF(preDEL!$AG809,IFERROR(0/0,""),preDEL!AL809)</f>
        <v/>
      </c>
      <c r="AM809" s="112" t="str">
        <f>IF(preDEL!$AG809,IFERROR(0/0,""),preDEL!AM809)</f>
        <v/>
      </c>
      <c r="AN809" s="112" t="str">
        <f>IF(preDEL!$AG809,IFERROR(0/0,""),preDEL!AN809)</f>
        <v/>
      </c>
      <c r="AO809" s="112" t="str">
        <f>IF(preDEL!$AG809,IFERROR(0/0,""),preDEL!AO809)</f>
        <v/>
      </c>
      <c r="AP809" s="112" t="str">
        <f>IF(preDEL!$AG809,IFERROR(0/0,""),preDEL!AP809)</f>
        <v/>
      </c>
      <c r="AQ809" s="112" t="str">
        <f>IF(preDEL!$AG809,IFERROR(0/0,""),preDEL!AQ809)</f>
        <v/>
      </c>
      <c r="AR809" s="112" t="str">
        <f>IF(preDEL!$AG809,IFERROR(0/0,""),preDEL!AR809)</f>
        <v/>
      </c>
      <c r="AS809" s="112" t="str">
        <f>IF(preDEL!$AG809,IFERROR(0/0,""),preDEL!AS809)</f>
        <v/>
      </c>
      <c r="AT809" s="112" t="str">
        <f>IF(preDEL!$AG809,IFERROR(0/0,""),preDEL!AT809)</f>
        <v/>
      </c>
      <c r="AU809" s="112" t="str">
        <f>IF(preDEL!$AG809,IFERROR(0/0,""),preDEL!AU809)</f>
        <v/>
      </c>
      <c r="AV809" s="112" t="str">
        <f>IF(preDEL!$AG809,IFERROR(0/0,""),preDEL!AV809)</f>
        <v/>
      </c>
      <c r="AW809" s="112" t="str">
        <f>IF(preDEL!$AG809,IFERROR(0/0,""),preDEL!AW809)</f>
        <v/>
      </c>
      <c r="AX809" s="112" t="str">
        <f>IF(preDEL!$AG809,IFERROR(0/0,""),preDEL!AX809)</f>
        <v/>
      </c>
      <c r="AY809" s="112" t="str">
        <f>IF(preDEL!$AG809,IFERROR(0/0,""),preDEL!AY809)</f>
        <v/>
      </c>
      <c r="AZ809" s="174"/>
      <c r="BA809" s="174"/>
      <c r="BB809" s="174"/>
      <c r="BC809" s="174"/>
      <c r="BD809" s="174"/>
      <c r="BE809" s="174"/>
      <c r="BF809" s="174"/>
      <c r="BG809" s="174"/>
      <c r="BH809" s="174"/>
      <c r="BI809" s="174"/>
      <c r="BJ809" s="174"/>
      <c r="BK809" s="174"/>
      <c r="BL809" s="174"/>
      <c r="BM809" s="174"/>
      <c r="BN809" s="174"/>
      <c r="BO809" s="174"/>
      <c r="BP809" s="174"/>
      <c r="BQ809" s="174"/>
      <c r="BR809" s="174"/>
      <c r="BS809" s="174"/>
      <c r="BT809" s="174"/>
      <c r="BU809" s="174"/>
      <c r="BV809" s="174"/>
      <c r="BW809" s="174"/>
      <c r="BX809" s="174"/>
      <c r="BY809" s="174"/>
      <c r="BZ809" s="174"/>
      <c r="CA809" s="174"/>
      <c r="CB809" s="174"/>
      <c r="CC809" s="174"/>
      <c r="CD809" s="174"/>
    </row>
    <row r="810">
      <c r="A810" s="105" t="str">
        <f>IF(preDEL!$AG810,IFERROR(0/0,""),preDEL!A810)</f>
        <v/>
      </c>
      <c r="B810" s="170" t="str">
        <f>IF(preDEL!$AG810,IFERROR(0/0,""),preDEL!B810)</f>
        <v/>
      </c>
      <c r="C810" s="171" t="str">
        <f>IF(preDEL!$AG810,IFERROR(0/0,""),preDEL!C810)</f>
        <v/>
      </c>
      <c r="D810" s="105" t="str">
        <f>IF(preDEL!$AG810,IFERROR(0/0,""),preDEL!D810)</f>
        <v/>
      </c>
      <c r="E810" s="105" t="str">
        <f>IF(preDEL!$AG810,IFERROR(0/0,""),preDEL!E810)</f>
        <v/>
      </c>
      <c r="F810" s="112" t="str">
        <f>IF(preDEL!$AG810,IFERROR(0/0,""),preDEL!F810)</f>
        <v/>
      </c>
      <c r="G810" s="112" t="str">
        <f>IF(preDEL!$AG810,IFERROR(0/0,""),preDEL!G810)</f>
        <v/>
      </c>
      <c r="H810" s="112" t="str">
        <f>IF(preDEL!$AG810,IFERROR(0/0,""),preDEL!H810)</f>
        <v/>
      </c>
      <c r="I810" s="105" t="str">
        <f>IF(preDEL!$AG810,IFERROR(0/0,""),preDEL!I810)</f>
        <v/>
      </c>
      <c r="J810" s="105" t="str">
        <f>IF(preDEL!$AG810,IFERROR(0/0,""),preDEL!J810)</f>
        <v/>
      </c>
      <c r="K810" s="105" t="str">
        <f>IF(preDEL!$AG810,IFERROR(0/0,""),preDEL!K810)</f>
        <v/>
      </c>
      <c r="L810" s="170" t="str">
        <f>IF(preDEL!$AG810,IFERROR(0/0,""),preDEL!L810)</f>
        <v/>
      </c>
      <c r="M810" s="171" t="str">
        <f>IF(preDEL!$AG810,IFERROR(0/0,""),preDEL!M810)</f>
        <v/>
      </c>
      <c r="N810" s="112" t="str">
        <f>IF(preDEL!$AG810,IFERROR(0/0,""),preDEL!N810)</f>
        <v/>
      </c>
      <c r="O810" s="112" t="str">
        <f>IF(preDEL!$AG810,IFERROR(0/0,""),preDEL!O810)</f>
        <v/>
      </c>
      <c r="P810" s="110" t="str">
        <f>IF(preDEL!$AG810,IFERROR(0/0,""),preDEL!P810)</f>
        <v/>
      </c>
      <c r="Q810" s="110" t="str">
        <f>IF(preDEL!$AG810,IFERROR(0/0,""),preDEL!Q810)</f>
        <v/>
      </c>
      <c r="R810" s="104" t="str">
        <f>IF(preDEL!$AG810,IFERROR(0/0,""),preDEL!R810)</f>
        <v/>
      </c>
      <c r="S810" s="104" t="str">
        <f>IF(preDEL!$AG810,IFERROR(0/0,""),preDEL!S810)</f>
        <v/>
      </c>
      <c r="T810" s="110" t="str">
        <f>IF(preDEL!$AG810,IFERROR(0/0,""),preDEL!T810)</f>
        <v/>
      </c>
      <c r="U810" s="112" t="str">
        <f>IF(preDEL!$AG810,IFERROR(0/0,""),preDEL!U810)</f>
        <v/>
      </c>
      <c r="V810" s="105" t="str">
        <f>IF(preDEL!$AG810,IFERROR(0/0,""),preDEL!V810)</f>
        <v/>
      </c>
      <c r="W810" s="112" t="str">
        <f>IF(preDEL!$AG810,IFERROR(0/0,""),preDEL!W810)</f>
        <v/>
      </c>
      <c r="X810" s="104" t="str">
        <f>IF(preDEL!$AG810,IFERROR(0/0,""),preDEL!X810)</f>
        <v/>
      </c>
      <c r="Y810" s="110" t="str">
        <f>IF(preDEL!$AG810,IFERROR(0/0,""),preDEL!Y810)</f>
        <v/>
      </c>
      <c r="Z810" s="105" t="str">
        <f>IF(preDEL!$AG810,IFERROR(0/0,""),preDEL!Z810)</f>
        <v/>
      </c>
      <c r="AA810" s="110" t="str">
        <f>IF(preDEL!$AG810,IFERROR(0/0,""),preDEL!AA810)</f>
        <v/>
      </c>
      <c r="AB810" s="110" t="str">
        <f>IF(preDEL!$AG810,IFERROR(0/0,""),preDEL!AB810)</f>
        <v/>
      </c>
      <c r="AC810" s="172" t="str">
        <f>IF(preDEL!$AG810,IFERROR(0/0,""),preDEL!AC810)</f>
        <v/>
      </c>
      <c r="AD810" s="104" t="str">
        <f>IF(preDEL!$AG810,IFERROR(0/0,""),preDEL!AD810)</f>
        <v/>
      </c>
      <c r="AE810" s="173" t="str">
        <f>IF(preDEL!$AG810,IFERROR(0/0,""),preDEL!AE810)</f>
        <v/>
      </c>
      <c r="AF810" s="110" t="str">
        <f>IF(preDEL!$AG810,IFERROR(0/0,""),preDEL!AF810)</f>
        <v/>
      </c>
      <c r="AG810" s="110" t="str">
        <f>IF(preDEL!$AG810,IFERROR(0/0,""),preDEL!AG810)</f>
        <v/>
      </c>
      <c r="AH810" s="104" t="str">
        <f>IF(preDEL!$AG810,IFERROR(0/0,""),preDEL!AH810)</f>
        <v/>
      </c>
      <c r="AI810" s="105" t="str">
        <f>IF(preDEL!$AG810,IFERROR(0/0,""),preDEL!AI810)</f>
        <v/>
      </c>
      <c r="AJ810" s="112" t="str">
        <f>IF(preDEL!$AG810,IFERROR(0/0,""),preDEL!AJ810)</f>
        <v/>
      </c>
      <c r="AK810" s="105" t="str">
        <f>IF(preDEL!$AG810,IFERROR(0/0,""),preDEL!AK810)</f>
        <v/>
      </c>
      <c r="AL810" s="112" t="str">
        <f>IF(preDEL!$AG810,IFERROR(0/0,""),preDEL!AL810)</f>
        <v/>
      </c>
      <c r="AM810" s="112" t="str">
        <f>IF(preDEL!$AG810,IFERROR(0/0,""),preDEL!AM810)</f>
        <v/>
      </c>
      <c r="AN810" s="112" t="str">
        <f>IF(preDEL!$AG810,IFERROR(0/0,""),preDEL!AN810)</f>
        <v/>
      </c>
      <c r="AO810" s="112" t="str">
        <f>IF(preDEL!$AG810,IFERROR(0/0,""),preDEL!AO810)</f>
        <v/>
      </c>
      <c r="AP810" s="112" t="str">
        <f>IF(preDEL!$AG810,IFERROR(0/0,""),preDEL!AP810)</f>
        <v/>
      </c>
      <c r="AQ810" s="112" t="str">
        <f>IF(preDEL!$AG810,IFERROR(0/0,""),preDEL!AQ810)</f>
        <v/>
      </c>
      <c r="AR810" s="112" t="str">
        <f>IF(preDEL!$AG810,IFERROR(0/0,""),preDEL!AR810)</f>
        <v/>
      </c>
      <c r="AS810" s="112" t="str">
        <f>IF(preDEL!$AG810,IFERROR(0/0,""),preDEL!AS810)</f>
        <v/>
      </c>
      <c r="AT810" s="112" t="str">
        <f>IF(preDEL!$AG810,IFERROR(0/0,""),preDEL!AT810)</f>
        <v/>
      </c>
      <c r="AU810" s="112" t="str">
        <f>IF(preDEL!$AG810,IFERROR(0/0,""),preDEL!AU810)</f>
        <v/>
      </c>
      <c r="AV810" s="112" t="str">
        <f>IF(preDEL!$AG810,IFERROR(0/0,""),preDEL!AV810)</f>
        <v/>
      </c>
      <c r="AW810" s="112" t="str">
        <f>IF(preDEL!$AG810,IFERROR(0/0,""),preDEL!AW810)</f>
        <v/>
      </c>
      <c r="AX810" s="112" t="str">
        <f>IF(preDEL!$AG810,IFERROR(0/0,""),preDEL!AX810)</f>
        <v/>
      </c>
      <c r="AY810" s="112" t="str">
        <f>IF(preDEL!$AG810,IFERROR(0/0,""),preDEL!AY810)</f>
        <v/>
      </c>
      <c r="AZ810" s="174"/>
      <c r="BA810" s="174"/>
      <c r="BB810" s="174"/>
      <c r="BC810" s="174"/>
      <c r="BD810" s="174"/>
      <c r="BE810" s="174"/>
      <c r="BF810" s="174"/>
      <c r="BG810" s="174"/>
      <c r="BH810" s="174"/>
      <c r="BI810" s="174"/>
      <c r="BJ810" s="174"/>
      <c r="BK810" s="174"/>
      <c r="BL810" s="174"/>
      <c r="BM810" s="174"/>
      <c r="BN810" s="174"/>
      <c r="BO810" s="174"/>
      <c r="BP810" s="174"/>
      <c r="BQ810" s="174"/>
      <c r="BR810" s="174"/>
      <c r="BS810" s="174"/>
      <c r="BT810" s="174"/>
      <c r="BU810" s="174"/>
      <c r="BV810" s="174"/>
      <c r="BW810" s="174"/>
      <c r="BX810" s="174"/>
      <c r="BY810" s="174"/>
      <c r="BZ810" s="174"/>
      <c r="CA810" s="174"/>
      <c r="CB810" s="174"/>
      <c r="CC810" s="174"/>
      <c r="CD810" s="174"/>
    </row>
    <row r="811">
      <c r="A811" s="105" t="str">
        <f>IF(preDEL!$AG811,IFERROR(0/0,""),preDEL!A811)</f>
        <v/>
      </c>
      <c r="B811" s="170" t="str">
        <f>IF(preDEL!$AG811,IFERROR(0/0,""),preDEL!B811)</f>
        <v/>
      </c>
      <c r="C811" s="171" t="str">
        <f>IF(preDEL!$AG811,IFERROR(0/0,""),preDEL!C811)</f>
        <v/>
      </c>
      <c r="D811" s="105" t="str">
        <f>IF(preDEL!$AG811,IFERROR(0/0,""),preDEL!D811)</f>
        <v/>
      </c>
      <c r="E811" s="105" t="str">
        <f>IF(preDEL!$AG811,IFERROR(0/0,""),preDEL!E811)</f>
        <v/>
      </c>
      <c r="F811" s="112" t="str">
        <f>IF(preDEL!$AG811,IFERROR(0/0,""),preDEL!F811)</f>
        <v/>
      </c>
      <c r="G811" s="112" t="str">
        <f>IF(preDEL!$AG811,IFERROR(0/0,""),preDEL!G811)</f>
        <v/>
      </c>
      <c r="H811" s="112" t="str">
        <f>IF(preDEL!$AG811,IFERROR(0/0,""),preDEL!H811)</f>
        <v/>
      </c>
      <c r="I811" s="105" t="str">
        <f>IF(preDEL!$AG811,IFERROR(0/0,""),preDEL!I811)</f>
        <v/>
      </c>
      <c r="J811" s="105" t="str">
        <f>IF(preDEL!$AG811,IFERROR(0/0,""),preDEL!J811)</f>
        <v/>
      </c>
      <c r="K811" s="105" t="str">
        <f>IF(preDEL!$AG811,IFERROR(0/0,""),preDEL!K811)</f>
        <v/>
      </c>
      <c r="L811" s="170" t="str">
        <f>IF(preDEL!$AG811,IFERROR(0/0,""),preDEL!L811)</f>
        <v/>
      </c>
      <c r="M811" s="171" t="str">
        <f>IF(preDEL!$AG811,IFERROR(0/0,""),preDEL!M811)</f>
        <v/>
      </c>
      <c r="N811" s="112" t="str">
        <f>IF(preDEL!$AG811,IFERROR(0/0,""),preDEL!N811)</f>
        <v/>
      </c>
      <c r="O811" s="112" t="str">
        <f>IF(preDEL!$AG811,IFERROR(0/0,""),preDEL!O811)</f>
        <v/>
      </c>
      <c r="P811" s="110" t="str">
        <f>IF(preDEL!$AG811,IFERROR(0/0,""),preDEL!P811)</f>
        <v/>
      </c>
      <c r="Q811" s="110" t="str">
        <f>IF(preDEL!$AG811,IFERROR(0/0,""),preDEL!Q811)</f>
        <v/>
      </c>
      <c r="R811" s="104" t="str">
        <f>IF(preDEL!$AG811,IFERROR(0/0,""),preDEL!R811)</f>
        <v/>
      </c>
      <c r="S811" s="104" t="str">
        <f>IF(preDEL!$AG811,IFERROR(0/0,""),preDEL!S811)</f>
        <v/>
      </c>
      <c r="T811" s="110" t="str">
        <f>IF(preDEL!$AG811,IFERROR(0/0,""),preDEL!T811)</f>
        <v/>
      </c>
      <c r="U811" s="112" t="str">
        <f>IF(preDEL!$AG811,IFERROR(0/0,""),preDEL!U811)</f>
        <v/>
      </c>
      <c r="V811" s="105" t="str">
        <f>IF(preDEL!$AG811,IFERROR(0/0,""),preDEL!V811)</f>
        <v/>
      </c>
      <c r="W811" s="112" t="str">
        <f>IF(preDEL!$AG811,IFERROR(0/0,""),preDEL!W811)</f>
        <v/>
      </c>
      <c r="X811" s="104" t="str">
        <f>IF(preDEL!$AG811,IFERROR(0/0,""),preDEL!X811)</f>
        <v/>
      </c>
      <c r="Y811" s="110" t="str">
        <f>IF(preDEL!$AG811,IFERROR(0/0,""),preDEL!Y811)</f>
        <v/>
      </c>
      <c r="Z811" s="105" t="str">
        <f>IF(preDEL!$AG811,IFERROR(0/0,""),preDEL!Z811)</f>
        <v/>
      </c>
      <c r="AA811" s="110" t="str">
        <f>IF(preDEL!$AG811,IFERROR(0/0,""),preDEL!AA811)</f>
        <v/>
      </c>
      <c r="AB811" s="110" t="str">
        <f>IF(preDEL!$AG811,IFERROR(0/0,""),preDEL!AB811)</f>
        <v/>
      </c>
      <c r="AC811" s="172" t="str">
        <f>IF(preDEL!$AG811,IFERROR(0/0,""),preDEL!AC811)</f>
        <v/>
      </c>
      <c r="AD811" s="104" t="str">
        <f>IF(preDEL!$AG811,IFERROR(0/0,""),preDEL!AD811)</f>
        <v/>
      </c>
      <c r="AE811" s="173" t="str">
        <f>IF(preDEL!$AG811,IFERROR(0/0,""),preDEL!AE811)</f>
        <v/>
      </c>
      <c r="AF811" s="110" t="str">
        <f>IF(preDEL!$AG811,IFERROR(0/0,""),preDEL!AF811)</f>
        <v/>
      </c>
      <c r="AG811" s="110" t="str">
        <f>IF(preDEL!$AG811,IFERROR(0/0,""),preDEL!AG811)</f>
        <v/>
      </c>
      <c r="AH811" s="104" t="str">
        <f>IF(preDEL!$AG811,IFERROR(0/0,""),preDEL!AH811)</f>
        <v/>
      </c>
      <c r="AI811" s="105" t="str">
        <f>IF(preDEL!$AG811,IFERROR(0/0,""),preDEL!AI811)</f>
        <v/>
      </c>
      <c r="AJ811" s="112" t="str">
        <f>IF(preDEL!$AG811,IFERROR(0/0,""),preDEL!AJ811)</f>
        <v/>
      </c>
      <c r="AK811" s="105" t="str">
        <f>IF(preDEL!$AG811,IFERROR(0/0,""),preDEL!AK811)</f>
        <v/>
      </c>
      <c r="AL811" s="112" t="str">
        <f>IF(preDEL!$AG811,IFERROR(0/0,""),preDEL!AL811)</f>
        <v/>
      </c>
      <c r="AM811" s="112" t="str">
        <f>IF(preDEL!$AG811,IFERROR(0/0,""),preDEL!AM811)</f>
        <v/>
      </c>
      <c r="AN811" s="112" t="str">
        <f>IF(preDEL!$AG811,IFERROR(0/0,""),preDEL!AN811)</f>
        <v/>
      </c>
      <c r="AO811" s="112" t="str">
        <f>IF(preDEL!$AG811,IFERROR(0/0,""),preDEL!AO811)</f>
        <v/>
      </c>
      <c r="AP811" s="112" t="str">
        <f>IF(preDEL!$AG811,IFERROR(0/0,""),preDEL!AP811)</f>
        <v/>
      </c>
      <c r="AQ811" s="112" t="str">
        <f>IF(preDEL!$AG811,IFERROR(0/0,""),preDEL!AQ811)</f>
        <v/>
      </c>
      <c r="AR811" s="112" t="str">
        <f>IF(preDEL!$AG811,IFERROR(0/0,""),preDEL!AR811)</f>
        <v/>
      </c>
      <c r="AS811" s="112" t="str">
        <f>IF(preDEL!$AG811,IFERROR(0/0,""),preDEL!AS811)</f>
        <v/>
      </c>
      <c r="AT811" s="112" t="str">
        <f>IF(preDEL!$AG811,IFERROR(0/0,""),preDEL!AT811)</f>
        <v/>
      </c>
      <c r="AU811" s="112" t="str">
        <f>IF(preDEL!$AG811,IFERROR(0/0,""),preDEL!AU811)</f>
        <v/>
      </c>
      <c r="AV811" s="112" t="str">
        <f>IF(preDEL!$AG811,IFERROR(0/0,""),preDEL!AV811)</f>
        <v/>
      </c>
      <c r="AW811" s="112" t="str">
        <f>IF(preDEL!$AG811,IFERROR(0/0,""),preDEL!AW811)</f>
        <v/>
      </c>
      <c r="AX811" s="112" t="str">
        <f>IF(preDEL!$AG811,IFERROR(0/0,""),preDEL!AX811)</f>
        <v/>
      </c>
      <c r="AY811" s="112" t="str">
        <f>IF(preDEL!$AG811,IFERROR(0/0,""),preDEL!AY811)</f>
        <v/>
      </c>
      <c r="AZ811" s="174"/>
      <c r="BA811" s="174"/>
      <c r="BB811" s="174"/>
      <c r="BC811" s="174"/>
      <c r="BD811" s="174"/>
      <c r="BE811" s="174"/>
      <c r="BF811" s="174"/>
      <c r="BG811" s="174"/>
      <c r="BH811" s="174"/>
      <c r="BI811" s="174"/>
      <c r="BJ811" s="174"/>
      <c r="BK811" s="174"/>
      <c r="BL811" s="174"/>
      <c r="BM811" s="174"/>
      <c r="BN811" s="174"/>
      <c r="BO811" s="174"/>
      <c r="BP811" s="174"/>
      <c r="BQ811" s="174"/>
      <c r="BR811" s="174"/>
      <c r="BS811" s="174"/>
      <c r="BT811" s="174"/>
      <c r="BU811" s="174"/>
      <c r="BV811" s="174"/>
      <c r="BW811" s="174"/>
      <c r="BX811" s="174"/>
      <c r="BY811" s="174"/>
      <c r="BZ811" s="174"/>
      <c r="CA811" s="174"/>
      <c r="CB811" s="174"/>
      <c r="CC811" s="174"/>
      <c r="CD811" s="174"/>
    </row>
    <row r="812">
      <c r="A812" s="105" t="str">
        <f>IF(preDEL!$AG812,IFERROR(0/0,""),preDEL!A812)</f>
        <v/>
      </c>
      <c r="B812" s="170" t="str">
        <f>IF(preDEL!$AG812,IFERROR(0/0,""),preDEL!B812)</f>
        <v/>
      </c>
      <c r="C812" s="171" t="str">
        <f>IF(preDEL!$AG812,IFERROR(0/0,""),preDEL!C812)</f>
        <v/>
      </c>
      <c r="D812" s="105" t="str">
        <f>IF(preDEL!$AG812,IFERROR(0/0,""),preDEL!D812)</f>
        <v/>
      </c>
      <c r="E812" s="105" t="str">
        <f>IF(preDEL!$AG812,IFERROR(0/0,""),preDEL!E812)</f>
        <v/>
      </c>
      <c r="F812" s="112" t="str">
        <f>IF(preDEL!$AG812,IFERROR(0/0,""),preDEL!F812)</f>
        <v/>
      </c>
      <c r="G812" s="112" t="str">
        <f>IF(preDEL!$AG812,IFERROR(0/0,""),preDEL!G812)</f>
        <v/>
      </c>
      <c r="H812" s="112" t="str">
        <f>IF(preDEL!$AG812,IFERROR(0/0,""),preDEL!H812)</f>
        <v/>
      </c>
      <c r="I812" s="105" t="str">
        <f>IF(preDEL!$AG812,IFERROR(0/0,""),preDEL!I812)</f>
        <v/>
      </c>
      <c r="J812" s="105" t="str">
        <f>IF(preDEL!$AG812,IFERROR(0/0,""),preDEL!J812)</f>
        <v/>
      </c>
      <c r="K812" s="105" t="str">
        <f>IF(preDEL!$AG812,IFERROR(0/0,""),preDEL!K812)</f>
        <v/>
      </c>
      <c r="L812" s="170" t="str">
        <f>IF(preDEL!$AG812,IFERROR(0/0,""),preDEL!L812)</f>
        <v/>
      </c>
      <c r="M812" s="171" t="str">
        <f>IF(preDEL!$AG812,IFERROR(0/0,""),preDEL!M812)</f>
        <v/>
      </c>
      <c r="N812" s="112" t="str">
        <f>IF(preDEL!$AG812,IFERROR(0/0,""),preDEL!N812)</f>
        <v/>
      </c>
      <c r="O812" s="112" t="str">
        <f>IF(preDEL!$AG812,IFERROR(0/0,""),preDEL!O812)</f>
        <v/>
      </c>
      <c r="P812" s="110" t="str">
        <f>IF(preDEL!$AG812,IFERROR(0/0,""),preDEL!P812)</f>
        <v/>
      </c>
      <c r="Q812" s="110" t="str">
        <f>IF(preDEL!$AG812,IFERROR(0/0,""),preDEL!Q812)</f>
        <v/>
      </c>
      <c r="R812" s="104" t="str">
        <f>IF(preDEL!$AG812,IFERROR(0/0,""),preDEL!R812)</f>
        <v/>
      </c>
      <c r="S812" s="104" t="str">
        <f>IF(preDEL!$AG812,IFERROR(0/0,""),preDEL!S812)</f>
        <v/>
      </c>
      <c r="T812" s="110" t="str">
        <f>IF(preDEL!$AG812,IFERROR(0/0,""),preDEL!T812)</f>
        <v/>
      </c>
      <c r="U812" s="112" t="str">
        <f>IF(preDEL!$AG812,IFERROR(0/0,""),preDEL!U812)</f>
        <v/>
      </c>
      <c r="V812" s="105" t="str">
        <f>IF(preDEL!$AG812,IFERROR(0/0,""),preDEL!V812)</f>
        <v/>
      </c>
      <c r="W812" s="112" t="str">
        <f>IF(preDEL!$AG812,IFERROR(0/0,""),preDEL!W812)</f>
        <v/>
      </c>
      <c r="X812" s="104" t="str">
        <f>IF(preDEL!$AG812,IFERROR(0/0,""),preDEL!X812)</f>
        <v/>
      </c>
      <c r="Y812" s="110" t="str">
        <f>IF(preDEL!$AG812,IFERROR(0/0,""),preDEL!Y812)</f>
        <v/>
      </c>
      <c r="Z812" s="105" t="str">
        <f>IF(preDEL!$AG812,IFERROR(0/0,""),preDEL!Z812)</f>
        <v/>
      </c>
      <c r="AA812" s="110" t="str">
        <f>IF(preDEL!$AG812,IFERROR(0/0,""),preDEL!AA812)</f>
        <v/>
      </c>
      <c r="AB812" s="110" t="str">
        <f>IF(preDEL!$AG812,IFERROR(0/0,""),preDEL!AB812)</f>
        <v/>
      </c>
      <c r="AC812" s="172" t="str">
        <f>IF(preDEL!$AG812,IFERROR(0/0,""),preDEL!AC812)</f>
        <v/>
      </c>
      <c r="AD812" s="104" t="str">
        <f>IF(preDEL!$AG812,IFERROR(0/0,""),preDEL!AD812)</f>
        <v/>
      </c>
      <c r="AE812" s="173" t="str">
        <f>IF(preDEL!$AG812,IFERROR(0/0,""),preDEL!AE812)</f>
        <v/>
      </c>
      <c r="AF812" s="110" t="str">
        <f>IF(preDEL!$AG812,IFERROR(0/0,""),preDEL!AF812)</f>
        <v/>
      </c>
      <c r="AG812" s="110" t="str">
        <f>IF(preDEL!$AG812,IFERROR(0/0,""),preDEL!AG812)</f>
        <v/>
      </c>
      <c r="AH812" s="104" t="str">
        <f>IF(preDEL!$AG812,IFERROR(0/0,""),preDEL!AH812)</f>
        <v/>
      </c>
      <c r="AI812" s="105" t="str">
        <f>IF(preDEL!$AG812,IFERROR(0/0,""),preDEL!AI812)</f>
        <v/>
      </c>
      <c r="AJ812" s="112" t="str">
        <f>IF(preDEL!$AG812,IFERROR(0/0,""),preDEL!AJ812)</f>
        <v/>
      </c>
      <c r="AK812" s="105" t="str">
        <f>IF(preDEL!$AG812,IFERROR(0/0,""),preDEL!AK812)</f>
        <v/>
      </c>
      <c r="AL812" s="112" t="str">
        <f>IF(preDEL!$AG812,IFERROR(0/0,""),preDEL!AL812)</f>
        <v/>
      </c>
      <c r="AM812" s="112" t="str">
        <f>IF(preDEL!$AG812,IFERROR(0/0,""),preDEL!AM812)</f>
        <v/>
      </c>
      <c r="AN812" s="112" t="str">
        <f>IF(preDEL!$AG812,IFERROR(0/0,""),preDEL!AN812)</f>
        <v/>
      </c>
      <c r="AO812" s="112" t="str">
        <f>IF(preDEL!$AG812,IFERROR(0/0,""),preDEL!AO812)</f>
        <v/>
      </c>
      <c r="AP812" s="112" t="str">
        <f>IF(preDEL!$AG812,IFERROR(0/0,""),preDEL!AP812)</f>
        <v/>
      </c>
      <c r="AQ812" s="112" t="str">
        <f>IF(preDEL!$AG812,IFERROR(0/0,""),preDEL!AQ812)</f>
        <v/>
      </c>
      <c r="AR812" s="112" t="str">
        <f>IF(preDEL!$AG812,IFERROR(0/0,""),preDEL!AR812)</f>
        <v/>
      </c>
      <c r="AS812" s="112" t="str">
        <f>IF(preDEL!$AG812,IFERROR(0/0,""),preDEL!AS812)</f>
        <v/>
      </c>
      <c r="AT812" s="112" t="str">
        <f>IF(preDEL!$AG812,IFERROR(0/0,""),preDEL!AT812)</f>
        <v/>
      </c>
      <c r="AU812" s="112" t="str">
        <f>IF(preDEL!$AG812,IFERROR(0/0,""),preDEL!AU812)</f>
        <v/>
      </c>
      <c r="AV812" s="112" t="str">
        <f>IF(preDEL!$AG812,IFERROR(0/0,""),preDEL!AV812)</f>
        <v/>
      </c>
      <c r="AW812" s="112" t="str">
        <f>IF(preDEL!$AG812,IFERROR(0/0,""),preDEL!AW812)</f>
        <v/>
      </c>
      <c r="AX812" s="112" t="str">
        <f>IF(preDEL!$AG812,IFERROR(0/0,""),preDEL!AX812)</f>
        <v/>
      </c>
      <c r="AY812" s="112" t="str">
        <f>IF(preDEL!$AG812,IFERROR(0/0,""),preDEL!AY812)</f>
        <v/>
      </c>
      <c r="AZ812" s="174"/>
      <c r="BA812" s="174"/>
      <c r="BB812" s="174"/>
      <c r="BC812" s="174"/>
      <c r="BD812" s="174"/>
      <c r="BE812" s="174"/>
      <c r="BF812" s="174"/>
      <c r="BG812" s="174"/>
      <c r="BH812" s="174"/>
      <c r="BI812" s="174"/>
      <c r="BJ812" s="174"/>
      <c r="BK812" s="174"/>
      <c r="BL812" s="174"/>
      <c r="BM812" s="174"/>
      <c r="BN812" s="174"/>
      <c r="BO812" s="174"/>
      <c r="BP812" s="174"/>
      <c r="BQ812" s="174"/>
      <c r="BR812" s="174"/>
      <c r="BS812" s="174"/>
      <c r="BT812" s="174"/>
      <c r="BU812" s="174"/>
      <c r="BV812" s="174"/>
      <c r="BW812" s="174"/>
      <c r="BX812" s="174"/>
      <c r="BY812" s="174"/>
      <c r="BZ812" s="174"/>
      <c r="CA812" s="174"/>
      <c r="CB812" s="174"/>
      <c r="CC812" s="174"/>
      <c r="CD812" s="174"/>
    </row>
    <row r="813">
      <c r="A813" s="105" t="str">
        <f>IF(preDEL!$AG813,IFERROR(0/0,""),preDEL!A813)</f>
        <v/>
      </c>
      <c r="B813" s="170" t="str">
        <f>IF(preDEL!$AG813,IFERROR(0/0,""),preDEL!B813)</f>
        <v/>
      </c>
      <c r="C813" s="171" t="str">
        <f>IF(preDEL!$AG813,IFERROR(0/0,""),preDEL!C813)</f>
        <v/>
      </c>
      <c r="D813" s="105" t="str">
        <f>IF(preDEL!$AG813,IFERROR(0/0,""),preDEL!D813)</f>
        <v/>
      </c>
      <c r="E813" s="105" t="str">
        <f>IF(preDEL!$AG813,IFERROR(0/0,""),preDEL!E813)</f>
        <v/>
      </c>
      <c r="F813" s="112" t="str">
        <f>IF(preDEL!$AG813,IFERROR(0/0,""),preDEL!F813)</f>
        <v/>
      </c>
      <c r="G813" s="112" t="str">
        <f>IF(preDEL!$AG813,IFERROR(0/0,""),preDEL!G813)</f>
        <v/>
      </c>
      <c r="H813" s="112" t="str">
        <f>IF(preDEL!$AG813,IFERROR(0/0,""),preDEL!H813)</f>
        <v/>
      </c>
      <c r="I813" s="105" t="str">
        <f>IF(preDEL!$AG813,IFERROR(0/0,""),preDEL!I813)</f>
        <v/>
      </c>
      <c r="J813" s="105" t="str">
        <f>IF(preDEL!$AG813,IFERROR(0/0,""),preDEL!J813)</f>
        <v/>
      </c>
      <c r="K813" s="105" t="str">
        <f>IF(preDEL!$AG813,IFERROR(0/0,""),preDEL!K813)</f>
        <v/>
      </c>
      <c r="L813" s="170" t="str">
        <f>IF(preDEL!$AG813,IFERROR(0/0,""),preDEL!L813)</f>
        <v/>
      </c>
      <c r="M813" s="171" t="str">
        <f>IF(preDEL!$AG813,IFERROR(0/0,""),preDEL!M813)</f>
        <v/>
      </c>
      <c r="N813" s="112" t="str">
        <f>IF(preDEL!$AG813,IFERROR(0/0,""),preDEL!N813)</f>
        <v/>
      </c>
      <c r="O813" s="112" t="str">
        <f>IF(preDEL!$AG813,IFERROR(0/0,""),preDEL!O813)</f>
        <v/>
      </c>
      <c r="P813" s="110" t="str">
        <f>IF(preDEL!$AG813,IFERROR(0/0,""),preDEL!P813)</f>
        <v/>
      </c>
      <c r="Q813" s="110" t="str">
        <f>IF(preDEL!$AG813,IFERROR(0/0,""),preDEL!Q813)</f>
        <v/>
      </c>
      <c r="R813" s="104" t="str">
        <f>IF(preDEL!$AG813,IFERROR(0/0,""),preDEL!R813)</f>
        <v/>
      </c>
      <c r="S813" s="104" t="str">
        <f>IF(preDEL!$AG813,IFERROR(0/0,""),preDEL!S813)</f>
        <v/>
      </c>
      <c r="T813" s="110" t="str">
        <f>IF(preDEL!$AG813,IFERROR(0/0,""),preDEL!T813)</f>
        <v/>
      </c>
      <c r="U813" s="112" t="str">
        <f>IF(preDEL!$AG813,IFERROR(0/0,""),preDEL!U813)</f>
        <v/>
      </c>
      <c r="V813" s="105" t="str">
        <f>IF(preDEL!$AG813,IFERROR(0/0,""),preDEL!V813)</f>
        <v/>
      </c>
      <c r="W813" s="112" t="str">
        <f>IF(preDEL!$AG813,IFERROR(0/0,""),preDEL!W813)</f>
        <v/>
      </c>
      <c r="X813" s="104" t="str">
        <f>IF(preDEL!$AG813,IFERROR(0/0,""),preDEL!X813)</f>
        <v/>
      </c>
      <c r="Y813" s="110" t="str">
        <f>IF(preDEL!$AG813,IFERROR(0/0,""),preDEL!Y813)</f>
        <v/>
      </c>
      <c r="Z813" s="105" t="str">
        <f>IF(preDEL!$AG813,IFERROR(0/0,""),preDEL!Z813)</f>
        <v/>
      </c>
      <c r="AA813" s="110" t="str">
        <f>IF(preDEL!$AG813,IFERROR(0/0,""),preDEL!AA813)</f>
        <v/>
      </c>
      <c r="AB813" s="110" t="str">
        <f>IF(preDEL!$AG813,IFERROR(0/0,""),preDEL!AB813)</f>
        <v/>
      </c>
      <c r="AC813" s="172" t="str">
        <f>IF(preDEL!$AG813,IFERROR(0/0,""),preDEL!AC813)</f>
        <v/>
      </c>
      <c r="AD813" s="104" t="str">
        <f>IF(preDEL!$AG813,IFERROR(0/0,""),preDEL!AD813)</f>
        <v/>
      </c>
      <c r="AE813" s="173" t="str">
        <f>IF(preDEL!$AG813,IFERROR(0/0,""),preDEL!AE813)</f>
        <v/>
      </c>
      <c r="AF813" s="110" t="str">
        <f>IF(preDEL!$AG813,IFERROR(0/0,""),preDEL!AF813)</f>
        <v/>
      </c>
      <c r="AG813" s="110" t="str">
        <f>IF(preDEL!$AG813,IFERROR(0/0,""),preDEL!AG813)</f>
        <v/>
      </c>
      <c r="AH813" s="104" t="str">
        <f>IF(preDEL!$AG813,IFERROR(0/0,""),preDEL!AH813)</f>
        <v/>
      </c>
      <c r="AI813" s="105" t="str">
        <f>IF(preDEL!$AG813,IFERROR(0/0,""),preDEL!AI813)</f>
        <v/>
      </c>
      <c r="AJ813" s="112" t="str">
        <f>IF(preDEL!$AG813,IFERROR(0/0,""),preDEL!AJ813)</f>
        <v/>
      </c>
      <c r="AK813" s="105" t="str">
        <f>IF(preDEL!$AG813,IFERROR(0/0,""),preDEL!AK813)</f>
        <v/>
      </c>
      <c r="AL813" s="112" t="str">
        <f>IF(preDEL!$AG813,IFERROR(0/0,""),preDEL!AL813)</f>
        <v/>
      </c>
      <c r="AM813" s="112" t="str">
        <f>IF(preDEL!$AG813,IFERROR(0/0,""),preDEL!AM813)</f>
        <v/>
      </c>
      <c r="AN813" s="112" t="str">
        <f>IF(preDEL!$AG813,IFERROR(0/0,""),preDEL!AN813)</f>
        <v/>
      </c>
      <c r="AO813" s="112" t="str">
        <f>IF(preDEL!$AG813,IFERROR(0/0,""),preDEL!AO813)</f>
        <v/>
      </c>
      <c r="AP813" s="112" t="str">
        <f>IF(preDEL!$AG813,IFERROR(0/0,""),preDEL!AP813)</f>
        <v/>
      </c>
      <c r="AQ813" s="112" t="str">
        <f>IF(preDEL!$AG813,IFERROR(0/0,""),preDEL!AQ813)</f>
        <v/>
      </c>
      <c r="AR813" s="112" t="str">
        <f>IF(preDEL!$AG813,IFERROR(0/0,""),preDEL!AR813)</f>
        <v/>
      </c>
      <c r="AS813" s="112" t="str">
        <f>IF(preDEL!$AG813,IFERROR(0/0,""),preDEL!AS813)</f>
        <v/>
      </c>
      <c r="AT813" s="112" t="str">
        <f>IF(preDEL!$AG813,IFERROR(0/0,""),preDEL!AT813)</f>
        <v/>
      </c>
      <c r="AU813" s="112" t="str">
        <f>IF(preDEL!$AG813,IFERROR(0/0,""),preDEL!AU813)</f>
        <v/>
      </c>
      <c r="AV813" s="112" t="str">
        <f>IF(preDEL!$AG813,IFERROR(0/0,""),preDEL!AV813)</f>
        <v/>
      </c>
      <c r="AW813" s="112" t="str">
        <f>IF(preDEL!$AG813,IFERROR(0/0,""),preDEL!AW813)</f>
        <v/>
      </c>
      <c r="AX813" s="112" t="str">
        <f>IF(preDEL!$AG813,IFERROR(0/0,""),preDEL!AX813)</f>
        <v/>
      </c>
      <c r="AY813" s="112" t="str">
        <f>IF(preDEL!$AG813,IFERROR(0/0,""),preDEL!AY813)</f>
        <v/>
      </c>
      <c r="AZ813" s="174"/>
      <c r="BA813" s="174"/>
      <c r="BB813" s="174"/>
      <c r="BC813" s="174"/>
      <c r="BD813" s="174"/>
      <c r="BE813" s="174"/>
      <c r="BF813" s="174"/>
      <c r="BG813" s="174"/>
      <c r="BH813" s="174"/>
      <c r="BI813" s="174"/>
      <c r="BJ813" s="174"/>
      <c r="BK813" s="174"/>
      <c r="BL813" s="174"/>
      <c r="BM813" s="174"/>
      <c r="BN813" s="174"/>
      <c r="BO813" s="174"/>
      <c r="BP813" s="174"/>
      <c r="BQ813" s="174"/>
      <c r="BR813" s="174"/>
      <c r="BS813" s="174"/>
      <c r="BT813" s="174"/>
      <c r="BU813" s="174"/>
      <c r="BV813" s="174"/>
      <c r="BW813" s="174"/>
      <c r="BX813" s="174"/>
      <c r="BY813" s="174"/>
      <c r="BZ813" s="174"/>
      <c r="CA813" s="174"/>
      <c r="CB813" s="174"/>
      <c r="CC813" s="174"/>
      <c r="CD813" s="174"/>
    </row>
    <row r="814">
      <c r="A814" s="105" t="str">
        <f>IF(preDEL!$AG814,IFERROR(0/0,""),preDEL!A814)</f>
        <v/>
      </c>
      <c r="B814" s="170" t="str">
        <f>IF(preDEL!$AG814,IFERROR(0/0,""),preDEL!B814)</f>
        <v/>
      </c>
      <c r="C814" s="171" t="str">
        <f>IF(preDEL!$AG814,IFERROR(0/0,""),preDEL!C814)</f>
        <v/>
      </c>
      <c r="D814" s="105" t="str">
        <f>IF(preDEL!$AG814,IFERROR(0/0,""),preDEL!D814)</f>
        <v/>
      </c>
      <c r="E814" s="105" t="str">
        <f>IF(preDEL!$AG814,IFERROR(0/0,""),preDEL!E814)</f>
        <v/>
      </c>
      <c r="F814" s="112" t="str">
        <f>IF(preDEL!$AG814,IFERROR(0/0,""),preDEL!F814)</f>
        <v/>
      </c>
      <c r="G814" s="112" t="str">
        <f>IF(preDEL!$AG814,IFERROR(0/0,""),preDEL!G814)</f>
        <v/>
      </c>
      <c r="H814" s="112" t="str">
        <f>IF(preDEL!$AG814,IFERROR(0/0,""),preDEL!H814)</f>
        <v/>
      </c>
      <c r="I814" s="105" t="str">
        <f>IF(preDEL!$AG814,IFERROR(0/0,""),preDEL!I814)</f>
        <v/>
      </c>
      <c r="J814" s="105" t="str">
        <f>IF(preDEL!$AG814,IFERROR(0/0,""),preDEL!J814)</f>
        <v/>
      </c>
      <c r="K814" s="105" t="str">
        <f>IF(preDEL!$AG814,IFERROR(0/0,""),preDEL!K814)</f>
        <v/>
      </c>
      <c r="L814" s="170" t="str">
        <f>IF(preDEL!$AG814,IFERROR(0/0,""),preDEL!L814)</f>
        <v/>
      </c>
      <c r="M814" s="171" t="str">
        <f>IF(preDEL!$AG814,IFERROR(0/0,""),preDEL!M814)</f>
        <v/>
      </c>
      <c r="N814" s="112" t="str">
        <f>IF(preDEL!$AG814,IFERROR(0/0,""),preDEL!N814)</f>
        <v/>
      </c>
      <c r="O814" s="112" t="str">
        <f>IF(preDEL!$AG814,IFERROR(0/0,""),preDEL!O814)</f>
        <v/>
      </c>
      <c r="P814" s="110" t="str">
        <f>IF(preDEL!$AG814,IFERROR(0/0,""),preDEL!P814)</f>
        <v/>
      </c>
      <c r="Q814" s="110" t="str">
        <f>IF(preDEL!$AG814,IFERROR(0/0,""),preDEL!Q814)</f>
        <v/>
      </c>
      <c r="R814" s="104" t="str">
        <f>IF(preDEL!$AG814,IFERROR(0/0,""),preDEL!R814)</f>
        <v/>
      </c>
      <c r="S814" s="104" t="str">
        <f>IF(preDEL!$AG814,IFERROR(0/0,""),preDEL!S814)</f>
        <v/>
      </c>
      <c r="T814" s="110" t="str">
        <f>IF(preDEL!$AG814,IFERROR(0/0,""),preDEL!T814)</f>
        <v/>
      </c>
      <c r="U814" s="112" t="str">
        <f>IF(preDEL!$AG814,IFERROR(0/0,""),preDEL!U814)</f>
        <v/>
      </c>
      <c r="V814" s="105" t="str">
        <f>IF(preDEL!$AG814,IFERROR(0/0,""),preDEL!V814)</f>
        <v/>
      </c>
      <c r="W814" s="112" t="str">
        <f>IF(preDEL!$AG814,IFERROR(0/0,""),preDEL!W814)</f>
        <v/>
      </c>
      <c r="X814" s="104" t="str">
        <f>IF(preDEL!$AG814,IFERROR(0/0,""),preDEL!X814)</f>
        <v/>
      </c>
      <c r="Y814" s="110" t="str">
        <f>IF(preDEL!$AG814,IFERROR(0/0,""),preDEL!Y814)</f>
        <v/>
      </c>
      <c r="Z814" s="105" t="str">
        <f>IF(preDEL!$AG814,IFERROR(0/0,""),preDEL!Z814)</f>
        <v/>
      </c>
      <c r="AA814" s="110" t="str">
        <f>IF(preDEL!$AG814,IFERROR(0/0,""),preDEL!AA814)</f>
        <v/>
      </c>
      <c r="AB814" s="110" t="str">
        <f>IF(preDEL!$AG814,IFERROR(0/0,""),preDEL!AB814)</f>
        <v/>
      </c>
      <c r="AC814" s="172" t="str">
        <f>IF(preDEL!$AG814,IFERROR(0/0,""),preDEL!AC814)</f>
        <v/>
      </c>
      <c r="AD814" s="104" t="str">
        <f>IF(preDEL!$AG814,IFERROR(0/0,""),preDEL!AD814)</f>
        <v/>
      </c>
      <c r="AE814" s="173" t="str">
        <f>IF(preDEL!$AG814,IFERROR(0/0,""),preDEL!AE814)</f>
        <v/>
      </c>
      <c r="AF814" s="110" t="str">
        <f>IF(preDEL!$AG814,IFERROR(0/0,""),preDEL!AF814)</f>
        <v/>
      </c>
      <c r="AG814" s="110" t="str">
        <f>IF(preDEL!$AG814,IFERROR(0/0,""),preDEL!AG814)</f>
        <v/>
      </c>
      <c r="AH814" s="104" t="str">
        <f>IF(preDEL!$AG814,IFERROR(0/0,""),preDEL!AH814)</f>
        <v/>
      </c>
      <c r="AI814" s="105" t="str">
        <f>IF(preDEL!$AG814,IFERROR(0/0,""),preDEL!AI814)</f>
        <v/>
      </c>
      <c r="AJ814" s="112" t="str">
        <f>IF(preDEL!$AG814,IFERROR(0/0,""),preDEL!AJ814)</f>
        <v/>
      </c>
      <c r="AK814" s="105" t="str">
        <f>IF(preDEL!$AG814,IFERROR(0/0,""),preDEL!AK814)</f>
        <v/>
      </c>
      <c r="AL814" s="112" t="str">
        <f>IF(preDEL!$AG814,IFERROR(0/0,""),preDEL!AL814)</f>
        <v/>
      </c>
      <c r="AM814" s="112" t="str">
        <f>IF(preDEL!$AG814,IFERROR(0/0,""),preDEL!AM814)</f>
        <v/>
      </c>
      <c r="AN814" s="112" t="str">
        <f>IF(preDEL!$AG814,IFERROR(0/0,""),preDEL!AN814)</f>
        <v/>
      </c>
      <c r="AO814" s="112" t="str">
        <f>IF(preDEL!$AG814,IFERROR(0/0,""),preDEL!AO814)</f>
        <v/>
      </c>
      <c r="AP814" s="112" t="str">
        <f>IF(preDEL!$AG814,IFERROR(0/0,""),preDEL!AP814)</f>
        <v/>
      </c>
      <c r="AQ814" s="112" t="str">
        <f>IF(preDEL!$AG814,IFERROR(0/0,""),preDEL!AQ814)</f>
        <v/>
      </c>
      <c r="AR814" s="112" t="str">
        <f>IF(preDEL!$AG814,IFERROR(0/0,""),preDEL!AR814)</f>
        <v/>
      </c>
      <c r="AS814" s="112" t="str">
        <f>IF(preDEL!$AG814,IFERROR(0/0,""),preDEL!AS814)</f>
        <v/>
      </c>
      <c r="AT814" s="112" t="str">
        <f>IF(preDEL!$AG814,IFERROR(0/0,""),preDEL!AT814)</f>
        <v/>
      </c>
      <c r="AU814" s="112" t="str">
        <f>IF(preDEL!$AG814,IFERROR(0/0,""),preDEL!AU814)</f>
        <v/>
      </c>
      <c r="AV814" s="112" t="str">
        <f>IF(preDEL!$AG814,IFERROR(0/0,""),preDEL!AV814)</f>
        <v/>
      </c>
      <c r="AW814" s="112" t="str">
        <f>IF(preDEL!$AG814,IFERROR(0/0,""),preDEL!AW814)</f>
        <v/>
      </c>
      <c r="AX814" s="112" t="str">
        <f>IF(preDEL!$AG814,IFERROR(0/0,""),preDEL!AX814)</f>
        <v/>
      </c>
      <c r="AY814" s="112" t="str">
        <f>IF(preDEL!$AG814,IFERROR(0/0,""),preDEL!AY814)</f>
        <v/>
      </c>
      <c r="AZ814" s="174"/>
      <c r="BA814" s="174"/>
      <c r="BB814" s="174"/>
      <c r="BC814" s="174"/>
      <c r="BD814" s="174"/>
      <c r="BE814" s="174"/>
      <c r="BF814" s="174"/>
      <c r="BG814" s="174"/>
      <c r="BH814" s="174"/>
      <c r="BI814" s="174"/>
      <c r="BJ814" s="174"/>
      <c r="BK814" s="174"/>
      <c r="BL814" s="174"/>
      <c r="BM814" s="174"/>
      <c r="BN814" s="174"/>
      <c r="BO814" s="174"/>
      <c r="BP814" s="174"/>
      <c r="BQ814" s="174"/>
      <c r="BR814" s="174"/>
      <c r="BS814" s="174"/>
      <c r="BT814" s="174"/>
      <c r="BU814" s="174"/>
      <c r="BV814" s="174"/>
      <c r="BW814" s="174"/>
      <c r="BX814" s="174"/>
      <c r="BY814" s="174"/>
      <c r="BZ814" s="174"/>
      <c r="CA814" s="174"/>
      <c r="CB814" s="174"/>
      <c r="CC814" s="174"/>
      <c r="CD814" s="174"/>
    </row>
    <row r="815">
      <c r="A815" s="105" t="str">
        <f>IF(preDEL!$AG815,IFERROR(0/0,""),preDEL!A815)</f>
        <v/>
      </c>
      <c r="B815" s="170" t="str">
        <f>IF(preDEL!$AG815,IFERROR(0/0,""),preDEL!B815)</f>
        <v/>
      </c>
      <c r="C815" s="171" t="str">
        <f>IF(preDEL!$AG815,IFERROR(0/0,""),preDEL!C815)</f>
        <v/>
      </c>
      <c r="D815" s="105" t="str">
        <f>IF(preDEL!$AG815,IFERROR(0/0,""),preDEL!D815)</f>
        <v/>
      </c>
      <c r="E815" s="105" t="str">
        <f>IF(preDEL!$AG815,IFERROR(0/0,""),preDEL!E815)</f>
        <v/>
      </c>
      <c r="F815" s="112" t="str">
        <f>IF(preDEL!$AG815,IFERROR(0/0,""),preDEL!F815)</f>
        <v/>
      </c>
      <c r="G815" s="112" t="str">
        <f>IF(preDEL!$AG815,IFERROR(0/0,""),preDEL!G815)</f>
        <v/>
      </c>
      <c r="H815" s="112" t="str">
        <f>IF(preDEL!$AG815,IFERROR(0/0,""),preDEL!H815)</f>
        <v/>
      </c>
      <c r="I815" s="105" t="str">
        <f>IF(preDEL!$AG815,IFERROR(0/0,""),preDEL!I815)</f>
        <v/>
      </c>
      <c r="J815" s="105" t="str">
        <f>IF(preDEL!$AG815,IFERROR(0/0,""),preDEL!J815)</f>
        <v/>
      </c>
      <c r="K815" s="105" t="str">
        <f>IF(preDEL!$AG815,IFERROR(0/0,""),preDEL!K815)</f>
        <v/>
      </c>
      <c r="L815" s="170" t="str">
        <f>IF(preDEL!$AG815,IFERROR(0/0,""),preDEL!L815)</f>
        <v/>
      </c>
      <c r="M815" s="171" t="str">
        <f>IF(preDEL!$AG815,IFERROR(0/0,""),preDEL!M815)</f>
        <v/>
      </c>
      <c r="N815" s="112" t="str">
        <f>IF(preDEL!$AG815,IFERROR(0/0,""),preDEL!N815)</f>
        <v/>
      </c>
      <c r="O815" s="112" t="str">
        <f>IF(preDEL!$AG815,IFERROR(0/0,""),preDEL!O815)</f>
        <v/>
      </c>
      <c r="P815" s="110" t="str">
        <f>IF(preDEL!$AG815,IFERROR(0/0,""),preDEL!P815)</f>
        <v/>
      </c>
      <c r="Q815" s="110" t="str">
        <f>IF(preDEL!$AG815,IFERROR(0/0,""),preDEL!Q815)</f>
        <v/>
      </c>
      <c r="R815" s="104" t="str">
        <f>IF(preDEL!$AG815,IFERROR(0/0,""),preDEL!R815)</f>
        <v/>
      </c>
      <c r="S815" s="104" t="str">
        <f>IF(preDEL!$AG815,IFERROR(0/0,""),preDEL!S815)</f>
        <v/>
      </c>
      <c r="T815" s="110" t="str">
        <f>IF(preDEL!$AG815,IFERROR(0/0,""),preDEL!T815)</f>
        <v/>
      </c>
      <c r="U815" s="112" t="str">
        <f>IF(preDEL!$AG815,IFERROR(0/0,""),preDEL!U815)</f>
        <v/>
      </c>
      <c r="V815" s="105" t="str">
        <f>IF(preDEL!$AG815,IFERROR(0/0,""),preDEL!V815)</f>
        <v/>
      </c>
      <c r="W815" s="112" t="str">
        <f>IF(preDEL!$AG815,IFERROR(0/0,""),preDEL!W815)</f>
        <v/>
      </c>
      <c r="X815" s="104" t="str">
        <f>IF(preDEL!$AG815,IFERROR(0/0,""),preDEL!X815)</f>
        <v/>
      </c>
      <c r="Y815" s="110" t="str">
        <f>IF(preDEL!$AG815,IFERROR(0/0,""),preDEL!Y815)</f>
        <v/>
      </c>
      <c r="Z815" s="105" t="str">
        <f>IF(preDEL!$AG815,IFERROR(0/0,""),preDEL!Z815)</f>
        <v/>
      </c>
      <c r="AA815" s="110" t="str">
        <f>IF(preDEL!$AG815,IFERROR(0/0,""),preDEL!AA815)</f>
        <v/>
      </c>
      <c r="AB815" s="110" t="str">
        <f>IF(preDEL!$AG815,IFERROR(0/0,""),preDEL!AB815)</f>
        <v/>
      </c>
      <c r="AC815" s="172" t="str">
        <f>IF(preDEL!$AG815,IFERROR(0/0,""),preDEL!AC815)</f>
        <v/>
      </c>
      <c r="AD815" s="104" t="str">
        <f>IF(preDEL!$AG815,IFERROR(0/0,""),preDEL!AD815)</f>
        <v/>
      </c>
      <c r="AE815" s="173" t="str">
        <f>IF(preDEL!$AG815,IFERROR(0/0,""),preDEL!AE815)</f>
        <v/>
      </c>
      <c r="AF815" s="110" t="str">
        <f>IF(preDEL!$AG815,IFERROR(0/0,""),preDEL!AF815)</f>
        <v/>
      </c>
      <c r="AG815" s="110" t="str">
        <f>IF(preDEL!$AG815,IFERROR(0/0,""),preDEL!AG815)</f>
        <v/>
      </c>
      <c r="AH815" s="104" t="str">
        <f>IF(preDEL!$AG815,IFERROR(0/0,""),preDEL!AH815)</f>
        <v/>
      </c>
      <c r="AI815" s="105" t="str">
        <f>IF(preDEL!$AG815,IFERROR(0/0,""),preDEL!AI815)</f>
        <v/>
      </c>
      <c r="AJ815" s="112" t="str">
        <f>IF(preDEL!$AG815,IFERROR(0/0,""),preDEL!AJ815)</f>
        <v/>
      </c>
      <c r="AK815" s="105" t="str">
        <f>IF(preDEL!$AG815,IFERROR(0/0,""),preDEL!AK815)</f>
        <v/>
      </c>
      <c r="AL815" s="112" t="str">
        <f>IF(preDEL!$AG815,IFERROR(0/0,""),preDEL!AL815)</f>
        <v/>
      </c>
      <c r="AM815" s="112" t="str">
        <f>IF(preDEL!$AG815,IFERROR(0/0,""),preDEL!AM815)</f>
        <v/>
      </c>
      <c r="AN815" s="112" t="str">
        <f>IF(preDEL!$AG815,IFERROR(0/0,""),preDEL!AN815)</f>
        <v/>
      </c>
      <c r="AO815" s="112" t="str">
        <f>IF(preDEL!$AG815,IFERROR(0/0,""),preDEL!AO815)</f>
        <v/>
      </c>
      <c r="AP815" s="112" t="str">
        <f>IF(preDEL!$AG815,IFERROR(0/0,""),preDEL!AP815)</f>
        <v/>
      </c>
      <c r="AQ815" s="112" t="str">
        <f>IF(preDEL!$AG815,IFERROR(0/0,""),preDEL!AQ815)</f>
        <v/>
      </c>
      <c r="AR815" s="112" t="str">
        <f>IF(preDEL!$AG815,IFERROR(0/0,""),preDEL!AR815)</f>
        <v/>
      </c>
      <c r="AS815" s="112" t="str">
        <f>IF(preDEL!$AG815,IFERROR(0/0,""),preDEL!AS815)</f>
        <v/>
      </c>
      <c r="AT815" s="112" t="str">
        <f>IF(preDEL!$AG815,IFERROR(0/0,""),preDEL!AT815)</f>
        <v/>
      </c>
      <c r="AU815" s="112" t="str">
        <f>IF(preDEL!$AG815,IFERROR(0/0,""),preDEL!AU815)</f>
        <v/>
      </c>
      <c r="AV815" s="112" t="str">
        <f>IF(preDEL!$AG815,IFERROR(0/0,""),preDEL!AV815)</f>
        <v/>
      </c>
      <c r="AW815" s="112" t="str">
        <f>IF(preDEL!$AG815,IFERROR(0/0,""),preDEL!AW815)</f>
        <v/>
      </c>
      <c r="AX815" s="112" t="str">
        <f>IF(preDEL!$AG815,IFERROR(0/0,""),preDEL!AX815)</f>
        <v/>
      </c>
      <c r="AY815" s="112" t="str">
        <f>IF(preDEL!$AG815,IFERROR(0/0,""),preDEL!AY815)</f>
        <v/>
      </c>
      <c r="AZ815" s="174"/>
      <c r="BA815" s="174"/>
      <c r="BB815" s="174"/>
      <c r="BC815" s="174"/>
      <c r="BD815" s="174"/>
      <c r="BE815" s="174"/>
      <c r="BF815" s="174"/>
      <c r="BG815" s="174"/>
      <c r="BH815" s="174"/>
      <c r="BI815" s="174"/>
      <c r="BJ815" s="174"/>
      <c r="BK815" s="174"/>
      <c r="BL815" s="174"/>
      <c r="BM815" s="174"/>
      <c r="BN815" s="174"/>
      <c r="BO815" s="174"/>
      <c r="BP815" s="174"/>
      <c r="BQ815" s="174"/>
      <c r="BR815" s="174"/>
      <c r="BS815" s="174"/>
      <c r="BT815" s="174"/>
      <c r="BU815" s="174"/>
      <c r="BV815" s="174"/>
      <c r="BW815" s="174"/>
      <c r="BX815" s="174"/>
      <c r="BY815" s="174"/>
      <c r="BZ815" s="174"/>
      <c r="CA815" s="174"/>
      <c r="CB815" s="174"/>
      <c r="CC815" s="174"/>
      <c r="CD815" s="174"/>
    </row>
    <row r="816">
      <c r="A816" s="105" t="str">
        <f>IF(preDEL!$AG816,IFERROR(0/0,""),preDEL!A816)</f>
        <v>FM532</v>
      </c>
      <c r="B816" s="170">
        <f>IF(preDEL!$AG816,IFERROR(0/0,""),preDEL!B816)</f>
        <v>44665</v>
      </c>
      <c r="C816" s="171">
        <f>IF(preDEL!$AG816,IFERROR(0/0,""),preDEL!C816)</f>
        <v>0.3220023148</v>
      </c>
      <c r="D816" s="105" t="str">
        <f>IF(preDEL!$AG816,IFERROR(0/0,""),preDEL!D816)</f>
        <v/>
      </c>
      <c r="E816" s="105" t="str">
        <f>IF(preDEL!$AG816,IFERROR(0/0,""),preDEL!E816)</f>
        <v/>
      </c>
      <c r="F816" s="112" t="str">
        <f>IF(preDEL!$AG816,IFERROR(0/0,""),preDEL!F816)</f>
        <v/>
      </c>
      <c r="G816" s="112" t="str">
        <f>IF(preDEL!$AG816,IFERROR(0/0,""),preDEL!G816)</f>
        <v/>
      </c>
      <c r="H816" s="112" t="str">
        <f>IF(preDEL!$AG816,IFERROR(0/0,""),preDEL!H816)</f>
        <v/>
      </c>
      <c r="I816" s="105" t="str">
        <f>IF(preDEL!$AG816,IFERROR(0/0,""),preDEL!I816)</f>
        <v/>
      </c>
      <c r="J816" s="105" t="str">
        <f>IF(preDEL!$AG816,IFERROR(0/0,""),preDEL!J816)</f>
        <v/>
      </c>
      <c r="K816" s="105" t="str">
        <f>IF(preDEL!$AG816,IFERROR(0/0,""),preDEL!K816)</f>
        <v>Negative</v>
      </c>
      <c r="L816" s="170">
        <f>IF(preDEL!$AG816,IFERROR(0/0,""),preDEL!L816)</f>
        <v>44665</v>
      </c>
      <c r="M816" s="171">
        <f>IF(preDEL!$AG816,IFERROR(0/0,""),preDEL!M816)</f>
        <v>0.3664930556</v>
      </c>
      <c r="N816" s="112" t="str">
        <f>IF(preDEL!$AG816,IFERROR(0/0,""),preDEL!N816)</f>
        <v/>
      </c>
      <c r="O816" s="112" t="str">
        <f>IF(preDEL!$AG816,IFERROR(0/0,""),preDEL!O816)</f>
        <v/>
      </c>
      <c r="P816" s="110" t="b">
        <f>IF(preDEL!$AG816,IFERROR(0/0,""),preDEL!P816)</f>
        <v>0</v>
      </c>
      <c r="Q816" s="110" t="str">
        <f>IF(preDEL!$AG816,IFERROR(0/0,""),preDEL!Q816)</f>
        <v>Result</v>
      </c>
      <c r="R816" s="104" t="b">
        <f>IF(preDEL!$AG816,IFERROR(0/0,""),preDEL!R816)</f>
        <v>1</v>
      </c>
      <c r="S816" s="104">
        <f>IF(preDEL!$AG816,IFERROR(0/0,""),preDEL!S816)</f>
        <v>1</v>
      </c>
      <c r="T816" s="110" t="str">
        <f>IF(preDEL!$AG816,IFERROR(0/0,""),preDEL!T816)</f>
        <v/>
      </c>
      <c r="U816" s="112" t="str">
        <f>IF(preDEL!$AG816,IFERROR(0/0,""),preDEL!U816)</f>
        <v/>
      </c>
      <c r="V816" s="105" t="str">
        <f>IF(preDEL!$AG816,IFERROR(0/0,""),preDEL!V816)</f>
        <v/>
      </c>
      <c r="W816" s="112" t="str">
        <f>IF(preDEL!$AG816,IFERROR(0/0,""),preDEL!W816)</f>
        <v/>
      </c>
      <c r="X816" s="104" t="b">
        <f>IF(preDEL!$AG816,IFERROR(0/0,""),preDEL!X816)</f>
        <v>0</v>
      </c>
      <c r="Y816" s="110" t="b">
        <f>IF(preDEL!$AG816,IFERROR(0/0,""),preDEL!Y816)</f>
        <v>0</v>
      </c>
      <c r="Z816" s="105" t="str">
        <f>IF(preDEL!$AG816,IFERROR(0/0,""),preDEL!Z816)</f>
        <v/>
      </c>
      <c r="AA816" s="110" t="b">
        <f>IF(preDEL!$AG816,IFERROR(0/0,""),preDEL!AA816)</f>
        <v>0</v>
      </c>
      <c r="AB816" s="110" t="b">
        <f>IF(preDEL!$AG816,IFERROR(0/0,""),preDEL!AB816)</f>
        <v>0</v>
      </c>
      <c r="AC816" s="172">
        <f>IF(preDEL!$AG816,IFERROR(0/0,""),preDEL!AC816)</f>
        <v>10</v>
      </c>
      <c r="AD816" s="104" t="b">
        <f>IF(preDEL!$AG816,IFERROR(0/0,""),preDEL!AD816)</f>
        <v>0</v>
      </c>
      <c r="AE816" s="173">
        <f>IF(preDEL!$AG816,IFERROR(0/0,""),preDEL!AE816)</f>
        <v>64.06666667</v>
      </c>
      <c r="AF816" s="110" t="b">
        <f>IF(preDEL!$AG816,IFERROR(0/0,""),preDEL!AF816)</f>
        <v>0</v>
      </c>
      <c r="AG816" s="110" t="b">
        <f>IF(preDEL!$AG816,IFERROR(0/0,""),preDEL!AG816)</f>
        <v>0</v>
      </c>
      <c r="AH816" s="104" t="str">
        <f>IF(preDEL!$AG816,IFERROR(0/0,""),preDEL!AH816)</f>
        <v/>
      </c>
      <c r="AI816" s="105" t="str">
        <f>IF(preDEL!$AG816,IFERROR(0/0,""),preDEL!AI816)</f>
        <v/>
      </c>
      <c r="AJ816" s="112" t="str">
        <f>IF(preDEL!$AG816,IFERROR(0/0,""),preDEL!AJ816)</f>
        <v/>
      </c>
      <c r="AK816" s="105" t="str">
        <f>IF(preDEL!$AG816,IFERROR(0/0,""),preDEL!AK816)</f>
        <v>Negative</v>
      </c>
      <c r="AL816" s="112" t="str">
        <f>IF(preDEL!$AG816,IFERROR(0/0,""),preDEL!AL816)</f>
        <v/>
      </c>
      <c r="AM816" s="112" t="str">
        <f>IF(preDEL!$AG816,IFERROR(0/0,""),preDEL!AM816)</f>
        <v>SpBEND394154</v>
      </c>
      <c r="AN816" s="112" t="str">
        <f>IF(preDEL!$AG816,IFERROR(0/0,""),preDEL!AN816)</f>
        <v>BEND196623</v>
      </c>
      <c r="AO816" s="112" t="str">
        <f>IF(preDEL!$AG816,IFERROR(0/0,""),preDEL!AO816)</f>
        <v/>
      </c>
      <c r="AP816" s="112" t="str">
        <f>IF(preDEL!$AG816,IFERROR(0/0,""),preDEL!AP816)</f>
        <v/>
      </c>
      <c r="AQ816" s="112" t="str">
        <f>IF(preDEL!$AG816,IFERROR(0/0,""),preDEL!AQ816)</f>
        <v/>
      </c>
      <c r="AR816" s="112" t="str">
        <f>IF(preDEL!$AG816,IFERROR(0/0,""),preDEL!AR816)</f>
        <v/>
      </c>
      <c r="AS816" s="112" t="str">
        <f>IF(preDEL!$AG816,IFERROR(0/0,""),preDEL!AS816)</f>
        <v/>
      </c>
      <c r="AT816" s="112" t="b">
        <f>IF(preDEL!$AG816,IFERROR(0/0,""),preDEL!AT816)</f>
        <v>0</v>
      </c>
      <c r="AU816" s="112" t="str">
        <f>IF(preDEL!$AG816,IFERROR(0/0,""),preDEL!AU816)</f>
        <v/>
      </c>
      <c r="AV816" s="112" t="str">
        <f>IF(preDEL!$AG816,IFERROR(0/0,""),preDEL!AV816)</f>
        <v/>
      </c>
      <c r="AW816" s="112" t="str">
        <f>IF(preDEL!$AG816,IFERROR(0/0,""),preDEL!AW816)</f>
        <v/>
      </c>
      <c r="AX816" s="112" t="str">
        <f>IF(preDEL!$AG816,IFERROR(0/0,""),preDEL!AX816)</f>
        <v/>
      </c>
      <c r="AY816" s="112" t="str">
        <f>IF(preDEL!$AG816,IFERROR(0/0,""),preDEL!AY816)</f>
        <v/>
      </c>
      <c r="AZ816" s="174"/>
      <c r="BA816" s="174"/>
      <c r="BB816" s="174"/>
      <c r="BC816" s="174"/>
      <c r="BD816" s="174"/>
      <c r="BE816" s="174"/>
      <c r="BF816" s="174"/>
      <c r="BG816" s="174"/>
      <c r="BH816" s="174"/>
      <c r="BI816" s="174"/>
      <c r="BJ816" s="174"/>
      <c r="BK816" s="174"/>
      <c r="BL816" s="174"/>
      <c r="BM816" s="174"/>
      <c r="BN816" s="174"/>
      <c r="BO816" s="174"/>
      <c r="BP816" s="174"/>
      <c r="BQ816" s="174"/>
      <c r="BR816" s="174"/>
      <c r="BS816" s="174"/>
      <c r="BT816" s="174"/>
      <c r="BU816" s="174"/>
      <c r="BV816" s="174"/>
      <c r="BW816" s="174"/>
      <c r="BX816" s="174"/>
      <c r="BY816" s="174"/>
      <c r="BZ816" s="174"/>
      <c r="CA816" s="174"/>
      <c r="CB816" s="174"/>
      <c r="CC816" s="174"/>
      <c r="CD816" s="174"/>
    </row>
    <row r="817">
      <c r="A817" s="105" t="str">
        <f>IF(preDEL!$AG817,IFERROR(0/0,""),preDEL!A817)</f>
        <v>MA1405</v>
      </c>
      <c r="B817" s="170">
        <f>IF(preDEL!$AG817,IFERROR(0/0,""),preDEL!B817)</f>
        <v>44692</v>
      </c>
      <c r="C817" s="171">
        <f>IF(preDEL!$AG817,IFERROR(0/0,""),preDEL!C817)</f>
        <v>0.2778703704</v>
      </c>
      <c r="D817" s="105" t="str">
        <f>IF(preDEL!$AG817,IFERROR(0/0,""),preDEL!D817)</f>
        <v/>
      </c>
      <c r="E817" s="105" t="str">
        <f>IF(preDEL!$AG817,IFERROR(0/0,""),preDEL!E817)</f>
        <v/>
      </c>
      <c r="F817" s="112" t="str">
        <f>IF(preDEL!$AG817,IFERROR(0/0,""),preDEL!F817)</f>
        <v/>
      </c>
      <c r="G817" s="112" t="str">
        <f>IF(preDEL!$AG817,IFERROR(0/0,""),preDEL!G817)</f>
        <v/>
      </c>
      <c r="H817" s="112" t="str">
        <f>IF(preDEL!$AG817,IFERROR(0/0,""),preDEL!H817)</f>
        <v/>
      </c>
      <c r="I817" s="105" t="str">
        <f>IF(preDEL!$AG817,IFERROR(0/0,""),preDEL!I817)</f>
        <v/>
      </c>
      <c r="J817" s="105" t="str">
        <f>IF(preDEL!$AG817,IFERROR(0/0,""),preDEL!J817)</f>
        <v/>
      </c>
      <c r="K817" s="105" t="str">
        <f>IF(preDEL!$AG817,IFERROR(0/0,""),preDEL!K817)</f>
        <v>Negative</v>
      </c>
      <c r="L817" s="170">
        <f>IF(preDEL!$AG817,IFERROR(0/0,""),preDEL!L817)</f>
        <v>44692</v>
      </c>
      <c r="M817" s="171">
        <f>IF(preDEL!$AG817,IFERROR(0/0,""),preDEL!M817)</f>
        <v>0.5025115741</v>
      </c>
      <c r="N817" s="112" t="str">
        <f>IF(preDEL!$AG817,IFERROR(0/0,""),preDEL!N817)</f>
        <v/>
      </c>
      <c r="O817" s="112" t="str">
        <f>IF(preDEL!$AG817,IFERROR(0/0,""),preDEL!O817)</f>
        <v/>
      </c>
      <c r="P817" s="110" t="b">
        <f>IF(preDEL!$AG817,IFERROR(0/0,""),preDEL!P817)</f>
        <v>0</v>
      </c>
      <c r="Q817" s="110" t="str">
        <f>IF(preDEL!$AG817,IFERROR(0/0,""),preDEL!Q817)</f>
        <v>Result</v>
      </c>
      <c r="R817" s="104" t="b">
        <f>IF(preDEL!$AG817,IFERROR(0/0,""),preDEL!R817)</f>
        <v>1</v>
      </c>
      <c r="S817" s="104">
        <f>IF(preDEL!$AG817,IFERROR(0/0,""),preDEL!S817)</f>
        <v>1</v>
      </c>
      <c r="T817" s="110" t="str">
        <f>IF(preDEL!$AG817,IFERROR(0/0,""),preDEL!T817)</f>
        <v/>
      </c>
      <c r="U817" s="112" t="str">
        <f>IF(preDEL!$AG817,IFERROR(0/0,""),preDEL!U817)</f>
        <v/>
      </c>
      <c r="V817" s="105" t="str">
        <f>IF(preDEL!$AG817,IFERROR(0/0,""),preDEL!V817)</f>
        <v/>
      </c>
      <c r="W817" s="112" t="str">
        <f>IF(preDEL!$AG817,IFERROR(0/0,""),preDEL!W817)</f>
        <v/>
      </c>
      <c r="X817" s="104" t="b">
        <f>IF(preDEL!$AG817,IFERROR(0/0,""),preDEL!X817)</f>
        <v>0</v>
      </c>
      <c r="Y817" s="110" t="b">
        <f>IF(preDEL!$AG817,IFERROR(0/0,""),preDEL!Y817)</f>
        <v>0</v>
      </c>
      <c r="Z817" s="105" t="str">
        <f>IF(preDEL!$AG817,IFERROR(0/0,""),preDEL!Z817)</f>
        <v/>
      </c>
      <c r="AA817" s="110" t="b">
        <f>IF(preDEL!$AG817,IFERROR(0/0,""),preDEL!AA817)</f>
        <v>0</v>
      </c>
      <c r="AB817" s="110" t="b">
        <f>IF(preDEL!$AG817,IFERROR(0/0,""),preDEL!AB817)</f>
        <v>0</v>
      </c>
      <c r="AC817" s="172">
        <f>IF(preDEL!$AG817,IFERROR(0/0,""),preDEL!AC817)</f>
        <v>9</v>
      </c>
      <c r="AD817" s="104" t="b">
        <f>IF(preDEL!$AG817,IFERROR(0/0,""),preDEL!AD817)</f>
        <v>0</v>
      </c>
      <c r="AE817" s="173">
        <f>IF(preDEL!$AG817,IFERROR(0/0,""),preDEL!AE817)</f>
        <v>323.4833333</v>
      </c>
      <c r="AF817" s="110" t="b">
        <f>IF(preDEL!$AG817,IFERROR(0/0,""),preDEL!AF817)</f>
        <v>0</v>
      </c>
      <c r="AG817" s="110" t="b">
        <f>IF(preDEL!$AG817,IFERROR(0/0,""),preDEL!AG817)</f>
        <v>0</v>
      </c>
      <c r="AH817" s="104" t="str">
        <f>IF(preDEL!$AG817,IFERROR(0/0,""),preDEL!AH817)</f>
        <v/>
      </c>
      <c r="AI817" s="105" t="str">
        <f>IF(preDEL!$AG817,IFERROR(0/0,""),preDEL!AI817)</f>
        <v/>
      </c>
      <c r="AJ817" s="112" t="str">
        <f>IF(preDEL!$AG817,IFERROR(0/0,""),preDEL!AJ817)</f>
        <v/>
      </c>
      <c r="AK817" s="105" t="str">
        <f>IF(preDEL!$AG817,IFERROR(0/0,""),preDEL!AK817)</f>
        <v>Negative</v>
      </c>
      <c r="AL817" s="112" t="str">
        <f>IF(preDEL!$AG817,IFERROR(0/0,""),preDEL!AL817)</f>
        <v/>
      </c>
      <c r="AM817" s="112" t="str">
        <f>IF(preDEL!$AG817,IFERROR(0/0,""),preDEL!AM817)</f>
        <v>SpBEND394154</v>
      </c>
      <c r="AN817" s="112" t="str">
        <f>IF(preDEL!$AG817,IFERROR(0/0,""),preDEL!AN817)</f>
        <v>BEND365993</v>
      </c>
      <c r="AO817" s="112" t="str">
        <f>IF(preDEL!$AG817,IFERROR(0/0,""),preDEL!AO817)</f>
        <v/>
      </c>
      <c r="AP817" s="112" t="str">
        <f>IF(preDEL!$AG817,IFERROR(0/0,""),preDEL!AP817)</f>
        <v/>
      </c>
      <c r="AQ817" s="112" t="str">
        <f>IF(preDEL!$AG817,IFERROR(0/0,""),preDEL!AQ817)</f>
        <v/>
      </c>
      <c r="AR817" s="112" t="str">
        <f>IF(preDEL!$AG817,IFERROR(0/0,""),preDEL!AR817)</f>
        <v/>
      </c>
      <c r="AS817" s="112" t="str">
        <f>IF(preDEL!$AG817,IFERROR(0/0,""),preDEL!AS817)</f>
        <v/>
      </c>
      <c r="AT817" s="112" t="b">
        <f>IF(preDEL!$AG817,IFERROR(0/0,""),preDEL!AT817)</f>
        <v>0</v>
      </c>
      <c r="AU817" s="112" t="str">
        <f>IF(preDEL!$AG817,IFERROR(0/0,""),preDEL!AU817)</f>
        <v/>
      </c>
      <c r="AV817" s="112" t="str">
        <f>IF(preDEL!$AG817,IFERROR(0/0,""),preDEL!AV817)</f>
        <v/>
      </c>
      <c r="AW817" s="112" t="str">
        <f>IF(preDEL!$AG817,IFERROR(0/0,""),preDEL!AW817)</f>
        <v/>
      </c>
      <c r="AX817" s="112" t="str">
        <f>IF(preDEL!$AG817,IFERROR(0/0,""),preDEL!AX817)</f>
        <v/>
      </c>
      <c r="AY817" s="112" t="str">
        <f>IF(preDEL!$AG817,IFERROR(0/0,""),preDEL!AY817)</f>
        <v/>
      </c>
      <c r="AZ817" s="174"/>
      <c r="BA817" s="174"/>
      <c r="BB817" s="174"/>
      <c r="BC817" s="174"/>
      <c r="BD817" s="174"/>
      <c r="BE817" s="174"/>
      <c r="BF817" s="174"/>
      <c r="BG817" s="174"/>
      <c r="BH817" s="174"/>
      <c r="BI817" s="174"/>
      <c r="BJ817" s="174"/>
      <c r="BK817" s="174"/>
      <c r="BL817" s="174"/>
      <c r="BM817" s="174"/>
      <c r="BN817" s="174"/>
      <c r="BO817" s="174"/>
      <c r="BP817" s="174"/>
      <c r="BQ817" s="174"/>
      <c r="BR817" s="174"/>
      <c r="BS817" s="174"/>
      <c r="BT817" s="174"/>
      <c r="BU817" s="174"/>
      <c r="BV817" s="174"/>
      <c r="BW817" s="174"/>
      <c r="BX817" s="174"/>
      <c r="BY817" s="174"/>
      <c r="BZ817" s="174"/>
      <c r="CA817" s="174"/>
      <c r="CB817" s="174"/>
      <c r="CC817" s="174"/>
      <c r="CD817" s="174"/>
    </row>
    <row r="818">
      <c r="A818" s="105" t="str">
        <f>IF(preDEL!$AG818,IFERROR(0/0,""),preDEL!A818)</f>
        <v>MA1453</v>
      </c>
      <c r="B818" s="170">
        <f>IF(preDEL!$AG818,IFERROR(0/0,""),preDEL!B818)</f>
        <v>44692</v>
      </c>
      <c r="C818" s="171">
        <f>IF(preDEL!$AG818,IFERROR(0/0,""),preDEL!C818)</f>
        <v>0.2784259259</v>
      </c>
      <c r="D818" s="105" t="str">
        <f>IF(preDEL!$AG818,IFERROR(0/0,""),preDEL!D818)</f>
        <v/>
      </c>
      <c r="E818" s="105" t="str">
        <f>IF(preDEL!$AG818,IFERROR(0/0,""),preDEL!E818)</f>
        <v/>
      </c>
      <c r="F818" s="112" t="str">
        <f>IF(preDEL!$AG818,IFERROR(0/0,""),preDEL!F818)</f>
        <v/>
      </c>
      <c r="G818" s="112" t="str">
        <f>IF(preDEL!$AG818,IFERROR(0/0,""),preDEL!G818)</f>
        <v/>
      </c>
      <c r="H818" s="112" t="str">
        <f>IF(preDEL!$AG818,IFERROR(0/0,""),preDEL!H818)</f>
        <v/>
      </c>
      <c r="I818" s="105" t="str">
        <f>IF(preDEL!$AG818,IFERROR(0/0,""),preDEL!I818)</f>
        <v/>
      </c>
      <c r="J818" s="105" t="str">
        <f>IF(preDEL!$AG818,IFERROR(0/0,""),preDEL!J818)</f>
        <v/>
      </c>
      <c r="K818" s="105" t="str">
        <f>IF(preDEL!$AG818,IFERROR(0/0,""),preDEL!K818)</f>
        <v>Negative</v>
      </c>
      <c r="L818" s="170">
        <f>IF(preDEL!$AG818,IFERROR(0/0,""),preDEL!L818)</f>
        <v>44692</v>
      </c>
      <c r="M818" s="171">
        <f>IF(preDEL!$AG818,IFERROR(0/0,""),preDEL!M818)</f>
        <v>0.5025115741</v>
      </c>
      <c r="N818" s="112" t="str">
        <f>IF(preDEL!$AG818,IFERROR(0/0,""),preDEL!N818)</f>
        <v/>
      </c>
      <c r="O818" s="112" t="str">
        <f>IF(preDEL!$AG818,IFERROR(0/0,""),preDEL!O818)</f>
        <v/>
      </c>
      <c r="P818" s="110" t="b">
        <f>IF(preDEL!$AG818,IFERROR(0/0,""),preDEL!P818)</f>
        <v>0</v>
      </c>
      <c r="Q818" s="110" t="str">
        <f>IF(preDEL!$AG818,IFERROR(0/0,""),preDEL!Q818)</f>
        <v>Result</v>
      </c>
      <c r="R818" s="104" t="b">
        <f>IF(preDEL!$AG818,IFERROR(0/0,""),preDEL!R818)</f>
        <v>1</v>
      </c>
      <c r="S818" s="104">
        <f>IF(preDEL!$AG818,IFERROR(0/0,""),preDEL!S818)</f>
        <v>1</v>
      </c>
      <c r="T818" s="110">
        <f>IF(preDEL!$AG818,IFERROR(0/0,""),preDEL!T818)</f>
        <v>0</v>
      </c>
      <c r="U818" s="112" t="str">
        <f>IF(preDEL!$AG818,IFERROR(0/0,""),preDEL!U818)</f>
        <v/>
      </c>
      <c r="V818" s="105" t="str">
        <f>IF(preDEL!$AG818,IFERROR(0/0,""),preDEL!V818)</f>
        <v/>
      </c>
      <c r="W818" s="112" t="str">
        <f>IF(preDEL!$AG818,IFERROR(0/0,""),preDEL!W818)</f>
        <v/>
      </c>
      <c r="X818" s="104" t="b">
        <f>IF(preDEL!$AG818,IFERROR(0/0,""),preDEL!X818)</f>
        <v>0</v>
      </c>
      <c r="Y818" s="110" t="b">
        <f>IF(preDEL!$AG818,IFERROR(0/0,""),preDEL!Y818)</f>
        <v>0</v>
      </c>
      <c r="Z818" s="105" t="str">
        <f>IF(preDEL!$AG818,IFERROR(0/0,""),preDEL!Z818)</f>
        <v/>
      </c>
      <c r="AA818" s="110" t="b">
        <f>IF(preDEL!$AG818,IFERROR(0/0,""),preDEL!AA818)</f>
        <v>0</v>
      </c>
      <c r="AB818" s="110" t="b">
        <f>IF(preDEL!$AG818,IFERROR(0/0,""),preDEL!AB818)</f>
        <v>0</v>
      </c>
      <c r="AC818" s="172">
        <f>IF(preDEL!$AG818,IFERROR(0/0,""),preDEL!AC818)</f>
        <v>8</v>
      </c>
      <c r="AD818" s="104" t="b">
        <f>IF(preDEL!$AG818,IFERROR(0/0,""),preDEL!AD818)</f>
        <v>0</v>
      </c>
      <c r="AE818" s="173">
        <f>IF(preDEL!$AG818,IFERROR(0/0,""),preDEL!AE818)</f>
        <v>322.6833333</v>
      </c>
      <c r="AF818" s="110" t="b">
        <f>IF(preDEL!$AG818,IFERROR(0/0,""),preDEL!AF818)</f>
        <v>0</v>
      </c>
      <c r="AG818" s="110" t="b">
        <f>IF(preDEL!$AG818,IFERROR(0/0,""),preDEL!AG818)</f>
        <v>0</v>
      </c>
      <c r="AH818" s="104" t="str">
        <f>IF(preDEL!$AG818,IFERROR(0/0,""),preDEL!AH818)</f>
        <v/>
      </c>
      <c r="AI818" s="105" t="str">
        <f>IF(preDEL!$AG818,IFERROR(0/0,""),preDEL!AI818)</f>
        <v/>
      </c>
      <c r="AJ818" s="112" t="str">
        <f>IF(preDEL!$AG818,IFERROR(0/0,""),preDEL!AJ818)</f>
        <v/>
      </c>
      <c r="AK818" s="105" t="str">
        <f>IF(preDEL!$AG818,IFERROR(0/0,""),preDEL!AK818)</f>
        <v>Negative</v>
      </c>
      <c r="AL818" s="112" t="str">
        <f>IF(preDEL!$AG818,IFERROR(0/0,""),preDEL!AL818)</f>
        <v/>
      </c>
      <c r="AM818" s="112" t="str">
        <f>IF(preDEL!$AG818,IFERROR(0/0,""),preDEL!AM818)</f>
        <v>SpBEND394154</v>
      </c>
      <c r="AN818" s="112" t="str">
        <f>IF(preDEL!$AG818,IFERROR(0/0,""),preDEL!AN818)</f>
        <v>BEND905156</v>
      </c>
      <c r="AO818" s="112" t="str">
        <f>IF(preDEL!$AG818,IFERROR(0/0,""),preDEL!AO818)</f>
        <v/>
      </c>
      <c r="AP818" s="112" t="str">
        <f>IF(preDEL!$AG818,IFERROR(0/0,""),preDEL!AP818)</f>
        <v/>
      </c>
      <c r="AQ818" s="112" t="str">
        <f>IF(preDEL!$AG818,IFERROR(0/0,""),preDEL!AQ818)</f>
        <v/>
      </c>
      <c r="AR818" s="112" t="str">
        <f>IF(preDEL!$AG818,IFERROR(0/0,""),preDEL!AR818)</f>
        <v/>
      </c>
      <c r="AS818" s="112" t="str">
        <f>IF(preDEL!$AG818,IFERROR(0/0,""),preDEL!AS818)</f>
        <v/>
      </c>
      <c r="AT818" s="112" t="b">
        <f>IF(preDEL!$AG818,IFERROR(0/0,""),preDEL!AT818)</f>
        <v>0</v>
      </c>
      <c r="AU818" s="112" t="str">
        <f>IF(preDEL!$AG818,IFERROR(0/0,""),preDEL!AU818)</f>
        <v/>
      </c>
      <c r="AV818" s="112" t="str">
        <f>IF(preDEL!$AG818,IFERROR(0/0,""),preDEL!AV818)</f>
        <v/>
      </c>
      <c r="AW818" s="112" t="str">
        <f>IF(preDEL!$AG818,IFERROR(0/0,""),preDEL!AW818)</f>
        <v/>
      </c>
      <c r="AX818" s="112" t="str">
        <f>IF(preDEL!$AG818,IFERROR(0/0,""),preDEL!AX818)</f>
        <v/>
      </c>
      <c r="AY818" s="112" t="str">
        <f>IF(preDEL!$AG818,IFERROR(0/0,""),preDEL!AY818)</f>
        <v/>
      </c>
      <c r="AZ818" s="174"/>
      <c r="BA818" s="174"/>
      <c r="BB818" s="174"/>
      <c r="BC818" s="174"/>
      <c r="BD818" s="174"/>
      <c r="BE818" s="174"/>
      <c r="BF818" s="174"/>
      <c r="BG818" s="174"/>
      <c r="BH818" s="174"/>
      <c r="BI818" s="174"/>
      <c r="BJ818" s="174"/>
      <c r="BK818" s="174"/>
      <c r="BL818" s="174"/>
      <c r="BM818" s="174"/>
      <c r="BN818" s="174"/>
      <c r="BO818" s="174"/>
      <c r="BP818" s="174"/>
      <c r="BQ818" s="174"/>
      <c r="BR818" s="174"/>
      <c r="BS818" s="174"/>
      <c r="BT818" s="174"/>
      <c r="BU818" s="174"/>
      <c r="BV818" s="174"/>
      <c r="BW818" s="174"/>
      <c r="BX818" s="174"/>
      <c r="BY818" s="174"/>
      <c r="BZ818" s="174"/>
      <c r="CA818" s="174"/>
      <c r="CB818" s="174"/>
      <c r="CC818" s="174"/>
      <c r="CD818" s="174"/>
    </row>
    <row r="819">
      <c r="A819" s="105" t="str">
        <f>IF(preDEL!$AG819,IFERROR(0/0,""),preDEL!A819)</f>
        <v>MA1397</v>
      </c>
      <c r="B819" s="170">
        <f>IF(preDEL!$AG819,IFERROR(0/0,""),preDEL!B819)</f>
        <v>44692</v>
      </c>
      <c r="C819" s="171">
        <f>IF(preDEL!$AG819,IFERROR(0/0,""),preDEL!C819)</f>
        <v>0.2788773148</v>
      </c>
      <c r="D819" s="105" t="str">
        <f>IF(preDEL!$AG819,IFERROR(0/0,""),preDEL!D819)</f>
        <v/>
      </c>
      <c r="E819" s="105" t="str">
        <f>IF(preDEL!$AG819,IFERROR(0/0,""),preDEL!E819)</f>
        <v/>
      </c>
      <c r="F819" s="112" t="str">
        <f>IF(preDEL!$AG819,IFERROR(0/0,""),preDEL!F819)</f>
        <v/>
      </c>
      <c r="G819" s="112" t="str">
        <f>IF(preDEL!$AG819,IFERROR(0/0,""),preDEL!G819)</f>
        <v/>
      </c>
      <c r="H819" s="112" t="str">
        <f>IF(preDEL!$AG819,IFERROR(0/0,""),preDEL!H819)</f>
        <v/>
      </c>
      <c r="I819" s="105" t="str">
        <f>IF(preDEL!$AG819,IFERROR(0/0,""),preDEL!I819)</f>
        <v/>
      </c>
      <c r="J819" s="105" t="str">
        <f>IF(preDEL!$AG819,IFERROR(0/0,""),preDEL!J819)</f>
        <v/>
      </c>
      <c r="K819" s="105" t="str">
        <f>IF(preDEL!$AG819,IFERROR(0/0,""),preDEL!K819)</f>
        <v>Negative</v>
      </c>
      <c r="L819" s="170">
        <f>IF(preDEL!$AG819,IFERROR(0/0,""),preDEL!L819)</f>
        <v>44692</v>
      </c>
      <c r="M819" s="171">
        <f>IF(preDEL!$AG819,IFERROR(0/0,""),preDEL!M819)</f>
        <v>0.5025231481</v>
      </c>
      <c r="N819" s="112" t="str">
        <f>IF(preDEL!$AG819,IFERROR(0/0,""),preDEL!N819)</f>
        <v/>
      </c>
      <c r="O819" s="112" t="str">
        <f>IF(preDEL!$AG819,IFERROR(0/0,""),preDEL!O819)</f>
        <v/>
      </c>
      <c r="P819" s="110" t="b">
        <f>IF(preDEL!$AG819,IFERROR(0/0,""),preDEL!P819)</f>
        <v>0</v>
      </c>
      <c r="Q819" s="110" t="str">
        <f>IF(preDEL!$AG819,IFERROR(0/0,""),preDEL!Q819)</f>
        <v>Result</v>
      </c>
      <c r="R819" s="104" t="b">
        <f>IF(preDEL!$AG819,IFERROR(0/0,""),preDEL!R819)</f>
        <v>1</v>
      </c>
      <c r="S819" s="104">
        <f>IF(preDEL!$AG819,IFERROR(0/0,""),preDEL!S819)</f>
        <v>1</v>
      </c>
      <c r="T819" s="110">
        <f>IF(preDEL!$AG819,IFERROR(0/0,""),preDEL!T819)</f>
        <v>0</v>
      </c>
      <c r="U819" s="112" t="str">
        <f>IF(preDEL!$AG819,IFERROR(0/0,""),preDEL!U819)</f>
        <v/>
      </c>
      <c r="V819" s="105" t="str">
        <f>IF(preDEL!$AG819,IFERROR(0/0,""),preDEL!V819)</f>
        <v/>
      </c>
      <c r="W819" s="112" t="str">
        <f>IF(preDEL!$AG819,IFERROR(0/0,""),preDEL!W819)</f>
        <v/>
      </c>
      <c r="X819" s="104" t="b">
        <f>IF(preDEL!$AG819,IFERROR(0/0,""),preDEL!X819)</f>
        <v>0</v>
      </c>
      <c r="Y819" s="110" t="b">
        <f>IF(preDEL!$AG819,IFERROR(0/0,""),preDEL!Y819)</f>
        <v>0</v>
      </c>
      <c r="Z819" s="105" t="str">
        <f>IF(preDEL!$AG819,IFERROR(0/0,""),preDEL!Z819)</f>
        <v/>
      </c>
      <c r="AA819" s="110" t="b">
        <f>IF(preDEL!$AG819,IFERROR(0/0,""),preDEL!AA819)</f>
        <v>0</v>
      </c>
      <c r="AB819" s="110" t="b">
        <f>IF(preDEL!$AG819,IFERROR(0/0,""),preDEL!AB819)</f>
        <v>0</v>
      </c>
      <c r="AC819" s="172">
        <f>IF(preDEL!$AG819,IFERROR(0/0,""),preDEL!AC819)</f>
        <v>7</v>
      </c>
      <c r="AD819" s="104" t="b">
        <f>IF(preDEL!$AG819,IFERROR(0/0,""),preDEL!AD819)</f>
        <v>0</v>
      </c>
      <c r="AE819" s="173">
        <f>IF(preDEL!$AG819,IFERROR(0/0,""),preDEL!AE819)</f>
        <v>322.05</v>
      </c>
      <c r="AF819" s="110" t="b">
        <f>IF(preDEL!$AG819,IFERROR(0/0,""),preDEL!AF819)</f>
        <v>0</v>
      </c>
      <c r="AG819" s="110" t="b">
        <f>IF(preDEL!$AG819,IFERROR(0/0,""),preDEL!AG819)</f>
        <v>0</v>
      </c>
      <c r="AH819" s="104" t="str">
        <f>IF(preDEL!$AG819,IFERROR(0/0,""),preDEL!AH819)</f>
        <v/>
      </c>
      <c r="AI819" s="105" t="str">
        <f>IF(preDEL!$AG819,IFERROR(0/0,""),preDEL!AI819)</f>
        <v/>
      </c>
      <c r="AJ819" s="112" t="str">
        <f>IF(preDEL!$AG819,IFERROR(0/0,""),preDEL!AJ819)</f>
        <v/>
      </c>
      <c r="AK819" s="105" t="str">
        <f>IF(preDEL!$AG819,IFERROR(0/0,""),preDEL!AK819)</f>
        <v>Negative</v>
      </c>
      <c r="AL819" s="112" t="str">
        <f>IF(preDEL!$AG819,IFERROR(0/0,""),preDEL!AL819)</f>
        <v/>
      </c>
      <c r="AM819" s="112" t="str">
        <f>IF(preDEL!$AG819,IFERROR(0/0,""),preDEL!AM819)</f>
        <v>SpBEND394154</v>
      </c>
      <c r="AN819" s="112" t="str">
        <f>IF(preDEL!$AG819,IFERROR(0/0,""),preDEL!AN819)</f>
        <v>BEND777226</v>
      </c>
      <c r="AO819" s="112" t="str">
        <f>IF(preDEL!$AG819,IFERROR(0/0,""),preDEL!AO819)</f>
        <v/>
      </c>
      <c r="AP819" s="112" t="str">
        <f>IF(preDEL!$AG819,IFERROR(0/0,""),preDEL!AP819)</f>
        <v/>
      </c>
      <c r="AQ819" s="112" t="str">
        <f>IF(preDEL!$AG819,IFERROR(0/0,""),preDEL!AQ819)</f>
        <v/>
      </c>
      <c r="AR819" s="112" t="str">
        <f>IF(preDEL!$AG819,IFERROR(0/0,""),preDEL!AR819)</f>
        <v/>
      </c>
      <c r="AS819" s="112" t="str">
        <f>IF(preDEL!$AG819,IFERROR(0/0,""),preDEL!AS819)</f>
        <v/>
      </c>
      <c r="AT819" s="112" t="b">
        <f>IF(preDEL!$AG819,IFERROR(0/0,""),preDEL!AT819)</f>
        <v>0</v>
      </c>
      <c r="AU819" s="112" t="str">
        <f>IF(preDEL!$AG819,IFERROR(0/0,""),preDEL!AU819)</f>
        <v/>
      </c>
      <c r="AV819" s="112" t="str">
        <f>IF(preDEL!$AG819,IFERROR(0/0,""),preDEL!AV819)</f>
        <v/>
      </c>
      <c r="AW819" s="112" t="str">
        <f>IF(preDEL!$AG819,IFERROR(0/0,""),preDEL!AW819)</f>
        <v/>
      </c>
      <c r="AX819" s="112" t="str">
        <f>IF(preDEL!$AG819,IFERROR(0/0,""),preDEL!AX819)</f>
        <v/>
      </c>
      <c r="AY819" s="112" t="str">
        <f>IF(preDEL!$AG819,IFERROR(0/0,""),preDEL!AY819)</f>
        <v/>
      </c>
      <c r="AZ819" s="174"/>
      <c r="BA819" s="174"/>
      <c r="BB819" s="174"/>
      <c r="BC819" s="174"/>
      <c r="BD819" s="174"/>
      <c r="BE819" s="174"/>
      <c r="BF819" s="174"/>
      <c r="BG819" s="174"/>
      <c r="BH819" s="174"/>
      <c r="BI819" s="174"/>
      <c r="BJ819" s="174"/>
      <c r="BK819" s="174"/>
      <c r="BL819" s="174"/>
      <c r="BM819" s="174"/>
      <c r="BN819" s="174"/>
      <c r="BO819" s="174"/>
      <c r="BP819" s="174"/>
      <c r="BQ819" s="174"/>
      <c r="BR819" s="174"/>
      <c r="BS819" s="174"/>
      <c r="BT819" s="174"/>
      <c r="BU819" s="174"/>
      <c r="BV819" s="174"/>
      <c r="BW819" s="174"/>
      <c r="BX819" s="174"/>
      <c r="BY819" s="174"/>
      <c r="BZ819" s="174"/>
      <c r="CA819" s="174"/>
      <c r="CB819" s="174"/>
      <c r="CC819" s="174"/>
      <c r="CD819" s="174"/>
    </row>
    <row r="820">
      <c r="A820" s="105" t="str">
        <f>IF(preDEL!$AG820,IFERROR(0/0,""),preDEL!A820)</f>
        <v>MA1392</v>
      </c>
      <c r="B820" s="170">
        <f>IF(preDEL!$AG820,IFERROR(0/0,""),preDEL!B820)</f>
        <v>44692</v>
      </c>
      <c r="C820" s="171">
        <f>IF(preDEL!$AG820,IFERROR(0/0,""),preDEL!C820)</f>
        <v>0.2888541667</v>
      </c>
      <c r="D820" s="105" t="str">
        <f>IF(preDEL!$AG820,IFERROR(0/0,""),preDEL!D820)</f>
        <v/>
      </c>
      <c r="E820" s="105" t="str">
        <f>IF(preDEL!$AG820,IFERROR(0/0,""),preDEL!E820)</f>
        <v/>
      </c>
      <c r="F820" s="112" t="str">
        <f>IF(preDEL!$AG820,IFERROR(0/0,""),preDEL!F820)</f>
        <v/>
      </c>
      <c r="G820" s="112" t="str">
        <f>IF(preDEL!$AG820,IFERROR(0/0,""),preDEL!G820)</f>
        <v/>
      </c>
      <c r="H820" s="112" t="str">
        <f>IF(preDEL!$AG820,IFERROR(0/0,""),preDEL!H820)</f>
        <v/>
      </c>
      <c r="I820" s="105" t="str">
        <f>IF(preDEL!$AG820,IFERROR(0/0,""),preDEL!I820)</f>
        <v/>
      </c>
      <c r="J820" s="105" t="str">
        <f>IF(preDEL!$AG820,IFERROR(0/0,""),preDEL!J820)</f>
        <v/>
      </c>
      <c r="K820" s="105" t="str">
        <f>IF(preDEL!$AG820,IFERROR(0/0,""),preDEL!K820)</f>
        <v>Negative</v>
      </c>
      <c r="L820" s="170">
        <f>IF(preDEL!$AG820,IFERROR(0/0,""),preDEL!L820)</f>
        <v>44692</v>
      </c>
      <c r="M820" s="171">
        <f>IF(preDEL!$AG820,IFERROR(0/0,""),preDEL!M820)</f>
        <v>0.5025231481</v>
      </c>
      <c r="N820" s="112" t="str">
        <f>IF(preDEL!$AG820,IFERROR(0/0,""),preDEL!N820)</f>
        <v/>
      </c>
      <c r="O820" s="112" t="str">
        <f>IF(preDEL!$AG820,IFERROR(0/0,""),preDEL!O820)</f>
        <v/>
      </c>
      <c r="P820" s="110" t="b">
        <f>IF(preDEL!$AG820,IFERROR(0/0,""),preDEL!P820)</f>
        <v>0</v>
      </c>
      <c r="Q820" s="110" t="str">
        <f>IF(preDEL!$AG820,IFERROR(0/0,""),preDEL!Q820)</f>
        <v>Result</v>
      </c>
      <c r="R820" s="104" t="b">
        <f>IF(preDEL!$AG820,IFERROR(0/0,""),preDEL!R820)</f>
        <v>1</v>
      </c>
      <c r="S820" s="104">
        <f>IF(preDEL!$AG820,IFERROR(0/0,""),preDEL!S820)</f>
        <v>1</v>
      </c>
      <c r="T820" s="110">
        <f>IF(preDEL!$AG820,IFERROR(0/0,""),preDEL!T820)</f>
        <v>0</v>
      </c>
      <c r="U820" s="112" t="str">
        <f>IF(preDEL!$AG820,IFERROR(0/0,""),preDEL!U820)</f>
        <v/>
      </c>
      <c r="V820" s="105" t="str">
        <f>IF(preDEL!$AG820,IFERROR(0/0,""),preDEL!V820)</f>
        <v/>
      </c>
      <c r="W820" s="112" t="str">
        <f>IF(preDEL!$AG820,IFERROR(0/0,""),preDEL!W820)</f>
        <v/>
      </c>
      <c r="X820" s="104" t="b">
        <f>IF(preDEL!$AG820,IFERROR(0/0,""),preDEL!X820)</f>
        <v>0</v>
      </c>
      <c r="Y820" s="110" t="b">
        <f>IF(preDEL!$AG820,IFERROR(0/0,""),preDEL!Y820)</f>
        <v>0</v>
      </c>
      <c r="Z820" s="105" t="str">
        <f>IF(preDEL!$AG820,IFERROR(0/0,""),preDEL!Z820)</f>
        <v/>
      </c>
      <c r="AA820" s="110" t="b">
        <f>IF(preDEL!$AG820,IFERROR(0/0,""),preDEL!AA820)</f>
        <v>0</v>
      </c>
      <c r="AB820" s="110" t="b">
        <f>IF(preDEL!$AG820,IFERROR(0/0,""),preDEL!AB820)</f>
        <v>0</v>
      </c>
      <c r="AC820" s="172">
        <f>IF(preDEL!$AG820,IFERROR(0/0,""),preDEL!AC820)</f>
        <v>6</v>
      </c>
      <c r="AD820" s="104" t="b">
        <f>IF(preDEL!$AG820,IFERROR(0/0,""),preDEL!AD820)</f>
        <v>0</v>
      </c>
      <c r="AE820" s="173">
        <f>IF(preDEL!$AG820,IFERROR(0/0,""),preDEL!AE820)</f>
        <v>307.6833333</v>
      </c>
      <c r="AF820" s="110" t="b">
        <f>IF(preDEL!$AG820,IFERROR(0/0,""),preDEL!AF820)</f>
        <v>0</v>
      </c>
      <c r="AG820" s="110" t="b">
        <f>IF(preDEL!$AG820,IFERROR(0/0,""),preDEL!AG820)</f>
        <v>0</v>
      </c>
      <c r="AH820" s="104" t="str">
        <f>IF(preDEL!$AG820,IFERROR(0/0,""),preDEL!AH820)</f>
        <v/>
      </c>
      <c r="AI820" s="105" t="str">
        <f>IF(preDEL!$AG820,IFERROR(0/0,""),preDEL!AI820)</f>
        <v/>
      </c>
      <c r="AJ820" s="112" t="str">
        <f>IF(preDEL!$AG820,IFERROR(0/0,""),preDEL!AJ820)</f>
        <v/>
      </c>
      <c r="AK820" s="105" t="str">
        <f>IF(preDEL!$AG820,IFERROR(0/0,""),preDEL!AK820)</f>
        <v>Negative</v>
      </c>
      <c r="AL820" s="112" t="str">
        <f>IF(preDEL!$AG820,IFERROR(0/0,""),preDEL!AL820)</f>
        <v/>
      </c>
      <c r="AM820" s="112" t="str">
        <f>IF(preDEL!$AG820,IFERROR(0/0,""),preDEL!AM820)</f>
        <v>SpBEND394154</v>
      </c>
      <c r="AN820" s="112" t="str">
        <f>IF(preDEL!$AG820,IFERROR(0/0,""),preDEL!AN820)</f>
        <v>BEND107646</v>
      </c>
      <c r="AO820" s="112" t="str">
        <f>IF(preDEL!$AG820,IFERROR(0/0,""),preDEL!AO820)</f>
        <v/>
      </c>
      <c r="AP820" s="112" t="str">
        <f>IF(preDEL!$AG820,IFERROR(0/0,""),preDEL!AP820)</f>
        <v/>
      </c>
      <c r="AQ820" s="112" t="str">
        <f>IF(preDEL!$AG820,IFERROR(0/0,""),preDEL!AQ820)</f>
        <v/>
      </c>
      <c r="AR820" s="112" t="str">
        <f>IF(preDEL!$AG820,IFERROR(0/0,""),preDEL!AR820)</f>
        <v/>
      </c>
      <c r="AS820" s="112" t="str">
        <f>IF(preDEL!$AG820,IFERROR(0/0,""),preDEL!AS820)</f>
        <v/>
      </c>
      <c r="AT820" s="112" t="b">
        <f>IF(preDEL!$AG820,IFERROR(0/0,""),preDEL!AT820)</f>
        <v>0</v>
      </c>
      <c r="AU820" s="112" t="str">
        <f>IF(preDEL!$AG820,IFERROR(0/0,""),preDEL!AU820)</f>
        <v/>
      </c>
      <c r="AV820" s="112" t="str">
        <f>IF(preDEL!$AG820,IFERROR(0/0,""),preDEL!AV820)</f>
        <v/>
      </c>
      <c r="AW820" s="112" t="str">
        <f>IF(preDEL!$AG820,IFERROR(0/0,""),preDEL!AW820)</f>
        <v/>
      </c>
      <c r="AX820" s="112" t="str">
        <f>IF(preDEL!$AG820,IFERROR(0/0,""),preDEL!AX820)</f>
        <v/>
      </c>
      <c r="AY820" s="112" t="str">
        <f>IF(preDEL!$AG820,IFERROR(0/0,""),preDEL!AY820)</f>
        <v/>
      </c>
      <c r="AZ820" s="174"/>
      <c r="BA820" s="174"/>
      <c r="BB820" s="174"/>
      <c r="BC820" s="174"/>
      <c r="BD820" s="174"/>
      <c r="BE820" s="174"/>
      <c r="BF820" s="174"/>
      <c r="BG820" s="174"/>
      <c r="BH820" s="174"/>
      <c r="BI820" s="174"/>
      <c r="BJ820" s="174"/>
      <c r="BK820" s="174"/>
      <c r="BL820" s="174"/>
      <c r="BM820" s="174"/>
      <c r="BN820" s="174"/>
      <c r="BO820" s="174"/>
      <c r="BP820" s="174"/>
      <c r="BQ820" s="174"/>
      <c r="BR820" s="174"/>
      <c r="BS820" s="174"/>
      <c r="BT820" s="174"/>
      <c r="BU820" s="174"/>
      <c r="BV820" s="174"/>
      <c r="BW820" s="174"/>
      <c r="BX820" s="174"/>
      <c r="BY820" s="174"/>
      <c r="BZ820" s="174"/>
      <c r="CA820" s="174"/>
      <c r="CB820" s="174"/>
      <c r="CC820" s="174"/>
      <c r="CD820" s="174"/>
    </row>
    <row r="821">
      <c r="A821" s="105" t="str">
        <f>IF(preDEL!$AG821,IFERROR(0/0,""),preDEL!A821)</f>
        <v>MA1497</v>
      </c>
      <c r="B821" s="170">
        <f>IF(preDEL!$AG821,IFERROR(0/0,""),preDEL!B821)</f>
        <v>44692</v>
      </c>
      <c r="C821" s="171">
        <f>IF(preDEL!$AG821,IFERROR(0/0,""),preDEL!C821)</f>
        <v>0.2918981481</v>
      </c>
      <c r="D821" s="105" t="str">
        <f>IF(preDEL!$AG821,IFERROR(0/0,""),preDEL!D821)</f>
        <v/>
      </c>
      <c r="E821" s="105" t="str">
        <f>IF(preDEL!$AG821,IFERROR(0/0,""),preDEL!E821)</f>
        <v/>
      </c>
      <c r="F821" s="112" t="str">
        <f>IF(preDEL!$AG821,IFERROR(0/0,""),preDEL!F821)</f>
        <v/>
      </c>
      <c r="G821" s="112" t="str">
        <f>IF(preDEL!$AG821,IFERROR(0/0,""),preDEL!G821)</f>
        <v/>
      </c>
      <c r="H821" s="112" t="str">
        <f>IF(preDEL!$AG821,IFERROR(0/0,""),preDEL!H821)</f>
        <v/>
      </c>
      <c r="I821" s="105" t="str">
        <f>IF(preDEL!$AG821,IFERROR(0/0,""),preDEL!I821)</f>
        <v/>
      </c>
      <c r="J821" s="105" t="str">
        <f>IF(preDEL!$AG821,IFERROR(0/0,""),preDEL!J821)</f>
        <v/>
      </c>
      <c r="K821" s="105" t="str">
        <f>IF(preDEL!$AG821,IFERROR(0/0,""),preDEL!K821)</f>
        <v>Negative</v>
      </c>
      <c r="L821" s="170">
        <f>IF(preDEL!$AG821,IFERROR(0/0,""),preDEL!L821)</f>
        <v>44692</v>
      </c>
      <c r="M821" s="171">
        <f>IF(preDEL!$AG821,IFERROR(0/0,""),preDEL!M821)</f>
        <v>0.5025231481</v>
      </c>
      <c r="N821" s="112" t="str">
        <f>IF(preDEL!$AG821,IFERROR(0/0,""),preDEL!N821)</f>
        <v/>
      </c>
      <c r="O821" s="112" t="str">
        <f>IF(preDEL!$AG821,IFERROR(0/0,""),preDEL!O821)</f>
        <v/>
      </c>
      <c r="P821" s="110" t="b">
        <f>IF(preDEL!$AG821,IFERROR(0/0,""),preDEL!P821)</f>
        <v>0</v>
      </c>
      <c r="Q821" s="110" t="str">
        <f>IF(preDEL!$AG821,IFERROR(0/0,""),preDEL!Q821)</f>
        <v>Result</v>
      </c>
      <c r="R821" s="104" t="b">
        <f>IF(preDEL!$AG821,IFERROR(0/0,""),preDEL!R821)</f>
        <v>1</v>
      </c>
      <c r="S821" s="104">
        <f>IF(preDEL!$AG821,IFERROR(0/0,""),preDEL!S821)</f>
        <v>1</v>
      </c>
      <c r="T821" s="110">
        <f>IF(preDEL!$AG821,IFERROR(0/0,""),preDEL!T821)</f>
        <v>0</v>
      </c>
      <c r="U821" s="112" t="str">
        <f>IF(preDEL!$AG821,IFERROR(0/0,""),preDEL!U821)</f>
        <v/>
      </c>
      <c r="V821" s="105" t="str">
        <f>IF(preDEL!$AG821,IFERROR(0/0,""),preDEL!V821)</f>
        <v/>
      </c>
      <c r="W821" s="112" t="str">
        <f>IF(preDEL!$AG821,IFERROR(0/0,""),preDEL!W821)</f>
        <v/>
      </c>
      <c r="X821" s="104" t="b">
        <f>IF(preDEL!$AG821,IFERROR(0/0,""),preDEL!X821)</f>
        <v>0</v>
      </c>
      <c r="Y821" s="110" t="b">
        <f>IF(preDEL!$AG821,IFERROR(0/0,""),preDEL!Y821)</f>
        <v>0</v>
      </c>
      <c r="Z821" s="105" t="str">
        <f>IF(preDEL!$AG821,IFERROR(0/0,""),preDEL!Z821)</f>
        <v/>
      </c>
      <c r="AA821" s="110" t="b">
        <f>IF(preDEL!$AG821,IFERROR(0/0,""),preDEL!AA821)</f>
        <v>0</v>
      </c>
      <c r="AB821" s="110" t="b">
        <f>IF(preDEL!$AG821,IFERROR(0/0,""),preDEL!AB821)</f>
        <v>0</v>
      </c>
      <c r="AC821" s="172">
        <f>IF(preDEL!$AG821,IFERROR(0/0,""),preDEL!AC821)</f>
        <v>5</v>
      </c>
      <c r="AD821" s="104" t="b">
        <f>IF(preDEL!$AG821,IFERROR(0/0,""),preDEL!AD821)</f>
        <v>0</v>
      </c>
      <c r="AE821" s="173">
        <f>IF(preDEL!$AG821,IFERROR(0/0,""),preDEL!AE821)</f>
        <v>303.3</v>
      </c>
      <c r="AF821" s="110" t="b">
        <f>IF(preDEL!$AG821,IFERROR(0/0,""),preDEL!AF821)</f>
        <v>0</v>
      </c>
      <c r="AG821" s="110" t="b">
        <f>IF(preDEL!$AG821,IFERROR(0/0,""),preDEL!AG821)</f>
        <v>0</v>
      </c>
      <c r="AH821" s="104" t="str">
        <f>IF(preDEL!$AG821,IFERROR(0/0,""),preDEL!AH821)</f>
        <v/>
      </c>
      <c r="AI821" s="105" t="str">
        <f>IF(preDEL!$AG821,IFERROR(0/0,""),preDEL!AI821)</f>
        <v/>
      </c>
      <c r="AJ821" s="112" t="str">
        <f>IF(preDEL!$AG821,IFERROR(0/0,""),preDEL!AJ821)</f>
        <v/>
      </c>
      <c r="AK821" s="105" t="str">
        <f>IF(preDEL!$AG821,IFERROR(0/0,""),preDEL!AK821)</f>
        <v>Negative</v>
      </c>
      <c r="AL821" s="112" t="str">
        <f>IF(preDEL!$AG821,IFERROR(0/0,""),preDEL!AL821)</f>
        <v/>
      </c>
      <c r="AM821" s="112" t="str">
        <f>IF(preDEL!$AG821,IFERROR(0/0,""),preDEL!AM821)</f>
        <v>SpBEND394154</v>
      </c>
      <c r="AN821" s="112" t="str">
        <f>IF(preDEL!$AG821,IFERROR(0/0,""),preDEL!AN821)</f>
        <v>BEND412261</v>
      </c>
      <c r="AO821" s="112" t="str">
        <f>IF(preDEL!$AG821,IFERROR(0/0,""),preDEL!AO821)</f>
        <v/>
      </c>
      <c r="AP821" s="112" t="str">
        <f>IF(preDEL!$AG821,IFERROR(0/0,""),preDEL!AP821)</f>
        <v/>
      </c>
      <c r="AQ821" s="112" t="str">
        <f>IF(preDEL!$AG821,IFERROR(0/0,""),preDEL!AQ821)</f>
        <v/>
      </c>
      <c r="AR821" s="112" t="str">
        <f>IF(preDEL!$AG821,IFERROR(0/0,""),preDEL!AR821)</f>
        <v/>
      </c>
      <c r="AS821" s="112" t="str">
        <f>IF(preDEL!$AG821,IFERROR(0/0,""),preDEL!AS821)</f>
        <v/>
      </c>
      <c r="AT821" s="112" t="b">
        <f>IF(preDEL!$AG821,IFERROR(0/0,""),preDEL!AT821)</f>
        <v>0</v>
      </c>
      <c r="AU821" s="112" t="str">
        <f>IF(preDEL!$AG821,IFERROR(0/0,""),preDEL!AU821)</f>
        <v/>
      </c>
      <c r="AV821" s="112" t="str">
        <f>IF(preDEL!$AG821,IFERROR(0/0,""),preDEL!AV821)</f>
        <v/>
      </c>
      <c r="AW821" s="112" t="str">
        <f>IF(preDEL!$AG821,IFERROR(0/0,""),preDEL!AW821)</f>
        <v/>
      </c>
      <c r="AX821" s="112" t="str">
        <f>IF(preDEL!$AG821,IFERROR(0/0,""),preDEL!AX821)</f>
        <v/>
      </c>
      <c r="AY821" s="112" t="str">
        <f>IF(preDEL!$AG821,IFERROR(0/0,""),preDEL!AY821)</f>
        <v/>
      </c>
      <c r="AZ821" s="174"/>
      <c r="BA821" s="174"/>
      <c r="BB821" s="174"/>
      <c r="BC821" s="174"/>
      <c r="BD821" s="174"/>
      <c r="BE821" s="174"/>
      <c r="BF821" s="174"/>
      <c r="BG821" s="174"/>
      <c r="BH821" s="174"/>
      <c r="BI821" s="174"/>
      <c r="BJ821" s="174"/>
      <c r="BK821" s="174"/>
      <c r="BL821" s="174"/>
      <c r="BM821" s="174"/>
      <c r="BN821" s="174"/>
      <c r="BO821" s="174"/>
      <c r="BP821" s="174"/>
      <c r="BQ821" s="174"/>
      <c r="BR821" s="174"/>
      <c r="BS821" s="174"/>
      <c r="BT821" s="174"/>
      <c r="BU821" s="174"/>
      <c r="BV821" s="174"/>
      <c r="BW821" s="174"/>
      <c r="BX821" s="174"/>
      <c r="BY821" s="174"/>
      <c r="BZ821" s="174"/>
      <c r="CA821" s="174"/>
      <c r="CB821" s="174"/>
      <c r="CC821" s="174"/>
      <c r="CD821" s="174"/>
    </row>
    <row r="822">
      <c r="A822" s="105" t="str">
        <f>IF(preDEL!$AG822,IFERROR(0/0,""),preDEL!A822)</f>
        <v>MA1429</v>
      </c>
      <c r="B822" s="170">
        <f>IF(preDEL!$AG822,IFERROR(0/0,""),preDEL!B822)</f>
        <v>44692</v>
      </c>
      <c r="C822" s="171">
        <f>IF(preDEL!$AG822,IFERROR(0/0,""),preDEL!C822)</f>
        <v>0.3086342593</v>
      </c>
      <c r="D822" s="105" t="str">
        <f>IF(preDEL!$AG822,IFERROR(0/0,""),preDEL!D822)</f>
        <v/>
      </c>
      <c r="E822" s="105" t="str">
        <f>IF(preDEL!$AG822,IFERROR(0/0,""),preDEL!E822)</f>
        <v/>
      </c>
      <c r="F822" s="112" t="str">
        <f>IF(preDEL!$AG822,IFERROR(0/0,""),preDEL!F822)</f>
        <v/>
      </c>
      <c r="G822" s="112" t="str">
        <f>IF(preDEL!$AG822,IFERROR(0/0,""),preDEL!G822)</f>
        <v/>
      </c>
      <c r="H822" s="112" t="str">
        <f>IF(preDEL!$AG822,IFERROR(0/0,""),preDEL!H822)</f>
        <v/>
      </c>
      <c r="I822" s="105" t="str">
        <f>IF(preDEL!$AG822,IFERROR(0/0,""),preDEL!I822)</f>
        <v/>
      </c>
      <c r="J822" s="105" t="str">
        <f>IF(preDEL!$AG822,IFERROR(0/0,""),preDEL!J822)</f>
        <v/>
      </c>
      <c r="K822" s="105" t="str">
        <f>IF(preDEL!$AG822,IFERROR(0/0,""),preDEL!K822)</f>
        <v>Negative</v>
      </c>
      <c r="L822" s="170">
        <f>IF(preDEL!$AG822,IFERROR(0/0,""),preDEL!L822)</f>
        <v>44692</v>
      </c>
      <c r="M822" s="171">
        <f>IF(preDEL!$AG822,IFERROR(0/0,""),preDEL!M822)</f>
        <v>0.5025231481</v>
      </c>
      <c r="N822" s="112" t="str">
        <f>IF(preDEL!$AG822,IFERROR(0/0,""),preDEL!N822)</f>
        <v/>
      </c>
      <c r="O822" s="112" t="str">
        <f>IF(preDEL!$AG822,IFERROR(0/0,""),preDEL!O822)</f>
        <v/>
      </c>
      <c r="P822" s="110" t="b">
        <f>IF(preDEL!$AG822,IFERROR(0/0,""),preDEL!P822)</f>
        <v>0</v>
      </c>
      <c r="Q822" s="110" t="str">
        <f>IF(preDEL!$AG822,IFERROR(0/0,""),preDEL!Q822)</f>
        <v>Result</v>
      </c>
      <c r="R822" s="104" t="b">
        <f>IF(preDEL!$AG822,IFERROR(0/0,""),preDEL!R822)</f>
        <v>1</v>
      </c>
      <c r="S822" s="104">
        <f>IF(preDEL!$AG822,IFERROR(0/0,""),preDEL!S822)</f>
        <v>1</v>
      </c>
      <c r="T822" s="110">
        <f>IF(preDEL!$AG822,IFERROR(0/0,""),preDEL!T822)</f>
        <v>0</v>
      </c>
      <c r="U822" s="112" t="str">
        <f>IF(preDEL!$AG822,IFERROR(0/0,""),preDEL!U822)</f>
        <v/>
      </c>
      <c r="V822" s="105" t="str">
        <f>IF(preDEL!$AG822,IFERROR(0/0,""),preDEL!V822)</f>
        <v/>
      </c>
      <c r="W822" s="112" t="str">
        <f>IF(preDEL!$AG822,IFERROR(0/0,""),preDEL!W822)</f>
        <v/>
      </c>
      <c r="X822" s="104" t="b">
        <f>IF(preDEL!$AG822,IFERROR(0/0,""),preDEL!X822)</f>
        <v>0</v>
      </c>
      <c r="Y822" s="110" t="b">
        <f>IF(preDEL!$AG822,IFERROR(0/0,""),preDEL!Y822)</f>
        <v>0</v>
      </c>
      <c r="Z822" s="105" t="str">
        <f>IF(preDEL!$AG822,IFERROR(0/0,""),preDEL!Z822)</f>
        <v/>
      </c>
      <c r="AA822" s="110" t="b">
        <f>IF(preDEL!$AG822,IFERROR(0/0,""),preDEL!AA822)</f>
        <v>0</v>
      </c>
      <c r="AB822" s="110" t="b">
        <f>IF(preDEL!$AG822,IFERROR(0/0,""),preDEL!AB822)</f>
        <v>0</v>
      </c>
      <c r="AC822" s="172">
        <f>IF(preDEL!$AG822,IFERROR(0/0,""),preDEL!AC822)</f>
        <v>4</v>
      </c>
      <c r="AD822" s="104" t="b">
        <f>IF(preDEL!$AG822,IFERROR(0/0,""),preDEL!AD822)</f>
        <v>0</v>
      </c>
      <c r="AE822" s="173">
        <f>IF(preDEL!$AG822,IFERROR(0/0,""),preDEL!AE822)</f>
        <v>279.2</v>
      </c>
      <c r="AF822" s="110" t="b">
        <f>IF(preDEL!$AG822,IFERROR(0/0,""),preDEL!AF822)</f>
        <v>0</v>
      </c>
      <c r="AG822" s="110" t="b">
        <f>IF(preDEL!$AG822,IFERROR(0/0,""),preDEL!AG822)</f>
        <v>0</v>
      </c>
      <c r="AH822" s="104" t="str">
        <f>IF(preDEL!$AG822,IFERROR(0/0,""),preDEL!AH822)</f>
        <v/>
      </c>
      <c r="AI822" s="105" t="str">
        <f>IF(preDEL!$AG822,IFERROR(0/0,""),preDEL!AI822)</f>
        <v/>
      </c>
      <c r="AJ822" s="112" t="str">
        <f>IF(preDEL!$AG822,IFERROR(0/0,""),preDEL!AJ822)</f>
        <v/>
      </c>
      <c r="AK822" s="105" t="str">
        <f>IF(preDEL!$AG822,IFERROR(0/0,""),preDEL!AK822)</f>
        <v>Negative</v>
      </c>
      <c r="AL822" s="112" t="str">
        <f>IF(preDEL!$AG822,IFERROR(0/0,""),preDEL!AL822)</f>
        <v/>
      </c>
      <c r="AM822" s="112" t="str">
        <f>IF(preDEL!$AG822,IFERROR(0/0,""),preDEL!AM822)</f>
        <v>SpBEND394154</v>
      </c>
      <c r="AN822" s="112" t="str">
        <f>IF(preDEL!$AG822,IFERROR(0/0,""),preDEL!AN822)</f>
        <v>BEND885969</v>
      </c>
      <c r="AO822" s="112" t="str">
        <f>IF(preDEL!$AG822,IFERROR(0/0,""),preDEL!AO822)</f>
        <v/>
      </c>
      <c r="AP822" s="112" t="str">
        <f>IF(preDEL!$AG822,IFERROR(0/0,""),preDEL!AP822)</f>
        <v/>
      </c>
      <c r="AQ822" s="112" t="str">
        <f>IF(preDEL!$AG822,IFERROR(0/0,""),preDEL!AQ822)</f>
        <v/>
      </c>
      <c r="AR822" s="112" t="str">
        <f>IF(preDEL!$AG822,IFERROR(0/0,""),preDEL!AR822)</f>
        <v/>
      </c>
      <c r="AS822" s="112" t="str">
        <f>IF(preDEL!$AG822,IFERROR(0/0,""),preDEL!AS822)</f>
        <v/>
      </c>
      <c r="AT822" s="112" t="b">
        <f>IF(preDEL!$AG822,IFERROR(0/0,""),preDEL!AT822)</f>
        <v>0</v>
      </c>
      <c r="AU822" s="112" t="str">
        <f>IF(preDEL!$AG822,IFERROR(0/0,""),preDEL!AU822)</f>
        <v/>
      </c>
      <c r="AV822" s="112" t="str">
        <f>IF(preDEL!$AG822,IFERROR(0/0,""),preDEL!AV822)</f>
        <v/>
      </c>
      <c r="AW822" s="112" t="str">
        <f>IF(preDEL!$AG822,IFERROR(0/0,""),preDEL!AW822)</f>
        <v/>
      </c>
      <c r="AX822" s="112" t="str">
        <f>IF(preDEL!$AG822,IFERROR(0/0,""),preDEL!AX822)</f>
        <v/>
      </c>
      <c r="AY822" s="112" t="str">
        <f>IF(preDEL!$AG822,IFERROR(0/0,""),preDEL!AY822)</f>
        <v/>
      </c>
      <c r="AZ822" s="174"/>
      <c r="BA822" s="174"/>
      <c r="BB822" s="174"/>
      <c r="BC822" s="174"/>
      <c r="BD822" s="174"/>
      <c r="BE822" s="174"/>
      <c r="BF822" s="174"/>
      <c r="BG822" s="174"/>
      <c r="BH822" s="174"/>
      <c r="BI822" s="174"/>
      <c r="BJ822" s="174"/>
      <c r="BK822" s="174"/>
      <c r="BL822" s="174"/>
      <c r="BM822" s="174"/>
      <c r="BN822" s="174"/>
      <c r="BO822" s="174"/>
      <c r="BP822" s="174"/>
      <c r="BQ822" s="174"/>
      <c r="BR822" s="174"/>
      <c r="BS822" s="174"/>
      <c r="BT822" s="174"/>
      <c r="BU822" s="174"/>
      <c r="BV822" s="174"/>
      <c r="BW822" s="174"/>
      <c r="BX822" s="174"/>
      <c r="BY822" s="174"/>
      <c r="BZ822" s="174"/>
      <c r="CA822" s="174"/>
      <c r="CB822" s="174"/>
      <c r="CC822" s="174"/>
      <c r="CD822" s="174"/>
    </row>
    <row r="823">
      <c r="A823" s="105" t="str">
        <f>IF(preDEL!$AG823,IFERROR(0/0,""),preDEL!A823)</f>
        <v>MA1398</v>
      </c>
      <c r="B823" s="170">
        <f>IF(preDEL!$AG823,IFERROR(0/0,""),preDEL!B823)</f>
        <v>44692</v>
      </c>
      <c r="C823" s="171">
        <f>IF(preDEL!$AG823,IFERROR(0/0,""),preDEL!C823)</f>
        <v>0.3090393519</v>
      </c>
      <c r="D823" s="105" t="str">
        <f>IF(preDEL!$AG823,IFERROR(0/0,""),preDEL!D823)</f>
        <v/>
      </c>
      <c r="E823" s="105" t="str">
        <f>IF(preDEL!$AG823,IFERROR(0/0,""),preDEL!E823)</f>
        <v/>
      </c>
      <c r="F823" s="112" t="str">
        <f>IF(preDEL!$AG823,IFERROR(0/0,""),preDEL!F823)</f>
        <v/>
      </c>
      <c r="G823" s="112" t="str">
        <f>IF(preDEL!$AG823,IFERROR(0/0,""),preDEL!G823)</f>
        <v/>
      </c>
      <c r="H823" s="112" t="str">
        <f>IF(preDEL!$AG823,IFERROR(0/0,""),preDEL!H823)</f>
        <v/>
      </c>
      <c r="I823" s="105" t="str">
        <f>IF(preDEL!$AG823,IFERROR(0/0,""),preDEL!I823)</f>
        <v/>
      </c>
      <c r="J823" s="105" t="str">
        <f>IF(preDEL!$AG823,IFERROR(0/0,""),preDEL!J823)</f>
        <v/>
      </c>
      <c r="K823" s="105" t="str">
        <f>IF(preDEL!$AG823,IFERROR(0/0,""),preDEL!K823)</f>
        <v>Negative</v>
      </c>
      <c r="L823" s="170">
        <f>IF(preDEL!$AG823,IFERROR(0/0,""),preDEL!L823)</f>
        <v>44692</v>
      </c>
      <c r="M823" s="171">
        <f>IF(preDEL!$AG823,IFERROR(0/0,""),preDEL!M823)</f>
        <v>0.5025231481</v>
      </c>
      <c r="N823" s="112" t="str">
        <f>IF(preDEL!$AG823,IFERROR(0/0,""),preDEL!N823)</f>
        <v/>
      </c>
      <c r="O823" s="112" t="str">
        <f>IF(preDEL!$AG823,IFERROR(0/0,""),preDEL!O823)</f>
        <v/>
      </c>
      <c r="P823" s="110" t="b">
        <f>IF(preDEL!$AG823,IFERROR(0/0,""),preDEL!P823)</f>
        <v>0</v>
      </c>
      <c r="Q823" s="110" t="str">
        <f>IF(preDEL!$AG823,IFERROR(0/0,""),preDEL!Q823)</f>
        <v>Result</v>
      </c>
      <c r="R823" s="104" t="b">
        <f>IF(preDEL!$AG823,IFERROR(0/0,""),preDEL!R823)</f>
        <v>1</v>
      </c>
      <c r="S823" s="104">
        <f>IF(preDEL!$AG823,IFERROR(0/0,""),preDEL!S823)</f>
        <v>1</v>
      </c>
      <c r="T823" s="110">
        <f>IF(preDEL!$AG823,IFERROR(0/0,""),preDEL!T823)</f>
        <v>0</v>
      </c>
      <c r="U823" s="112" t="str">
        <f>IF(preDEL!$AG823,IFERROR(0/0,""),preDEL!U823)</f>
        <v/>
      </c>
      <c r="V823" s="105" t="str">
        <f>IF(preDEL!$AG823,IFERROR(0/0,""),preDEL!V823)</f>
        <v/>
      </c>
      <c r="W823" s="112" t="str">
        <f>IF(preDEL!$AG823,IFERROR(0/0,""),preDEL!W823)</f>
        <v/>
      </c>
      <c r="X823" s="104" t="b">
        <f>IF(preDEL!$AG823,IFERROR(0/0,""),preDEL!X823)</f>
        <v>0</v>
      </c>
      <c r="Y823" s="110" t="b">
        <f>IF(preDEL!$AG823,IFERROR(0/0,""),preDEL!Y823)</f>
        <v>0</v>
      </c>
      <c r="Z823" s="105" t="str">
        <f>IF(preDEL!$AG823,IFERROR(0/0,""),preDEL!Z823)</f>
        <v/>
      </c>
      <c r="AA823" s="110" t="b">
        <f>IF(preDEL!$AG823,IFERROR(0/0,""),preDEL!AA823)</f>
        <v>0</v>
      </c>
      <c r="AB823" s="110" t="b">
        <f>IF(preDEL!$AG823,IFERROR(0/0,""),preDEL!AB823)</f>
        <v>0</v>
      </c>
      <c r="AC823" s="172">
        <f>IF(preDEL!$AG823,IFERROR(0/0,""),preDEL!AC823)</f>
        <v>3</v>
      </c>
      <c r="AD823" s="104" t="b">
        <f>IF(preDEL!$AG823,IFERROR(0/0,""),preDEL!AD823)</f>
        <v>0</v>
      </c>
      <c r="AE823" s="173">
        <f>IF(preDEL!$AG823,IFERROR(0/0,""),preDEL!AE823)</f>
        <v>278.6166667</v>
      </c>
      <c r="AF823" s="110" t="b">
        <f>IF(preDEL!$AG823,IFERROR(0/0,""),preDEL!AF823)</f>
        <v>0</v>
      </c>
      <c r="AG823" s="110" t="b">
        <f>IF(preDEL!$AG823,IFERROR(0/0,""),preDEL!AG823)</f>
        <v>0</v>
      </c>
      <c r="AH823" s="104" t="str">
        <f>IF(preDEL!$AG823,IFERROR(0/0,""),preDEL!AH823)</f>
        <v/>
      </c>
      <c r="AI823" s="105" t="str">
        <f>IF(preDEL!$AG823,IFERROR(0/0,""),preDEL!AI823)</f>
        <v/>
      </c>
      <c r="AJ823" s="112" t="str">
        <f>IF(preDEL!$AG823,IFERROR(0/0,""),preDEL!AJ823)</f>
        <v/>
      </c>
      <c r="AK823" s="105" t="str">
        <f>IF(preDEL!$AG823,IFERROR(0/0,""),preDEL!AK823)</f>
        <v>Negative</v>
      </c>
      <c r="AL823" s="112" t="str">
        <f>IF(preDEL!$AG823,IFERROR(0/0,""),preDEL!AL823)</f>
        <v/>
      </c>
      <c r="AM823" s="112" t="str">
        <f>IF(preDEL!$AG823,IFERROR(0/0,""),preDEL!AM823)</f>
        <v>SpBEND394154</v>
      </c>
      <c r="AN823" s="112" t="str">
        <f>IF(preDEL!$AG823,IFERROR(0/0,""),preDEL!AN823)</f>
        <v>BEND282080</v>
      </c>
      <c r="AO823" s="112" t="str">
        <f>IF(preDEL!$AG823,IFERROR(0/0,""),preDEL!AO823)</f>
        <v/>
      </c>
      <c r="AP823" s="112" t="str">
        <f>IF(preDEL!$AG823,IFERROR(0/0,""),preDEL!AP823)</f>
        <v/>
      </c>
      <c r="AQ823" s="112" t="str">
        <f>IF(preDEL!$AG823,IFERROR(0/0,""),preDEL!AQ823)</f>
        <v/>
      </c>
      <c r="AR823" s="112" t="str">
        <f>IF(preDEL!$AG823,IFERROR(0/0,""),preDEL!AR823)</f>
        <v/>
      </c>
      <c r="AS823" s="112" t="str">
        <f>IF(preDEL!$AG823,IFERROR(0/0,""),preDEL!AS823)</f>
        <v/>
      </c>
      <c r="AT823" s="112" t="b">
        <f>IF(preDEL!$AG823,IFERROR(0/0,""),preDEL!AT823)</f>
        <v>0</v>
      </c>
      <c r="AU823" s="112" t="str">
        <f>IF(preDEL!$AG823,IFERROR(0/0,""),preDEL!AU823)</f>
        <v/>
      </c>
      <c r="AV823" s="112" t="str">
        <f>IF(preDEL!$AG823,IFERROR(0/0,""),preDEL!AV823)</f>
        <v/>
      </c>
      <c r="AW823" s="112" t="str">
        <f>IF(preDEL!$AG823,IFERROR(0/0,""),preDEL!AW823)</f>
        <v/>
      </c>
      <c r="AX823" s="112" t="str">
        <f>IF(preDEL!$AG823,IFERROR(0/0,""),preDEL!AX823)</f>
        <v/>
      </c>
      <c r="AY823" s="112" t="str">
        <f>IF(preDEL!$AG823,IFERROR(0/0,""),preDEL!AY823)</f>
        <v/>
      </c>
      <c r="AZ823" s="174"/>
      <c r="BA823" s="174"/>
      <c r="BB823" s="174"/>
      <c r="BC823" s="174"/>
      <c r="BD823" s="174"/>
      <c r="BE823" s="174"/>
      <c r="BF823" s="174"/>
      <c r="BG823" s="174"/>
      <c r="BH823" s="174"/>
      <c r="BI823" s="174"/>
      <c r="BJ823" s="174"/>
      <c r="BK823" s="174"/>
      <c r="BL823" s="174"/>
      <c r="BM823" s="174"/>
      <c r="BN823" s="174"/>
      <c r="BO823" s="174"/>
      <c r="BP823" s="174"/>
      <c r="BQ823" s="174"/>
      <c r="BR823" s="174"/>
      <c r="BS823" s="174"/>
      <c r="BT823" s="174"/>
      <c r="BU823" s="174"/>
      <c r="BV823" s="174"/>
      <c r="BW823" s="174"/>
      <c r="BX823" s="174"/>
      <c r="BY823" s="174"/>
      <c r="BZ823" s="174"/>
      <c r="CA823" s="174"/>
      <c r="CB823" s="174"/>
      <c r="CC823" s="174"/>
      <c r="CD823" s="174"/>
    </row>
    <row r="824">
      <c r="A824" s="105" t="str">
        <f>IF(preDEL!$AG824,IFERROR(0/0,""),preDEL!A824)</f>
        <v>MA1384</v>
      </c>
      <c r="B824" s="170">
        <f>IF(preDEL!$AG824,IFERROR(0/0,""),preDEL!B824)</f>
        <v>44692</v>
      </c>
      <c r="C824" s="171">
        <f>IF(preDEL!$AG824,IFERROR(0/0,""),preDEL!C824)</f>
        <v>0.3093634259</v>
      </c>
      <c r="D824" s="105" t="str">
        <f>IF(preDEL!$AG824,IFERROR(0/0,""),preDEL!D824)</f>
        <v/>
      </c>
      <c r="E824" s="105" t="str">
        <f>IF(preDEL!$AG824,IFERROR(0/0,""),preDEL!E824)</f>
        <v/>
      </c>
      <c r="F824" s="112" t="str">
        <f>IF(preDEL!$AG824,IFERROR(0/0,""),preDEL!F824)</f>
        <v/>
      </c>
      <c r="G824" s="112" t="str">
        <f>IF(preDEL!$AG824,IFERROR(0/0,""),preDEL!G824)</f>
        <v/>
      </c>
      <c r="H824" s="112" t="str">
        <f>IF(preDEL!$AG824,IFERROR(0/0,""),preDEL!H824)</f>
        <v/>
      </c>
      <c r="I824" s="105" t="str">
        <f>IF(preDEL!$AG824,IFERROR(0/0,""),preDEL!I824)</f>
        <v/>
      </c>
      <c r="J824" s="105" t="str">
        <f>IF(preDEL!$AG824,IFERROR(0/0,""),preDEL!J824)</f>
        <v/>
      </c>
      <c r="K824" s="105" t="str">
        <f>IF(preDEL!$AG824,IFERROR(0/0,""),preDEL!K824)</f>
        <v>Negative</v>
      </c>
      <c r="L824" s="170">
        <f>IF(preDEL!$AG824,IFERROR(0/0,""),preDEL!L824)</f>
        <v>44692</v>
      </c>
      <c r="M824" s="171">
        <f>IF(preDEL!$AG824,IFERROR(0/0,""),preDEL!M824)</f>
        <v>0.5025231481</v>
      </c>
      <c r="N824" s="112" t="str">
        <f>IF(preDEL!$AG824,IFERROR(0/0,""),preDEL!N824)</f>
        <v/>
      </c>
      <c r="O824" s="112" t="str">
        <f>IF(preDEL!$AG824,IFERROR(0/0,""),preDEL!O824)</f>
        <v/>
      </c>
      <c r="P824" s="110" t="b">
        <f>IF(preDEL!$AG824,IFERROR(0/0,""),preDEL!P824)</f>
        <v>0</v>
      </c>
      <c r="Q824" s="110" t="str">
        <f>IF(preDEL!$AG824,IFERROR(0/0,""),preDEL!Q824)</f>
        <v>Result</v>
      </c>
      <c r="R824" s="104" t="b">
        <f>IF(preDEL!$AG824,IFERROR(0/0,""),preDEL!R824)</f>
        <v>1</v>
      </c>
      <c r="S824" s="104">
        <f>IF(preDEL!$AG824,IFERROR(0/0,""),preDEL!S824)</f>
        <v>1</v>
      </c>
      <c r="T824" s="110">
        <f>IF(preDEL!$AG824,IFERROR(0/0,""),preDEL!T824)</f>
        <v>0</v>
      </c>
      <c r="U824" s="112" t="str">
        <f>IF(preDEL!$AG824,IFERROR(0/0,""),preDEL!U824)</f>
        <v/>
      </c>
      <c r="V824" s="105" t="str">
        <f>IF(preDEL!$AG824,IFERROR(0/0,""),preDEL!V824)</f>
        <v/>
      </c>
      <c r="W824" s="112" t="str">
        <f>IF(preDEL!$AG824,IFERROR(0/0,""),preDEL!W824)</f>
        <v/>
      </c>
      <c r="X824" s="104" t="b">
        <f>IF(preDEL!$AG824,IFERROR(0/0,""),preDEL!X824)</f>
        <v>0</v>
      </c>
      <c r="Y824" s="110" t="b">
        <f>IF(preDEL!$AG824,IFERROR(0/0,""),preDEL!Y824)</f>
        <v>0</v>
      </c>
      <c r="Z824" s="105" t="str">
        <f>IF(preDEL!$AG824,IFERROR(0/0,""),preDEL!Z824)</f>
        <v/>
      </c>
      <c r="AA824" s="110" t="b">
        <f>IF(preDEL!$AG824,IFERROR(0/0,""),preDEL!AA824)</f>
        <v>0</v>
      </c>
      <c r="AB824" s="110" t="b">
        <f>IF(preDEL!$AG824,IFERROR(0/0,""),preDEL!AB824)</f>
        <v>0</v>
      </c>
      <c r="AC824" s="172">
        <f>IF(preDEL!$AG824,IFERROR(0/0,""),preDEL!AC824)</f>
        <v>2</v>
      </c>
      <c r="AD824" s="104" t="b">
        <f>IF(preDEL!$AG824,IFERROR(0/0,""),preDEL!AD824)</f>
        <v>0</v>
      </c>
      <c r="AE824" s="173">
        <f>IF(preDEL!$AG824,IFERROR(0/0,""),preDEL!AE824)</f>
        <v>278.15</v>
      </c>
      <c r="AF824" s="110" t="b">
        <f>IF(preDEL!$AG824,IFERROR(0/0,""),preDEL!AF824)</f>
        <v>0</v>
      </c>
      <c r="AG824" s="110" t="b">
        <f>IF(preDEL!$AG824,IFERROR(0/0,""),preDEL!AG824)</f>
        <v>0</v>
      </c>
      <c r="AH824" s="104" t="str">
        <f>IF(preDEL!$AG824,IFERROR(0/0,""),preDEL!AH824)</f>
        <v/>
      </c>
      <c r="AI824" s="105" t="str">
        <f>IF(preDEL!$AG824,IFERROR(0/0,""),preDEL!AI824)</f>
        <v/>
      </c>
      <c r="AJ824" s="112" t="str">
        <f>IF(preDEL!$AG824,IFERROR(0/0,""),preDEL!AJ824)</f>
        <v/>
      </c>
      <c r="AK824" s="105" t="str">
        <f>IF(preDEL!$AG824,IFERROR(0/0,""),preDEL!AK824)</f>
        <v>Negative</v>
      </c>
      <c r="AL824" s="112" t="str">
        <f>IF(preDEL!$AG824,IFERROR(0/0,""),preDEL!AL824)</f>
        <v/>
      </c>
      <c r="AM824" s="112" t="str">
        <f>IF(preDEL!$AG824,IFERROR(0/0,""),preDEL!AM824)</f>
        <v>SpBEND394154</v>
      </c>
      <c r="AN824" s="112" t="str">
        <f>IF(preDEL!$AG824,IFERROR(0/0,""),preDEL!AN824)</f>
        <v>BEND106868</v>
      </c>
      <c r="AO824" s="112" t="str">
        <f>IF(preDEL!$AG824,IFERROR(0/0,""),preDEL!AO824)</f>
        <v/>
      </c>
      <c r="AP824" s="112" t="str">
        <f>IF(preDEL!$AG824,IFERROR(0/0,""),preDEL!AP824)</f>
        <v/>
      </c>
      <c r="AQ824" s="112" t="str">
        <f>IF(preDEL!$AG824,IFERROR(0/0,""),preDEL!AQ824)</f>
        <v/>
      </c>
      <c r="AR824" s="112" t="str">
        <f>IF(preDEL!$AG824,IFERROR(0/0,""),preDEL!AR824)</f>
        <v/>
      </c>
      <c r="AS824" s="112" t="str">
        <f>IF(preDEL!$AG824,IFERROR(0/0,""),preDEL!AS824)</f>
        <v/>
      </c>
      <c r="AT824" s="112" t="b">
        <f>IF(preDEL!$AG824,IFERROR(0/0,""),preDEL!AT824)</f>
        <v>0</v>
      </c>
      <c r="AU824" s="112" t="str">
        <f>IF(preDEL!$AG824,IFERROR(0/0,""),preDEL!AU824)</f>
        <v/>
      </c>
      <c r="AV824" s="112" t="str">
        <f>IF(preDEL!$AG824,IFERROR(0/0,""),preDEL!AV824)</f>
        <v/>
      </c>
      <c r="AW824" s="112" t="str">
        <f>IF(preDEL!$AG824,IFERROR(0/0,""),preDEL!AW824)</f>
        <v/>
      </c>
      <c r="AX824" s="112" t="str">
        <f>IF(preDEL!$AG824,IFERROR(0/0,""),preDEL!AX824)</f>
        <v/>
      </c>
      <c r="AY824" s="112" t="str">
        <f>IF(preDEL!$AG824,IFERROR(0/0,""),preDEL!AY824)</f>
        <v/>
      </c>
      <c r="AZ824" s="174"/>
      <c r="BA824" s="174"/>
      <c r="BB824" s="174"/>
      <c r="BC824" s="174"/>
      <c r="BD824" s="174"/>
      <c r="BE824" s="174"/>
      <c r="BF824" s="174"/>
      <c r="BG824" s="174"/>
      <c r="BH824" s="174"/>
      <c r="BI824" s="174"/>
      <c r="BJ824" s="174"/>
      <c r="BK824" s="174"/>
      <c r="BL824" s="174"/>
      <c r="BM824" s="174"/>
      <c r="BN824" s="174"/>
      <c r="BO824" s="174"/>
      <c r="BP824" s="174"/>
      <c r="BQ824" s="174"/>
      <c r="BR824" s="174"/>
      <c r="BS824" s="174"/>
      <c r="BT824" s="174"/>
      <c r="BU824" s="174"/>
      <c r="BV824" s="174"/>
      <c r="BW824" s="174"/>
      <c r="BX824" s="174"/>
      <c r="BY824" s="174"/>
      <c r="BZ824" s="174"/>
      <c r="CA824" s="174"/>
      <c r="CB824" s="174"/>
      <c r="CC824" s="174"/>
      <c r="CD824" s="174"/>
    </row>
    <row r="825">
      <c r="A825" s="105" t="str">
        <f>IF(preDEL!$AG825,IFERROR(0/0,""),preDEL!A825)</f>
        <v>FM512</v>
      </c>
      <c r="B825" s="170">
        <f>IF(preDEL!$AG825,IFERROR(0/0,""),preDEL!B825)</f>
        <v>44692</v>
      </c>
      <c r="C825" s="171">
        <f>IF(preDEL!$AG825,IFERROR(0/0,""),preDEL!C825)</f>
        <v>0.3456597222</v>
      </c>
      <c r="D825" s="105" t="str">
        <f>IF(preDEL!$AG825,IFERROR(0/0,""),preDEL!D825)</f>
        <v/>
      </c>
      <c r="E825" s="105" t="str">
        <f>IF(preDEL!$AG825,IFERROR(0/0,""),preDEL!E825)</f>
        <v/>
      </c>
      <c r="F825" s="112" t="str">
        <f>IF(preDEL!$AG825,IFERROR(0/0,""),preDEL!F825)</f>
        <v/>
      </c>
      <c r="G825" s="112" t="str">
        <f>IF(preDEL!$AG825,IFERROR(0/0,""),preDEL!G825)</f>
        <v/>
      </c>
      <c r="H825" s="112" t="str">
        <f>IF(preDEL!$AG825,IFERROR(0/0,""),preDEL!H825)</f>
        <v/>
      </c>
      <c r="I825" s="105" t="str">
        <f>IF(preDEL!$AG825,IFERROR(0/0,""),preDEL!I825)</f>
        <v/>
      </c>
      <c r="J825" s="105" t="str">
        <f>IF(preDEL!$AG825,IFERROR(0/0,""),preDEL!J825)</f>
        <v/>
      </c>
      <c r="K825" s="105" t="str">
        <f>IF(preDEL!$AG825,IFERROR(0/0,""),preDEL!K825)</f>
        <v>Negative</v>
      </c>
      <c r="L825" s="170">
        <f>IF(preDEL!$AG825,IFERROR(0/0,""),preDEL!L825)</f>
        <v>44692</v>
      </c>
      <c r="M825" s="171">
        <f>IF(preDEL!$AG825,IFERROR(0/0,""),preDEL!M825)</f>
        <v>0.5025231481</v>
      </c>
      <c r="N825" s="112" t="str">
        <f>IF(preDEL!$AG825,IFERROR(0/0,""),preDEL!N825)</f>
        <v/>
      </c>
      <c r="O825" s="112" t="str">
        <f>IF(preDEL!$AG825,IFERROR(0/0,""),preDEL!O825)</f>
        <v/>
      </c>
      <c r="P825" s="110" t="b">
        <f>IF(preDEL!$AG825,IFERROR(0/0,""),preDEL!P825)</f>
        <v>0</v>
      </c>
      <c r="Q825" s="110" t="str">
        <f>IF(preDEL!$AG825,IFERROR(0/0,""),preDEL!Q825)</f>
        <v>Result</v>
      </c>
      <c r="R825" s="104" t="b">
        <f>IF(preDEL!$AG825,IFERROR(0/0,""),preDEL!R825)</f>
        <v>1</v>
      </c>
      <c r="S825" s="104">
        <f>IF(preDEL!$AG825,IFERROR(0/0,""),preDEL!S825)</f>
        <v>1</v>
      </c>
      <c r="T825" s="110" t="str">
        <f>IF(preDEL!$AG825,IFERROR(0/0,""),preDEL!T825)</f>
        <v/>
      </c>
      <c r="U825" s="112" t="str">
        <f>IF(preDEL!$AG825,IFERROR(0/0,""),preDEL!U825)</f>
        <v/>
      </c>
      <c r="V825" s="105" t="str">
        <f>IF(preDEL!$AG825,IFERROR(0/0,""),preDEL!V825)</f>
        <v/>
      </c>
      <c r="W825" s="112" t="str">
        <f>IF(preDEL!$AG825,IFERROR(0/0,""),preDEL!W825)</f>
        <v/>
      </c>
      <c r="X825" s="104" t="b">
        <f>IF(preDEL!$AG825,IFERROR(0/0,""),preDEL!X825)</f>
        <v>0</v>
      </c>
      <c r="Y825" s="110" t="b">
        <f>IF(preDEL!$AG825,IFERROR(0/0,""),preDEL!Y825)</f>
        <v>0</v>
      </c>
      <c r="Z825" s="105" t="str">
        <f>IF(preDEL!$AG825,IFERROR(0/0,""),preDEL!Z825)</f>
        <v/>
      </c>
      <c r="AA825" s="110" t="b">
        <f>IF(preDEL!$AG825,IFERROR(0/0,""),preDEL!AA825)</f>
        <v>0</v>
      </c>
      <c r="AB825" s="110" t="b">
        <f>IF(preDEL!$AG825,IFERROR(0/0,""),preDEL!AB825)</f>
        <v>0</v>
      </c>
      <c r="AC825" s="172">
        <f>IF(preDEL!$AG825,IFERROR(0/0,""),preDEL!AC825)</f>
        <v>1</v>
      </c>
      <c r="AD825" s="104" t="b">
        <f>IF(preDEL!$AG825,IFERROR(0/0,""),preDEL!AD825)</f>
        <v>0</v>
      </c>
      <c r="AE825" s="173">
        <f>IF(preDEL!$AG825,IFERROR(0/0,""),preDEL!AE825)</f>
        <v>225.8833333</v>
      </c>
      <c r="AF825" s="110" t="b">
        <f>IF(preDEL!$AG825,IFERROR(0/0,""),preDEL!AF825)</f>
        <v>0</v>
      </c>
      <c r="AG825" s="110" t="b">
        <f>IF(preDEL!$AG825,IFERROR(0/0,""),preDEL!AG825)</f>
        <v>0</v>
      </c>
      <c r="AH825" s="104" t="str">
        <f>IF(preDEL!$AG825,IFERROR(0/0,""),preDEL!AH825)</f>
        <v/>
      </c>
      <c r="AI825" s="105" t="str">
        <f>IF(preDEL!$AG825,IFERROR(0/0,""),preDEL!AI825)</f>
        <v/>
      </c>
      <c r="AJ825" s="112" t="str">
        <f>IF(preDEL!$AG825,IFERROR(0/0,""),preDEL!AJ825)</f>
        <v/>
      </c>
      <c r="AK825" s="105" t="str">
        <f>IF(preDEL!$AG825,IFERROR(0/0,""),preDEL!AK825)</f>
        <v>Negative</v>
      </c>
      <c r="AL825" s="112" t="str">
        <f>IF(preDEL!$AG825,IFERROR(0/0,""),preDEL!AL825)</f>
        <v/>
      </c>
      <c r="AM825" s="112" t="str">
        <f>IF(preDEL!$AG825,IFERROR(0/0,""),preDEL!AM825)</f>
        <v>SpBEND918395</v>
      </c>
      <c r="AN825" s="112" t="str">
        <f>IF(preDEL!$AG825,IFERROR(0/0,""),preDEL!AN825)</f>
        <v>BEND230018</v>
      </c>
      <c r="AO825" s="112" t="str">
        <f>IF(preDEL!$AG825,IFERROR(0/0,""),preDEL!AO825)</f>
        <v/>
      </c>
      <c r="AP825" s="112" t="str">
        <f>IF(preDEL!$AG825,IFERROR(0/0,""),preDEL!AP825)</f>
        <v/>
      </c>
      <c r="AQ825" s="112" t="str">
        <f>IF(preDEL!$AG825,IFERROR(0/0,""),preDEL!AQ825)</f>
        <v/>
      </c>
      <c r="AR825" s="112" t="str">
        <f>IF(preDEL!$AG825,IFERROR(0/0,""),preDEL!AR825)</f>
        <v/>
      </c>
      <c r="AS825" s="112" t="str">
        <f>IF(preDEL!$AG825,IFERROR(0/0,""),preDEL!AS825)</f>
        <v/>
      </c>
      <c r="AT825" s="112" t="b">
        <f>IF(preDEL!$AG825,IFERROR(0/0,""),preDEL!AT825)</f>
        <v>0</v>
      </c>
      <c r="AU825" s="112" t="str">
        <f>IF(preDEL!$AG825,IFERROR(0/0,""),preDEL!AU825)</f>
        <v/>
      </c>
      <c r="AV825" s="112" t="str">
        <f>IF(preDEL!$AG825,IFERROR(0/0,""),preDEL!AV825)</f>
        <v/>
      </c>
      <c r="AW825" s="112" t="str">
        <f>IF(preDEL!$AG825,IFERROR(0/0,""),preDEL!AW825)</f>
        <v/>
      </c>
      <c r="AX825" s="112" t="str">
        <f>IF(preDEL!$AG825,IFERROR(0/0,""),preDEL!AX825)</f>
        <v/>
      </c>
      <c r="AY825" s="112" t="str">
        <f>IF(preDEL!$AG825,IFERROR(0/0,""),preDEL!AY825)</f>
        <v/>
      </c>
      <c r="AZ825" s="174"/>
      <c r="BA825" s="174"/>
      <c r="BB825" s="174"/>
      <c r="BC825" s="174"/>
      <c r="BD825" s="174"/>
      <c r="BE825" s="174"/>
      <c r="BF825" s="174"/>
      <c r="BG825" s="174"/>
      <c r="BH825" s="174"/>
      <c r="BI825" s="174"/>
      <c r="BJ825" s="174"/>
      <c r="BK825" s="174"/>
      <c r="BL825" s="174"/>
      <c r="BM825" s="174"/>
      <c r="BN825" s="174"/>
      <c r="BO825" s="174"/>
      <c r="BP825" s="174"/>
      <c r="BQ825" s="174"/>
      <c r="BR825" s="174"/>
      <c r="BS825" s="174"/>
      <c r="BT825" s="174"/>
      <c r="BU825" s="174"/>
      <c r="BV825" s="174"/>
      <c r="BW825" s="174"/>
      <c r="BX825" s="174"/>
      <c r="BY825" s="174"/>
      <c r="BZ825" s="174"/>
      <c r="CA825" s="174"/>
      <c r="CB825" s="174"/>
      <c r="CC825" s="174"/>
      <c r="CD825" s="174"/>
    </row>
    <row r="826">
      <c r="A826" s="105" t="str">
        <f>IF(preDEL!$AG826,IFERROR(0/0,""),preDEL!A826)</f>
        <v/>
      </c>
      <c r="B826" s="170" t="str">
        <f>IF(preDEL!$AG826,IFERROR(0/0,""),preDEL!B826)</f>
        <v/>
      </c>
      <c r="C826" s="171" t="str">
        <f>IF(preDEL!$AG826,IFERROR(0/0,""),preDEL!C826)</f>
        <v/>
      </c>
      <c r="D826" s="105" t="str">
        <f>IF(preDEL!$AG826,IFERROR(0/0,""),preDEL!D826)</f>
        <v/>
      </c>
      <c r="E826" s="105" t="str">
        <f>IF(preDEL!$AG826,IFERROR(0/0,""),preDEL!E826)</f>
        <v/>
      </c>
      <c r="F826" s="112" t="str">
        <f>IF(preDEL!$AG826,IFERROR(0/0,""),preDEL!F826)</f>
        <v/>
      </c>
      <c r="G826" s="112" t="str">
        <f>IF(preDEL!$AG826,IFERROR(0/0,""),preDEL!G826)</f>
        <v/>
      </c>
      <c r="H826" s="112" t="str">
        <f>IF(preDEL!$AG826,IFERROR(0/0,""),preDEL!H826)</f>
        <v/>
      </c>
      <c r="I826" s="105" t="str">
        <f>IF(preDEL!$AG826,IFERROR(0/0,""),preDEL!I826)</f>
        <v/>
      </c>
      <c r="J826" s="105" t="str">
        <f>IF(preDEL!$AG826,IFERROR(0/0,""),preDEL!J826)</f>
        <v/>
      </c>
      <c r="K826" s="105" t="str">
        <f>IF(preDEL!$AG826,IFERROR(0/0,""),preDEL!K826)</f>
        <v/>
      </c>
      <c r="L826" s="170" t="str">
        <f>IF(preDEL!$AG826,IFERROR(0/0,""),preDEL!L826)</f>
        <v/>
      </c>
      <c r="M826" s="171" t="str">
        <f>IF(preDEL!$AG826,IFERROR(0/0,""),preDEL!M826)</f>
        <v/>
      </c>
      <c r="N826" s="112" t="str">
        <f>IF(preDEL!$AG826,IFERROR(0/0,""),preDEL!N826)</f>
        <v/>
      </c>
      <c r="O826" s="112" t="str">
        <f>IF(preDEL!$AG826,IFERROR(0/0,""),preDEL!O826)</f>
        <v/>
      </c>
      <c r="P826" s="110" t="str">
        <f>IF(preDEL!$AG826,IFERROR(0/0,""),preDEL!P826)</f>
        <v/>
      </c>
      <c r="Q826" s="110" t="str">
        <f>IF(preDEL!$AG826,IFERROR(0/0,""),preDEL!Q826)</f>
        <v/>
      </c>
      <c r="R826" s="104" t="str">
        <f>IF(preDEL!$AG826,IFERROR(0/0,""),preDEL!R826)</f>
        <v/>
      </c>
      <c r="S826" s="104" t="str">
        <f>IF(preDEL!$AG826,IFERROR(0/0,""),preDEL!S826)</f>
        <v/>
      </c>
      <c r="T826" s="110" t="str">
        <f>IF(preDEL!$AG826,IFERROR(0/0,""),preDEL!T826)</f>
        <v/>
      </c>
      <c r="U826" s="112" t="str">
        <f>IF(preDEL!$AG826,IFERROR(0/0,""),preDEL!U826)</f>
        <v/>
      </c>
      <c r="V826" s="105" t="str">
        <f>IF(preDEL!$AG826,IFERROR(0/0,""),preDEL!V826)</f>
        <v/>
      </c>
      <c r="W826" s="112" t="str">
        <f>IF(preDEL!$AG826,IFERROR(0/0,""),preDEL!W826)</f>
        <v/>
      </c>
      <c r="X826" s="104" t="str">
        <f>IF(preDEL!$AG826,IFERROR(0/0,""),preDEL!X826)</f>
        <v/>
      </c>
      <c r="Y826" s="110" t="str">
        <f>IF(preDEL!$AG826,IFERROR(0/0,""),preDEL!Y826)</f>
        <v/>
      </c>
      <c r="Z826" s="105" t="str">
        <f>IF(preDEL!$AG826,IFERROR(0/0,""),preDEL!Z826)</f>
        <v/>
      </c>
      <c r="AA826" s="110" t="str">
        <f>IF(preDEL!$AG826,IFERROR(0/0,""),preDEL!AA826)</f>
        <v/>
      </c>
      <c r="AB826" s="110" t="str">
        <f>IF(preDEL!$AG826,IFERROR(0/0,""),preDEL!AB826)</f>
        <v/>
      </c>
      <c r="AC826" s="172" t="str">
        <f>IF(preDEL!$AG826,IFERROR(0/0,""),preDEL!AC826)</f>
        <v/>
      </c>
      <c r="AD826" s="104" t="str">
        <f>IF(preDEL!$AG826,IFERROR(0/0,""),preDEL!AD826)</f>
        <v/>
      </c>
      <c r="AE826" s="173" t="str">
        <f>IF(preDEL!$AG826,IFERROR(0/0,""),preDEL!AE826)</f>
        <v/>
      </c>
      <c r="AF826" s="110" t="str">
        <f>IF(preDEL!$AG826,IFERROR(0/0,""),preDEL!AF826)</f>
        <v/>
      </c>
      <c r="AG826" s="110" t="str">
        <f>IF(preDEL!$AG826,IFERROR(0/0,""),preDEL!AG826)</f>
        <v/>
      </c>
      <c r="AH826" s="104" t="str">
        <f>IF(preDEL!$AG826,IFERROR(0/0,""),preDEL!AH826)</f>
        <v/>
      </c>
      <c r="AI826" s="105" t="str">
        <f>IF(preDEL!$AG826,IFERROR(0/0,""),preDEL!AI826)</f>
        <v/>
      </c>
      <c r="AJ826" s="112" t="str">
        <f>IF(preDEL!$AG826,IFERROR(0/0,""),preDEL!AJ826)</f>
        <v/>
      </c>
      <c r="AK826" s="105" t="str">
        <f>IF(preDEL!$AG826,IFERROR(0/0,""),preDEL!AK826)</f>
        <v/>
      </c>
      <c r="AL826" s="112" t="str">
        <f>IF(preDEL!$AG826,IFERROR(0/0,""),preDEL!AL826)</f>
        <v/>
      </c>
      <c r="AM826" s="112" t="str">
        <f>IF(preDEL!$AG826,IFERROR(0/0,""),preDEL!AM826)</f>
        <v/>
      </c>
      <c r="AN826" s="112" t="str">
        <f>IF(preDEL!$AG826,IFERROR(0/0,""),preDEL!AN826)</f>
        <v/>
      </c>
      <c r="AO826" s="112" t="str">
        <f>IF(preDEL!$AG826,IFERROR(0/0,""),preDEL!AO826)</f>
        <v/>
      </c>
      <c r="AP826" s="112" t="str">
        <f>IF(preDEL!$AG826,IFERROR(0/0,""),preDEL!AP826)</f>
        <v/>
      </c>
      <c r="AQ826" s="112" t="str">
        <f>IF(preDEL!$AG826,IFERROR(0/0,""),preDEL!AQ826)</f>
        <v/>
      </c>
      <c r="AR826" s="112" t="str">
        <f>IF(preDEL!$AG826,IFERROR(0/0,""),preDEL!AR826)</f>
        <v/>
      </c>
      <c r="AS826" s="112" t="str">
        <f>IF(preDEL!$AG826,IFERROR(0/0,""),preDEL!AS826)</f>
        <v/>
      </c>
      <c r="AT826" s="112" t="str">
        <f>IF(preDEL!$AG826,IFERROR(0/0,""),preDEL!AT826)</f>
        <v/>
      </c>
      <c r="AU826" s="112" t="str">
        <f>IF(preDEL!$AG826,IFERROR(0/0,""),preDEL!AU826)</f>
        <v/>
      </c>
      <c r="AV826" s="112" t="str">
        <f>IF(preDEL!$AG826,IFERROR(0/0,""),preDEL!AV826)</f>
        <v/>
      </c>
      <c r="AW826" s="112" t="str">
        <f>IF(preDEL!$AG826,IFERROR(0/0,""),preDEL!AW826)</f>
        <v/>
      </c>
      <c r="AX826" s="112" t="str">
        <f>IF(preDEL!$AG826,IFERROR(0/0,""),preDEL!AX826)</f>
        <v/>
      </c>
      <c r="AY826" s="112" t="str">
        <f>IF(preDEL!$AG826,IFERROR(0/0,""),preDEL!AY826)</f>
        <v/>
      </c>
      <c r="AZ826" s="174"/>
      <c r="BA826" s="174"/>
      <c r="BB826" s="174"/>
      <c r="BC826" s="174"/>
      <c r="BD826" s="174"/>
      <c r="BE826" s="174"/>
      <c r="BF826" s="174"/>
      <c r="BG826" s="174"/>
      <c r="BH826" s="174"/>
      <c r="BI826" s="174"/>
      <c r="BJ826" s="174"/>
      <c r="BK826" s="174"/>
      <c r="BL826" s="174"/>
      <c r="BM826" s="174"/>
      <c r="BN826" s="174"/>
      <c r="BO826" s="174"/>
      <c r="BP826" s="174"/>
      <c r="BQ826" s="174"/>
      <c r="BR826" s="174"/>
      <c r="BS826" s="174"/>
      <c r="BT826" s="174"/>
      <c r="BU826" s="174"/>
      <c r="BV826" s="174"/>
      <c r="BW826" s="174"/>
      <c r="BX826" s="174"/>
      <c r="BY826" s="174"/>
      <c r="BZ826" s="174"/>
      <c r="CA826" s="174"/>
      <c r="CB826" s="174"/>
      <c r="CC826" s="174"/>
      <c r="CD826" s="17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4" max="4" width="14.13"/>
    <col customWidth="1" min="11" max="11" width="11.5"/>
    <col customWidth="1" min="12" max="12" width="10.5"/>
    <col customWidth="1" min="13" max="13" width="8.25"/>
    <col customWidth="1" min="14" max="14" width="16.5"/>
    <col customWidth="1" min="15" max="15" width="21.13"/>
    <col customWidth="1" min="16" max="16" width="11.25"/>
    <col customWidth="1" min="17" max="17" width="13.75"/>
    <col customWidth="1" min="18" max="20" width="8.25"/>
    <col customWidth="1" min="21" max="21" width="15.75"/>
    <col customWidth="1" min="22" max="22" width="15.38"/>
    <col customWidth="1" min="23" max="23" width="19.5"/>
    <col customWidth="1" min="24" max="24" width="9.38"/>
    <col customWidth="1" min="25" max="25" width="8.75" outlineLevel="1"/>
    <col customWidth="1" min="26" max="26" width="8.38" outlineLevel="1"/>
    <col customWidth="1" min="27" max="27" width="10.13" outlineLevel="1"/>
    <col customWidth="1" min="28" max="28" width="8.88" outlineLevel="1"/>
    <col customWidth="1" min="29" max="29" width="8.0" outlineLevel="1"/>
    <col customWidth="1" min="30" max="30" width="9.5" outlineLevel="1"/>
    <col customWidth="1" min="31" max="32" width="10.88" outlineLevel="1"/>
    <col customWidth="1" min="33" max="33" width="10.25" outlineLevel="1"/>
    <col customWidth="1" min="34" max="34" width="7.13" outlineLevel="1"/>
    <col customWidth="1" min="35" max="35" width="7.5" outlineLevel="1"/>
    <col customWidth="1" min="36" max="36" width="9.38" outlineLevel="1"/>
    <col customWidth="1" min="37" max="37" width="9.63" outlineLevel="1"/>
    <col customWidth="1" min="38" max="38" width="26.38" outlineLevel="1"/>
    <col customWidth="1" min="39" max="39" width="20.38" outlineLevel="1"/>
    <col customWidth="1" min="40" max="40" width="20.88" outlineLevel="1"/>
    <col customWidth="1" min="41" max="41" width="19.75"/>
    <col customWidth="1" min="42" max="42" width="13.25"/>
    <col customWidth="1" min="43" max="43" width="14.88"/>
    <col customWidth="1" min="44" max="44" width="19.25"/>
    <col customWidth="1" min="45" max="45" width="9.0"/>
    <col customWidth="1" min="46" max="46" width="12.88"/>
    <col customWidth="1" min="47" max="47" width="10.13"/>
    <col customWidth="1" min="48" max="48" width="11.38"/>
    <col customWidth="1" min="49" max="49" width="9.13"/>
    <col customWidth="1" min="50" max="50" width="15.13"/>
    <col customWidth="1" min="51" max="59" width="5.5"/>
  </cols>
  <sheetData>
    <row r="1">
      <c r="A1" s="74" t="str">
        <f>preDEL!A$1</f>
        <v>TUBE ID</v>
      </c>
      <c r="B1" s="74" t="str">
        <f>preDEL!B$1</f>
        <v>COLLECTION DATE</v>
      </c>
      <c r="C1" s="74" t="str">
        <f>preDEL!C$1</f>
        <v>COLLECTION TIME</v>
      </c>
      <c r="D1" s="74" t="str">
        <f>preDEL!D$1</f>
        <v>SPONSOR FIRSTNAME</v>
      </c>
      <c r="E1" s="74" t="str">
        <f>preDEL!E$1</f>
        <v>SPONSOR LASTNAME</v>
      </c>
      <c r="F1" s="74" t="str">
        <f>preDEL!F$1</f>
        <v>PARTICIPANT FIRSTNAME</v>
      </c>
      <c r="G1" s="74" t="str">
        <f>preDEL!G$1</f>
        <v>PARTICIPANT LASTNAME</v>
      </c>
      <c r="H1" s="74" t="str">
        <f>preDEL!H$1</f>
        <v>PARTICIPANT EMAIL</v>
      </c>
      <c r="I1" s="74" t="str">
        <f>preDEL!I$1</f>
        <v>MINOR FIRSTNAME</v>
      </c>
      <c r="J1" s="74" t="str">
        <f>preDEL!J$1</f>
        <v>MINOR LASTNAME</v>
      </c>
      <c r="K1" s="74" t="str">
        <f>preDEL!K$1</f>
        <v>APP
RESULT</v>
      </c>
      <c r="L1" s="74" t="str">
        <f>preDEL!L$1</f>
        <v>RESULT DATE</v>
      </c>
      <c r="M1" s="74" t="str">
        <f>preDEL!M$1</f>
        <v>RESULT TIME</v>
      </c>
      <c r="N1" s="74" t="str">
        <f>preDEL!N$1</f>
        <v>APP
GROUP</v>
      </c>
      <c r="O1" s="74" t="str">
        <f>preDEL!O$1</f>
        <v>NOTE</v>
      </c>
      <c r="P1" s="74" t="str">
        <f>preDEL!P$1</f>
        <v>REPS IN RAW_APT?</v>
      </c>
      <c r="Q1" s="74" t="str">
        <f>preDEL!Q$1</f>
        <v>STATUS</v>
      </c>
      <c r="R1" s="74" t="str">
        <f>preDEL!R$1</f>
        <v>Tube ID First Row?</v>
      </c>
      <c r="S1" s="74" t="str">
        <f>preDEL!S$1</f>
        <v>Num Tube IDs</v>
      </c>
      <c r="T1" s="74" t="str">
        <f>preDEL!T$1</f>
        <v>Add N Names</v>
      </c>
      <c r="U1" s="74" t="str">
        <f>preDEL!U$1</f>
        <v>NOTE FIRSTNAME</v>
      </c>
      <c r="V1" s="74" t="str">
        <f>preDEL!V$1</f>
        <v>NOTE LASTNAME</v>
      </c>
      <c r="W1" s="74" t="str">
        <f>preDEL!W$1</f>
        <v>Names Adjust</v>
      </c>
      <c r="X1" s="74" t="str">
        <f>preDEL!X$1</f>
        <v>Note Name?</v>
      </c>
      <c r="Y1" s="74" t="str">
        <f>preDEL!Y$1</f>
        <v>FRAN</v>
      </c>
      <c r="Z1" s="74" t="str">
        <f>preDEL!Z$1</f>
        <v>&gt;4 Samples</v>
      </c>
      <c r="AA1" s="74" t="str">
        <f>preDEL!AA$1</f>
        <v>Has Note?</v>
      </c>
      <c r="AB1" s="74" t="str">
        <f>preDEL!AB$1</f>
        <v>Preserve Note</v>
      </c>
      <c r="AC1" s="74" t="str">
        <f>preDEL!AC$1</f>
        <v>Initial Order</v>
      </c>
      <c r="AD1" s="74" t="str">
        <f>preDEL!AD$1</f>
        <v>Added from APT?</v>
      </c>
      <c r="AE1" s="74" t="str">
        <f>preDEL!AE$1</f>
        <v>Minutes Col to Result</v>
      </c>
      <c r="AF1" s="177" t="str">
        <f>preDEL!AF$1</f>
        <v>Tube IDs w Diff Times?</v>
      </c>
      <c r="AG1" s="74" t="str">
        <f>preDEL!AG$1</f>
        <v>Delete?</v>
      </c>
      <c r="AH1" s="74" t="str">
        <f>preDEL!AH$1</f>
        <v>Delete Code</v>
      </c>
      <c r="AI1" s="74" t="str">
        <f>preDEL!AI$1</f>
        <v>Basic Correct Code</v>
      </c>
      <c r="AJ1" s="74" t="str">
        <f>preDEL!AJ$1</f>
        <v>Result Correct Code</v>
      </c>
      <c r="AK1" s="74" t="str">
        <f>preDEL!AK$1</f>
        <v>FINAL RESULT</v>
      </c>
      <c r="AL1" s="74" t="str">
        <f>preDEL!AL$1</f>
        <v>Correction Notes</v>
      </c>
      <c r="AM1" s="74" t="str">
        <f>preDEL!AM$1</f>
        <v>Sponsor ID</v>
      </c>
      <c r="AN1" s="74" t="str">
        <f>preDEL!AN$1</f>
        <v>Participant ID</v>
      </c>
      <c r="AO1" s="74" t="str">
        <f>preDEL!AO$1</f>
        <v>Sponsor
FullName</v>
      </c>
      <c r="AP1" s="74" t="str">
        <f>preDEL!AP$1</f>
        <v>Combined Participant Firstname</v>
      </c>
      <c r="AQ1" s="74" t="str">
        <f>preDEL!AQ$1</f>
        <v>Combined Participant Lastname</v>
      </c>
      <c r="AR1" s="74" t="str">
        <f>preDEL!AR$1</f>
        <v>Combined Participant Fullname</v>
      </c>
      <c r="AS1" s="75" t="str">
        <f>preDEL!AS$1</f>
        <v>FINAL
GROUP</v>
      </c>
      <c r="AT1" s="75" t="str">
        <f>preDEL!AT$1</f>
        <v>ERROR!! NAME COLS CHECK? 767</v>
      </c>
      <c r="AU1" s="75" t="str">
        <f>preDEL!AU$1</f>
        <v>PARTCIP 
NAME COLS</v>
      </c>
      <c r="AV1" s="75" t="str">
        <f>preDEL!AV$1</f>
        <v>MINOR 
NAME COLS</v>
      </c>
      <c r="AW1" s="75" t="str">
        <f>preDEL!AW$1</f>
        <v>NOTE 
NAME COLS</v>
      </c>
      <c r="AX1" s="75" t="str">
        <f>preDEL!AX$1</f>
        <v>Note Name Extras - Rows Added Not Orig Tube ID Row</v>
      </c>
      <c r="AY1" s="178">
        <f>preDEL!AY$1</f>
        <v>0</v>
      </c>
      <c r="AZ1" s="169" t="s">
        <v>232</v>
      </c>
      <c r="BA1" s="179"/>
      <c r="BB1" s="179"/>
      <c r="BC1" s="179"/>
      <c r="BD1" s="179"/>
      <c r="BE1" s="179"/>
      <c r="BF1" s="179"/>
      <c r="BG1" s="179"/>
    </row>
    <row r="2">
      <c r="A2" s="180" t="str">
        <f t="array" ref="A2:AY826">SORT(filterDEL!$A$2:$AY1271,2,TRUE,3,TRUE,43,TRUE,42,TRUE)</f>
        <v>MAX88</v>
      </c>
      <c r="B2" s="44">
        <v>44540.0</v>
      </c>
      <c r="C2" s="150">
        <v>0.2940162037037037</v>
      </c>
      <c r="D2" s="3"/>
      <c r="E2" s="3"/>
      <c r="F2" s="5"/>
      <c r="G2" s="5"/>
      <c r="H2" s="5"/>
      <c r="I2" s="3"/>
      <c r="J2" s="3"/>
      <c r="K2" s="3" t="s">
        <v>244</v>
      </c>
      <c r="L2" s="44">
        <v>44543.0</v>
      </c>
      <c r="M2" s="150">
        <v>0.7857175925925926</v>
      </c>
      <c r="N2" s="5"/>
      <c r="O2" s="5"/>
      <c r="P2" s="10" t="b">
        <v>0</v>
      </c>
      <c r="Q2" s="10" t="s">
        <v>2184</v>
      </c>
      <c r="R2" s="144" t="b">
        <v>1</v>
      </c>
      <c r="S2" s="144">
        <v>1.0</v>
      </c>
      <c r="T2" s="10">
        <v>0.0</v>
      </c>
      <c r="U2" s="5"/>
      <c r="V2" s="3"/>
      <c r="W2" s="5"/>
      <c r="X2" s="144" t="b">
        <v>0</v>
      </c>
      <c r="Y2" s="10" t="b">
        <v>0</v>
      </c>
      <c r="Z2" s="3"/>
      <c r="AA2" s="10" t="b">
        <v>0</v>
      </c>
      <c r="AB2" s="10" t="b">
        <v>0</v>
      </c>
      <c r="AC2" s="181">
        <v>782.0</v>
      </c>
      <c r="AD2" s="144" t="b">
        <v>0</v>
      </c>
      <c r="AE2" s="182"/>
      <c r="AF2" s="10" t="b">
        <v>0</v>
      </c>
      <c r="AG2" s="10" t="b">
        <v>0</v>
      </c>
      <c r="AH2" s="144"/>
      <c r="AI2" s="3"/>
      <c r="AJ2" s="10"/>
      <c r="AK2" s="3" t="s">
        <v>244</v>
      </c>
      <c r="AL2" s="5"/>
      <c r="AM2" s="5" t="s">
        <v>257</v>
      </c>
      <c r="AN2" s="5" t="s">
        <v>258</v>
      </c>
      <c r="AO2" s="5" t="s">
        <v>2185</v>
      </c>
      <c r="AP2" s="5" t="s">
        <v>2185</v>
      </c>
      <c r="AQ2" s="5" t="s">
        <v>2185</v>
      </c>
      <c r="AR2" s="5" t="s">
        <v>2185</v>
      </c>
      <c r="AS2" s="142"/>
      <c r="AT2" s="142" t="b">
        <v>0</v>
      </c>
      <c r="AU2" s="142"/>
      <c r="AV2" s="142"/>
      <c r="AW2" s="142"/>
      <c r="AX2" s="142"/>
      <c r="AY2" s="142"/>
      <c r="AZ2" s="174"/>
      <c r="BA2" s="142"/>
      <c r="BB2" s="142"/>
      <c r="BC2" s="142"/>
      <c r="BD2" s="142"/>
      <c r="BE2" s="142"/>
      <c r="BF2" s="142"/>
      <c r="BG2" s="142"/>
    </row>
    <row r="3">
      <c r="A3" s="5" t="s">
        <v>260</v>
      </c>
      <c r="B3" s="44">
        <v>44540.0</v>
      </c>
      <c r="C3" s="150">
        <v>0.29800925925925925</v>
      </c>
      <c r="D3" s="3"/>
      <c r="E3" s="3"/>
      <c r="F3" s="5"/>
      <c r="G3" s="5"/>
      <c r="H3" s="5"/>
      <c r="I3" s="3"/>
      <c r="J3" s="3"/>
      <c r="K3" s="3" t="s">
        <v>244</v>
      </c>
      <c r="L3" s="44">
        <v>44543.0</v>
      </c>
      <c r="M3" s="150">
        <v>0.7857175925925926</v>
      </c>
      <c r="N3" s="5"/>
      <c r="O3" s="5"/>
      <c r="P3" s="10" t="b">
        <v>0</v>
      </c>
      <c r="Q3" s="10" t="s">
        <v>2184</v>
      </c>
      <c r="R3" s="144" t="b">
        <v>1</v>
      </c>
      <c r="S3" s="144">
        <v>1.0</v>
      </c>
      <c r="T3" s="10"/>
      <c r="U3" s="5"/>
      <c r="V3" s="3"/>
      <c r="W3" s="5"/>
      <c r="X3" s="144" t="b">
        <v>0</v>
      </c>
      <c r="Y3" s="10" t="b">
        <v>0</v>
      </c>
      <c r="Z3" s="3"/>
      <c r="AA3" s="10" t="b">
        <v>0</v>
      </c>
      <c r="AB3" s="10" t="b">
        <v>0</v>
      </c>
      <c r="AC3" s="181">
        <v>781.0</v>
      </c>
      <c r="AD3" s="144" t="b">
        <v>0</v>
      </c>
      <c r="AE3" s="182"/>
      <c r="AF3" s="10" t="b">
        <v>0</v>
      </c>
      <c r="AG3" s="10" t="b">
        <v>0</v>
      </c>
      <c r="AH3" s="144"/>
      <c r="AI3" s="3"/>
      <c r="AJ3" s="10"/>
      <c r="AK3" s="3" t="s">
        <v>244</v>
      </c>
      <c r="AL3" s="5"/>
      <c r="AM3" s="5" t="s">
        <v>261</v>
      </c>
      <c r="AN3" s="5" t="s">
        <v>262</v>
      </c>
      <c r="AO3" s="5" t="s">
        <v>2185</v>
      </c>
      <c r="AP3" s="5" t="s">
        <v>2185</v>
      </c>
      <c r="AQ3" s="5" t="s">
        <v>2185</v>
      </c>
      <c r="AR3" s="5" t="s">
        <v>2185</v>
      </c>
      <c r="AS3" s="142"/>
      <c r="AT3" s="142" t="b">
        <v>0</v>
      </c>
      <c r="AU3" s="142"/>
      <c r="AV3" s="142"/>
      <c r="AW3" s="142"/>
      <c r="AX3" s="142"/>
      <c r="AY3" s="142"/>
      <c r="AZ3" s="174"/>
      <c r="BA3" s="142"/>
      <c r="BB3" s="142"/>
      <c r="BC3" s="142"/>
      <c r="BD3" s="142"/>
      <c r="BE3" s="142"/>
      <c r="BF3" s="142"/>
      <c r="BG3" s="142"/>
    </row>
    <row r="4">
      <c r="A4" s="5" t="s">
        <v>264</v>
      </c>
      <c r="B4" s="44">
        <v>44540.0</v>
      </c>
      <c r="C4" s="150">
        <v>0.3005439814814815</v>
      </c>
      <c r="D4" s="3"/>
      <c r="E4" s="3"/>
      <c r="F4" s="5"/>
      <c r="G4" s="5"/>
      <c r="H4" s="5"/>
      <c r="I4" s="3"/>
      <c r="J4" s="3"/>
      <c r="K4" s="3" t="s">
        <v>244</v>
      </c>
      <c r="L4" s="44">
        <v>44543.0</v>
      </c>
      <c r="M4" s="150">
        <v>0.7857175925925926</v>
      </c>
      <c r="N4" s="5"/>
      <c r="O4" s="5"/>
      <c r="P4" s="10" t="b">
        <v>0</v>
      </c>
      <c r="Q4" s="10" t="s">
        <v>2184</v>
      </c>
      <c r="R4" s="144" t="b">
        <v>0</v>
      </c>
      <c r="S4" s="144">
        <v>2.0</v>
      </c>
      <c r="T4" s="10"/>
      <c r="U4" s="5"/>
      <c r="V4" s="3"/>
      <c r="W4" s="5"/>
      <c r="X4" s="144" t="b">
        <v>0</v>
      </c>
      <c r="Y4" s="10" t="b">
        <v>0</v>
      </c>
      <c r="Z4" s="3"/>
      <c r="AA4" s="10" t="b">
        <v>0</v>
      </c>
      <c r="AB4" s="10" t="b">
        <v>0</v>
      </c>
      <c r="AC4" s="181">
        <v>780.0</v>
      </c>
      <c r="AD4" s="144" t="b">
        <v>0</v>
      </c>
      <c r="AE4" s="182"/>
      <c r="AF4" s="10" t="b">
        <v>0</v>
      </c>
      <c r="AG4" s="10" t="b">
        <v>0</v>
      </c>
      <c r="AH4" s="144"/>
      <c r="AI4" s="3"/>
      <c r="AJ4" s="10"/>
      <c r="AK4" s="3" t="s">
        <v>244</v>
      </c>
      <c r="AL4" s="5"/>
      <c r="AM4" s="5" t="s">
        <v>261</v>
      </c>
      <c r="AN4" s="5" t="s">
        <v>266</v>
      </c>
      <c r="AO4" s="5" t="s">
        <v>2185</v>
      </c>
      <c r="AP4" s="5" t="s">
        <v>2185</v>
      </c>
      <c r="AQ4" s="5" t="s">
        <v>2185</v>
      </c>
      <c r="AR4" s="5" t="s">
        <v>2185</v>
      </c>
      <c r="AS4" s="142"/>
      <c r="AT4" s="142" t="b">
        <v>0</v>
      </c>
      <c r="AU4" s="142"/>
      <c r="AV4" s="142"/>
      <c r="AW4" s="142"/>
      <c r="AX4" s="142"/>
      <c r="AY4" s="142"/>
      <c r="AZ4" s="174"/>
      <c r="BA4" s="142"/>
      <c r="BB4" s="142"/>
      <c r="BC4" s="142"/>
      <c r="BD4" s="142"/>
      <c r="BE4" s="142"/>
      <c r="BF4" s="142"/>
      <c r="BG4" s="142"/>
    </row>
    <row r="5">
      <c r="A5" s="5" t="s">
        <v>268</v>
      </c>
      <c r="B5" s="44">
        <v>44540.0</v>
      </c>
      <c r="C5" s="150">
        <v>0.30105324074074075</v>
      </c>
      <c r="D5" s="3"/>
      <c r="E5" s="3"/>
      <c r="F5" s="5"/>
      <c r="G5" s="5"/>
      <c r="H5" s="5"/>
      <c r="I5" s="3"/>
      <c r="J5" s="3"/>
      <c r="K5" s="3" t="s">
        <v>244</v>
      </c>
      <c r="L5" s="44">
        <v>44543.0</v>
      </c>
      <c r="M5" s="150">
        <v>0.7857291666666667</v>
      </c>
      <c r="N5" s="5"/>
      <c r="O5" s="5"/>
      <c r="P5" s="10" t="b">
        <v>0</v>
      </c>
      <c r="Q5" s="10" t="s">
        <v>2184</v>
      </c>
      <c r="R5" s="144" t="b">
        <v>1</v>
      </c>
      <c r="S5" s="144">
        <v>1.0</v>
      </c>
      <c r="T5" s="10"/>
      <c r="U5" s="5"/>
      <c r="V5" s="3"/>
      <c r="W5" s="5"/>
      <c r="X5" s="144" t="b">
        <v>0</v>
      </c>
      <c r="Y5" s="10" t="b">
        <v>0</v>
      </c>
      <c r="Z5" s="3"/>
      <c r="AA5" s="10" t="b">
        <v>0</v>
      </c>
      <c r="AB5" s="10" t="b">
        <v>0</v>
      </c>
      <c r="AC5" s="181">
        <v>778.0</v>
      </c>
      <c r="AD5" s="144" t="b">
        <v>0</v>
      </c>
      <c r="AE5" s="182"/>
      <c r="AF5" s="10" t="b">
        <v>0</v>
      </c>
      <c r="AG5" s="10" t="b">
        <v>0</v>
      </c>
      <c r="AH5" s="144"/>
      <c r="AI5" s="3"/>
      <c r="AJ5" s="10"/>
      <c r="AK5" s="3" t="s">
        <v>244</v>
      </c>
      <c r="AL5" s="5"/>
      <c r="AM5" s="5" t="s">
        <v>269</v>
      </c>
      <c r="AN5" s="5" t="s">
        <v>270</v>
      </c>
      <c r="AO5" s="5" t="s">
        <v>2185</v>
      </c>
      <c r="AP5" s="5" t="s">
        <v>2185</v>
      </c>
      <c r="AQ5" s="5" t="s">
        <v>2185</v>
      </c>
      <c r="AR5" s="5" t="s">
        <v>2185</v>
      </c>
      <c r="AS5" s="142"/>
      <c r="AT5" s="142" t="b">
        <v>0</v>
      </c>
      <c r="AU5" s="142"/>
      <c r="AV5" s="142"/>
      <c r="AW5" s="142"/>
      <c r="AX5" s="142"/>
      <c r="AY5" s="142"/>
      <c r="AZ5" s="174"/>
      <c r="BA5" s="142"/>
      <c r="BB5" s="142"/>
      <c r="BC5" s="142"/>
      <c r="BD5" s="142"/>
      <c r="BE5" s="142"/>
      <c r="BF5" s="142"/>
      <c r="BG5" s="142"/>
    </row>
    <row r="6">
      <c r="A6" s="5" t="s">
        <v>272</v>
      </c>
      <c r="B6" s="44">
        <v>44540.0</v>
      </c>
      <c r="C6" s="150">
        <v>0.3112847222222222</v>
      </c>
      <c r="D6" s="3"/>
      <c r="E6" s="3"/>
      <c r="F6" s="5"/>
      <c r="G6" s="5"/>
      <c r="H6" s="5"/>
      <c r="I6" s="3"/>
      <c r="J6" s="3"/>
      <c r="K6" s="3" t="s">
        <v>244</v>
      </c>
      <c r="L6" s="44">
        <v>44543.0</v>
      </c>
      <c r="M6" s="150">
        <v>0.7857291666666667</v>
      </c>
      <c r="N6" s="5"/>
      <c r="O6" s="5"/>
      <c r="P6" s="10" t="b">
        <v>0</v>
      </c>
      <c r="Q6" s="10" t="s">
        <v>2184</v>
      </c>
      <c r="R6" s="144" t="b">
        <v>1</v>
      </c>
      <c r="S6" s="144">
        <v>1.0</v>
      </c>
      <c r="T6" s="10"/>
      <c r="U6" s="5"/>
      <c r="V6" s="3"/>
      <c r="W6" s="5"/>
      <c r="X6" s="144" t="b">
        <v>0</v>
      </c>
      <c r="Y6" s="10" t="b">
        <v>0</v>
      </c>
      <c r="Z6" s="3"/>
      <c r="AA6" s="10" t="b">
        <v>0</v>
      </c>
      <c r="AB6" s="10" t="b">
        <v>0</v>
      </c>
      <c r="AC6" s="181">
        <v>777.0</v>
      </c>
      <c r="AD6" s="144" t="b">
        <v>0</v>
      </c>
      <c r="AE6" s="182"/>
      <c r="AF6" s="10" t="b">
        <v>0</v>
      </c>
      <c r="AG6" s="10" t="b">
        <v>0</v>
      </c>
      <c r="AH6" s="144"/>
      <c r="AI6" s="3"/>
      <c r="AJ6" s="10"/>
      <c r="AK6" s="3" t="s">
        <v>244</v>
      </c>
      <c r="AL6" s="5"/>
      <c r="AM6" s="5" t="s">
        <v>273</v>
      </c>
      <c r="AN6" s="5" t="s">
        <v>274</v>
      </c>
      <c r="AO6" s="5" t="s">
        <v>2185</v>
      </c>
      <c r="AP6" s="5" t="s">
        <v>2185</v>
      </c>
      <c r="AQ6" s="5" t="s">
        <v>2185</v>
      </c>
      <c r="AR6" s="5" t="s">
        <v>2185</v>
      </c>
      <c r="AS6" s="142"/>
      <c r="AT6" s="142" t="b">
        <v>0</v>
      </c>
      <c r="AU6" s="142"/>
      <c r="AV6" s="142"/>
      <c r="AW6" s="142"/>
      <c r="AX6" s="142"/>
      <c r="AY6" s="142"/>
      <c r="AZ6" s="174"/>
      <c r="BA6" s="142"/>
      <c r="BB6" s="142"/>
      <c r="BC6" s="142"/>
      <c r="BD6" s="142"/>
      <c r="BE6" s="142"/>
      <c r="BF6" s="142"/>
      <c r="BG6" s="142"/>
    </row>
    <row r="7">
      <c r="A7" s="5" t="s">
        <v>286</v>
      </c>
      <c r="B7" s="44">
        <v>44543.0</v>
      </c>
      <c r="C7" s="150">
        <v>0.4924074074074074</v>
      </c>
      <c r="D7" s="3"/>
      <c r="E7" s="3"/>
      <c r="F7" s="5"/>
      <c r="G7" s="5"/>
      <c r="H7" s="5"/>
      <c r="I7" s="3"/>
      <c r="J7" s="3"/>
      <c r="K7" s="3" t="s">
        <v>244</v>
      </c>
      <c r="L7" s="44">
        <v>44543.0</v>
      </c>
      <c r="M7" s="150">
        <v>0.7849884259259259</v>
      </c>
      <c r="N7" s="5"/>
      <c r="O7" s="5"/>
      <c r="P7" s="10" t="b">
        <v>0</v>
      </c>
      <c r="Q7" s="10" t="s">
        <v>2184</v>
      </c>
      <c r="R7" s="144" t="b">
        <v>1</v>
      </c>
      <c r="S7" s="144">
        <v>1.0</v>
      </c>
      <c r="T7" s="10"/>
      <c r="U7" s="5"/>
      <c r="V7" s="3"/>
      <c r="W7" s="5"/>
      <c r="X7" s="144" t="b">
        <v>0</v>
      </c>
      <c r="Y7" s="10" t="b">
        <v>0</v>
      </c>
      <c r="Z7" s="3"/>
      <c r="AA7" s="10" t="b">
        <v>0</v>
      </c>
      <c r="AB7" s="10" t="b">
        <v>0</v>
      </c>
      <c r="AC7" s="181">
        <v>771.0</v>
      </c>
      <c r="AD7" s="144" t="b">
        <v>0</v>
      </c>
      <c r="AE7" s="182">
        <v>421.3166666666666</v>
      </c>
      <c r="AF7" s="10" t="b">
        <v>0</v>
      </c>
      <c r="AG7" s="10" t="b">
        <v>0</v>
      </c>
      <c r="AH7" s="144"/>
      <c r="AI7" s="3"/>
      <c r="AJ7" s="10"/>
      <c r="AK7" s="3" t="s">
        <v>244</v>
      </c>
      <c r="AL7" s="5"/>
      <c r="AM7" s="5" t="s">
        <v>287</v>
      </c>
      <c r="AN7" s="5" t="s">
        <v>288</v>
      </c>
      <c r="AO7" s="5" t="s">
        <v>2185</v>
      </c>
      <c r="AP7" s="5" t="s">
        <v>2185</v>
      </c>
      <c r="AQ7" s="5" t="s">
        <v>2185</v>
      </c>
      <c r="AR7" s="5" t="s">
        <v>2185</v>
      </c>
      <c r="AS7" s="142"/>
      <c r="AT7" s="142" t="b">
        <v>0</v>
      </c>
      <c r="AU7" s="142"/>
      <c r="AV7" s="142"/>
      <c r="AW7" s="142"/>
      <c r="AX7" s="142"/>
      <c r="AY7" s="142"/>
      <c r="AZ7" s="174"/>
      <c r="BA7" s="142"/>
      <c r="BB7" s="142"/>
      <c r="BC7" s="142"/>
      <c r="BD7" s="142"/>
      <c r="BE7" s="142"/>
      <c r="BF7" s="142"/>
      <c r="BG7" s="142"/>
    </row>
    <row r="8">
      <c r="A8" s="5" t="s">
        <v>290</v>
      </c>
      <c r="B8" s="44">
        <v>44543.0</v>
      </c>
      <c r="C8" s="150">
        <v>0.5629166666666666</v>
      </c>
      <c r="D8" s="3"/>
      <c r="E8" s="3"/>
      <c r="F8" s="5"/>
      <c r="G8" s="5"/>
      <c r="H8" s="5"/>
      <c r="I8" s="3"/>
      <c r="J8" s="3"/>
      <c r="K8" s="3" t="s">
        <v>244</v>
      </c>
      <c r="L8" s="44">
        <v>44543.0</v>
      </c>
      <c r="M8" s="150">
        <v>0.7849884259259259</v>
      </c>
      <c r="N8" s="5"/>
      <c r="O8" s="5"/>
      <c r="P8" s="10" t="b">
        <v>0</v>
      </c>
      <c r="Q8" s="10" t="s">
        <v>2184</v>
      </c>
      <c r="R8" s="144" t="b">
        <v>1</v>
      </c>
      <c r="S8" s="144">
        <v>1.0</v>
      </c>
      <c r="T8" s="10"/>
      <c r="U8" s="5"/>
      <c r="V8" s="3"/>
      <c r="W8" s="5"/>
      <c r="X8" s="144" t="b">
        <v>0</v>
      </c>
      <c r="Y8" s="10" t="b">
        <v>0</v>
      </c>
      <c r="Z8" s="3"/>
      <c r="AA8" s="10" t="b">
        <v>0</v>
      </c>
      <c r="AB8" s="10" t="b">
        <v>0</v>
      </c>
      <c r="AC8" s="181">
        <v>770.0</v>
      </c>
      <c r="AD8" s="144" t="b">
        <v>0</v>
      </c>
      <c r="AE8" s="182">
        <v>319.78333333333336</v>
      </c>
      <c r="AF8" s="10" t="b">
        <v>0</v>
      </c>
      <c r="AG8" s="10" t="b">
        <v>0</v>
      </c>
      <c r="AH8" s="144"/>
      <c r="AI8" s="3"/>
      <c r="AJ8" s="10"/>
      <c r="AK8" s="3" t="s">
        <v>244</v>
      </c>
      <c r="AL8" s="5"/>
      <c r="AM8" s="5" t="s">
        <v>291</v>
      </c>
      <c r="AN8" s="5" t="s">
        <v>292</v>
      </c>
      <c r="AO8" s="5" t="s">
        <v>2185</v>
      </c>
      <c r="AP8" s="5" t="s">
        <v>2185</v>
      </c>
      <c r="AQ8" s="5" t="s">
        <v>2185</v>
      </c>
      <c r="AR8" s="5" t="s">
        <v>2185</v>
      </c>
      <c r="AS8" s="142"/>
      <c r="AT8" s="142" t="b">
        <v>0</v>
      </c>
      <c r="AU8" s="142"/>
      <c r="AV8" s="142"/>
      <c r="AW8" s="142"/>
      <c r="AX8" s="142"/>
      <c r="AY8" s="142"/>
      <c r="AZ8" s="174"/>
      <c r="BA8" s="142"/>
      <c r="BB8" s="142"/>
      <c r="BC8" s="142"/>
      <c r="BD8" s="142"/>
      <c r="BE8" s="142"/>
      <c r="BF8" s="142"/>
      <c r="BG8" s="142"/>
    </row>
    <row r="9">
      <c r="A9" s="5" t="s">
        <v>294</v>
      </c>
      <c r="B9" s="44">
        <v>44543.0</v>
      </c>
      <c r="C9" s="150">
        <v>0.5630208333333333</v>
      </c>
      <c r="D9" s="3"/>
      <c r="E9" s="3"/>
      <c r="F9" s="5"/>
      <c r="G9" s="5"/>
      <c r="H9" s="5"/>
      <c r="I9" s="3"/>
      <c r="J9" s="3"/>
      <c r="K9" s="3" t="s">
        <v>244</v>
      </c>
      <c r="L9" s="44">
        <v>44543.0</v>
      </c>
      <c r="M9" s="150">
        <v>0.7849884259259259</v>
      </c>
      <c r="N9" s="5"/>
      <c r="O9" s="5"/>
      <c r="P9" s="10" t="b">
        <v>0</v>
      </c>
      <c r="Q9" s="10" t="s">
        <v>2184</v>
      </c>
      <c r="R9" s="144" t="b">
        <v>1</v>
      </c>
      <c r="S9" s="144">
        <v>1.0</v>
      </c>
      <c r="T9" s="10"/>
      <c r="U9" s="5"/>
      <c r="V9" s="3"/>
      <c r="W9" s="5"/>
      <c r="X9" s="144" t="b">
        <v>0</v>
      </c>
      <c r="Y9" s="10" t="b">
        <v>0</v>
      </c>
      <c r="Z9" s="3"/>
      <c r="AA9" s="10" t="b">
        <v>0</v>
      </c>
      <c r="AB9" s="10" t="b">
        <v>0</v>
      </c>
      <c r="AC9" s="181">
        <v>769.0</v>
      </c>
      <c r="AD9" s="144" t="b">
        <v>0</v>
      </c>
      <c r="AE9" s="182">
        <v>319.6333333333333</v>
      </c>
      <c r="AF9" s="10" t="b">
        <v>0</v>
      </c>
      <c r="AG9" s="10" t="b">
        <v>0</v>
      </c>
      <c r="AH9" s="144"/>
      <c r="AI9" s="3"/>
      <c r="AJ9" s="10"/>
      <c r="AK9" s="3" t="s">
        <v>244</v>
      </c>
      <c r="AL9" s="5"/>
      <c r="AM9" s="5" t="s">
        <v>295</v>
      </c>
      <c r="AN9" s="5" t="s">
        <v>296</v>
      </c>
      <c r="AO9" s="5" t="s">
        <v>2185</v>
      </c>
      <c r="AP9" s="5" t="s">
        <v>2185</v>
      </c>
      <c r="AQ9" s="5" t="s">
        <v>2185</v>
      </c>
      <c r="AR9" s="5" t="s">
        <v>2185</v>
      </c>
      <c r="AS9" s="142"/>
      <c r="AT9" s="142" t="b">
        <v>0</v>
      </c>
      <c r="AU9" s="142"/>
      <c r="AV9" s="142"/>
      <c r="AW9" s="142"/>
      <c r="AX9" s="142"/>
      <c r="AY9" s="142"/>
      <c r="AZ9" s="174"/>
      <c r="BA9" s="142"/>
      <c r="BB9" s="142"/>
      <c r="BC9" s="142"/>
      <c r="BD9" s="142"/>
      <c r="BE9" s="142"/>
      <c r="BF9" s="142"/>
      <c r="BG9" s="142"/>
    </row>
    <row r="10">
      <c r="A10" s="5" t="s">
        <v>298</v>
      </c>
      <c r="B10" s="44">
        <v>44543.0</v>
      </c>
      <c r="C10" s="150">
        <v>0.5931712962962963</v>
      </c>
      <c r="D10" s="3"/>
      <c r="E10" s="3"/>
      <c r="F10" s="5"/>
      <c r="G10" s="5"/>
      <c r="H10" s="5"/>
      <c r="I10" s="3"/>
      <c r="J10" s="3"/>
      <c r="K10" s="3" t="s">
        <v>244</v>
      </c>
      <c r="L10" s="44">
        <v>44543.0</v>
      </c>
      <c r="M10" s="150">
        <v>0.7849884259259259</v>
      </c>
      <c r="N10" s="5"/>
      <c r="O10" s="5"/>
      <c r="P10" s="10" t="b">
        <v>0</v>
      </c>
      <c r="Q10" s="10" t="s">
        <v>2184</v>
      </c>
      <c r="R10" s="144" t="b">
        <v>1</v>
      </c>
      <c r="S10" s="144">
        <v>1.0</v>
      </c>
      <c r="T10" s="10"/>
      <c r="U10" s="5"/>
      <c r="V10" s="3"/>
      <c r="W10" s="5"/>
      <c r="X10" s="144" t="b">
        <v>0</v>
      </c>
      <c r="Y10" s="10" t="b">
        <v>0</v>
      </c>
      <c r="Z10" s="3"/>
      <c r="AA10" s="10" t="b">
        <v>0</v>
      </c>
      <c r="AB10" s="10" t="b">
        <v>0</v>
      </c>
      <c r="AC10" s="181">
        <v>768.0</v>
      </c>
      <c r="AD10" s="144" t="b">
        <v>0</v>
      </c>
      <c r="AE10" s="182">
        <v>276.21666666666664</v>
      </c>
      <c r="AF10" s="10" t="b">
        <v>0</v>
      </c>
      <c r="AG10" s="10" t="b">
        <v>0</v>
      </c>
      <c r="AH10" s="144"/>
      <c r="AI10" s="3"/>
      <c r="AJ10" s="10"/>
      <c r="AK10" s="3" t="s">
        <v>244</v>
      </c>
      <c r="AL10" s="5"/>
      <c r="AM10" s="5" t="s">
        <v>299</v>
      </c>
      <c r="AN10" s="5" t="s">
        <v>300</v>
      </c>
      <c r="AO10" s="5" t="s">
        <v>2185</v>
      </c>
      <c r="AP10" s="5" t="s">
        <v>2185</v>
      </c>
      <c r="AQ10" s="5" t="s">
        <v>2185</v>
      </c>
      <c r="AR10" s="5" t="s">
        <v>2185</v>
      </c>
      <c r="AS10" s="142"/>
      <c r="AT10" s="142" t="b">
        <v>0</v>
      </c>
      <c r="AU10" s="142"/>
      <c r="AV10" s="142"/>
      <c r="AW10" s="142"/>
      <c r="AX10" s="142"/>
      <c r="AY10" s="142"/>
      <c r="AZ10" s="174"/>
      <c r="BA10" s="142"/>
      <c r="BB10" s="142"/>
      <c r="BC10" s="142"/>
      <c r="BD10" s="142"/>
      <c r="BE10" s="142"/>
      <c r="BF10" s="142"/>
      <c r="BG10" s="142"/>
    </row>
    <row r="11">
      <c r="A11" s="5" t="s">
        <v>302</v>
      </c>
      <c r="B11" s="44">
        <v>44543.0</v>
      </c>
      <c r="C11" s="150">
        <v>0.5967476851851852</v>
      </c>
      <c r="D11" s="3"/>
      <c r="E11" s="3"/>
      <c r="F11" s="5"/>
      <c r="G11" s="5"/>
      <c r="H11" s="5"/>
      <c r="I11" s="3"/>
      <c r="J11" s="3"/>
      <c r="K11" s="3" t="s">
        <v>244</v>
      </c>
      <c r="L11" s="44">
        <v>44543.0</v>
      </c>
      <c r="M11" s="150">
        <v>0.7849884259259259</v>
      </c>
      <c r="N11" s="5"/>
      <c r="O11" s="5"/>
      <c r="P11" s="10" t="b">
        <v>0</v>
      </c>
      <c r="Q11" s="10" t="s">
        <v>2184</v>
      </c>
      <c r="R11" s="144" t="b">
        <v>1</v>
      </c>
      <c r="S11" s="144">
        <v>1.0</v>
      </c>
      <c r="T11" s="10"/>
      <c r="U11" s="5"/>
      <c r="V11" s="3"/>
      <c r="W11" s="5"/>
      <c r="X11" s="144" t="b">
        <v>0</v>
      </c>
      <c r="Y11" s="10" t="b">
        <v>0</v>
      </c>
      <c r="Z11" s="3"/>
      <c r="AA11" s="10" t="b">
        <v>0</v>
      </c>
      <c r="AB11" s="10" t="b">
        <v>0</v>
      </c>
      <c r="AC11" s="181">
        <v>767.0</v>
      </c>
      <c r="AD11" s="144" t="b">
        <v>0</v>
      </c>
      <c r="AE11" s="182">
        <v>271.0666666666666</v>
      </c>
      <c r="AF11" s="10" t="b">
        <v>0</v>
      </c>
      <c r="AG11" s="10" t="b">
        <v>0</v>
      </c>
      <c r="AH11" s="144"/>
      <c r="AI11" s="3"/>
      <c r="AJ11" s="10"/>
      <c r="AK11" s="3" t="s">
        <v>244</v>
      </c>
      <c r="AL11" s="5"/>
      <c r="AM11" s="5" t="s">
        <v>303</v>
      </c>
      <c r="AN11" s="5" t="s">
        <v>304</v>
      </c>
      <c r="AO11" s="5" t="s">
        <v>2185</v>
      </c>
      <c r="AP11" s="5" t="s">
        <v>2185</v>
      </c>
      <c r="AQ11" s="5" t="s">
        <v>2185</v>
      </c>
      <c r="AR11" s="5" t="s">
        <v>2185</v>
      </c>
      <c r="AS11" s="142"/>
      <c r="AT11" s="142" t="b">
        <v>0</v>
      </c>
      <c r="AU11" s="142"/>
      <c r="AV11" s="142"/>
      <c r="AW11" s="142"/>
      <c r="AX11" s="142"/>
      <c r="AY11" s="142"/>
      <c r="AZ11" s="174"/>
      <c r="BA11" s="142"/>
      <c r="BB11" s="142"/>
      <c r="BC11" s="142"/>
      <c r="BD11" s="142"/>
      <c r="BE11" s="142"/>
      <c r="BF11" s="142"/>
      <c r="BG11" s="142"/>
    </row>
    <row r="12">
      <c r="A12" s="5" t="s">
        <v>306</v>
      </c>
      <c r="B12" s="44">
        <v>44543.0</v>
      </c>
      <c r="C12" s="150">
        <v>0.5984027777777777</v>
      </c>
      <c r="D12" s="3"/>
      <c r="E12" s="3"/>
      <c r="F12" s="5"/>
      <c r="G12" s="5"/>
      <c r="H12" s="5"/>
      <c r="I12" s="3"/>
      <c r="J12" s="3"/>
      <c r="K12" s="3" t="s">
        <v>244</v>
      </c>
      <c r="L12" s="44">
        <v>44543.0</v>
      </c>
      <c r="M12" s="150">
        <v>0.7849884259259259</v>
      </c>
      <c r="N12" s="5"/>
      <c r="O12" s="5"/>
      <c r="P12" s="10" t="b">
        <v>0</v>
      </c>
      <c r="Q12" s="10" t="s">
        <v>2184</v>
      </c>
      <c r="R12" s="144" t="b">
        <v>1</v>
      </c>
      <c r="S12" s="144">
        <v>1.0</v>
      </c>
      <c r="T12" s="10"/>
      <c r="U12" s="5"/>
      <c r="V12" s="3"/>
      <c r="W12" s="5"/>
      <c r="X12" s="144" t="b">
        <v>0</v>
      </c>
      <c r="Y12" s="10" t="b">
        <v>0</v>
      </c>
      <c r="Z12" s="3"/>
      <c r="AA12" s="10" t="b">
        <v>0</v>
      </c>
      <c r="AB12" s="10" t="b">
        <v>0</v>
      </c>
      <c r="AC12" s="181">
        <v>766.0</v>
      </c>
      <c r="AD12" s="144" t="b">
        <v>0</v>
      </c>
      <c r="AE12" s="182">
        <v>268.68333333333334</v>
      </c>
      <c r="AF12" s="10" t="b">
        <v>0</v>
      </c>
      <c r="AG12" s="10" t="b">
        <v>0</v>
      </c>
      <c r="AH12" s="144"/>
      <c r="AI12" s="3"/>
      <c r="AJ12" s="10"/>
      <c r="AK12" s="3" t="s">
        <v>244</v>
      </c>
      <c r="AL12" s="5"/>
      <c r="AM12" s="5" t="s">
        <v>307</v>
      </c>
      <c r="AN12" s="5" t="s">
        <v>266</v>
      </c>
      <c r="AO12" s="5" t="s">
        <v>2185</v>
      </c>
      <c r="AP12" s="5" t="s">
        <v>2185</v>
      </c>
      <c r="AQ12" s="5" t="s">
        <v>2185</v>
      </c>
      <c r="AR12" s="5" t="s">
        <v>2185</v>
      </c>
      <c r="AS12" s="142"/>
      <c r="AT12" s="142" t="b">
        <v>0</v>
      </c>
      <c r="AU12" s="142"/>
      <c r="AV12" s="142"/>
      <c r="AW12" s="142"/>
      <c r="AX12" s="142"/>
      <c r="AY12" s="142"/>
      <c r="AZ12" s="174"/>
      <c r="BA12" s="142"/>
      <c r="BB12" s="142"/>
      <c r="BC12" s="142"/>
      <c r="BD12" s="142"/>
      <c r="BE12" s="142"/>
      <c r="BF12" s="142"/>
      <c r="BG12" s="142"/>
    </row>
    <row r="13">
      <c r="A13" s="5" t="s">
        <v>309</v>
      </c>
      <c r="B13" s="44">
        <v>44543.0</v>
      </c>
      <c r="C13" s="150">
        <v>0.6040740740740741</v>
      </c>
      <c r="D13" s="3"/>
      <c r="E13" s="3"/>
      <c r="F13" s="5"/>
      <c r="G13" s="5"/>
      <c r="H13" s="5"/>
      <c r="I13" s="3"/>
      <c r="J13" s="3"/>
      <c r="K13" s="3" t="s">
        <v>244</v>
      </c>
      <c r="L13" s="44">
        <v>44543.0</v>
      </c>
      <c r="M13" s="150">
        <v>0.7849884259259259</v>
      </c>
      <c r="N13" s="5"/>
      <c r="O13" s="5"/>
      <c r="P13" s="10" t="b">
        <v>0</v>
      </c>
      <c r="Q13" s="10" t="s">
        <v>2184</v>
      </c>
      <c r="R13" s="144" t="b">
        <v>1</v>
      </c>
      <c r="S13" s="144">
        <v>1.0</v>
      </c>
      <c r="T13" s="10"/>
      <c r="U13" s="5"/>
      <c r="V13" s="3"/>
      <c r="W13" s="5"/>
      <c r="X13" s="144" t="b">
        <v>0</v>
      </c>
      <c r="Y13" s="10" t="b">
        <v>0</v>
      </c>
      <c r="Z13" s="3"/>
      <c r="AA13" s="10" t="b">
        <v>0</v>
      </c>
      <c r="AB13" s="10" t="b">
        <v>0</v>
      </c>
      <c r="AC13" s="181">
        <v>765.0</v>
      </c>
      <c r="AD13" s="144" t="b">
        <v>0</v>
      </c>
      <c r="AE13" s="182">
        <v>260.5166666666666</v>
      </c>
      <c r="AF13" s="10" t="b">
        <v>0</v>
      </c>
      <c r="AG13" s="10" t="b">
        <v>0</v>
      </c>
      <c r="AH13" s="144"/>
      <c r="AI13" s="3"/>
      <c r="AJ13" s="10"/>
      <c r="AK13" s="3" t="s">
        <v>244</v>
      </c>
      <c r="AL13" s="5"/>
      <c r="AM13" s="5" t="s">
        <v>310</v>
      </c>
      <c r="AN13" s="5" t="s">
        <v>311</v>
      </c>
      <c r="AO13" s="5" t="s">
        <v>2185</v>
      </c>
      <c r="AP13" s="5" t="s">
        <v>2185</v>
      </c>
      <c r="AQ13" s="5" t="s">
        <v>2185</v>
      </c>
      <c r="AR13" s="5" t="s">
        <v>2185</v>
      </c>
      <c r="AS13" s="142"/>
      <c r="AT13" s="142" t="b">
        <v>0</v>
      </c>
      <c r="AU13" s="142"/>
      <c r="AV13" s="142"/>
      <c r="AW13" s="142"/>
      <c r="AX13" s="142"/>
      <c r="AY13" s="142"/>
      <c r="AZ13" s="174"/>
      <c r="BA13" s="142"/>
      <c r="BB13" s="142"/>
      <c r="BC13" s="142"/>
      <c r="BD13" s="142"/>
      <c r="BE13" s="142"/>
      <c r="BF13" s="142"/>
      <c r="BG13" s="142"/>
    </row>
    <row r="14">
      <c r="A14" s="5" t="s">
        <v>313</v>
      </c>
      <c r="B14" s="44">
        <v>44545.0</v>
      </c>
      <c r="C14" s="150">
        <v>0.5749768518518519</v>
      </c>
      <c r="D14" s="3"/>
      <c r="E14" s="3"/>
      <c r="F14" s="5"/>
      <c r="G14" s="5"/>
      <c r="H14" s="5"/>
      <c r="I14" s="3"/>
      <c r="J14" s="3"/>
      <c r="K14" s="3" t="s">
        <v>244</v>
      </c>
      <c r="L14" s="44">
        <v>44545.0</v>
      </c>
      <c r="M14" s="150">
        <v>0.7641550925925926</v>
      </c>
      <c r="N14" s="5"/>
      <c r="O14" s="5"/>
      <c r="P14" s="10" t="b">
        <v>0</v>
      </c>
      <c r="Q14" s="10" t="s">
        <v>2184</v>
      </c>
      <c r="R14" s="144" t="b">
        <v>1</v>
      </c>
      <c r="S14" s="144">
        <v>1.0</v>
      </c>
      <c r="T14" s="10"/>
      <c r="U14" s="5"/>
      <c r="V14" s="3"/>
      <c r="W14" s="5"/>
      <c r="X14" s="144" t="b">
        <v>0</v>
      </c>
      <c r="Y14" s="10" t="b">
        <v>0</v>
      </c>
      <c r="Z14" s="3"/>
      <c r="AA14" s="10" t="b">
        <v>0</v>
      </c>
      <c r="AB14" s="10" t="b">
        <v>0</v>
      </c>
      <c r="AC14" s="181">
        <v>764.0</v>
      </c>
      <c r="AD14" s="144" t="b">
        <v>0</v>
      </c>
      <c r="AE14" s="182">
        <v>272.4166666666667</v>
      </c>
      <c r="AF14" s="10" t="b">
        <v>0</v>
      </c>
      <c r="AG14" s="10" t="b">
        <v>0</v>
      </c>
      <c r="AH14" s="144"/>
      <c r="AI14" s="3"/>
      <c r="AJ14" s="10"/>
      <c r="AK14" s="3" t="s">
        <v>244</v>
      </c>
      <c r="AL14" s="5"/>
      <c r="AM14" s="5" t="s">
        <v>314</v>
      </c>
      <c r="AN14" s="5" t="s">
        <v>315</v>
      </c>
      <c r="AO14" s="5" t="s">
        <v>2185</v>
      </c>
      <c r="AP14" s="5" t="s">
        <v>2185</v>
      </c>
      <c r="AQ14" s="5" t="s">
        <v>2185</v>
      </c>
      <c r="AR14" s="5" t="s">
        <v>2185</v>
      </c>
      <c r="AS14" s="142"/>
      <c r="AT14" s="142" t="b">
        <v>0</v>
      </c>
      <c r="AU14" s="142"/>
      <c r="AV14" s="142"/>
      <c r="AW14" s="142"/>
      <c r="AX14" s="142"/>
      <c r="AY14" s="142"/>
      <c r="AZ14" s="174"/>
      <c r="BA14" s="142"/>
      <c r="BB14" s="142"/>
      <c r="BC14" s="142"/>
      <c r="BD14" s="142"/>
      <c r="BE14" s="142"/>
      <c r="BF14" s="142"/>
      <c r="BG14" s="142"/>
    </row>
    <row r="15">
      <c r="A15" s="5" t="s">
        <v>317</v>
      </c>
      <c r="B15" s="44">
        <v>44545.0</v>
      </c>
      <c r="C15" s="150">
        <v>0.5862152777777778</v>
      </c>
      <c r="D15" s="3"/>
      <c r="E15" s="3"/>
      <c r="F15" s="5"/>
      <c r="G15" s="5"/>
      <c r="H15" s="5"/>
      <c r="I15" s="3"/>
      <c r="J15" s="3"/>
      <c r="K15" s="3" t="s">
        <v>244</v>
      </c>
      <c r="L15" s="44">
        <v>44545.0</v>
      </c>
      <c r="M15" s="150">
        <v>0.7641550925925926</v>
      </c>
      <c r="N15" s="5"/>
      <c r="O15" s="5"/>
      <c r="P15" s="10" t="b">
        <v>0</v>
      </c>
      <c r="Q15" s="10" t="s">
        <v>2184</v>
      </c>
      <c r="R15" s="144" t="b">
        <v>1</v>
      </c>
      <c r="S15" s="144">
        <v>1.0</v>
      </c>
      <c r="T15" s="10"/>
      <c r="U15" s="5"/>
      <c r="V15" s="3"/>
      <c r="W15" s="5"/>
      <c r="X15" s="144" t="b">
        <v>0</v>
      </c>
      <c r="Y15" s="10" t="b">
        <v>0</v>
      </c>
      <c r="Z15" s="3"/>
      <c r="AA15" s="10" t="b">
        <v>0</v>
      </c>
      <c r="AB15" s="10" t="b">
        <v>0</v>
      </c>
      <c r="AC15" s="181">
        <v>763.0</v>
      </c>
      <c r="AD15" s="144" t="b">
        <v>0</v>
      </c>
      <c r="AE15" s="182">
        <v>256.2333333333333</v>
      </c>
      <c r="AF15" s="10" t="b">
        <v>0</v>
      </c>
      <c r="AG15" s="10" t="b">
        <v>0</v>
      </c>
      <c r="AH15" s="144"/>
      <c r="AI15" s="3"/>
      <c r="AJ15" s="10"/>
      <c r="AK15" s="3" t="s">
        <v>244</v>
      </c>
      <c r="AL15" s="5"/>
      <c r="AM15" s="5" t="s">
        <v>318</v>
      </c>
      <c r="AN15" s="5" t="s">
        <v>319</v>
      </c>
      <c r="AO15" s="5" t="s">
        <v>2185</v>
      </c>
      <c r="AP15" s="5" t="s">
        <v>2185</v>
      </c>
      <c r="AQ15" s="5" t="s">
        <v>2185</v>
      </c>
      <c r="AR15" s="5" t="s">
        <v>2185</v>
      </c>
      <c r="AS15" s="142"/>
      <c r="AT15" s="142" t="b">
        <v>0</v>
      </c>
      <c r="AU15" s="142"/>
      <c r="AV15" s="142"/>
      <c r="AW15" s="142"/>
      <c r="AX15" s="142"/>
      <c r="AY15" s="142"/>
      <c r="AZ15" s="174"/>
      <c r="BA15" s="142"/>
      <c r="BB15" s="142"/>
      <c r="BC15" s="142"/>
      <c r="BD15" s="142"/>
      <c r="BE15" s="142"/>
      <c r="BF15" s="142"/>
      <c r="BG15" s="142"/>
    </row>
    <row r="16">
      <c r="A16" s="5" t="s">
        <v>321</v>
      </c>
      <c r="B16" s="44">
        <v>44545.0</v>
      </c>
      <c r="C16" s="150">
        <v>0.6131944444444445</v>
      </c>
      <c r="D16" s="3"/>
      <c r="E16" s="3"/>
      <c r="F16" s="5"/>
      <c r="G16" s="5"/>
      <c r="H16" s="5"/>
      <c r="I16" s="3"/>
      <c r="J16" s="3"/>
      <c r="K16" s="3" t="s">
        <v>244</v>
      </c>
      <c r="L16" s="44">
        <v>44545.0</v>
      </c>
      <c r="M16" s="150">
        <v>0.7641550925925926</v>
      </c>
      <c r="N16" s="5"/>
      <c r="O16" s="5"/>
      <c r="P16" s="10" t="b">
        <v>1</v>
      </c>
      <c r="Q16" s="10" t="s">
        <v>2186</v>
      </c>
      <c r="R16" s="144" t="b">
        <v>1</v>
      </c>
      <c r="S16" s="144">
        <v>1.0</v>
      </c>
      <c r="T16" s="10"/>
      <c r="U16" s="5"/>
      <c r="V16" s="3"/>
      <c r="W16" s="5"/>
      <c r="X16" s="144" t="b">
        <v>0</v>
      </c>
      <c r="Y16" s="10" t="b">
        <v>0</v>
      </c>
      <c r="Z16" s="3"/>
      <c r="AA16" s="10" t="b">
        <v>0</v>
      </c>
      <c r="AB16" s="10" t="b">
        <v>0</v>
      </c>
      <c r="AC16" s="181">
        <v>760.0</v>
      </c>
      <c r="AD16" s="144" t="b">
        <v>0</v>
      </c>
      <c r="AE16" s="182">
        <v>217.38333333333333</v>
      </c>
      <c r="AF16" s="10" t="b">
        <v>0</v>
      </c>
      <c r="AG16" s="10" t="b">
        <v>0</v>
      </c>
      <c r="AH16" s="144"/>
      <c r="AI16" s="3">
        <v>4.0</v>
      </c>
      <c r="AJ16" s="10"/>
      <c r="AK16" s="3" t="s">
        <v>244</v>
      </c>
      <c r="AL16" s="5"/>
      <c r="AM16" s="5" t="s">
        <v>322</v>
      </c>
      <c r="AN16" s="5" t="s">
        <v>323</v>
      </c>
      <c r="AO16" s="5" t="s">
        <v>2185</v>
      </c>
      <c r="AP16" s="5" t="s">
        <v>2185</v>
      </c>
      <c r="AQ16" s="5" t="s">
        <v>2185</v>
      </c>
      <c r="AR16" s="5" t="s">
        <v>2185</v>
      </c>
      <c r="AS16" s="142"/>
      <c r="AT16" s="142" t="b">
        <v>0</v>
      </c>
      <c r="AU16" s="142"/>
      <c r="AV16" s="142"/>
      <c r="AW16" s="142"/>
      <c r="AX16" s="142"/>
      <c r="AY16" s="142"/>
      <c r="AZ16" s="174"/>
      <c r="BA16" s="142"/>
      <c r="BB16" s="142"/>
      <c r="BC16" s="142"/>
      <c r="BD16" s="142"/>
      <c r="BE16" s="142"/>
      <c r="BF16" s="142"/>
      <c r="BG16" s="142"/>
    </row>
    <row r="17">
      <c r="A17" s="5" t="s">
        <v>327</v>
      </c>
      <c r="B17" s="44">
        <v>44545.0</v>
      </c>
      <c r="C17" s="150">
        <v>0.6686805555555555</v>
      </c>
      <c r="D17" s="3"/>
      <c r="E17" s="3"/>
      <c r="F17" s="5"/>
      <c r="G17" s="5"/>
      <c r="H17" s="5"/>
      <c r="I17" s="3"/>
      <c r="J17" s="3"/>
      <c r="K17" s="3" t="s">
        <v>244</v>
      </c>
      <c r="L17" s="44">
        <v>44550.0</v>
      </c>
      <c r="M17" s="150">
        <v>0.4883449074074074</v>
      </c>
      <c r="N17" s="5"/>
      <c r="O17" s="5"/>
      <c r="P17" s="10" t="b">
        <v>0</v>
      </c>
      <c r="Q17" s="10" t="s">
        <v>2184</v>
      </c>
      <c r="R17" s="144" t="b">
        <v>1</v>
      </c>
      <c r="S17" s="144">
        <v>1.0</v>
      </c>
      <c r="T17" s="10"/>
      <c r="U17" s="5"/>
      <c r="V17" s="3"/>
      <c r="W17" s="5"/>
      <c r="X17" s="144" t="b">
        <v>0</v>
      </c>
      <c r="Y17" s="10" t="b">
        <v>0</v>
      </c>
      <c r="Z17" s="3"/>
      <c r="AA17" s="10" t="b">
        <v>0</v>
      </c>
      <c r="AB17" s="10" t="b">
        <v>0</v>
      </c>
      <c r="AC17" s="181">
        <v>761.0</v>
      </c>
      <c r="AD17" s="144" t="b">
        <v>0</v>
      </c>
      <c r="AE17" s="182"/>
      <c r="AF17" s="10" t="b">
        <v>0</v>
      </c>
      <c r="AG17" s="10" t="b">
        <v>0</v>
      </c>
      <c r="AH17" s="144"/>
      <c r="AI17" s="3"/>
      <c r="AJ17" s="10"/>
      <c r="AK17" s="3" t="s">
        <v>244</v>
      </c>
      <c r="AL17" s="5"/>
      <c r="AM17" s="5" t="s">
        <v>328</v>
      </c>
      <c r="AN17" s="5" t="s">
        <v>329</v>
      </c>
      <c r="AO17" s="5" t="s">
        <v>2185</v>
      </c>
      <c r="AP17" s="5" t="s">
        <v>2185</v>
      </c>
      <c r="AQ17" s="5" t="s">
        <v>2185</v>
      </c>
      <c r="AR17" s="5" t="s">
        <v>2185</v>
      </c>
      <c r="AS17" s="142"/>
      <c r="AT17" s="142" t="b">
        <v>0</v>
      </c>
      <c r="AU17" s="142"/>
      <c r="AV17" s="142"/>
      <c r="AW17" s="142"/>
      <c r="AX17" s="142"/>
      <c r="AY17" s="142"/>
      <c r="AZ17" s="174"/>
      <c r="BA17" s="142"/>
      <c r="BB17" s="142"/>
      <c r="BC17" s="142"/>
      <c r="BD17" s="142"/>
      <c r="BE17" s="142"/>
      <c r="BF17" s="142"/>
      <c r="BG17" s="142"/>
    </row>
    <row r="18">
      <c r="A18" s="5" t="s">
        <v>331</v>
      </c>
      <c r="B18" s="44">
        <v>44547.0</v>
      </c>
      <c r="C18" s="150">
        <v>0.3417824074074074</v>
      </c>
      <c r="D18" s="3"/>
      <c r="E18" s="3"/>
      <c r="F18" s="5"/>
      <c r="G18" s="5"/>
      <c r="H18" s="5"/>
      <c r="I18" s="3"/>
      <c r="J18" s="3"/>
      <c r="K18" s="3" t="s">
        <v>52</v>
      </c>
      <c r="L18" s="44">
        <v>44547.0</v>
      </c>
      <c r="M18" s="150">
        <v>0.5028472222222222</v>
      </c>
      <c r="N18" s="5"/>
      <c r="O18" s="5"/>
      <c r="P18" s="10" t="b">
        <v>1</v>
      </c>
      <c r="Q18" s="10" t="s">
        <v>2186</v>
      </c>
      <c r="R18" s="144" t="b">
        <v>1</v>
      </c>
      <c r="S18" s="144">
        <v>1.0</v>
      </c>
      <c r="T18" s="10"/>
      <c r="U18" s="5"/>
      <c r="V18" s="3"/>
      <c r="W18" s="5"/>
      <c r="X18" s="144" t="b">
        <v>0</v>
      </c>
      <c r="Y18" s="10" t="b">
        <v>0</v>
      </c>
      <c r="Z18" s="3"/>
      <c r="AA18" s="10" t="b">
        <v>0</v>
      </c>
      <c r="AB18" s="10" t="b">
        <v>0</v>
      </c>
      <c r="AC18" s="181">
        <v>757.0</v>
      </c>
      <c r="AD18" s="144" t="b">
        <v>0</v>
      </c>
      <c r="AE18" s="182">
        <v>231.93333333333334</v>
      </c>
      <c r="AF18" s="10" t="b">
        <v>0</v>
      </c>
      <c r="AG18" s="10" t="b">
        <v>0</v>
      </c>
      <c r="AH18" s="144"/>
      <c r="AI18" s="3">
        <v>4.0</v>
      </c>
      <c r="AJ18" s="10"/>
      <c r="AK18" s="3" t="s">
        <v>52</v>
      </c>
      <c r="AL18" s="5"/>
      <c r="AM18" s="5" t="s">
        <v>328</v>
      </c>
      <c r="AN18" s="5" t="s">
        <v>329</v>
      </c>
      <c r="AO18" s="5" t="s">
        <v>2185</v>
      </c>
      <c r="AP18" s="5" t="s">
        <v>2185</v>
      </c>
      <c r="AQ18" s="5" t="s">
        <v>2185</v>
      </c>
      <c r="AR18" s="5" t="s">
        <v>2185</v>
      </c>
      <c r="AS18" s="142"/>
      <c r="AT18" s="142" t="b">
        <v>0</v>
      </c>
      <c r="AU18" s="142"/>
      <c r="AV18" s="142"/>
      <c r="AW18" s="142"/>
      <c r="AX18" s="142"/>
      <c r="AY18" s="142"/>
      <c r="AZ18" s="174"/>
      <c r="BA18" s="142"/>
      <c r="BB18" s="142"/>
      <c r="BC18" s="142"/>
      <c r="BD18" s="142"/>
      <c r="BE18" s="142"/>
      <c r="BF18" s="142"/>
      <c r="BG18" s="142"/>
    </row>
    <row r="19">
      <c r="A19" s="5" t="s">
        <v>335</v>
      </c>
      <c r="B19" s="44">
        <v>44547.0</v>
      </c>
      <c r="C19" s="150">
        <v>0.37118055555555557</v>
      </c>
      <c r="D19" s="3"/>
      <c r="E19" s="3"/>
      <c r="F19" s="5"/>
      <c r="G19" s="5"/>
      <c r="H19" s="5"/>
      <c r="I19" s="3"/>
      <c r="J19" s="3"/>
      <c r="K19" s="3" t="s">
        <v>244</v>
      </c>
      <c r="L19" s="44">
        <v>44547.0</v>
      </c>
      <c r="M19" s="150">
        <v>0.41434027777777777</v>
      </c>
      <c r="N19" s="5"/>
      <c r="O19" s="5"/>
      <c r="P19" s="10" t="b">
        <v>0</v>
      </c>
      <c r="Q19" s="10" t="s">
        <v>2184</v>
      </c>
      <c r="R19" s="144" t="b">
        <v>1</v>
      </c>
      <c r="S19" s="144">
        <v>1.0</v>
      </c>
      <c r="T19" s="10"/>
      <c r="U19" s="5"/>
      <c r="V19" s="3"/>
      <c r="W19" s="5"/>
      <c r="X19" s="144" t="b">
        <v>0</v>
      </c>
      <c r="Y19" s="10" t="b">
        <v>0</v>
      </c>
      <c r="Z19" s="3"/>
      <c r="AA19" s="10" t="b">
        <v>0</v>
      </c>
      <c r="AB19" s="10" t="b">
        <v>0</v>
      </c>
      <c r="AC19" s="181">
        <v>758.0</v>
      </c>
      <c r="AD19" s="144" t="b">
        <v>0</v>
      </c>
      <c r="AE19" s="182">
        <v>62.14999999999996</v>
      </c>
      <c r="AF19" s="10" t="b">
        <v>0</v>
      </c>
      <c r="AG19" s="10" t="b">
        <v>0</v>
      </c>
      <c r="AH19" s="144"/>
      <c r="AI19" s="3"/>
      <c r="AJ19" s="10"/>
      <c r="AK19" s="3" t="s">
        <v>244</v>
      </c>
      <c r="AL19" s="5"/>
      <c r="AM19" s="5" t="s">
        <v>261</v>
      </c>
      <c r="AN19" s="5" t="s">
        <v>336</v>
      </c>
      <c r="AO19" s="5" t="s">
        <v>2185</v>
      </c>
      <c r="AP19" s="5" t="s">
        <v>2185</v>
      </c>
      <c r="AQ19" s="5" t="s">
        <v>2185</v>
      </c>
      <c r="AR19" s="5" t="s">
        <v>2185</v>
      </c>
      <c r="AS19" s="142"/>
      <c r="AT19" s="142" t="b">
        <v>0</v>
      </c>
      <c r="AU19" s="142"/>
      <c r="AV19" s="142"/>
      <c r="AW19" s="142"/>
      <c r="AX19" s="142"/>
      <c r="AY19" s="142"/>
      <c r="AZ19" s="174"/>
      <c r="BA19" s="142"/>
      <c r="BB19" s="142"/>
      <c r="BC19" s="142"/>
      <c r="BD19" s="142"/>
      <c r="BE19" s="142"/>
      <c r="BF19" s="142"/>
      <c r="BG19" s="142"/>
    </row>
    <row r="20">
      <c r="A20" s="5" t="s">
        <v>345</v>
      </c>
      <c r="B20" s="44">
        <v>44549.0</v>
      </c>
      <c r="C20" s="150">
        <v>0.8899537037037037</v>
      </c>
      <c r="D20" s="3"/>
      <c r="E20" s="3"/>
      <c r="F20" s="5"/>
      <c r="G20" s="5"/>
      <c r="H20" s="5"/>
      <c r="I20" s="3"/>
      <c r="J20" s="3"/>
      <c r="K20" s="3" t="s">
        <v>244</v>
      </c>
      <c r="L20" s="44">
        <v>44550.0</v>
      </c>
      <c r="M20" s="150">
        <v>0.4883449074074074</v>
      </c>
      <c r="N20" s="5"/>
      <c r="O20" s="5"/>
      <c r="P20" s="10" t="b">
        <v>0</v>
      </c>
      <c r="Q20" s="10" t="s">
        <v>2184</v>
      </c>
      <c r="R20" s="144" t="b">
        <v>1</v>
      </c>
      <c r="S20" s="144">
        <v>1.0</v>
      </c>
      <c r="T20" s="10"/>
      <c r="U20" s="5"/>
      <c r="V20" s="3"/>
      <c r="W20" s="5"/>
      <c r="X20" s="144" t="b">
        <v>0</v>
      </c>
      <c r="Y20" s="10" t="b">
        <v>0</v>
      </c>
      <c r="Z20" s="3"/>
      <c r="AA20" s="10" t="b">
        <v>0</v>
      </c>
      <c r="AB20" s="10" t="b">
        <v>0</v>
      </c>
      <c r="AC20" s="181">
        <v>753.0</v>
      </c>
      <c r="AD20" s="144" t="b">
        <v>0</v>
      </c>
      <c r="AE20" s="182"/>
      <c r="AF20" s="10" t="b">
        <v>0</v>
      </c>
      <c r="AG20" s="10" t="b">
        <v>0</v>
      </c>
      <c r="AH20" s="144"/>
      <c r="AI20" s="3"/>
      <c r="AJ20" s="10"/>
      <c r="AK20" s="3" t="s">
        <v>244</v>
      </c>
      <c r="AL20" s="5"/>
      <c r="AM20" s="5" t="s">
        <v>291</v>
      </c>
      <c r="AN20" s="5" t="s">
        <v>292</v>
      </c>
      <c r="AO20" s="5" t="s">
        <v>2185</v>
      </c>
      <c r="AP20" s="5" t="s">
        <v>2185</v>
      </c>
      <c r="AQ20" s="5" t="s">
        <v>2185</v>
      </c>
      <c r="AR20" s="5" t="s">
        <v>2185</v>
      </c>
      <c r="AS20" s="142"/>
      <c r="AT20" s="142" t="b">
        <v>0</v>
      </c>
      <c r="AU20" s="142"/>
      <c r="AV20" s="142"/>
      <c r="AW20" s="142"/>
      <c r="AX20" s="142"/>
      <c r="AY20" s="142"/>
      <c r="AZ20" s="174"/>
      <c r="BA20" s="142"/>
      <c r="BB20" s="142"/>
      <c r="BC20" s="142"/>
      <c r="BD20" s="142"/>
      <c r="BE20" s="142"/>
      <c r="BF20" s="142"/>
      <c r="BG20" s="142"/>
    </row>
    <row r="21">
      <c r="A21" s="5" t="s">
        <v>347</v>
      </c>
      <c r="B21" s="44">
        <v>44550.0</v>
      </c>
      <c r="C21" s="150">
        <v>0.31734953703703705</v>
      </c>
      <c r="D21" s="3"/>
      <c r="E21" s="3"/>
      <c r="F21" s="5"/>
      <c r="G21" s="5"/>
      <c r="H21" s="5"/>
      <c r="I21" s="3"/>
      <c r="J21" s="3"/>
      <c r="K21" s="3" t="s">
        <v>244</v>
      </c>
      <c r="L21" s="44">
        <v>44550.0</v>
      </c>
      <c r="M21" s="150">
        <v>0.4883449074074074</v>
      </c>
      <c r="N21" s="5"/>
      <c r="O21" s="5"/>
      <c r="P21" s="10" t="b">
        <v>0</v>
      </c>
      <c r="Q21" s="10" t="s">
        <v>2184</v>
      </c>
      <c r="R21" s="144" t="b">
        <v>1</v>
      </c>
      <c r="S21" s="144">
        <v>1.0</v>
      </c>
      <c r="T21" s="10"/>
      <c r="U21" s="5"/>
      <c r="V21" s="3"/>
      <c r="W21" s="5"/>
      <c r="X21" s="144" t="b">
        <v>0</v>
      </c>
      <c r="Y21" s="10" t="b">
        <v>0</v>
      </c>
      <c r="Z21" s="3"/>
      <c r="AA21" s="10" t="b">
        <v>0</v>
      </c>
      <c r="AB21" s="10" t="b">
        <v>0</v>
      </c>
      <c r="AC21" s="181">
        <v>752.0</v>
      </c>
      <c r="AD21" s="144" t="b">
        <v>0</v>
      </c>
      <c r="AE21" s="182">
        <v>246.23333333333323</v>
      </c>
      <c r="AF21" s="10" t="b">
        <v>0</v>
      </c>
      <c r="AG21" s="10" t="b">
        <v>0</v>
      </c>
      <c r="AH21" s="144"/>
      <c r="AI21" s="3"/>
      <c r="AJ21" s="10"/>
      <c r="AK21" s="3" t="s">
        <v>244</v>
      </c>
      <c r="AL21" s="5"/>
      <c r="AM21" s="5" t="s">
        <v>287</v>
      </c>
      <c r="AN21" s="5" t="s">
        <v>288</v>
      </c>
      <c r="AO21" s="5" t="s">
        <v>2185</v>
      </c>
      <c r="AP21" s="5" t="s">
        <v>2185</v>
      </c>
      <c r="AQ21" s="5" t="s">
        <v>2185</v>
      </c>
      <c r="AR21" s="5" t="s">
        <v>2185</v>
      </c>
      <c r="AS21" s="142"/>
      <c r="AT21" s="142" t="b">
        <v>0</v>
      </c>
      <c r="AU21" s="142"/>
      <c r="AV21" s="142"/>
      <c r="AW21" s="142"/>
      <c r="AX21" s="142"/>
      <c r="AY21" s="142"/>
      <c r="AZ21" s="174"/>
      <c r="BA21" s="142"/>
      <c r="BB21" s="142"/>
      <c r="BC21" s="142"/>
      <c r="BD21" s="142"/>
      <c r="BE21" s="142"/>
      <c r="BF21" s="142"/>
      <c r="BG21" s="142"/>
    </row>
    <row r="22">
      <c r="A22" s="5" t="s">
        <v>349</v>
      </c>
      <c r="B22" s="44">
        <v>44550.0</v>
      </c>
      <c r="C22" s="150">
        <v>0.33541666666666664</v>
      </c>
      <c r="D22" s="3"/>
      <c r="E22" s="3"/>
      <c r="F22" s="5"/>
      <c r="G22" s="5"/>
      <c r="H22" s="5"/>
      <c r="I22" s="3"/>
      <c r="J22" s="3"/>
      <c r="K22" s="3" t="s">
        <v>244</v>
      </c>
      <c r="L22" s="44">
        <v>44550.0</v>
      </c>
      <c r="M22" s="150">
        <v>0.4883449074074074</v>
      </c>
      <c r="N22" s="5"/>
      <c r="O22" s="5"/>
      <c r="P22" s="10" t="b">
        <v>0</v>
      </c>
      <c r="Q22" s="10" t="s">
        <v>2184</v>
      </c>
      <c r="R22" s="144" t="b">
        <v>1</v>
      </c>
      <c r="S22" s="144">
        <v>1.0</v>
      </c>
      <c r="T22" s="10"/>
      <c r="U22" s="5"/>
      <c r="V22" s="3"/>
      <c r="W22" s="5"/>
      <c r="X22" s="144" t="b">
        <v>0</v>
      </c>
      <c r="Y22" s="10" t="b">
        <v>0</v>
      </c>
      <c r="Z22" s="3"/>
      <c r="AA22" s="10" t="b">
        <v>0</v>
      </c>
      <c r="AB22" s="10" t="b">
        <v>0</v>
      </c>
      <c r="AC22" s="181">
        <v>751.0</v>
      </c>
      <c r="AD22" s="144" t="b">
        <v>0</v>
      </c>
      <c r="AE22" s="182">
        <v>220.21666666666667</v>
      </c>
      <c r="AF22" s="10" t="b">
        <v>0</v>
      </c>
      <c r="AG22" s="10" t="b">
        <v>0</v>
      </c>
      <c r="AH22" s="144"/>
      <c r="AI22" s="3"/>
      <c r="AJ22" s="10"/>
      <c r="AK22" s="3" t="s">
        <v>244</v>
      </c>
      <c r="AL22" s="5"/>
      <c r="AM22" s="5" t="s">
        <v>295</v>
      </c>
      <c r="AN22" s="5" t="s">
        <v>296</v>
      </c>
      <c r="AO22" s="5" t="s">
        <v>2185</v>
      </c>
      <c r="AP22" s="5" t="s">
        <v>2185</v>
      </c>
      <c r="AQ22" s="5" t="s">
        <v>2185</v>
      </c>
      <c r="AR22" s="5" t="s">
        <v>2185</v>
      </c>
      <c r="AS22" s="142"/>
      <c r="AT22" s="142" t="b">
        <v>0</v>
      </c>
      <c r="AU22" s="142"/>
      <c r="AV22" s="142"/>
      <c r="AW22" s="142"/>
      <c r="AX22" s="142"/>
      <c r="AY22" s="142"/>
      <c r="AZ22" s="174"/>
      <c r="BA22" s="142"/>
      <c r="BB22" s="142"/>
      <c r="BC22" s="142"/>
      <c r="BD22" s="142"/>
      <c r="BE22" s="142"/>
      <c r="BF22" s="142"/>
      <c r="BG22" s="142"/>
    </row>
    <row r="23">
      <c r="A23" s="5" t="s">
        <v>353</v>
      </c>
      <c r="B23" s="44">
        <v>44550.0</v>
      </c>
      <c r="C23" s="150">
        <v>0.3432986111111111</v>
      </c>
      <c r="D23" s="3"/>
      <c r="E23" s="3"/>
      <c r="F23" s="5"/>
      <c r="G23" s="5"/>
      <c r="H23" s="5"/>
      <c r="I23" s="3"/>
      <c r="J23" s="3"/>
      <c r="K23" s="3" t="s">
        <v>244</v>
      </c>
      <c r="L23" s="44">
        <v>44550.0</v>
      </c>
      <c r="M23" s="150">
        <v>0.4883449074074074</v>
      </c>
      <c r="N23" s="5"/>
      <c r="O23" s="5"/>
      <c r="P23" s="10" t="b">
        <v>0</v>
      </c>
      <c r="Q23" s="10" t="s">
        <v>2184</v>
      </c>
      <c r="R23" s="144" t="b">
        <v>1</v>
      </c>
      <c r="S23" s="144">
        <v>1.0</v>
      </c>
      <c r="T23" s="10"/>
      <c r="U23" s="5"/>
      <c r="V23" s="3"/>
      <c r="W23" s="5"/>
      <c r="X23" s="144" t="b">
        <v>0</v>
      </c>
      <c r="Y23" s="10" t="b">
        <v>0</v>
      </c>
      <c r="Z23" s="3"/>
      <c r="AA23" s="10" t="b">
        <v>0</v>
      </c>
      <c r="AB23" s="10" t="b">
        <v>0</v>
      </c>
      <c r="AC23" s="181">
        <v>749.0</v>
      </c>
      <c r="AD23" s="144" t="b">
        <v>0</v>
      </c>
      <c r="AE23" s="182">
        <v>208.86666666666665</v>
      </c>
      <c r="AF23" s="10" t="b">
        <v>0</v>
      </c>
      <c r="AG23" s="10" t="b">
        <v>0</v>
      </c>
      <c r="AH23" s="144"/>
      <c r="AI23" s="3"/>
      <c r="AJ23" s="10"/>
      <c r="AK23" s="3" t="s">
        <v>244</v>
      </c>
      <c r="AL23" s="5"/>
      <c r="AM23" s="5" t="s">
        <v>310</v>
      </c>
      <c r="AN23" s="5" t="s">
        <v>311</v>
      </c>
      <c r="AO23" s="5" t="s">
        <v>2185</v>
      </c>
      <c r="AP23" s="5" t="s">
        <v>2185</v>
      </c>
      <c r="AQ23" s="5" t="s">
        <v>2185</v>
      </c>
      <c r="AR23" s="5" t="s">
        <v>2185</v>
      </c>
      <c r="AS23" s="142"/>
      <c r="AT23" s="142" t="b">
        <v>0</v>
      </c>
      <c r="AU23" s="142"/>
      <c r="AV23" s="142"/>
      <c r="AW23" s="142"/>
      <c r="AX23" s="142"/>
      <c r="AY23" s="142"/>
      <c r="AZ23" s="174"/>
      <c r="BA23" s="142"/>
      <c r="BB23" s="142"/>
      <c r="BC23" s="142"/>
      <c r="BD23" s="142"/>
      <c r="BE23" s="142"/>
      <c r="BF23" s="142"/>
      <c r="BG23" s="142"/>
    </row>
    <row r="24">
      <c r="A24" s="5" t="s">
        <v>355</v>
      </c>
      <c r="B24" s="44">
        <v>44550.0</v>
      </c>
      <c r="C24" s="150">
        <v>0.4013541666666667</v>
      </c>
      <c r="D24" s="3"/>
      <c r="E24" s="3"/>
      <c r="F24" s="5"/>
      <c r="G24" s="5"/>
      <c r="H24" s="5"/>
      <c r="I24" s="3"/>
      <c r="J24" s="3"/>
      <c r="K24" s="3" t="s">
        <v>244</v>
      </c>
      <c r="L24" s="44">
        <v>44550.0</v>
      </c>
      <c r="M24" s="150">
        <v>0.4883449074074074</v>
      </c>
      <c r="N24" s="5"/>
      <c r="O24" s="5"/>
      <c r="P24" s="10" t="b">
        <v>1</v>
      </c>
      <c r="Q24" s="10" t="s">
        <v>2186</v>
      </c>
      <c r="R24" s="144" t="b">
        <v>1</v>
      </c>
      <c r="S24" s="144">
        <v>1.0</v>
      </c>
      <c r="T24" s="10"/>
      <c r="U24" s="5"/>
      <c r="V24" s="3"/>
      <c r="W24" s="5"/>
      <c r="X24" s="144" t="b">
        <v>0</v>
      </c>
      <c r="Y24" s="10" t="b">
        <v>0</v>
      </c>
      <c r="Z24" s="3"/>
      <c r="AA24" s="10" t="b">
        <v>0</v>
      </c>
      <c r="AB24" s="10" t="b">
        <v>0</v>
      </c>
      <c r="AC24" s="181">
        <v>745.0</v>
      </c>
      <c r="AD24" s="144" t="b">
        <v>0</v>
      </c>
      <c r="AE24" s="182">
        <v>125.26666666666661</v>
      </c>
      <c r="AF24" s="10" t="b">
        <v>0</v>
      </c>
      <c r="AG24" s="10" t="b">
        <v>0</v>
      </c>
      <c r="AH24" s="144"/>
      <c r="AI24" s="3">
        <v>4.0</v>
      </c>
      <c r="AJ24" s="10"/>
      <c r="AK24" s="3" t="s">
        <v>244</v>
      </c>
      <c r="AL24" s="5"/>
      <c r="AM24" s="5" t="s">
        <v>356</v>
      </c>
      <c r="AN24" s="5" t="s">
        <v>357</v>
      </c>
      <c r="AO24" s="5" t="s">
        <v>2185</v>
      </c>
      <c r="AP24" s="5" t="s">
        <v>2185</v>
      </c>
      <c r="AQ24" s="5" t="s">
        <v>2185</v>
      </c>
      <c r="AR24" s="5" t="s">
        <v>2185</v>
      </c>
      <c r="AS24" s="142"/>
      <c r="AT24" s="142" t="b">
        <v>0</v>
      </c>
      <c r="AU24" s="142"/>
      <c r="AV24" s="142"/>
      <c r="AW24" s="142"/>
      <c r="AX24" s="142"/>
      <c r="AY24" s="142"/>
      <c r="AZ24" s="174"/>
      <c r="BA24" s="142"/>
      <c r="BB24" s="142"/>
      <c r="BC24" s="142"/>
      <c r="BD24" s="142"/>
      <c r="BE24" s="142"/>
      <c r="BF24" s="142"/>
      <c r="BG24" s="142"/>
    </row>
    <row r="25">
      <c r="A25" s="5" t="s">
        <v>361</v>
      </c>
      <c r="B25" s="44">
        <v>44550.0</v>
      </c>
      <c r="C25" s="150">
        <v>0.401875</v>
      </c>
      <c r="D25" s="3"/>
      <c r="E25" s="3"/>
      <c r="F25" s="5"/>
      <c r="G25" s="5"/>
      <c r="H25" s="5"/>
      <c r="I25" s="3"/>
      <c r="J25" s="3"/>
      <c r="K25" s="3" t="s">
        <v>244</v>
      </c>
      <c r="L25" s="44">
        <v>44550.0</v>
      </c>
      <c r="M25" s="150">
        <v>0.4883449074074074</v>
      </c>
      <c r="N25" s="5"/>
      <c r="O25" s="5"/>
      <c r="P25" s="10" t="b">
        <v>1</v>
      </c>
      <c r="Q25" s="10" t="s">
        <v>2186</v>
      </c>
      <c r="R25" s="144" t="b">
        <v>1</v>
      </c>
      <c r="S25" s="144">
        <v>1.0</v>
      </c>
      <c r="T25" s="10"/>
      <c r="U25" s="5"/>
      <c r="V25" s="3"/>
      <c r="W25" s="5"/>
      <c r="X25" s="144" t="b">
        <v>0</v>
      </c>
      <c r="Y25" s="10" t="b">
        <v>0</v>
      </c>
      <c r="Z25" s="3"/>
      <c r="AA25" s="10" t="b">
        <v>0</v>
      </c>
      <c r="AB25" s="10" t="b">
        <v>0</v>
      </c>
      <c r="AC25" s="181">
        <v>744.0</v>
      </c>
      <c r="AD25" s="144" t="b">
        <v>0</v>
      </c>
      <c r="AE25" s="182">
        <v>124.51666666666665</v>
      </c>
      <c r="AF25" s="10" t="b">
        <v>0</v>
      </c>
      <c r="AG25" s="10" t="b">
        <v>0</v>
      </c>
      <c r="AH25" s="144"/>
      <c r="AI25" s="3">
        <v>4.0</v>
      </c>
      <c r="AJ25" s="10"/>
      <c r="AK25" s="3" t="s">
        <v>244</v>
      </c>
      <c r="AL25" s="5"/>
      <c r="AM25" s="5" t="s">
        <v>362</v>
      </c>
      <c r="AN25" s="5" t="s">
        <v>363</v>
      </c>
      <c r="AO25" s="5" t="s">
        <v>2185</v>
      </c>
      <c r="AP25" s="5" t="s">
        <v>2185</v>
      </c>
      <c r="AQ25" s="5" t="s">
        <v>2185</v>
      </c>
      <c r="AR25" s="5" t="s">
        <v>2185</v>
      </c>
      <c r="AS25" s="142"/>
      <c r="AT25" s="142" t="b">
        <v>0</v>
      </c>
      <c r="AU25" s="142"/>
      <c r="AV25" s="142"/>
      <c r="AW25" s="142"/>
      <c r="AX25" s="142"/>
      <c r="AY25" s="142"/>
      <c r="AZ25" s="174"/>
      <c r="BA25" s="142"/>
      <c r="BB25" s="142"/>
      <c r="BC25" s="142"/>
      <c r="BD25" s="142"/>
      <c r="BE25" s="142"/>
      <c r="BF25" s="142"/>
      <c r="BG25" s="142"/>
    </row>
    <row r="26">
      <c r="A26" s="5" t="s">
        <v>367</v>
      </c>
      <c r="B26" s="44">
        <v>44550.0</v>
      </c>
      <c r="C26" s="150">
        <v>0.4363425925925926</v>
      </c>
      <c r="D26" s="3"/>
      <c r="E26" s="3"/>
      <c r="F26" s="5"/>
      <c r="G26" s="5"/>
      <c r="H26" s="5"/>
      <c r="I26" s="3"/>
      <c r="J26" s="3"/>
      <c r="K26" s="3" t="s">
        <v>244</v>
      </c>
      <c r="L26" s="44">
        <v>44550.0</v>
      </c>
      <c r="M26" s="150">
        <v>0.4883449074074074</v>
      </c>
      <c r="N26" s="5"/>
      <c r="O26" s="5"/>
      <c r="P26" s="10" t="b">
        <v>0</v>
      </c>
      <c r="Q26" s="10" t="s">
        <v>2184</v>
      </c>
      <c r="R26" s="144" t="b">
        <v>1</v>
      </c>
      <c r="S26" s="144">
        <v>1.0</v>
      </c>
      <c r="T26" s="10"/>
      <c r="U26" s="5"/>
      <c r="V26" s="3"/>
      <c r="W26" s="5"/>
      <c r="X26" s="144" t="b">
        <v>0</v>
      </c>
      <c r="Y26" s="10" t="b">
        <v>0</v>
      </c>
      <c r="Z26" s="3"/>
      <c r="AA26" s="10" t="b">
        <v>0</v>
      </c>
      <c r="AB26" s="10" t="b">
        <v>0</v>
      </c>
      <c r="AC26" s="181">
        <v>746.0</v>
      </c>
      <c r="AD26" s="144" t="b">
        <v>0</v>
      </c>
      <c r="AE26" s="182">
        <v>74.88333333333327</v>
      </c>
      <c r="AF26" s="10" t="b">
        <v>0</v>
      </c>
      <c r="AG26" s="10" t="b">
        <v>0</v>
      </c>
      <c r="AH26" s="144"/>
      <c r="AI26" s="3"/>
      <c r="AJ26" s="10"/>
      <c r="AK26" s="3" t="s">
        <v>244</v>
      </c>
      <c r="AL26" s="5"/>
      <c r="AM26" s="5" t="s">
        <v>328</v>
      </c>
      <c r="AN26" s="5" t="s">
        <v>329</v>
      </c>
      <c r="AO26" s="5" t="s">
        <v>2185</v>
      </c>
      <c r="AP26" s="5" t="s">
        <v>2185</v>
      </c>
      <c r="AQ26" s="5" t="s">
        <v>2185</v>
      </c>
      <c r="AR26" s="5" t="s">
        <v>2185</v>
      </c>
      <c r="AS26" s="142"/>
      <c r="AT26" s="142" t="b">
        <v>0</v>
      </c>
      <c r="AU26" s="142"/>
      <c r="AV26" s="142"/>
      <c r="AW26" s="142"/>
      <c r="AX26" s="142"/>
      <c r="AY26" s="142"/>
      <c r="AZ26" s="174"/>
      <c r="BA26" s="142"/>
      <c r="BB26" s="142"/>
      <c r="BC26" s="142"/>
      <c r="BD26" s="142"/>
      <c r="BE26" s="142"/>
      <c r="BF26" s="142"/>
      <c r="BG26" s="142"/>
    </row>
    <row r="27">
      <c r="A27" s="5" t="s">
        <v>369</v>
      </c>
      <c r="B27" s="44">
        <v>44551.0</v>
      </c>
      <c r="C27" s="150">
        <v>0.18810185185185185</v>
      </c>
      <c r="D27" s="3"/>
      <c r="E27" s="3"/>
      <c r="F27" s="5"/>
      <c r="G27" s="5"/>
      <c r="H27" s="5"/>
      <c r="I27" s="3"/>
      <c r="J27" s="3"/>
      <c r="K27" s="3" t="s">
        <v>244</v>
      </c>
      <c r="L27" s="44">
        <v>44552.0</v>
      </c>
      <c r="M27" s="150">
        <v>0.4200462962962963</v>
      </c>
      <c r="N27" s="5"/>
      <c r="O27" s="5"/>
      <c r="P27" s="10" t="b">
        <v>0</v>
      </c>
      <c r="Q27" s="10" t="s">
        <v>2184</v>
      </c>
      <c r="R27" s="144" t="b">
        <v>1</v>
      </c>
      <c r="S27" s="144">
        <v>1.0</v>
      </c>
      <c r="T27" s="10"/>
      <c r="U27" s="5"/>
      <c r="V27" s="3"/>
      <c r="W27" s="5"/>
      <c r="X27" s="144" t="b">
        <v>0</v>
      </c>
      <c r="Y27" s="10" t="b">
        <v>0</v>
      </c>
      <c r="Z27" s="3"/>
      <c r="AA27" s="10" t="b">
        <v>0</v>
      </c>
      <c r="AB27" s="10" t="b">
        <v>0</v>
      </c>
      <c r="AC27" s="181">
        <v>743.0</v>
      </c>
      <c r="AD27" s="144" t="b">
        <v>0</v>
      </c>
      <c r="AE27" s="182"/>
      <c r="AF27" s="10" t="b">
        <v>0</v>
      </c>
      <c r="AG27" s="10" t="b">
        <v>0</v>
      </c>
      <c r="AH27" s="144"/>
      <c r="AI27" s="3"/>
      <c r="AJ27" s="10"/>
      <c r="AK27" s="3" t="s">
        <v>244</v>
      </c>
      <c r="AL27" s="5"/>
      <c r="AM27" s="5" t="s">
        <v>287</v>
      </c>
      <c r="AN27" s="5" t="s">
        <v>288</v>
      </c>
      <c r="AO27" s="5" t="s">
        <v>2185</v>
      </c>
      <c r="AP27" s="5" t="s">
        <v>2185</v>
      </c>
      <c r="AQ27" s="5" t="s">
        <v>2185</v>
      </c>
      <c r="AR27" s="5" t="s">
        <v>2185</v>
      </c>
      <c r="AS27" s="142"/>
      <c r="AT27" s="142" t="b">
        <v>0</v>
      </c>
      <c r="AU27" s="142"/>
      <c r="AV27" s="142"/>
      <c r="AW27" s="142"/>
      <c r="AX27" s="142"/>
      <c r="AY27" s="142"/>
      <c r="AZ27" s="174"/>
      <c r="BA27" s="142"/>
      <c r="BB27" s="142"/>
      <c r="BC27" s="142"/>
      <c r="BD27" s="142"/>
      <c r="BE27" s="142"/>
      <c r="BF27" s="142"/>
      <c r="BG27" s="142"/>
    </row>
    <row r="28">
      <c r="A28" s="5" t="s">
        <v>371</v>
      </c>
      <c r="B28" s="44">
        <v>44551.0</v>
      </c>
      <c r="C28" s="150">
        <v>0.47054398148148147</v>
      </c>
      <c r="D28" s="3"/>
      <c r="E28" s="3"/>
      <c r="F28" s="5"/>
      <c r="G28" s="5"/>
      <c r="H28" s="5"/>
      <c r="I28" s="3"/>
      <c r="J28" s="3"/>
      <c r="K28" s="3" t="s">
        <v>244</v>
      </c>
      <c r="L28" s="44">
        <v>44552.0</v>
      </c>
      <c r="M28" s="150">
        <v>0.4200462962962963</v>
      </c>
      <c r="N28" s="5"/>
      <c r="O28" s="5"/>
      <c r="P28" s="10" t="b">
        <v>0</v>
      </c>
      <c r="Q28" s="10" t="s">
        <v>2184</v>
      </c>
      <c r="R28" s="144" t="b">
        <v>1</v>
      </c>
      <c r="S28" s="144">
        <v>1.0</v>
      </c>
      <c r="T28" s="10"/>
      <c r="U28" s="5"/>
      <c r="V28" s="3"/>
      <c r="W28" s="5"/>
      <c r="X28" s="144" t="b">
        <v>0</v>
      </c>
      <c r="Y28" s="10" t="b">
        <v>0</v>
      </c>
      <c r="Z28" s="3"/>
      <c r="AA28" s="10" t="b">
        <v>0</v>
      </c>
      <c r="AB28" s="10" t="b">
        <v>0</v>
      </c>
      <c r="AC28" s="181">
        <v>742.0</v>
      </c>
      <c r="AD28" s="144" t="b">
        <v>0</v>
      </c>
      <c r="AE28" s="182"/>
      <c r="AF28" s="10" t="b">
        <v>0</v>
      </c>
      <c r="AG28" s="10" t="b">
        <v>0</v>
      </c>
      <c r="AH28" s="144"/>
      <c r="AI28" s="3"/>
      <c r="AJ28" s="10"/>
      <c r="AK28" s="3" t="s">
        <v>244</v>
      </c>
      <c r="AL28" s="5"/>
      <c r="AM28" s="5" t="s">
        <v>314</v>
      </c>
      <c r="AN28" s="5" t="s">
        <v>315</v>
      </c>
      <c r="AO28" s="5" t="s">
        <v>2185</v>
      </c>
      <c r="AP28" s="5" t="s">
        <v>2185</v>
      </c>
      <c r="AQ28" s="5" t="s">
        <v>2185</v>
      </c>
      <c r="AR28" s="5" t="s">
        <v>2185</v>
      </c>
      <c r="AS28" s="142"/>
      <c r="AT28" s="142" t="b">
        <v>0</v>
      </c>
      <c r="AU28" s="142"/>
      <c r="AV28" s="142"/>
      <c r="AW28" s="142"/>
      <c r="AX28" s="142"/>
      <c r="AY28" s="142"/>
      <c r="AZ28" s="174"/>
      <c r="BA28" s="142"/>
      <c r="BB28" s="142"/>
      <c r="BC28" s="142"/>
      <c r="BD28" s="142"/>
      <c r="BE28" s="142"/>
      <c r="BF28" s="142"/>
      <c r="BG28" s="142"/>
    </row>
    <row r="29">
      <c r="A29" s="5" t="s">
        <v>373</v>
      </c>
      <c r="B29" s="44">
        <v>44552.0</v>
      </c>
      <c r="C29" s="150">
        <v>0.34879629629629627</v>
      </c>
      <c r="D29" s="3"/>
      <c r="E29" s="3"/>
      <c r="F29" s="5"/>
      <c r="G29" s="5"/>
      <c r="H29" s="5"/>
      <c r="I29" s="3"/>
      <c r="J29" s="3"/>
      <c r="K29" s="3" t="s">
        <v>254</v>
      </c>
      <c r="L29" s="44"/>
      <c r="M29" s="150"/>
      <c r="N29" s="5"/>
      <c r="O29" s="5"/>
      <c r="P29" s="10" t="b">
        <v>0</v>
      </c>
      <c r="Q29" s="10" t="s">
        <v>2187</v>
      </c>
      <c r="R29" s="144" t="b">
        <v>1</v>
      </c>
      <c r="S29" s="144">
        <v>1.0</v>
      </c>
      <c r="T29" s="10"/>
      <c r="U29" s="5"/>
      <c r="V29" s="3"/>
      <c r="W29" s="5"/>
      <c r="X29" s="144" t="b">
        <v>0</v>
      </c>
      <c r="Y29" s="10" t="b">
        <v>0</v>
      </c>
      <c r="Z29" s="3"/>
      <c r="AA29" s="10" t="b">
        <v>0</v>
      </c>
      <c r="AB29" s="10" t="b">
        <v>0</v>
      </c>
      <c r="AC29" s="181">
        <v>741.0</v>
      </c>
      <c r="AD29" s="144" t="b">
        <v>0</v>
      </c>
      <c r="AE29" s="182"/>
      <c r="AF29" s="10" t="b">
        <v>0</v>
      </c>
      <c r="AG29" s="10" t="b">
        <v>0</v>
      </c>
      <c r="AH29" s="144"/>
      <c r="AI29" s="3">
        <v>4.2</v>
      </c>
      <c r="AJ29" s="10">
        <v>2.0</v>
      </c>
      <c r="AK29" s="3" t="s">
        <v>244</v>
      </c>
      <c r="AL29" s="5"/>
      <c r="AM29" s="5" t="s">
        <v>261</v>
      </c>
      <c r="AN29" s="5" t="s">
        <v>374</v>
      </c>
      <c r="AO29" s="5" t="s">
        <v>2185</v>
      </c>
      <c r="AP29" s="5" t="s">
        <v>2185</v>
      </c>
      <c r="AQ29" s="5" t="s">
        <v>2185</v>
      </c>
      <c r="AR29" s="5" t="s">
        <v>2185</v>
      </c>
      <c r="AS29" s="142"/>
      <c r="AT29" s="142" t="b">
        <v>0</v>
      </c>
      <c r="AU29" s="142"/>
      <c r="AV29" s="142"/>
      <c r="AW29" s="142"/>
      <c r="AX29" s="142"/>
      <c r="AY29" s="142"/>
      <c r="AZ29" s="174"/>
      <c r="BA29" s="142"/>
      <c r="BB29" s="142"/>
      <c r="BC29" s="142"/>
      <c r="BD29" s="142"/>
      <c r="BE29" s="142"/>
      <c r="BF29" s="142"/>
      <c r="BG29" s="142"/>
    </row>
    <row r="30">
      <c r="A30" s="5" t="s">
        <v>376</v>
      </c>
      <c r="B30" s="44">
        <v>44552.0</v>
      </c>
      <c r="C30" s="150">
        <v>0.35877314814814815</v>
      </c>
      <c r="D30" s="3"/>
      <c r="E30" s="3"/>
      <c r="F30" s="5"/>
      <c r="G30" s="5"/>
      <c r="H30" s="5"/>
      <c r="I30" s="3"/>
      <c r="J30" s="3"/>
      <c r="K30" s="3" t="s">
        <v>244</v>
      </c>
      <c r="L30" s="44">
        <v>44552.0</v>
      </c>
      <c r="M30" s="150">
        <v>0.4200462962962963</v>
      </c>
      <c r="N30" s="5"/>
      <c r="O30" s="5"/>
      <c r="P30" s="10" t="b">
        <v>0</v>
      </c>
      <c r="Q30" s="10" t="s">
        <v>2187</v>
      </c>
      <c r="R30" s="144" t="b">
        <v>1</v>
      </c>
      <c r="S30" s="144">
        <v>1.0</v>
      </c>
      <c r="T30" s="10"/>
      <c r="U30" s="5"/>
      <c r="V30" s="3"/>
      <c r="W30" s="5"/>
      <c r="X30" s="144" t="b">
        <v>0</v>
      </c>
      <c r="Y30" s="10" t="b">
        <v>0</v>
      </c>
      <c r="Z30" s="3"/>
      <c r="AA30" s="10" t="b">
        <v>0</v>
      </c>
      <c r="AB30" s="10" t="b">
        <v>0</v>
      </c>
      <c r="AC30" s="181">
        <v>740.0</v>
      </c>
      <c r="AD30" s="144" t="b">
        <v>0</v>
      </c>
      <c r="AE30" s="182">
        <v>88.23333333333335</v>
      </c>
      <c r="AF30" s="10" t="b">
        <v>0</v>
      </c>
      <c r="AG30" s="10" t="b">
        <v>0</v>
      </c>
      <c r="AH30" s="144"/>
      <c r="AI30" s="3">
        <v>4.2</v>
      </c>
      <c r="AJ30" s="10"/>
      <c r="AK30" s="3" t="s">
        <v>244</v>
      </c>
      <c r="AL30" s="5"/>
      <c r="AM30" s="5" t="s">
        <v>261</v>
      </c>
      <c r="AN30" s="5" t="s">
        <v>377</v>
      </c>
      <c r="AO30" s="5" t="s">
        <v>2185</v>
      </c>
      <c r="AP30" s="5" t="s">
        <v>2185</v>
      </c>
      <c r="AQ30" s="5" t="s">
        <v>2185</v>
      </c>
      <c r="AR30" s="5" t="s">
        <v>2185</v>
      </c>
      <c r="AS30" s="142"/>
      <c r="AT30" s="142" t="b">
        <v>0</v>
      </c>
      <c r="AU30" s="142"/>
      <c r="AV30" s="142"/>
      <c r="AW30" s="142"/>
      <c r="AX30" s="142"/>
      <c r="AY30" s="142"/>
      <c r="AZ30" s="174"/>
      <c r="BA30" s="142"/>
      <c r="BB30" s="142"/>
      <c r="BC30" s="142"/>
      <c r="BD30" s="142"/>
      <c r="BE30" s="142"/>
      <c r="BF30" s="142"/>
      <c r="BG30" s="142"/>
    </row>
    <row r="31">
      <c r="A31" s="5" t="s">
        <v>379</v>
      </c>
      <c r="B31" s="44">
        <v>44552.0</v>
      </c>
      <c r="C31" s="150">
        <v>0.3660185185185185</v>
      </c>
      <c r="D31" s="3"/>
      <c r="E31" s="3"/>
      <c r="F31" s="5"/>
      <c r="G31" s="5"/>
      <c r="H31" s="5"/>
      <c r="I31" s="3"/>
      <c r="J31" s="3"/>
      <c r="K31" s="3" t="s">
        <v>244</v>
      </c>
      <c r="L31" s="44">
        <v>44552.0</v>
      </c>
      <c r="M31" s="150">
        <v>0.4200462962962963</v>
      </c>
      <c r="N31" s="5"/>
      <c r="O31" s="5"/>
      <c r="P31" s="10" t="b">
        <v>0</v>
      </c>
      <c r="Q31" s="10" t="s">
        <v>2187</v>
      </c>
      <c r="R31" s="144" t="b">
        <v>1</v>
      </c>
      <c r="S31" s="144">
        <v>1.0</v>
      </c>
      <c r="T31" s="10"/>
      <c r="U31" s="5"/>
      <c r="V31" s="3"/>
      <c r="W31" s="5"/>
      <c r="X31" s="144" t="b">
        <v>0</v>
      </c>
      <c r="Y31" s="10" t="b">
        <v>0</v>
      </c>
      <c r="Z31" s="3"/>
      <c r="AA31" s="10" t="b">
        <v>0</v>
      </c>
      <c r="AB31" s="10" t="b">
        <v>0</v>
      </c>
      <c r="AC31" s="181">
        <v>739.0</v>
      </c>
      <c r="AD31" s="144" t="b">
        <v>0</v>
      </c>
      <c r="AE31" s="182">
        <v>77.80000000000001</v>
      </c>
      <c r="AF31" s="10" t="b">
        <v>0</v>
      </c>
      <c r="AG31" s="10" t="b">
        <v>0</v>
      </c>
      <c r="AH31" s="144"/>
      <c r="AI31" s="3">
        <v>4.2</v>
      </c>
      <c r="AJ31" s="10"/>
      <c r="AK31" s="3" t="s">
        <v>244</v>
      </c>
      <c r="AL31" s="5"/>
      <c r="AM31" s="5" t="s">
        <v>261</v>
      </c>
      <c r="AN31" s="5" t="s">
        <v>374</v>
      </c>
      <c r="AO31" s="5" t="s">
        <v>2185</v>
      </c>
      <c r="AP31" s="5" t="s">
        <v>2185</v>
      </c>
      <c r="AQ31" s="5" t="s">
        <v>2185</v>
      </c>
      <c r="AR31" s="5" t="s">
        <v>2185</v>
      </c>
      <c r="AS31" s="142"/>
      <c r="AT31" s="142" t="b">
        <v>0</v>
      </c>
      <c r="AU31" s="142"/>
      <c r="AV31" s="142"/>
      <c r="AW31" s="142"/>
      <c r="AX31" s="142"/>
      <c r="AY31" s="142"/>
      <c r="AZ31" s="174"/>
      <c r="BA31" s="142"/>
      <c r="BB31" s="142"/>
      <c r="BC31" s="142"/>
      <c r="BD31" s="142"/>
      <c r="BE31" s="142"/>
      <c r="BF31" s="142"/>
      <c r="BG31" s="142"/>
    </row>
    <row r="32">
      <c r="A32" s="5" t="s">
        <v>381</v>
      </c>
      <c r="B32" s="44">
        <v>44556.0</v>
      </c>
      <c r="C32" s="150">
        <v>0.6234837962962962</v>
      </c>
      <c r="D32" s="3"/>
      <c r="E32" s="3"/>
      <c r="F32" s="5"/>
      <c r="G32" s="5"/>
      <c r="H32" s="5"/>
      <c r="I32" s="3"/>
      <c r="J32" s="3"/>
      <c r="K32" s="3" t="s">
        <v>244</v>
      </c>
      <c r="L32" s="44">
        <v>44557.0</v>
      </c>
      <c r="M32" s="150">
        <v>0.4870949074074074</v>
      </c>
      <c r="N32" s="5"/>
      <c r="O32" s="5"/>
      <c r="P32" s="10" t="b">
        <v>0</v>
      </c>
      <c r="Q32" s="10" t="s">
        <v>2184</v>
      </c>
      <c r="R32" s="144" t="b">
        <v>1</v>
      </c>
      <c r="S32" s="144">
        <v>1.0</v>
      </c>
      <c r="T32" s="10"/>
      <c r="U32" s="5"/>
      <c r="V32" s="3"/>
      <c r="W32" s="5"/>
      <c r="X32" s="144" t="b">
        <v>0</v>
      </c>
      <c r="Y32" s="10" t="b">
        <v>0</v>
      </c>
      <c r="Z32" s="3"/>
      <c r="AA32" s="10" t="b">
        <v>0</v>
      </c>
      <c r="AB32" s="10" t="b">
        <v>0</v>
      </c>
      <c r="AC32" s="181">
        <v>738.0</v>
      </c>
      <c r="AD32" s="144" t="b">
        <v>0</v>
      </c>
      <c r="AE32" s="182"/>
      <c r="AF32" s="10" t="b">
        <v>0</v>
      </c>
      <c r="AG32" s="10" t="b">
        <v>0</v>
      </c>
      <c r="AH32" s="144"/>
      <c r="AI32" s="3"/>
      <c r="AJ32" s="10"/>
      <c r="AK32" s="3" t="s">
        <v>244</v>
      </c>
      <c r="AL32" s="5"/>
      <c r="AM32" s="5" t="s">
        <v>303</v>
      </c>
      <c r="AN32" s="5" t="s">
        <v>304</v>
      </c>
      <c r="AO32" s="5" t="s">
        <v>2185</v>
      </c>
      <c r="AP32" s="5" t="s">
        <v>2185</v>
      </c>
      <c r="AQ32" s="5" t="s">
        <v>2185</v>
      </c>
      <c r="AR32" s="5" t="s">
        <v>2185</v>
      </c>
      <c r="AS32" s="142"/>
      <c r="AT32" s="142" t="b">
        <v>0</v>
      </c>
      <c r="AU32" s="142"/>
      <c r="AV32" s="142"/>
      <c r="AW32" s="142"/>
      <c r="AX32" s="142"/>
      <c r="AY32" s="142"/>
      <c r="AZ32" s="174"/>
      <c r="BA32" s="142"/>
      <c r="BB32" s="142"/>
      <c r="BC32" s="142"/>
      <c r="BD32" s="142"/>
      <c r="BE32" s="142"/>
      <c r="BF32" s="142"/>
      <c r="BG32" s="142"/>
    </row>
    <row r="33">
      <c r="A33" s="5" t="s">
        <v>383</v>
      </c>
      <c r="B33" s="44">
        <v>44557.0</v>
      </c>
      <c r="C33" s="150">
        <v>0.3123148148148148</v>
      </c>
      <c r="D33" s="3"/>
      <c r="E33" s="3"/>
      <c r="F33" s="5"/>
      <c r="G33" s="5"/>
      <c r="H33" s="5"/>
      <c r="I33" s="3"/>
      <c r="J33" s="3"/>
      <c r="K33" s="3" t="s">
        <v>244</v>
      </c>
      <c r="L33" s="44">
        <v>44557.0</v>
      </c>
      <c r="M33" s="150">
        <v>0.4870949074074074</v>
      </c>
      <c r="N33" s="5"/>
      <c r="O33" s="5"/>
      <c r="P33" s="10" t="b">
        <v>0</v>
      </c>
      <c r="Q33" s="10" t="s">
        <v>2184</v>
      </c>
      <c r="R33" s="144" t="b">
        <v>1</v>
      </c>
      <c r="S33" s="144">
        <v>1.0</v>
      </c>
      <c r="T33" s="10"/>
      <c r="U33" s="5"/>
      <c r="V33" s="3"/>
      <c r="W33" s="5"/>
      <c r="X33" s="144" t="b">
        <v>0</v>
      </c>
      <c r="Y33" s="10" t="b">
        <v>0</v>
      </c>
      <c r="Z33" s="3"/>
      <c r="AA33" s="10" t="b">
        <v>0</v>
      </c>
      <c r="AB33" s="10" t="b">
        <v>0</v>
      </c>
      <c r="AC33" s="181">
        <v>737.0</v>
      </c>
      <c r="AD33" s="144" t="b">
        <v>0</v>
      </c>
      <c r="AE33" s="182">
        <v>251.68333333333328</v>
      </c>
      <c r="AF33" s="10" t="b">
        <v>0</v>
      </c>
      <c r="AG33" s="10" t="b">
        <v>0</v>
      </c>
      <c r="AH33" s="144"/>
      <c r="AI33" s="3"/>
      <c r="AJ33" s="10"/>
      <c r="AK33" s="3" t="s">
        <v>244</v>
      </c>
      <c r="AL33" s="5"/>
      <c r="AM33" s="5" t="s">
        <v>291</v>
      </c>
      <c r="AN33" s="5" t="s">
        <v>292</v>
      </c>
      <c r="AO33" s="5" t="s">
        <v>2185</v>
      </c>
      <c r="AP33" s="5" t="s">
        <v>2185</v>
      </c>
      <c r="AQ33" s="5" t="s">
        <v>2185</v>
      </c>
      <c r="AR33" s="5" t="s">
        <v>2185</v>
      </c>
      <c r="AS33" s="142"/>
      <c r="AT33" s="142" t="b">
        <v>0</v>
      </c>
      <c r="AU33" s="142"/>
      <c r="AV33" s="142"/>
      <c r="AW33" s="142"/>
      <c r="AX33" s="142"/>
      <c r="AY33" s="142"/>
      <c r="AZ33" s="174"/>
      <c r="BA33" s="142"/>
      <c r="BB33" s="142"/>
      <c r="BC33" s="142"/>
      <c r="BD33" s="142"/>
      <c r="BE33" s="142"/>
      <c r="BF33" s="142"/>
      <c r="BG33" s="142"/>
    </row>
    <row r="34">
      <c r="A34" s="5" t="s">
        <v>385</v>
      </c>
      <c r="B34" s="44">
        <v>44557.0</v>
      </c>
      <c r="C34" s="150">
        <v>0.31266203703703704</v>
      </c>
      <c r="D34" s="3"/>
      <c r="E34" s="3"/>
      <c r="F34" s="5"/>
      <c r="G34" s="5"/>
      <c r="H34" s="5"/>
      <c r="I34" s="3"/>
      <c r="J34" s="3"/>
      <c r="K34" s="3" t="s">
        <v>244</v>
      </c>
      <c r="L34" s="44">
        <v>44557.0</v>
      </c>
      <c r="M34" s="150">
        <v>0.4870949074074074</v>
      </c>
      <c r="N34" s="5"/>
      <c r="O34" s="5"/>
      <c r="P34" s="10" t="b">
        <v>0</v>
      </c>
      <c r="Q34" s="10" t="s">
        <v>2184</v>
      </c>
      <c r="R34" s="144" t="b">
        <v>1</v>
      </c>
      <c r="S34" s="144">
        <v>1.0</v>
      </c>
      <c r="T34" s="10"/>
      <c r="U34" s="5"/>
      <c r="V34" s="3"/>
      <c r="W34" s="5"/>
      <c r="X34" s="144" t="b">
        <v>0</v>
      </c>
      <c r="Y34" s="10" t="b">
        <v>0</v>
      </c>
      <c r="Z34" s="3"/>
      <c r="AA34" s="10" t="b">
        <v>0</v>
      </c>
      <c r="AB34" s="10" t="b">
        <v>0</v>
      </c>
      <c r="AC34" s="181">
        <v>736.0</v>
      </c>
      <c r="AD34" s="144" t="b">
        <v>0</v>
      </c>
      <c r="AE34" s="182">
        <v>251.18333333333334</v>
      </c>
      <c r="AF34" s="10" t="b">
        <v>0</v>
      </c>
      <c r="AG34" s="10" t="b">
        <v>0</v>
      </c>
      <c r="AH34" s="144"/>
      <c r="AI34" s="3"/>
      <c r="AJ34" s="10"/>
      <c r="AK34" s="3" t="s">
        <v>244</v>
      </c>
      <c r="AL34" s="5"/>
      <c r="AM34" s="5" t="s">
        <v>310</v>
      </c>
      <c r="AN34" s="5" t="s">
        <v>311</v>
      </c>
      <c r="AO34" s="5" t="s">
        <v>2185</v>
      </c>
      <c r="AP34" s="5" t="s">
        <v>2185</v>
      </c>
      <c r="AQ34" s="5" t="s">
        <v>2185</v>
      </c>
      <c r="AR34" s="5" t="s">
        <v>2185</v>
      </c>
      <c r="AS34" s="142"/>
      <c r="AT34" s="142" t="b">
        <v>0</v>
      </c>
      <c r="AU34" s="142"/>
      <c r="AV34" s="142"/>
      <c r="AW34" s="142"/>
      <c r="AX34" s="142"/>
      <c r="AY34" s="142"/>
      <c r="AZ34" s="174"/>
      <c r="BA34" s="142"/>
      <c r="BB34" s="142"/>
      <c r="BC34" s="142"/>
      <c r="BD34" s="142"/>
      <c r="BE34" s="142"/>
      <c r="BF34" s="142"/>
      <c r="BG34" s="142"/>
    </row>
    <row r="35">
      <c r="A35" s="5" t="s">
        <v>387</v>
      </c>
      <c r="B35" s="44">
        <v>44557.0</v>
      </c>
      <c r="C35" s="150">
        <v>0.3275462962962963</v>
      </c>
      <c r="D35" s="3"/>
      <c r="E35" s="3"/>
      <c r="F35" s="5"/>
      <c r="G35" s="5"/>
      <c r="H35" s="5"/>
      <c r="I35" s="3"/>
      <c r="J35" s="3"/>
      <c r="K35" s="3" t="s">
        <v>244</v>
      </c>
      <c r="L35" s="44">
        <v>44557.0</v>
      </c>
      <c r="M35" s="150">
        <v>0.4870949074074074</v>
      </c>
      <c r="N35" s="5"/>
      <c r="O35" s="5"/>
      <c r="P35" s="10" t="b">
        <v>0</v>
      </c>
      <c r="Q35" s="10" t="s">
        <v>2184</v>
      </c>
      <c r="R35" s="144" t="b">
        <v>1</v>
      </c>
      <c r="S35" s="144">
        <v>1.0</v>
      </c>
      <c r="T35" s="10"/>
      <c r="U35" s="5"/>
      <c r="V35" s="3"/>
      <c r="W35" s="5"/>
      <c r="X35" s="144" t="b">
        <v>0</v>
      </c>
      <c r="Y35" s="10" t="b">
        <v>0</v>
      </c>
      <c r="Z35" s="3"/>
      <c r="AA35" s="10" t="b">
        <v>0</v>
      </c>
      <c r="AB35" s="10" t="b">
        <v>0</v>
      </c>
      <c r="AC35" s="181">
        <v>735.0</v>
      </c>
      <c r="AD35" s="144" t="b">
        <v>0</v>
      </c>
      <c r="AE35" s="182">
        <v>229.75000000000003</v>
      </c>
      <c r="AF35" s="10" t="b">
        <v>0</v>
      </c>
      <c r="AG35" s="10" t="b">
        <v>0</v>
      </c>
      <c r="AH35" s="144"/>
      <c r="AI35" s="3"/>
      <c r="AJ35" s="10"/>
      <c r="AK35" s="3" t="s">
        <v>244</v>
      </c>
      <c r="AL35" s="5"/>
      <c r="AM35" s="5" t="s">
        <v>314</v>
      </c>
      <c r="AN35" s="5" t="s">
        <v>315</v>
      </c>
      <c r="AO35" s="5" t="s">
        <v>2185</v>
      </c>
      <c r="AP35" s="5" t="s">
        <v>2185</v>
      </c>
      <c r="AQ35" s="5" t="s">
        <v>2185</v>
      </c>
      <c r="AR35" s="5" t="s">
        <v>2185</v>
      </c>
      <c r="AS35" s="142"/>
      <c r="AT35" s="142" t="b">
        <v>0</v>
      </c>
      <c r="AU35" s="142"/>
      <c r="AV35" s="142"/>
      <c r="AW35" s="142"/>
      <c r="AX35" s="142"/>
      <c r="AY35" s="142"/>
      <c r="AZ35" s="174"/>
      <c r="BA35" s="142"/>
      <c r="BB35" s="142"/>
      <c r="BC35" s="142"/>
      <c r="BD35" s="142"/>
      <c r="BE35" s="142"/>
      <c r="BF35" s="142"/>
      <c r="BG35" s="142"/>
    </row>
    <row r="36">
      <c r="A36" s="5" t="s">
        <v>389</v>
      </c>
      <c r="B36" s="44">
        <v>44557.0</v>
      </c>
      <c r="C36" s="150">
        <v>0.32893518518518516</v>
      </c>
      <c r="D36" s="3"/>
      <c r="E36" s="3"/>
      <c r="F36" s="5"/>
      <c r="G36" s="5"/>
      <c r="H36" s="5"/>
      <c r="I36" s="3"/>
      <c r="J36" s="3"/>
      <c r="K36" s="3" t="s">
        <v>244</v>
      </c>
      <c r="L36" s="44">
        <v>44557.0</v>
      </c>
      <c r="M36" s="150">
        <v>0.4870949074074074</v>
      </c>
      <c r="N36" s="5"/>
      <c r="O36" s="5"/>
      <c r="P36" s="10" t="b">
        <v>0</v>
      </c>
      <c r="Q36" s="10" t="s">
        <v>2184</v>
      </c>
      <c r="R36" s="144" t="b">
        <v>1</v>
      </c>
      <c r="S36" s="144">
        <v>1.0</v>
      </c>
      <c r="T36" s="10"/>
      <c r="U36" s="5"/>
      <c r="V36" s="3"/>
      <c r="W36" s="5"/>
      <c r="X36" s="144" t="b">
        <v>0</v>
      </c>
      <c r="Y36" s="10" t="b">
        <v>0</v>
      </c>
      <c r="Z36" s="3"/>
      <c r="AA36" s="10" t="b">
        <v>0</v>
      </c>
      <c r="AB36" s="10" t="b">
        <v>0</v>
      </c>
      <c r="AC36" s="181">
        <v>734.0</v>
      </c>
      <c r="AD36" s="144" t="b">
        <v>0</v>
      </c>
      <c r="AE36" s="182">
        <v>227.75000000000003</v>
      </c>
      <c r="AF36" s="10" t="b">
        <v>0</v>
      </c>
      <c r="AG36" s="10" t="b">
        <v>0</v>
      </c>
      <c r="AH36" s="144"/>
      <c r="AI36" s="3"/>
      <c r="AJ36" s="10"/>
      <c r="AK36" s="3" t="s">
        <v>244</v>
      </c>
      <c r="AL36" s="5"/>
      <c r="AM36" s="5" t="s">
        <v>390</v>
      </c>
      <c r="AN36" s="5" t="s">
        <v>391</v>
      </c>
      <c r="AO36" s="5" t="s">
        <v>2185</v>
      </c>
      <c r="AP36" s="5" t="s">
        <v>2185</v>
      </c>
      <c r="AQ36" s="5" t="s">
        <v>2185</v>
      </c>
      <c r="AR36" s="5" t="s">
        <v>2185</v>
      </c>
      <c r="AS36" s="142"/>
      <c r="AT36" s="142" t="b">
        <v>0</v>
      </c>
      <c r="AU36" s="142"/>
      <c r="AV36" s="142"/>
      <c r="AW36" s="142"/>
      <c r="AX36" s="142"/>
      <c r="AY36" s="142"/>
      <c r="AZ36" s="174"/>
      <c r="BA36" s="142"/>
      <c r="BB36" s="142"/>
      <c r="BC36" s="142"/>
      <c r="BD36" s="142"/>
      <c r="BE36" s="142"/>
      <c r="BF36" s="142"/>
      <c r="BG36" s="142"/>
    </row>
    <row r="37">
      <c r="A37" s="5" t="s">
        <v>393</v>
      </c>
      <c r="B37" s="44">
        <v>44557.0</v>
      </c>
      <c r="C37" s="150">
        <v>0.3337037037037037</v>
      </c>
      <c r="D37" s="3"/>
      <c r="E37" s="3"/>
      <c r="F37" s="5"/>
      <c r="G37" s="5"/>
      <c r="H37" s="5"/>
      <c r="I37" s="3"/>
      <c r="J37" s="3"/>
      <c r="K37" s="3" t="s">
        <v>244</v>
      </c>
      <c r="L37" s="44">
        <v>44557.0</v>
      </c>
      <c r="M37" s="150">
        <v>0.4870949074074074</v>
      </c>
      <c r="N37" s="5"/>
      <c r="O37" s="5"/>
      <c r="P37" s="10" t="b">
        <v>0</v>
      </c>
      <c r="Q37" s="10" t="s">
        <v>2184</v>
      </c>
      <c r="R37" s="144" t="b">
        <v>1</v>
      </c>
      <c r="S37" s="144">
        <v>1.0</v>
      </c>
      <c r="T37" s="10"/>
      <c r="U37" s="5"/>
      <c r="V37" s="3"/>
      <c r="W37" s="5"/>
      <c r="X37" s="144" t="b">
        <v>0</v>
      </c>
      <c r="Y37" s="10" t="b">
        <v>0</v>
      </c>
      <c r="Z37" s="3"/>
      <c r="AA37" s="10" t="b">
        <v>0</v>
      </c>
      <c r="AB37" s="10" t="b">
        <v>0</v>
      </c>
      <c r="AC37" s="181">
        <v>733.0</v>
      </c>
      <c r="AD37" s="144" t="b">
        <v>0</v>
      </c>
      <c r="AE37" s="182">
        <v>220.8833333333333</v>
      </c>
      <c r="AF37" s="10" t="b">
        <v>0</v>
      </c>
      <c r="AG37" s="10" t="b">
        <v>0</v>
      </c>
      <c r="AH37" s="144"/>
      <c r="AI37" s="3"/>
      <c r="AJ37" s="10"/>
      <c r="AK37" s="3" t="s">
        <v>244</v>
      </c>
      <c r="AL37" s="5"/>
      <c r="AM37" s="5" t="s">
        <v>307</v>
      </c>
      <c r="AN37" s="5" t="s">
        <v>266</v>
      </c>
      <c r="AO37" s="5" t="s">
        <v>2185</v>
      </c>
      <c r="AP37" s="5" t="s">
        <v>2185</v>
      </c>
      <c r="AQ37" s="5" t="s">
        <v>2185</v>
      </c>
      <c r="AR37" s="5" t="s">
        <v>2185</v>
      </c>
      <c r="AS37" s="142"/>
      <c r="AT37" s="142" t="b">
        <v>0</v>
      </c>
      <c r="AU37" s="142"/>
      <c r="AV37" s="142"/>
      <c r="AW37" s="142"/>
      <c r="AX37" s="142"/>
      <c r="AY37" s="142"/>
      <c r="AZ37" s="174"/>
      <c r="BA37" s="142"/>
      <c r="BB37" s="142"/>
      <c r="BC37" s="142"/>
      <c r="BD37" s="142"/>
      <c r="BE37" s="142"/>
      <c r="BF37" s="142"/>
      <c r="BG37" s="142"/>
    </row>
    <row r="38">
      <c r="A38" s="5" t="s">
        <v>395</v>
      </c>
      <c r="B38" s="44">
        <v>44557.0</v>
      </c>
      <c r="C38" s="150">
        <v>0.3368865740740741</v>
      </c>
      <c r="D38" s="3"/>
      <c r="E38" s="3"/>
      <c r="F38" s="5"/>
      <c r="G38" s="5"/>
      <c r="H38" s="5"/>
      <c r="I38" s="3"/>
      <c r="J38" s="3"/>
      <c r="K38" s="3" t="s">
        <v>244</v>
      </c>
      <c r="L38" s="44">
        <v>44557.0</v>
      </c>
      <c r="M38" s="150">
        <v>0.4870949074074074</v>
      </c>
      <c r="N38" s="5"/>
      <c r="O38" s="5"/>
      <c r="P38" s="10" t="b">
        <v>0</v>
      </c>
      <c r="Q38" s="10" t="s">
        <v>2184</v>
      </c>
      <c r="R38" s="144" t="b">
        <v>1</v>
      </c>
      <c r="S38" s="144">
        <v>1.0</v>
      </c>
      <c r="T38" s="10"/>
      <c r="U38" s="5"/>
      <c r="V38" s="3"/>
      <c r="W38" s="5"/>
      <c r="X38" s="144" t="b">
        <v>0</v>
      </c>
      <c r="Y38" s="10" t="b">
        <v>0</v>
      </c>
      <c r="Z38" s="3"/>
      <c r="AA38" s="10" t="b">
        <v>0</v>
      </c>
      <c r="AB38" s="10" t="b">
        <v>0</v>
      </c>
      <c r="AC38" s="181">
        <v>732.0</v>
      </c>
      <c r="AD38" s="144" t="b">
        <v>0</v>
      </c>
      <c r="AE38" s="182">
        <v>216.3</v>
      </c>
      <c r="AF38" s="10" t="b">
        <v>0</v>
      </c>
      <c r="AG38" s="10" t="b">
        <v>0</v>
      </c>
      <c r="AH38" s="144"/>
      <c r="AI38" s="3"/>
      <c r="AJ38" s="10"/>
      <c r="AK38" s="3" t="s">
        <v>244</v>
      </c>
      <c r="AL38" s="5"/>
      <c r="AM38" s="5" t="s">
        <v>322</v>
      </c>
      <c r="AN38" s="5" t="s">
        <v>323</v>
      </c>
      <c r="AO38" s="5" t="s">
        <v>2185</v>
      </c>
      <c r="AP38" s="5" t="s">
        <v>2185</v>
      </c>
      <c r="AQ38" s="5" t="s">
        <v>2185</v>
      </c>
      <c r="AR38" s="5" t="s">
        <v>2185</v>
      </c>
      <c r="AS38" s="142"/>
      <c r="AT38" s="142" t="b">
        <v>0</v>
      </c>
      <c r="AU38" s="142"/>
      <c r="AV38" s="142"/>
      <c r="AW38" s="142"/>
      <c r="AX38" s="142"/>
      <c r="AY38" s="142"/>
      <c r="AZ38" s="174"/>
      <c r="BA38" s="142"/>
      <c r="BB38" s="142"/>
      <c r="BC38" s="142"/>
      <c r="BD38" s="142"/>
      <c r="BE38" s="142"/>
      <c r="BF38" s="142"/>
      <c r="BG38" s="142"/>
    </row>
    <row r="39">
      <c r="A39" s="5" t="s">
        <v>397</v>
      </c>
      <c r="B39" s="44">
        <v>44557.0</v>
      </c>
      <c r="C39" s="150">
        <v>0.34068287037037037</v>
      </c>
      <c r="D39" s="3"/>
      <c r="E39" s="3"/>
      <c r="F39" s="5"/>
      <c r="G39" s="5"/>
      <c r="H39" s="5"/>
      <c r="I39" s="3"/>
      <c r="J39" s="3"/>
      <c r="K39" s="3" t="s">
        <v>244</v>
      </c>
      <c r="L39" s="44">
        <v>44557.0</v>
      </c>
      <c r="M39" s="150">
        <v>0.4870949074074074</v>
      </c>
      <c r="N39" s="5"/>
      <c r="O39" s="5"/>
      <c r="P39" s="10" t="b">
        <v>0</v>
      </c>
      <c r="Q39" s="10" t="s">
        <v>2184</v>
      </c>
      <c r="R39" s="144" t="b">
        <v>1</v>
      </c>
      <c r="S39" s="144">
        <v>1.0</v>
      </c>
      <c r="T39" s="10"/>
      <c r="U39" s="5"/>
      <c r="V39" s="3"/>
      <c r="W39" s="5"/>
      <c r="X39" s="144" t="b">
        <v>0</v>
      </c>
      <c r="Y39" s="10" t="b">
        <v>0</v>
      </c>
      <c r="Z39" s="3"/>
      <c r="AA39" s="10" t="b">
        <v>0</v>
      </c>
      <c r="AB39" s="10" t="b">
        <v>0</v>
      </c>
      <c r="AC39" s="181">
        <v>731.0</v>
      </c>
      <c r="AD39" s="144" t="b">
        <v>0</v>
      </c>
      <c r="AE39" s="182">
        <v>210.83333333333334</v>
      </c>
      <c r="AF39" s="10" t="b">
        <v>0</v>
      </c>
      <c r="AG39" s="10" t="b">
        <v>0</v>
      </c>
      <c r="AH39" s="144"/>
      <c r="AI39" s="3"/>
      <c r="AJ39" s="10"/>
      <c r="AK39" s="3" t="s">
        <v>244</v>
      </c>
      <c r="AL39" s="5"/>
      <c r="AM39" s="5" t="s">
        <v>398</v>
      </c>
      <c r="AN39" s="5" t="s">
        <v>399</v>
      </c>
      <c r="AO39" s="5" t="s">
        <v>2185</v>
      </c>
      <c r="AP39" s="5" t="s">
        <v>2185</v>
      </c>
      <c r="AQ39" s="5" t="s">
        <v>2185</v>
      </c>
      <c r="AR39" s="5" t="s">
        <v>2185</v>
      </c>
      <c r="AS39" s="142"/>
      <c r="AT39" s="142" t="b">
        <v>0</v>
      </c>
      <c r="AU39" s="142"/>
      <c r="AV39" s="142"/>
      <c r="AW39" s="142"/>
      <c r="AX39" s="142"/>
      <c r="AY39" s="142"/>
      <c r="AZ39" s="174"/>
      <c r="BA39" s="142"/>
      <c r="BB39" s="142"/>
      <c r="BC39" s="142"/>
      <c r="BD39" s="142"/>
      <c r="BE39" s="142"/>
      <c r="BF39" s="142"/>
      <c r="BG39" s="142"/>
    </row>
    <row r="40">
      <c r="A40" s="5" t="s">
        <v>401</v>
      </c>
      <c r="B40" s="44">
        <v>44557.0</v>
      </c>
      <c r="C40" s="150">
        <v>0.34118055555555554</v>
      </c>
      <c r="D40" s="3"/>
      <c r="E40" s="3"/>
      <c r="F40" s="5"/>
      <c r="G40" s="5"/>
      <c r="H40" s="5"/>
      <c r="I40" s="3"/>
      <c r="J40" s="3"/>
      <c r="K40" s="3" t="s">
        <v>244</v>
      </c>
      <c r="L40" s="44">
        <v>44557.0</v>
      </c>
      <c r="M40" s="150">
        <v>0.4870949074074074</v>
      </c>
      <c r="N40" s="5"/>
      <c r="O40" s="5"/>
      <c r="P40" s="10" t="b">
        <v>0</v>
      </c>
      <c r="Q40" s="10" t="s">
        <v>2184</v>
      </c>
      <c r="R40" s="144" t="b">
        <v>1</v>
      </c>
      <c r="S40" s="144">
        <v>1.0</v>
      </c>
      <c r="T40" s="10"/>
      <c r="U40" s="5"/>
      <c r="V40" s="3"/>
      <c r="W40" s="5"/>
      <c r="X40" s="144" t="b">
        <v>0</v>
      </c>
      <c r="Y40" s="10" t="b">
        <v>0</v>
      </c>
      <c r="Z40" s="3"/>
      <c r="AA40" s="10" t="b">
        <v>0</v>
      </c>
      <c r="AB40" s="10" t="b">
        <v>0</v>
      </c>
      <c r="AC40" s="181">
        <v>730.0</v>
      </c>
      <c r="AD40" s="144" t="b">
        <v>0</v>
      </c>
      <c r="AE40" s="182">
        <v>210.11666666666667</v>
      </c>
      <c r="AF40" s="10" t="b">
        <v>0</v>
      </c>
      <c r="AG40" s="10" t="b">
        <v>0</v>
      </c>
      <c r="AH40" s="144"/>
      <c r="AI40" s="3"/>
      <c r="AJ40" s="10"/>
      <c r="AK40" s="3" t="s">
        <v>244</v>
      </c>
      <c r="AL40" s="5"/>
      <c r="AM40" s="5" t="s">
        <v>318</v>
      </c>
      <c r="AN40" s="5" t="s">
        <v>319</v>
      </c>
      <c r="AO40" s="5" t="s">
        <v>2185</v>
      </c>
      <c r="AP40" s="5" t="s">
        <v>2185</v>
      </c>
      <c r="AQ40" s="5" t="s">
        <v>2185</v>
      </c>
      <c r="AR40" s="5" t="s">
        <v>2185</v>
      </c>
      <c r="AS40" s="142"/>
      <c r="AT40" s="142" t="b">
        <v>0</v>
      </c>
      <c r="AU40" s="142"/>
      <c r="AV40" s="142"/>
      <c r="AW40" s="142"/>
      <c r="AX40" s="142"/>
      <c r="AY40" s="142"/>
      <c r="AZ40" s="174"/>
      <c r="BA40" s="142"/>
      <c r="BB40" s="142"/>
      <c r="BC40" s="142"/>
      <c r="BD40" s="142"/>
      <c r="BE40" s="142"/>
      <c r="BF40" s="142"/>
      <c r="BG40" s="142"/>
    </row>
    <row r="41">
      <c r="A41" s="5" t="s">
        <v>403</v>
      </c>
      <c r="B41" s="44">
        <v>44557.0</v>
      </c>
      <c r="C41" s="150">
        <v>0.35445601851851855</v>
      </c>
      <c r="D41" s="3"/>
      <c r="E41" s="3"/>
      <c r="F41" s="5"/>
      <c r="G41" s="5"/>
      <c r="H41" s="5"/>
      <c r="I41" s="3"/>
      <c r="J41" s="3"/>
      <c r="K41" s="3" t="s">
        <v>244</v>
      </c>
      <c r="L41" s="44">
        <v>44557.0</v>
      </c>
      <c r="M41" s="150">
        <v>0.4870949074074074</v>
      </c>
      <c r="N41" s="5"/>
      <c r="O41" s="5"/>
      <c r="P41" s="10" t="b">
        <v>0</v>
      </c>
      <c r="Q41" s="10" t="s">
        <v>2184</v>
      </c>
      <c r="R41" s="144" t="b">
        <v>1</v>
      </c>
      <c r="S41" s="144">
        <v>1.0</v>
      </c>
      <c r="T41" s="10"/>
      <c r="U41" s="5"/>
      <c r="V41" s="3"/>
      <c r="W41" s="5"/>
      <c r="X41" s="144" t="b">
        <v>0</v>
      </c>
      <c r="Y41" s="10" t="b">
        <v>0</v>
      </c>
      <c r="Z41" s="3"/>
      <c r="AA41" s="10" t="b">
        <v>0</v>
      </c>
      <c r="AB41" s="10" t="b">
        <v>0</v>
      </c>
      <c r="AC41" s="181">
        <v>729.0</v>
      </c>
      <c r="AD41" s="144" t="b">
        <v>0</v>
      </c>
      <c r="AE41" s="182">
        <v>190.99999999999997</v>
      </c>
      <c r="AF41" s="10" t="b">
        <v>0</v>
      </c>
      <c r="AG41" s="10" t="b">
        <v>0</v>
      </c>
      <c r="AH41" s="144"/>
      <c r="AI41" s="3"/>
      <c r="AJ41" s="10"/>
      <c r="AK41" s="3" t="s">
        <v>244</v>
      </c>
      <c r="AL41" s="5"/>
      <c r="AM41" s="5" t="s">
        <v>356</v>
      </c>
      <c r="AN41" s="5" t="s">
        <v>357</v>
      </c>
      <c r="AO41" s="5" t="s">
        <v>2185</v>
      </c>
      <c r="AP41" s="5" t="s">
        <v>2185</v>
      </c>
      <c r="AQ41" s="5" t="s">
        <v>2185</v>
      </c>
      <c r="AR41" s="5" t="s">
        <v>2185</v>
      </c>
      <c r="AS41" s="142"/>
      <c r="AT41" s="142" t="b">
        <v>0</v>
      </c>
      <c r="AU41" s="142"/>
      <c r="AV41" s="142"/>
      <c r="AW41" s="142"/>
      <c r="AX41" s="142"/>
      <c r="AY41" s="142"/>
      <c r="AZ41" s="174"/>
      <c r="BA41" s="142"/>
      <c r="BB41" s="142"/>
      <c r="BC41" s="142"/>
      <c r="BD41" s="142"/>
      <c r="BE41" s="142"/>
      <c r="BF41" s="142"/>
      <c r="BG41" s="142"/>
    </row>
    <row r="42">
      <c r="A42" s="5" t="s">
        <v>405</v>
      </c>
      <c r="B42" s="44">
        <v>44557.0</v>
      </c>
      <c r="C42" s="150">
        <v>0.36072916666666666</v>
      </c>
      <c r="D42" s="3"/>
      <c r="E42" s="3"/>
      <c r="F42" s="5"/>
      <c r="G42" s="5"/>
      <c r="H42" s="5"/>
      <c r="I42" s="3"/>
      <c r="J42" s="3"/>
      <c r="K42" s="3" t="s">
        <v>244</v>
      </c>
      <c r="L42" s="44">
        <v>44557.0</v>
      </c>
      <c r="M42" s="150">
        <v>0.4870949074074074</v>
      </c>
      <c r="N42" s="5"/>
      <c r="O42" s="5"/>
      <c r="P42" s="10" t="b">
        <v>0</v>
      </c>
      <c r="Q42" s="10" t="s">
        <v>2184</v>
      </c>
      <c r="R42" s="144" t="b">
        <v>1</v>
      </c>
      <c r="S42" s="144">
        <v>1.0</v>
      </c>
      <c r="T42" s="10"/>
      <c r="U42" s="5"/>
      <c r="V42" s="3"/>
      <c r="W42" s="5"/>
      <c r="X42" s="144" t="b">
        <v>0</v>
      </c>
      <c r="Y42" s="10" t="b">
        <v>0</v>
      </c>
      <c r="Z42" s="3"/>
      <c r="AA42" s="10" t="b">
        <v>0</v>
      </c>
      <c r="AB42" s="10" t="b">
        <v>0</v>
      </c>
      <c r="AC42" s="181">
        <v>728.0</v>
      </c>
      <c r="AD42" s="144" t="b">
        <v>0</v>
      </c>
      <c r="AE42" s="182">
        <v>181.96666666666667</v>
      </c>
      <c r="AF42" s="10" t="b">
        <v>0</v>
      </c>
      <c r="AG42" s="10" t="b">
        <v>0</v>
      </c>
      <c r="AH42" s="144"/>
      <c r="AI42" s="3"/>
      <c r="AJ42" s="10"/>
      <c r="AK42" s="3" t="s">
        <v>244</v>
      </c>
      <c r="AL42" s="5"/>
      <c r="AM42" s="5" t="s">
        <v>257</v>
      </c>
      <c r="AN42" s="5" t="s">
        <v>406</v>
      </c>
      <c r="AO42" s="5" t="s">
        <v>2185</v>
      </c>
      <c r="AP42" s="5" t="s">
        <v>2185</v>
      </c>
      <c r="AQ42" s="5" t="s">
        <v>2185</v>
      </c>
      <c r="AR42" s="5" t="s">
        <v>2185</v>
      </c>
      <c r="AS42" s="142"/>
      <c r="AT42" s="142" t="b">
        <v>0</v>
      </c>
      <c r="AU42" s="142"/>
      <c r="AV42" s="142"/>
      <c r="AW42" s="142"/>
      <c r="AX42" s="142"/>
      <c r="AY42" s="142"/>
      <c r="AZ42" s="174"/>
      <c r="BA42" s="142"/>
      <c r="BB42" s="142"/>
      <c r="BC42" s="142"/>
      <c r="BD42" s="142"/>
      <c r="BE42" s="142"/>
      <c r="BF42" s="142"/>
      <c r="BG42" s="142"/>
    </row>
    <row r="43">
      <c r="A43" s="5" t="s">
        <v>408</v>
      </c>
      <c r="B43" s="44">
        <v>44557.0</v>
      </c>
      <c r="C43" s="150">
        <v>0.37775462962962963</v>
      </c>
      <c r="D43" s="3"/>
      <c r="E43" s="3"/>
      <c r="F43" s="5"/>
      <c r="G43" s="5"/>
      <c r="H43" s="5"/>
      <c r="I43" s="3"/>
      <c r="J43" s="3"/>
      <c r="K43" s="3" t="s">
        <v>244</v>
      </c>
      <c r="L43" s="44">
        <v>44557.0</v>
      </c>
      <c r="M43" s="150">
        <v>0.4870949074074074</v>
      </c>
      <c r="N43" s="5"/>
      <c r="O43" s="5"/>
      <c r="P43" s="10" t="b">
        <v>0</v>
      </c>
      <c r="Q43" s="10" t="s">
        <v>2184</v>
      </c>
      <c r="R43" s="144" t="b">
        <v>1</v>
      </c>
      <c r="S43" s="144">
        <v>1.0</v>
      </c>
      <c r="T43" s="10"/>
      <c r="U43" s="5"/>
      <c r="V43" s="3"/>
      <c r="W43" s="5"/>
      <c r="X43" s="144" t="b">
        <v>0</v>
      </c>
      <c r="Y43" s="10" t="b">
        <v>0</v>
      </c>
      <c r="Z43" s="3"/>
      <c r="AA43" s="10" t="b">
        <v>0</v>
      </c>
      <c r="AB43" s="10" t="b">
        <v>0</v>
      </c>
      <c r="AC43" s="181">
        <v>727.0</v>
      </c>
      <c r="AD43" s="144" t="b">
        <v>0</v>
      </c>
      <c r="AE43" s="182">
        <v>157.45</v>
      </c>
      <c r="AF43" s="10" t="b">
        <v>0</v>
      </c>
      <c r="AG43" s="10" t="b">
        <v>0</v>
      </c>
      <c r="AH43" s="144"/>
      <c r="AI43" s="3"/>
      <c r="AJ43" s="10"/>
      <c r="AK43" s="3" t="s">
        <v>244</v>
      </c>
      <c r="AL43" s="5"/>
      <c r="AM43" s="5" t="s">
        <v>409</v>
      </c>
      <c r="AN43" s="5" t="s">
        <v>410</v>
      </c>
      <c r="AO43" s="5" t="s">
        <v>2185</v>
      </c>
      <c r="AP43" s="5" t="s">
        <v>2185</v>
      </c>
      <c r="AQ43" s="5" t="s">
        <v>2185</v>
      </c>
      <c r="AR43" s="5" t="s">
        <v>2185</v>
      </c>
      <c r="AS43" s="142"/>
      <c r="AT43" s="142" t="b">
        <v>0</v>
      </c>
      <c r="AU43" s="142"/>
      <c r="AV43" s="142"/>
      <c r="AW43" s="142"/>
      <c r="AX43" s="142"/>
      <c r="AY43" s="142"/>
      <c r="AZ43" s="174"/>
      <c r="BA43" s="142"/>
      <c r="BB43" s="142"/>
      <c r="BC43" s="142"/>
      <c r="BD43" s="142"/>
      <c r="BE43" s="142"/>
      <c r="BF43" s="142"/>
      <c r="BG43" s="142"/>
    </row>
    <row r="44">
      <c r="A44" s="5" t="s">
        <v>412</v>
      </c>
      <c r="B44" s="44">
        <v>44557.0</v>
      </c>
      <c r="C44" s="150">
        <v>0.3893287037037037</v>
      </c>
      <c r="D44" s="3"/>
      <c r="E44" s="3"/>
      <c r="F44" s="5"/>
      <c r="G44" s="5"/>
      <c r="H44" s="5"/>
      <c r="I44" s="3"/>
      <c r="J44" s="3"/>
      <c r="K44" s="3" t="s">
        <v>244</v>
      </c>
      <c r="L44" s="44">
        <v>44557.0</v>
      </c>
      <c r="M44" s="150">
        <v>0.4870949074074074</v>
      </c>
      <c r="N44" s="5"/>
      <c r="O44" s="5"/>
      <c r="P44" s="10" t="b">
        <v>0</v>
      </c>
      <c r="Q44" s="10" t="s">
        <v>2184</v>
      </c>
      <c r="R44" s="144" t="b">
        <v>1</v>
      </c>
      <c r="S44" s="144">
        <v>1.0</v>
      </c>
      <c r="T44" s="10"/>
      <c r="U44" s="5"/>
      <c r="V44" s="3"/>
      <c r="W44" s="5"/>
      <c r="X44" s="144" t="b">
        <v>0</v>
      </c>
      <c r="Y44" s="10" t="b">
        <v>0</v>
      </c>
      <c r="Z44" s="3"/>
      <c r="AA44" s="10" t="b">
        <v>0</v>
      </c>
      <c r="AB44" s="10" t="b">
        <v>0</v>
      </c>
      <c r="AC44" s="181">
        <v>726.0</v>
      </c>
      <c r="AD44" s="144" t="b">
        <v>0</v>
      </c>
      <c r="AE44" s="182">
        <v>140.78333333333333</v>
      </c>
      <c r="AF44" s="10" t="b">
        <v>0</v>
      </c>
      <c r="AG44" s="10" t="b">
        <v>0</v>
      </c>
      <c r="AH44" s="144"/>
      <c r="AI44" s="3"/>
      <c r="AJ44" s="10"/>
      <c r="AK44" s="3" t="s">
        <v>244</v>
      </c>
      <c r="AL44" s="5"/>
      <c r="AM44" s="5" t="s">
        <v>328</v>
      </c>
      <c r="AN44" s="5" t="s">
        <v>329</v>
      </c>
      <c r="AO44" s="5" t="s">
        <v>2185</v>
      </c>
      <c r="AP44" s="5" t="s">
        <v>2185</v>
      </c>
      <c r="AQ44" s="5" t="s">
        <v>2185</v>
      </c>
      <c r="AR44" s="5" t="s">
        <v>2185</v>
      </c>
      <c r="AS44" s="142"/>
      <c r="AT44" s="142" t="b">
        <v>0</v>
      </c>
      <c r="AU44" s="142"/>
      <c r="AV44" s="142"/>
      <c r="AW44" s="142"/>
      <c r="AX44" s="142"/>
      <c r="AY44" s="142"/>
      <c r="AZ44" s="174"/>
      <c r="BA44" s="142"/>
      <c r="BB44" s="142"/>
      <c r="BC44" s="142"/>
      <c r="BD44" s="142"/>
      <c r="BE44" s="142"/>
      <c r="BF44" s="142"/>
      <c r="BG44" s="142"/>
    </row>
    <row r="45">
      <c r="A45" s="5" t="s">
        <v>414</v>
      </c>
      <c r="B45" s="44">
        <v>44557.0</v>
      </c>
      <c r="C45" s="150">
        <v>0.4255902777777778</v>
      </c>
      <c r="D45" s="3"/>
      <c r="E45" s="3"/>
      <c r="F45" s="5"/>
      <c r="G45" s="5"/>
      <c r="H45" s="5"/>
      <c r="I45" s="3"/>
      <c r="J45" s="3"/>
      <c r="K45" s="3" t="s">
        <v>244</v>
      </c>
      <c r="L45" s="44">
        <v>44557.0</v>
      </c>
      <c r="M45" s="150">
        <v>0.4871064814814815</v>
      </c>
      <c r="N45" s="5"/>
      <c r="O45" s="5"/>
      <c r="P45" s="10" t="b">
        <v>0</v>
      </c>
      <c r="Q45" s="10" t="s">
        <v>2184</v>
      </c>
      <c r="R45" s="144" t="b">
        <v>1</v>
      </c>
      <c r="S45" s="144">
        <v>1.0</v>
      </c>
      <c r="T45" s="10"/>
      <c r="U45" s="5"/>
      <c r="V45" s="3"/>
      <c r="W45" s="5"/>
      <c r="X45" s="144" t="b">
        <v>0</v>
      </c>
      <c r="Y45" s="10" t="b">
        <v>0</v>
      </c>
      <c r="Z45" s="3"/>
      <c r="AA45" s="10" t="b">
        <v>0</v>
      </c>
      <c r="AB45" s="10" t="b">
        <v>0</v>
      </c>
      <c r="AC45" s="181">
        <v>725.0</v>
      </c>
      <c r="AD45" s="144" t="b">
        <v>0</v>
      </c>
      <c r="AE45" s="182">
        <v>88.58333333333333</v>
      </c>
      <c r="AF45" s="10" t="b">
        <v>0</v>
      </c>
      <c r="AG45" s="10" t="b">
        <v>0</v>
      </c>
      <c r="AH45" s="144"/>
      <c r="AI45" s="3"/>
      <c r="AJ45" s="10"/>
      <c r="AK45" s="3" t="s">
        <v>244</v>
      </c>
      <c r="AL45" s="5"/>
      <c r="AM45" s="5" t="s">
        <v>269</v>
      </c>
      <c r="AN45" s="5" t="s">
        <v>270</v>
      </c>
      <c r="AO45" s="5" t="s">
        <v>2185</v>
      </c>
      <c r="AP45" s="5" t="s">
        <v>2185</v>
      </c>
      <c r="AQ45" s="5" t="s">
        <v>2185</v>
      </c>
      <c r="AR45" s="5" t="s">
        <v>2185</v>
      </c>
      <c r="AS45" s="142"/>
      <c r="AT45" s="142" t="b">
        <v>0</v>
      </c>
      <c r="AU45" s="142"/>
      <c r="AV45" s="142"/>
      <c r="AW45" s="142"/>
      <c r="AX45" s="142"/>
      <c r="AY45" s="142"/>
      <c r="AZ45" s="174"/>
      <c r="BA45" s="142"/>
      <c r="BB45" s="142"/>
      <c r="BC45" s="142"/>
      <c r="BD45" s="142"/>
      <c r="BE45" s="142"/>
      <c r="BF45" s="142"/>
      <c r="BG45" s="142"/>
    </row>
    <row r="46">
      <c r="A46" s="5" t="s">
        <v>416</v>
      </c>
      <c r="B46" s="44">
        <v>44557.0</v>
      </c>
      <c r="C46" s="150">
        <v>0.4258796296296296</v>
      </c>
      <c r="D46" s="3"/>
      <c r="E46" s="3"/>
      <c r="F46" s="5"/>
      <c r="G46" s="5"/>
      <c r="H46" s="5"/>
      <c r="I46" s="3"/>
      <c r="J46" s="3"/>
      <c r="K46" s="3" t="s">
        <v>244</v>
      </c>
      <c r="L46" s="44">
        <v>44557.0</v>
      </c>
      <c r="M46" s="150">
        <v>0.4871064814814815</v>
      </c>
      <c r="N46" s="5"/>
      <c r="O46" s="5"/>
      <c r="P46" s="10" t="b">
        <v>0</v>
      </c>
      <c r="Q46" s="10" t="s">
        <v>2184</v>
      </c>
      <c r="R46" s="144" t="b">
        <v>1</v>
      </c>
      <c r="S46" s="144">
        <v>1.0</v>
      </c>
      <c r="T46" s="10"/>
      <c r="U46" s="5"/>
      <c r="V46" s="3"/>
      <c r="W46" s="5"/>
      <c r="X46" s="144" t="b">
        <v>0</v>
      </c>
      <c r="Y46" s="10" t="b">
        <v>0</v>
      </c>
      <c r="Z46" s="3"/>
      <c r="AA46" s="10" t="b">
        <v>0</v>
      </c>
      <c r="AB46" s="10" t="b">
        <v>0</v>
      </c>
      <c r="AC46" s="181">
        <v>724.0</v>
      </c>
      <c r="AD46" s="144" t="b">
        <v>0</v>
      </c>
      <c r="AE46" s="182">
        <v>88.16666666666673</v>
      </c>
      <c r="AF46" s="10" t="b">
        <v>0</v>
      </c>
      <c r="AG46" s="10" t="b">
        <v>0</v>
      </c>
      <c r="AH46" s="144"/>
      <c r="AI46" s="3"/>
      <c r="AJ46" s="10"/>
      <c r="AK46" s="3" t="s">
        <v>244</v>
      </c>
      <c r="AL46" s="5"/>
      <c r="AM46" s="5" t="s">
        <v>261</v>
      </c>
      <c r="AN46" s="5" t="s">
        <v>363</v>
      </c>
      <c r="AO46" s="5" t="s">
        <v>2185</v>
      </c>
      <c r="AP46" s="5" t="s">
        <v>2185</v>
      </c>
      <c r="AQ46" s="5" t="s">
        <v>2185</v>
      </c>
      <c r="AR46" s="5" t="s">
        <v>2185</v>
      </c>
      <c r="AS46" s="142"/>
      <c r="AT46" s="142" t="b">
        <v>0</v>
      </c>
      <c r="AU46" s="142"/>
      <c r="AV46" s="142"/>
      <c r="AW46" s="142"/>
      <c r="AX46" s="142"/>
      <c r="AY46" s="142"/>
      <c r="AZ46" s="174"/>
      <c r="BA46" s="142"/>
      <c r="BB46" s="142"/>
      <c r="BC46" s="142"/>
      <c r="BD46" s="142"/>
      <c r="BE46" s="142"/>
      <c r="BF46" s="142"/>
      <c r="BG46" s="142"/>
    </row>
    <row r="47">
      <c r="A47" s="5" t="s">
        <v>418</v>
      </c>
      <c r="B47" s="44">
        <v>44559.0</v>
      </c>
      <c r="C47" s="150">
        <v>0.2964467592592593</v>
      </c>
      <c r="D47" s="3"/>
      <c r="E47" s="3"/>
      <c r="F47" s="5"/>
      <c r="G47" s="5"/>
      <c r="H47" s="5"/>
      <c r="I47" s="3"/>
      <c r="J47" s="3"/>
      <c r="K47" s="3" t="s">
        <v>244</v>
      </c>
      <c r="L47" s="44">
        <v>44559.0</v>
      </c>
      <c r="M47" s="150">
        <v>0.4366319444444444</v>
      </c>
      <c r="N47" s="5"/>
      <c r="O47" s="5"/>
      <c r="P47" s="10" t="b">
        <v>0</v>
      </c>
      <c r="Q47" s="10" t="s">
        <v>2184</v>
      </c>
      <c r="R47" s="144" t="b">
        <v>1</v>
      </c>
      <c r="S47" s="144">
        <v>1.0</v>
      </c>
      <c r="T47" s="10"/>
      <c r="U47" s="5"/>
      <c r="V47" s="3"/>
      <c r="W47" s="5"/>
      <c r="X47" s="144" t="b">
        <v>0</v>
      </c>
      <c r="Y47" s="10" t="b">
        <v>0</v>
      </c>
      <c r="Z47" s="3"/>
      <c r="AA47" s="10" t="b">
        <v>0</v>
      </c>
      <c r="AB47" s="10" t="b">
        <v>0</v>
      </c>
      <c r="AC47" s="181">
        <v>723.0</v>
      </c>
      <c r="AD47" s="144" t="b">
        <v>0</v>
      </c>
      <c r="AE47" s="182">
        <v>201.8666666666666</v>
      </c>
      <c r="AF47" s="10" t="b">
        <v>0</v>
      </c>
      <c r="AG47" s="10" t="b">
        <v>0</v>
      </c>
      <c r="AH47" s="144"/>
      <c r="AI47" s="3"/>
      <c r="AJ47" s="10"/>
      <c r="AK47" s="3" t="s">
        <v>244</v>
      </c>
      <c r="AL47" s="5"/>
      <c r="AM47" s="5" t="s">
        <v>419</v>
      </c>
      <c r="AN47" s="5" t="s">
        <v>420</v>
      </c>
      <c r="AO47" s="5" t="s">
        <v>2185</v>
      </c>
      <c r="AP47" s="5" t="s">
        <v>2185</v>
      </c>
      <c r="AQ47" s="5" t="s">
        <v>2185</v>
      </c>
      <c r="AR47" s="5" t="s">
        <v>2185</v>
      </c>
      <c r="AS47" s="142"/>
      <c r="AT47" s="142" t="b">
        <v>0</v>
      </c>
      <c r="AU47" s="142"/>
      <c r="AV47" s="142"/>
      <c r="AW47" s="142"/>
      <c r="AX47" s="142"/>
      <c r="AY47" s="142"/>
      <c r="AZ47" s="174"/>
      <c r="BA47" s="142"/>
      <c r="BB47" s="142"/>
      <c r="BC47" s="142"/>
      <c r="BD47" s="142"/>
      <c r="BE47" s="142"/>
      <c r="BF47" s="142"/>
      <c r="BG47" s="142"/>
    </row>
    <row r="48">
      <c r="A48" s="5" t="s">
        <v>422</v>
      </c>
      <c r="B48" s="44">
        <v>44559.0</v>
      </c>
      <c r="C48" s="150">
        <v>0.35658564814814814</v>
      </c>
      <c r="D48" s="3"/>
      <c r="E48" s="3"/>
      <c r="F48" s="5"/>
      <c r="G48" s="5"/>
      <c r="H48" s="5"/>
      <c r="I48" s="3"/>
      <c r="J48" s="3"/>
      <c r="K48" s="3" t="s">
        <v>244</v>
      </c>
      <c r="L48" s="44">
        <v>44559.0</v>
      </c>
      <c r="M48" s="150">
        <v>0.4366319444444444</v>
      </c>
      <c r="N48" s="5"/>
      <c r="O48" s="5"/>
      <c r="P48" s="10" t="b">
        <v>0</v>
      </c>
      <c r="Q48" s="10" t="s">
        <v>2184</v>
      </c>
      <c r="R48" s="144" t="b">
        <v>1</v>
      </c>
      <c r="S48" s="144">
        <v>1.0</v>
      </c>
      <c r="T48" s="10"/>
      <c r="U48" s="5"/>
      <c r="V48" s="3"/>
      <c r="W48" s="5"/>
      <c r="X48" s="144" t="b">
        <v>0</v>
      </c>
      <c r="Y48" s="10" t="b">
        <v>0</v>
      </c>
      <c r="Z48" s="3"/>
      <c r="AA48" s="10" t="b">
        <v>0</v>
      </c>
      <c r="AB48" s="10" t="b">
        <v>0</v>
      </c>
      <c r="AC48" s="181">
        <v>722.0</v>
      </c>
      <c r="AD48" s="144" t="b">
        <v>0</v>
      </c>
      <c r="AE48" s="182">
        <v>115.26666666666665</v>
      </c>
      <c r="AF48" s="10" t="b">
        <v>0</v>
      </c>
      <c r="AG48" s="10" t="b">
        <v>0</v>
      </c>
      <c r="AH48" s="144"/>
      <c r="AI48" s="3"/>
      <c r="AJ48" s="10"/>
      <c r="AK48" s="3" t="s">
        <v>244</v>
      </c>
      <c r="AL48" s="5"/>
      <c r="AM48" s="5" t="s">
        <v>257</v>
      </c>
      <c r="AN48" s="5" t="s">
        <v>406</v>
      </c>
      <c r="AO48" s="5" t="s">
        <v>2185</v>
      </c>
      <c r="AP48" s="5" t="s">
        <v>2185</v>
      </c>
      <c r="AQ48" s="5" t="s">
        <v>2185</v>
      </c>
      <c r="AR48" s="5" t="s">
        <v>2185</v>
      </c>
      <c r="AS48" s="142"/>
      <c r="AT48" s="142" t="b">
        <v>0</v>
      </c>
      <c r="AU48" s="142"/>
      <c r="AV48" s="142"/>
      <c r="AW48" s="142"/>
      <c r="AX48" s="142"/>
      <c r="AY48" s="142"/>
      <c r="AZ48" s="174"/>
      <c r="BA48" s="142"/>
      <c r="BB48" s="142"/>
      <c r="BC48" s="142"/>
      <c r="BD48" s="142"/>
      <c r="BE48" s="142"/>
      <c r="BF48" s="142"/>
      <c r="BG48" s="142"/>
    </row>
    <row r="49">
      <c r="A49" s="5" t="s">
        <v>424</v>
      </c>
      <c r="B49" s="44">
        <v>44559.0</v>
      </c>
      <c r="C49" s="150">
        <v>0.3973263888888889</v>
      </c>
      <c r="D49" s="3"/>
      <c r="E49" s="3"/>
      <c r="F49" s="5"/>
      <c r="G49" s="5"/>
      <c r="H49" s="5"/>
      <c r="I49" s="3"/>
      <c r="J49" s="3"/>
      <c r="K49" s="3" t="s">
        <v>244</v>
      </c>
      <c r="L49" s="44">
        <v>44559.0</v>
      </c>
      <c r="M49" s="150">
        <v>0.4366319444444444</v>
      </c>
      <c r="N49" s="5"/>
      <c r="O49" s="5"/>
      <c r="P49" s="10" t="b">
        <v>0</v>
      </c>
      <c r="Q49" s="10" t="s">
        <v>2184</v>
      </c>
      <c r="R49" s="144" t="b">
        <v>1</v>
      </c>
      <c r="S49" s="144">
        <v>1.0</v>
      </c>
      <c r="T49" s="10"/>
      <c r="U49" s="5"/>
      <c r="V49" s="3"/>
      <c r="W49" s="5"/>
      <c r="X49" s="144" t="b">
        <v>0</v>
      </c>
      <c r="Y49" s="10" t="b">
        <v>0</v>
      </c>
      <c r="Z49" s="3"/>
      <c r="AA49" s="10" t="b">
        <v>0</v>
      </c>
      <c r="AB49" s="10" t="b">
        <v>0</v>
      </c>
      <c r="AC49" s="181">
        <v>721.0</v>
      </c>
      <c r="AD49" s="144" t="b">
        <v>0</v>
      </c>
      <c r="AE49" s="182">
        <v>56.59999999999997</v>
      </c>
      <c r="AF49" s="10" t="b">
        <v>0</v>
      </c>
      <c r="AG49" s="10" t="b">
        <v>0</v>
      </c>
      <c r="AH49" s="144"/>
      <c r="AI49" s="3"/>
      <c r="AJ49" s="10"/>
      <c r="AK49" s="3" t="s">
        <v>244</v>
      </c>
      <c r="AL49" s="5"/>
      <c r="AM49" s="5" t="s">
        <v>273</v>
      </c>
      <c r="AN49" s="5" t="s">
        <v>425</v>
      </c>
      <c r="AO49" s="5" t="s">
        <v>2185</v>
      </c>
      <c r="AP49" s="5" t="s">
        <v>2185</v>
      </c>
      <c r="AQ49" s="5" t="s">
        <v>2185</v>
      </c>
      <c r="AR49" s="5" t="s">
        <v>2185</v>
      </c>
      <c r="AS49" s="142"/>
      <c r="AT49" s="142" t="b">
        <v>0</v>
      </c>
      <c r="AU49" s="142"/>
      <c r="AV49" s="142"/>
      <c r="AW49" s="142"/>
      <c r="AX49" s="142"/>
      <c r="AY49" s="142"/>
      <c r="AZ49" s="174"/>
      <c r="BA49" s="142"/>
      <c r="BB49" s="142"/>
      <c r="BC49" s="142"/>
      <c r="BD49" s="142"/>
      <c r="BE49" s="142"/>
      <c r="BF49" s="142"/>
      <c r="BG49" s="142"/>
    </row>
    <row r="50">
      <c r="A50" s="5" t="s">
        <v>427</v>
      </c>
      <c r="B50" s="44">
        <v>44559.0</v>
      </c>
      <c r="C50" s="150">
        <v>0.3974421296296296</v>
      </c>
      <c r="D50" s="3"/>
      <c r="E50" s="3"/>
      <c r="F50" s="5"/>
      <c r="G50" s="5"/>
      <c r="H50" s="5"/>
      <c r="I50" s="3"/>
      <c r="J50" s="3"/>
      <c r="K50" s="3" t="s">
        <v>244</v>
      </c>
      <c r="L50" s="44">
        <v>44559.0</v>
      </c>
      <c r="M50" s="150">
        <v>0.4366319444444444</v>
      </c>
      <c r="N50" s="5"/>
      <c r="O50" s="5"/>
      <c r="P50" s="10" t="b">
        <v>0</v>
      </c>
      <c r="Q50" s="10" t="s">
        <v>2184</v>
      </c>
      <c r="R50" s="144" t="b">
        <v>1</v>
      </c>
      <c r="S50" s="144">
        <v>1.0</v>
      </c>
      <c r="T50" s="10"/>
      <c r="U50" s="5"/>
      <c r="V50" s="3"/>
      <c r="W50" s="5"/>
      <c r="X50" s="144" t="b">
        <v>0</v>
      </c>
      <c r="Y50" s="10" t="b">
        <v>0</v>
      </c>
      <c r="Z50" s="3"/>
      <c r="AA50" s="10" t="b">
        <v>0</v>
      </c>
      <c r="AB50" s="10" t="b">
        <v>0</v>
      </c>
      <c r="AC50" s="181">
        <v>720.0</v>
      </c>
      <c r="AD50" s="144" t="b">
        <v>0</v>
      </c>
      <c r="AE50" s="182">
        <v>56.43333333333334</v>
      </c>
      <c r="AF50" s="10" t="b">
        <v>0</v>
      </c>
      <c r="AG50" s="10" t="b">
        <v>0</v>
      </c>
      <c r="AH50" s="144"/>
      <c r="AI50" s="3"/>
      <c r="AJ50" s="10"/>
      <c r="AK50" s="3" t="s">
        <v>244</v>
      </c>
      <c r="AL50" s="5"/>
      <c r="AM50" s="5" t="s">
        <v>269</v>
      </c>
      <c r="AN50" s="5" t="s">
        <v>270</v>
      </c>
      <c r="AO50" s="5" t="s">
        <v>2185</v>
      </c>
      <c r="AP50" s="5" t="s">
        <v>2185</v>
      </c>
      <c r="AQ50" s="5" t="s">
        <v>2185</v>
      </c>
      <c r="AR50" s="5" t="s">
        <v>2185</v>
      </c>
      <c r="AS50" s="142"/>
      <c r="AT50" s="142" t="b">
        <v>0</v>
      </c>
      <c r="AU50" s="142"/>
      <c r="AV50" s="142"/>
      <c r="AW50" s="142"/>
      <c r="AX50" s="142"/>
      <c r="AY50" s="142"/>
      <c r="AZ50" s="174"/>
      <c r="BA50" s="142"/>
      <c r="BB50" s="142"/>
      <c r="BC50" s="142"/>
      <c r="BD50" s="142"/>
      <c r="BE50" s="142"/>
      <c r="BF50" s="142"/>
      <c r="BG50" s="142"/>
    </row>
    <row r="51">
      <c r="A51" s="5" t="s">
        <v>429</v>
      </c>
      <c r="B51" s="44">
        <v>44561.0</v>
      </c>
      <c r="C51" s="150">
        <v>0.3053240740740741</v>
      </c>
      <c r="D51" s="3"/>
      <c r="E51" s="3"/>
      <c r="F51" s="5"/>
      <c r="G51" s="5"/>
      <c r="H51" s="5"/>
      <c r="I51" s="3"/>
      <c r="J51" s="3"/>
      <c r="K51" s="3" t="s">
        <v>52</v>
      </c>
      <c r="L51" s="44">
        <v>44561.0</v>
      </c>
      <c r="M51" s="150">
        <v>0.44559027777777777</v>
      </c>
      <c r="N51" s="5"/>
      <c r="O51" s="5"/>
      <c r="P51" s="10" t="b">
        <v>0</v>
      </c>
      <c r="Q51" s="10" t="s">
        <v>2184</v>
      </c>
      <c r="R51" s="144" t="b">
        <v>1</v>
      </c>
      <c r="S51" s="144">
        <v>1.0</v>
      </c>
      <c r="T51" s="10"/>
      <c r="U51" s="5"/>
      <c r="V51" s="3"/>
      <c r="W51" s="5"/>
      <c r="X51" s="144" t="b">
        <v>0</v>
      </c>
      <c r="Y51" s="10" t="b">
        <v>0</v>
      </c>
      <c r="Z51" s="3"/>
      <c r="AA51" s="10" t="b">
        <v>0</v>
      </c>
      <c r="AB51" s="10" t="b">
        <v>0</v>
      </c>
      <c r="AC51" s="181">
        <v>719.0</v>
      </c>
      <c r="AD51" s="144" t="b">
        <v>0</v>
      </c>
      <c r="AE51" s="182">
        <v>201.9833333333333</v>
      </c>
      <c r="AF51" s="10" t="b">
        <v>0</v>
      </c>
      <c r="AG51" s="10" t="b">
        <v>0</v>
      </c>
      <c r="AH51" s="144"/>
      <c r="AI51" s="3"/>
      <c r="AJ51" s="10"/>
      <c r="AK51" s="3" t="s">
        <v>52</v>
      </c>
      <c r="AL51" s="5"/>
      <c r="AM51" s="5" t="s">
        <v>430</v>
      </c>
      <c r="AN51" s="5" t="s">
        <v>431</v>
      </c>
      <c r="AO51" s="5" t="s">
        <v>2185</v>
      </c>
      <c r="AP51" s="5" t="s">
        <v>2185</v>
      </c>
      <c r="AQ51" s="5" t="s">
        <v>2185</v>
      </c>
      <c r="AR51" s="5" t="s">
        <v>2185</v>
      </c>
      <c r="AS51" s="142"/>
      <c r="AT51" s="142" t="b">
        <v>0</v>
      </c>
      <c r="AU51" s="142"/>
      <c r="AV51" s="142"/>
      <c r="AW51" s="142"/>
      <c r="AX51" s="142"/>
      <c r="AY51" s="142"/>
      <c r="AZ51" s="174"/>
      <c r="BA51" s="142"/>
      <c r="BB51" s="142"/>
      <c r="BC51" s="142"/>
      <c r="BD51" s="142"/>
      <c r="BE51" s="142"/>
      <c r="BF51" s="142"/>
      <c r="BG51" s="142"/>
    </row>
    <row r="52">
      <c r="A52" s="5" t="s">
        <v>433</v>
      </c>
      <c r="B52" s="44">
        <v>44561.0</v>
      </c>
      <c r="C52" s="150">
        <v>0.3167361111111111</v>
      </c>
      <c r="D52" s="3"/>
      <c r="E52" s="3"/>
      <c r="F52" s="5"/>
      <c r="G52" s="5"/>
      <c r="H52" s="5"/>
      <c r="I52" s="3"/>
      <c r="J52" s="3"/>
      <c r="K52" s="3" t="s">
        <v>244</v>
      </c>
      <c r="L52" s="44">
        <v>44561.0</v>
      </c>
      <c r="M52" s="150">
        <v>0.44493055555555555</v>
      </c>
      <c r="N52" s="5"/>
      <c r="O52" s="5"/>
      <c r="P52" s="10" t="b">
        <v>0</v>
      </c>
      <c r="Q52" s="10" t="s">
        <v>2184</v>
      </c>
      <c r="R52" s="144" t="b">
        <v>1</v>
      </c>
      <c r="S52" s="144">
        <v>1.0</v>
      </c>
      <c r="T52" s="10"/>
      <c r="U52" s="5"/>
      <c r="V52" s="3"/>
      <c r="W52" s="5"/>
      <c r="X52" s="144" t="b">
        <v>0</v>
      </c>
      <c r="Y52" s="10" t="b">
        <v>0</v>
      </c>
      <c r="Z52" s="3"/>
      <c r="AA52" s="10" t="b">
        <v>0</v>
      </c>
      <c r="AB52" s="10" t="b">
        <v>0</v>
      </c>
      <c r="AC52" s="181">
        <v>718.0</v>
      </c>
      <c r="AD52" s="144" t="b">
        <v>0</v>
      </c>
      <c r="AE52" s="182">
        <v>184.6</v>
      </c>
      <c r="AF52" s="10" t="b">
        <v>0</v>
      </c>
      <c r="AG52" s="10" t="b">
        <v>0</v>
      </c>
      <c r="AH52" s="144"/>
      <c r="AI52" s="3"/>
      <c r="AJ52" s="10"/>
      <c r="AK52" s="3" t="s">
        <v>244</v>
      </c>
      <c r="AL52" s="5"/>
      <c r="AM52" s="5" t="s">
        <v>303</v>
      </c>
      <c r="AN52" s="5" t="s">
        <v>304</v>
      </c>
      <c r="AO52" s="5" t="s">
        <v>2185</v>
      </c>
      <c r="AP52" s="5" t="s">
        <v>2185</v>
      </c>
      <c r="AQ52" s="5" t="s">
        <v>2185</v>
      </c>
      <c r="AR52" s="5" t="s">
        <v>2185</v>
      </c>
      <c r="AS52" s="142"/>
      <c r="AT52" s="142" t="b">
        <v>0</v>
      </c>
      <c r="AU52" s="142"/>
      <c r="AV52" s="142"/>
      <c r="AW52" s="142"/>
      <c r="AX52" s="142"/>
      <c r="AY52" s="142"/>
      <c r="AZ52" s="174"/>
      <c r="BA52" s="142"/>
      <c r="BB52" s="142"/>
      <c r="BC52" s="142"/>
      <c r="BD52" s="142"/>
      <c r="BE52" s="142"/>
      <c r="BF52" s="142"/>
      <c r="BG52" s="142"/>
    </row>
    <row r="53">
      <c r="A53" s="5" t="s">
        <v>435</v>
      </c>
      <c r="B53" s="44">
        <v>44561.0</v>
      </c>
      <c r="C53" s="150">
        <v>0.32125</v>
      </c>
      <c r="D53" s="3"/>
      <c r="E53" s="3"/>
      <c r="F53" s="5"/>
      <c r="G53" s="5"/>
      <c r="H53" s="5"/>
      <c r="I53" s="3"/>
      <c r="J53" s="3"/>
      <c r="K53" s="3" t="s">
        <v>244</v>
      </c>
      <c r="L53" s="44">
        <v>44561.0</v>
      </c>
      <c r="M53" s="150">
        <v>0.44493055555555555</v>
      </c>
      <c r="N53" s="5"/>
      <c r="O53" s="5"/>
      <c r="P53" s="10" t="b">
        <v>0</v>
      </c>
      <c r="Q53" s="10" t="s">
        <v>2184</v>
      </c>
      <c r="R53" s="144" t="b">
        <v>1</v>
      </c>
      <c r="S53" s="144">
        <v>1.0</v>
      </c>
      <c r="T53" s="10"/>
      <c r="U53" s="5"/>
      <c r="V53" s="3"/>
      <c r="W53" s="5"/>
      <c r="X53" s="144" t="b">
        <v>0</v>
      </c>
      <c r="Y53" s="10" t="b">
        <v>0</v>
      </c>
      <c r="Z53" s="3"/>
      <c r="AA53" s="10" t="b">
        <v>0</v>
      </c>
      <c r="AB53" s="10" t="b">
        <v>0</v>
      </c>
      <c r="AC53" s="181">
        <v>717.0</v>
      </c>
      <c r="AD53" s="144" t="b">
        <v>0</v>
      </c>
      <c r="AE53" s="182">
        <v>178.10000000000002</v>
      </c>
      <c r="AF53" s="10" t="b">
        <v>0</v>
      </c>
      <c r="AG53" s="10" t="b">
        <v>0</v>
      </c>
      <c r="AH53" s="144"/>
      <c r="AI53" s="3"/>
      <c r="AJ53" s="10"/>
      <c r="AK53" s="3" t="s">
        <v>244</v>
      </c>
      <c r="AL53" s="5"/>
      <c r="AM53" s="5" t="s">
        <v>436</v>
      </c>
      <c r="AN53" s="5" t="s">
        <v>437</v>
      </c>
      <c r="AO53" s="5" t="s">
        <v>2185</v>
      </c>
      <c r="AP53" s="5" t="s">
        <v>2185</v>
      </c>
      <c r="AQ53" s="5" t="s">
        <v>2185</v>
      </c>
      <c r="AR53" s="5" t="s">
        <v>2185</v>
      </c>
      <c r="AS53" s="142"/>
      <c r="AT53" s="142" t="b">
        <v>0</v>
      </c>
      <c r="AU53" s="142"/>
      <c r="AV53" s="142"/>
      <c r="AW53" s="142"/>
      <c r="AX53" s="142"/>
      <c r="AY53" s="142"/>
      <c r="AZ53" s="174"/>
      <c r="BA53" s="142"/>
      <c r="BB53" s="142"/>
      <c r="BC53" s="142"/>
      <c r="BD53" s="142"/>
      <c r="BE53" s="142"/>
      <c r="BF53" s="142"/>
      <c r="BG53" s="142"/>
    </row>
    <row r="54">
      <c r="A54" s="5" t="s">
        <v>439</v>
      </c>
      <c r="B54" s="44">
        <v>44561.0</v>
      </c>
      <c r="C54" s="150">
        <v>0.32719907407407406</v>
      </c>
      <c r="D54" s="3"/>
      <c r="E54" s="3"/>
      <c r="F54" s="5"/>
      <c r="G54" s="5"/>
      <c r="H54" s="5"/>
      <c r="I54" s="3"/>
      <c r="J54" s="3"/>
      <c r="K54" s="3" t="s">
        <v>244</v>
      </c>
      <c r="L54" s="44">
        <v>44561.0</v>
      </c>
      <c r="M54" s="150">
        <v>0.44493055555555555</v>
      </c>
      <c r="N54" s="5"/>
      <c r="O54" s="5"/>
      <c r="P54" s="10" t="b">
        <v>0</v>
      </c>
      <c r="Q54" s="10" t="s">
        <v>2184</v>
      </c>
      <c r="R54" s="144" t="b">
        <v>1</v>
      </c>
      <c r="S54" s="144">
        <v>1.0</v>
      </c>
      <c r="T54" s="10"/>
      <c r="U54" s="5"/>
      <c r="V54" s="3"/>
      <c r="W54" s="5"/>
      <c r="X54" s="144" t="b">
        <v>0</v>
      </c>
      <c r="Y54" s="10" t="b">
        <v>0</v>
      </c>
      <c r="Z54" s="3"/>
      <c r="AA54" s="10" t="b">
        <v>0</v>
      </c>
      <c r="AB54" s="10" t="b">
        <v>0</v>
      </c>
      <c r="AC54" s="181">
        <v>716.0</v>
      </c>
      <c r="AD54" s="144" t="b">
        <v>0</v>
      </c>
      <c r="AE54" s="182">
        <v>169.53333333333336</v>
      </c>
      <c r="AF54" s="10" t="b">
        <v>0</v>
      </c>
      <c r="AG54" s="10" t="b">
        <v>0</v>
      </c>
      <c r="AH54" s="144"/>
      <c r="AI54" s="3"/>
      <c r="AJ54" s="10"/>
      <c r="AK54" s="3" t="s">
        <v>244</v>
      </c>
      <c r="AL54" s="5"/>
      <c r="AM54" s="5" t="s">
        <v>310</v>
      </c>
      <c r="AN54" s="5" t="s">
        <v>311</v>
      </c>
      <c r="AO54" s="5" t="s">
        <v>2185</v>
      </c>
      <c r="AP54" s="5" t="s">
        <v>2185</v>
      </c>
      <c r="AQ54" s="5" t="s">
        <v>2185</v>
      </c>
      <c r="AR54" s="5" t="s">
        <v>2185</v>
      </c>
      <c r="AS54" s="142"/>
      <c r="AT54" s="142" t="b">
        <v>0</v>
      </c>
      <c r="AU54" s="142"/>
      <c r="AV54" s="142"/>
      <c r="AW54" s="142"/>
      <c r="AX54" s="142"/>
      <c r="AY54" s="142"/>
      <c r="AZ54" s="174"/>
      <c r="BA54" s="142"/>
      <c r="BB54" s="142"/>
      <c r="BC54" s="142"/>
      <c r="BD54" s="142"/>
      <c r="BE54" s="142"/>
      <c r="BF54" s="142"/>
      <c r="BG54" s="142"/>
    </row>
    <row r="55">
      <c r="A55" s="5" t="s">
        <v>441</v>
      </c>
      <c r="B55" s="44">
        <v>44561.0</v>
      </c>
      <c r="C55" s="150">
        <v>0.33644675925925926</v>
      </c>
      <c r="D55" s="3"/>
      <c r="E55" s="3"/>
      <c r="F55" s="5"/>
      <c r="G55" s="5"/>
      <c r="H55" s="5"/>
      <c r="I55" s="3"/>
      <c r="J55" s="3"/>
      <c r="K55" s="3" t="s">
        <v>244</v>
      </c>
      <c r="L55" s="44">
        <v>44561.0</v>
      </c>
      <c r="M55" s="150">
        <v>0.44493055555555555</v>
      </c>
      <c r="N55" s="5"/>
      <c r="O55" s="5"/>
      <c r="P55" s="10" t="b">
        <v>0</v>
      </c>
      <c r="Q55" s="10" t="s">
        <v>2184</v>
      </c>
      <c r="R55" s="144" t="b">
        <v>1</v>
      </c>
      <c r="S55" s="144">
        <v>1.0</v>
      </c>
      <c r="T55" s="10"/>
      <c r="U55" s="5"/>
      <c r="V55" s="3"/>
      <c r="W55" s="5"/>
      <c r="X55" s="144" t="b">
        <v>0</v>
      </c>
      <c r="Y55" s="10" t="b">
        <v>0</v>
      </c>
      <c r="Z55" s="3"/>
      <c r="AA55" s="10" t="b">
        <v>0</v>
      </c>
      <c r="AB55" s="10" t="b">
        <v>0</v>
      </c>
      <c r="AC55" s="181">
        <v>715.0</v>
      </c>
      <c r="AD55" s="144" t="b">
        <v>0</v>
      </c>
      <c r="AE55" s="182">
        <v>156.21666666666664</v>
      </c>
      <c r="AF55" s="10" t="b">
        <v>0</v>
      </c>
      <c r="AG55" s="10" t="b">
        <v>0</v>
      </c>
      <c r="AH55" s="144"/>
      <c r="AI55" s="3"/>
      <c r="AJ55" s="10"/>
      <c r="AK55" s="3" t="s">
        <v>244</v>
      </c>
      <c r="AL55" s="5"/>
      <c r="AM55" s="5" t="s">
        <v>287</v>
      </c>
      <c r="AN55" s="5" t="s">
        <v>288</v>
      </c>
      <c r="AO55" s="5" t="s">
        <v>2185</v>
      </c>
      <c r="AP55" s="5" t="s">
        <v>2185</v>
      </c>
      <c r="AQ55" s="5" t="s">
        <v>2185</v>
      </c>
      <c r="AR55" s="5" t="s">
        <v>2185</v>
      </c>
      <c r="AS55" s="142"/>
      <c r="AT55" s="142" t="b">
        <v>0</v>
      </c>
      <c r="AU55" s="142"/>
      <c r="AV55" s="142"/>
      <c r="AW55" s="142"/>
      <c r="AX55" s="142"/>
      <c r="AY55" s="142"/>
      <c r="AZ55" s="174"/>
      <c r="BA55" s="142"/>
      <c r="BB55" s="142"/>
      <c r="BC55" s="142"/>
      <c r="BD55" s="142"/>
      <c r="BE55" s="142"/>
      <c r="BF55" s="142"/>
      <c r="BG55" s="142"/>
    </row>
    <row r="56">
      <c r="A56" s="5" t="s">
        <v>443</v>
      </c>
      <c r="B56" s="44">
        <v>44561.0</v>
      </c>
      <c r="C56" s="150">
        <v>0.3366898148148148</v>
      </c>
      <c r="D56" s="3"/>
      <c r="E56" s="3"/>
      <c r="F56" s="5"/>
      <c r="G56" s="5"/>
      <c r="H56" s="5"/>
      <c r="I56" s="3"/>
      <c r="J56" s="3"/>
      <c r="K56" s="3" t="s">
        <v>244</v>
      </c>
      <c r="L56" s="44">
        <v>44561.0</v>
      </c>
      <c r="M56" s="150">
        <v>0.44493055555555555</v>
      </c>
      <c r="N56" s="5"/>
      <c r="O56" s="5"/>
      <c r="P56" s="10" t="b">
        <v>0</v>
      </c>
      <c r="Q56" s="10" t="s">
        <v>2184</v>
      </c>
      <c r="R56" s="144" t="b">
        <v>1</v>
      </c>
      <c r="S56" s="144">
        <v>1.0</v>
      </c>
      <c r="T56" s="10"/>
      <c r="U56" s="5"/>
      <c r="V56" s="3"/>
      <c r="W56" s="5"/>
      <c r="X56" s="144" t="b">
        <v>0</v>
      </c>
      <c r="Y56" s="10" t="b">
        <v>0</v>
      </c>
      <c r="Z56" s="3"/>
      <c r="AA56" s="10" t="b">
        <v>0</v>
      </c>
      <c r="AB56" s="10" t="b">
        <v>0</v>
      </c>
      <c r="AC56" s="181">
        <v>714.0</v>
      </c>
      <c r="AD56" s="144" t="b">
        <v>0</v>
      </c>
      <c r="AE56" s="182">
        <v>155.86666666666667</v>
      </c>
      <c r="AF56" s="10" t="b">
        <v>0</v>
      </c>
      <c r="AG56" s="10" t="b">
        <v>0</v>
      </c>
      <c r="AH56" s="144"/>
      <c r="AI56" s="3"/>
      <c r="AJ56" s="10"/>
      <c r="AK56" s="3" t="s">
        <v>244</v>
      </c>
      <c r="AL56" s="5"/>
      <c r="AM56" s="5" t="s">
        <v>356</v>
      </c>
      <c r="AN56" s="5" t="s">
        <v>357</v>
      </c>
      <c r="AO56" s="5" t="s">
        <v>2185</v>
      </c>
      <c r="AP56" s="5" t="s">
        <v>2185</v>
      </c>
      <c r="AQ56" s="5" t="s">
        <v>2185</v>
      </c>
      <c r="AR56" s="5" t="s">
        <v>2185</v>
      </c>
      <c r="AS56" s="142"/>
      <c r="AT56" s="142" t="b">
        <v>0</v>
      </c>
      <c r="AU56" s="142"/>
      <c r="AV56" s="142"/>
      <c r="AW56" s="142"/>
      <c r="AX56" s="142"/>
      <c r="AY56" s="142"/>
      <c r="AZ56" s="174"/>
      <c r="BA56" s="142"/>
      <c r="BB56" s="142"/>
      <c r="BC56" s="142"/>
      <c r="BD56" s="142"/>
      <c r="BE56" s="142"/>
      <c r="BF56" s="142"/>
      <c r="BG56" s="142"/>
    </row>
    <row r="57">
      <c r="A57" s="5" t="s">
        <v>445</v>
      </c>
      <c r="B57" s="44">
        <v>44561.0</v>
      </c>
      <c r="C57" s="150">
        <v>0.3527777777777778</v>
      </c>
      <c r="D57" s="3"/>
      <c r="E57" s="3"/>
      <c r="F57" s="5"/>
      <c r="G57" s="5"/>
      <c r="H57" s="5"/>
      <c r="I57" s="3"/>
      <c r="J57" s="3"/>
      <c r="K57" s="3" t="s">
        <v>244</v>
      </c>
      <c r="L57" s="44">
        <v>44561.0</v>
      </c>
      <c r="M57" s="150">
        <v>0.44493055555555555</v>
      </c>
      <c r="N57" s="5"/>
      <c r="O57" s="5"/>
      <c r="P57" s="10" t="b">
        <v>0</v>
      </c>
      <c r="Q57" s="10" t="s">
        <v>2184</v>
      </c>
      <c r="R57" s="144" t="b">
        <v>1</v>
      </c>
      <c r="S57" s="144">
        <v>1.0</v>
      </c>
      <c r="T57" s="10"/>
      <c r="U57" s="5"/>
      <c r="V57" s="3"/>
      <c r="W57" s="5"/>
      <c r="X57" s="144" t="b">
        <v>0</v>
      </c>
      <c r="Y57" s="10" t="b">
        <v>0</v>
      </c>
      <c r="Z57" s="3"/>
      <c r="AA57" s="10" t="b">
        <v>0</v>
      </c>
      <c r="AB57" s="10" t="b">
        <v>0</v>
      </c>
      <c r="AC57" s="181">
        <v>713.0</v>
      </c>
      <c r="AD57" s="144" t="b">
        <v>0</v>
      </c>
      <c r="AE57" s="182">
        <v>132.69999999999996</v>
      </c>
      <c r="AF57" s="10" t="b">
        <v>0</v>
      </c>
      <c r="AG57" s="10" t="b">
        <v>0</v>
      </c>
      <c r="AH57" s="144"/>
      <c r="AI57" s="3"/>
      <c r="AJ57" s="10"/>
      <c r="AK57" s="3" t="s">
        <v>244</v>
      </c>
      <c r="AL57" s="5"/>
      <c r="AM57" s="5" t="s">
        <v>257</v>
      </c>
      <c r="AN57" s="5" t="s">
        <v>406</v>
      </c>
      <c r="AO57" s="5" t="s">
        <v>2185</v>
      </c>
      <c r="AP57" s="5" t="s">
        <v>2185</v>
      </c>
      <c r="AQ57" s="5" t="s">
        <v>2185</v>
      </c>
      <c r="AR57" s="5" t="s">
        <v>2185</v>
      </c>
      <c r="AS57" s="142"/>
      <c r="AT57" s="142" t="b">
        <v>0</v>
      </c>
      <c r="AU57" s="142"/>
      <c r="AV57" s="142"/>
      <c r="AW57" s="142"/>
      <c r="AX57" s="142"/>
      <c r="AY57" s="142"/>
      <c r="AZ57" s="174"/>
      <c r="BA57" s="142"/>
      <c r="BB57" s="142"/>
      <c r="BC57" s="142"/>
      <c r="BD57" s="142"/>
      <c r="BE57" s="142"/>
      <c r="BF57" s="142"/>
      <c r="BG57" s="142"/>
    </row>
    <row r="58">
      <c r="A58" s="5" t="s">
        <v>449</v>
      </c>
      <c r="B58" s="44">
        <v>44561.0</v>
      </c>
      <c r="C58" s="150">
        <v>0.40042824074074074</v>
      </c>
      <c r="D58" s="3"/>
      <c r="E58" s="3"/>
      <c r="F58" s="5"/>
      <c r="G58" s="5"/>
      <c r="H58" s="5"/>
      <c r="I58" s="3"/>
      <c r="J58" s="3"/>
      <c r="K58" s="3" t="s">
        <v>52</v>
      </c>
      <c r="L58" s="44">
        <v>44561.0</v>
      </c>
      <c r="M58" s="150">
        <v>0.44559027777777777</v>
      </c>
      <c r="N58" s="5"/>
      <c r="O58" s="5"/>
      <c r="P58" s="10" t="b">
        <v>0</v>
      </c>
      <c r="Q58" s="10" t="s">
        <v>2184</v>
      </c>
      <c r="R58" s="144" t="b">
        <v>1</v>
      </c>
      <c r="S58" s="144">
        <v>1.0</v>
      </c>
      <c r="T58" s="10"/>
      <c r="U58" s="5"/>
      <c r="V58" s="3"/>
      <c r="W58" s="5"/>
      <c r="X58" s="144" t="b">
        <v>0</v>
      </c>
      <c r="Y58" s="10" t="b">
        <v>0</v>
      </c>
      <c r="Z58" s="3"/>
      <c r="AA58" s="10" t="b">
        <v>0</v>
      </c>
      <c r="AB58" s="10" t="b">
        <v>0</v>
      </c>
      <c r="AC58" s="181">
        <v>711.0</v>
      </c>
      <c r="AD58" s="144" t="b">
        <v>0</v>
      </c>
      <c r="AE58" s="182">
        <v>65.03333333333332</v>
      </c>
      <c r="AF58" s="10" t="b">
        <v>0</v>
      </c>
      <c r="AG58" s="10" t="b">
        <v>0</v>
      </c>
      <c r="AH58" s="144"/>
      <c r="AI58" s="3"/>
      <c r="AJ58" s="10"/>
      <c r="AK58" s="3" t="s">
        <v>52</v>
      </c>
      <c r="AL58" s="5"/>
      <c r="AM58" s="5" t="s">
        <v>261</v>
      </c>
      <c r="AN58" s="5" t="s">
        <v>450</v>
      </c>
      <c r="AO58" s="5" t="s">
        <v>2185</v>
      </c>
      <c r="AP58" s="5" t="s">
        <v>2185</v>
      </c>
      <c r="AQ58" s="5" t="s">
        <v>2185</v>
      </c>
      <c r="AR58" s="5" t="s">
        <v>2185</v>
      </c>
      <c r="AS58" s="142"/>
      <c r="AT58" s="142" t="b">
        <v>0</v>
      </c>
      <c r="AU58" s="142"/>
      <c r="AV58" s="142"/>
      <c r="AW58" s="142"/>
      <c r="AX58" s="142"/>
      <c r="AY58" s="142"/>
      <c r="AZ58" s="174"/>
      <c r="BA58" s="142"/>
      <c r="BB58" s="142"/>
      <c r="BC58" s="142"/>
      <c r="BD58" s="142"/>
      <c r="BE58" s="142"/>
      <c r="BF58" s="142"/>
      <c r="BG58" s="142"/>
    </row>
    <row r="59">
      <c r="A59" s="5" t="s">
        <v>454</v>
      </c>
      <c r="B59" s="44">
        <v>44564.0</v>
      </c>
      <c r="C59" s="150">
        <v>0.2034837962962963</v>
      </c>
      <c r="D59" s="3"/>
      <c r="E59" s="3"/>
      <c r="F59" s="5"/>
      <c r="G59" s="5"/>
      <c r="H59" s="5"/>
      <c r="I59" s="3"/>
      <c r="J59" s="3"/>
      <c r="K59" s="3" t="s">
        <v>244</v>
      </c>
      <c r="L59" s="44">
        <v>44564.0</v>
      </c>
      <c r="M59" s="150">
        <v>0.5280439814814815</v>
      </c>
      <c r="N59" s="5"/>
      <c r="O59" s="5"/>
      <c r="P59" s="10" t="b">
        <v>0</v>
      </c>
      <c r="Q59" s="10" t="s">
        <v>2184</v>
      </c>
      <c r="R59" s="144" t="b">
        <v>1</v>
      </c>
      <c r="S59" s="144">
        <v>1.0</v>
      </c>
      <c r="T59" s="10"/>
      <c r="U59" s="5"/>
      <c r="V59" s="3"/>
      <c r="W59" s="5"/>
      <c r="X59" s="144" t="b">
        <v>0</v>
      </c>
      <c r="Y59" s="10" t="b">
        <v>0</v>
      </c>
      <c r="Z59" s="3"/>
      <c r="AA59" s="10" t="b">
        <v>0</v>
      </c>
      <c r="AB59" s="10" t="b">
        <v>0</v>
      </c>
      <c r="AC59" s="181">
        <v>709.0</v>
      </c>
      <c r="AD59" s="144" t="b">
        <v>0</v>
      </c>
      <c r="AE59" s="182">
        <v>467.3666666666666</v>
      </c>
      <c r="AF59" s="10" t="b">
        <v>0</v>
      </c>
      <c r="AG59" s="10" t="b">
        <v>0</v>
      </c>
      <c r="AH59" s="144"/>
      <c r="AI59" s="3"/>
      <c r="AJ59" s="10"/>
      <c r="AK59" s="3" t="s">
        <v>244</v>
      </c>
      <c r="AL59" s="5"/>
      <c r="AM59" s="5" t="s">
        <v>314</v>
      </c>
      <c r="AN59" s="5" t="s">
        <v>315</v>
      </c>
      <c r="AO59" s="5" t="s">
        <v>2185</v>
      </c>
      <c r="AP59" s="5" t="s">
        <v>2185</v>
      </c>
      <c r="AQ59" s="5" t="s">
        <v>2185</v>
      </c>
      <c r="AR59" s="5" t="s">
        <v>2185</v>
      </c>
      <c r="AS59" s="142"/>
      <c r="AT59" s="142" t="b">
        <v>0</v>
      </c>
      <c r="AU59" s="142"/>
      <c r="AV59" s="142"/>
      <c r="AW59" s="142"/>
      <c r="AX59" s="142"/>
      <c r="AY59" s="142"/>
      <c r="AZ59" s="174"/>
      <c r="BA59" s="142"/>
      <c r="BB59" s="142"/>
      <c r="BC59" s="142"/>
      <c r="BD59" s="142"/>
      <c r="BE59" s="142"/>
      <c r="BF59" s="142"/>
      <c r="BG59" s="142"/>
    </row>
    <row r="60">
      <c r="A60" s="5" t="s">
        <v>456</v>
      </c>
      <c r="B60" s="44">
        <v>44564.0</v>
      </c>
      <c r="C60" s="150">
        <v>0.3048032407407407</v>
      </c>
      <c r="D60" s="3"/>
      <c r="E60" s="3"/>
      <c r="F60" s="5"/>
      <c r="G60" s="5"/>
      <c r="H60" s="5"/>
      <c r="I60" s="3"/>
      <c r="J60" s="3"/>
      <c r="K60" s="3" t="s">
        <v>52</v>
      </c>
      <c r="L60" s="44">
        <v>44564.0</v>
      </c>
      <c r="M60" s="150">
        <v>0.5280439814814815</v>
      </c>
      <c r="N60" s="5"/>
      <c r="O60" s="5"/>
      <c r="P60" s="10" t="b">
        <v>0</v>
      </c>
      <c r="Q60" s="10" t="s">
        <v>2184</v>
      </c>
      <c r="R60" s="144" t="b">
        <v>1</v>
      </c>
      <c r="S60" s="144">
        <v>1.0</v>
      </c>
      <c r="T60" s="10"/>
      <c r="U60" s="5"/>
      <c r="V60" s="3"/>
      <c r="W60" s="5"/>
      <c r="X60" s="144" t="b">
        <v>0</v>
      </c>
      <c r="Y60" s="10" t="b">
        <v>0</v>
      </c>
      <c r="Z60" s="3"/>
      <c r="AA60" s="10" t="b">
        <v>0</v>
      </c>
      <c r="AB60" s="10" t="b">
        <v>0</v>
      </c>
      <c r="AC60" s="181">
        <v>708.0</v>
      </c>
      <c r="AD60" s="144" t="b">
        <v>0</v>
      </c>
      <c r="AE60" s="182">
        <v>321.46666666666664</v>
      </c>
      <c r="AF60" s="10" t="b">
        <v>0</v>
      </c>
      <c r="AG60" s="10" t="b">
        <v>0</v>
      </c>
      <c r="AH60" s="144"/>
      <c r="AI60" s="3"/>
      <c r="AJ60" s="10"/>
      <c r="AK60" s="3" t="s">
        <v>52</v>
      </c>
      <c r="AL60" s="5"/>
      <c r="AM60" s="5" t="s">
        <v>457</v>
      </c>
      <c r="AN60" s="5" t="s">
        <v>458</v>
      </c>
      <c r="AO60" s="5" t="s">
        <v>2185</v>
      </c>
      <c r="AP60" s="5" t="s">
        <v>2185</v>
      </c>
      <c r="AQ60" s="5" t="s">
        <v>2185</v>
      </c>
      <c r="AR60" s="5" t="s">
        <v>2185</v>
      </c>
      <c r="AS60" s="142"/>
      <c r="AT60" s="142" t="b">
        <v>0</v>
      </c>
      <c r="AU60" s="142"/>
      <c r="AV60" s="142"/>
      <c r="AW60" s="142"/>
      <c r="AX60" s="142"/>
      <c r="AY60" s="142"/>
      <c r="AZ60" s="174"/>
      <c r="BA60" s="142"/>
      <c r="BB60" s="142"/>
      <c r="BC60" s="142"/>
      <c r="BD60" s="142"/>
      <c r="BE60" s="142"/>
      <c r="BF60" s="142"/>
      <c r="BG60" s="142"/>
    </row>
    <row r="61">
      <c r="A61" s="5" t="s">
        <v>460</v>
      </c>
      <c r="B61" s="44">
        <v>44564.0</v>
      </c>
      <c r="C61" s="150">
        <v>0.31754629629629627</v>
      </c>
      <c r="D61" s="3"/>
      <c r="E61" s="3"/>
      <c r="F61" s="5"/>
      <c r="G61" s="5"/>
      <c r="H61" s="5"/>
      <c r="I61" s="3"/>
      <c r="J61" s="3"/>
      <c r="K61" s="3" t="s">
        <v>244</v>
      </c>
      <c r="L61" s="44">
        <v>44564.0</v>
      </c>
      <c r="M61" s="150">
        <v>0.5280439814814815</v>
      </c>
      <c r="N61" s="5"/>
      <c r="O61" s="5"/>
      <c r="P61" s="10" t="b">
        <v>0</v>
      </c>
      <c r="Q61" s="10" t="s">
        <v>2184</v>
      </c>
      <c r="R61" s="144" t="b">
        <v>1</v>
      </c>
      <c r="S61" s="144">
        <v>1.0</v>
      </c>
      <c r="T61" s="10"/>
      <c r="U61" s="5"/>
      <c r="V61" s="3"/>
      <c r="W61" s="5"/>
      <c r="X61" s="144" t="b">
        <v>0</v>
      </c>
      <c r="Y61" s="10" t="b">
        <v>0</v>
      </c>
      <c r="Z61" s="3"/>
      <c r="AA61" s="10" t="b">
        <v>0</v>
      </c>
      <c r="AB61" s="10" t="b">
        <v>0</v>
      </c>
      <c r="AC61" s="181">
        <v>707.0</v>
      </c>
      <c r="AD61" s="144" t="b">
        <v>0</v>
      </c>
      <c r="AE61" s="182">
        <v>303.1166666666667</v>
      </c>
      <c r="AF61" s="10" t="b">
        <v>0</v>
      </c>
      <c r="AG61" s="10" t="b">
        <v>0</v>
      </c>
      <c r="AH61" s="144"/>
      <c r="AI61" s="3"/>
      <c r="AJ61" s="10"/>
      <c r="AK61" s="3" t="s">
        <v>244</v>
      </c>
      <c r="AL61" s="5"/>
      <c r="AM61" s="5" t="s">
        <v>328</v>
      </c>
      <c r="AN61" s="5" t="s">
        <v>329</v>
      </c>
      <c r="AO61" s="5" t="s">
        <v>2185</v>
      </c>
      <c r="AP61" s="5" t="s">
        <v>2185</v>
      </c>
      <c r="AQ61" s="5" t="s">
        <v>2185</v>
      </c>
      <c r="AR61" s="5" t="s">
        <v>2185</v>
      </c>
      <c r="AS61" s="142"/>
      <c r="AT61" s="142" t="b">
        <v>0</v>
      </c>
      <c r="AU61" s="142"/>
      <c r="AV61" s="142"/>
      <c r="AW61" s="142"/>
      <c r="AX61" s="142"/>
      <c r="AY61" s="142"/>
      <c r="AZ61" s="174"/>
      <c r="BA61" s="142"/>
      <c r="BB61" s="142"/>
      <c r="BC61" s="142"/>
      <c r="BD61" s="142"/>
      <c r="BE61" s="142"/>
      <c r="BF61" s="142"/>
      <c r="BG61" s="142"/>
    </row>
    <row r="62">
      <c r="A62" s="5" t="s">
        <v>462</v>
      </c>
      <c r="B62" s="44">
        <v>44564.0</v>
      </c>
      <c r="C62" s="150">
        <v>0.32538194444444446</v>
      </c>
      <c r="D62" s="3"/>
      <c r="E62" s="3"/>
      <c r="F62" s="5"/>
      <c r="G62" s="5"/>
      <c r="H62" s="5"/>
      <c r="I62" s="3"/>
      <c r="J62" s="3"/>
      <c r="K62" s="3" t="s">
        <v>244</v>
      </c>
      <c r="L62" s="44">
        <v>44564.0</v>
      </c>
      <c r="M62" s="150">
        <v>0.5280439814814815</v>
      </c>
      <c r="N62" s="5"/>
      <c r="O62" s="5"/>
      <c r="P62" s="10" t="b">
        <v>0</v>
      </c>
      <c r="Q62" s="10" t="s">
        <v>2184</v>
      </c>
      <c r="R62" s="144" t="b">
        <v>1</v>
      </c>
      <c r="S62" s="144">
        <v>1.0</v>
      </c>
      <c r="T62" s="10"/>
      <c r="U62" s="5"/>
      <c r="V62" s="3"/>
      <c r="W62" s="5"/>
      <c r="X62" s="144" t="b">
        <v>0</v>
      </c>
      <c r="Y62" s="10" t="b">
        <v>0</v>
      </c>
      <c r="Z62" s="3"/>
      <c r="AA62" s="10" t="b">
        <v>0</v>
      </c>
      <c r="AB62" s="10" t="b">
        <v>0</v>
      </c>
      <c r="AC62" s="181">
        <v>706.0</v>
      </c>
      <c r="AD62" s="144" t="b">
        <v>0</v>
      </c>
      <c r="AE62" s="182">
        <v>291.83333333333326</v>
      </c>
      <c r="AF62" s="10" t="b">
        <v>0</v>
      </c>
      <c r="AG62" s="10" t="b">
        <v>0</v>
      </c>
      <c r="AH62" s="144"/>
      <c r="AI62" s="3"/>
      <c r="AJ62" s="10"/>
      <c r="AK62" s="3" t="s">
        <v>244</v>
      </c>
      <c r="AL62" s="5"/>
      <c r="AM62" s="5" t="s">
        <v>318</v>
      </c>
      <c r="AN62" s="5" t="s">
        <v>319</v>
      </c>
      <c r="AO62" s="5" t="s">
        <v>2185</v>
      </c>
      <c r="AP62" s="5" t="s">
        <v>2185</v>
      </c>
      <c r="AQ62" s="5" t="s">
        <v>2185</v>
      </c>
      <c r="AR62" s="5" t="s">
        <v>2185</v>
      </c>
      <c r="AS62" s="142"/>
      <c r="AT62" s="142" t="b">
        <v>0</v>
      </c>
      <c r="AU62" s="142"/>
      <c r="AV62" s="142"/>
      <c r="AW62" s="142"/>
      <c r="AX62" s="142"/>
      <c r="AY62" s="142"/>
      <c r="AZ62" s="174"/>
      <c r="BA62" s="142"/>
      <c r="BB62" s="142"/>
      <c r="BC62" s="142"/>
      <c r="BD62" s="142"/>
      <c r="BE62" s="142"/>
      <c r="BF62" s="142"/>
      <c r="BG62" s="142"/>
    </row>
    <row r="63">
      <c r="A63" s="5" t="s">
        <v>464</v>
      </c>
      <c r="B63" s="44">
        <v>44564.0</v>
      </c>
      <c r="C63" s="150">
        <v>0.3261574074074074</v>
      </c>
      <c r="D63" s="3"/>
      <c r="E63" s="3"/>
      <c r="F63" s="5"/>
      <c r="G63" s="5"/>
      <c r="H63" s="5"/>
      <c r="I63" s="3"/>
      <c r="J63" s="3"/>
      <c r="K63" s="3" t="s">
        <v>244</v>
      </c>
      <c r="L63" s="44">
        <v>44564.0</v>
      </c>
      <c r="M63" s="150">
        <v>0.5280439814814815</v>
      </c>
      <c r="N63" s="5"/>
      <c r="O63" s="5"/>
      <c r="P63" s="10" t="b">
        <v>0</v>
      </c>
      <c r="Q63" s="10" t="s">
        <v>2184</v>
      </c>
      <c r="R63" s="144" t="b">
        <v>1</v>
      </c>
      <c r="S63" s="144">
        <v>1.0</v>
      </c>
      <c r="T63" s="10"/>
      <c r="U63" s="5"/>
      <c r="V63" s="3"/>
      <c r="W63" s="5"/>
      <c r="X63" s="144" t="b">
        <v>0</v>
      </c>
      <c r="Y63" s="10" t="b">
        <v>0</v>
      </c>
      <c r="Z63" s="3"/>
      <c r="AA63" s="10" t="b">
        <v>0</v>
      </c>
      <c r="AB63" s="10" t="b">
        <v>0</v>
      </c>
      <c r="AC63" s="181">
        <v>705.0</v>
      </c>
      <c r="AD63" s="144" t="b">
        <v>0</v>
      </c>
      <c r="AE63" s="182">
        <v>290.71666666666664</v>
      </c>
      <c r="AF63" s="10" t="b">
        <v>0</v>
      </c>
      <c r="AG63" s="10" t="b">
        <v>0</v>
      </c>
      <c r="AH63" s="144"/>
      <c r="AI63" s="3"/>
      <c r="AJ63" s="10"/>
      <c r="AK63" s="3" t="s">
        <v>244</v>
      </c>
      <c r="AL63" s="5"/>
      <c r="AM63" s="5" t="s">
        <v>465</v>
      </c>
      <c r="AN63" s="5" t="s">
        <v>466</v>
      </c>
      <c r="AO63" s="5" t="s">
        <v>2185</v>
      </c>
      <c r="AP63" s="5" t="s">
        <v>2185</v>
      </c>
      <c r="AQ63" s="5" t="s">
        <v>2185</v>
      </c>
      <c r="AR63" s="5" t="s">
        <v>2185</v>
      </c>
      <c r="AS63" s="142"/>
      <c r="AT63" s="142" t="b">
        <v>0</v>
      </c>
      <c r="AU63" s="142"/>
      <c r="AV63" s="142"/>
      <c r="AW63" s="142"/>
      <c r="AX63" s="142"/>
      <c r="AY63" s="142"/>
      <c r="AZ63" s="174"/>
      <c r="BA63" s="142"/>
      <c r="BB63" s="142"/>
      <c r="BC63" s="142"/>
      <c r="BD63" s="142"/>
      <c r="BE63" s="142"/>
      <c r="BF63" s="142"/>
      <c r="BG63" s="142"/>
    </row>
    <row r="64">
      <c r="A64" s="5" t="s">
        <v>468</v>
      </c>
      <c r="B64" s="44">
        <v>44564.0</v>
      </c>
      <c r="C64" s="150">
        <v>0.33775462962962965</v>
      </c>
      <c r="D64" s="3"/>
      <c r="E64" s="3"/>
      <c r="F64" s="5"/>
      <c r="G64" s="5"/>
      <c r="H64" s="5"/>
      <c r="I64" s="3"/>
      <c r="J64" s="3"/>
      <c r="K64" s="3" t="s">
        <v>52</v>
      </c>
      <c r="L64" s="44">
        <v>44564.0</v>
      </c>
      <c r="M64" s="150">
        <v>0.5280439814814815</v>
      </c>
      <c r="N64" s="5"/>
      <c r="O64" s="5"/>
      <c r="P64" s="10" t="b">
        <v>0</v>
      </c>
      <c r="Q64" s="10" t="s">
        <v>2184</v>
      </c>
      <c r="R64" s="144" t="b">
        <v>1</v>
      </c>
      <c r="S64" s="144">
        <v>1.0</v>
      </c>
      <c r="T64" s="10"/>
      <c r="U64" s="5"/>
      <c r="V64" s="3"/>
      <c r="W64" s="5"/>
      <c r="X64" s="144" t="b">
        <v>0</v>
      </c>
      <c r="Y64" s="10" t="b">
        <v>0</v>
      </c>
      <c r="Z64" s="3"/>
      <c r="AA64" s="10" t="b">
        <v>0</v>
      </c>
      <c r="AB64" s="10" t="b">
        <v>0</v>
      </c>
      <c r="AC64" s="181">
        <v>704.0</v>
      </c>
      <c r="AD64" s="144" t="b">
        <v>0</v>
      </c>
      <c r="AE64" s="182">
        <v>274.0166666666666</v>
      </c>
      <c r="AF64" s="10" t="b">
        <v>0</v>
      </c>
      <c r="AG64" s="10" t="b">
        <v>0</v>
      </c>
      <c r="AH64" s="144"/>
      <c r="AI64" s="3"/>
      <c r="AJ64" s="10"/>
      <c r="AK64" s="3" t="s">
        <v>52</v>
      </c>
      <c r="AL64" s="5"/>
      <c r="AM64" s="5" t="s">
        <v>322</v>
      </c>
      <c r="AN64" s="5" t="s">
        <v>323</v>
      </c>
      <c r="AO64" s="5" t="s">
        <v>2185</v>
      </c>
      <c r="AP64" s="5" t="s">
        <v>2185</v>
      </c>
      <c r="AQ64" s="5" t="s">
        <v>2185</v>
      </c>
      <c r="AR64" s="5" t="s">
        <v>2185</v>
      </c>
      <c r="AS64" s="142"/>
      <c r="AT64" s="142" t="b">
        <v>0</v>
      </c>
      <c r="AU64" s="142"/>
      <c r="AV64" s="142"/>
      <c r="AW64" s="142"/>
      <c r="AX64" s="142"/>
      <c r="AY64" s="142"/>
      <c r="AZ64" s="174"/>
      <c r="BA64" s="142"/>
      <c r="BB64" s="142"/>
      <c r="BC64" s="142"/>
      <c r="BD64" s="142"/>
      <c r="BE64" s="142"/>
      <c r="BF64" s="142"/>
      <c r="BG64" s="142"/>
    </row>
    <row r="65">
      <c r="A65" s="5" t="s">
        <v>470</v>
      </c>
      <c r="B65" s="44">
        <v>44564.0</v>
      </c>
      <c r="C65" s="150">
        <v>0.3424074074074074</v>
      </c>
      <c r="D65" s="3"/>
      <c r="E65" s="3"/>
      <c r="F65" s="5"/>
      <c r="G65" s="5"/>
      <c r="H65" s="5"/>
      <c r="I65" s="3"/>
      <c r="J65" s="3"/>
      <c r="K65" s="3" t="s">
        <v>244</v>
      </c>
      <c r="L65" s="44">
        <v>44564.0</v>
      </c>
      <c r="M65" s="150">
        <v>0.5280439814814815</v>
      </c>
      <c r="N65" s="5"/>
      <c r="O65" s="5"/>
      <c r="P65" s="10" t="b">
        <v>0</v>
      </c>
      <c r="Q65" s="10" t="s">
        <v>2184</v>
      </c>
      <c r="R65" s="144" t="b">
        <v>1</v>
      </c>
      <c r="S65" s="144">
        <v>1.0</v>
      </c>
      <c r="T65" s="10"/>
      <c r="U65" s="5"/>
      <c r="V65" s="3"/>
      <c r="W65" s="5"/>
      <c r="X65" s="144" t="b">
        <v>0</v>
      </c>
      <c r="Y65" s="10" t="b">
        <v>0</v>
      </c>
      <c r="Z65" s="3"/>
      <c r="AA65" s="10" t="b">
        <v>0</v>
      </c>
      <c r="AB65" s="10" t="b">
        <v>0</v>
      </c>
      <c r="AC65" s="181">
        <v>703.0</v>
      </c>
      <c r="AD65" s="144" t="b">
        <v>0</v>
      </c>
      <c r="AE65" s="182">
        <v>267.31666666666666</v>
      </c>
      <c r="AF65" s="10" t="b">
        <v>0</v>
      </c>
      <c r="AG65" s="10" t="b">
        <v>0</v>
      </c>
      <c r="AH65" s="144"/>
      <c r="AI65" s="3"/>
      <c r="AJ65" s="10"/>
      <c r="AK65" s="3" t="s">
        <v>244</v>
      </c>
      <c r="AL65" s="5"/>
      <c r="AM65" s="5" t="s">
        <v>471</v>
      </c>
      <c r="AN65" s="5" t="s">
        <v>472</v>
      </c>
      <c r="AO65" s="5" t="s">
        <v>2185</v>
      </c>
      <c r="AP65" s="5" t="s">
        <v>2185</v>
      </c>
      <c r="AQ65" s="5" t="s">
        <v>2185</v>
      </c>
      <c r="AR65" s="5" t="s">
        <v>2185</v>
      </c>
      <c r="AS65" s="142"/>
      <c r="AT65" s="142" t="b">
        <v>0</v>
      </c>
      <c r="AU65" s="142"/>
      <c r="AV65" s="142"/>
      <c r="AW65" s="142"/>
      <c r="AX65" s="142"/>
      <c r="AY65" s="142"/>
      <c r="AZ65" s="174"/>
      <c r="BA65" s="142"/>
      <c r="BB65" s="142"/>
      <c r="BC65" s="142"/>
      <c r="BD65" s="142"/>
      <c r="BE65" s="142"/>
      <c r="BF65" s="142"/>
      <c r="BG65" s="142"/>
    </row>
    <row r="66">
      <c r="A66" s="5" t="s">
        <v>474</v>
      </c>
      <c r="B66" s="44">
        <v>44564.0</v>
      </c>
      <c r="C66" s="150">
        <v>0.3515509259259259</v>
      </c>
      <c r="D66" s="3"/>
      <c r="E66" s="3"/>
      <c r="F66" s="5"/>
      <c r="G66" s="5"/>
      <c r="H66" s="5"/>
      <c r="I66" s="3"/>
      <c r="J66" s="3"/>
      <c r="K66" s="3" t="s">
        <v>244</v>
      </c>
      <c r="L66" s="44">
        <v>44564.0</v>
      </c>
      <c r="M66" s="150">
        <v>0.5280439814814815</v>
      </c>
      <c r="N66" s="5"/>
      <c r="O66" s="5"/>
      <c r="P66" s="10" t="b">
        <v>0</v>
      </c>
      <c r="Q66" s="10" t="s">
        <v>2184</v>
      </c>
      <c r="R66" s="144" t="b">
        <v>1</v>
      </c>
      <c r="S66" s="144">
        <v>1.0</v>
      </c>
      <c r="T66" s="10"/>
      <c r="U66" s="5"/>
      <c r="V66" s="3"/>
      <c r="W66" s="5"/>
      <c r="X66" s="144" t="b">
        <v>0</v>
      </c>
      <c r="Y66" s="10" t="b">
        <v>0</v>
      </c>
      <c r="Z66" s="3"/>
      <c r="AA66" s="10" t="b">
        <v>0</v>
      </c>
      <c r="AB66" s="10" t="b">
        <v>0</v>
      </c>
      <c r="AC66" s="181">
        <v>702.0</v>
      </c>
      <c r="AD66" s="144" t="b">
        <v>0</v>
      </c>
      <c r="AE66" s="182">
        <v>254.15000000000003</v>
      </c>
      <c r="AF66" s="10" t="b">
        <v>0</v>
      </c>
      <c r="AG66" s="10" t="b">
        <v>0</v>
      </c>
      <c r="AH66" s="144"/>
      <c r="AI66" s="3"/>
      <c r="AJ66" s="10"/>
      <c r="AK66" s="3" t="s">
        <v>244</v>
      </c>
      <c r="AL66" s="5"/>
      <c r="AM66" s="5" t="s">
        <v>398</v>
      </c>
      <c r="AN66" s="5" t="s">
        <v>399</v>
      </c>
      <c r="AO66" s="5" t="s">
        <v>2185</v>
      </c>
      <c r="AP66" s="5" t="s">
        <v>2185</v>
      </c>
      <c r="AQ66" s="5" t="s">
        <v>2185</v>
      </c>
      <c r="AR66" s="5" t="s">
        <v>2185</v>
      </c>
      <c r="AS66" s="142"/>
      <c r="AT66" s="142" t="b">
        <v>0</v>
      </c>
      <c r="AU66" s="142"/>
      <c r="AV66" s="142"/>
      <c r="AW66" s="142"/>
      <c r="AX66" s="142"/>
      <c r="AY66" s="142"/>
      <c r="AZ66" s="174"/>
      <c r="BA66" s="142"/>
      <c r="BB66" s="142"/>
      <c r="BC66" s="142"/>
      <c r="BD66" s="142"/>
      <c r="BE66" s="142"/>
      <c r="BF66" s="142"/>
      <c r="BG66" s="142"/>
    </row>
    <row r="67">
      <c r="A67" s="5" t="s">
        <v>476</v>
      </c>
      <c r="B67" s="44">
        <v>44564.0</v>
      </c>
      <c r="C67" s="150">
        <v>0.35965277777777777</v>
      </c>
      <c r="D67" s="3"/>
      <c r="E67" s="3"/>
      <c r="F67" s="5"/>
      <c r="G67" s="5"/>
      <c r="H67" s="5"/>
      <c r="I67" s="3"/>
      <c r="J67" s="3"/>
      <c r="K67" s="3" t="s">
        <v>52</v>
      </c>
      <c r="L67" s="44">
        <v>44564.0</v>
      </c>
      <c r="M67" s="150">
        <v>0.5280439814814815</v>
      </c>
      <c r="N67" s="5"/>
      <c r="O67" s="5"/>
      <c r="P67" s="10" t="b">
        <v>0</v>
      </c>
      <c r="Q67" s="10" t="s">
        <v>2184</v>
      </c>
      <c r="R67" s="144" t="b">
        <v>1</v>
      </c>
      <c r="S67" s="144">
        <v>1.0</v>
      </c>
      <c r="T67" s="10"/>
      <c r="U67" s="5"/>
      <c r="V67" s="3"/>
      <c r="W67" s="5"/>
      <c r="X67" s="144" t="b">
        <v>0</v>
      </c>
      <c r="Y67" s="10" t="b">
        <v>0</v>
      </c>
      <c r="Z67" s="3"/>
      <c r="AA67" s="10" t="b">
        <v>0</v>
      </c>
      <c r="AB67" s="10" t="b">
        <v>0</v>
      </c>
      <c r="AC67" s="181">
        <v>701.0</v>
      </c>
      <c r="AD67" s="144" t="b">
        <v>0</v>
      </c>
      <c r="AE67" s="182">
        <v>242.48333333333335</v>
      </c>
      <c r="AF67" s="10" t="b">
        <v>0</v>
      </c>
      <c r="AG67" s="10" t="b">
        <v>0</v>
      </c>
      <c r="AH67" s="144"/>
      <c r="AI67" s="3"/>
      <c r="AJ67" s="10"/>
      <c r="AK67" s="3" t="s">
        <v>52</v>
      </c>
      <c r="AL67" s="5"/>
      <c r="AM67" s="5" t="s">
        <v>477</v>
      </c>
      <c r="AN67" s="5" t="s">
        <v>450</v>
      </c>
      <c r="AO67" s="5" t="s">
        <v>2185</v>
      </c>
      <c r="AP67" s="5" t="s">
        <v>2185</v>
      </c>
      <c r="AQ67" s="5" t="s">
        <v>2185</v>
      </c>
      <c r="AR67" s="5" t="s">
        <v>2185</v>
      </c>
      <c r="AS67" s="142"/>
      <c r="AT67" s="142" t="b">
        <v>0</v>
      </c>
      <c r="AU67" s="142"/>
      <c r="AV67" s="142"/>
      <c r="AW67" s="142"/>
      <c r="AX67" s="142"/>
      <c r="AY67" s="142"/>
      <c r="AZ67" s="174"/>
      <c r="BA67" s="142"/>
      <c r="BB67" s="142"/>
      <c r="BC67" s="142"/>
      <c r="BD67" s="142"/>
      <c r="BE67" s="142"/>
      <c r="BF67" s="142"/>
      <c r="BG67" s="142"/>
    </row>
    <row r="68">
      <c r="A68" s="5" t="s">
        <v>479</v>
      </c>
      <c r="B68" s="44">
        <v>44564.0</v>
      </c>
      <c r="C68" s="150">
        <v>0.3654513888888889</v>
      </c>
      <c r="D68" s="3"/>
      <c r="E68" s="3"/>
      <c r="F68" s="5"/>
      <c r="G68" s="5"/>
      <c r="H68" s="5"/>
      <c r="I68" s="3"/>
      <c r="J68" s="3"/>
      <c r="K68" s="3" t="s">
        <v>52</v>
      </c>
      <c r="L68" s="44">
        <v>44564.0</v>
      </c>
      <c r="M68" s="150">
        <v>0.5280439814814815</v>
      </c>
      <c r="N68" s="5"/>
      <c r="O68" s="5"/>
      <c r="P68" s="10" t="b">
        <v>0</v>
      </c>
      <c r="Q68" s="10" t="s">
        <v>2184</v>
      </c>
      <c r="R68" s="144" t="b">
        <v>1</v>
      </c>
      <c r="S68" s="144">
        <v>1.0</v>
      </c>
      <c r="T68" s="10"/>
      <c r="U68" s="5"/>
      <c r="V68" s="3"/>
      <c r="W68" s="5"/>
      <c r="X68" s="144" t="b">
        <v>0</v>
      </c>
      <c r="Y68" s="10" t="b">
        <v>0</v>
      </c>
      <c r="Z68" s="3"/>
      <c r="AA68" s="10" t="b">
        <v>0</v>
      </c>
      <c r="AB68" s="10" t="b">
        <v>0</v>
      </c>
      <c r="AC68" s="181">
        <v>700.0</v>
      </c>
      <c r="AD68" s="144" t="b">
        <v>0</v>
      </c>
      <c r="AE68" s="182">
        <v>234.1333333333333</v>
      </c>
      <c r="AF68" s="10" t="b">
        <v>0</v>
      </c>
      <c r="AG68" s="10" t="b">
        <v>0</v>
      </c>
      <c r="AH68" s="144"/>
      <c r="AI68" s="3"/>
      <c r="AJ68" s="10"/>
      <c r="AK68" s="3" t="s">
        <v>52</v>
      </c>
      <c r="AL68" s="5"/>
      <c r="AM68" s="5" t="s">
        <v>261</v>
      </c>
      <c r="AN68" s="5" t="s">
        <v>480</v>
      </c>
      <c r="AO68" s="5" t="s">
        <v>2185</v>
      </c>
      <c r="AP68" s="5" t="s">
        <v>2185</v>
      </c>
      <c r="AQ68" s="5" t="s">
        <v>2185</v>
      </c>
      <c r="AR68" s="5" t="s">
        <v>2185</v>
      </c>
      <c r="AS68" s="142"/>
      <c r="AT68" s="142" t="b">
        <v>0</v>
      </c>
      <c r="AU68" s="142"/>
      <c r="AV68" s="142"/>
      <c r="AW68" s="142"/>
      <c r="AX68" s="142"/>
      <c r="AY68" s="142"/>
      <c r="AZ68" s="174"/>
      <c r="BA68" s="142"/>
      <c r="BB68" s="142"/>
      <c r="BC68" s="142"/>
      <c r="BD68" s="142"/>
      <c r="BE68" s="142"/>
      <c r="BF68" s="142"/>
      <c r="BG68" s="142"/>
    </row>
    <row r="69">
      <c r="A69" s="5" t="s">
        <v>482</v>
      </c>
      <c r="B69" s="44">
        <v>44564.0</v>
      </c>
      <c r="C69" s="150">
        <v>0.36962962962962964</v>
      </c>
      <c r="D69" s="3"/>
      <c r="E69" s="3"/>
      <c r="F69" s="5"/>
      <c r="G69" s="5"/>
      <c r="H69" s="5"/>
      <c r="I69" s="3"/>
      <c r="J69" s="3"/>
      <c r="K69" s="3" t="s">
        <v>244</v>
      </c>
      <c r="L69" s="44">
        <v>44564.0</v>
      </c>
      <c r="M69" s="150">
        <v>0.5280439814814815</v>
      </c>
      <c r="N69" s="5"/>
      <c r="O69" s="5"/>
      <c r="P69" s="10" t="b">
        <v>0</v>
      </c>
      <c r="Q69" s="10" t="s">
        <v>2184</v>
      </c>
      <c r="R69" s="144" t="b">
        <v>1</v>
      </c>
      <c r="S69" s="144">
        <v>1.0</v>
      </c>
      <c r="T69" s="10"/>
      <c r="U69" s="5"/>
      <c r="V69" s="3"/>
      <c r="W69" s="5"/>
      <c r="X69" s="144" t="b">
        <v>0</v>
      </c>
      <c r="Y69" s="10" t="b">
        <v>0</v>
      </c>
      <c r="Z69" s="3"/>
      <c r="AA69" s="10" t="b">
        <v>0</v>
      </c>
      <c r="AB69" s="10" t="b">
        <v>0</v>
      </c>
      <c r="AC69" s="181">
        <v>699.0</v>
      </c>
      <c r="AD69" s="144" t="b">
        <v>0</v>
      </c>
      <c r="AE69" s="182">
        <v>228.11666666666662</v>
      </c>
      <c r="AF69" s="10" t="b">
        <v>0</v>
      </c>
      <c r="AG69" s="10" t="b">
        <v>0</v>
      </c>
      <c r="AH69" s="144"/>
      <c r="AI69" s="3"/>
      <c r="AJ69" s="10"/>
      <c r="AK69" s="3" t="s">
        <v>244</v>
      </c>
      <c r="AL69" s="5"/>
      <c r="AM69" s="5" t="s">
        <v>436</v>
      </c>
      <c r="AN69" s="5" t="s">
        <v>437</v>
      </c>
      <c r="AO69" s="5" t="s">
        <v>2185</v>
      </c>
      <c r="AP69" s="5" t="s">
        <v>2185</v>
      </c>
      <c r="AQ69" s="5" t="s">
        <v>2185</v>
      </c>
      <c r="AR69" s="5" t="s">
        <v>2185</v>
      </c>
      <c r="AS69" s="142"/>
      <c r="AT69" s="142" t="b">
        <v>0</v>
      </c>
      <c r="AU69" s="142"/>
      <c r="AV69" s="142"/>
      <c r="AW69" s="142"/>
      <c r="AX69" s="142"/>
      <c r="AY69" s="142"/>
      <c r="AZ69" s="174"/>
      <c r="BA69" s="142"/>
      <c r="BB69" s="142"/>
      <c r="BC69" s="142"/>
      <c r="BD69" s="142"/>
      <c r="BE69" s="142"/>
      <c r="BF69" s="142"/>
      <c r="BG69" s="142"/>
    </row>
    <row r="70">
      <c r="A70" s="5" t="s">
        <v>484</v>
      </c>
      <c r="B70" s="44">
        <v>44564.0</v>
      </c>
      <c r="C70" s="150">
        <v>0.38413194444444443</v>
      </c>
      <c r="D70" s="3"/>
      <c r="E70" s="3"/>
      <c r="F70" s="5"/>
      <c r="G70" s="5"/>
      <c r="H70" s="5"/>
      <c r="I70" s="3"/>
      <c r="J70" s="3"/>
      <c r="K70" s="3" t="s">
        <v>244</v>
      </c>
      <c r="L70" s="44">
        <v>44564.0</v>
      </c>
      <c r="M70" s="150">
        <v>0.5280439814814815</v>
      </c>
      <c r="N70" s="5"/>
      <c r="O70" s="5"/>
      <c r="P70" s="10" t="b">
        <v>0</v>
      </c>
      <c r="Q70" s="10" t="s">
        <v>2184</v>
      </c>
      <c r="R70" s="144" t="b">
        <v>1</v>
      </c>
      <c r="S70" s="144">
        <v>1.0</v>
      </c>
      <c r="T70" s="10"/>
      <c r="U70" s="5"/>
      <c r="V70" s="3"/>
      <c r="W70" s="5"/>
      <c r="X70" s="144" t="b">
        <v>0</v>
      </c>
      <c r="Y70" s="10" t="b">
        <v>0</v>
      </c>
      <c r="Z70" s="3"/>
      <c r="AA70" s="10" t="b">
        <v>0</v>
      </c>
      <c r="AB70" s="10" t="b">
        <v>0</v>
      </c>
      <c r="AC70" s="181">
        <v>698.0</v>
      </c>
      <c r="AD70" s="144" t="b">
        <v>0</v>
      </c>
      <c r="AE70" s="182">
        <v>207.23333333333332</v>
      </c>
      <c r="AF70" s="10" t="b">
        <v>0</v>
      </c>
      <c r="AG70" s="10" t="b">
        <v>0</v>
      </c>
      <c r="AH70" s="144"/>
      <c r="AI70" s="3"/>
      <c r="AJ70" s="10"/>
      <c r="AK70" s="3" t="s">
        <v>244</v>
      </c>
      <c r="AL70" s="5"/>
      <c r="AM70" s="5" t="s">
        <v>307</v>
      </c>
      <c r="AN70" s="5" t="s">
        <v>266</v>
      </c>
      <c r="AO70" s="5" t="s">
        <v>2185</v>
      </c>
      <c r="AP70" s="5" t="s">
        <v>2185</v>
      </c>
      <c r="AQ70" s="5" t="s">
        <v>2185</v>
      </c>
      <c r="AR70" s="5" t="s">
        <v>2185</v>
      </c>
      <c r="AS70" s="142"/>
      <c r="AT70" s="142" t="b">
        <v>0</v>
      </c>
      <c r="AU70" s="142"/>
      <c r="AV70" s="142"/>
      <c r="AW70" s="142"/>
      <c r="AX70" s="142"/>
      <c r="AY70" s="142"/>
      <c r="AZ70" s="174"/>
      <c r="BA70" s="142"/>
      <c r="BB70" s="142"/>
      <c r="BC70" s="142"/>
      <c r="BD70" s="142"/>
      <c r="BE70" s="142"/>
      <c r="BF70" s="142"/>
      <c r="BG70" s="142"/>
    </row>
    <row r="71">
      <c r="A71" s="5" t="s">
        <v>486</v>
      </c>
      <c r="B71" s="44">
        <v>44564.0</v>
      </c>
      <c r="C71" s="150">
        <v>0.39762731481481484</v>
      </c>
      <c r="D71" s="3"/>
      <c r="E71" s="3"/>
      <c r="F71" s="5"/>
      <c r="G71" s="5"/>
      <c r="H71" s="5"/>
      <c r="I71" s="3"/>
      <c r="J71" s="3"/>
      <c r="K71" s="3" t="s">
        <v>244</v>
      </c>
      <c r="L71" s="44">
        <v>44564.0</v>
      </c>
      <c r="M71" s="150">
        <v>0.5280439814814815</v>
      </c>
      <c r="N71" s="5"/>
      <c r="O71" s="5"/>
      <c r="P71" s="10" t="b">
        <v>0</v>
      </c>
      <c r="Q71" s="10" t="s">
        <v>2184</v>
      </c>
      <c r="R71" s="144" t="b">
        <v>1</v>
      </c>
      <c r="S71" s="144">
        <v>1.0</v>
      </c>
      <c r="T71" s="10"/>
      <c r="U71" s="5"/>
      <c r="V71" s="3"/>
      <c r="W71" s="5"/>
      <c r="X71" s="144" t="b">
        <v>0</v>
      </c>
      <c r="Y71" s="10" t="b">
        <v>0</v>
      </c>
      <c r="Z71" s="3"/>
      <c r="AA71" s="10" t="b">
        <v>0</v>
      </c>
      <c r="AB71" s="10" t="b">
        <v>0</v>
      </c>
      <c r="AC71" s="181">
        <v>697.0</v>
      </c>
      <c r="AD71" s="144" t="b">
        <v>0</v>
      </c>
      <c r="AE71" s="182">
        <v>187.79999999999995</v>
      </c>
      <c r="AF71" s="10" t="b">
        <v>0</v>
      </c>
      <c r="AG71" s="10" t="b">
        <v>0</v>
      </c>
      <c r="AH71" s="144"/>
      <c r="AI71" s="3"/>
      <c r="AJ71" s="10"/>
      <c r="AK71" s="3" t="s">
        <v>244</v>
      </c>
      <c r="AL71" s="5"/>
      <c r="AM71" s="5" t="s">
        <v>362</v>
      </c>
      <c r="AN71" s="5" t="s">
        <v>363</v>
      </c>
      <c r="AO71" s="5" t="s">
        <v>2185</v>
      </c>
      <c r="AP71" s="5" t="s">
        <v>2185</v>
      </c>
      <c r="AQ71" s="5" t="s">
        <v>2185</v>
      </c>
      <c r="AR71" s="5" t="s">
        <v>2185</v>
      </c>
      <c r="AS71" s="142"/>
      <c r="AT71" s="142" t="b">
        <v>0</v>
      </c>
      <c r="AU71" s="142"/>
      <c r="AV71" s="142"/>
      <c r="AW71" s="142"/>
      <c r="AX71" s="142"/>
      <c r="AY71" s="142"/>
      <c r="AZ71" s="174"/>
      <c r="BA71" s="142"/>
      <c r="BB71" s="142"/>
      <c r="BC71" s="142"/>
      <c r="BD71" s="142"/>
      <c r="BE71" s="142"/>
      <c r="BF71" s="142"/>
      <c r="BG71" s="142"/>
    </row>
    <row r="72">
      <c r="A72" s="5" t="s">
        <v>488</v>
      </c>
      <c r="B72" s="44">
        <v>44564.0</v>
      </c>
      <c r="C72" s="150">
        <v>0.40229166666666666</v>
      </c>
      <c r="D72" s="3"/>
      <c r="E72" s="3"/>
      <c r="F72" s="5"/>
      <c r="G72" s="5"/>
      <c r="H72" s="5"/>
      <c r="I72" s="3"/>
      <c r="J72" s="3"/>
      <c r="K72" s="3" t="s">
        <v>244</v>
      </c>
      <c r="L72" s="44">
        <v>44564.0</v>
      </c>
      <c r="M72" s="150">
        <v>0.5280439814814815</v>
      </c>
      <c r="N72" s="5"/>
      <c r="O72" s="5"/>
      <c r="P72" s="10" t="b">
        <v>0</v>
      </c>
      <c r="Q72" s="10" t="s">
        <v>2184</v>
      </c>
      <c r="R72" s="144" t="b">
        <v>1</v>
      </c>
      <c r="S72" s="144">
        <v>1.0</v>
      </c>
      <c r="T72" s="10"/>
      <c r="U72" s="5"/>
      <c r="V72" s="3"/>
      <c r="W72" s="5"/>
      <c r="X72" s="144" t="b">
        <v>0</v>
      </c>
      <c r="Y72" s="10" t="b">
        <v>0</v>
      </c>
      <c r="Z72" s="3"/>
      <c r="AA72" s="10" t="b">
        <v>0</v>
      </c>
      <c r="AB72" s="10" t="b">
        <v>0</v>
      </c>
      <c r="AC72" s="181">
        <v>696.0</v>
      </c>
      <c r="AD72" s="144" t="b">
        <v>0</v>
      </c>
      <c r="AE72" s="182">
        <v>181.08333333333331</v>
      </c>
      <c r="AF72" s="10" t="b">
        <v>0</v>
      </c>
      <c r="AG72" s="10" t="b">
        <v>0</v>
      </c>
      <c r="AH72" s="144"/>
      <c r="AI72" s="3"/>
      <c r="AJ72" s="10"/>
      <c r="AK72" s="3" t="s">
        <v>244</v>
      </c>
      <c r="AL72" s="5"/>
      <c r="AM72" s="5" t="s">
        <v>257</v>
      </c>
      <c r="AN72" s="5" t="s">
        <v>406</v>
      </c>
      <c r="AO72" s="5" t="s">
        <v>2185</v>
      </c>
      <c r="AP72" s="5" t="s">
        <v>2185</v>
      </c>
      <c r="AQ72" s="5" t="s">
        <v>2185</v>
      </c>
      <c r="AR72" s="5" t="s">
        <v>2185</v>
      </c>
      <c r="AS72" s="142"/>
      <c r="AT72" s="142" t="b">
        <v>0</v>
      </c>
      <c r="AU72" s="142"/>
      <c r="AV72" s="142"/>
      <c r="AW72" s="142"/>
      <c r="AX72" s="142"/>
      <c r="AY72" s="142"/>
      <c r="AZ72" s="174"/>
      <c r="BA72" s="142"/>
      <c r="BB72" s="142"/>
      <c r="BC72" s="142"/>
      <c r="BD72" s="142"/>
      <c r="BE72" s="142"/>
      <c r="BF72" s="142"/>
      <c r="BG72" s="142"/>
    </row>
    <row r="73">
      <c r="A73" s="5" t="s">
        <v>490</v>
      </c>
      <c r="B73" s="44">
        <v>44565.0</v>
      </c>
      <c r="C73" s="150">
        <v>0.6911574074074074</v>
      </c>
      <c r="D73" s="3"/>
      <c r="E73" s="3"/>
      <c r="F73" s="5"/>
      <c r="G73" s="5"/>
      <c r="H73" s="5"/>
      <c r="I73" s="3"/>
      <c r="J73" s="3"/>
      <c r="K73" s="3" t="s">
        <v>244</v>
      </c>
      <c r="L73" s="44">
        <v>44566.0</v>
      </c>
      <c r="M73" s="150">
        <v>0.4565625</v>
      </c>
      <c r="N73" s="5"/>
      <c r="O73" s="5"/>
      <c r="P73" s="10" t="b">
        <v>0</v>
      </c>
      <c r="Q73" s="10" t="s">
        <v>2184</v>
      </c>
      <c r="R73" s="144" t="b">
        <v>1</v>
      </c>
      <c r="S73" s="144">
        <v>1.0</v>
      </c>
      <c r="T73" s="10">
        <v>0.0</v>
      </c>
      <c r="U73" s="5"/>
      <c r="V73" s="3"/>
      <c r="W73" s="5"/>
      <c r="X73" s="144" t="b">
        <v>0</v>
      </c>
      <c r="Y73" s="10" t="b">
        <v>0</v>
      </c>
      <c r="Z73" s="3"/>
      <c r="AA73" s="10" t="b">
        <v>0</v>
      </c>
      <c r="AB73" s="10" t="b">
        <v>0</v>
      </c>
      <c r="AC73" s="181">
        <v>695.0</v>
      </c>
      <c r="AD73" s="144" t="b">
        <v>0</v>
      </c>
      <c r="AE73" s="182"/>
      <c r="AF73" s="10" t="b">
        <v>0</v>
      </c>
      <c r="AG73" s="10" t="b">
        <v>0</v>
      </c>
      <c r="AH73" s="144"/>
      <c r="AI73" s="3"/>
      <c r="AJ73" s="10"/>
      <c r="AK73" s="3" t="s">
        <v>244</v>
      </c>
      <c r="AL73" s="5"/>
      <c r="AM73" s="5" t="s">
        <v>491</v>
      </c>
      <c r="AN73" s="5" t="s">
        <v>492</v>
      </c>
      <c r="AO73" s="5" t="s">
        <v>2185</v>
      </c>
      <c r="AP73" s="5" t="s">
        <v>2185</v>
      </c>
      <c r="AQ73" s="5" t="s">
        <v>2185</v>
      </c>
      <c r="AR73" s="5" t="s">
        <v>2185</v>
      </c>
      <c r="AS73" s="142"/>
      <c r="AT73" s="142" t="b">
        <v>0</v>
      </c>
      <c r="AU73" s="142"/>
      <c r="AV73" s="142"/>
      <c r="AW73" s="142"/>
      <c r="AX73" s="142"/>
      <c r="AY73" s="142"/>
      <c r="AZ73" s="174"/>
      <c r="BA73" s="142"/>
      <c r="BB73" s="142"/>
      <c r="BC73" s="142"/>
      <c r="BD73" s="142"/>
      <c r="BE73" s="142"/>
      <c r="BF73" s="142"/>
      <c r="BG73" s="142"/>
    </row>
    <row r="74">
      <c r="A74" s="5" t="s">
        <v>494</v>
      </c>
      <c r="B74" s="44">
        <v>44565.0</v>
      </c>
      <c r="C74" s="150">
        <v>0.716099537037037</v>
      </c>
      <c r="D74" s="3"/>
      <c r="E74" s="3"/>
      <c r="F74" s="5"/>
      <c r="G74" s="5"/>
      <c r="H74" s="5"/>
      <c r="I74" s="3"/>
      <c r="J74" s="3"/>
      <c r="K74" s="3" t="s">
        <v>244</v>
      </c>
      <c r="L74" s="44">
        <v>44566.0</v>
      </c>
      <c r="M74" s="150">
        <v>0.4565625</v>
      </c>
      <c r="N74" s="5"/>
      <c r="O74" s="5"/>
      <c r="P74" s="10" t="b">
        <v>0</v>
      </c>
      <c r="Q74" s="10" t="s">
        <v>2184</v>
      </c>
      <c r="R74" s="144" t="b">
        <v>1</v>
      </c>
      <c r="S74" s="144">
        <v>1.0</v>
      </c>
      <c r="T74" s="10"/>
      <c r="U74" s="5"/>
      <c r="V74" s="3"/>
      <c r="W74" s="5"/>
      <c r="X74" s="144" t="b">
        <v>0</v>
      </c>
      <c r="Y74" s="10" t="b">
        <v>0</v>
      </c>
      <c r="Z74" s="3"/>
      <c r="AA74" s="10" t="b">
        <v>0</v>
      </c>
      <c r="AB74" s="10" t="b">
        <v>0</v>
      </c>
      <c r="AC74" s="181">
        <v>694.0</v>
      </c>
      <c r="AD74" s="144" t="b">
        <v>0</v>
      </c>
      <c r="AE74" s="182"/>
      <c r="AF74" s="10" t="b">
        <v>0</v>
      </c>
      <c r="AG74" s="10" t="b">
        <v>0</v>
      </c>
      <c r="AH74" s="144"/>
      <c r="AI74" s="3"/>
      <c r="AJ74" s="10"/>
      <c r="AK74" s="3" t="s">
        <v>244</v>
      </c>
      <c r="AL74" s="5"/>
      <c r="AM74" s="5" t="s">
        <v>491</v>
      </c>
      <c r="AN74" s="5" t="s">
        <v>495</v>
      </c>
      <c r="AO74" s="5" t="s">
        <v>2185</v>
      </c>
      <c r="AP74" s="5" t="s">
        <v>2185</v>
      </c>
      <c r="AQ74" s="5" t="s">
        <v>2185</v>
      </c>
      <c r="AR74" s="5" t="s">
        <v>2185</v>
      </c>
      <c r="AS74" s="142"/>
      <c r="AT74" s="142" t="b">
        <v>0</v>
      </c>
      <c r="AU74" s="142"/>
      <c r="AV74" s="142"/>
      <c r="AW74" s="142"/>
      <c r="AX74" s="142"/>
      <c r="AY74" s="142"/>
      <c r="AZ74" s="174"/>
      <c r="BA74" s="142"/>
      <c r="BB74" s="142"/>
      <c r="BC74" s="142"/>
      <c r="BD74" s="142"/>
      <c r="BE74" s="142"/>
      <c r="BF74" s="142"/>
      <c r="BG74" s="142"/>
    </row>
    <row r="75">
      <c r="A75" s="5" t="s">
        <v>497</v>
      </c>
      <c r="B75" s="44">
        <v>44566.0</v>
      </c>
      <c r="C75" s="150">
        <v>0.30583333333333335</v>
      </c>
      <c r="D75" s="3"/>
      <c r="E75" s="3"/>
      <c r="F75" s="5"/>
      <c r="G75" s="5"/>
      <c r="H75" s="5"/>
      <c r="I75" s="3"/>
      <c r="J75" s="3"/>
      <c r="K75" s="3" t="s">
        <v>244</v>
      </c>
      <c r="L75" s="44">
        <v>44566.0</v>
      </c>
      <c r="M75" s="150">
        <v>0.4565625</v>
      </c>
      <c r="N75" s="5"/>
      <c r="O75" s="5"/>
      <c r="P75" s="10" t="b">
        <v>0</v>
      </c>
      <c r="Q75" s="10" t="s">
        <v>2184</v>
      </c>
      <c r="R75" s="144" t="b">
        <v>1</v>
      </c>
      <c r="S75" s="144">
        <v>1.0</v>
      </c>
      <c r="T75" s="10"/>
      <c r="U75" s="5"/>
      <c r="V75" s="3"/>
      <c r="W75" s="5"/>
      <c r="X75" s="144" t="b">
        <v>0</v>
      </c>
      <c r="Y75" s="10" t="b">
        <v>0</v>
      </c>
      <c r="Z75" s="3"/>
      <c r="AA75" s="10" t="b">
        <v>0</v>
      </c>
      <c r="AB75" s="10" t="b">
        <v>0</v>
      </c>
      <c r="AC75" s="181">
        <v>693.0</v>
      </c>
      <c r="AD75" s="144" t="b">
        <v>0</v>
      </c>
      <c r="AE75" s="182">
        <v>217.04999999999995</v>
      </c>
      <c r="AF75" s="10" t="b">
        <v>0</v>
      </c>
      <c r="AG75" s="10" t="b">
        <v>0</v>
      </c>
      <c r="AH75" s="144"/>
      <c r="AI75" s="3"/>
      <c r="AJ75" s="10"/>
      <c r="AK75" s="3" t="s">
        <v>244</v>
      </c>
      <c r="AL75" s="5"/>
      <c r="AM75" s="5" t="s">
        <v>471</v>
      </c>
      <c r="AN75" s="5" t="s">
        <v>472</v>
      </c>
      <c r="AO75" s="5" t="s">
        <v>2185</v>
      </c>
      <c r="AP75" s="5" t="s">
        <v>2185</v>
      </c>
      <c r="AQ75" s="5" t="s">
        <v>2185</v>
      </c>
      <c r="AR75" s="5" t="s">
        <v>2185</v>
      </c>
      <c r="AS75" s="142"/>
      <c r="AT75" s="142" t="b">
        <v>0</v>
      </c>
      <c r="AU75" s="142"/>
      <c r="AV75" s="142"/>
      <c r="AW75" s="142"/>
      <c r="AX75" s="142"/>
      <c r="AY75" s="142"/>
      <c r="AZ75" s="174"/>
      <c r="BA75" s="142"/>
      <c r="BB75" s="142"/>
      <c r="BC75" s="142"/>
      <c r="BD75" s="142"/>
      <c r="BE75" s="142"/>
      <c r="BF75" s="142"/>
      <c r="BG75" s="142"/>
    </row>
    <row r="76">
      <c r="A76" s="5" t="s">
        <v>499</v>
      </c>
      <c r="B76" s="44">
        <v>44566.0</v>
      </c>
      <c r="C76" s="150">
        <v>0.3086921296296296</v>
      </c>
      <c r="D76" s="3"/>
      <c r="E76" s="3"/>
      <c r="F76" s="5"/>
      <c r="G76" s="5"/>
      <c r="H76" s="5"/>
      <c r="I76" s="183"/>
      <c r="J76" s="3"/>
      <c r="K76" s="3" t="s">
        <v>244</v>
      </c>
      <c r="L76" s="44">
        <v>44566.0</v>
      </c>
      <c r="M76" s="150">
        <v>0.4565625</v>
      </c>
      <c r="N76" s="5" t="s">
        <v>247</v>
      </c>
      <c r="O76" s="5"/>
      <c r="P76" s="10" t="b">
        <v>0</v>
      </c>
      <c r="Q76" s="10" t="s">
        <v>2184</v>
      </c>
      <c r="R76" s="144" t="b">
        <v>1</v>
      </c>
      <c r="S76" s="144">
        <v>1.0</v>
      </c>
      <c r="T76" s="10">
        <v>0.0</v>
      </c>
      <c r="U76" s="5"/>
      <c r="V76" s="3"/>
      <c r="W76" s="5"/>
      <c r="X76" s="144" t="b">
        <v>0</v>
      </c>
      <c r="Y76" s="10" t="b">
        <v>0</v>
      </c>
      <c r="Z76" s="3"/>
      <c r="AA76" s="10" t="b">
        <v>0</v>
      </c>
      <c r="AB76" s="10" t="b">
        <v>0</v>
      </c>
      <c r="AC76" s="181">
        <v>794.0</v>
      </c>
      <c r="AD76" s="144" t="b">
        <v>1</v>
      </c>
      <c r="AE76" s="182">
        <v>212.93333333333334</v>
      </c>
      <c r="AF76" s="10" t="b">
        <v>0</v>
      </c>
      <c r="AG76" s="10" t="b">
        <v>0</v>
      </c>
      <c r="AH76" s="144"/>
      <c r="AI76" s="3"/>
      <c r="AJ76" s="10"/>
      <c r="AK76" s="3" t="s">
        <v>244</v>
      </c>
      <c r="AL76" s="5"/>
      <c r="AM76" s="5" t="s">
        <v>500</v>
      </c>
      <c r="AN76" s="5" t="s">
        <v>501</v>
      </c>
      <c r="AO76" s="5" t="s">
        <v>2185</v>
      </c>
      <c r="AP76" s="5" t="s">
        <v>2185</v>
      </c>
      <c r="AQ76" s="5" t="s">
        <v>2185</v>
      </c>
      <c r="AR76" s="5" t="s">
        <v>2185</v>
      </c>
      <c r="AS76" s="142"/>
      <c r="AT76" s="142" t="b">
        <v>0</v>
      </c>
      <c r="AU76" s="142"/>
      <c r="AV76" s="142"/>
      <c r="AW76" s="142"/>
      <c r="AX76" s="142"/>
      <c r="AY76" s="142"/>
      <c r="AZ76" s="174"/>
      <c r="BA76" s="142"/>
      <c r="BB76" s="142"/>
      <c r="BC76" s="142"/>
      <c r="BD76" s="142"/>
      <c r="BE76" s="142"/>
      <c r="BF76" s="142"/>
      <c r="BG76" s="142"/>
    </row>
    <row r="77">
      <c r="A77" s="5" t="s">
        <v>503</v>
      </c>
      <c r="B77" s="44">
        <v>44566.0</v>
      </c>
      <c r="C77" s="150">
        <v>0.3115277777777778</v>
      </c>
      <c r="D77" s="3"/>
      <c r="E77" s="3"/>
      <c r="F77" s="5"/>
      <c r="G77" s="5"/>
      <c r="H77" s="5"/>
      <c r="I77" s="3"/>
      <c r="J77" s="3"/>
      <c r="K77" s="3" t="s">
        <v>244</v>
      </c>
      <c r="L77" s="44">
        <v>44566.0</v>
      </c>
      <c r="M77" s="150">
        <v>0.4565625</v>
      </c>
      <c r="N77" s="5"/>
      <c r="O77" s="5"/>
      <c r="P77" s="10" t="b">
        <v>0</v>
      </c>
      <c r="Q77" s="10" t="s">
        <v>2184</v>
      </c>
      <c r="R77" s="144" t="b">
        <v>1</v>
      </c>
      <c r="S77" s="144">
        <v>1.0</v>
      </c>
      <c r="T77" s="10"/>
      <c r="U77" s="5"/>
      <c r="V77" s="3"/>
      <c r="W77" s="5"/>
      <c r="X77" s="144" t="b">
        <v>0</v>
      </c>
      <c r="Y77" s="10" t="b">
        <v>0</v>
      </c>
      <c r="Z77" s="3"/>
      <c r="AA77" s="10" t="b">
        <v>0</v>
      </c>
      <c r="AB77" s="10" t="b">
        <v>0</v>
      </c>
      <c r="AC77" s="181">
        <v>692.0</v>
      </c>
      <c r="AD77" s="144" t="b">
        <v>0</v>
      </c>
      <c r="AE77" s="182">
        <v>208.84999999999997</v>
      </c>
      <c r="AF77" s="10" t="b">
        <v>0</v>
      </c>
      <c r="AG77" s="10" t="b">
        <v>0</v>
      </c>
      <c r="AH77" s="144"/>
      <c r="AI77" s="3"/>
      <c r="AJ77" s="10"/>
      <c r="AK77" s="3" t="s">
        <v>244</v>
      </c>
      <c r="AL77" s="5"/>
      <c r="AM77" s="5" t="s">
        <v>504</v>
      </c>
      <c r="AN77" s="5" t="s">
        <v>505</v>
      </c>
      <c r="AO77" s="5" t="s">
        <v>2185</v>
      </c>
      <c r="AP77" s="5" t="s">
        <v>2185</v>
      </c>
      <c r="AQ77" s="5" t="s">
        <v>2185</v>
      </c>
      <c r="AR77" s="5" t="s">
        <v>2185</v>
      </c>
      <c r="AS77" s="142"/>
      <c r="AT77" s="142" t="b">
        <v>0</v>
      </c>
      <c r="AU77" s="142"/>
      <c r="AV77" s="142"/>
      <c r="AW77" s="142"/>
      <c r="AX77" s="142"/>
      <c r="AY77" s="142"/>
      <c r="AZ77" s="174"/>
      <c r="BA77" s="142"/>
      <c r="BB77" s="142"/>
      <c r="BC77" s="142"/>
      <c r="BD77" s="142"/>
      <c r="BE77" s="142"/>
      <c r="BF77" s="142"/>
      <c r="BG77" s="142"/>
    </row>
    <row r="78">
      <c r="A78" s="5" t="s">
        <v>507</v>
      </c>
      <c r="B78" s="44">
        <v>44566.0</v>
      </c>
      <c r="C78" s="150">
        <v>0.32104166666666667</v>
      </c>
      <c r="D78" s="3"/>
      <c r="E78" s="3"/>
      <c r="F78" s="5"/>
      <c r="G78" s="5"/>
      <c r="H78" s="5"/>
      <c r="I78" s="3"/>
      <c r="J78" s="3"/>
      <c r="K78" s="3" t="s">
        <v>244</v>
      </c>
      <c r="L78" s="44">
        <v>44566.0</v>
      </c>
      <c r="M78" s="150">
        <v>0.4565625</v>
      </c>
      <c r="N78" s="5"/>
      <c r="O78" s="5"/>
      <c r="P78" s="10" t="b">
        <v>0</v>
      </c>
      <c r="Q78" s="10" t="s">
        <v>2184</v>
      </c>
      <c r="R78" s="144" t="b">
        <v>1</v>
      </c>
      <c r="S78" s="144">
        <v>1.0</v>
      </c>
      <c r="T78" s="10">
        <v>0.0</v>
      </c>
      <c r="U78" s="5"/>
      <c r="V78" s="3"/>
      <c r="W78" s="5"/>
      <c r="X78" s="144" t="b">
        <v>0</v>
      </c>
      <c r="Y78" s="10" t="b">
        <v>0</v>
      </c>
      <c r="Z78" s="3"/>
      <c r="AA78" s="10" t="b">
        <v>0</v>
      </c>
      <c r="AB78" s="10" t="b">
        <v>0</v>
      </c>
      <c r="AC78" s="181">
        <v>691.0</v>
      </c>
      <c r="AD78" s="144" t="b">
        <v>0</v>
      </c>
      <c r="AE78" s="182">
        <v>195.14999999999998</v>
      </c>
      <c r="AF78" s="10" t="b">
        <v>0</v>
      </c>
      <c r="AG78" s="10" t="b">
        <v>0</v>
      </c>
      <c r="AH78" s="144"/>
      <c r="AI78" s="3"/>
      <c r="AJ78" s="10"/>
      <c r="AK78" s="3" t="s">
        <v>244</v>
      </c>
      <c r="AL78" s="5"/>
      <c r="AM78" s="5" t="s">
        <v>508</v>
      </c>
      <c r="AN78" s="5" t="s">
        <v>509</v>
      </c>
      <c r="AO78" s="5" t="s">
        <v>2185</v>
      </c>
      <c r="AP78" s="5" t="s">
        <v>2185</v>
      </c>
      <c r="AQ78" s="5" t="s">
        <v>2185</v>
      </c>
      <c r="AR78" s="5" t="s">
        <v>2185</v>
      </c>
      <c r="AS78" s="142"/>
      <c r="AT78" s="142" t="b">
        <v>0</v>
      </c>
      <c r="AU78" s="142"/>
      <c r="AV78" s="142"/>
      <c r="AW78" s="142"/>
      <c r="AX78" s="142"/>
      <c r="AY78" s="142"/>
      <c r="AZ78" s="174"/>
      <c r="BA78" s="142"/>
      <c r="BB78" s="142"/>
      <c r="BC78" s="142"/>
      <c r="BD78" s="142"/>
      <c r="BE78" s="142"/>
      <c r="BF78" s="142"/>
      <c r="BG78" s="142"/>
    </row>
    <row r="79">
      <c r="A79" s="5" t="s">
        <v>511</v>
      </c>
      <c r="B79" s="44">
        <v>44566.0</v>
      </c>
      <c r="C79" s="150">
        <v>0.3297453703703704</v>
      </c>
      <c r="D79" s="3"/>
      <c r="E79" s="3"/>
      <c r="F79" s="5"/>
      <c r="G79" s="5"/>
      <c r="H79" s="5"/>
      <c r="I79" s="3"/>
      <c r="J79" s="3"/>
      <c r="K79" s="3" t="s">
        <v>52</v>
      </c>
      <c r="L79" s="44">
        <v>44568.0</v>
      </c>
      <c r="M79" s="150">
        <v>0.508275462962963</v>
      </c>
      <c r="N79" s="5"/>
      <c r="O79" s="5"/>
      <c r="P79" s="10" t="b">
        <v>0</v>
      </c>
      <c r="Q79" s="10" t="s">
        <v>2184</v>
      </c>
      <c r="R79" s="144" t="b">
        <v>1</v>
      </c>
      <c r="S79" s="144">
        <v>1.0</v>
      </c>
      <c r="T79" s="10"/>
      <c r="U79" s="5"/>
      <c r="V79" s="3"/>
      <c r="W79" s="5"/>
      <c r="X79" s="144" t="b">
        <v>0</v>
      </c>
      <c r="Y79" s="10" t="b">
        <v>0</v>
      </c>
      <c r="Z79" s="3"/>
      <c r="AA79" s="10" t="b">
        <v>0</v>
      </c>
      <c r="AB79" s="10" t="b">
        <v>0</v>
      </c>
      <c r="AC79" s="181">
        <v>690.0</v>
      </c>
      <c r="AD79" s="144" t="b">
        <v>0</v>
      </c>
      <c r="AE79" s="182"/>
      <c r="AF79" s="10" t="b">
        <v>0</v>
      </c>
      <c r="AG79" s="10" t="b">
        <v>0</v>
      </c>
      <c r="AH79" s="144"/>
      <c r="AI79" s="3"/>
      <c r="AJ79" s="10"/>
      <c r="AK79" s="3" t="s">
        <v>52</v>
      </c>
      <c r="AL79" s="5"/>
      <c r="AM79" s="5" t="s">
        <v>512</v>
      </c>
      <c r="AN79" s="5" t="s">
        <v>513</v>
      </c>
      <c r="AO79" s="5" t="s">
        <v>2185</v>
      </c>
      <c r="AP79" s="5" t="s">
        <v>2185</v>
      </c>
      <c r="AQ79" s="5" t="s">
        <v>2185</v>
      </c>
      <c r="AR79" s="5" t="s">
        <v>2185</v>
      </c>
      <c r="AS79" s="142"/>
      <c r="AT79" s="142" t="b">
        <v>0</v>
      </c>
      <c r="AU79" s="142"/>
      <c r="AV79" s="142"/>
      <c r="AW79" s="142"/>
      <c r="AX79" s="142"/>
      <c r="AY79" s="142"/>
      <c r="AZ79" s="174"/>
      <c r="BA79" s="142"/>
      <c r="BB79" s="142"/>
      <c r="BC79" s="142"/>
      <c r="BD79" s="142"/>
      <c r="BE79" s="142"/>
      <c r="BF79" s="142"/>
      <c r="BG79" s="142"/>
    </row>
    <row r="80">
      <c r="A80" s="5" t="s">
        <v>515</v>
      </c>
      <c r="B80" s="44">
        <v>44566.0</v>
      </c>
      <c r="C80" s="150">
        <v>0.3307638888888889</v>
      </c>
      <c r="D80" s="3"/>
      <c r="E80" s="3"/>
      <c r="F80" s="5"/>
      <c r="G80" s="5"/>
      <c r="H80" s="5"/>
      <c r="I80" s="3"/>
      <c r="J80" s="3"/>
      <c r="K80" s="3" t="s">
        <v>52</v>
      </c>
      <c r="L80" s="44">
        <v>44568.0</v>
      </c>
      <c r="M80" s="150">
        <v>0.508275462962963</v>
      </c>
      <c r="N80" s="5"/>
      <c r="O80" s="5"/>
      <c r="P80" s="10" t="b">
        <v>0</v>
      </c>
      <c r="Q80" s="10" t="s">
        <v>2184</v>
      </c>
      <c r="R80" s="144" t="b">
        <v>1</v>
      </c>
      <c r="S80" s="144">
        <v>1.0</v>
      </c>
      <c r="T80" s="10"/>
      <c r="U80" s="5"/>
      <c r="V80" s="3"/>
      <c r="W80" s="5"/>
      <c r="X80" s="144" t="b">
        <v>0</v>
      </c>
      <c r="Y80" s="10" t="b">
        <v>0</v>
      </c>
      <c r="Z80" s="3"/>
      <c r="AA80" s="10" t="b">
        <v>0</v>
      </c>
      <c r="AB80" s="10" t="b">
        <v>0</v>
      </c>
      <c r="AC80" s="181">
        <v>689.0</v>
      </c>
      <c r="AD80" s="144" t="b">
        <v>0</v>
      </c>
      <c r="AE80" s="182"/>
      <c r="AF80" s="10" t="b">
        <v>0</v>
      </c>
      <c r="AG80" s="10" t="b">
        <v>0</v>
      </c>
      <c r="AH80" s="144"/>
      <c r="AI80" s="3"/>
      <c r="AJ80" s="10"/>
      <c r="AK80" s="3" t="s">
        <v>52</v>
      </c>
      <c r="AL80" s="5"/>
      <c r="AM80" s="5" t="s">
        <v>477</v>
      </c>
      <c r="AN80" s="5" t="s">
        <v>450</v>
      </c>
      <c r="AO80" s="5" t="s">
        <v>2185</v>
      </c>
      <c r="AP80" s="5" t="s">
        <v>2185</v>
      </c>
      <c r="AQ80" s="5" t="s">
        <v>2185</v>
      </c>
      <c r="AR80" s="5" t="s">
        <v>2185</v>
      </c>
      <c r="AS80" s="142"/>
      <c r="AT80" s="142" t="b">
        <v>0</v>
      </c>
      <c r="AU80" s="142"/>
      <c r="AV80" s="142"/>
      <c r="AW80" s="142"/>
      <c r="AX80" s="142"/>
      <c r="AY80" s="142"/>
      <c r="AZ80" s="174"/>
      <c r="BA80" s="142"/>
      <c r="BB80" s="142"/>
      <c r="BC80" s="142"/>
      <c r="BD80" s="142"/>
      <c r="BE80" s="142"/>
      <c r="BF80" s="142"/>
      <c r="BG80" s="142"/>
    </row>
    <row r="81">
      <c r="A81" s="5" t="s">
        <v>517</v>
      </c>
      <c r="B81" s="44">
        <v>44566.0</v>
      </c>
      <c r="C81" s="150">
        <v>0.33738425925925924</v>
      </c>
      <c r="D81" s="3"/>
      <c r="E81" s="3"/>
      <c r="F81" s="5"/>
      <c r="G81" s="5"/>
      <c r="H81" s="5"/>
      <c r="I81" s="3"/>
      <c r="J81" s="3"/>
      <c r="K81" s="3" t="s">
        <v>244</v>
      </c>
      <c r="L81" s="44">
        <v>44566.0</v>
      </c>
      <c r="M81" s="150">
        <v>0.4565625</v>
      </c>
      <c r="N81" s="5"/>
      <c r="O81" s="5"/>
      <c r="P81" s="10" t="b">
        <v>0</v>
      </c>
      <c r="Q81" s="10" t="s">
        <v>2184</v>
      </c>
      <c r="R81" s="144" t="b">
        <v>1</v>
      </c>
      <c r="S81" s="144">
        <v>1.0</v>
      </c>
      <c r="T81" s="10"/>
      <c r="U81" s="5"/>
      <c r="V81" s="3"/>
      <c r="W81" s="5"/>
      <c r="X81" s="144" t="b">
        <v>0</v>
      </c>
      <c r="Y81" s="10" t="b">
        <v>0</v>
      </c>
      <c r="Z81" s="3"/>
      <c r="AA81" s="10" t="b">
        <v>0</v>
      </c>
      <c r="AB81" s="10" t="b">
        <v>0</v>
      </c>
      <c r="AC81" s="181">
        <v>688.0</v>
      </c>
      <c r="AD81" s="144" t="b">
        <v>0</v>
      </c>
      <c r="AE81" s="182">
        <v>171.61666666666667</v>
      </c>
      <c r="AF81" s="10" t="b">
        <v>0</v>
      </c>
      <c r="AG81" s="10" t="b">
        <v>0</v>
      </c>
      <c r="AH81" s="144"/>
      <c r="AI81" s="3"/>
      <c r="AJ81" s="10"/>
      <c r="AK81" s="3" t="s">
        <v>244</v>
      </c>
      <c r="AL81" s="5"/>
      <c r="AM81" s="5" t="s">
        <v>307</v>
      </c>
      <c r="AN81" s="5" t="s">
        <v>266</v>
      </c>
      <c r="AO81" s="5" t="s">
        <v>2185</v>
      </c>
      <c r="AP81" s="5" t="s">
        <v>2185</v>
      </c>
      <c r="AQ81" s="5" t="s">
        <v>2185</v>
      </c>
      <c r="AR81" s="5" t="s">
        <v>2185</v>
      </c>
      <c r="AS81" s="142"/>
      <c r="AT81" s="142" t="b">
        <v>0</v>
      </c>
      <c r="AU81" s="142"/>
      <c r="AV81" s="142"/>
      <c r="AW81" s="142"/>
      <c r="AX81" s="142"/>
      <c r="AY81" s="142"/>
      <c r="AZ81" s="174"/>
      <c r="BA81" s="142"/>
      <c r="BB81" s="142"/>
      <c r="BC81" s="142"/>
      <c r="BD81" s="142"/>
      <c r="BE81" s="142"/>
      <c r="BF81" s="142"/>
      <c r="BG81" s="142"/>
    </row>
    <row r="82">
      <c r="A82" s="5" t="s">
        <v>519</v>
      </c>
      <c r="B82" s="44">
        <v>44566.0</v>
      </c>
      <c r="C82" s="150">
        <v>0.3388888888888889</v>
      </c>
      <c r="D82" s="3"/>
      <c r="E82" s="3"/>
      <c r="F82" s="5"/>
      <c r="G82" s="5"/>
      <c r="H82" s="5"/>
      <c r="I82" s="3"/>
      <c r="J82" s="3"/>
      <c r="K82" s="3" t="s">
        <v>244</v>
      </c>
      <c r="L82" s="44">
        <v>44566.0</v>
      </c>
      <c r="M82" s="150">
        <v>0.4565625</v>
      </c>
      <c r="N82" s="5"/>
      <c r="O82" s="5"/>
      <c r="P82" s="10" t="b">
        <v>0</v>
      </c>
      <c r="Q82" s="10" t="s">
        <v>2184</v>
      </c>
      <c r="R82" s="144" t="b">
        <v>1</v>
      </c>
      <c r="S82" s="144">
        <v>1.0</v>
      </c>
      <c r="T82" s="10"/>
      <c r="U82" s="5"/>
      <c r="V82" s="3"/>
      <c r="W82" s="5"/>
      <c r="X82" s="144" t="b">
        <v>0</v>
      </c>
      <c r="Y82" s="10" t="b">
        <v>0</v>
      </c>
      <c r="Z82" s="3"/>
      <c r="AA82" s="10" t="b">
        <v>0</v>
      </c>
      <c r="AB82" s="10" t="b">
        <v>0</v>
      </c>
      <c r="AC82" s="181">
        <v>687.0</v>
      </c>
      <c r="AD82" s="144" t="b">
        <v>0</v>
      </c>
      <c r="AE82" s="182">
        <v>169.44999999999996</v>
      </c>
      <c r="AF82" s="10" t="b">
        <v>0</v>
      </c>
      <c r="AG82" s="10" t="b">
        <v>0</v>
      </c>
      <c r="AH82" s="144"/>
      <c r="AI82" s="3"/>
      <c r="AJ82" s="10"/>
      <c r="AK82" s="3" t="s">
        <v>244</v>
      </c>
      <c r="AL82" s="5"/>
      <c r="AM82" s="5" t="s">
        <v>520</v>
      </c>
      <c r="AN82" s="5" t="s">
        <v>521</v>
      </c>
      <c r="AO82" s="5" t="s">
        <v>2185</v>
      </c>
      <c r="AP82" s="5" t="s">
        <v>2185</v>
      </c>
      <c r="AQ82" s="5" t="s">
        <v>2185</v>
      </c>
      <c r="AR82" s="5" t="s">
        <v>2185</v>
      </c>
      <c r="AS82" s="142"/>
      <c r="AT82" s="142" t="b">
        <v>0</v>
      </c>
      <c r="AU82" s="142"/>
      <c r="AV82" s="142"/>
      <c r="AW82" s="142"/>
      <c r="AX82" s="142"/>
      <c r="AY82" s="142"/>
      <c r="AZ82" s="174"/>
      <c r="BA82" s="142"/>
      <c r="BB82" s="142"/>
      <c r="BC82" s="142"/>
      <c r="BD82" s="142"/>
      <c r="BE82" s="142"/>
      <c r="BF82" s="142"/>
      <c r="BG82" s="142"/>
    </row>
    <row r="83">
      <c r="A83" s="5" t="s">
        <v>523</v>
      </c>
      <c r="B83" s="44">
        <v>44566.0</v>
      </c>
      <c r="C83" s="150">
        <v>0.35116898148148146</v>
      </c>
      <c r="D83" s="3"/>
      <c r="E83" s="3"/>
      <c r="F83" s="5"/>
      <c r="G83" s="5"/>
      <c r="H83" s="5"/>
      <c r="I83" s="3"/>
      <c r="J83" s="3"/>
      <c r="K83" s="3" t="s">
        <v>244</v>
      </c>
      <c r="L83" s="44">
        <v>44566.0</v>
      </c>
      <c r="M83" s="150">
        <v>0.4565625</v>
      </c>
      <c r="N83" s="5"/>
      <c r="O83" s="5"/>
      <c r="P83" s="10" t="b">
        <v>0</v>
      </c>
      <c r="Q83" s="10" t="s">
        <v>2184</v>
      </c>
      <c r="R83" s="144" t="b">
        <v>1</v>
      </c>
      <c r="S83" s="144">
        <v>1.0</v>
      </c>
      <c r="T83" s="10"/>
      <c r="U83" s="5"/>
      <c r="V83" s="3"/>
      <c r="W83" s="5"/>
      <c r="X83" s="144" t="b">
        <v>0</v>
      </c>
      <c r="Y83" s="10" t="b">
        <v>0</v>
      </c>
      <c r="Z83" s="3"/>
      <c r="AA83" s="10" t="b">
        <v>0</v>
      </c>
      <c r="AB83" s="10" t="b">
        <v>0</v>
      </c>
      <c r="AC83" s="181">
        <v>686.0</v>
      </c>
      <c r="AD83" s="144" t="b">
        <v>0</v>
      </c>
      <c r="AE83" s="182">
        <v>151.76666666666668</v>
      </c>
      <c r="AF83" s="10" t="b">
        <v>0</v>
      </c>
      <c r="AG83" s="10" t="b">
        <v>0</v>
      </c>
      <c r="AH83" s="144"/>
      <c r="AI83" s="3"/>
      <c r="AJ83" s="10"/>
      <c r="AK83" s="3" t="s">
        <v>244</v>
      </c>
      <c r="AL83" s="5"/>
      <c r="AM83" s="5" t="s">
        <v>261</v>
      </c>
      <c r="AN83" s="5" t="s">
        <v>262</v>
      </c>
      <c r="AO83" s="5" t="s">
        <v>2185</v>
      </c>
      <c r="AP83" s="5" t="s">
        <v>2185</v>
      </c>
      <c r="AQ83" s="5" t="s">
        <v>2185</v>
      </c>
      <c r="AR83" s="5" t="s">
        <v>2185</v>
      </c>
      <c r="AS83" s="142"/>
      <c r="AT83" s="142" t="b">
        <v>0</v>
      </c>
      <c r="AU83" s="142"/>
      <c r="AV83" s="142"/>
      <c r="AW83" s="142"/>
      <c r="AX83" s="142"/>
      <c r="AY83" s="142"/>
      <c r="AZ83" s="174"/>
      <c r="BA83" s="142"/>
      <c r="BB83" s="142"/>
      <c r="BC83" s="142"/>
      <c r="BD83" s="142"/>
      <c r="BE83" s="142"/>
      <c r="BF83" s="142"/>
      <c r="BG83" s="142"/>
    </row>
    <row r="84">
      <c r="A84" s="5" t="s">
        <v>525</v>
      </c>
      <c r="B84" s="44">
        <v>44566.0</v>
      </c>
      <c r="C84" s="150">
        <v>0.3789351851851852</v>
      </c>
      <c r="D84" s="3"/>
      <c r="E84" s="3"/>
      <c r="F84" s="5"/>
      <c r="G84" s="5"/>
      <c r="H84" s="5"/>
      <c r="I84" s="3"/>
      <c r="J84" s="3"/>
      <c r="K84" s="3" t="s">
        <v>244</v>
      </c>
      <c r="L84" s="44">
        <v>44566.0</v>
      </c>
      <c r="M84" s="150">
        <v>0.4565625</v>
      </c>
      <c r="N84" s="5"/>
      <c r="O84" s="5"/>
      <c r="P84" s="10" t="b">
        <v>0</v>
      </c>
      <c r="Q84" s="10" t="s">
        <v>2184</v>
      </c>
      <c r="R84" s="144" t="b">
        <v>1</v>
      </c>
      <c r="S84" s="144">
        <v>1.0</v>
      </c>
      <c r="T84" s="10"/>
      <c r="U84" s="5"/>
      <c r="V84" s="3"/>
      <c r="W84" s="5"/>
      <c r="X84" s="144" t="b">
        <v>0</v>
      </c>
      <c r="Y84" s="10" t="b">
        <v>0</v>
      </c>
      <c r="Z84" s="3"/>
      <c r="AA84" s="10" t="b">
        <v>0</v>
      </c>
      <c r="AB84" s="10" t="b">
        <v>0</v>
      </c>
      <c r="AC84" s="181">
        <v>685.0</v>
      </c>
      <c r="AD84" s="144" t="b">
        <v>0</v>
      </c>
      <c r="AE84" s="182">
        <v>111.78333333333327</v>
      </c>
      <c r="AF84" s="10" t="b">
        <v>0</v>
      </c>
      <c r="AG84" s="10" t="b">
        <v>0</v>
      </c>
      <c r="AH84" s="144"/>
      <c r="AI84" s="3"/>
      <c r="AJ84" s="10"/>
      <c r="AK84" s="3" t="s">
        <v>244</v>
      </c>
      <c r="AL84" s="5"/>
      <c r="AM84" s="5" t="s">
        <v>261</v>
      </c>
      <c r="AN84" s="5" t="s">
        <v>425</v>
      </c>
      <c r="AO84" s="5" t="s">
        <v>2185</v>
      </c>
      <c r="AP84" s="5" t="s">
        <v>2185</v>
      </c>
      <c r="AQ84" s="5" t="s">
        <v>2185</v>
      </c>
      <c r="AR84" s="5" t="s">
        <v>2185</v>
      </c>
      <c r="AS84" s="142"/>
      <c r="AT84" s="142" t="b">
        <v>0</v>
      </c>
      <c r="AU84" s="142"/>
      <c r="AV84" s="142"/>
      <c r="AW84" s="142"/>
      <c r="AX84" s="142"/>
      <c r="AY84" s="142"/>
      <c r="AZ84" s="174"/>
      <c r="BA84" s="142"/>
      <c r="BB84" s="142"/>
      <c r="BC84" s="142"/>
      <c r="BD84" s="142"/>
      <c r="BE84" s="142"/>
      <c r="BF84" s="142"/>
      <c r="BG84" s="142"/>
    </row>
    <row r="85">
      <c r="A85" s="5" t="s">
        <v>527</v>
      </c>
      <c r="B85" s="44">
        <v>44566.0</v>
      </c>
      <c r="C85" s="150">
        <v>0.38178240740740743</v>
      </c>
      <c r="D85" s="3"/>
      <c r="E85" s="3"/>
      <c r="F85" s="5"/>
      <c r="G85" s="5"/>
      <c r="H85" s="5"/>
      <c r="I85" s="3"/>
      <c r="J85" s="3"/>
      <c r="K85" s="3" t="s">
        <v>244</v>
      </c>
      <c r="L85" s="44">
        <v>44566.0</v>
      </c>
      <c r="M85" s="150">
        <v>0.4565625</v>
      </c>
      <c r="N85" s="5"/>
      <c r="O85" s="5"/>
      <c r="P85" s="10" t="b">
        <v>0</v>
      </c>
      <c r="Q85" s="10" t="s">
        <v>2184</v>
      </c>
      <c r="R85" s="144" t="b">
        <v>1</v>
      </c>
      <c r="S85" s="144">
        <v>1.0</v>
      </c>
      <c r="T85" s="10"/>
      <c r="U85" s="5"/>
      <c r="V85" s="3"/>
      <c r="W85" s="5"/>
      <c r="X85" s="144" t="b">
        <v>0</v>
      </c>
      <c r="Y85" s="10" t="b">
        <v>0</v>
      </c>
      <c r="Z85" s="3"/>
      <c r="AA85" s="10" t="b">
        <v>0</v>
      </c>
      <c r="AB85" s="10" t="b">
        <v>0</v>
      </c>
      <c r="AC85" s="181">
        <v>684.0</v>
      </c>
      <c r="AD85" s="144" t="b">
        <v>0</v>
      </c>
      <c r="AE85" s="182">
        <v>107.68333333333328</v>
      </c>
      <c r="AF85" s="10" t="b">
        <v>0</v>
      </c>
      <c r="AG85" s="10" t="b">
        <v>0</v>
      </c>
      <c r="AH85" s="144"/>
      <c r="AI85" s="3"/>
      <c r="AJ85" s="10"/>
      <c r="AK85" s="3" t="s">
        <v>244</v>
      </c>
      <c r="AL85" s="5"/>
      <c r="AM85" s="5" t="s">
        <v>261</v>
      </c>
      <c r="AN85" s="5" t="s">
        <v>458</v>
      </c>
      <c r="AO85" s="5" t="s">
        <v>2185</v>
      </c>
      <c r="AP85" s="5" t="s">
        <v>2185</v>
      </c>
      <c r="AQ85" s="5" t="s">
        <v>2185</v>
      </c>
      <c r="AR85" s="5" t="s">
        <v>2185</v>
      </c>
      <c r="AS85" s="142"/>
      <c r="AT85" s="142" t="b">
        <v>0</v>
      </c>
      <c r="AU85" s="142"/>
      <c r="AV85" s="142"/>
      <c r="AW85" s="142"/>
      <c r="AX85" s="142"/>
      <c r="AY85" s="142"/>
      <c r="AZ85" s="174"/>
      <c r="BA85" s="142"/>
      <c r="BB85" s="142"/>
      <c r="BC85" s="142"/>
      <c r="BD85" s="142"/>
      <c r="BE85" s="142"/>
      <c r="BF85" s="142"/>
      <c r="BG85" s="142"/>
    </row>
    <row r="86">
      <c r="A86" s="5" t="s">
        <v>529</v>
      </c>
      <c r="B86" s="44">
        <v>44566.0</v>
      </c>
      <c r="C86" s="150">
        <v>0.3824652777777778</v>
      </c>
      <c r="D86" s="3"/>
      <c r="E86" s="3"/>
      <c r="F86" s="5"/>
      <c r="G86" s="5"/>
      <c r="H86" s="5"/>
      <c r="I86" s="3"/>
      <c r="J86" s="3"/>
      <c r="K86" s="3" t="s">
        <v>244</v>
      </c>
      <c r="L86" s="44">
        <v>44566.0</v>
      </c>
      <c r="M86" s="150">
        <v>0.4565625</v>
      </c>
      <c r="N86" s="5"/>
      <c r="O86" s="5"/>
      <c r="P86" s="10" t="b">
        <v>0</v>
      </c>
      <c r="Q86" s="10" t="s">
        <v>2184</v>
      </c>
      <c r="R86" s="144" t="b">
        <v>1</v>
      </c>
      <c r="S86" s="144">
        <v>1.0</v>
      </c>
      <c r="T86" s="10">
        <v>0.0</v>
      </c>
      <c r="U86" s="5"/>
      <c r="V86" s="3"/>
      <c r="W86" s="5"/>
      <c r="X86" s="144" t="b">
        <v>0</v>
      </c>
      <c r="Y86" s="10" t="b">
        <v>0</v>
      </c>
      <c r="Z86" s="3"/>
      <c r="AA86" s="10" t="b">
        <v>0</v>
      </c>
      <c r="AB86" s="10" t="b">
        <v>0</v>
      </c>
      <c r="AC86" s="181">
        <v>683.0</v>
      </c>
      <c r="AD86" s="144" t="b">
        <v>0</v>
      </c>
      <c r="AE86" s="182">
        <v>106.69999999999997</v>
      </c>
      <c r="AF86" s="10" t="b">
        <v>0</v>
      </c>
      <c r="AG86" s="10" t="b">
        <v>0</v>
      </c>
      <c r="AH86" s="144"/>
      <c r="AI86" s="3">
        <v>9.0</v>
      </c>
      <c r="AJ86" s="10"/>
      <c r="AK86" s="3" t="s">
        <v>244</v>
      </c>
      <c r="AL86" s="5"/>
      <c r="AM86" s="5" t="s">
        <v>261</v>
      </c>
      <c r="AN86" s="5" t="s">
        <v>530</v>
      </c>
      <c r="AO86" s="5" t="s">
        <v>2185</v>
      </c>
      <c r="AP86" s="5" t="s">
        <v>2185</v>
      </c>
      <c r="AQ86" s="5" t="s">
        <v>2185</v>
      </c>
      <c r="AR86" s="5" t="s">
        <v>2185</v>
      </c>
      <c r="AS86" s="142"/>
      <c r="AT86" s="142" t="b">
        <v>0</v>
      </c>
      <c r="AU86" s="142"/>
      <c r="AV86" s="142"/>
      <c r="AW86" s="142"/>
      <c r="AX86" s="142"/>
      <c r="AY86" s="142"/>
      <c r="AZ86" s="174"/>
      <c r="BA86" s="142"/>
      <c r="BB86" s="142"/>
      <c r="BC86" s="142"/>
      <c r="BD86" s="142"/>
      <c r="BE86" s="142"/>
      <c r="BF86" s="142"/>
      <c r="BG86" s="142"/>
    </row>
    <row r="87">
      <c r="A87" s="5" t="s">
        <v>532</v>
      </c>
      <c r="B87" s="44">
        <v>44566.0</v>
      </c>
      <c r="C87" s="150">
        <v>0.4174305555555556</v>
      </c>
      <c r="D87" s="3"/>
      <c r="E87" s="3"/>
      <c r="F87" s="5"/>
      <c r="G87" s="5"/>
      <c r="H87" s="5"/>
      <c r="I87" s="183"/>
      <c r="J87" s="3"/>
      <c r="K87" s="3" t="s">
        <v>244</v>
      </c>
      <c r="L87" s="44">
        <v>44566.0</v>
      </c>
      <c r="M87" s="150">
        <v>0.4565625</v>
      </c>
      <c r="N87" s="5" t="s">
        <v>247</v>
      </c>
      <c r="O87" s="5"/>
      <c r="P87" s="10" t="b">
        <v>0</v>
      </c>
      <c r="Q87" s="10" t="s">
        <v>2184</v>
      </c>
      <c r="R87" s="144" t="b">
        <v>1</v>
      </c>
      <c r="S87" s="144">
        <v>1.0</v>
      </c>
      <c r="T87" s="10">
        <v>0.0</v>
      </c>
      <c r="U87" s="5"/>
      <c r="V87" s="3"/>
      <c r="W87" s="5"/>
      <c r="X87" s="144" t="b">
        <v>0</v>
      </c>
      <c r="Y87" s="10" t="b">
        <v>0</v>
      </c>
      <c r="Z87" s="3"/>
      <c r="AA87" s="10" t="b">
        <v>0</v>
      </c>
      <c r="AB87" s="10" t="b">
        <v>0</v>
      </c>
      <c r="AC87" s="181">
        <v>813.0</v>
      </c>
      <c r="AD87" s="144" t="b">
        <v>1</v>
      </c>
      <c r="AE87" s="182">
        <v>56.34999999999994</v>
      </c>
      <c r="AF87" s="10" t="b">
        <v>0</v>
      </c>
      <c r="AG87" s="10" t="b">
        <v>0</v>
      </c>
      <c r="AH87" s="144"/>
      <c r="AI87" s="3"/>
      <c r="AJ87" s="10"/>
      <c r="AK87" s="3" t="s">
        <v>244</v>
      </c>
      <c r="AL87" s="5"/>
      <c r="AM87" s="5" t="s">
        <v>273</v>
      </c>
      <c r="AN87" s="5" t="s">
        <v>533</v>
      </c>
      <c r="AO87" s="5" t="s">
        <v>2185</v>
      </c>
      <c r="AP87" s="5" t="s">
        <v>2185</v>
      </c>
      <c r="AQ87" s="5" t="s">
        <v>2185</v>
      </c>
      <c r="AR87" s="5" t="s">
        <v>2185</v>
      </c>
      <c r="AS87" s="142"/>
      <c r="AT87" s="142" t="b">
        <v>0</v>
      </c>
      <c r="AU87" s="142"/>
      <c r="AV87" s="142"/>
      <c r="AW87" s="142"/>
      <c r="AX87" s="142"/>
      <c r="AY87" s="142"/>
      <c r="AZ87" s="174"/>
      <c r="BA87" s="142"/>
      <c r="BB87" s="142"/>
      <c r="BC87" s="142"/>
      <c r="BD87" s="142"/>
      <c r="BE87" s="142"/>
      <c r="BF87" s="142"/>
      <c r="BG87" s="142"/>
    </row>
    <row r="88">
      <c r="A88" s="5" t="s">
        <v>535</v>
      </c>
      <c r="B88" s="44">
        <v>44566.0</v>
      </c>
      <c r="C88" s="150">
        <v>0.4181828703703704</v>
      </c>
      <c r="D88" s="3"/>
      <c r="E88" s="3"/>
      <c r="F88" s="5"/>
      <c r="G88" s="5"/>
      <c r="H88" s="5"/>
      <c r="I88" s="183"/>
      <c r="J88" s="3"/>
      <c r="K88" s="3" t="s">
        <v>244</v>
      </c>
      <c r="L88" s="44">
        <v>44566.0</v>
      </c>
      <c r="M88" s="150">
        <v>0.4565625</v>
      </c>
      <c r="N88" s="5" t="s">
        <v>247</v>
      </c>
      <c r="O88" s="5"/>
      <c r="P88" s="10" t="b">
        <v>0</v>
      </c>
      <c r="Q88" s="10" t="s">
        <v>2184</v>
      </c>
      <c r="R88" s="144" t="b">
        <v>1</v>
      </c>
      <c r="S88" s="144">
        <v>1.0</v>
      </c>
      <c r="T88" s="10">
        <v>0.0</v>
      </c>
      <c r="U88" s="5"/>
      <c r="V88" s="3"/>
      <c r="W88" s="5"/>
      <c r="X88" s="144" t="b">
        <v>0</v>
      </c>
      <c r="Y88" s="10" t="b">
        <v>0</v>
      </c>
      <c r="Z88" s="3"/>
      <c r="AA88" s="10" t="b">
        <v>0</v>
      </c>
      <c r="AB88" s="10" t="b">
        <v>0</v>
      </c>
      <c r="AC88" s="181">
        <v>814.0</v>
      </c>
      <c r="AD88" s="144" t="b">
        <v>1</v>
      </c>
      <c r="AE88" s="182">
        <v>55.26666666666662</v>
      </c>
      <c r="AF88" s="10" t="b">
        <v>0</v>
      </c>
      <c r="AG88" s="10" t="b">
        <v>0</v>
      </c>
      <c r="AH88" s="144"/>
      <c r="AI88" s="3"/>
      <c r="AJ88" s="10"/>
      <c r="AK88" s="3" t="s">
        <v>244</v>
      </c>
      <c r="AL88" s="5"/>
      <c r="AM88" s="5" t="s">
        <v>273</v>
      </c>
      <c r="AN88" s="5" t="s">
        <v>536</v>
      </c>
      <c r="AO88" s="5" t="s">
        <v>2185</v>
      </c>
      <c r="AP88" s="5" t="s">
        <v>2185</v>
      </c>
      <c r="AQ88" s="5" t="s">
        <v>2185</v>
      </c>
      <c r="AR88" s="5" t="s">
        <v>2185</v>
      </c>
      <c r="AS88" s="142"/>
      <c r="AT88" s="142" t="b">
        <v>0</v>
      </c>
      <c r="AU88" s="142"/>
      <c r="AV88" s="142"/>
      <c r="AW88" s="142"/>
      <c r="AX88" s="142"/>
      <c r="AY88" s="142"/>
      <c r="AZ88" s="174"/>
      <c r="BA88" s="142"/>
      <c r="BB88" s="142"/>
      <c r="BC88" s="142"/>
      <c r="BD88" s="142"/>
      <c r="BE88" s="142"/>
      <c r="BF88" s="142"/>
      <c r="BG88" s="142"/>
    </row>
    <row r="89">
      <c r="A89" s="5" t="s">
        <v>538</v>
      </c>
      <c r="B89" s="44">
        <v>44566.0</v>
      </c>
      <c r="C89" s="150">
        <v>0.41854166666666665</v>
      </c>
      <c r="D89" s="3"/>
      <c r="E89" s="3"/>
      <c r="F89" s="5"/>
      <c r="G89" s="5"/>
      <c r="H89" s="5"/>
      <c r="I89" s="183"/>
      <c r="J89" s="3"/>
      <c r="K89" s="3" t="s">
        <v>244</v>
      </c>
      <c r="L89" s="44">
        <v>44566.0</v>
      </c>
      <c r="M89" s="150">
        <v>0.4565625</v>
      </c>
      <c r="N89" s="5" t="s">
        <v>247</v>
      </c>
      <c r="O89" s="5"/>
      <c r="P89" s="10" t="b">
        <v>0</v>
      </c>
      <c r="Q89" s="10" t="s">
        <v>2184</v>
      </c>
      <c r="R89" s="144" t="b">
        <v>1</v>
      </c>
      <c r="S89" s="144">
        <v>1.0</v>
      </c>
      <c r="T89" s="10">
        <v>0.0</v>
      </c>
      <c r="U89" s="5"/>
      <c r="V89" s="3"/>
      <c r="W89" s="5"/>
      <c r="X89" s="144" t="b">
        <v>0</v>
      </c>
      <c r="Y89" s="10" t="b">
        <v>0</v>
      </c>
      <c r="Z89" s="3"/>
      <c r="AA89" s="10" t="b">
        <v>0</v>
      </c>
      <c r="AB89" s="10" t="b">
        <v>0</v>
      </c>
      <c r="AC89" s="181">
        <v>815.0</v>
      </c>
      <c r="AD89" s="144" t="b">
        <v>1</v>
      </c>
      <c r="AE89" s="182">
        <v>54.75000000000001</v>
      </c>
      <c r="AF89" s="10" t="b">
        <v>0</v>
      </c>
      <c r="AG89" s="10" t="b">
        <v>0</v>
      </c>
      <c r="AH89" s="144"/>
      <c r="AI89" s="3"/>
      <c r="AJ89" s="10"/>
      <c r="AK89" s="3" t="s">
        <v>244</v>
      </c>
      <c r="AL89" s="5"/>
      <c r="AM89" s="5" t="s">
        <v>273</v>
      </c>
      <c r="AN89" s="5" t="s">
        <v>539</v>
      </c>
      <c r="AO89" s="5" t="s">
        <v>2185</v>
      </c>
      <c r="AP89" s="5" t="s">
        <v>2185</v>
      </c>
      <c r="AQ89" s="5" t="s">
        <v>2185</v>
      </c>
      <c r="AR89" s="5" t="s">
        <v>2185</v>
      </c>
      <c r="AS89" s="142"/>
      <c r="AT89" s="142" t="b">
        <v>0</v>
      </c>
      <c r="AU89" s="142"/>
      <c r="AV89" s="142"/>
      <c r="AW89" s="142"/>
      <c r="AX89" s="142"/>
      <c r="AY89" s="142"/>
      <c r="AZ89" s="174"/>
      <c r="BA89" s="142"/>
      <c r="BB89" s="142"/>
      <c r="BC89" s="142"/>
      <c r="BD89" s="142"/>
      <c r="BE89" s="142"/>
      <c r="BF89" s="142"/>
      <c r="BG89" s="142"/>
    </row>
    <row r="90">
      <c r="A90" s="5" t="s">
        <v>541</v>
      </c>
      <c r="B90" s="44">
        <v>44566.0</v>
      </c>
      <c r="C90" s="150">
        <v>0.4192361111111111</v>
      </c>
      <c r="D90" s="3"/>
      <c r="E90" s="3"/>
      <c r="F90" s="5"/>
      <c r="G90" s="5"/>
      <c r="H90" s="5"/>
      <c r="I90" s="183"/>
      <c r="J90" s="3"/>
      <c r="K90" s="3" t="s">
        <v>244</v>
      </c>
      <c r="L90" s="44">
        <v>44566.0</v>
      </c>
      <c r="M90" s="150">
        <v>0.4565625</v>
      </c>
      <c r="N90" s="5" t="s">
        <v>247</v>
      </c>
      <c r="O90" s="5"/>
      <c r="P90" s="10" t="b">
        <v>0</v>
      </c>
      <c r="Q90" s="10" t="s">
        <v>2184</v>
      </c>
      <c r="R90" s="144" t="b">
        <v>1</v>
      </c>
      <c r="S90" s="144">
        <v>1.0</v>
      </c>
      <c r="T90" s="10">
        <v>0.0</v>
      </c>
      <c r="U90" s="5"/>
      <c r="V90" s="3"/>
      <c r="W90" s="5"/>
      <c r="X90" s="144" t="b">
        <v>0</v>
      </c>
      <c r="Y90" s="10" t="b">
        <v>0</v>
      </c>
      <c r="Z90" s="3"/>
      <c r="AA90" s="10" t="b">
        <v>0</v>
      </c>
      <c r="AB90" s="10" t="b">
        <v>0</v>
      </c>
      <c r="AC90" s="181">
        <v>816.0</v>
      </c>
      <c r="AD90" s="144" t="b">
        <v>1</v>
      </c>
      <c r="AE90" s="182">
        <v>53.75000000000001</v>
      </c>
      <c r="AF90" s="10" t="b">
        <v>0</v>
      </c>
      <c r="AG90" s="10" t="b">
        <v>0</v>
      </c>
      <c r="AH90" s="144"/>
      <c r="AI90" s="3"/>
      <c r="AJ90" s="10"/>
      <c r="AK90" s="3" t="s">
        <v>244</v>
      </c>
      <c r="AL90" s="5"/>
      <c r="AM90" s="5" t="s">
        <v>273</v>
      </c>
      <c r="AN90" s="5" t="s">
        <v>542</v>
      </c>
      <c r="AO90" s="5" t="s">
        <v>2185</v>
      </c>
      <c r="AP90" s="5" t="s">
        <v>2185</v>
      </c>
      <c r="AQ90" s="5" t="s">
        <v>2185</v>
      </c>
      <c r="AR90" s="5" t="s">
        <v>2185</v>
      </c>
      <c r="AS90" s="142"/>
      <c r="AT90" s="142" t="b">
        <v>0</v>
      </c>
      <c r="AU90" s="142"/>
      <c r="AV90" s="142"/>
      <c r="AW90" s="142"/>
      <c r="AX90" s="142"/>
      <c r="AY90" s="142"/>
      <c r="AZ90" s="174"/>
      <c r="BA90" s="142"/>
      <c r="BB90" s="142"/>
      <c r="BC90" s="142"/>
      <c r="BD90" s="142"/>
      <c r="BE90" s="142"/>
      <c r="BF90" s="142"/>
      <c r="BG90" s="142"/>
    </row>
    <row r="91">
      <c r="A91" s="5" t="s">
        <v>544</v>
      </c>
      <c r="B91" s="44">
        <v>44566.0</v>
      </c>
      <c r="C91" s="150">
        <v>0.41961805555555554</v>
      </c>
      <c r="D91" s="3"/>
      <c r="E91" s="3"/>
      <c r="F91" s="5"/>
      <c r="G91" s="5"/>
      <c r="H91" s="5"/>
      <c r="I91" s="183"/>
      <c r="J91" s="3"/>
      <c r="K91" s="3" t="s">
        <v>244</v>
      </c>
      <c r="L91" s="44">
        <v>44566.0</v>
      </c>
      <c r="M91" s="150">
        <v>0.4565625</v>
      </c>
      <c r="N91" s="5" t="s">
        <v>247</v>
      </c>
      <c r="O91" s="5"/>
      <c r="P91" s="10" t="b">
        <v>0</v>
      </c>
      <c r="Q91" s="10" t="s">
        <v>2184</v>
      </c>
      <c r="R91" s="144" t="b">
        <v>1</v>
      </c>
      <c r="S91" s="144">
        <v>1.0</v>
      </c>
      <c r="T91" s="10">
        <v>0.0</v>
      </c>
      <c r="U91" s="5"/>
      <c r="V91" s="3"/>
      <c r="W91" s="5"/>
      <c r="X91" s="144" t="b">
        <v>0</v>
      </c>
      <c r="Y91" s="10" t="b">
        <v>0</v>
      </c>
      <c r="Z91" s="3"/>
      <c r="AA91" s="10" t="b">
        <v>0</v>
      </c>
      <c r="AB91" s="10" t="b">
        <v>0</v>
      </c>
      <c r="AC91" s="181">
        <v>817.0</v>
      </c>
      <c r="AD91" s="144" t="b">
        <v>1</v>
      </c>
      <c r="AE91" s="182">
        <v>53.2</v>
      </c>
      <c r="AF91" s="10" t="b">
        <v>0</v>
      </c>
      <c r="AG91" s="10" t="b">
        <v>0</v>
      </c>
      <c r="AH91" s="144"/>
      <c r="AI91" s="3"/>
      <c r="AJ91" s="10"/>
      <c r="AK91" s="3" t="s">
        <v>244</v>
      </c>
      <c r="AL91" s="5"/>
      <c r="AM91" s="5" t="s">
        <v>273</v>
      </c>
      <c r="AN91" s="5" t="s">
        <v>545</v>
      </c>
      <c r="AO91" s="5" t="s">
        <v>2185</v>
      </c>
      <c r="AP91" s="5" t="s">
        <v>2185</v>
      </c>
      <c r="AQ91" s="5" t="s">
        <v>2185</v>
      </c>
      <c r="AR91" s="5" t="s">
        <v>2185</v>
      </c>
      <c r="AS91" s="142"/>
      <c r="AT91" s="142" t="b">
        <v>0</v>
      </c>
      <c r="AU91" s="142"/>
      <c r="AV91" s="142"/>
      <c r="AW91" s="142"/>
      <c r="AX91" s="142"/>
      <c r="AY91" s="142"/>
      <c r="AZ91" s="174"/>
      <c r="BA91" s="142"/>
      <c r="BB91" s="142"/>
      <c r="BC91" s="142"/>
      <c r="BD91" s="142"/>
      <c r="BE91" s="142"/>
      <c r="BF91" s="142"/>
      <c r="BG91" s="142"/>
    </row>
    <row r="92">
      <c r="A92" s="5" t="s">
        <v>547</v>
      </c>
      <c r="B92" s="44">
        <v>44566.0</v>
      </c>
      <c r="C92" s="150">
        <v>0.4199421296296296</v>
      </c>
      <c r="D92" s="3"/>
      <c r="E92" s="3"/>
      <c r="F92" s="5"/>
      <c r="G92" s="5"/>
      <c r="H92" s="5"/>
      <c r="I92" s="183"/>
      <c r="J92" s="3"/>
      <c r="K92" s="3" t="s">
        <v>52</v>
      </c>
      <c r="L92" s="44">
        <v>44568.0</v>
      </c>
      <c r="M92" s="150">
        <v>0.508275462962963</v>
      </c>
      <c r="N92" s="5" t="s">
        <v>247</v>
      </c>
      <c r="O92" s="5"/>
      <c r="P92" s="10" t="b">
        <v>0</v>
      </c>
      <c r="Q92" s="10" t="s">
        <v>2184</v>
      </c>
      <c r="R92" s="144" t="b">
        <v>1</v>
      </c>
      <c r="S92" s="144">
        <v>1.0</v>
      </c>
      <c r="T92" s="10">
        <v>0.0</v>
      </c>
      <c r="U92" s="5"/>
      <c r="V92" s="3"/>
      <c r="W92" s="5"/>
      <c r="X92" s="144" t="b">
        <v>0</v>
      </c>
      <c r="Y92" s="10" t="b">
        <v>0</v>
      </c>
      <c r="Z92" s="3"/>
      <c r="AA92" s="10" t="b">
        <v>0</v>
      </c>
      <c r="AB92" s="10" t="b">
        <v>0</v>
      </c>
      <c r="AC92" s="181">
        <v>818.0</v>
      </c>
      <c r="AD92" s="144" t="b">
        <v>1</v>
      </c>
      <c r="AE92" s="182"/>
      <c r="AF92" s="10" t="b">
        <v>0</v>
      </c>
      <c r="AG92" s="10" t="b">
        <v>0</v>
      </c>
      <c r="AH92" s="144"/>
      <c r="AI92" s="3"/>
      <c r="AJ92" s="10"/>
      <c r="AK92" s="3" t="s">
        <v>52</v>
      </c>
      <c r="AL92" s="5"/>
      <c r="AM92" s="5" t="s">
        <v>273</v>
      </c>
      <c r="AN92" s="5" t="s">
        <v>548</v>
      </c>
      <c r="AO92" s="5" t="s">
        <v>2185</v>
      </c>
      <c r="AP92" s="5" t="s">
        <v>2185</v>
      </c>
      <c r="AQ92" s="5" t="s">
        <v>2185</v>
      </c>
      <c r="AR92" s="5" t="s">
        <v>2185</v>
      </c>
      <c r="AS92" s="142"/>
      <c r="AT92" s="142" t="b">
        <v>0</v>
      </c>
      <c r="AU92" s="142"/>
      <c r="AV92" s="142"/>
      <c r="AW92" s="142"/>
      <c r="AX92" s="142"/>
      <c r="AY92" s="142"/>
      <c r="AZ92" s="174"/>
      <c r="BA92" s="142"/>
      <c r="BB92" s="142"/>
      <c r="BC92" s="142"/>
      <c r="BD92" s="142"/>
      <c r="BE92" s="142"/>
      <c r="BF92" s="142"/>
      <c r="BG92" s="142"/>
    </row>
    <row r="93">
      <c r="A93" s="5" t="s">
        <v>550</v>
      </c>
      <c r="B93" s="44">
        <v>44567.0</v>
      </c>
      <c r="C93" s="150">
        <v>0.32329861111111113</v>
      </c>
      <c r="D93" s="3"/>
      <c r="E93" s="3"/>
      <c r="F93" s="5"/>
      <c r="G93" s="5"/>
      <c r="H93" s="5"/>
      <c r="I93" s="3"/>
      <c r="J93" s="3"/>
      <c r="K93" s="3" t="s">
        <v>244</v>
      </c>
      <c r="L93" s="44">
        <v>44568.0</v>
      </c>
      <c r="M93" s="150">
        <v>0.5079050925925926</v>
      </c>
      <c r="N93" s="5"/>
      <c r="O93" s="5"/>
      <c r="P93" s="10" t="b">
        <v>0</v>
      </c>
      <c r="Q93" s="10" t="s">
        <v>2184</v>
      </c>
      <c r="R93" s="144" t="b">
        <v>1</v>
      </c>
      <c r="S93" s="144">
        <v>1.0</v>
      </c>
      <c r="T93" s="10"/>
      <c r="U93" s="5"/>
      <c r="V93" s="3"/>
      <c r="W93" s="5"/>
      <c r="X93" s="144" t="b">
        <v>0</v>
      </c>
      <c r="Y93" s="10" t="b">
        <v>0</v>
      </c>
      <c r="Z93" s="3"/>
      <c r="AA93" s="10" t="b">
        <v>0</v>
      </c>
      <c r="AB93" s="10" t="b">
        <v>0</v>
      </c>
      <c r="AC93" s="181">
        <v>682.0</v>
      </c>
      <c r="AD93" s="144" t="b">
        <v>0</v>
      </c>
      <c r="AE93" s="182"/>
      <c r="AF93" s="10" t="b">
        <v>0</v>
      </c>
      <c r="AG93" s="10" t="b">
        <v>0</v>
      </c>
      <c r="AH93" s="144"/>
      <c r="AI93" s="3"/>
      <c r="AJ93" s="10"/>
      <c r="AK93" s="3" t="s">
        <v>244</v>
      </c>
      <c r="AL93" s="5"/>
      <c r="AM93" s="5" t="s">
        <v>299</v>
      </c>
      <c r="AN93" s="5" t="s">
        <v>300</v>
      </c>
      <c r="AO93" s="5" t="s">
        <v>2185</v>
      </c>
      <c r="AP93" s="5" t="s">
        <v>2185</v>
      </c>
      <c r="AQ93" s="5" t="s">
        <v>2185</v>
      </c>
      <c r="AR93" s="5" t="s">
        <v>2185</v>
      </c>
      <c r="AS93" s="142"/>
      <c r="AT93" s="142" t="b">
        <v>0</v>
      </c>
      <c r="AU93" s="142"/>
      <c r="AV93" s="142"/>
      <c r="AW93" s="142"/>
      <c r="AX93" s="142"/>
      <c r="AY93" s="142"/>
      <c r="AZ93" s="174"/>
      <c r="BA93" s="142"/>
      <c r="BB93" s="142"/>
      <c r="BC93" s="142"/>
      <c r="BD93" s="142"/>
      <c r="BE93" s="142"/>
      <c r="BF93" s="142"/>
      <c r="BG93" s="142"/>
    </row>
    <row r="94">
      <c r="A94" s="5" t="s">
        <v>552</v>
      </c>
      <c r="B94" s="44">
        <v>44567.0</v>
      </c>
      <c r="C94" s="150">
        <v>0.3252662037037037</v>
      </c>
      <c r="D94" s="3"/>
      <c r="E94" s="3"/>
      <c r="F94" s="5"/>
      <c r="G94" s="5"/>
      <c r="H94" s="5"/>
      <c r="I94" s="3"/>
      <c r="J94" s="3"/>
      <c r="K94" s="3" t="s">
        <v>244</v>
      </c>
      <c r="L94" s="44">
        <v>44568.0</v>
      </c>
      <c r="M94" s="150">
        <v>0.5079050925925926</v>
      </c>
      <c r="N94" s="5"/>
      <c r="O94" s="5"/>
      <c r="P94" s="10" t="b">
        <v>0</v>
      </c>
      <c r="Q94" s="10" t="s">
        <v>2184</v>
      </c>
      <c r="R94" s="144" t="b">
        <v>1</v>
      </c>
      <c r="S94" s="144">
        <v>1.0</v>
      </c>
      <c r="T94" s="10"/>
      <c r="U94" s="5"/>
      <c r="V94" s="3"/>
      <c r="W94" s="5"/>
      <c r="X94" s="144" t="b">
        <v>0</v>
      </c>
      <c r="Y94" s="10" t="b">
        <v>0</v>
      </c>
      <c r="Z94" s="3"/>
      <c r="AA94" s="10" t="b">
        <v>0</v>
      </c>
      <c r="AB94" s="10" t="b">
        <v>0</v>
      </c>
      <c r="AC94" s="181">
        <v>681.0</v>
      </c>
      <c r="AD94" s="144" t="b">
        <v>0</v>
      </c>
      <c r="AE94" s="182"/>
      <c r="AF94" s="10" t="b">
        <v>0</v>
      </c>
      <c r="AG94" s="10" t="b">
        <v>0</v>
      </c>
      <c r="AH94" s="144"/>
      <c r="AI94" s="3"/>
      <c r="AJ94" s="10"/>
      <c r="AK94" s="3" t="s">
        <v>244</v>
      </c>
      <c r="AL94" s="5"/>
      <c r="AM94" s="5" t="s">
        <v>303</v>
      </c>
      <c r="AN94" s="5" t="s">
        <v>304</v>
      </c>
      <c r="AO94" s="5" t="s">
        <v>2185</v>
      </c>
      <c r="AP94" s="5" t="s">
        <v>2185</v>
      </c>
      <c r="AQ94" s="5" t="s">
        <v>2185</v>
      </c>
      <c r="AR94" s="5" t="s">
        <v>2185</v>
      </c>
      <c r="AS94" s="142"/>
      <c r="AT94" s="142" t="b">
        <v>0</v>
      </c>
      <c r="AU94" s="142"/>
      <c r="AV94" s="142"/>
      <c r="AW94" s="142"/>
      <c r="AX94" s="142"/>
      <c r="AY94" s="142"/>
      <c r="AZ94" s="174"/>
      <c r="BA94" s="142"/>
      <c r="BB94" s="142"/>
      <c r="BC94" s="142"/>
      <c r="BD94" s="142"/>
      <c r="BE94" s="142"/>
      <c r="BF94" s="142"/>
      <c r="BG94" s="142"/>
    </row>
    <row r="95">
      <c r="A95" s="5" t="s">
        <v>554</v>
      </c>
      <c r="B95" s="44">
        <v>44567.0</v>
      </c>
      <c r="C95" s="150">
        <v>0.9539351851851852</v>
      </c>
      <c r="D95" s="3"/>
      <c r="E95" s="3"/>
      <c r="F95" s="5"/>
      <c r="G95" s="5"/>
      <c r="H95" s="5"/>
      <c r="I95" s="3"/>
      <c r="J95" s="3"/>
      <c r="K95" s="3" t="s">
        <v>244</v>
      </c>
      <c r="L95" s="44">
        <v>44568.0</v>
      </c>
      <c r="M95" s="150">
        <v>0.5079050925925926</v>
      </c>
      <c r="N95" s="5"/>
      <c r="O95" s="5"/>
      <c r="P95" s="10" t="b">
        <v>0</v>
      </c>
      <c r="Q95" s="10" t="s">
        <v>2184</v>
      </c>
      <c r="R95" s="144" t="b">
        <v>1</v>
      </c>
      <c r="S95" s="144">
        <v>1.0</v>
      </c>
      <c r="T95" s="10"/>
      <c r="U95" s="5"/>
      <c r="V95" s="3"/>
      <c r="W95" s="5"/>
      <c r="X95" s="144" t="b">
        <v>0</v>
      </c>
      <c r="Y95" s="10" t="b">
        <v>0</v>
      </c>
      <c r="Z95" s="3"/>
      <c r="AA95" s="10" t="b">
        <v>0</v>
      </c>
      <c r="AB95" s="10" t="b">
        <v>0</v>
      </c>
      <c r="AC95" s="181">
        <v>680.0</v>
      </c>
      <c r="AD95" s="144" t="b">
        <v>0</v>
      </c>
      <c r="AE95" s="182"/>
      <c r="AF95" s="10" t="b">
        <v>0</v>
      </c>
      <c r="AG95" s="10" t="b">
        <v>0</v>
      </c>
      <c r="AH95" s="144"/>
      <c r="AI95" s="3"/>
      <c r="AJ95" s="10"/>
      <c r="AK95" s="3" t="s">
        <v>244</v>
      </c>
      <c r="AL95" s="5"/>
      <c r="AM95" s="5" t="s">
        <v>310</v>
      </c>
      <c r="AN95" s="5" t="s">
        <v>311</v>
      </c>
      <c r="AO95" s="5" t="s">
        <v>2185</v>
      </c>
      <c r="AP95" s="5" t="s">
        <v>2185</v>
      </c>
      <c r="AQ95" s="5" t="s">
        <v>2185</v>
      </c>
      <c r="AR95" s="5" t="s">
        <v>2185</v>
      </c>
      <c r="AS95" s="142"/>
      <c r="AT95" s="142" t="b">
        <v>0</v>
      </c>
      <c r="AU95" s="142"/>
      <c r="AV95" s="142"/>
      <c r="AW95" s="142"/>
      <c r="AX95" s="142"/>
      <c r="AY95" s="142"/>
      <c r="AZ95" s="174"/>
      <c r="BA95" s="142"/>
      <c r="BB95" s="142"/>
      <c r="BC95" s="142"/>
      <c r="BD95" s="142"/>
      <c r="BE95" s="142"/>
      <c r="BF95" s="142"/>
      <c r="BG95" s="142"/>
    </row>
    <row r="96">
      <c r="A96" s="5" t="s">
        <v>556</v>
      </c>
      <c r="B96" s="44">
        <v>44567.0</v>
      </c>
      <c r="C96" s="150">
        <v>0.9922800925925926</v>
      </c>
      <c r="D96" s="3"/>
      <c r="E96" s="3"/>
      <c r="F96" s="5"/>
      <c r="G96" s="5"/>
      <c r="H96" s="5"/>
      <c r="I96" s="3"/>
      <c r="J96" s="3"/>
      <c r="K96" s="3" t="s">
        <v>244</v>
      </c>
      <c r="L96" s="44">
        <v>44568.0</v>
      </c>
      <c r="M96" s="150">
        <v>0.5079050925925926</v>
      </c>
      <c r="N96" s="5"/>
      <c r="O96" s="5"/>
      <c r="P96" s="10" t="b">
        <v>0</v>
      </c>
      <c r="Q96" s="10" t="s">
        <v>2184</v>
      </c>
      <c r="R96" s="144" t="b">
        <v>1</v>
      </c>
      <c r="S96" s="144">
        <v>1.0</v>
      </c>
      <c r="T96" s="10"/>
      <c r="U96" s="5"/>
      <c r="V96" s="3"/>
      <c r="W96" s="5"/>
      <c r="X96" s="144" t="b">
        <v>0</v>
      </c>
      <c r="Y96" s="10" t="b">
        <v>0</v>
      </c>
      <c r="Z96" s="3"/>
      <c r="AA96" s="10" t="b">
        <v>0</v>
      </c>
      <c r="AB96" s="10" t="b">
        <v>0</v>
      </c>
      <c r="AC96" s="181">
        <v>679.0</v>
      </c>
      <c r="AD96" s="144" t="b">
        <v>0</v>
      </c>
      <c r="AE96" s="182"/>
      <c r="AF96" s="10" t="b">
        <v>0</v>
      </c>
      <c r="AG96" s="10" t="b">
        <v>0</v>
      </c>
      <c r="AH96" s="144"/>
      <c r="AI96" s="3"/>
      <c r="AJ96" s="10"/>
      <c r="AK96" s="3" t="s">
        <v>244</v>
      </c>
      <c r="AL96" s="5"/>
      <c r="AM96" s="5" t="s">
        <v>295</v>
      </c>
      <c r="AN96" s="5" t="s">
        <v>296</v>
      </c>
      <c r="AO96" s="5" t="s">
        <v>2185</v>
      </c>
      <c r="AP96" s="5" t="s">
        <v>2185</v>
      </c>
      <c r="AQ96" s="5" t="s">
        <v>2185</v>
      </c>
      <c r="AR96" s="5" t="s">
        <v>2185</v>
      </c>
      <c r="AS96" s="142"/>
      <c r="AT96" s="142" t="b">
        <v>0</v>
      </c>
      <c r="AU96" s="142"/>
      <c r="AV96" s="142"/>
      <c r="AW96" s="142"/>
      <c r="AX96" s="142"/>
      <c r="AY96" s="142"/>
      <c r="AZ96" s="174"/>
      <c r="BA96" s="142"/>
      <c r="BB96" s="142"/>
      <c r="BC96" s="142"/>
      <c r="BD96" s="142"/>
      <c r="BE96" s="142"/>
      <c r="BF96" s="142"/>
      <c r="BG96" s="142"/>
    </row>
    <row r="97">
      <c r="A97" s="5" t="s">
        <v>558</v>
      </c>
      <c r="B97" s="44">
        <v>44568.0</v>
      </c>
      <c r="C97" s="150">
        <v>0.022118055555555554</v>
      </c>
      <c r="D97" s="3"/>
      <c r="E97" s="3"/>
      <c r="F97" s="5"/>
      <c r="G97" s="5"/>
      <c r="H97" s="5"/>
      <c r="I97" s="3"/>
      <c r="J97" s="3"/>
      <c r="K97" s="3" t="s">
        <v>244</v>
      </c>
      <c r="L97" s="44">
        <v>44568.0</v>
      </c>
      <c r="M97" s="150">
        <v>0.5079050925925926</v>
      </c>
      <c r="N97" s="5"/>
      <c r="O97" s="5"/>
      <c r="P97" s="10" t="b">
        <v>0</v>
      </c>
      <c r="Q97" s="10" t="s">
        <v>2184</v>
      </c>
      <c r="R97" s="144" t="b">
        <v>1</v>
      </c>
      <c r="S97" s="144">
        <v>1.0</v>
      </c>
      <c r="T97" s="10"/>
      <c r="U97" s="5"/>
      <c r="V97" s="3"/>
      <c r="W97" s="5"/>
      <c r="X97" s="144" t="b">
        <v>0</v>
      </c>
      <c r="Y97" s="10" t="b">
        <v>0</v>
      </c>
      <c r="Z97" s="3"/>
      <c r="AA97" s="10" t="b">
        <v>0</v>
      </c>
      <c r="AB97" s="10" t="b">
        <v>0</v>
      </c>
      <c r="AC97" s="181">
        <v>678.0</v>
      </c>
      <c r="AD97" s="144" t="b">
        <v>0</v>
      </c>
      <c r="AE97" s="182">
        <v>699.5333333333333</v>
      </c>
      <c r="AF97" s="10" t="b">
        <v>0</v>
      </c>
      <c r="AG97" s="10" t="b">
        <v>0</v>
      </c>
      <c r="AH97" s="144"/>
      <c r="AI97" s="3"/>
      <c r="AJ97" s="10"/>
      <c r="AK97" s="3" t="s">
        <v>244</v>
      </c>
      <c r="AL97" s="5"/>
      <c r="AM97" s="5" t="s">
        <v>291</v>
      </c>
      <c r="AN97" s="5" t="s">
        <v>292</v>
      </c>
      <c r="AO97" s="5" t="s">
        <v>2185</v>
      </c>
      <c r="AP97" s="5" t="s">
        <v>2185</v>
      </c>
      <c r="AQ97" s="5" t="s">
        <v>2185</v>
      </c>
      <c r="AR97" s="5" t="s">
        <v>2185</v>
      </c>
      <c r="AS97" s="142"/>
      <c r="AT97" s="142" t="b">
        <v>0</v>
      </c>
      <c r="AU97" s="142"/>
      <c r="AV97" s="142"/>
      <c r="AW97" s="142"/>
      <c r="AX97" s="142"/>
      <c r="AY97" s="142"/>
      <c r="AZ97" s="174"/>
      <c r="BA97" s="142"/>
      <c r="BB97" s="142"/>
      <c r="BC97" s="142"/>
      <c r="BD97" s="142"/>
      <c r="BE97" s="142"/>
      <c r="BF97" s="142"/>
      <c r="BG97" s="142"/>
    </row>
    <row r="98">
      <c r="A98" s="5" t="s">
        <v>560</v>
      </c>
      <c r="B98" s="44">
        <v>44568.0</v>
      </c>
      <c r="C98" s="150">
        <v>0.29755787037037035</v>
      </c>
      <c r="D98" s="3"/>
      <c r="E98" s="3"/>
      <c r="F98" s="5"/>
      <c r="G98" s="5"/>
      <c r="H98" s="5"/>
      <c r="I98" s="183"/>
      <c r="J98" s="3"/>
      <c r="K98" s="3" t="s">
        <v>244</v>
      </c>
      <c r="L98" s="44">
        <v>44568.0</v>
      </c>
      <c r="M98" s="150">
        <v>0.5079050925925926</v>
      </c>
      <c r="N98" s="5" t="s">
        <v>247</v>
      </c>
      <c r="O98" s="5"/>
      <c r="P98" s="10" t="b">
        <v>0</v>
      </c>
      <c r="Q98" s="10" t="s">
        <v>2184</v>
      </c>
      <c r="R98" s="144" t="b">
        <v>1</v>
      </c>
      <c r="S98" s="144">
        <v>1.0</v>
      </c>
      <c r="T98" s="10">
        <v>0.0</v>
      </c>
      <c r="U98" s="5"/>
      <c r="V98" s="3"/>
      <c r="W98" s="5"/>
      <c r="X98" s="144" t="b">
        <v>0</v>
      </c>
      <c r="Y98" s="10" t="b">
        <v>0</v>
      </c>
      <c r="Z98" s="3"/>
      <c r="AA98" s="10" t="b">
        <v>0</v>
      </c>
      <c r="AB98" s="10" t="b">
        <v>0</v>
      </c>
      <c r="AC98" s="181">
        <v>799.0</v>
      </c>
      <c r="AD98" s="144" t="b">
        <v>1</v>
      </c>
      <c r="AE98" s="182">
        <v>302.90000000000015</v>
      </c>
      <c r="AF98" s="10" t="b">
        <v>0</v>
      </c>
      <c r="AG98" s="10" t="b">
        <v>0</v>
      </c>
      <c r="AH98" s="144"/>
      <c r="AI98" s="3"/>
      <c r="AJ98" s="10"/>
      <c r="AK98" s="3" t="s">
        <v>244</v>
      </c>
      <c r="AL98" s="5"/>
      <c r="AM98" s="5" t="s">
        <v>500</v>
      </c>
      <c r="AN98" s="5" t="s">
        <v>377</v>
      </c>
      <c r="AO98" s="5" t="s">
        <v>2185</v>
      </c>
      <c r="AP98" s="5" t="s">
        <v>2185</v>
      </c>
      <c r="AQ98" s="5" t="s">
        <v>2185</v>
      </c>
      <c r="AR98" s="5" t="s">
        <v>2185</v>
      </c>
      <c r="AS98" s="142"/>
      <c r="AT98" s="142" t="b">
        <v>0</v>
      </c>
      <c r="AU98" s="142"/>
      <c r="AV98" s="142"/>
      <c r="AW98" s="142"/>
      <c r="AX98" s="142"/>
      <c r="AY98" s="142"/>
      <c r="AZ98" s="174"/>
      <c r="BA98" s="142"/>
      <c r="BB98" s="142"/>
      <c r="BC98" s="142"/>
      <c r="BD98" s="142"/>
      <c r="BE98" s="142"/>
      <c r="BF98" s="142"/>
      <c r="BG98" s="142"/>
    </row>
    <row r="99">
      <c r="A99" s="5" t="s">
        <v>562</v>
      </c>
      <c r="B99" s="44">
        <v>44568.0</v>
      </c>
      <c r="C99" s="150">
        <v>0.2981828703703704</v>
      </c>
      <c r="D99" s="3"/>
      <c r="E99" s="3"/>
      <c r="F99" s="5"/>
      <c r="G99" s="5"/>
      <c r="H99" s="184"/>
      <c r="I99" s="183"/>
      <c r="J99" s="3"/>
      <c r="K99" s="3" t="s">
        <v>244</v>
      </c>
      <c r="L99" s="44">
        <v>44568.0</v>
      </c>
      <c r="M99" s="150">
        <v>0.5079050925925926</v>
      </c>
      <c r="N99" s="5" t="s">
        <v>247</v>
      </c>
      <c r="O99" s="5"/>
      <c r="P99" s="10" t="b">
        <v>0</v>
      </c>
      <c r="Q99" s="10" t="s">
        <v>2184</v>
      </c>
      <c r="R99" s="144" t="b">
        <v>1</v>
      </c>
      <c r="S99" s="144">
        <v>1.0</v>
      </c>
      <c r="T99" s="10">
        <v>0.0</v>
      </c>
      <c r="U99" s="5"/>
      <c r="V99" s="3"/>
      <c r="W99" s="5"/>
      <c r="X99" s="144" t="b">
        <v>0</v>
      </c>
      <c r="Y99" s="10" t="b">
        <v>0</v>
      </c>
      <c r="Z99" s="3"/>
      <c r="AA99" s="10" t="b">
        <v>0</v>
      </c>
      <c r="AB99" s="10" t="b">
        <v>0</v>
      </c>
      <c r="AC99" s="181">
        <v>795.0</v>
      </c>
      <c r="AD99" s="144" t="b">
        <v>1</v>
      </c>
      <c r="AE99" s="182">
        <v>302.00000000000006</v>
      </c>
      <c r="AF99" s="10" t="b">
        <v>0</v>
      </c>
      <c r="AG99" s="10" t="b">
        <v>0</v>
      </c>
      <c r="AH99" s="144"/>
      <c r="AI99" s="3"/>
      <c r="AJ99" s="10"/>
      <c r="AK99" s="3" t="s">
        <v>244</v>
      </c>
      <c r="AL99" s="5"/>
      <c r="AM99" s="5" t="s">
        <v>500</v>
      </c>
      <c r="AN99" s="5" t="s">
        <v>563</v>
      </c>
      <c r="AO99" s="5" t="s">
        <v>2185</v>
      </c>
      <c r="AP99" s="5" t="s">
        <v>2185</v>
      </c>
      <c r="AQ99" s="5" t="s">
        <v>2185</v>
      </c>
      <c r="AR99" s="5" t="s">
        <v>2185</v>
      </c>
      <c r="AS99" s="142"/>
      <c r="AT99" s="142" t="b">
        <v>0</v>
      </c>
      <c r="AU99" s="142"/>
      <c r="AV99" s="142"/>
      <c r="AW99" s="142"/>
      <c r="AX99" s="142"/>
      <c r="AY99" s="142"/>
      <c r="AZ99" s="174"/>
      <c r="BA99" s="142"/>
      <c r="BB99" s="142"/>
      <c r="BC99" s="142"/>
      <c r="BD99" s="142"/>
      <c r="BE99" s="142"/>
      <c r="BF99" s="142"/>
      <c r="BG99" s="142"/>
    </row>
    <row r="100">
      <c r="A100" s="5" t="s">
        <v>565</v>
      </c>
      <c r="B100" s="44">
        <v>44568.0</v>
      </c>
      <c r="C100" s="150">
        <v>0.29863425925925924</v>
      </c>
      <c r="D100" s="3"/>
      <c r="E100" s="3"/>
      <c r="F100" s="5"/>
      <c r="G100" s="5"/>
      <c r="H100" s="5"/>
      <c r="I100" s="183"/>
      <c r="J100" s="3"/>
      <c r="K100" s="3" t="s">
        <v>244</v>
      </c>
      <c r="L100" s="44">
        <v>44568.0</v>
      </c>
      <c r="M100" s="150">
        <v>0.5079050925925926</v>
      </c>
      <c r="N100" s="5" t="s">
        <v>247</v>
      </c>
      <c r="O100" s="5"/>
      <c r="P100" s="10" t="b">
        <v>0</v>
      </c>
      <c r="Q100" s="10" t="s">
        <v>2184</v>
      </c>
      <c r="R100" s="144" t="b">
        <v>1</v>
      </c>
      <c r="S100" s="144">
        <v>1.0</v>
      </c>
      <c r="T100" s="10">
        <v>0.0</v>
      </c>
      <c r="U100" s="5"/>
      <c r="V100" s="3"/>
      <c r="W100" s="5"/>
      <c r="X100" s="144" t="b">
        <v>0</v>
      </c>
      <c r="Y100" s="10" t="b">
        <v>0</v>
      </c>
      <c r="Z100" s="3"/>
      <c r="AA100" s="10" t="b">
        <v>0</v>
      </c>
      <c r="AB100" s="10" t="b">
        <v>0</v>
      </c>
      <c r="AC100" s="181">
        <v>797.0</v>
      </c>
      <c r="AD100" s="144" t="b">
        <v>1</v>
      </c>
      <c r="AE100" s="182">
        <v>301.3500000000001</v>
      </c>
      <c r="AF100" s="10" t="b">
        <v>0</v>
      </c>
      <c r="AG100" s="10" t="b">
        <v>0</v>
      </c>
      <c r="AH100" s="144"/>
      <c r="AI100" s="3"/>
      <c r="AJ100" s="10"/>
      <c r="AK100" s="3" t="s">
        <v>244</v>
      </c>
      <c r="AL100" s="5"/>
      <c r="AM100" s="5" t="s">
        <v>500</v>
      </c>
      <c r="AN100" s="5" t="s">
        <v>566</v>
      </c>
      <c r="AO100" s="5" t="s">
        <v>2185</v>
      </c>
      <c r="AP100" s="5" t="s">
        <v>2185</v>
      </c>
      <c r="AQ100" s="5" t="s">
        <v>2185</v>
      </c>
      <c r="AR100" s="5" t="s">
        <v>2185</v>
      </c>
      <c r="AS100" s="142"/>
      <c r="AT100" s="142" t="b">
        <v>0</v>
      </c>
      <c r="AU100" s="142"/>
      <c r="AV100" s="142"/>
      <c r="AW100" s="142"/>
      <c r="AX100" s="142"/>
      <c r="AY100" s="142"/>
      <c r="AZ100" s="174"/>
      <c r="BA100" s="142"/>
      <c r="BB100" s="142"/>
      <c r="BC100" s="142"/>
      <c r="BD100" s="142"/>
      <c r="BE100" s="142"/>
      <c r="BF100" s="142"/>
      <c r="BG100" s="142"/>
    </row>
    <row r="101">
      <c r="A101" s="5" t="s">
        <v>568</v>
      </c>
      <c r="B101" s="44">
        <v>44568.0</v>
      </c>
      <c r="C101" s="150">
        <v>0.3139351851851852</v>
      </c>
      <c r="D101" s="3"/>
      <c r="E101" s="3"/>
      <c r="F101" s="5"/>
      <c r="G101" s="5"/>
      <c r="H101" s="5"/>
      <c r="I101" s="3"/>
      <c r="J101" s="3"/>
      <c r="K101" s="3" t="s">
        <v>244</v>
      </c>
      <c r="L101" s="44">
        <v>44568.0</v>
      </c>
      <c r="M101" s="150">
        <v>0.5079050925925926</v>
      </c>
      <c r="N101" s="5"/>
      <c r="O101" s="5"/>
      <c r="P101" s="10" t="b">
        <v>0</v>
      </c>
      <c r="Q101" s="10" t="s">
        <v>2184</v>
      </c>
      <c r="R101" s="144" t="b">
        <v>1</v>
      </c>
      <c r="S101" s="144">
        <v>1.0</v>
      </c>
      <c r="T101" s="10"/>
      <c r="U101" s="5"/>
      <c r="V101" s="3"/>
      <c r="W101" s="5"/>
      <c r="X101" s="144" t="b">
        <v>0</v>
      </c>
      <c r="Y101" s="10" t="b">
        <v>0</v>
      </c>
      <c r="Z101" s="3"/>
      <c r="AA101" s="10" t="b">
        <v>0</v>
      </c>
      <c r="AB101" s="10" t="b">
        <v>0</v>
      </c>
      <c r="AC101" s="181">
        <v>677.0</v>
      </c>
      <c r="AD101" s="144" t="b">
        <v>0</v>
      </c>
      <c r="AE101" s="182">
        <v>279.31666666666666</v>
      </c>
      <c r="AF101" s="10" t="b">
        <v>0</v>
      </c>
      <c r="AG101" s="10" t="b">
        <v>0</v>
      </c>
      <c r="AH101" s="144"/>
      <c r="AI101" s="3"/>
      <c r="AJ101" s="10"/>
      <c r="AK101" s="3" t="s">
        <v>244</v>
      </c>
      <c r="AL101" s="5"/>
      <c r="AM101" s="5" t="s">
        <v>356</v>
      </c>
      <c r="AN101" s="5" t="s">
        <v>357</v>
      </c>
      <c r="AO101" s="5" t="s">
        <v>2185</v>
      </c>
      <c r="AP101" s="5" t="s">
        <v>2185</v>
      </c>
      <c r="AQ101" s="5" t="s">
        <v>2185</v>
      </c>
      <c r="AR101" s="5" t="s">
        <v>2185</v>
      </c>
      <c r="AS101" s="142"/>
      <c r="AT101" s="142" t="b">
        <v>0</v>
      </c>
      <c r="AU101" s="142"/>
      <c r="AV101" s="142"/>
      <c r="AW101" s="142"/>
      <c r="AX101" s="142"/>
      <c r="AY101" s="142"/>
      <c r="AZ101" s="174"/>
      <c r="BA101" s="142"/>
      <c r="BB101" s="142"/>
      <c r="BC101" s="142"/>
      <c r="BD101" s="142"/>
      <c r="BE101" s="142"/>
      <c r="BF101" s="142"/>
      <c r="BG101" s="142"/>
    </row>
    <row r="102">
      <c r="A102" s="5" t="s">
        <v>570</v>
      </c>
      <c r="B102" s="44">
        <v>44568.0</v>
      </c>
      <c r="C102" s="150">
        <v>0.3292824074074074</v>
      </c>
      <c r="D102" s="3"/>
      <c r="E102" s="3"/>
      <c r="F102" s="5"/>
      <c r="G102" s="5"/>
      <c r="H102" s="5"/>
      <c r="I102" s="3"/>
      <c r="J102" s="3"/>
      <c r="K102" s="3" t="s">
        <v>244</v>
      </c>
      <c r="L102" s="44">
        <v>44568.0</v>
      </c>
      <c r="M102" s="150">
        <v>0.5079050925925926</v>
      </c>
      <c r="N102" s="5"/>
      <c r="O102" s="5"/>
      <c r="P102" s="10" t="b">
        <v>0</v>
      </c>
      <c r="Q102" s="10" t="s">
        <v>2184</v>
      </c>
      <c r="R102" s="144" t="b">
        <v>1</v>
      </c>
      <c r="S102" s="144">
        <v>1.0</v>
      </c>
      <c r="T102" s="10"/>
      <c r="U102" s="5"/>
      <c r="V102" s="3"/>
      <c r="W102" s="5"/>
      <c r="X102" s="144" t="b">
        <v>0</v>
      </c>
      <c r="Y102" s="10" t="b">
        <v>0</v>
      </c>
      <c r="Z102" s="3"/>
      <c r="AA102" s="10" t="b">
        <v>0</v>
      </c>
      <c r="AB102" s="10" t="b">
        <v>0</v>
      </c>
      <c r="AC102" s="181">
        <v>676.0</v>
      </c>
      <c r="AD102" s="144" t="b">
        <v>0</v>
      </c>
      <c r="AE102" s="182">
        <v>257.21666666666675</v>
      </c>
      <c r="AF102" s="10" t="b">
        <v>0</v>
      </c>
      <c r="AG102" s="10" t="b">
        <v>0</v>
      </c>
      <c r="AH102" s="144"/>
      <c r="AI102" s="3"/>
      <c r="AJ102" s="10"/>
      <c r="AK102" s="3" t="s">
        <v>244</v>
      </c>
      <c r="AL102" s="5"/>
      <c r="AM102" s="5" t="s">
        <v>287</v>
      </c>
      <c r="AN102" s="5" t="s">
        <v>288</v>
      </c>
      <c r="AO102" s="5" t="s">
        <v>2185</v>
      </c>
      <c r="AP102" s="5" t="s">
        <v>2185</v>
      </c>
      <c r="AQ102" s="5" t="s">
        <v>2185</v>
      </c>
      <c r="AR102" s="5" t="s">
        <v>2185</v>
      </c>
      <c r="AS102" s="142"/>
      <c r="AT102" s="142" t="b">
        <v>0</v>
      </c>
      <c r="AU102" s="142"/>
      <c r="AV102" s="142"/>
      <c r="AW102" s="142"/>
      <c r="AX102" s="142"/>
      <c r="AY102" s="142"/>
      <c r="AZ102" s="174"/>
      <c r="BA102" s="142"/>
      <c r="BB102" s="142"/>
      <c r="BC102" s="142"/>
      <c r="BD102" s="142"/>
      <c r="BE102" s="142"/>
      <c r="BF102" s="142"/>
      <c r="BG102" s="142"/>
    </row>
    <row r="103">
      <c r="A103" s="5" t="s">
        <v>572</v>
      </c>
      <c r="B103" s="44">
        <v>44568.0</v>
      </c>
      <c r="C103" s="150">
        <v>0.3309490740740741</v>
      </c>
      <c r="D103" s="3"/>
      <c r="E103" s="3"/>
      <c r="F103" s="5"/>
      <c r="G103" s="5"/>
      <c r="H103" s="5"/>
      <c r="I103" s="3"/>
      <c r="J103" s="3"/>
      <c r="K103" s="3" t="s">
        <v>244</v>
      </c>
      <c r="L103" s="44">
        <v>44568.0</v>
      </c>
      <c r="M103" s="150">
        <v>0.5079050925925926</v>
      </c>
      <c r="N103" s="5"/>
      <c r="O103" s="5"/>
      <c r="P103" s="10" t="b">
        <v>0</v>
      </c>
      <c r="Q103" s="10" t="s">
        <v>2184</v>
      </c>
      <c r="R103" s="144" t="b">
        <v>1</v>
      </c>
      <c r="S103" s="144">
        <v>1.0</v>
      </c>
      <c r="T103" s="10"/>
      <c r="U103" s="5"/>
      <c r="V103" s="3"/>
      <c r="W103" s="5"/>
      <c r="X103" s="144" t="b">
        <v>0</v>
      </c>
      <c r="Y103" s="10" t="b">
        <v>0</v>
      </c>
      <c r="Z103" s="3"/>
      <c r="AA103" s="10" t="b">
        <v>0</v>
      </c>
      <c r="AB103" s="10" t="b">
        <v>0</v>
      </c>
      <c r="AC103" s="181">
        <v>675.0</v>
      </c>
      <c r="AD103" s="144" t="b">
        <v>0</v>
      </c>
      <c r="AE103" s="182">
        <v>254.8166666666667</v>
      </c>
      <c r="AF103" s="10" t="b">
        <v>0</v>
      </c>
      <c r="AG103" s="10" t="b">
        <v>0</v>
      </c>
      <c r="AH103" s="144"/>
      <c r="AI103" s="3"/>
      <c r="AJ103" s="10"/>
      <c r="AK103" s="3" t="s">
        <v>244</v>
      </c>
      <c r="AL103" s="5"/>
      <c r="AM103" s="5" t="s">
        <v>573</v>
      </c>
      <c r="AN103" s="5" t="s">
        <v>574</v>
      </c>
      <c r="AO103" s="5" t="s">
        <v>2185</v>
      </c>
      <c r="AP103" s="5" t="s">
        <v>2185</v>
      </c>
      <c r="AQ103" s="5" t="s">
        <v>2185</v>
      </c>
      <c r="AR103" s="5" t="s">
        <v>2185</v>
      </c>
      <c r="AS103" s="142"/>
      <c r="AT103" s="142" t="b">
        <v>0</v>
      </c>
      <c r="AU103" s="142"/>
      <c r="AV103" s="142"/>
      <c r="AW103" s="142"/>
      <c r="AX103" s="142"/>
      <c r="AY103" s="142"/>
      <c r="AZ103" s="174"/>
      <c r="BA103" s="142"/>
      <c r="BB103" s="142"/>
      <c r="BC103" s="142"/>
      <c r="BD103" s="142"/>
      <c r="BE103" s="142"/>
      <c r="BF103" s="142"/>
      <c r="BG103" s="142"/>
    </row>
    <row r="104">
      <c r="A104" s="5" t="s">
        <v>576</v>
      </c>
      <c r="B104" s="44">
        <v>44568.0</v>
      </c>
      <c r="C104" s="150">
        <v>0.3361689814814815</v>
      </c>
      <c r="D104" s="3"/>
      <c r="E104" s="3"/>
      <c r="F104" s="5"/>
      <c r="G104" s="5"/>
      <c r="H104" s="5"/>
      <c r="I104" s="3"/>
      <c r="J104" s="3"/>
      <c r="K104" s="3" t="s">
        <v>244</v>
      </c>
      <c r="L104" s="44">
        <v>44568.0</v>
      </c>
      <c r="M104" s="150">
        <v>0.5079050925925926</v>
      </c>
      <c r="N104" s="5"/>
      <c r="O104" s="5"/>
      <c r="P104" s="10" t="b">
        <v>0</v>
      </c>
      <c r="Q104" s="10" t="s">
        <v>2184</v>
      </c>
      <c r="R104" s="144" t="b">
        <v>1</v>
      </c>
      <c r="S104" s="144">
        <v>1.0</v>
      </c>
      <c r="T104" s="10"/>
      <c r="U104" s="5"/>
      <c r="V104" s="3"/>
      <c r="W104" s="5"/>
      <c r="X104" s="144" t="b">
        <v>0</v>
      </c>
      <c r="Y104" s="10" t="b">
        <v>0</v>
      </c>
      <c r="Z104" s="3"/>
      <c r="AA104" s="10" t="b">
        <v>0</v>
      </c>
      <c r="AB104" s="10" t="b">
        <v>0</v>
      </c>
      <c r="AC104" s="181">
        <v>674.0</v>
      </c>
      <c r="AD104" s="144" t="b">
        <v>0</v>
      </c>
      <c r="AE104" s="182">
        <v>247.30000000000007</v>
      </c>
      <c r="AF104" s="10" t="b">
        <v>0</v>
      </c>
      <c r="AG104" s="10" t="b">
        <v>0</v>
      </c>
      <c r="AH104" s="144"/>
      <c r="AI104" s="3"/>
      <c r="AJ104" s="10"/>
      <c r="AK104" s="3" t="s">
        <v>244</v>
      </c>
      <c r="AL104" s="5"/>
      <c r="AM104" s="5" t="s">
        <v>577</v>
      </c>
      <c r="AN104" s="5" t="s">
        <v>578</v>
      </c>
      <c r="AO104" s="5" t="s">
        <v>2185</v>
      </c>
      <c r="AP104" s="5" t="s">
        <v>2185</v>
      </c>
      <c r="AQ104" s="5" t="s">
        <v>2185</v>
      </c>
      <c r="AR104" s="5" t="s">
        <v>2185</v>
      </c>
      <c r="AS104" s="142"/>
      <c r="AT104" s="142" t="b">
        <v>0</v>
      </c>
      <c r="AU104" s="142"/>
      <c r="AV104" s="142"/>
      <c r="AW104" s="142"/>
      <c r="AX104" s="142"/>
      <c r="AY104" s="142"/>
      <c r="AZ104" s="174"/>
      <c r="BA104" s="142"/>
      <c r="BB104" s="142"/>
      <c r="BC104" s="142"/>
      <c r="BD104" s="142"/>
      <c r="BE104" s="142"/>
      <c r="BF104" s="142"/>
      <c r="BG104" s="142"/>
    </row>
    <row r="105">
      <c r="A105" s="5" t="s">
        <v>580</v>
      </c>
      <c r="B105" s="44">
        <v>44568.0</v>
      </c>
      <c r="C105" s="150">
        <v>0.34097222222222223</v>
      </c>
      <c r="D105" s="3"/>
      <c r="E105" s="3"/>
      <c r="F105" s="5"/>
      <c r="G105" s="5"/>
      <c r="H105" s="5"/>
      <c r="I105" s="3"/>
      <c r="J105" s="3"/>
      <c r="K105" s="3" t="s">
        <v>52</v>
      </c>
      <c r="L105" s="44">
        <v>44568.0</v>
      </c>
      <c r="M105" s="150">
        <v>0.5079050925925926</v>
      </c>
      <c r="N105" s="5"/>
      <c r="O105" s="5"/>
      <c r="P105" s="10" t="b">
        <v>0</v>
      </c>
      <c r="Q105" s="10" t="s">
        <v>2184</v>
      </c>
      <c r="R105" s="144" t="b">
        <v>1</v>
      </c>
      <c r="S105" s="144">
        <v>1.0</v>
      </c>
      <c r="T105" s="10"/>
      <c r="U105" s="5"/>
      <c r="V105" s="3"/>
      <c r="W105" s="5"/>
      <c r="X105" s="144" t="b">
        <v>0</v>
      </c>
      <c r="Y105" s="10" t="b">
        <v>0</v>
      </c>
      <c r="Z105" s="3"/>
      <c r="AA105" s="10" t="b">
        <v>0</v>
      </c>
      <c r="AB105" s="10" t="b">
        <v>0</v>
      </c>
      <c r="AC105" s="181">
        <v>673.0</v>
      </c>
      <c r="AD105" s="144" t="b">
        <v>0</v>
      </c>
      <c r="AE105" s="182">
        <v>240.38333333333338</v>
      </c>
      <c r="AF105" s="10" t="b">
        <v>0</v>
      </c>
      <c r="AG105" s="10" t="b">
        <v>0</v>
      </c>
      <c r="AH105" s="144"/>
      <c r="AI105" s="3"/>
      <c r="AJ105" s="10"/>
      <c r="AK105" s="3" t="s">
        <v>52</v>
      </c>
      <c r="AL105" s="5"/>
      <c r="AM105" s="5" t="s">
        <v>477</v>
      </c>
      <c r="AN105" s="5" t="s">
        <v>450</v>
      </c>
      <c r="AO105" s="5" t="s">
        <v>2185</v>
      </c>
      <c r="AP105" s="5" t="s">
        <v>2185</v>
      </c>
      <c r="AQ105" s="5" t="s">
        <v>2185</v>
      </c>
      <c r="AR105" s="5" t="s">
        <v>2185</v>
      </c>
      <c r="AS105" s="142"/>
      <c r="AT105" s="142" t="b">
        <v>0</v>
      </c>
      <c r="AU105" s="142"/>
      <c r="AV105" s="142"/>
      <c r="AW105" s="142"/>
      <c r="AX105" s="142"/>
      <c r="AY105" s="142"/>
      <c r="AZ105" s="174"/>
      <c r="BA105" s="142"/>
      <c r="BB105" s="142"/>
      <c r="BC105" s="142"/>
      <c r="BD105" s="142"/>
      <c r="BE105" s="142"/>
      <c r="BF105" s="142"/>
      <c r="BG105" s="142"/>
    </row>
    <row r="106">
      <c r="A106" s="5" t="s">
        <v>582</v>
      </c>
      <c r="B106" s="44">
        <v>44568.0</v>
      </c>
      <c r="C106" s="150">
        <v>0.34206018518518516</v>
      </c>
      <c r="D106" s="3"/>
      <c r="E106" s="3"/>
      <c r="F106" s="5"/>
      <c r="G106" s="5"/>
      <c r="H106" s="5"/>
      <c r="I106" s="3"/>
      <c r="J106" s="3"/>
      <c r="K106" s="3" t="s">
        <v>63</v>
      </c>
      <c r="L106" s="44">
        <v>44568.0</v>
      </c>
      <c r="M106" s="150">
        <v>0.5079050925925926</v>
      </c>
      <c r="N106" s="5"/>
      <c r="O106" s="5"/>
      <c r="P106" s="10" t="b">
        <v>0</v>
      </c>
      <c r="Q106" s="10" t="s">
        <v>2184</v>
      </c>
      <c r="R106" s="144" t="b">
        <v>1</v>
      </c>
      <c r="S106" s="144">
        <v>1.0</v>
      </c>
      <c r="T106" s="10"/>
      <c r="U106" s="5"/>
      <c r="V106" s="3"/>
      <c r="W106" s="5"/>
      <c r="X106" s="144" t="b">
        <v>0</v>
      </c>
      <c r="Y106" s="10" t="b">
        <v>0</v>
      </c>
      <c r="Z106" s="3"/>
      <c r="AA106" s="10" t="b">
        <v>0</v>
      </c>
      <c r="AB106" s="10" t="b">
        <v>0</v>
      </c>
      <c r="AC106" s="181">
        <v>671.0</v>
      </c>
      <c r="AD106" s="144" t="b">
        <v>0</v>
      </c>
      <c r="AE106" s="182">
        <v>238.81666666666678</v>
      </c>
      <c r="AF106" s="10" t="b">
        <v>0</v>
      </c>
      <c r="AG106" s="10" t="b">
        <v>0</v>
      </c>
      <c r="AH106" s="144"/>
      <c r="AI106" s="3"/>
      <c r="AJ106" s="10"/>
      <c r="AK106" s="3" t="s">
        <v>63</v>
      </c>
      <c r="AL106" s="5"/>
      <c r="AM106" s="5" t="s">
        <v>583</v>
      </c>
      <c r="AN106" s="5" t="s">
        <v>584</v>
      </c>
      <c r="AO106" s="5" t="s">
        <v>2185</v>
      </c>
      <c r="AP106" s="5" t="s">
        <v>2185</v>
      </c>
      <c r="AQ106" s="5" t="s">
        <v>2185</v>
      </c>
      <c r="AR106" s="5" t="s">
        <v>2185</v>
      </c>
      <c r="AS106" s="142"/>
      <c r="AT106" s="142" t="b">
        <v>0</v>
      </c>
      <c r="AU106" s="142"/>
      <c r="AV106" s="142"/>
      <c r="AW106" s="142"/>
      <c r="AX106" s="142"/>
      <c r="AY106" s="142"/>
      <c r="AZ106" s="174"/>
      <c r="BA106" s="142"/>
      <c r="BB106" s="142"/>
      <c r="BC106" s="142"/>
      <c r="BD106" s="142"/>
      <c r="BE106" s="142"/>
      <c r="BF106" s="142"/>
      <c r="BG106" s="142"/>
    </row>
    <row r="107">
      <c r="A107" s="5" t="s">
        <v>586</v>
      </c>
      <c r="B107" s="44">
        <v>44568.0</v>
      </c>
      <c r="C107" s="150">
        <v>0.3421064814814815</v>
      </c>
      <c r="D107" s="3"/>
      <c r="E107" s="3"/>
      <c r="F107" s="5"/>
      <c r="G107" s="5"/>
      <c r="H107" s="5"/>
      <c r="I107" s="3"/>
      <c r="J107" s="3"/>
      <c r="K107" s="3" t="s">
        <v>244</v>
      </c>
      <c r="L107" s="44">
        <v>44568.0</v>
      </c>
      <c r="M107" s="150">
        <v>0.5079050925925926</v>
      </c>
      <c r="N107" s="5"/>
      <c r="O107" s="5"/>
      <c r="P107" s="10" t="b">
        <v>0</v>
      </c>
      <c r="Q107" s="10" t="s">
        <v>2184</v>
      </c>
      <c r="R107" s="144" t="b">
        <v>1</v>
      </c>
      <c r="S107" s="144">
        <v>1.0</v>
      </c>
      <c r="T107" s="10"/>
      <c r="U107" s="5"/>
      <c r="V107" s="3"/>
      <c r="W107" s="5"/>
      <c r="X107" s="144" t="b">
        <v>0</v>
      </c>
      <c r="Y107" s="10" t="b">
        <v>0</v>
      </c>
      <c r="Z107" s="3"/>
      <c r="AA107" s="10" t="b">
        <v>0</v>
      </c>
      <c r="AB107" s="10" t="b">
        <v>0</v>
      </c>
      <c r="AC107" s="181">
        <v>672.0</v>
      </c>
      <c r="AD107" s="144" t="b">
        <v>0</v>
      </c>
      <c r="AE107" s="182">
        <v>238.75000000000006</v>
      </c>
      <c r="AF107" s="10" t="b">
        <v>0</v>
      </c>
      <c r="AG107" s="10" t="b">
        <v>0</v>
      </c>
      <c r="AH107" s="144"/>
      <c r="AI107" s="3"/>
      <c r="AJ107" s="10"/>
      <c r="AK107" s="3" t="s">
        <v>244</v>
      </c>
      <c r="AL107" s="5"/>
      <c r="AM107" s="5" t="s">
        <v>587</v>
      </c>
      <c r="AN107" s="5" t="s">
        <v>588</v>
      </c>
      <c r="AO107" s="5" t="s">
        <v>2185</v>
      </c>
      <c r="AP107" s="5" t="s">
        <v>2185</v>
      </c>
      <c r="AQ107" s="5" t="s">
        <v>2185</v>
      </c>
      <c r="AR107" s="5" t="s">
        <v>2185</v>
      </c>
      <c r="AS107" s="142"/>
      <c r="AT107" s="142" t="b">
        <v>0</v>
      </c>
      <c r="AU107" s="142"/>
      <c r="AV107" s="142"/>
      <c r="AW107" s="142"/>
      <c r="AX107" s="142"/>
      <c r="AY107" s="142"/>
      <c r="AZ107" s="174"/>
      <c r="BA107" s="142"/>
      <c r="BB107" s="142"/>
      <c r="BC107" s="142"/>
      <c r="BD107" s="142"/>
      <c r="BE107" s="142"/>
      <c r="BF107" s="142"/>
      <c r="BG107" s="142"/>
    </row>
    <row r="108">
      <c r="A108" s="5" t="s">
        <v>590</v>
      </c>
      <c r="B108" s="44">
        <v>44568.0</v>
      </c>
      <c r="C108" s="150">
        <v>0.34716435185185185</v>
      </c>
      <c r="D108" s="3"/>
      <c r="E108" s="3"/>
      <c r="F108" s="5"/>
      <c r="G108" s="5"/>
      <c r="H108" s="5"/>
      <c r="I108" s="3"/>
      <c r="J108" s="3"/>
      <c r="K108" s="3" t="s">
        <v>244</v>
      </c>
      <c r="L108" s="44">
        <v>44568.0</v>
      </c>
      <c r="M108" s="150">
        <v>0.5079166666666667</v>
      </c>
      <c r="N108" s="5"/>
      <c r="O108" s="5"/>
      <c r="P108" s="10" t="b">
        <v>0</v>
      </c>
      <c r="Q108" s="10" t="s">
        <v>2184</v>
      </c>
      <c r="R108" s="144" t="b">
        <v>1</v>
      </c>
      <c r="S108" s="144">
        <v>1.0</v>
      </c>
      <c r="T108" s="10"/>
      <c r="U108" s="5"/>
      <c r="V108" s="3"/>
      <c r="W108" s="5"/>
      <c r="X108" s="144" t="b">
        <v>0</v>
      </c>
      <c r="Y108" s="10" t="b">
        <v>0</v>
      </c>
      <c r="Z108" s="3"/>
      <c r="AA108" s="10" t="b">
        <v>0</v>
      </c>
      <c r="AB108" s="10" t="b">
        <v>0</v>
      </c>
      <c r="AC108" s="181">
        <v>670.0</v>
      </c>
      <c r="AD108" s="144" t="b">
        <v>0</v>
      </c>
      <c r="AE108" s="182">
        <v>231.48333333333335</v>
      </c>
      <c r="AF108" s="10" t="b">
        <v>0</v>
      </c>
      <c r="AG108" s="10" t="b">
        <v>0</v>
      </c>
      <c r="AH108" s="144"/>
      <c r="AI108" s="3"/>
      <c r="AJ108" s="10"/>
      <c r="AK108" s="3" t="s">
        <v>244</v>
      </c>
      <c r="AL108" s="5"/>
      <c r="AM108" s="5" t="s">
        <v>520</v>
      </c>
      <c r="AN108" s="5" t="s">
        <v>521</v>
      </c>
      <c r="AO108" s="5" t="s">
        <v>2185</v>
      </c>
      <c r="AP108" s="5" t="s">
        <v>2185</v>
      </c>
      <c r="AQ108" s="5" t="s">
        <v>2185</v>
      </c>
      <c r="AR108" s="5" t="s">
        <v>2185</v>
      </c>
      <c r="AS108" s="142"/>
      <c r="AT108" s="142" t="b">
        <v>0</v>
      </c>
      <c r="AU108" s="142"/>
      <c r="AV108" s="142"/>
      <c r="AW108" s="142"/>
      <c r="AX108" s="142"/>
      <c r="AY108" s="142"/>
      <c r="AZ108" s="174"/>
      <c r="BA108" s="142"/>
      <c r="BB108" s="142"/>
      <c r="BC108" s="142"/>
      <c r="BD108" s="142"/>
      <c r="BE108" s="142"/>
      <c r="BF108" s="142"/>
      <c r="BG108" s="142"/>
    </row>
    <row r="109">
      <c r="A109" s="5" t="s">
        <v>592</v>
      </c>
      <c r="B109" s="44">
        <v>44568.0</v>
      </c>
      <c r="C109" s="150">
        <v>0.34717592592592594</v>
      </c>
      <c r="D109" s="3"/>
      <c r="E109" s="3"/>
      <c r="F109" s="5"/>
      <c r="G109" s="5"/>
      <c r="H109" s="5"/>
      <c r="I109" s="3"/>
      <c r="J109" s="3"/>
      <c r="K109" s="3" t="s">
        <v>52</v>
      </c>
      <c r="L109" s="44">
        <v>44568.0</v>
      </c>
      <c r="M109" s="150">
        <v>0.5079050925925926</v>
      </c>
      <c r="N109" s="5"/>
      <c r="O109" s="5"/>
      <c r="P109" s="10" t="b">
        <v>0</v>
      </c>
      <c r="Q109" s="10" t="s">
        <v>2184</v>
      </c>
      <c r="R109" s="144" t="b">
        <v>1</v>
      </c>
      <c r="S109" s="144">
        <v>1.0</v>
      </c>
      <c r="T109" s="10"/>
      <c r="U109" s="5"/>
      <c r="V109" s="3"/>
      <c r="W109" s="5"/>
      <c r="X109" s="144" t="b">
        <v>0</v>
      </c>
      <c r="Y109" s="10" t="b">
        <v>0</v>
      </c>
      <c r="Z109" s="3"/>
      <c r="AA109" s="10" t="b">
        <v>0</v>
      </c>
      <c r="AB109" s="10" t="b">
        <v>0</v>
      </c>
      <c r="AC109" s="181">
        <v>669.0</v>
      </c>
      <c r="AD109" s="144" t="b">
        <v>0</v>
      </c>
      <c r="AE109" s="182">
        <v>231.45000000000005</v>
      </c>
      <c r="AF109" s="10" t="b">
        <v>0</v>
      </c>
      <c r="AG109" s="10" t="b">
        <v>0</v>
      </c>
      <c r="AH109" s="144"/>
      <c r="AI109" s="3"/>
      <c r="AJ109" s="10"/>
      <c r="AK109" s="3" t="s">
        <v>52</v>
      </c>
      <c r="AL109" s="5"/>
      <c r="AM109" s="5" t="s">
        <v>593</v>
      </c>
      <c r="AN109" s="5" t="s">
        <v>594</v>
      </c>
      <c r="AO109" s="5" t="s">
        <v>2185</v>
      </c>
      <c r="AP109" s="5" t="s">
        <v>2185</v>
      </c>
      <c r="AQ109" s="5" t="s">
        <v>2185</v>
      </c>
      <c r="AR109" s="5" t="s">
        <v>2185</v>
      </c>
      <c r="AS109" s="142"/>
      <c r="AT109" s="142" t="b">
        <v>0</v>
      </c>
      <c r="AU109" s="142"/>
      <c r="AV109" s="142"/>
      <c r="AW109" s="142"/>
      <c r="AX109" s="142"/>
      <c r="AY109" s="142"/>
      <c r="AZ109" s="174"/>
      <c r="BA109" s="142"/>
      <c r="BB109" s="142"/>
      <c r="BC109" s="142"/>
      <c r="BD109" s="142"/>
      <c r="BE109" s="142"/>
      <c r="BF109" s="142"/>
      <c r="BG109" s="142"/>
    </row>
    <row r="110">
      <c r="A110" s="5" t="s">
        <v>596</v>
      </c>
      <c r="B110" s="44">
        <v>44568.0</v>
      </c>
      <c r="C110" s="150">
        <v>0.35561342592592593</v>
      </c>
      <c r="D110" s="3"/>
      <c r="E110" s="3"/>
      <c r="F110" s="5"/>
      <c r="G110" s="5"/>
      <c r="H110" s="5"/>
      <c r="I110" s="3"/>
      <c r="J110" s="3"/>
      <c r="K110" s="3" t="s">
        <v>244</v>
      </c>
      <c r="L110" s="44">
        <v>44568.0</v>
      </c>
      <c r="M110" s="150">
        <v>0.5079166666666667</v>
      </c>
      <c r="N110" s="5"/>
      <c r="O110" s="5"/>
      <c r="P110" s="10" t="b">
        <v>0</v>
      </c>
      <c r="Q110" s="10" t="s">
        <v>2184</v>
      </c>
      <c r="R110" s="144" t="b">
        <v>1</v>
      </c>
      <c r="S110" s="144">
        <v>1.0</v>
      </c>
      <c r="T110" s="10"/>
      <c r="U110" s="5"/>
      <c r="V110" s="3"/>
      <c r="W110" s="5"/>
      <c r="X110" s="144" t="b">
        <v>0</v>
      </c>
      <c r="Y110" s="10" t="b">
        <v>0</v>
      </c>
      <c r="Z110" s="3"/>
      <c r="AA110" s="10" t="b">
        <v>0</v>
      </c>
      <c r="AB110" s="10" t="b">
        <v>0</v>
      </c>
      <c r="AC110" s="181">
        <v>668.0</v>
      </c>
      <c r="AD110" s="144" t="b">
        <v>0</v>
      </c>
      <c r="AE110" s="182">
        <v>219.3166666666667</v>
      </c>
      <c r="AF110" s="10" t="b">
        <v>0</v>
      </c>
      <c r="AG110" s="10" t="b">
        <v>0</v>
      </c>
      <c r="AH110" s="144"/>
      <c r="AI110" s="3"/>
      <c r="AJ110" s="10"/>
      <c r="AK110" s="3" t="s">
        <v>244</v>
      </c>
      <c r="AL110" s="5"/>
      <c r="AM110" s="5" t="s">
        <v>261</v>
      </c>
      <c r="AN110" s="5" t="s">
        <v>597</v>
      </c>
      <c r="AO110" s="5" t="s">
        <v>2185</v>
      </c>
      <c r="AP110" s="5" t="s">
        <v>2185</v>
      </c>
      <c r="AQ110" s="5" t="s">
        <v>2185</v>
      </c>
      <c r="AR110" s="5" t="s">
        <v>2185</v>
      </c>
      <c r="AS110" s="142"/>
      <c r="AT110" s="142" t="b">
        <v>0</v>
      </c>
      <c r="AU110" s="142"/>
      <c r="AV110" s="142"/>
      <c r="AW110" s="142"/>
      <c r="AX110" s="142"/>
      <c r="AY110" s="142"/>
      <c r="AZ110" s="174"/>
      <c r="BA110" s="142"/>
      <c r="BB110" s="142"/>
      <c r="BC110" s="142"/>
      <c r="BD110" s="142"/>
      <c r="BE110" s="142"/>
      <c r="BF110" s="142"/>
      <c r="BG110" s="142"/>
    </row>
    <row r="111">
      <c r="A111" s="5" t="s">
        <v>599</v>
      </c>
      <c r="B111" s="44">
        <v>44568.0</v>
      </c>
      <c r="C111" s="150">
        <v>0.3647800925925926</v>
      </c>
      <c r="D111" s="3"/>
      <c r="E111" s="3"/>
      <c r="F111" s="5"/>
      <c r="G111" s="5"/>
      <c r="H111" s="5"/>
      <c r="I111" s="3"/>
      <c r="J111" s="3"/>
      <c r="K111" s="3" t="s">
        <v>52</v>
      </c>
      <c r="L111" s="44">
        <v>44568.0</v>
      </c>
      <c r="M111" s="150">
        <v>0.508275462962963</v>
      </c>
      <c r="N111" s="5"/>
      <c r="O111" s="5"/>
      <c r="P111" s="10" t="b">
        <v>0</v>
      </c>
      <c r="Q111" s="10" t="s">
        <v>2184</v>
      </c>
      <c r="R111" s="144" t="b">
        <v>1</v>
      </c>
      <c r="S111" s="144">
        <v>1.0</v>
      </c>
      <c r="T111" s="10"/>
      <c r="U111" s="5"/>
      <c r="V111" s="3"/>
      <c r="W111" s="5"/>
      <c r="X111" s="144" t="b">
        <v>0</v>
      </c>
      <c r="Y111" s="10" t="b">
        <v>0</v>
      </c>
      <c r="Z111" s="3"/>
      <c r="AA111" s="10" t="b">
        <v>0</v>
      </c>
      <c r="AB111" s="10" t="b">
        <v>0</v>
      </c>
      <c r="AC111" s="181">
        <v>667.0</v>
      </c>
      <c r="AD111" s="144" t="b">
        <v>0</v>
      </c>
      <c r="AE111" s="182">
        <v>206.63333333333338</v>
      </c>
      <c r="AF111" s="10" t="b">
        <v>0</v>
      </c>
      <c r="AG111" s="10" t="b">
        <v>0</v>
      </c>
      <c r="AH111" s="144"/>
      <c r="AI111" s="3"/>
      <c r="AJ111" s="10"/>
      <c r="AK111" s="3" t="s">
        <v>52</v>
      </c>
      <c r="AL111" s="5"/>
      <c r="AM111" s="5" t="s">
        <v>398</v>
      </c>
      <c r="AN111" s="5" t="s">
        <v>399</v>
      </c>
      <c r="AO111" s="5" t="s">
        <v>2185</v>
      </c>
      <c r="AP111" s="5" t="s">
        <v>2185</v>
      </c>
      <c r="AQ111" s="5" t="s">
        <v>2185</v>
      </c>
      <c r="AR111" s="5" t="s">
        <v>2185</v>
      </c>
      <c r="AS111" s="142"/>
      <c r="AT111" s="142" t="b">
        <v>0</v>
      </c>
      <c r="AU111" s="142"/>
      <c r="AV111" s="142"/>
      <c r="AW111" s="142"/>
      <c r="AX111" s="142"/>
      <c r="AY111" s="142"/>
      <c r="AZ111" s="174"/>
      <c r="BA111" s="142"/>
      <c r="BB111" s="142"/>
      <c r="BC111" s="142"/>
      <c r="BD111" s="142"/>
      <c r="BE111" s="142"/>
      <c r="BF111" s="142"/>
      <c r="BG111" s="142"/>
    </row>
    <row r="112">
      <c r="A112" s="5" t="s">
        <v>601</v>
      </c>
      <c r="B112" s="44">
        <v>44568.0</v>
      </c>
      <c r="C112" s="150">
        <v>0.4141782407407407</v>
      </c>
      <c r="D112" s="3"/>
      <c r="E112" s="3"/>
      <c r="F112" s="5"/>
      <c r="G112" s="5"/>
      <c r="H112" s="5"/>
      <c r="I112" s="3"/>
      <c r="J112" s="3"/>
      <c r="K112" s="3" t="s">
        <v>244</v>
      </c>
      <c r="L112" s="44">
        <v>44568.0</v>
      </c>
      <c r="M112" s="150">
        <v>0.5079166666666667</v>
      </c>
      <c r="N112" s="5"/>
      <c r="O112" s="5"/>
      <c r="P112" s="10" t="b">
        <v>0</v>
      </c>
      <c r="Q112" s="10" t="s">
        <v>2184</v>
      </c>
      <c r="R112" s="144" t="b">
        <v>1</v>
      </c>
      <c r="S112" s="144">
        <v>1.0</v>
      </c>
      <c r="T112" s="10"/>
      <c r="U112" s="5"/>
      <c r="V112" s="3"/>
      <c r="W112" s="5"/>
      <c r="X112" s="144" t="b">
        <v>0</v>
      </c>
      <c r="Y112" s="10" t="b">
        <v>0</v>
      </c>
      <c r="Z112" s="3"/>
      <c r="AA112" s="10" t="b">
        <v>0</v>
      </c>
      <c r="AB112" s="10" t="b">
        <v>0</v>
      </c>
      <c r="AC112" s="181">
        <v>666.0</v>
      </c>
      <c r="AD112" s="144" t="b">
        <v>0</v>
      </c>
      <c r="AE112" s="182">
        <v>134.98333333333338</v>
      </c>
      <c r="AF112" s="10" t="b">
        <v>0</v>
      </c>
      <c r="AG112" s="10" t="b">
        <v>0</v>
      </c>
      <c r="AH112" s="144"/>
      <c r="AI112" s="3"/>
      <c r="AJ112" s="10"/>
      <c r="AK112" s="3" t="s">
        <v>244</v>
      </c>
      <c r="AL112" s="5"/>
      <c r="AM112" s="5" t="s">
        <v>261</v>
      </c>
      <c r="AN112" s="5" t="s">
        <v>458</v>
      </c>
      <c r="AO112" s="5" t="s">
        <v>2185</v>
      </c>
      <c r="AP112" s="5" t="s">
        <v>2185</v>
      </c>
      <c r="AQ112" s="5" t="s">
        <v>2185</v>
      </c>
      <c r="AR112" s="5" t="s">
        <v>2185</v>
      </c>
      <c r="AS112" s="142"/>
      <c r="AT112" s="142" t="b">
        <v>0</v>
      </c>
      <c r="AU112" s="142"/>
      <c r="AV112" s="142"/>
      <c r="AW112" s="142"/>
      <c r="AX112" s="142"/>
      <c r="AY112" s="142"/>
      <c r="AZ112" s="174"/>
      <c r="BA112" s="142"/>
      <c r="BB112" s="142"/>
      <c r="BC112" s="142"/>
      <c r="BD112" s="142"/>
      <c r="BE112" s="142"/>
      <c r="BF112" s="142"/>
      <c r="BG112" s="142"/>
    </row>
    <row r="113">
      <c r="A113" s="5" t="s">
        <v>611</v>
      </c>
      <c r="B113" s="44">
        <v>44571.0</v>
      </c>
      <c r="C113" s="150">
        <v>0.2715856481481482</v>
      </c>
      <c r="D113" s="3"/>
      <c r="E113" s="3"/>
      <c r="F113" s="5"/>
      <c r="G113" s="5"/>
      <c r="H113" s="5"/>
      <c r="I113" s="3"/>
      <c r="J113" s="3"/>
      <c r="K113" s="3" t="s">
        <v>244</v>
      </c>
      <c r="L113" s="44">
        <v>44571.0</v>
      </c>
      <c r="M113" s="150">
        <v>0.46598379629629627</v>
      </c>
      <c r="N113" s="5"/>
      <c r="O113" s="5"/>
      <c r="P113" s="10" t="b">
        <v>0</v>
      </c>
      <c r="Q113" s="10" t="s">
        <v>2184</v>
      </c>
      <c r="R113" s="144" t="b">
        <v>1</v>
      </c>
      <c r="S113" s="144">
        <v>1.0</v>
      </c>
      <c r="T113" s="10"/>
      <c r="U113" s="5"/>
      <c r="V113" s="3"/>
      <c r="W113" s="5"/>
      <c r="X113" s="144" t="b">
        <v>0</v>
      </c>
      <c r="Y113" s="10" t="b">
        <v>0</v>
      </c>
      <c r="Z113" s="3"/>
      <c r="AA113" s="10" t="b">
        <v>0</v>
      </c>
      <c r="AB113" s="10" t="b">
        <v>0</v>
      </c>
      <c r="AC113" s="181">
        <v>662.0</v>
      </c>
      <c r="AD113" s="144" t="b">
        <v>0</v>
      </c>
      <c r="AE113" s="182">
        <v>279.9333333333333</v>
      </c>
      <c r="AF113" s="10" t="b">
        <v>0</v>
      </c>
      <c r="AG113" s="10" t="b">
        <v>0</v>
      </c>
      <c r="AH113" s="144"/>
      <c r="AI113" s="3"/>
      <c r="AJ113" s="10"/>
      <c r="AK113" s="3" t="s">
        <v>244</v>
      </c>
      <c r="AL113" s="5"/>
      <c r="AM113" s="5" t="s">
        <v>612</v>
      </c>
      <c r="AN113" s="5" t="s">
        <v>613</v>
      </c>
      <c r="AO113" s="5" t="s">
        <v>2185</v>
      </c>
      <c r="AP113" s="5" t="s">
        <v>2185</v>
      </c>
      <c r="AQ113" s="5" t="s">
        <v>2185</v>
      </c>
      <c r="AR113" s="5" t="s">
        <v>2185</v>
      </c>
      <c r="AS113" s="142"/>
      <c r="AT113" s="142" t="b">
        <v>0</v>
      </c>
      <c r="AU113" s="142"/>
      <c r="AV113" s="142"/>
      <c r="AW113" s="142"/>
      <c r="AX113" s="142"/>
      <c r="AY113" s="142"/>
      <c r="AZ113" s="174"/>
      <c r="BA113" s="142"/>
      <c r="BB113" s="142"/>
      <c r="BC113" s="142"/>
      <c r="BD113" s="142"/>
      <c r="BE113" s="142"/>
      <c r="BF113" s="142"/>
      <c r="BG113" s="142"/>
    </row>
    <row r="114">
      <c r="A114" s="5" t="s">
        <v>615</v>
      </c>
      <c r="B114" s="44">
        <v>44571.0</v>
      </c>
      <c r="C114" s="150">
        <v>0.2969212962962963</v>
      </c>
      <c r="D114" s="3"/>
      <c r="E114" s="3"/>
      <c r="F114" s="5"/>
      <c r="G114" s="5"/>
      <c r="H114" s="5"/>
      <c r="I114" s="3"/>
      <c r="J114" s="3"/>
      <c r="K114" s="3" t="s">
        <v>244</v>
      </c>
      <c r="L114" s="44">
        <v>44571.0</v>
      </c>
      <c r="M114" s="150">
        <v>0.46598379629629627</v>
      </c>
      <c r="N114" s="5"/>
      <c r="O114" s="5"/>
      <c r="P114" s="10" t="b">
        <v>0</v>
      </c>
      <c r="Q114" s="10" t="s">
        <v>2184</v>
      </c>
      <c r="R114" s="144" t="b">
        <v>1</v>
      </c>
      <c r="S114" s="144">
        <v>1.0</v>
      </c>
      <c r="T114" s="10"/>
      <c r="U114" s="5"/>
      <c r="V114" s="3"/>
      <c r="W114" s="5"/>
      <c r="X114" s="144" t="b">
        <v>0</v>
      </c>
      <c r="Y114" s="10" t="b">
        <v>0</v>
      </c>
      <c r="Z114" s="3"/>
      <c r="AA114" s="10" t="b">
        <v>0</v>
      </c>
      <c r="AB114" s="10" t="b">
        <v>0</v>
      </c>
      <c r="AC114" s="181">
        <v>661.0</v>
      </c>
      <c r="AD114" s="144" t="b">
        <v>0</v>
      </c>
      <c r="AE114" s="182">
        <v>243.44999999999996</v>
      </c>
      <c r="AF114" s="10" t="b">
        <v>0</v>
      </c>
      <c r="AG114" s="10" t="b">
        <v>0</v>
      </c>
      <c r="AH114" s="144"/>
      <c r="AI114" s="3"/>
      <c r="AJ114" s="10"/>
      <c r="AK114" s="3" t="s">
        <v>244</v>
      </c>
      <c r="AL114" s="5"/>
      <c r="AM114" s="5" t="s">
        <v>314</v>
      </c>
      <c r="AN114" s="5" t="s">
        <v>315</v>
      </c>
      <c r="AO114" s="5" t="s">
        <v>2185</v>
      </c>
      <c r="AP114" s="5" t="s">
        <v>2185</v>
      </c>
      <c r="AQ114" s="5" t="s">
        <v>2185</v>
      </c>
      <c r="AR114" s="5" t="s">
        <v>2185</v>
      </c>
      <c r="AS114" s="142"/>
      <c r="AT114" s="142" t="b">
        <v>0</v>
      </c>
      <c r="AU114" s="142"/>
      <c r="AV114" s="142"/>
      <c r="AW114" s="142"/>
      <c r="AX114" s="142"/>
      <c r="AY114" s="142"/>
      <c r="AZ114" s="174"/>
      <c r="BA114" s="142"/>
      <c r="BB114" s="142"/>
      <c r="BC114" s="142"/>
      <c r="BD114" s="142"/>
      <c r="BE114" s="142"/>
      <c r="BF114" s="142"/>
      <c r="BG114" s="142"/>
    </row>
    <row r="115">
      <c r="A115" s="5" t="s">
        <v>617</v>
      </c>
      <c r="B115" s="44">
        <v>44571.0</v>
      </c>
      <c r="C115" s="150">
        <v>0.31167824074074074</v>
      </c>
      <c r="D115" s="3"/>
      <c r="E115" s="3"/>
      <c r="F115" s="5"/>
      <c r="G115" s="5"/>
      <c r="H115" s="5"/>
      <c r="I115" s="3"/>
      <c r="J115" s="3"/>
      <c r="K115" s="3" t="s">
        <v>244</v>
      </c>
      <c r="L115" s="44">
        <v>44571.0</v>
      </c>
      <c r="M115" s="150">
        <v>0.46598379629629627</v>
      </c>
      <c r="N115" s="5"/>
      <c r="O115" s="5"/>
      <c r="P115" s="10" t="b">
        <v>0</v>
      </c>
      <c r="Q115" s="10" t="s">
        <v>2184</v>
      </c>
      <c r="R115" s="144" t="b">
        <v>1</v>
      </c>
      <c r="S115" s="144">
        <v>1.0</v>
      </c>
      <c r="T115" s="10"/>
      <c r="U115" s="5"/>
      <c r="V115" s="3"/>
      <c r="W115" s="5"/>
      <c r="X115" s="144" t="b">
        <v>0</v>
      </c>
      <c r="Y115" s="10" t="b">
        <v>0</v>
      </c>
      <c r="Z115" s="3"/>
      <c r="AA115" s="10" t="b">
        <v>0</v>
      </c>
      <c r="AB115" s="10" t="b">
        <v>0</v>
      </c>
      <c r="AC115" s="181">
        <v>660.0</v>
      </c>
      <c r="AD115" s="144" t="b">
        <v>0</v>
      </c>
      <c r="AE115" s="182">
        <v>222.19999999999996</v>
      </c>
      <c r="AF115" s="10" t="b">
        <v>0</v>
      </c>
      <c r="AG115" s="10" t="b">
        <v>0</v>
      </c>
      <c r="AH115" s="144"/>
      <c r="AI115" s="3"/>
      <c r="AJ115" s="10"/>
      <c r="AK115" s="3" t="s">
        <v>244</v>
      </c>
      <c r="AL115" s="5"/>
      <c r="AM115" s="5" t="s">
        <v>618</v>
      </c>
      <c r="AN115" s="5" t="s">
        <v>619</v>
      </c>
      <c r="AO115" s="5" t="s">
        <v>2185</v>
      </c>
      <c r="AP115" s="5" t="s">
        <v>2185</v>
      </c>
      <c r="AQ115" s="5" t="s">
        <v>2185</v>
      </c>
      <c r="AR115" s="5" t="s">
        <v>2185</v>
      </c>
      <c r="AS115" s="142"/>
      <c r="AT115" s="142" t="b">
        <v>0</v>
      </c>
      <c r="AU115" s="142"/>
      <c r="AV115" s="142"/>
      <c r="AW115" s="142"/>
      <c r="AX115" s="142"/>
      <c r="AY115" s="142"/>
      <c r="AZ115" s="174"/>
      <c r="BA115" s="142"/>
      <c r="BB115" s="142"/>
      <c r="BC115" s="142"/>
      <c r="BD115" s="142"/>
      <c r="BE115" s="142"/>
      <c r="BF115" s="142"/>
      <c r="BG115" s="142"/>
    </row>
    <row r="116">
      <c r="A116" s="5" t="s">
        <v>621</v>
      </c>
      <c r="B116" s="44">
        <v>44571.0</v>
      </c>
      <c r="C116" s="150">
        <v>0.313125</v>
      </c>
      <c r="D116" s="3"/>
      <c r="E116" s="3"/>
      <c r="F116" s="5"/>
      <c r="G116" s="5"/>
      <c r="H116" s="5"/>
      <c r="I116" s="3"/>
      <c r="J116" s="3"/>
      <c r="K116" s="3" t="s">
        <v>244</v>
      </c>
      <c r="L116" s="44">
        <v>44571.0</v>
      </c>
      <c r="M116" s="150">
        <v>0.46598379629629627</v>
      </c>
      <c r="N116" s="5"/>
      <c r="O116" s="5"/>
      <c r="P116" s="10" t="b">
        <v>0</v>
      </c>
      <c r="Q116" s="10" t="s">
        <v>2184</v>
      </c>
      <c r="R116" s="144" t="b">
        <v>1</v>
      </c>
      <c r="S116" s="144">
        <v>1.0</v>
      </c>
      <c r="T116" s="10"/>
      <c r="U116" s="5"/>
      <c r="V116" s="3"/>
      <c r="W116" s="5"/>
      <c r="X116" s="144" t="b">
        <v>0</v>
      </c>
      <c r="Y116" s="10" t="b">
        <v>0</v>
      </c>
      <c r="Z116" s="3"/>
      <c r="AA116" s="10" t="b">
        <v>0</v>
      </c>
      <c r="AB116" s="10" t="b">
        <v>0</v>
      </c>
      <c r="AC116" s="181">
        <v>659.0</v>
      </c>
      <c r="AD116" s="144" t="b">
        <v>0</v>
      </c>
      <c r="AE116" s="182">
        <v>220.11666666666665</v>
      </c>
      <c r="AF116" s="10" t="b">
        <v>0</v>
      </c>
      <c r="AG116" s="10" t="b">
        <v>0</v>
      </c>
      <c r="AH116" s="144"/>
      <c r="AI116" s="3"/>
      <c r="AJ116" s="10"/>
      <c r="AK116" s="3" t="s">
        <v>244</v>
      </c>
      <c r="AL116" s="5"/>
      <c r="AM116" s="5" t="s">
        <v>307</v>
      </c>
      <c r="AN116" s="5" t="s">
        <v>266</v>
      </c>
      <c r="AO116" s="5" t="s">
        <v>2185</v>
      </c>
      <c r="AP116" s="5" t="s">
        <v>2185</v>
      </c>
      <c r="AQ116" s="5" t="s">
        <v>2185</v>
      </c>
      <c r="AR116" s="5" t="s">
        <v>2185</v>
      </c>
      <c r="AS116" s="142"/>
      <c r="AT116" s="142" t="b">
        <v>0</v>
      </c>
      <c r="AU116" s="142"/>
      <c r="AV116" s="142"/>
      <c r="AW116" s="142"/>
      <c r="AX116" s="142"/>
      <c r="AY116" s="142"/>
      <c r="AZ116" s="174"/>
      <c r="BA116" s="142"/>
      <c r="BB116" s="142"/>
      <c r="BC116" s="142"/>
      <c r="BD116" s="142"/>
      <c r="BE116" s="142"/>
      <c r="BF116" s="142"/>
      <c r="BG116" s="142"/>
    </row>
    <row r="117">
      <c r="A117" s="5" t="s">
        <v>623</v>
      </c>
      <c r="B117" s="44">
        <v>44571.0</v>
      </c>
      <c r="C117" s="150">
        <v>0.3181365740740741</v>
      </c>
      <c r="D117" s="3"/>
      <c r="E117" s="3"/>
      <c r="F117" s="5"/>
      <c r="G117" s="5"/>
      <c r="H117" s="5"/>
      <c r="I117" s="3"/>
      <c r="J117" s="3"/>
      <c r="K117" s="3" t="s">
        <v>244</v>
      </c>
      <c r="L117" s="44">
        <v>44571.0</v>
      </c>
      <c r="M117" s="150">
        <v>0.46598379629629627</v>
      </c>
      <c r="N117" s="5"/>
      <c r="O117" s="5"/>
      <c r="P117" s="10" t="b">
        <v>0</v>
      </c>
      <c r="Q117" s="10" t="s">
        <v>2184</v>
      </c>
      <c r="R117" s="144" t="b">
        <v>1</v>
      </c>
      <c r="S117" s="144">
        <v>1.0</v>
      </c>
      <c r="T117" s="10"/>
      <c r="U117" s="5"/>
      <c r="V117" s="3"/>
      <c r="W117" s="5"/>
      <c r="X117" s="144" t="b">
        <v>0</v>
      </c>
      <c r="Y117" s="10" t="b">
        <v>0</v>
      </c>
      <c r="Z117" s="3"/>
      <c r="AA117" s="10" t="b">
        <v>0</v>
      </c>
      <c r="AB117" s="10" t="b">
        <v>0</v>
      </c>
      <c r="AC117" s="181">
        <v>658.0</v>
      </c>
      <c r="AD117" s="144" t="b">
        <v>0</v>
      </c>
      <c r="AE117" s="182">
        <v>212.89999999999995</v>
      </c>
      <c r="AF117" s="10" t="b">
        <v>0</v>
      </c>
      <c r="AG117" s="10" t="b">
        <v>0</v>
      </c>
      <c r="AH117" s="144"/>
      <c r="AI117" s="3"/>
      <c r="AJ117" s="10"/>
      <c r="AK117" s="3" t="s">
        <v>244</v>
      </c>
      <c r="AL117" s="5"/>
      <c r="AM117" s="5" t="s">
        <v>624</v>
      </c>
      <c r="AN117" s="5" t="s">
        <v>625</v>
      </c>
      <c r="AO117" s="5" t="s">
        <v>2185</v>
      </c>
      <c r="AP117" s="5" t="s">
        <v>2185</v>
      </c>
      <c r="AQ117" s="5" t="s">
        <v>2185</v>
      </c>
      <c r="AR117" s="5" t="s">
        <v>2185</v>
      </c>
      <c r="AS117" s="142"/>
      <c r="AT117" s="142" t="b">
        <v>0</v>
      </c>
      <c r="AU117" s="142"/>
      <c r="AV117" s="142"/>
      <c r="AW117" s="142"/>
      <c r="AX117" s="142"/>
      <c r="AY117" s="142"/>
      <c r="AZ117" s="174"/>
      <c r="BA117" s="142"/>
      <c r="BB117" s="142"/>
      <c r="BC117" s="142"/>
      <c r="BD117" s="142"/>
      <c r="BE117" s="142"/>
      <c r="BF117" s="142"/>
      <c r="BG117" s="142"/>
    </row>
    <row r="118">
      <c r="A118" s="5" t="s">
        <v>627</v>
      </c>
      <c r="B118" s="44">
        <v>44571.0</v>
      </c>
      <c r="C118" s="150">
        <v>0.3261689814814815</v>
      </c>
      <c r="D118" s="3"/>
      <c r="E118" s="3"/>
      <c r="F118" s="5"/>
      <c r="G118" s="5"/>
      <c r="H118" s="5"/>
      <c r="I118" s="183"/>
      <c r="J118" s="3"/>
      <c r="K118" s="3" t="s">
        <v>244</v>
      </c>
      <c r="L118" s="44">
        <v>44571.0</v>
      </c>
      <c r="M118" s="150">
        <v>0.46598379629629627</v>
      </c>
      <c r="N118" s="5" t="s">
        <v>247</v>
      </c>
      <c r="O118" s="5"/>
      <c r="P118" s="10" t="b">
        <v>0</v>
      </c>
      <c r="Q118" s="10" t="s">
        <v>2184</v>
      </c>
      <c r="R118" s="144" t="b">
        <v>1</v>
      </c>
      <c r="S118" s="144">
        <v>1.0</v>
      </c>
      <c r="T118" s="10">
        <v>0.0</v>
      </c>
      <c r="U118" s="5"/>
      <c r="V118" s="3"/>
      <c r="W118" s="5"/>
      <c r="X118" s="144" t="b">
        <v>0</v>
      </c>
      <c r="Y118" s="10" t="b">
        <v>0</v>
      </c>
      <c r="Z118" s="3"/>
      <c r="AA118" s="10" t="b">
        <v>0</v>
      </c>
      <c r="AB118" s="10" t="b">
        <v>0</v>
      </c>
      <c r="AC118" s="181">
        <v>811.0</v>
      </c>
      <c r="AD118" s="144" t="b">
        <v>1</v>
      </c>
      <c r="AE118" s="182">
        <v>201.3333333333333</v>
      </c>
      <c r="AF118" s="10" t="b">
        <v>0</v>
      </c>
      <c r="AG118" s="10" t="b">
        <v>0</v>
      </c>
      <c r="AH118" s="144"/>
      <c r="AI118" s="3"/>
      <c r="AJ118" s="10"/>
      <c r="AK118" s="3" t="s">
        <v>244</v>
      </c>
      <c r="AL118" s="5"/>
      <c r="AM118" s="5" t="s">
        <v>273</v>
      </c>
      <c r="AN118" s="5" t="s">
        <v>628</v>
      </c>
      <c r="AO118" s="5" t="s">
        <v>2185</v>
      </c>
      <c r="AP118" s="5" t="s">
        <v>2185</v>
      </c>
      <c r="AQ118" s="5" t="s">
        <v>2185</v>
      </c>
      <c r="AR118" s="5" t="s">
        <v>2185</v>
      </c>
      <c r="AS118" s="142"/>
      <c r="AT118" s="142" t="b">
        <v>0</v>
      </c>
      <c r="AU118" s="142"/>
      <c r="AV118" s="142"/>
      <c r="AW118" s="142"/>
      <c r="AX118" s="142"/>
      <c r="AY118" s="142"/>
      <c r="AZ118" s="174"/>
      <c r="BA118" s="142"/>
      <c r="BB118" s="142"/>
      <c r="BC118" s="142"/>
      <c r="BD118" s="142"/>
      <c r="BE118" s="142"/>
      <c r="BF118" s="142"/>
      <c r="BG118" s="142"/>
    </row>
    <row r="119">
      <c r="A119" s="5" t="s">
        <v>630</v>
      </c>
      <c r="B119" s="44">
        <v>44571.0</v>
      </c>
      <c r="C119" s="150">
        <v>0.32885416666666667</v>
      </c>
      <c r="D119" s="3"/>
      <c r="E119" s="3"/>
      <c r="F119" s="5"/>
      <c r="G119" s="5"/>
      <c r="H119" s="5"/>
      <c r="I119" s="3"/>
      <c r="J119" s="3"/>
      <c r="K119" s="3" t="s">
        <v>244</v>
      </c>
      <c r="L119" s="44">
        <v>44571.0</v>
      </c>
      <c r="M119" s="150">
        <v>0.46598379629629627</v>
      </c>
      <c r="N119" s="5"/>
      <c r="O119" s="5"/>
      <c r="P119" s="10" t="b">
        <v>0</v>
      </c>
      <c r="Q119" s="10" t="s">
        <v>2184</v>
      </c>
      <c r="R119" s="144" t="b">
        <v>1</v>
      </c>
      <c r="S119" s="144">
        <v>1.0</v>
      </c>
      <c r="T119" s="10"/>
      <c r="U119" s="5"/>
      <c r="V119" s="3"/>
      <c r="W119" s="5"/>
      <c r="X119" s="144" t="b">
        <v>0</v>
      </c>
      <c r="Y119" s="10" t="b">
        <v>0</v>
      </c>
      <c r="Z119" s="3"/>
      <c r="AA119" s="10" t="b">
        <v>0</v>
      </c>
      <c r="AB119" s="10" t="b">
        <v>0</v>
      </c>
      <c r="AC119" s="181">
        <v>657.0</v>
      </c>
      <c r="AD119" s="144" t="b">
        <v>0</v>
      </c>
      <c r="AE119" s="182">
        <v>197.46666666666664</v>
      </c>
      <c r="AF119" s="10" t="b">
        <v>0</v>
      </c>
      <c r="AG119" s="10" t="b">
        <v>0</v>
      </c>
      <c r="AH119" s="144"/>
      <c r="AI119" s="3"/>
      <c r="AJ119" s="10"/>
      <c r="AK119" s="3" t="s">
        <v>244</v>
      </c>
      <c r="AL119" s="5"/>
      <c r="AM119" s="5" t="s">
        <v>587</v>
      </c>
      <c r="AN119" s="5" t="s">
        <v>588</v>
      </c>
      <c r="AO119" s="5" t="s">
        <v>2185</v>
      </c>
      <c r="AP119" s="5" t="s">
        <v>2185</v>
      </c>
      <c r="AQ119" s="5" t="s">
        <v>2185</v>
      </c>
      <c r="AR119" s="5" t="s">
        <v>2185</v>
      </c>
      <c r="AS119" s="142"/>
      <c r="AT119" s="142" t="b">
        <v>0</v>
      </c>
      <c r="AU119" s="142"/>
      <c r="AV119" s="142"/>
      <c r="AW119" s="142"/>
      <c r="AX119" s="142"/>
      <c r="AY119" s="142"/>
      <c r="AZ119" s="174"/>
      <c r="BA119" s="142"/>
      <c r="BB119" s="142"/>
      <c r="BC119" s="142"/>
      <c r="BD119" s="142"/>
      <c r="BE119" s="142"/>
      <c r="BF119" s="142"/>
      <c r="BG119" s="142"/>
    </row>
    <row r="120">
      <c r="A120" s="5" t="s">
        <v>632</v>
      </c>
      <c r="B120" s="44">
        <v>44571.0</v>
      </c>
      <c r="C120" s="150">
        <v>0.3333101851851852</v>
      </c>
      <c r="D120" s="3"/>
      <c r="E120" s="3"/>
      <c r="F120" s="5"/>
      <c r="G120" s="5"/>
      <c r="H120" s="5"/>
      <c r="I120" s="3"/>
      <c r="J120" s="3"/>
      <c r="K120" s="3" t="s">
        <v>244</v>
      </c>
      <c r="L120" s="44">
        <v>44571.0</v>
      </c>
      <c r="M120" s="150">
        <v>0.46598379629629627</v>
      </c>
      <c r="N120" s="5"/>
      <c r="O120" s="5"/>
      <c r="P120" s="10" t="b">
        <v>0</v>
      </c>
      <c r="Q120" s="10" t="s">
        <v>2184</v>
      </c>
      <c r="R120" s="144" t="b">
        <v>1</v>
      </c>
      <c r="S120" s="144">
        <v>1.0</v>
      </c>
      <c r="T120" s="10"/>
      <c r="U120" s="5"/>
      <c r="V120" s="3"/>
      <c r="W120" s="5"/>
      <c r="X120" s="144" t="b">
        <v>0</v>
      </c>
      <c r="Y120" s="10" t="b">
        <v>0</v>
      </c>
      <c r="Z120" s="3"/>
      <c r="AA120" s="10" t="b">
        <v>0</v>
      </c>
      <c r="AB120" s="10" t="b">
        <v>0</v>
      </c>
      <c r="AC120" s="181">
        <v>656.0</v>
      </c>
      <c r="AD120" s="144" t="b">
        <v>0</v>
      </c>
      <c r="AE120" s="182">
        <v>191.04999999999995</v>
      </c>
      <c r="AF120" s="10" t="b">
        <v>0</v>
      </c>
      <c r="AG120" s="10" t="b">
        <v>0</v>
      </c>
      <c r="AH120" s="144"/>
      <c r="AI120" s="3"/>
      <c r="AJ120" s="10"/>
      <c r="AK120" s="3" t="s">
        <v>244</v>
      </c>
      <c r="AL120" s="5"/>
      <c r="AM120" s="5" t="s">
        <v>633</v>
      </c>
      <c r="AN120" s="5" t="s">
        <v>634</v>
      </c>
      <c r="AO120" s="5" t="s">
        <v>2185</v>
      </c>
      <c r="AP120" s="5" t="s">
        <v>2185</v>
      </c>
      <c r="AQ120" s="5" t="s">
        <v>2185</v>
      </c>
      <c r="AR120" s="5" t="s">
        <v>2185</v>
      </c>
      <c r="AS120" s="142"/>
      <c r="AT120" s="142" t="b">
        <v>0</v>
      </c>
      <c r="AU120" s="142"/>
      <c r="AV120" s="142"/>
      <c r="AW120" s="142"/>
      <c r="AX120" s="142"/>
      <c r="AY120" s="142"/>
      <c r="AZ120" s="174"/>
      <c r="BA120" s="142"/>
      <c r="BB120" s="142"/>
      <c r="BC120" s="142"/>
      <c r="BD120" s="142"/>
      <c r="BE120" s="142"/>
      <c r="BF120" s="142"/>
      <c r="BG120" s="142"/>
    </row>
    <row r="121">
      <c r="A121" s="5" t="s">
        <v>636</v>
      </c>
      <c r="B121" s="44">
        <v>44571.0</v>
      </c>
      <c r="C121" s="150">
        <v>0.33339120370370373</v>
      </c>
      <c r="D121" s="3"/>
      <c r="E121" s="3"/>
      <c r="F121" s="5"/>
      <c r="G121" s="5"/>
      <c r="H121" s="5"/>
      <c r="I121" s="3"/>
      <c r="J121" s="3"/>
      <c r="K121" s="3" t="s">
        <v>244</v>
      </c>
      <c r="L121" s="44">
        <v>44571.0</v>
      </c>
      <c r="M121" s="150">
        <v>0.46598379629629627</v>
      </c>
      <c r="N121" s="5"/>
      <c r="O121" s="5"/>
      <c r="P121" s="10" t="b">
        <v>0</v>
      </c>
      <c r="Q121" s="10" t="s">
        <v>2184</v>
      </c>
      <c r="R121" s="144" t="b">
        <v>1</v>
      </c>
      <c r="S121" s="144">
        <v>1.0</v>
      </c>
      <c r="T121" s="10"/>
      <c r="U121" s="5"/>
      <c r="V121" s="3"/>
      <c r="W121" s="5"/>
      <c r="X121" s="144" t="b">
        <v>0</v>
      </c>
      <c r="Y121" s="10" t="b">
        <v>0</v>
      </c>
      <c r="Z121" s="3"/>
      <c r="AA121" s="10" t="b">
        <v>0</v>
      </c>
      <c r="AB121" s="10" t="b">
        <v>0</v>
      </c>
      <c r="AC121" s="181">
        <v>655.0</v>
      </c>
      <c r="AD121" s="144" t="b">
        <v>0</v>
      </c>
      <c r="AE121" s="182">
        <v>190.93333333333325</v>
      </c>
      <c r="AF121" s="10" t="b">
        <v>0</v>
      </c>
      <c r="AG121" s="10" t="b">
        <v>0</v>
      </c>
      <c r="AH121" s="144"/>
      <c r="AI121" s="3"/>
      <c r="AJ121" s="10"/>
      <c r="AK121" s="3" t="s">
        <v>244</v>
      </c>
      <c r="AL121" s="5"/>
      <c r="AM121" s="5" t="s">
        <v>303</v>
      </c>
      <c r="AN121" s="5" t="s">
        <v>304</v>
      </c>
      <c r="AO121" s="5" t="s">
        <v>2185</v>
      </c>
      <c r="AP121" s="5" t="s">
        <v>2185</v>
      </c>
      <c r="AQ121" s="5" t="s">
        <v>2185</v>
      </c>
      <c r="AR121" s="5" t="s">
        <v>2185</v>
      </c>
      <c r="AS121" s="142"/>
      <c r="AT121" s="142" t="b">
        <v>0</v>
      </c>
      <c r="AU121" s="142"/>
      <c r="AV121" s="142"/>
      <c r="AW121" s="142"/>
      <c r="AX121" s="142"/>
      <c r="AY121" s="142"/>
      <c r="AZ121" s="174"/>
      <c r="BA121" s="142"/>
      <c r="BB121" s="142"/>
      <c r="BC121" s="142"/>
      <c r="BD121" s="142"/>
      <c r="BE121" s="142"/>
      <c r="BF121" s="142"/>
      <c r="BG121" s="142"/>
    </row>
    <row r="122">
      <c r="A122" s="5" t="s">
        <v>638</v>
      </c>
      <c r="B122" s="44">
        <v>44571.0</v>
      </c>
      <c r="C122" s="150">
        <v>0.3337731481481481</v>
      </c>
      <c r="D122" s="3"/>
      <c r="E122" s="3"/>
      <c r="F122" s="5"/>
      <c r="G122" s="5"/>
      <c r="H122" s="5"/>
      <c r="I122" s="3"/>
      <c r="J122" s="3"/>
      <c r="K122" s="3" t="s">
        <v>244</v>
      </c>
      <c r="L122" s="44">
        <v>44571.0</v>
      </c>
      <c r="M122" s="150">
        <v>0.46598379629629627</v>
      </c>
      <c r="N122" s="5"/>
      <c r="O122" s="5"/>
      <c r="P122" s="10" t="b">
        <v>0</v>
      </c>
      <c r="Q122" s="10" t="s">
        <v>2184</v>
      </c>
      <c r="R122" s="144" t="b">
        <v>1</v>
      </c>
      <c r="S122" s="144">
        <v>1.0</v>
      </c>
      <c r="T122" s="10"/>
      <c r="U122" s="5"/>
      <c r="V122" s="3"/>
      <c r="W122" s="5"/>
      <c r="X122" s="144" t="b">
        <v>0</v>
      </c>
      <c r="Y122" s="10" t="b">
        <v>0</v>
      </c>
      <c r="Z122" s="3"/>
      <c r="AA122" s="10" t="b">
        <v>0</v>
      </c>
      <c r="AB122" s="10" t="b">
        <v>0</v>
      </c>
      <c r="AC122" s="181">
        <v>654.0</v>
      </c>
      <c r="AD122" s="144" t="b">
        <v>0</v>
      </c>
      <c r="AE122" s="182">
        <v>190.38333333333333</v>
      </c>
      <c r="AF122" s="10" t="b">
        <v>0</v>
      </c>
      <c r="AG122" s="10" t="b">
        <v>0</v>
      </c>
      <c r="AH122" s="144"/>
      <c r="AI122" s="3"/>
      <c r="AJ122" s="10"/>
      <c r="AK122" s="3" t="s">
        <v>244</v>
      </c>
      <c r="AL122" s="5"/>
      <c r="AM122" s="5" t="s">
        <v>639</v>
      </c>
      <c r="AN122" s="5" t="s">
        <v>640</v>
      </c>
      <c r="AO122" s="5" t="s">
        <v>2185</v>
      </c>
      <c r="AP122" s="5" t="s">
        <v>2185</v>
      </c>
      <c r="AQ122" s="5" t="s">
        <v>2185</v>
      </c>
      <c r="AR122" s="5" t="s">
        <v>2185</v>
      </c>
      <c r="AS122" s="142"/>
      <c r="AT122" s="142" t="b">
        <v>0</v>
      </c>
      <c r="AU122" s="142"/>
      <c r="AV122" s="142"/>
      <c r="AW122" s="142"/>
      <c r="AX122" s="142"/>
      <c r="AY122" s="142"/>
      <c r="AZ122" s="174"/>
      <c r="BA122" s="142"/>
      <c r="BB122" s="142"/>
      <c r="BC122" s="142"/>
      <c r="BD122" s="142"/>
      <c r="BE122" s="142"/>
      <c r="BF122" s="142"/>
      <c r="BG122" s="142"/>
    </row>
    <row r="123">
      <c r="A123" s="5" t="s">
        <v>642</v>
      </c>
      <c r="B123" s="44">
        <v>44571.0</v>
      </c>
      <c r="C123" s="150">
        <v>0.3345138888888889</v>
      </c>
      <c r="D123" s="3"/>
      <c r="E123" s="3"/>
      <c r="F123" s="5"/>
      <c r="G123" s="5"/>
      <c r="H123" s="5"/>
      <c r="I123" s="3"/>
      <c r="J123" s="3"/>
      <c r="K123" s="3" t="s">
        <v>244</v>
      </c>
      <c r="L123" s="44">
        <v>44571.0</v>
      </c>
      <c r="M123" s="150">
        <v>0.46598379629629627</v>
      </c>
      <c r="N123" s="5"/>
      <c r="O123" s="5"/>
      <c r="P123" s="10" t="b">
        <v>0</v>
      </c>
      <c r="Q123" s="10" t="s">
        <v>2184</v>
      </c>
      <c r="R123" s="144" t="b">
        <v>1</v>
      </c>
      <c r="S123" s="144">
        <v>1.0</v>
      </c>
      <c r="T123" s="10"/>
      <c r="U123" s="5"/>
      <c r="V123" s="3"/>
      <c r="W123" s="5"/>
      <c r="X123" s="144" t="b">
        <v>0</v>
      </c>
      <c r="Y123" s="10" t="b">
        <v>0</v>
      </c>
      <c r="Z123" s="3"/>
      <c r="AA123" s="10" t="b">
        <v>0</v>
      </c>
      <c r="AB123" s="10" t="b">
        <v>0</v>
      </c>
      <c r="AC123" s="181">
        <v>653.0</v>
      </c>
      <c r="AD123" s="144" t="b">
        <v>0</v>
      </c>
      <c r="AE123" s="182">
        <v>189.31666666666663</v>
      </c>
      <c r="AF123" s="10" t="b">
        <v>0</v>
      </c>
      <c r="AG123" s="10" t="b">
        <v>0</v>
      </c>
      <c r="AH123" s="144"/>
      <c r="AI123" s="3"/>
      <c r="AJ123" s="10"/>
      <c r="AK123" s="3" t="s">
        <v>244</v>
      </c>
      <c r="AL123" s="5"/>
      <c r="AM123" s="5" t="s">
        <v>504</v>
      </c>
      <c r="AN123" s="5" t="s">
        <v>505</v>
      </c>
      <c r="AO123" s="5" t="s">
        <v>2185</v>
      </c>
      <c r="AP123" s="5" t="s">
        <v>2185</v>
      </c>
      <c r="AQ123" s="5" t="s">
        <v>2185</v>
      </c>
      <c r="AR123" s="5" t="s">
        <v>2185</v>
      </c>
      <c r="AS123" s="142"/>
      <c r="AT123" s="142" t="b">
        <v>0</v>
      </c>
      <c r="AU123" s="142"/>
      <c r="AV123" s="142"/>
      <c r="AW123" s="142"/>
      <c r="AX123" s="142"/>
      <c r="AY123" s="142"/>
      <c r="AZ123" s="174"/>
      <c r="BA123" s="142"/>
      <c r="BB123" s="142"/>
      <c r="BC123" s="142"/>
      <c r="BD123" s="142"/>
      <c r="BE123" s="142"/>
      <c r="BF123" s="142"/>
      <c r="BG123" s="142"/>
    </row>
    <row r="124">
      <c r="A124" s="5" t="s">
        <v>644</v>
      </c>
      <c r="B124" s="44">
        <v>44571.0</v>
      </c>
      <c r="C124" s="150">
        <v>0.3371412037037037</v>
      </c>
      <c r="D124" s="3"/>
      <c r="E124" s="3"/>
      <c r="F124" s="5"/>
      <c r="G124" s="5"/>
      <c r="H124" s="5"/>
      <c r="I124" s="3"/>
      <c r="J124" s="3"/>
      <c r="K124" s="3" t="s">
        <v>244</v>
      </c>
      <c r="L124" s="44">
        <v>44571.0</v>
      </c>
      <c r="M124" s="150">
        <v>0.46598379629629627</v>
      </c>
      <c r="N124" s="5"/>
      <c r="O124" s="5"/>
      <c r="P124" s="10" t="b">
        <v>0</v>
      </c>
      <c r="Q124" s="10" t="s">
        <v>2184</v>
      </c>
      <c r="R124" s="144" t="b">
        <v>1</v>
      </c>
      <c r="S124" s="144">
        <v>1.0</v>
      </c>
      <c r="T124" s="10"/>
      <c r="U124" s="5"/>
      <c r="V124" s="3"/>
      <c r="W124" s="5"/>
      <c r="X124" s="144" t="b">
        <v>0</v>
      </c>
      <c r="Y124" s="10" t="b">
        <v>0</v>
      </c>
      <c r="Z124" s="3"/>
      <c r="AA124" s="10" t="b">
        <v>0</v>
      </c>
      <c r="AB124" s="10" t="b">
        <v>0</v>
      </c>
      <c r="AC124" s="181">
        <v>652.0</v>
      </c>
      <c r="AD124" s="144" t="b">
        <v>0</v>
      </c>
      <c r="AE124" s="182">
        <v>185.5333333333333</v>
      </c>
      <c r="AF124" s="10" t="b">
        <v>0</v>
      </c>
      <c r="AG124" s="10" t="b">
        <v>0</v>
      </c>
      <c r="AH124" s="144"/>
      <c r="AI124" s="3"/>
      <c r="AJ124" s="10"/>
      <c r="AK124" s="3" t="s">
        <v>244</v>
      </c>
      <c r="AL124" s="5"/>
      <c r="AM124" s="5" t="s">
        <v>491</v>
      </c>
      <c r="AN124" s="5" t="s">
        <v>495</v>
      </c>
      <c r="AO124" s="5" t="s">
        <v>2185</v>
      </c>
      <c r="AP124" s="5" t="s">
        <v>2185</v>
      </c>
      <c r="AQ124" s="5" t="s">
        <v>2185</v>
      </c>
      <c r="AR124" s="5" t="s">
        <v>2185</v>
      </c>
      <c r="AS124" s="142"/>
      <c r="AT124" s="142" t="b">
        <v>0</v>
      </c>
      <c r="AU124" s="142"/>
      <c r="AV124" s="142"/>
      <c r="AW124" s="142"/>
      <c r="AX124" s="142"/>
      <c r="AY124" s="142"/>
      <c r="AZ124" s="174"/>
      <c r="BA124" s="142"/>
      <c r="BB124" s="142"/>
      <c r="BC124" s="142"/>
      <c r="BD124" s="142"/>
      <c r="BE124" s="142"/>
      <c r="BF124" s="142"/>
      <c r="BG124" s="142"/>
    </row>
    <row r="125">
      <c r="A125" s="5" t="s">
        <v>646</v>
      </c>
      <c r="B125" s="44">
        <v>44571.0</v>
      </c>
      <c r="C125" s="150">
        <v>0.3444212962962963</v>
      </c>
      <c r="D125" s="3"/>
      <c r="E125" s="3"/>
      <c r="F125" s="5"/>
      <c r="G125" s="5"/>
      <c r="H125" s="5"/>
      <c r="I125" s="183"/>
      <c r="J125" s="3"/>
      <c r="K125" s="3" t="s">
        <v>244</v>
      </c>
      <c r="L125" s="44">
        <v>44571.0</v>
      </c>
      <c r="M125" s="150">
        <v>0.46598379629629627</v>
      </c>
      <c r="N125" s="5" t="s">
        <v>247</v>
      </c>
      <c r="O125" s="5"/>
      <c r="P125" s="10" t="b">
        <v>0</v>
      </c>
      <c r="Q125" s="10" t="s">
        <v>2184</v>
      </c>
      <c r="R125" s="144" t="b">
        <v>1</v>
      </c>
      <c r="S125" s="144">
        <v>1.0</v>
      </c>
      <c r="T125" s="10">
        <v>0.0</v>
      </c>
      <c r="U125" s="5"/>
      <c r="V125" s="3"/>
      <c r="W125" s="5"/>
      <c r="X125" s="144" t="b">
        <v>0</v>
      </c>
      <c r="Y125" s="10" t="b">
        <v>0</v>
      </c>
      <c r="Z125" s="3"/>
      <c r="AA125" s="10" t="b">
        <v>0</v>
      </c>
      <c r="AB125" s="10" t="b">
        <v>0</v>
      </c>
      <c r="AC125" s="181">
        <v>820.0</v>
      </c>
      <c r="AD125" s="144" t="b">
        <v>1</v>
      </c>
      <c r="AE125" s="182">
        <v>175.04999999999995</v>
      </c>
      <c r="AF125" s="10" t="b">
        <v>0</v>
      </c>
      <c r="AG125" s="10" t="b">
        <v>0</v>
      </c>
      <c r="AH125" s="144"/>
      <c r="AI125" s="3"/>
      <c r="AJ125" s="10"/>
      <c r="AK125" s="3" t="s">
        <v>244</v>
      </c>
      <c r="AL125" s="5"/>
      <c r="AM125" s="5" t="s">
        <v>500</v>
      </c>
      <c r="AN125" s="5" t="s">
        <v>377</v>
      </c>
      <c r="AO125" s="5" t="s">
        <v>2185</v>
      </c>
      <c r="AP125" s="5" t="s">
        <v>2185</v>
      </c>
      <c r="AQ125" s="5" t="s">
        <v>2185</v>
      </c>
      <c r="AR125" s="5" t="s">
        <v>2185</v>
      </c>
      <c r="AS125" s="142"/>
      <c r="AT125" s="142" t="b">
        <v>0</v>
      </c>
      <c r="AU125" s="142"/>
      <c r="AV125" s="142"/>
      <c r="AW125" s="142"/>
      <c r="AX125" s="142"/>
      <c r="AY125" s="142"/>
      <c r="AZ125" s="174"/>
      <c r="BA125" s="142"/>
      <c r="BB125" s="142"/>
      <c r="BC125" s="142"/>
      <c r="BD125" s="142"/>
      <c r="BE125" s="142"/>
      <c r="BF125" s="142"/>
      <c r="BG125" s="142"/>
    </row>
    <row r="126">
      <c r="A126" s="5" t="s">
        <v>648</v>
      </c>
      <c r="B126" s="44">
        <v>44571.0</v>
      </c>
      <c r="C126" s="150">
        <v>0.3492013888888889</v>
      </c>
      <c r="D126" s="3"/>
      <c r="E126" s="3"/>
      <c r="F126" s="5"/>
      <c r="G126" s="5"/>
      <c r="H126" s="5"/>
      <c r="I126" s="3"/>
      <c r="J126" s="3"/>
      <c r="K126" s="3" t="s">
        <v>244</v>
      </c>
      <c r="L126" s="44">
        <v>44571.0</v>
      </c>
      <c r="M126" s="150">
        <v>0.46598379629629627</v>
      </c>
      <c r="N126" s="5"/>
      <c r="O126" s="5"/>
      <c r="P126" s="10" t="b">
        <v>0</v>
      </c>
      <c r="Q126" s="10" t="s">
        <v>2184</v>
      </c>
      <c r="R126" s="144" t="b">
        <v>1</v>
      </c>
      <c r="S126" s="144">
        <v>1.0</v>
      </c>
      <c r="T126" s="10"/>
      <c r="U126" s="5"/>
      <c r="V126" s="3"/>
      <c r="W126" s="5"/>
      <c r="X126" s="144" t="b">
        <v>0</v>
      </c>
      <c r="Y126" s="10" t="b">
        <v>0</v>
      </c>
      <c r="Z126" s="3"/>
      <c r="AA126" s="10" t="b">
        <v>0</v>
      </c>
      <c r="AB126" s="10" t="b">
        <v>0</v>
      </c>
      <c r="AC126" s="181">
        <v>651.0</v>
      </c>
      <c r="AD126" s="144" t="b">
        <v>0</v>
      </c>
      <c r="AE126" s="182">
        <v>168.1666666666666</v>
      </c>
      <c r="AF126" s="10" t="b">
        <v>0</v>
      </c>
      <c r="AG126" s="10" t="b">
        <v>0</v>
      </c>
      <c r="AH126" s="144"/>
      <c r="AI126" s="3"/>
      <c r="AJ126" s="10"/>
      <c r="AK126" s="3" t="s">
        <v>244</v>
      </c>
      <c r="AL126" s="5"/>
      <c r="AM126" s="5" t="s">
        <v>649</v>
      </c>
      <c r="AN126" s="5" t="s">
        <v>336</v>
      </c>
      <c r="AO126" s="5" t="s">
        <v>2185</v>
      </c>
      <c r="AP126" s="5" t="s">
        <v>2185</v>
      </c>
      <c r="AQ126" s="5" t="s">
        <v>2185</v>
      </c>
      <c r="AR126" s="5" t="s">
        <v>2185</v>
      </c>
      <c r="AS126" s="142"/>
      <c r="AT126" s="142" t="b">
        <v>0</v>
      </c>
      <c r="AU126" s="142"/>
      <c r="AV126" s="142"/>
      <c r="AW126" s="142"/>
      <c r="AX126" s="142"/>
      <c r="AY126" s="142"/>
      <c r="AZ126" s="174"/>
      <c r="BA126" s="142"/>
      <c r="BB126" s="142"/>
      <c r="BC126" s="142"/>
      <c r="BD126" s="142"/>
      <c r="BE126" s="142"/>
      <c r="BF126" s="142"/>
      <c r="BG126" s="142"/>
    </row>
    <row r="127">
      <c r="A127" s="5" t="s">
        <v>651</v>
      </c>
      <c r="B127" s="44">
        <v>44571.0</v>
      </c>
      <c r="C127" s="150">
        <v>0.35119212962962965</v>
      </c>
      <c r="D127" s="3"/>
      <c r="E127" s="3"/>
      <c r="F127" s="5"/>
      <c r="G127" s="5"/>
      <c r="H127" s="5"/>
      <c r="I127" s="3"/>
      <c r="J127" s="3"/>
      <c r="K127" s="3" t="s">
        <v>52</v>
      </c>
      <c r="L127" s="44">
        <v>44579.0</v>
      </c>
      <c r="M127" s="150">
        <v>0.5015740740740741</v>
      </c>
      <c r="N127" s="5"/>
      <c r="O127" s="5"/>
      <c r="P127" s="10" t="b">
        <v>0</v>
      </c>
      <c r="Q127" s="10" t="s">
        <v>2184</v>
      </c>
      <c r="R127" s="144" t="b">
        <v>1</v>
      </c>
      <c r="S127" s="144">
        <v>1.0</v>
      </c>
      <c r="T127" s="10">
        <v>0.0</v>
      </c>
      <c r="U127" s="5"/>
      <c r="V127" s="3"/>
      <c r="W127" s="5"/>
      <c r="X127" s="144" t="b">
        <v>0</v>
      </c>
      <c r="Y127" s="10" t="b">
        <v>0</v>
      </c>
      <c r="Z127" s="3"/>
      <c r="AA127" s="10" t="b">
        <v>0</v>
      </c>
      <c r="AB127" s="10" t="b">
        <v>0</v>
      </c>
      <c r="AC127" s="181">
        <v>650.0</v>
      </c>
      <c r="AD127" s="144" t="b">
        <v>0</v>
      </c>
      <c r="AE127" s="182"/>
      <c r="AF127" s="10" t="b">
        <v>0</v>
      </c>
      <c r="AG127" s="10" t="b">
        <v>0</v>
      </c>
      <c r="AH127" s="144"/>
      <c r="AI127" s="3"/>
      <c r="AJ127" s="10"/>
      <c r="AK127" s="3" t="s">
        <v>52</v>
      </c>
      <c r="AL127" s="5"/>
      <c r="AM127" s="5" t="s">
        <v>593</v>
      </c>
      <c r="AN127" s="5" t="s">
        <v>652</v>
      </c>
      <c r="AO127" s="5" t="s">
        <v>2185</v>
      </c>
      <c r="AP127" s="5" t="s">
        <v>2185</v>
      </c>
      <c r="AQ127" s="5" t="s">
        <v>2185</v>
      </c>
      <c r="AR127" s="5" t="s">
        <v>2185</v>
      </c>
      <c r="AS127" s="142"/>
      <c r="AT127" s="142" t="b">
        <v>0</v>
      </c>
      <c r="AU127" s="142"/>
      <c r="AV127" s="142"/>
      <c r="AW127" s="142"/>
      <c r="AX127" s="142"/>
      <c r="AY127" s="142"/>
      <c r="AZ127" s="174"/>
      <c r="BA127" s="142"/>
      <c r="BB127" s="142"/>
      <c r="BC127" s="142"/>
      <c r="BD127" s="142"/>
      <c r="BE127" s="142"/>
      <c r="BF127" s="142"/>
      <c r="BG127" s="142"/>
    </row>
    <row r="128">
      <c r="A128" s="5" t="s">
        <v>654</v>
      </c>
      <c r="B128" s="44">
        <v>44571.0</v>
      </c>
      <c r="C128" s="150">
        <v>0.35587962962962966</v>
      </c>
      <c r="D128" s="3"/>
      <c r="E128" s="3"/>
      <c r="F128" s="5"/>
      <c r="G128" s="5"/>
      <c r="H128" s="5"/>
      <c r="I128" s="3"/>
      <c r="J128" s="3"/>
      <c r="K128" s="3" t="s">
        <v>244</v>
      </c>
      <c r="L128" s="44">
        <v>44571.0</v>
      </c>
      <c r="M128" s="150">
        <v>0.46598379629629627</v>
      </c>
      <c r="N128" s="5"/>
      <c r="O128" s="5"/>
      <c r="P128" s="10" t="b">
        <v>0</v>
      </c>
      <c r="Q128" s="10" t="s">
        <v>2184</v>
      </c>
      <c r="R128" s="144" t="b">
        <v>1</v>
      </c>
      <c r="S128" s="144">
        <v>1.0</v>
      </c>
      <c r="T128" s="10"/>
      <c r="U128" s="5"/>
      <c r="V128" s="3"/>
      <c r="W128" s="5"/>
      <c r="X128" s="144" t="b">
        <v>0</v>
      </c>
      <c r="Y128" s="10" t="b">
        <v>0</v>
      </c>
      <c r="Z128" s="3"/>
      <c r="AA128" s="10" t="b">
        <v>0</v>
      </c>
      <c r="AB128" s="10" t="b">
        <v>0</v>
      </c>
      <c r="AC128" s="181">
        <v>649.0</v>
      </c>
      <c r="AD128" s="144" t="b">
        <v>0</v>
      </c>
      <c r="AE128" s="182">
        <v>158.54999999999993</v>
      </c>
      <c r="AF128" s="10" t="b">
        <v>0</v>
      </c>
      <c r="AG128" s="10" t="b">
        <v>0</v>
      </c>
      <c r="AH128" s="144"/>
      <c r="AI128" s="3"/>
      <c r="AJ128" s="10"/>
      <c r="AK128" s="3" t="s">
        <v>244</v>
      </c>
      <c r="AL128" s="5"/>
      <c r="AM128" s="5" t="s">
        <v>273</v>
      </c>
      <c r="AN128" s="5" t="s">
        <v>655</v>
      </c>
      <c r="AO128" s="5" t="s">
        <v>2185</v>
      </c>
      <c r="AP128" s="5" t="s">
        <v>2185</v>
      </c>
      <c r="AQ128" s="5" t="s">
        <v>2185</v>
      </c>
      <c r="AR128" s="5" t="s">
        <v>2185</v>
      </c>
      <c r="AS128" s="142"/>
      <c r="AT128" s="142" t="b">
        <v>0</v>
      </c>
      <c r="AU128" s="142"/>
      <c r="AV128" s="142"/>
      <c r="AW128" s="142"/>
      <c r="AX128" s="142"/>
      <c r="AY128" s="142"/>
      <c r="AZ128" s="174"/>
      <c r="BA128" s="142"/>
      <c r="BB128" s="142"/>
      <c r="BC128" s="142"/>
      <c r="BD128" s="142"/>
      <c r="BE128" s="142"/>
      <c r="BF128" s="142"/>
      <c r="BG128" s="142"/>
    </row>
    <row r="129">
      <c r="A129" s="5" t="s">
        <v>657</v>
      </c>
      <c r="B129" s="44">
        <v>44571.0</v>
      </c>
      <c r="C129" s="150">
        <v>0.3882638888888889</v>
      </c>
      <c r="D129" s="3"/>
      <c r="E129" s="3"/>
      <c r="F129" s="5"/>
      <c r="G129" s="5"/>
      <c r="H129" s="5"/>
      <c r="I129" s="3"/>
      <c r="J129" s="3"/>
      <c r="K129" s="3" t="s">
        <v>52</v>
      </c>
      <c r="L129" s="44">
        <v>44579.0</v>
      </c>
      <c r="M129" s="150">
        <v>0.5015740740740741</v>
      </c>
      <c r="N129" s="5"/>
      <c r="O129" s="5"/>
      <c r="P129" s="10" t="b">
        <v>0</v>
      </c>
      <c r="Q129" s="10" t="s">
        <v>2184</v>
      </c>
      <c r="R129" s="144" t="b">
        <v>1</v>
      </c>
      <c r="S129" s="144">
        <v>1.0</v>
      </c>
      <c r="T129" s="10">
        <v>1.0</v>
      </c>
      <c r="U129" s="5"/>
      <c r="V129" s="3"/>
      <c r="W129" s="5"/>
      <c r="X129" s="144" t="b">
        <v>0</v>
      </c>
      <c r="Y129" s="10" t="b">
        <v>0</v>
      </c>
      <c r="Z129" s="3"/>
      <c r="AA129" s="10" t="b">
        <v>0</v>
      </c>
      <c r="AB129" s="10" t="b">
        <v>0</v>
      </c>
      <c r="AC129" s="181">
        <v>648.0</v>
      </c>
      <c r="AD129" s="144" t="b">
        <v>0</v>
      </c>
      <c r="AE129" s="182"/>
      <c r="AF129" s="10" t="b">
        <v>0</v>
      </c>
      <c r="AG129" s="10" t="b">
        <v>0</v>
      </c>
      <c r="AH129" s="144"/>
      <c r="AI129" s="3"/>
      <c r="AJ129" s="10"/>
      <c r="AK129" s="3" t="s">
        <v>52</v>
      </c>
      <c r="AL129" s="5"/>
      <c r="AM129" s="5" t="s">
        <v>261</v>
      </c>
      <c r="AN129" s="5" t="s">
        <v>658</v>
      </c>
      <c r="AO129" s="5" t="s">
        <v>2185</v>
      </c>
      <c r="AP129" s="5" t="s">
        <v>2185</v>
      </c>
      <c r="AQ129" s="5" t="s">
        <v>2185</v>
      </c>
      <c r="AR129" s="5" t="s">
        <v>2185</v>
      </c>
      <c r="AS129" s="142"/>
      <c r="AT129" s="142" t="b">
        <v>0</v>
      </c>
      <c r="AU129" s="142"/>
      <c r="AV129" s="142"/>
      <c r="AW129" s="142"/>
      <c r="AX129" s="142"/>
      <c r="AY129" s="142"/>
      <c r="AZ129" s="174"/>
      <c r="BA129" s="142"/>
      <c r="BB129" s="142"/>
      <c r="BC129" s="142"/>
      <c r="BD129" s="142"/>
      <c r="BE129" s="142"/>
      <c r="BF129" s="142"/>
      <c r="BG129" s="142"/>
    </row>
    <row r="130">
      <c r="A130" s="5" t="s">
        <v>663</v>
      </c>
      <c r="B130" s="44">
        <v>44571.0</v>
      </c>
      <c r="C130" s="150">
        <v>0.38880787037037035</v>
      </c>
      <c r="D130" s="3"/>
      <c r="E130" s="3"/>
      <c r="F130" s="5"/>
      <c r="G130" s="5"/>
      <c r="H130" s="5"/>
      <c r="I130" s="3"/>
      <c r="J130" s="3"/>
      <c r="K130" s="3" t="s">
        <v>52</v>
      </c>
      <c r="L130" s="44">
        <v>44579.0</v>
      </c>
      <c r="M130" s="150">
        <v>0.5015740740740741</v>
      </c>
      <c r="N130" s="5"/>
      <c r="O130" s="5"/>
      <c r="P130" s="10" t="b">
        <v>0</v>
      </c>
      <c r="Q130" s="10" t="s">
        <v>2184</v>
      </c>
      <c r="R130" s="144" t="b">
        <v>1</v>
      </c>
      <c r="S130" s="144">
        <v>1.0</v>
      </c>
      <c r="T130" s="10"/>
      <c r="U130" s="5"/>
      <c r="V130" s="3"/>
      <c r="W130" s="5"/>
      <c r="X130" s="144" t="b">
        <v>0</v>
      </c>
      <c r="Y130" s="10" t="b">
        <v>0</v>
      </c>
      <c r="Z130" s="3"/>
      <c r="AA130" s="10" t="b">
        <v>0</v>
      </c>
      <c r="AB130" s="10" t="b">
        <v>0</v>
      </c>
      <c r="AC130" s="181">
        <v>647.0</v>
      </c>
      <c r="AD130" s="144" t="b">
        <v>0</v>
      </c>
      <c r="AE130" s="182"/>
      <c r="AF130" s="10" t="b">
        <v>0</v>
      </c>
      <c r="AG130" s="10" t="b">
        <v>0</v>
      </c>
      <c r="AH130" s="144"/>
      <c r="AI130" s="3"/>
      <c r="AJ130" s="10"/>
      <c r="AK130" s="3" t="s">
        <v>52</v>
      </c>
      <c r="AL130" s="5"/>
      <c r="AM130" s="5" t="s">
        <v>261</v>
      </c>
      <c r="AN130" s="5" t="s">
        <v>597</v>
      </c>
      <c r="AO130" s="5" t="s">
        <v>2185</v>
      </c>
      <c r="AP130" s="5" t="s">
        <v>2185</v>
      </c>
      <c r="AQ130" s="5" t="s">
        <v>2185</v>
      </c>
      <c r="AR130" s="5" t="s">
        <v>2185</v>
      </c>
      <c r="AS130" s="142"/>
      <c r="AT130" s="142" t="b">
        <v>0</v>
      </c>
      <c r="AU130" s="142"/>
      <c r="AV130" s="142"/>
      <c r="AW130" s="142"/>
      <c r="AX130" s="142"/>
      <c r="AY130" s="142"/>
      <c r="AZ130" s="174"/>
      <c r="BA130" s="142"/>
      <c r="BB130" s="142"/>
      <c r="BC130" s="142"/>
      <c r="BD130" s="142"/>
      <c r="BE130" s="142"/>
      <c r="BF130" s="142"/>
      <c r="BG130" s="142"/>
    </row>
    <row r="131">
      <c r="A131" s="5" t="s">
        <v>665</v>
      </c>
      <c r="B131" s="44">
        <v>44571.0</v>
      </c>
      <c r="C131" s="150">
        <v>0.38936342592592593</v>
      </c>
      <c r="D131" s="3"/>
      <c r="E131" s="3"/>
      <c r="F131" s="5"/>
      <c r="G131" s="5"/>
      <c r="H131" s="5"/>
      <c r="I131" s="3"/>
      <c r="J131" s="3"/>
      <c r="K131" s="3" t="s">
        <v>52</v>
      </c>
      <c r="L131" s="44">
        <v>44579.0</v>
      </c>
      <c r="M131" s="150">
        <v>0.5015740740740741</v>
      </c>
      <c r="N131" s="5"/>
      <c r="O131" s="5"/>
      <c r="P131" s="10" t="b">
        <v>0</v>
      </c>
      <c r="Q131" s="10" t="s">
        <v>2184</v>
      </c>
      <c r="R131" s="144" t="b">
        <v>1</v>
      </c>
      <c r="S131" s="144">
        <v>1.0</v>
      </c>
      <c r="T131" s="10">
        <v>0.0</v>
      </c>
      <c r="U131" s="5"/>
      <c r="V131" s="3"/>
      <c r="W131" s="5"/>
      <c r="X131" s="144" t="b">
        <v>0</v>
      </c>
      <c r="Y131" s="10" t="b">
        <v>0</v>
      </c>
      <c r="Z131" s="3"/>
      <c r="AA131" s="10" t="b">
        <v>0</v>
      </c>
      <c r="AB131" s="10" t="b">
        <v>0</v>
      </c>
      <c r="AC131" s="181">
        <v>646.0</v>
      </c>
      <c r="AD131" s="144" t="b">
        <v>0</v>
      </c>
      <c r="AE131" s="182"/>
      <c r="AF131" s="10" t="b">
        <v>0</v>
      </c>
      <c r="AG131" s="10" t="b">
        <v>0</v>
      </c>
      <c r="AH131" s="144"/>
      <c r="AI131" s="3"/>
      <c r="AJ131" s="10"/>
      <c r="AK131" s="3" t="s">
        <v>52</v>
      </c>
      <c r="AL131" s="5"/>
      <c r="AM131" s="5" t="s">
        <v>261</v>
      </c>
      <c r="AN131" s="5" t="s">
        <v>666</v>
      </c>
      <c r="AO131" s="5" t="s">
        <v>2185</v>
      </c>
      <c r="AP131" s="5" t="s">
        <v>2185</v>
      </c>
      <c r="AQ131" s="5" t="s">
        <v>2185</v>
      </c>
      <c r="AR131" s="5" t="s">
        <v>2185</v>
      </c>
      <c r="AS131" s="142"/>
      <c r="AT131" s="142" t="b">
        <v>0</v>
      </c>
      <c r="AU131" s="142"/>
      <c r="AV131" s="142"/>
      <c r="AW131" s="142"/>
      <c r="AX131" s="142"/>
      <c r="AY131" s="142"/>
      <c r="AZ131" s="174"/>
      <c r="BA131" s="142"/>
      <c r="BB131" s="142"/>
      <c r="BC131" s="142"/>
      <c r="BD131" s="142"/>
      <c r="BE131" s="142"/>
      <c r="BF131" s="142"/>
      <c r="BG131" s="142"/>
    </row>
    <row r="132">
      <c r="A132" s="5" t="s">
        <v>668</v>
      </c>
      <c r="B132" s="44">
        <v>44571.0</v>
      </c>
      <c r="C132" s="150">
        <v>0.3899768518518518</v>
      </c>
      <c r="D132" s="3"/>
      <c r="E132" s="3"/>
      <c r="F132" s="5"/>
      <c r="G132" s="5"/>
      <c r="H132" s="5"/>
      <c r="I132" s="3"/>
      <c r="J132" s="3"/>
      <c r="K132" s="3" t="s">
        <v>52</v>
      </c>
      <c r="L132" s="44">
        <v>44579.0</v>
      </c>
      <c r="M132" s="150">
        <v>0.5015740740740741</v>
      </c>
      <c r="N132" s="5"/>
      <c r="O132" s="5"/>
      <c r="P132" s="10" t="b">
        <v>0</v>
      </c>
      <c r="Q132" s="10" t="s">
        <v>2184</v>
      </c>
      <c r="R132" s="144" t="b">
        <v>1</v>
      </c>
      <c r="S132" s="144">
        <v>1.0</v>
      </c>
      <c r="T132" s="10">
        <v>0.0</v>
      </c>
      <c r="U132" s="5"/>
      <c r="V132" s="3"/>
      <c r="W132" s="5"/>
      <c r="X132" s="144" t="b">
        <v>0</v>
      </c>
      <c r="Y132" s="10" t="b">
        <v>0</v>
      </c>
      <c r="Z132" s="3"/>
      <c r="AA132" s="10" t="b">
        <v>0</v>
      </c>
      <c r="AB132" s="10" t="b">
        <v>0</v>
      </c>
      <c r="AC132" s="181">
        <v>645.0</v>
      </c>
      <c r="AD132" s="144" t="b">
        <v>0</v>
      </c>
      <c r="AE132" s="182"/>
      <c r="AF132" s="10" t="b">
        <v>0</v>
      </c>
      <c r="AG132" s="10" t="b">
        <v>0</v>
      </c>
      <c r="AH132" s="144"/>
      <c r="AI132" s="3"/>
      <c r="AJ132" s="10"/>
      <c r="AK132" s="3" t="s">
        <v>52</v>
      </c>
      <c r="AL132" s="5"/>
      <c r="AM132" s="5" t="s">
        <v>261</v>
      </c>
      <c r="AN132" s="5" t="s">
        <v>669</v>
      </c>
      <c r="AO132" s="5" t="s">
        <v>2185</v>
      </c>
      <c r="AP132" s="5" t="s">
        <v>2185</v>
      </c>
      <c r="AQ132" s="5" t="s">
        <v>2185</v>
      </c>
      <c r="AR132" s="5" t="s">
        <v>2185</v>
      </c>
      <c r="AS132" s="142"/>
      <c r="AT132" s="142" t="b">
        <v>0</v>
      </c>
      <c r="AU132" s="142"/>
      <c r="AV132" s="142"/>
      <c r="AW132" s="142"/>
      <c r="AX132" s="142"/>
      <c r="AY132" s="142"/>
      <c r="AZ132" s="174"/>
      <c r="BA132" s="142"/>
      <c r="BB132" s="142"/>
      <c r="BC132" s="142"/>
      <c r="BD132" s="142"/>
      <c r="BE132" s="142"/>
      <c r="BF132" s="142"/>
      <c r="BG132" s="142"/>
    </row>
    <row r="133">
      <c r="A133" s="5" t="s">
        <v>671</v>
      </c>
      <c r="B133" s="44">
        <v>44571.0</v>
      </c>
      <c r="C133" s="150">
        <v>0.3904398148148148</v>
      </c>
      <c r="D133" s="3"/>
      <c r="E133" s="3"/>
      <c r="F133" s="5"/>
      <c r="G133" s="5"/>
      <c r="H133" s="5"/>
      <c r="I133" s="3"/>
      <c r="J133" s="3"/>
      <c r="K133" s="3" t="s">
        <v>244</v>
      </c>
      <c r="L133" s="44">
        <v>44571.0</v>
      </c>
      <c r="M133" s="150">
        <v>0.46598379629629627</v>
      </c>
      <c r="N133" s="5"/>
      <c r="O133" s="5"/>
      <c r="P133" s="10" t="b">
        <v>0</v>
      </c>
      <c r="Q133" s="10" t="s">
        <v>2184</v>
      </c>
      <c r="R133" s="144" t="b">
        <v>1</v>
      </c>
      <c r="S133" s="144">
        <v>1.0</v>
      </c>
      <c r="T133" s="10">
        <v>0.0</v>
      </c>
      <c r="U133" s="5"/>
      <c r="V133" s="3"/>
      <c r="W133" s="5"/>
      <c r="X133" s="144" t="b">
        <v>0</v>
      </c>
      <c r="Y133" s="10" t="b">
        <v>0</v>
      </c>
      <c r="Z133" s="3"/>
      <c r="AA133" s="10" t="b">
        <v>0</v>
      </c>
      <c r="AB133" s="10" t="b">
        <v>0</v>
      </c>
      <c r="AC133" s="181">
        <v>644.0</v>
      </c>
      <c r="AD133" s="144" t="b">
        <v>0</v>
      </c>
      <c r="AE133" s="182">
        <v>108.78333333333329</v>
      </c>
      <c r="AF133" s="10" t="b">
        <v>0</v>
      </c>
      <c r="AG133" s="10" t="b">
        <v>0</v>
      </c>
      <c r="AH133" s="144"/>
      <c r="AI133" s="3"/>
      <c r="AJ133" s="10"/>
      <c r="AK133" s="3" t="s">
        <v>244</v>
      </c>
      <c r="AL133" s="5"/>
      <c r="AM133" s="5" t="s">
        <v>261</v>
      </c>
      <c r="AN133" s="5" t="s">
        <v>672</v>
      </c>
      <c r="AO133" s="5" t="s">
        <v>2185</v>
      </c>
      <c r="AP133" s="5" t="s">
        <v>2185</v>
      </c>
      <c r="AQ133" s="5" t="s">
        <v>2185</v>
      </c>
      <c r="AR133" s="5" t="s">
        <v>2185</v>
      </c>
      <c r="AS133" s="142"/>
      <c r="AT133" s="142" t="b">
        <v>0</v>
      </c>
      <c r="AU133" s="142"/>
      <c r="AV133" s="142"/>
      <c r="AW133" s="142"/>
      <c r="AX133" s="142"/>
      <c r="AY133" s="142"/>
      <c r="AZ133" s="174"/>
      <c r="BA133" s="142"/>
      <c r="BB133" s="142"/>
      <c r="BC133" s="142"/>
      <c r="BD133" s="142"/>
      <c r="BE133" s="142"/>
      <c r="BF133" s="142"/>
      <c r="BG133" s="142"/>
    </row>
    <row r="134">
      <c r="A134" s="5" t="s">
        <v>674</v>
      </c>
      <c r="B134" s="44">
        <v>44571.0</v>
      </c>
      <c r="C134" s="150">
        <v>0.39141203703703703</v>
      </c>
      <c r="D134" s="3"/>
      <c r="E134" s="3"/>
      <c r="F134" s="5"/>
      <c r="G134" s="5"/>
      <c r="H134" s="5"/>
      <c r="I134" s="3"/>
      <c r="J134" s="3"/>
      <c r="K134" s="3" t="s">
        <v>244</v>
      </c>
      <c r="L134" s="44">
        <v>44571.0</v>
      </c>
      <c r="M134" s="150">
        <v>0.46598379629629627</v>
      </c>
      <c r="N134" s="5"/>
      <c r="O134" s="5"/>
      <c r="P134" s="10" t="b">
        <v>0</v>
      </c>
      <c r="Q134" s="10" t="s">
        <v>2184</v>
      </c>
      <c r="R134" s="144" t="b">
        <v>1</v>
      </c>
      <c r="S134" s="144">
        <v>1.0</v>
      </c>
      <c r="T134" s="10"/>
      <c r="U134" s="5"/>
      <c r="V134" s="3"/>
      <c r="W134" s="5"/>
      <c r="X134" s="144" t="b">
        <v>0</v>
      </c>
      <c r="Y134" s="10" t="b">
        <v>0</v>
      </c>
      <c r="Z134" s="3"/>
      <c r="AA134" s="10" t="b">
        <v>0</v>
      </c>
      <c r="AB134" s="10" t="b">
        <v>0</v>
      </c>
      <c r="AC134" s="181">
        <v>643.0</v>
      </c>
      <c r="AD134" s="144" t="b">
        <v>0</v>
      </c>
      <c r="AE134" s="182">
        <v>107.38333333333331</v>
      </c>
      <c r="AF134" s="10" t="b">
        <v>0</v>
      </c>
      <c r="AG134" s="10" t="b">
        <v>0</v>
      </c>
      <c r="AH134" s="144"/>
      <c r="AI134" s="3"/>
      <c r="AJ134" s="10"/>
      <c r="AK134" s="3" t="s">
        <v>244</v>
      </c>
      <c r="AL134" s="5"/>
      <c r="AM134" s="5" t="s">
        <v>261</v>
      </c>
      <c r="AN134" s="5" t="s">
        <v>675</v>
      </c>
      <c r="AO134" s="5" t="s">
        <v>2185</v>
      </c>
      <c r="AP134" s="5" t="s">
        <v>2185</v>
      </c>
      <c r="AQ134" s="5" t="s">
        <v>2185</v>
      </c>
      <c r="AR134" s="5" t="s">
        <v>2185</v>
      </c>
      <c r="AS134" s="142"/>
      <c r="AT134" s="142" t="b">
        <v>0</v>
      </c>
      <c r="AU134" s="142"/>
      <c r="AV134" s="142"/>
      <c r="AW134" s="142"/>
      <c r="AX134" s="142"/>
      <c r="AY134" s="142"/>
      <c r="AZ134" s="174"/>
      <c r="BA134" s="142"/>
      <c r="BB134" s="142"/>
      <c r="BC134" s="142"/>
      <c r="BD134" s="142"/>
      <c r="BE134" s="142"/>
      <c r="BF134" s="142"/>
      <c r="BG134" s="142"/>
    </row>
    <row r="135">
      <c r="A135" s="5" t="s">
        <v>677</v>
      </c>
      <c r="B135" s="44">
        <v>44571.0</v>
      </c>
      <c r="C135" s="150">
        <v>0.39194444444444443</v>
      </c>
      <c r="D135" s="3"/>
      <c r="E135" s="3"/>
      <c r="F135" s="5"/>
      <c r="G135" s="5"/>
      <c r="H135" s="5"/>
      <c r="I135" s="3"/>
      <c r="J135" s="3"/>
      <c r="K135" s="3" t="s">
        <v>244</v>
      </c>
      <c r="L135" s="44">
        <v>44571.0</v>
      </c>
      <c r="M135" s="150">
        <v>0.46598379629629627</v>
      </c>
      <c r="N135" s="5"/>
      <c r="O135" s="5"/>
      <c r="P135" s="10" t="b">
        <v>0</v>
      </c>
      <c r="Q135" s="10" t="s">
        <v>2184</v>
      </c>
      <c r="R135" s="144" t="b">
        <v>1</v>
      </c>
      <c r="S135" s="144">
        <v>1.0</v>
      </c>
      <c r="T135" s="10">
        <v>0.0</v>
      </c>
      <c r="U135" s="5"/>
      <c r="V135" s="3"/>
      <c r="W135" s="5"/>
      <c r="X135" s="144" t="b">
        <v>0</v>
      </c>
      <c r="Y135" s="10" t="b">
        <v>0</v>
      </c>
      <c r="Z135" s="3"/>
      <c r="AA135" s="10" t="b">
        <v>0</v>
      </c>
      <c r="AB135" s="10" t="b">
        <v>0</v>
      </c>
      <c r="AC135" s="181">
        <v>642.0</v>
      </c>
      <c r="AD135" s="144" t="b">
        <v>0</v>
      </c>
      <c r="AE135" s="182">
        <v>106.61666666666665</v>
      </c>
      <c r="AF135" s="10" t="b">
        <v>0</v>
      </c>
      <c r="AG135" s="10" t="b">
        <v>0</v>
      </c>
      <c r="AH135" s="144"/>
      <c r="AI135" s="3"/>
      <c r="AJ135" s="10"/>
      <c r="AK135" s="3" t="s">
        <v>244</v>
      </c>
      <c r="AL135" s="5"/>
      <c r="AM135" s="5" t="s">
        <v>261</v>
      </c>
      <c r="AN135" s="5" t="s">
        <v>678</v>
      </c>
      <c r="AO135" s="5" t="s">
        <v>2185</v>
      </c>
      <c r="AP135" s="5" t="s">
        <v>2185</v>
      </c>
      <c r="AQ135" s="5" t="s">
        <v>2185</v>
      </c>
      <c r="AR135" s="5" t="s">
        <v>2185</v>
      </c>
      <c r="AS135" s="142"/>
      <c r="AT135" s="142" t="b">
        <v>0</v>
      </c>
      <c r="AU135" s="142"/>
      <c r="AV135" s="142"/>
      <c r="AW135" s="142"/>
      <c r="AX135" s="142"/>
      <c r="AY135" s="142"/>
      <c r="AZ135" s="174"/>
      <c r="BA135" s="142"/>
      <c r="BB135" s="142"/>
      <c r="BC135" s="142"/>
      <c r="BD135" s="142"/>
      <c r="BE135" s="142"/>
      <c r="BF135" s="142"/>
      <c r="BG135" s="142"/>
    </row>
    <row r="136">
      <c r="A136" s="5" t="s">
        <v>680</v>
      </c>
      <c r="B136" s="44">
        <v>44571.0</v>
      </c>
      <c r="C136" s="150">
        <v>0.3924884259259259</v>
      </c>
      <c r="D136" s="3"/>
      <c r="E136" s="3"/>
      <c r="F136" s="5"/>
      <c r="G136" s="5"/>
      <c r="H136" s="5"/>
      <c r="I136" s="3"/>
      <c r="J136" s="3"/>
      <c r="K136" s="3" t="s">
        <v>244</v>
      </c>
      <c r="L136" s="44">
        <v>44571.0</v>
      </c>
      <c r="M136" s="150">
        <v>0.46598379629629627</v>
      </c>
      <c r="N136" s="5"/>
      <c r="O136" s="5"/>
      <c r="P136" s="10" t="b">
        <v>0</v>
      </c>
      <c r="Q136" s="10" t="s">
        <v>2184</v>
      </c>
      <c r="R136" s="144" t="b">
        <v>1</v>
      </c>
      <c r="S136" s="144">
        <v>1.0</v>
      </c>
      <c r="T136" s="10">
        <v>0.0</v>
      </c>
      <c r="U136" s="5"/>
      <c r="V136" s="3"/>
      <c r="W136" s="5"/>
      <c r="X136" s="144" t="b">
        <v>0</v>
      </c>
      <c r="Y136" s="10" t="b">
        <v>0</v>
      </c>
      <c r="Z136" s="3"/>
      <c r="AA136" s="10" t="b">
        <v>0</v>
      </c>
      <c r="AB136" s="10" t="b">
        <v>0</v>
      </c>
      <c r="AC136" s="181">
        <v>641.0</v>
      </c>
      <c r="AD136" s="144" t="b">
        <v>0</v>
      </c>
      <c r="AE136" s="182">
        <v>105.8333333333333</v>
      </c>
      <c r="AF136" s="10" t="b">
        <v>0</v>
      </c>
      <c r="AG136" s="10" t="b">
        <v>0</v>
      </c>
      <c r="AH136" s="144"/>
      <c r="AI136" s="3"/>
      <c r="AJ136" s="10"/>
      <c r="AK136" s="3" t="s">
        <v>244</v>
      </c>
      <c r="AL136" s="5"/>
      <c r="AM136" s="5" t="s">
        <v>261</v>
      </c>
      <c r="AN136" s="5" t="s">
        <v>681</v>
      </c>
      <c r="AO136" s="5" t="s">
        <v>2185</v>
      </c>
      <c r="AP136" s="5" t="s">
        <v>2185</v>
      </c>
      <c r="AQ136" s="5" t="s">
        <v>2185</v>
      </c>
      <c r="AR136" s="5" t="s">
        <v>2185</v>
      </c>
      <c r="AS136" s="142"/>
      <c r="AT136" s="142" t="b">
        <v>0</v>
      </c>
      <c r="AU136" s="142"/>
      <c r="AV136" s="142"/>
      <c r="AW136" s="142"/>
      <c r="AX136" s="142"/>
      <c r="AY136" s="142"/>
      <c r="AZ136" s="174"/>
      <c r="BA136" s="142"/>
      <c r="BB136" s="142"/>
      <c r="BC136" s="142"/>
      <c r="BD136" s="142"/>
      <c r="BE136" s="142"/>
      <c r="BF136" s="142"/>
      <c r="BG136" s="142"/>
    </row>
    <row r="137">
      <c r="A137" s="5" t="s">
        <v>683</v>
      </c>
      <c r="B137" s="44">
        <v>44571.0</v>
      </c>
      <c r="C137" s="150">
        <v>0.3928935185185185</v>
      </c>
      <c r="D137" s="3"/>
      <c r="E137" s="3"/>
      <c r="F137" s="5"/>
      <c r="G137" s="5"/>
      <c r="H137" s="5"/>
      <c r="I137" s="3"/>
      <c r="J137" s="3"/>
      <c r="K137" s="3" t="s">
        <v>52</v>
      </c>
      <c r="L137" s="44">
        <v>44579.0</v>
      </c>
      <c r="M137" s="150">
        <v>0.5015740740740741</v>
      </c>
      <c r="N137" s="5"/>
      <c r="O137" s="5"/>
      <c r="P137" s="10" t="b">
        <v>0</v>
      </c>
      <c r="Q137" s="10" t="s">
        <v>2184</v>
      </c>
      <c r="R137" s="144" t="b">
        <v>1</v>
      </c>
      <c r="S137" s="144">
        <v>1.0</v>
      </c>
      <c r="T137" s="10">
        <v>0.0</v>
      </c>
      <c r="U137" s="5"/>
      <c r="V137" s="3"/>
      <c r="W137" s="5"/>
      <c r="X137" s="144" t="b">
        <v>0</v>
      </c>
      <c r="Y137" s="10" t="b">
        <v>0</v>
      </c>
      <c r="Z137" s="3"/>
      <c r="AA137" s="10" t="b">
        <v>0</v>
      </c>
      <c r="AB137" s="10" t="b">
        <v>0</v>
      </c>
      <c r="AC137" s="181">
        <v>640.0</v>
      </c>
      <c r="AD137" s="144" t="b">
        <v>0</v>
      </c>
      <c r="AE137" s="182"/>
      <c r="AF137" s="10" t="b">
        <v>0</v>
      </c>
      <c r="AG137" s="10" t="b">
        <v>0</v>
      </c>
      <c r="AH137" s="144"/>
      <c r="AI137" s="3"/>
      <c r="AJ137" s="10"/>
      <c r="AK137" s="3" t="s">
        <v>52</v>
      </c>
      <c r="AL137" s="5"/>
      <c r="AM137" s="5" t="s">
        <v>261</v>
      </c>
      <c r="AN137" s="5" t="s">
        <v>684</v>
      </c>
      <c r="AO137" s="5" t="s">
        <v>2185</v>
      </c>
      <c r="AP137" s="5" t="s">
        <v>2185</v>
      </c>
      <c r="AQ137" s="5" t="s">
        <v>2185</v>
      </c>
      <c r="AR137" s="5" t="s">
        <v>2185</v>
      </c>
      <c r="AS137" s="142"/>
      <c r="AT137" s="142" t="b">
        <v>0</v>
      </c>
      <c r="AU137" s="142"/>
      <c r="AV137" s="142"/>
      <c r="AW137" s="142"/>
      <c r="AX137" s="142"/>
      <c r="AY137" s="142"/>
      <c r="AZ137" s="174"/>
      <c r="BA137" s="142"/>
      <c r="BB137" s="142"/>
      <c r="BC137" s="142"/>
      <c r="BD137" s="142"/>
      <c r="BE137" s="142"/>
      <c r="BF137" s="142"/>
      <c r="BG137" s="142"/>
    </row>
    <row r="138">
      <c r="A138" s="5" t="s">
        <v>686</v>
      </c>
      <c r="B138" s="44">
        <v>44571.0</v>
      </c>
      <c r="C138" s="150">
        <v>0.42594907407407406</v>
      </c>
      <c r="D138" s="3"/>
      <c r="E138" s="3"/>
      <c r="F138" s="5"/>
      <c r="G138" s="5"/>
      <c r="H138" s="5"/>
      <c r="I138" s="3"/>
      <c r="J138" s="3"/>
      <c r="K138" s="3" t="s">
        <v>244</v>
      </c>
      <c r="L138" s="44">
        <v>44571.0</v>
      </c>
      <c r="M138" s="150">
        <v>0.46598379629629627</v>
      </c>
      <c r="N138" s="5"/>
      <c r="O138" s="5"/>
      <c r="P138" s="10" t="b">
        <v>0</v>
      </c>
      <c r="Q138" s="10" t="s">
        <v>2184</v>
      </c>
      <c r="R138" s="144" t="b">
        <v>1</v>
      </c>
      <c r="S138" s="144">
        <v>1.0</v>
      </c>
      <c r="T138" s="10"/>
      <c r="U138" s="5"/>
      <c r="V138" s="3"/>
      <c r="W138" s="5"/>
      <c r="X138" s="144" t="b">
        <v>0</v>
      </c>
      <c r="Y138" s="10" t="b">
        <v>0</v>
      </c>
      <c r="Z138" s="3"/>
      <c r="AA138" s="10" t="b">
        <v>0</v>
      </c>
      <c r="AB138" s="10" t="b">
        <v>0</v>
      </c>
      <c r="AC138" s="181">
        <v>639.0</v>
      </c>
      <c r="AD138" s="144" t="b">
        <v>0</v>
      </c>
      <c r="AE138" s="182">
        <v>57.64999999999998</v>
      </c>
      <c r="AF138" s="10" t="b">
        <v>0</v>
      </c>
      <c r="AG138" s="10" t="b">
        <v>0</v>
      </c>
      <c r="AH138" s="144"/>
      <c r="AI138" s="3"/>
      <c r="AJ138" s="10"/>
      <c r="AK138" s="3" t="s">
        <v>244</v>
      </c>
      <c r="AL138" s="5"/>
      <c r="AM138" s="5" t="s">
        <v>261</v>
      </c>
      <c r="AN138" s="5" t="s">
        <v>687</v>
      </c>
      <c r="AO138" s="5" t="s">
        <v>2185</v>
      </c>
      <c r="AP138" s="5" t="s">
        <v>2185</v>
      </c>
      <c r="AQ138" s="5" t="s">
        <v>2185</v>
      </c>
      <c r="AR138" s="5" t="s">
        <v>2185</v>
      </c>
      <c r="AS138" s="142"/>
      <c r="AT138" s="142" t="b">
        <v>0</v>
      </c>
      <c r="AU138" s="142"/>
      <c r="AV138" s="142"/>
      <c r="AW138" s="142"/>
      <c r="AX138" s="142"/>
      <c r="AY138" s="142"/>
      <c r="AZ138" s="174"/>
      <c r="BA138" s="142"/>
      <c r="BB138" s="142"/>
      <c r="BC138" s="142"/>
      <c r="BD138" s="142"/>
      <c r="BE138" s="142"/>
      <c r="BF138" s="142"/>
      <c r="BG138" s="142"/>
    </row>
    <row r="139">
      <c r="A139" s="5" t="s">
        <v>689</v>
      </c>
      <c r="B139" s="44">
        <v>44571.0</v>
      </c>
      <c r="C139" s="150">
        <v>0.42716435185185186</v>
      </c>
      <c r="D139" s="3"/>
      <c r="E139" s="3"/>
      <c r="F139" s="5"/>
      <c r="G139" s="5"/>
      <c r="H139" s="5"/>
      <c r="I139" s="3"/>
      <c r="J139" s="3"/>
      <c r="K139" s="3" t="s">
        <v>52</v>
      </c>
      <c r="L139" s="44">
        <v>44579.0</v>
      </c>
      <c r="M139" s="150">
        <v>0.5015740740740741</v>
      </c>
      <c r="N139" s="5"/>
      <c r="O139" s="5"/>
      <c r="P139" s="10" t="b">
        <v>0</v>
      </c>
      <c r="Q139" s="10" t="s">
        <v>2184</v>
      </c>
      <c r="R139" s="144" t="b">
        <v>1</v>
      </c>
      <c r="S139" s="144">
        <v>1.0</v>
      </c>
      <c r="T139" s="10"/>
      <c r="U139" s="5"/>
      <c r="V139" s="3"/>
      <c r="W139" s="5"/>
      <c r="X139" s="144" t="b">
        <v>0</v>
      </c>
      <c r="Y139" s="10" t="b">
        <v>0</v>
      </c>
      <c r="Z139" s="3"/>
      <c r="AA139" s="10" t="b">
        <v>0</v>
      </c>
      <c r="AB139" s="10" t="b">
        <v>0</v>
      </c>
      <c r="AC139" s="181">
        <v>638.0</v>
      </c>
      <c r="AD139" s="144" t="b">
        <v>0</v>
      </c>
      <c r="AE139" s="182"/>
      <c r="AF139" s="10" t="b">
        <v>0</v>
      </c>
      <c r="AG139" s="10" t="b">
        <v>0</v>
      </c>
      <c r="AH139" s="144"/>
      <c r="AI139" s="3"/>
      <c r="AJ139" s="10"/>
      <c r="AK139" s="3" t="s">
        <v>52</v>
      </c>
      <c r="AL139" s="5"/>
      <c r="AM139" s="5" t="s">
        <v>261</v>
      </c>
      <c r="AN139" s="5" t="s">
        <v>533</v>
      </c>
      <c r="AO139" s="5" t="s">
        <v>2185</v>
      </c>
      <c r="AP139" s="5" t="s">
        <v>2185</v>
      </c>
      <c r="AQ139" s="5" t="s">
        <v>2185</v>
      </c>
      <c r="AR139" s="5" t="s">
        <v>2185</v>
      </c>
      <c r="AS139" s="142"/>
      <c r="AT139" s="142" t="b">
        <v>0</v>
      </c>
      <c r="AU139" s="142"/>
      <c r="AV139" s="142"/>
      <c r="AW139" s="142"/>
      <c r="AX139" s="142"/>
      <c r="AY139" s="142"/>
      <c r="AZ139" s="174"/>
      <c r="BA139" s="142"/>
      <c r="BB139" s="142"/>
      <c r="BC139" s="142"/>
      <c r="BD139" s="142"/>
      <c r="BE139" s="142"/>
      <c r="BF139" s="142"/>
      <c r="BG139" s="142"/>
    </row>
    <row r="140">
      <c r="A140" s="5" t="s">
        <v>691</v>
      </c>
      <c r="B140" s="44">
        <v>44571.0</v>
      </c>
      <c r="C140" s="150">
        <v>0.42811342592592594</v>
      </c>
      <c r="D140" s="3"/>
      <c r="E140" s="3"/>
      <c r="F140" s="5"/>
      <c r="G140" s="5"/>
      <c r="H140" s="5"/>
      <c r="I140" s="3"/>
      <c r="J140" s="3"/>
      <c r="K140" s="3" t="s">
        <v>244</v>
      </c>
      <c r="L140" s="44">
        <v>44571.0</v>
      </c>
      <c r="M140" s="150">
        <v>0.46598379629629627</v>
      </c>
      <c r="N140" s="5"/>
      <c r="O140" s="5"/>
      <c r="P140" s="10" t="b">
        <v>0</v>
      </c>
      <c r="Q140" s="10" t="s">
        <v>2184</v>
      </c>
      <c r="R140" s="144" t="b">
        <v>1</v>
      </c>
      <c r="S140" s="144">
        <v>1.0</v>
      </c>
      <c r="T140" s="10"/>
      <c r="U140" s="5"/>
      <c r="V140" s="3"/>
      <c r="W140" s="5"/>
      <c r="X140" s="144" t="b">
        <v>0</v>
      </c>
      <c r="Y140" s="10" t="b">
        <v>0</v>
      </c>
      <c r="Z140" s="3"/>
      <c r="AA140" s="10" t="b">
        <v>0</v>
      </c>
      <c r="AB140" s="10" t="b">
        <v>0</v>
      </c>
      <c r="AC140" s="181">
        <v>637.0</v>
      </c>
      <c r="AD140" s="144" t="b">
        <v>0</v>
      </c>
      <c r="AE140" s="182">
        <v>54.533333333333275</v>
      </c>
      <c r="AF140" s="10" t="b">
        <v>0</v>
      </c>
      <c r="AG140" s="10" t="b">
        <v>0</v>
      </c>
      <c r="AH140" s="144"/>
      <c r="AI140" s="3"/>
      <c r="AJ140" s="10"/>
      <c r="AK140" s="3" t="s">
        <v>244</v>
      </c>
      <c r="AL140" s="5"/>
      <c r="AM140" s="5" t="s">
        <v>261</v>
      </c>
      <c r="AN140" s="5" t="s">
        <v>545</v>
      </c>
      <c r="AO140" s="5" t="s">
        <v>2185</v>
      </c>
      <c r="AP140" s="5" t="s">
        <v>2185</v>
      </c>
      <c r="AQ140" s="5" t="s">
        <v>2185</v>
      </c>
      <c r="AR140" s="5" t="s">
        <v>2185</v>
      </c>
      <c r="AS140" s="142"/>
      <c r="AT140" s="142" t="b">
        <v>0</v>
      </c>
      <c r="AU140" s="142"/>
      <c r="AV140" s="142"/>
      <c r="AW140" s="142"/>
      <c r="AX140" s="142"/>
      <c r="AY140" s="142"/>
      <c r="AZ140" s="174"/>
      <c r="BA140" s="142"/>
      <c r="BB140" s="142"/>
      <c r="BC140" s="142"/>
      <c r="BD140" s="142"/>
      <c r="BE140" s="142"/>
      <c r="BF140" s="142"/>
      <c r="BG140" s="142"/>
    </row>
    <row r="141">
      <c r="A141" s="5" t="s">
        <v>693</v>
      </c>
      <c r="B141" s="44">
        <v>44571.0</v>
      </c>
      <c r="C141" s="150">
        <v>0.4286111111111111</v>
      </c>
      <c r="D141" s="3"/>
      <c r="E141" s="3"/>
      <c r="F141" s="5"/>
      <c r="G141" s="5"/>
      <c r="H141" s="5"/>
      <c r="I141" s="3"/>
      <c r="J141" s="3"/>
      <c r="K141" s="3" t="s">
        <v>244</v>
      </c>
      <c r="L141" s="44">
        <v>44571.0</v>
      </c>
      <c r="M141" s="150">
        <v>0.46598379629629627</v>
      </c>
      <c r="N141" s="5"/>
      <c r="O141" s="5"/>
      <c r="P141" s="10" t="b">
        <v>0</v>
      </c>
      <c r="Q141" s="10" t="s">
        <v>2184</v>
      </c>
      <c r="R141" s="144" t="b">
        <v>1</v>
      </c>
      <c r="S141" s="144">
        <v>1.0</v>
      </c>
      <c r="T141" s="10"/>
      <c r="U141" s="5"/>
      <c r="V141" s="3"/>
      <c r="W141" s="5"/>
      <c r="X141" s="144" t="b">
        <v>0</v>
      </c>
      <c r="Y141" s="10" t="b">
        <v>0</v>
      </c>
      <c r="Z141" s="3"/>
      <c r="AA141" s="10" t="b">
        <v>0</v>
      </c>
      <c r="AB141" s="10" t="b">
        <v>0</v>
      </c>
      <c r="AC141" s="181">
        <v>636.0</v>
      </c>
      <c r="AD141" s="144" t="b">
        <v>0</v>
      </c>
      <c r="AE141" s="182">
        <v>53.816666666666634</v>
      </c>
      <c r="AF141" s="10" t="b">
        <v>0</v>
      </c>
      <c r="AG141" s="10" t="b">
        <v>0</v>
      </c>
      <c r="AH141" s="144"/>
      <c r="AI141" s="3"/>
      <c r="AJ141" s="10"/>
      <c r="AK141" s="3" t="s">
        <v>244</v>
      </c>
      <c r="AL141" s="5"/>
      <c r="AM141" s="5" t="s">
        <v>261</v>
      </c>
      <c r="AN141" s="5" t="s">
        <v>574</v>
      </c>
      <c r="AO141" s="5" t="s">
        <v>2185</v>
      </c>
      <c r="AP141" s="5" t="s">
        <v>2185</v>
      </c>
      <c r="AQ141" s="5" t="s">
        <v>2185</v>
      </c>
      <c r="AR141" s="5" t="s">
        <v>2185</v>
      </c>
      <c r="AS141" s="142"/>
      <c r="AT141" s="142" t="b">
        <v>0</v>
      </c>
      <c r="AU141" s="142"/>
      <c r="AV141" s="142"/>
      <c r="AW141" s="142"/>
      <c r="AX141" s="142"/>
      <c r="AY141" s="142"/>
      <c r="AZ141" s="174"/>
      <c r="BA141" s="142"/>
      <c r="BB141" s="142"/>
      <c r="BC141" s="142"/>
      <c r="BD141" s="142"/>
      <c r="BE141" s="142"/>
      <c r="BF141" s="142"/>
      <c r="BG141" s="142"/>
    </row>
    <row r="142">
      <c r="A142" s="5" t="s">
        <v>695</v>
      </c>
      <c r="B142" s="44">
        <v>44571.0</v>
      </c>
      <c r="C142" s="150">
        <v>0.4290162037037037</v>
      </c>
      <c r="D142" s="3"/>
      <c r="E142" s="3"/>
      <c r="F142" s="5"/>
      <c r="G142" s="5"/>
      <c r="H142" s="5"/>
      <c r="I142" s="3"/>
      <c r="J142" s="3"/>
      <c r="K142" s="3" t="s">
        <v>244</v>
      </c>
      <c r="L142" s="44">
        <v>44571.0</v>
      </c>
      <c r="M142" s="150">
        <v>0.46598379629629627</v>
      </c>
      <c r="N142" s="5"/>
      <c r="O142" s="5"/>
      <c r="P142" s="10" t="b">
        <v>0</v>
      </c>
      <c r="Q142" s="10" t="s">
        <v>2184</v>
      </c>
      <c r="R142" s="144" t="b">
        <v>1</v>
      </c>
      <c r="S142" s="144">
        <v>1.0</v>
      </c>
      <c r="T142" s="10"/>
      <c r="U142" s="5"/>
      <c r="V142" s="3"/>
      <c r="W142" s="5"/>
      <c r="X142" s="144" t="b">
        <v>0</v>
      </c>
      <c r="Y142" s="10" t="b">
        <v>0</v>
      </c>
      <c r="Z142" s="3"/>
      <c r="AA142" s="10" t="b">
        <v>0</v>
      </c>
      <c r="AB142" s="10" t="b">
        <v>0</v>
      </c>
      <c r="AC142" s="181">
        <v>635.0</v>
      </c>
      <c r="AD142" s="144" t="b">
        <v>0</v>
      </c>
      <c r="AE142" s="182">
        <v>53.23333333333331</v>
      </c>
      <c r="AF142" s="10" t="b">
        <v>0</v>
      </c>
      <c r="AG142" s="10" t="b">
        <v>0</v>
      </c>
      <c r="AH142" s="144"/>
      <c r="AI142" s="3"/>
      <c r="AJ142" s="10"/>
      <c r="AK142" s="3" t="s">
        <v>244</v>
      </c>
      <c r="AL142" s="5"/>
      <c r="AM142" s="5" t="s">
        <v>261</v>
      </c>
      <c r="AN142" s="5" t="s">
        <v>696</v>
      </c>
      <c r="AO142" s="5" t="s">
        <v>2185</v>
      </c>
      <c r="AP142" s="5" t="s">
        <v>2185</v>
      </c>
      <c r="AQ142" s="5" t="s">
        <v>2185</v>
      </c>
      <c r="AR142" s="5" t="s">
        <v>2185</v>
      </c>
      <c r="AS142" s="142"/>
      <c r="AT142" s="142" t="b">
        <v>0</v>
      </c>
      <c r="AU142" s="142"/>
      <c r="AV142" s="142"/>
      <c r="AW142" s="142"/>
      <c r="AX142" s="142"/>
      <c r="AY142" s="142"/>
      <c r="AZ142" s="174"/>
      <c r="BA142" s="142"/>
      <c r="BB142" s="142"/>
      <c r="BC142" s="142"/>
      <c r="BD142" s="142"/>
      <c r="BE142" s="142"/>
      <c r="BF142" s="142"/>
      <c r="BG142" s="142"/>
    </row>
    <row r="143">
      <c r="A143" s="5" t="s">
        <v>698</v>
      </c>
      <c r="B143" s="44">
        <v>44571.0</v>
      </c>
      <c r="C143" s="150">
        <v>0.42944444444444446</v>
      </c>
      <c r="D143" s="3"/>
      <c r="E143" s="3"/>
      <c r="F143" s="5"/>
      <c r="G143" s="5"/>
      <c r="H143" s="5"/>
      <c r="I143" s="3"/>
      <c r="J143" s="3"/>
      <c r="K143" s="3" t="s">
        <v>244</v>
      </c>
      <c r="L143" s="44">
        <v>44571.0</v>
      </c>
      <c r="M143" s="150">
        <v>0.46598379629629627</v>
      </c>
      <c r="N143" s="5"/>
      <c r="O143" s="5"/>
      <c r="P143" s="10" t="b">
        <v>0</v>
      </c>
      <c r="Q143" s="10" t="s">
        <v>2184</v>
      </c>
      <c r="R143" s="144" t="b">
        <v>1</v>
      </c>
      <c r="S143" s="144">
        <v>1.0</v>
      </c>
      <c r="T143" s="10"/>
      <c r="U143" s="5"/>
      <c r="V143" s="3"/>
      <c r="W143" s="5"/>
      <c r="X143" s="144" t="b">
        <v>0</v>
      </c>
      <c r="Y143" s="10" t="b">
        <v>0</v>
      </c>
      <c r="Z143" s="3"/>
      <c r="AA143" s="10" t="b">
        <v>0</v>
      </c>
      <c r="AB143" s="10" t="b">
        <v>0</v>
      </c>
      <c r="AC143" s="181">
        <v>634.0</v>
      </c>
      <c r="AD143" s="144" t="b">
        <v>0</v>
      </c>
      <c r="AE143" s="182">
        <v>52.6166666666666</v>
      </c>
      <c r="AF143" s="10" t="b">
        <v>0</v>
      </c>
      <c r="AG143" s="10" t="b">
        <v>0</v>
      </c>
      <c r="AH143" s="144"/>
      <c r="AI143" s="3"/>
      <c r="AJ143" s="10"/>
      <c r="AK143" s="3" t="s">
        <v>244</v>
      </c>
      <c r="AL143" s="5"/>
      <c r="AM143" s="5" t="s">
        <v>261</v>
      </c>
      <c r="AN143" s="5" t="s">
        <v>696</v>
      </c>
      <c r="AO143" s="5" t="s">
        <v>2185</v>
      </c>
      <c r="AP143" s="5" t="s">
        <v>2185</v>
      </c>
      <c r="AQ143" s="5" t="s">
        <v>2185</v>
      </c>
      <c r="AR143" s="5" t="s">
        <v>2185</v>
      </c>
      <c r="AS143" s="142"/>
      <c r="AT143" s="142" t="b">
        <v>0</v>
      </c>
      <c r="AU143" s="142"/>
      <c r="AV143" s="142"/>
      <c r="AW143" s="142"/>
      <c r="AX143" s="142"/>
      <c r="AY143" s="142"/>
      <c r="AZ143" s="174"/>
      <c r="BA143" s="142"/>
      <c r="BB143" s="142"/>
      <c r="BC143" s="142"/>
      <c r="BD143" s="142"/>
      <c r="BE143" s="142"/>
      <c r="BF143" s="142"/>
      <c r="BG143" s="142"/>
    </row>
    <row r="144">
      <c r="A144" s="5" t="s">
        <v>705</v>
      </c>
      <c r="B144" s="44">
        <v>44573.0</v>
      </c>
      <c r="C144" s="150">
        <v>0.28099537037037037</v>
      </c>
      <c r="D144" s="3"/>
      <c r="E144" s="3"/>
      <c r="F144" s="5"/>
      <c r="G144" s="5"/>
      <c r="H144" s="5"/>
      <c r="I144" s="3"/>
      <c r="J144" s="3"/>
      <c r="K144" s="3" t="s">
        <v>244</v>
      </c>
      <c r="L144" s="44">
        <v>44575.0</v>
      </c>
      <c r="M144" s="150">
        <v>0.48202546296296295</v>
      </c>
      <c r="N144" s="5"/>
      <c r="O144" s="5"/>
      <c r="P144" s="10" t="b">
        <v>0</v>
      </c>
      <c r="Q144" s="10" t="s">
        <v>2184</v>
      </c>
      <c r="R144" s="144" t="b">
        <v>1</v>
      </c>
      <c r="S144" s="144">
        <v>1.0</v>
      </c>
      <c r="T144" s="10"/>
      <c r="U144" s="5"/>
      <c r="V144" s="3"/>
      <c r="W144" s="5"/>
      <c r="X144" s="144" t="b">
        <v>0</v>
      </c>
      <c r="Y144" s="10" t="b">
        <v>0</v>
      </c>
      <c r="Z144" s="3"/>
      <c r="AA144" s="10" t="b">
        <v>0</v>
      </c>
      <c r="AB144" s="10" t="b">
        <v>0</v>
      </c>
      <c r="AC144" s="181">
        <v>631.0</v>
      </c>
      <c r="AD144" s="144" t="b">
        <v>0</v>
      </c>
      <c r="AE144" s="182"/>
      <c r="AF144" s="10" t="b">
        <v>0</v>
      </c>
      <c r="AG144" s="10" t="b">
        <v>0</v>
      </c>
      <c r="AH144" s="144"/>
      <c r="AI144" s="3"/>
      <c r="AJ144" s="10"/>
      <c r="AK144" s="3" t="s">
        <v>244</v>
      </c>
      <c r="AL144" s="5"/>
      <c r="AM144" s="5" t="s">
        <v>471</v>
      </c>
      <c r="AN144" s="5" t="s">
        <v>472</v>
      </c>
      <c r="AO144" s="5" t="s">
        <v>2185</v>
      </c>
      <c r="AP144" s="5" t="s">
        <v>2185</v>
      </c>
      <c r="AQ144" s="5" t="s">
        <v>2185</v>
      </c>
      <c r="AR144" s="5" t="s">
        <v>2185</v>
      </c>
      <c r="AS144" s="142"/>
      <c r="AT144" s="142" t="b">
        <v>0</v>
      </c>
      <c r="AU144" s="142"/>
      <c r="AV144" s="142"/>
      <c r="AW144" s="142"/>
      <c r="AX144" s="142"/>
      <c r="AY144" s="142"/>
      <c r="AZ144" s="174"/>
      <c r="BA144" s="142"/>
      <c r="BB144" s="142"/>
      <c r="BC144" s="142"/>
      <c r="BD144" s="142"/>
      <c r="BE144" s="142"/>
      <c r="BF144" s="142"/>
      <c r="BG144" s="142"/>
    </row>
    <row r="145">
      <c r="A145" s="5" t="s">
        <v>707</v>
      </c>
      <c r="B145" s="44">
        <v>44573.0</v>
      </c>
      <c r="C145" s="150">
        <v>0.28774305555555557</v>
      </c>
      <c r="D145" s="3"/>
      <c r="E145" s="3"/>
      <c r="F145" s="5"/>
      <c r="G145" s="5"/>
      <c r="H145" s="5"/>
      <c r="I145" s="3"/>
      <c r="J145" s="3"/>
      <c r="K145" s="3" t="s">
        <v>244</v>
      </c>
      <c r="L145" s="44">
        <v>44575.0</v>
      </c>
      <c r="M145" s="150">
        <v>0.48202546296296295</v>
      </c>
      <c r="N145" s="5"/>
      <c r="O145" s="5"/>
      <c r="P145" s="10" t="b">
        <v>0</v>
      </c>
      <c r="Q145" s="10" t="s">
        <v>2184</v>
      </c>
      <c r="R145" s="144" t="b">
        <v>1</v>
      </c>
      <c r="S145" s="144">
        <v>1.0</v>
      </c>
      <c r="T145" s="10">
        <v>0.0</v>
      </c>
      <c r="U145" s="5"/>
      <c r="V145" s="3"/>
      <c r="W145" s="5"/>
      <c r="X145" s="144" t="b">
        <v>0</v>
      </c>
      <c r="Y145" s="10" t="b">
        <v>0</v>
      </c>
      <c r="Z145" s="3"/>
      <c r="AA145" s="10" t="b">
        <v>0</v>
      </c>
      <c r="AB145" s="10" t="b">
        <v>0</v>
      </c>
      <c r="AC145" s="181">
        <v>630.0</v>
      </c>
      <c r="AD145" s="144" t="b">
        <v>0</v>
      </c>
      <c r="AE145" s="182"/>
      <c r="AF145" s="10" t="b">
        <v>0</v>
      </c>
      <c r="AG145" s="10" t="b">
        <v>0</v>
      </c>
      <c r="AH145" s="144"/>
      <c r="AI145" s="3"/>
      <c r="AJ145" s="10"/>
      <c r="AK145" s="3" t="s">
        <v>244</v>
      </c>
      <c r="AL145" s="5"/>
      <c r="AM145" s="5" t="s">
        <v>261</v>
      </c>
      <c r="AN145" s="5" t="s">
        <v>708</v>
      </c>
      <c r="AO145" s="5" t="s">
        <v>2185</v>
      </c>
      <c r="AP145" s="5" t="s">
        <v>2185</v>
      </c>
      <c r="AQ145" s="5" t="s">
        <v>2185</v>
      </c>
      <c r="AR145" s="5" t="s">
        <v>2185</v>
      </c>
      <c r="AS145" s="142"/>
      <c r="AT145" s="142" t="b">
        <v>0</v>
      </c>
      <c r="AU145" s="142"/>
      <c r="AV145" s="142"/>
      <c r="AW145" s="142"/>
      <c r="AX145" s="142"/>
      <c r="AY145" s="142"/>
      <c r="AZ145" s="174"/>
      <c r="BA145" s="142"/>
      <c r="BB145" s="142"/>
      <c r="BC145" s="142"/>
      <c r="BD145" s="142"/>
      <c r="BE145" s="142"/>
      <c r="BF145" s="142"/>
      <c r="BG145" s="142"/>
    </row>
    <row r="146">
      <c r="A146" s="5" t="s">
        <v>710</v>
      </c>
      <c r="B146" s="44">
        <v>44573.0</v>
      </c>
      <c r="C146" s="150">
        <v>0.2912037037037037</v>
      </c>
      <c r="D146" s="3"/>
      <c r="E146" s="3"/>
      <c r="F146" s="5"/>
      <c r="G146" s="5"/>
      <c r="H146" s="5"/>
      <c r="I146" s="3"/>
      <c r="J146" s="3"/>
      <c r="K146" s="3" t="s">
        <v>244</v>
      </c>
      <c r="L146" s="44">
        <v>44575.0</v>
      </c>
      <c r="M146" s="150">
        <v>0.48202546296296295</v>
      </c>
      <c r="N146" s="5"/>
      <c r="O146" s="5"/>
      <c r="P146" s="10" t="b">
        <v>0</v>
      </c>
      <c r="Q146" s="10" t="s">
        <v>2184</v>
      </c>
      <c r="R146" s="144" t="b">
        <v>1</v>
      </c>
      <c r="S146" s="144">
        <v>1.0</v>
      </c>
      <c r="T146" s="10"/>
      <c r="U146" s="5"/>
      <c r="V146" s="3"/>
      <c r="W146" s="5"/>
      <c r="X146" s="144" t="b">
        <v>0</v>
      </c>
      <c r="Y146" s="10" t="b">
        <v>0</v>
      </c>
      <c r="Z146" s="3"/>
      <c r="AA146" s="10" t="b">
        <v>0</v>
      </c>
      <c r="AB146" s="10" t="b">
        <v>0</v>
      </c>
      <c r="AC146" s="181">
        <v>629.0</v>
      </c>
      <c r="AD146" s="144" t="b">
        <v>0</v>
      </c>
      <c r="AE146" s="182"/>
      <c r="AF146" s="10" t="b">
        <v>0</v>
      </c>
      <c r="AG146" s="10" t="b">
        <v>0</v>
      </c>
      <c r="AH146" s="144"/>
      <c r="AI146" s="3"/>
      <c r="AJ146" s="10"/>
      <c r="AK146" s="3" t="s">
        <v>244</v>
      </c>
      <c r="AL146" s="5"/>
      <c r="AM146" s="5" t="s">
        <v>587</v>
      </c>
      <c r="AN146" s="5" t="s">
        <v>588</v>
      </c>
      <c r="AO146" s="5" t="s">
        <v>2185</v>
      </c>
      <c r="AP146" s="5" t="s">
        <v>2185</v>
      </c>
      <c r="AQ146" s="5" t="s">
        <v>2185</v>
      </c>
      <c r="AR146" s="5" t="s">
        <v>2185</v>
      </c>
      <c r="AS146" s="142"/>
      <c r="AT146" s="142" t="b">
        <v>0</v>
      </c>
      <c r="AU146" s="142"/>
      <c r="AV146" s="142"/>
      <c r="AW146" s="142"/>
      <c r="AX146" s="142"/>
      <c r="AY146" s="142"/>
      <c r="AZ146" s="174"/>
      <c r="BA146" s="142"/>
      <c r="BB146" s="142"/>
      <c r="BC146" s="142"/>
      <c r="BD146" s="142"/>
      <c r="BE146" s="142"/>
      <c r="BF146" s="142"/>
      <c r="BG146" s="142"/>
    </row>
    <row r="147">
      <c r="A147" s="5" t="s">
        <v>712</v>
      </c>
      <c r="B147" s="44">
        <v>44573.0</v>
      </c>
      <c r="C147" s="150">
        <v>0.29791666666666666</v>
      </c>
      <c r="D147" s="3"/>
      <c r="E147" s="3"/>
      <c r="F147" s="5"/>
      <c r="G147" s="5"/>
      <c r="H147" s="5"/>
      <c r="I147" s="3"/>
      <c r="J147" s="3"/>
      <c r="K147" s="3" t="s">
        <v>244</v>
      </c>
      <c r="L147" s="44">
        <v>44575.0</v>
      </c>
      <c r="M147" s="150">
        <v>0.48202546296296295</v>
      </c>
      <c r="N147" s="5"/>
      <c r="O147" s="5"/>
      <c r="P147" s="10" t="b">
        <v>0</v>
      </c>
      <c r="Q147" s="10" t="s">
        <v>2184</v>
      </c>
      <c r="R147" s="144" t="b">
        <v>1</v>
      </c>
      <c r="S147" s="144">
        <v>1.0</v>
      </c>
      <c r="T147" s="10"/>
      <c r="U147" s="5"/>
      <c r="V147" s="3"/>
      <c r="W147" s="5"/>
      <c r="X147" s="144" t="b">
        <v>0</v>
      </c>
      <c r="Y147" s="10" t="b">
        <v>0</v>
      </c>
      <c r="Z147" s="3"/>
      <c r="AA147" s="10" t="b">
        <v>0</v>
      </c>
      <c r="AB147" s="10" t="b">
        <v>0</v>
      </c>
      <c r="AC147" s="181">
        <v>628.0</v>
      </c>
      <c r="AD147" s="144" t="b">
        <v>0</v>
      </c>
      <c r="AE147" s="182"/>
      <c r="AF147" s="10" t="b">
        <v>0</v>
      </c>
      <c r="AG147" s="10" t="b">
        <v>0</v>
      </c>
      <c r="AH147" s="144"/>
      <c r="AI147" s="3"/>
      <c r="AJ147" s="10"/>
      <c r="AK147" s="3" t="s">
        <v>244</v>
      </c>
      <c r="AL147" s="5"/>
      <c r="AM147" s="5" t="s">
        <v>491</v>
      </c>
      <c r="AN147" s="5" t="s">
        <v>495</v>
      </c>
      <c r="AO147" s="5" t="s">
        <v>2185</v>
      </c>
      <c r="AP147" s="5" t="s">
        <v>2185</v>
      </c>
      <c r="AQ147" s="5" t="s">
        <v>2185</v>
      </c>
      <c r="AR147" s="5" t="s">
        <v>2185</v>
      </c>
      <c r="AS147" s="142"/>
      <c r="AT147" s="142" t="b">
        <v>0</v>
      </c>
      <c r="AU147" s="142"/>
      <c r="AV147" s="142"/>
      <c r="AW147" s="142"/>
      <c r="AX147" s="142"/>
      <c r="AY147" s="142"/>
      <c r="AZ147" s="174"/>
      <c r="BA147" s="142"/>
      <c r="BB147" s="142"/>
      <c r="BC147" s="142"/>
      <c r="BD147" s="142"/>
      <c r="BE147" s="142"/>
      <c r="BF147" s="142"/>
      <c r="BG147" s="142"/>
    </row>
    <row r="148">
      <c r="A148" s="5" t="s">
        <v>714</v>
      </c>
      <c r="B148" s="44">
        <v>44573.0</v>
      </c>
      <c r="C148" s="150">
        <v>0.31827546296296294</v>
      </c>
      <c r="D148" s="3"/>
      <c r="E148" s="3"/>
      <c r="F148" s="5"/>
      <c r="G148" s="5"/>
      <c r="H148" s="5"/>
      <c r="I148" s="3"/>
      <c r="J148" s="3"/>
      <c r="K148" s="3" t="s">
        <v>244</v>
      </c>
      <c r="L148" s="44">
        <v>44575.0</v>
      </c>
      <c r="M148" s="150">
        <v>0.48202546296296295</v>
      </c>
      <c r="N148" s="5"/>
      <c r="O148" s="5"/>
      <c r="P148" s="10" t="b">
        <v>0</v>
      </c>
      <c r="Q148" s="10" t="s">
        <v>2184</v>
      </c>
      <c r="R148" s="144" t="b">
        <v>1</v>
      </c>
      <c r="S148" s="144">
        <v>1.0</v>
      </c>
      <c r="T148" s="10"/>
      <c r="U148" s="5"/>
      <c r="V148" s="3"/>
      <c r="W148" s="5"/>
      <c r="X148" s="144" t="b">
        <v>0</v>
      </c>
      <c r="Y148" s="10" t="b">
        <v>0</v>
      </c>
      <c r="Z148" s="3"/>
      <c r="AA148" s="10" t="b">
        <v>0</v>
      </c>
      <c r="AB148" s="10" t="b">
        <v>0</v>
      </c>
      <c r="AC148" s="181">
        <v>627.0</v>
      </c>
      <c r="AD148" s="144" t="b">
        <v>0</v>
      </c>
      <c r="AE148" s="182"/>
      <c r="AF148" s="10" t="b">
        <v>0</v>
      </c>
      <c r="AG148" s="10" t="b">
        <v>0</v>
      </c>
      <c r="AH148" s="144"/>
      <c r="AI148" s="3"/>
      <c r="AJ148" s="10"/>
      <c r="AK148" s="3" t="s">
        <v>244</v>
      </c>
      <c r="AL148" s="5"/>
      <c r="AM148" s="5" t="s">
        <v>295</v>
      </c>
      <c r="AN148" s="5" t="s">
        <v>296</v>
      </c>
      <c r="AO148" s="5" t="s">
        <v>2185</v>
      </c>
      <c r="AP148" s="5" t="s">
        <v>2185</v>
      </c>
      <c r="AQ148" s="5" t="s">
        <v>2185</v>
      </c>
      <c r="AR148" s="5" t="s">
        <v>2185</v>
      </c>
      <c r="AS148" s="142"/>
      <c r="AT148" s="142" t="b">
        <v>0</v>
      </c>
      <c r="AU148" s="142"/>
      <c r="AV148" s="142"/>
      <c r="AW148" s="142"/>
      <c r="AX148" s="142"/>
      <c r="AY148" s="142"/>
      <c r="AZ148" s="174"/>
      <c r="BA148" s="142"/>
      <c r="BB148" s="142"/>
      <c r="BC148" s="142"/>
      <c r="BD148" s="142"/>
      <c r="BE148" s="142"/>
      <c r="BF148" s="142"/>
      <c r="BG148" s="142"/>
    </row>
    <row r="149">
      <c r="A149" s="5" t="s">
        <v>716</v>
      </c>
      <c r="B149" s="44">
        <v>44573.0</v>
      </c>
      <c r="C149" s="150">
        <v>0.32337962962962963</v>
      </c>
      <c r="D149" s="3"/>
      <c r="E149" s="3"/>
      <c r="F149" s="5"/>
      <c r="G149" s="5"/>
      <c r="H149" s="5"/>
      <c r="I149" s="3"/>
      <c r="J149" s="3"/>
      <c r="K149" s="3" t="s">
        <v>52</v>
      </c>
      <c r="L149" s="44">
        <v>44579.0</v>
      </c>
      <c r="M149" s="150">
        <v>0.5015856481481481</v>
      </c>
      <c r="N149" s="5"/>
      <c r="O149" s="5"/>
      <c r="P149" s="10" t="b">
        <v>0</v>
      </c>
      <c r="Q149" s="10" t="s">
        <v>2184</v>
      </c>
      <c r="R149" s="144" t="b">
        <v>1</v>
      </c>
      <c r="S149" s="144">
        <v>1.0</v>
      </c>
      <c r="T149" s="10"/>
      <c r="U149" s="5"/>
      <c r="V149" s="3"/>
      <c r="W149" s="5"/>
      <c r="X149" s="144" t="b">
        <v>0</v>
      </c>
      <c r="Y149" s="10" t="b">
        <v>0</v>
      </c>
      <c r="Z149" s="3"/>
      <c r="AA149" s="10" t="b">
        <v>0</v>
      </c>
      <c r="AB149" s="10" t="b">
        <v>0</v>
      </c>
      <c r="AC149" s="181">
        <v>626.0</v>
      </c>
      <c r="AD149" s="144" t="b">
        <v>0</v>
      </c>
      <c r="AE149" s="182"/>
      <c r="AF149" s="10" t="b">
        <v>0</v>
      </c>
      <c r="AG149" s="10" t="b">
        <v>0</v>
      </c>
      <c r="AH149" s="144"/>
      <c r="AI149" s="3"/>
      <c r="AJ149" s="10"/>
      <c r="AK149" s="3" t="s">
        <v>52</v>
      </c>
      <c r="AL149" s="5"/>
      <c r="AM149" s="5" t="s">
        <v>717</v>
      </c>
      <c r="AN149" s="5" t="s">
        <v>718</v>
      </c>
      <c r="AO149" s="5" t="s">
        <v>2185</v>
      </c>
      <c r="AP149" s="5" t="s">
        <v>2185</v>
      </c>
      <c r="AQ149" s="5" t="s">
        <v>2185</v>
      </c>
      <c r="AR149" s="5" t="s">
        <v>2185</v>
      </c>
      <c r="AS149" s="142"/>
      <c r="AT149" s="142" t="b">
        <v>0</v>
      </c>
      <c r="AU149" s="142"/>
      <c r="AV149" s="142"/>
      <c r="AW149" s="142"/>
      <c r="AX149" s="142"/>
      <c r="AY149" s="142"/>
      <c r="AZ149" s="174"/>
      <c r="BA149" s="142"/>
      <c r="BB149" s="142"/>
      <c r="BC149" s="142"/>
      <c r="BD149" s="142"/>
      <c r="BE149" s="142"/>
      <c r="BF149" s="142"/>
      <c r="BG149" s="142"/>
    </row>
    <row r="150">
      <c r="A150" s="5" t="s">
        <v>720</v>
      </c>
      <c r="B150" s="44">
        <v>44573.0</v>
      </c>
      <c r="C150" s="150">
        <v>0.3285532407407407</v>
      </c>
      <c r="D150" s="3"/>
      <c r="E150" s="3"/>
      <c r="F150" s="5"/>
      <c r="G150" s="5"/>
      <c r="H150" s="5"/>
      <c r="I150" s="3"/>
      <c r="J150" s="3"/>
      <c r="K150" s="3" t="s">
        <v>244</v>
      </c>
      <c r="L150" s="44">
        <v>44575.0</v>
      </c>
      <c r="M150" s="150">
        <v>0.48202546296296295</v>
      </c>
      <c r="N150" s="5"/>
      <c r="O150" s="5"/>
      <c r="P150" s="10" t="b">
        <v>0</v>
      </c>
      <c r="Q150" s="10" t="s">
        <v>2184</v>
      </c>
      <c r="R150" s="144" t="b">
        <v>1</v>
      </c>
      <c r="S150" s="144">
        <v>1.0</v>
      </c>
      <c r="T150" s="10"/>
      <c r="U150" s="5"/>
      <c r="V150" s="3"/>
      <c r="W150" s="5"/>
      <c r="X150" s="144" t="b">
        <v>0</v>
      </c>
      <c r="Y150" s="10" t="b">
        <v>0</v>
      </c>
      <c r="Z150" s="3"/>
      <c r="AA150" s="10" t="b">
        <v>0</v>
      </c>
      <c r="AB150" s="10" t="b">
        <v>0</v>
      </c>
      <c r="AC150" s="181">
        <v>625.0</v>
      </c>
      <c r="AD150" s="144" t="b">
        <v>0</v>
      </c>
      <c r="AE150" s="182"/>
      <c r="AF150" s="10" t="b">
        <v>0</v>
      </c>
      <c r="AG150" s="10" t="b">
        <v>0</v>
      </c>
      <c r="AH150" s="144"/>
      <c r="AI150" s="3"/>
      <c r="AJ150" s="10"/>
      <c r="AK150" s="3" t="s">
        <v>244</v>
      </c>
      <c r="AL150" s="5"/>
      <c r="AM150" s="5" t="s">
        <v>287</v>
      </c>
      <c r="AN150" s="5" t="s">
        <v>288</v>
      </c>
      <c r="AO150" s="5" t="s">
        <v>2185</v>
      </c>
      <c r="AP150" s="5" t="s">
        <v>2185</v>
      </c>
      <c r="AQ150" s="5" t="s">
        <v>2185</v>
      </c>
      <c r="AR150" s="5" t="s">
        <v>2185</v>
      </c>
      <c r="AS150" s="142"/>
      <c r="AT150" s="142" t="b">
        <v>0</v>
      </c>
      <c r="AU150" s="142"/>
      <c r="AV150" s="142"/>
      <c r="AW150" s="142"/>
      <c r="AX150" s="142"/>
      <c r="AY150" s="142"/>
      <c r="AZ150" s="174"/>
      <c r="BA150" s="142"/>
      <c r="BB150" s="142"/>
      <c r="BC150" s="142"/>
      <c r="BD150" s="142"/>
      <c r="BE150" s="142"/>
      <c r="BF150" s="142"/>
      <c r="BG150" s="142"/>
    </row>
    <row r="151">
      <c r="A151" s="5" t="s">
        <v>722</v>
      </c>
      <c r="B151" s="44">
        <v>44573.0</v>
      </c>
      <c r="C151" s="150">
        <v>0.3347800925925926</v>
      </c>
      <c r="D151" s="3"/>
      <c r="E151" s="3"/>
      <c r="F151" s="5"/>
      <c r="G151" s="5"/>
      <c r="H151" s="5"/>
      <c r="I151" s="3"/>
      <c r="J151" s="3"/>
      <c r="K151" s="3" t="s">
        <v>244</v>
      </c>
      <c r="L151" s="44">
        <v>44575.0</v>
      </c>
      <c r="M151" s="150">
        <v>0.48202546296296295</v>
      </c>
      <c r="N151" s="5"/>
      <c r="O151" s="5"/>
      <c r="P151" s="10" t="b">
        <v>0</v>
      </c>
      <c r="Q151" s="10" t="s">
        <v>2184</v>
      </c>
      <c r="R151" s="144" t="b">
        <v>1</v>
      </c>
      <c r="S151" s="144">
        <v>1.0</v>
      </c>
      <c r="T151" s="10"/>
      <c r="U151" s="5"/>
      <c r="V151" s="3"/>
      <c r="W151" s="5"/>
      <c r="X151" s="144" t="b">
        <v>0</v>
      </c>
      <c r="Y151" s="10" t="b">
        <v>0</v>
      </c>
      <c r="Z151" s="3"/>
      <c r="AA151" s="10" t="b">
        <v>0</v>
      </c>
      <c r="AB151" s="10" t="b">
        <v>0</v>
      </c>
      <c r="AC151" s="181">
        <v>624.0</v>
      </c>
      <c r="AD151" s="144" t="b">
        <v>0</v>
      </c>
      <c r="AE151" s="182"/>
      <c r="AF151" s="10" t="b">
        <v>0</v>
      </c>
      <c r="AG151" s="10" t="b">
        <v>0</v>
      </c>
      <c r="AH151" s="144"/>
      <c r="AI151" s="3"/>
      <c r="AJ151" s="10"/>
      <c r="AK151" s="3" t="s">
        <v>244</v>
      </c>
      <c r="AL151" s="5"/>
      <c r="AM151" s="5" t="s">
        <v>299</v>
      </c>
      <c r="AN151" s="5" t="s">
        <v>300</v>
      </c>
      <c r="AO151" s="5" t="s">
        <v>2185</v>
      </c>
      <c r="AP151" s="5" t="s">
        <v>2185</v>
      </c>
      <c r="AQ151" s="5" t="s">
        <v>2185</v>
      </c>
      <c r="AR151" s="5" t="s">
        <v>2185</v>
      </c>
      <c r="AS151" s="142"/>
      <c r="AT151" s="142" t="b">
        <v>0</v>
      </c>
      <c r="AU151" s="142"/>
      <c r="AV151" s="142"/>
      <c r="AW151" s="142"/>
      <c r="AX151" s="142"/>
      <c r="AY151" s="142"/>
      <c r="AZ151" s="174"/>
      <c r="BA151" s="142"/>
      <c r="BB151" s="142"/>
      <c r="BC151" s="142"/>
      <c r="BD151" s="142"/>
      <c r="BE151" s="142"/>
      <c r="BF151" s="142"/>
      <c r="BG151" s="142"/>
    </row>
    <row r="152">
      <c r="A152" s="5" t="s">
        <v>724</v>
      </c>
      <c r="B152" s="44">
        <v>44573.0</v>
      </c>
      <c r="C152" s="150">
        <v>0.347650462962963</v>
      </c>
      <c r="D152" s="3"/>
      <c r="E152" s="3"/>
      <c r="F152" s="5"/>
      <c r="G152" s="5"/>
      <c r="H152" s="5"/>
      <c r="I152" s="3"/>
      <c r="J152" s="3"/>
      <c r="K152" s="3" t="s">
        <v>244</v>
      </c>
      <c r="L152" s="44">
        <v>44575.0</v>
      </c>
      <c r="M152" s="150">
        <v>0.48202546296296295</v>
      </c>
      <c r="N152" s="5"/>
      <c r="O152" s="5"/>
      <c r="P152" s="10" t="b">
        <v>0</v>
      </c>
      <c r="Q152" s="10" t="s">
        <v>2184</v>
      </c>
      <c r="R152" s="144" t="b">
        <v>1</v>
      </c>
      <c r="S152" s="144">
        <v>1.0</v>
      </c>
      <c r="T152" s="10"/>
      <c r="U152" s="5"/>
      <c r="V152" s="3"/>
      <c r="W152" s="5"/>
      <c r="X152" s="144" t="b">
        <v>0</v>
      </c>
      <c r="Y152" s="10" t="b">
        <v>0</v>
      </c>
      <c r="Z152" s="3"/>
      <c r="AA152" s="10" t="b">
        <v>0</v>
      </c>
      <c r="AB152" s="10" t="b">
        <v>0</v>
      </c>
      <c r="AC152" s="181">
        <v>623.0</v>
      </c>
      <c r="AD152" s="144" t="b">
        <v>0</v>
      </c>
      <c r="AE152" s="182"/>
      <c r="AF152" s="10" t="b">
        <v>0</v>
      </c>
      <c r="AG152" s="10" t="b">
        <v>0</v>
      </c>
      <c r="AH152" s="144"/>
      <c r="AI152" s="3"/>
      <c r="AJ152" s="10"/>
      <c r="AK152" s="3" t="s">
        <v>244</v>
      </c>
      <c r="AL152" s="5"/>
      <c r="AM152" s="5" t="s">
        <v>362</v>
      </c>
      <c r="AN152" s="5" t="s">
        <v>363</v>
      </c>
      <c r="AO152" s="5" t="s">
        <v>2185</v>
      </c>
      <c r="AP152" s="5" t="s">
        <v>2185</v>
      </c>
      <c r="AQ152" s="5" t="s">
        <v>2185</v>
      </c>
      <c r="AR152" s="5" t="s">
        <v>2185</v>
      </c>
      <c r="AS152" s="142"/>
      <c r="AT152" s="142" t="b">
        <v>0</v>
      </c>
      <c r="AU152" s="142"/>
      <c r="AV152" s="142"/>
      <c r="AW152" s="142"/>
      <c r="AX152" s="142"/>
      <c r="AY152" s="142"/>
      <c r="AZ152" s="174"/>
      <c r="BA152" s="142"/>
      <c r="BB152" s="142"/>
      <c r="BC152" s="142"/>
      <c r="BD152" s="142"/>
      <c r="BE152" s="142"/>
      <c r="BF152" s="142"/>
      <c r="BG152" s="142"/>
    </row>
    <row r="153">
      <c r="A153" s="5" t="s">
        <v>726</v>
      </c>
      <c r="B153" s="44">
        <v>44573.0</v>
      </c>
      <c r="C153" s="150">
        <v>0.3486574074074074</v>
      </c>
      <c r="D153" s="3"/>
      <c r="E153" s="3"/>
      <c r="F153" s="5"/>
      <c r="G153" s="5"/>
      <c r="H153" s="5"/>
      <c r="I153" s="3"/>
      <c r="J153" s="3"/>
      <c r="K153" s="3" t="s">
        <v>244</v>
      </c>
      <c r="L153" s="44">
        <v>44575.0</v>
      </c>
      <c r="M153" s="150">
        <v>0.48202546296296295</v>
      </c>
      <c r="N153" s="5"/>
      <c r="O153" s="5"/>
      <c r="P153" s="10" t="b">
        <v>0</v>
      </c>
      <c r="Q153" s="10" t="s">
        <v>2184</v>
      </c>
      <c r="R153" s="144" t="b">
        <v>1</v>
      </c>
      <c r="S153" s="144">
        <v>1.0</v>
      </c>
      <c r="T153" s="10"/>
      <c r="U153" s="5"/>
      <c r="V153" s="3"/>
      <c r="W153" s="5"/>
      <c r="X153" s="144" t="b">
        <v>0</v>
      </c>
      <c r="Y153" s="10" t="b">
        <v>0</v>
      </c>
      <c r="Z153" s="3"/>
      <c r="AA153" s="10" t="b">
        <v>0</v>
      </c>
      <c r="AB153" s="10" t="b">
        <v>0</v>
      </c>
      <c r="AC153" s="181">
        <v>622.0</v>
      </c>
      <c r="AD153" s="144" t="b">
        <v>0</v>
      </c>
      <c r="AE153" s="182"/>
      <c r="AF153" s="10" t="b">
        <v>0</v>
      </c>
      <c r="AG153" s="10" t="b">
        <v>0</v>
      </c>
      <c r="AH153" s="144"/>
      <c r="AI153" s="3"/>
      <c r="AJ153" s="10"/>
      <c r="AK153" s="3" t="s">
        <v>244</v>
      </c>
      <c r="AL153" s="5"/>
      <c r="AM153" s="5" t="s">
        <v>727</v>
      </c>
      <c r="AN153" s="5" t="s">
        <v>728</v>
      </c>
      <c r="AO153" s="5" t="s">
        <v>2185</v>
      </c>
      <c r="AP153" s="5" t="s">
        <v>2185</v>
      </c>
      <c r="AQ153" s="5" t="s">
        <v>2185</v>
      </c>
      <c r="AR153" s="5" t="s">
        <v>2185</v>
      </c>
      <c r="AS153" s="142"/>
      <c r="AT153" s="142" t="b">
        <v>0</v>
      </c>
      <c r="AU153" s="142"/>
      <c r="AV153" s="142"/>
      <c r="AW153" s="142"/>
      <c r="AX153" s="142"/>
      <c r="AY153" s="142"/>
      <c r="AZ153" s="174"/>
      <c r="BA153" s="142"/>
      <c r="BB153" s="142"/>
      <c r="BC153" s="142"/>
      <c r="BD153" s="142"/>
      <c r="BE153" s="142"/>
      <c r="BF153" s="142"/>
      <c r="BG153" s="142"/>
    </row>
    <row r="154">
      <c r="A154" s="5" t="s">
        <v>730</v>
      </c>
      <c r="B154" s="44">
        <v>44573.0</v>
      </c>
      <c r="C154" s="150">
        <v>0.35030092592592593</v>
      </c>
      <c r="D154" s="3"/>
      <c r="E154" s="3"/>
      <c r="F154" s="5"/>
      <c r="G154" s="5"/>
      <c r="H154" s="5"/>
      <c r="I154" s="3"/>
      <c r="J154" s="3"/>
      <c r="K154" s="3" t="s">
        <v>244</v>
      </c>
      <c r="L154" s="44">
        <v>44575.0</v>
      </c>
      <c r="M154" s="150">
        <v>0.48203703703703704</v>
      </c>
      <c r="N154" s="5"/>
      <c r="O154" s="5"/>
      <c r="P154" s="10" t="b">
        <v>0</v>
      </c>
      <c r="Q154" s="10" t="s">
        <v>2184</v>
      </c>
      <c r="R154" s="144" t="b">
        <v>1</v>
      </c>
      <c r="S154" s="144">
        <v>1.0</v>
      </c>
      <c r="T154" s="10"/>
      <c r="U154" s="5"/>
      <c r="V154" s="3"/>
      <c r="W154" s="5"/>
      <c r="X154" s="144" t="b">
        <v>0</v>
      </c>
      <c r="Y154" s="10" t="b">
        <v>0</v>
      </c>
      <c r="Z154" s="3"/>
      <c r="AA154" s="10" t="b">
        <v>0</v>
      </c>
      <c r="AB154" s="10" t="b">
        <v>0</v>
      </c>
      <c r="AC154" s="181">
        <v>621.0</v>
      </c>
      <c r="AD154" s="144" t="b">
        <v>0</v>
      </c>
      <c r="AE154" s="182"/>
      <c r="AF154" s="10" t="b">
        <v>0</v>
      </c>
      <c r="AG154" s="10" t="b">
        <v>0</v>
      </c>
      <c r="AH154" s="144"/>
      <c r="AI154" s="3"/>
      <c r="AJ154" s="10"/>
      <c r="AK154" s="3" t="s">
        <v>244</v>
      </c>
      <c r="AL154" s="5"/>
      <c r="AM154" s="5" t="s">
        <v>731</v>
      </c>
      <c r="AN154" s="5" t="s">
        <v>732</v>
      </c>
      <c r="AO154" s="5" t="s">
        <v>2185</v>
      </c>
      <c r="AP154" s="5" t="s">
        <v>2185</v>
      </c>
      <c r="AQ154" s="5" t="s">
        <v>2185</v>
      </c>
      <c r="AR154" s="5" t="s">
        <v>2185</v>
      </c>
      <c r="AS154" s="142"/>
      <c r="AT154" s="142" t="b">
        <v>0</v>
      </c>
      <c r="AU154" s="142"/>
      <c r="AV154" s="142"/>
      <c r="AW154" s="142"/>
      <c r="AX154" s="142"/>
      <c r="AY154" s="142"/>
      <c r="AZ154" s="174"/>
      <c r="BA154" s="142"/>
      <c r="BB154" s="142"/>
      <c r="BC154" s="142"/>
      <c r="BD154" s="142"/>
      <c r="BE154" s="142"/>
      <c r="BF154" s="142"/>
      <c r="BG154" s="142"/>
    </row>
    <row r="155">
      <c r="A155" s="5" t="s">
        <v>734</v>
      </c>
      <c r="B155" s="44">
        <v>44573.0</v>
      </c>
      <c r="C155" s="150">
        <v>0.38329861111111113</v>
      </c>
      <c r="D155" s="3"/>
      <c r="E155" s="3"/>
      <c r="F155" s="5"/>
      <c r="G155" s="5"/>
      <c r="H155" s="5"/>
      <c r="I155" s="3"/>
      <c r="J155" s="3"/>
      <c r="K155" s="3" t="s">
        <v>244</v>
      </c>
      <c r="L155" s="44">
        <v>44575.0</v>
      </c>
      <c r="M155" s="150">
        <v>0.48203703703703704</v>
      </c>
      <c r="N155" s="5"/>
      <c r="O155" s="5"/>
      <c r="P155" s="10" t="b">
        <v>0</v>
      </c>
      <c r="Q155" s="10" t="s">
        <v>2184</v>
      </c>
      <c r="R155" s="144" t="b">
        <v>1</v>
      </c>
      <c r="S155" s="144">
        <v>1.0</v>
      </c>
      <c r="T155" s="10">
        <v>0.0</v>
      </c>
      <c r="U155" s="5"/>
      <c r="V155" s="3"/>
      <c r="W155" s="5"/>
      <c r="X155" s="144" t="b">
        <v>0</v>
      </c>
      <c r="Y155" s="10" t="b">
        <v>0</v>
      </c>
      <c r="Z155" s="3"/>
      <c r="AA155" s="10" t="b">
        <v>0</v>
      </c>
      <c r="AB155" s="10" t="b">
        <v>0</v>
      </c>
      <c r="AC155" s="181">
        <v>620.0</v>
      </c>
      <c r="AD155" s="144" t="b">
        <v>0</v>
      </c>
      <c r="AE155" s="182"/>
      <c r="AF155" s="10" t="b">
        <v>0</v>
      </c>
      <c r="AG155" s="10" t="b">
        <v>0</v>
      </c>
      <c r="AH155" s="144"/>
      <c r="AI155" s="3"/>
      <c r="AJ155" s="10"/>
      <c r="AK155" s="3" t="s">
        <v>244</v>
      </c>
      <c r="AL155" s="5"/>
      <c r="AM155" s="5" t="s">
        <v>261</v>
      </c>
      <c r="AN155" s="5" t="s">
        <v>672</v>
      </c>
      <c r="AO155" s="5" t="s">
        <v>2185</v>
      </c>
      <c r="AP155" s="5" t="s">
        <v>2185</v>
      </c>
      <c r="AQ155" s="5" t="s">
        <v>2185</v>
      </c>
      <c r="AR155" s="5" t="s">
        <v>2185</v>
      </c>
      <c r="AS155" s="142"/>
      <c r="AT155" s="142" t="b">
        <v>0</v>
      </c>
      <c r="AU155" s="142"/>
      <c r="AV155" s="142"/>
      <c r="AW155" s="142"/>
      <c r="AX155" s="142"/>
      <c r="AY155" s="142"/>
      <c r="AZ155" s="174"/>
      <c r="BA155" s="142"/>
      <c r="BB155" s="142"/>
      <c r="BC155" s="142"/>
      <c r="BD155" s="142"/>
      <c r="BE155" s="142"/>
      <c r="BF155" s="142"/>
      <c r="BG155" s="142"/>
    </row>
    <row r="156">
      <c r="A156" s="5" t="s">
        <v>736</v>
      </c>
      <c r="B156" s="44">
        <v>44573.0</v>
      </c>
      <c r="C156" s="150">
        <v>0.38359953703703703</v>
      </c>
      <c r="D156" s="3"/>
      <c r="E156" s="3"/>
      <c r="F156" s="5"/>
      <c r="G156" s="5"/>
      <c r="H156" s="5"/>
      <c r="I156" s="3"/>
      <c r="J156" s="3"/>
      <c r="K156" s="3" t="s">
        <v>52</v>
      </c>
      <c r="L156" s="44">
        <v>44579.0</v>
      </c>
      <c r="M156" s="150">
        <v>0.5015856481481481</v>
      </c>
      <c r="N156" s="5"/>
      <c r="O156" s="5"/>
      <c r="P156" s="10" t="b">
        <v>0</v>
      </c>
      <c r="Q156" s="10" t="s">
        <v>2184</v>
      </c>
      <c r="R156" s="144" t="b">
        <v>1</v>
      </c>
      <c r="S156" s="144">
        <v>1.0</v>
      </c>
      <c r="T156" s="10"/>
      <c r="U156" s="5"/>
      <c r="V156" s="3"/>
      <c r="W156" s="5"/>
      <c r="X156" s="144" t="b">
        <v>0</v>
      </c>
      <c r="Y156" s="10" t="b">
        <v>0</v>
      </c>
      <c r="Z156" s="3"/>
      <c r="AA156" s="10" t="b">
        <v>0</v>
      </c>
      <c r="AB156" s="10" t="b">
        <v>0</v>
      </c>
      <c r="AC156" s="181">
        <v>619.0</v>
      </c>
      <c r="AD156" s="144" t="b">
        <v>0</v>
      </c>
      <c r="AE156" s="182"/>
      <c r="AF156" s="10" t="b">
        <v>0</v>
      </c>
      <c r="AG156" s="10" t="b">
        <v>0</v>
      </c>
      <c r="AH156" s="144"/>
      <c r="AI156" s="3"/>
      <c r="AJ156" s="10"/>
      <c r="AK156" s="3" t="s">
        <v>52</v>
      </c>
      <c r="AL156" s="5"/>
      <c r="AM156" s="5" t="s">
        <v>261</v>
      </c>
      <c r="AN156" s="5" t="s">
        <v>597</v>
      </c>
      <c r="AO156" s="5" t="s">
        <v>2185</v>
      </c>
      <c r="AP156" s="5" t="s">
        <v>2185</v>
      </c>
      <c r="AQ156" s="5" t="s">
        <v>2185</v>
      </c>
      <c r="AR156" s="5" t="s">
        <v>2185</v>
      </c>
      <c r="AS156" s="142"/>
      <c r="AT156" s="142" t="b">
        <v>0</v>
      </c>
      <c r="AU156" s="142"/>
      <c r="AV156" s="142"/>
      <c r="AW156" s="142"/>
      <c r="AX156" s="142"/>
      <c r="AY156" s="142"/>
      <c r="AZ156" s="174"/>
      <c r="BA156" s="142"/>
      <c r="BB156" s="142"/>
      <c r="BC156" s="142"/>
      <c r="BD156" s="142"/>
      <c r="BE156" s="142"/>
      <c r="BF156" s="142"/>
      <c r="BG156" s="142"/>
    </row>
    <row r="157">
      <c r="A157" s="5" t="s">
        <v>738</v>
      </c>
      <c r="B157" s="44">
        <v>44573.0</v>
      </c>
      <c r="C157" s="150">
        <v>0.38538194444444446</v>
      </c>
      <c r="D157" s="3"/>
      <c r="E157" s="3"/>
      <c r="F157" s="5"/>
      <c r="G157" s="5"/>
      <c r="H157" s="5"/>
      <c r="I157" s="3"/>
      <c r="J157" s="3"/>
      <c r="K157" s="3" t="s">
        <v>244</v>
      </c>
      <c r="L157" s="44">
        <v>44575.0</v>
      </c>
      <c r="M157" s="150">
        <v>0.48203703703703704</v>
      </c>
      <c r="N157" s="5"/>
      <c r="O157" s="5"/>
      <c r="P157" s="10" t="b">
        <v>0</v>
      </c>
      <c r="Q157" s="10" t="s">
        <v>2184</v>
      </c>
      <c r="R157" s="144" t="b">
        <v>1</v>
      </c>
      <c r="S157" s="144">
        <v>1.0</v>
      </c>
      <c r="T157" s="10"/>
      <c r="U157" s="5"/>
      <c r="V157" s="3"/>
      <c r="W157" s="5"/>
      <c r="X157" s="144" t="b">
        <v>0</v>
      </c>
      <c r="Y157" s="10" t="b">
        <v>0</v>
      </c>
      <c r="Z157" s="3"/>
      <c r="AA157" s="10" t="b">
        <v>0</v>
      </c>
      <c r="AB157" s="10" t="b">
        <v>0</v>
      </c>
      <c r="AC157" s="181">
        <v>618.0</v>
      </c>
      <c r="AD157" s="144" t="b">
        <v>0</v>
      </c>
      <c r="AE157" s="182"/>
      <c r="AF157" s="10" t="b">
        <v>0</v>
      </c>
      <c r="AG157" s="10" t="b">
        <v>0</v>
      </c>
      <c r="AH157" s="144"/>
      <c r="AI157" s="3"/>
      <c r="AJ157" s="10"/>
      <c r="AK157" s="3" t="s">
        <v>244</v>
      </c>
      <c r="AL157" s="5"/>
      <c r="AM157" s="5" t="s">
        <v>261</v>
      </c>
      <c r="AN157" s="5" t="s">
        <v>675</v>
      </c>
      <c r="AO157" s="5" t="s">
        <v>2185</v>
      </c>
      <c r="AP157" s="5" t="s">
        <v>2185</v>
      </c>
      <c r="AQ157" s="5" t="s">
        <v>2185</v>
      </c>
      <c r="AR157" s="5" t="s">
        <v>2185</v>
      </c>
      <c r="AS157" s="142"/>
      <c r="AT157" s="142" t="b">
        <v>0</v>
      </c>
      <c r="AU157" s="142"/>
      <c r="AV157" s="142"/>
      <c r="AW157" s="142"/>
      <c r="AX157" s="142"/>
      <c r="AY157" s="142"/>
      <c r="AZ157" s="174"/>
      <c r="BA157" s="142"/>
      <c r="BB157" s="142"/>
      <c r="BC157" s="142"/>
      <c r="BD157" s="142"/>
      <c r="BE157" s="142"/>
      <c r="BF157" s="142"/>
      <c r="BG157" s="142"/>
    </row>
    <row r="158">
      <c r="A158" s="5" t="s">
        <v>740</v>
      </c>
      <c r="B158" s="44">
        <v>44573.0</v>
      </c>
      <c r="C158" s="150">
        <v>0.3858564814814815</v>
      </c>
      <c r="D158" s="3"/>
      <c r="E158" s="3"/>
      <c r="F158" s="5"/>
      <c r="G158" s="5"/>
      <c r="H158" s="5"/>
      <c r="I158" s="3"/>
      <c r="J158" s="3"/>
      <c r="K158" s="3" t="s">
        <v>52</v>
      </c>
      <c r="L158" s="44">
        <v>44579.0</v>
      </c>
      <c r="M158" s="150">
        <v>0.5015856481481481</v>
      </c>
      <c r="N158" s="5"/>
      <c r="O158" s="5"/>
      <c r="P158" s="10" t="b">
        <v>0</v>
      </c>
      <c r="Q158" s="10" t="s">
        <v>2184</v>
      </c>
      <c r="R158" s="144" t="b">
        <v>1</v>
      </c>
      <c r="S158" s="144">
        <v>1.0</v>
      </c>
      <c r="T158" s="10">
        <v>0.0</v>
      </c>
      <c r="U158" s="5"/>
      <c r="V158" s="3"/>
      <c r="W158" s="5"/>
      <c r="X158" s="144" t="b">
        <v>0</v>
      </c>
      <c r="Y158" s="10" t="b">
        <v>0</v>
      </c>
      <c r="Z158" s="3"/>
      <c r="AA158" s="10" t="b">
        <v>0</v>
      </c>
      <c r="AB158" s="10" t="b">
        <v>0</v>
      </c>
      <c r="AC158" s="181">
        <v>617.0</v>
      </c>
      <c r="AD158" s="144" t="b">
        <v>0</v>
      </c>
      <c r="AE158" s="182"/>
      <c r="AF158" s="10" t="b">
        <v>0</v>
      </c>
      <c r="AG158" s="10" t="b">
        <v>0</v>
      </c>
      <c r="AH158" s="144"/>
      <c r="AI158" s="3"/>
      <c r="AJ158" s="10"/>
      <c r="AK158" s="3" t="s">
        <v>52</v>
      </c>
      <c r="AL158" s="5"/>
      <c r="AM158" s="5" t="s">
        <v>261</v>
      </c>
      <c r="AN158" s="5" t="s">
        <v>741</v>
      </c>
      <c r="AO158" s="5" t="s">
        <v>2185</v>
      </c>
      <c r="AP158" s="5" t="s">
        <v>2185</v>
      </c>
      <c r="AQ158" s="5" t="s">
        <v>2185</v>
      </c>
      <c r="AR158" s="5" t="s">
        <v>2185</v>
      </c>
      <c r="AS158" s="142"/>
      <c r="AT158" s="142" t="b">
        <v>0</v>
      </c>
      <c r="AU158" s="142"/>
      <c r="AV158" s="142"/>
      <c r="AW158" s="142"/>
      <c r="AX158" s="142"/>
      <c r="AY158" s="142"/>
      <c r="AZ158" s="174"/>
      <c r="BA158" s="142"/>
      <c r="BB158" s="142"/>
      <c r="BC158" s="142"/>
      <c r="BD158" s="142"/>
      <c r="BE158" s="142"/>
      <c r="BF158" s="142"/>
      <c r="BG158" s="142"/>
    </row>
    <row r="159">
      <c r="A159" s="5" t="s">
        <v>743</v>
      </c>
      <c r="B159" s="44">
        <v>44573.0</v>
      </c>
      <c r="C159" s="150">
        <v>0.38631944444444444</v>
      </c>
      <c r="D159" s="3"/>
      <c r="E159" s="3"/>
      <c r="F159" s="5"/>
      <c r="G159" s="5"/>
      <c r="H159" s="5"/>
      <c r="I159" s="3"/>
      <c r="J159" s="3"/>
      <c r="K159" s="3" t="s">
        <v>244</v>
      </c>
      <c r="L159" s="44">
        <v>44575.0</v>
      </c>
      <c r="M159" s="150">
        <v>0.48203703703703704</v>
      </c>
      <c r="N159" s="5"/>
      <c r="O159" s="5"/>
      <c r="P159" s="10" t="b">
        <v>0</v>
      </c>
      <c r="Q159" s="10" t="s">
        <v>2184</v>
      </c>
      <c r="R159" s="144" t="b">
        <v>1</v>
      </c>
      <c r="S159" s="144">
        <v>1.0</v>
      </c>
      <c r="T159" s="10">
        <v>0.0</v>
      </c>
      <c r="U159" s="5"/>
      <c r="V159" s="3"/>
      <c r="W159" s="5"/>
      <c r="X159" s="144" t="b">
        <v>0</v>
      </c>
      <c r="Y159" s="10" t="b">
        <v>0</v>
      </c>
      <c r="Z159" s="3"/>
      <c r="AA159" s="10" t="b">
        <v>0</v>
      </c>
      <c r="AB159" s="10" t="b">
        <v>0</v>
      </c>
      <c r="AC159" s="181">
        <v>616.0</v>
      </c>
      <c r="AD159" s="144" t="b">
        <v>0</v>
      </c>
      <c r="AE159" s="182"/>
      <c r="AF159" s="10" t="b">
        <v>0</v>
      </c>
      <c r="AG159" s="10" t="b">
        <v>0</v>
      </c>
      <c r="AH159" s="144"/>
      <c r="AI159" s="3"/>
      <c r="AJ159" s="10"/>
      <c r="AK159" s="3" t="s">
        <v>244</v>
      </c>
      <c r="AL159" s="5"/>
      <c r="AM159" s="5" t="s">
        <v>261</v>
      </c>
      <c r="AN159" s="5" t="s">
        <v>681</v>
      </c>
      <c r="AO159" s="5" t="s">
        <v>2185</v>
      </c>
      <c r="AP159" s="5" t="s">
        <v>2185</v>
      </c>
      <c r="AQ159" s="5" t="s">
        <v>2185</v>
      </c>
      <c r="AR159" s="5" t="s">
        <v>2185</v>
      </c>
      <c r="AS159" s="142"/>
      <c r="AT159" s="142" t="b">
        <v>0</v>
      </c>
      <c r="AU159" s="142"/>
      <c r="AV159" s="142"/>
      <c r="AW159" s="142"/>
      <c r="AX159" s="142"/>
      <c r="AY159" s="142"/>
      <c r="AZ159" s="174"/>
      <c r="BA159" s="142"/>
      <c r="BB159" s="142"/>
      <c r="BC159" s="142"/>
      <c r="BD159" s="142"/>
      <c r="BE159" s="142"/>
      <c r="BF159" s="142"/>
      <c r="BG159" s="142"/>
    </row>
    <row r="160">
      <c r="A160" s="5" t="s">
        <v>745</v>
      </c>
      <c r="B160" s="44">
        <v>44573.0</v>
      </c>
      <c r="C160" s="150">
        <v>0.3869444444444444</v>
      </c>
      <c r="D160" s="3"/>
      <c r="E160" s="3"/>
      <c r="F160" s="5"/>
      <c r="G160" s="5"/>
      <c r="H160" s="5"/>
      <c r="I160" s="3"/>
      <c r="J160" s="3"/>
      <c r="K160" s="3" t="s">
        <v>52</v>
      </c>
      <c r="L160" s="44">
        <v>44579.0</v>
      </c>
      <c r="M160" s="150">
        <v>0.5015856481481481</v>
      </c>
      <c r="N160" s="5"/>
      <c r="O160" s="5"/>
      <c r="P160" s="10" t="b">
        <v>0</v>
      </c>
      <c r="Q160" s="10" t="s">
        <v>2184</v>
      </c>
      <c r="R160" s="144" t="b">
        <v>1</v>
      </c>
      <c r="S160" s="144">
        <v>1.0</v>
      </c>
      <c r="T160" s="10">
        <v>0.0</v>
      </c>
      <c r="U160" s="5"/>
      <c r="V160" s="3"/>
      <c r="W160" s="5"/>
      <c r="X160" s="144" t="b">
        <v>0</v>
      </c>
      <c r="Y160" s="10" t="b">
        <v>0</v>
      </c>
      <c r="Z160" s="3"/>
      <c r="AA160" s="10" t="b">
        <v>0</v>
      </c>
      <c r="AB160" s="10" t="b">
        <v>0</v>
      </c>
      <c r="AC160" s="181">
        <v>615.0</v>
      </c>
      <c r="AD160" s="144" t="b">
        <v>0</v>
      </c>
      <c r="AE160" s="182"/>
      <c r="AF160" s="10" t="b">
        <v>0</v>
      </c>
      <c r="AG160" s="10" t="b">
        <v>0</v>
      </c>
      <c r="AH160" s="144"/>
      <c r="AI160" s="3"/>
      <c r="AJ160" s="10"/>
      <c r="AK160" s="3" t="s">
        <v>52</v>
      </c>
      <c r="AL160" s="5"/>
      <c r="AM160" s="5" t="s">
        <v>261</v>
      </c>
      <c r="AN160" s="5" t="s">
        <v>684</v>
      </c>
      <c r="AO160" s="5" t="s">
        <v>2185</v>
      </c>
      <c r="AP160" s="5" t="s">
        <v>2185</v>
      </c>
      <c r="AQ160" s="5" t="s">
        <v>2185</v>
      </c>
      <c r="AR160" s="5" t="s">
        <v>2185</v>
      </c>
      <c r="AS160" s="142"/>
      <c r="AT160" s="142" t="b">
        <v>0</v>
      </c>
      <c r="AU160" s="142"/>
      <c r="AV160" s="142"/>
      <c r="AW160" s="142"/>
      <c r="AX160" s="142"/>
      <c r="AY160" s="142"/>
      <c r="AZ160" s="174"/>
      <c r="BA160" s="142"/>
      <c r="BB160" s="142"/>
      <c r="BC160" s="142"/>
      <c r="BD160" s="142"/>
      <c r="BE160" s="142"/>
      <c r="BF160" s="142"/>
      <c r="BG160" s="142"/>
    </row>
    <row r="161">
      <c r="A161" s="5" t="s">
        <v>747</v>
      </c>
      <c r="B161" s="44">
        <v>44573.0</v>
      </c>
      <c r="C161" s="150">
        <v>0.3873263888888889</v>
      </c>
      <c r="D161" s="3"/>
      <c r="E161" s="3"/>
      <c r="F161" s="5"/>
      <c r="G161" s="5"/>
      <c r="H161" s="5"/>
      <c r="I161" s="3"/>
      <c r="J161" s="3"/>
      <c r="K161" s="3" t="s">
        <v>244</v>
      </c>
      <c r="L161" s="44">
        <v>44575.0</v>
      </c>
      <c r="M161" s="150">
        <v>0.48203703703703704</v>
      </c>
      <c r="N161" s="5"/>
      <c r="O161" s="5"/>
      <c r="P161" s="10" t="b">
        <v>0</v>
      </c>
      <c r="Q161" s="10" t="s">
        <v>2184</v>
      </c>
      <c r="R161" s="144" t="b">
        <v>1</v>
      </c>
      <c r="S161" s="144">
        <v>1.0</v>
      </c>
      <c r="T161" s="10">
        <v>0.0</v>
      </c>
      <c r="U161" s="5"/>
      <c r="V161" s="3"/>
      <c r="W161" s="5"/>
      <c r="X161" s="144" t="b">
        <v>0</v>
      </c>
      <c r="Y161" s="10" t="b">
        <v>0</v>
      </c>
      <c r="Z161" s="3"/>
      <c r="AA161" s="10" t="b">
        <v>0</v>
      </c>
      <c r="AB161" s="10" t="b">
        <v>0</v>
      </c>
      <c r="AC161" s="181">
        <v>614.0</v>
      </c>
      <c r="AD161" s="144" t="b">
        <v>0</v>
      </c>
      <c r="AE161" s="182"/>
      <c r="AF161" s="10" t="b">
        <v>0</v>
      </c>
      <c r="AG161" s="10" t="b">
        <v>0</v>
      </c>
      <c r="AH161" s="144"/>
      <c r="AI161" s="3"/>
      <c r="AJ161" s="10"/>
      <c r="AK161" s="3" t="s">
        <v>244</v>
      </c>
      <c r="AL161" s="5"/>
      <c r="AM161" s="5" t="s">
        <v>261</v>
      </c>
      <c r="AN161" s="5" t="s">
        <v>678</v>
      </c>
      <c r="AO161" s="5" t="s">
        <v>2185</v>
      </c>
      <c r="AP161" s="5" t="s">
        <v>2185</v>
      </c>
      <c r="AQ161" s="5" t="s">
        <v>2185</v>
      </c>
      <c r="AR161" s="5" t="s">
        <v>2185</v>
      </c>
      <c r="AS161" s="142"/>
      <c r="AT161" s="142" t="b">
        <v>0</v>
      </c>
      <c r="AU161" s="142"/>
      <c r="AV161" s="142"/>
      <c r="AW161" s="142"/>
      <c r="AX161" s="142"/>
      <c r="AY161" s="142"/>
      <c r="AZ161" s="174"/>
      <c r="BA161" s="142"/>
      <c r="BB161" s="142"/>
      <c r="BC161" s="142"/>
      <c r="BD161" s="142"/>
      <c r="BE161" s="142"/>
      <c r="BF161" s="142"/>
      <c r="BG161" s="142"/>
    </row>
    <row r="162">
      <c r="A162" s="5" t="s">
        <v>749</v>
      </c>
      <c r="B162" s="44">
        <v>44573.0</v>
      </c>
      <c r="C162" s="150">
        <v>0.39944444444444444</v>
      </c>
      <c r="D162" s="3"/>
      <c r="E162" s="3"/>
      <c r="F162" s="5"/>
      <c r="G162" s="5"/>
      <c r="H162" s="5"/>
      <c r="I162" s="3"/>
      <c r="J162" s="3"/>
      <c r="K162" s="3" t="s">
        <v>244</v>
      </c>
      <c r="L162" s="44">
        <v>44575.0</v>
      </c>
      <c r="M162" s="150">
        <v>0.48204861111111114</v>
      </c>
      <c r="N162" s="5"/>
      <c r="O162" s="5"/>
      <c r="P162" s="10" t="b">
        <v>0</v>
      </c>
      <c r="Q162" s="10" t="s">
        <v>2184</v>
      </c>
      <c r="R162" s="144" t="b">
        <v>1</v>
      </c>
      <c r="S162" s="144">
        <v>1.0</v>
      </c>
      <c r="T162" s="10"/>
      <c r="U162" s="5"/>
      <c r="V162" s="3"/>
      <c r="W162" s="5"/>
      <c r="X162" s="144" t="b">
        <v>0</v>
      </c>
      <c r="Y162" s="10" t="b">
        <v>0</v>
      </c>
      <c r="Z162" s="3"/>
      <c r="AA162" s="10" t="b">
        <v>0</v>
      </c>
      <c r="AB162" s="10" t="b">
        <v>0</v>
      </c>
      <c r="AC162" s="181">
        <v>613.0</v>
      </c>
      <c r="AD162" s="144" t="b">
        <v>0</v>
      </c>
      <c r="AE162" s="182"/>
      <c r="AF162" s="10" t="b">
        <v>0</v>
      </c>
      <c r="AG162" s="10" t="b">
        <v>0</v>
      </c>
      <c r="AH162" s="144"/>
      <c r="AI162" s="3"/>
      <c r="AJ162" s="10"/>
      <c r="AK162" s="3" t="s">
        <v>244</v>
      </c>
      <c r="AL162" s="5"/>
      <c r="AM162" s="5" t="s">
        <v>261</v>
      </c>
      <c r="AN162" s="5" t="s">
        <v>357</v>
      </c>
      <c r="AO162" s="5" t="s">
        <v>2185</v>
      </c>
      <c r="AP162" s="5" t="s">
        <v>2185</v>
      </c>
      <c r="AQ162" s="5" t="s">
        <v>2185</v>
      </c>
      <c r="AR162" s="5" t="s">
        <v>2185</v>
      </c>
      <c r="AS162" s="142"/>
      <c r="AT162" s="142" t="b">
        <v>0</v>
      </c>
      <c r="AU162" s="142"/>
      <c r="AV162" s="142"/>
      <c r="AW162" s="142"/>
      <c r="AX162" s="142"/>
      <c r="AY162" s="142"/>
      <c r="AZ162" s="174"/>
      <c r="BA162" s="142"/>
      <c r="BB162" s="142"/>
      <c r="BC162" s="142"/>
      <c r="BD162" s="142"/>
      <c r="BE162" s="142"/>
      <c r="BF162" s="142"/>
      <c r="BG162" s="142"/>
    </row>
    <row r="163">
      <c r="A163" s="5" t="s">
        <v>751</v>
      </c>
      <c r="B163" s="44">
        <v>44573.0</v>
      </c>
      <c r="C163" s="150">
        <v>0.4143287037037037</v>
      </c>
      <c r="D163" s="3"/>
      <c r="E163" s="3"/>
      <c r="F163" s="5"/>
      <c r="G163" s="5"/>
      <c r="H163" s="5"/>
      <c r="I163" s="3"/>
      <c r="J163" s="3"/>
      <c r="K163" s="3" t="s">
        <v>244</v>
      </c>
      <c r="L163" s="44">
        <v>44575.0</v>
      </c>
      <c r="M163" s="150">
        <v>0.48204861111111114</v>
      </c>
      <c r="N163" s="5"/>
      <c r="O163" s="5"/>
      <c r="P163" s="10" t="b">
        <v>0</v>
      </c>
      <c r="Q163" s="10" t="s">
        <v>2184</v>
      </c>
      <c r="R163" s="144" t="b">
        <v>1</v>
      </c>
      <c r="S163" s="144">
        <v>1.0</v>
      </c>
      <c r="T163" s="10">
        <v>1.0</v>
      </c>
      <c r="U163" s="5"/>
      <c r="V163" s="3"/>
      <c r="W163" s="5"/>
      <c r="X163" s="144" t="b">
        <v>0</v>
      </c>
      <c r="Y163" s="10" t="b">
        <v>0</v>
      </c>
      <c r="Z163" s="3"/>
      <c r="AA163" s="10" t="b">
        <v>0</v>
      </c>
      <c r="AB163" s="10" t="b">
        <v>0</v>
      </c>
      <c r="AC163" s="181">
        <v>612.0</v>
      </c>
      <c r="AD163" s="144" t="b">
        <v>0</v>
      </c>
      <c r="AE163" s="182"/>
      <c r="AF163" s="10" t="b">
        <v>0</v>
      </c>
      <c r="AG163" s="10" t="b">
        <v>0</v>
      </c>
      <c r="AH163" s="144"/>
      <c r="AI163" s="3"/>
      <c r="AJ163" s="10"/>
      <c r="AK163" s="3" t="s">
        <v>244</v>
      </c>
      <c r="AL163" s="5"/>
      <c r="AM163" s="5" t="s">
        <v>261</v>
      </c>
      <c r="AN163" s="5" t="s">
        <v>521</v>
      </c>
      <c r="AO163" s="5" t="s">
        <v>2185</v>
      </c>
      <c r="AP163" s="5" t="s">
        <v>2185</v>
      </c>
      <c r="AQ163" s="5" t="s">
        <v>2185</v>
      </c>
      <c r="AR163" s="5" t="s">
        <v>2185</v>
      </c>
      <c r="AS163" s="142"/>
      <c r="AT163" s="142" t="b">
        <v>0</v>
      </c>
      <c r="AU163" s="142"/>
      <c r="AV163" s="142"/>
      <c r="AW163" s="142"/>
      <c r="AX163" s="142"/>
      <c r="AY163" s="142"/>
      <c r="AZ163" s="174"/>
      <c r="BA163" s="142"/>
      <c r="BB163" s="142"/>
      <c r="BC163" s="142"/>
      <c r="BD163" s="142"/>
      <c r="BE163" s="142"/>
      <c r="BF163" s="142"/>
      <c r="BG163" s="142"/>
    </row>
    <row r="164">
      <c r="A164" s="5" t="s">
        <v>756</v>
      </c>
      <c r="B164" s="44">
        <v>44573.0</v>
      </c>
      <c r="C164" s="150">
        <v>0.42453703703703705</v>
      </c>
      <c r="D164" s="3"/>
      <c r="E164" s="3"/>
      <c r="F164" s="5"/>
      <c r="G164" s="5"/>
      <c r="H164" s="5"/>
      <c r="I164" s="3"/>
      <c r="J164" s="3"/>
      <c r="K164" s="3" t="s">
        <v>244</v>
      </c>
      <c r="L164" s="44">
        <v>44575.0</v>
      </c>
      <c r="M164" s="150">
        <v>0.48204861111111114</v>
      </c>
      <c r="N164" s="5"/>
      <c r="O164" s="5"/>
      <c r="P164" s="10" t="b">
        <v>0</v>
      </c>
      <c r="Q164" s="10" t="s">
        <v>2184</v>
      </c>
      <c r="R164" s="144" t="b">
        <v>1</v>
      </c>
      <c r="S164" s="144">
        <v>1.0</v>
      </c>
      <c r="T164" s="10"/>
      <c r="U164" s="5"/>
      <c r="V164" s="3"/>
      <c r="W164" s="5"/>
      <c r="X164" s="144" t="b">
        <v>0</v>
      </c>
      <c r="Y164" s="10" t="b">
        <v>0</v>
      </c>
      <c r="Z164" s="3"/>
      <c r="AA164" s="10" t="b">
        <v>0</v>
      </c>
      <c r="AB164" s="10" t="b">
        <v>0</v>
      </c>
      <c r="AC164" s="181">
        <v>611.0</v>
      </c>
      <c r="AD164" s="144" t="b">
        <v>0</v>
      </c>
      <c r="AE164" s="182"/>
      <c r="AF164" s="10" t="b">
        <v>0</v>
      </c>
      <c r="AG164" s="10" t="b">
        <v>0</v>
      </c>
      <c r="AH164" s="144"/>
      <c r="AI164" s="3"/>
      <c r="AJ164" s="10"/>
      <c r="AK164" s="3" t="s">
        <v>244</v>
      </c>
      <c r="AL164" s="5"/>
      <c r="AM164" s="5" t="s">
        <v>261</v>
      </c>
      <c r="AN164" s="5" t="s">
        <v>262</v>
      </c>
      <c r="AO164" s="5" t="s">
        <v>2185</v>
      </c>
      <c r="AP164" s="5" t="s">
        <v>2185</v>
      </c>
      <c r="AQ164" s="5" t="s">
        <v>2185</v>
      </c>
      <c r="AR164" s="5" t="s">
        <v>2185</v>
      </c>
      <c r="AS164" s="142"/>
      <c r="AT164" s="142" t="b">
        <v>0</v>
      </c>
      <c r="AU164" s="142"/>
      <c r="AV164" s="142"/>
      <c r="AW164" s="142"/>
      <c r="AX164" s="142"/>
      <c r="AY164" s="142"/>
      <c r="AZ164" s="174"/>
      <c r="BA164" s="142"/>
      <c r="BB164" s="142"/>
      <c r="BC164" s="142"/>
      <c r="BD164" s="142"/>
      <c r="BE164" s="142"/>
      <c r="BF164" s="142"/>
      <c r="BG164" s="142"/>
    </row>
    <row r="165">
      <c r="A165" s="5" t="s">
        <v>758</v>
      </c>
      <c r="B165" s="44">
        <v>44573.0</v>
      </c>
      <c r="C165" s="150">
        <v>0.444224537037037</v>
      </c>
      <c r="D165" s="3"/>
      <c r="E165" s="3"/>
      <c r="F165" s="5"/>
      <c r="G165" s="5"/>
      <c r="H165" s="5"/>
      <c r="I165" s="3"/>
      <c r="J165" s="3"/>
      <c r="K165" s="3" t="s">
        <v>244</v>
      </c>
      <c r="L165" s="44">
        <v>44575.0</v>
      </c>
      <c r="M165" s="150">
        <v>0.48204861111111114</v>
      </c>
      <c r="N165" s="5"/>
      <c r="O165" s="5"/>
      <c r="P165" s="10" t="b">
        <v>0</v>
      </c>
      <c r="Q165" s="10" t="s">
        <v>2184</v>
      </c>
      <c r="R165" s="144" t="b">
        <v>1</v>
      </c>
      <c r="S165" s="144">
        <v>1.0</v>
      </c>
      <c r="T165" s="10">
        <v>0.0</v>
      </c>
      <c r="U165" s="5"/>
      <c r="V165" s="3"/>
      <c r="W165" s="5"/>
      <c r="X165" s="144" t="b">
        <v>0</v>
      </c>
      <c r="Y165" s="10" t="b">
        <v>0</v>
      </c>
      <c r="Z165" s="3"/>
      <c r="AA165" s="10" t="b">
        <v>0</v>
      </c>
      <c r="AB165" s="10" t="b">
        <v>0</v>
      </c>
      <c r="AC165" s="181">
        <v>610.0</v>
      </c>
      <c r="AD165" s="144" t="b">
        <v>0</v>
      </c>
      <c r="AE165" s="182"/>
      <c r="AF165" s="10" t="b">
        <v>0</v>
      </c>
      <c r="AG165" s="10" t="b">
        <v>0</v>
      </c>
      <c r="AH165" s="144"/>
      <c r="AI165" s="3"/>
      <c r="AJ165" s="10"/>
      <c r="AK165" s="3" t="s">
        <v>244</v>
      </c>
      <c r="AL165" s="5"/>
      <c r="AM165" s="5" t="s">
        <v>261</v>
      </c>
      <c r="AN165" s="5" t="s">
        <v>759</v>
      </c>
      <c r="AO165" s="5" t="s">
        <v>2185</v>
      </c>
      <c r="AP165" s="5" t="s">
        <v>2185</v>
      </c>
      <c r="AQ165" s="5" t="s">
        <v>2185</v>
      </c>
      <c r="AR165" s="5" t="s">
        <v>2185</v>
      </c>
      <c r="AS165" s="142"/>
      <c r="AT165" s="142" t="b">
        <v>0</v>
      </c>
      <c r="AU165" s="142"/>
      <c r="AV165" s="142"/>
      <c r="AW165" s="142"/>
      <c r="AX165" s="142"/>
      <c r="AY165" s="142"/>
      <c r="AZ165" s="174"/>
      <c r="BA165" s="142"/>
      <c r="BB165" s="142"/>
      <c r="BC165" s="142"/>
      <c r="BD165" s="142"/>
      <c r="BE165" s="142"/>
      <c r="BF165" s="142"/>
      <c r="BG165" s="142"/>
    </row>
    <row r="166">
      <c r="A166" s="5" t="s">
        <v>761</v>
      </c>
      <c r="B166" s="44">
        <v>44574.0</v>
      </c>
      <c r="C166" s="150">
        <v>0.5845023148148148</v>
      </c>
      <c r="D166" s="3"/>
      <c r="E166" s="3"/>
      <c r="F166" s="5"/>
      <c r="G166" s="5"/>
      <c r="H166" s="5"/>
      <c r="I166" s="3"/>
      <c r="J166" s="3"/>
      <c r="K166" s="3" t="s">
        <v>52</v>
      </c>
      <c r="L166" s="44">
        <v>44579.0</v>
      </c>
      <c r="M166" s="150">
        <v>0.5015856481481481</v>
      </c>
      <c r="N166" s="5"/>
      <c r="O166" s="5"/>
      <c r="P166" s="10" t="b">
        <v>0</v>
      </c>
      <c r="Q166" s="10" t="s">
        <v>2184</v>
      </c>
      <c r="R166" s="144" t="b">
        <v>1</v>
      </c>
      <c r="S166" s="144">
        <v>1.0</v>
      </c>
      <c r="T166" s="10"/>
      <c r="U166" s="5"/>
      <c r="V166" s="3"/>
      <c r="W166" s="5"/>
      <c r="X166" s="144" t="b">
        <v>0</v>
      </c>
      <c r="Y166" s="10" t="b">
        <v>0</v>
      </c>
      <c r="Z166" s="3"/>
      <c r="AA166" s="10" t="b">
        <v>0</v>
      </c>
      <c r="AB166" s="10" t="b">
        <v>0</v>
      </c>
      <c r="AC166" s="181">
        <v>609.0</v>
      </c>
      <c r="AD166" s="144" t="b">
        <v>0</v>
      </c>
      <c r="AE166" s="182"/>
      <c r="AF166" s="10" t="b">
        <v>0</v>
      </c>
      <c r="AG166" s="10" t="b">
        <v>0</v>
      </c>
      <c r="AH166" s="144"/>
      <c r="AI166" s="3"/>
      <c r="AJ166" s="10"/>
      <c r="AK166" s="3" t="s">
        <v>52</v>
      </c>
      <c r="AL166" s="5"/>
      <c r="AM166" s="5" t="s">
        <v>762</v>
      </c>
      <c r="AN166" s="5" t="s">
        <v>763</v>
      </c>
      <c r="AO166" s="5" t="s">
        <v>2185</v>
      </c>
      <c r="AP166" s="5" t="s">
        <v>2185</v>
      </c>
      <c r="AQ166" s="5" t="s">
        <v>2185</v>
      </c>
      <c r="AR166" s="5" t="s">
        <v>2185</v>
      </c>
      <c r="AS166" s="142"/>
      <c r="AT166" s="142" t="b">
        <v>0</v>
      </c>
      <c r="AU166" s="142"/>
      <c r="AV166" s="142"/>
      <c r="AW166" s="142"/>
      <c r="AX166" s="142"/>
      <c r="AY166" s="142"/>
      <c r="AZ166" s="174"/>
      <c r="BA166" s="142"/>
      <c r="BB166" s="142"/>
      <c r="BC166" s="142"/>
      <c r="BD166" s="142"/>
      <c r="BE166" s="142"/>
      <c r="BF166" s="142"/>
      <c r="BG166" s="142"/>
    </row>
    <row r="167">
      <c r="A167" s="5" t="s">
        <v>767</v>
      </c>
      <c r="B167" s="44">
        <v>44574.0</v>
      </c>
      <c r="C167" s="150">
        <v>0.6161342592592592</v>
      </c>
      <c r="D167" s="3"/>
      <c r="E167" s="3"/>
      <c r="F167" s="5"/>
      <c r="G167" s="5"/>
      <c r="H167" s="5"/>
      <c r="I167" s="3"/>
      <c r="J167" s="3"/>
      <c r="K167" s="3" t="s">
        <v>52</v>
      </c>
      <c r="L167" s="44">
        <v>44579.0</v>
      </c>
      <c r="M167" s="150">
        <v>0.5015856481481481</v>
      </c>
      <c r="N167" s="5"/>
      <c r="O167" s="5"/>
      <c r="P167" s="10" t="b">
        <v>0</v>
      </c>
      <c r="Q167" s="10" t="s">
        <v>2184</v>
      </c>
      <c r="R167" s="144" t="b">
        <v>1</v>
      </c>
      <c r="S167" s="144">
        <v>1.0</v>
      </c>
      <c r="T167" s="10"/>
      <c r="U167" s="5"/>
      <c r="V167" s="3"/>
      <c r="W167" s="5"/>
      <c r="X167" s="144" t="b">
        <v>0</v>
      </c>
      <c r="Y167" s="10" t="b">
        <v>0</v>
      </c>
      <c r="Z167" s="3"/>
      <c r="AA167" s="10" t="b">
        <v>0</v>
      </c>
      <c r="AB167" s="10" t="b">
        <v>0</v>
      </c>
      <c r="AC167" s="181">
        <v>608.0</v>
      </c>
      <c r="AD167" s="144" t="b">
        <v>0</v>
      </c>
      <c r="AE167" s="182"/>
      <c r="AF167" s="10" t="b">
        <v>0</v>
      </c>
      <c r="AG167" s="10" t="b">
        <v>0</v>
      </c>
      <c r="AH167" s="144"/>
      <c r="AI167" s="3"/>
      <c r="AJ167" s="10"/>
      <c r="AK167" s="3" t="s">
        <v>52</v>
      </c>
      <c r="AL167" s="5"/>
      <c r="AM167" s="5" t="s">
        <v>762</v>
      </c>
      <c r="AN167" s="5" t="s">
        <v>768</v>
      </c>
      <c r="AO167" s="5" t="s">
        <v>2185</v>
      </c>
      <c r="AP167" s="5" t="s">
        <v>2185</v>
      </c>
      <c r="AQ167" s="5" t="s">
        <v>2185</v>
      </c>
      <c r="AR167" s="5" t="s">
        <v>2185</v>
      </c>
      <c r="AS167" s="142"/>
      <c r="AT167" s="142" t="b">
        <v>0</v>
      </c>
      <c r="AU167" s="142"/>
      <c r="AV167" s="142"/>
      <c r="AW167" s="142"/>
      <c r="AX167" s="142"/>
      <c r="AY167" s="142"/>
      <c r="AZ167" s="174"/>
      <c r="BA167" s="142"/>
      <c r="BB167" s="142"/>
      <c r="BC167" s="142"/>
      <c r="BD167" s="142"/>
      <c r="BE167" s="142"/>
      <c r="BF167" s="142"/>
      <c r="BG167" s="142"/>
    </row>
    <row r="168">
      <c r="A168" s="5" t="s">
        <v>770</v>
      </c>
      <c r="B168" s="44">
        <v>44574.0</v>
      </c>
      <c r="C168" s="150">
        <v>0.6712731481481482</v>
      </c>
      <c r="D168" s="3"/>
      <c r="E168" s="3"/>
      <c r="F168" s="5"/>
      <c r="G168" s="5"/>
      <c r="H168" s="5"/>
      <c r="I168" s="3"/>
      <c r="J168" s="3"/>
      <c r="K168" s="3" t="s">
        <v>244</v>
      </c>
      <c r="L168" s="44">
        <v>44575.0</v>
      </c>
      <c r="M168" s="150">
        <v>0.48204861111111114</v>
      </c>
      <c r="N168" s="5"/>
      <c r="O168" s="5"/>
      <c r="P168" s="10" t="b">
        <v>0</v>
      </c>
      <c r="Q168" s="10" t="s">
        <v>2184</v>
      </c>
      <c r="R168" s="144" t="b">
        <v>1</v>
      </c>
      <c r="S168" s="144">
        <v>1.0</v>
      </c>
      <c r="T168" s="10">
        <v>0.0</v>
      </c>
      <c r="U168" s="5"/>
      <c r="V168" s="3"/>
      <c r="W168" s="5"/>
      <c r="X168" s="144" t="b">
        <v>0</v>
      </c>
      <c r="Y168" s="10" t="b">
        <v>0</v>
      </c>
      <c r="Z168" s="3"/>
      <c r="AA168" s="10" t="b">
        <v>0</v>
      </c>
      <c r="AB168" s="10" t="b">
        <v>0</v>
      </c>
      <c r="AC168" s="181">
        <v>607.0</v>
      </c>
      <c r="AD168" s="144" t="b">
        <v>0</v>
      </c>
      <c r="AE168" s="182"/>
      <c r="AF168" s="10" t="b">
        <v>0</v>
      </c>
      <c r="AG168" s="10" t="b">
        <v>0</v>
      </c>
      <c r="AH168" s="144"/>
      <c r="AI168" s="3"/>
      <c r="AJ168" s="10"/>
      <c r="AK168" s="3" t="s">
        <v>244</v>
      </c>
      <c r="AL168" s="5"/>
      <c r="AM168" s="5" t="s">
        <v>717</v>
      </c>
      <c r="AN168" s="5" t="s">
        <v>771</v>
      </c>
      <c r="AO168" s="5" t="s">
        <v>2185</v>
      </c>
      <c r="AP168" s="5" t="s">
        <v>2185</v>
      </c>
      <c r="AQ168" s="5" t="s">
        <v>2185</v>
      </c>
      <c r="AR168" s="5" t="s">
        <v>2185</v>
      </c>
      <c r="AS168" s="142"/>
      <c r="AT168" s="142" t="b">
        <v>0</v>
      </c>
      <c r="AU168" s="142"/>
      <c r="AV168" s="142"/>
      <c r="AW168" s="142"/>
      <c r="AX168" s="142"/>
      <c r="AY168" s="142"/>
      <c r="AZ168" s="174"/>
      <c r="BA168" s="142"/>
      <c r="BB168" s="142"/>
      <c r="BC168" s="142"/>
      <c r="BD168" s="142"/>
      <c r="BE168" s="142"/>
      <c r="BF168" s="142"/>
      <c r="BG168" s="142"/>
    </row>
    <row r="169">
      <c r="A169" s="5" t="s">
        <v>773</v>
      </c>
      <c r="B169" s="44">
        <v>44574.0</v>
      </c>
      <c r="C169" s="150">
        <v>0.8485069444444444</v>
      </c>
      <c r="D169" s="3"/>
      <c r="E169" s="3"/>
      <c r="F169" s="5"/>
      <c r="G169" s="5"/>
      <c r="H169" s="5"/>
      <c r="I169" s="3"/>
      <c r="J169" s="3"/>
      <c r="K169" s="3" t="s">
        <v>244</v>
      </c>
      <c r="L169" s="44">
        <v>44575.0</v>
      </c>
      <c r="M169" s="150">
        <v>0.48204861111111114</v>
      </c>
      <c r="N169" s="5"/>
      <c r="O169" s="5"/>
      <c r="P169" s="10" t="b">
        <v>0</v>
      </c>
      <c r="Q169" s="10" t="s">
        <v>2184</v>
      </c>
      <c r="R169" s="144" t="b">
        <v>1</v>
      </c>
      <c r="S169" s="144">
        <v>1.0</v>
      </c>
      <c r="T169" s="10"/>
      <c r="U169" s="5"/>
      <c r="V169" s="3"/>
      <c r="W169" s="5"/>
      <c r="X169" s="144" t="b">
        <v>0</v>
      </c>
      <c r="Y169" s="10" t="b">
        <v>0</v>
      </c>
      <c r="Z169" s="3"/>
      <c r="AA169" s="10" t="b">
        <v>0</v>
      </c>
      <c r="AB169" s="10" t="b">
        <v>0</v>
      </c>
      <c r="AC169" s="181">
        <v>606.0</v>
      </c>
      <c r="AD169" s="144" t="b">
        <v>0</v>
      </c>
      <c r="AE169" s="182"/>
      <c r="AF169" s="10" t="b">
        <v>0</v>
      </c>
      <c r="AG169" s="10" t="b">
        <v>0</v>
      </c>
      <c r="AH169" s="144"/>
      <c r="AI169" s="3"/>
      <c r="AJ169" s="10"/>
      <c r="AK169" s="3" t="s">
        <v>244</v>
      </c>
      <c r="AL169" s="5"/>
      <c r="AM169" s="5" t="s">
        <v>639</v>
      </c>
      <c r="AN169" s="5" t="s">
        <v>640</v>
      </c>
      <c r="AO169" s="5" t="s">
        <v>2185</v>
      </c>
      <c r="AP169" s="5" t="s">
        <v>2185</v>
      </c>
      <c r="AQ169" s="5" t="s">
        <v>2185</v>
      </c>
      <c r="AR169" s="5" t="s">
        <v>2185</v>
      </c>
      <c r="AS169" s="142"/>
      <c r="AT169" s="142" t="b">
        <v>0</v>
      </c>
      <c r="AU169" s="142"/>
      <c r="AV169" s="142"/>
      <c r="AW169" s="142"/>
      <c r="AX169" s="142"/>
      <c r="AY169" s="142"/>
      <c r="AZ169" s="174"/>
      <c r="BA169" s="142"/>
      <c r="BB169" s="142"/>
      <c r="BC169" s="142"/>
      <c r="BD169" s="142"/>
      <c r="BE169" s="142"/>
      <c r="BF169" s="142"/>
      <c r="BG169" s="142"/>
    </row>
    <row r="170">
      <c r="A170" s="5" t="s">
        <v>775</v>
      </c>
      <c r="B170" s="44">
        <v>44574.0</v>
      </c>
      <c r="C170" s="150">
        <v>0.8491666666666666</v>
      </c>
      <c r="D170" s="3"/>
      <c r="E170" s="3"/>
      <c r="F170" s="5"/>
      <c r="G170" s="5"/>
      <c r="H170" s="5"/>
      <c r="I170" s="3"/>
      <c r="J170" s="3"/>
      <c r="K170" s="3" t="s">
        <v>244</v>
      </c>
      <c r="L170" s="44">
        <v>44575.0</v>
      </c>
      <c r="M170" s="150">
        <v>0.4820601851851852</v>
      </c>
      <c r="N170" s="5"/>
      <c r="O170" s="5"/>
      <c r="P170" s="10" t="b">
        <v>0</v>
      </c>
      <c r="Q170" s="10" t="s">
        <v>2184</v>
      </c>
      <c r="R170" s="144" t="b">
        <v>1</v>
      </c>
      <c r="S170" s="144">
        <v>1.0</v>
      </c>
      <c r="T170" s="10">
        <v>0.0</v>
      </c>
      <c r="U170" s="5"/>
      <c r="V170" s="3"/>
      <c r="W170" s="5"/>
      <c r="X170" s="144" t="b">
        <v>0</v>
      </c>
      <c r="Y170" s="10" t="b">
        <v>0</v>
      </c>
      <c r="Z170" s="3"/>
      <c r="AA170" s="10" t="b">
        <v>0</v>
      </c>
      <c r="AB170" s="10" t="b">
        <v>0</v>
      </c>
      <c r="AC170" s="181">
        <v>605.0</v>
      </c>
      <c r="AD170" s="144" t="b">
        <v>0</v>
      </c>
      <c r="AE170" s="182"/>
      <c r="AF170" s="10" t="b">
        <v>0</v>
      </c>
      <c r="AG170" s="10" t="b">
        <v>0</v>
      </c>
      <c r="AH170" s="144"/>
      <c r="AI170" s="3"/>
      <c r="AJ170" s="10"/>
      <c r="AK170" s="3" t="s">
        <v>244</v>
      </c>
      <c r="AL170" s="5"/>
      <c r="AM170" s="5" t="s">
        <v>639</v>
      </c>
      <c r="AN170" s="5" t="s">
        <v>776</v>
      </c>
      <c r="AO170" s="5" t="s">
        <v>2185</v>
      </c>
      <c r="AP170" s="5" t="s">
        <v>2185</v>
      </c>
      <c r="AQ170" s="5" t="s">
        <v>2185</v>
      </c>
      <c r="AR170" s="5" t="s">
        <v>2185</v>
      </c>
      <c r="AS170" s="142"/>
      <c r="AT170" s="142" t="b">
        <v>0</v>
      </c>
      <c r="AU170" s="142"/>
      <c r="AV170" s="142"/>
      <c r="AW170" s="142"/>
      <c r="AX170" s="142"/>
      <c r="AY170" s="142"/>
      <c r="AZ170" s="174"/>
      <c r="BA170" s="142"/>
      <c r="BB170" s="142"/>
      <c r="BC170" s="142"/>
      <c r="BD170" s="142"/>
      <c r="BE170" s="142"/>
      <c r="BF170" s="142"/>
      <c r="BG170" s="142"/>
    </row>
    <row r="171">
      <c r="A171" s="5" t="s">
        <v>778</v>
      </c>
      <c r="B171" s="44">
        <v>44575.0</v>
      </c>
      <c r="C171" s="150">
        <v>0.22658564814814816</v>
      </c>
      <c r="D171" s="3"/>
      <c r="E171" s="3"/>
      <c r="F171" s="5"/>
      <c r="G171" s="5"/>
      <c r="H171" s="5"/>
      <c r="I171" s="3"/>
      <c r="J171" s="3"/>
      <c r="K171" s="3" t="s">
        <v>244</v>
      </c>
      <c r="L171" s="44">
        <v>44575.0</v>
      </c>
      <c r="M171" s="150">
        <v>0.4820601851851852</v>
      </c>
      <c r="N171" s="5"/>
      <c r="O171" s="5"/>
      <c r="P171" s="10" t="b">
        <v>0</v>
      </c>
      <c r="Q171" s="10" t="s">
        <v>2184</v>
      </c>
      <c r="R171" s="144" t="b">
        <v>1</v>
      </c>
      <c r="S171" s="144">
        <v>1.0</v>
      </c>
      <c r="T171" s="10"/>
      <c r="U171" s="5"/>
      <c r="V171" s="3"/>
      <c r="W171" s="5"/>
      <c r="X171" s="144" t="b">
        <v>0</v>
      </c>
      <c r="Y171" s="10" t="b">
        <v>0</v>
      </c>
      <c r="Z171" s="3"/>
      <c r="AA171" s="10" t="b">
        <v>0</v>
      </c>
      <c r="AB171" s="10" t="b">
        <v>0</v>
      </c>
      <c r="AC171" s="181">
        <v>604.0</v>
      </c>
      <c r="AD171" s="144" t="b">
        <v>0</v>
      </c>
      <c r="AE171" s="182">
        <v>367.8833333333333</v>
      </c>
      <c r="AF171" s="10" t="b">
        <v>0</v>
      </c>
      <c r="AG171" s="10" t="b">
        <v>0</v>
      </c>
      <c r="AH171" s="144"/>
      <c r="AI171" s="3"/>
      <c r="AJ171" s="10"/>
      <c r="AK171" s="3" t="s">
        <v>244</v>
      </c>
      <c r="AL171" s="5"/>
      <c r="AM171" s="5" t="s">
        <v>471</v>
      </c>
      <c r="AN171" s="5" t="s">
        <v>472</v>
      </c>
      <c r="AO171" s="5" t="s">
        <v>2185</v>
      </c>
      <c r="AP171" s="5" t="s">
        <v>2185</v>
      </c>
      <c r="AQ171" s="5" t="s">
        <v>2185</v>
      </c>
      <c r="AR171" s="5" t="s">
        <v>2185</v>
      </c>
      <c r="AS171" s="142"/>
      <c r="AT171" s="142" t="b">
        <v>0</v>
      </c>
      <c r="AU171" s="142"/>
      <c r="AV171" s="142"/>
      <c r="AW171" s="142"/>
      <c r="AX171" s="142"/>
      <c r="AY171" s="142"/>
      <c r="AZ171" s="174"/>
      <c r="BA171" s="142"/>
      <c r="BB171" s="142"/>
      <c r="BC171" s="142"/>
      <c r="BD171" s="142"/>
      <c r="BE171" s="142"/>
      <c r="BF171" s="142"/>
      <c r="BG171" s="142"/>
    </row>
    <row r="172">
      <c r="A172" s="5" t="s">
        <v>780</v>
      </c>
      <c r="B172" s="44">
        <v>44575.0</v>
      </c>
      <c r="C172" s="150">
        <v>0.2949421296296296</v>
      </c>
      <c r="D172" s="3"/>
      <c r="E172" s="3"/>
      <c r="F172" s="5"/>
      <c r="G172" s="5"/>
      <c r="H172" s="5"/>
      <c r="I172" s="3"/>
      <c r="J172" s="3"/>
      <c r="K172" s="3" t="s">
        <v>244</v>
      </c>
      <c r="L172" s="44">
        <v>44575.0</v>
      </c>
      <c r="M172" s="150">
        <v>0.4820601851851852</v>
      </c>
      <c r="N172" s="5"/>
      <c r="O172" s="5"/>
      <c r="P172" s="10" t="b">
        <v>0</v>
      </c>
      <c r="Q172" s="10" t="s">
        <v>2184</v>
      </c>
      <c r="R172" s="144" t="b">
        <v>1</v>
      </c>
      <c r="S172" s="144">
        <v>1.0</v>
      </c>
      <c r="T172" s="10"/>
      <c r="U172" s="5"/>
      <c r="V172" s="3"/>
      <c r="W172" s="5"/>
      <c r="X172" s="144" t="b">
        <v>0</v>
      </c>
      <c r="Y172" s="10" t="b">
        <v>0</v>
      </c>
      <c r="Z172" s="3"/>
      <c r="AA172" s="10" t="b">
        <v>0</v>
      </c>
      <c r="AB172" s="10" t="b">
        <v>0</v>
      </c>
      <c r="AC172" s="181">
        <v>603.0</v>
      </c>
      <c r="AD172" s="144" t="b">
        <v>0</v>
      </c>
      <c r="AE172" s="182">
        <v>269.45</v>
      </c>
      <c r="AF172" s="10" t="b">
        <v>0</v>
      </c>
      <c r="AG172" s="10" t="b">
        <v>0</v>
      </c>
      <c r="AH172" s="144"/>
      <c r="AI172" s="3"/>
      <c r="AJ172" s="10"/>
      <c r="AK172" s="3" t="s">
        <v>244</v>
      </c>
      <c r="AL172" s="5"/>
      <c r="AM172" s="5" t="s">
        <v>633</v>
      </c>
      <c r="AN172" s="5" t="s">
        <v>634</v>
      </c>
      <c r="AO172" s="5" t="s">
        <v>2185</v>
      </c>
      <c r="AP172" s="5" t="s">
        <v>2185</v>
      </c>
      <c r="AQ172" s="5" t="s">
        <v>2185</v>
      </c>
      <c r="AR172" s="5" t="s">
        <v>2185</v>
      </c>
      <c r="AS172" s="142"/>
      <c r="AT172" s="142" t="b">
        <v>0</v>
      </c>
      <c r="AU172" s="142"/>
      <c r="AV172" s="142"/>
      <c r="AW172" s="142"/>
      <c r="AX172" s="142"/>
      <c r="AY172" s="142"/>
      <c r="AZ172" s="174"/>
      <c r="BA172" s="142"/>
      <c r="BB172" s="142"/>
      <c r="BC172" s="142"/>
      <c r="BD172" s="142"/>
      <c r="BE172" s="142"/>
      <c r="BF172" s="142"/>
      <c r="BG172" s="142"/>
    </row>
    <row r="173">
      <c r="A173" s="5" t="s">
        <v>782</v>
      </c>
      <c r="B173" s="44">
        <v>44575.0</v>
      </c>
      <c r="C173" s="150">
        <v>0.3110763888888889</v>
      </c>
      <c r="D173" s="3"/>
      <c r="E173" s="3"/>
      <c r="F173" s="5"/>
      <c r="G173" s="5"/>
      <c r="H173" s="5"/>
      <c r="I173" s="3"/>
      <c r="J173" s="3"/>
      <c r="K173" s="3" t="s">
        <v>244</v>
      </c>
      <c r="L173" s="44">
        <v>44575.0</v>
      </c>
      <c r="M173" s="150">
        <v>0.4820601851851852</v>
      </c>
      <c r="N173" s="5"/>
      <c r="O173" s="5"/>
      <c r="P173" s="10" t="b">
        <v>0</v>
      </c>
      <c r="Q173" s="10" t="s">
        <v>2184</v>
      </c>
      <c r="R173" s="144" t="b">
        <v>1</v>
      </c>
      <c r="S173" s="144">
        <v>1.0</v>
      </c>
      <c r="T173" s="10"/>
      <c r="U173" s="5"/>
      <c r="V173" s="3"/>
      <c r="W173" s="5"/>
      <c r="X173" s="144" t="b">
        <v>0</v>
      </c>
      <c r="Y173" s="10" t="b">
        <v>0</v>
      </c>
      <c r="Z173" s="3"/>
      <c r="AA173" s="10" t="b">
        <v>0</v>
      </c>
      <c r="AB173" s="10" t="b">
        <v>0</v>
      </c>
      <c r="AC173" s="181">
        <v>602.0</v>
      </c>
      <c r="AD173" s="144" t="b">
        <v>0</v>
      </c>
      <c r="AE173" s="182">
        <v>246.21666666666664</v>
      </c>
      <c r="AF173" s="10" t="b">
        <v>0</v>
      </c>
      <c r="AG173" s="10" t="b">
        <v>0</v>
      </c>
      <c r="AH173" s="144"/>
      <c r="AI173" s="3"/>
      <c r="AJ173" s="10"/>
      <c r="AK173" s="3" t="s">
        <v>244</v>
      </c>
      <c r="AL173" s="5"/>
      <c r="AM173" s="5" t="s">
        <v>310</v>
      </c>
      <c r="AN173" s="5" t="s">
        <v>311</v>
      </c>
      <c r="AO173" s="5" t="s">
        <v>2185</v>
      </c>
      <c r="AP173" s="5" t="s">
        <v>2185</v>
      </c>
      <c r="AQ173" s="5" t="s">
        <v>2185</v>
      </c>
      <c r="AR173" s="5" t="s">
        <v>2185</v>
      </c>
      <c r="AS173" s="142"/>
      <c r="AT173" s="142" t="b">
        <v>0</v>
      </c>
      <c r="AU173" s="142"/>
      <c r="AV173" s="142"/>
      <c r="AW173" s="142"/>
      <c r="AX173" s="142"/>
      <c r="AY173" s="142"/>
      <c r="AZ173" s="174"/>
      <c r="BA173" s="142"/>
      <c r="BB173" s="142"/>
      <c r="BC173" s="142"/>
      <c r="BD173" s="142"/>
      <c r="BE173" s="142"/>
      <c r="BF173" s="142"/>
      <c r="BG173" s="142"/>
    </row>
    <row r="174">
      <c r="A174" s="5" t="s">
        <v>784</v>
      </c>
      <c r="B174" s="44">
        <v>44575.0</v>
      </c>
      <c r="C174" s="150">
        <v>0.3111574074074074</v>
      </c>
      <c r="D174" s="3"/>
      <c r="E174" s="3"/>
      <c r="F174" s="5"/>
      <c r="G174" s="5"/>
      <c r="H174" s="5"/>
      <c r="I174" s="3"/>
      <c r="J174" s="3"/>
      <c r="K174" s="3" t="s">
        <v>244</v>
      </c>
      <c r="L174" s="44">
        <v>44575.0</v>
      </c>
      <c r="M174" s="150">
        <v>0.4820601851851852</v>
      </c>
      <c r="N174" s="5"/>
      <c r="O174" s="5"/>
      <c r="P174" s="10" t="b">
        <v>0</v>
      </c>
      <c r="Q174" s="10" t="s">
        <v>2184</v>
      </c>
      <c r="R174" s="144" t="b">
        <v>1</v>
      </c>
      <c r="S174" s="144">
        <v>1.0</v>
      </c>
      <c r="T174" s="10"/>
      <c r="U174" s="5"/>
      <c r="V174" s="3"/>
      <c r="W174" s="5"/>
      <c r="X174" s="144" t="b">
        <v>0</v>
      </c>
      <c r="Y174" s="10" t="b">
        <v>0</v>
      </c>
      <c r="Z174" s="3"/>
      <c r="AA174" s="10" t="b">
        <v>0</v>
      </c>
      <c r="AB174" s="10" t="b">
        <v>0</v>
      </c>
      <c r="AC174" s="181">
        <v>601.0</v>
      </c>
      <c r="AD174" s="144" t="b">
        <v>0</v>
      </c>
      <c r="AE174" s="182">
        <v>246.1</v>
      </c>
      <c r="AF174" s="10" t="b">
        <v>0</v>
      </c>
      <c r="AG174" s="10" t="b">
        <v>0</v>
      </c>
      <c r="AH174" s="144"/>
      <c r="AI174" s="3"/>
      <c r="AJ174" s="10"/>
      <c r="AK174" s="3" t="s">
        <v>244</v>
      </c>
      <c r="AL174" s="5"/>
      <c r="AM174" s="5" t="s">
        <v>291</v>
      </c>
      <c r="AN174" s="5" t="s">
        <v>292</v>
      </c>
      <c r="AO174" s="5" t="s">
        <v>2185</v>
      </c>
      <c r="AP174" s="5" t="s">
        <v>2185</v>
      </c>
      <c r="AQ174" s="5" t="s">
        <v>2185</v>
      </c>
      <c r="AR174" s="5" t="s">
        <v>2185</v>
      </c>
      <c r="AS174" s="142"/>
      <c r="AT174" s="142" t="b">
        <v>0</v>
      </c>
      <c r="AU174" s="142"/>
      <c r="AV174" s="142"/>
      <c r="AW174" s="142"/>
      <c r="AX174" s="142"/>
      <c r="AY174" s="142"/>
      <c r="AZ174" s="174"/>
      <c r="BA174" s="142"/>
      <c r="BB174" s="142"/>
      <c r="BC174" s="142"/>
      <c r="BD174" s="142"/>
      <c r="BE174" s="142"/>
      <c r="BF174" s="142"/>
      <c r="BG174" s="142"/>
    </row>
    <row r="175">
      <c r="A175" s="5" t="s">
        <v>786</v>
      </c>
      <c r="B175" s="44">
        <v>44575.0</v>
      </c>
      <c r="C175" s="150">
        <v>0.3125925925925926</v>
      </c>
      <c r="D175" s="3"/>
      <c r="E175" s="3"/>
      <c r="F175" s="5"/>
      <c r="G175" s="5"/>
      <c r="H175" s="5"/>
      <c r="I175" s="3"/>
      <c r="J175" s="3"/>
      <c r="K175" s="3" t="s">
        <v>244</v>
      </c>
      <c r="L175" s="44">
        <v>44575.0</v>
      </c>
      <c r="M175" s="150">
        <v>0.4820601851851852</v>
      </c>
      <c r="N175" s="5"/>
      <c r="O175" s="5"/>
      <c r="P175" s="10" t="b">
        <v>0</v>
      </c>
      <c r="Q175" s="10" t="s">
        <v>2184</v>
      </c>
      <c r="R175" s="144" t="b">
        <v>1</v>
      </c>
      <c r="S175" s="144">
        <v>1.0</v>
      </c>
      <c r="T175" s="10"/>
      <c r="U175" s="5"/>
      <c r="V175" s="3"/>
      <c r="W175" s="5"/>
      <c r="X175" s="144" t="b">
        <v>0</v>
      </c>
      <c r="Y175" s="10" t="b">
        <v>0</v>
      </c>
      <c r="Z175" s="3"/>
      <c r="AA175" s="10" t="b">
        <v>0</v>
      </c>
      <c r="AB175" s="10" t="b">
        <v>0</v>
      </c>
      <c r="AC175" s="181">
        <v>600.0</v>
      </c>
      <c r="AD175" s="144" t="b">
        <v>0</v>
      </c>
      <c r="AE175" s="182">
        <v>244.03333333333333</v>
      </c>
      <c r="AF175" s="10" t="b">
        <v>0</v>
      </c>
      <c r="AG175" s="10" t="b">
        <v>0</v>
      </c>
      <c r="AH175" s="144"/>
      <c r="AI175" s="3"/>
      <c r="AJ175" s="10"/>
      <c r="AK175" s="3" t="s">
        <v>244</v>
      </c>
      <c r="AL175" s="5"/>
      <c r="AM175" s="5" t="s">
        <v>731</v>
      </c>
      <c r="AN175" s="5" t="s">
        <v>732</v>
      </c>
      <c r="AO175" s="5" t="s">
        <v>2185</v>
      </c>
      <c r="AP175" s="5" t="s">
        <v>2185</v>
      </c>
      <c r="AQ175" s="5" t="s">
        <v>2185</v>
      </c>
      <c r="AR175" s="5" t="s">
        <v>2185</v>
      </c>
      <c r="AS175" s="142"/>
      <c r="AT175" s="142" t="b">
        <v>0</v>
      </c>
      <c r="AU175" s="142"/>
      <c r="AV175" s="142"/>
      <c r="AW175" s="142"/>
      <c r="AX175" s="142"/>
      <c r="AY175" s="142"/>
      <c r="AZ175" s="174"/>
      <c r="BA175" s="142"/>
      <c r="BB175" s="142"/>
      <c r="BC175" s="142"/>
      <c r="BD175" s="142"/>
      <c r="BE175" s="142"/>
      <c r="BF175" s="142"/>
      <c r="BG175" s="142"/>
    </row>
    <row r="176">
      <c r="A176" s="5" t="s">
        <v>788</v>
      </c>
      <c r="B176" s="44">
        <v>44575.0</v>
      </c>
      <c r="C176" s="150">
        <v>0.3230439814814815</v>
      </c>
      <c r="D176" s="3"/>
      <c r="E176" s="3"/>
      <c r="F176" s="5"/>
      <c r="G176" s="5"/>
      <c r="H176" s="5"/>
      <c r="I176" s="3"/>
      <c r="J176" s="3"/>
      <c r="K176" s="3" t="s">
        <v>52</v>
      </c>
      <c r="L176" s="44">
        <v>44579.0</v>
      </c>
      <c r="M176" s="150">
        <v>0.5015856481481481</v>
      </c>
      <c r="N176" s="5"/>
      <c r="O176" s="5"/>
      <c r="P176" s="10" t="b">
        <v>0</v>
      </c>
      <c r="Q176" s="10" t="s">
        <v>2184</v>
      </c>
      <c r="R176" s="144" t="b">
        <v>1</v>
      </c>
      <c r="S176" s="144">
        <v>1.0</v>
      </c>
      <c r="T176" s="10"/>
      <c r="U176" s="5"/>
      <c r="V176" s="3"/>
      <c r="W176" s="5"/>
      <c r="X176" s="144" t="b">
        <v>0</v>
      </c>
      <c r="Y176" s="10" t="b">
        <v>0</v>
      </c>
      <c r="Z176" s="3"/>
      <c r="AA176" s="10" t="b">
        <v>0</v>
      </c>
      <c r="AB176" s="10" t="b">
        <v>0</v>
      </c>
      <c r="AC176" s="181">
        <v>599.0</v>
      </c>
      <c r="AD176" s="144" t="b">
        <v>0</v>
      </c>
      <c r="AE176" s="182"/>
      <c r="AF176" s="10" t="b">
        <v>0</v>
      </c>
      <c r="AG176" s="10" t="b">
        <v>0</v>
      </c>
      <c r="AH176" s="144"/>
      <c r="AI176" s="3"/>
      <c r="AJ176" s="10"/>
      <c r="AK176" s="3" t="s">
        <v>52</v>
      </c>
      <c r="AL176" s="5"/>
      <c r="AM176" s="5" t="s">
        <v>314</v>
      </c>
      <c r="AN176" s="5" t="s">
        <v>315</v>
      </c>
      <c r="AO176" s="5" t="s">
        <v>2185</v>
      </c>
      <c r="AP176" s="5" t="s">
        <v>2185</v>
      </c>
      <c r="AQ176" s="5" t="s">
        <v>2185</v>
      </c>
      <c r="AR176" s="5" t="s">
        <v>2185</v>
      </c>
      <c r="AS176" s="142"/>
      <c r="AT176" s="142" t="b">
        <v>0</v>
      </c>
      <c r="AU176" s="142"/>
      <c r="AV176" s="142"/>
      <c r="AW176" s="142"/>
      <c r="AX176" s="142"/>
      <c r="AY176" s="142"/>
      <c r="AZ176" s="174"/>
      <c r="BA176" s="142"/>
      <c r="BB176" s="142"/>
      <c r="BC176" s="142"/>
      <c r="BD176" s="142"/>
      <c r="BE176" s="142"/>
      <c r="BF176" s="142"/>
      <c r="BG176" s="142"/>
    </row>
    <row r="177">
      <c r="A177" s="5" t="s">
        <v>790</v>
      </c>
      <c r="B177" s="44">
        <v>44575.0</v>
      </c>
      <c r="C177" s="150">
        <v>0.3307175925925926</v>
      </c>
      <c r="D177" s="3"/>
      <c r="E177" s="3"/>
      <c r="F177" s="5"/>
      <c r="G177" s="5"/>
      <c r="H177" s="5"/>
      <c r="I177" s="3"/>
      <c r="J177" s="3"/>
      <c r="K177" s="3" t="s">
        <v>244</v>
      </c>
      <c r="L177" s="44">
        <v>44575.0</v>
      </c>
      <c r="M177" s="150">
        <v>0.4820601851851852</v>
      </c>
      <c r="N177" s="5"/>
      <c r="O177" s="5"/>
      <c r="P177" s="10" t="b">
        <v>0</v>
      </c>
      <c r="Q177" s="10" t="s">
        <v>2184</v>
      </c>
      <c r="R177" s="144" t="b">
        <v>1</v>
      </c>
      <c r="S177" s="144">
        <v>1.0</v>
      </c>
      <c r="T177" s="10"/>
      <c r="U177" s="5"/>
      <c r="V177" s="3"/>
      <c r="W177" s="5"/>
      <c r="X177" s="144" t="b">
        <v>0</v>
      </c>
      <c r="Y177" s="10" t="b">
        <v>0</v>
      </c>
      <c r="Z177" s="3"/>
      <c r="AA177" s="10" t="b">
        <v>0</v>
      </c>
      <c r="AB177" s="10" t="b">
        <v>0</v>
      </c>
      <c r="AC177" s="181">
        <v>598.0</v>
      </c>
      <c r="AD177" s="144" t="b">
        <v>0</v>
      </c>
      <c r="AE177" s="182">
        <v>217.9333333333333</v>
      </c>
      <c r="AF177" s="10" t="b">
        <v>0</v>
      </c>
      <c r="AG177" s="10" t="b">
        <v>0</v>
      </c>
      <c r="AH177" s="144"/>
      <c r="AI177" s="3"/>
      <c r="AJ177" s="10"/>
      <c r="AK177" s="3" t="s">
        <v>244</v>
      </c>
      <c r="AL177" s="5"/>
      <c r="AM177" s="5" t="s">
        <v>328</v>
      </c>
      <c r="AN177" s="5" t="s">
        <v>329</v>
      </c>
      <c r="AO177" s="5" t="s">
        <v>2185</v>
      </c>
      <c r="AP177" s="5" t="s">
        <v>2185</v>
      </c>
      <c r="AQ177" s="5" t="s">
        <v>2185</v>
      </c>
      <c r="AR177" s="5" t="s">
        <v>2185</v>
      </c>
      <c r="AS177" s="142"/>
      <c r="AT177" s="142" t="b">
        <v>0</v>
      </c>
      <c r="AU177" s="142"/>
      <c r="AV177" s="142"/>
      <c r="AW177" s="142"/>
      <c r="AX177" s="142"/>
      <c r="AY177" s="142"/>
      <c r="AZ177" s="174"/>
      <c r="BA177" s="142"/>
      <c r="BB177" s="142"/>
      <c r="BC177" s="142"/>
      <c r="BD177" s="142"/>
      <c r="BE177" s="142"/>
      <c r="BF177" s="142"/>
      <c r="BG177" s="142"/>
    </row>
    <row r="178">
      <c r="A178" s="5" t="s">
        <v>792</v>
      </c>
      <c r="B178" s="44">
        <v>44575.0</v>
      </c>
      <c r="C178" s="150">
        <v>0.3400578703703704</v>
      </c>
      <c r="D178" s="3"/>
      <c r="E178" s="3"/>
      <c r="F178" s="5"/>
      <c r="G178" s="5"/>
      <c r="H178" s="5"/>
      <c r="I178" s="3"/>
      <c r="J178" s="3"/>
      <c r="K178" s="3" t="s">
        <v>52</v>
      </c>
      <c r="L178" s="44">
        <v>44579.0</v>
      </c>
      <c r="M178" s="150">
        <v>0.5015856481481481</v>
      </c>
      <c r="N178" s="5"/>
      <c r="O178" s="5"/>
      <c r="P178" s="10" t="b">
        <v>0</v>
      </c>
      <c r="Q178" s="10" t="s">
        <v>2184</v>
      </c>
      <c r="R178" s="144" t="b">
        <v>1</v>
      </c>
      <c r="S178" s="144">
        <v>1.0</v>
      </c>
      <c r="T178" s="10">
        <v>0.0</v>
      </c>
      <c r="U178" s="5"/>
      <c r="V178" s="3"/>
      <c r="W178" s="5"/>
      <c r="X178" s="144" t="b">
        <v>0</v>
      </c>
      <c r="Y178" s="10" t="b">
        <v>0</v>
      </c>
      <c r="Z178" s="3"/>
      <c r="AA178" s="10" t="b">
        <v>0</v>
      </c>
      <c r="AB178" s="10" t="b">
        <v>0</v>
      </c>
      <c r="AC178" s="181">
        <v>597.0</v>
      </c>
      <c r="AD178" s="144" t="b">
        <v>0</v>
      </c>
      <c r="AE178" s="182"/>
      <c r="AF178" s="10" t="b">
        <v>0</v>
      </c>
      <c r="AG178" s="10" t="b">
        <v>0</v>
      </c>
      <c r="AH178" s="144"/>
      <c r="AI178" s="3"/>
      <c r="AJ178" s="10"/>
      <c r="AK178" s="3" t="s">
        <v>52</v>
      </c>
      <c r="AL178" s="5"/>
      <c r="AM178" s="5" t="s">
        <v>793</v>
      </c>
      <c r="AN178" s="5" t="s">
        <v>794</v>
      </c>
      <c r="AO178" s="5" t="s">
        <v>2185</v>
      </c>
      <c r="AP178" s="5" t="s">
        <v>2185</v>
      </c>
      <c r="AQ178" s="5" t="s">
        <v>2185</v>
      </c>
      <c r="AR178" s="5" t="s">
        <v>2185</v>
      </c>
      <c r="AS178" s="142"/>
      <c r="AT178" s="142" t="b">
        <v>0</v>
      </c>
      <c r="AU178" s="142"/>
      <c r="AV178" s="142"/>
      <c r="AW178" s="142"/>
      <c r="AX178" s="142"/>
      <c r="AY178" s="142"/>
      <c r="AZ178" s="174"/>
      <c r="BA178" s="142"/>
      <c r="BB178" s="142"/>
      <c r="BC178" s="142"/>
      <c r="BD178" s="142"/>
      <c r="BE178" s="142"/>
      <c r="BF178" s="142"/>
      <c r="BG178" s="142"/>
    </row>
    <row r="179">
      <c r="A179" s="5" t="s">
        <v>796</v>
      </c>
      <c r="B179" s="44">
        <v>44575.0</v>
      </c>
      <c r="C179" s="150">
        <v>0.3453703703703704</v>
      </c>
      <c r="D179" s="3"/>
      <c r="E179" s="3"/>
      <c r="F179" s="5"/>
      <c r="G179" s="5"/>
      <c r="H179" s="5"/>
      <c r="I179" s="3"/>
      <c r="J179" s="3"/>
      <c r="K179" s="3" t="s">
        <v>244</v>
      </c>
      <c r="L179" s="44">
        <v>44575.0</v>
      </c>
      <c r="M179" s="150">
        <v>0.4820601851851852</v>
      </c>
      <c r="N179" s="5"/>
      <c r="O179" s="5"/>
      <c r="P179" s="10" t="b">
        <v>0</v>
      </c>
      <c r="Q179" s="10" t="s">
        <v>2184</v>
      </c>
      <c r="R179" s="144" t="b">
        <v>1</v>
      </c>
      <c r="S179" s="144">
        <v>1.0</v>
      </c>
      <c r="T179" s="10"/>
      <c r="U179" s="5"/>
      <c r="V179" s="3"/>
      <c r="W179" s="5"/>
      <c r="X179" s="144" t="b">
        <v>0</v>
      </c>
      <c r="Y179" s="10" t="b">
        <v>0</v>
      </c>
      <c r="Z179" s="3"/>
      <c r="AA179" s="10" t="b">
        <v>0</v>
      </c>
      <c r="AB179" s="10" t="b">
        <v>0</v>
      </c>
      <c r="AC179" s="181">
        <v>596.0</v>
      </c>
      <c r="AD179" s="144" t="b">
        <v>0</v>
      </c>
      <c r="AE179" s="182">
        <v>196.83333333333331</v>
      </c>
      <c r="AF179" s="10" t="b">
        <v>0</v>
      </c>
      <c r="AG179" s="10" t="b">
        <v>0</v>
      </c>
      <c r="AH179" s="144"/>
      <c r="AI179" s="3"/>
      <c r="AJ179" s="10"/>
      <c r="AK179" s="3" t="s">
        <v>244</v>
      </c>
      <c r="AL179" s="5"/>
      <c r="AM179" s="5" t="s">
        <v>797</v>
      </c>
      <c r="AN179" s="5" t="s">
        <v>798</v>
      </c>
      <c r="AO179" s="5" t="s">
        <v>2185</v>
      </c>
      <c r="AP179" s="5" t="s">
        <v>2185</v>
      </c>
      <c r="AQ179" s="5" t="s">
        <v>2185</v>
      </c>
      <c r="AR179" s="5" t="s">
        <v>2185</v>
      </c>
      <c r="AS179" s="142"/>
      <c r="AT179" s="142" t="b">
        <v>0</v>
      </c>
      <c r="AU179" s="142"/>
      <c r="AV179" s="142"/>
      <c r="AW179" s="142"/>
      <c r="AX179" s="142"/>
      <c r="AY179" s="142"/>
      <c r="AZ179" s="174"/>
      <c r="BA179" s="142"/>
      <c r="BB179" s="142"/>
      <c r="BC179" s="142"/>
      <c r="BD179" s="142"/>
      <c r="BE179" s="142"/>
      <c r="BF179" s="142"/>
      <c r="BG179" s="142"/>
    </row>
    <row r="180">
      <c r="A180" s="5" t="s">
        <v>800</v>
      </c>
      <c r="B180" s="44">
        <v>44575.0</v>
      </c>
      <c r="C180" s="150">
        <v>0.3471180555555556</v>
      </c>
      <c r="D180" s="3"/>
      <c r="E180" s="3"/>
      <c r="F180" s="5"/>
      <c r="G180" s="5"/>
      <c r="H180" s="5"/>
      <c r="I180" s="3"/>
      <c r="J180" s="3"/>
      <c r="K180" s="3" t="s">
        <v>244</v>
      </c>
      <c r="L180" s="44">
        <v>44575.0</v>
      </c>
      <c r="M180" s="150">
        <v>0.4820601851851852</v>
      </c>
      <c r="N180" s="5"/>
      <c r="O180" s="5"/>
      <c r="P180" s="10" t="b">
        <v>0</v>
      </c>
      <c r="Q180" s="10" t="s">
        <v>2184</v>
      </c>
      <c r="R180" s="144" t="b">
        <v>1</v>
      </c>
      <c r="S180" s="144">
        <v>1.0</v>
      </c>
      <c r="T180" s="10">
        <v>0.0</v>
      </c>
      <c r="U180" s="5"/>
      <c r="V180" s="3"/>
      <c r="W180" s="5"/>
      <c r="X180" s="144" t="b">
        <v>0</v>
      </c>
      <c r="Y180" s="10" t="b">
        <v>0</v>
      </c>
      <c r="Z180" s="3"/>
      <c r="AA180" s="10" t="b">
        <v>0</v>
      </c>
      <c r="AB180" s="10" t="b">
        <v>0</v>
      </c>
      <c r="AC180" s="181">
        <v>595.0</v>
      </c>
      <c r="AD180" s="144" t="b">
        <v>0</v>
      </c>
      <c r="AE180" s="182">
        <v>194.3166666666666</v>
      </c>
      <c r="AF180" s="10" t="b">
        <v>0</v>
      </c>
      <c r="AG180" s="10" t="b">
        <v>0</v>
      </c>
      <c r="AH180" s="144"/>
      <c r="AI180" s="3"/>
      <c r="AJ180" s="10"/>
      <c r="AK180" s="3" t="s">
        <v>244</v>
      </c>
      <c r="AL180" s="5"/>
      <c r="AM180" s="5" t="s">
        <v>727</v>
      </c>
      <c r="AN180" s="5" t="s">
        <v>801</v>
      </c>
      <c r="AO180" s="5" t="s">
        <v>2185</v>
      </c>
      <c r="AP180" s="5" t="s">
        <v>2185</v>
      </c>
      <c r="AQ180" s="5" t="s">
        <v>2185</v>
      </c>
      <c r="AR180" s="5" t="s">
        <v>2185</v>
      </c>
      <c r="AS180" s="142"/>
      <c r="AT180" s="142" t="b">
        <v>0</v>
      </c>
      <c r="AU180" s="142"/>
      <c r="AV180" s="142"/>
      <c r="AW180" s="142"/>
      <c r="AX180" s="142"/>
      <c r="AY180" s="142"/>
      <c r="AZ180" s="174"/>
      <c r="BA180" s="142"/>
      <c r="BB180" s="142"/>
      <c r="BC180" s="142"/>
      <c r="BD180" s="142"/>
      <c r="BE180" s="142"/>
      <c r="BF180" s="142"/>
      <c r="BG180" s="142"/>
    </row>
    <row r="181">
      <c r="A181" s="5" t="s">
        <v>803</v>
      </c>
      <c r="B181" s="44">
        <v>44575.0</v>
      </c>
      <c r="C181" s="150">
        <v>0.3519097222222222</v>
      </c>
      <c r="D181" s="3"/>
      <c r="E181" s="3"/>
      <c r="F181" s="5"/>
      <c r="G181" s="5"/>
      <c r="H181" s="5"/>
      <c r="I181" s="3"/>
      <c r="J181" s="3"/>
      <c r="K181" s="3" t="s">
        <v>244</v>
      </c>
      <c r="L181" s="44">
        <v>44575.0</v>
      </c>
      <c r="M181" s="150">
        <v>0.4820601851851852</v>
      </c>
      <c r="N181" s="5"/>
      <c r="O181" s="5"/>
      <c r="P181" s="10" t="b">
        <v>0</v>
      </c>
      <c r="Q181" s="10" t="s">
        <v>2184</v>
      </c>
      <c r="R181" s="144" t="b">
        <v>1</v>
      </c>
      <c r="S181" s="144">
        <v>1.0</v>
      </c>
      <c r="T181" s="10"/>
      <c r="U181" s="5"/>
      <c r="V181" s="3"/>
      <c r="W181" s="5"/>
      <c r="X181" s="144" t="b">
        <v>0</v>
      </c>
      <c r="Y181" s="10" t="b">
        <v>0</v>
      </c>
      <c r="Z181" s="3"/>
      <c r="AA181" s="10" t="b">
        <v>0</v>
      </c>
      <c r="AB181" s="10" t="b">
        <v>0</v>
      </c>
      <c r="AC181" s="181">
        <v>594.0</v>
      </c>
      <c r="AD181" s="144" t="b">
        <v>0</v>
      </c>
      <c r="AE181" s="182">
        <v>187.41666666666666</v>
      </c>
      <c r="AF181" s="10" t="b">
        <v>0</v>
      </c>
      <c r="AG181" s="10" t="b">
        <v>0</v>
      </c>
      <c r="AH181" s="144"/>
      <c r="AI181" s="3"/>
      <c r="AJ181" s="10"/>
      <c r="AK181" s="3" t="s">
        <v>244</v>
      </c>
      <c r="AL181" s="5"/>
      <c r="AM181" s="5" t="s">
        <v>491</v>
      </c>
      <c r="AN181" s="5" t="s">
        <v>495</v>
      </c>
      <c r="AO181" s="5" t="s">
        <v>2185</v>
      </c>
      <c r="AP181" s="5" t="s">
        <v>2185</v>
      </c>
      <c r="AQ181" s="5" t="s">
        <v>2185</v>
      </c>
      <c r="AR181" s="5" t="s">
        <v>2185</v>
      </c>
      <c r="AS181" s="142"/>
      <c r="AT181" s="142" t="b">
        <v>0</v>
      </c>
      <c r="AU181" s="142"/>
      <c r="AV181" s="142"/>
      <c r="AW181" s="142"/>
      <c r="AX181" s="142"/>
      <c r="AY181" s="142"/>
      <c r="AZ181" s="174"/>
      <c r="BA181" s="142"/>
      <c r="BB181" s="142"/>
      <c r="BC181" s="142"/>
      <c r="BD181" s="142"/>
      <c r="BE181" s="142"/>
      <c r="BF181" s="142"/>
      <c r="BG181" s="142"/>
    </row>
    <row r="182">
      <c r="A182" s="5" t="s">
        <v>805</v>
      </c>
      <c r="B182" s="44">
        <v>44575.0</v>
      </c>
      <c r="C182" s="150">
        <v>0.35594907407407406</v>
      </c>
      <c r="D182" s="3"/>
      <c r="E182" s="3"/>
      <c r="F182" s="5"/>
      <c r="G182" s="5"/>
      <c r="H182" s="5"/>
      <c r="I182" s="3"/>
      <c r="J182" s="3"/>
      <c r="K182" s="3" t="s">
        <v>244</v>
      </c>
      <c r="L182" s="44">
        <v>44575.0</v>
      </c>
      <c r="M182" s="150">
        <v>0.4820601851851852</v>
      </c>
      <c r="N182" s="5"/>
      <c r="O182" s="5"/>
      <c r="P182" s="10" t="b">
        <v>0</v>
      </c>
      <c r="Q182" s="10" t="s">
        <v>2184</v>
      </c>
      <c r="R182" s="144" t="b">
        <v>1</v>
      </c>
      <c r="S182" s="144">
        <v>1.0</v>
      </c>
      <c r="T182" s="10"/>
      <c r="U182" s="5"/>
      <c r="V182" s="3"/>
      <c r="W182" s="5"/>
      <c r="X182" s="144" t="b">
        <v>0</v>
      </c>
      <c r="Y182" s="10" t="b">
        <v>0</v>
      </c>
      <c r="Z182" s="3"/>
      <c r="AA182" s="10" t="b">
        <v>0</v>
      </c>
      <c r="AB182" s="10" t="b">
        <v>0</v>
      </c>
      <c r="AC182" s="181">
        <v>593.0</v>
      </c>
      <c r="AD182" s="144" t="b">
        <v>0</v>
      </c>
      <c r="AE182" s="182">
        <v>181.60000000000002</v>
      </c>
      <c r="AF182" s="10" t="b">
        <v>0</v>
      </c>
      <c r="AG182" s="10" t="b">
        <v>0</v>
      </c>
      <c r="AH182" s="144"/>
      <c r="AI182" s="3"/>
      <c r="AJ182" s="10"/>
      <c r="AK182" s="3" t="s">
        <v>244</v>
      </c>
      <c r="AL182" s="5"/>
      <c r="AM182" s="5" t="s">
        <v>806</v>
      </c>
      <c r="AN182" s="5" t="s">
        <v>807</v>
      </c>
      <c r="AO182" s="5" t="s">
        <v>2185</v>
      </c>
      <c r="AP182" s="5" t="s">
        <v>2185</v>
      </c>
      <c r="AQ182" s="5" t="s">
        <v>2185</v>
      </c>
      <c r="AR182" s="5" t="s">
        <v>2185</v>
      </c>
      <c r="AS182" s="142"/>
      <c r="AT182" s="142" t="b">
        <v>0</v>
      </c>
      <c r="AU182" s="142"/>
      <c r="AV182" s="142"/>
      <c r="AW182" s="142"/>
      <c r="AX182" s="142"/>
      <c r="AY182" s="142"/>
      <c r="AZ182" s="174"/>
      <c r="BA182" s="142"/>
      <c r="BB182" s="142"/>
      <c r="BC182" s="142"/>
      <c r="BD182" s="142"/>
      <c r="BE182" s="142"/>
      <c r="BF182" s="142"/>
      <c r="BG182" s="142"/>
    </row>
    <row r="183">
      <c r="A183" s="5" t="s">
        <v>809</v>
      </c>
      <c r="B183" s="44">
        <v>44575.0</v>
      </c>
      <c r="C183" s="150">
        <v>0.3859722222222222</v>
      </c>
      <c r="D183" s="3"/>
      <c r="E183" s="3"/>
      <c r="F183" s="5"/>
      <c r="G183" s="5"/>
      <c r="H183" s="5"/>
      <c r="I183" s="3"/>
      <c r="J183" s="3"/>
      <c r="K183" s="3" t="s">
        <v>52</v>
      </c>
      <c r="L183" s="44">
        <v>44579.0</v>
      </c>
      <c r="M183" s="150">
        <v>0.5015856481481481</v>
      </c>
      <c r="N183" s="5"/>
      <c r="O183" s="5"/>
      <c r="P183" s="10" t="b">
        <v>0</v>
      </c>
      <c r="Q183" s="10" t="s">
        <v>2184</v>
      </c>
      <c r="R183" s="144" t="b">
        <v>1</v>
      </c>
      <c r="S183" s="144">
        <v>1.0</v>
      </c>
      <c r="T183" s="10">
        <v>0.0</v>
      </c>
      <c r="U183" s="5"/>
      <c r="V183" s="3"/>
      <c r="W183" s="5"/>
      <c r="X183" s="144" t="b">
        <v>0</v>
      </c>
      <c r="Y183" s="10" t="b">
        <v>0</v>
      </c>
      <c r="Z183" s="3"/>
      <c r="AA183" s="10" t="b">
        <v>0</v>
      </c>
      <c r="AB183" s="10" t="b">
        <v>0</v>
      </c>
      <c r="AC183" s="181">
        <v>592.0</v>
      </c>
      <c r="AD183" s="144" t="b">
        <v>0</v>
      </c>
      <c r="AE183" s="182"/>
      <c r="AF183" s="10" t="b">
        <v>0</v>
      </c>
      <c r="AG183" s="10" t="b">
        <v>0</v>
      </c>
      <c r="AH183" s="144"/>
      <c r="AI183" s="3"/>
      <c r="AJ183" s="10"/>
      <c r="AK183" s="3" t="s">
        <v>52</v>
      </c>
      <c r="AL183" s="5"/>
      <c r="AM183" s="5" t="s">
        <v>261</v>
      </c>
      <c r="AN183" s="5" t="s">
        <v>669</v>
      </c>
      <c r="AO183" s="5" t="s">
        <v>2185</v>
      </c>
      <c r="AP183" s="5" t="s">
        <v>2185</v>
      </c>
      <c r="AQ183" s="5" t="s">
        <v>2185</v>
      </c>
      <c r="AR183" s="5" t="s">
        <v>2185</v>
      </c>
      <c r="AS183" s="142"/>
      <c r="AT183" s="142" t="b">
        <v>0</v>
      </c>
      <c r="AU183" s="142"/>
      <c r="AV183" s="142"/>
      <c r="AW183" s="142"/>
      <c r="AX183" s="142"/>
      <c r="AY183" s="142"/>
      <c r="AZ183" s="174"/>
      <c r="BA183" s="142"/>
      <c r="BB183" s="142"/>
      <c r="BC183" s="142"/>
      <c r="BD183" s="142"/>
      <c r="BE183" s="142"/>
      <c r="BF183" s="142"/>
      <c r="BG183" s="142"/>
    </row>
    <row r="184">
      <c r="A184" s="5" t="s">
        <v>811</v>
      </c>
      <c r="B184" s="44">
        <v>44575.0</v>
      </c>
      <c r="C184" s="150">
        <v>0.38623842592592594</v>
      </c>
      <c r="D184" s="3"/>
      <c r="E184" s="3"/>
      <c r="F184" s="5"/>
      <c r="G184" s="5"/>
      <c r="H184" s="5"/>
      <c r="I184" s="3"/>
      <c r="J184" s="3"/>
      <c r="K184" s="3" t="s">
        <v>52</v>
      </c>
      <c r="L184" s="44">
        <v>44579.0</v>
      </c>
      <c r="M184" s="150">
        <v>0.5015856481481481</v>
      </c>
      <c r="N184" s="5"/>
      <c r="O184" s="5"/>
      <c r="P184" s="10" t="b">
        <v>0</v>
      </c>
      <c r="Q184" s="10" t="s">
        <v>2184</v>
      </c>
      <c r="R184" s="144" t="b">
        <v>1</v>
      </c>
      <c r="S184" s="144">
        <v>1.0</v>
      </c>
      <c r="T184" s="10"/>
      <c r="U184" s="5"/>
      <c r="V184" s="3"/>
      <c r="W184" s="5"/>
      <c r="X184" s="144" t="b">
        <v>0</v>
      </c>
      <c r="Y184" s="10" t="b">
        <v>0</v>
      </c>
      <c r="Z184" s="3"/>
      <c r="AA184" s="10" t="b">
        <v>0</v>
      </c>
      <c r="AB184" s="10" t="b">
        <v>0</v>
      </c>
      <c r="AC184" s="181">
        <v>591.0</v>
      </c>
      <c r="AD184" s="144" t="b">
        <v>0</v>
      </c>
      <c r="AE184" s="182"/>
      <c r="AF184" s="10" t="b">
        <v>0</v>
      </c>
      <c r="AG184" s="10" t="b">
        <v>0</v>
      </c>
      <c r="AH184" s="144"/>
      <c r="AI184" s="3"/>
      <c r="AJ184" s="10"/>
      <c r="AK184" s="3" t="s">
        <v>52</v>
      </c>
      <c r="AL184" s="5" t="s">
        <v>812</v>
      </c>
      <c r="AM184" s="5" t="s">
        <v>261</v>
      </c>
      <c r="AN184" s="5" t="s">
        <v>597</v>
      </c>
      <c r="AO184" s="5" t="s">
        <v>2185</v>
      </c>
      <c r="AP184" s="5" t="s">
        <v>2185</v>
      </c>
      <c r="AQ184" s="5" t="s">
        <v>2185</v>
      </c>
      <c r="AR184" s="5" t="s">
        <v>2185</v>
      </c>
      <c r="AS184" s="142"/>
      <c r="AT184" s="142" t="b">
        <v>0</v>
      </c>
      <c r="AU184" s="142"/>
      <c r="AV184" s="142"/>
      <c r="AW184" s="142"/>
      <c r="AX184" s="142"/>
      <c r="AY184" s="142"/>
      <c r="AZ184" s="174"/>
      <c r="BA184" s="142"/>
      <c r="BB184" s="142"/>
      <c r="BC184" s="142"/>
      <c r="BD184" s="142"/>
      <c r="BE184" s="142"/>
      <c r="BF184" s="142"/>
      <c r="BG184" s="142"/>
    </row>
    <row r="185">
      <c r="A185" s="5" t="s">
        <v>814</v>
      </c>
      <c r="B185" s="44">
        <v>44575.0</v>
      </c>
      <c r="C185" s="150">
        <v>0.3866550925925926</v>
      </c>
      <c r="D185" s="3"/>
      <c r="E185" s="3"/>
      <c r="F185" s="5"/>
      <c r="G185" s="5"/>
      <c r="H185" s="5"/>
      <c r="I185" s="3"/>
      <c r="J185" s="3"/>
      <c r="K185" s="3" t="s">
        <v>52</v>
      </c>
      <c r="L185" s="44">
        <v>44579.0</v>
      </c>
      <c r="M185" s="150">
        <v>0.5015856481481481</v>
      </c>
      <c r="N185" s="5"/>
      <c r="O185" s="5"/>
      <c r="P185" s="10" t="b">
        <v>0</v>
      </c>
      <c r="Q185" s="10" t="s">
        <v>2184</v>
      </c>
      <c r="R185" s="144" t="b">
        <v>1</v>
      </c>
      <c r="S185" s="144">
        <v>1.0</v>
      </c>
      <c r="T185" s="10"/>
      <c r="U185" s="5"/>
      <c r="V185" s="3"/>
      <c r="W185" s="5"/>
      <c r="X185" s="144" t="b">
        <v>0</v>
      </c>
      <c r="Y185" s="10" t="b">
        <v>0</v>
      </c>
      <c r="Z185" s="3"/>
      <c r="AA185" s="10" t="b">
        <v>0</v>
      </c>
      <c r="AB185" s="10" t="b">
        <v>0</v>
      </c>
      <c r="AC185" s="181">
        <v>590.0</v>
      </c>
      <c r="AD185" s="144" t="b">
        <v>0</v>
      </c>
      <c r="AE185" s="182"/>
      <c r="AF185" s="10" t="b">
        <v>0</v>
      </c>
      <c r="AG185" s="10" t="b">
        <v>0</v>
      </c>
      <c r="AH185" s="144"/>
      <c r="AI185" s="3"/>
      <c r="AJ185" s="10"/>
      <c r="AK185" s="3" t="s">
        <v>52</v>
      </c>
      <c r="AL185" s="5" t="s">
        <v>812</v>
      </c>
      <c r="AM185" s="5" t="s">
        <v>261</v>
      </c>
      <c r="AN185" s="5" t="s">
        <v>597</v>
      </c>
      <c r="AO185" s="5" t="s">
        <v>2185</v>
      </c>
      <c r="AP185" s="5" t="s">
        <v>2185</v>
      </c>
      <c r="AQ185" s="5" t="s">
        <v>2185</v>
      </c>
      <c r="AR185" s="5" t="s">
        <v>2185</v>
      </c>
      <c r="AS185" s="142"/>
      <c r="AT185" s="142" t="b">
        <v>0</v>
      </c>
      <c r="AU185" s="142"/>
      <c r="AV185" s="142"/>
      <c r="AW185" s="142"/>
      <c r="AX185" s="142"/>
      <c r="AY185" s="142"/>
      <c r="AZ185" s="174"/>
      <c r="BA185" s="142"/>
      <c r="BB185" s="142"/>
      <c r="BC185" s="142"/>
      <c r="BD185" s="142"/>
      <c r="BE185" s="142"/>
      <c r="BF185" s="142"/>
      <c r="BG185" s="142"/>
    </row>
    <row r="186">
      <c r="A186" s="5" t="s">
        <v>816</v>
      </c>
      <c r="B186" s="44">
        <v>44575.0</v>
      </c>
      <c r="C186" s="150">
        <v>0.38960648148148147</v>
      </c>
      <c r="D186" s="3"/>
      <c r="E186" s="3"/>
      <c r="F186" s="5"/>
      <c r="G186" s="5"/>
      <c r="H186" s="5"/>
      <c r="I186" s="3"/>
      <c r="J186" s="3"/>
      <c r="K186" s="3" t="s">
        <v>244</v>
      </c>
      <c r="L186" s="44">
        <v>44575.0</v>
      </c>
      <c r="M186" s="150">
        <v>0.4820601851851852</v>
      </c>
      <c r="N186" s="5"/>
      <c r="O186" s="5"/>
      <c r="P186" s="10" t="b">
        <v>0</v>
      </c>
      <c r="Q186" s="10" t="s">
        <v>2184</v>
      </c>
      <c r="R186" s="144" t="b">
        <v>1</v>
      </c>
      <c r="S186" s="144">
        <v>1.0</v>
      </c>
      <c r="T186" s="10"/>
      <c r="U186" s="5"/>
      <c r="V186" s="3"/>
      <c r="W186" s="5"/>
      <c r="X186" s="144" t="b">
        <v>0</v>
      </c>
      <c r="Y186" s="10" t="b">
        <v>0</v>
      </c>
      <c r="Z186" s="3"/>
      <c r="AA186" s="10" t="b">
        <v>0</v>
      </c>
      <c r="AB186" s="10" t="b">
        <v>0</v>
      </c>
      <c r="AC186" s="181">
        <v>589.0</v>
      </c>
      <c r="AD186" s="144" t="b">
        <v>0</v>
      </c>
      <c r="AE186" s="182">
        <v>133.13333333333333</v>
      </c>
      <c r="AF186" s="10" t="b">
        <v>0</v>
      </c>
      <c r="AG186" s="10" t="b">
        <v>0</v>
      </c>
      <c r="AH186" s="144"/>
      <c r="AI186" s="3"/>
      <c r="AJ186" s="10"/>
      <c r="AK186" s="3" t="s">
        <v>244</v>
      </c>
      <c r="AL186" s="5"/>
      <c r="AM186" s="5" t="s">
        <v>261</v>
      </c>
      <c r="AN186" s="5" t="s">
        <v>675</v>
      </c>
      <c r="AO186" s="5" t="s">
        <v>2185</v>
      </c>
      <c r="AP186" s="5" t="s">
        <v>2185</v>
      </c>
      <c r="AQ186" s="5" t="s">
        <v>2185</v>
      </c>
      <c r="AR186" s="5" t="s">
        <v>2185</v>
      </c>
      <c r="AS186" s="142"/>
      <c r="AT186" s="142" t="b">
        <v>0</v>
      </c>
      <c r="AU186" s="142"/>
      <c r="AV186" s="142"/>
      <c r="AW186" s="142"/>
      <c r="AX186" s="142"/>
      <c r="AY186" s="142"/>
      <c r="AZ186" s="174"/>
      <c r="BA186" s="142"/>
      <c r="BB186" s="142"/>
      <c r="BC186" s="142"/>
      <c r="BD186" s="142"/>
      <c r="BE186" s="142"/>
      <c r="BF186" s="142"/>
      <c r="BG186" s="142"/>
    </row>
    <row r="187">
      <c r="A187" s="5" t="s">
        <v>818</v>
      </c>
      <c r="B187" s="44">
        <v>44575.0</v>
      </c>
      <c r="C187" s="150">
        <v>0.40739583333333335</v>
      </c>
      <c r="D187" s="3"/>
      <c r="E187" s="3"/>
      <c r="F187" s="5"/>
      <c r="G187" s="5"/>
      <c r="H187" s="5"/>
      <c r="I187" s="3"/>
      <c r="J187" s="3"/>
      <c r="K187" s="3" t="s">
        <v>244</v>
      </c>
      <c r="L187" s="44">
        <v>44575.0</v>
      </c>
      <c r="M187" s="150">
        <v>0.4820601851851852</v>
      </c>
      <c r="N187" s="5"/>
      <c r="O187" s="5"/>
      <c r="P187" s="10" t="b">
        <v>0</v>
      </c>
      <c r="Q187" s="10" t="s">
        <v>2184</v>
      </c>
      <c r="R187" s="144" t="b">
        <v>1</v>
      </c>
      <c r="S187" s="144">
        <v>1.0</v>
      </c>
      <c r="T187" s="10">
        <v>1.0</v>
      </c>
      <c r="U187" s="5"/>
      <c r="V187" s="3"/>
      <c r="W187" s="5"/>
      <c r="X187" s="144" t="b">
        <v>0</v>
      </c>
      <c r="Y187" s="10" t="b">
        <v>0</v>
      </c>
      <c r="Z187" s="3"/>
      <c r="AA187" s="10" t="b">
        <v>0</v>
      </c>
      <c r="AB187" s="10" t="b">
        <v>0</v>
      </c>
      <c r="AC187" s="181">
        <v>588.0</v>
      </c>
      <c r="AD187" s="144" t="b">
        <v>0</v>
      </c>
      <c r="AE187" s="182">
        <v>107.51666666666664</v>
      </c>
      <c r="AF187" s="10" t="b">
        <v>0</v>
      </c>
      <c r="AG187" s="10" t="b">
        <v>0</v>
      </c>
      <c r="AH187" s="144"/>
      <c r="AI187" s="3"/>
      <c r="AJ187" s="10"/>
      <c r="AK187" s="3" t="s">
        <v>244</v>
      </c>
      <c r="AL187" s="5"/>
      <c r="AM187" s="5" t="s">
        <v>261</v>
      </c>
      <c r="AN187" s="5" t="s">
        <v>530</v>
      </c>
      <c r="AO187" s="5" t="s">
        <v>2185</v>
      </c>
      <c r="AP187" s="5" t="s">
        <v>2185</v>
      </c>
      <c r="AQ187" s="5" t="s">
        <v>2185</v>
      </c>
      <c r="AR187" s="5" t="s">
        <v>2185</v>
      </c>
      <c r="AS187" s="142"/>
      <c r="AT187" s="142" t="b">
        <v>0</v>
      </c>
      <c r="AU187" s="142"/>
      <c r="AV187" s="142"/>
      <c r="AW187" s="142"/>
      <c r="AX187" s="142"/>
      <c r="AY187" s="142"/>
      <c r="AZ187" s="174"/>
      <c r="BA187" s="142"/>
      <c r="BB187" s="142"/>
      <c r="BC187" s="142"/>
      <c r="BD187" s="142"/>
      <c r="BE187" s="142"/>
      <c r="BF187" s="142"/>
      <c r="BG187" s="142"/>
    </row>
    <row r="188">
      <c r="A188" s="5" t="s">
        <v>822</v>
      </c>
      <c r="B188" s="44">
        <v>44578.0</v>
      </c>
      <c r="C188" s="150">
        <v>0.35052083333333334</v>
      </c>
      <c r="D188" s="3"/>
      <c r="E188" s="3"/>
      <c r="F188" s="5"/>
      <c r="G188" s="5"/>
      <c r="H188" s="5"/>
      <c r="I188" s="3"/>
      <c r="J188" s="3"/>
      <c r="K188" s="3" t="s">
        <v>244</v>
      </c>
      <c r="L188" s="44">
        <v>44580.0</v>
      </c>
      <c r="M188" s="150">
        <v>0.5079976851851852</v>
      </c>
      <c r="N188" s="5"/>
      <c r="O188" s="5"/>
      <c r="P188" s="10" t="b">
        <v>0</v>
      </c>
      <c r="Q188" s="10" t="s">
        <v>2184</v>
      </c>
      <c r="R188" s="144" t="b">
        <v>1</v>
      </c>
      <c r="S188" s="144">
        <v>1.0</v>
      </c>
      <c r="T188" s="10"/>
      <c r="U188" s="5"/>
      <c r="V188" s="3"/>
      <c r="W188" s="5"/>
      <c r="X188" s="144" t="b">
        <v>0</v>
      </c>
      <c r="Y188" s="10" t="b">
        <v>0</v>
      </c>
      <c r="Z188" s="3"/>
      <c r="AA188" s="10" t="b">
        <v>0</v>
      </c>
      <c r="AB188" s="10" t="b">
        <v>0</v>
      </c>
      <c r="AC188" s="181">
        <v>571.0</v>
      </c>
      <c r="AD188" s="144" t="b">
        <v>0</v>
      </c>
      <c r="AE188" s="182"/>
      <c r="AF188" s="10" t="b">
        <v>0</v>
      </c>
      <c r="AG188" s="10" t="b">
        <v>0</v>
      </c>
      <c r="AH188" s="144"/>
      <c r="AI188" s="3"/>
      <c r="AJ188" s="10"/>
      <c r="AK188" s="3" t="s">
        <v>244</v>
      </c>
      <c r="AL188" s="5"/>
      <c r="AM188" s="5" t="s">
        <v>318</v>
      </c>
      <c r="AN188" s="5" t="s">
        <v>319</v>
      </c>
      <c r="AO188" s="5" t="s">
        <v>2185</v>
      </c>
      <c r="AP188" s="5" t="s">
        <v>2185</v>
      </c>
      <c r="AQ188" s="5" t="s">
        <v>2185</v>
      </c>
      <c r="AR188" s="5" t="s">
        <v>2185</v>
      </c>
      <c r="AS188" s="142"/>
      <c r="AT188" s="142" t="b">
        <v>0</v>
      </c>
      <c r="AU188" s="142"/>
      <c r="AV188" s="142"/>
      <c r="AW188" s="142"/>
      <c r="AX188" s="142"/>
      <c r="AY188" s="142"/>
      <c r="AZ188" s="174"/>
      <c r="BA188" s="142"/>
      <c r="BB188" s="142"/>
      <c r="BC188" s="142"/>
      <c r="BD188" s="142"/>
      <c r="BE188" s="142"/>
      <c r="BF188" s="142"/>
      <c r="BG188" s="142"/>
    </row>
    <row r="189">
      <c r="A189" s="5" t="s">
        <v>824</v>
      </c>
      <c r="B189" s="44">
        <v>44579.0</v>
      </c>
      <c r="C189" s="150">
        <v>0.2984837962962963</v>
      </c>
      <c r="D189" s="3"/>
      <c r="E189" s="3"/>
      <c r="F189" s="5"/>
      <c r="G189" s="5"/>
      <c r="H189" s="5"/>
      <c r="I189" s="3"/>
      <c r="J189" s="3"/>
      <c r="K189" s="3" t="s">
        <v>244</v>
      </c>
      <c r="L189" s="44">
        <v>44580.0</v>
      </c>
      <c r="M189" s="150">
        <v>0.5079976851851852</v>
      </c>
      <c r="N189" s="5"/>
      <c r="O189" s="5"/>
      <c r="P189" s="10" t="b">
        <v>0</v>
      </c>
      <c r="Q189" s="10" t="s">
        <v>2184</v>
      </c>
      <c r="R189" s="144" t="b">
        <v>1</v>
      </c>
      <c r="S189" s="144">
        <v>1.0</v>
      </c>
      <c r="T189" s="10"/>
      <c r="U189" s="5"/>
      <c r="V189" s="3"/>
      <c r="W189" s="5"/>
      <c r="X189" s="144" t="b">
        <v>0</v>
      </c>
      <c r="Y189" s="10" t="b">
        <v>0</v>
      </c>
      <c r="Z189" s="3"/>
      <c r="AA189" s="10" t="b">
        <v>0</v>
      </c>
      <c r="AB189" s="10" t="b">
        <v>0</v>
      </c>
      <c r="AC189" s="181">
        <v>570.0</v>
      </c>
      <c r="AD189" s="144" t="b">
        <v>0</v>
      </c>
      <c r="AE189" s="182"/>
      <c r="AF189" s="10" t="b">
        <v>0</v>
      </c>
      <c r="AG189" s="10" t="b">
        <v>0</v>
      </c>
      <c r="AH189" s="144"/>
      <c r="AI189" s="3"/>
      <c r="AJ189" s="10"/>
      <c r="AK189" s="3" t="s">
        <v>244</v>
      </c>
      <c r="AL189" s="5"/>
      <c r="AM189" s="5" t="s">
        <v>504</v>
      </c>
      <c r="AN189" s="5" t="s">
        <v>505</v>
      </c>
      <c r="AO189" s="5" t="s">
        <v>2185</v>
      </c>
      <c r="AP189" s="5" t="s">
        <v>2185</v>
      </c>
      <c r="AQ189" s="5" t="s">
        <v>2185</v>
      </c>
      <c r="AR189" s="5" t="s">
        <v>2185</v>
      </c>
      <c r="AS189" s="142"/>
      <c r="AT189" s="142" t="b">
        <v>0</v>
      </c>
      <c r="AU189" s="142"/>
      <c r="AV189" s="142"/>
      <c r="AW189" s="142"/>
      <c r="AX189" s="142"/>
      <c r="AY189" s="142"/>
      <c r="AZ189" s="174"/>
      <c r="BA189" s="142"/>
      <c r="BB189" s="142"/>
      <c r="BC189" s="142"/>
      <c r="BD189" s="142"/>
      <c r="BE189" s="142"/>
      <c r="BF189" s="142"/>
      <c r="BG189" s="142"/>
    </row>
    <row r="190">
      <c r="A190" s="5" t="s">
        <v>826</v>
      </c>
      <c r="B190" s="44">
        <v>44579.0</v>
      </c>
      <c r="C190" s="150">
        <v>0.3022685185185185</v>
      </c>
      <c r="D190" s="3"/>
      <c r="E190" s="3"/>
      <c r="F190" s="5"/>
      <c r="G190" s="5"/>
      <c r="H190" s="5"/>
      <c r="I190" s="3"/>
      <c r="J190" s="3"/>
      <c r="K190" s="3" t="s">
        <v>244</v>
      </c>
      <c r="L190" s="44">
        <v>44580.0</v>
      </c>
      <c r="M190" s="150">
        <v>0.5079976851851852</v>
      </c>
      <c r="N190" s="5"/>
      <c r="O190" s="5"/>
      <c r="P190" s="10" t="b">
        <v>0</v>
      </c>
      <c r="Q190" s="10" t="s">
        <v>2184</v>
      </c>
      <c r="R190" s="144" t="b">
        <v>1</v>
      </c>
      <c r="S190" s="144">
        <v>1.0</v>
      </c>
      <c r="T190" s="10"/>
      <c r="U190" s="5"/>
      <c r="V190" s="3"/>
      <c r="W190" s="5"/>
      <c r="X190" s="144" t="b">
        <v>0</v>
      </c>
      <c r="Y190" s="10" t="b">
        <v>0</v>
      </c>
      <c r="Z190" s="3"/>
      <c r="AA190" s="10" t="b">
        <v>0</v>
      </c>
      <c r="AB190" s="10" t="b">
        <v>0</v>
      </c>
      <c r="AC190" s="181">
        <v>569.0</v>
      </c>
      <c r="AD190" s="144" t="b">
        <v>0</v>
      </c>
      <c r="AE190" s="182"/>
      <c r="AF190" s="10" t="b">
        <v>0</v>
      </c>
      <c r="AG190" s="10" t="b">
        <v>0</v>
      </c>
      <c r="AH190" s="144"/>
      <c r="AI190" s="3"/>
      <c r="AJ190" s="10"/>
      <c r="AK190" s="3" t="s">
        <v>244</v>
      </c>
      <c r="AL190" s="5"/>
      <c r="AM190" s="5" t="s">
        <v>827</v>
      </c>
      <c r="AN190" s="5" t="s">
        <v>828</v>
      </c>
      <c r="AO190" s="5" t="s">
        <v>2185</v>
      </c>
      <c r="AP190" s="5" t="s">
        <v>2185</v>
      </c>
      <c r="AQ190" s="5" t="s">
        <v>2185</v>
      </c>
      <c r="AR190" s="5" t="s">
        <v>2185</v>
      </c>
      <c r="AS190" s="142"/>
      <c r="AT190" s="142" t="b">
        <v>0</v>
      </c>
      <c r="AU190" s="142"/>
      <c r="AV190" s="142"/>
      <c r="AW190" s="142"/>
      <c r="AX190" s="142"/>
      <c r="AY190" s="142"/>
      <c r="AZ190" s="174"/>
      <c r="BA190" s="142"/>
      <c r="BB190" s="142"/>
      <c r="BC190" s="142"/>
      <c r="BD190" s="142"/>
      <c r="BE190" s="142"/>
      <c r="BF190" s="142"/>
      <c r="BG190" s="142"/>
    </row>
    <row r="191">
      <c r="A191" s="5" t="s">
        <v>830</v>
      </c>
      <c r="B191" s="44">
        <v>44579.0</v>
      </c>
      <c r="C191" s="150">
        <v>0.3112847222222222</v>
      </c>
      <c r="D191" s="3"/>
      <c r="E191" s="3"/>
      <c r="F191" s="5"/>
      <c r="G191" s="5"/>
      <c r="H191" s="5"/>
      <c r="I191" s="3"/>
      <c r="J191" s="3"/>
      <c r="K191" s="3" t="s">
        <v>63</v>
      </c>
      <c r="L191" s="44">
        <v>44579.0</v>
      </c>
      <c r="M191" s="150">
        <v>0.5014930555555556</v>
      </c>
      <c r="N191" s="5"/>
      <c r="O191" s="5"/>
      <c r="P191" s="10" t="b">
        <v>0</v>
      </c>
      <c r="Q191" s="10" t="s">
        <v>2184</v>
      </c>
      <c r="R191" s="144" t="b">
        <v>1</v>
      </c>
      <c r="S191" s="144">
        <v>1.0</v>
      </c>
      <c r="T191" s="10"/>
      <c r="U191" s="5"/>
      <c r="V191" s="3"/>
      <c r="W191" s="5"/>
      <c r="X191" s="144" t="b">
        <v>0</v>
      </c>
      <c r="Y191" s="10" t="b">
        <v>0</v>
      </c>
      <c r="Z191" s="3"/>
      <c r="AA191" s="10" t="b">
        <v>0</v>
      </c>
      <c r="AB191" s="10" t="b">
        <v>0</v>
      </c>
      <c r="AC191" s="181">
        <v>587.0</v>
      </c>
      <c r="AD191" s="144" t="b">
        <v>0</v>
      </c>
      <c r="AE191" s="182">
        <v>273.9000000000001</v>
      </c>
      <c r="AF191" s="10" t="b">
        <v>0</v>
      </c>
      <c r="AG191" s="10" t="b">
        <v>0</v>
      </c>
      <c r="AH191" s="144"/>
      <c r="AI191" s="3"/>
      <c r="AJ191" s="10">
        <v>2.5</v>
      </c>
      <c r="AK191" s="3" t="s">
        <v>244</v>
      </c>
      <c r="AL191" s="5" t="s">
        <v>831</v>
      </c>
      <c r="AM191" s="5" t="s">
        <v>471</v>
      </c>
      <c r="AN191" s="5" t="s">
        <v>472</v>
      </c>
      <c r="AO191" s="5" t="s">
        <v>2185</v>
      </c>
      <c r="AP191" s="5" t="s">
        <v>2185</v>
      </c>
      <c r="AQ191" s="5" t="s">
        <v>2185</v>
      </c>
      <c r="AR191" s="5" t="s">
        <v>2185</v>
      </c>
      <c r="AS191" s="142"/>
      <c r="AT191" s="142" t="b">
        <v>0</v>
      </c>
      <c r="AU191" s="142"/>
      <c r="AV191" s="142"/>
      <c r="AW191" s="142"/>
      <c r="AX191" s="142"/>
      <c r="AY191" s="142"/>
      <c r="AZ191" s="174"/>
      <c r="BA191" s="142"/>
      <c r="BB191" s="142"/>
      <c r="BC191" s="142"/>
      <c r="BD191" s="142"/>
      <c r="BE191" s="142"/>
      <c r="BF191" s="142"/>
      <c r="BG191" s="142"/>
    </row>
    <row r="192">
      <c r="A192" s="5" t="s">
        <v>833</v>
      </c>
      <c r="B192" s="44">
        <v>44579.0</v>
      </c>
      <c r="C192" s="150">
        <v>0.3162037037037037</v>
      </c>
      <c r="D192" s="3"/>
      <c r="E192" s="3"/>
      <c r="F192" s="5"/>
      <c r="G192" s="5"/>
      <c r="H192" s="5"/>
      <c r="I192" s="3"/>
      <c r="J192" s="3"/>
      <c r="K192" s="3" t="s">
        <v>244</v>
      </c>
      <c r="L192" s="44">
        <v>44580.0</v>
      </c>
      <c r="M192" s="150">
        <v>0.5080092592592592</v>
      </c>
      <c r="N192" s="5"/>
      <c r="O192" s="5"/>
      <c r="P192" s="10" t="b">
        <v>0</v>
      </c>
      <c r="Q192" s="10" t="s">
        <v>2184</v>
      </c>
      <c r="R192" s="144" t="b">
        <v>1</v>
      </c>
      <c r="S192" s="144">
        <v>1.0</v>
      </c>
      <c r="T192" s="10"/>
      <c r="U192" s="5"/>
      <c r="V192" s="3"/>
      <c r="W192" s="5"/>
      <c r="X192" s="144" t="b">
        <v>0</v>
      </c>
      <c r="Y192" s="10" t="b">
        <v>0</v>
      </c>
      <c r="Z192" s="3"/>
      <c r="AA192" s="10" t="b">
        <v>0</v>
      </c>
      <c r="AB192" s="10" t="b">
        <v>0</v>
      </c>
      <c r="AC192" s="181">
        <v>568.0</v>
      </c>
      <c r="AD192" s="144" t="b">
        <v>0</v>
      </c>
      <c r="AE192" s="182"/>
      <c r="AF192" s="10" t="b">
        <v>0</v>
      </c>
      <c r="AG192" s="10" t="b">
        <v>0</v>
      </c>
      <c r="AH192" s="144"/>
      <c r="AI192" s="3"/>
      <c r="AJ192" s="10"/>
      <c r="AK192" s="3" t="s">
        <v>244</v>
      </c>
      <c r="AL192" s="5"/>
      <c r="AM192" s="5" t="s">
        <v>639</v>
      </c>
      <c r="AN192" s="5" t="s">
        <v>640</v>
      </c>
      <c r="AO192" s="5" t="s">
        <v>2185</v>
      </c>
      <c r="AP192" s="5" t="s">
        <v>2185</v>
      </c>
      <c r="AQ192" s="5" t="s">
        <v>2185</v>
      </c>
      <c r="AR192" s="5" t="s">
        <v>2185</v>
      </c>
      <c r="AS192" s="142"/>
      <c r="AT192" s="142" t="b">
        <v>0</v>
      </c>
      <c r="AU192" s="142"/>
      <c r="AV192" s="142"/>
      <c r="AW192" s="142"/>
      <c r="AX192" s="142"/>
      <c r="AY192" s="142"/>
      <c r="AZ192" s="174"/>
      <c r="BA192" s="142"/>
      <c r="BB192" s="142"/>
      <c r="BC192" s="142"/>
      <c r="BD192" s="142"/>
      <c r="BE192" s="142"/>
      <c r="BF192" s="142"/>
      <c r="BG192" s="142"/>
    </row>
    <row r="193">
      <c r="A193" s="5" t="s">
        <v>835</v>
      </c>
      <c r="B193" s="44">
        <v>44579.0</v>
      </c>
      <c r="C193" s="150">
        <v>0.3205324074074074</v>
      </c>
      <c r="D193" s="3"/>
      <c r="E193" s="3"/>
      <c r="F193" s="5"/>
      <c r="G193" s="5"/>
      <c r="H193" s="5"/>
      <c r="I193" s="3"/>
      <c r="J193" s="3"/>
      <c r="K193" s="3" t="s">
        <v>244</v>
      </c>
      <c r="L193" s="44">
        <v>44580.0</v>
      </c>
      <c r="M193" s="150">
        <v>0.5080092592592592</v>
      </c>
      <c r="N193" s="5"/>
      <c r="O193" s="5"/>
      <c r="P193" s="10" t="b">
        <v>0</v>
      </c>
      <c r="Q193" s="10" t="s">
        <v>2184</v>
      </c>
      <c r="R193" s="144" t="b">
        <v>1</v>
      </c>
      <c r="S193" s="144">
        <v>1.0</v>
      </c>
      <c r="T193" s="10"/>
      <c r="U193" s="5"/>
      <c r="V193" s="3"/>
      <c r="W193" s="5"/>
      <c r="X193" s="144" t="b">
        <v>0</v>
      </c>
      <c r="Y193" s="10" t="b">
        <v>0</v>
      </c>
      <c r="Z193" s="3"/>
      <c r="AA193" s="10" t="b">
        <v>0</v>
      </c>
      <c r="AB193" s="10" t="b">
        <v>0</v>
      </c>
      <c r="AC193" s="181">
        <v>567.0</v>
      </c>
      <c r="AD193" s="144" t="b">
        <v>0</v>
      </c>
      <c r="AE193" s="182"/>
      <c r="AF193" s="10" t="b">
        <v>0</v>
      </c>
      <c r="AG193" s="10" t="b">
        <v>0</v>
      </c>
      <c r="AH193" s="144"/>
      <c r="AI193" s="3"/>
      <c r="AJ193" s="10"/>
      <c r="AK193" s="3" t="s">
        <v>244</v>
      </c>
      <c r="AL193" s="5"/>
      <c r="AM193" s="5" t="s">
        <v>793</v>
      </c>
      <c r="AN193" s="5" t="s">
        <v>836</v>
      </c>
      <c r="AO193" s="5" t="s">
        <v>2185</v>
      </c>
      <c r="AP193" s="5" t="s">
        <v>2185</v>
      </c>
      <c r="AQ193" s="5" t="s">
        <v>2185</v>
      </c>
      <c r="AR193" s="5" t="s">
        <v>2185</v>
      </c>
      <c r="AS193" s="142"/>
      <c r="AT193" s="142" t="b">
        <v>0</v>
      </c>
      <c r="AU193" s="142"/>
      <c r="AV193" s="142"/>
      <c r="AW193" s="142"/>
      <c r="AX193" s="142"/>
      <c r="AY193" s="142"/>
      <c r="AZ193" s="174"/>
      <c r="BA193" s="142"/>
      <c r="BB193" s="142"/>
      <c r="BC193" s="142"/>
      <c r="BD193" s="142"/>
      <c r="BE193" s="142"/>
      <c r="BF193" s="142"/>
      <c r="BG193" s="142"/>
    </row>
    <row r="194">
      <c r="A194" s="5" t="s">
        <v>838</v>
      </c>
      <c r="B194" s="44">
        <v>44579.0</v>
      </c>
      <c r="C194" s="150">
        <v>0.32251157407407405</v>
      </c>
      <c r="D194" s="3"/>
      <c r="E194" s="3"/>
      <c r="F194" s="5"/>
      <c r="G194" s="5"/>
      <c r="H194" s="5"/>
      <c r="I194" s="3"/>
      <c r="J194" s="3"/>
      <c r="K194" s="3" t="s">
        <v>52</v>
      </c>
      <c r="L194" s="44">
        <v>44579.0</v>
      </c>
      <c r="M194" s="150">
        <v>0.5015972222222222</v>
      </c>
      <c r="N194" s="5"/>
      <c r="O194" s="5"/>
      <c r="P194" s="10" t="b">
        <v>0</v>
      </c>
      <c r="Q194" s="10" t="s">
        <v>2184</v>
      </c>
      <c r="R194" s="144" t="b">
        <v>1</v>
      </c>
      <c r="S194" s="144">
        <v>1.0</v>
      </c>
      <c r="T194" s="10"/>
      <c r="U194" s="5"/>
      <c r="V194" s="3"/>
      <c r="W194" s="5"/>
      <c r="X194" s="144" t="b">
        <v>0</v>
      </c>
      <c r="Y194" s="10" t="b">
        <v>0</v>
      </c>
      <c r="Z194" s="3"/>
      <c r="AA194" s="10" t="b">
        <v>0</v>
      </c>
      <c r="AB194" s="10" t="b">
        <v>0</v>
      </c>
      <c r="AC194" s="181">
        <v>586.0</v>
      </c>
      <c r="AD194" s="144" t="b">
        <v>0</v>
      </c>
      <c r="AE194" s="182">
        <v>257.88333333333344</v>
      </c>
      <c r="AF194" s="10" t="b">
        <v>0</v>
      </c>
      <c r="AG194" s="10" t="b">
        <v>0</v>
      </c>
      <c r="AH194" s="144"/>
      <c r="AI194" s="3"/>
      <c r="AJ194" s="10"/>
      <c r="AK194" s="3" t="s">
        <v>52</v>
      </c>
      <c r="AL194" s="5"/>
      <c r="AM194" s="5" t="s">
        <v>839</v>
      </c>
      <c r="AN194" s="5" t="s">
        <v>542</v>
      </c>
      <c r="AO194" s="5" t="s">
        <v>2185</v>
      </c>
      <c r="AP194" s="5" t="s">
        <v>2185</v>
      </c>
      <c r="AQ194" s="5" t="s">
        <v>2185</v>
      </c>
      <c r="AR194" s="5" t="s">
        <v>2185</v>
      </c>
      <c r="AS194" s="142"/>
      <c r="AT194" s="142" t="b">
        <v>0</v>
      </c>
      <c r="AU194" s="142"/>
      <c r="AV194" s="142"/>
      <c r="AW194" s="142"/>
      <c r="AX194" s="142"/>
      <c r="AY194" s="142"/>
      <c r="AZ194" s="174"/>
      <c r="BA194" s="142"/>
      <c r="BB194" s="142"/>
      <c r="BC194" s="142"/>
      <c r="BD194" s="142"/>
      <c r="BE194" s="142"/>
      <c r="BF194" s="142"/>
      <c r="BG194" s="142"/>
    </row>
    <row r="195">
      <c r="A195" s="5" t="s">
        <v>841</v>
      </c>
      <c r="B195" s="44">
        <v>44579.0</v>
      </c>
      <c r="C195" s="150">
        <v>0.3232175925925926</v>
      </c>
      <c r="D195" s="3"/>
      <c r="E195" s="3"/>
      <c r="F195" s="5"/>
      <c r="G195" s="5"/>
      <c r="H195" s="5"/>
      <c r="I195" s="3"/>
      <c r="J195" s="3"/>
      <c r="K195" s="3" t="s">
        <v>244</v>
      </c>
      <c r="L195" s="44">
        <v>44580.0</v>
      </c>
      <c r="M195" s="150">
        <v>0.5080092592592592</v>
      </c>
      <c r="N195" s="5"/>
      <c r="O195" s="5"/>
      <c r="P195" s="10" t="b">
        <v>0</v>
      </c>
      <c r="Q195" s="10" t="s">
        <v>2184</v>
      </c>
      <c r="R195" s="144" t="b">
        <v>1</v>
      </c>
      <c r="S195" s="144">
        <v>1.0</v>
      </c>
      <c r="T195" s="10"/>
      <c r="U195" s="5"/>
      <c r="V195" s="3"/>
      <c r="W195" s="5"/>
      <c r="X195" s="144" t="b">
        <v>0</v>
      </c>
      <c r="Y195" s="10" t="b">
        <v>0</v>
      </c>
      <c r="Z195" s="3"/>
      <c r="AA195" s="10" t="b">
        <v>0</v>
      </c>
      <c r="AB195" s="10" t="b">
        <v>0</v>
      </c>
      <c r="AC195" s="181">
        <v>566.0</v>
      </c>
      <c r="AD195" s="144" t="b">
        <v>0</v>
      </c>
      <c r="AE195" s="182"/>
      <c r="AF195" s="10" t="b">
        <v>0</v>
      </c>
      <c r="AG195" s="10" t="b">
        <v>0</v>
      </c>
      <c r="AH195" s="144"/>
      <c r="AI195" s="3"/>
      <c r="AJ195" s="10"/>
      <c r="AK195" s="3" t="s">
        <v>244</v>
      </c>
      <c r="AL195" s="5"/>
      <c r="AM195" s="5" t="s">
        <v>307</v>
      </c>
      <c r="AN195" s="5" t="s">
        <v>266</v>
      </c>
      <c r="AO195" s="5" t="s">
        <v>2185</v>
      </c>
      <c r="AP195" s="5" t="s">
        <v>2185</v>
      </c>
      <c r="AQ195" s="5" t="s">
        <v>2185</v>
      </c>
      <c r="AR195" s="5" t="s">
        <v>2185</v>
      </c>
      <c r="AS195" s="142"/>
      <c r="AT195" s="142" t="b">
        <v>0</v>
      </c>
      <c r="AU195" s="142"/>
      <c r="AV195" s="142"/>
      <c r="AW195" s="142"/>
      <c r="AX195" s="142"/>
      <c r="AY195" s="142"/>
      <c r="AZ195" s="174"/>
      <c r="BA195" s="142"/>
      <c r="BB195" s="142"/>
      <c r="BC195" s="142"/>
      <c r="BD195" s="142"/>
      <c r="BE195" s="142"/>
      <c r="BF195" s="142"/>
      <c r="BG195" s="142"/>
    </row>
    <row r="196">
      <c r="A196" s="5" t="s">
        <v>843</v>
      </c>
      <c r="B196" s="44">
        <v>44579.0</v>
      </c>
      <c r="C196" s="150">
        <v>0.3233101851851852</v>
      </c>
      <c r="D196" s="3"/>
      <c r="E196" s="3"/>
      <c r="F196" s="5"/>
      <c r="G196" s="5"/>
      <c r="H196" s="5"/>
      <c r="I196" s="3"/>
      <c r="J196" s="3"/>
      <c r="K196" s="3" t="s">
        <v>244</v>
      </c>
      <c r="L196" s="44">
        <v>44580.0</v>
      </c>
      <c r="M196" s="150">
        <v>0.5080092592592592</v>
      </c>
      <c r="N196" s="5"/>
      <c r="O196" s="5"/>
      <c r="P196" s="10" t="b">
        <v>0</v>
      </c>
      <c r="Q196" s="10" t="s">
        <v>2184</v>
      </c>
      <c r="R196" s="144" t="b">
        <v>1</v>
      </c>
      <c r="S196" s="144">
        <v>1.0</v>
      </c>
      <c r="T196" s="10"/>
      <c r="U196" s="5"/>
      <c r="V196" s="3"/>
      <c r="W196" s="5"/>
      <c r="X196" s="144" t="b">
        <v>0</v>
      </c>
      <c r="Y196" s="10" t="b">
        <v>0</v>
      </c>
      <c r="Z196" s="3"/>
      <c r="AA196" s="10" t="b">
        <v>0</v>
      </c>
      <c r="AB196" s="10" t="b">
        <v>0</v>
      </c>
      <c r="AC196" s="181">
        <v>565.0</v>
      </c>
      <c r="AD196" s="144" t="b">
        <v>0</v>
      </c>
      <c r="AE196" s="182"/>
      <c r="AF196" s="10" t="b">
        <v>0</v>
      </c>
      <c r="AG196" s="10" t="b">
        <v>0</v>
      </c>
      <c r="AH196" s="144"/>
      <c r="AI196" s="3"/>
      <c r="AJ196" s="10"/>
      <c r="AK196" s="3" t="s">
        <v>244</v>
      </c>
      <c r="AL196" s="5"/>
      <c r="AM196" s="5" t="s">
        <v>573</v>
      </c>
      <c r="AN196" s="5" t="s">
        <v>574</v>
      </c>
      <c r="AO196" s="5" t="s">
        <v>2185</v>
      </c>
      <c r="AP196" s="5" t="s">
        <v>2185</v>
      </c>
      <c r="AQ196" s="5" t="s">
        <v>2185</v>
      </c>
      <c r="AR196" s="5" t="s">
        <v>2185</v>
      </c>
      <c r="AS196" s="142"/>
      <c r="AT196" s="142" t="b">
        <v>0</v>
      </c>
      <c r="AU196" s="142"/>
      <c r="AV196" s="142"/>
      <c r="AW196" s="142"/>
      <c r="AX196" s="142"/>
      <c r="AY196" s="142"/>
      <c r="AZ196" s="174"/>
      <c r="BA196" s="142"/>
      <c r="BB196" s="142"/>
      <c r="BC196" s="142"/>
      <c r="BD196" s="142"/>
      <c r="BE196" s="142"/>
      <c r="BF196" s="142"/>
      <c r="BG196" s="142"/>
    </row>
    <row r="197">
      <c r="A197" s="5" t="s">
        <v>845</v>
      </c>
      <c r="B197" s="44">
        <v>44579.0</v>
      </c>
      <c r="C197" s="150">
        <v>0.3278935185185185</v>
      </c>
      <c r="D197" s="3"/>
      <c r="E197" s="3"/>
      <c r="F197" s="5"/>
      <c r="G197" s="5"/>
      <c r="H197" s="5"/>
      <c r="I197" s="3"/>
      <c r="J197" s="3"/>
      <c r="K197" s="3" t="s">
        <v>244</v>
      </c>
      <c r="L197" s="44">
        <v>44580.0</v>
      </c>
      <c r="M197" s="150">
        <v>0.5080092592592592</v>
      </c>
      <c r="N197" s="5"/>
      <c r="O197" s="5"/>
      <c r="P197" s="10" t="b">
        <v>0</v>
      </c>
      <c r="Q197" s="10" t="s">
        <v>2184</v>
      </c>
      <c r="R197" s="144" t="b">
        <v>1</v>
      </c>
      <c r="S197" s="144">
        <v>1.0</v>
      </c>
      <c r="T197" s="10"/>
      <c r="U197" s="5"/>
      <c r="V197" s="3"/>
      <c r="W197" s="5"/>
      <c r="X197" s="144" t="b">
        <v>0</v>
      </c>
      <c r="Y197" s="10" t="b">
        <v>0</v>
      </c>
      <c r="Z197" s="3"/>
      <c r="AA197" s="10" t="b">
        <v>0</v>
      </c>
      <c r="AB197" s="10" t="b">
        <v>0</v>
      </c>
      <c r="AC197" s="181">
        <v>564.0</v>
      </c>
      <c r="AD197" s="144" t="b">
        <v>0</v>
      </c>
      <c r="AE197" s="182"/>
      <c r="AF197" s="10" t="b">
        <v>0</v>
      </c>
      <c r="AG197" s="10" t="b">
        <v>0</v>
      </c>
      <c r="AH197" s="144"/>
      <c r="AI197" s="3"/>
      <c r="AJ197" s="10"/>
      <c r="AK197" s="3" t="s">
        <v>244</v>
      </c>
      <c r="AL197" s="5"/>
      <c r="AM197" s="5" t="s">
        <v>356</v>
      </c>
      <c r="AN197" s="5" t="s">
        <v>357</v>
      </c>
      <c r="AO197" s="5" t="s">
        <v>2185</v>
      </c>
      <c r="AP197" s="5" t="s">
        <v>2185</v>
      </c>
      <c r="AQ197" s="5" t="s">
        <v>2185</v>
      </c>
      <c r="AR197" s="5" t="s">
        <v>2185</v>
      </c>
      <c r="AS197" s="142"/>
      <c r="AT197" s="142" t="b">
        <v>0</v>
      </c>
      <c r="AU197" s="142"/>
      <c r="AV197" s="142"/>
      <c r="AW197" s="142"/>
      <c r="AX197" s="142"/>
      <c r="AY197" s="142"/>
      <c r="AZ197" s="174"/>
      <c r="BA197" s="142"/>
      <c r="BB197" s="142"/>
      <c r="BC197" s="142"/>
      <c r="BD197" s="142"/>
      <c r="BE197" s="142"/>
      <c r="BF197" s="142"/>
      <c r="BG197" s="142"/>
    </row>
    <row r="198">
      <c r="A198" s="5" t="s">
        <v>847</v>
      </c>
      <c r="B198" s="44">
        <v>44579.0</v>
      </c>
      <c r="C198" s="150">
        <v>0.32914351851851853</v>
      </c>
      <c r="D198" s="3"/>
      <c r="E198" s="3"/>
      <c r="F198" s="5"/>
      <c r="G198" s="5"/>
      <c r="H198" s="5"/>
      <c r="I198" s="3"/>
      <c r="J198" s="3"/>
      <c r="K198" s="3" t="s">
        <v>244</v>
      </c>
      <c r="L198" s="44">
        <v>44580.0</v>
      </c>
      <c r="M198" s="150">
        <v>0.5080092592592592</v>
      </c>
      <c r="N198" s="5"/>
      <c r="O198" s="5"/>
      <c r="P198" s="10" t="b">
        <v>0</v>
      </c>
      <c r="Q198" s="10" t="s">
        <v>2184</v>
      </c>
      <c r="R198" s="144" t="b">
        <v>1</v>
      </c>
      <c r="S198" s="144">
        <v>1.0</v>
      </c>
      <c r="T198" s="10">
        <v>0.0</v>
      </c>
      <c r="U198" s="5"/>
      <c r="V198" s="3"/>
      <c r="W198" s="5"/>
      <c r="X198" s="144" t="b">
        <v>0</v>
      </c>
      <c r="Y198" s="10" t="b">
        <v>0</v>
      </c>
      <c r="Z198" s="3"/>
      <c r="AA198" s="10" t="b">
        <v>0</v>
      </c>
      <c r="AB198" s="10" t="b">
        <v>0</v>
      </c>
      <c r="AC198" s="181">
        <v>563.0</v>
      </c>
      <c r="AD198" s="144" t="b">
        <v>0</v>
      </c>
      <c r="AE198" s="182"/>
      <c r="AF198" s="10" t="b">
        <v>0</v>
      </c>
      <c r="AG198" s="10" t="b">
        <v>0</v>
      </c>
      <c r="AH198" s="144"/>
      <c r="AI198" s="3"/>
      <c r="AJ198" s="10"/>
      <c r="AK198" s="3" t="s">
        <v>244</v>
      </c>
      <c r="AL198" s="5"/>
      <c r="AM198" s="5" t="s">
        <v>727</v>
      </c>
      <c r="AN198" s="5" t="s">
        <v>728</v>
      </c>
      <c r="AO198" s="5" t="s">
        <v>2185</v>
      </c>
      <c r="AP198" s="5" t="s">
        <v>2185</v>
      </c>
      <c r="AQ198" s="5" t="s">
        <v>2185</v>
      </c>
      <c r="AR198" s="5" t="s">
        <v>2185</v>
      </c>
      <c r="AS198" s="142"/>
      <c r="AT198" s="142" t="b">
        <v>0</v>
      </c>
      <c r="AU198" s="142"/>
      <c r="AV198" s="142"/>
      <c r="AW198" s="142"/>
      <c r="AX198" s="142"/>
      <c r="AY198" s="142"/>
      <c r="AZ198" s="174"/>
      <c r="BA198" s="142"/>
      <c r="BB198" s="142"/>
      <c r="BC198" s="142"/>
      <c r="BD198" s="142"/>
      <c r="BE198" s="142"/>
      <c r="BF198" s="142"/>
      <c r="BG198" s="142"/>
    </row>
    <row r="199">
      <c r="A199" s="5" t="s">
        <v>849</v>
      </c>
      <c r="B199" s="44">
        <v>44579.0</v>
      </c>
      <c r="C199" s="150">
        <v>0.33091435185185186</v>
      </c>
      <c r="D199" s="3"/>
      <c r="E199" s="3"/>
      <c r="F199" s="5"/>
      <c r="G199" s="5"/>
      <c r="H199" s="5"/>
      <c r="I199" s="3"/>
      <c r="J199" s="3"/>
      <c r="K199" s="3" t="s">
        <v>52</v>
      </c>
      <c r="L199" s="44">
        <v>44579.0</v>
      </c>
      <c r="M199" s="150">
        <v>0.5015972222222222</v>
      </c>
      <c r="N199" s="5"/>
      <c r="O199" s="5"/>
      <c r="P199" s="10" t="b">
        <v>0</v>
      </c>
      <c r="Q199" s="10" t="s">
        <v>2184</v>
      </c>
      <c r="R199" s="144" t="b">
        <v>1</v>
      </c>
      <c r="S199" s="144">
        <v>1.0</v>
      </c>
      <c r="T199" s="10"/>
      <c r="U199" s="5"/>
      <c r="V199" s="3"/>
      <c r="W199" s="5"/>
      <c r="X199" s="144" t="b">
        <v>0</v>
      </c>
      <c r="Y199" s="10" t="b">
        <v>0</v>
      </c>
      <c r="Z199" s="3"/>
      <c r="AA199" s="10" t="b">
        <v>0</v>
      </c>
      <c r="AB199" s="10" t="b">
        <v>0</v>
      </c>
      <c r="AC199" s="181">
        <v>585.0</v>
      </c>
      <c r="AD199" s="144" t="b">
        <v>0</v>
      </c>
      <c r="AE199" s="182">
        <v>245.78333333333333</v>
      </c>
      <c r="AF199" s="10" t="b">
        <v>0</v>
      </c>
      <c r="AG199" s="10" t="b">
        <v>0</v>
      </c>
      <c r="AH199" s="144"/>
      <c r="AI199" s="3"/>
      <c r="AJ199" s="10"/>
      <c r="AK199" s="3" t="s">
        <v>52</v>
      </c>
      <c r="AL199" s="5"/>
      <c r="AM199" s="5" t="s">
        <v>850</v>
      </c>
      <c r="AN199" s="5" t="s">
        <v>851</v>
      </c>
      <c r="AO199" s="5" t="s">
        <v>2185</v>
      </c>
      <c r="AP199" s="5" t="s">
        <v>2185</v>
      </c>
      <c r="AQ199" s="5" t="s">
        <v>2185</v>
      </c>
      <c r="AR199" s="5" t="s">
        <v>2185</v>
      </c>
      <c r="AS199" s="142"/>
      <c r="AT199" s="142" t="b">
        <v>0</v>
      </c>
      <c r="AU199" s="142"/>
      <c r="AV199" s="142"/>
      <c r="AW199" s="142"/>
      <c r="AX199" s="142"/>
      <c r="AY199" s="142"/>
      <c r="AZ199" s="174"/>
      <c r="BA199" s="142"/>
      <c r="BB199" s="142"/>
      <c r="BC199" s="142"/>
      <c r="BD199" s="142"/>
      <c r="BE199" s="142"/>
      <c r="BF199" s="142"/>
      <c r="BG199" s="142"/>
    </row>
    <row r="200">
      <c r="A200" s="5" t="s">
        <v>853</v>
      </c>
      <c r="B200" s="44">
        <v>44579.0</v>
      </c>
      <c r="C200" s="150">
        <v>0.33101851851851855</v>
      </c>
      <c r="D200" s="3"/>
      <c r="E200" s="3"/>
      <c r="F200" s="5"/>
      <c r="G200" s="5"/>
      <c r="H200" s="5"/>
      <c r="I200" s="3"/>
      <c r="J200" s="3"/>
      <c r="K200" s="3" t="s">
        <v>244</v>
      </c>
      <c r="L200" s="44">
        <v>44580.0</v>
      </c>
      <c r="M200" s="150">
        <v>0.5080092592592592</v>
      </c>
      <c r="N200" s="5"/>
      <c r="O200" s="5"/>
      <c r="P200" s="10" t="b">
        <v>0</v>
      </c>
      <c r="Q200" s="10" t="s">
        <v>2184</v>
      </c>
      <c r="R200" s="144" t="b">
        <v>1</v>
      </c>
      <c r="S200" s="144">
        <v>1.0</v>
      </c>
      <c r="T200" s="10"/>
      <c r="U200" s="5"/>
      <c r="V200" s="3"/>
      <c r="W200" s="5"/>
      <c r="X200" s="144" t="b">
        <v>0</v>
      </c>
      <c r="Y200" s="10" t="b">
        <v>0</v>
      </c>
      <c r="Z200" s="3"/>
      <c r="AA200" s="10" t="b">
        <v>0</v>
      </c>
      <c r="AB200" s="10" t="b">
        <v>0</v>
      </c>
      <c r="AC200" s="181">
        <v>562.0</v>
      </c>
      <c r="AD200" s="144" t="b">
        <v>0</v>
      </c>
      <c r="AE200" s="182"/>
      <c r="AF200" s="10" t="b">
        <v>0</v>
      </c>
      <c r="AG200" s="10" t="b">
        <v>0</v>
      </c>
      <c r="AH200" s="144"/>
      <c r="AI200" s="3"/>
      <c r="AJ200" s="10"/>
      <c r="AK200" s="3" t="s">
        <v>244</v>
      </c>
      <c r="AL200" s="5"/>
      <c r="AM200" s="5" t="s">
        <v>854</v>
      </c>
      <c r="AN200" s="5" t="s">
        <v>687</v>
      </c>
      <c r="AO200" s="5" t="s">
        <v>2185</v>
      </c>
      <c r="AP200" s="5" t="s">
        <v>2185</v>
      </c>
      <c r="AQ200" s="5" t="s">
        <v>2185</v>
      </c>
      <c r="AR200" s="5" t="s">
        <v>2185</v>
      </c>
      <c r="AS200" s="142"/>
      <c r="AT200" s="142" t="b">
        <v>0</v>
      </c>
      <c r="AU200" s="142"/>
      <c r="AV200" s="142"/>
      <c r="AW200" s="142"/>
      <c r="AX200" s="142"/>
      <c r="AY200" s="142"/>
      <c r="AZ200" s="174"/>
      <c r="BA200" s="142"/>
      <c r="BB200" s="142"/>
      <c r="BC200" s="142"/>
      <c r="BD200" s="142"/>
      <c r="BE200" s="142"/>
      <c r="BF200" s="142"/>
      <c r="BG200" s="142"/>
    </row>
    <row r="201">
      <c r="A201" s="5" t="s">
        <v>856</v>
      </c>
      <c r="B201" s="44">
        <v>44579.0</v>
      </c>
      <c r="C201" s="150">
        <v>0.33121527777777776</v>
      </c>
      <c r="D201" s="3"/>
      <c r="E201" s="3"/>
      <c r="F201" s="5"/>
      <c r="G201" s="5"/>
      <c r="H201" s="5"/>
      <c r="I201" s="3"/>
      <c r="J201" s="3"/>
      <c r="K201" s="3" t="s">
        <v>244</v>
      </c>
      <c r="L201" s="44">
        <v>44580.0</v>
      </c>
      <c r="M201" s="150">
        <v>0.5080092592592592</v>
      </c>
      <c r="N201" s="5"/>
      <c r="O201" s="5"/>
      <c r="P201" s="10" t="b">
        <v>0</v>
      </c>
      <c r="Q201" s="10" t="s">
        <v>2184</v>
      </c>
      <c r="R201" s="144" t="b">
        <v>1</v>
      </c>
      <c r="S201" s="144">
        <v>1.0</v>
      </c>
      <c r="T201" s="10"/>
      <c r="U201" s="5"/>
      <c r="V201" s="3"/>
      <c r="W201" s="5"/>
      <c r="X201" s="144" t="b">
        <v>0</v>
      </c>
      <c r="Y201" s="10" t="b">
        <v>0</v>
      </c>
      <c r="Z201" s="3"/>
      <c r="AA201" s="10" t="b">
        <v>0</v>
      </c>
      <c r="AB201" s="10" t="b">
        <v>0</v>
      </c>
      <c r="AC201" s="181">
        <v>561.0</v>
      </c>
      <c r="AD201" s="144" t="b">
        <v>0</v>
      </c>
      <c r="AE201" s="182"/>
      <c r="AF201" s="10" t="b">
        <v>0</v>
      </c>
      <c r="AG201" s="10" t="b">
        <v>0</v>
      </c>
      <c r="AH201" s="144"/>
      <c r="AI201" s="3"/>
      <c r="AJ201" s="10"/>
      <c r="AK201" s="3" t="s">
        <v>244</v>
      </c>
      <c r="AL201" s="5"/>
      <c r="AM201" s="5" t="s">
        <v>857</v>
      </c>
      <c r="AN201" s="5" t="s">
        <v>696</v>
      </c>
      <c r="AO201" s="5" t="s">
        <v>2185</v>
      </c>
      <c r="AP201" s="5" t="s">
        <v>2185</v>
      </c>
      <c r="AQ201" s="5" t="s">
        <v>2185</v>
      </c>
      <c r="AR201" s="5" t="s">
        <v>2185</v>
      </c>
      <c r="AS201" s="142"/>
      <c r="AT201" s="142" t="b">
        <v>0</v>
      </c>
      <c r="AU201" s="142"/>
      <c r="AV201" s="142"/>
      <c r="AW201" s="142"/>
      <c r="AX201" s="142"/>
      <c r="AY201" s="142"/>
      <c r="AZ201" s="174"/>
      <c r="BA201" s="142"/>
      <c r="BB201" s="142"/>
      <c r="BC201" s="142"/>
      <c r="BD201" s="142"/>
      <c r="BE201" s="142"/>
      <c r="BF201" s="142"/>
      <c r="BG201" s="142"/>
    </row>
    <row r="202">
      <c r="A202" s="5" t="s">
        <v>859</v>
      </c>
      <c r="B202" s="44">
        <v>44579.0</v>
      </c>
      <c r="C202" s="150">
        <v>0.3317824074074074</v>
      </c>
      <c r="D202" s="3"/>
      <c r="E202" s="3"/>
      <c r="F202" s="5"/>
      <c r="G202" s="5"/>
      <c r="H202" s="5"/>
      <c r="I202" s="3"/>
      <c r="J202" s="3"/>
      <c r="K202" s="3" t="s">
        <v>244</v>
      </c>
      <c r="L202" s="44">
        <v>44580.0</v>
      </c>
      <c r="M202" s="150">
        <v>0.5080092592592592</v>
      </c>
      <c r="N202" s="5"/>
      <c r="O202" s="5"/>
      <c r="P202" s="10" t="b">
        <v>0</v>
      </c>
      <c r="Q202" s="10" t="s">
        <v>2184</v>
      </c>
      <c r="R202" s="144" t="b">
        <v>1</v>
      </c>
      <c r="S202" s="144">
        <v>1.0</v>
      </c>
      <c r="T202" s="10"/>
      <c r="U202" s="5"/>
      <c r="V202" s="3"/>
      <c r="W202" s="5"/>
      <c r="X202" s="144" t="b">
        <v>0</v>
      </c>
      <c r="Y202" s="10" t="b">
        <v>0</v>
      </c>
      <c r="Z202" s="3"/>
      <c r="AA202" s="10" t="b">
        <v>0</v>
      </c>
      <c r="AB202" s="10" t="b">
        <v>0</v>
      </c>
      <c r="AC202" s="181">
        <v>560.0</v>
      </c>
      <c r="AD202" s="144" t="b">
        <v>0</v>
      </c>
      <c r="AE202" s="182"/>
      <c r="AF202" s="10" t="b">
        <v>0</v>
      </c>
      <c r="AG202" s="10" t="b">
        <v>0</v>
      </c>
      <c r="AH202" s="144"/>
      <c r="AI202" s="3"/>
      <c r="AJ202" s="10"/>
      <c r="AK202" s="3" t="s">
        <v>244</v>
      </c>
      <c r="AL202" s="5"/>
      <c r="AM202" s="5" t="s">
        <v>299</v>
      </c>
      <c r="AN202" s="5" t="s">
        <v>300</v>
      </c>
      <c r="AO202" s="5" t="s">
        <v>2185</v>
      </c>
      <c r="AP202" s="5" t="s">
        <v>2185</v>
      </c>
      <c r="AQ202" s="5" t="s">
        <v>2185</v>
      </c>
      <c r="AR202" s="5" t="s">
        <v>2185</v>
      </c>
      <c r="AS202" s="142"/>
      <c r="AT202" s="142" t="b">
        <v>0</v>
      </c>
      <c r="AU202" s="142"/>
      <c r="AV202" s="142"/>
      <c r="AW202" s="142"/>
      <c r="AX202" s="142"/>
      <c r="AY202" s="142"/>
      <c r="AZ202" s="174"/>
      <c r="BA202" s="142"/>
      <c r="BB202" s="142"/>
      <c r="BC202" s="142"/>
      <c r="BD202" s="142"/>
      <c r="BE202" s="142"/>
      <c r="BF202" s="142"/>
      <c r="BG202" s="142"/>
    </row>
    <row r="203">
      <c r="A203" s="5" t="s">
        <v>861</v>
      </c>
      <c r="B203" s="44">
        <v>44579.0</v>
      </c>
      <c r="C203" s="150">
        <v>0.332025462962963</v>
      </c>
      <c r="D203" s="3"/>
      <c r="E203" s="3"/>
      <c r="F203" s="5"/>
      <c r="G203" s="5"/>
      <c r="H203" s="5"/>
      <c r="I203" s="3"/>
      <c r="J203" s="3"/>
      <c r="K203" s="3" t="s">
        <v>244</v>
      </c>
      <c r="L203" s="44">
        <v>44580.0</v>
      </c>
      <c r="M203" s="150">
        <v>0.5080092592592592</v>
      </c>
      <c r="N203" s="5"/>
      <c r="O203" s="5"/>
      <c r="P203" s="10" t="b">
        <v>0</v>
      </c>
      <c r="Q203" s="10" t="s">
        <v>2184</v>
      </c>
      <c r="R203" s="144" t="b">
        <v>1</v>
      </c>
      <c r="S203" s="144">
        <v>1.0</v>
      </c>
      <c r="T203" s="10">
        <v>0.0</v>
      </c>
      <c r="U203" s="5"/>
      <c r="V203" s="3"/>
      <c r="W203" s="5"/>
      <c r="X203" s="144" t="b">
        <v>0</v>
      </c>
      <c r="Y203" s="10" t="b">
        <v>0</v>
      </c>
      <c r="Z203" s="3"/>
      <c r="AA203" s="10" t="b">
        <v>0</v>
      </c>
      <c r="AB203" s="10" t="b">
        <v>0</v>
      </c>
      <c r="AC203" s="181">
        <v>559.0</v>
      </c>
      <c r="AD203" s="144" t="b">
        <v>0</v>
      </c>
      <c r="AE203" s="182"/>
      <c r="AF203" s="10" t="b">
        <v>0</v>
      </c>
      <c r="AG203" s="10" t="b">
        <v>0</v>
      </c>
      <c r="AH203" s="144"/>
      <c r="AI203" s="3"/>
      <c r="AJ203" s="10"/>
      <c r="AK203" s="3" t="s">
        <v>244</v>
      </c>
      <c r="AL203" s="5"/>
      <c r="AM203" s="5" t="s">
        <v>862</v>
      </c>
      <c r="AN203" s="5" t="s">
        <v>539</v>
      </c>
      <c r="AO203" s="5" t="s">
        <v>2185</v>
      </c>
      <c r="AP203" s="5" t="s">
        <v>2185</v>
      </c>
      <c r="AQ203" s="5" t="s">
        <v>2185</v>
      </c>
      <c r="AR203" s="5" t="s">
        <v>2185</v>
      </c>
      <c r="AS203" s="142"/>
      <c r="AT203" s="142" t="b">
        <v>0</v>
      </c>
      <c r="AU203" s="142"/>
      <c r="AV203" s="142"/>
      <c r="AW203" s="142"/>
      <c r="AX203" s="142"/>
      <c r="AY203" s="142"/>
      <c r="AZ203" s="174"/>
      <c r="BA203" s="142"/>
      <c r="BB203" s="142"/>
      <c r="BC203" s="142"/>
      <c r="BD203" s="142"/>
      <c r="BE203" s="142"/>
      <c r="BF203" s="142"/>
      <c r="BG203" s="142"/>
    </row>
    <row r="204">
      <c r="A204" s="5" t="s">
        <v>864</v>
      </c>
      <c r="B204" s="44">
        <v>44579.0</v>
      </c>
      <c r="C204" s="150">
        <v>0.3321296296296296</v>
      </c>
      <c r="D204" s="3"/>
      <c r="E204" s="3"/>
      <c r="F204" s="5"/>
      <c r="G204" s="5"/>
      <c r="H204" s="5"/>
      <c r="I204" s="3"/>
      <c r="J204" s="3"/>
      <c r="K204" s="3" t="s">
        <v>244</v>
      </c>
      <c r="L204" s="44">
        <v>44580.0</v>
      </c>
      <c r="M204" s="150">
        <v>0.5080092592592592</v>
      </c>
      <c r="N204" s="5"/>
      <c r="O204" s="5"/>
      <c r="P204" s="10" t="b">
        <v>0</v>
      </c>
      <c r="Q204" s="10" t="s">
        <v>2184</v>
      </c>
      <c r="R204" s="144" t="b">
        <v>1</v>
      </c>
      <c r="S204" s="144">
        <v>1.0</v>
      </c>
      <c r="T204" s="10">
        <v>0.0</v>
      </c>
      <c r="U204" s="5"/>
      <c r="V204" s="3"/>
      <c r="W204" s="5"/>
      <c r="X204" s="144" t="b">
        <v>0</v>
      </c>
      <c r="Y204" s="10" t="b">
        <v>0</v>
      </c>
      <c r="Z204" s="3"/>
      <c r="AA204" s="10" t="b">
        <v>0</v>
      </c>
      <c r="AB204" s="10" t="b">
        <v>0</v>
      </c>
      <c r="AC204" s="181">
        <v>558.0</v>
      </c>
      <c r="AD204" s="144" t="b">
        <v>0</v>
      </c>
      <c r="AE204" s="182"/>
      <c r="AF204" s="10" t="b">
        <v>0</v>
      </c>
      <c r="AG204" s="10" t="b">
        <v>0</v>
      </c>
      <c r="AH204" s="144"/>
      <c r="AI204" s="3"/>
      <c r="AJ204" s="10"/>
      <c r="AK204" s="3" t="s">
        <v>244</v>
      </c>
      <c r="AL204" s="5"/>
      <c r="AM204" s="5" t="s">
        <v>865</v>
      </c>
      <c r="AN204" s="5" t="s">
        <v>548</v>
      </c>
      <c r="AO204" s="5" t="s">
        <v>2185</v>
      </c>
      <c r="AP204" s="5" t="s">
        <v>2185</v>
      </c>
      <c r="AQ204" s="5" t="s">
        <v>2185</v>
      </c>
      <c r="AR204" s="5" t="s">
        <v>2185</v>
      </c>
      <c r="AS204" s="142"/>
      <c r="AT204" s="142" t="b">
        <v>0</v>
      </c>
      <c r="AU204" s="142"/>
      <c r="AV204" s="142"/>
      <c r="AW204" s="142"/>
      <c r="AX204" s="142"/>
      <c r="AY204" s="142"/>
      <c r="AZ204" s="174"/>
      <c r="BA204" s="142"/>
      <c r="BB204" s="142"/>
      <c r="BC204" s="142"/>
      <c r="BD204" s="142"/>
      <c r="BE204" s="142"/>
      <c r="BF204" s="142"/>
      <c r="BG204" s="142"/>
    </row>
    <row r="205">
      <c r="A205" s="5" t="s">
        <v>867</v>
      </c>
      <c r="B205" s="44">
        <v>44579.0</v>
      </c>
      <c r="C205" s="150">
        <v>0.3324884259259259</v>
      </c>
      <c r="D205" s="3"/>
      <c r="E205" s="3"/>
      <c r="F205" s="5"/>
      <c r="G205" s="5"/>
      <c r="H205" s="5"/>
      <c r="I205" s="3"/>
      <c r="J205" s="3"/>
      <c r="K205" s="3" t="s">
        <v>244</v>
      </c>
      <c r="L205" s="44">
        <v>44580.0</v>
      </c>
      <c r="M205" s="150">
        <v>0.5080092592592592</v>
      </c>
      <c r="N205" s="5"/>
      <c r="O205" s="5"/>
      <c r="P205" s="10" t="b">
        <v>0</v>
      </c>
      <c r="Q205" s="10" t="s">
        <v>2184</v>
      </c>
      <c r="R205" s="144" t="b">
        <v>1</v>
      </c>
      <c r="S205" s="144">
        <v>1.0</v>
      </c>
      <c r="T205" s="10">
        <v>0.0</v>
      </c>
      <c r="U205" s="5"/>
      <c r="V205" s="3"/>
      <c r="W205" s="5"/>
      <c r="X205" s="144" t="b">
        <v>0</v>
      </c>
      <c r="Y205" s="10" t="b">
        <v>0</v>
      </c>
      <c r="Z205" s="3"/>
      <c r="AA205" s="10" t="b">
        <v>0</v>
      </c>
      <c r="AB205" s="10" t="b">
        <v>0</v>
      </c>
      <c r="AC205" s="181">
        <v>557.0</v>
      </c>
      <c r="AD205" s="144" t="b">
        <v>0</v>
      </c>
      <c r="AE205" s="182"/>
      <c r="AF205" s="10" t="b">
        <v>0</v>
      </c>
      <c r="AG205" s="10" t="b">
        <v>0</v>
      </c>
      <c r="AH205" s="144"/>
      <c r="AI205" s="3"/>
      <c r="AJ205" s="10"/>
      <c r="AK205" s="3" t="s">
        <v>244</v>
      </c>
      <c r="AL205" s="5"/>
      <c r="AM205" s="5" t="s">
        <v>303</v>
      </c>
      <c r="AN205" s="5" t="s">
        <v>304</v>
      </c>
      <c r="AO205" s="5" t="s">
        <v>2185</v>
      </c>
      <c r="AP205" s="5" t="s">
        <v>2185</v>
      </c>
      <c r="AQ205" s="5" t="s">
        <v>2185</v>
      </c>
      <c r="AR205" s="5" t="s">
        <v>2185</v>
      </c>
      <c r="AS205" s="142"/>
      <c r="AT205" s="142" t="b">
        <v>0</v>
      </c>
      <c r="AU205" s="142"/>
      <c r="AV205" s="142"/>
      <c r="AW205" s="142"/>
      <c r="AX205" s="142"/>
      <c r="AY205" s="142"/>
      <c r="AZ205" s="174"/>
      <c r="BA205" s="142"/>
      <c r="BB205" s="142"/>
      <c r="BC205" s="142"/>
      <c r="BD205" s="142"/>
      <c r="BE205" s="142"/>
      <c r="BF205" s="142"/>
      <c r="BG205" s="142"/>
    </row>
    <row r="206">
      <c r="A206" s="5" t="s">
        <v>869</v>
      </c>
      <c r="B206" s="44">
        <v>44579.0</v>
      </c>
      <c r="C206" s="150">
        <v>0.3325462962962963</v>
      </c>
      <c r="D206" s="3"/>
      <c r="E206" s="3"/>
      <c r="F206" s="5"/>
      <c r="G206" s="5"/>
      <c r="H206" s="5"/>
      <c r="I206" s="3"/>
      <c r="J206" s="3"/>
      <c r="K206" s="3" t="s">
        <v>244</v>
      </c>
      <c r="L206" s="44">
        <v>44580.0</v>
      </c>
      <c r="M206" s="150">
        <v>0.5080092592592592</v>
      </c>
      <c r="N206" s="5"/>
      <c r="O206" s="5"/>
      <c r="P206" s="10" t="b">
        <v>0</v>
      </c>
      <c r="Q206" s="10" t="s">
        <v>2184</v>
      </c>
      <c r="R206" s="144" t="b">
        <v>1</v>
      </c>
      <c r="S206" s="144">
        <v>1.0</v>
      </c>
      <c r="T206" s="10">
        <v>0.0</v>
      </c>
      <c r="U206" s="5"/>
      <c r="V206" s="3"/>
      <c r="W206" s="5"/>
      <c r="X206" s="144" t="b">
        <v>0</v>
      </c>
      <c r="Y206" s="10" t="b">
        <v>0</v>
      </c>
      <c r="Z206" s="3"/>
      <c r="AA206" s="10" t="b">
        <v>0</v>
      </c>
      <c r="AB206" s="10" t="b">
        <v>0</v>
      </c>
      <c r="AC206" s="181">
        <v>556.0</v>
      </c>
      <c r="AD206" s="144" t="b">
        <v>0</v>
      </c>
      <c r="AE206" s="182"/>
      <c r="AF206" s="10" t="b">
        <v>0</v>
      </c>
      <c r="AG206" s="10" t="b">
        <v>0</v>
      </c>
      <c r="AH206" s="144"/>
      <c r="AI206" s="3"/>
      <c r="AJ206" s="10"/>
      <c r="AK206" s="3" t="s">
        <v>244</v>
      </c>
      <c r="AL206" s="5"/>
      <c r="AM206" s="5" t="s">
        <v>870</v>
      </c>
      <c r="AN206" s="5" t="s">
        <v>533</v>
      </c>
      <c r="AO206" s="5" t="s">
        <v>2185</v>
      </c>
      <c r="AP206" s="5" t="s">
        <v>2185</v>
      </c>
      <c r="AQ206" s="5" t="s">
        <v>2185</v>
      </c>
      <c r="AR206" s="5" t="s">
        <v>2185</v>
      </c>
      <c r="AS206" s="142"/>
      <c r="AT206" s="142" t="b">
        <v>0</v>
      </c>
      <c r="AU206" s="142"/>
      <c r="AV206" s="142"/>
      <c r="AW206" s="142"/>
      <c r="AX206" s="142"/>
      <c r="AY206" s="142"/>
      <c r="AZ206" s="174"/>
      <c r="BA206" s="142"/>
      <c r="BB206" s="142"/>
      <c r="BC206" s="142"/>
      <c r="BD206" s="142"/>
      <c r="BE206" s="142"/>
      <c r="BF206" s="142"/>
      <c r="BG206" s="142"/>
    </row>
    <row r="207">
      <c r="A207" s="5" t="s">
        <v>872</v>
      </c>
      <c r="B207" s="44">
        <v>44579.0</v>
      </c>
      <c r="C207" s="150">
        <v>0.34042824074074074</v>
      </c>
      <c r="D207" s="3"/>
      <c r="E207" s="3"/>
      <c r="F207" s="5"/>
      <c r="G207" s="5"/>
      <c r="H207" s="5"/>
      <c r="I207" s="3"/>
      <c r="J207" s="3"/>
      <c r="K207" s="3" t="s">
        <v>244</v>
      </c>
      <c r="L207" s="44">
        <v>44580.0</v>
      </c>
      <c r="M207" s="150">
        <v>0.5080092592592592</v>
      </c>
      <c r="N207" s="5"/>
      <c r="O207" s="5"/>
      <c r="P207" s="10" t="b">
        <v>0</v>
      </c>
      <c r="Q207" s="10" t="s">
        <v>2184</v>
      </c>
      <c r="R207" s="144" t="b">
        <v>1</v>
      </c>
      <c r="S207" s="144">
        <v>1.0</v>
      </c>
      <c r="T207" s="10"/>
      <c r="U207" s="5"/>
      <c r="V207" s="3"/>
      <c r="W207" s="5"/>
      <c r="X207" s="144" t="b">
        <v>0</v>
      </c>
      <c r="Y207" s="10" t="b">
        <v>0</v>
      </c>
      <c r="Z207" s="3"/>
      <c r="AA207" s="10" t="b">
        <v>0</v>
      </c>
      <c r="AB207" s="10" t="b">
        <v>0</v>
      </c>
      <c r="AC207" s="181">
        <v>555.0</v>
      </c>
      <c r="AD207" s="144" t="b">
        <v>0</v>
      </c>
      <c r="AE207" s="182"/>
      <c r="AF207" s="10" t="b">
        <v>0</v>
      </c>
      <c r="AG207" s="10" t="b">
        <v>0</v>
      </c>
      <c r="AH207" s="144"/>
      <c r="AI207" s="3"/>
      <c r="AJ207" s="10"/>
      <c r="AK207" s="3" t="s">
        <v>244</v>
      </c>
      <c r="AL207" s="5"/>
      <c r="AM207" s="5" t="s">
        <v>287</v>
      </c>
      <c r="AN207" s="5" t="s">
        <v>288</v>
      </c>
      <c r="AO207" s="5" t="s">
        <v>2185</v>
      </c>
      <c r="AP207" s="5" t="s">
        <v>2185</v>
      </c>
      <c r="AQ207" s="5" t="s">
        <v>2185</v>
      </c>
      <c r="AR207" s="5" t="s">
        <v>2185</v>
      </c>
      <c r="AS207" s="142"/>
      <c r="AT207" s="142" t="b">
        <v>0</v>
      </c>
      <c r="AU207" s="142"/>
      <c r="AV207" s="142"/>
      <c r="AW207" s="142"/>
      <c r="AX207" s="142"/>
      <c r="AY207" s="142"/>
      <c r="AZ207" s="174"/>
      <c r="BA207" s="142"/>
      <c r="BB207" s="142"/>
      <c r="BC207" s="142"/>
      <c r="BD207" s="142"/>
      <c r="BE207" s="142"/>
      <c r="BF207" s="142"/>
      <c r="BG207" s="142"/>
    </row>
    <row r="208">
      <c r="A208" s="5" t="s">
        <v>874</v>
      </c>
      <c r="B208" s="44">
        <v>44579.0</v>
      </c>
      <c r="C208" s="150">
        <v>0.3413888888888889</v>
      </c>
      <c r="D208" s="3"/>
      <c r="E208" s="3"/>
      <c r="F208" s="5"/>
      <c r="G208" s="5"/>
      <c r="H208" s="5"/>
      <c r="I208" s="3"/>
      <c r="J208" s="3"/>
      <c r="K208" s="3" t="s">
        <v>244</v>
      </c>
      <c r="L208" s="44">
        <v>44580.0</v>
      </c>
      <c r="M208" s="150">
        <v>0.5080208333333334</v>
      </c>
      <c r="N208" s="5"/>
      <c r="O208" s="5"/>
      <c r="P208" s="10" t="b">
        <v>0</v>
      </c>
      <c r="Q208" s="10" t="s">
        <v>2184</v>
      </c>
      <c r="R208" s="144" t="b">
        <v>1</v>
      </c>
      <c r="S208" s="144">
        <v>1.0</v>
      </c>
      <c r="T208" s="10"/>
      <c r="U208" s="5"/>
      <c r="V208" s="3"/>
      <c r="W208" s="5"/>
      <c r="X208" s="144" t="b">
        <v>0</v>
      </c>
      <c r="Y208" s="10" t="b">
        <v>0</v>
      </c>
      <c r="Z208" s="3"/>
      <c r="AA208" s="10" t="b">
        <v>0</v>
      </c>
      <c r="AB208" s="10" t="b">
        <v>0</v>
      </c>
      <c r="AC208" s="181">
        <v>554.0</v>
      </c>
      <c r="AD208" s="144" t="b">
        <v>0</v>
      </c>
      <c r="AE208" s="182"/>
      <c r="AF208" s="10" t="b">
        <v>0</v>
      </c>
      <c r="AG208" s="10" t="b">
        <v>0</v>
      </c>
      <c r="AH208" s="144"/>
      <c r="AI208" s="3"/>
      <c r="AJ208" s="10"/>
      <c r="AK208" s="3" t="s">
        <v>244</v>
      </c>
      <c r="AL208" s="5"/>
      <c r="AM208" s="5" t="s">
        <v>875</v>
      </c>
      <c r="AN208" s="5" t="s">
        <v>876</v>
      </c>
      <c r="AO208" s="5" t="s">
        <v>2185</v>
      </c>
      <c r="AP208" s="5" t="s">
        <v>2185</v>
      </c>
      <c r="AQ208" s="5" t="s">
        <v>2185</v>
      </c>
      <c r="AR208" s="5" t="s">
        <v>2185</v>
      </c>
      <c r="AS208" s="142"/>
      <c r="AT208" s="142" t="b">
        <v>0</v>
      </c>
      <c r="AU208" s="142"/>
      <c r="AV208" s="142"/>
      <c r="AW208" s="142"/>
      <c r="AX208" s="142"/>
      <c r="AY208" s="142"/>
      <c r="AZ208" s="174"/>
      <c r="BA208" s="142"/>
      <c r="BB208" s="142"/>
      <c r="BC208" s="142"/>
      <c r="BD208" s="142"/>
      <c r="BE208" s="142"/>
      <c r="BF208" s="142"/>
      <c r="BG208" s="142"/>
    </row>
    <row r="209">
      <c r="A209" s="5" t="s">
        <v>878</v>
      </c>
      <c r="B209" s="44">
        <v>44579.0</v>
      </c>
      <c r="C209" s="150">
        <v>0.34629629629629627</v>
      </c>
      <c r="D209" s="3"/>
      <c r="E209" s="3"/>
      <c r="F209" s="5"/>
      <c r="G209" s="5"/>
      <c r="H209" s="5"/>
      <c r="I209" s="3"/>
      <c r="J209" s="3"/>
      <c r="K209" s="3" t="s">
        <v>244</v>
      </c>
      <c r="L209" s="44">
        <v>44580.0</v>
      </c>
      <c r="M209" s="150">
        <v>0.5080208333333334</v>
      </c>
      <c r="N209" s="5"/>
      <c r="O209" s="5"/>
      <c r="P209" s="10" t="b">
        <v>0</v>
      </c>
      <c r="Q209" s="10" t="s">
        <v>2184</v>
      </c>
      <c r="R209" s="144" t="b">
        <v>1</v>
      </c>
      <c r="S209" s="144">
        <v>1.0</v>
      </c>
      <c r="T209" s="10">
        <v>0.0</v>
      </c>
      <c r="U209" s="5"/>
      <c r="V209" s="3"/>
      <c r="W209" s="5"/>
      <c r="X209" s="144" t="b">
        <v>0</v>
      </c>
      <c r="Y209" s="10" t="b">
        <v>0</v>
      </c>
      <c r="Z209" s="3"/>
      <c r="AA209" s="10" t="b">
        <v>0</v>
      </c>
      <c r="AB209" s="10" t="b">
        <v>0</v>
      </c>
      <c r="AC209" s="181">
        <v>553.0</v>
      </c>
      <c r="AD209" s="144" t="b">
        <v>0</v>
      </c>
      <c r="AE209" s="182"/>
      <c r="AF209" s="10" t="b">
        <v>0</v>
      </c>
      <c r="AG209" s="10" t="b">
        <v>0</v>
      </c>
      <c r="AH209" s="144"/>
      <c r="AI209" s="3"/>
      <c r="AJ209" s="10"/>
      <c r="AK209" s="3" t="s">
        <v>244</v>
      </c>
      <c r="AL209" s="5"/>
      <c r="AM209" s="5" t="s">
        <v>291</v>
      </c>
      <c r="AN209" s="5" t="s">
        <v>292</v>
      </c>
      <c r="AO209" s="5" t="s">
        <v>2185</v>
      </c>
      <c r="AP209" s="5" t="s">
        <v>2185</v>
      </c>
      <c r="AQ209" s="5" t="s">
        <v>2185</v>
      </c>
      <c r="AR209" s="5" t="s">
        <v>2185</v>
      </c>
      <c r="AS209" s="142"/>
      <c r="AT209" s="142" t="b">
        <v>0</v>
      </c>
      <c r="AU209" s="142"/>
      <c r="AV209" s="142"/>
      <c r="AW209" s="142"/>
      <c r="AX209" s="142"/>
      <c r="AY209" s="142"/>
      <c r="AZ209" s="174"/>
      <c r="BA209" s="142"/>
      <c r="BB209" s="142"/>
      <c r="BC209" s="142"/>
      <c r="BD209" s="142"/>
      <c r="BE209" s="142"/>
      <c r="BF209" s="142"/>
      <c r="BG209" s="142"/>
    </row>
    <row r="210">
      <c r="A210" s="5" t="s">
        <v>880</v>
      </c>
      <c r="B210" s="44">
        <v>44579.0</v>
      </c>
      <c r="C210" s="150">
        <v>0.3482060185185185</v>
      </c>
      <c r="D210" s="3"/>
      <c r="E210" s="3"/>
      <c r="F210" s="5"/>
      <c r="G210" s="5"/>
      <c r="H210" s="5"/>
      <c r="I210" s="3"/>
      <c r="J210" s="3"/>
      <c r="K210" s="3" t="s">
        <v>244</v>
      </c>
      <c r="L210" s="44">
        <v>44580.0</v>
      </c>
      <c r="M210" s="150">
        <v>0.5080208333333334</v>
      </c>
      <c r="N210" s="5"/>
      <c r="O210" s="5"/>
      <c r="P210" s="10" t="b">
        <v>0</v>
      </c>
      <c r="Q210" s="10" t="s">
        <v>2184</v>
      </c>
      <c r="R210" s="144" t="b">
        <v>1</v>
      </c>
      <c r="S210" s="144">
        <v>1.0</v>
      </c>
      <c r="T210" s="10">
        <v>0.0</v>
      </c>
      <c r="U210" s="5"/>
      <c r="V210" s="3"/>
      <c r="W210" s="5"/>
      <c r="X210" s="144" t="b">
        <v>0</v>
      </c>
      <c r="Y210" s="10" t="b">
        <v>0</v>
      </c>
      <c r="Z210" s="3"/>
      <c r="AA210" s="10" t="b">
        <v>0</v>
      </c>
      <c r="AB210" s="10" t="b">
        <v>0</v>
      </c>
      <c r="AC210" s="181">
        <v>552.0</v>
      </c>
      <c r="AD210" s="144" t="b">
        <v>0</v>
      </c>
      <c r="AE210" s="182"/>
      <c r="AF210" s="10" t="b">
        <v>0</v>
      </c>
      <c r="AG210" s="10" t="b">
        <v>0</v>
      </c>
      <c r="AH210" s="144"/>
      <c r="AI210" s="3"/>
      <c r="AJ210" s="10"/>
      <c r="AK210" s="3" t="s">
        <v>244</v>
      </c>
      <c r="AL210" s="5"/>
      <c r="AM210" s="5" t="s">
        <v>881</v>
      </c>
      <c r="AN210" s="5" t="s">
        <v>655</v>
      </c>
      <c r="AO210" s="5" t="s">
        <v>2185</v>
      </c>
      <c r="AP210" s="5" t="s">
        <v>2185</v>
      </c>
      <c r="AQ210" s="5" t="s">
        <v>2185</v>
      </c>
      <c r="AR210" s="5" t="s">
        <v>2185</v>
      </c>
      <c r="AS210" s="142"/>
      <c r="AT210" s="142" t="b">
        <v>0</v>
      </c>
      <c r="AU210" s="142"/>
      <c r="AV210" s="142"/>
      <c r="AW210" s="142"/>
      <c r="AX210" s="142"/>
      <c r="AY210" s="142"/>
      <c r="AZ210" s="174"/>
      <c r="BA210" s="142"/>
      <c r="BB210" s="142"/>
      <c r="BC210" s="142"/>
      <c r="BD210" s="142"/>
      <c r="BE210" s="142"/>
      <c r="BF210" s="142"/>
      <c r="BG210" s="142"/>
    </row>
    <row r="211">
      <c r="A211" s="5" t="s">
        <v>883</v>
      </c>
      <c r="B211" s="44">
        <v>44579.0</v>
      </c>
      <c r="C211" s="150">
        <v>0.34877314814814814</v>
      </c>
      <c r="D211" s="3"/>
      <c r="E211" s="3"/>
      <c r="F211" s="5"/>
      <c r="G211" s="5"/>
      <c r="H211" s="5"/>
      <c r="I211" s="3"/>
      <c r="J211" s="3"/>
      <c r="K211" s="3" t="s">
        <v>244</v>
      </c>
      <c r="L211" s="44">
        <v>44580.0</v>
      </c>
      <c r="M211" s="150">
        <v>0.5080208333333334</v>
      </c>
      <c r="N211" s="5" t="s">
        <v>247</v>
      </c>
      <c r="O211" s="5"/>
      <c r="P211" s="10" t="b">
        <v>0</v>
      </c>
      <c r="Q211" s="10" t="s">
        <v>2184</v>
      </c>
      <c r="R211" s="144" t="b">
        <v>1</v>
      </c>
      <c r="S211" s="144">
        <v>1.0</v>
      </c>
      <c r="T211" s="10"/>
      <c r="U211" s="5"/>
      <c r="V211" s="3"/>
      <c r="W211" s="5"/>
      <c r="X211" s="144" t="b">
        <v>0</v>
      </c>
      <c r="Y211" s="10" t="b">
        <v>0</v>
      </c>
      <c r="Z211" s="3"/>
      <c r="AA211" s="10" t="b">
        <v>0</v>
      </c>
      <c r="AB211" s="10" t="b">
        <v>0</v>
      </c>
      <c r="AC211" s="181">
        <v>819.0</v>
      </c>
      <c r="AD211" s="144" t="b">
        <v>1</v>
      </c>
      <c r="AE211" s="182"/>
      <c r="AF211" s="10" t="b">
        <v>0</v>
      </c>
      <c r="AG211" s="10" t="b">
        <v>0</v>
      </c>
      <c r="AH211" s="144"/>
      <c r="AI211" s="3">
        <v>7.0</v>
      </c>
      <c r="AJ211" s="10"/>
      <c r="AK211" s="3" t="s">
        <v>244</v>
      </c>
      <c r="AL211" s="5"/>
      <c r="AM211" s="5" t="s">
        <v>593</v>
      </c>
      <c r="AN211" s="5" t="s">
        <v>594</v>
      </c>
      <c r="AO211" s="5" t="s">
        <v>2185</v>
      </c>
      <c r="AP211" s="5" t="s">
        <v>2185</v>
      </c>
      <c r="AQ211" s="5" t="s">
        <v>2185</v>
      </c>
      <c r="AR211" s="5" t="s">
        <v>2185</v>
      </c>
      <c r="AS211" s="142"/>
      <c r="AT211" s="142" t="b">
        <v>0</v>
      </c>
      <c r="AU211" s="142"/>
      <c r="AV211" s="142"/>
      <c r="AW211" s="142"/>
      <c r="AX211" s="142"/>
      <c r="AY211" s="142"/>
      <c r="AZ211" s="174"/>
      <c r="BA211" s="142"/>
      <c r="BB211" s="142"/>
      <c r="BC211" s="142"/>
      <c r="BD211" s="142"/>
      <c r="BE211" s="142"/>
      <c r="BF211" s="142"/>
      <c r="BG211" s="142"/>
    </row>
    <row r="212">
      <c r="A212" s="5" t="s">
        <v>885</v>
      </c>
      <c r="B212" s="44">
        <v>44579.0</v>
      </c>
      <c r="C212" s="150">
        <v>0.35052083333333334</v>
      </c>
      <c r="D212" s="3"/>
      <c r="E212" s="3"/>
      <c r="F212" s="5"/>
      <c r="G212" s="5"/>
      <c r="H212" s="5"/>
      <c r="I212" s="3"/>
      <c r="J212" s="3"/>
      <c r="K212" s="3" t="s">
        <v>244</v>
      </c>
      <c r="L212" s="44">
        <v>44580.0</v>
      </c>
      <c r="M212" s="150">
        <v>0.5080208333333334</v>
      </c>
      <c r="N212" s="5"/>
      <c r="O212" s="5"/>
      <c r="P212" s="10" t="b">
        <v>0</v>
      </c>
      <c r="Q212" s="10" t="s">
        <v>2184</v>
      </c>
      <c r="R212" s="144" t="b">
        <v>1</v>
      </c>
      <c r="S212" s="144">
        <v>1.0</v>
      </c>
      <c r="T212" s="10"/>
      <c r="U212" s="5"/>
      <c r="V212" s="3"/>
      <c r="W212" s="5"/>
      <c r="X212" s="144" t="b">
        <v>0</v>
      </c>
      <c r="Y212" s="10" t="b">
        <v>0</v>
      </c>
      <c r="Z212" s="3"/>
      <c r="AA212" s="10" t="b">
        <v>0</v>
      </c>
      <c r="AB212" s="10" t="b">
        <v>0</v>
      </c>
      <c r="AC212" s="181">
        <v>551.0</v>
      </c>
      <c r="AD212" s="144" t="b">
        <v>0</v>
      </c>
      <c r="AE212" s="182"/>
      <c r="AF212" s="10" t="b">
        <v>0</v>
      </c>
      <c r="AG212" s="10" t="b">
        <v>0</v>
      </c>
      <c r="AH212" s="144"/>
      <c r="AI212" s="3"/>
      <c r="AJ212" s="10"/>
      <c r="AK212" s="3" t="s">
        <v>244</v>
      </c>
      <c r="AL212" s="5"/>
      <c r="AM212" s="5" t="s">
        <v>593</v>
      </c>
      <c r="AN212" s="5" t="s">
        <v>886</v>
      </c>
      <c r="AO212" s="5" t="s">
        <v>2185</v>
      </c>
      <c r="AP212" s="5" t="s">
        <v>2185</v>
      </c>
      <c r="AQ212" s="5" t="s">
        <v>2185</v>
      </c>
      <c r="AR212" s="5" t="s">
        <v>2185</v>
      </c>
      <c r="AS212" s="142"/>
      <c r="AT212" s="142" t="b">
        <v>0</v>
      </c>
      <c r="AU212" s="142"/>
      <c r="AV212" s="142"/>
      <c r="AW212" s="142"/>
      <c r="AX212" s="142"/>
      <c r="AY212" s="142"/>
      <c r="AZ212" s="174"/>
      <c r="BA212" s="142"/>
      <c r="BB212" s="142"/>
      <c r="BC212" s="142"/>
      <c r="BD212" s="142"/>
      <c r="BE212" s="142"/>
      <c r="BF212" s="142"/>
      <c r="BG212" s="142"/>
    </row>
    <row r="213">
      <c r="A213" s="5" t="s">
        <v>888</v>
      </c>
      <c r="B213" s="44">
        <v>44579.0</v>
      </c>
      <c r="C213" s="150">
        <v>0.36159722222222224</v>
      </c>
      <c r="D213" s="3"/>
      <c r="E213" s="3"/>
      <c r="F213" s="5"/>
      <c r="G213" s="5"/>
      <c r="H213" s="5"/>
      <c r="I213" s="3"/>
      <c r="J213" s="3"/>
      <c r="K213" s="3" t="s">
        <v>244</v>
      </c>
      <c r="L213" s="44">
        <v>44580.0</v>
      </c>
      <c r="M213" s="150">
        <v>0.5080208333333334</v>
      </c>
      <c r="N213" s="5"/>
      <c r="O213" s="5"/>
      <c r="P213" s="10" t="b">
        <v>0</v>
      </c>
      <c r="Q213" s="10" t="s">
        <v>2184</v>
      </c>
      <c r="R213" s="144" t="b">
        <v>1</v>
      </c>
      <c r="S213" s="144">
        <v>1.0</v>
      </c>
      <c r="T213" s="10">
        <v>0.0</v>
      </c>
      <c r="U213" s="5"/>
      <c r="V213" s="3"/>
      <c r="W213" s="5"/>
      <c r="X213" s="144" t="b">
        <v>0</v>
      </c>
      <c r="Y213" s="10" t="b">
        <v>0</v>
      </c>
      <c r="Z213" s="3"/>
      <c r="AA213" s="10" t="b">
        <v>0</v>
      </c>
      <c r="AB213" s="10" t="b">
        <v>0</v>
      </c>
      <c r="AC213" s="181">
        <v>550.0</v>
      </c>
      <c r="AD213" s="144" t="b">
        <v>0</v>
      </c>
      <c r="AE213" s="182"/>
      <c r="AF213" s="10" t="b">
        <v>0</v>
      </c>
      <c r="AG213" s="10" t="b">
        <v>0</v>
      </c>
      <c r="AH213" s="144"/>
      <c r="AI213" s="3"/>
      <c r="AJ213" s="10"/>
      <c r="AK213" s="3" t="s">
        <v>244</v>
      </c>
      <c r="AL213" s="5"/>
      <c r="AM213" s="5" t="s">
        <v>362</v>
      </c>
      <c r="AN213" s="5" t="s">
        <v>363</v>
      </c>
      <c r="AO213" s="5" t="s">
        <v>2185</v>
      </c>
      <c r="AP213" s="5" t="s">
        <v>2185</v>
      </c>
      <c r="AQ213" s="5" t="s">
        <v>2185</v>
      </c>
      <c r="AR213" s="5" t="s">
        <v>2185</v>
      </c>
      <c r="AS213" s="142"/>
      <c r="AT213" s="142" t="b">
        <v>0</v>
      </c>
      <c r="AU213" s="142"/>
      <c r="AV213" s="142"/>
      <c r="AW213" s="142"/>
      <c r="AX213" s="142"/>
      <c r="AY213" s="142"/>
      <c r="AZ213" s="174"/>
      <c r="BA213" s="142"/>
      <c r="BB213" s="142"/>
      <c r="BC213" s="142"/>
      <c r="BD213" s="142"/>
      <c r="BE213" s="142"/>
      <c r="BF213" s="142"/>
      <c r="BG213" s="142"/>
    </row>
    <row r="214">
      <c r="A214" s="5" t="s">
        <v>890</v>
      </c>
      <c r="B214" s="44">
        <v>44579.0</v>
      </c>
      <c r="C214" s="150">
        <v>0.40466435185185184</v>
      </c>
      <c r="D214" s="3"/>
      <c r="E214" s="3"/>
      <c r="F214" s="5"/>
      <c r="G214" s="5"/>
      <c r="H214" s="5"/>
      <c r="I214" s="3"/>
      <c r="J214" s="3"/>
      <c r="K214" s="3" t="s">
        <v>52</v>
      </c>
      <c r="L214" s="44">
        <v>44579.0</v>
      </c>
      <c r="M214" s="150">
        <v>0.5015972222222222</v>
      </c>
      <c r="N214" s="5"/>
      <c r="O214" s="5"/>
      <c r="P214" s="10" t="b">
        <v>0</v>
      </c>
      <c r="Q214" s="10" t="s">
        <v>2184</v>
      </c>
      <c r="R214" s="144" t="b">
        <v>1</v>
      </c>
      <c r="S214" s="144">
        <v>1.0</v>
      </c>
      <c r="T214" s="10"/>
      <c r="U214" s="5"/>
      <c r="V214" s="3"/>
      <c r="W214" s="5"/>
      <c r="X214" s="144" t="b">
        <v>0</v>
      </c>
      <c r="Y214" s="10" t="b">
        <v>0</v>
      </c>
      <c r="Z214" s="3"/>
      <c r="AA214" s="10" t="b">
        <v>0</v>
      </c>
      <c r="AB214" s="10" t="b">
        <v>0</v>
      </c>
      <c r="AC214" s="181">
        <v>584.0</v>
      </c>
      <c r="AD214" s="144" t="b">
        <v>0</v>
      </c>
      <c r="AE214" s="182">
        <v>139.58333333333337</v>
      </c>
      <c r="AF214" s="10" t="b">
        <v>0</v>
      </c>
      <c r="AG214" s="10" t="b">
        <v>0</v>
      </c>
      <c r="AH214" s="144"/>
      <c r="AI214" s="3"/>
      <c r="AJ214" s="10"/>
      <c r="AK214" s="3" t="s">
        <v>52</v>
      </c>
      <c r="AL214" s="5"/>
      <c r="AM214" s="5" t="s">
        <v>717</v>
      </c>
      <c r="AN214" s="5" t="s">
        <v>718</v>
      </c>
      <c r="AO214" s="5" t="s">
        <v>2185</v>
      </c>
      <c r="AP214" s="5" t="s">
        <v>2185</v>
      </c>
      <c r="AQ214" s="5" t="s">
        <v>2185</v>
      </c>
      <c r="AR214" s="5" t="s">
        <v>2185</v>
      </c>
      <c r="AS214" s="142"/>
      <c r="AT214" s="142" t="b">
        <v>0</v>
      </c>
      <c r="AU214" s="142"/>
      <c r="AV214" s="142"/>
      <c r="AW214" s="142"/>
      <c r="AX214" s="142"/>
      <c r="AY214" s="142"/>
      <c r="AZ214" s="174"/>
      <c r="BA214" s="142"/>
      <c r="BB214" s="142"/>
      <c r="BC214" s="142"/>
      <c r="BD214" s="142"/>
      <c r="BE214" s="142"/>
      <c r="BF214" s="142"/>
      <c r="BG214" s="142"/>
    </row>
    <row r="215">
      <c r="A215" s="5" t="s">
        <v>892</v>
      </c>
      <c r="B215" s="44">
        <v>44579.0</v>
      </c>
      <c r="C215" s="150">
        <v>0.41303240740740743</v>
      </c>
      <c r="D215" s="3"/>
      <c r="E215" s="3"/>
      <c r="F215" s="5"/>
      <c r="G215" s="5"/>
      <c r="H215" s="5"/>
      <c r="I215" s="3"/>
      <c r="J215" s="3"/>
      <c r="K215" s="3" t="s">
        <v>244</v>
      </c>
      <c r="L215" s="44">
        <v>44580.0</v>
      </c>
      <c r="M215" s="150">
        <v>0.5080208333333334</v>
      </c>
      <c r="N215" s="5"/>
      <c r="O215" s="5"/>
      <c r="P215" s="10" t="b">
        <v>0</v>
      </c>
      <c r="Q215" s="10" t="s">
        <v>2184</v>
      </c>
      <c r="R215" s="144" t="b">
        <v>1</v>
      </c>
      <c r="S215" s="144">
        <v>1.0</v>
      </c>
      <c r="T215" s="10">
        <v>0.0</v>
      </c>
      <c r="U215" s="5"/>
      <c r="V215" s="3"/>
      <c r="W215" s="5"/>
      <c r="X215" s="144" t="b">
        <v>0</v>
      </c>
      <c r="Y215" s="10" t="b">
        <v>0</v>
      </c>
      <c r="Z215" s="3"/>
      <c r="AA215" s="10" t="b">
        <v>0</v>
      </c>
      <c r="AB215" s="10" t="b">
        <v>0</v>
      </c>
      <c r="AC215" s="181">
        <v>549.0</v>
      </c>
      <c r="AD215" s="144" t="b">
        <v>0</v>
      </c>
      <c r="AE215" s="182"/>
      <c r="AF215" s="10" t="b">
        <v>0</v>
      </c>
      <c r="AG215" s="10" t="b">
        <v>0</v>
      </c>
      <c r="AH215" s="144"/>
      <c r="AI215" s="3"/>
      <c r="AJ215" s="10"/>
      <c r="AK215" s="3" t="s">
        <v>244</v>
      </c>
      <c r="AL215" s="5"/>
      <c r="AM215" s="5" t="s">
        <v>261</v>
      </c>
      <c r="AN215" s="5" t="s">
        <v>893</v>
      </c>
      <c r="AO215" s="5" t="s">
        <v>2185</v>
      </c>
      <c r="AP215" s="5" t="s">
        <v>2185</v>
      </c>
      <c r="AQ215" s="5" t="s">
        <v>2185</v>
      </c>
      <c r="AR215" s="5" t="s">
        <v>2185</v>
      </c>
      <c r="AS215" s="142"/>
      <c r="AT215" s="142" t="b">
        <v>0</v>
      </c>
      <c r="AU215" s="142"/>
      <c r="AV215" s="142"/>
      <c r="AW215" s="142"/>
      <c r="AX215" s="142"/>
      <c r="AY215" s="142"/>
      <c r="AZ215" s="174"/>
      <c r="BA215" s="142"/>
      <c r="BB215" s="142"/>
      <c r="BC215" s="142"/>
      <c r="BD215" s="142"/>
      <c r="BE215" s="142"/>
      <c r="BF215" s="142"/>
      <c r="BG215" s="142"/>
    </row>
    <row r="216">
      <c r="A216" s="5" t="s">
        <v>895</v>
      </c>
      <c r="B216" s="44">
        <v>44579.0</v>
      </c>
      <c r="C216" s="150">
        <v>0.41333333333333333</v>
      </c>
      <c r="D216" s="3"/>
      <c r="E216" s="3"/>
      <c r="F216" s="5"/>
      <c r="G216" s="5"/>
      <c r="H216" s="5"/>
      <c r="I216" s="3"/>
      <c r="J216" s="3"/>
      <c r="K216" s="3" t="s">
        <v>52</v>
      </c>
      <c r="L216" s="44">
        <v>44579.0</v>
      </c>
      <c r="M216" s="150">
        <v>0.5015972222222222</v>
      </c>
      <c r="N216" s="5"/>
      <c r="O216" s="5"/>
      <c r="P216" s="10" t="b">
        <v>0</v>
      </c>
      <c r="Q216" s="10" t="s">
        <v>2184</v>
      </c>
      <c r="R216" s="144" t="b">
        <v>1</v>
      </c>
      <c r="S216" s="144">
        <v>1.0</v>
      </c>
      <c r="T216" s="10"/>
      <c r="U216" s="5"/>
      <c r="V216" s="3"/>
      <c r="W216" s="5"/>
      <c r="X216" s="144" t="b">
        <v>0</v>
      </c>
      <c r="Y216" s="10" t="b">
        <v>0</v>
      </c>
      <c r="Z216" s="3"/>
      <c r="AA216" s="10" t="b">
        <v>0</v>
      </c>
      <c r="AB216" s="10" t="b">
        <v>0</v>
      </c>
      <c r="AC216" s="181">
        <v>583.0</v>
      </c>
      <c r="AD216" s="144" t="b">
        <v>0</v>
      </c>
      <c r="AE216" s="182">
        <v>127.10000000000005</v>
      </c>
      <c r="AF216" s="10" t="b">
        <v>0</v>
      </c>
      <c r="AG216" s="10" t="b">
        <v>0</v>
      </c>
      <c r="AH216" s="144"/>
      <c r="AI216" s="3"/>
      <c r="AJ216" s="10"/>
      <c r="AK216" s="3" t="s">
        <v>52</v>
      </c>
      <c r="AL216" s="5"/>
      <c r="AM216" s="5" t="s">
        <v>261</v>
      </c>
      <c r="AN216" s="5" t="s">
        <v>896</v>
      </c>
      <c r="AO216" s="5" t="s">
        <v>2185</v>
      </c>
      <c r="AP216" s="5" t="s">
        <v>2185</v>
      </c>
      <c r="AQ216" s="5" t="s">
        <v>2185</v>
      </c>
      <c r="AR216" s="5" t="s">
        <v>2185</v>
      </c>
      <c r="AS216" s="142"/>
      <c r="AT216" s="142" t="b">
        <v>0</v>
      </c>
      <c r="AU216" s="142"/>
      <c r="AV216" s="142"/>
      <c r="AW216" s="142"/>
      <c r="AX216" s="142"/>
      <c r="AY216" s="142"/>
      <c r="AZ216" s="174"/>
      <c r="BA216" s="142"/>
      <c r="BB216" s="142"/>
      <c r="BC216" s="142"/>
      <c r="BD216" s="142"/>
      <c r="BE216" s="142"/>
      <c r="BF216" s="142"/>
      <c r="BG216" s="142"/>
    </row>
    <row r="217">
      <c r="A217" s="5" t="s">
        <v>898</v>
      </c>
      <c r="B217" s="44">
        <v>44579.0</v>
      </c>
      <c r="C217" s="150">
        <v>0.41368055555555555</v>
      </c>
      <c r="D217" s="3"/>
      <c r="E217" s="3"/>
      <c r="F217" s="5"/>
      <c r="G217" s="5"/>
      <c r="H217" s="5"/>
      <c r="I217" s="3"/>
      <c r="J217" s="3"/>
      <c r="K217" s="3" t="s">
        <v>52</v>
      </c>
      <c r="L217" s="44">
        <v>44579.0</v>
      </c>
      <c r="M217" s="150">
        <v>0.5015972222222222</v>
      </c>
      <c r="N217" s="5"/>
      <c r="O217" s="5"/>
      <c r="P217" s="10" t="b">
        <v>0</v>
      </c>
      <c r="Q217" s="10" t="s">
        <v>2184</v>
      </c>
      <c r="R217" s="144" t="b">
        <v>1</v>
      </c>
      <c r="S217" s="144">
        <v>1.0</v>
      </c>
      <c r="T217" s="10"/>
      <c r="U217" s="5"/>
      <c r="V217" s="3"/>
      <c r="W217" s="5"/>
      <c r="X217" s="144" t="b">
        <v>0</v>
      </c>
      <c r="Y217" s="10" t="b">
        <v>0</v>
      </c>
      <c r="Z217" s="3"/>
      <c r="AA217" s="10" t="b">
        <v>0</v>
      </c>
      <c r="AB217" s="10" t="b">
        <v>0</v>
      </c>
      <c r="AC217" s="181">
        <v>582.0</v>
      </c>
      <c r="AD217" s="144" t="b">
        <v>0</v>
      </c>
      <c r="AE217" s="182">
        <v>126.60000000000005</v>
      </c>
      <c r="AF217" s="10" t="b">
        <v>0</v>
      </c>
      <c r="AG217" s="10" t="b">
        <v>0</v>
      </c>
      <c r="AH217" s="144"/>
      <c r="AI217" s="3"/>
      <c r="AJ217" s="10"/>
      <c r="AK217" s="3" t="s">
        <v>52</v>
      </c>
      <c r="AL217" s="5"/>
      <c r="AM217" s="5" t="s">
        <v>261</v>
      </c>
      <c r="AN217" s="5" t="s">
        <v>899</v>
      </c>
      <c r="AO217" s="5" t="s">
        <v>2185</v>
      </c>
      <c r="AP217" s="5" t="s">
        <v>2185</v>
      </c>
      <c r="AQ217" s="5" t="s">
        <v>2185</v>
      </c>
      <c r="AR217" s="5" t="s">
        <v>2185</v>
      </c>
      <c r="AS217" s="142"/>
      <c r="AT217" s="142" t="b">
        <v>0</v>
      </c>
      <c r="AU217" s="142"/>
      <c r="AV217" s="142"/>
      <c r="AW217" s="142"/>
      <c r="AX217" s="142"/>
      <c r="AY217" s="142"/>
      <c r="AZ217" s="174"/>
      <c r="BA217" s="142"/>
      <c r="BB217" s="142"/>
      <c r="BC217" s="142"/>
      <c r="BD217" s="142"/>
      <c r="BE217" s="142"/>
      <c r="BF217" s="142"/>
      <c r="BG217" s="142"/>
    </row>
    <row r="218">
      <c r="A218" s="5" t="s">
        <v>901</v>
      </c>
      <c r="B218" s="44">
        <v>44579.0</v>
      </c>
      <c r="C218" s="150">
        <v>0.4140740740740741</v>
      </c>
      <c r="D218" s="3"/>
      <c r="E218" s="3"/>
      <c r="F218" s="5"/>
      <c r="G218" s="5"/>
      <c r="H218" s="5"/>
      <c r="I218" s="3"/>
      <c r="J218" s="3"/>
      <c r="K218" s="3" t="s">
        <v>52</v>
      </c>
      <c r="L218" s="44">
        <v>44579.0</v>
      </c>
      <c r="M218" s="150">
        <v>0.5015972222222222</v>
      </c>
      <c r="N218" s="5"/>
      <c r="O218" s="5"/>
      <c r="P218" s="10" t="b">
        <v>0</v>
      </c>
      <c r="Q218" s="10" t="s">
        <v>2184</v>
      </c>
      <c r="R218" s="144" t="b">
        <v>1</v>
      </c>
      <c r="S218" s="144">
        <v>1.0</v>
      </c>
      <c r="T218" s="10"/>
      <c r="U218" s="5"/>
      <c r="V218" s="3"/>
      <c r="W218" s="5"/>
      <c r="X218" s="144" t="b">
        <v>0</v>
      </c>
      <c r="Y218" s="10" t="b">
        <v>0</v>
      </c>
      <c r="Z218" s="3"/>
      <c r="AA218" s="10" t="b">
        <v>0</v>
      </c>
      <c r="AB218" s="10" t="b">
        <v>0</v>
      </c>
      <c r="AC218" s="181">
        <v>580.0</v>
      </c>
      <c r="AD218" s="144" t="b">
        <v>0</v>
      </c>
      <c r="AE218" s="182">
        <v>126.03333333333335</v>
      </c>
      <c r="AF218" s="10" t="b">
        <v>0</v>
      </c>
      <c r="AG218" s="10" t="b">
        <v>0</v>
      </c>
      <c r="AH218" s="144"/>
      <c r="AI218" s="3"/>
      <c r="AJ218" s="10"/>
      <c r="AK218" s="3" t="s">
        <v>52</v>
      </c>
      <c r="AL218" s="5"/>
      <c r="AM218" s="5" t="s">
        <v>261</v>
      </c>
      <c r="AN218" s="5" t="s">
        <v>902</v>
      </c>
      <c r="AO218" s="5" t="s">
        <v>2185</v>
      </c>
      <c r="AP218" s="5" t="s">
        <v>2185</v>
      </c>
      <c r="AQ218" s="5" t="s">
        <v>2185</v>
      </c>
      <c r="AR218" s="5" t="s">
        <v>2185</v>
      </c>
      <c r="AS218" s="142"/>
      <c r="AT218" s="142" t="b">
        <v>0</v>
      </c>
      <c r="AU218" s="142"/>
      <c r="AV218" s="142"/>
      <c r="AW218" s="142"/>
      <c r="AX218" s="142"/>
      <c r="AY218" s="142"/>
      <c r="AZ218" s="174"/>
      <c r="BA218" s="142"/>
      <c r="BB218" s="142"/>
      <c r="BC218" s="142"/>
      <c r="BD218" s="142"/>
      <c r="BE218" s="142"/>
      <c r="BF218" s="142"/>
      <c r="BG218" s="142"/>
    </row>
    <row r="219">
      <c r="A219" s="5" t="s">
        <v>904</v>
      </c>
      <c r="B219" s="44">
        <v>44579.0</v>
      </c>
      <c r="C219" s="150">
        <v>0.41445601851851854</v>
      </c>
      <c r="D219" s="3"/>
      <c r="E219" s="3"/>
      <c r="F219" s="5"/>
      <c r="G219" s="5"/>
      <c r="H219" s="5"/>
      <c r="I219" s="3"/>
      <c r="J219" s="3"/>
      <c r="K219" s="3" t="s">
        <v>52</v>
      </c>
      <c r="L219" s="44">
        <v>44579.0</v>
      </c>
      <c r="M219" s="150">
        <v>0.5015972222222222</v>
      </c>
      <c r="N219" s="5"/>
      <c r="O219" s="5"/>
      <c r="P219" s="10" t="b">
        <v>0</v>
      </c>
      <c r="Q219" s="10" t="s">
        <v>2184</v>
      </c>
      <c r="R219" s="144" t="b">
        <v>1</v>
      </c>
      <c r="S219" s="144">
        <v>1.0</v>
      </c>
      <c r="T219" s="10"/>
      <c r="U219" s="5"/>
      <c r="V219" s="3"/>
      <c r="W219" s="5"/>
      <c r="X219" s="144" t="b">
        <v>0</v>
      </c>
      <c r="Y219" s="10" t="b">
        <v>0</v>
      </c>
      <c r="Z219" s="3"/>
      <c r="AA219" s="10" t="b">
        <v>0</v>
      </c>
      <c r="AB219" s="10" t="b">
        <v>0</v>
      </c>
      <c r="AC219" s="181">
        <v>581.0</v>
      </c>
      <c r="AD219" s="144" t="b">
        <v>0</v>
      </c>
      <c r="AE219" s="182">
        <v>125.48333333333333</v>
      </c>
      <c r="AF219" s="10" t="b">
        <v>0</v>
      </c>
      <c r="AG219" s="10" t="b">
        <v>0</v>
      </c>
      <c r="AH219" s="144"/>
      <c r="AI219" s="3"/>
      <c r="AJ219" s="10"/>
      <c r="AK219" s="3" t="s">
        <v>52</v>
      </c>
      <c r="AL219" s="5"/>
      <c r="AM219" s="5" t="s">
        <v>261</v>
      </c>
      <c r="AN219" s="5" t="s">
        <v>905</v>
      </c>
      <c r="AO219" s="5" t="s">
        <v>2185</v>
      </c>
      <c r="AP219" s="5" t="s">
        <v>2185</v>
      </c>
      <c r="AQ219" s="5" t="s">
        <v>2185</v>
      </c>
      <c r="AR219" s="5" t="s">
        <v>2185</v>
      </c>
      <c r="AS219" s="142"/>
      <c r="AT219" s="142" t="b">
        <v>0</v>
      </c>
      <c r="AU219" s="142"/>
      <c r="AV219" s="142"/>
      <c r="AW219" s="142"/>
      <c r="AX219" s="142"/>
      <c r="AY219" s="142"/>
      <c r="AZ219" s="174"/>
      <c r="BA219" s="142"/>
      <c r="BB219" s="142"/>
      <c r="BC219" s="142"/>
      <c r="BD219" s="142"/>
      <c r="BE219" s="142"/>
      <c r="BF219" s="142"/>
      <c r="BG219" s="142"/>
    </row>
    <row r="220">
      <c r="A220" s="5" t="s">
        <v>907</v>
      </c>
      <c r="B220" s="44">
        <v>44579.0</v>
      </c>
      <c r="C220" s="150">
        <v>0.4153472222222222</v>
      </c>
      <c r="D220" s="3"/>
      <c r="E220" s="3"/>
      <c r="F220" s="5"/>
      <c r="G220" s="5"/>
      <c r="H220" s="5"/>
      <c r="I220" s="3"/>
      <c r="J220" s="3"/>
      <c r="K220" s="3" t="s">
        <v>52</v>
      </c>
      <c r="L220" s="44">
        <v>44579.0</v>
      </c>
      <c r="M220" s="150">
        <v>0.5015972222222222</v>
      </c>
      <c r="N220" s="5"/>
      <c r="O220" s="5"/>
      <c r="P220" s="10" t="b">
        <v>0</v>
      </c>
      <c r="Q220" s="10" t="s">
        <v>2184</v>
      </c>
      <c r="R220" s="144" t="b">
        <v>1</v>
      </c>
      <c r="S220" s="144">
        <v>1.0</v>
      </c>
      <c r="T220" s="10"/>
      <c r="U220" s="5"/>
      <c r="V220" s="3"/>
      <c r="W220" s="5"/>
      <c r="X220" s="144" t="b">
        <v>0</v>
      </c>
      <c r="Y220" s="10" t="b">
        <v>0</v>
      </c>
      <c r="Z220" s="3"/>
      <c r="AA220" s="10" t="b">
        <v>0</v>
      </c>
      <c r="AB220" s="10" t="b">
        <v>0</v>
      </c>
      <c r="AC220" s="181">
        <v>579.0</v>
      </c>
      <c r="AD220" s="144" t="b">
        <v>0</v>
      </c>
      <c r="AE220" s="182">
        <v>124.20000000000007</v>
      </c>
      <c r="AF220" s="10" t="b">
        <v>0</v>
      </c>
      <c r="AG220" s="10" t="b">
        <v>0</v>
      </c>
      <c r="AH220" s="144"/>
      <c r="AI220" s="3"/>
      <c r="AJ220" s="10"/>
      <c r="AK220" s="3" t="s">
        <v>52</v>
      </c>
      <c r="AL220" s="5"/>
      <c r="AM220" s="5" t="s">
        <v>261</v>
      </c>
      <c r="AN220" s="5" t="s">
        <v>908</v>
      </c>
      <c r="AO220" s="5" t="s">
        <v>2185</v>
      </c>
      <c r="AP220" s="5" t="s">
        <v>2185</v>
      </c>
      <c r="AQ220" s="5" t="s">
        <v>2185</v>
      </c>
      <c r="AR220" s="5" t="s">
        <v>2185</v>
      </c>
      <c r="AS220" s="142"/>
      <c r="AT220" s="142" t="b">
        <v>0</v>
      </c>
      <c r="AU220" s="142"/>
      <c r="AV220" s="142"/>
      <c r="AW220" s="142"/>
      <c r="AX220" s="142"/>
      <c r="AY220" s="142"/>
      <c r="AZ220" s="174"/>
      <c r="BA220" s="142"/>
      <c r="BB220" s="142"/>
      <c r="BC220" s="142"/>
      <c r="BD220" s="142"/>
      <c r="BE220" s="142"/>
      <c r="BF220" s="142"/>
      <c r="BG220" s="142"/>
    </row>
    <row r="221">
      <c r="A221" s="5" t="s">
        <v>910</v>
      </c>
      <c r="B221" s="44">
        <v>44579.0</v>
      </c>
      <c r="C221" s="150">
        <v>0.4159259259259259</v>
      </c>
      <c r="D221" s="3"/>
      <c r="E221" s="3"/>
      <c r="F221" s="5"/>
      <c r="G221" s="5"/>
      <c r="H221" s="5"/>
      <c r="I221" s="3"/>
      <c r="J221" s="3"/>
      <c r="K221" s="3" t="s">
        <v>52</v>
      </c>
      <c r="L221" s="44">
        <v>44579.0</v>
      </c>
      <c r="M221" s="150">
        <v>0.5015972222222222</v>
      </c>
      <c r="N221" s="5"/>
      <c r="O221" s="5"/>
      <c r="P221" s="10" t="b">
        <v>0</v>
      </c>
      <c r="Q221" s="10" t="s">
        <v>2184</v>
      </c>
      <c r="R221" s="144" t="b">
        <v>1</v>
      </c>
      <c r="S221" s="144">
        <v>1.0</v>
      </c>
      <c r="T221" s="10"/>
      <c r="U221" s="5"/>
      <c r="V221" s="3"/>
      <c r="W221" s="5"/>
      <c r="X221" s="144" t="b">
        <v>0</v>
      </c>
      <c r="Y221" s="10" t="b">
        <v>0</v>
      </c>
      <c r="Z221" s="3"/>
      <c r="AA221" s="10" t="b">
        <v>0</v>
      </c>
      <c r="AB221" s="10" t="b">
        <v>0</v>
      </c>
      <c r="AC221" s="181">
        <v>578.0</v>
      </c>
      <c r="AD221" s="144" t="b">
        <v>0</v>
      </c>
      <c r="AE221" s="182">
        <v>123.36666666666672</v>
      </c>
      <c r="AF221" s="10" t="b">
        <v>0</v>
      </c>
      <c r="AG221" s="10" t="b">
        <v>0</v>
      </c>
      <c r="AH221" s="144"/>
      <c r="AI221" s="3"/>
      <c r="AJ221" s="10"/>
      <c r="AK221" s="3" t="s">
        <v>52</v>
      </c>
      <c r="AL221" s="5"/>
      <c r="AM221" s="5" t="s">
        <v>261</v>
      </c>
      <c r="AN221" s="5" t="s">
        <v>458</v>
      </c>
      <c r="AO221" s="5" t="s">
        <v>2185</v>
      </c>
      <c r="AP221" s="5" t="s">
        <v>2185</v>
      </c>
      <c r="AQ221" s="5" t="s">
        <v>2185</v>
      </c>
      <c r="AR221" s="5" t="s">
        <v>2185</v>
      </c>
      <c r="AS221" s="142"/>
      <c r="AT221" s="142" t="b">
        <v>0</v>
      </c>
      <c r="AU221" s="142"/>
      <c r="AV221" s="142"/>
      <c r="AW221" s="142"/>
      <c r="AX221" s="142"/>
      <c r="AY221" s="142"/>
      <c r="AZ221" s="174"/>
      <c r="BA221" s="142"/>
      <c r="BB221" s="142"/>
      <c r="BC221" s="142"/>
      <c r="BD221" s="142"/>
      <c r="BE221" s="142"/>
      <c r="BF221" s="142"/>
      <c r="BG221" s="142"/>
    </row>
    <row r="222">
      <c r="A222" s="5" t="s">
        <v>912</v>
      </c>
      <c r="B222" s="44">
        <v>44580.0</v>
      </c>
      <c r="C222" s="150">
        <v>0.2888310185185185</v>
      </c>
      <c r="D222" s="3"/>
      <c r="E222" s="3"/>
      <c r="F222" s="5"/>
      <c r="G222" s="5"/>
      <c r="H222" s="5"/>
      <c r="I222" s="3"/>
      <c r="J222" s="3"/>
      <c r="K222" s="3" t="s">
        <v>244</v>
      </c>
      <c r="L222" s="44">
        <v>44580.0</v>
      </c>
      <c r="M222" s="150">
        <v>0.5080208333333334</v>
      </c>
      <c r="N222" s="5"/>
      <c r="O222" s="5"/>
      <c r="P222" s="10" t="b">
        <v>0</v>
      </c>
      <c r="Q222" s="10" t="s">
        <v>2184</v>
      </c>
      <c r="R222" s="144" t="b">
        <v>1</v>
      </c>
      <c r="S222" s="144">
        <v>1.0</v>
      </c>
      <c r="T222" s="10"/>
      <c r="U222" s="5"/>
      <c r="V222" s="3"/>
      <c r="W222" s="5"/>
      <c r="X222" s="144" t="b">
        <v>0</v>
      </c>
      <c r="Y222" s="10" t="b">
        <v>0</v>
      </c>
      <c r="Z222" s="3"/>
      <c r="AA222" s="10" t="b">
        <v>0</v>
      </c>
      <c r="AB222" s="10" t="b">
        <v>0</v>
      </c>
      <c r="AC222" s="181">
        <v>548.0</v>
      </c>
      <c r="AD222" s="144" t="b">
        <v>0</v>
      </c>
      <c r="AE222" s="182">
        <v>315.63333333333344</v>
      </c>
      <c r="AF222" s="10" t="b">
        <v>0</v>
      </c>
      <c r="AG222" s="10" t="b">
        <v>0</v>
      </c>
      <c r="AH222" s="144"/>
      <c r="AI222" s="3"/>
      <c r="AJ222" s="10"/>
      <c r="AK222" s="3" t="s">
        <v>244</v>
      </c>
      <c r="AL222" s="5"/>
      <c r="AM222" s="5" t="s">
        <v>261</v>
      </c>
      <c r="AN222" s="5" t="s">
        <v>913</v>
      </c>
      <c r="AO222" s="5" t="s">
        <v>2185</v>
      </c>
      <c r="AP222" s="5" t="s">
        <v>2185</v>
      </c>
      <c r="AQ222" s="5" t="s">
        <v>2185</v>
      </c>
      <c r="AR222" s="5" t="s">
        <v>2185</v>
      </c>
      <c r="AS222" s="142"/>
      <c r="AT222" s="142" t="b">
        <v>0</v>
      </c>
      <c r="AU222" s="142"/>
      <c r="AV222" s="142"/>
      <c r="AW222" s="142"/>
      <c r="AX222" s="142"/>
      <c r="AY222" s="142"/>
      <c r="AZ222" s="174"/>
      <c r="BA222" s="142"/>
      <c r="BB222" s="142"/>
      <c r="BC222" s="142"/>
      <c r="BD222" s="142"/>
      <c r="BE222" s="142"/>
      <c r="BF222" s="142"/>
      <c r="BG222" s="142"/>
    </row>
    <row r="223">
      <c r="A223" s="5" t="s">
        <v>915</v>
      </c>
      <c r="B223" s="44">
        <v>44580.0</v>
      </c>
      <c r="C223" s="150">
        <v>0.2900578703703704</v>
      </c>
      <c r="D223" s="3"/>
      <c r="E223" s="3"/>
      <c r="F223" s="5"/>
      <c r="G223" s="5"/>
      <c r="H223" s="5"/>
      <c r="I223" s="3"/>
      <c r="J223" s="3"/>
      <c r="K223" s="3" t="s">
        <v>244</v>
      </c>
      <c r="L223" s="44">
        <v>44580.0</v>
      </c>
      <c r="M223" s="150">
        <v>0.5080208333333334</v>
      </c>
      <c r="N223" s="5"/>
      <c r="O223" s="5"/>
      <c r="P223" s="10" t="b">
        <v>0</v>
      </c>
      <c r="Q223" s="10" t="s">
        <v>2184</v>
      </c>
      <c r="R223" s="144" t="b">
        <v>1</v>
      </c>
      <c r="S223" s="144">
        <v>1.0</v>
      </c>
      <c r="T223" s="10">
        <v>0.0</v>
      </c>
      <c r="U223" s="5"/>
      <c r="V223" s="3"/>
      <c r="W223" s="5"/>
      <c r="X223" s="144" t="b">
        <v>0</v>
      </c>
      <c r="Y223" s="10" t="b">
        <v>0</v>
      </c>
      <c r="Z223" s="3"/>
      <c r="AA223" s="10" t="b">
        <v>0</v>
      </c>
      <c r="AB223" s="10" t="b">
        <v>0</v>
      </c>
      <c r="AC223" s="181">
        <v>547.0</v>
      </c>
      <c r="AD223" s="144" t="b">
        <v>0</v>
      </c>
      <c r="AE223" s="182">
        <v>313.8666666666667</v>
      </c>
      <c r="AF223" s="10" t="b">
        <v>0</v>
      </c>
      <c r="AG223" s="10" t="b">
        <v>0</v>
      </c>
      <c r="AH223" s="144"/>
      <c r="AI223" s="3"/>
      <c r="AJ223" s="10"/>
      <c r="AK223" s="3" t="s">
        <v>244</v>
      </c>
      <c r="AL223" s="5"/>
      <c r="AM223" s="5" t="s">
        <v>261</v>
      </c>
      <c r="AN223" s="5" t="s">
        <v>708</v>
      </c>
      <c r="AO223" s="5" t="s">
        <v>2185</v>
      </c>
      <c r="AP223" s="5" t="s">
        <v>2185</v>
      </c>
      <c r="AQ223" s="5" t="s">
        <v>2185</v>
      </c>
      <c r="AR223" s="5" t="s">
        <v>2185</v>
      </c>
      <c r="AS223" s="142"/>
      <c r="AT223" s="142" t="b">
        <v>0</v>
      </c>
      <c r="AU223" s="142"/>
      <c r="AV223" s="142"/>
      <c r="AW223" s="142"/>
      <c r="AX223" s="142"/>
      <c r="AY223" s="142"/>
      <c r="AZ223" s="174"/>
      <c r="BA223" s="142"/>
      <c r="BB223" s="142"/>
      <c r="BC223" s="142"/>
      <c r="BD223" s="142"/>
      <c r="BE223" s="142"/>
      <c r="BF223" s="142"/>
      <c r="BG223" s="142"/>
    </row>
    <row r="224">
      <c r="A224" s="5" t="s">
        <v>917</v>
      </c>
      <c r="B224" s="44">
        <v>44580.0</v>
      </c>
      <c r="C224" s="150">
        <v>0.29824074074074075</v>
      </c>
      <c r="D224" s="3"/>
      <c r="E224" s="3"/>
      <c r="F224" s="5"/>
      <c r="G224" s="5"/>
      <c r="H224" s="5"/>
      <c r="I224" s="183"/>
      <c r="J224" s="3"/>
      <c r="K224" s="3" t="s">
        <v>244</v>
      </c>
      <c r="L224" s="44">
        <v>44580.0</v>
      </c>
      <c r="M224" s="150">
        <v>0.5080208333333334</v>
      </c>
      <c r="N224" s="5"/>
      <c r="O224" s="5"/>
      <c r="P224" s="10" t="b">
        <v>0</v>
      </c>
      <c r="Q224" s="10" t="s">
        <v>2184</v>
      </c>
      <c r="R224" s="144" t="b">
        <v>1</v>
      </c>
      <c r="S224" s="144">
        <v>1.0</v>
      </c>
      <c r="T224" s="10">
        <v>0.0</v>
      </c>
      <c r="U224" s="5"/>
      <c r="V224" s="3"/>
      <c r="W224" s="5"/>
      <c r="X224" s="144" t="b">
        <v>0</v>
      </c>
      <c r="Y224" s="10" t="b">
        <v>0</v>
      </c>
      <c r="Z224" s="3"/>
      <c r="AA224" s="10" t="b">
        <v>0</v>
      </c>
      <c r="AB224" s="10" t="b">
        <v>0</v>
      </c>
      <c r="AC224" s="181">
        <v>546.0</v>
      </c>
      <c r="AD224" s="144" t="b">
        <v>1</v>
      </c>
      <c r="AE224" s="182">
        <v>302.08333333333337</v>
      </c>
      <c r="AF224" s="10" t="b">
        <v>0</v>
      </c>
      <c r="AG224" s="10" t="b">
        <v>0</v>
      </c>
      <c r="AH224" s="144"/>
      <c r="AI224" s="3"/>
      <c r="AJ224" s="10"/>
      <c r="AK224" s="3" t="s">
        <v>244</v>
      </c>
      <c r="AL224" s="5"/>
      <c r="AM224" s="5" t="s">
        <v>918</v>
      </c>
      <c r="AN224" s="5" t="s">
        <v>886</v>
      </c>
      <c r="AO224" s="5" t="s">
        <v>2185</v>
      </c>
      <c r="AP224" s="5" t="s">
        <v>2185</v>
      </c>
      <c r="AQ224" s="5" t="s">
        <v>2185</v>
      </c>
      <c r="AR224" s="5" t="s">
        <v>2185</v>
      </c>
      <c r="AS224" s="142"/>
      <c r="AT224" s="142" t="b">
        <v>0</v>
      </c>
      <c r="AU224" s="142"/>
      <c r="AV224" s="142"/>
      <c r="AW224" s="142"/>
      <c r="AX224" s="142"/>
      <c r="AY224" s="142"/>
      <c r="AZ224" s="174"/>
      <c r="BA224" s="142"/>
      <c r="BB224" s="142"/>
      <c r="BC224" s="142"/>
      <c r="BD224" s="142"/>
      <c r="BE224" s="142"/>
      <c r="BF224" s="142"/>
      <c r="BG224" s="142"/>
    </row>
    <row r="225">
      <c r="A225" s="5" t="s">
        <v>920</v>
      </c>
      <c r="B225" s="44">
        <v>44580.0</v>
      </c>
      <c r="C225" s="150">
        <v>0.3460648148148148</v>
      </c>
      <c r="D225" s="3"/>
      <c r="E225" s="3"/>
      <c r="F225" s="5"/>
      <c r="G225" s="5"/>
      <c r="H225" s="5"/>
      <c r="I225" s="3"/>
      <c r="J225" s="3"/>
      <c r="K225" s="3" t="s">
        <v>52</v>
      </c>
      <c r="L225" s="44">
        <v>44580.0</v>
      </c>
      <c r="M225" s="150">
        <v>0.5073611111111112</v>
      </c>
      <c r="N225" s="5"/>
      <c r="O225" s="5"/>
      <c r="P225" s="10" t="b">
        <v>0</v>
      </c>
      <c r="Q225" s="10" t="s">
        <v>2184</v>
      </c>
      <c r="R225" s="144" t="b">
        <v>1</v>
      </c>
      <c r="S225" s="144">
        <v>1.0</v>
      </c>
      <c r="T225" s="10"/>
      <c r="U225" s="5"/>
      <c r="V225" s="3"/>
      <c r="W225" s="5"/>
      <c r="X225" s="144" t="b">
        <v>0</v>
      </c>
      <c r="Y225" s="10" t="b">
        <v>0</v>
      </c>
      <c r="Z225" s="3"/>
      <c r="AA225" s="10" t="b">
        <v>0</v>
      </c>
      <c r="AB225" s="10" t="b">
        <v>0</v>
      </c>
      <c r="AC225" s="181">
        <v>577.0</v>
      </c>
      <c r="AD225" s="144" t="b">
        <v>0</v>
      </c>
      <c r="AE225" s="182">
        <v>232.2666666666667</v>
      </c>
      <c r="AF225" s="10" t="b">
        <v>0</v>
      </c>
      <c r="AG225" s="10" t="b">
        <v>0</v>
      </c>
      <c r="AH225" s="144"/>
      <c r="AI225" s="3"/>
      <c r="AJ225" s="10"/>
      <c r="AK225" s="3" t="s">
        <v>52</v>
      </c>
      <c r="AL225" s="5"/>
      <c r="AM225" s="5" t="s">
        <v>257</v>
      </c>
      <c r="AN225" s="5" t="s">
        <v>406</v>
      </c>
      <c r="AO225" s="5" t="s">
        <v>2185</v>
      </c>
      <c r="AP225" s="5" t="s">
        <v>2185</v>
      </c>
      <c r="AQ225" s="5" t="s">
        <v>2185</v>
      </c>
      <c r="AR225" s="5" t="s">
        <v>2185</v>
      </c>
      <c r="AS225" s="142"/>
      <c r="AT225" s="142" t="b">
        <v>0</v>
      </c>
      <c r="AU225" s="142"/>
      <c r="AV225" s="142"/>
      <c r="AW225" s="142"/>
      <c r="AX225" s="142"/>
      <c r="AY225" s="142"/>
      <c r="AZ225" s="174"/>
      <c r="BA225" s="142"/>
      <c r="BB225" s="142"/>
      <c r="BC225" s="142"/>
      <c r="BD225" s="142"/>
      <c r="BE225" s="142"/>
      <c r="BF225" s="142"/>
      <c r="BG225" s="142"/>
    </row>
    <row r="226">
      <c r="A226" s="5" t="s">
        <v>922</v>
      </c>
      <c r="B226" s="44">
        <v>44580.0</v>
      </c>
      <c r="C226" s="150">
        <v>0.40792824074074074</v>
      </c>
      <c r="D226" s="3"/>
      <c r="E226" s="3"/>
      <c r="F226" s="5"/>
      <c r="G226" s="5"/>
      <c r="H226" s="5"/>
      <c r="I226" s="3"/>
      <c r="J226" s="3"/>
      <c r="K226" s="3" t="s">
        <v>244</v>
      </c>
      <c r="L226" s="44">
        <v>44580.0</v>
      </c>
      <c r="M226" s="150">
        <v>0.5080208333333334</v>
      </c>
      <c r="N226" s="5"/>
      <c r="O226" s="5"/>
      <c r="P226" s="10" t="b">
        <v>0</v>
      </c>
      <c r="Q226" s="10" t="s">
        <v>2184</v>
      </c>
      <c r="R226" s="144" t="b">
        <v>1</v>
      </c>
      <c r="S226" s="144">
        <v>1.0</v>
      </c>
      <c r="T226" s="10"/>
      <c r="U226" s="5"/>
      <c r="V226" s="3"/>
      <c r="W226" s="5"/>
      <c r="X226" s="144" t="b">
        <v>0</v>
      </c>
      <c r="Y226" s="10" t="b">
        <v>0</v>
      </c>
      <c r="Z226" s="3"/>
      <c r="AA226" s="10" t="b">
        <v>0</v>
      </c>
      <c r="AB226" s="10" t="b">
        <v>0</v>
      </c>
      <c r="AC226" s="181">
        <v>545.0</v>
      </c>
      <c r="AD226" s="144" t="b">
        <v>0</v>
      </c>
      <c r="AE226" s="182">
        <v>144.13333333333338</v>
      </c>
      <c r="AF226" s="10" t="b">
        <v>0</v>
      </c>
      <c r="AG226" s="10" t="b">
        <v>0</v>
      </c>
      <c r="AH226" s="144"/>
      <c r="AI226" s="3"/>
      <c r="AJ226" s="10"/>
      <c r="AK226" s="3" t="s">
        <v>244</v>
      </c>
      <c r="AL226" s="5"/>
      <c r="AM226" s="5" t="s">
        <v>261</v>
      </c>
      <c r="AN226" s="5" t="s">
        <v>923</v>
      </c>
      <c r="AO226" s="5" t="s">
        <v>2185</v>
      </c>
      <c r="AP226" s="5" t="s">
        <v>2185</v>
      </c>
      <c r="AQ226" s="5" t="s">
        <v>2185</v>
      </c>
      <c r="AR226" s="5" t="s">
        <v>2185</v>
      </c>
      <c r="AS226" s="142"/>
      <c r="AT226" s="142" t="b">
        <v>0</v>
      </c>
      <c r="AU226" s="142"/>
      <c r="AV226" s="142"/>
      <c r="AW226" s="142"/>
      <c r="AX226" s="142"/>
      <c r="AY226" s="142"/>
      <c r="AZ226" s="174"/>
      <c r="BA226" s="142"/>
      <c r="BB226" s="142"/>
      <c r="BC226" s="142"/>
      <c r="BD226" s="142"/>
      <c r="BE226" s="142"/>
      <c r="BF226" s="142"/>
      <c r="BG226" s="142"/>
    </row>
    <row r="227">
      <c r="A227" s="5" t="s">
        <v>925</v>
      </c>
      <c r="B227" s="44">
        <v>44580.0</v>
      </c>
      <c r="C227" s="150">
        <v>0.41006944444444443</v>
      </c>
      <c r="D227" s="3"/>
      <c r="E227" s="3"/>
      <c r="F227" s="5"/>
      <c r="G227" s="5"/>
      <c r="H227" s="5"/>
      <c r="I227" s="3"/>
      <c r="J227" s="3"/>
      <c r="K227" s="3" t="s">
        <v>244</v>
      </c>
      <c r="L227" s="44">
        <v>44580.0</v>
      </c>
      <c r="M227" s="150">
        <v>0.5080208333333334</v>
      </c>
      <c r="N227" s="5"/>
      <c r="O227" s="5"/>
      <c r="P227" s="10" t="b">
        <v>0</v>
      </c>
      <c r="Q227" s="10" t="s">
        <v>2184</v>
      </c>
      <c r="R227" s="144" t="b">
        <v>1</v>
      </c>
      <c r="S227" s="144">
        <v>1.0</v>
      </c>
      <c r="T227" s="10"/>
      <c r="U227" s="5"/>
      <c r="V227" s="3"/>
      <c r="W227" s="5"/>
      <c r="X227" s="144" t="b">
        <v>0</v>
      </c>
      <c r="Y227" s="10" t="b">
        <v>0</v>
      </c>
      <c r="Z227" s="3"/>
      <c r="AA227" s="10" t="b">
        <v>0</v>
      </c>
      <c r="AB227" s="10" t="b">
        <v>0</v>
      </c>
      <c r="AC227" s="181">
        <v>544.0</v>
      </c>
      <c r="AD227" s="144" t="b">
        <v>0</v>
      </c>
      <c r="AE227" s="182">
        <v>141.05000000000007</v>
      </c>
      <c r="AF227" s="10" t="b">
        <v>0</v>
      </c>
      <c r="AG227" s="10" t="b">
        <v>0</v>
      </c>
      <c r="AH227" s="144"/>
      <c r="AI227" s="3"/>
      <c r="AJ227" s="10"/>
      <c r="AK227" s="3" t="s">
        <v>244</v>
      </c>
      <c r="AL227" s="5"/>
      <c r="AM227" s="5" t="s">
        <v>261</v>
      </c>
      <c r="AN227" s="5" t="s">
        <v>926</v>
      </c>
      <c r="AO227" s="5" t="s">
        <v>2185</v>
      </c>
      <c r="AP227" s="5" t="s">
        <v>2185</v>
      </c>
      <c r="AQ227" s="5" t="s">
        <v>2185</v>
      </c>
      <c r="AR227" s="5" t="s">
        <v>2185</v>
      </c>
      <c r="AS227" s="142"/>
      <c r="AT227" s="142" t="b">
        <v>0</v>
      </c>
      <c r="AU227" s="142"/>
      <c r="AV227" s="142"/>
      <c r="AW227" s="142"/>
      <c r="AX227" s="142"/>
      <c r="AY227" s="142"/>
      <c r="AZ227" s="174"/>
      <c r="BA227" s="142"/>
      <c r="BB227" s="142"/>
      <c r="BC227" s="142"/>
      <c r="BD227" s="142"/>
      <c r="BE227" s="142"/>
      <c r="BF227" s="142"/>
      <c r="BG227" s="142"/>
    </row>
    <row r="228">
      <c r="A228" s="5" t="s">
        <v>928</v>
      </c>
      <c r="B228" s="44">
        <v>44580.0</v>
      </c>
      <c r="C228" s="150">
        <v>0.41456018518518517</v>
      </c>
      <c r="D228" s="3"/>
      <c r="E228" s="3"/>
      <c r="F228" s="5"/>
      <c r="G228" s="5"/>
      <c r="H228" s="5"/>
      <c r="I228" s="3"/>
      <c r="J228" s="3"/>
      <c r="K228" s="3" t="s">
        <v>52</v>
      </c>
      <c r="L228" s="44">
        <v>44580.0</v>
      </c>
      <c r="M228" s="150">
        <v>0.5073611111111112</v>
      </c>
      <c r="N228" s="5"/>
      <c r="O228" s="5"/>
      <c r="P228" s="10" t="b">
        <v>0</v>
      </c>
      <c r="Q228" s="10" t="s">
        <v>2184</v>
      </c>
      <c r="R228" s="144" t="b">
        <v>1</v>
      </c>
      <c r="S228" s="144">
        <v>1.0</v>
      </c>
      <c r="T228" s="10"/>
      <c r="U228" s="5"/>
      <c r="V228" s="3"/>
      <c r="W228" s="5"/>
      <c r="X228" s="144" t="b">
        <v>0</v>
      </c>
      <c r="Y228" s="10" t="b">
        <v>0</v>
      </c>
      <c r="Z228" s="3"/>
      <c r="AA228" s="10" t="b">
        <v>0</v>
      </c>
      <c r="AB228" s="10" t="b">
        <v>0</v>
      </c>
      <c r="AC228" s="181">
        <v>576.0</v>
      </c>
      <c r="AD228" s="144" t="b">
        <v>0</v>
      </c>
      <c r="AE228" s="182">
        <v>133.6333333333334</v>
      </c>
      <c r="AF228" s="10" t="b">
        <v>0</v>
      </c>
      <c r="AG228" s="10" t="b">
        <v>0</v>
      </c>
      <c r="AH228" s="144"/>
      <c r="AI228" s="3"/>
      <c r="AJ228" s="10"/>
      <c r="AK228" s="3" t="s">
        <v>52</v>
      </c>
      <c r="AL228" s="5"/>
      <c r="AM228" s="5" t="s">
        <v>261</v>
      </c>
      <c r="AN228" s="5" t="s">
        <v>675</v>
      </c>
      <c r="AO228" s="5" t="s">
        <v>2185</v>
      </c>
      <c r="AP228" s="5" t="s">
        <v>2185</v>
      </c>
      <c r="AQ228" s="5" t="s">
        <v>2185</v>
      </c>
      <c r="AR228" s="5" t="s">
        <v>2185</v>
      </c>
      <c r="AS228" s="142"/>
      <c r="AT228" s="142" t="b">
        <v>0</v>
      </c>
      <c r="AU228" s="142"/>
      <c r="AV228" s="142"/>
      <c r="AW228" s="142"/>
      <c r="AX228" s="142"/>
      <c r="AY228" s="142"/>
      <c r="AZ228" s="174"/>
      <c r="BA228" s="142"/>
      <c r="BB228" s="142"/>
      <c r="BC228" s="142"/>
      <c r="BD228" s="142"/>
      <c r="BE228" s="142"/>
      <c r="BF228" s="142"/>
      <c r="BG228" s="142"/>
    </row>
    <row r="229">
      <c r="A229" s="5" t="s">
        <v>930</v>
      </c>
      <c r="B229" s="44">
        <v>44580.0</v>
      </c>
      <c r="C229" s="150">
        <v>0.415</v>
      </c>
      <c r="D229" s="3"/>
      <c r="E229" s="3"/>
      <c r="F229" s="5"/>
      <c r="G229" s="5"/>
      <c r="H229" s="5"/>
      <c r="I229" s="3"/>
      <c r="J229" s="3"/>
      <c r="K229" s="3" t="s">
        <v>52</v>
      </c>
      <c r="L229" s="44">
        <v>44580.0</v>
      </c>
      <c r="M229" s="150">
        <v>0.5073726851851852</v>
      </c>
      <c r="N229" s="5"/>
      <c r="O229" s="5"/>
      <c r="P229" s="10" t="b">
        <v>0</v>
      </c>
      <c r="Q229" s="10" t="s">
        <v>2184</v>
      </c>
      <c r="R229" s="144" t="b">
        <v>1</v>
      </c>
      <c r="S229" s="144">
        <v>1.0</v>
      </c>
      <c r="T229" s="10"/>
      <c r="U229" s="5"/>
      <c r="V229" s="3"/>
      <c r="W229" s="5"/>
      <c r="X229" s="144" t="b">
        <v>0</v>
      </c>
      <c r="Y229" s="10" t="b">
        <v>0</v>
      </c>
      <c r="Z229" s="3"/>
      <c r="AA229" s="10" t="b">
        <v>0</v>
      </c>
      <c r="AB229" s="10" t="b">
        <v>0</v>
      </c>
      <c r="AC229" s="181">
        <v>575.0</v>
      </c>
      <c r="AD229" s="144" t="b">
        <v>0</v>
      </c>
      <c r="AE229" s="182">
        <v>133.0166666666667</v>
      </c>
      <c r="AF229" s="10" t="b">
        <v>0</v>
      </c>
      <c r="AG229" s="10" t="b">
        <v>0</v>
      </c>
      <c r="AH229" s="144"/>
      <c r="AI229" s="3"/>
      <c r="AJ229" s="10"/>
      <c r="AK229" s="3" t="s">
        <v>52</v>
      </c>
      <c r="AL229" s="5"/>
      <c r="AM229" s="5" t="s">
        <v>261</v>
      </c>
      <c r="AN229" s="5" t="s">
        <v>678</v>
      </c>
      <c r="AO229" s="5" t="s">
        <v>2185</v>
      </c>
      <c r="AP229" s="5" t="s">
        <v>2185</v>
      </c>
      <c r="AQ229" s="5" t="s">
        <v>2185</v>
      </c>
      <c r="AR229" s="5" t="s">
        <v>2185</v>
      </c>
      <c r="AS229" s="142"/>
      <c r="AT229" s="142" t="b">
        <v>0</v>
      </c>
      <c r="AU229" s="142"/>
      <c r="AV229" s="142"/>
      <c r="AW229" s="142"/>
      <c r="AX229" s="142"/>
      <c r="AY229" s="142"/>
      <c r="AZ229" s="174"/>
      <c r="BA229" s="142"/>
      <c r="BB229" s="142"/>
      <c r="BC229" s="142"/>
      <c r="BD229" s="142"/>
      <c r="BE229" s="142"/>
      <c r="BF229" s="142"/>
      <c r="BG229" s="142"/>
    </row>
    <row r="230">
      <c r="A230" s="5" t="s">
        <v>932</v>
      </c>
      <c r="B230" s="44">
        <v>44580.0</v>
      </c>
      <c r="C230" s="150">
        <v>0.4154398148148148</v>
      </c>
      <c r="D230" s="3"/>
      <c r="E230" s="3"/>
      <c r="F230" s="5"/>
      <c r="G230" s="5"/>
      <c r="H230" s="5"/>
      <c r="I230" s="3"/>
      <c r="J230" s="3"/>
      <c r="K230" s="3" t="s">
        <v>52</v>
      </c>
      <c r="L230" s="44">
        <v>44580.0</v>
      </c>
      <c r="M230" s="150">
        <v>0.5073726851851852</v>
      </c>
      <c r="N230" s="5"/>
      <c r="O230" s="5"/>
      <c r="P230" s="10" t="b">
        <v>0</v>
      </c>
      <c r="Q230" s="10" t="s">
        <v>2184</v>
      </c>
      <c r="R230" s="144" t="b">
        <v>1</v>
      </c>
      <c r="S230" s="144">
        <v>1.0</v>
      </c>
      <c r="T230" s="10"/>
      <c r="U230" s="5"/>
      <c r="V230" s="3"/>
      <c r="W230" s="5"/>
      <c r="X230" s="144" t="b">
        <v>0</v>
      </c>
      <c r="Y230" s="10" t="b">
        <v>0</v>
      </c>
      <c r="Z230" s="3"/>
      <c r="AA230" s="10" t="b">
        <v>0</v>
      </c>
      <c r="AB230" s="10" t="b">
        <v>0</v>
      </c>
      <c r="AC230" s="181">
        <v>574.0</v>
      </c>
      <c r="AD230" s="144" t="b">
        <v>0</v>
      </c>
      <c r="AE230" s="182">
        <v>132.38333333333338</v>
      </c>
      <c r="AF230" s="10" t="b">
        <v>0</v>
      </c>
      <c r="AG230" s="10" t="b">
        <v>0</v>
      </c>
      <c r="AH230" s="144"/>
      <c r="AI230" s="3"/>
      <c r="AJ230" s="10"/>
      <c r="AK230" s="3" t="s">
        <v>52</v>
      </c>
      <c r="AL230" s="5"/>
      <c r="AM230" s="5" t="s">
        <v>261</v>
      </c>
      <c r="AN230" s="5" t="s">
        <v>681</v>
      </c>
      <c r="AO230" s="5" t="s">
        <v>2185</v>
      </c>
      <c r="AP230" s="5" t="s">
        <v>2185</v>
      </c>
      <c r="AQ230" s="5" t="s">
        <v>2185</v>
      </c>
      <c r="AR230" s="5" t="s">
        <v>2185</v>
      </c>
      <c r="AS230" s="142"/>
      <c r="AT230" s="142" t="b">
        <v>0</v>
      </c>
      <c r="AU230" s="142"/>
      <c r="AV230" s="142"/>
      <c r="AW230" s="142"/>
      <c r="AX230" s="142"/>
      <c r="AY230" s="142"/>
      <c r="AZ230" s="174"/>
      <c r="BA230" s="142"/>
      <c r="BB230" s="142"/>
      <c r="BC230" s="142"/>
      <c r="BD230" s="142"/>
      <c r="BE230" s="142"/>
      <c r="BF230" s="142"/>
      <c r="BG230" s="142"/>
    </row>
    <row r="231">
      <c r="A231" s="5" t="s">
        <v>934</v>
      </c>
      <c r="B231" s="44">
        <v>44580.0</v>
      </c>
      <c r="C231" s="150">
        <v>0.42681712962962964</v>
      </c>
      <c r="D231" s="3"/>
      <c r="E231" s="3"/>
      <c r="F231" s="5"/>
      <c r="G231" s="5"/>
      <c r="H231" s="5"/>
      <c r="I231" s="3"/>
      <c r="J231" s="3"/>
      <c r="K231" s="3" t="s">
        <v>244</v>
      </c>
      <c r="L231" s="44">
        <v>44580.0</v>
      </c>
      <c r="M231" s="150">
        <v>0.5080324074074074</v>
      </c>
      <c r="N231" s="5"/>
      <c r="O231" s="5"/>
      <c r="P231" s="10" t="b">
        <v>0</v>
      </c>
      <c r="Q231" s="10" t="s">
        <v>2184</v>
      </c>
      <c r="R231" s="144" t="b">
        <v>1</v>
      </c>
      <c r="S231" s="144">
        <v>1.0</v>
      </c>
      <c r="T231" s="10"/>
      <c r="U231" s="5"/>
      <c r="V231" s="3"/>
      <c r="W231" s="5"/>
      <c r="X231" s="144" t="b">
        <v>0</v>
      </c>
      <c r="Y231" s="10" t="b">
        <v>0</v>
      </c>
      <c r="Z231" s="3"/>
      <c r="AA231" s="10" t="b">
        <v>0</v>
      </c>
      <c r="AB231" s="10" t="b">
        <v>0</v>
      </c>
      <c r="AC231" s="181">
        <v>543.0</v>
      </c>
      <c r="AD231" s="144" t="b">
        <v>0</v>
      </c>
      <c r="AE231" s="182">
        <v>116.94999999999997</v>
      </c>
      <c r="AF231" s="10" t="b">
        <v>0</v>
      </c>
      <c r="AG231" s="10" t="b">
        <v>0</v>
      </c>
      <c r="AH231" s="144"/>
      <c r="AI231" s="3"/>
      <c r="AJ231" s="10"/>
      <c r="AK231" s="3" t="s">
        <v>244</v>
      </c>
      <c r="AL231" s="5"/>
      <c r="AM231" s="5" t="s">
        <v>356</v>
      </c>
      <c r="AN231" s="5" t="s">
        <v>357</v>
      </c>
      <c r="AO231" s="5" t="s">
        <v>2185</v>
      </c>
      <c r="AP231" s="5" t="s">
        <v>2185</v>
      </c>
      <c r="AQ231" s="5" t="s">
        <v>2185</v>
      </c>
      <c r="AR231" s="5" t="s">
        <v>2185</v>
      </c>
      <c r="AS231" s="142"/>
      <c r="AT231" s="142" t="b">
        <v>0</v>
      </c>
      <c r="AU231" s="142"/>
      <c r="AV231" s="142"/>
      <c r="AW231" s="142"/>
      <c r="AX231" s="142"/>
      <c r="AY231" s="142"/>
      <c r="AZ231" s="174"/>
      <c r="BA231" s="142"/>
      <c r="BB231" s="142"/>
      <c r="BC231" s="142"/>
      <c r="BD231" s="142"/>
      <c r="BE231" s="142"/>
      <c r="BF231" s="142"/>
      <c r="BG231" s="142"/>
    </row>
    <row r="232">
      <c r="A232" s="5" t="s">
        <v>936</v>
      </c>
      <c r="B232" s="44">
        <v>44580.0</v>
      </c>
      <c r="C232" s="150">
        <v>0.43203703703703705</v>
      </c>
      <c r="D232" s="3"/>
      <c r="E232" s="3"/>
      <c r="F232" s="5"/>
      <c r="G232" s="5"/>
      <c r="H232" s="5"/>
      <c r="I232" s="3"/>
      <c r="J232" s="3"/>
      <c r="K232" s="3" t="s">
        <v>52</v>
      </c>
      <c r="L232" s="44">
        <v>44580.0</v>
      </c>
      <c r="M232" s="150">
        <v>0.5073726851851852</v>
      </c>
      <c r="N232" s="5"/>
      <c r="O232" s="5"/>
      <c r="P232" s="10" t="b">
        <v>0</v>
      </c>
      <c r="Q232" s="10" t="s">
        <v>2184</v>
      </c>
      <c r="R232" s="144" t="b">
        <v>1</v>
      </c>
      <c r="S232" s="144">
        <v>1.0</v>
      </c>
      <c r="T232" s="10"/>
      <c r="U232" s="5"/>
      <c r="V232" s="3"/>
      <c r="W232" s="5"/>
      <c r="X232" s="144" t="b">
        <v>0</v>
      </c>
      <c r="Y232" s="10" t="b">
        <v>0</v>
      </c>
      <c r="Z232" s="3"/>
      <c r="AA232" s="10" t="b">
        <v>0</v>
      </c>
      <c r="AB232" s="10" t="b">
        <v>0</v>
      </c>
      <c r="AC232" s="181">
        <v>573.0</v>
      </c>
      <c r="AD232" s="144" t="b">
        <v>0</v>
      </c>
      <c r="AE232" s="182">
        <v>108.48333333333332</v>
      </c>
      <c r="AF232" s="10" t="b">
        <v>0</v>
      </c>
      <c r="AG232" s="10" t="b">
        <v>0</v>
      </c>
      <c r="AH232" s="144"/>
      <c r="AI232" s="3"/>
      <c r="AJ232" s="10"/>
      <c r="AK232" s="3" t="s">
        <v>52</v>
      </c>
      <c r="AL232" s="5"/>
      <c r="AM232" s="5" t="s">
        <v>261</v>
      </c>
      <c r="AN232" s="5" t="s">
        <v>937</v>
      </c>
      <c r="AO232" s="5" t="s">
        <v>2185</v>
      </c>
      <c r="AP232" s="5" t="s">
        <v>2185</v>
      </c>
      <c r="AQ232" s="5" t="s">
        <v>2185</v>
      </c>
      <c r="AR232" s="5" t="s">
        <v>2185</v>
      </c>
      <c r="AS232" s="142"/>
      <c r="AT232" s="142" t="b">
        <v>0</v>
      </c>
      <c r="AU232" s="142"/>
      <c r="AV232" s="142"/>
      <c r="AW232" s="142"/>
      <c r="AX232" s="142"/>
      <c r="AY232" s="142"/>
      <c r="AZ232" s="174"/>
      <c r="BA232" s="142"/>
      <c r="BB232" s="142"/>
      <c r="BC232" s="142"/>
      <c r="BD232" s="142"/>
      <c r="BE232" s="142"/>
      <c r="BF232" s="142"/>
      <c r="BG232" s="142"/>
    </row>
    <row r="233">
      <c r="A233" s="5" t="s">
        <v>939</v>
      </c>
      <c r="B233" s="44">
        <v>44580.0</v>
      </c>
      <c r="C233" s="150">
        <v>0.4405208333333333</v>
      </c>
      <c r="D233" s="3"/>
      <c r="E233" s="3"/>
      <c r="F233" s="5"/>
      <c r="G233" s="5"/>
      <c r="H233" s="5"/>
      <c r="I233" s="3"/>
      <c r="J233" s="3"/>
      <c r="K233" s="3" t="s">
        <v>52</v>
      </c>
      <c r="L233" s="44">
        <v>44580.0</v>
      </c>
      <c r="M233" s="150">
        <v>0.5073726851851852</v>
      </c>
      <c r="N233" s="5"/>
      <c r="O233" s="5"/>
      <c r="P233" s="10" t="b">
        <v>0</v>
      </c>
      <c r="Q233" s="10" t="s">
        <v>2184</v>
      </c>
      <c r="R233" s="144" t="b">
        <v>1</v>
      </c>
      <c r="S233" s="144">
        <v>1.0</v>
      </c>
      <c r="T233" s="10"/>
      <c r="U233" s="5"/>
      <c r="V233" s="3"/>
      <c r="W233" s="5"/>
      <c r="X233" s="144" t="b">
        <v>0</v>
      </c>
      <c r="Y233" s="10" t="b">
        <v>0</v>
      </c>
      <c r="Z233" s="3"/>
      <c r="AA233" s="10" t="b">
        <v>0</v>
      </c>
      <c r="AB233" s="10" t="b">
        <v>0</v>
      </c>
      <c r="AC233" s="181">
        <v>572.0</v>
      </c>
      <c r="AD233" s="144" t="b">
        <v>0</v>
      </c>
      <c r="AE233" s="182">
        <v>96.26666666666671</v>
      </c>
      <c r="AF233" s="10" t="b">
        <v>0</v>
      </c>
      <c r="AG233" s="10" t="b">
        <v>0</v>
      </c>
      <c r="AH233" s="144"/>
      <c r="AI233" s="3"/>
      <c r="AJ233" s="10"/>
      <c r="AK233" s="3" t="s">
        <v>52</v>
      </c>
      <c r="AL233" s="5"/>
      <c r="AM233" s="5" t="s">
        <v>261</v>
      </c>
      <c r="AN233" s="5" t="s">
        <v>893</v>
      </c>
      <c r="AO233" s="5" t="s">
        <v>2185</v>
      </c>
      <c r="AP233" s="5" t="s">
        <v>2185</v>
      </c>
      <c r="AQ233" s="5" t="s">
        <v>2185</v>
      </c>
      <c r="AR233" s="5" t="s">
        <v>2185</v>
      </c>
      <c r="AS233" s="142"/>
      <c r="AT233" s="142" t="b">
        <v>0</v>
      </c>
      <c r="AU233" s="142"/>
      <c r="AV233" s="142"/>
      <c r="AW233" s="142"/>
      <c r="AX233" s="142"/>
      <c r="AY233" s="142"/>
      <c r="AZ233" s="174"/>
      <c r="BA233" s="142"/>
      <c r="BB233" s="142"/>
      <c r="BC233" s="142"/>
      <c r="BD233" s="142"/>
      <c r="BE233" s="142"/>
      <c r="BF233" s="142"/>
      <c r="BG233" s="142"/>
    </row>
    <row r="234">
      <c r="A234" s="5" t="s">
        <v>941</v>
      </c>
      <c r="B234" s="44">
        <v>44580.0</v>
      </c>
      <c r="C234" s="150">
        <v>0.4436689814814815</v>
      </c>
      <c r="D234" s="3"/>
      <c r="E234" s="3"/>
      <c r="F234" s="5"/>
      <c r="G234" s="5"/>
      <c r="H234" s="5"/>
      <c r="I234" s="3"/>
      <c r="J234" s="3"/>
      <c r="K234" s="3" t="s">
        <v>244</v>
      </c>
      <c r="L234" s="44">
        <v>44580.0</v>
      </c>
      <c r="M234" s="150">
        <v>0.5080324074074074</v>
      </c>
      <c r="N234" s="5"/>
      <c r="O234" s="5"/>
      <c r="P234" s="10" t="b">
        <v>0</v>
      </c>
      <c r="Q234" s="10" t="s">
        <v>2184</v>
      </c>
      <c r="R234" s="144" t="b">
        <v>1</v>
      </c>
      <c r="S234" s="144">
        <v>1.0</v>
      </c>
      <c r="T234" s="10"/>
      <c r="U234" s="5"/>
      <c r="V234" s="3"/>
      <c r="W234" s="5"/>
      <c r="X234" s="144" t="b">
        <v>0</v>
      </c>
      <c r="Y234" s="10" t="b">
        <v>0</v>
      </c>
      <c r="Z234" s="3"/>
      <c r="AA234" s="10" t="b">
        <v>0</v>
      </c>
      <c r="AB234" s="10" t="b">
        <v>0</v>
      </c>
      <c r="AC234" s="181">
        <v>542.0</v>
      </c>
      <c r="AD234" s="144" t="b">
        <v>0</v>
      </c>
      <c r="AE234" s="182">
        <v>92.68333333333332</v>
      </c>
      <c r="AF234" s="10" t="b">
        <v>0</v>
      </c>
      <c r="AG234" s="10" t="b">
        <v>0</v>
      </c>
      <c r="AH234" s="144"/>
      <c r="AI234" s="3"/>
      <c r="AJ234" s="10"/>
      <c r="AK234" s="3" t="s">
        <v>244</v>
      </c>
      <c r="AL234" s="5"/>
      <c r="AM234" s="5" t="s">
        <v>261</v>
      </c>
      <c r="AN234" s="5" t="s">
        <v>521</v>
      </c>
      <c r="AO234" s="5" t="s">
        <v>2185</v>
      </c>
      <c r="AP234" s="5" t="s">
        <v>2185</v>
      </c>
      <c r="AQ234" s="5" t="s">
        <v>2185</v>
      </c>
      <c r="AR234" s="5" t="s">
        <v>2185</v>
      </c>
      <c r="AS234" s="142"/>
      <c r="AT234" s="142" t="b">
        <v>0</v>
      </c>
      <c r="AU234" s="142"/>
      <c r="AV234" s="142"/>
      <c r="AW234" s="142"/>
      <c r="AX234" s="142"/>
      <c r="AY234" s="142"/>
      <c r="AZ234" s="174"/>
      <c r="BA234" s="142"/>
      <c r="BB234" s="142"/>
      <c r="BC234" s="142"/>
      <c r="BD234" s="142"/>
      <c r="BE234" s="142"/>
      <c r="BF234" s="142"/>
      <c r="BG234" s="142"/>
    </row>
    <row r="235">
      <c r="A235" s="5" t="s">
        <v>943</v>
      </c>
      <c r="B235" s="44">
        <v>44580.0</v>
      </c>
      <c r="C235" s="150">
        <v>0.4467476851851852</v>
      </c>
      <c r="D235" s="3"/>
      <c r="E235" s="3"/>
      <c r="F235" s="5"/>
      <c r="G235" s="5"/>
      <c r="H235" s="5"/>
      <c r="I235" s="3"/>
      <c r="J235" s="3"/>
      <c r="K235" s="3" t="s">
        <v>244</v>
      </c>
      <c r="L235" s="44">
        <v>44580.0</v>
      </c>
      <c r="M235" s="150">
        <v>0.5080324074074074</v>
      </c>
      <c r="N235" s="5"/>
      <c r="O235" s="5"/>
      <c r="P235" s="10" t="b">
        <v>0</v>
      </c>
      <c r="Q235" s="10" t="s">
        <v>2184</v>
      </c>
      <c r="R235" s="144" t="b">
        <v>1</v>
      </c>
      <c r="S235" s="144">
        <v>1.0</v>
      </c>
      <c r="T235" s="10"/>
      <c r="U235" s="5"/>
      <c r="V235" s="3"/>
      <c r="W235" s="5"/>
      <c r="X235" s="144" t="b">
        <v>0</v>
      </c>
      <c r="Y235" s="10" t="b">
        <v>0</v>
      </c>
      <c r="Z235" s="3"/>
      <c r="AA235" s="10" t="b">
        <v>0</v>
      </c>
      <c r="AB235" s="10" t="b">
        <v>0</v>
      </c>
      <c r="AC235" s="181">
        <v>541.0</v>
      </c>
      <c r="AD235" s="144" t="b">
        <v>0</v>
      </c>
      <c r="AE235" s="182">
        <v>88.24999999999997</v>
      </c>
      <c r="AF235" s="10" t="b">
        <v>0</v>
      </c>
      <c r="AG235" s="10" t="b">
        <v>0</v>
      </c>
      <c r="AH235" s="144"/>
      <c r="AI235" s="3"/>
      <c r="AJ235" s="10"/>
      <c r="AK235" s="3" t="s">
        <v>244</v>
      </c>
      <c r="AL235" s="5"/>
      <c r="AM235" s="5" t="s">
        <v>261</v>
      </c>
      <c r="AN235" s="5" t="s">
        <v>944</v>
      </c>
      <c r="AO235" s="5" t="s">
        <v>2185</v>
      </c>
      <c r="AP235" s="5" t="s">
        <v>2185</v>
      </c>
      <c r="AQ235" s="5" t="s">
        <v>2185</v>
      </c>
      <c r="AR235" s="5" t="s">
        <v>2185</v>
      </c>
      <c r="AS235" s="142"/>
      <c r="AT235" s="142" t="b">
        <v>0</v>
      </c>
      <c r="AU235" s="142"/>
      <c r="AV235" s="142"/>
      <c r="AW235" s="142"/>
      <c r="AX235" s="142"/>
      <c r="AY235" s="142"/>
      <c r="AZ235" s="174"/>
      <c r="BA235" s="142"/>
      <c r="BB235" s="142"/>
      <c r="BC235" s="142"/>
      <c r="BD235" s="142"/>
      <c r="BE235" s="142"/>
      <c r="BF235" s="142"/>
      <c r="BG235" s="142"/>
    </row>
    <row r="236">
      <c r="A236" s="5" t="s">
        <v>946</v>
      </c>
      <c r="B236" s="44">
        <v>44581.0</v>
      </c>
      <c r="C236" s="150">
        <v>0.31288194444444445</v>
      </c>
      <c r="D236" s="3"/>
      <c r="E236" s="3"/>
      <c r="F236" s="5"/>
      <c r="G236" s="5"/>
      <c r="H236" s="5"/>
      <c r="I236" s="3"/>
      <c r="J236" s="3"/>
      <c r="K236" s="3" t="s">
        <v>52</v>
      </c>
      <c r="L236" s="44">
        <v>44582.0</v>
      </c>
      <c r="M236" s="150">
        <v>0.4883912037037037</v>
      </c>
      <c r="N236" s="5"/>
      <c r="O236" s="5"/>
      <c r="P236" s="10" t="b">
        <v>0</v>
      </c>
      <c r="Q236" s="10" t="s">
        <v>2184</v>
      </c>
      <c r="R236" s="144" t="b">
        <v>1</v>
      </c>
      <c r="S236" s="144">
        <v>1.0</v>
      </c>
      <c r="T236" s="10">
        <v>0.0</v>
      </c>
      <c r="U236" s="5"/>
      <c r="V236" s="3"/>
      <c r="W236" s="5"/>
      <c r="X236" s="144" t="b">
        <v>0</v>
      </c>
      <c r="Y236" s="10" t="b">
        <v>0</v>
      </c>
      <c r="Z236" s="3"/>
      <c r="AA236" s="10" t="b">
        <v>0</v>
      </c>
      <c r="AB236" s="10" t="b">
        <v>0</v>
      </c>
      <c r="AC236" s="181">
        <v>540.0</v>
      </c>
      <c r="AD236" s="144" t="b">
        <v>0</v>
      </c>
      <c r="AE236" s="182"/>
      <c r="AF236" s="10" t="b">
        <v>0</v>
      </c>
      <c r="AG236" s="10" t="b">
        <v>0</v>
      </c>
      <c r="AH236" s="144"/>
      <c r="AI236" s="3"/>
      <c r="AJ236" s="10"/>
      <c r="AK236" s="3" t="s">
        <v>52</v>
      </c>
      <c r="AL236" s="5"/>
      <c r="AM236" s="5" t="s">
        <v>793</v>
      </c>
      <c r="AN236" s="5" t="s">
        <v>794</v>
      </c>
      <c r="AO236" s="5" t="s">
        <v>2185</v>
      </c>
      <c r="AP236" s="5" t="s">
        <v>2185</v>
      </c>
      <c r="AQ236" s="5" t="s">
        <v>2185</v>
      </c>
      <c r="AR236" s="5" t="s">
        <v>2185</v>
      </c>
      <c r="AS236" s="142"/>
      <c r="AT236" s="142" t="b">
        <v>0</v>
      </c>
      <c r="AU236" s="142"/>
      <c r="AV236" s="142"/>
      <c r="AW236" s="142"/>
      <c r="AX236" s="142"/>
      <c r="AY236" s="142"/>
      <c r="AZ236" s="174"/>
      <c r="BA236" s="142"/>
      <c r="BB236" s="142"/>
      <c r="BC236" s="142"/>
      <c r="BD236" s="142"/>
      <c r="BE236" s="142"/>
      <c r="BF236" s="142"/>
      <c r="BG236" s="142"/>
    </row>
    <row r="237">
      <c r="A237" s="5" t="s">
        <v>950</v>
      </c>
      <c r="B237" s="44">
        <v>44582.0</v>
      </c>
      <c r="C237" s="150">
        <v>0.26828703703703705</v>
      </c>
      <c r="D237" s="3"/>
      <c r="E237" s="3"/>
      <c r="F237" s="5"/>
      <c r="G237" s="5"/>
      <c r="H237" s="5"/>
      <c r="I237" s="3"/>
      <c r="J237" s="3"/>
      <c r="K237" s="3" t="s">
        <v>244</v>
      </c>
      <c r="L237" s="44">
        <v>44582.0</v>
      </c>
      <c r="M237" s="150">
        <v>0.4883912037037037</v>
      </c>
      <c r="N237" s="5"/>
      <c r="O237" s="5"/>
      <c r="P237" s="10" t="b">
        <v>0</v>
      </c>
      <c r="Q237" s="10" t="s">
        <v>2184</v>
      </c>
      <c r="R237" s="144" t="b">
        <v>1</v>
      </c>
      <c r="S237" s="144">
        <v>1.0</v>
      </c>
      <c r="T237" s="10"/>
      <c r="U237" s="5"/>
      <c r="V237" s="3"/>
      <c r="W237" s="5"/>
      <c r="X237" s="144" t="b">
        <v>0</v>
      </c>
      <c r="Y237" s="10" t="b">
        <v>0</v>
      </c>
      <c r="Z237" s="3"/>
      <c r="AA237" s="10" t="b">
        <v>0</v>
      </c>
      <c r="AB237" s="10" t="b">
        <v>0</v>
      </c>
      <c r="AC237" s="181">
        <v>538.0</v>
      </c>
      <c r="AD237" s="144" t="b">
        <v>0</v>
      </c>
      <c r="AE237" s="182">
        <v>316.95</v>
      </c>
      <c r="AF237" s="10" t="b">
        <v>0</v>
      </c>
      <c r="AG237" s="10" t="b">
        <v>0</v>
      </c>
      <c r="AH237" s="144"/>
      <c r="AI237" s="3"/>
      <c r="AJ237" s="10"/>
      <c r="AK237" s="3" t="s">
        <v>244</v>
      </c>
      <c r="AL237" s="5"/>
      <c r="AM237" s="5" t="s">
        <v>328</v>
      </c>
      <c r="AN237" s="5" t="s">
        <v>329</v>
      </c>
      <c r="AO237" s="5" t="s">
        <v>2185</v>
      </c>
      <c r="AP237" s="5" t="s">
        <v>2185</v>
      </c>
      <c r="AQ237" s="5" t="s">
        <v>2185</v>
      </c>
      <c r="AR237" s="5" t="s">
        <v>2185</v>
      </c>
      <c r="AS237" s="142"/>
      <c r="AT237" s="142" t="b">
        <v>0</v>
      </c>
      <c r="AU237" s="142"/>
      <c r="AV237" s="142"/>
      <c r="AW237" s="142"/>
      <c r="AX237" s="142"/>
      <c r="AY237" s="142"/>
      <c r="AZ237" s="174"/>
      <c r="BA237" s="142"/>
      <c r="BB237" s="142"/>
      <c r="BC237" s="142"/>
      <c r="BD237" s="142"/>
      <c r="BE237" s="142"/>
      <c r="BF237" s="142"/>
      <c r="BG237" s="142"/>
    </row>
    <row r="238">
      <c r="A238" s="5" t="s">
        <v>952</v>
      </c>
      <c r="B238" s="44">
        <v>44582.0</v>
      </c>
      <c r="C238" s="150">
        <v>0.28474537037037034</v>
      </c>
      <c r="D238" s="3"/>
      <c r="E238" s="3"/>
      <c r="F238" s="5"/>
      <c r="G238" s="5"/>
      <c r="H238" s="5"/>
      <c r="I238" s="3"/>
      <c r="J238" s="3"/>
      <c r="K238" s="3" t="s">
        <v>52</v>
      </c>
      <c r="L238" s="44">
        <v>44582.0</v>
      </c>
      <c r="M238" s="150">
        <v>0.4884027777777778</v>
      </c>
      <c r="N238" s="5"/>
      <c r="O238" s="5"/>
      <c r="P238" s="10" t="b">
        <v>0</v>
      </c>
      <c r="Q238" s="10" t="s">
        <v>2184</v>
      </c>
      <c r="R238" s="144" t="b">
        <v>1</v>
      </c>
      <c r="S238" s="144">
        <v>1.0</v>
      </c>
      <c r="T238" s="10"/>
      <c r="U238" s="5"/>
      <c r="V238" s="3"/>
      <c r="W238" s="5"/>
      <c r="X238" s="144" t="b">
        <v>0</v>
      </c>
      <c r="Y238" s="10" t="b">
        <v>0</v>
      </c>
      <c r="Z238" s="3"/>
      <c r="AA238" s="10" t="b">
        <v>0</v>
      </c>
      <c r="AB238" s="10" t="b">
        <v>0</v>
      </c>
      <c r="AC238" s="181">
        <v>537.0</v>
      </c>
      <c r="AD238" s="144" t="b">
        <v>0</v>
      </c>
      <c r="AE238" s="182">
        <v>293.2666666666667</v>
      </c>
      <c r="AF238" s="10" t="b">
        <v>0</v>
      </c>
      <c r="AG238" s="10" t="b">
        <v>0</v>
      </c>
      <c r="AH238" s="144"/>
      <c r="AI238" s="3"/>
      <c r="AJ238" s="10"/>
      <c r="AK238" s="3" t="s">
        <v>52</v>
      </c>
      <c r="AL238" s="5"/>
      <c r="AM238" s="5" t="s">
        <v>850</v>
      </c>
      <c r="AN238" s="5" t="s">
        <v>851</v>
      </c>
      <c r="AO238" s="5" t="s">
        <v>2185</v>
      </c>
      <c r="AP238" s="5" t="s">
        <v>2185</v>
      </c>
      <c r="AQ238" s="5" t="s">
        <v>2185</v>
      </c>
      <c r="AR238" s="5" t="s">
        <v>2185</v>
      </c>
      <c r="AS238" s="142"/>
      <c r="AT238" s="142" t="b">
        <v>0</v>
      </c>
      <c r="AU238" s="142"/>
      <c r="AV238" s="142"/>
      <c r="AW238" s="142"/>
      <c r="AX238" s="142"/>
      <c r="AY238" s="142"/>
      <c r="AZ238" s="174"/>
      <c r="BA238" s="142"/>
      <c r="BB238" s="142"/>
      <c r="BC238" s="142"/>
      <c r="BD238" s="142"/>
      <c r="BE238" s="142"/>
      <c r="BF238" s="142"/>
      <c r="BG238" s="142"/>
    </row>
    <row r="239">
      <c r="A239" s="5" t="s">
        <v>954</v>
      </c>
      <c r="B239" s="44">
        <v>44582.0</v>
      </c>
      <c r="C239" s="150">
        <v>0.28693287037037035</v>
      </c>
      <c r="D239" s="3"/>
      <c r="E239" s="3"/>
      <c r="F239" s="5"/>
      <c r="G239" s="5"/>
      <c r="H239" s="5"/>
      <c r="I239" s="3"/>
      <c r="J239" s="3"/>
      <c r="K239" s="3" t="s">
        <v>52</v>
      </c>
      <c r="L239" s="44">
        <v>44582.0</v>
      </c>
      <c r="M239" s="150">
        <v>0.4884027777777778</v>
      </c>
      <c r="N239" s="5"/>
      <c r="O239" s="5"/>
      <c r="P239" s="10" t="b">
        <v>0</v>
      </c>
      <c r="Q239" s="10" t="s">
        <v>2184</v>
      </c>
      <c r="R239" s="144" t="b">
        <v>1</v>
      </c>
      <c r="S239" s="144">
        <v>1.0</v>
      </c>
      <c r="T239" s="10">
        <v>0.0</v>
      </c>
      <c r="U239" s="5"/>
      <c r="V239" s="3"/>
      <c r="W239" s="5"/>
      <c r="X239" s="144" t="b">
        <v>0</v>
      </c>
      <c r="Y239" s="10" t="b">
        <v>0</v>
      </c>
      <c r="Z239" s="3"/>
      <c r="AA239" s="10" t="b">
        <v>0</v>
      </c>
      <c r="AB239" s="10" t="b">
        <v>0</v>
      </c>
      <c r="AC239" s="181">
        <v>536.0</v>
      </c>
      <c r="AD239" s="144" t="b">
        <v>0</v>
      </c>
      <c r="AE239" s="182">
        <v>290.11666666666673</v>
      </c>
      <c r="AF239" s="10" t="b">
        <v>0</v>
      </c>
      <c r="AG239" s="10" t="b">
        <v>0</v>
      </c>
      <c r="AH239" s="144"/>
      <c r="AI239" s="3"/>
      <c r="AJ239" s="10"/>
      <c r="AK239" s="3" t="s">
        <v>52</v>
      </c>
      <c r="AL239" s="5"/>
      <c r="AM239" s="5" t="s">
        <v>850</v>
      </c>
      <c r="AN239" s="5" t="s">
        <v>955</v>
      </c>
      <c r="AO239" s="5" t="s">
        <v>2185</v>
      </c>
      <c r="AP239" s="5" t="s">
        <v>2185</v>
      </c>
      <c r="AQ239" s="5" t="s">
        <v>2185</v>
      </c>
      <c r="AR239" s="5" t="s">
        <v>2185</v>
      </c>
      <c r="AS239" s="142"/>
      <c r="AT239" s="142" t="b">
        <v>0</v>
      </c>
      <c r="AU239" s="142"/>
      <c r="AV239" s="142"/>
      <c r="AW239" s="142"/>
      <c r="AX239" s="142"/>
      <c r="AY239" s="142"/>
      <c r="AZ239" s="174"/>
      <c r="BA239" s="142"/>
      <c r="BB239" s="142"/>
      <c r="BC239" s="142"/>
      <c r="BD239" s="142"/>
      <c r="BE239" s="142"/>
      <c r="BF239" s="142"/>
      <c r="BG239" s="142"/>
    </row>
    <row r="240">
      <c r="A240" s="5" t="s">
        <v>957</v>
      </c>
      <c r="B240" s="44">
        <v>44582.0</v>
      </c>
      <c r="C240" s="150">
        <v>0.31300925925925926</v>
      </c>
      <c r="D240" s="3"/>
      <c r="E240" s="3"/>
      <c r="F240" s="5"/>
      <c r="G240" s="5"/>
      <c r="H240" s="5"/>
      <c r="I240" s="3"/>
      <c r="J240" s="3"/>
      <c r="K240" s="3" t="s">
        <v>244</v>
      </c>
      <c r="L240" s="44">
        <v>44582.0</v>
      </c>
      <c r="M240" s="150">
        <v>0.4883912037037037</v>
      </c>
      <c r="N240" s="5"/>
      <c r="O240" s="5"/>
      <c r="P240" s="10" t="b">
        <v>0</v>
      </c>
      <c r="Q240" s="10" t="s">
        <v>2184</v>
      </c>
      <c r="R240" s="144" t="b">
        <v>1</v>
      </c>
      <c r="S240" s="144">
        <v>1.0</v>
      </c>
      <c r="T240" s="10"/>
      <c r="U240" s="5"/>
      <c r="V240" s="3"/>
      <c r="W240" s="5"/>
      <c r="X240" s="144" t="b">
        <v>0</v>
      </c>
      <c r="Y240" s="10" t="b">
        <v>0</v>
      </c>
      <c r="Z240" s="3"/>
      <c r="AA240" s="10" t="b">
        <v>0</v>
      </c>
      <c r="AB240" s="10" t="b">
        <v>0</v>
      </c>
      <c r="AC240" s="181">
        <v>535.0</v>
      </c>
      <c r="AD240" s="144" t="b">
        <v>0</v>
      </c>
      <c r="AE240" s="182">
        <v>252.54999999999998</v>
      </c>
      <c r="AF240" s="10" t="b">
        <v>0</v>
      </c>
      <c r="AG240" s="10" t="b">
        <v>0</v>
      </c>
      <c r="AH240" s="144"/>
      <c r="AI240" s="3"/>
      <c r="AJ240" s="10"/>
      <c r="AK240" s="3" t="s">
        <v>244</v>
      </c>
      <c r="AL240" s="5"/>
      <c r="AM240" s="5" t="s">
        <v>649</v>
      </c>
      <c r="AN240" s="5" t="s">
        <v>336</v>
      </c>
      <c r="AO240" s="5" t="s">
        <v>2185</v>
      </c>
      <c r="AP240" s="5" t="s">
        <v>2185</v>
      </c>
      <c r="AQ240" s="5" t="s">
        <v>2185</v>
      </c>
      <c r="AR240" s="5" t="s">
        <v>2185</v>
      </c>
      <c r="AS240" s="142"/>
      <c r="AT240" s="142" t="b">
        <v>0</v>
      </c>
      <c r="AU240" s="142"/>
      <c r="AV240" s="142"/>
      <c r="AW240" s="142"/>
      <c r="AX240" s="142"/>
      <c r="AY240" s="142"/>
      <c r="AZ240" s="174"/>
      <c r="BA240" s="142"/>
      <c r="BB240" s="142"/>
      <c r="BC240" s="142"/>
      <c r="BD240" s="142"/>
      <c r="BE240" s="142"/>
      <c r="BF240" s="142"/>
      <c r="BG240" s="142"/>
    </row>
    <row r="241">
      <c r="A241" s="5" t="s">
        <v>959</v>
      </c>
      <c r="B241" s="44">
        <v>44582.0</v>
      </c>
      <c r="C241" s="150">
        <v>0.3404861111111111</v>
      </c>
      <c r="D241" s="3"/>
      <c r="E241" s="3"/>
      <c r="F241" s="5"/>
      <c r="G241" s="5"/>
      <c r="H241" s="5"/>
      <c r="I241" s="3"/>
      <c r="J241" s="3"/>
      <c r="K241" s="3" t="s">
        <v>244</v>
      </c>
      <c r="L241" s="44">
        <v>44582.0</v>
      </c>
      <c r="M241" s="150">
        <v>0.4883912037037037</v>
      </c>
      <c r="N241" s="5"/>
      <c r="O241" s="5"/>
      <c r="P241" s="10" t="b">
        <v>0</v>
      </c>
      <c r="Q241" s="10" t="s">
        <v>2184</v>
      </c>
      <c r="R241" s="144" t="b">
        <v>1</v>
      </c>
      <c r="S241" s="144">
        <v>1.0</v>
      </c>
      <c r="T241" s="10">
        <v>0.0</v>
      </c>
      <c r="U241" s="5"/>
      <c r="V241" s="3"/>
      <c r="W241" s="5"/>
      <c r="X241" s="144" t="b">
        <v>0</v>
      </c>
      <c r="Y241" s="10" t="b">
        <v>0</v>
      </c>
      <c r="Z241" s="3"/>
      <c r="AA241" s="10" t="b">
        <v>0</v>
      </c>
      <c r="AB241" s="10" t="b">
        <v>0</v>
      </c>
      <c r="AC241" s="181">
        <v>534.0</v>
      </c>
      <c r="AD241" s="144" t="b">
        <v>0</v>
      </c>
      <c r="AE241" s="182">
        <v>212.98333333333335</v>
      </c>
      <c r="AF241" s="10" t="b">
        <v>0</v>
      </c>
      <c r="AG241" s="10" t="b">
        <v>0</v>
      </c>
      <c r="AH241" s="144"/>
      <c r="AI241" s="3"/>
      <c r="AJ241" s="10"/>
      <c r="AK241" s="3" t="s">
        <v>244</v>
      </c>
      <c r="AL241" s="5"/>
      <c r="AM241" s="5" t="s">
        <v>587</v>
      </c>
      <c r="AN241" s="5" t="s">
        <v>960</v>
      </c>
      <c r="AO241" s="5" t="s">
        <v>2185</v>
      </c>
      <c r="AP241" s="5" t="s">
        <v>2185</v>
      </c>
      <c r="AQ241" s="5" t="s">
        <v>2185</v>
      </c>
      <c r="AR241" s="5" t="s">
        <v>2185</v>
      </c>
      <c r="AS241" s="142"/>
      <c r="AT241" s="142" t="b">
        <v>0</v>
      </c>
      <c r="AU241" s="142"/>
      <c r="AV241" s="142"/>
      <c r="AW241" s="142"/>
      <c r="AX241" s="142"/>
      <c r="AY241" s="142"/>
      <c r="AZ241" s="174"/>
      <c r="BA241" s="142"/>
      <c r="BB241" s="142"/>
      <c r="BC241" s="142"/>
      <c r="BD241" s="142"/>
      <c r="BE241" s="142"/>
      <c r="BF241" s="142"/>
      <c r="BG241" s="142"/>
    </row>
    <row r="242">
      <c r="A242" s="5" t="s">
        <v>962</v>
      </c>
      <c r="B242" s="44">
        <v>44582.0</v>
      </c>
      <c r="C242" s="150">
        <v>0.34140046296296295</v>
      </c>
      <c r="D242" s="3"/>
      <c r="E242" s="3"/>
      <c r="F242" s="5"/>
      <c r="G242" s="5"/>
      <c r="H242" s="5"/>
      <c r="I242" s="3"/>
      <c r="J242" s="3"/>
      <c r="K242" s="3" t="s">
        <v>244</v>
      </c>
      <c r="L242" s="44">
        <v>44582.0</v>
      </c>
      <c r="M242" s="150">
        <v>0.4884027777777778</v>
      </c>
      <c r="N242" s="5"/>
      <c r="O242" s="5"/>
      <c r="P242" s="10" t="b">
        <v>0</v>
      </c>
      <c r="Q242" s="10" t="s">
        <v>2184</v>
      </c>
      <c r="R242" s="144" t="b">
        <v>1</v>
      </c>
      <c r="S242" s="144">
        <v>1.0</v>
      </c>
      <c r="T242" s="10"/>
      <c r="U242" s="5"/>
      <c r="V242" s="3"/>
      <c r="W242" s="5"/>
      <c r="X242" s="144" t="b">
        <v>0</v>
      </c>
      <c r="Y242" s="10" t="b">
        <v>0</v>
      </c>
      <c r="Z242" s="3"/>
      <c r="AA242" s="10" t="b">
        <v>0</v>
      </c>
      <c r="AB242" s="10" t="b">
        <v>0</v>
      </c>
      <c r="AC242" s="181">
        <v>533.0</v>
      </c>
      <c r="AD242" s="144" t="b">
        <v>0</v>
      </c>
      <c r="AE242" s="182">
        <v>211.6833333333334</v>
      </c>
      <c r="AF242" s="10" t="b">
        <v>0</v>
      </c>
      <c r="AG242" s="10" t="b">
        <v>0</v>
      </c>
      <c r="AH242" s="144"/>
      <c r="AI242" s="3"/>
      <c r="AJ242" s="10"/>
      <c r="AK242" s="3" t="s">
        <v>244</v>
      </c>
      <c r="AL242" s="5"/>
      <c r="AM242" s="5" t="s">
        <v>587</v>
      </c>
      <c r="AN242" s="5" t="s">
        <v>588</v>
      </c>
      <c r="AO242" s="5" t="s">
        <v>2185</v>
      </c>
      <c r="AP242" s="5" t="s">
        <v>2185</v>
      </c>
      <c r="AQ242" s="5" t="s">
        <v>2185</v>
      </c>
      <c r="AR242" s="5" t="s">
        <v>2185</v>
      </c>
      <c r="AS242" s="142"/>
      <c r="AT242" s="142" t="b">
        <v>0</v>
      </c>
      <c r="AU242" s="142"/>
      <c r="AV242" s="142"/>
      <c r="AW242" s="142"/>
      <c r="AX242" s="142"/>
      <c r="AY242" s="142"/>
      <c r="AZ242" s="174"/>
      <c r="BA242" s="142"/>
      <c r="BB242" s="142"/>
      <c r="BC242" s="142"/>
      <c r="BD242" s="142"/>
      <c r="BE242" s="142"/>
      <c r="BF242" s="142"/>
      <c r="BG242" s="142"/>
    </row>
    <row r="243">
      <c r="A243" s="5" t="s">
        <v>964</v>
      </c>
      <c r="B243" s="44">
        <v>44582.0</v>
      </c>
      <c r="C243" s="150">
        <v>0.35019675925925925</v>
      </c>
      <c r="D243" s="3"/>
      <c r="E243" s="3"/>
      <c r="F243" s="5"/>
      <c r="G243" s="5"/>
      <c r="H243" s="5"/>
      <c r="I243" s="3"/>
      <c r="J243" s="3"/>
      <c r="K243" s="3" t="s">
        <v>244</v>
      </c>
      <c r="L243" s="44">
        <v>44582.0</v>
      </c>
      <c r="M243" s="150">
        <v>0.4884027777777778</v>
      </c>
      <c r="N243" s="5"/>
      <c r="O243" s="5"/>
      <c r="P243" s="10" t="b">
        <v>0</v>
      </c>
      <c r="Q243" s="10" t="s">
        <v>2184</v>
      </c>
      <c r="R243" s="144" t="b">
        <v>1</v>
      </c>
      <c r="S243" s="144">
        <v>1.0</v>
      </c>
      <c r="T243" s="10"/>
      <c r="U243" s="5"/>
      <c r="V243" s="3"/>
      <c r="W243" s="5"/>
      <c r="X243" s="144" t="b">
        <v>0</v>
      </c>
      <c r="Y243" s="10" t="b">
        <v>0</v>
      </c>
      <c r="Z243" s="3"/>
      <c r="AA243" s="10" t="b">
        <v>0</v>
      </c>
      <c r="AB243" s="10" t="b">
        <v>0</v>
      </c>
      <c r="AC243" s="181">
        <v>532.0</v>
      </c>
      <c r="AD243" s="144" t="b">
        <v>0</v>
      </c>
      <c r="AE243" s="182">
        <v>199.0166666666667</v>
      </c>
      <c r="AF243" s="10" t="b">
        <v>0</v>
      </c>
      <c r="AG243" s="10" t="b">
        <v>0</v>
      </c>
      <c r="AH243" s="144"/>
      <c r="AI243" s="3"/>
      <c r="AJ243" s="10"/>
      <c r="AK243" s="3" t="s">
        <v>244</v>
      </c>
      <c r="AL243" s="5"/>
      <c r="AM243" s="5" t="s">
        <v>318</v>
      </c>
      <c r="AN243" s="5" t="s">
        <v>319</v>
      </c>
      <c r="AO243" s="5" t="s">
        <v>2185</v>
      </c>
      <c r="AP243" s="5" t="s">
        <v>2185</v>
      </c>
      <c r="AQ243" s="5" t="s">
        <v>2185</v>
      </c>
      <c r="AR243" s="5" t="s">
        <v>2185</v>
      </c>
      <c r="AS243" s="142"/>
      <c r="AT243" s="142" t="b">
        <v>0</v>
      </c>
      <c r="AU243" s="142"/>
      <c r="AV243" s="142"/>
      <c r="AW243" s="142"/>
      <c r="AX243" s="142"/>
      <c r="AY243" s="142"/>
      <c r="AZ243" s="174"/>
      <c r="BA243" s="142"/>
      <c r="BB243" s="142"/>
      <c r="BC243" s="142"/>
      <c r="BD243" s="142"/>
      <c r="BE243" s="142"/>
      <c r="BF243" s="142"/>
      <c r="BG243" s="142"/>
    </row>
    <row r="244">
      <c r="A244" s="5" t="s">
        <v>966</v>
      </c>
      <c r="B244" s="44">
        <v>44582.0</v>
      </c>
      <c r="C244" s="150">
        <v>0.35087962962962965</v>
      </c>
      <c r="D244" s="3"/>
      <c r="E244" s="3"/>
      <c r="F244" s="5"/>
      <c r="G244" s="5"/>
      <c r="H244" s="5"/>
      <c r="I244" s="183"/>
      <c r="J244" s="3"/>
      <c r="K244" s="3" t="s">
        <v>244</v>
      </c>
      <c r="L244" s="44">
        <v>44582.0</v>
      </c>
      <c r="M244" s="150">
        <v>0.4884027777777778</v>
      </c>
      <c r="N244" s="5" t="s">
        <v>247</v>
      </c>
      <c r="O244" s="5"/>
      <c r="P244" s="10" t="b">
        <v>0</v>
      </c>
      <c r="Q244" s="10" t="s">
        <v>2184</v>
      </c>
      <c r="R244" s="144" t="b">
        <v>1</v>
      </c>
      <c r="S244" s="144">
        <v>1.0</v>
      </c>
      <c r="T244" s="10">
        <v>0.0</v>
      </c>
      <c r="U244" s="5"/>
      <c r="V244" s="3"/>
      <c r="W244" s="5"/>
      <c r="X244" s="144" t="b">
        <v>0</v>
      </c>
      <c r="Y244" s="10" t="b">
        <v>0</v>
      </c>
      <c r="Z244" s="3"/>
      <c r="AA244" s="10" t="b">
        <v>0</v>
      </c>
      <c r="AB244" s="10" t="b">
        <v>0</v>
      </c>
      <c r="AC244" s="181">
        <v>805.0</v>
      </c>
      <c r="AD244" s="144" t="b">
        <v>1</v>
      </c>
      <c r="AE244" s="182">
        <v>198.03333333333333</v>
      </c>
      <c r="AF244" s="10" t="b">
        <v>0</v>
      </c>
      <c r="AG244" s="10" t="b">
        <v>0</v>
      </c>
      <c r="AH244" s="144"/>
      <c r="AI244" s="3"/>
      <c r="AJ244" s="10"/>
      <c r="AK244" s="3" t="s">
        <v>244</v>
      </c>
      <c r="AL244" s="5"/>
      <c r="AM244" s="5" t="s">
        <v>918</v>
      </c>
      <c r="AN244" s="5" t="s">
        <v>886</v>
      </c>
      <c r="AO244" s="5" t="s">
        <v>2185</v>
      </c>
      <c r="AP244" s="5" t="s">
        <v>2185</v>
      </c>
      <c r="AQ244" s="5" t="s">
        <v>2185</v>
      </c>
      <c r="AR244" s="5" t="s">
        <v>2185</v>
      </c>
      <c r="AS244" s="142"/>
      <c r="AT244" s="142" t="b">
        <v>0</v>
      </c>
      <c r="AU244" s="142"/>
      <c r="AV244" s="142"/>
      <c r="AW244" s="142"/>
      <c r="AX244" s="142"/>
      <c r="AY244" s="142"/>
      <c r="AZ244" s="174"/>
      <c r="BA244" s="142"/>
      <c r="BB244" s="142"/>
      <c r="BC244" s="142"/>
      <c r="BD244" s="142"/>
      <c r="BE244" s="142"/>
      <c r="BF244" s="142"/>
      <c r="BG244" s="142"/>
    </row>
    <row r="245">
      <c r="A245" s="5" t="s">
        <v>968</v>
      </c>
      <c r="B245" s="44">
        <v>44582.0</v>
      </c>
      <c r="C245" s="150">
        <v>0.3514351851851852</v>
      </c>
      <c r="D245" s="3"/>
      <c r="E245" s="3"/>
      <c r="F245" s="5"/>
      <c r="G245" s="5"/>
      <c r="H245" s="5"/>
      <c r="I245" s="3"/>
      <c r="J245" s="3"/>
      <c r="K245" s="3" t="s">
        <v>244</v>
      </c>
      <c r="L245" s="44">
        <v>44582.0</v>
      </c>
      <c r="M245" s="150">
        <v>0.4884027777777778</v>
      </c>
      <c r="N245" s="5"/>
      <c r="O245" s="5"/>
      <c r="P245" s="10" t="b">
        <v>0</v>
      </c>
      <c r="Q245" s="10" t="s">
        <v>2184</v>
      </c>
      <c r="R245" s="144" t="b">
        <v>1</v>
      </c>
      <c r="S245" s="144">
        <v>1.0</v>
      </c>
      <c r="T245" s="10"/>
      <c r="U245" s="5"/>
      <c r="V245" s="3"/>
      <c r="W245" s="5"/>
      <c r="X245" s="144" t="b">
        <v>0</v>
      </c>
      <c r="Y245" s="10" t="b">
        <v>0</v>
      </c>
      <c r="Z245" s="3"/>
      <c r="AA245" s="10" t="b">
        <v>0</v>
      </c>
      <c r="AB245" s="10" t="b">
        <v>0</v>
      </c>
      <c r="AC245" s="181">
        <v>531.0</v>
      </c>
      <c r="AD245" s="144" t="b">
        <v>0</v>
      </c>
      <c r="AE245" s="182">
        <v>197.23333333333335</v>
      </c>
      <c r="AF245" s="10" t="b">
        <v>0</v>
      </c>
      <c r="AG245" s="10" t="b">
        <v>0</v>
      </c>
      <c r="AH245" s="144"/>
      <c r="AI245" s="3"/>
      <c r="AJ245" s="10"/>
      <c r="AK245" s="3" t="s">
        <v>244</v>
      </c>
      <c r="AL245" s="5"/>
      <c r="AM245" s="5" t="s">
        <v>633</v>
      </c>
      <c r="AN245" s="5" t="s">
        <v>634</v>
      </c>
      <c r="AO245" s="5" t="s">
        <v>2185</v>
      </c>
      <c r="AP245" s="5" t="s">
        <v>2185</v>
      </c>
      <c r="AQ245" s="5" t="s">
        <v>2185</v>
      </c>
      <c r="AR245" s="5" t="s">
        <v>2185</v>
      </c>
      <c r="AS245" s="142"/>
      <c r="AT245" s="142" t="b">
        <v>0</v>
      </c>
      <c r="AU245" s="142"/>
      <c r="AV245" s="142"/>
      <c r="AW245" s="142"/>
      <c r="AX245" s="142"/>
      <c r="AY245" s="142"/>
      <c r="AZ245" s="174"/>
      <c r="BA245" s="142"/>
      <c r="BB245" s="142"/>
      <c r="BC245" s="142"/>
      <c r="BD245" s="142"/>
      <c r="BE245" s="142"/>
      <c r="BF245" s="142"/>
      <c r="BG245" s="142"/>
    </row>
    <row r="246">
      <c r="A246" s="5" t="s">
        <v>970</v>
      </c>
      <c r="B246" s="44">
        <v>44582.0</v>
      </c>
      <c r="C246" s="150">
        <v>0.3526388888888889</v>
      </c>
      <c r="D246" s="3"/>
      <c r="E246" s="3"/>
      <c r="F246" s="5"/>
      <c r="G246" s="5"/>
      <c r="H246" s="5"/>
      <c r="I246" s="3"/>
      <c r="J246" s="3"/>
      <c r="K246" s="3" t="s">
        <v>52</v>
      </c>
      <c r="L246" s="44">
        <v>44582.0</v>
      </c>
      <c r="M246" s="150">
        <v>0.4884027777777778</v>
      </c>
      <c r="N246" s="5"/>
      <c r="O246" s="5"/>
      <c r="P246" s="10" t="b">
        <v>0</v>
      </c>
      <c r="Q246" s="10" t="s">
        <v>2184</v>
      </c>
      <c r="R246" s="144" t="b">
        <v>1</v>
      </c>
      <c r="S246" s="144">
        <v>1.0</v>
      </c>
      <c r="T246" s="10"/>
      <c r="U246" s="5"/>
      <c r="V246" s="3"/>
      <c r="W246" s="5"/>
      <c r="X246" s="144" t="b">
        <v>0</v>
      </c>
      <c r="Y246" s="10" t="b">
        <v>0</v>
      </c>
      <c r="Z246" s="3"/>
      <c r="AA246" s="10" t="b">
        <v>0</v>
      </c>
      <c r="AB246" s="10" t="b">
        <v>0</v>
      </c>
      <c r="AC246" s="181">
        <v>530.0</v>
      </c>
      <c r="AD246" s="144" t="b">
        <v>0</v>
      </c>
      <c r="AE246" s="182">
        <v>195.50000000000003</v>
      </c>
      <c r="AF246" s="10" t="b">
        <v>0</v>
      </c>
      <c r="AG246" s="10" t="b">
        <v>0</v>
      </c>
      <c r="AH246" s="144"/>
      <c r="AI246" s="3"/>
      <c r="AJ246" s="10"/>
      <c r="AK246" s="3" t="s">
        <v>52</v>
      </c>
      <c r="AL246" s="5"/>
      <c r="AM246" s="5" t="s">
        <v>257</v>
      </c>
      <c r="AN246" s="5" t="s">
        <v>406</v>
      </c>
      <c r="AO246" s="5" t="s">
        <v>2185</v>
      </c>
      <c r="AP246" s="5" t="s">
        <v>2185</v>
      </c>
      <c r="AQ246" s="5" t="s">
        <v>2185</v>
      </c>
      <c r="AR246" s="5" t="s">
        <v>2185</v>
      </c>
      <c r="AS246" s="142"/>
      <c r="AT246" s="142" t="b">
        <v>0</v>
      </c>
      <c r="AU246" s="142"/>
      <c r="AV246" s="142"/>
      <c r="AW246" s="142"/>
      <c r="AX246" s="142"/>
      <c r="AY246" s="142"/>
      <c r="AZ246" s="174"/>
      <c r="BA246" s="142"/>
      <c r="BB246" s="142"/>
      <c r="BC246" s="142"/>
      <c r="BD246" s="142"/>
      <c r="BE246" s="142"/>
      <c r="BF246" s="142"/>
      <c r="BG246" s="142"/>
    </row>
    <row r="247">
      <c r="A247" s="5" t="s">
        <v>972</v>
      </c>
      <c r="B247" s="44">
        <v>44582.0</v>
      </c>
      <c r="C247" s="150">
        <v>0.39038194444444446</v>
      </c>
      <c r="D247" s="3"/>
      <c r="E247" s="3"/>
      <c r="F247" s="5"/>
      <c r="G247" s="5"/>
      <c r="H247" s="5"/>
      <c r="I247" s="3"/>
      <c r="J247" s="3"/>
      <c r="K247" s="3" t="s">
        <v>52</v>
      </c>
      <c r="L247" s="44">
        <v>44582.0</v>
      </c>
      <c r="M247" s="150">
        <v>0.4884027777777778</v>
      </c>
      <c r="N247" s="5"/>
      <c r="O247" s="5"/>
      <c r="P247" s="10" t="b">
        <v>0</v>
      </c>
      <c r="Q247" s="10" t="s">
        <v>2184</v>
      </c>
      <c r="R247" s="144" t="b">
        <v>1</v>
      </c>
      <c r="S247" s="144">
        <v>1.0</v>
      </c>
      <c r="T247" s="10">
        <v>0.0</v>
      </c>
      <c r="U247" s="5"/>
      <c r="V247" s="3"/>
      <c r="W247" s="5"/>
      <c r="X247" s="144" t="b">
        <v>0</v>
      </c>
      <c r="Y247" s="10" t="b">
        <v>0</v>
      </c>
      <c r="Z247" s="3"/>
      <c r="AA247" s="10" t="b">
        <v>0</v>
      </c>
      <c r="AB247" s="10" t="b">
        <v>0</v>
      </c>
      <c r="AC247" s="181">
        <v>529.0</v>
      </c>
      <c r="AD247" s="144" t="b">
        <v>0</v>
      </c>
      <c r="AE247" s="182">
        <v>141.15</v>
      </c>
      <c r="AF247" s="10" t="b">
        <v>0</v>
      </c>
      <c r="AG247" s="10" t="b">
        <v>0</v>
      </c>
      <c r="AH247" s="144"/>
      <c r="AI247" s="3"/>
      <c r="AJ247" s="10"/>
      <c r="AK247" s="3" t="s">
        <v>52</v>
      </c>
      <c r="AL247" s="5"/>
      <c r="AM247" s="5" t="s">
        <v>261</v>
      </c>
      <c r="AN247" s="5" t="s">
        <v>973</v>
      </c>
      <c r="AO247" s="5" t="s">
        <v>2185</v>
      </c>
      <c r="AP247" s="5" t="s">
        <v>2185</v>
      </c>
      <c r="AQ247" s="5" t="s">
        <v>2185</v>
      </c>
      <c r="AR247" s="5" t="s">
        <v>2185</v>
      </c>
      <c r="AS247" s="142"/>
      <c r="AT247" s="142" t="b">
        <v>0</v>
      </c>
      <c r="AU247" s="142"/>
      <c r="AV247" s="142"/>
      <c r="AW247" s="142"/>
      <c r="AX247" s="142"/>
      <c r="AY247" s="142"/>
      <c r="AZ247" s="174"/>
      <c r="BA247" s="142"/>
      <c r="BB247" s="142"/>
      <c r="BC247" s="142"/>
      <c r="BD247" s="142"/>
      <c r="BE247" s="142"/>
      <c r="BF247" s="142"/>
      <c r="BG247" s="142"/>
    </row>
    <row r="248">
      <c r="A248" s="5" t="s">
        <v>975</v>
      </c>
      <c r="B248" s="44">
        <v>44582.0</v>
      </c>
      <c r="C248" s="150">
        <v>0.39101851851851854</v>
      </c>
      <c r="D248" s="3"/>
      <c r="E248" s="3"/>
      <c r="F248" s="5"/>
      <c r="G248" s="5"/>
      <c r="H248" s="5"/>
      <c r="I248" s="3"/>
      <c r="J248" s="3"/>
      <c r="K248" s="3" t="s">
        <v>52</v>
      </c>
      <c r="L248" s="44">
        <v>44582.0</v>
      </c>
      <c r="M248" s="150">
        <v>0.4884027777777778</v>
      </c>
      <c r="N248" s="5"/>
      <c r="O248" s="5"/>
      <c r="P248" s="10" t="b">
        <v>0</v>
      </c>
      <c r="Q248" s="10" t="s">
        <v>2184</v>
      </c>
      <c r="R248" s="144" t="b">
        <v>1</v>
      </c>
      <c r="S248" s="144">
        <v>1.0</v>
      </c>
      <c r="T248" s="10">
        <v>1.0</v>
      </c>
      <c r="U248" s="5"/>
      <c r="V248" s="3"/>
      <c r="W248" s="5"/>
      <c r="X248" s="144" t="b">
        <v>0</v>
      </c>
      <c r="Y248" s="10" t="b">
        <v>0</v>
      </c>
      <c r="Z248" s="3"/>
      <c r="AA248" s="10" t="b">
        <v>0</v>
      </c>
      <c r="AB248" s="10" t="b">
        <v>0</v>
      </c>
      <c r="AC248" s="181">
        <v>528.0</v>
      </c>
      <c r="AD248" s="144" t="b">
        <v>0</v>
      </c>
      <c r="AE248" s="182">
        <v>140.23333333333332</v>
      </c>
      <c r="AF248" s="10" t="b">
        <v>0</v>
      </c>
      <c r="AG248" s="10" t="b">
        <v>0</v>
      </c>
      <c r="AH248" s="144"/>
      <c r="AI248" s="3"/>
      <c r="AJ248" s="10"/>
      <c r="AK248" s="3" t="s">
        <v>52</v>
      </c>
      <c r="AL248" s="5"/>
      <c r="AM248" s="5" t="s">
        <v>261</v>
      </c>
      <c r="AN248" s="5" t="s">
        <v>976</v>
      </c>
      <c r="AO248" s="5" t="s">
        <v>2185</v>
      </c>
      <c r="AP248" s="5" t="s">
        <v>2185</v>
      </c>
      <c r="AQ248" s="5" t="s">
        <v>2185</v>
      </c>
      <c r="AR248" s="5" t="s">
        <v>2185</v>
      </c>
      <c r="AS248" s="142"/>
      <c r="AT248" s="142" t="b">
        <v>0</v>
      </c>
      <c r="AU248" s="142"/>
      <c r="AV248" s="142"/>
      <c r="AW248" s="142"/>
      <c r="AX248" s="142"/>
      <c r="AY248" s="142"/>
      <c r="AZ248" s="174"/>
      <c r="BA248" s="142"/>
      <c r="BB248" s="142"/>
      <c r="BC248" s="142"/>
      <c r="BD248" s="142"/>
      <c r="BE248" s="142"/>
      <c r="BF248" s="142"/>
      <c r="BG248" s="142"/>
    </row>
    <row r="249">
      <c r="A249" s="5" t="s">
        <v>978</v>
      </c>
      <c r="B249" s="44">
        <v>44582.0</v>
      </c>
      <c r="C249" s="150">
        <v>0.39101851851851854</v>
      </c>
      <c r="D249" s="3"/>
      <c r="E249" s="3"/>
      <c r="F249" s="5"/>
      <c r="G249" s="5"/>
      <c r="H249" s="5"/>
      <c r="I249" s="3"/>
      <c r="J249" s="3"/>
      <c r="K249" s="3" t="s">
        <v>52</v>
      </c>
      <c r="L249" s="44">
        <v>44582.0</v>
      </c>
      <c r="M249" s="150">
        <v>0.4884027777777778</v>
      </c>
      <c r="N249" s="5"/>
      <c r="O249" s="5"/>
      <c r="P249" s="10" t="s">
        <v>2187</v>
      </c>
      <c r="Q249" s="10" t="s">
        <v>2187</v>
      </c>
      <c r="R249" s="144" t="b">
        <v>1</v>
      </c>
      <c r="S249" s="144">
        <v>1.0</v>
      </c>
      <c r="T249" s="10">
        <v>1.0</v>
      </c>
      <c r="U249" s="5"/>
      <c r="V249" s="3"/>
      <c r="W249" s="5"/>
      <c r="X249" s="144" t="b">
        <v>0</v>
      </c>
      <c r="Y249" s="10" t="b">
        <v>0</v>
      </c>
      <c r="Z249" s="3"/>
      <c r="AA249" s="10" t="b">
        <v>0</v>
      </c>
      <c r="AB249" s="10" t="b">
        <v>0</v>
      </c>
      <c r="AC249" s="181">
        <v>528.0</v>
      </c>
      <c r="AD249" s="144" t="b">
        <v>0</v>
      </c>
      <c r="AE249" s="182">
        <v>140.23333333333332</v>
      </c>
      <c r="AF249" s="10" t="b">
        <v>0</v>
      </c>
      <c r="AG249" s="10" t="b">
        <v>0</v>
      </c>
      <c r="AH249" s="144"/>
      <c r="AI249" s="3">
        <v>1.3</v>
      </c>
      <c r="AJ249" s="10"/>
      <c r="AK249" s="3" t="s">
        <v>52</v>
      </c>
      <c r="AL249" s="5" t="s">
        <v>979</v>
      </c>
      <c r="AM249" s="5" t="s">
        <v>261</v>
      </c>
      <c r="AN249" s="5" t="s">
        <v>675</v>
      </c>
      <c r="AO249" s="5" t="s">
        <v>2185</v>
      </c>
      <c r="AP249" s="5" t="s">
        <v>2185</v>
      </c>
      <c r="AQ249" s="5" t="s">
        <v>2185</v>
      </c>
      <c r="AR249" s="5" t="s">
        <v>2185</v>
      </c>
      <c r="AS249" s="142"/>
      <c r="AT249" s="142" t="b">
        <v>0</v>
      </c>
      <c r="AU249" s="142"/>
      <c r="AV249" s="142"/>
      <c r="AW249" s="142"/>
      <c r="AX249" s="142"/>
      <c r="AY249" s="142"/>
      <c r="AZ249" s="174"/>
      <c r="BA249" s="142"/>
      <c r="BB249" s="142"/>
      <c r="BC249" s="142"/>
      <c r="BD249" s="142"/>
      <c r="BE249" s="142"/>
      <c r="BF249" s="142"/>
      <c r="BG249" s="142"/>
    </row>
    <row r="250">
      <c r="A250" s="5" t="s">
        <v>981</v>
      </c>
      <c r="B250" s="44">
        <v>44582.0</v>
      </c>
      <c r="C250" s="150">
        <v>0.3978009259259259</v>
      </c>
      <c r="D250" s="3"/>
      <c r="E250" s="3"/>
      <c r="F250" s="5"/>
      <c r="G250" s="5"/>
      <c r="H250" s="5"/>
      <c r="I250" s="3"/>
      <c r="J250" s="3"/>
      <c r="K250" s="3" t="s">
        <v>52</v>
      </c>
      <c r="L250" s="44">
        <v>44582.0</v>
      </c>
      <c r="M250" s="150">
        <v>0.4884027777777778</v>
      </c>
      <c r="N250" s="5"/>
      <c r="O250" s="5"/>
      <c r="P250" s="10" t="b">
        <v>0</v>
      </c>
      <c r="Q250" s="10" t="s">
        <v>2184</v>
      </c>
      <c r="R250" s="144" t="b">
        <v>1</v>
      </c>
      <c r="S250" s="144">
        <v>1.0</v>
      </c>
      <c r="T250" s="10"/>
      <c r="U250" s="5"/>
      <c r="V250" s="3"/>
      <c r="W250" s="5"/>
      <c r="X250" s="144" t="b">
        <v>0</v>
      </c>
      <c r="Y250" s="10" t="b">
        <v>0</v>
      </c>
      <c r="Z250" s="3"/>
      <c r="AA250" s="10" t="b">
        <v>0</v>
      </c>
      <c r="AB250" s="10" t="b">
        <v>0</v>
      </c>
      <c r="AC250" s="181">
        <v>527.0</v>
      </c>
      <c r="AD250" s="144" t="b">
        <v>0</v>
      </c>
      <c r="AE250" s="182">
        <v>130.4666666666667</v>
      </c>
      <c r="AF250" s="10" t="b">
        <v>0</v>
      </c>
      <c r="AG250" s="10" t="b">
        <v>0</v>
      </c>
      <c r="AH250" s="144"/>
      <c r="AI250" s="3"/>
      <c r="AJ250" s="10"/>
      <c r="AK250" s="3" t="s">
        <v>52</v>
      </c>
      <c r="AL250" s="5"/>
      <c r="AM250" s="5" t="s">
        <v>982</v>
      </c>
      <c r="AN250" s="5" t="s">
        <v>983</v>
      </c>
      <c r="AO250" s="5" t="s">
        <v>2185</v>
      </c>
      <c r="AP250" s="5" t="s">
        <v>2185</v>
      </c>
      <c r="AQ250" s="5" t="s">
        <v>2185</v>
      </c>
      <c r="AR250" s="5" t="s">
        <v>2185</v>
      </c>
      <c r="AS250" s="142"/>
      <c r="AT250" s="142" t="b">
        <v>0</v>
      </c>
      <c r="AU250" s="142"/>
      <c r="AV250" s="142"/>
      <c r="AW250" s="142"/>
      <c r="AX250" s="142"/>
      <c r="AY250" s="142"/>
      <c r="AZ250" s="174"/>
      <c r="BA250" s="142"/>
      <c r="BB250" s="142"/>
      <c r="BC250" s="142"/>
      <c r="BD250" s="142"/>
      <c r="BE250" s="142"/>
      <c r="BF250" s="142"/>
      <c r="BG250" s="142"/>
    </row>
    <row r="251">
      <c r="A251" s="5" t="s">
        <v>991</v>
      </c>
      <c r="B251" s="44">
        <v>44585.0</v>
      </c>
      <c r="C251" s="150">
        <v>0.29939814814814814</v>
      </c>
      <c r="D251" s="3"/>
      <c r="E251" s="3"/>
      <c r="F251" s="5"/>
      <c r="G251" s="5"/>
      <c r="H251" s="5"/>
      <c r="I251" s="3"/>
      <c r="J251" s="3"/>
      <c r="K251" s="3" t="s">
        <v>244</v>
      </c>
      <c r="L251" s="44">
        <v>44585.0</v>
      </c>
      <c r="M251" s="150">
        <v>0.4705902777777778</v>
      </c>
      <c r="N251" s="5"/>
      <c r="O251" s="5"/>
      <c r="P251" s="10" t="b">
        <v>0</v>
      </c>
      <c r="Q251" s="10" t="s">
        <v>2184</v>
      </c>
      <c r="R251" s="144" t="b">
        <v>1</v>
      </c>
      <c r="S251" s="144">
        <v>1.0</v>
      </c>
      <c r="T251" s="10"/>
      <c r="U251" s="5"/>
      <c r="V251" s="3"/>
      <c r="W251" s="5"/>
      <c r="X251" s="144" t="b">
        <v>0</v>
      </c>
      <c r="Y251" s="10" t="b">
        <v>0</v>
      </c>
      <c r="Z251" s="3"/>
      <c r="AA251" s="10" t="b">
        <v>0</v>
      </c>
      <c r="AB251" s="10" t="b">
        <v>0</v>
      </c>
      <c r="AC251" s="181">
        <v>523.0</v>
      </c>
      <c r="AD251" s="144" t="b">
        <v>0</v>
      </c>
      <c r="AE251" s="182">
        <v>246.51666666666668</v>
      </c>
      <c r="AF251" s="10" t="b">
        <v>0</v>
      </c>
      <c r="AG251" s="10" t="b">
        <v>0</v>
      </c>
      <c r="AH251" s="144"/>
      <c r="AI251" s="3"/>
      <c r="AJ251" s="10"/>
      <c r="AK251" s="3" t="s">
        <v>244</v>
      </c>
      <c r="AL251" s="5"/>
      <c r="AM251" s="5" t="s">
        <v>587</v>
      </c>
      <c r="AN251" s="5" t="s">
        <v>588</v>
      </c>
      <c r="AO251" s="5" t="s">
        <v>2185</v>
      </c>
      <c r="AP251" s="5" t="s">
        <v>2185</v>
      </c>
      <c r="AQ251" s="5" t="s">
        <v>2185</v>
      </c>
      <c r="AR251" s="5" t="s">
        <v>2185</v>
      </c>
      <c r="AS251" s="142"/>
      <c r="AT251" s="142" t="b">
        <v>0</v>
      </c>
      <c r="AU251" s="142"/>
      <c r="AV251" s="142"/>
      <c r="AW251" s="142"/>
      <c r="AX251" s="142"/>
      <c r="AY251" s="142"/>
      <c r="AZ251" s="174"/>
      <c r="BA251" s="142"/>
      <c r="BB251" s="142"/>
      <c r="BC251" s="142"/>
      <c r="BD251" s="142"/>
      <c r="BE251" s="142"/>
      <c r="BF251" s="142"/>
      <c r="BG251" s="142"/>
    </row>
    <row r="252">
      <c r="A252" s="5" t="s">
        <v>993</v>
      </c>
      <c r="B252" s="44">
        <v>44585.0</v>
      </c>
      <c r="C252" s="150">
        <v>0.30181712962962964</v>
      </c>
      <c r="D252" s="3"/>
      <c r="E252" s="3"/>
      <c r="F252" s="5"/>
      <c r="G252" s="5"/>
      <c r="H252" s="5"/>
      <c r="I252" s="3"/>
      <c r="J252" s="3"/>
      <c r="K252" s="3" t="s">
        <v>244</v>
      </c>
      <c r="L252" s="44">
        <v>44585.0</v>
      </c>
      <c r="M252" s="150">
        <v>0.4705902777777778</v>
      </c>
      <c r="N252" s="5"/>
      <c r="O252" s="5"/>
      <c r="P252" s="10" t="b">
        <v>0</v>
      </c>
      <c r="Q252" s="10" t="s">
        <v>2184</v>
      </c>
      <c r="R252" s="144" t="b">
        <v>1</v>
      </c>
      <c r="S252" s="144">
        <v>1.0</v>
      </c>
      <c r="T252" s="10">
        <v>0.0</v>
      </c>
      <c r="U252" s="5"/>
      <c r="V252" s="3"/>
      <c r="W252" s="5"/>
      <c r="X252" s="144" t="b">
        <v>0</v>
      </c>
      <c r="Y252" s="10" t="b">
        <v>0</v>
      </c>
      <c r="Z252" s="3"/>
      <c r="AA252" s="10" t="b">
        <v>0</v>
      </c>
      <c r="AB252" s="10" t="b">
        <v>0</v>
      </c>
      <c r="AC252" s="181">
        <v>522.0</v>
      </c>
      <c r="AD252" s="144" t="b">
        <v>0</v>
      </c>
      <c r="AE252" s="182">
        <v>243.03333333333333</v>
      </c>
      <c r="AF252" s="10" t="b">
        <v>0</v>
      </c>
      <c r="AG252" s="10" t="b">
        <v>0</v>
      </c>
      <c r="AH252" s="144"/>
      <c r="AI252" s="3"/>
      <c r="AJ252" s="10"/>
      <c r="AK252" s="3" t="s">
        <v>244</v>
      </c>
      <c r="AL252" s="5"/>
      <c r="AM252" s="5" t="s">
        <v>587</v>
      </c>
      <c r="AN252" s="5" t="s">
        <v>960</v>
      </c>
      <c r="AO252" s="5" t="s">
        <v>2185</v>
      </c>
      <c r="AP252" s="5" t="s">
        <v>2185</v>
      </c>
      <c r="AQ252" s="5" t="s">
        <v>2185</v>
      </c>
      <c r="AR252" s="5" t="s">
        <v>2185</v>
      </c>
      <c r="AS252" s="142"/>
      <c r="AT252" s="142" t="b">
        <v>0</v>
      </c>
      <c r="AU252" s="142"/>
      <c r="AV252" s="142"/>
      <c r="AW252" s="142"/>
      <c r="AX252" s="142"/>
      <c r="AY252" s="142"/>
      <c r="AZ252" s="174"/>
      <c r="BA252" s="142"/>
      <c r="BB252" s="142"/>
      <c r="BC252" s="142"/>
      <c r="BD252" s="142"/>
      <c r="BE252" s="142"/>
      <c r="BF252" s="142"/>
      <c r="BG252" s="142"/>
    </row>
    <row r="253">
      <c r="A253" s="5" t="s">
        <v>995</v>
      </c>
      <c r="B253" s="44">
        <v>44585.0</v>
      </c>
      <c r="C253" s="150">
        <v>0.3030555555555556</v>
      </c>
      <c r="D253" s="3"/>
      <c r="E253" s="3"/>
      <c r="F253" s="5"/>
      <c r="G253" s="5"/>
      <c r="H253" s="5"/>
      <c r="I253" s="3"/>
      <c r="J253" s="3"/>
      <c r="K253" s="3" t="s">
        <v>52</v>
      </c>
      <c r="L253" s="44">
        <v>44587.0</v>
      </c>
      <c r="M253" s="150">
        <v>0.5008796296296296</v>
      </c>
      <c r="N253" s="5"/>
      <c r="O253" s="5"/>
      <c r="P253" s="10" t="b">
        <v>0</v>
      </c>
      <c r="Q253" s="10" t="s">
        <v>2184</v>
      </c>
      <c r="R253" s="144" t="b">
        <v>1</v>
      </c>
      <c r="S253" s="144">
        <v>1.0</v>
      </c>
      <c r="T253" s="10">
        <v>0.0</v>
      </c>
      <c r="U253" s="5"/>
      <c r="V253" s="3"/>
      <c r="W253" s="5"/>
      <c r="X253" s="144" t="b">
        <v>0</v>
      </c>
      <c r="Y253" s="10" t="b">
        <v>0</v>
      </c>
      <c r="Z253" s="3"/>
      <c r="AA253" s="10" t="b">
        <v>0</v>
      </c>
      <c r="AB253" s="10" t="b">
        <v>0</v>
      </c>
      <c r="AC253" s="181">
        <v>521.0</v>
      </c>
      <c r="AD253" s="144" t="b">
        <v>0</v>
      </c>
      <c r="AE253" s="182"/>
      <c r="AF253" s="10" t="b">
        <v>0</v>
      </c>
      <c r="AG253" s="10" t="b">
        <v>0</v>
      </c>
      <c r="AH253" s="144"/>
      <c r="AI253" s="3"/>
      <c r="AJ253" s="10"/>
      <c r="AK253" s="3" t="s">
        <v>52</v>
      </c>
      <c r="AL253" s="5"/>
      <c r="AM253" s="5" t="s">
        <v>593</v>
      </c>
      <c r="AN253" s="5" t="s">
        <v>996</v>
      </c>
      <c r="AO253" s="5" t="s">
        <v>2185</v>
      </c>
      <c r="AP253" s="5" t="s">
        <v>2185</v>
      </c>
      <c r="AQ253" s="5" t="s">
        <v>2185</v>
      </c>
      <c r="AR253" s="5" t="s">
        <v>2185</v>
      </c>
      <c r="AS253" s="142"/>
      <c r="AT253" s="142" t="b">
        <v>0</v>
      </c>
      <c r="AU253" s="142"/>
      <c r="AV253" s="142"/>
      <c r="AW253" s="142"/>
      <c r="AX253" s="142"/>
      <c r="AY253" s="142"/>
      <c r="AZ253" s="174"/>
      <c r="BA253" s="142"/>
      <c r="BB253" s="142"/>
      <c r="BC253" s="142"/>
      <c r="BD253" s="142"/>
      <c r="BE253" s="142"/>
      <c r="BF253" s="142"/>
      <c r="BG253" s="142"/>
    </row>
    <row r="254">
      <c r="A254" s="5" t="s">
        <v>998</v>
      </c>
      <c r="B254" s="44">
        <v>44585.0</v>
      </c>
      <c r="C254" s="150">
        <v>0.3088310185185185</v>
      </c>
      <c r="D254" s="3"/>
      <c r="E254" s="3"/>
      <c r="F254" s="5"/>
      <c r="G254" s="5"/>
      <c r="H254" s="5"/>
      <c r="I254" s="3"/>
      <c r="J254" s="3"/>
      <c r="K254" s="3" t="s">
        <v>244</v>
      </c>
      <c r="L254" s="44">
        <v>44585.0</v>
      </c>
      <c r="M254" s="150">
        <v>0.46827546296296296</v>
      </c>
      <c r="N254" s="5"/>
      <c r="O254" s="5"/>
      <c r="P254" s="10" t="b">
        <v>0</v>
      </c>
      <c r="Q254" s="10" t="s">
        <v>2184</v>
      </c>
      <c r="R254" s="144" t="b">
        <v>1</v>
      </c>
      <c r="S254" s="144">
        <v>1.0</v>
      </c>
      <c r="T254" s="10"/>
      <c r="U254" s="5"/>
      <c r="V254" s="3"/>
      <c r="W254" s="5"/>
      <c r="X254" s="144" t="b">
        <v>0</v>
      </c>
      <c r="Y254" s="10" t="b">
        <v>0</v>
      </c>
      <c r="Z254" s="3"/>
      <c r="AA254" s="10" t="b">
        <v>0</v>
      </c>
      <c r="AB254" s="10" t="b">
        <v>0</v>
      </c>
      <c r="AC254" s="181">
        <v>520.0</v>
      </c>
      <c r="AD254" s="144" t="b">
        <v>0</v>
      </c>
      <c r="AE254" s="182">
        <v>229.6</v>
      </c>
      <c r="AF254" s="10" t="b">
        <v>0</v>
      </c>
      <c r="AG254" s="10" t="b">
        <v>0</v>
      </c>
      <c r="AH254" s="144"/>
      <c r="AI254" s="3"/>
      <c r="AJ254" s="10"/>
      <c r="AK254" s="3" t="s">
        <v>244</v>
      </c>
      <c r="AL254" s="5"/>
      <c r="AM254" s="5" t="s">
        <v>356</v>
      </c>
      <c r="AN254" s="5" t="s">
        <v>357</v>
      </c>
      <c r="AO254" s="5" t="s">
        <v>2185</v>
      </c>
      <c r="AP254" s="5" t="s">
        <v>2185</v>
      </c>
      <c r="AQ254" s="5" t="s">
        <v>2185</v>
      </c>
      <c r="AR254" s="5" t="s">
        <v>2185</v>
      </c>
      <c r="AS254" s="142"/>
      <c r="AT254" s="142" t="b">
        <v>0</v>
      </c>
      <c r="AU254" s="142"/>
      <c r="AV254" s="142"/>
      <c r="AW254" s="142"/>
      <c r="AX254" s="142"/>
      <c r="AY254" s="142"/>
      <c r="AZ254" s="174"/>
      <c r="BA254" s="142"/>
      <c r="BB254" s="142"/>
      <c r="BC254" s="142"/>
      <c r="BD254" s="142"/>
      <c r="BE254" s="142"/>
      <c r="BF254" s="142"/>
      <c r="BG254" s="142"/>
    </row>
    <row r="255">
      <c r="A255" s="5" t="s">
        <v>1000</v>
      </c>
      <c r="B255" s="44">
        <v>44585.0</v>
      </c>
      <c r="C255" s="150">
        <v>0.3161921296296296</v>
      </c>
      <c r="D255" s="3"/>
      <c r="E255" s="3"/>
      <c r="F255" s="5"/>
      <c r="G255" s="5"/>
      <c r="H255" s="5"/>
      <c r="I255" s="3"/>
      <c r="J255" s="3"/>
      <c r="K255" s="3" t="s">
        <v>244</v>
      </c>
      <c r="L255" s="44">
        <v>44585.0</v>
      </c>
      <c r="M255" s="150">
        <v>0.46827546296296296</v>
      </c>
      <c r="N255" s="5"/>
      <c r="O255" s="5"/>
      <c r="P255" s="10" t="b">
        <v>0</v>
      </c>
      <c r="Q255" s="10" t="s">
        <v>2184</v>
      </c>
      <c r="R255" s="144" t="b">
        <v>1</v>
      </c>
      <c r="S255" s="144">
        <v>1.0</v>
      </c>
      <c r="T255" s="10"/>
      <c r="U255" s="5"/>
      <c r="V255" s="3"/>
      <c r="W255" s="5"/>
      <c r="X255" s="144" t="b">
        <v>0</v>
      </c>
      <c r="Y255" s="10" t="b">
        <v>0</v>
      </c>
      <c r="Z255" s="3"/>
      <c r="AA255" s="10" t="b">
        <v>0</v>
      </c>
      <c r="AB255" s="10" t="b">
        <v>0</v>
      </c>
      <c r="AC255" s="181">
        <v>519.0</v>
      </c>
      <c r="AD255" s="144" t="b">
        <v>0</v>
      </c>
      <c r="AE255" s="182">
        <v>219.00000000000003</v>
      </c>
      <c r="AF255" s="10" t="b">
        <v>0</v>
      </c>
      <c r="AG255" s="10" t="b">
        <v>0</v>
      </c>
      <c r="AH255" s="144"/>
      <c r="AI255" s="3"/>
      <c r="AJ255" s="10"/>
      <c r="AK255" s="3" t="s">
        <v>244</v>
      </c>
      <c r="AL255" s="5"/>
      <c r="AM255" s="5" t="s">
        <v>295</v>
      </c>
      <c r="AN255" s="5" t="s">
        <v>296</v>
      </c>
      <c r="AO255" s="5" t="s">
        <v>2185</v>
      </c>
      <c r="AP255" s="5" t="s">
        <v>2185</v>
      </c>
      <c r="AQ255" s="5" t="s">
        <v>2185</v>
      </c>
      <c r="AR255" s="5" t="s">
        <v>2185</v>
      </c>
      <c r="AS255" s="142"/>
      <c r="AT255" s="142" t="b">
        <v>0</v>
      </c>
      <c r="AU255" s="142"/>
      <c r="AV255" s="142"/>
      <c r="AW255" s="142"/>
      <c r="AX255" s="142"/>
      <c r="AY255" s="142"/>
      <c r="AZ255" s="174"/>
      <c r="BA255" s="142"/>
      <c r="BB255" s="142"/>
      <c r="BC255" s="142"/>
      <c r="BD255" s="142"/>
      <c r="BE255" s="142"/>
      <c r="BF255" s="142"/>
      <c r="BG255" s="142"/>
    </row>
    <row r="256">
      <c r="A256" s="5" t="s">
        <v>1002</v>
      </c>
      <c r="B256" s="44">
        <v>44585.0</v>
      </c>
      <c r="C256" s="150">
        <v>0.31993055555555555</v>
      </c>
      <c r="D256" s="3"/>
      <c r="E256" s="3"/>
      <c r="F256" s="5"/>
      <c r="G256" s="5"/>
      <c r="H256" s="5"/>
      <c r="I256" s="3"/>
      <c r="J256" s="3"/>
      <c r="K256" s="3" t="s">
        <v>244</v>
      </c>
      <c r="L256" s="44">
        <v>44585.0</v>
      </c>
      <c r="M256" s="150">
        <v>0.4705902777777778</v>
      </c>
      <c r="N256" s="5"/>
      <c r="O256" s="5"/>
      <c r="P256" s="10" t="b">
        <v>0</v>
      </c>
      <c r="Q256" s="10" t="s">
        <v>2184</v>
      </c>
      <c r="R256" s="144" t="b">
        <v>1</v>
      </c>
      <c r="S256" s="144">
        <v>1.0</v>
      </c>
      <c r="T256" s="10"/>
      <c r="U256" s="5"/>
      <c r="V256" s="3"/>
      <c r="W256" s="5"/>
      <c r="X256" s="144" t="b">
        <v>0</v>
      </c>
      <c r="Y256" s="10" t="b">
        <v>0</v>
      </c>
      <c r="Z256" s="3"/>
      <c r="AA256" s="10" t="b">
        <v>0</v>
      </c>
      <c r="AB256" s="10" t="b">
        <v>0</v>
      </c>
      <c r="AC256" s="181">
        <v>518.0</v>
      </c>
      <c r="AD256" s="144" t="b">
        <v>0</v>
      </c>
      <c r="AE256" s="182">
        <v>216.95000000000002</v>
      </c>
      <c r="AF256" s="10" t="b">
        <v>0</v>
      </c>
      <c r="AG256" s="10" t="b">
        <v>0</v>
      </c>
      <c r="AH256" s="144"/>
      <c r="AI256" s="3"/>
      <c r="AJ256" s="10"/>
      <c r="AK256" s="3" t="s">
        <v>244</v>
      </c>
      <c r="AL256" s="5"/>
      <c r="AM256" s="5" t="s">
        <v>299</v>
      </c>
      <c r="AN256" s="5" t="s">
        <v>300</v>
      </c>
      <c r="AO256" s="5" t="s">
        <v>2185</v>
      </c>
      <c r="AP256" s="5" t="s">
        <v>2185</v>
      </c>
      <c r="AQ256" s="5" t="s">
        <v>2185</v>
      </c>
      <c r="AR256" s="5" t="s">
        <v>2185</v>
      </c>
      <c r="AS256" s="142"/>
      <c r="AT256" s="142" t="b">
        <v>0</v>
      </c>
      <c r="AU256" s="142"/>
      <c r="AV256" s="142"/>
      <c r="AW256" s="142"/>
      <c r="AX256" s="142"/>
      <c r="AY256" s="142"/>
      <c r="AZ256" s="174"/>
      <c r="BA256" s="142"/>
      <c r="BB256" s="142"/>
      <c r="BC256" s="142"/>
      <c r="BD256" s="142"/>
      <c r="BE256" s="142"/>
      <c r="BF256" s="142"/>
      <c r="BG256" s="142"/>
    </row>
    <row r="257">
      <c r="A257" s="5" t="s">
        <v>1004</v>
      </c>
      <c r="B257" s="44">
        <v>44585.0</v>
      </c>
      <c r="C257" s="150">
        <v>0.3261689814814815</v>
      </c>
      <c r="D257" s="3"/>
      <c r="E257" s="3"/>
      <c r="F257" s="5"/>
      <c r="G257" s="5"/>
      <c r="H257" s="5"/>
      <c r="I257" s="3"/>
      <c r="J257" s="3"/>
      <c r="K257" s="3" t="s">
        <v>244</v>
      </c>
      <c r="L257" s="44">
        <v>44585.0</v>
      </c>
      <c r="M257" s="150">
        <v>0.4705902777777778</v>
      </c>
      <c r="N257" s="5"/>
      <c r="O257" s="5"/>
      <c r="P257" s="10" t="b">
        <v>0</v>
      </c>
      <c r="Q257" s="10" t="s">
        <v>2184</v>
      </c>
      <c r="R257" s="144" t="b">
        <v>1</v>
      </c>
      <c r="S257" s="144">
        <v>1.0</v>
      </c>
      <c r="T257" s="10"/>
      <c r="U257" s="5"/>
      <c r="V257" s="3"/>
      <c r="W257" s="5"/>
      <c r="X257" s="144" t="b">
        <v>0</v>
      </c>
      <c r="Y257" s="10" t="b">
        <v>0</v>
      </c>
      <c r="Z257" s="3"/>
      <c r="AA257" s="10" t="b">
        <v>0</v>
      </c>
      <c r="AB257" s="10" t="b">
        <v>0</v>
      </c>
      <c r="AC257" s="181">
        <v>517.0</v>
      </c>
      <c r="AD257" s="144" t="b">
        <v>0</v>
      </c>
      <c r="AE257" s="182">
        <v>207.96666666666667</v>
      </c>
      <c r="AF257" s="10" t="b">
        <v>0</v>
      </c>
      <c r="AG257" s="10" t="b">
        <v>0</v>
      </c>
      <c r="AH257" s="144"/>
      <c r="AI257" s="3"/>
      <c r="AJ257" s="10"/>
      <c r="AK257" s="3" t="s">
        <v>244</v>
      </c>
      <c r="AL257" s="5"/>
      <c r="AM257" s="5" t="s">
        <v>287</v>
      </c>
      <c r="AN257" s="5" t="s">
        <v>288</v>
      </c>
      <c r="AO257" s="5" t="s">
        <v>2185</v>
      </c>
      <c r="AP257" s="5" t="s">
        <v>2185</v>
      </c>
      <c r="AQ257" s="5" t="s">
        <v>2185</v>
      </c>
      <c r="AR257" s="5" t="s">
        <v>2185</v>
      </c>
      <c r="AS257" s="142"/>
      <c r="AT257" s="142" t="b">
        <v>0</v>
      </c>
      <c r="AU257" s="142"/>
      <c r="AV257" s="142"/>
      <c r="AW257" s="142"/>
      <c r="AX257" s="142"/>
      <c r="AY257" s="142"/>
      <c r="AZ257" s="174"/>
      <c r="BA257" s="142"/>
      <c r="BB257" s="142"/>
      <c r="BC257" s="142"/>
      <c r="BD257" s="142"/>
      <c r="BE257" s="142"/>
      <c r="BF257" s="142"/>
      <c r="BG257" s="142"/>
    </row>
    <row r="258">
      <c r="A258" s="5" t="s">
        <v>1006</v>
      </c>
      <c r="B258" s="44">
        <v>44585.0</v>
      </c>
      <c r="C258" s="150">
        <v>0.32657407407407407</v>
      </c>
      <c r="D258" s="3"/>
      <c r="E258" s="3"/>
      <c r="F258" s="5"/>
      <c r="G258" s="5"/>
      <c r="H258" s="5"/>
      <c r="I258" s="3"/>
      <c r="J258" s="3"/>
      <c r="K258" s="3" t="s">
        <v>244</v>
      </c>
      <c r="L258" s="44">
        <v>44585.0</v>
      </c>
      <c r="M258" s="150">
        <v>0.4705902777777778</v>
      </c>
      <c r="N258" s="5"/>
      <c r="O258" s="5"/>
      <c r="P258" s="10" t="b">
        <v>0</v>
      </c>
      <c r="Q258" s="10" t="s">
        <v>2184</v>
      </c>
      <c r="R258" s="144" t="b">
        <v>1</v>
      </c>
      <c r="S258" s="144">
        <v>1.0</v>
      </c>
      <c r="T258" s="10"/>
      <c r="U258" s="5"/>
      <c r="V258" s="3"/>
      <c r="W258" s="5"/>
      <c r="X258" s="144" t="b">
        <v>0</v>
      </c>
      <c r="Y258" s="10" t="b">
        <v>0</v>
      </c>
      <c r="Z258" s="3"/>
      <c r="AA258" s="10" t="b">
        <v>0</v>
      </c>
      <c r="AB258" s="10" t="b">
        <v>0</v>
      </c>
      <c r="AC258" s="181">
        <v>516.0</v>
      </c>
      <c r="AD258" s="144" t="b">
        <v>0</v>
      </c>
      <c r="AE258" s="182">
        <v>207.38333333333335</v>
      </c>
      <c r="AF258" s="10" t="b">
        <v>0</v>
      </c>
      <c r="AG258" s="10" t="b">
        <v>0</v>
      </c>
      <c r="AH258" s="144"/>
      <c r="AI258" s="3"/>
      <c r="AJ258" s="10"/>
      <c r="AK258" s="3" t="s">
        <v>244</v>
      </c>
      <c r="AL258" s="5"/>
      <c r="AM258" s="5" t="s">
        <v>307</v>
      </c>
      <c r="AN258" s="5" t="s">
        <v>266</v>
      </c>
      <c r="AO258" s="5" t="s">
        <v>2185</v>
      </c>
      <c r="AP258" s="5" t="s">
        <v>2185</v>
      </c>
      <c r="AQ258" s="5" t="s">
        <v>2185</v>
      </c>
      <c r="AR258" s="5" t="s">
        <v>2185</v>
      </c>
      <c r="AS258" s="142"/>
      <c r="AT258" s="142" t="b">
        <v>0</v>
      </c>
      <c r="AU258" s="142"/>
      <c r="AV258" s="142"/>
      <c r="AW258" s="142"/>
      <c r="AX258" s="142"/>
      <c r="AY258" s="142"/>
      <c r="AZ258" s="174"/>
      <c r="BA258" s="142"/>
      <c r="BB258" s="142"/>
      <c r="BC258" s="142"/>
      <c r="BD258" s="142"/>
      <c r="BE258" s="142"/>
      <c r="BF258" s="142"/>
      <c r="BG258" s="142"/>
    </row>
    <row r="259">
      <c r="A259" s="5" t="s">
        <v>1008</v>
      </c>
      <c r="B259" s="44">
        <v>44585.0</v>
      </c>
      <c r="C259" s="150">
        <v>0.33229166666666665</v>
      </c>
      <c r="D259" s="3"/>
      <c r="E259" s="3"/>
      <c r="F259" s="5"/>
      <c r="G259" s="5"/>
      <c r="H259" s="5"/>
      <c r="I259" s="3"/>
      <c r="J259" s="3"/>
      <c r="K259" s="3" t="s">
        <v>244</v>
      </c>
      <c r="L259" s="44">
        <v>44585.0</v>
      </c>
      <c r="M259" s="150">
        <v>0.4705902777777778</v>
      </c>
      <c r="N259" s="5"/>
      <c r="O259" s="5"/>
      <c r="P259" s="10" t="b">
        <v>0</v>
      </c>
      <c r="Q259" s="10" t="s">
        <v>2184</v>
      </c>
      <c r="R259" s="144" t="b">
        <v>1</v>
      </c>
      <c r="S259" s="144">
        <v>1.0</v>
      </c>
      <c r="T259" s="10"/>
      <c r="U259" s="5"/>
      <c r="V259" s="3"/>
      <c r="W259" s="5"/>
      <c r="X259" s="144" t="b">
        <v>0</v>
      </c>
      <c r="Y259" s="10" t="b">
        <v>0</v>
      </c>
      <c r="Z259" s="3"/>
      <c r="AA259" s="10" t="b">
        <v>0</v>
      </c>
      <c r="AB259" s="10" t="b">
        <v>0</v>
      </c>
      <c r="AC259" s="181">
        <v>515.0</v>
      </c>
      <c r="AD259" s="144" t="b">
        <v>0</v>
      </c>
      <c r="AE259" s="182">
        <v>199.15000000000003</v>
      </c>
      <c r="AF259" s="10" t="b">
        <v>0</v>
      </c>
      <c r="AG259" s="10" t="b">
        <v>0</v>
      </c>
      <c r="AH259" s="144"/>
      <c r="AI259" s="3"/>
      <c r="AJ259" s="10"/>
      <c r="AK259" s="3" t="s">
        <v>244</v>
      </c>
      <c r="AL259" s="5"/>
      <c r="AM259" s="5" t="s">
        <v>310</v>
      </c>
      <c r="AN259" s="5" t="s">
        <v>311</v>
      </c>
      <c r="AO259" s="5" t="s">
        <v>2185</v>
      </c>
      <c r="AP259" s="5" t="s">
        <v>2185</v>
      </c>
      <c r="AQ259" s="5" t="s">
        <v>2185</v>
      </c>
      <c r="AR259" s="5" t="s">
        <v>2185</v>
      </c>
      <c r="AS259" s="142"/>
      <c r="AT259" s="142" t="b">
        <v>0</v>
      </c>
      <c r="AU259" s="142"/>
      <c r="AV259" s="142"/>
      <c r="AW259" s="142"/>
      <c r="AX259" s="142"/>
      <c r="AY259" s="142"/>
      <c r="AZ259" s="174"/>
      <c r="BA259" s="142"/>
      <c r="BB259" s="142"/>
      <c r="BC259" s="142"/>
      <c r="BD259" s="142"/>
      <c r="BE259" s="142"/>
      <c r="BF259" s="142"/>
      <c r="BG259" s="142"/>
    </row>
    <row r="260">
      <c r="A260" s="5" t="s">
        <v>1010</v>
      </c>
      <c r="B260" s="44">
        <v>44585.0</v>
      </c>
      <c r="C260" s="150">
        <v>0.33292824074074073</v>
      </c>
      <c r="D260" s="3"/>
      <c r="E260" s="3"/>
      <c r="F260" s="5"/>
      <c r="G260" s="5"/>
      <c r="H260" s="5"/>
      <c r="I260" s="3"/>
      <c r="J260" s="3"/>
      <c r="K260" s="3" t="s">
        <v>244</v>
      </c>
      <c r="L260" s="44">
        <v>44585.0</v>
      </c>
      <c r="M260" s="150">
        <v>0.4705902777777778</v>
      </c>
      <c r="N260" s="5"/>
      <c r="O260" s="5"/>
      <c r="P260" s="10" t="b">
        <v>0</v>
      </c>
      <c r="Q260" s="10" t="s">
        <v>2184</v>
      </c>
      <c r="R260" s="144" t="b">
        <v>1</v>
      </c>
      <c r="S260" s="144">
        <v>1.0</v>
      </c>
      <c r="T260" s="10"/>
      <c r="U260" s="5"/>
      <c r="V260" s="3"/>
      <c r="W260" s="5"/>
      <c r="X260" s="144" t="b">
        <v>0</v>
      </c>
      <c r="Y260" s="10" t="b">
        <v>0</v>
      </c>
      <c r="Z260" s="3"/>
      <c r="AA260" s="10" t="b">
        <v>0</v>
      </c>
      <c r="AB260" s="10" t="b">
        <v>0</v>
      </c>
      <c r="AC260" s="181">
        <v>514.0</v>
      </c>
      <c r="AD260" s="144" t="b">
        <v>0</v>
      </c>
      <c r="AE260" s="182">
        <v>198.23333333333335</v>
      </c>
      <c r="AF260" s="10" t="b">
        <v>0</v>
      </c>
      <c r="AG260" s="10" t="b">
        <v>0</v>
      </c>
      <c r="AH260" s="144"/>
      <c r="AI260" s="3"/>
      <c r="AJ260" s="10"/>
      <c r="AK260" s="3" t="s">
        <v>244</v>
      </c>
      <c r="AL260" s="5"/>
      <c r="AM260" s="5" t="s">
        <v>291</v>
      </c>
      <c r="AN260" s="5" t="s">
        <v>292</v>
      </c>
      <c r="AO260" s="5" t="s">
        <v>2185</v>
      </c>
      <c r="AP260" s="5" t="s">
        <v>2185</v>
      </c>
      <c r="AQ260" s="5" t="s">
        <v>2185</v>
      </c>
      <c r="AR260" s="5" t="s">
        <v>2185</v>
      </c>
      <c r="AS260" s="142"/>
      <c r="AT260" s="142" t="b">
        <v>0</v>
      </c>
      <c r="AU260" s="142"/>
      <c r="AV260" s="142"/>
      <c r="AW260" s="142"/>
      <c r="AX260" s="142"/>
      <c r="AY260" s="142"/>
      <c r="AZ260" s="174"/>
      <c r="BA260" s="142"/>
      <c r="BB260" s="142"/>
      <c r="BC260" s="142"/>
      <c r="BD260" s="142"/>
      <c r="BE260" s="142"/>
      <c r="BF260" s="142"/>
      <c r="BG260" s="142"/>
    </row>
    <row r="261">
      <c r="A261" s="5" t="s">
        <v>1012</v>
      </c>
      <c r="B261" s="44">
        <v>44585.0</v>
      </c>
      <c r="C261" s="150">
        <v>0.3420949074074074</v>
      </c>
      <c r="D261" s="3"/>
      <c r="E261" s="3"/>
      <c r="F261" s="5"/>
      <c r="G261" s="5"/>
      <c r="H261" s="5"/>
      <c r="I261" s="3"/>
      <c r="J261" s="3"/>
      <c r="K261" s="3" t="s">
        <v>52</v>
      </c>
      <c r="L261" s="44">
        <v>44587.0</v>
      </c>
      <c r="M261" s="150">
        <v>0.5008796296296296</v>
      </c>
      <c r="N261" s="5"/>
      <c r="O261" s="5"/>
      <c r="P261" s="10" t="b">
        <v>0</v>
      </c>
      <c r="Q261" s="10" t="s">
        <v>2184</v>
      </c>
      <c r="R261" s="144" t="b">
        <v>1</v>
      </c>
      <c r="S261" s="144">
        <v>1.0</v>
      </c>
      <c r="T261" s="10"/>
      <c r="U261" s="5"/>
      <c r="V261" s="3"/>
      <c r="W261" s="5"/>
      <c r="X261" s="144" t="b">
        <v>0</v>
      </c>
      <c r="Y261" s="10" t="b">
        <v>0</v>
      </c>
      <c r="Z261" s="3"/>
      <c r="AA261" s="10" t="b">
        <v>0</v>
      </c>
      <c r="AB261" s="10" t="b">
        <v>0</v>
      </c>
      <c r="AC261" s="181">
        <v>513.0</v>
      </c>
      <c r="AD261" s="144" t="b">
        <v>0</v>
      </c>
      <c r="AE261" s="182"/>
      <c r="AF261" s="10" t="b">
        <v>0</v>
      </c>
      <c r="AG261" s="10" t="b">
        <v>0</v>
      </c>
      <c r="AH261" s="144"/>
      <c r="AI261" s="3"/>
      <c r="AJ261" s="10"/>
      <c r="AK261" s="3" t="s">
        <v>52</v>
      </c>
      <c r="AL261" s="5"/>
      <c r="AM261" s="5" t="s">
        <v>314</v>
      </c>
      <c r="AN261" s="5" t="s">
        <v>315</v>
      </c>
      <c r="AO261" s="5" t="s">
        <v>2185</v>
      </c>
      <c r="AP261" s="5" t="s">
        <v>2185</v>
      </c>
      <c r="AQ261" s="5" t="s">
        <v>2185</v>
      </c>
      <c r="AR261" s="5" t="s">
        <v>2185</v>
      </c>
      <c r="AS261" s="142"/>
      <c r="AT261" s="142" t="b">
        <v>0</v>
      </c>
      <c r="AU261" s="142"/>
      <c r="AV261" s="142"/>
      <c r="AW261" s="142"/>
      <c r="AX261" s="142"/>
      <c r="AY261" s="142"/>
      <c r="AZ261" s="174"/>
      <c r="BA261" s="142"/>
      <c r="BB261" s="142"/>
      <c r="BC261" s="142"/>
      <c r="BD261" s="142"/>
      <c r="BE261" s="142"/>
      <c r="BF261" s="142"/>
      <c r="BG261" s="142"/>
    </row>
    <row r="262">
      <c r="A262" s="5" t="s">
        <v>1014</v>
      </c>
      <c r="B262" s="44">
        <v>44585.0</v>
      </c>
      <c r="C262" s="150">
        <v>0.3784722222222222</v>
      </c>
      <c r="D262" s="3"/>
      <c r="E262" s="3"/>
      <c r="F262" s="5"/>
      <c r="G262" s="5"/>
      <c r="H262" s="5"/>
      <c r="I262" s="3"/>
      <c r="J262" s="3"/>
      <c r="K262" s="3" t="s">
        <v>244</v>
      </c>
      <c r="L262" s="44">
        <v>44585.0</v>
      </c>
      <c r="M262" s="150">
        <v>0.4705902777777778</v>
      </c>
      <c r="N262" s="5"/>
      <c r="O262" s="5"/>
      <c r="P262" s="10" t="b">
        <v>0</v>
      </c>
      <c r="Q262" s="10" t="s">
        <v>2184</v>
      </c>
      <c r="R262" s="144" t="b">
        <v>1</v>
      </c>
      <c r="S262" s="144">
        <v>1.0</v>
      </c>
      <c r="T262" s="10"/>
      <c r="U262" s="5"/>
      <c r="V262" s="3"/>
      <c r="W262" s="5"/>
      <c r="X262" s="144" t="b">
        <v>0</v>
      </c>
      <c r="Y262" s="10" t="b">
        <v>0</v>
      </c>
      <c r="Z262" s="3"/>
      <c r="AA262" s="10" t="b">
        <v>0</v>
      </c>
      <c r="AB262" s="10" t="b">
        <v>0</v>
      </c>
      <c r="AC262" s="181">
        <v>512.0</v>
      </c>
      <c r="AD262" s="144" t="b">
        <v>0</v>
      </c>
      <c r="AE262" s="182">
        <v>132.65000000000003</v>
      </c>
      <c r="AF262" s="10" t="b">
        <v>0</v>
      </c>
      <c r="AG262" s="10" t="b">
        <v>0</v>
      </c>
      <c r="AH262" s="144"/>
      <c r="AI262" s="3"/>
      <c r="AJ262" s="10"/>
      <c r="AK262" s="3" t="s">
        <v>244</v>
      </c>
      <c r="AL262" s="5"/>
      <c r="AM262" s="5" t="s">
        <v>261</v>
      </c>
      <c r="AN262" s="5" t="s">
        <v>363</v>
      </c>
      <c r="AO262" s="5" t="s">
        <v>2185</v>
      </c>
      <c r="AP262" s="5" t="s">
        <v>2185</v>
      </c>
      <c r="AQ262" s="5" t="s">
        <v>2185</v>
      </c>
      <c r="AR262" s="5" t="s">
        <v>2185</v>
      </c>
      <c r="AS262" s="142"/>
      <c r="AT262" s="142" t="b">
        <v>0</v>
      </c>
      <c r="AU262" s="142"/>
      <c r="AV262" s="142"/>
      <c r="AW262" s="142"/>
      <c r="AX262" s="142"/>
      <c r="AY262" s="142"/>
      <c r="AZ262" s="174"/>
      <c r="BA262" s="142"/>
      <c r="BB262" s="142"/>
      <c r="BC262" s="142"/>
      <c r="BD262" s="142"/>
      <c r="BE262" s="142"/>
      <c r="BF262" s="142"/>
      <c r="BG262" s="142"/>
    </row>
    <row r="263">
      <c r="A263" s="5" t="s">
        <v>1016</v>
      </c>
      <c r="B263" s="44">
        <v>44585.0</v>
      </c>
      <c r="C263" s="150">
        <v>0.38686342592592593</v>
      </c>
      <c r="D263" s="3"/>
      <c r="E263" s="3"/>
      <c r="F263" s="5"/>
      <c r="G263" s="5"/>
      <c r="H263" s="5"/>
      <c r="I263" s="3"/>
      <c r="J263" s="3"/>
      <c r="K263" s="3" t="s">
        <v>52</v>
      </c>
      <c r="L263" s="44">
        <v>44587.0</v>
      </c>
      <c r="M263" s="150">
        <v>0.5008796296296296</v>
      </c>
      <c r="N263" s="5"/>
      <c r="O263" s="5"/>
      <c r="P263" s="10" t="b">
        <v>0</v>
      </c>
      <c r="Q263" s="10" t="s">
        <v>2184</v>
      </c>
      <c r="R263" s="144" t="b">
        <v>1</v>
      </c>
      <c r="S263" s="144">
        <v>1.0</v>
      </c>
      <c r="T263" s="10"/>
      <c r="U263" s="5"/>
      <c r="V263" s="3"/>
      <c r="W263" s="5"/>
      <c r="X263" s="144" t="b">
        <v>0</v>
      </c>
      <c r="Y263" s="10" t="b">
        <v>0</v>
      </c>
      <c r="Z263" s="3"/>
      <c r="AA263" s="10" t="b">
        <v>0</v>
      </c>
      <c r="AB263" s="10" t="b">
        <v>0</v>
      </c>
      <c r="AC263" s="181">
        <v>511.0</v>
      </c>
      <c r="AD263" s="144" t="b">
        <v>0</v>
      </c>
      <c r="AE263" s="182"/>
      <c r="AF263" s="10" t="b">
        <v>0</v>
      </c>
      <c r="AG263" s="10" t="b">
        <v>0</v>
      </c>
      <c r="AH263" s="144"/>
      <c r="AI263" s="3"/>
      <c r="AJ263" s="10"/>
      <c r="AK263" s="3" t="s">
        <v>52</v>
      </c>
      <c r="AL263" s="5"/>
      <c r="AM263" s="5" t="s">
        <v>261</v>
      </c>
      <c r="AN263" s="5" t="s">
        <v>893</v>
      </c>
      <c r="AO263" s="5" t="s">
        <v>2185</v>
      </c>
      <c r="AP263" s="5" t="s">
        <v>2185</v>
      </c>
      <c r="AQ263" s="5" t="s">
        <v>2185</v>
      </c>
      <c r="AR263" s="5" t="s">
        <v>2185</v>
      </c>
      <c r="AS263" s="142"/>
      <c r="AT263" s="142" t="b">
        <v>0</v>
      </c>
      <c r="AU263" s="142"/>
      <c r="AV263" s="142"/>
      <c r="AW263" s="142"/>
      <c r="AX263" s="142"/>
      <c r="AY263" s="142"/>
      <c r="AZ263" s="174"/>
      <c r="BA263" s="142"/>
      <c r="BB263" s="142"/>
      <c r="BC263" s="142"/>
      <c r="BD263" s="142"/>
      <c r="BE263" s="142"/>
      <c r="BF263" s="142"/>
      <c r="BG263" s="142"/>
    </row>
    <row r="264">
      <c r="A264" s="5" t="s">
        <v>1018</v>
      </c>
      <c r="B264" s="44">
        <v>44585.0</v>
      </c>
      <c r="C264" s="150">
        <v>0.38797453703703705</v>
      </c>
      <c r="D264" s="3"/>
      <c r="E264" s="3"/>
      <c r="F264" s="5"/>
      <c r="G264" s="5"/>
      <c r="H264" s="5"/>
      <c r="I264" s="3"/>
      <c r="J264" s="3"/>
      <c r="K264" s="3" t="s">
        <v>52</v>
      </c>
      <c r="L264" s="44">
        <v>44587.0</v>
      </c>
      <c r="M264" s="150">
        <v>0.5008796296296296</v>
      </c>
      <c r="N264" s="5"/>
      <c r="O264" s="5"/>
      <c r="P264" s="10" t="b">
        <v>0</v>
      </c>
      <c r="Q264" s="10" t="s">
        <v>2184</v>
      </c>
      <c r="R264" s="144" t="b">
        <v>1</v>
      </c>
      <c r="S264" s="144">
        <v>1.0</v>
      </c>
      <c r="T264" s="10"/>
      <c r="U264" s="5"/>
      <c r="V264" s="3"/>
      <c r="W264" s="5"/>
      <c r="X264" s="144" t="b">
        <v>0</v>
      </c>
      <c r="Y264" s="10" t="b">
        <v>0</v>
      </c>
      <c r="Z264" s="3"/>
      <c r="AA264" s="10" t="b">
        <v>0</v>
      </c>
      <c r="AB264" s="10" t="b">
        <v>0</v>
      </c>
      <c r="AC264" s="181">
        <v>510.0</v>
      </c>
      <c r="AD264" s="144" t="b">
        <v>0</v>
      </c>
      <c r="AE264" s="182"/>
      <c r="AF264" s="10" t="b">
        <v>0</v>
      </c>
      <c r="AG264" s="10" t="b">
        <v>0</v>
      </c>
      <c r="AH264" s="144"/>
      <c r="AI264" s="3"/>
      <c r="AJ264" s="10"/>
      <c r="AK264" s="3" t="s">
        <v>52</v>
      </c>
      <c r="AL264" s="5"/>
      <c r="AM264" s="5" t="s">
        <v>261</v>
      </c>
      <c r="AN264" s="5" t="s">
        <v>944</v>
      </c>
      <c r="AO264" s="5" t="s">
        <v>2185</v>
      </c>
      <c r="AP264" s="5" t="s">
        <v>2185</v>
      </c>
      <c r="AQ264" s="5" t="s">
        <v>2185</v>
      </c>
      <c r="AR264" s="5" t="s">
        <v>2185</v>
      </c>
      <c r="AS264" s="142"/>
      <c r="AT264" s="142" t="b">
        <v>0</v>
      </c>
      <c r="AU264" s="142"/>
      <c r="AV264" s="142"/>
      <c r="AW264" s="142"/>
      <c r="AX264" s="142"/>
      <c r="AY264" s="142"/>
      <c r="AZ264" s="174"/>
      <c r="BA264" s="142"/>
      <c r="BB264" s="142"/>
      <c r="BC264" s="142"/>
      <c r="BD264" s="142"/>
      <c r="BE264" s="142"/>
      <c r="BF264" s="142"/>
      <c r="BG264" s="142"/>
    </row>
    <row r="265">
      <c r="A265" s="5" t="s">
        <v>1020</v>
      </c>
      <c r="B265" s="44">
        <v>44585.0</v>
      </c>
      <c r="C265" s="150">
        <v>0.4306712962962963</v>
      </c>
      <c r="D265" s="3"/>
      <c r="E265" s="3"/>
      <c r="F265" s="5"/>
      <c r="G265" s="5"/>
      <c r="H265" s="5"/>
      <c r="I265" s="3"/>
      <c r="J265" s="3"/>
      <c r="K265" s="3" t="s">
        <v>244</v>
      </c>
      <c r="L265" s="44">
        <v>44585.0</v>
      </c>
      <c r="M265" s="150">
        <v>0.4705902777777778</v>
      </c>
      <c r="N265" s="5"/>
      <c r="O265" s="5"/>
      <c r="P265" s="10" t="b">
        <v>0</v>
      </c>
      <c r="Q265" s="10" t="s">
        <v>2184</v>
      </c>
      <c r="R265" s="144" t="b">
        <v>1</v>
      </c>
      <c r="S265" s="144">
        <v>1.0</v>
      </c>
      <c r="T265" s="10">
        <v>0.0</v>
      </c>
      <c r="U265" s="5"/>
      <c r="V265" s="3"/>
      <c r="W265" s="5"/>
      <c r="X265" s="144" t="b">
        <v>0</v>
      </c>
      <c r="Y265" s="10" t="b">
        <v>0</v>
      </c>
      <c r="Z265" s="3"/>
      <c r="AA265" s="10" t="b">
        <v>0</v>
      </c>
      <c r="AB265" s="10" t="b">
        <v>0</v>
      </c>
      <c r="AC265" s="181">
        <v>509.0</v>
      </c>
      <c r="AD265" s="144" t="b">
        <v>0</v>
      </c>
      <c r="AE265" s="182">
        <v>57.48333333333334</v>
      </c>
      <c r="AF265" s="10" t="b">
        <v>0</v>
      </c>
      <c r="AG265" s="10" t="b">
        <v>0</v>
      </c>
      <c r="AH265" s="144"/>
      <c r="AI265" s="3"/>
      <c r="AJ265" s="10"/>
      <c r="AK265" s="3" t="s">
        <v>244</v>
      </c>
      <c r="AL265" s="5"/>
      <c r="AM265" s="5" t="s">
        <v>261</v>
      </c>
      <c r="AN265" s="5" t="s">
        <v>1021</v>
      </c>
      <c r="AO265" s="5" t="s">
        <v>2185</v>
      </c>
      <c r="AP265" s="5" t="s">
        <v>2185</v>
      </c>
      <c r="AQ265" s="5" t="s">
        <v>2185</v>
      </c>
      <c r="AR265" s="5" t="s">
        <v>2185</v>
      </c>
      <c r="AS265" s="142"/>
      <c r="AT265" s="142" t="b">
        <v>0</v>
      </c>
      <c r="AU265" s="142"/>
      <c r="AV265" s="142"/>
      <c r="AW265" s="142"/>
      <c r="AX265" s="142"/>
      <c r="AY265" s="142"/>
      <c r="AZ265" s="174"/>
      <c r="BA265" s="142"/>
      <c r="BB265" s="142"/>
      <c r="BC265" s="142"/>
      <c r="BD265" s="142"/>
      <c r="BE265" s="142"/>
      <c r="BF265" s="142"/>
      <c r="BG265" s="142"/>
    </row>
    <row r="266">
      <c r="A266" s="5" t="s">
        <v>1023</v>
      </c>
      <c r="B266" s="44">
        <v>44585.0</v>
      </c>
      <c r="C266" s="150">
        <v>0.43105324074074075</v>
      </c>
      <c r="D266" s="3"/>
      <c r="E266" s="3"/>
      <c r="F266" s="5"/>
      <c r="G266" s="5"/>
      <c r="H266" s="5"/>
      <c r="I266" s="3"/>
      <c r="J266" s="3"/>
      <c r="K266" s="3" t="s">
        <v>244</v>
      </c>
      <c r="L266" s="44">
        <v>44585.0</v>
      </c>
      <c r="M266" s="150">
        <v>0.4705902777777778</v>
      </c>
      <c r="N266" s="5"/>
      <c r="O266" s="5"/>
      <c r="P266" s="10" t="b">
        <v>0</v>
      </c>
      <c r="Q266" s="10" t="s">
        <v>2184</v>
      </c>
      <c r="R266" s="144" t="b">
        <v>1</v>
      </c>
      <c r="S266" s="144">
        <v>1.0</v>
      </c>
      <c r="T266" s="10"/>
      <c r="U266" s="5"/>
      <c r="V266" s="3"/>
      <c r="W266" s="5"/>
      <c r="X266" s="144" t="b">
        <v>0</v>
      </c>
      <c r="Y266" s="10" t="b">
        <v>0</v>
      </c>
      <c r="Z266" s="3"/>
      <c r="AA266" s="10" t="b">
        <v>0</v>
      </c>
      <c r="AB266" s="10" t="b">
        <v>0</v>
      </c>
      <c r="AC266" s="181">
        <v>508.0</v>
      </c>
      <c r="AD266" s="144" t="b">
        <v>0</v>
      </c>
      <c r="AE266" s="182">
        <v>56.93333333333334</v>
      </c>
      <c r="AF266" s="10" t="b">
        <v>0</v>
      </c>
      <c r="AG266" s="10" t="b">
        <v>0</v>
      </c>
      <c r="AH266" s="144"/>
      <c r="AI266" s="3"/>
      <c r="AJ266" s="10"/>
      <c r="AK266" s="3" t="s">
        <v>244</v>
      </c>
      <c r="AL266" s="5"/>
      <c r="AM266" s="5" t="s">
        <v>261</v>
      </c>
      <c r="AN266" s="5" t="s">
        <v>937</v>
      </c>
      <c r="AO266" s="5" t="s">
        <v>2185</v>
      </c>
      <c r="AP266" s="5" t="s">
        <v>2185</v>
      </c>
      <c r="AQ266" s="5" t="s">
        <v>2185</v>
      </c>
      <c r="AR266" s="5" t="s">
        <v>2185</v>
      </c>
      <c r="AS266" s="142"/>
      <c r="AT266" s="142" t="b">
        <v>0</v>
      </c>
      <c r="AU266" s="142"/>
      <c r="AV266" s="142"/>
      <c r="AW266" s="142"/>
      <c r="AX266" s="142"/>
      <c r="AY266" s="142"/>
      <c r="AZ266" s="174"/>
      <c r="BA266" s="142"/>
      <c r="BB266" s="142"/>
      <c r="BC266" s="142"/>
      <c r="BD266" s="142"/>
      <c r="BE266" s="142"/>
      <c r="BF266" s="142"/>
      <c r="BG266" s="142"/>
    </row>
    <row r="267">
      <c r="A267" s="5" t="s">
        <v>1025</v>
      </c>
      <c r="B267" s="44">
        <v>44587.0</v>
      </c>
      <c r="C267" s="150">
        <v>0.29574074074074075</v>
      </c>
      <c r="D267" s="3"/>
      <c r="E267" s="3"/>
      <c r="F267" s="5"/>
      <c r="G267" s="5"/>
      <c r="H267" s="5"/>
      <c r="I267" s="3"/>
      <c r="J267" s="3"/>
      <c r="K267" s="3" t="s">
        <v>244</v>
      </c>
      <c r="L267" s="44">
        <v>44587.0</v>
      </c>
      <c r="M267" s="150">
        <v>0.5005439814814815</v>
      </c>
      <c r="N267" s="5"/>
      <c r="O267" s="5"/>
      <c r="P267" s="10" t="b">
        <v>0</v>
      </c>
      <c r="Q267" s="10" t="s">
        <v>2184</v>
      </c>
      <c r="R267" s="144" t="b">
        <v>1</v>
      </c>
      <c r="S267" s="144">
        <v>1.0</v>
      </c>
      <c r="T267" s="10"/>
      <c r="U267" s="5"/>
      <c r="V267" s="3"/>
      <c r="W267" s="5"/>
      <c r="X267" s="144" t="b">
        <v>0</v>
      </c>
      <c r="Y267" s="10" t="b">
        <v>0</v>
      </c>
      <c r="Z267" s="3"/>
      <c r="AA267" s="10" t="b">
        <v>0</v>
      </c>
      <c r="AB267" s="10" t="b">
        <v>0</v>
      </c>
      <c r="AC267" s="181">
        <v>507.0</v>
      </c>
      <c r="AD267" s="144" t="b">
        <v>0</v>
      </c>
      <c r="AE267" s="182">
        <v>294.9166666666667</v>
      </c>
      <c r="AF267" s="10" t="b">
        <v>0</v>
      </c>
      <c r="AG267" s="10" t="b">
        <v>0</v>
      </c>
      <c r="AH267" s="144"/>
      <c r="AI267" s="3"/>
      <c r="AJ267" s="10"/>
      <c r="AK267" s="3" t="s">
        <v>244</v>
      </c>
      <c r="AL267" s="5"/>
      <c r="AM267" s="5" t="s">
        <v>261</v>
      </c>
      <c r="AN267" s="5" t="s">
        <v>262</v>
      </c>
      <c r="AO267" s="5" t="s">
        <v>2185</v>
      </c>
      <c r="AP267" s="5" t="s">
        <v>2185</v>
      </c>
      <c r="AQ267" s="5" t="s">
        <v>2185</v>
      </c>
      <c r="AR267" s="5" t="s">
        <v>2185</v>
      </c>
      <c r="AS267" s="142"/>
      <c r="AT267" s="142" t="b">
        <v>0</v>
      </c>
      <c r="AU267" s="142"/>
      <c r="AV267" s="142"/>
      <c r="AW267" s="142"/>
      <c r="AX267" s="142"/>
      <c r="AY267" s="142"/>
      <c r="AZ267" s="174"/>
      <c r="BA267" s="142"/>
      <c r="BB267" s="142"/>
      <c r="BC267" s="142"/>
      <c r="BD267" s="142"/>
      <c r="BE267" s="142"/>
      <c r="BF267" s="142"/>
      <c r="BG267" s="142"/>
    </row>
    <row r="268">
      <c r="A268" s="5" t="s">
        <v>1027</v>
      </c>
      <c r="B268" s="44">
        <v>44587.0</v>
      </c>
      <c r="C268" s="150">
        <v>0.2965162037037037</v>
      </c>
      <c r="D268" s="3"/>
      <c r="E268" s="3"/>
      <c r="F268" s="5"/>
      <c r="G268" s="5"/>
      <c r="H268" s="5"/>
      <c r="I268" s="3"/>
      <c r="J268" s="3"/>
      <c r="K268" s="3" t="s">
        <v>244</v>
      </c>
      <c r="L268" s="44">
        <v>44587.0</v>
      </c>
      <c r="M268" s="150">
        <v>0.5005439814814815</v>
      </c>
      <c r="N268" s="5"/>
      <c r="O268" s="5"/>
      <c r="P268" s="10" t="b">
        <v>0</v>
      </c>
      <c r="Q268" s="10" t="s">
        <v>2184</v>
      </c>
      <c r="R268" s="144" t="b">
        <v>1</v>
      </c>
      <c r="S268" s="144">
        <v>1.0</v>
      </c>
      <c r="T268" s="10">
        <v>0.0</v>
      </c>
      <c r="U268" s="5"/>
      <c r="V268" s="3"/>
      <c r="W268" s="5"/>
      <c r="X268" s="144" t="b">
        <v>0</v>
      </c>
      <c r="Y268" s="10" t="b">
        <v>0</v>
      </c>
      <c r="Z268" s="3"/>
      <c r="AA268" s="10" t="b">
        <v>0</v>
      </c>
      <c r="AB268" s="10" t="b">
        <v>0</v>
      </c>
      <c r="AC268" s="181">
        <v>506.0</v>
      </c>
      <c r="AD268" s="144" t="b">
        <v>0</v>
      </c>
      <c r="AE268" s="182">
        <v>293.80000000000007</v>
      </c>
      <c r="AF268" s="10" t="b">
        <v>0</v>
      </c>
      <c r="AG268" s="10" t="b">
        <v>0</v>
      </c>
      <c r="AH268" s="144"/>
      <c r="AI268" s="3"/>
      <c r="AJ268" s="10"/>
      <c r="AK268" s="3" t="s">
        <v>244</v>
      </c>
      <c r="AL268" s="5"/>
      <c r="AM268" s="5" t="s">
        <v>261</v>
      </c>
      <c r="AN268" s="5" t="s">
        <v>708</v>
      </c>
      <c r="AO268" s="5" t="s">
        <v>2185</v>
      </c>
      <c r="AP268" s="5" t="s">
        <v>2185</v>
      </c>
      <c r="AQ268" s="5" t="s">
        <v>2185</v>
      </c>
      <c r="AR268" s="5" t="s">
        <v>2185</v>
      </c>
      <c r="AS268" s="142"/>
      <c r="AT268" s="142" t="b">
        <v>0</v>
      </c>
      <c r="AU268" s="142"/>
      <c r="AV268" s="142"/>
      <c r="AW268" s="142"/>
      <c r="AX268" s="142"/>
      <c r="AY268" s="142"/>
      <c r="AZ268" s="174"/>
      <c r="BA268" s="142"/>
      <c r="BB268" s="142"/>
      <c r="BC268" s="142"/>
      <c r="BD268" s="142"/>
      <c r="BE268" s="142"/>
      <c r="BF268" s="142"/>
      <c r="BG268" s="142"/>
    </row>
    <row r="269">
      <c r="A269" s="5" t="s">
        <v>1029</v>
      </c>
      <c r="B269" s="44">
        <v>44587.0</v>
      </c>
      <c r="C269" s="150">
        <v>0.3039351851851852</v>
      </c>
      <c r="D269" s="3"/>
      <c r="E269" s="3"/>
      <c r="F269" s="5"/>
      <c r="G269" s="5"/>
      <c r="H269" s="5"/>
      <c r="I269" s="3"/>
      <c r="J269" s="3"/>
      <c r="K269" s="3" t="s">
        <v>244</v>
      </c>
      <c r="L269" s="44">
        <v>44587.0</v>
      </c>
      <c r="M269" s="150">
        <v>0.5005439814814815</v>
      </c>
      <c r="N269" s="5"/>
      <c r="O269" s="5"/>
      <c r="P269" s="10" t="b">
        <v>0</v>
      </c>
      <c r="Q269" s="10" t="s">
        <v>2184</v>
      </c>
      <c r="R269" s="144" t="b">
        <v>1</v>
      </c>
      <c r="S269" s="144">
        <v>1.0</v>
      </c>
      <c r="T269" s="10"/>
      <c r="U269" s="5"/>
      <c r="V269" s="3"/>
      <c r="W269" s="5"/>
      <c r="X269" s="144" t="b">
        <v>0</v>
      </c>
      <c r="Y269" s="10" t="b">
        <v>0</v>
      </c>
      <c r="Z269" s="3"/>
      <c r="AA269" s="10" t="b">
        <v>0</v>
      </c>
      <c r="AB269" s="10" t="b">
        <v>0</v>
      </c>
      <c r="AC269" s="181">
        <v>505.0</v>
      </c>
      <c r="AD269" s="144" t="b">
        <v>0</v>
      </c>
      <c r="AE269" s="182">
        <v>283.1166666666666</v>
      </c>
      <c r="AF269" s="10" t="b">
        <v>0</v>
      </c>
      <c r="AG269" s="10" t="b">
        <v>0</v>
      </c>
      <c r="AH269" s="144"/>
      <c r="AI269" s="3"/>
      <c r="AJ269" s="10"/>
      <c r="AK269" s="3" t="s">
        <v>244</v>
      </c>
      <c r="AL269" s="5"/>
      <c r="AM269" s="5" t="s">
        <v>322</v>
      </c>
      <c r="AN269" s="5" t="s">
        <v>323</v>
      </c>
      <c r="AO269" s="5" t="s">
        <v>2185</v>
      </c>
      <c r="AP269" s="5" t="s">
        <v>2185</v>
      </c>
      <c r="AQ269" s="5" t="s">
        <v>2185</v>
      </c>
      <c r="AR269" s="5" t="s">
        <v>2185</v>
      </c>
      <c r="AS269" s="142"/>
      <c r="AT269" s="142" t="b">
        <v>0</v>
      </c>
      <c r="AU269" s="142"/>
      <c r="AV269" s="142"/>
      <c r="AW269" s="142"/>
      <c r="AX269" s="142"/>
      <c r="AY269" s="142"/>
      <c r="AZ269" s="174"/>
      <c r="BA269" s="142"/>
      <c r="BB269" s="142"/>
      <c r="BC269" s="142"/>
      <c r="BD269" s="142"/>
      <c r="BE269" s="142"/>
      <c r="BF269" s="142"/>
      <c r="BG269" s="142"/>
    </row>
    <row r="270">
      <c r="A270" s="5" t="s">
        <v>1031</v>
      </c>
      <c r="B270" s="44">
        <v>44587.0</v>
      </c>
      <c r="C270" s="150">
        <v>0.32349537037037035</v>
      </c>
      <c r="D270" s="3"/>
      <c r="E270" s="3"/>
      <c r="F270" s="5"/>
      <c r="G270" s="5"/>
      <c r="H270" s="5"/>
      <c r="I270" s="3"/>
      <c r="J270" s="3"/>
      <c r="K270" s="3" t="s">
        <v>244</v>
      </c>
      <c r="L270" s="44">
        <v>44587.0</v>
      </c>
      <c r="M270" s="150">
        <v>0.5005439814814815</v>
      </c>
      <c r="N270" s="5"/>
      <c r="O270" s="5"/>
      <c r="P270" s="10" t="b">
        <v>0</v>
      </c>
      <c r="Q270" s="10" t="s">
        <v>2184</v>
      </c>
      <c r="R270" s="144" t="b">
        <v>1</v>
      </c>
      <c r="S270" s="144">
        <v>1.0</v>
      </c>
      <c r="T270" s="10"/>
      <c r="U270" s="5"/>
      <c r="V270" s="3"/>
      <c r="W270" s="5"/>
      <c r="X270" s="144" t="b">
        <v>0</v>
      </c>
      <c r="Y270" s="10" t="b">
        <v>0</v>
      </c>
      <c r="Z270" s="3"/>
      <c r="AA270" s="10" t="b">
        <v>0</v>
      </c>
      <c r="AB270" s="10" t="b">
        <v>0</v>
      </c>
      <c r="AC270" s="181">
        <v>504.0</v>
      </c>
      <c r="AD270" s="144" t="b">
        <v>0</v>
      </c>
      <c r="AE270" s="182">
        <v>254.95000000000005</v>
      </c>
      <c r="AF270" s="10" t="b">
        <v>0</v>
      </c>
      <c r="AG270" s="10" t="b">
        <v>0</v>
      </c>
      <c r="AH270" s="144"/>
      <c r="AI270" s="3"/>
      <c r="AJ270" s="10"/>
      <c r="AK270" s="3" t="s">
        <v>244</v>
      </c>
      <c r="AL270" s="5"/>
      <c r="AM270" s="5" t="s">
        <v>587</v>
      </c>
      <c r="AN270" s="5" t="s">
        <v>588</v>
      </c>
      <c r="AO270" s="5" t="s">
        <v>2185</v>
      </c>
      <c r="AP270" s="5" t="s">
        <v>2185</v>
      </c>
      <c r="AQ270" s="5" t="s">
        <v>2185</v>
      </c>
      <c r="AR270" s="5" t="s">
        <v>2185</v>
      </c>
      <c r="AS270" s="142"/>
      <c r="AT270" s="142" t="b">
        <v>0</v>
      </c>
      <c r="AU270" s="142"/>
      <c r="AV270" s="142"/>
      <c r="AW270" s="142"/>
      <c r="AX270" s="142"/>
      <c r="AY270" s="142"/>
      <c r="AZ270" s="174"/>
      <c r="BA270" s="142"/>
      <c r="BB270" s="142"/>
      <c r="BC270" s="142"/>
      <c r="BD270" s="142"/>
      <c r="BE270" s="142"/>
      <c r="BF270" s="142"/>
      <c r="BG270" s="142"/>
    </row>
    <row r="271">
      <c r="A271" s="5" t="s">
        <v>1033</v>
      </c>
      <c r="B271" s="44">
        <v>44587.0</v>
      </c>
      <c r="C271" s="150">
        <v>0.32371527777777775</v>
      </c>
      <c r="D271" s="3"/>
      <c r="E271" s="3"/>
      <c r="F271" s="5"/>
      <c r="G271" s="5"/>
      <c r="H271" s="5"/>
      <c r="I271" s="3"/>
      <c r="J271" s="3"/>
      <c r="K271" s="3" t="s">
        <v>244</v>
      </c>
      <c r="L271" s="44">
        <v>44587.0</v>
      </c>
      <c r="M271" s="150">
        <v>0.5005439814814815</v>
      </c>
      <c r="N271" s="5"/>
      <c r="O271" s="5"/>
      <c r="P271" s="10" t="b">
        <v>0</v>
      </c>
      <c r="Q271" s="10" t="s">
        <v>2184</v>
      </c>
      <c r="R271" s="144" t="b">
        <v>1</v>
      </c>
      <c r="S271" s="144">
        <v>1.0</v>
      </c>
      <c r="T271" s="10"/>
      <c r="U271" s="5"/>
      <c r="V271" s="3"/>
      <c r="W271" s="5"/>
      <c r="X271" s="144" t="b">
        <v>0</v>
      </c>
      <c r="Y271" s="10" t="b">
        <v>0</v>
      </c>
      <c r="Z271" s="3"/>
      <c r="AA271" s="10" t="b">
        <v>0</v>
      </c>
      <c r="AB271" s="10" t="b">
        <v>0</v>
      </c>
      <c r="AC271" s="181">
        <v>503.0</v>
      </c>
      <c r="AD271" s="144" t="b">
        <v>0</v>
      </c>
      <c r="AE271" s="182">
        <v>254.63333333333338</v>
      </c>
      <c r="AF271" s="10" t="b">
        <v>0</v>
      </c>
      <c r="AG271" s="10" t="b">
        <v>0</v>
      </c>
      <c r="AH271" s="144"/>
      <c r="AI271" s="3"/>
      <c r="AJ271" s="10"/>
      <c r="AK271" s="3" t="s">
        <v>244</v>
      </c>
      <c r="AL271" s="5"/>
      <c r="AM271" s="5" t="s">
        <v>314</v>
      </c>
      <c r="AN271" s="5" t="s">
        <v>315</v>
      </c>
      <c r="AO271" s="5" t="s">
        <v>2185</v>
      </c>
      <c r="AP271" s="5" t="s">
        <v>2185</v>
      </c>
      <c r="AQ271" s="5" t="s">
        <v>2185</v>
      </c>
      <c r="AR271" s="5" t="s">
        <v>2185</v>
      </c>
      <c r="AS271" s="142"/>
      <c r="AT271" s="142" t="b">
        <v>0</v>
      </c>
      <c r="AU271" s="142"/>
      <c r="AV271" s="142"/>
      <c r="AW271" s="142"/>
      <c r="AX271" s="142"/>
      <c r="AY271" s="142"/>
      <c r="AZ271" s="174"/>
      <c r="BA271" s="142"/>
      <c r="BB271" s="142"/>
      <c r="BC271" s="142"/>
      <c r="BD271" s="142"/>
      <c r="BE271" s="142"/>
      <c r="BF271" s="142"/>
      <c r="BG271" s="142"/>
    </row>
    <row r="272">
      <c r="A272" s="5" t="s">
        <v>1035</v>
      </c>
      <c r="B272" s="44">
        <v>44587.0</v>
      </c>
      <c r="C272" s="150">
        <v>0.32375</v>
      </c>
      <c r="D272" s="3"/>
      <c r="E272" s="3"/>
      <c r="F272" s="5"/>
      <c r="G272" s="5"/>
      <c r="H272" s="5"/>
      <c r="I272" s="3"/>
      <c r="J272" s="3"/>
      <c r="K272" s="3" t="s">
        <v>244</v>
      </c>
      <c r="L272" s="44">
        <v>44587.0</v>
      </c>
      <c r="M272" s="150">
        <v>0.5005439814814815</v>
      </c>
      <c r="N272" s="5"/>
      <c r="O272" s="5"/>
      <c r="P272" s="10" t="b">
        <v>0</v>
      </c>
      <c r="Q272" s="10" t="s">
        <v>2184</v>
      </c>
      <c r="R272" s="144" t="b">
        <v>1</v>
      </c>
      <c r="S272" s="144">
        <v>1.0</v>
      </c>
      <c r="T272" s="10">
        <v>0.0</v>
      </c>
      <c r="U272" s="5"/>
      <c r="V272" s="3"/>
      <c r="W272" s="5"/>
      <c r="X272" s="144" t="b">
        <v>0</v>
      </c>
      <c r="Y272" s="10" t="b">
        <v>0</v>
      </c>
      <c r="Z272" s="3"/>
      <c r="AA272" s="10" t="b">
        <v>0</v>
      </c>
      <c r="AB272" s="10" t="b">
        <v>0</v>
      </c>
      <c r="AC272" s="181">
        <v>502.0</v>
      </c>
      <c r="AD272" s="144" t="b">
        <v>0</v>
      </c>
      <c r="AE272" s="182">
        <v>254.58333333333337</v>
      </c>
      <c r="AF272" s="10" t="b">
        <v>0</v>
      </c>
      <c r="AG272" s="10" t="b">
        <v>0</v>
      </c>
      <c r="AH272" s="144"/>
      <c r="AI272" s="3"/>
      <c r="AJ272" s="10"/>
      <c r="AK272" s="3" t="s">
        <v>244</v>
      </c>
      <c r="AL272" s="5"/>
      <c r="AM272" s="5" t="s">
        <v>587</v>
      </c>
      <c r="AN272" s="5" t="s">
        <v>960</v>
      </c>
      <c r="AO272" s="5" t="s">
        <v>2185</v>
      </c>
      <c r="AP272" s="5" t="s">
        <v>2185</v>
      </c>
      <c r="AQ272" s="5" t="s">
        <v>2185</v>
      </c>
      <c r="AR272" s="5" t="s">
        <v>2185</v>
      </c>
      <c r="AS272" s="142"/>
      <c r="AT272" s="142" t="b">
        <v>0</v>
      </c>
      <c r="AU272" s="142"/>
      <c r="AV272" s="142"/>
      <c r="AW272" s="142"/>
      <c r="AX272" s="142"/>
      <c r="AY272" s="142"/>
      <c r="AZ272" s="174"/>
      <c r="BA272" s="142"/>
      <c r="BB272" s="142"/>
      <c r="BC272" s="142"/>
      <c r="BD272" s="142"/>
      <c r="BE272" s="142"/>
      <c r="BF272" s="142"/>
      <c r="BG272" s="142"/>
    </row>
    <row r="273">
      <c r="A273" s="5" t="s">
        <v>1037</v>
      </c>
      <c r="B273" s="44">
        <v>44587.0</v>
      </c>
      <c r="C273" s="150">
        <v>0.3313425925925926</v>
      </c>
      <c r="D273" s="3"/>
      <c r="E273" s="3"/>
      <c r="F273" s="5"/>
      <c r="G273" s="5"/>
      <c r="H273" s="5"/>
      <c r="I273" s="3"/>
      <c r="J273" s="3"/>
      <c r="K273" s="3" t="s">
        <v>244</v>
      </c>
      <c r="L273" s="44">
        <v>44587.0</v>
      </c>
      <c r="M273" s="150">
        <v>0.5005555555555555</v>
      </c>
      <c r="N273" s="5"/>
      <c r="O273" s="5"/>
      <c r="P273" s="10" t="b">
        <v>0</v>
      </c>
      <c r="Q273" s="10" t="s">
        <v>2184</v>
      </c>
      <c r="R273" s="144" t="b">
        <v>1</v>
      </c>
      <c r="S273" s="144">
        <v>1.0</v>
      </c>
      <c r="T273" s="10"/>
      <c r="U273" s="5"/>
      <c r="V273" s="3"/>
      <c r="W273" s="5"/>
      <c r="X273" s="144" t="b">
        <v>0</v>
      </c>
      <c r="Y273" s="10" t="b">
        <v>0</v>
      </c>
      <c r="Z273" s="3"/>
      <c r="AA273" s="10" t="b">
        <v>0</v>
      </c>
      <c r="AB273" s="10" t="b">
        <v>0</v>
      </c>
      <c r="AC273" s="181">
        <v>501.0</v>
      </c>
      <c r="AD273" s="144" t="b">
        <v>0</v>
      </c>
      <c r="AE273" s="182">
        <v>243.66666666666666</v>
      </c>
      <c r="AF273" s="10" t="b">
        <v>0</v>
      </c>
      <c r="AG273" s="10" t="b">
        <v>0</v>
      </c>
      <c r="AH273" s="144"/>
      <c r="AI273" s="3"/>
      <c r="AJ273" s="10"/>
      <c r="AK273" s="3" t="s">
        <v>244</v>
      </c>
      <c r="AL273" s="5"/>
      <c r="AM273" s="5" t="s">
        <v>328</v>
      </c>
      <c r="AN273" s="5" t="s">
        <v>329</v>
      </c>
      <c r="AO273" s="5" t="s">
        <v>2185</v>
      </c>
      <c r="AP273" s="5" t="s">
        <v>2185</v>
      </c>
      <c r="AQ273" s="5" t="s">
        <v>2185</v>
      </c>
      <c r="AR273" s="5" t="s">
        <v>2185</v>
      </c>
      <c r="AS273" s="142"/>
      <c r="AT273" s="142" t="b">
        <v>0</v>
      </c>
      <c r="AU273" s="142"/>
      <c r="AV273" s="142"/>
      <c r="AW273" s="142"/>
      <c r="AX273" s="142"/>
      <c r="AY273" s="142"/>
      <c r="AZ273" s="174"/>
      <c r="BA273" s="142"/>
      <c r="BB273" s="142"/>
      <c r="BC273" s="142"/>
      <c r="BD273" s="142"/>
      <c r="BE273" s="142"/>
      <c r="BF273" s="142"/>
      <c r="BG273" s="142"/>
    </row>
    <row r="274">
      <c r="A274" s="5" t="s">
        <v>1039</v>
      </c>
      <c r="B274" s="44">
        <v>44587.0</v>
      </c>
      <c r="C274" s="150">
        <v>0.33185185185185184</v>
      </c>
      <c r="D274" s="3"/>
      <c r="E274" s="3"/>
      <c r="F274" s="5"/>
      <c r="G274" s="5"/>
      <c r="H274" s="5"/>
      <c r="I274" s="3"/>
      <c r="J274" s="3"/>
      <c r="K274" s="3" t="s">
        <v>244</v>
      </c>
      <c r="L274" s="44">
        <v>44587.0</v>
      </c>
      <c r="M274" s="150">
        <v>0.5005555555555555</v>
      </c>
      <c r="N274" s="5"/>
      <c r="O274" s="5"/>
      <c r="P274" s="10" t="b">
        <v>0</v>
      </c>
      <c r="Q274" s="10" t="s">
        <v>2184</v>
      </c>
      <c r="R274" s="144" t="b">
        <v>1</v>
      </c>
      <c r="S274" s="144">
        <v>1.0</v>
      </c>
      <c r="T274" s="10">
        <v>0.0</v>
      </c>
      <c r="U274" s="5"/>
      <c r="V274" s="3"/>
      <c r="W274" s="5"/>
      <c r="X274" s="144" t="b">
        <v>0</v>
      </c>
      <c r="Y274" s="10" t="b">
        <v>0</v>
      </c>
      <c r="Z274" s="3"/>
      <c r="AA274" s="10" t="b">
        <v>0</v>
      </c>
      <c r="AB274" s="10" t="b">
        <v>0</v>
      </c>
      <c r="AC274" s="181">
        <v>500.0</v>
      </c>
      <c r="AD274" s="144" t="b">
        <v>0</v>
      </c>
      <c r="AE274" s="182">
        <v>242.9333333333333</v>
      </c>
      <c r="AF274" s="10" t="b">
        <v>0</v>
      </c>
      <c r="AG274" s="10" t="b">
        <v>0</v>
      </c>
      <c r="AH274" s="144"/>
      <c r="AI274" s="3"/>
      <c r="AJ274" s="10"/>
      <c r="AK274" s="3" t="s">
        <v>244</v>
      </c>
      <c r="AL274" s="5"/>
      <c r="AM274" s="5" t="s">
        <v>583</v>
      </c>
      <c r="AN274" s="5" t="s">
        <v>1040</v>
      </c>
      <c r="AO274" s="5" t="s">
        <v>2185</v>
      </c>
      <c r="AP274" s="5" t="s">
        <v>2185</v>
      </c>
      <c r="AQ274" s="5" t="s">
        <v>2185</v>
      </c>
      <c r="AR274" s="5" t="s">
        <v>2185</v>
      </c>
      <c r="AS274" s="142"/>
      <c r="AT274" s="142" t="b">
        <v>0</v>
      </c>
      <c r="AU274" s="142"/>
      <c r="AV274" s="142"/>
      <c r="AW274" s="142"/>
      <c r="AX274" s="142"/>
      <c r="AY274" s="142"/>
      <c r="AZ274" s="174"/>
      <c r="BA274" s="142"/>
      <c r="BB274" s="142"/>
      <c r="BC274" s="142"/>
      <c r="BD274" s="142"/>
      <c r="BE274" s="142"/>
      <c r="BF274" s="142"/>
      <c r="BG274" s="142"/>
    </row>
    <row r="275">
      <c r="A275" s="5" t="s">
        <v>1042</v>
      </c>
      <c r="B275" s="44">
        <v>44587.0</v>
      </c>
      <c r="C275" s="150">
        <v>0.3365972222222222</v>
      </c>
      <c r="D275" s="3"/>
      <c r="E275" s="3"/>
      <c r="F275" s="5"/>
      <c r="G275" s="5"/>
      <c r="H275" s="5"/>
      <c r="I275" s="3"/>
      <c r="J275" s="3"/>
      <c r="K275" s="3" t="s">
        <v>244</v>
      </c>
      <c r="L275" s="44">
        <v>44587.0</v>
      </c>
      <c r="M275" s="150">
        <v>0.5005555555555555</v>
      </c>
      <c r="N275" s="5"/>
      <c r="O275" s="5"/>
      <c r="P275" s="10" t="b">
        <v>0</v>
      </c>
      <c r="Q275" s="10" t="s">
        <v>2184</v>
      </c>
      <c r="R275" s="144" t="b">
        <v>1</v>
      </c>
      <c r="S275" s="144">
        <v>1.0</v>
      </c>
      <c r="T275" s="10"/>
      <c r="U275" s="5"/>
      <c r="V275" s="3"/>
      <c r="W275" s="5"/>
      <c r="X275" s="144" t="b">
        <v>0</v>
      </c>
      <c r="Y275" s="10" t="b">
        <v>0</v>
      </c>
      <c r="Z275" s="3"/>
      <c r="AA275" s="10" t="b">
        <v>0</v>
      </c>
      <c r="AB275" s="10" t="b">
        <v>0</v>
      </c>
      <c r="AC275" s="181">
        <v>499.0</v>
      </c>
      <c r="AD275" s="144" t="b">
        <v>0</v>
      </c>
      <c r="AE275" s="182">
        <v>236.09999999999997</v>
      </c>
      <c r="AF275" s="10" t="b">
        <v>0</v>
      </c>
      <c r="AG275" s="10" t="b">
        <v>0</v>
      </c>
      <c r="AH275" s="144"/>
      <c r="AI275" s="3"/>
      <c r="AJ275" s="10"/>
      <c r="AK275" s="3" t="s">
        <v>244</v>
      </c>
      <c r="AL275" s="5"/>
      <c r="AM275" s="5" t="s">
        <v>504</v>
      </c>
      <c r="AN275" s="5" t="s">
        <v>505</v>
      </c>
      <c r="AO275" s="5" t="s">
        <v>2185</v>
      </c>
      <c r="AP275" s="5" t="s">
        <v>2185</v>
      </c>
      <c r="AQ275" s="5" t="s">
        <v>2185</v>
      </c>
      <c r="AR275" s="5" t="s">
        <v>2185</v>
      </c>
      <c r="AS275" s="142"/>
      <c r="AT275" s="142" t="b">
        <v>0</v>
      </c>
      <c r="AU275" s="142"/>
      <c r="AV275" s="142"/>
      <c r="AW275" s="142"/>
      <c r="AX275" s="142"/>
      <c r="AY275" s="142"/>
      <c r="AZ275" s="174"/>
      <c r="BA275" s="142"/>
      <c r="BB275" s="142"/>
      <c r="BC275" s="142"/>
      <c r="BD275" s="142"/>
      <c r="BE275" s="142"/>
      <c r="BF275" s="142"/>
      <c r="BG275" s="142"/>
    </row>
    <row r="276">
      <c r="A276" s="5" t="s">
        <v>1044</v>
      </c>
      <c r="B276" s="44">
        <v>44587.0</v>
      </c>
      <c r="C276" s="150">
        <v>0.3372222222222222</v>
      </c>
      <c r="D276" s="3"/>
      <c r="E276" s="3"/>
      <c r="F276" s="5"/>
      <c r="G276" s="5"/>
      <c r="H276" s="5"/>
      <c r="I276" s="3"/>
      <c r="J276" s="3"/>
      <c r="K276" s="3" t="s">
        <v>244</v>
      </c>
      <c r="L276" s="44">
        <v>44587.0</v>
      </c>
      <c r="M276" s="150">
        <v>0.5005555555555555</v>
      </c>
      <c r="N276" s="5"/>
      <c r="O276" s="5"/>
      <c r="P276" s="10" t="b">
        <v>0</v>
      </c>
      <c r="Q276" s="10" t="s">
        <v>2184</v>
      </c>
      <c r="R276" s="144" t="b">
        <v>1</v>
      </c>
      <c r="S276" s="144">
        <v>1.0</v>
      </c>
      <c r="T276" s="10"/>
      <c r="U276" s="5"/>
      <c r="V276" s="3"/>
      <c r="W276" s="5"/>
      <c r="X276" s="144" t="b">
        <v>0</v>
      </c>
      <c r="Y276" s="10" t="b">
        <v>0</v>
      </c>
      <c r="Z276" s="3"/>
      <c r="AA276" s="10" t="b">
        <v>0</v>
      </c>
      <c r="AB276" s="10" t="b">
        <v>0</v>
      </c>
      <c r="AC276" s="181">
        <v>498.0</v>
      </c>
      <c r="AD276" s="144" t="b">
        <v>0</v>
      </c>
      <c r="AE276" s="182">
        <v>235.2</v>
      </c>
      <c r="AF276" s="10" t="b">
        <v>0</v>
      </c>
      <c r="AG276" s="10" t="b">
        <v>0</v>
      </c>
      <c r="AH276" s="144"/>
      <c r="AI276" s="3"/>
      <c r="AJ276" s="10"/>
      <c r="AK276" s="3" t="s">
        <v>244</v>
      </c>
      <c r="AL276" s="5"/>
      <c r="AM276" s="5" t="s">
        <v>303</v>
      </c>
      <c r="AN276" s="5" t="s">
        <v>304</v>
      </c>
      <c r="AO276" s="5" t="s">
        <v>2185</v>
      </c>
      <c r="AP276" s="5" t="s">
        <v>2185</v>
      </c>
      <c r="AQ276" s="5" t="s">
        <v>2185</v>
      </c>
      <c r="AR276" s="5" t="s">
        <v>2185</v>
      </c>
      <c r="AS276" s="142"/>
      <c r="AT276" s="142" t="b">
        <v>0</v>
      </c>
      <c r="AU276" s="142"/>
      <c r="AV276" s="142"/>
      <c r="AW276" s="142"/>
      <c r="AX276" s="142"/>
      <c r="AY276" s="142"/>
      <c r="AZ276" s="174"/>
      <c r="BA276" s="142"/>
      <c r="BB276" s="142"/>
      <c r="BC276" s="142"/>
      <c r="BD276" s="142"/>
      <c r="BE276" s="142"/>
      <c r="BF276" s="142"/>
      <c r="BG276" s="142"/>
    </row>
    <row r="277">
      <c r="A277" s="5" t="s">
        <v>1046</v>
      </c>
      <c r="B277" s="44">
        <v>44587.0</v>
      </c>
      <c r="C277" s="150">
        <v>0.3502314814814815</v>
      </c>
      <c r="D277" s="3"/>
      <c r="E277" s="3"/>
      <c r="F277" s="5"/>
      <c r="G277" s="5"/>
      <c r="H277" s="5"/>
      <c r="I277" s="3"/>
      <c r="J277" s="3"/>
      <c r="K277" s="3" t="s">
        <v>244</v>
      </c>
      <c r="L277" s="44">
        <v>44587.0</v>
      </c>
      <c r="M277" s="150">
        <v>0.5005555555555555</v>
      </c>
      <c r="N277" s="5"/>
      <c r="O277" s="5"/>
      <c r="P277" s="10" t="b">
        <v>0</v>
      </c>
      <c r="Q277" s="10" t="s">
        <v>2184</v>
      </c>
      <c r="R277" s="144" t="b">
        <v>1</v>
      </c>
      <c r="S277" s="144">
        <v>1.0</v>
      </c>
      <c r="T277" s="10"/>
      <c r="U277" s="5"/>
      <c r="V277" s="3"/>
      <c r="W277" s="5"/>
      <c r="X277" s="144" t="b">
        <v>0</v>
      </c>
      <c r="Y277" s="10" t="b">
        <v>0</v>
      </c>
      <c r="Z277" s="3"/>
      <c r="AA277" s="10" t="b">
        <v>0</v>
      </c>
      <c r="AB277" s="10" t="b">
        <v>0</v>
      </c>
      <c r="AC277" s="181">
        <v>497.0</v>
      </c>
      <c r="AD277" s="144" t="b">
        <v>0</v>
      </c>
      <c r="AE277" s="182">
        <v>216.46666666666664</v>
      </c>
      <c r="AF277" s="10" t="b">
        <v>0</v>
      </c>
      <c r="AG277" s="10" t="b">
        <v>0</v>
      </c>
      <c r="AH277" s="144"/>
      <c r="AI277" s="3"/>
      <c r="AJ277" s="10"/>
      <c r="AK277" s="3" t="s">
        <v>244</v>
      </c>
      <c r="AL277" s="5"/>
      <c r="AM277" s="5" t="s">
        <v>577</v>
      </c>
      <c r="AN277" s="5" t="s">
        <v>578</v>
      </c>
      <c r="AO277" s="5" t="s">
        <v>2185</v>
      </c>
      <c r="AP277" s="5" t="s">
        <v>2185</v>
      </c>
      <c r="AQ277" s="5" t="s">
        <v>2185</v>
      </c>
      <c r="AR277" s="5" t="s">
        <v>2185</v>
      </c>
      <c r="AS277" s="142"/>
      <c r="AT277" s="142" t="b">
        <v>0</v>
      </c>
      <c r="AU277" s="142"/>
      <c r="AV277" s="142"/>
      <c r="AW277" s="142"/>
      <c r="AX277" s="142"/>
      <c r="AY277" s="142"/>
      <c r="AZ277" s="174"/>
      <c r="BA277" s="142"/>
      <c r="BB277" s="142"/>
      <c r="BC277" s="142"/>
      <c r="BD277" s="142"/>
      <c r="BE277" s="142"/>
      <c r="BF277" s="142"/>
      <c r="BG277" s="142"/>
    </row>
    <row r="278">
      <c r="A278" s="5" t="s">
        <v>1048</v>
      </c>
      <c r="B278" s="44">
        <v>44587.0</v>
      </c>
      <c r="C278" s="150">
        <v>0.3566898148148148</v>
      </c>
      <c r="D278" s="3"/>
      <c r="E278" s="3"/>
      <c r="F278" s="5"/>
      <c r="G278" s="5"/>
      <c r="H278" s="5"/>
      <c r="I278" s="3"/>
      <c r="J278" s="3"/>
      <c r="K278" s="3" t="s">
        <v>244</v>
      </c>
      <c r="L278" s="44">
        <v>44587.0</v>
      </c>
      <c r="M278" s="150">
        <v>0.5005671296296297</v>
      </c>
      <c r="N278" s="5"/>
      <c r="O278" s="5"/>
      <c r="P278" s="10" t="b">
        <v>0</v>
      </c>
      <c r="Q278" s="10" t="s">
        <v>2184</v>
      </c>
      <c r="R278" s="144" t="b">
        <v>1</v>
      </c>
      <c r="S278" s="144">
        <v>1.0</v>
      </c>
      <c r="T278" s="10"/>
      <c r="U278" s="5"/>
      <c r="V278" s="3"/>
      <c r="W278" s="5"/>
      <c r="X278" s="144" t="b">
        <v>0</v>
      </c>
      <c r="Y278" s="10" t="b">
        <v>0</v>
      </c>
      <c r="Z278" s="3"/>
      <c r="AA278" s="10" t="b">
        <v>0</v>
      </c>
      <c r="AB278" s="10" t="b">
        <v>0</v>
      </c>
      <c r="AC278" s="181">
        <v>496.0</v>
      </c>
      <c r="AD278" s="144" t="b">
        <v>0</v>
      </c>
      <c r="AE278" s="182">
        <v>207.1833333333334</v>
      </c>
      <c r="AF278" s="10" t="b">
        <v>0</v>
      </c>
      <c r="AG278" s="10" t="b">
        <v>0</v>
      </c>
      <c r="AH278" s="144"/>
      <c r="AI278" s="3"/>
      <c r="AJ278" s="10"/>
      <c r="AK278" s="3" t="s">
        <v>244</v>
      </c>
      <c r="AL278" s="5"/>
      <c r="AM278" s="5" t="s">
        <v>273</v>
      </c>
      <c r="AN278" s="5" t="s">
        <v>1049</v>
      </c>
      <c r="AO278" s="5" t="s">
        <v>2185</v>
      </c>
      <c r="AP278" s="5" t="s">
        <v>2185</v>
      </c>
      <c r="AQ278" s="5" t="s">
        <v>2185</v>
      </c>
      <c r="AR278" s="5" t="s">
        <v>2185</v>
      </c>
      <c r="AS278" s="142"/>
      <c r="AT278" s="142" t="b">
        <v>0</v>
      </c>
      <c r="AU278" s="142"/>
      <c r="AV278" s="142"/>
      <c r="AW278" s="142"/>
      <c r="AX278" s="142"/>
      <c r="AY278" s="142"/>
      <c r="AZ278" s="174"/>
      <c r="BA278" s="142"/>
      <c r="BB278" s="142"/>
      <c r="BC278" s="142"/>
      <c r="BD278" s="142"/>
      <c r="BE278" s="142"/>
      <c r="BF278" s="142"/>
      <c r="BG278" s="142"/>
    </row>
    <row r="279">
      <c r="A279" s="5" t="s">
        <v>1051</v>
      </c>
      <c r="B279" s="44">
        <v>44587.0</v>
      </c>
      <c r="C279" s="150">
        <v>0.38894675925925926</v>
      </c>
      <c r="D279" s="3"/>
      <c r="E279" s="3"/>
      <c r="F279" s="5"/>
      <c r="G279" s="5"/>
      <c r="H279" s="5"/>
      <c r="I279" s="3"/>
      <c r="J279" s="3"/>
      <c r="K279" s="3" t="s">
        <v>244</v>
      </c>
      <c r="L279" s="44">
        <v>44587.0</v>
      </c>
      <c r="M279" s="150">
        <v>0.5005671296296297</v>
      </c>
      <c r="N279" s="5"/>
      <c r="O279" s="5"/>
      <c r="P279" s="10" t="b">
        <v>0</v>
      </c>
      <c r="Q279" s="10" t="s">
        <v>2184</v>
      </c>
      <c r="R279" s="144" t="b">
        <v>1</v>
      </c>
      <c r="S279" s="144">
        <v>1.0</v>
      </c>
      <c r="T279" s="10"/>
      <c r="U279" s="5"/>
      <c r="V279" s="3"/>
      <c r="W279" s="5"/>
      <c r="X279" s="144" t="b">
        <v>0</v>
      </c>
      <c r="Y279" s="10" t="b">
        <v>0</v>
      </c>
      <c r="Z279" s="3"/>
      <c r="AA279" s="10" t="b">
        <v>0</v>
      </c>
      <c r="AB279" s="10" t="b">
        <v>0</v>
      </c>
      <c r="AC279" s="181">
        <v>495.0</v>
      </c>
      <c r="AD279" s="144" t="b">
        <v>0</v>
      </c>
      <c r="AE279" s="182">
        <v>160.7333333333334</v>
      </c>
      <c r="AF279" s="10" t="b">
        <v>0</v>
      </c>
      <c r="AG279" s="10" t="b">
        <v>0</v>
      </c>
      <c r="AH279" s="144"/>
      <c r="AI279" s="3"/>
      <c r="AJ279" s="10"/>
      <c r="AK279" s="3" t="s">
        <v>244</v>
      </c>
      <c r="AL279" s="5"/>
      <c r="AM279" s="5" t="s">
        <v>261</v>
      </c>
      <c r="AN279" s="5" t="s">
        <v>262</v>
      </c>
      <c r="AO279" s="5" t="s">
        <v>2185</v>
      </c>
      <c r="AP279" s="5" t="s">
        <v>2185</v>
      </c>
      <c r="AQ279" s="5" t="s">
        <v>2185</v>
      </c>
      <c r="AR279" s="5" t="s">
        <v>2185</v>
      </c>
      <c r="AS279" s="142"/>
      <c r="AT279" s="142" t="b">
        <v>0</v>
      </c>
      <c r="AU279" s="142"/>
      <c r="AV279" s="142"/>
      <c r="AW279" s="142"/>
      <c r="AX279" s="142"/>
      <c r="AY279" s="142"/>
      <c r="AZ279" s="174"/>
      <c r="BA279" s="142"/>
      <c r="BB279" s="142"/>
      <c r="BC279" s="142"/>
      <c r="BD279" s="142"/>
      <c r="BE279" s="142"/>
      <c r="BF279" s="142"/>
      <c r="BG279" s="142"/>
    </row>
    <row r="280">
      <c r="A280" s="5" t="s">
        <v>1053</v>
      </c>
      <c r="B280" s="44">
        <v>44589.0</v>
      </c>
      <c r="C280" s="150">
        <v>0.31453703703703706</v>
      </c>
      <c r="D280" s="3"/>
      <c r="E280" s="3"/>
      <c r="F280" s="5"/>
      <c r="G280" s="5"/>
      <c r="H280" s="5"/>
      <c r="I280" s="3"/>
      <c r="J280" s="3"/>
      <c r="K280" s="3" t="s">
        <v>244</v>
      </c>
      <c r="L280" s="44">
        <v>44589.0</v>
      </c>
      <c r="M280" s="150">
        <v>0.48390046296296296</v>
      </c>
      <c r="N280" s="5"/>
      <c r="O280" s="5"/>
      <c r="P280" s="10" t="b">
        <v>0</v>
      </c>
      <c r="Q280" s="10" t="s">
        <v>2184</v>
      </c>
      <c r="R280" s="144" t="b">
        <v>1</v>
      </c>
      <c r="S280" s="144">
        <v>1.0</v>
      </c>
      <c r="T280" s="10"/>
      <c r="U280" s="5"/>
      <c r="V280" s="3"/>
      <c r="W280" s="5"/>
      <c r="X280" s="144" t="b">
        <v>0</v>
      </c>
      <c r="Y280" s="10" t="b">
        <v>0</v>
      </c>
      <c r="Z280" s="3"/>
      <c r="AA280" s="10" t="b">
        <v>0</v>
      </c>
      <c r="AB280" s="10" t="b">
        <v>0</v>
      </c>
      <c r="AC280" s="181">
        <v>494.0</v>
      </c>
      <c r="AD280" s="144" t="b">
        <v>0</v>
      </c>
      <c r="AE280" s="182">
        <v>243.8833333333333</v>
      </c>
      <c r="AF280" s="10" t="b">
        <v>0</v>
      </c>
      <c r="AG280" s="10" t="b">
        <v>0</v>
      </c>
      <c r="AH280" s="144"/>
      <c r="AI280" s="3"/>
      <c r="AJ280" s="10"/>
      <c r="AK280" s="3" t="s">
        <v>244</v>
      </c>
      <c r="AL280" s="5"/>
      <c r="AM280" s="5" t="s">
        <v>865</v>
      </c>
      <c r="AN280" s="5" t="s">
        <v>548</v>
      </c>
      <c r="AO280" s="5" t="s">
        <v>2185</v>
      </c>
      <c r="AP280" s="5" t="s">
        <v>2185</v>
      </c>
      <c r="AQ280" s="5" t="s">
        <v>2185</v>
      </c>
      <c r="AR280" s="5" t="s">
        <v>2185</v>
      </c>
      <c r="AS280" s="142"/>
      <c r="AT280" s="142" t="b">
        <v>0</v>
      </c>
      <c r="AU280" s="142"/>
      <c r="AV280" s="142"/>
      <c r="AW280" s="142"/>
      <c r="AX280" s="142"/>
      <c r="AY280" s="142"/>
      <c r="AZ280" s="174"/>
      <c r="BA280" s="142"/>
      <c r="BB280" s="142"/>
      <c r="BC280" s="142"/>
      <c r="BD280" s="142"/>
      <c r="BE280" s="142"/>
      <c r="BF280" s="142"/>
      <c r="BG280" s="142"/>
    </row>
    <row r="281">
      <c r="A281" s="5" t="s">
        <v>1055</v>
      </c>
      <c r="B281" s="44">
        <v>44589.0</v>
      </c>
      <c r="C281" s="150">
        <v>0.33037037037037037</v>
      </c>
      <c r="D281" s="3"/>
      <c r="E281" s="3"/>
      <c r="F281" s="5"/>
      <c r="G281" s="5"/>
      <c r="H281" s="5"/>
      <c r="I281" s="3"/>
      <c r="J281" s="3"/>
      <c r="K281" s="3" t="s">
        <v>244</v>
      </c>
      <c r="L281" s="44">
        <v>44589.0</v>
      </c>
      <c r="M281" s="150">
        <v>0.48390046296296296</v>
      </c>
      <c r="N281" s="5"/>
      <c r="O281" s="5"/>
      <c r="P281" s="10" t="b">
        <v>0</v>
      </c>
      <c r="Q281" s="10" t="s">
        <v>2184</v>
      </c>
      <c r="R281" s="144" t="b">
        <v>1</v>
      </c>
      <c r="S281" s="144">
        <v>1.0</v>
      </c>
      <c r="T281" s="10"/>
      <c r="U281" s="5"/>
      <c r="V281" s="3"/>
      <c r="W281" s="5"/>
      <c r="X281" s="144" t="b">
        <v>0</v>
      </c>
      <c r="Y281" s="10" t="b">
        <v>0</v>
      </c>
      <c r="Z281" s="3"/>
      <c r="AA281" s="10" t="b">
        <v>0</v>
      </c>
      <c r="AB281" s="10" t="b">
        <v>0</v>
      </c>
      <c r="AC281" s="181">
        <v>493.0</v>
      </c>
      <c r="AD281" s="144" t="b">
        <v>0</v>
      </c>
      <c r="AE281" s="182">
        <v>221.08333333333334</v>
      </c>
      <c r="AF281" s="10" t="b">
        <v>0</v>
      </c>
      <c r="AG281" s="10" t="b">
        <v>0</v>
      </c>
      <c r="AH281" s="144"/>
      <c r="AI281" s="3"/>
      <c r="AJ281" s="10"/>
      <c r="AK281" s="3" t="s">
        <v>244</v>
      </c>
      <c r="AL281" s="5"/>
      <c r="AM281" s="5" t="s">
        <v>577</v>
      </c>
      <c r="AN281" s="5" t="s">
        <v>578</v>
      </c>
      <c r="AO281" s="5" t="s">
        <v>2185</v>
      </c>
      <c r="AP281" s="5" t="s">
        <v>2185</v>
      </c>
      <c r="AQ281" s="5" t="s">
        <v>2185</v>
      </c>
      <c r="AR281" s="5" t="s">
        <v>2185</v>
      </c>
      <c r="AS281" s="142"/>
      <c r="AT281" s="142" t="b">
        <v>0</v>
      </c>
      <c r="AU281" s="142"/>
      <c r="AV281" s="142"/>
      <c r="AW281" s="142"/>
      <c r="AX281" s="142"/>
      <c r="AY281" s="142"/>
      <c r="AZ281" s="174"/>
      <c r="BA281" s="142"/>
      <c r="BB281" s="142"/>
      <c r="BC281" s="142"/>
      <c r="BD281" s="142"/>
      <c r="BE281" s="142"/>
      <c r="BF281" s="142"/>
      <c r="BG281" s="142"/>
    </row>
    <row r="282">
      <c r="A282" s="5" t="s">
        <v>1057</v>
      </c>
      <c r="B282" s="44">
        <v>44589.0</v>
      </c>
      <c r="C282" s="150">
        <v>0.33152777777777775</v>
      </c>
      <c r="D282" s="3"/>
      <c r="E282" s="3"/>
      <c r="F282" s="5"/>
      <c r="G282" s="5"/>
      <c r="H282" s="5"/>
      <c r="I282" s="3"/>
      <c r="J282" s="3"/>
      <c r="K282" s="3" t="s">
        <v>244</v>
      </c>
      <c r="L282" s="44">
        <v>44589.0</v>
      </c>
      <c r="M282" s="150">
        <v>0.48390046296296296</v>
      </c>
      <c r="N282" s="5"/>
      <c r="O282" s="5"/>
      <c r="P282" s="10" t="b">
        <v>0</v>
      </c>
      <c r="Q282" s="10" t="s">
        <v>2184</v>
      </c>
      <c r="R282" s="144" t="b">
        <v>1</v>
      </c>
      <c r="S282" s="144">
        <v>1.0</v>
      </c>
      <c r="T282" s="10">
        <v>0.0</v>
      </c>
      <c r="U282" s="5"/>
      <c r="V282" s="3"/>
      <c r="W282" s="5"/>
      <c r="X282" s="144" t="b">
        <v>0</v>
      </c>
      <c r="Y282" s="10" t="b">
        <v>0</v>
      </c>
      <c r="Z282" s="3"/>
      <c r="AA282" s="10" t="b">
        <v>0</v>
      </c>
      <c r="AB282" s="10" t="b">
        <v>0</v>
      </c>
      <c r="AC282" s="181">
        <v>492.0</v>
      </c>
      <c r="AD282" s="144" t="b">
        <v>0</v>
      </c>
      <c r="AE282" s="182">
        <v>219.41666666666669</v>
      </c>
      <c r="AF282" s="10" t="b">
        <v>0</v>
      </c>
      <c r="AG282" s="10" t="b">
        <v>0</v>
      </c>
      <c r="AH282" s="144"/>
      <c r="AI282" s="3"/>
      <c r="AJ282" s="10"/>
      <c r="AK282" s="3" t="s">
        <v>244</v>
      </c>
      <c r="AL282" s="5"/>
      <c r="AM282" s="5" t="s">
        <v>587</v>
      </c>
      <c r="AN282" s="5" t="s">
        <v>960</v>
      </c>
      <c r="AO282" s="5" t="s">
        <v>2185</v>
      </c>
      <c r="AP282" s="5" t="s">
        <v>2185</v>
      </c>
      <c r="AQ282" s="5" t="s">
        <v>2185</v>
      </c>
      <c r="AR282" s="5" t="s">
        <v>2185</v>
      </c>
      <c r="AS282" s="142"/>
      <c r="AT282" s="142" t="b">
        <v>0</v>
      </c>
      <c r="AU282" s="142"/>
      <c r="AV282" s="142"/>
      <c r="AW282" s="142"/>
      <c r="AX282" s="142"/>
      <c r="AY282" s="142"/>
      <c r="AZ282" s="174"/>
      <c r="BA282" s="142"/>
      <c r="BB282" s="142"/>
      <c r="BC282" s="142"/>
      <c r="BD282" s="142"/>
      <c r="BE282" s="142"/>
      <c r="BF282" s="142"/>
      <c r="BG282" s="142"/>
    </row>
    <row r="283">
      <c r="A283" s="5" t="s">
        <v>1059</v>
      </c>
      <c r="B283" s="44">
        <v>44589.0</v>
      </c>
      <c r="C283" s="150">
        <v>0.33208333333333334</v>
      </c>
      <c r="D283" s="3"/>
      <c r="E283" s="3"/>
      <c r="F283" s="5"/>
      <c r="G283" s="5"/>
      <c r="H283" s="5"/>
      <c r="I283" s="3"/>
      <c r="J283" s="3"/>
      <c r="K283" s="3" t="s">
        <v>244</v>
      </c>
      <c r="L283" s="44">
        <v>44589.0</v>
      </c>
      <c r="M283" s="150">
        <v>0.48390046296296296</v>
      </c>
      <c r="N283" s="5"/>
      <c r="O283" s="5"/>
      <c r="P283" s="10" t="b">
        <v>0</v>
      </c>
      <c r="Q283" s="10" t="s">
        <v>2184</v>
      </c>
      <c r="R283" s="144" t="b">
        <v>1</v>
      </c>
      <c r="S283" s="144">
        <v>1.0</v>
      </c>
      <c r="T283" s="10"/>
      <c r="U283" s="5"/>
      <c r="V283" s="3"/>
      <c r="W283" s="5"/>
      <c r="X283" s="144" t="b">
        <v>0</v>
      </c>
      <c r="Y283" s="10" t="b">
        <v>0</v>
      </c>
      <c r="Z283" s="3"/>
      <c r="AA283" s="10" t="b">
        <v>0</v>
      </c>
      <c r="AB283" s="10" t="b">
        <v>0</v>
      </c>
      <c r="AC283" s="181">
        <v>491.0</v>
      </c>
      <c r="AD283" s="144" t="b">
        <v>0</v>
      </c>
      <c r="AE283" s="182">
        <v>218.61666666666665</v>
      </c>
      <c r="AF283" s="10" t="b">
        <v>0</v>
      </c>
      <c r="AG283" s="10" t="b">
        <v>0</v>
      </c>
      <c r="AH283" s="144"/>
      <c r="AI283" s="3"/>
      <c r="AJ283" s="10"/>
      <c r="AK283" s="3" t="s">
        <v>244</v>
      </c>
      <c r="AL283" s="5"/>
      <c r="AM283" s="5" t="s">
        <v>587</v>
      </c>
      <c r="AN283" s="5" t="s">
        <v>588</v>
      </c>
      <c r="AO283" s="5" t="s">
        <v>2185</v>
      </c>
      <c r="AP283" s="5" t="s">
        <v>2185</v>
      </c>
      <c r="AQ283" s="5" t="s">
        <v>2185</v>
      </c>
      <c r="AR283" s="5" t="s">
        <v>2185</v>
      </c>
      <c r="AS283" s="142"/>
      <c r="AT283" s="142" t="b">
        <v>0</v>
      </c>
      <c r="AU283" s="142"/>
      <c r="AV283" s="142"/>
      <c r="AW283" s="142"/>
      <c r="AX283" s="142"/>
      <c r="AY283" s="142"/>
      <c r="AZ283" s="174"/>
      <c r="BA283" s="142"/>
      <c r="BB283" s="142"/>
      <c r="BC283" s="142"/>
      <c r="BD283" s="142"/>
      <c r="BE283" s="142"/>
      <c r="BF283" s="142"/>
      <c r="BG283" s="142"/>
    </row>
    <row r="284">
      <c r="A284" s="5" t="s">
        <v>1061</v>
      </c>
      <c r="B284" s="44">
        <v>44589.0</v>
      </c>
      <c r="C284" s="150">
        <v>0.3442013888888889</v>
      </c>
      <c r="D284" s="3"/>
      <c r="E284" s="3"/>
      <c r="F284" s="5"/>
      <c r="G284" s="5"/>
      <c r="H284" s="5"/>
      <c r="I284" s="3"/>
      <c r="J284" s="3"/>
      <c r="K284" s="3" t="s">
        <v>244</v>
      </c>
      <c r="L284" s="44">
        <v>44589.0</v>
      </c>
      <c r="M284" s="150">
        <v>0.48390046296296296</v>
      </c>
      <c r="N284" s="5"/>
      <c r="O284" s="5"/>
      <c r="P284" s="10" t="b">
        <v>0</v>
      </c>
      <c r="Q284" s="10" t="s">
        <v>2184</v>
      </c>
      <c r="R284" s="144" t="b">
        <v>1</v>
      </c>
      <c r="S284" s="144">
        <v>1.0</v>
      </c>
      <c r="T284" s="10"/>
      <c r="U284" s="5"/>
      <c r="V284" s="3"/>
      <c r="W284" s="5"/>
      <c r="X284" s="144" t="b">
        <v>0</v>
      </c>
      <c r="Y284" s="10" t="b">
        <v>0</v>
      </c>
      <c r="Z284" s="3"/>
      <c r="AA284" s="10" t="b">
        <v>0</v>
      </c>
      <c r="AB284" s="10" t="b">
        <v>0</v>
      </c>
      <c r="AC284" s="181">
        <v>490.0</v>
      </c>
      <c r="AD284" s="144" t="b">
        <v>0</v>
      </c>
      <c r="AE284" s="182">
        <v>201.16666666666666</v>
      </c>
      <c r="AF284" s="10" t="b">
        <v>0</v>
      </c>
      <c r="AG284" s="10" t="b">
        <v>0</v>
      </c>
      <c r="AH284" s="144"/>
      <c r="AI284" s="3"/>
      <c r="AJ284" s="10"/>
      <c r="AK284" s="3" t="s">
        <v>244</v>
      </c>
      <c r="AL284" s="5"/>
      <c r="AM284" s="5" t="s">
        <v>409</v>
      </c>
      <c r="AN284" s="5" t="s">
        <v>410</v>
      </c>
      <c r="AO284" s="5" t="s">
        <v>2185</v>
      </c>
      <c r="AP284" s="5" t="s">
        <v>2185</v>
      </c>
      <c r="AQ284" s="5" t="s">
        <v>2185</v>
      </c>
      <c r="AR284" s="5" t="s">
        <v>2185</v>
      </c>
      <c r="AS284" s="142"/>
      <c r="AT284" s="142" t="b">
        <v>0</v>
      </c>
      <c r="AU284" s="142"/>
      <c r="AV284" s="142"/>
      <c r="AW284" s="142"/>
      <c r="AX284" s="142"/>
      <c r="AY284" s="142"/>
      <c r="AZ284" s="174"/>
      <c r="BA284" s="142"/>
      <c r="BB284" s="142"/>
      <c r="BC284" s="142"/>
      <c r="BD284" s="142"/>
      <c r="BE284" s="142"/>
      <c r="BF284" s="142"/>
      <c r="BG284" s="142"/>
    </row>
    <row r="285">
      <c r="A285" s="5" t="s">
        <v>1063</v>
      </c>
      <c r="B285" s="44">
        <v>44589.0</v>
      </c>
      <c r="C285" s="150">
        <v>0.3478819444444444</v>
      </c>
      <c r="D285" s="3"/>
      <c r="E285" s="3"/>
      <c r="F285" s="5"/>
      <c r="G285" s="5"/>
      <c r="H285" s="5"/>
      <c r="I285" s="3"/>
      <c r="J285" s="3"/>
      <c r="K285" s="3" t="s">
        <v>244</v>
      </c>
      <c r="L285" s="44">
        <v>44589.0</v>
      </c>
      <c r="M285" s="150">
        <v>0.48390046296296296</v>
      </c>
      <c r="N285" s="5"/>
      <c r="O285" s="5"/>
      <c r="P285" s="10" t="b">
        <v>0</v>
      </c>
      <c r="Q285" s="10" t="s">
        <v>2184</v>
      </c>
      <c r="R285" s="144" t="b">
        <v>1</v>
      </c>
      <c r="S285" s="144">
        <v>1.0</v>
      </c>
      <c r="T285" s="10"/>
      <c r="U285" s="5"/>
      <c r="V285" s="3"/>
      <c r="W285" s="5"/>
      <c r="X285" s="144" t="b">
        <v>0</v>
      </c>
      <c r="Y285" s="10" t="b">
        <v>0</v>
      </c>
      <c r="Z285" s="3"/>
      <c r="AA285" s="10" t="b">
        <v>0</v>
      </c>
      <c r="AB285" s="10" t="b">
        <v>0</v>
      </c>
      <c r="AC285" s="181">
        <v>489.0</v>
      </c>
      <c r="AD285" s="144" t="b">
        <v>0</v>
      </c>
      <c r="AE285" s="182">
        <v>195.8666666666667</v>
      </c>
      <c r="AF285" s="10" t="b">
        <v>0</v>
      </c>
      <c r="AG285" s="10" t="b">
        <v>0</v>
      </c>
      <c r="AH285" s="144"/>
      <c r="AI285" s="3"/>
      <c r="AJ285" s="10"/>
      <c r="AK285" s="3" t="s">
        <v>244</v>
      </c>
      <c r="AL285" s="5"/>
      <c r="AM285" s="5" t="s">
        <v>649</v>
      </c>
      <c r="AN285" s="5" t="s">
        <v>336</v>
      </c>
      <c r="AO285" s="5" t="s">
        <v>2185</v>
      </c>
      <c r="AP285" s="5" t="s">
        <v>2185</v>
      </c>
      <c r="AQ285" s="5" t="s">
        <v>2185</v>
      </c>
      <c r="AR285" s="5" t="s">
        <v>2185</v>
      </c>
      <c r="AS285" s="142"/>
      <c r="AT285" s="142" t="b">
        <v>0</v>
      </c>
      <c r="AU285" s="142"/>
      <c r="AV285" s="142"/>
      <c r="AW285" s="142"/>
      <c r="AX285" s="142"/>
      <c r="AY285" s="142"/>
      <c r="AZ285" s="174"/>
      <c r="BA285" s="142"/>
      <c r="BB285" s="142"/>
      <c r="BC285" s="142"/>
      <c r="BD285" s="142"/>
      <c r="BE285" s="142"/>
      <c r="BF285" s="142"/>
      <c r="BG285" s="142"/>
    </row>
    <row r="286">
      <c r="A286" s="5" t="s">
        <v>1065</v>
      </c>
      <c r="B286" s="44">
        <v>44589.0</v>
      </c>
      <c r="C286" s="150">
        <v>0.3656828703703704</v>
      </c>
      <c r="D286" s="3"/>
      <c r="E286" s="3"/>
      <c r="F286" s="5"/>
      <c r="G286" s="5"/>
      <c r="H286" s="5"/>
      <c r="I286" s="3"/>
      <c r="J286" s="3"/>
      <c r="K286" s="3" t="s">
        <v>244</v>
      </c>
      <c r="L286" s="44">
        <v>44589.0</v>
      </c>
      <c r="M286" s="150">
        <v>0.48391203703703706</v>
      </c>
      <c r="N286" s="5"/>
      <c r="O286" s="5"/>
      <c r="P286" s="10" t="b">
        <v>0</v>
      </c>
      <c r="Q286" s="10" t="s">
        <v>2184</v>
      </c>
      <c r="R286" s="144" t="b">
        <v>1</v>
      </c>
      <c r="S286" s="144">
        <v>1.0</v>
      </c>
      <c r="T286" s="10"/>
      <c r="U286" s="5"/>
      <c r="V286" s="3"/>
      <c r="W286" s="5"/>
      <c r="X286" s="144" t="b">
        <v>0</v>
      </c>
      <c r="Y286" s="10" t="b">
        <v>0</v>
      </c>
      <c r="Z286" s="3"/>
      <c r="AA286" s="10" t="b">
        <v>0</v>
      </c>
      <c r="AB286" s="10" t="b">
        <v>0</v>
      </c>
      <c r="AC286" s="181">
        <v>488.0</v>
      </c>
      <c r="AD286" s="144" t="b">
        <v>0</v>
      </c>
      <c r="AE286" s="182">
        <v>170.25</v>
      </c>
      <c r="AF286" s="10" t="b">
        <v>0</v>
      </c>
      <c r="AG286" s="10" t="b">
        <v>0</v>
      </c>
      <c r="AH286" s="144"/>
      <c r="AI286" s="3"/>
      <c r="AJ286" s="10"/>
      <c r="AK286" s="3" t="s">
        <v>244</v>
      </c>
      <c r="AL286" s="5"/>
      <c r="AM286" s="5" t="s">
        <v>261</v>
      </c>
      <c r="AN286" s="5" t="s">
        <v>640</v>
      </c>
      <c r="AO286" s="5" t="s">
        <v>2185</v>
      </c>
      <c r="AP286" s="5" t="s">
        <v>2185</v>
      </c>
      <c r="AQ286" s="5" t="s">
        <v>2185</v>
      </c>
      <c r="AR286" s="5" t="s">
        <v>2185</v>
      </c>
      <c r="AS286" s="142"/>
      <c r="AT286" s="142" t="b">
        <v>0</v>
      </c>
      <c r="AU286" s="142"/>
      <c r="AV286" s="142"/>
      <c r="AW286" s="142"/>
      <c r="AX286" s="142"/>
      <c r="AY286" s="142"/>
      <c r="AZ286" s="174"/>
      <c r="BA286" s="142"/>
      <c r="BB286" s="142"/>
      <c r="BC286" s="142"/>
      <c r="BD286" s="142"/>
      <c r="BE286" s="142"/>
      <c r="BF286" s="142"/>
      <c r="BG286" s="142"/>
    </row>
    <row r="287">
      <c r="A287" s="5" t="s">
        <v>1067</v>
      </c>
      <c r="B287" s="44">
        <v>44592.0</v>
      </c>
      <c r="C287" s="150">
        <v>0.32427083333333334</v>
      </c>
      <c r="D287" s="3"/>
      <c r="E287" s="3"/>
      <c r="F287" s="5"/>
      <c r="G287" s="5"/>
      <c r="H287" s="5"/>
      <c r="I287" s="3"/>
      <c r="J287" s="3"/>
      <c r="K287" s="3" t="s">
        <v>244</v>
      </c>
      <c r="L287" s="44">
        <v>44592.0</v>
      </c>
      <c r="M287" s="150">
        <v>0.46023148148148146</v>
      </c>
      <c r="N287" s="5"/>
      <c r="O287" s="5"/>
      <c r="P287" s="10" t="b">
        <v>0</v>
      </c>
      <c r="Q287" s="10" t="s">
        <v>2184</v>
      </c>
      <c r="R287" s="144" t="b">
        <v>1</v>
      </c>
      <c r="S287" s="144">
        <v>1.0</v>
      </c>
      <c r="T287" s="10"/>
      <c r="U287" s="5"/>
      <c r="V287" s="3"/>
      <c r="W287" s="5"/>
      <c r="X287" s="144" t="b">
        <v>0</v>
      </c>
      <c r="Y287" s="10" t="b">
        <v>0</v>
      </c>
      <c r="Z287" s="3"/>
      <c r="AA287" s="10" t="b">
        <v>0</v>
      </c>
      <c r="AB287" s="10" t="b">
        <v>0</v>
      </c>
      <c r="AC287" s="181">
        <v>487.0</v>
      </c>
      <c r="AD287" s="144" t="b">
        <v>0</v>
      </c>
      <c r="AE287" s="182">
        <v>195.7833333333333</v>
      </c>
      <c r="AF287" s="10" t="b">
        <v>0</v>
      </c>
      <c r="AG287" s="10" t="b">
        <v>0</v>
      </c>
      <c r="AH287" s="144"/>
      <c r="AI287" s="3"/>
      <c r="AJ287" s="10"/>
      <c r="AK287" s="3" t="s">
        <v>244</v>
      </c>
      <c r="AL287" s="5"/>
      <c r="AM287" s="5" t="s">
        <v>310</v>
      </c>
      <c r="AN287" s="5" t="s">
        <v>311</v>
      </c>
      <c r="AO287" s="5" t="s">
        <v>2185</v>
      </c>
      <c r="AP287" s="5" t="s">
        <v>2185</v>
      </c>
      <c r="AQ287" s="5" t="s">
        <v>2185</v>
      </c>
      <c r="AR287" s="5" t="s">
        <v>2185</v>
      </c>
      <c r="AS287" s="142"/>
      <c r="AT287" s="142" t="b">
        <v>0</v>
      </c>
      <c r="AU287" s="142"/>
      <c r="AV287" s="142"/>
      <c r="AW287" s="142"/>
      <c r="AX287" s="142"/>
      <c r="AY287" s="142"/>
      <c r="AZ287" s="174"/>
      <c r="BA287" s="142"/>
      <c r="BB287" s="142"/>
      <c r="BC287" s="142"/>
      <c r="BD287" s="142"/>
      <c r="BE287" s="142"/>
      <c r="BF287" s="142"/>
      <c r="BG287" s="142"/>
    </row>
    <row r="288">
      <c r="A288" s="5" t="s">
        <v>1069</v>
      </c>
      <c r="B288" s="44">
        <v>44592.0</v>
      </c>
      <c r="C288" s="150">
        <v>0.3260416666666667</v>
      </c>
      <c r="D288" s="3"/>
      <c r="E288" s="3"/>
      <c r="F288" s="5"/>
      <c r="G288" s="5"/>
      <c r="H288" s="5"/>
      <c r="I288" s="3"/>
      <c r="J288" s="3"/>
      <c r="K288" s="3" t="s">
        <v>244</v>
      </c>
      <c r="L288" s="44">
        <v>44592.0</v>
      </c>
      <c r="M288" s="150">
        <v>0.46024305555555556</v>
      </c>
      <c r="N288" s="5"/>
      <c r="O288" s="5"/>
      <c r="P288" s="10" t="b">
        <v>0</v>
      </c>
      <c r="Q288" s="10" t="s">
        <v>2184</v>
      </c>
      <c r="R288" s="144" t="b">
        <v>1</v>
      </c>
      <c r="S288" s="144">
        <v>1.0</v>
      </c>
      <c r="T288" s="10"/>
      <c r="U288" s="5"/>
      <c r="V288" s="3"/>
      <c r="W288" s="5"/>
      <c r="X288" s="144" t="b">
        <v>0</v>
      </c>
      <c r="Y288" s="10" t="b">
        <v>0</v>
      </c>
      <c r="Z288" s="3"/>
      <c r="AA288" s="10" t="b">
        <v>0</v>
      </c>
      <c r="AB288" s="10" t="b">
        <v>0</v>
      </c>
      <c r="AC288" s="181">
        <v>486.0</v>
      </c>
      <c r="AD288" s="144" t="b">
        <v>0</v>
      </c>
      <c r="AE288" s="182">
        <v>193.25</v>
      </c>
      <c r="AF288" s="10" t="b">
        <v>0</v>
      </c>
      <c r="AG288" s="10" t="b">
        <v>0</v>
      </c>
      <c r="AH288" s="144"/>
      <c r="AI288" s="3"/>
      <c r="AJ288" s="10"/>
      <c r="AK288" s="3" t="s">
        <v>244</v>
      </c>
      <c r="AL288" s="5"/>
      <c r="AM288" s="5" t="s">
        <v>287</v>
      </c>
      <c r="AN288" s="5" t="s">
        <v>288</v>
      </c>
      <c r="AO288" s="5" t="s">
        <v>2185</v>
      </c>
      <c r="AP288" s="5" t="s">
        <v>2185</v>
      </c>
      <c r="AQ288" s="5" t="s">
        <v>2185</v>
      </c>
      <c r="AR288" s="5" t="s">
        <v>2185</v>
      </c>
      <c r="AS288" s="142"/>
      <c r="AT288" s="142" t="b">
        <v>0</v>
      </c>
      <c r="AU288" s="142"/>
      <c r="AV288" s="142"/>
      <c r="AW288" s="142"/>
      <c r="AX288" s="142"/>
      <c r="AY288" s="142"/>
      <c r="AZ288" s="174"/>
      <c r="BA288" s="142"/>
      <c r="BB288" s="142"/>
      <c r="BC288" s="142"/>
      <c r="BD288" s="142"/>
      <c r="BE288" s="142"/>
      <c r="BF288" s="142"/>
      <c r="BG288" s="142"/>
    </row>
    <row r="289">
      <c r="A289" s="5" t="s">
        <v>1071</v>
      </c>
      <c r="B289" s="44">
        <v>44592.0</v>
      </c>
      <c r="C289" s="150">
        <v>0.3271759259259259</v>
      </c>
      <c r="D289" s="3"/>
      <c r="E289" s="3"/>
      <c r="F289" s="5"/>
      <c r="G289" s="5"/>
      <c r="H289" s="5"/>
      <c r="I289" s="3"/>
      <c r="J289" s="3"/>
      <c r="K289" s="3" t="s">
        <v>244</v>
      </c>
      <c r="L289" s="44">
        <v>44592.0</v>
      </c>
      <c r="M289" s="150">
        <v>0.46024305555555556</v>
      </c>
      <c r="N289" s="5"/>
      <c r="O289" s="5"/>
      <c r="P289" s="10" t="b">
        <v>0</v>
      </c>
      <c r="Q289" s="10" t="s">
        <v>2184</v>
      </c>
      <c r="R289" s="144" t="b">
        <v>1</v>
      </c>
      <c r="S289" s="144">
        <v>1.0</v>
      </c>
      <c r="T289" s="10"/>
      <c r="U289" s="5"/>
      <c r="V289" s="3"/>
      <c r="W289" s="5"/>
      <c r="X289" s="144" t="b">
        <v>0</v>
      </c>
      <c r="Y289" s="10" t="b">
        <v>0</v>
      </c>
      <c r="Z289" s="3"/>
      <c r="AA289" s="10" t="b">
        <v>0</v>
      </c>
      <c r="AB289" s="10" t="b">
        <v>0</v>
      </c>
      <c r="AC289" s="181">
        <v>485.0</v>
      </c>
      <c r="AD289" s="144" t="b">
        <v>0</v>
      </c>
      <c r="AE289" s="182">
        <v>191.61666666666667</v>
      </c>
      <c r="AF289" s="10" t="b">
        <v>0</v>
      </c>
      <c r="AG289" s="10" t="b">
        <v>0</v>
      </c>
      <c r="AH289" s="144"/>
      <c r="AI289" s="3"/>
      <c r="AJ289" s="10"/>
      <c r="AK289" s="3" t="s">
        <v>244</v>
      </c>
      <c r="AL289" s="5"/>
      <c r="AM289" s="5" t="s">
        <v>356</v>
      </c>
      <c r="AN289" s="5" t="s">
        <v>357</v>
      </c>
      <c r="AO289" s="5" t="s">
        <v>2185</v>
      </c>
      <c r="AP289" s="5" t="s">
        <v>2185</v>
      </c>
      <c r="AQ289" s="5" t="s">
        <v>2185</v>
      </c>
      <c r="AR289" s="5" t="s">
        <v>2185</v>
      </c>
      <c r="AS289" s="142"/>
      <c r="AT289" s="142" t="b">
        <v>0</v>
      </c>
      <c r="AU289" s="142"/>
      <c r="AV289" s="142"/>
      <c r="AW289" s="142"/>
      <c r="AX289" s="142"/>
      <c r="AY289" s="142"/>
      <c r="AZ289" s="174"/>
      <c r="BA289" s="142"/>
      <c r="BB289" s="142"/>
      <c r="BC289" s="142"/>
      <c r="BD289" s="142"/>
      <c r="BE289" s="142"/>
      <c r="BF289" s="142"/>
      <c r="BG289" s="142"/>
    </row>
    <row r="290">
      <c r="A290" s="5" t="s">
        <v>1073</v>
      </c>
      <c r="B290" s="44">
        <v>44592.0</v>
      </c>
      <c r="C290" s="150">
        <v>0.32744212962962965</v>
      </c>
      <c r="D290" s="3"/>
      <c r="E290" s="3"/>
      <c r="F290" s="5"/>
      <c r="G290" s="5"/>
      <c r="H290" s="5"/>
      <c r="I290" s="3"/>
      <c r="J290" s="3"/>
      <c r="K290" s="3" t="s">
        <v>244</v>
      </c>
      <c r="L290" s="44">
        <v>44592.0</v>
      </c>
      <c r="M290" s="150">
        <v>0.46024305555555556</v>
      </c>
      <c r="N290" s="5"/>
      <c r="O290" s="5"/>
      <c r="P290" s="10" t="b">
        <v>0</v>
      </c>
      <c r="Q290" s="10" t="s">
        <v>2184</v>
      </c>
      <c r="R290" s="144" t="b">
        <v>1</v>
      </c>
      <c r="S290" s="144">
        <v>1.0</v>
      </c>
      <c r="T290" s="10"/>
      <c r="U290" s="5"/>
      <c r="V290" s="3"/>
      <c r="W290" s="5"/>
      <c r="X290" s="144" t="b">
        <v>0</v>
      </c>
      <c r="Y290" s="10" t="b">
        <v>0</v>
      </c>
      <c r="Z290" s="3"/>
      <c r="AA290" s="10" t="b">
        <v>0</v>
      </c>
      <c r="AB290" s="10" t="b">
        <v>0</v>
      </c>
      <c r="AC290" s="181">
        <v>484.0</v>
      </c>
      <c r="AD290" s="144" t="b">
        <v>0</v>
      </c>
      <c r="AE290" s="182">
        <v>191.2333333333333</v>
      </c>
      <c r="AF290" s="10" t="b">
        <v>0</v>
      </c>
      <c r="AG290" s="10" t="b">
        <v>0</v>
      </c>
      <c r="AH290" s="144"/>
      <c r="AI290" s="3"/>
      <c r="AJ290" s="10"/>
      <c r="AK290" s="3" t="s">
        <v>244</v>
      </c>
      <c r="AL290" s="5"/>
      <c r="AM290" s="5" t="s">
        <v>307</v>
      </c>
      <c r="AN290" s="5" t="s">
        <v>266</v>
      </c>
      <c r="AO290" s="5" t="s">
        <v>2185</v>
      </c>
      <c r="AP290" s="5" t="s">
        <v>2185</v>
      </c>
      <c r="AQ290" s="5" t="s">
        <v>2185</v>
      </c>
      <c r="AR290" s="5" t="s">
        <v>2185</v>
      </c>
      <c r="AS290" s="142"/>
      <c r="AT290" s="142" t="b">
        <v>0</v>
      </c>
      <c r="AU290" s="142"/>
      <c r="AV290" s="142"/>
      <c r="AW290" s="142"/>
      <c r="AX290" s="142"/>
      <c r="AY290" s="142"/>
      <c r="AZ290" s="174"/>
      <c r="BA290" s="142"/>
      <c r="BB290" s="142"/>
      <c r="BC290" s="142"/>
      <c r="BD290" s="142"/>
      <c r="BE290" s="142"/>
      <c r="BF290" s="142"/>
      <c r="BG290" s="142"/>
    </row>
    <row r="291">
      <c r="A291" s="5" t="s">
        <v>1075</v>
      </c>
      <c r="B291" s="44">
        <v>44592.0</v>
      </c>
      <c r="C291" s="150">
        <v>0.3297337962962963</v>
      </c>
      <c r="D291" s="3"/>
      <c r="E291" s="3"/>
      <c r="F291" s="5"/>
      <c r="G291" s="5"/>
      <c r="H291" s="5"/>
      <c r="I291" s="3"/>
      <c r="J291" s="3"/>
      <c r="K291" s="3" t="s">
        <v>244</v>
      </c>
      <c r="L291" s="44">
        <v>44592.0</v>
      </c>
      <c r="M291" s="150">
        <v>0.46024305555555556</v>
      </c>
      <c r="N291" s="5"/>
      <c r="O291" s="5"/>
      <c r="P291" s="10" t="b">
        <v>0</v>
      </c>
      <c r="Q291" s="10" t="s">
        <v>2184</v>
      </c>
      <c r="R291" s="144" t="b">
        <v>1</v>
      </c>
      <c r="S291" s="144">
        <v>1.0</v>
      </c>
      <c r="T291" s="10"/>
      <c r="U291" s="5"/>
      <c r="V291" s="3"/>
      <c r="W291" s="5"/>
      <c r="X291" s="144" t="b">
        <v>0</v>
      </c>
      <c r="Y291" s="10" t="b">
        <v>0</v>
      </c>
      <c r="Z291" s="3"/>
      <c r="AA291" s="10" t="b">
        <v>0</v>
      </c>
      <c r="AB291" s="10" t="b">
        <v>0</v>
      </c>
      <c r="AC291" s="181">
        <v>483.0</v>
      </c>
      <c r="AD291" s="144" t="b">
        <v>0</v>
      </c>
      <c r="AE291" s="182">
        <v>187.93333333333334</v>
      </c>
      <c r="AF291" s="10" t="b">
        <v>0</v>
      </c>
      <c r="AG291" s="10" t="b">
        <v>0</v>
      </c>
      <c r="AH291" s="144"/>
      <c r="AI291" s="3"/>
      <c r="AJ291" s="10"/>
      <c r="AK291" s="3" t="s">
        <v>244</v>
      </c>
      <c r="AL291" s="5"/>
      <c r="AM291" s="5" t="s">
        <v>318</v>
      </c>
      <c r="AN291" s="5" t="s">
        <v>319</v>
      </c>
      <c r="AO291" s="5" t="s">
        <v>2185</v>
      </c>
      <c r="AP291" s="5" t="s">
        <v>2185</v>
      </c>
      <c r="AQ291" s="5" t="s">
        <v>2185</v>
      </c>
      <c r="AR291" s="5" t="s">
        <v>2185</v>
      </c>
      <c r="AS291" s="142"/>
      <c r="AT291" s="142" t="b">
        <v>0</v>
      </c>
      <c r="AU291" s="142"/>
      <c r="AV291" s="142"/>
      <c r="AW291" s="142"/>
      <c r="AX291" s="142"/>
      <c r="AY291" s="142"/>
      <c r="AZ291" s="174"/>
      <c r="BA291" s="142"/>
      <c r="BB291" s="142"/>
      <c r="BC291" s="142"/>
      <c r="BD291" s="142"/>
      <c r="BE291" s="142"/>
      <c r="BF291" s="142"/>
      <c r="BG291" s="142"/>
    </row>
    <row r="292">
      <c r="A292" s="5" t="s">
        <v>1077</v>
      </c>
      <c r="B292" s="44">
        <v>44592.0</v>
      </c>
      <c r="C292" s="150">
        <v>0.33358796296296295</v>
      </c>
      <c r="D292" s="3"/>
      <c r="E292" s="3"/>
      <c r="F292" s="5"/>
      <c r="G292" s="5"/>
      <c r="H292" s="5"/>
      <c r="I292" s="3"/>
      <c r="J292" s="3"/>
      <c r="K292" s="3" t="s">
        <v>244</v>
      </c>
      <c r="L292" s="44">
        <v>44592.0</v>
      </c>
      <c r="M292" s="150">
        <v>0.46024305555555556</v>
      </c>
      <c r="N292" s="5"/>
      <c r="O292" s="5"/>
      <c r="P292" s="10" t="b">
        <v>0</v>
      </c>
      <c r="Q292" s="10" t="s">
        <v>2184</v>
      </c>
      <c r="R292" s="144" t="b">
        <v>1</v>
      </c>
      <c r="S292" s="144">
        <v>1.0</v>
      </c>
      <c r="T292" s="10"/>
      <c r="U292" s="5"/>
      <c r="V292" s="3"/>
      <c r="W292" s="5"/>
      <c r="X292" s="144" t="b">
        <v>0</v>
      </c>
      <c r="Y292" s="10" t="b">
        <v>0</v>
      </c>
      <c r="Z292" s="3"/>
      <c r="AA292" s="10" t="b">
        <v>0</v>
      </c>
      <c r="AB292" s="10" t="b">
        <v>0</v>
      </c>
      <c r="AC292" s="181">
        <v>482.0</v>
      </c>
      <c r="AD292" s="144" t="b">
        <v>0</v>
      </c>
      <c r="AE292" s="182">
        <v>182.38333333333335</v>
      </c>
      <c r="AF292" s="10" t="b">
        <v>0</v>
      </c>
      <c r="AG292" s="10" t="b">
        <v>0</v>
      </c>
      <c r="AH292" s="144"/>
      <c r="AI292" s="3"/>
      <c r="AJ292" s="10"/>
      <c r="AK292" s="3" t="s">
        <v>244</v>
      </c>
      <c r="AL292" s="5"/>
      <c r="AM292" s="5" t="s">
        <v>299</v>
      </c>
      <c r="AN292" s="5" t="s">
        <v>300</v>
      </c>
      <c r="AO292" s="5" t="s">
        <v>2185</v>
      </c>
      <c r="AP292" s="5" t="s">
        <v>2185</v>
      </c>
      <c r="AQ292" s="5" t="s">
        <v>2185</v>
      </c>
      <c r="AR292" s="5" t="s">
        <v>2185</v>
      </c>
      <c r="AS292" s="142"/>
      <c r="AT292" s="142" t="b">
        <v>0</v>
      </c>
      <c r="AU292" s="142"/>
      <c r="AV292" s="142"/>
      <c r="AW292" s="142"/>
      <c r="AX292" s="142"/>
      <c r="AY292" s="142"/>
      <c r="AZ292" s="174"/>
      <c r="BA292" s="142"/>
      <c r="BB292" s="142"/>
      <c r="BC292" s="142"/>
      <c r="BD292" s="142"/>
      <c r="BE292" s="142"/>
      <c r="BF292" s="142"/>
      <c r="BG292" s="142"/>
    </row>
    <row r="293">
      <c r="A293" s="5" t="s">
        <v>1079</v>
      </c>
      <c r="B293" s="44">
        <v>44592.0</v>
      </c>
      <c r="C293" s="150">
        <v>0.33368055555555554</v>
      </c>
      <c r="D293" s="3"/>
      <c r="E293" s="3"/>
      <c r="F293" s="5"/>
      <c r="G293" s="5"/>
      <c r="H293" s="5"/>
      <c r="I293" s="3"/>
      <c r="J293" s="3"/>
      <c r="K293" s="3" t="s">
        <v>244</v>
      </c>
      <c r="L293" s="44">
        <v>44592.0</v>
      </c>
      <c r="M293" s="150">
        <v>0.46024305555555556</v>
      </c>
      <c r="N293" s="5"/>
      <c r="O293" s="5"/>
      <c r="P293" s="10" t="b">
        <v>0</v>
      </c>
      <c r="Q293" s="10" t="s">
        <v>2184</v>
      </c>
      <c r="R293" s="144" t="b">
        <v>1</v>
      </c>
      <c r="S293" s="144">
        <v>1.0</v>
      </c>
      <c r="T293" s="10"/>
      <c r="U293" s="5"/>
      <c r="V293" s="3"/>
      <c r="W293" s="5"/>
      <c r="X293" s="144" t="b">
        <v>0</v>
      </c>
      <c r="Y293" s="10" t="b">
        <v>0</v>
      </c>
      <c r="Z293" s="3"/>
      <c r="AA293" s="10" t="b">
        <v>0</v>
      </c>
      <c r="AB293" s="10" t="b">
        <v>0</v>
      </c>
      <c r="AC293" s="181">
        <v>481.0</v>
      </c>
      <c r="AD293" s="144" t="b">
        <v>0</v>
      </c>
      <c r="AE293" s="182">
        <v>182.25000000000003</v>
      </c>
      <c r="AF293" s="10" t="b">
        <v>0</v>
      </c>
      <c r="AG293" s="10" t="b">
        <v>0</v>
      </c>
      <c r="AH293" s="144"/>
      <c r="AI293" s="3"/>
      <c r="AJ293" s="10"/>
      <c r="AK293" s="3" t="s">
        <v>244</v>
      </c>
      <c r="AL293" s="5"/>
      <c r="AM293" s="5" t="s">
        <v>303</v>
      </c>
      <c r="AN293" s="5" t="s">
        <v>304</v>
      </c>
      <c r="AO293" s="5" t="s">
        <v>2185</v>
      </c>
      <c r="AP293" s="5" t="s">
        <v>2185</v>
      </c>
      <c r="AQ293" s="5" t="s">
        <v>2185</v>
      </c>
      <c r="AR293" s="5" t="s">
        <v>2185</v>
      </c>
      <c r="AS293" s="142"/>
      <c r="AT293" s="142" t="b">
        <v>0</v>
      </c>
      <c r="AU293" s="142"/>
      <c r="AV293" s="142"/>
      <c r="AW293" s="142"/>
      <c r="AX293" s="142"/>
      <c r="AY293" s="142"/>
      <c r="AZ293" s="174"/>
      <c r="BA293" s="142"/>
      <c r="BB293" s="142"/>
      <c r="BC293" s="142"/>
      <c r="BD293" s="142"/>
      <c r="BE293" s="142"/>
      <c r="BF293" s="142"/>
      <c r="BG293" s="142"/>
    </row>
    <row r="294">
      <c r="A294" s="5" t="s">
        <v>1081</v>
      </c>
      <c r="B294" s="44">
        <v>44592.0</v>
      </c>
      <c r="C294" s="150">
        <v>0.34346064814814814</v>
      </c>
      <c r="D294" s="3"/>
      <c r="E294" s="3"/>
      <c r="F294" s="5"/>
      <c r="G294" s="5"/>
      <c r="H294" s="5"/>
      <c r="I294" s="3"/>
      <c r="J294" s="3"/>
      <c r="K294" s="3" t="s">
        <v>244</v>
      </c>
      <c r="L294" s="44">
        <v>44592.0</v>
      </c>
      <c r="M294" s="150">
        <v>0.46024305555555556</v>
      </c>
      <c r="N294" s="5"/>
      <c r="O294" s="5"/>
      <c r="P294" s="10" t="b">
        <v>0</v>
      </c>
      <c r="Q294" s="10" t="s">
        <v>2184</v>
      </c>
      <c r="R294" s="144" t="b">
        <v>1</v>
      </c>
      <c r="S294" s="144">
        <v>1.0</v>
      </c>
      <c r="T294" s="10"/>
      <c r="U294" s="5"/>
      <c r="V294" s="3"/>
      <c r="W294" s="5"/>
      <c r="X294" s="144" t="b">
        <v>0</v>
      </c>
      <c r="Y294" s="10" t="b">
        <v>0</v>
      </c>
      <c r="Z294" s="3"/>
      <c r="AA294" s="10" t="b">
        <v>0</v>
      </c>
      <c r="AB294" s="10" t="b">
        <v>0</v>
      </c>
      <c r="AC294" s="181">
        <v>480.0</v>
      </c>
      <c r="AD294" s="144" t="b">
        <v>0</v>
      </c>
      <c r="AE294" s="182">
        <v>168.16666666666669</v>
      </c>
      <c r="AF294" s="10" t="b">
        <v>0</v>
      </c>
      <c r="AG294" s="10" t="b">
        <v>0</v>
      </c>
      <c r="AH294" s="144"/>
      <c r="AI294" s="3"/>
      <c r="AJ294" s="10"/>
      <c r="AK294" s="3" t="s">
        <v>244</v>
      </c>
      <c r="AL294" s="5"/>
      <c r="AM294" s="5" t="s">
        <v>504</v>
      </c>
      <c r="AN294" s="5" t="s">
        <v>505</v>
      </c>
      <c r="AO294" s="5" t="s">
        <v>2185</v>
      </c>
      <c r="AP294" s="5" t="s">
        <v>2185</v>
      </c>
      <c r="AQ294" s="5" t="s">
        <v>2185</v>
      </c>
      <c r="AR294" s="5" t="s">
        <v>2185</v>
      </c>
      <c r="AS294" s="142"/>
      <c r="AT294" s="142" t="b">
        <v>0</v>
      </c>
      <c r="AU294" s="142"/>
      <c r="AV294" s="142"/>
      <c r="AW294" s="142"/>
      <c r="AX294" s="142"/>
      <c r="AY294" s="142"/>
      <c r="AZ294" s="174"/>
      <c r="BA294" s="142"/>
      <c r="BB294" s="142"/>
      <c r="BC294" s="142"/>
      <c r="BD294" s="142"/>
      <c r="BE294" s="142"/>
      <c r="BF294" s="142"/>
      <c r="BG294" s="142"/>
    </row>
    <row r="295">
      <c r="A295" s="5" t="s">
        <v>1083</v>
      </c>
      <c r="B295" s="44">
        <v>44592.0</v>
      </c>
      <c r="C295" s="150">
        <v>0.3622800925925926</v>
      </c>
      <c r="D295" s="3"/>
      <c r="E295" s="3"/>
      <c r="F295" s="5"/>
      <c r="G295" s="5"/>
      <c r="H295" s="5"/>
      <c r="I295" s="3"/>
      <c r="J295" s="3"/>
      <c r="K295" s="3" t="s">
        <v>244</v>
      </c>
      <c r="L295" s="44">
        <v>44592.0</v>
      </c>
      <c r="M295" s="150">
        <v>0.46024305555555556</v>
      </c>
      <c r="N295" s="5"/>
      <c r="O295" s="5"/>
      <c r="P295" s="10" t="b">
        <v>0</v>
      </c>
      <c r="Q295" s="10" t="s">
        <v>2184</v>
      </c>
      <c r="R295" s="144" t="b">
        <v>1</v>
      </c>
      <c r="S295" s="144">
        <v>1.0</v>
      </c>
      <c r="T295" s="10"/>
      <c r="U295" s="5"/>
      <c r="V295" s="3"/>
      <c r="W295" s="5"/>
      <c r="X295" s="144" t="b">
        <v>0</v>
      </c>
      <c r="Y295" s="10" t="b">
        <v>0</v>
      </c>
      <c r="Z295" s="3"/>
      <c r="AA295" s="10" t="b">
        <v>0</v>
      </c>
      <c r="AB295" s="10" t="b">
        <v>0</v>
      </c>
      <c r="AC295" s="181">
        <v>479.0</v>
      </c>
      <c r="AD295" s="144" t="b">
        <v>0</v>
      </c>
      <c r="AE295" s="182">
        <v>141.0666666666667</v>
      </c>
      <c r="AF295" s="10" t="b">
        <v>0</v>
      </c>
      <c r="AG295" s="10" t="b">
        <v>0</v>
      </c>
      <c r="AH295" s="144"/>
      <c r="AI295" s="3"/>
      <c r="AJ295" s="10"/>
      <c r="AK295" s="3" t="s">
        <v>244</v>
      </c>
      <c r="AL295" s="5"/>
      <c r="AM295" s="5" t="s">
        <v>291</v>
      </c>
      <c r="AN295" s="5" t="s">
        <v>292</v>
      </c>
      <c r="AO295" s="5" t="s">
        <v>2185</v>
      </c>
      <c r="AP295" s="5" t="s">
        <v>2185</v>
      </c>
      <c r="AQ295" s="5" t="s">
        <v>2185</v>
      </c>
      <c r="AR295" s="5" t="s">
        <v>2185</v>
      </c>
      <c r="AS295" s="142"/>
      <c r="AT295" s="142" t="b">
        <v>0</v>
      </c>
      <c r="AU295" s="142"/>
      <c r="AV295" s="142"/>
      <c r="AW295" s="142"/>
      <c r="AX295" s="142"/>
      <c r="AY295" s="142"/>
      <c r="AZ295" s="174"/>
      <c r="BA295" s="142"/>
      <c r="BB295" s="142"/>
      <c r="BC295" s="142"/>
      <c r="BD295" s="142"/>
      <c r="BE295" s="142"/>
      <c r="BF295" s="142"/>
      <c r="BG295" s="142"/>
    </row>
    <row r="296">
      <c r="A296" s="5" t="s">
        <v>1085</v>
      </c>
      <c r="B296" s="44">
        <v>44592.0</v>
      </c>
      <c r="C296" s="150">
        <v>0.42983796296296295</v>
      </c>
      <c r="D296" s="3"/>
      <c r="E296" s="3"/>
      <c r="F296" s="5"/>
      <c r="G296" s="5"/>
      <c r="H296" s="5"/>
      <c r="I296" s="3"/>
      <c r="J296" s="3"/>
      <c r="K296" s="3" t="s">
        <v>244</v>
      </c>
      <c r="L296" s="44">
        <v>44592.0</v>
      </c>
      <c r="M296" s="150">
        <v>0.46024305555555556</v>
      </c>
      <c r="N296" s="5"/>
      <c r="O296" s="5"/>
      <c r="P296" s="10" t="b">
        <v>0</v>
      </c>
      <c r="Q296" s="10" t="s">
        <v>2184</v>
      </c>
      <c r="R296" s="144" t="b">
        <v>1</v>
      </c>
      <c r="S296" s="144">
        <v>1.0</v>
      </c>
      <c r="T296" s="10"/>
      <c r="U296" s="5"/>
      <c r="V296" s="3"/>
      <c r="W296" s="5"/>
      <c r="X296" s="144" t="b">
        <v>0</v>
      </c>
      <c r="Y296" s="10" t="b">
        <v>0</v>
      </c>
      <c r="Z296" s="3"/>
      <c r="AA296" s="10" t="b">
        <v>0</v>
      </c>
      <c r="AB296" s="10" t="b">
        <v>0</v>
      </c>
      <c r="AC296" s="181">
        <v>478.0</v>
      </c>
      <c r="AD296" s="144" t="b">
        <v>0</v>
      </c>
      <c r="AE296" s="182">
        <v>43.78333333333336</v>
      </c>
      <c r="AF296" s="10" t="b">
        <v>0</v>
      </c>
      <c r="AG296" s="10" t="b">
        <v>0</v>
      </c>
      <c r="AH296" s="144"/>
      <c r="AI296" s="3"/>
      <c r="AJ296" s="10"/>
      <c r="AK296" s="3" t="s">
        <v>244</v>
      </c>
      <c r="AL296" s="5"/>
      <c r="AM296" s="5" t="s">
        <v>362</v>
      </c>
      <c r="AN296" s="5" t="s">
        <v>363</v>
      </c>
      <c r="AO296" s="5" t="s">
        <v>2185</v>
      </c>
      <c r="AP296" s="5" t="s">
        <v>2185</v>
      </c>
      <c r="AQ296" s="5" t="s">
        <v>2185</v>
      </c>
      <c r="AR296" s="5" t="s">
        <v>2185</v>
      </c>
      <c r="AS296" s="142"/>
      <c r="AT296" s="142" t="b">
        <v>0</v>
      </c>
      <c r="AU296" s="142"/>
      <c r="AV296" s="142"/>
      <c r="AW296" s="142"/>
      <c r="AX296" s="142"/>
      <c r="AY296" s="142"/>
      <c r="AZ296" s="174"/>
      <c r="BA296" s="142"/>
      <c r="BB296" s="142"/>
      <c r="BC296" s="142"/>
      <c r="BD296" s="142"/>
      <c r="BE296" s="142"/>
      <c r="BF296" s="142"/>
      <c r="BG296" s="142"/>
    </row>
    <row r="297">
      <c r="A297" s="5" t="s">
        <v>1087</v>
      </c>
      <c r="B297" s="44">
        <v>44594.0</v>
      </c>
      <c r="C297" s="150">
        <v>0.3244675925925926</v>
      </c>
      <c r="D297" s="3"/>
      <c r="E297" s="3"/>
      <c r="F297" s="5"/>
      <c r="G297" s="5"/>
      <c r="H297" s="5"/>
      <c r="I297" s="3"/>
      <c r="J297" s="3"/>
      <c r="K297" s="3" t="s">
        <v>52</v>
      </c>
      <c r="L297" s="44">
        <v>44594.0</v>
      </c>
      <c r="M297" s="150">
        <v>0.48358796296296297</v>
      </c>
      <c r="N297" s="5"/>
      <c r="O297" s="5"/>
      <c r="P297" s="10" t="b">
        <v>0</v>
      </c>
      <c r="Q297" s="10" t="s">
        <v>2184</v>
      </c>
      <c r="R297" s="144" t="b">
        <v>1</v>
      </c>
      <c r="S297" s="144">
        <v>1.0</v>
      </c>
      <c r="T297" s="10"/>
      <c r="U297" s="5"/>
      <c r="V297" s="3"/>
      <c r="W297" s="5"/>
      <c r="X297" s="144" t="b">
        <v>0</v>
      </c>
      <c r="Y297" s="10" t="b">
        <v>0</v>
      </c>
      <c r="Z297" s="3"/>
      <c r="AA297" s="10" t="b">
        <v>0</v>
      </c>
      <c r="AB297" s="10" t="b">
        <v>0</v>
      </c>
      <c r="AC297" s="181">
        <v>477.0</v>
      </c>
      <c r="AD297" s="144" t="b">
        <v>0</v>
      </c>
      <c r="AE297" s="182">
        <v>229.13333333333333</v>
      </c>
      <c r="AF297" s="10" t="b">
        <v>0</v>
      </c>
      <c r="AG297" s="10" t="b">
        <v>0</v>
      </c>
      <c r="AH297" s="144"/>
      <c r="AI297" s="3"/>
      <c r="AJ297" s="10"/>
      <c r="AK297" s="3" t="s">
        <v>52</v>
      </c>
      <c r="AL297" s="5"/>
      <c r="AM297" s="5" t="s">
        <v>328</v>
      </c>
      <c r="AN297" s="5" t="s">
        <v>329</v>
      </c>
      <c r="AO297" s="5" t="s">
        <v>2185</v>
      </c>
      <c r="AP297" s="5" t="s">
        <v>2185</v>
      </c>
      <c r="AQ297" s="5" t="s">
        <v>2185</v>
      </c>
      <c r="AR297" s="5" t="s">
        <v>2185</v>
      </c>
      <c r="AS297" s="142"/>
      <c r="AT297" s="142" t="b">
        <v>0</v>
      </c>
      <c r="AU297" s="142"/>
      <c r="AV297" s="142"/>
      <c r="AW297" s="142"/>
      <c r="AX297" s="142"/>
      <c r="AY297" s="142"/>
      <c r="AZ297" s="174"/>
      <c r="BA297" s="142"/>
      <c r="BB297" s="142"/>
      <c r="BC297" s="142"/>
      <c r="BD297" s="142"/>
      <c r="BE297" s="142"/>
      <c r="BF297" s="142"/>
      <c r="BG297" s="142"/>
    </row>
    <row r="298">
      <c r="A298" s="5" t="s">
        <v>1089</v>
      </c>
      <c r="B298" s="44">
        <v>44594.0</v>
      </c>
      <c r="C298" s="150">
        <v>0.3348263888888889</v>
      </c>
      <c r="D298" s="3"/>
      <c r="E298" s="3"/>
      <c r="F298" s="5"/>
      <c r="G298" s="5"/>
      <c r="H298" s="5"/>
      <c r="I298" s="3"/>
      <c r="J298" s="3"/>
      <c r="K298" s="3" t="s">
        <v>244</v>
      </c>
      <c r="L298" s="44">
        <v>44596.0</v>
      </c>
      <c r="M298" s="150">
        <v>0.48193287037037036</v>
      </c>
      <c r="N298" s="5"/>
      <c r="O298" s="5"/>
      <c r="P298" s="10" t="b">
        <v>0</v>
      </c>
      <c r="Q298" s="10" t="s">
        <v>2184</v>
      </c>
      <c r="R298" s="144" t="b">
        <v>1</v>
      </c>
      <c r="S298" s="144">
        <v>1.0</v>
      </c>
      <c r="T298" s="10"/>
      <c r="U298" s="5"/>
      <c r="V298" s="3"/>
      <c r="W298" s="5"/>
      <c r="X298" s="144" t="b">
        <v>0</v>
      </c>
      <c r="Y298" s="10" t="b">
        <v>0</v>
      </c>
      <c r="Z298" s="3"/>
      <c r="AA298" s="10" t="b">
        <v>0</v>
      </c>
      <c r="AB298" s="10" t="b">
        <v>0</v>
      </c>
      <c r="AC298" s="181">
        <v>476.0</v>
      </c>
      <c r="AD298" s="144" t="b">
        <v>0</v>
      </c>
      <c r="AE298" s="182"/>
      <c r="AF298" s="10" t="b">
        <v>0</v>
      </c>
      <c r="AG298" s="10" t="b">
        <v>0</v>
      </c>
      <c r="AH298" s="144"/>
      <c r="AI298" s="3"/>
      <c r="AJ298" s="10"/>
      <c r="AK298" s="3" t="s">
        <v>244</v>
      </c>
      <c r="AL298" s="5"/>
      <c r="AM298" s="5" t="s">
        <v>577</v>
      </c>
      <c r="AN298" s="5" t="s">
        <v>578</v>
      </c>
      <c r="AO298" s="5" t="s">
        <v>2185</v>
      </c>
      <c r="AP298" s="5" t="s">
        <v>2185</v>
      </c>
      <c r="AQ298" s="5" t="s">
        <v>2185</v>
      </c>
      <c r="AR298" s="5" t="s">
        <v>2185</v>
      </c>
      <c r="AS298" s="142"/>
      <c r="AT298" s="142" t="b">
        <v>0</v>
      </c>
      <c r="AU298" s="142"/>
      <c r="AV298" s="142"/>
      <c r="AW298" s="142"/>
      <c r="AX298" s="142"/>
      <c r="AY298" s="142"/>
      <c r="AZ298" s="174"/>
      <c r="BA298" s="142"/>
      <c r="BB298" s="142"/>
      <c r="BC298" s="142"/>
      <c r="BD298" s="142"/>
      <c r="BE298" s="142"/>
      <c r="BF298" s="142"/>
      <c r="BG298" s="142"/>
    </row>
    <row r="299">
      <c r="A299" s="5" t="s">
        <v>1091</v>
      </c>
      <c r="B299" s="44">
        <v>44594.0</v>
      </c>
      <c r="C299" s="150">
        <v>0.33846064814814814</v>
      </c>
      <c r="D299" s="3"/>
      <c r="E299" s="3"/>
      <c r="F299" s="5"/>
      <c r="G299" s="5"/>
      <c r="H299" s="5"/>
      <c r="I299" s="3"/>
      <c r="J299" s="3"/>
      <c r="K299" s="3" t="s">
        <v>244</v>
      </c>
      <c r="L299" s="44">
        <v>44596.0</v>
      </c>
      <c r="M299" s="150">
        <v>0.48194444444444445</v>
      </c>
      <c r="N299" s="5"/>
      <c r="O299" s="5"/>
      <c r="P299" s="10" t="b">
        <v>0</v>
      </c>
      <c r="Q299" s="10" t="s">
        <v>2184</v>
      </c>
      <c r="R299" s="144" t="b">
        <v>1</v>
      </c>
      <c r="S299" s="144">
        <v>1.0</v>
      </c>
      <c r="T299" s="10"/>
      <c r="U299" s="5"/>
      <c r="V299" s="3"/>
      <c r="W299" s="5"/>
      <c r="X299" s="144" t="b">
        <v>0</v>
      </c>
      <c r="Y299" s="10" t="b">
        <v>0</v>
      </c>
      <c r="Z299" s="3"/>
      <c r="AA299" s="10" t="b">
        <v>0</v>
      </c>
      <c r="AB299" s="10" t="b">
        <v>0</v>
      </c>
      <c r="AC299" s="181">
        <v>475.0</v>
      </c>
      <c r="AD299" s="144" t="b">
        <v>0</v>
      </c>
      <c r="AE299" s="182"/>
      <c r="AF299" s="10" t="b">
        <v>0</v>
      </c>
      <c r="AG299" s="10" t="b">
        <v>0</v>
      </c>
      <c r="AH299" s="144"/>
      <c r="AI299" s="3"/>
      <c r="AJ299" s="10"/>
      <c r="AK299" s="3" t="s">
        <v>244</v>
      </c>
      <c r="AL299" s="5"/>
      <c r="AM299" s="5" t="s">
        <v>649</v>
      </c>
      <c r="AN299" s="5" t="s">
        <v>336</v>
      </c>
      <c r="AO299" s="5" t="s">
        <v>2185</v>
      </c>
      <c r="AP299" s="5" t="s">
        <v>2185</v>
      </c>
      <c r="AQ299" s="5" t="s">
        <v>2185</v>
      </c>
      <c r="AR299" s="5" t="s">
        <v>2185</v>
      </c>
      <c r="AS299" s="142"/>
      <c r="AT299" s="142" t="b">
        <v>0</v>
      </c>
      <c r="AU299" s="142"/>
      <c r="AV299" s="142"/>
      <c r="AW299" s="142"/>
      <c r="AX299" s="142"/>
      <c r="AY299" s="142"/>
      <c r="AZ299" s="174"/>
      <c r="BA299" s="142"/>
      <c r="BB299" s="142"/>
      <c r="BC299" s="142"/>
      <c r="BD299" s="142"/>
      <c r="BE299" s="142"/>
      <c r="BF299" s="142"/>
      <c r="BG299" s="142"/>
    </row>
    <row r="300">
      <c r="A300" s="5" t="s">
        <v>1093</v>
      </c>
      <c r="B300" s="44">
        <v>44594.0</v>
      </c>
      <c r="C300" s="150">
        <v>0.34377314814814813</v>
      </c>
      <c r="D300" s="3"/>
      <c r="E300" s="3"/>
      <c r="F300" s="5"/>
      <c r="G300" s="5"/>
      <c r="H300" s="5"/>
      <c r="I300" s="3"/>
      <c r="J300" s="3"/>
      <c r="K300" s="3" t="s">
        <v>244</v>
      </c>
      <c r="L300" s="44">
        <v>44596.0</v>
      </c>
      <c r="M300" s="150">
        <v>0.48194444444444445</v>
      </c>
      <c r="N300" s="5"/>
      <c r="O300" s="5"/>
      <c r="P300" s="10" t="b">
        <v>0</v>
      </c>
      <c r="Q300" s="10" t="s">
        <v>2184</v>
      </c>
      <c r="R300" s="144" t="b">
        <v>1</v>
      </c>
      <c r="S300" s="144">
        <v>1.0</v>
      </c>
      <c r="T300" s="10"/>
      <c r="U300" s="5"/>
      <c r="V300" s="3"/>
      <c r="W300" s="5"/>
      <c r="X300" s="144" t="b">
        <v>0</v>
      </c>
      <c r="Y300" s="10" t="b">
        <v>0</v>
      </c>
      <c r="Z300" s="3"/>
      <c r="AA300" s="10" t="b">
        <v>0</v>
      </c>
      <c r="AB300" s="10" t="b">
        <v>0</v>
      </c>
      <c r="AC300" s="181">
        <v>474.0</v>
      </c>
      <c r="AD300" s="144" t="b">
        <v>0</v>
      </c>
      <c r="AE300" s="182"/>
      <c r="AF300" s="10" t="b">
        <v>0</v>
      </c>
      <c r="AG300" s="10" t="b">
        <v>0</v>
      </c>
      <c r="AH300" s="144"/>
      <c r="AI300" s="3"/>
      <c r="AJ300" s="10"/>
      <c r="AK300" s="3" t="s">
        <v>244</v>
      </c>
      <c r="AL300" s="5"/>
      <c r="AM300" s="5" t="s">
        <v>639</v>
      </c>
      <c r="AN300" s="5" t="s">
        <v>640</v>
      </c>
      <c r="AO300" s="5" t="s">
        <v>2185</v>
      </c>
      <c r="AP300" s="5" t="s">
        <v>2185</v>
      </c>
      <c r="AQ300" s="5" t="s">
        <v>2185</v>
      </c>
      <c r="AR300" s="5" t="s">
        <v>2185</v>
      </c>
      <c r="AS300" s="142"/>
      <c r="AT300" s="142" t="b">
        <v>0</v>
      </c>
      <c r="AU300" s="142"/>
      <c r="AV300" s="142"/>
      <c r="AW300" s="142"/>
      <c r="AX300" s="142"/>
      <c r="AY300" s="142"/>
      <c r="AZ300" s="174"/>
      <c r="BA300" s="142"/>
      <c r="BB300" s="142"/>
      <c r="BC300" s="142"/>
      <c r="BD300" s="142"/>
      <c r="BE300" s="142"/>
      <c r="BF300" s="142"/>
      <c r="BG300" s="142"/>
    </row>
    <row r="301">
      <c r="A301" s="5" t="s">
        <v>1095</v>
      </c>
      <c r="B301" s="44">
        <v>44594.0</v>
      </c>
      <c r="C301" s="150">
        <v>0.34423611111111113</v>
      </c>
      <c r="D301" s="3"/>
      <c r="E301" s="3"/>
      <c r="F301" s="5"/>
      <c r="G301" s="5"/>
      <c r="H301" s="5"/>
      <c r="I301" s="3"/>
      <c r="J301" s="3"/>
      <c r="K301" s="3" t="s">
        <v>244</v>
      </c>
      <c r="L301" s="44">
        <v>44596.0</v>
      </c>
      <c r="M301" s="150">
        <v>0.48194444444444445</v>
      </c>
      <c r="N301" s="5"/>
      <c r="O301" s="5"/>
      <c r="P301" s="10" t="b">
        <v>0</v>
      </c>
      <c r="Q301" s="10" t="s">
        <v>2184</v>
      </c>
      <c r="R301" s="144" t="b">
        <v>1</v>
      </c>
      <c r="S301" s="144">
        <v>1.0</v>
      </c>
      <c r="T301" s="10">
        <v>0.0</v>
      </c>
      <c r="U301" s="5"/>
      <c r="V301" s="3"/>
      <c r="W301" s="5"/>
      <c r="X301" s="144" t="b">
        <v>0</v>
      </c>
      <c r="Y301" s="10" t="b">
        <v>0</v>
      </c>
      <c r="Z301" s="3"/>
      <c r="AA301" s="10" t="b">
        <v>0</v>
      </c>
      <c r="AB301" s="10" t="b">
        <v>0</v>
      </c>
      <c r="AC301" s="181">
        <v>473.0</v>
      </c>
      <c r="AD301" s="144" t="b">
        <v>0</v>
      </c>
      <c r="AE301" s="182"/>
      <c r="AF301" s="10" t="b">
        <v>0</v>
      </c>
      <c r="AG301" s="10" t="b">
        <v>0</v>
      </c>
      <c r="AH301" s="144"/>
      <c r="AI301" s="3"/>
      <c r="AJ301" s="10"/>
      <c r="AK301" s="3" t="s">
        <v>244</v>
      </c>
      <c r="AL301" s="5"/>
      <c r="AM301" s="5" t="s">
        <v>639</v>
      </c>
      <c r="AN301" s="5" t="s">
        <v>1096</v>
      </c>
      <c r="AO301" s="5" t="s">
        <v>2185</v>
      </c>
      <c r="AP301" s="5" t="s">
        <v>2185</v>
      </c>
      <c r="AQ301" s="5" t="s">
        <v>2185</v>
      </c>
      <c r="AR301" s="5" t="s">
        <v>2185</v>
      </c>
      <c r="AS301" s="142"/>
      <c r="AT301" s="142" t="b">
        <v>0</v>
      </c>
      <c r="AU301" s="142"/>
      <c r="AV301" s="142"/>
      <c r="AW301" s="142"/>
      <c r="AX301" s="142"/>
      <c r="AY301" s="142"/>
      <c r="AZ301" s="174"/>
      <c r="BA301" s="142"/>
      <c r="BB301" s="142"/>
      <c r="BC301" s="142"/>
      <c r="BD301" s="142"/>
      <c r="BE301" s="142"/>
      <c r="BF301" s="142"/>
      <c r="BG301" s="142"/>
    </row>
    <row r="302">
      <c r="A302" s="5" t="s">
        <v>1098</v>
      </c>
      <c r="B302" s="44">
        <v>44594.0</v>
      </c>
      <c r="C302" s="150">
        <v>0.34739583333333335</v>
      </c>
      <c r="D302" s="3"/>
      <c r="E302" s="3"/>
      <c r="F302" s="5"/>
      <c r="G302" s="5"/>
      <c r="H302" s="5"/>
      <c r="I302" s="3"/>
      <c r="J302" s="3"/>
      <c r="K302" s="3" t="s">
        <v>244</v>
      </c>
      <c r="L302" s="44">
        <v>44596.0</v>
      </c>
      <c r="M302" s="150">
        <v>0.48194444444444445</v>
      </c>
      <c r="N302" s="5"/>
      <c r="O302" s="5"/>
      <c r="P302" s="10" t="b">
        <v>0</v>
      </c>
      <c r="Q302" s="10" t="s">
        <v>2184</v>
      </c>
      <c r="R302" s="144" t="b">
        <v>1</v>
      </c>
      <c r="S302" s="144">
        <v>1.0</v>
      </c>
      <c r="T302" s="10"/>
      <c r="U302" s="5"/>
      <c r="V302" s="3"/>
      <c r="W302" s="5"/>
      <c r="X302" s="144" t="b">
        <v>0</v>
      </c>
      <c r="Y302" s="10" t="b">
        <v>0</v>
      </c>
      <c r="Z302" s="3"/>
      <c r="AA302" s="10" t="b">
        <v>0</v>
      </c>
      <c r="AB302" s="10" t="b">
        <v>0</v>
      </c>
      <c r="AC302" s="181">
        <v>472.0</v>
      </c>
      <c r="AD302" s="144" t="b">
        <v>0</v>
      </c>
      <c r="AE302" s="182"/>
      <c r="AF302" s="10" t="b">
        <v>0</v>
      </c>
      <c r="AG302" s="10" t="b">
        <v>0</v>
      </c>
      <c r="AH302" s="144"/>
      <c r="AI302" s="3"/>
      <c r="AJ302" s="10"/>
      <c r="AK302" s="3" t="s">
        <v>244</v>
      </c>
      <c r="AL302" s="5"/>
      <c r="AM302" s="5" t="s">
        <v>1099</v>
      </c>
      <c r="AN302" s="5" t="s">
        <v>1100</v>
      </c>
      <c r="AO302" s="5" t="s">
        <v>2185</v>
      </c>
      <c r="AP302" s="5" t="s">
        <v>2185</v>
      </c>
      <c r="AQ302" s="5" t="s">
        <v>2185</v>
      </c>
      <c r="AR302" s="5" t="s">
        <v>2185</v>
      </c>
      <c r="AS302" s="142"/>
      <c r="AT302" s="142" t="b">
        <v>0</v>
      </c>
      <c r="AU302" s="142"/>
      <c r="AV302" s="142"/>
      <c r="AW302" s="142"/>
      <c r="AX302" s="142"/>
      <c r="AY302" s="142"/>
      <c r="AZ302" s="174"/>
      <c r="BA302" s="142"/>
      <c r="BB302" s="142"/>
      <c r="BC302" s="142"/>
      <c r="BD302" s="142"/>
      <c r="BE302" s="142"/>
      <c r="BF302" s="142"/>
      <c r="BG302" s="142"/>
    </row>
    <row r="303">
      <c r="A303" s="5" t="s">
        <v>1102</v>
      </c>
      <c r="B303" s="44">
        <v>44594.0</v>
      </c>
      <c r="C303" s="150">
        <v>0.3539351851851852</v>
      </c>
      <c r="D303" s="3"/>
      <c r="E303" s="3"/>
      <c r="F303" s="5"/>
      <c r="G303" s="5"/>
      <c r="H303" s="5"/>
      <c r="I303" s="3"/>
      <c r="J303" s="3"/>
      <c r="K303" s="3" t="s">
        <v>244</v>
      </c>
      <c r="L303" s="44">
        <v>44596.0</v>
      </c>
      <c r="M303" s="150">
        <v>0.48194444444444445</v>
      </c>
      <c r="N303" s="5"/>
      <c r="O303" s="5"/>
      <c r="P303" s="10" t="b">
        <v>0</v>
      </c>
      <c r="Q303" s="10" t="s">
        <v>2184</v>
      </c>
      <c r="R303" s="144" t="b">
        <v>1</v>
      </c>
      <c r="S303" s="144">
        <v>1.0</v>
      </c>
      <c r="T303" s="10"/>
      <c r="U303" s="5"/>
      <c r="V303" s="3"/>
      <c r="W303" s="5"/>
      <c r="X303" s="144" t="b">
        <v>0</v>
      </c>
      <c r="Y303" s="10" t="b">
        <v>0</v>
      </c>
      <c r="Z303" s="3"/>
      <c r="AA303" s="10" t="b">
        <v>0</v>
      </c>
      <c r="AB303" s="10" t="b">
        <v>0</v>
      </c>
      <c r="AC303" s="181">
        <v>471.0</v>
      </c>
      <c r="AD303" s="144" t="b">
        <v>0</v>
      </c>
      <c r="AE303" s="182"/>
      <c r="AF303" s="10" t="b">
        <v>0</v>
      </c>
      <c r="AG303" s="10" t="b">
        <v>0</v>
      </c>
      <c r="AH303" s="144"/>
      <c r="AI303" s="3"/>
      <c r="AJ303" s="10"/>
      <c r="AK303" s="3" t="s">
        <v>244</v>
      </c>
      <c r="AL303" s="5"/>
      <c r="AM303" s="5" t="s">
        <v>520</v>
      </c>
      <c r="AN303" s="5" t="s">
        <v>521</v>
      </c>
      <c r="AO303" s="5" t="s">
        <v>2185</v>
      </c>
      <c r="AP303" s="5" t="s">
        <v>2185</v>
      </c>
      <c r="AQ303" s="5" t="s">
        <v>2185</v>
      </c>
      <c r="AR303" s="5" t="s">
        <v>2185</v>
      </c>
      <c r="AS303" s="142"/>
      <c r="AT303" s="142" t="b">
        <v>0</v>
      </c>
      <c r="AU303" s="142"/>
      <c r="AV303" s="142"/>
      <c r="AW303" s="142"/>
      <c r="AX303" s="142"/>
      <c r="AY303" s="142"/>
      <c r="AZ303" s="174"/>
      <c r="BA303" s="142"/>
      <c r="BB303" s="142"/>
      <c r="BC303" s="142"/>
      <c r="BD303" s="142"/>
      <c r="BE303" s="142"/>
      <c r="BF303" s="142"/>
      <c r="BG303" s="142"/>
    </row>
    <row r="304">
      <c r="A304" s="5" t="s">
        <v>1104</v>
      </c>
      <c r="B304" s="44">
        <v>44594.0</v>
      </c>
      <c r="C304" s="150">
        <v>0.3751157407407407</v>
      </c>
      <c r="D304" s="3"/>
      <c r="E304" s="3"/>
      <c r="F304" s="5"/>
      <c r="G304" s="5"/>
      <c r="H304" s="5"/>
      <c r="I304" s="3"/>
      <c r="J304" s="3"/>
      <c r="K304" s="3" t="s">
        <v>244</v>
      </c>
      <c r="L304" s="44">
        <v>44596.0</v>
      </c>
      <c r="M304" s="150">
        <v>0.48194444444444445</v>
      </c>
      <c r="N304" s="5"/>
      <c r="O304" s="5"/>
      <c r="P304" s="10" t="b">
        <v>0</v>
      </c>
      <c r="Q304" s="10" t="s">
        <v>2184</v>
      </c>
      <c r="R304" s="144" t="b">
        <v>1</v>
      </c>
      <c r="S304" s="144">
        <v>1.0</v>
      </c>
      <c r="T304" s="10">
        <v>0.0</v>
      </c>
      <c r="U304" s="5"/>
      <c r="V304" s="3"/>
      <c r="W304" s="5"/>
      <c r="X304" s="144" t="b">
        <v>0</v>
      </c>
      <c r="Y304" s="10" t="b">
        <v>0</v>
      </c>
      <c r="Z304" s="3"/>
      <c r="AA304" s="10" t="b">
        <v>0</v>
      </c>
      <c r="AB304" s="10" t="b">
        <v>0</v>
      </c>
      <c r="AC304" s="181">
        <v>470.0</v>
      </c>
      <c r="AD304" s="144" t="b">
        <v>0</v>
      </c>
      <c r="AE304" s="182"/>
      <c r="AF304" s="10" t="b">
        <v>0</v>
      </c>
      <c r="AG304" s="10" t="b">
        <v>0</v>
      </c>
      <c r="AH304" s="144"/>
      <c r="AI304" s="3"/>
      <c r="AJ304" s="10"/>
      <c r="AK304" s="3" t="s">
        <v>244</v>
      </c>
      <c r="AL304" s="5"/>
      <c r="AM304" s="5" t="s">
        <v>261</v>
      </c>
      <c r="AN304" s="5" t="s">
        <v>708</v>
      </c>
      <c r="AO304" s="5" t="s">
        <v>2185</v>
      </c>
      <c r="AP304" s="5" t="s">
        <v>2185</v>
      </c>
      <c r="AQ304" s="5" t="s">
        <v>2185</v>
      </c>
      <c r="AR304" s="5" t="s">
        <v>2185</v>
      </c>
      <c r="AS304" s="142"/>
      <c r="AT304" s="142" t="b">
        <v>0</v>
      </c>
      <c r="AU304" s="142"/>
      <c r="AV304" s="142"/>
      <c r="AW304" s="142"/>
      <c r="AX304" s="142"/>
      <c r="AY304" s="142"/>
      <c r="AZ304" s="174"/>
      <c r="BA304" s="142"/>
      <c r="BB304" s="142"/>
      <c r="BC304" s="142"/>
      <c r="BD304" s="142"/>
      <c r="BE304" s="142"/>
      <c r="BF304" s="142"/>
      <c r="BG304" s="142"/>
    </row>
    <row r="305">
      <c r="A305" s="5" t="s">
        <v>1106</v>
      </c>
      <c r="B305" s="44">
        <v>44594.0</v>
      </c>
      <c r="C305" s="150">
        <v>0.37555555555555553</v>
      </c>
      <c r="D305" s="3"/>
      <c r="E305" s="3"/>
      <c r="F305" s="5"/>
      <c r="G305" s="5"/>
      <c r="H305" s="5"/>
      <c r="I305" s="3"/>
      <c r="J305" s="3"/>
      <c r="K305" s="3" t="s">
        <v>244</v>
      </c>
      <c r="L305" s="44">
        <v>44596.0</v>
      </c>
      <c r="M305" s="150">
        <v>0.48194444444444445</v>
      </c>
      <c r="N305" s="5"/>
      <c r="O305" s="5"/>
      <c r="P305" s="10" t="b">
        <v>0</v>
      </c>
      <c r="Q305" s="10" t="s">
        <v>2184</v>
      </c>
      <c r="R305" s="144" t="b">
        <v>1</v>
      </c>
      <c r="S305" s="144">
        <v>1.0</v>
      </c>
      <c r="T305" s="10"/>
      <c r="U305" s="5"/>
      <c r="V305" s="3"/>
      <c r="W305" s="5"/>
      <c r="X305" s="144" t="b">
        <v>0</v>
      </c>
      <c r="Y305" s="10" t="b">
        <v>0</v>
      </c>
      <c r="Z305" s="3"/>
      <c r="AA305" s="10" t="b">
        <v>0</v>
      </c>
      <c r="AB305" s="10" t="b">
        <v>0</v>
      </c>
      <c r="AC305" s="181">
        <v>469.0</v>
      </c>
      <c r="AD305" s="144" t="b">
        <v>0</v>
      </c>
      <c r="AE305" s="182"/>
      <c r="AF305" s="10" t="b">
        <v>0</v>
      </c>
      <c r="AG305" s="10" t="b">
        <v>0</v>
      </c>
      <c r="AH305" s="144"/>
      <c r="AI305" s="3"/>
      <c r="AJ305" s="10"/>
      <c r="AK305" s="3" t="s">
        <v>244</v>
      </c>
      <c r="AL305" s="5"/>
      <c r="AM305" s="5" t="s">
        <v>261</v>
      </c>
      <c r="AN305" s="5" t="s">
        <v>262</v>
      </c>
      <c r="AO305" s="5" t="s">
        <v>2185</v>
      </c>
      <c r="AP305" s="5" t="s">
        <v>2185</v>
      </c>
      <c r="AQ305" s="5" t="s">
        <v>2185</v>
      </c>
      <c r="AR305" s="5" t="s">
        <v>2185</v>
      </c>
      <c r="AS305" s="142"/>
      <c r="AT305" s="142" t="b">
        <v>0</v>
      </c>
      <c r="AU305" s="142"/>
      <c r="AV305" s="142"/>
      <c r="AW305" s="142"/>
      <c r="AX305" s="142"/>
      <c r="AY305" s="142"/>
      <c r="AZ305" s="174"/>
      <c r="BA305" s="142"/>
      <c r="BB305" s="142"/>
      <c r="BC305" s="142"/>
      <c r="BD305" s="142"/>
      <c r="BE305" s="142"/>
      <c r="BF305" s="142"/>
      <c r="BG305" s="142"/>
    </row>
    <row r="306">
      <c r="A306" s="5" t="s">
        <v>1108</v>
      </c>
      <c r="B306" s="44">
        <v>44596.0</v>
      </c>
      <c r="C306" s="150">
        <v>0.30917824074074074</v>
      </c>
      <c r="D306" s="3"/>
      <c r="E306" s="3"/>
      <c r="F306" s="5"/>
      <c r="G306" s="5"/>
      <c r="H306" s="5"/>
      <c r="I306" s="3"/>
      <c r="J306" s="3"/>
      <c r="K306" s="3" t="s">
        <v>244</v>
      </c>
      <c r="L306" s="44">
        <v>44596.0</v>
      </c>
      <c r="M306" s="150">
        <v>0.48193287037037036</v>
      </c>
      <c r="N306" s="5"/>
      <c r="O306" s="5"/>
      <c r="P306" s="10" t="b">
        <v>0</v>
      </c>
      <c r="Q306" s="10" t="s">
        <v>2184</v>
      </c>
      <c r="R306" s="144" t="b">
        <v>1</v>
      </c>
      <c r="S306" s="144">
        <v>1.0</v>
      </c>
      <c r="T306" s="10">
        <v>0.0</v>
      </c>
      <c r="U306" s="5"/>
      <c r="V306" s="3"/>
      <c r="W306" s="5"/>
      <c r="X306" s="144" t="b">
        <v>0</v>
      </c>
      <c r="Y306" s="10" t="b">
        <v>0</v>
      </c>
      <c r="Z306" s="3"/>
      <c r="AA306" s="10" t="b">
        <v>0</v>
      </c>
      <c r="AB306" s="10" t="b">
        <v>0</v>
      </c>
      <c r="AC306" s="181">
        <v>468.0</v>
      </c>
      <c r="AD306" s="144" t="b">
        <v>0</v>
      </c>
      <c r="AE306" s="182">
        <v>248.76666666666665</v>
      </c>
      <c r="AF306" s="10" t="b">
        <v>0</v>
      </c>
      <c r="AG306" s="10" t="b">
        <v>0</v>
      </c>
      <c r="AH306" s="144"/>
      <c r="AI306" s="3"/>
      <c r="AJ306" s="10"/>
      <c r="AK306" s="3" t="s">
        <v>244</v>
      </c>
      <c r="AL306" s="5"/>
      <c r="AM306" s="5" t="s">
        <v>261</v>
      </c>
      <c r="AN306" s="5" t="s">
        <v>913</v>
      </c>
      <c r="AO306" s="5" t="s">
        <v>2185</v>
      </c>
      <c r="AP306" s="5" t="s">
        <v>2185</v>
      </c>
      <c r="AQ306" s="5" t="s">
        <v>2185</v>
      </c>
      <c r="AR306" s="5" t="s">
        <v>2185</v>
      </c>
      <c r="AS306" s="142"/>
      <c r="AT306" s="142" t="b">
        <v>0</v>
      </c>
      <c r="AU306" s="142"/>
      <c r="AV306" s="142"/>
      <c r="AW306" s="142"/>
      <c r="AX306" s="142"/>
      <c r="AY306" s="142"/>
      <c r="AZ306" s="174"/>
      <c r="BA306" s="142"/>
      <c r="BB306" s="142"/>
      <c r="BC306" s="142"/>
      <c r="BD306" s="142"/>
      <c r="BE306" s="142"/>
      <c r="BF306" s="142"/>
      <c r="BG306" s="142"/>
    </row>
    <row r="307">
      <c r="A307" s="5" t="s">
        <v>1110</v>
      </c>
      <c r="B307" s="44">
        <v>44596.0</v>
      </c>
      <c r="C307" s="150">
        <v>0.3431712962962963</v>
      </c>
      <c r="D307" s="3"/>
      <c r="E307" s="3"/>
      <c r="F307" s="5"/>
      <c r="G307" s="5"/>
      <c r="H307" s="5"/>
      <c r="I307" s="3"/>
      <c r="J307" s="3"/>
      <c r="K307" s="3" t="s">
        <v>244</v>
      </c>
      <c r="L307" s="44">
        <v>44596.0</v>
      </c>
      <c r="M307" s="150">
        <v>0.48193287037037036</v>
      </c>
      <c r="N307" s="5"/>
      <c r="O307" s="5"/>
      <c r="P307" s="10" t="b">
        <v>0</v>
      </c>
      <c r="Q307" s="10" t="s">
        <v>2184</v>
      </c>
      <c r="R307" s="144" t="b">
        <v>1</v>
      </c>
      <c r="S307" s="144">
        <v>1.0</v>
      </c>
      <c r="T307" s="10"/>
      <c r="U307" s="5"/>
      <c r="V307" s="3"/>
      <c r="W307" s="5"/>
      <c r="X307" s="144" t="b">
        <v>0</v>
      </c>
      <c r="Y307" s="10" t="b">
        <v>0</v>
      </c>
      <c r="Z307" s="3"/>
      <c r="AA307" s="10" t="b">
        <v>0</v>
      </c>
      <c r="AB307" s="10" t="b">
        <v>0</v>
      </c>
      <c r="AC307" s="181">
        <v>467.0</v>
      </c>
      <c r="AD307" s="144" t="b">
        <v>0</v>
      </c>
      <c r="AE307" s="182">
        <v>199.81666666666666</v>
      </c>
      <c r="AF307" s="10" t="b">
        <v>0</v>
      </c>
      <c r="AG307" s="10" t="b">
        <v>0</v>
      </c>
      <c r="AH307" s="144"/>
      <c r="AI307" s="3"/>
      <c r="AJ307" s="10"/>
      <c r="AK307" s="3" t="s">
        <v>244</v>
      </c>
      <c r="AL307" s="5"/>
      <c r="AM307" s="5" t="s">
        <v>577</v>
      </c>
      <c r="AN307" s="5" t="s">
        <v>578</v>
      </c>
      <c r="AO307" s="5" t="s">
        <v>2185</v>
      </c>
      <c r="AP307" s="5" t="s">
        <v>2185</v>
      </c>
      <c r="AQ307" s="5" t="s">
        <v>2185</v>
      </c>
      <c r="AR307" s="5" t="s">
        <v>2185</v>
      </c>
      <c r="AS307" s="142"/>
      <c r="AT307" s="142" t="b">
        <v>0</v>
      </c>
      <c r="AU307" s="142"/>
      <c r="AV307" s="142"/>
      <c r="AW307" s="142"/>
      <c r="AX307" s="142"/>
      <c r="AY307" s="142"/>
      <c r="AZ307" s="174"/>
      <c r="BA307" s="142"/>
      <c r="BB307" s="142"/>
      <c r="BC307" s="142"/>
      <c r="BD307" s="142"/>
      <c r="BE307" s="142"/>
      <c r="BF307" s="142"/>
      <c r="BG307" s="142"/>
    </row>
    <row r="308">
      <c r="A308" s="5" t="s">
        <v>1112</v>
      </c>
      <c r="B308" s="44">
        <v>44596.0</v>
      </c>
      <c r="C308" s="150">
        <v>0.351875</v>
      </c>
      <c r="D308" s="3"/>
      <c r="E308" s="3"/>
      <c r="F308" s="5"/>
      <c r="G308" s="5"/>
      <c r="H308" s="5"/>
      <c r="I308" s="3"/>
      <c r="J308" s="3"/>
      <c r="K308" s="3" t="s">
        <v>244</v>
      </c>
      <c r="L308" s="44">
        <v>44596.0</v>
      </c>
      <c r="M308" s="150">
        <v>0.48193287037037036</v>
      </c>
      <c r="N308" s="5"/>
      <c r="O308" s="5"/>
      <c r="P308" s="10" t="b">
        <v>0</v>
      </c>
      <c r="Q308" s="10" t="s">
        <v>2184</v>
      </c>
      <c r="R308" s="144" t="b">
        <v>1</v>
      </c>
      <c r="S308" s="144">
        <v>1.0</v>
      </c>
      <c r="T308" s="10">
        <v>0.0</v>
      </c>
      <c r="U308" s="5"/>
      <c r="V308" s="3"/>
      <c r="W308" s="5"/>
      <c r="X308" s="144" t="b">
        <v>0</v>
      </c>
      <c r="Y308" s="10" t="b">
        <v>0</v>
      </c>
      <c r="Z308" s="3"/>
      <c r="AA308" s="10" t="b">
        <v>0</v>
      </c>
      <c r="AB308" s="10" t="b">
        <v>0</v>
      </c>
      <c r="AC308" s="181">
        <v>466.0</v>
      </c>
      <c r="AD308" s="144" t="b">
        <v>0</v>
      </c>
      <c r="AE308" s="182">
        <v>187.28333333333333</v>
      </c>
      <c r="AF308" s="10" t="b">
        <v>0</v>
      </c>
      <c r="AG308" s="10" t="b">
        <v>0</v>
      </c>
      <c r="AH308" s="144"/>
      <c r="AI308" s="3"/>
      <c r="AJ308" s="10"/>
      <c r="AK308" s="3" t="s">
        <v>244</v>
      </c>
      <c r="AL308" s="5"/>
      <c r="AM308" s="5" t="s">
        <v>261</v>
      </c>
      <c r="AN308" s="5" t="s">
        <v>1113</v>
      </c>
      <c r="AO308" s="5" t="s">
        <v>2185</v>
      </c>
      <c r="AP308" s="5" t="s">
        <v>2185</v>
      </c>
      <c r="AQ308" s="5" t="s">
        <v>2185</v>
      </c>
      <c r="AR308" s="5" t="s">
        <v>2185</v>
      </c>
      <c r="AS308" s="142"/>
      <c r="AT308" s="142" t="b">
        <v>0</v>
      </c>
      <c r="AU308" s="142"/>
      <c r="AV308" s="142"/>
      <c r="AW308" s="142"/>
      <c r="AX308" s="142"/>
      <c r="AY308" s="142"/>
      <c r="AZ308" s="174"/>
      <c r="BA308" s="142"/>
      <c r="BB308" s="142"/>
      <c r="BC308" s="142"/>
      <c r="BD308" s="142"/>
      <c r="BE308" s="142"/>
      <c r="BF308" s="142"/>
      <c r="BG308" s="142"/>
    </row>
    <row r="309">
      <c r="A309" s="5" t="s">
        <v>1115</v>
      </c>
      <c r="B309" s="44">
        <v>44596.0</v>
      </c>
      <c r="C309" s="150">
        <v>0.35225694444444444</v>
      </c>
      <c r="D309" s="3"/>
      <c r="E309" s="3"/>
      <c r="F309" s="5"/>
      <c r="G309" s="5"/>
      <c r="H309" s="5"/>
      <c r="I309" s="3"/>
      <c r="J309" s="3"/>
      <c r="K309" s="3" t="s">
        <v>244</v>
      </c>
      <c r="L309" s="44">
        <v>44596.0</v>
      </c>
      <c r="M309" s="150">
        <v>0.48193287037037036</v>
      </c>
      <c r="N309" s="5"/>
      <c r="O309" s="5"/>
      <c r="P309" s="10" t="b">
        <v>0</v>
      </c>
      <c r="Q309" s="10" t="s">
        <v>2184</v>
      </c>
      <c r="R309" s="144" t="b">
        <v>1</v>
      </c>
      <c r="S309" s="144">
        <v>1.0</v>
      </c>
      <c r="T309" s="10"/>
      <c r="U309" s="5"/>
      <c r="V309" s="3"/>
      <c r="W309" s="5"/>
      <c r="X309" s="144" t="b">
        <v>0</v>
      </c>
      <c r="Y309" s="10" t="b">
        <v>0</v>
      </c>
      <c r="Z309" s="3"/>
      <c r="AA309" s="10" t="b">
        <v>0</v>
      </c>
      <c r="AB309" s="10" t="b">
        <v>0</v>
      </c>
      <c r="AC309" s="181">
        <v>465.0</v>
      </c>
      <c r="AD309" s="144" t="b">
        <v>0</v>
      </c>
      <c r="AE309" s="182">
        <v>186.73333333333332</v>
      </c>
      <c r="AF309" s="10" t="b">
        <v>0</v>
      </c>
      <c r="AG309" s="10" t="b">
        <v>0</v>
      </c>
      <c r="AH309" s="144"/>
      <c r="AI309" s="3"/>
      <c r="AJ309" s="10"/>
      <c r="AK309" s="3" t="s">
        <v>244</v>
      </c>
      <c r="AL309" s="5"/>
      <c r="AM309" s="5" t="s">
        <v>322</v>
      </c>
      <c r="AN309" s="5" t="s">
        <v>323</v>
      </c>
      <c r="AO309" s="5" t="s">
        <v>2185</v>
      </c>
      <c r="AP309" s="5" t="s">
        <v>2185</v>
      </c>
      <c r="AQ309" s="5" t="s">
        <v>2185</v>
      </c>
      <c r="AR309" s="5" t="s">
        <v>2185</v>
      </c>
      <c r="AS309" s="142"/>
      <c r="AT309" s="142" t="b">
        <v>0</v>
      </c>
      <c r="AU309" s="142"/>
      <c r="AV309" s="142"/>
      <c r="AW309" s="142"/>
      <c r="AX309" s="142"/>
      <c r="AY309" s="142"/>
      <c r="AZ309" s="174"/>
      <c r="BA309" s="142"/>
      <c r="BB309" s="142"/>
      <c r="BC309" s="142"/>
      <c r="BD309" s="142"/>
      <c r="BE309" s="142"/>
      <c r="BF309" s="142"/>
      <c r="BG309" s="142"/>
    </row>
    <row r="310">
      <c r="A310" s="5" t="s">
        <v>1117</v>
      </c>
      <c r="B310" s="44">
        <v>44596.0</v>
      </c>
      <c r="C310" s="150">
        <v>0.3524189814814815</v>
      </c>
      <c r="D310" s="3"/>
      <c r="E310" s="3"/>
      <c r="F310" s="5"/>
      <c r="G310" s="5"/>
      <c r="H310" s="5"/>
      <c r="I310" s="3"/>
      <c r="J310" s="3"/>
      <c r="K310" s="3" t="s">
        <v>244</v>
      </c>
      <c r="L310" s="44">
        <v>44596.0</v>
      </c>
      <c r="M310" s="150">
        <v>0.48193287037037036</v>
      </c>
      <c r="N310" s="5"/>
      <c r="O310" s="5"/>
      <c r="P310" s="10" t="b">
        <v>0</v>
      </c>
      <c r="Q310" s="10" t="s">
        <v>2184</v>
      </c>
      <c r="R310" s="144" t="b">
        <v>1</v>
      </c>
      <c r="S310" s="144">
        <v>1.0</v>
      </c>
      <c r="T310" s="10"/>
      <c r="U310" s="5"/>
      <c r="V310" s="3"/>
      <c r="W310" s="5"/>
      <c r="X310" s="144" t="b">
        <v>0</v>
      </c>
      <c r="Y310" s="10" t="b">
        <v>0</v>
      </c>
      <c r="Z310" s="3"/>
      <c r="AA310" s="10" t="b">
        <v>0</v>
      </c>
      <c r="AB310" s="10" t="b">
        <v>0</v>
      </c>
      <c r="AC310" s="181">
        <v>464.0</v>
      </c>
      <c r="AD310" s="144" t="b">
        <v>0</v>
      </c>
      <c r="AE310" s="182">
        <v>186.49999999999997</v>
      </c>
      <c r="AF310" s="10" t="b">
        <v>0</v>
      </c>
      <c r="AG310" s="10" t="b">
        <v>0</v>
      </c>
      <c r="AH310" s="144"/>
      <c r="AI310" s="3"/>
      <c r="AJ310" s="10"/>
      <c r="AK310" s="3" t="s">
        <v>244</v>
      </c>
      <c r="AL310" s="5"/>
      <c r="AM310" s="5" t="s">
        <v>261</v>
      </c>
      <c r="AN310" s="5" t="s">
        <v>655</v>
      </c>
      <c r="AO310" s="5" t="s">
        <v>2185</v>
      </c>
      <c r="AP310" s="5" t="s">
        <v>2185</v>
      </c>
      <c r="AQ310" s="5" t="s">
        <v>2185</v>
      </c>
      <c r="AR310" s="5" t="s">
        <v>2185</v>
      </c>
      <c r="AS310" s="142"/>
      <c r="AT310" s="142" t="b">
        <v>0</v>
      </c>
      <c r="AU310" s="142"/>
      <c r="AV310" s="142"/>
      <c r="AW310" s="142"/>
      <c r="AX310" s="142"/>
      <c r="AY310" s="142"/>
      <c r="AZ310" s="174"/>
      <c r="BA310" s="142"/>
      <c r="BB310" s="142"/>
      <c r="BC310" s="142"/>
      <c r="BD310" s="142"/>
      <c r="BE310" s="142"/>
      <c r="BF310" s="142"/>
      <c r="BG310" s="142"/>
    </row>
    <row r="311">
      <c r="A311" s="5" t="s">
        <v>1119</v>
      </c>
      <c r="B311" s="44">
        <v>44599.0</v>
      </c>
      <c r="C311" s="150">
        <v>0.2763541666666667</v>
      </c>
      <c r="D311" s="3"/>
      <c r="E311" s="3"/>
      <c r="F311" s="5"/>
      <c r="G311" s="5"/>
      <c r="H311" s="5"/>
      <c r="I311" s="3"/>
      <c r="J311" s="3"/>
      <c r="K311" s="3" t="s">
        <v>244</v>
      </c>
      <c r="L311" s="44">
        <v>44599.0</v>
      </c>
      <c r="M311" s="150">
        <v>0.4875347222222222</v>
      </c>
      <c r="N311" s="5"/>
      <c r="O311" s="5"/>
      <c r="P311" s="10" t="b">
        <v>0</v>
      </c>
      <c r="Q311" s="10" t="s">
        <v>2184</v>
      </c>
      <c r="R311" s="144" t="b">
        <v>1</v>
      </c>
      <c r="S311" s="144">
        <v>1.0</v>
      </c>
      <c r="T311" s="10"/>
      <c r="U311" s="5"/>
      <c r="V311" s="3"/>
      <c r="W311" s="5"/>
      <c r="X311" s="144" t="b">
        <v>0</v>
      </c>
      <c r="Y311" s="10" t="b">
        <v>0</v>
      </c>
      <c r="Z311" s="3"/>
      <c r="AA311" s="10" t="b">
        <v>0</v>
      </c>
      <c r="AB311" s="10" t="b">
        <v>0</v>
      </c>
      <c r="AC311" s="181">
        <v>463.0</v>
      </c>
      <c r="AD311" s="144" t="b">
        <v>0</v>
      </c>
      <c r="AE311" s="182">
        <v>304.1</v>
      </c>
      <c r="AF311" s="10" t="b">
        <v>0</v>
      </c>
      <c r="AG311" s="10" t="b">
        <v>0</v>
      </c>
      <c r="AH311" s="144"/>
      <c r="AI311" s="3"/>
      <c r="AJ311" s="10"/>
      <c r="AK311" s="3" t="s">
        <v>244</v>
      </c>
      <c r="AL311" s="5"/>
      <c r="AM311" s="5" t="s">
        <v>356</v>
      </c>
      <c r="AN311" s="5" t="s">
        <v>357</v>
      </c>
      <c r="AO311" s="5" t="s">
        <v>2185</v>
      </c>
      <c r="AP311" s="5" t="s">
        <v>2185</v>
      </c>
      <c r="AQ311" s="5" t="s">
        <v>2185</v>
      </c>
      <c r="AR311" s="5" t="s">
        <v>2185</v>
      </c>
      <c r="AS311" s="142"/>
      <c r="AT311" s="142" t="b">
        <v>0</v>
      </c>
      <c r="AU311" s="142"/>
      <c r="AV311" s="142"/>
      <c r="AW311" s="142"/>
      <c r="AX311" s="142"/>
      <c r="AY311" s="142"/>
      <c r="AZ311" s="174"/>
      <c r="BA311" s="142"/>
      <c r="BB311" s="142"/>
      <c r="BC311" s="142"/>
      <c r="BD311" s="142"/>
      <c r="BE311" s="142"/>
      <c r="BF311" s="142"/>
      <c r="BG311" s="142"/>
    </row>
    <row r="312">
      <c r="A312" s="5" t="s">
        <v>1121</v>
      </c>
      <c r="B312" s="44">
        <v>44599.0</v>
      </c>
      <c r="C312" s="150">
        <v>0.3005902777777778</v>
      </c>
      <c r="D312" s="3"/>
      <c r="E312" s="3"/>
      <c r="F312" s="5"/>
      <c r="G312" s="5"/>
      <c r="H312" s="5"/>
      <c r="I312" s="3"/>
      <c r="J312" s="3"/>
      <c r="K312" s="3" t="s">
        <v>244</v>
      </c>
      <c r="L312" s="44">
        <v>44599.0</v>
      </c>
      <c r="M312" s="150">
        <v>0.4875347222222222</v>
      </c>
      <c r="N312" s="5"/>
      <c r="O312" s="5"/>
      <c r="P312" s="10" t="b">
        <v>0</v>
      </c>
      <c r="Q312" s="10" t="s">
        <v>2184</v>
      </c>
      <c r="R312" s="144" t="b">
        <v>1</v>
      </c>
      <c r="S312" s="144">
        <v>1.0</v>
      </c>
      <c r="T312" s="10"/>
      <c r="U312" s="5"/>
      <c r="V312" s="3"/>
      <c r="W312" s="5"/>
      <c r="X312" s="144" t="b">
        <v>0</v>
      </c>
      <c r="Y312" s="10" t="b">
        <v>0</v>
      </c>
      <c r="Z312" s="3"/>
      <c r="AA312" s="10" t="b">
        <v>0</v>
      </c>
      <c r="AB312" s="10" t="b">
        <v>0</v>
      </c>
      <c r="AC312" s="181">
        <v>462.0</v>
      </c>
      <c r="AD312" s="144" t="b">
        <v>0</v>
      </c>
      <c r="AE312" s="182">
        <v>269.2</v>
      </c>
      <c r="AF312" s="10" t="b">
        <v>0</v>
      </c>
      <c r="AG312" s="10" t="b">
        <v>0</v>
      </c>
      <c r="AH312" s="144"/>
      <c r="AI312" s="3"/>
      <c r="AJ312" s="10"/>
      <c r="AK312" s="3" t="s">
        <v>244</v>
      </c>
      <c r="AL312" s="5"/>
      <c r="AM312" s="5" t="s">
        <v>318</v>
      </c>
      <c r="AN312" s="5" t="s">
        <v>319</v>
      </c>
      <c r="AO312" s="5" t="s">
        <v>2185</v>
      </c>
      <c r="AP312" s="5" t="s">
        <v>2185</v>
      </c>
      <c r="AQ312" s="5" t="s">
        <v>2185</v>
      </c>
      <c r="AR312" s="5" t="s">
        <v>2185</v>
      </c>
      <c r="AS312" s="142"/>
      <c r="AT312" s="142" t="b">
        <v>0</v>
      </c>
      <c r="AU312" s="142"/>
      <c r="AV312" s="142"/>
      <c r="AW312" s="142"/>
      <c r="AX312" s="142"/>
      <c r="AY312" s="142"/>
      <c r="AZ312" s="174"/>
      <c r="BA312" s="142"/>
      <c r="BB312" s="142"/>
      <c r="BC312" s="142"/>
      <c r="BD312" s="142"/>
      <c r="BE312" s="142"/>
      <c r="BF312" s="142"/>
      <c r="BG312" s="142"/>
    </row>
    <row r="313">
      <c r="A313" s="5" t="s">
        <v>1123</v>
      </c>
      <c r="B313" s="44">
        <v>44599.0</v>
      </c>
      <c r="C313" s="150">
        <v>0.30591435185185184</v>
      </c>
      <c r="D313" s="3"/>
      <c r="E313" s="3"/>
      <c r="F313" s="5"/>
      <c r="G313" s="5"/>
      <c r="H313" s="5"/>
      <c r="I313" s="3"/>
      <c r="J313" s="3"/>
      <c r="K313" s="3" t="s">
        <v>244</v>
      </c>
      <c r="L313" s="44">
        <v>44599.0</v>
      </c>
      <c r="M313" s="150">
        <v>0.4875347222222222</v>
      </c>
      <c r="N313" s="5"/>
      <c r="O313" s="5"/>
      <c r="P313" s="10" t="b">
        <v>0</v>
      </c>
      <c r="Q313" s="10" t="s">
        <v>2184</v>
      </c>
      <c r="R313" s="144" t="b">
        <v>1</v>
      </c>
      <c r="S313" s="144">
        <v>1.0</v>
      </c>
      <c r="T313" s="10"/>
      <c r="U313" s="5"/>
      <c r="V313" s="3"/>
      <c r="W313" s="5"/>
      <c r="X313" s="144" t="b">
        <v>0</v>
      </c>
      <c r="Y313" s="10" t="b">
        <v>0</v>
      </c>
      <c r="Z313" s="3"/>
      <c r="AA313" s="10" t="b">
        <v>0</v>
      </c>
      <c r="AB313" s="10" t="b">
        <v>0</v>
      </c>
      <c r="AC313" s="181">
        <v>461.0</v>
      </c>
      <c r="AD313" s="144" t="b">
        <v>0</v>
      </c>
      <c r="AE313" s="182">
        <v>261.53333333333336</v>
      </c>
      <c r="AF313" s="10" t="b">
        <v>0</v>
      </c>
      <c r="AG313" s="10" t="b">
        <v>0</v>
      </c>
      <c r="AH313" s="144"/>
      <c r="AI313" s="3"/>
      <c r="AJ313" s="10"/>
      <c r="AK313" s="3" t="s">
        <v>244</v>
      </c>
      <c r="AL313" s="5"/>
      <c r="AM313" s="5" t="s">
        <v>310</v>
      </c>
      <c r="AN313" s="5" t="s">
        <v>311</v>
      </c>
      <c r="AO313" s="5" t="s">
        <v>2185</v>
      </c>
      <c r="AP313" s="5" t="s">
        <v>2185</v>
      </c>
      <c r="AQ313" s="5" t="s">
        <v>2185</v>
      </c>
      <c r="AR313" s="5" t="s">
        <v>2185</v>
      </c>
      <c r="AS313" s="142"/>
      <c r="AT313" s="142" t="b">
        <v>0</v>
      </c>
      <c r="AU313" s="142"/>
      <c r="AV313" s="142"/>
      <c r="AW313" s="142"/>
      <c r="AX313" s="142"/>
      <c r="AY313" s="142"/>
      <c r="AZ313" s="174"/>
      <c r="BA313" s="142"/>
      <c r="BB313" s="142"/>
      <c r="BC313" s="142"/>
      <c r="BD313" s="142"/>
      <c r="BE313" s="142"/>
      <c r="BF313" s="142"/>
      <c r="BG313" s="142"/>
    </row>
    <row r="314">
      <c r="A314" s="5" t="s">
        <v>1125</v>
      </c>
      <c r="B314" s="44">
        <v>44599.0</v>
      </c>
      <c r="C314" s="150">
        <v>0.3065393518518518</v>
      </c>
      <c r="D314" s="3"/>
      <c r="E314" s="3"/>
      <c r="F314" s="5"/>
      <c r="G314" s="5"/>
      <c r="H314" s="5"/>
      <c r="I314" s="3"/>
      <c r="J314" s="3"/>
      <c r="K314" s="3" t="s">
        <v>244</v>
      </c>
      <c r="L314" s="44">
        <v>44599.0</v>
      </c>
      <c r="M314" s="150">
        <v>0.4875347222222222</v>
      </c>
      <c r="N314" s="5"/>
      <c r="O314" s="5"/>
      <c r="P314" s="10" t="b">
        <v>0</v>
      </c>
      <c r="Q314" s="10" t="s">
        <v>2184</v>
      </c>
      <c r="R314" s="144" t="b">
        <v>1</v>
      </c>
      <c r="S314" s="144">
        <v>1.0</v>
      </c>
      <c r="T314" s="10"/>
      <c r="U314" s="5"/>
      <c r="V314" s="3"/>
      <c r="W314" s="5"/>
      <c r="X314" s="144" t="b">
        <v>0</v>
      </c>
      <c r="Y314" s="10" t="b">
        <v>0</v>
      </c>
      <c r="Z314" s="3"/>
      <c r="AA314" s="10" t="b">
        <v>0</v>
      </c>
      <c r="AB314" s="10" t="b">
        <v>0</v>
      </c>
      <c r="AC314" s="181">
        <v>460.0</v>
      </c>
      <c r="AD314" s="144" t="b">
        <v>0</v>
      </c>
      <c r="AE314" s="182">
        <v>260.6333333333334</v>
      </c>
      <c r="AF314" s="10" t="b">
        <v>0</v>
      </c>
      <c r="AG314" s="10" t="b">
        <v>0</v>
      </c>
      <c r="AH314" s="144"/>
      <c r="AI314" s="3"/>
      <c r="AJ314" s="10"/>
      <c r="AK314" s="3" t="s">
        <v>244</v>
      </c>
      <c r="AL314" s="5"/>
      <c r="AM314" s="5" t="s">
        <v>291</v>
      </c>
      <c r="AN314" s="5" t="s">
        <v>292</v>
      </c>
      <c r="AO314" s="5" t="s">
        <v>2185</v>
      </c>
      <c r="AP314" s="5" t="s">
        <v>2185</v>
      </c>
      <c r="AQ314" s="5" t="s">
        <v>2185</v>
      </c>
      <c r="AR314" s="5" t="s">
        <v>2185</v>
      </c>
      <c r="AS314" s="142"/>
      <c r="AT314" s="142" t="b">
        <v>0</v>
      </c>
      <c r="AU314" s="142"/>
      <c r="AV314" s="142"/>
      <c r="AW314" s="142"/>
      <c r="AX314" s="142"/>
      <c r="AY314" s="142"/>
      <c r="AZ314" s="174"/>
      <c r="BA314" s="142"/>
      <c r="BB314" s="142"/>
      <c r="BC314" s="142"/>
      <c r="BD314" s="142"/>
      <c r="BE314" s="142"/>
      <c r="BF314" s="142"/>
      <c r="BG314" s="142"/>
    </row>
    <row r="315">
      <c r="A315" s="5" t="s">
        <v>1127</v>
      </c>
      <c r="B315" s="44">
        <v>44599.0</v>
      </c>
      <c r="C315" s="150">
        <v>0.3181365740740741</v>
      </c>
      <c r="D315" s="3"/>
      <c r="E315" s="3"/>
      <c r="F315" s="5"/>
      <c r="G315" s="5"/>
      <c r="H315" s="5"/>
      <c r="I315" s="3"/>
      <c r="J315" s="3"/>
      <c r="K315" s="3" t="s">
        <v>244</v>
      </c>
      <c r="L315" s="44">
        <v>44599.0</v>
      </c>
      <c r="M315" s="150">
        <v>0.4875462962962963</v>
      </c>
      <c r="N315" s="5"/>
      <c r="O315" s="5"/>
      <c r="P315" s="10" t="b">
        <v>0</v>
      </c>
      <c r="Q315" s="10" t="s">
        <v>2184</v>
      </c>
      <c r="R315" s="144" t="b">
        <v>1</v>
      </c>
      <c r="S315" s="144">
        <v>1.0</v>
      </c>
      <c r="T315" s="10"/>
      <c r="U315" s="5"/>
      <c r="V315" s="3"/>
      <c r="W315" s="5"/>
      <c r="X315" s="144" t="b">
        <v>0</v>
      </c>
      <c r="Y315" s="10" t="b">
        <v>0</v>
      </c>
      <c r="Z315" s="3"/>
      <c r="AA315" s="10" t="b">
        <v>0</v>
      </c>
      <c r="AB315" s="10" t="b">
        <v>0</v>
      </c>
      <c r="AC315" s="181">
        <v>459.0</v>
      </c>
      <c r="AD315" s="144" t="b">
        <v>0</v>
      </c>
      <c r="AE315" s="182">
        <v>243.95000000000005</v>
      </c>
      <c r="AF315" s="10" t="b">
        <v>0</v>
      </c>
      <c r="AG315" s="10" t="b">
        <v>0</v>
      </c>
      <c r="AH315" s="144"/>
      <c r="AI315" s="3"/>
      <c r="AJ315" s="10"/>
      <c r="AK315" s="3" t="s">
        <v>244</v>
      </c>
      <c r="AL315" s="5"/>
      <c r="AM315" s="5" t="s">
        <v>504</v>
      </c>
      <c r="AN315" s="5" t="s">
        <v>505</v>
      </c>
      <c r="AO315" s="5" t="s">
        <v>2185</v>
      </c>
      <c r="AP315" s="5" t="s">
        <v>2185</v>
      </c>
      <c r="AQ315" s="5" t="s">
        <v>2185</v>
      </c>
      <c r="AR315" s="5" t="s">
        <v>2185</v>
      </c>
      <c r="AS315" s="142"/>
      <c r="AT315" s="142" t="b">
        <v>0</v>
      </c>
      <c r="AU315" s="142"/>
      <c r="AV315" s="142"/>
      <c r="AW315" s="142"/>
      <c r="AX315" s="142"/>
      <c r="AY315" s="142"/>
      <c r="AZ315" s="174"/>
      <c r="BA315" s="142"/>
      <c r="BB315" s="142"/>
      <c r="BC315" s="142"/>
      <c r="BD315" s="142"/>
      <c r="BE315" s="142"/>
      <c r="BF315" s="142"/>
      <c r="BG315" s="142"/>
    </row>
    <row r="316">
      <c r="A316" s="5" t="s">
        <v>1129</v>
      </c>
      <c r="B316" s="44">
        <v>44599.0</v>
      </c>
      <c r="C316" s="150">
        <v>0.31884259259259257</v>
      </c>
      <c r="D316" s="3"/>
      <c r="E316" s="3"/>
      <c r="F316" s="5"/>
      <c r="G316" s="5"/>
      <c r="H316" s="5"/>
      <c r="I316" s="3"/>
      <c r="J316" s="3"/>
      <c r="K316" s="3" t="s">
        <v>244</v>
      </c>
      <c r="L316" s="44">
        <v>44599.0</v>
      </c>
      <c r="M316" s="150">
        <v>0.4875462962962963</v>
      </c>
      <c r="N316" s="5"/>
      <c r="O316" s="5"/>
      <c r="P316" s="10" t="b">
        <v>0</v>
      </c>
      <c r="Q316" s="10" t="s">
        <v>2184</v>
      </c>
      <c r="R316" s="144" t="b">
        <v>1</v>
      </c>
      <c r="S316" s="144">
        <v>1.0</v>
      </c>
      <c r="T316" s="10"/>
      <c r="U316" s="5"/>
      <c r="V316" s="3"/>
      <c r="W316" s="5"/>
      <c r="X316" s="144" t="b">
        <v>0</v>
      </c>
      <c r="Y316" s="10" t="b">
        <v>0</v>
      </c>
      <c r="Z316" s="3"/>
      <c r="AA316" s="10" t="b">
        <v>0</v>
      </c>
      <c r="AB316" s="10" t="b">
        <v>0</v>
      </c>
      <c r="AC316" s="181">
        <v>458.0</v>
      </c>
      <c r="AD316" s="144" t="b">
        <v>0</v>
      </c>
      <c r="AE316" s="182">
        <v>242.93333333333337</v>
      </c>
      <c r="AF316" s="10" t="b">
        <v>0</v>
      </c>
      <c r="AG316" s="10" t="b">
        <v>0</v>
      </c>
      <c r="AH316" s="144"/>
      <c r="AI316" s="3"/>
      <c r="AJ316" s="10"/>
      <c r="AK316" s="3" t="s">
        <v>244</v>
      </c>
      <c r="AL316" s="5"/>
      <c r="AM316" s="5" t="s">
        <v>295</v>
      </c>
      <c r="AN316" s="5" t="s">
        <v>296</v>
      </c>
      <c r="AO316" s="5" t="s">
        <v>2185</v>
      </c>
      <c r="AP316" s="5" t="s">
        <v>2185</v>
      </c>
      <c r="AQ316" s="5" t="s">
        <v>2185</v>
      </c>
      <c r="AR316" s="5" t="s">
        <v>2185</v>
      </c>
      <c r="AS316" s="142"/>
      <c r="AT316" s="142" t="b">
        <v>0</v>
      </c>
      <c r="AU316" s="142"/>
      <c r="AV316" s="142"/>
      <c r="AW316" s="142"/>
      <c r="AX316" s="142"/>
      <c r="AY316" s="142"/>
      <c r="AZ316" s="174"/>
      <c r="BA316" s="142"/>
      <c r="BB316" s="142"/>
      <c r="BC316" s="142"/>
      <c r="BD316" s="142"/>
      <c r="BE316" s="142"/>
      <c r="BF316" s="142"/>
      <c r="BG316" s="142"/>
    </row>
    <row r="317">
      <c r="A317" s="5" t="s">
        <v>1131</v>
      </c>
      <c r="B317" s="44">
        <v>44599.0</v>
      </c>
      <c r="C317" s="150">
        <v>0.32459490740740743</v>
      </c>
      <c r="D317" s="3"/>
      <c r="E317" s="3"/>
      <c r="F317" s="5"/>
      <c r="G317" s="5"/>
      <c r="H317" s="5"/>
      <c r="I317" s="3"/>
      <c r="J317" s="3"/>
      <c r="K317" s="3" t="s">
        <v>244</v>
      </c>
      <c r="L317" s="44">
        <v>44599.0</v>
      </c>
      <c r="M317" s="150">
        <v>0.4875462962962963</v>
      </c>
      <c r="N317" s="5"/>
      <c r="O317" s="5"/>
      <c r="P317" s="10" t="b">
        <v>0</v>
      </c>
      <c r="Q317" s="10" t="s">
        <v>2184</v>
      </c>
      <c r="R317" s="144" t="b">
        <v>1</v>
      </c>
      <c r="S317" s="144">
        <v>1.0</v>
      </c>
      <c r="T317" s="10"/>
      <c r="U317" s="5"/>
      <c r="V317" s="3"/>
      <c r="W317" s="5"/>
      <c r="X317" s="144" t="b">
        <v>0</v>
      </c>
      <c r="Y317" s="10" t="b">
        <v>0</v>
      </c>
      <c r="Z317" s="3"/>
      <c r="AA317" s="10" t="b">
        <v>0</v>
      </c>
      <c r="AB317" s="10" t="b">
        <v>0</v>
      </c>
      <c r="AC317" s="181">
        <v>457.0</v>
      </c>
      <c r="AD317" s="144" t="b">
        <v>0</v>
      </c>
      <c r="AE317" s="182">
        <v>234.64999999999998</v>
      </c>
      <c r="AF317" s="10" t="b">
        <v>0</v>
      </c>
      <c r="AG317" s="10" t="b">
        <v>0</v>
      </c>
      <c r="AH317" s="144"/>
      <c r="AI317" s="3"/>
      <c r="AJ317" s="10"/>
      <c r="AK317" s="3" t="s">
        <v>244</v>
      </c>
      <c r="AL317" s="5"/>
      <c r="AM317" s="5" t="s">
        <v>314</v>
      </c>
      <c r="AN317" s="5" t="s">
        <v>315</v>
      </c>
      <c r="AO317" s="5" t="s">
        <v>2185</v>
      </c>
      <c r="AP317" s="5" t="s">
        <v>2185</v>
      </c>
      <c r="AQ317" s="5" t="s">
        <v>2185</v>
      </c>
      <c r="AR317" s="5" t="s">
        <v>2185</v>
      </c>
      <c r="AS317" s="142"/>
      <c r="AT317" s="142" t="b">
        <v>0</v>
      </c>
      <c r="AU317" s="142"/>
      <c r="AV317" s="142"/>
      <c r="AW317" s="142"/>
      <c r="AX317" s="142"/>
      <c r="AY317" s="142"/>
      <c r="AZ317" s="174"/>
      <c r="BA317" s="142"/>
      <c r="BB317" s="142"/>
      <c r="BC317" s="142"/>
      <c r="BD317" s="142"/>
      <c r="BE317" s="142"/>
      <c r="BF317" s="142"/>
      <c r="BG317" s="142"/>
    </row>
    <row r="318">
      <c r="A318" s="5" t="s">
        <v>1133</v>
      </c>
      <c r="B318" s="44">
        <v>44599.0</v>
      </c>
      <c r="C318" s="150">
        <v>0.33288194444444447</v>
      </c>
      <c r="D318" s="3"/>
      <c r="E318" s="3"/>
      <c r="F318" s="5"/>
      <c r="G318" s="5"/>
      <c r="H318" s="5"/>
      <c r="I318" s="3"/>
      <c r="J318" s="3"/>
      <c r="K318" s="3" t="s">
        <v>52</v>
      </c>
      <c r="L318" s="44">
        <v>44599.0</v>
      </c>
      <c r="M318" s="150">
        <v>0.4875347222222222</v>
      </c>
      <c r="N318" s="5"/>
      <c r="O318" s="5"/>
      <c r="P318" s="10" t="b">
        <v>0</v>
      </c>
      <c r="Q318" s="10" t="s">
        <v>2184</v>
      </c>
      <c r="R318" s="144" t="b">
        <v>1</v>
      </c>
      <c r="S318" s="144">
        <v>1.0</v>
      </c>
      <c r="T318" s="10"/>
      <c r="U318" s="5"/>
      <c r="V318" s="3"/>
      <c r="W318" s="5"/>
      <c r="X318" s="144" t="b">
        <v>0</v>
      </c>
      <c r="Y318" s="10" t="b">
        <v>0</v>
      </c>
      <c r="Z318" s="3"/>
      <c r="AA318" s="10" t="b">
        <v>0</v>
      </c>
      <c r="AB318" s="10" t="b">
        <v>0</v>
      </c>
      <c r="AC318" s="181">
        <v>456.0</v>
      </c>
      <c r="AD318" s="144" t="b">
        <v>0</v>
      </c>
      <c r="AE318" s="182">
        <v>222.69999999999996</v>
      </c>
      <c r="AF318" s="10" t="b">
        <v>0</v>
      </c>
      <c r="AG318" s="10" t="b">
        <v>0</v>
      </c>
      <c r="AH318" s="144"/>
      <c r="AI318" s="3"/>
      <c r="AJ318" s="10"/>
      <c r="AK318" s="3" t="s">
        <v>52</v>
      </c>
      <c r="AL318" s="5"/>
      <c r="AM318" s="5" t="s">
        <v>624</v>
      </c>
      <c r="AN318" s="5" t="s">
        <v>625</v>
      </c>
      <c r="AO318" s="5" t="s">
        <v>2185</v>
      </c>
      <c r="AP318" s="5" t="s">
        <v>2185</v>
      </c>
      <c r="AQ318" s="5" t="s">
        <v>2185</v>
      </c>
      <c r="AR318" s="5" t="s">
        <v>2185</v>
      </c>
      <c r="AS318" s="142"/>
      <c r="AT318" s="142" t="b">
        <v>0</v>
      </c>
      <c r="AU318" s="142"/>
      <c r="AV318" s="142"/>
      <c r="AW318" s="142"/>
      <c r="AX318" s="142"/>
      <c r="AY318" s="142"/>
      <c r="AZ318" s="174"/>
      <c r="BA318" s="142"/>
      <c r="BB318" s="142"/>
      <c r="BC318" s="142"/>
      <c r="BD318" s="142"/>
      <c r="BE318" s="142"/>
      <c r="BF318" s="142"/>
      <c r="BG318" s="142"/>
    </row>
    <row r="319">
      <c r="A319" s="5" t="s">
        <v>1135</v>
      </c>
      <c r="B319" s="44">
        <v>44599.0</v>
      </c>
      <c r="C319" s="150">
        <v>0.3376736111111111</v>
      </c>
      <c r="D319" s="3"/>
      <c r="E319" s="3"/>
      <c r="F319" s="5"/>
      <c r="G319" s="5"/>
      <c r="H319" s="5"/>
      <c r="I319" s="3"/>
      <c r="J319" s="3"/>
      <c r="K319" s="3" t="s">
        <v>244</v>
      </c>
      <c r="L319" s="44">
        <v>44599.0</v>
      </c>
      <c r="M319" s="150">
        <v>0.4875462962962963</v>
      </c>
      <c r="N319" s="5"/>
      <c r="O319" s="5"/>
      <c r="P319" s="10" t="b">
        <v>0</v>
      </c>
      <c r="Q319" s="10" t="s">
        <v>2184</v>
      </c>
      <c r="R319" s="144" t="b">
        <v>1</v>
      </c>
      <c r="S319" s="144">
        <v>1.0</v>
      </c>
      <c r="T319" s="10"/>
      <c r="U319" s="5"/>
      <c r="V319" s="3"/>
      <c r="W319" s="5"/>
      <c r="X319" s="144" t="b">
        <v>0</v>
      </c>
      <c r="Y319" s="10" t="b">
        <v>0</v>
      </c>
      <c r="Z319" s="3"/>
      <c r="AA319" s="10" t="b">
        <v>0</v>
      </c>
      <c r="AB319" s="10" t="b">
        <v>0</v>
      </c>
      <c r="AC319" s="181">
        <v>455.0</v>
      </c>
      <c r="AD319" s="144" t="b">
        <v>0</v>
      </c>
      <c r="AE319" s="182">
        <v>215.8166666666667</v>
      </c>
      <c r="AF319" s="10" t="b">
        <v>0</v>
      </c>
      <c r="AG319" s="10" t="b">
        <v>0</v>
      </c>
      <c r="AH319" s="144"/>
      <c r="AI319" s="3"/>
      <c r="AJ319" s="10"/>
      <c r="AK319" s="3" t="s">
        <v>244</v>
      </c>
      <c r="AL319" s="5"/>
      <c r="AM319" s="5" t="s">
        <v>307</v>
      </c>
      <c r="AN319" s="5" t="s">
        <v>266</v>
      </c>
      <c r="AO319" s="5" t="s">
        <v>2185</v>
      </c>
      <c r="AP319" s="5" t="s">
        <v>2185</v>
      </c>
      <c r="AQ319" s="5" t="s">
        <v>2185</v>
      </c>
      <c r="AR319" s="5" t="s">
        <v>2185</v>
      </c>
      <c r="AS319" s="142"/>
      <c r="AT319" s="142" t="b">
        <v>0</v>
      </c>
      <c r="AU319" s="142"/>
      <c r="AV319" s="142"/>
      <c r="AW319" s="142"/>
      <c r="AX319" s="142"/>
      <c r="AY319" s="142"/>
      <c r="AZ319" s="174"/>
      <c r="BA319" s="142"/>
      <c r="BB319" s="142"/>
      <c r="BC319" s="142"/>
      <c r="BD319" s="142"/>
      <c r="BE319" s="142"/>
      <c r="BF319" s="142"/>
      <c r="BG319" s="142"/>
    </row>
    <row r="320">
      <c r="A320" s="5" t="s">
        <v>1137</v>
      </c>
      <c r="B320" s="44">
        <v>44599.0</v>
      </c>
      <c r="C320" s="150">
        <v>0.34703703703703703</v>
      </c>
      <c r="D320" s="3"/>
      <c r="E320" s="3"/>
      <c r="F320" s="5"/>
      <c r="G320" s="5"/>
      <c r="H320" s="5"/>
      <c r="I320" s="3"/>
      <c r="J320" s="3"/>
      <c r="K320" s="3" t="s">
        <v>244</v>
      </c>
      <c r="L320" s="44">
        <v>44599.0</v>
      </c>
      <c r="M320" s="150">
        <v>0.4875462962962963</v>
      </c>
      <c r="N320" s="5"/>
      <c r="O320" s="5"/>
      <c r="P320" s="10" t="b">
        <v>0</v>
      </c>
      <c r="Q320" s="10" t="s">
        <v>2184</v>
      </c>
      <c r="R320" s="144" t="b">
        <v>1</v>
      </c>
      <c r="S320" s="144">
        <v>1.0</v>
      </c>
      <c r="T320" s="10"/>
      <c r="U320" s="5"/>
      <c r="V320" s="3"/>
      <c r="W320" s="5"/>
      <c r="X320" s="144" t="b">
        <v>0</v>
      </c>
      <c r="Y320" s="10" t="b">
        <v>0</v>
      </c>
      <c r="Z320" s="3"/>
      <c r="AA320" s="10" t="b">
        <v>0</v>
      </c>
      <c r="AB320" s="10" t="b">
        <v>0</v>
      </c>
      <c r="AC320" s="181">
        <v>454.0</v>
      </c>
      <c r="AD320" s="144" t="b">
        <v>0</v>
      </c>
      <c r="AE320" s="182">
        <v>202.33333333333337</v>
      </c>
      <c r="AF320" s="10" t="b">
        <v>0</v>
      </c>
      <c r="AG320" s="10" t="b">
        <v>0</v>
      </c>
      <c r="AH320" s="144"/>
      <c r="AI320" s="3"/>
      <c r="AJ320" s="10"/>
      <c r="AK320" s="3" t="s">
        <v>244</v>
      </c>
      <c r="AL320" s="5"/>
      <c r="AM320" s="5" t="s">
        <v>287</v>
      </c>
      <c r="AN320" s="5" t="s">
        <v>288</v>
      </c>
      <c r="AO320" s="5" t="s">
        <v>2185</v>
      </c>
      <c r="AP320" s="5" t="s">
        <v>2185</v>
      </c>
      <c r="AQ320" s="5" t="s">
        <v>2185</v>
      </c>
      <c r="AR320" s="5" t="s">
        <v>2185</v>
      </c>
      <c r="AS320" s="142"/>
      <c r="AT320" s="142" t="b">
        <v>0</v>
      </c>
      <c r="AU320" s="142"/>
      <c r="AV320" s="142"/>
      <c r="AW320" s="142"/>
      <c r="AX320" s="142"/>
      <c r="AY320" s="142"/>
      <c r="AZ320" s="174"/>
      <c r="BA320" s="142"/>
      <c r="BB320" s="142"/>
      <c r="BC320" s="142"/>
      <c r="BD320" s="142"/>
      <c r="BE320" s="142"/>
      <c r="BF320" s="142"/>
      <c r="BG320" s="142"/>
    </row>
    <row r="321">
      <c r="A321" s="5" t="s">
        <v>1139</v>
      </c>
      <c r="B321" s="44">
        <v>44599.0</v>
      </c>
      <c r="C321" s="150">
        <v>0.4626388888888889</v>
      </c>
      <c r="D321" s="3"/>
      <c r="E321" s="3"/>
      <c r="F321" s="5"/>
      <c r="G321" s="5"/>
      <c r="H321" s="5"/>
      <c r="I321" s="3"/>
      <c r="J321" s="3"/>
      <c r="K321" s="3" t="s">
        <v>244</v>
      </c>
      <c r="L321" s="44">
        <v>44599.0</v>
      </c>
      <c r="M321" s="150">
        <v>0.4875462962962963</v>
      </c>
      <c r="N321" s="5"/>
      <c r="O321" s="5"/>
      <c r="P321" s="10" t="b">
        <v>0</v>
      </c>
      <c r="Q321" s="10" t="s">
        <v>2184</v>
      </c>
      <c r="R321" s="144" t="b">
        <v>1</v>
      </c>
      <c r="S321" s="144">
        <v>1.0</v>
      </c>
      <c r="T321" s="10">
        <v>0.0</v>
      </c>
      <c r="U321" s="5"/>
      <c r="V321" s="3"/>
      <c r="W321" s="5"/>
      <c r="X321" s="144" t="b">
        <v>0</v>
      </c>
      <c r="Y321" s="10" t="b">
        <v>0</v>
      </c>
      <c r="Z321" s="3"/>
      <c r="AA321" s="10" t="b">
        <v>0</v>
      </c>
      <c r="AB321" s="10" t="b">
        <v>0</v>
      </c>
      <c r="AC321" s="181">
        <v>453.0</v>
      </c>
      <c r="AD321" s="144" t="b">
        <v>0</v>
      </c>
      <c r="AE321" s="182">
        <v>35.8666666666667</v>
      </c>
      <c r="AF321" s="10" t="b">
        <v>0</v>
      </c>
      <c r="AG321" s="10" t="b">
        <v>0</v>
      </c>
      <c r="AH321" s="144"/>
      <c r="AI321" s="3"/>
      <c r="AJ321" s="10"/>
      <c r="AK321" s="3" t="s">
        <v>244</v>
      </c>
      <c r="AL321" s="5"/>
      <c r="AM321" s="5" t="s">
        <v>261</v>
      </c>
      <c r="AN321" s="5" t="s">
        <v>1140</v>
      </c>
      <c r="AO321" s="5" t="s">
        <v>2185</v>
      </c>
      <c r="AP321" s="5" t="s">
        <v>2185</v>
      </c>
      <c r="AQ321" s="5" t="s">
        <v>2185</v>
      </c>
      <c r="AR321" s="5" t="s">
        <v>2185</v>
      </c>
      <c r="AS321" s="142"/>
      <c r="AT321" s="142" t="b">
        <v>0</v>
      </c>
      <c r="AU321" s="142"/>
      <c r="AV321" s="142"/>
      <c r="AW321" s="142"/>
      <c r="AX321" s="142"/>
      <c r="AY321" s="142"/>
      <c r="AZ321" s="174"/>
      <c r="BA321" s="142"/>
      <c r="BB321" s="142"/>
      <c r="BC321" s="142"/>
      <c r="BD321" s="142"/>
      <c r="BE321" s="142"/>
      <c r="BF321" s="142"/>
      <c r="BG321" s="142"/>
    </row>
    <row r="322">
      <c r="A322" s="5" t="s">
        <v>1142</v>
      </c>
      <c r="B322" s="44">
        <v>44599.0</v>
      </c>
      <c r="C322" s="150">
        <v>0.46304398148148146</v>
      </c>
      <c r="D322" s="3"/>
      <c r="E322" s="3"/>
      <c r="F322" s="5"/>
      <c r="G322" s="5"/>
      <c r="H322" s="5"/>
      <c r="I322" s="3"/>
      <c r="J322" s="3"/>
      <c r="K322" s="3" t="s">
        <v>244</v>
      </c>
      <c r="L322" s="44">
        <v>44599.0</v>
      </c>
      <c r="M322" s="150">
        <v>0.4875462962962963</v>
      </c>
      <c r="N322" s="5"/>
      <c r="O322" s="5"/>
      <c r="P322" s="10" t="b">
        <v>0</v>
      </c>
      <c r="Q322" s="10" t="s">
        <v>2184</v>
      </c>
      <c r="R322" s="144" t="b">
        <v>1</v>
      </c>
      <c r="S322" s="144">
        <v>1.0</v>
      </c>
      <c r="T322" s="10">
        <v>0.0</v>
      </c>
      <c r="U322" s="5"/>
      <c r="V322" s="3"/>
      <c r="W322" s="5"/>
      <c r="X322" s="144" t="b">
        <v>0</v>
      </c>
      <c r="Y322" s="10" t="b">
        <v>0</v>
      </c>
      <c r="Z322" s="3"/>
      <c r="AA322" s="10" t="b">
        <v>0</v>
      </c>
      <c r="AB322" s="10" t="b">
        <v>0</v>
      </c>
      <c r="AC322" s="181">
        <v>452.0</v>
      </c>
      <c r="AD322" s="144" t="b">
        <v>0</v>
      </c>
      <c r="AE322" s="182">
        <v>35.28333333333339</v>
      </c>
      <c r="AF322" s="10" t="b">
        <v>0</v>
      </c>
      <c r="AG322" s="10" t="b">
        <v>0</v>
      </c>
      <c r="AH322" s="144"/>
      <c r="AI322" s="3"/>
      <c r="AJ322" s="10"/>
      <c r="AK322" s="3" t="s">
        <v>244</v>
      </c>
      <c r="AL322" s="5"/>
      <c r="AM322" s="5" t="s">
        <v>261</v>
      </c>
      <c r="AN322" s="5" t="s">
        <v>1143</v>
      </c>
      <c r="AO322" s="5" t="s">
        <v>2185</v>
      </c>
      <c r="AP322" s="5" t="s">
        <v>2185</v>
      </c>
      <c r="AQ322" s="5" t="s">
        <v>2185</v>
      </c>
      <c r="AR322" s="5" t="s">
        <v>2185</v>
      </c>
      <c r="AS322" s="142"/>
      <c r="AT322" s="142" t="b">
        <v>0</v>
      </c>
      <c r="AU322" s="142"/>
      <c r="AV322" s="142"/>
      <c r="AW322" s="142"/>
      <c r="AX322" s="142"/>
      <c r="AY322" s="142"/>
      <c r="AZ322" s="174"/>
      <c r="BA322" s="142"/>
      <c r="BB322" s="142"/>
      <c r="BC322" s="142"/>
      <c r="BD322" s="142"/>
      <c r="BE322" s="142"/>
      <c r="BF322" s="142"/>
      <c r="BG322" s="142"/>
    </row>
    <row r="323">
      <c r="A323" s="5" t="s">
        <v>1145</v>
      </c>
      <c r="B323" s="44">
        <v>44599.0</v>
      </c>
      <c r="C323" s="150">
        <v>0.47069444444444447</v>
      </c>
      <c r="D323" s="3"/>
      <c r="E323" s="3"/>
      <c r="F323" s="5"/>
      <c r="G323" s="5"/>
      <c r="H323" s="5"/>
      <c r="I323" s="3"/>
      <c r="J323" s="3"/>
      <c r="K323" s="3" t="s">
        <v>244</v>
      </c>
      <c r="L323" s="44">
        <v>44599.0</v>
      </c>
      <c r="M323" s="150">
        <v>0.4875462962962963</v>
      </c>
      <c r="N323" s="5"/>
      <c r="O323" s="5"/>
      <c r="P323" s="10" t="b">
        <v>0</v>
      </c>
      <c r="Q323" s="10" t="s">
        <v>2184</v>
      </c>
      <c r="R323" s="144" t="b">
        <v>1</v>
      </c>
      <c r="S323" s="144">
        <v>1.0</v>
      </c>
      <c r="T323" s="10"/>
      <c r="U323" s="5"/>
      <c r="V323" s="3"/>
      <c r="W323" s="5"/>
      <c r="X323" s="144" t="b">
        <v>0</v>
      </c>
      <c r="Y323" s="10" t="b">
        <v>0</v>
      </c>
      <c r="Z323" s="3"/>
      <c r="AA323" s="10" t="b">
        <v>0</v>
      </c>
      <c r="AB323" s="10" t="b">
        <v>0</v>
      </c>
      <c r="AC323" s="181">
        <v>451.0</v>
      </c>
      <c r="AD323" s="144" t="b">
        <v>0</v>
      </c>
      <c r="AE323" s="182">
        <v>24.26666666666665</v>
      </c>
      <c r="AF323" s="10" t="b">
        <v>0</v>
      </c>
      <c r="AG323" s="10" t="b">
        <v>0</v>
      </c>
      <c r="AH323" s="144"/>
      <c r="AI323" s="3"/>
      <c r="AJ323" s="10"/>
      <c r="AK323" s="3" t="s">
        <v>244</v>
      </c>
      <c r="AL323" s="5"/>
      <c r="AM323" s="5" t="s">
        <v>261</v>
      </c>
      <c r="AN323" s="5" t="s">
        <v>300</v>
      </c>
      <c r="AO323" s="5" t="s">
        <v>2185</v>
      </c>
      <c r="AP323" s="5" t="s">
        <v>2185</v>
      </c>
      <c r="AQ323" s="5" t="s">
        <v>2185</v>
      </c>
      <c r="AR323" s="5" t="s">
        <v>2185</v>
      </c>
      <c r="AS323" s="142"/>
      <c r="AT323" s="142" t="b">
        <v>0</v>
      </c>
      <c r="AU323" s="142"/>
      <c r="AV323" s="142"/>
      <c r="AW323" s="142"/>
      <c r="AX323" s="142"/>
      <c r="AY323" s="142"/>
      <c r="AZ323" s="174"/>
      <c r="BA323" s="142"/>
      <c r="BB323" s="142"/>
      <c r="BC323" s="142"/>
      <c r="BD323" s="142"/>
      <c r="BE323" s="142"/>
      <c r="BF323" s="142"/>
      <c r="BG323" s="142"/>
    </row>
    <row r="324">
      <c r="A324" s="5" t="s">
        <v>1147</v>
      </c>
      <c r="B324" s="44">
        <v>44601.0</v>
      </c>
      <c r="C324" s="150">
        <v>0.26310185185185186</v>
      </c>
      <c r="D324" s="3"/>
      <c r="E324" s="3"/>
      <c r="F324" s="5"/>
      <c r="G324" s="5"/>
      <c r="H324" s="5"/>
      <c r="I324" s="3"/>
      <c r="J324" s="3"/>
      <c r="K324" s="3" t="s">
        <v>244</v>
      </c>
      <c r="L324" s="44">
        <v>44601.0</v>
      </c>
      <c r="M324" s="150">
        <v>0.48202546296296295</v>
      </c>
      <c r="N324" s="5"/>
      <c r="O324" s="5"/>
      <c r="P324" s="10" t="b">
        <v>0</v>
      </c>
      <c r="Q324" s="10" t="s">
        <v>2184</v>
      </c>
      <c r="R324" s="144" t="b">
        <v>1</v>
      </c>
      <c r="S324" s="144">
        <v>1.0</v>
      </c>
      <c r="T324" s="10"/>
      <c r="U324" s="5"/>
      <c r="V324" s="3"/>
      <c r="W324" s="5"/>
      <c r="X324" s="144" t="b">
        <v>0</v>
      </c>
      <c r="Y324" s="10" t="b">
        <v>0</v>
      </c>
      <c r="Z324" s="3"/>
      <c r="AA324" s="10" t="b">
        <v>0</v>
      </c>
      <c r="AB324" s="10" t="b">
        <v>0</v>
      </c>
      <c r="AC324" s="181">
        <v>450.0</v>
      </c>
      <c r="AD324" s="144" t="b">
        <v>0</v>
      </c>
      <c r="AE324" s="182">
        <v>315.25</v>
      </c>
      <c r="AF324" s="10" t="b">
        <v>0</v>
      </c>
      <c r="AG324" s="10" t="b">
        <v>0</v>
      </c>
      <c r="AH324" s="144"/>
      <c r="AI324" s="3"/>
      <c r="AJ324" s="10"/>
      <c r="AK324" s="3" t="s">
        <v>244</v>
      </c>
      <c r="AL324" s="5"/>
      <c r="AM324" s="5" t="s">
        <v>850</v>
      </c>
      <c r="AN324" s="5" t="s">
        <v>851</v>
      </c>
      <c r="AO324" s="5" t="s">
        <v>2185</v>
      </c>
      <c r="AP324" s="5" t="s">
        <v>2185</v>
      </c>
      <c r="AQ324" s="5" t="s">
        <v>2185</v>
      </c>
      <c r="AR324" s="5" t="s">
        <v>2185</v>
      </c>
      <c r="AS324" s="142"/>
      <c r="AT324" s="142" t="b">
        <v>0</v>
      </c>
      <c r="AU324" s="142"/>
      <c r="AV324" s="142"/>
      <c r="AW324" s="142"/>
      <c r="AX324" s="142"/>
      <c r="AY324" s="142"/>
      <c r="AZ324" s="174"/>
      <c r="BA324" s="142"/>
      <c r="BB324" s="142"/>
      <c r="BC324" s="142"/>
      <c r="BD324" s="142"/>
      <c r="BE324" s="142"/>
      <c r="BF324" s="142"/>
      <c r="BG324" s="142"/>
    </row>
    <row r="325">
      <c r="A325" s="5" t="s">
        <v>1149</v>
      </c>
      <c r="B325" s="44">
        <v>44601.0</v>
      </c>
      <c r="C325" s="150">
        <v>0.2634606481481481</v>
      </c>
      <c r="D325" s="3"/>
      <c r="E325" s="3"/>
      <c r="F325" s="5"/>
      <c r="G325" s="5"/>
      <c r="H325" s="5"/>
      <c r="I325" s="3"/>
      <c r="J325" s="3"/>
      <c r="K325" s="3" t="s">
        <v>52</v>
      </c>
      <c r="L325" s="44">
        <v>44601.0</v>
      </c>
      <c r="M325" s="150">
        <v>0.48203703703703704</v>
      </c>
      <c r="N325" s="5"/>
      <c r="O325" s="5"/>
      <c r="P325" s="10" t="b">
        <v>0</v>
      </c>
      <c r="Q325" s="10" t="s">
        <v>2184</v>
      </c>
      <c r="R325" s="144" t="b">
        <v>1</v>
      </c>
      <c r="S325" s="144">
        <v>1.0</v>
      </c>
      <c r="T325" s="10">
        <v>0.0</v>
      </c>
      <c r="U325" s="5"/>
      <c r="V325" s="3"/>
      <c r="W325" s="5"/>
      <c r="X325" s="144" t="b">
        <v>0</v>
      </c>
      <c r="Y325" s="10" t="b">
        <v>0</v>
      </c>
      <c r="Z325" s="3"/>
      <c r="AA325" s="10" t="b">
        <v>0</v>
      </c>
      <c r="AB325" s="10" t="b">
        <v>0</v>
      </c>
      <c r="AC325" s="181">
        <v>449.0</v>
      </c>
      <c r="AD325" s="144" t="b">
        <v>0</v>
      </c>
      <c r="AE325" s="182">
        <v>314.75</v>
      </c>
      <c r="AF325" s="10" t="b">
        <v>0</v>
      </c>
      <c r="AG325" s="10" t="b">
        <v>0</v>
      </c>
      <c r="AH325" s="144"/>
      <c r="AI325" s="3"/>
      <c r="AJ325" s="10"/>
      <c r="AK325" s="3" t="s">
        <v>52</v>
      </c>
      <c r="AL325" s="5"/>
      <c r="AM325" s="5" t="s">
        <v>850</v>
      </c>
      <c r="AN325" s="5" t="s">
        <v>955</v>
      </c>
      <c r="AO325" s="5" t="s">
        <v>2185</v>
      </c>
      <c r="AP325" s="5" t="s">
        <v>2185</v>
      </c>
      <c r="AQ325" s="5" t="s">
        <v>2185</v>
      </c>
      <c r="AR325" s="5" t="s">
        <v>2185</v>
      </c>
      <c r="AS325" s="142"/>
      <c r="AT325" s="142" t="b">
        <v>0</v>
      </c>
      <c r="AU325" s="142"/>
      <c r="AV325" s="142"/>
      <c r="AW325" s="142"/>
      <c r="AX325" s="142"/>
      <c r="AY325" s="142"/>
      <c r="AZ325" s="174"/>
      <c r="BA325" s="142"/>
      <c r="BB325" s="142"/>
      <c r="BC325" s="142"/>
      <c r="BD325" s="142"/>
      <c r="BE325" s="142"/>
      <c r="BF325" s="142"/>
      <c r="BG325" s="142"/>
    </row>
    <row r="326">
      <c r="A326" s="5" t="s">
        <v>1151</v>
      </c>
      <c r="B326" s="44">
        <v>44601.0</v>
      </c>
      <c r="C326" s="150">
        <v>0.3012037037037037</v>
      </c>
      <c r="D326" s="3"/>
      <c r="E326" s="3"/>
      <c r="F326" s="5"/>
      <c r="G326" s="5"/>
      <c r="H326" s="5"/>
      <c r="I326" s="3"/>
      <c r="J326" s="3"/>
      <c r="K326" s="3" t="s">
        <v>244</v>
      </c>
      <c r="L326" s="44">
        <v>44601.0</v>
      </c>
      <c r="M326" s="150">
        <v>0.48203703703703704</v>
      </c>
      <c r="N326" s="5"/>
      <c r="O326" s="5"/>
      <c r="P326" s="10" t="b">
        <v>0</v>
      </c>
      <c r="Q326" s="10" t="s">
        <v>2184</v>
      </c>
      <c r="R326" s="144" t="b">
        <v>1</v>
      </c>
      <c r="S326" s="144">
        <v>1.0</v>
      </c>
      <c r="T326" s="10">
        <v>0.0</v>
      </c>
      <c r="U326" s="5"/>
      <c r="V326" s="3"/>
      <c r="W326" s="5"/>
      <c r="X326" s="144" t="b">
        <v>0</v>
      </c>
      <c r="Y326" s="10" t="b">
        <v>0</v>
      </c>
      <c r="Z326" s="3"/>
      <c r="AA326" s="10" t="b">
        <v>0</v>
      </c>
      <c r="AB326" s="10" t="b">
        <v>0</v>
      </c>
      <c r="AC326" s="181">
        <v>448.0</v>
      </c>
      <c r="AD326" s="144" t="b">
        <v>0</v>
      </c>
      <c r="AE326" s="182">
        <v>260.4</v>
      </c>
      <c r="AF326" s="10" t="b">
        <v>0</v>
      </c>
      <c r="AG326" s="10" t="b">
        <v>0</v>
      </c>
      <c r="AH326" s="144"/>
      <c r="AI326" s="3"/>
      <c r="AJ326" s="10"/>
      <c r="AK326" s="3" t="s">
        <v>244</v>
      </c>
      <c r="AL326" s="5"/>
      <c r="AM326" s="5" t="s">
        <v>261</v>
      </c>
      <c r="AN326" s="5" t="s">
        <v>708</v>
      </c>
      <c r="AO326" s="5" t="s">
        <v>2185</v>
      </c>
      <c r="AP326" s="5" t="s">
        <v>2185</v>
      </c>
      <c r="AQ326" s="5" t="s">
        <v>2185</v>
      </c>
      <c r="AR326" s="5" t="s">
        <v>2185</v>
      </c>
      <c r="AS326" s="142"/>
      <c r="AT326" s="142" t="b">
        <v>0</v>
      </c>
      <c r="AU326" s="142"/>
      <c r="AV326" s="142"/>
      <c r="AW326" s="142"/>
      <c r="AX326" s="142"/>
      <c r="AY326" s="142"/>
      <c r="AZ326" s="174"/>
      <c r="BA326" s="142"/>
      <c r="BB326" s="142"/>
      <c r="BC326" s="142"/>
      <c r="BD326" s="142"/>
      <c r="BE326" s="142"/>
      <c r="BF326" s="142"/>
      <c r="BG326" s="142"/>
    </row>
    <row r="327">
      <c r="A327" s="5" t="s">
        <v>1153</v>
      </c>
      <c r="B327" s="44">
        <v>44601.0</v>
      </c>
      <c r="C327" s="150">
        <v>0.30150462962962965</v>
      </c>
      <c r="D327" s="3"/>
      <c r="E327" s="3"/>
      <c r="F327" s="5"/>
      <c r="G327" s="5"/>
      <c r="H327" s="5"/>
      <c r="I327" s="3"/>
      <c r="J327" s="3"/>
      <c r="K327" s="3" t="s">
        <v>244</v>
      </c>
      <c r="L327" s="44">
        <v>44601.0</v>
      </c>
      <c r="M327" s="150">
        <v>0.48203703703703704</v>
      </c>
      <c r="N327" s="5"/>
      <c r="O327" s="5"/>
      <c r="P327" s="10" t="b">
        <v>0</v>
      </c>
      <c r="Q327" s="10" t="s">
        <v>2184</v>
      </c>
      <c r="R327" s="144" t="b">
        <v>1</v>
      </c>
      <c r="S327" s="144">
        <v>1.0</v>
      </c>
      <c r="T327" s="10">
        <v>0.0</v>
      </c>
      <c r="U327" s="5"/>
      <c r="V327" s="3"/>
      <c r="W327" s="5"/>
      <c r="X327" s="144" t="b">
        <v>0</v>
      </c>
      <c r="Y327" s="10" t="b">
        <v>0</v>
      </c>
      <c r="Z327" s="3"/>
      <c r="AA327" s="10" t="b">
        <v>0</v>
      </c>
      <c r="AB327" s="10" t="b">
        <v>0</v>
      </c>
      <c r="AC327" s="181">
        <v>447.0</v>
      </c>
      <c r="AD327" s="144" t="b">
        <v>0</v>
      </c>
      <c r="AE327" s="182">
        <v>259.96666666666664</v>
      </c>
      <c r="AF327" s="10" t="b">
        <v>0</v>
      </c>
      <c r="AG327" s="10" t="b">
        <v>0</v>
      </c>
      <c r="AH327" s="144"/>
      <c r="AI327" s="3"/>
      <c r="AJ327" s="10"/>
      <c r="AK327" s="3" t="s">
        <v>244</v>
      </c>
      <c r="AL327" s="5"/>
      <c r="AM327" s="5" t="s">
        <v>261</v>
      </c>
      <c r="AN327" s="5" t="s">
        <v>913</v>
      </c>
      <c r="AO327" s="5" t="s">
        <v>2185</v>
      </c>
      <c r="AP327" s="5" t="s">
        <v>2185</v>
      </c>
      <c r="AQ327" s="5" t="s">
        <v>2185</v>
      </c>
      <c r="AR327" s="5" t="s">
        <v>2185</v>
      </c>
      <c r="AS327" s="142"/>
      <c r="AT327" s="142" t="b">
        <v>0</v>
      </c>
      <c r="AU327" s="142"/>
      <c r="AV327" s="142"/>
      <c r="AW327" s="142"/>
      <c r="AX327" s="142"/>
      <c r="AY327" s="142"/>
      <c r="AZ327" s="174"/>
      <c r="BA327" s="142"/>
      <c r="BB327" s="142"/>
      <c r="BC327" s="142"/>
      <c r="BD327" s="142"/>
      <c r="BE327" s="142"/>
      <c r="BF327" s="142"/>
      <c r="BG327" s="142"/>
    </row>
    <row r="328">
      <c r="A328" s="5" t="s">
        <v>1155</v>
      </c>
      <c r="B328" s="44">
        <v>44601.0</v>
      </c>
      <c r="C328" s="150">
        <v>0.31181712962962965</v>
      </c>
      <c r="D328" s="3"/>
      <c r="E328" s="3"/>
      <c r="F328" s="5"/>
      <c r="G328" s="5"/>
      <c r="H328" s="5"/>
      <c r="I328" s="3"/>
      <c r="J328" s="3"/>
      <c r="K328" s="3" t="s">
        <v>244</v>
      </c>
      <c r="L328" s="44">
        <v>44601.0</v>
      </c>
      <c r="M328" s="150">
        <v>0.48203703703703704</v>
      </c>
      <c r="N328" s="5"/>
      <c r="O328" s="5"/>
      <c r="P328" s="10" t="b">
        <v>0</v>
      </c>
      <c r="Q328" s="10" t="s">
        <v>2184</v>
      </c>
      <c r="R328" s="144" t="b">
        <v>1</v>
      </c>
      <c r="S328" s="144">
        <v>1.0</v>
      </c>
      <c r="T328" s="10"/>
      <c r="U328" s="5"/>
      <c r="V328" s="3"/>
      <c r="W328" s="5"/>
      <c r="X328" s="144" t="b">
        <v>0</v>
      </c>
      <c r="Y328" s="10" t="b">
        <v>0</v>
      </c>
      <c r="Z328" s="3"/>
      <c r="AA328" s="10" t="b">
        <v>0</v>
      </c>
      <c r="AB328" s="10" t="b">
        <v>0</v>
      </c>
      <c r="AC328" s="181">
        <v>446.0</v>
      </c>
      <c r="AD328" s="144" t="b">
        <v>0</v>
      </c>
      <c r="AE328" s="182">
        <v>245.11666666666667</v>
      </c>
      <c r="AF328" s="10" t="b">
        <v>0</v>
      </c>
      <c r="AG328" s="10" t="b">
        <v>0</v>
      </c>
      <c r="AH328" s="144"/>
      <c r="AI328" s="3"/>
      <c r="AJ328" s="10"/>
      <c r="AK328" s="3" t="s">
        <v>244</v>
      </c>
      <c r="AL328" s="5"/>
      <c r="AM328" s="5" t="s">
        <v>322</v>
      </c>
      <c r="AN328" s="5" t="s">
        <v>323</v>
      </c>
      <c r="AO328" s="5" t="s">
        <v>2185</v>
      </c>
      <c r="AP328" s="5" t="s">
        <v>2185</v>
      </c>
      <c r="AQ328" s="5" t="s">
        <v>2185</v>
      </c>
      <c r="AR328" s="5" t="s">
        <v>2185</v>
      </c>
      <c r="AS328" s="142"/>
      <c r="AT328" s="142" t="b">
        <v>0</v>
      </c>
      <c r="AU328" s="142"/>
      <c r="AV328" s="142"/>
      <c r="AW328" s="142"/>
      <c r="AX328" s="142"/>
      <c r="AY328" s="142"/>
      <c r="AZ328" s="174"/>
      <c r="BA328" s="142"/>
      <c r="BB328" s="142"/>
      <c r="BC328" s="142"/>
      <c r="BD328" s="142"/>
      <c r="BE328" s="142"/>
      <c r="BF328" s="142"/>
      <c r="BG328" s="142"/>
    </row>
    <row r="329">
      <c r="A329" s="5" t="s">
        <v>1157</v>
      </c>
      <c r="B329" s="44">
        <v>44601.0</v>
      </c>
      <c r="C329" s="150">
        <v>0.3174074074074074</v>
      </c>
      <c r="D329" s="3"/>
      <c r="E329" s="3"/>
      <c r="F329" s="5"/>
      <c r="G329" s="5"/>
      <c r="H329" s="5"/>
      <c r="I329" s="3"/>
      <c r="J329" s="3"/>
      <c r="K329" s="3" t="s">
        <v>244</v>
      </c>
      <c r="L329" s="44">
        <v>44601.0</v>
      </c>
      <c r="M329" s="150">
        <v>0.48203703703703704</v>
      </c>
      <c r="N329" s="5"/>
      <c r="O329" s="5"/>
      <c r="P329" s="10" t="b">
        <v>0</v>
      </c>
      <c r="Q329" s="10" t="s">
        <v>2184</v>
      </c>
      <c r="R329" s="144" t="b">
        <v>1</v>
      </c>
      <c r="S329" s="144">
        <v>1.0</v>
      </c>
      <c r="T329" s="10"/>
      <c r="U329" s="5"/>
      <c r="V329" s="3"/>
      <c r="W329" s="5"/>
      <c r="X329" s="144" t="b">
        <v>0</v>
      </c>
      <c r="Y329" s="10" t="b">
        <v>0</v>
      </c>
      <c r="Z329" s="3"/>
      <c r="AA329" s="10" t="b">
        <v>0</v>
      </c>
      <c r="AB329" s="10" t="b">
        <v>0</v>
      </c>
      <c r="AC329" s="181">
        <v>445.0</v>
      </c>
      <c r="AD329" s="144" t="b">
        <v>0</v>
      </c>
      <c r="AE329" s="182">
        <v>237.06666666666666</v>
      </c>
      <c r="AF329" s="10" t="b">
        <v>0</v>
      </c>
      <c r="AG329" s="10" t="b">
        <v>0</v>
      </c>
      <c r="AH329" s="144"/>
      <c r="AI329" s="3"/>
      <c r="AJ329" s="10"/>
      <c r="AK329" s="3" t="s">
        <v>244</v>
      </c>
      <c r="AL329" s="5"/>
      <c r="AM329" s="5" t="s">
        <v>865</v>
      </c>
      <c r="AN329" s="5" t="s">
        <v>548</v>
      </c>
      <c r="AO329" s="5" t="s">
        <v>2185</v>
      </c>
      <c r="AP329" s="5" t="s">
        <v>2185</v>
      </c>
      <c r="AQ329" s="5" t="s">
        <v>2185</v>
      </c>
      <c r="AR329" s="5" t="s">
        <v>2185</v>
      </c>
      <c r="AS329" s="142"/>
      <c r="AT329" s="142" t="b">
        <v>0</v>
      </c>
      <c r="AU329" s="142"/>
      <c r="AV329" s="142"/>
      <c r="AW329" s="142"/>
      <c r="AX329" s="142"/>
      <c r="AY329" s="142"/>
      <c r="AZ329" s="174"/>
      <c r="BA329" s="142"/>
      <c r="BB329" s="142"/>
      <c r="BC329" s="142"/>
      <c r="BD329" s="142"/>
      <c r="BE329" s="142"/>
      <c r="BF329" s="142"/>
      <c r="BG329" s="142"/>
    </row>
    <row r="330">
      <c r="A330" s="5" t="s">
        <v>1159</v>
      </c>
      <c r="B330" s="44">
        <v>44601.0</v>
      </c>
      <c r="C330" s="150">
        <v>0.3438310185185185</v>
      </c>
      <c r="D330" s="3"/>
      <c r="E330" s="3"/>
      <c r="F330" s="5"/>
      <c r="G330" s="5"/>
      <c r="H330" s="5"/>
      <c r="I330" s="3"/>
      <c r="J330" s="3"/>
      <c r="K330" s="3" t="s">
        <v>244</v>
      </c>
      <c r="L330" s="44">
        <v>44601.0</v>
      </c>
      <c r="M330" s="150">
        <v>0.48203703703703704</v>
      </c>
      <c r="N330" s="5"/>
      <c r="O330" s="5"/>
      <c r="P330" s="10" t="b">
        <v>0</v>
      </c>
      <c r="Q330" s="10" t="s">
        <v>2184</v>
      </c>
      <c r="R330" s="144" t="b">
        <v>1</v>
      </c>
      <c r="S330" s="144">
        <v>1.0</v>
      </c>
      <c r="T330" s="10"/>
      <c r="U330" s="5"/>
      <c r="V330" s="3"/>
      <c r="W330" s="5"/>
      <c r="X330" s="144" t="b">
        <v>0</v>
      </c>
      <c r="Y330" s="10" t="b">
        <v>0</v>
      </c>
      <c r="Z330" s="3"/>
      <c r="AA330" s="10" t="b">
        <v>0</v>
      </c>
      <c r="AB330" s="10" t="b">
        <v>0</v>
      </c>
      <c r="AC330" s="181">
        <v>444.0</v>
      </c>
      <c r="AD330" s="144" t="b">
        <v>0</v>
      </c>
      <c r="AE330" s="182">
        <v>199.0166666666667</v>
      </c>
      <c r="AF330" s="10" t="b">
        <v>0</v>
      </c>
      <c r="AG330" s="10" t="b">
        <v>0</v>
      </c>
      <c r="AH330" s="144"/>
      <c r="AI330" s="3"/>
      <c r="AJ330" s="10"/>
      <c r="AK330" s="3" t="s">
        <v>244</v>
      </c>
      <c r="AL330" s="5"/>
      <c r="AM330" s="5" t="s">
        <v>261</v>
      </c>
      <c r="AN330" s="5" t="s">
        <v>374</v>
      </c>
      <c r="AO330" s="5" t="s">
        <v>2185</v>
      </c>
      <c r="AP330" s="5" t="s">
        <v>2185</v>
      </c>
      <c r="AQ330" s="5" t="s">
        <v>2185</v>
      </c>
      <c r="AR330" s="5" t="s">
        <v>2185</v>
      </c>
      <c r="AS330" s="142"/>
      <c r="AT330" s="142" t="b">
        <v>0</v>
      </c>
      <c r="AU330" s="142"/>
      <c r="AV330" s="142"/>
      <c r="AW330" s="142"/>
      <c r="AX330" s="142"/>
      <c r="AY330" s="142"/>
      <c r="AZ330" s="174"/>
      <c r="BA330" s="142"/>
      <c r="BB330" s="142"/>
      <c r="BC330" s="142"/>
      <c r="BD330" s="142"/>
      <c r="BE330" s="142"/>
      <c r="BF330" s="142"/>
      <c r="BG330" s="142"/>
    </row>
    <row r="331">
      <c r="A331" s="5" t="s">
        <v>1161</v>
      </c>
      <c r="B331" s="44">
        <v>44601.0</v>
      </c>
      <c r="C331" s="150">
        <v>0.3444212962962963</v>
      </c>
      <c r="D331" s="3"/>
      <c r="E331" s="3"/>
      <c r="F331" s="5"/>
      <c r="G331" s="5"/>
      <c r="H331" s="5"/>
      <c r="I331" s="3"/>
      <c r="J331" s="3"/>
      <c r="K331" s="3" t="s">
        <v>244</v>
      </c>
      <c r="L331" s="44">
        <v>44601.0</v>
      </c>
      <c r="M331" s="150">
        <v>0.48203703703703704</v>
      </c>
      <c r="N331" s="5"/>
      <c r="O331" s="5"/>
      <c r="P331" s="10" t="b">
        <v>0</v>
      </c>
      <c r="Q331" s="10" t="s">
        <v>2184</v>
      </c>
      <c r="R331" s="144" t="b">
        <v>1</v>
      </c>
      <c r="S331" s="144">
        <v>1.0</v>
      </c>
      <c r="T331" s="10"/>
      <c r="U331" s="5"/>
      <c r="V331" s="3"/>
      <c r="W331" s="5"/>
      <c r="X331" s="144" t="b">
        <v>0</v>
      </c>
      <c r="Y331" s="10" t="b">
        <v>0</v>
      </c>
      <c r="Z331" s="3"/>
      <c r="AA331" s="10" t="b">
        <v>0</v>
      </c>
      <c r="AB331" s="10" t="b">
        <v>0</v>
      </c>
      <c r="AC331" s="181">
        <v>443.0</v>
      </c>
      <c r="AD331" s="144" t="b">
        <v>0</v>
      </c>
      <c r="AE331" s="182">
        <v>198.16666666666666</v>
      </c>
      <c r="AF331" s="10" t="b">
        <v>0</v>
      </c>
      <c r="AG331" s="10" t="b">
        <v>0</v>
      </c>
      <c r="AH331" s="144"/>
      <c r="AI331" s="3"/>
      <c r="AJ331" s="10"/>
      <c r="AK331" s="3" t="s">
        <v>244</v>
      </c>
      <c r="AL331" s="5"/>
      <c r="AM331" s="5" t="s">
        <v>261</v>
      </c>
      <c r="AN331" s="5" t="s">
        <v>1162</v>
      </c>
      <c r="AO331" s="5" t="s">
        <v>2185</v>
      </c>
      <c r="AP331" s="5" t="s">
        <v>2185</v>
      </c>
      <c r="AQ331" s="5" t="s">
        <v>2185</v>
      </c>
      <c r="AR331" s="5" t="s">
        <v>2185</v>
      </c>
      <c r="AS331" s="142"/>
      <c r="AT331" s="142" t="b">
        <v>0</v>
      </c>
      <c r="AU331" s="142"/>
      <c r="AV331" s="142"/>
      <c r="AW331" s="142"/>
      <c r="AX331" s="142"/>
      <c r="AY331" s="142"/>
      <c r="AZ331" s="174"/>
      <c r="BA331" s="142"/>
      <c r="BB331" s="142"/>
      <c r="BC331" s="142"/>
      <c r="BD331" s="142"/>
      <c r="BE331" s="142"/>
      <c r="BF331" s="142"/>
      <c r="BG331" s="142"/>
    </row>
    <row r="332">
      <c r="A332" s="5" t="s">
        <v>1164</v>
      </c>
      <c r="B332" s="44">
        <v>44601.0</v>
      </c>
      <c r="C332" s="150">
        <v>0.3448726851851852</v>
      </c>
      <c r="D332" s="3"/>
      <c r="E332" s="3"/>
      <c r="F332" s="5"/>
      <c r="G332" s="5"/>
      <c r="H332" s="5"/>
      <c r="I332" s="3"/>
      <c r="J332" s="3"/>
      <c r="K332" s="3" t="s">
        <v>244</v>
      </c>
      <c r="L332" s="44">
        <v>44601.0</v>
      </c>
      <c r="M332" s="150">
        <v>0.48203703703703704</v>
      </c>
      <c r="N332" s="5"/>
      <c r="O332" s="5"/>
      <c r="P332" s="10" t="b">
        <v>0</v>
      </c>
      <c r="Q332" s="10" t="s">
        <v>2184</v>
      </c>
      <c r="R332" s="144" t="b">
        <v>1</v>
      </c>
      <c r="S332" s="144">
        <v>1.0</v>
      </c>
      <c r="T332" s="10"/>
      <c r="U332" s="5"/>
      <c r="V332" s="3"/>
      <c r="W332" s="5"/>
      <c r="X332" s="144" t="b">
        <v>0</v>
      </c>
      <c r="Y332" s="10" t="b">
        <v>0</v>
      </c>
      <c r="Z332" s="3"/>
      <c r="AA332" s="10" t="b">
        <v>0</v>
      </c>
      <c r="AB332" s="10" t="b">
        <v>0</v>
      </c>
      <c r="AC332" s="181">
        <v>442.0</v>
      </c>
      <c r="AD332" s="144" t="b">
        <v>0</v>
      </c>
      <c r="AE332" s="182">
        <v>197.51666666666662</v>
      </c>
      <c r="AF332" s="10" t="b">
        <v>0</v>
      </c>
      <c r="AG332" s="10" t="b">
        <v>0</v>
      </c>
      <c r="AH332" s="144"/>
      <c r="AI332" s="3"/>
      <c r="AJ332" s="10"/>
      <c r="AK332" s="3" t="s">
        <v>244</v>
      </c>
      <c r="AL332" s="5"/>
      <c r="AM332" s="5" t="s">
        <v>261</v>
      </c>
      <c r="AN332" s="5" t="s">
        <v>458</v>
      </c>
      <c r="AO332" s="5" t="s">
        <v>2185</v>
      </c>
      <c r="AP332" s="5" t="s">
        <v>2185</v>
      </c>
      <c r="AQ332" s="5" t="s">
        <v>2185</v>
      </c>
      <c r="AR332" s="5" t="s">
        <v>2185</v>
      </c>
      <c r="AS332" s="142"/>
      <c r="AT332" s="142" t="b">
        <v>0</v>
      </c>
      <c r="AU332" s="142"/>
      <c r="AV332" s="142"/>
      <c r="AW332" s="142"/>
      <c r="AX332" s="142"/>
      <c r="AY332" s="142"/>
      <c r="AZ332" s="174"/>
      <c r="BA332" s="142"/>
      <c r="BB332" s="142"/>
      <c r="BC332" s="142"/>
      <c r="BD332" s="142"/>
      <c r="BE332" s="142"/>
      <c r="BF332" s="142"/>
      <c r="BG332" s="142"/>
    </row>
    <row r="333">
      <c r="A333" s="5" t="s">
        <v>1166</v>
      </c>
      <c r="B333" s="44">
        <v>44601.0</v>
      </c>
      <c r="C333" s="150">
        <v>0.34546296296296297</v>
      </c>
      <c r="D333" s="3"/>
      <c r="E333" s="3"/>
      <c r="F333" s="5"/>
      <c r="G333" s="5"/>
      <c r="H333" s="5"/>
      <c r="I333" s="3"/>
      <c r="J333" s="3"/>
      <c r="K333" s="3" t="s">
        <v>244</v>
      </c>
      <c r="L333" s="44">
        <v>44601.0</v>
      </c>
      <c r="M333" s="150">
        <v>0.48203703703703704</v>
      </c>
      <c r="N333" s="5"/>
      <c r="O333" s="5"/>
      <c r="P333" s="10" t="b">
        <v>0</v>
      </c>
      <c r="Q333" s="10" t="s">
        <v>2184</v>
      </c>
      <c r="R333" s="144" t="b">
        <v>1</v>
      </c>
      <c r="S333" s="144">
        <v>1.0</v>
      </c>
      <c r="T333" s="10">
        <v>0.0</v>
      </c>
      <c r="U333" s="5"/>
      <c r="V333" s="3"/>
      <c r="W333" s="5"/>
      <c r="X333" s="144" t="b">
        <v>0</v>
      </c>
      <c r="Y333" s="10" t="b">
        <v>0</v>
      </c>
      <c r="Z333" s="3"/>
      <c r="AA333" s="10" t="b">
        <v>0</v>
      </c>
      <c r="AB333" s="10" t="b">
        <v>0</v>
      </c>
      <c r="AC333" s="181">
        <v>441.0</v>
      </c>
      <c r="AD333" s="144" t="b">
        <v>0</v>
      </c>
      <c r="AE333" s="182">
        <v>196.66666666666666</v>
      </c>
      <c r="AF333" s="10" t="b">
        <v>0</v>
      </c>
      <c r="AG333" s="10" t="b">
        <v>0</v>
      </c>
      <c r="AH333" s="144"/>
      <c r="AI333" s="3"/>
      <c r="AJ333" s="10"/>
      <c r="AK333" s="3" t="s">
        <v>244</v>
      </c>
      <c r="AL333" s="5"/>
      <c r="AM333" s="5" t="s">
        <v>261</v>
      </c>
      <c r="AN333" s="5" t="s">
        <v>1167</v>
      </c>
      <c r="AO333" s="5" t="s">
        <v>2185</v>
      </c>
      <c r="AP333" s="5" t="s">
        <v>2185</v>
      </c>
      <c r="AQ333" s="5" t="s">
        <v>2185</v>
      </c>
      <c r="AR333" s="5" t="s">
        <v>2185</v>
      </c>
      <c r="AS333" s="142"/>
      <c r="AT333" s="142" t="b">
        <v>0</v>
      </c>
      <c r="AU333" s="142"/>
      <c r="AV333" s="142"/>
      <c r="AW333" s="142"/>
      <c r="AX333" s="142"/>
      <c r="AY333" s="142"/>
      <c r="AZ333" s="174"/>
      <c r="BA333" s="142"/>
      <c r="BB333" s="142"/>
      <c r="BC333" s="142"/>
      <c r="BD333" s="142"/>
      <c r="BE333" s="142"/>
      <c r="BF333" s="142"/>
      <c r="BG333" s="142"/>
    </row>
    <row r="334">
      <c r="A334" s="5" t="s">
        <v>1169</v>
      </c>
      <c r="B334" s="44">
        <v>44601.0</v>
      </c>
      <c r="C334" s="150">
        <v>0.34578703703703706</v>
      </c>
      <c r="D334" s="3"/>
      <c r="E334" s="3"/>
      <c r="F334" s="5"/>
      <c r="G334" s="5"/>
      <c r="H334" s="5"/>
      <c r="I334" s="3"/>
      <c r="J334" s="3"/>
      <c r="K334" s="3" t="s">
        <v>244</v>
      </c>
      <c r="L334" s="44">
        <v>44601.0</v>
      </c>
      <c r="M334" s="150">
        <v>0.48203703703703704</v>
      </c>
      <c r="N334" s="5"/>
      <c r="O334" s="5"/>
      <c r="P334" s="10" t="b">
        <v>0</v>
      </c>
      <c r="Q334" s="10" t="s">
        <v>2184</v>
      </c>
      <c r="R334" s="144" t="b">
        <v>1</v>
      </c>
      <c r="S334" s="144">
        <v>1.0</v>
      </c>
      <c r="T334" s="10">
        <v>0.0</v>
      </c>
      <c r="U334" s="5"/>
      <c r="V334" s="3"/>
      <c r="W334" s="5"/>
      <c r="X334" s="144" t="b">
        <v>0</v>
      </c>
      <c r="Y334" s="10" t="b">
        <v>0</v>
      </c>
      <c r="Z334" s="3"/>
      <c r="AA334" s="10" t="b">
        <v>0</v>
      </c>
      <c r="AB334" s="10" t="b">
        <v>0</v>
      </c>
      <c r="AC334" s="181">
        <v>440.0</v>
      </c>
      <c r="AD334" s="144" t="b">
        <v>0</v>
      </c>
      <c r="AE334" s="182">
        <v>196.2</v>
      </c>
      <c r="AF334" s="10" t="b">
        <v>0</v>
      </c>
      <c r="AG334" s="10" t="b">
        <v>0</v>
      </c>
      <c r="AH334" s="144"/>
      <c r="AI334" s="3"/>
      <c r="AJ334" s="10"/>
      <c r="AK334" s="3" t="s">
        <v>244</v>
      </c>
      <c r="AL334" s="5"/>
      <c r="AM334" s="5" t="s">
        <v>261</v>
      </c>
      <c r="AN334" s="5" t="s">
        <v>1170</v>
      </c>
      <c r="AO334" s="5" t="s">
        <v>2185</v>
      </c>
      <c r="AP334" s="5" t="s">
        <v>2185</v>
      </c>
      <c r="AQ334" s="5" t="s">
        <v>2185</v>
      </c>
      <c r="AR334" s="5" t="s">
        <v>2185</v>
      </c>
      <c r="AS334" s="142"/>
      <c r="AT334" s="142" t="b">
        <v>0</v>
      </c>
      <c r="AU334" s="142"/>
      <c r="AV334" s="142"/>
      <c r="AW334" s="142"/>
      <c r="AX334" s="142"/>
      <c r="AY334" s="142"/>
      <c r="AZ334" s="174"/>
      <c r="BA334" s="142"/>
      <c r="BB334" s="142"/>
      <c r="BC334" s="142"/>
      <c r="BD334" s="142"/>
      <c r="BE334" s="142"/>
      <c r="BF334" s="142"/>
      <c r="BG334" s="142"/>
    </row>
    <row r="335">
      <c r="A335" s="5" t="s">
        <v>1172</v>
      </c>
      <c r="B335" s="44">
        <v>44601.0</v>
      </c>
      <c r="C335" s="150">
        <v>0.34619212962962964</v>
      </c>
      <c r="D335" s="3"/>
      <c r="E335" s="3"/>
      <c r="F335" s="5"/>
      <c r="G335" s="5"/>
      <c r="H335" s="5"/>
      <c r="I335" s="3"/>
      <c r="J335" s="3"/>
      <c r="K335" s="3" t="s">
        <v>244</v>
      </c>
      <c r="L335" s="44">
        <v>44601.0</v>
      </c>
      <c r="M335" s="150">
        <v>0.48203703703703704</v>
      </c>
      <c r="N335" s="5"/>
      <c r="O335" s="5"/>
      <c r="P335" s="10" t="b">
        <v>0</v>
      </c>
      <c r="Q335" s="10" t="s">
        <v>2184</v>
      </c>
      <c r="R335" s="144" t="b">
        <v>1</v>
      </c>
      <c r="S335" s="144">
        <v>1.0</v>
      </c>
      <c r="T335" s="10">
        <v>0.0</v>
      </c>
      <c r="U335" s="5"/>
      <c r="V335" s="3"/>
      <c r="W335" s="5"/>
      <c r="X335" s="144" t="b">
        <v>0</v>
      </c>
      <c r="Y335" s="10" t="b">
        <v>0</v>
      </c>
      <c r="Z335" s="3"/>
      <c r="AA335" s="10" t="b">
        <v>0</v>
      </c>
      <c r="AB335" s="10" t="b">
        <v>0</v>
      </c>
      <c r="AC335" s="181">
        <v>439.0</v>
      </c>
      <c r="AD335" s="144" t="b">
        <v>0</v>
      </c>
      <c r="AE335" s="182">
        <v>195.61666666666665</v>
      </c>
      <c r="AF335" s="10" t="b">
        <v>0</v>
      </c>
      <c r="AG335" s="10" t="b">
        <v>0</v>
      </c>
      <c r="AH335" s="144"/>
      <c r="AI335" s="3"/>
      <c r="AJ335" s="10"/>
      <c r="AK335" s="3" t="s">
        <v>244</v>
      </c>
      <c r="AL335" s="5"/>
      <c r="AM335" s="5" t="s">
        <v>261</v>
      </c>
      <c r="AN335" s="5" t="s">
        <v>1173</v>
      </c>
      <c r="AO335" s="5" t="s">
        <v>2185</v>
      </c>
      <c r="AP335" s="5" t="s">
        <v>2185</v>
      </c>
      <c r="AQ335" s="5" t="s">
        <v>2185</v>
      </c>
      <c r="AR335" s="5" t="s">
        <v>2185</v>
      </c>
      <c r="AS335" s="142"/>
      <c r="AT335" s="142" t="b">
        <v>0</v>
      </c>
      <c r="AU335" s="142"/>
      <c r="AV335" s="142"/>
      <c r="AW335" s="142"/>
      <c r="AX335" s="142"/>
      <c r="AY335" s="142"/>
      <c r="AZ335" s="174"/>
      <c r="BA335" s="142"/>
      <c r="BB335" s="142"/>
      <c r="BC335" s="142"/>
      <c r="BD335" s="142"/>
      <c r="BE335" s="142"/>
      <c r="BF335" s="142"/>
      <c r="BG335" s="142"/>
    </row>
    <row r="336">
      <c r="A336" s="5" t="s">
        <v>1175</v>
      </c>
      <c r="B336" s="44">
        <v>44601.0</v>
      </c>
      <c r="C336" s="150">
        <v>0.3908912037037037</v>
      </c>
      <c r="D336" s="3"/>
      <c r="E336" s="3"/>
      <c r="F336" s="5"/>
      <c r="G336" s="5"/>
      <c r="H336" s="5"/>
      <c r="I336" s="3"/>
      <c r="J336" s="3"/>
      <c r="K336" s="3" t="s">
        <v>244</v>
      </c>
      <c r="L336" s="44">
        <v>44601.0</v>
      </c>
      <c r="M336" s="150">
        <v>0.48203703703703704</v>
      </c>
      <c r="N336" s="5"/>
      <c r="O336" s="5"/>
      <c r="P336" s="10" t="b">
        <v>0</v>
      </c>
      <c r="Q336" s="10" t="s">
        <v>2184</v>
      </c>
      <c r="R336" s="144" t="b">
        <v>1</v>
      </c>
      <c r="S336" s="144">
        <v>1.0</v>
      </c>
      <c r="T336" s="10"/>
      <c r="U336" s="5"/>
      <c r="V336" s="3"/>
      <c r="W336" s="5"/>
      <c r="X336" s="144" t="b">
        <v>0</v>
      </c>
      <c r="Y336" s="10" t="b">
        <v>0</v>
      </c>
      <c r="Z336" s="3"/>
      <c r="AA336" s="10" t="b">
        <v>0</v>
      </c>
      <c r="AB336" s="10" t="b">
        <v>0</v>
      </c>
      <c r="AC336" s="181">
        <v>438.0</v>
      </c>
      <c r="AD336" s="144" t="b">
        <v>0</v>
      </c>
      <c r="AE336" s="182">
        <v>131.24999999999997</v>
      </c>
      <c r="AF336" s="10" t="b">
        <v>0</v>
      </c>
      <c r="AG336" s="10" t="b">
        <v>0</v>
      </c>
      <c r="AH336" s="144"/>
      <c r="AI336" s="3"/>
      <c r="AJ336" s="10"/>
      <c r="AK336" s="3" t="s">
        <v>244</v>
      </c>
      <c r="AL336" s="5"/>
      <c r="AM336" s="5" t="s">
        <v>261</v>
      </c>
      <c r="AN336" s="5" t="s">
        <v>262</v>
      </c>
      <c r="AO336" s="5" t="s">
        <v>2185</v>
      </c>
      <c r="AP336" s="5" t="s">
        <v>2185</v>
      </c>
      <c r="AQ336" s="5" t="s">
        <v>2185</v>
      </c>
      <c r="AR336" s="5" t="s">
        <v>2185</v>
      </c>
      <c r="AS336" s="142"/>
      <c r="AT336" s="142" t="b">
        <v>0</v>
      </c>
      <c r="AU336" s="142"/>
      <c r="AV336" s="142"/>
      <c r="AW336" s="142"/>
      <c r="AX336" s="142"/>
      <c r="AY336" s="142"/>
      <c r="AZ336" s="174"/>
      <c r="BA336" s="142"/>
      <c r="BB336" s="142"/>
      <c r="BC336" s="142"/>
      <c r="BD336" s="142"/>
      <c r="BE336" s="142"/>
      <c r="BF336" s="142"/>
      <c r="BG336" s="142"/>
    </row>
    <row r="337">
      <c r="A337" s="5" t="s">
        <v>1177</v>
      </c>
      <c r="B337" s="44">
        <v>44601.0</v>
      </c>
      <c r="C337" s="150">
        <v>0.3924884259259259</v>
      </c>
      <c r="D337" s="3"/>
      <c r="E337" s="3"/>
      <c r="F337" s="5"/>
      <c r="G337" s="5"/>
      <c r="H337" s="5"/>
      <c r="I337" s="3"/>
      <c r="J337" s="3"/>
      <c r="K337" s="3" t="s">
        <v>244</v>
      </c>
      <c r="L337" s="44">
        <v>44601.0</v>
      </c>
      <c r="M337" s="150">
        <v>0.48203703703703704</v>
      </c>
      <c r="N337" s="5"/>
      <c r="O337" s="5"/>
      <c r="P337" s="10" t="b">
        <v>0</v>
      </c>
      <c r="Q337" s="10" t="s">
        <v>2184</v>
      </c>
      <c r="R337" s="144" t="b">
        <v>1</v>
      </c>
      <c r="S337" s="144">
        <v>1.0</v>
      </c>
      <c r="T337" s="10">
        <v>0.0</v>
      </c>
      <c r="U337" s="5"/>
      <c r="V337" s="3"/>
      <c r="W337" s="5"/>
      <c r="X337" s="144" t="b">
        <v>0</v>
      </c>
      <c r="Y337" s="10" t="b">
        <v>0</v>
      </c>
      <c r="Z337" s="3"/>
      <c r="AA337" s="10" t="b">
        <v>0</v>
      </c>
      <c r="AB337" s="10" t="b">
        <v>0</v>
      </c>
      <c r="AC337" s="181">
        <v>437.0</v>
      </c>
      <c r="AD337" s="144" t="b">
        <v>0</v>
      </c>
      <c r="AE337" s="182">
        <v>128.95000000000002</v>
      </c>
      <c r="AF337" s="10" t="b">
        <v>0</v>
      </c>
      <c r="AG337" s="10" t="b">
        <v>0</v>
      </c>
      <c r="AH337" s="144"/>
      <c r="AI337" s="3"/>
      <c r="AJ337" s="10"/>
      <c r="AK337" s="3" t="s">
        <v>244</v>
      </c>
      <c r="AL337" s="5"/>
      <c r="AM337" s="5" t="s">
        <v>261</v>
      </c>
      <c r="AN337" s="5" t="s">
        <v>1178</v>
      </c>
      <c r="AO337" s="5" t="s">
        <v>2185</v>
      </c>
      <c r="AP337" s="5" t="s">
        <v>2185</v>
      </c>
      <c r="AQ337" s="5" t="s">
        <v>2185</v>
      </c>
      <c r="AR337" s="5" t="s">
        <v>2185</v>
      </c>
      <c r="AS337" s="142"/>
      <c r="AT337" s="142" t="b">
        <v>0</v>
      </c>
      <c r="AU337" s="142"/>
      <c r="AV337" s="142"/>
      <c r="AW337" s="142"/>
      <c r="AX337" s="142"/>
      <c r="AY337" s="142"/>
      <c r="AZ337" s="174"/>
      <c r="BA337" s="142"/>
      <c r="BB337" s="142"/>
      <c r="BC337" s="142"/>
      <c r="BD337" s="142"/>
      <c r="BE337" s="142"/>
      <c r="BF337" s="142"/>
      <c r="BG337" s="142"/>
    </row>
    <row r="338">
      <c r="A338" s="5" t="s">
        <v>1180</v>
      </c>
      <c r="B338" s="44">
        <v>44603.0</v>
      </c>
      <c r="C338" s="150">
        <v>0.28810185185185183</v>
      </c>
      <c r="D338" s="3"/>
      <c r="E338" s="3"/>
      <c r="F338" s="5"/>
      <c r="G338" s="5"/>
      <c r="H338" s="5"/>
      <c r="I338" s="3"/>
      <c r="J338" s="3"/>
      <c r="K338" s="3" t="s">
        <v>244</v>
      </c>
      <c r="L338" s="44">
        <v>44603.0</v>
      </c>
      <c r="M338" s="150">
        <v>0.46979166666666666</v>
      </c>
      <c r="N338" s="5"/>
      <c r="O338" s="5"/>
      <c r="P338" s="10" t="b">
        <v>0</v>
      </c>
      <c r="Q338" s="10" t="s">
        <v>2184</v>
      </c>
      <c r="R338" s="144" t="b">
        <v>1</v>
      </c>
      <c r="S338" s="144">
        <v>1.0</v>
      </c>
      <c r="T338" s="10"/>
      <c r="U338" s="5"/>
      <c r="V338" s="3"/>
      <c r="W338" s="5"/>
      <c r="X338" s="144" t="b">
        <v>0</v>
      </c>
      <c r="Y338" s="10" t="b">
        <v>0</v>
      </c>
      <c r="Z338" s="3"/>
      <c r="AA338" s="10" t="b">
        <v>0</v>
      </c>
      <c r="AB338" s="10" t="b">
        <v>0</v>
      </c>
      <c r="AC338" s="181">
        <v>436.0</v>
      </c>
      <c r="AD338" s="144" t="b">
        <v>0</v>
      </c>
      <c r="AE338" s="182">
        <v>261.6333333333334</v>
      </c>
      <c r="AF338" s="10" t="b">
        <v>0</v>
      </c>
      <c r="AG338" s="10" t="b">
        <v>0</v>
      </c>
      <c r="AH338" s="144"/>
      <c r="AI338" s="3"/>
      <c r="AJ338" s="10"/>
      <c r="AK338" s="3" t="s">
        <v>244</v>
      </c>
      <c r="AL338" s="5"/>
      <c r="AM338" s="5" t="s">
        <v>639</v>
      </c>
      <c r="AN338" s="5" t="s">
        <v>640</v>
      </c>
      <c r="AO338" s="5" t="s">
        <v>2185</v>
      </c>
      <c r="AP338" s="5" t="s">
        <v>2185</v>
      </c>
      <c r="AQ338" s="5" t="s">
        <v>2185</v>
      </c>
      <c r="AR338" s="5" t="s">
        <v>2185</v>
      </c>
      <c r="AS338" s="142"/>
      <c r="AT338" s="142" t="b">
        <v>0</v>
      </c>
      <c r="AU338" s="142"/>
      <c r="AV338" s="142"/>
      <c r="AW338" s="142"/>
      <c r="AX338" s="142"/>
      <c r="AY338" s="142"/>
      <c r="AZ338" s="174"/>
      <c r="BA338" s="142"/>
      <c r="BB338" s="142"/>
      <c r="BC338" s="142"/>
      <c r="BD338" s="142"/>
      <c r="BE338" s="142"/>
      <c r="BF338" s="142"/>
      <c r="BG338" s="142"/>
    </row>
    <row r="339">
      <c r="A339" s="5" t="s">
        <v>1182</v>
      </c>
      <c r="B339" s="44">
        <v>44603.0</v>
      </c>
      <c r="C339" s="150">
        <v>0.3151736111111111</v>
      </c>
      <c r="D339" s="3"/>
      <c r="E339" s="3"/>
      <c r="F339" s="5"/>
      <c r="G339" s="5"/>
      <c r="H339" s="5"/>
      <c r="I339" s="3"/>
      <c r="J339" s="3"/>
      <c r="K339" s="3" t="s">
        <v>244</v>
      </c>
      <c r="L339" s="44">
        <v>44603.0</v>
      </c>
      <c r="M339" s="150">
        <v>0.46979166666666666</v>
      </c>
      <c r="N339" s="5"/>
      <c r="O339" s="5"/>
      <c r="P339" s="10" t="b">
        <v>0</v>
      </c>
      <c r="Q339" s="10" t="s">
        <v>2184</v>
      </c>
      <c r="R339" s="144" t="b">
        <v>1</v>
      </c>
      <c r="S339" s="144">
        <v>1.0</v>
      </c>
      <c r="T339" s="10"/>
      <c r="U339" s="5"/>
      <c r="V339" s="3"/>
      <c r="W339" s="5"/>
      <c r="X339" s="144" t="b">
        <v>0</v>
      </c>
      <c r="Y339" s="10" t="b">
        <v>0</v>
      </c>
      <c r="Z339" s="3"/>
      <c r="AA339" s="10" t="b">
        <v>0</v>
      </c>
      <c r="AB339" s="10" t="b">
        <v>0</v>
      </c>
      <c r="AC339" s="181">
        <v>435.0</v>
      </c>
      <c r="AD339" s="144" t="b">
        <v>0</v>
      </c>
      <c r="AE339" s="182">
        <v>222.65000000000003</v>
      </c>
      <c r="AF339" s="10" t="b">
        <v>0</v>
      </c>
      <c r="AG339" s="10" t="b">
        <v>0</v>
      </c>
      <c r="AH339" s="144"/>
      <c r="AI339" s="3"/>
      <c r="AJ339" s="10"/>
      <c r="AK339" s="3" t="s">
        <v>244</v>
      </c>
      <c r="AL339" s="5"/>
      <c r="AM339" s="5" t="s">
        <v>328</v>
      </c>
      <c r="AN339" s="5" t="s">
        <v>329</v>
      </c>
      <c r="AO339" s="5" t="s">
        <v>2185</v>
      </c>
      <c r="AP339" s="5" t="s">
        <v>2185</v>
      </c>
      <c r="AQ339" s="5" t="s">
        <v>2185</v>
      </c>
      <c r="AR339" s="5" t="s">
        <v>2185</v>
      </c>
      <c r="AS339" s="142"/>
      <c r="AT339" s="142" t="b">
        <v>0</v>
      </c>
      <c r="AU339" s="142"/>
      <c r="AV339" s="142"/>
      <c r="AW339" s="142"/>
      <c r="AX339" s="142"/>
      <c r="AY339" s="142"/>
      <c r="AZ339" s="174"/>
      <c r="BA339" s="142"/>
      <c r="BB339" s="142"/>
      <c r="BC339" s="142"/>
      <c r="BD339" s="142"/>
      <c r="BE339" s="142"/>
      <c r="BF339" s="142"/>
      <c r="BG339" s="142"/>
    </row>
    <row r="340">
      <c r="A340" s="5" t="s">
        <v>1184</v>
      </c>
      <c r="B340" s="44">
        <v>44603.0</v>
      </c>
      <c r="C340" s="150">
        <v>0.31798611111111114</v>
      </c>
      <c r="D340" s="3"/>
      <c r="E340" s="3"/>
      <c r="F340" s="5"/>
      <c r="G340" s="5"/>
      <c r="H340" s="5"/>
      <c r="I340" s="3"/>
      <c r="J340" s="3"/>
      <c r="K340" s="3" t="s">
        <v>244</v>
      </c>
      <c r="L340" s="44">
        <v>44603.0</v>
      </c>
      <c r="M340" s="150">
        <v>0.46979166666666666</v>
      </c>
      <c r="N340" s="5"/>
      <c r="O340" s="5"/>
      <c r="P340" s="10" t="b">
        <v>0</v>
      </c>
      <c r="Q340" s="10" t="s">
        <v>2184</v>
      </c>
      <c r="R340" s="144" t="b">
        <v>1</v>
      </c>
      <c r="S340" s="144">
        <v>1.0</v>
      </c>
      <c r="T340" s="10"/>
      <c r="U340" s="5"/>
      <c r="V340" s="3"/>
      <c r="W340" s="5"/>
      <c r="X340" s="144" t="b">
        <v>0</v>
      </c>
      <c r="Y340" s="10" t="b">
        <v>0</v>
      </c>
      <c r="Z340" s="3"/>
      <c r="AA340" s="10" t="b">
        <v>0</v>
      </c>
      <c r="AB340" s="10" t="b">
        <v>0</v>
      </c>
      <c r="AC340" s="181">
        <v>434.0</v>
      </c>
      <c r="AD340" s="144" t="b">
        <v>0</v>
      </c>
      <c r="AE340" s="182">
        <v>218.59999999999997</v>
      </c>
      <c r="AF340" s="10" t="b">
        <v>0</v>
      </c>
      <c r="AG340" s="10" t="b">
        <v>0</v>
      </c>
      <c r="AH340" s="144"/>
      <c r="AI340" s="3"/>
      <c r="AJ340" s="10"/>
      <c r="AK340" s="3" t="s">
        <v>244</v>
      </c>
      <c r="AL340" s="5"/>
      <c r="AM340" s="5" t="s">
        <v>295</v>
      </c>
      <c r="AN340" s="5" t="s">
        <v>296</v>
      </c>
      <c r="AO340" s="5" t="s">
        <v>2185</v>
      </c>
      <c r="AP340" s="5" t="s">
        <v>2185</v>
      </c>
      <c r="AQ340" s="5" t="s">
        <v>2185</v>
      </c>
      <c r="AR340" s="5" t="s">
        <v>2185</v>
      </c>
      <c r="AS340" s="142"/>
      <c r="AT340" s="142" t="b">
        <v>0</v>
      </c>
      <c r="AU340" s="142"/>
      <c r="AV340" s="142"/>
      <c r="AW340" s="142"/>
      <c r="AX340" s="142"/>
      <c r="AY340" s="142"/>
      <c r="AZ340" s="174"/>
      <c r="BA340" s="142"/>
      <c r="BB340" s="142"/>
      <c r="BC340" s="142"/>
      <c r="BD340" s="142"/>
      <c r="BE340" s="142"/>
      <c r="BF340" s="142"/>
      <c r="BG340" s="142"/>
    </row>
    <row r="341">
      <c r="A341" s="5" t="s">
        <v>1186</v>
      </c>
      <c r="B341" s="44">
        <v>44603.0</v>
      </c>
      <c r="C341" s="150">
        <v>0.3190972222222222</v>
      </c>
      <c r="D341" s="3"/>
      <c r="E341" s="3"/>
      <c r="F341" s="5"/>
      <c r="G341" s="5"/>
      <c r="H341" s="5"/>
      <c r="I341" s="3"/>
      <c r="J341" s="3"/>
      <c r="K341" s="3" t="s">
        <v>244</v>
      </c>
      <c r="L341" s="44">
        <v>44603.0</v>
      </c>
      <c r="M341" s="150">
        <v>0.46979166666666666</v>
      </c>
      <c r="N341" s="5"/>
      <c r="O341" s="5"/>
      <c r="P341" s="10" t="b">
        <v>0</v>
      </c>
      <c r="Q341" s="10" t="s">
        <v>2184</v>
      </c>
      <c r="R341" s="144" t="b">
        <v>1</v>
      </c>
      <c r="S341" s="144">
        <v>1.0</v>
      </c>
      <c r="T341" s="10"/>
      <c r="U341" s="5"/>
      <c r="V341" s="3"/>
      <c r="W341" s="5"/>
      <c r="X341" s="144" t="b">
        <v>0</v>
      </c>
      <c r="Y341" s="10" t="b">
        <v>0</v>
      </c>
      <c r="Z341" s="3"/>
      <c r="AA341" s="10" t="b">
        <v>0</v>
      </c>
      <c r="AB341" s="10" t="b">
        <v>0</v>
      </c>
      <c r="AC341" s="181">
        <v>433.0</v>
      </c>
      <c r="AD341" s="144" t="b">
        <v>0</v>
      </c>
      <c r="AE341" s="182">
        <v>217.00000000000003</v>
      </c>
      <c r="AF341" s="10" t="b">
        <v>0</v>
      </c>
      <c r="AG341" s="10" t="b">
        <v>0</v>
      </c>
      <c r="AH341" s="144"/>
      <c r="AI341" s="3"/>
      <c r="AJ341" s="10"/>
      <c r="AK341" s="3" t="s">
        <v>244</v>
      </c>
      <c r="AL341" s="5"/>
      <c r="AM341" s="5" t="s">
        <v>299</v>
      </c>
      <c r="AN341" s="5" t="s">
        <v>300</v>
      </c>
      <c r="AO341" s="5" t="s">
        <v>2185</v>
      </c>
      <c r="AP341" s="5" t="s">
        <v>2185</v>
      </c>
      <c r="AQ341" s="5" t="s">
        <v>2185</v>
      </c>
      <c r="AR341" s="5" t="s">
        <v>2185</v>
      </c>
      <c r="AS341" s="142"/>
      <c r="AT341" s="142" t="b">
        <v>0</v>
      </c>
      <c r="AU341" s="142"/>
      <c r="AV341" s="142"/>
      <c r="AW341" s="142"/>
      <c r="AX341" s="142"/>
      <c r="AY341" s="142"/>
      <c r="AZ341" s="174"/>
      <c r="BA341" s="142"/>
      <c r="BB341" s="142"/>
      <c r="BC341" s="142"/>
      <c r="BD341" s="142"/>
      <c r="BE341" s="142"/>
      <c r="BF341" s="142"/>
      <c r="BG341" s="142"/>
    </row>
    <row r="342">
      <c r="A342" s="5" t="s">
        <v>1188</v>
      </c>
      <c r="B342" s="44">
        <v>44603.0</v>
      </c>
      <c r="C342" s="150">
        <v>0.3376851851851852</v>
      </c>
      <c r="D342" s="3"/>
      <c r="E342" s="3"/>
      <c r="F342" s="5"/>
      <c r="G342" s="5"/>
      <c r="H342" s="5"/>
      <c r="I342" s="3"/>
      <c r="J342" s="3"/>
      <c r="K342" s="3" t="s">
        <v>244</v>
      </c>
      <c r="L342" s="44">
        <v>44603.0</v>
      </c>
      <c r="M342" s="150">
        <v>0.46979166666666666</v>
      </c>
      <c r="N342" s="5"/>
      <c r="O342" s="5"/>
      <c r="P342" s="10" t="b">
        <v>0</v>
      </c>
      <c r="Q342" s="10" t="s">
        <v>2184</v>
      </c>
      <c r="R342" s="144" t="b">
        <v>1</v>
      </c>
      <c r="S342" s="144">
        <v>1.0</v>
      </c>
      <c r="T342" s="10"/>
      <c r="U342" s="5"/>
      <c r="V342" s="3"/>
      <c r="W342" s="5"/>
      <c r="X342" s="144" t="b">
        <v>0</v>
      </c>
      <c r="Y342" s="10" t="b">
        <v>0</v>
      </c>
      <c r="Z342" s="3"/>
      <c r="AA342" s="10" t="b">
        <v>0</v>
      </c>
      <c r="AB342" s="10" t="b">
        <v>0</v>
      </c>
      <c r="AC342" s="181">
        <v>432.0</v>
      </c>
      <c r="AD342" s="144" t="b">
        <v>0</v>
      </c>
      <c r="AE342" s="182">
        <v>190.23333333333332</v>
      </c>
      <c r="AF342" s="10" t="b">
        <v>0</v>
      </c>
      <c r="AG342" s="10" t="b">
        <v>0</v>
      </c>
      <c r="AH342" s="144"/>
      <c r="AI342" s="3"/>
      <c r="AJ342" s="10"/>
      <c r="AK342" s="3" t="s">
        <v>244</v>
      </c>
      <c r="AL342" s="5"/>
      <c r="AM342" s="5" t="s">
        <v>303</v>
      </c>
      <c r="AN342" s="5" t="s">
        <v>304</v>
      </c>
      <c r="AO342" s="5" t="s">
        <v>2185</v>
      </c>
      <c r="AP342" s="5" t="s">
        <v>2185</v>
      </c>
      <c r="AQ342" s="5" t="s">
        <v>2185</v>
      </c>
      <c r="AR342" s="5" t="s">
        <v>2185</v>
      </c>
      <c r="AS342" s="142"/>
      <c r="AT342" s="142" t="b">
        <v>0</v>
      </c>
      <c r="AU342" s="142"/>
      <c r="AV342" s="142"/>
      <c r="AW342" s="142"/>
      <c r="AX342" s="142"/>
      <c r="AY342" s="142"/>
      <c r="AZ342" s="174"/>
      <c r="BA342" s="142"/>
      <c r="BB342" s="142"/>
      <c r="BC342" s="142"/>
      <c r="BD342" s="142"/>
      <c r="BE342" s="142"/>
      <c r="BF342" s="142"/>
      <c r="BG342" s="142"/>
    </row>
    <row r="343">
      <c r="A343" s="5" t="s">
        <v>1190</v>
      </c>
      <c r="B343" s="44">
        <v>44603.0</v>
      </c>
      <c r="C343" s="150">
        <v>0.3391550925925926</v>
      </c>
      <c r="D343" s="3"/>
      <c r="E343" s="3"/>
      <c r="F343" s="5"/>
      <c r="G343" s="5"/>
      <c r="H343" s="5"/>
      <c r="I343" s="3"/>
      <c r="J343" s="3"/>
      <c r="K343" s="3" t="s">
        <v>52</v>
      </c>
      <c r="L343" s="44">
        <v>44603.0</v>
      </c>
      <c r="M343" s="150">
        <v>0.46979166666666666</v>
      </c>
      <c r="N343" s="5"/>
      <c r="O343" s="5"/>
      <c r="P343" s="10" t="b">
        <v>0</v>
      </c>
      <c r="Q343" s="10" t="s">
        <v>2184</v>
      </c>
      <c r="R343" s="144" t="b">
        <v>1</v>
      </c>
      <c r="S343" s="144">
        <v>1.0</v>
      </c>
      <c r="T343" s="10"/>
      <c r="U343" s="5"/>
      <c r="V343" s="3"/>
      <c r="W343" s="5"/>
      <c r="X343" s="144" t="b">
        <v>0</v>
      </c>
      <c r="Y343" s="10" t="b">
        <v>0</v>
      </c>
      <c r="Z343" s="3"/>
      <c r="AA343" s="10" t="b">
        <v>0</v>
      </c>
      <c r="AB343" s="10" t="b">
        <v>0</v>
      </c>
      <c r="AC343" s="181">
        <v>431.0</v>
      </c>
      <c r="AD343" s="144" t="b">
        <v>0</v>
      </c>
      <c r="AE343" s="182">
        <v>188.11666666666667</v>
      </c>
      <c r="AF343" s="10" t="b">
        <v>0</v>
      </c>
      <c r="AG343" s="10" t="b">
        <v>0</v>
      </c>
      <c r="AH343" s="144"/>
      <c r="AI343" s="3"/>
      <c r="AJ343" s="10"/>
      <c r="AK343" s="3" t="s">
        <v>52</v>
      </c>
      <c r="AL343" s="5"/>
      <c r="AM343" s="5" t="s">
        <v>1191</v>
      </c>
      <c r="AN343" s="5" t="s">
        <v>1192</v>
      </c>
      <c r="AO343" s="5" t="s">
        <v>2185</v>
      </c>
      <c r="AP343" s="5" t="s">
        <v>2185</v>
      </c>
      <c r="AQ343" s="5" t="s">
        <v>2185</v>
      </c>
      <c r="AR343" s="5" t="s">
        <v>2185</v>
      </c>
      <c r="AS343" s="142"/>
      <c r="AT343" s="142" t="b">
        <v>0</v>
      </c>
      <c r="AU343" s="142"/>
      <c r="AV343" s="142"/>
      <c r="AW343" s="142"/>
      <c r="AX343" s="142"/>
      <c r="AY343" s="142"/>
      <c r="AZ343" s="174"/>
      <c r="BA343" s="142"/>
      <c r="BB343" s="142"/>
      <c r="BC343" s="142"/>
      <c r="BD343" s="142"/>
      <c r="BE343" s="142"/>
      <c r="BF343" s="142"/>
      <c r="BG343" s="142"/>
    </row>
    <row r="344">
      <c r="A344" s="5" t="s">
        <v>1194</v>
      </c>
      <c r="B344" s="44">
        <v>44603.0</v>
      </c>
      <c r="C344" s="150">
        <v>0.33946759259259257</v>
      </c>
      <c r="D344" s="3"/>
      <c r="E344" s="3"/>
      <c r="F344" s="5"/>
      <c r="G344" s="5"/>
      <c r="H344" s="5"/>
      <c r="I344" s="3"/>
      <c r="J344" s="3"/>
      <c r="K344" s="3" t="s">
        <v>52</v>
      </c>
      <c r="L344" s="44">
        <v>44603.0</v>
      </c>
      <c r="M344" s="150">
        <v>0.46979166666666666</v>
      </c>
      <c r="N344" s="5"/>
      <c r="O344" s="5"/>
      <c r="P344" s="10" t="b">
        <v>0</v>
      </c>
      <c r="Q344" s="10" t="s">
        <v>2184</v>
      </c>
      <c r="R344" s="144" t="b">
        <v>1</v>
      </c>
      <c r="S344" s="144">
        <v>1.0</v>
      </c>
      <c r="T344" s="10"/>
      <c r="U344" s="5"/>
      <c r="V344" s="3"/>
      <c r="W344" s="5"/>
      <c r="X344" s="144" t="b">
        <v>0</v>
      </c>
      <c r="Y344" s="10" t="b">
        <v>0</v>
      </c>
      <c r="Z344" s="3"/>
      <c r="AA344" s="10" t="b">
        <v>0</v>
      </c>
      <c r="AB344" s="10" t="b">
        <v>0</v>
      </c>
      <c r="AC344" s="181">
        <v>430.0</v>
      </c>
      <c r="AD344" s="144" t="b">
        <v>0</v>
      </c>
      <c r="AE344" s="182">
        <v>187.66666666666669</v>
      </c>
      <c r="AF344" s="10" t="b">
        <v>0</v>
      </c>
      <c r="AG344" s="10" t="b">
        <v>0</v>
      </c>
      <c r="AH344" s="144"/>
      <c r="AI344" s="3"/>
      <c r="AJ344" s="10"/>
      <c r="AK344" s="3" t="s">
        <v>52</v>
      </c>
      <c r="AL344" s="5"/>
      <c r="AM344" s="5" t="s">
        <v>1191</v>
      </c>
      <c r="AN344" s="5" t="s">
        <v>1192</v>
      </c>
      <c r="AO344" s="5" t="s">
        <v>2185</v>
      </c>
      <c r="AP344" s="5" t="s">
        <v>2185</v>
      </c>
      <c r="AQ344" s="5" t="s">
        <v>2185</v>
      </c>
      <c r="AR344" s="5" t="s">
        <v>2185</v>
      </c>
      <c r="AS344" s="142"/>
      <c r="AT344" s="142" t="b">
        <v>0</v>
      </c>
      <c r="AU344" s="142"/>
      <c r="AV344" s="142"/>
      <c r="AW344" s="142"/>
      <c r="AX344" s="142"/>
      <c r="AY344" s="142"/>
      <c r="AZ344" s="174"/>
      <c r="BA344" s="142"/>
      <c r="BB344" s="142"/>
      <c r="BC344" s="142"/>
      <c r="BD344" s="142"/>
      <c r="BE344" s="142"/>
      <c r="BF344" s="142"/>
      <c r="BG344" s="142"/>
    </row>
    <row r="345">
      <c r="A345" s="5" t="s">
        <v>1196</v>
      </c>
      <c r="B345" s="44">
        <v>44603.0</v>
      </c>
      <c r="C345" s="150">
        <v>0.3788888888888889</v>
      </c>
      <c r="D345" s="3"/>
      <c r="E345" s="3"/>
      <c r="F345" s="5"/>
      <c r="G345" s="5"/>
      <c r="H345" s="5"/>
      <c r="I345" s="3"/>
      <c r="J345" s="3"/>
      <c r="K345" s="3" t="s">
        <v>244</v>
      </c>
      <c r="L345" s="44">
        <v>44603.0</v>
      </c>
      <c r="M345" s="150">
        <v>0.46979166666666666</v>
      </c>
      <c r="N345" s="5"/>
      <c r="O345" s="5"/>
      <c r="P345" s="10" t="b">
        <v>0</v>
      </c>
      <c r="Q345" s="10" t="s">
        <v>2184</v>
      </c>
      <c r="R345" s="144" t="b">
        <v>1</v>
      </c>
      <c r="S345" s="144">
        <v>1.0</v>
      </c>
      <c r="T345" s="10"/>
      <c r="U345" s="5"/>
      <c r="V345" s="3"/>
      <c r="W345" s="5"/>
      <c r="X345" s="144" t="b">
        <v>0</v>
      </c>
      <c r="Y345" s="10" t="b">
        <v>0</v>
      </c>
      <c r="Z345" s="3"/>
      <c r="AA345" s="10" t="b">
        <v>0</v>
      </c>
      <c r="AB345" s="10" t="b">
        <v>0</v>
      </c>
      <c r="AC345" s="181">
        <v>429.0</v>
      </c>
      <c r="AD345" s="144" t="b">
        <v>0</v>
      </c>
      <c r="AE345" s="182">
        <v>130.9</v>
      </c>
      <c r="AF345" s="10" t="b">
        <v>0</v>
      </c>
      <c r="AG345" s="10" t="b">
        <v>0</v>
      </c>
      <c r="AH345" s="144"/>
      <c r="AI345" s="3"/>
      <c r="AJ345" s="10"/>
      <c r="AK345" s="3" t="s">
        <v>244</v>
      </c>
      <c r="AL345" s="5"/>
      <c r="AM345" s="5" t="s">
        <v>261</v>
      </c>
      <c r="AN345" s="5" t="s">
        <v>363</v>
      </c>
      <c r="AO345" s="5" t="s">
        <v>2185</v>
      </c>
      <c r="AP345" s="5" t="s">
        <v>2185</v>
      </c>
      <c r="AQ345" s="5" t="s">
        <v>2185</v>
      </c>
      <c r="AR345" s="5" t="s">
        <v>2185</v>
      </c>
      <c r="AS345" s="142"/>
      <c r="AT345" s="142" t="b">
        <v>0</v>
      </c>
      <c r="AU345" s="142"/>
      <c r="AV345" s="142"/>
      <c r="AW345" s="142"/>
      <c r="AX345" s="142"/>
      <c r="AY345" s="142"/>
      <c r="AZ345" s="174"/>
      <c r="BA345" s="142"/>
      <c r="BB345" s="142"/>
      <c r="BC345" s="142"/>
      <c r="BD345" s="142"/>
      <c r="BE345" s="142"/>
      <c r="BF345" s="142"/>
      <c r="BG345" s="142"/>
    </row>
    <row r="346">
      <c r="A346" s="5" t="s">
        <v>1198</v>
      </c>
      <c r="B346" s="44">
        <v>44603.0</v>
      </c>
      <c r="C346" s="150">
        <v>0.42311342592592593</v>
      </c>
      <c r="D346" s="3"/>
      <c r="E346" s="3"/>
      <c r="F346" s="5"/>
      <c r="G346" s="5"/>
      <c r="H346" s="5"/>
      <c r="I346" s="3"/>
      <c r="J346" s="3"/>
      <c r="K346" s="3" t="s">
        <v>244</v>
      </c>
      <c r="L346" s="44">
        <v>44603.0</v>
      </c>
      <c r="M346" s="150">
        <v>0.46979166666666666</v>
      </c>
      <c r="N346" s="5"/>
      <c r="O346" s="5"/>
      <c r="P346" s="10" t="b">
        <v>0</v>
      </c>
      <c r="Q346" s="10" t="s">
        <v>2184</v>
      </c>
      <c r="R346" s="144" t="b">
        <v>1</v>
      </c>
      <c r="S346" s="144">
        <v>1.0</v>
      </c>
      <c r="T346" s="10"/>
      <c r="U346" s="5"/>
      <c r="V346" s="3"/>
      <c r="W346" s="5"/>
      <c r="X346" s="144" t="b">
        <v>0</v>
      </c>
      <c r="Y346" s="10" t="b">
        <v>0</v>
      </c>
      <c r="Z346" s="3"/>
      <c r="AA346" s="10" t="b">
        <v>0</v>
      </c>
      <c r="AB346" s="10" t="b">
        <v>0</v>
      </c>
      <c r="AC346" s="181">
        <v>428.0</v>
      </c>
      <c r="AD346" s="144" t="b">
        <v>0</v>
      </c>
      <c r="AE346" s="182">
        <v>67.21666666666665</v>
      </c>
      <c r="AF346" s="10" t="b">
        <v>0</v>
      </c>
      <c r="AG346" s="10" t="b">
        <v>0</v>
      </c>
      <c r="AH346" s="144"/>
      <c r="AI346" s="3"/>
      <c r="AJ346" s="10"/>
      <c r="AK346" s="3" t="s">
        <v>244</v>
      </c>
      <c r="AL346" s="5"/>
      <c r="AM346" s="5" t="s">
        <v>287</v>
      </c>
      <c r="AN346" s="5" t="s">
        <v>288</v>
      </c>
      <c r="AO346" s="5" t="s">
        <v>2185</v>
      </c>
      <c r="AP346" s="5" t="s">
        <v>2185</v>
      </c>
      <c r="AQ346" s="5" t="s">
        <v>2185</v>
      </c>
      <c r="AR346" s="5" t="s">
        <v>2185</v>
      </c>
      <c r="AS346" s="142"/>
      <c r="AT346" s="142" t="b">
        <v>0</v>
      </c>
      <c r="AU346" s="142"/>
      <c r="AV346" s="142"/>
      <c r="AW346" s="142"/>
      <c r="AX346" s="142"/>
      <c r="AY346" s="142"/>
      <c r="AZ346" s="174"/>
      <c r="BA346" s="142"/>
      <c r="BB346" s="142"/>
      <c r="BC346" s="142"/>
      <c r="BD346" s="142"/>
      <c r="BE346" s="142"/>
      <c r="BF346" s="142"/>
      <c r="BG346" s="142"/>
    </row>
    <row r="347">
      <c r="A347" s="5" t="s">
        <v>1200</v>
      </c>
      <c r="B347" s="44">
        <v>44604.0</v>
      </c>
      <c r="C347" s="150">
        <v>0.3235763888888889</v>
      </c>
      <c r="D347" s="3"/>
      <c r="E347" s="3"/>
      <c r="F347" s="5"/>
      <c r="G347" s="5"/>
      <c r="H347" s="5"/>
      <c r="I347" s="3"/>
      <c r="J347" s="3"/>
      <c r="K347" s="3" t="s">
        <v>52</v>
      </c>
      <c r="L347" s="44">
        <v>44604.0</v>
      </c>
      <c r="M347" s="150">
        <v>0.3936689814814815</v>
      </c>
      <c r="N347" s="5"/>
      <c r="O347" s="5"/>
      <c r="P347" s="10" t="b">
        <v>0</v>
      </c>
      <c r="Q347" s="10" t="s">
        <v>2184</v>
      </c>
      <c r="R347" s="144" t="b">
        <v>1</v>
      </c>
      <c r="S347" s="144">
        <v>1.0</v>
      </c>
      <c r="T347" s="10"/>
      <c r="U347" s="5"/>
      <c r="V347" s="3"/>
      <c r="W347" s="5"/>
      <c r="X347" s="144" t="b">
        <v>0</v>
      </c>
      <c r="Y347" s="10" t="b">
        <v>0</v>
      </c>
      <c r="Z347" s="3"/>
      <c r="AA347" s="10" t="b">
        <v>0</v>
      </c>
      <c r="AB347" s="10" t="b">
        <v>0</v>
      </c>
      <c r="AC347" s="181">
        <v>427.0</v>
      </c>
      <c r="AD347" s="144" t="b">
        <v>0</v>
      </c>
      <c r="AE347" s="182">
        <v>100.93333333333334</v>
      </c>
      <c r="AF347" s="10" t="b">
        <v>0</v>
      </c>
      <c r="AG347" s="10" t="b">
        <v>0</v>
      </c>
      <c r="AH347" s="144"/>
      <c r="AI347" s="3"/>
      <c r="AJ347" s="10"/>
      <c r="AK347" s="3" t="s">
        <v>52</v>
      </c>
      <c r="AL347" s="5"/>
      <c r="AM347" s="5" t="s">
        <v>1191</v>
      </c>
      <c r="AN347" s="5" t="s">
        <v>1192</v>
      </c>
      <c r="AO347" s="5" t="s">
        <v>2185</v>
      </c>
      <c r="AP347" s="5" t="s">
        <v>2185</v>
      </c>
      <c r="AQ347" s="5" t="s">
        <v>2185</v>
      </c>
      <c r="AR347" s="5" t="s">
        <v>2185</v>
      </c>
      <c r="AS347" s="142"/>
      <c r="AT347" s="142" t="b">
        <v>0</v>
      </c>
      <c r="AU347" s="142"/>
      <c r="AV347" s="142"/>
      <c r="AW347" s="142"/>
      <c r="AX347" s="142"/>
      <c r="AY347" s="142"/>
      <c r="AZ347" s="174"/>
      <c r="BA347" s="142"/>
      <c r="BB347" s="142"/>
      <c r="BC347" s="142"/>
      <c r="BD347" s="142"/>
      <c r="BE347" s="142"/>
      <c r="BF347" s="142"/>
      <c r="BG347" s="142"/>
    </row>
    <row r="348">
      <c r="A348" s="5" t="s">
        <v>1202</v>
      </c>
      <c r="B348" s="44">
        <v>44604.0</v>
      </c>
      <c r="C348" s="150">
        <v>0.3247569444444444</v>
      </c>
      <c r="D348" s="3"/>
      <c r="E348" s="3"/>
      <c r="F348" s="5"/>
      <c r="G348" s="5"/>
      <c r="H348" s="5"/>
      <c r="I348" s="3"/>
      <c r="J348" s="3"/>
      <c r="K348" s="3" t="s">
        <v>52</v>
      </c>
      <c r="L348" s="44">
        <v>44604.0</v>
      </c>
      <c r="M348" s="150">
        <v>0.3936689814814815</v>
      </c>
      <c r="N348" s="5"/>
      <c r="O348" s="5"/>
      <c r="P348" s="10" t="b">
        <v>0</v>
      </c>
      <c r="Q348" s="10" t="s">
        <v>2184</v>
      </c>
      <c r="R348" s="144" t="b">
        <v>1</v>
      </c>
      <c r="S348" s="144">
        <v>1.0</v>
      </c>
      <c r="T348" s="10">
        <v>0.0</v>
      </c>
      <c r="U348" s="5"/>
      <c r="V348" s="3"/>
      <c r="W348" s="5"/>
      <c r="X348" s="144" t="b">
        <v>0</v>
      </c>
      <c r="Y348" s="10" t="b">
        <v>0</v>
      </c>
      <c r="Z348" s="3"/>
      <c r="AA348" s="10" t="b">
        <v>0</v>
      </c>
      <c r="AB348" s="10" t="b">
        <v>0</v>
      </c>
      <c r="AC348" s="181">
        <v>426.0</v>
      </c>
      <c r="AD348" s="144" t="b">
        <v>0</v>
      </c>
      <c r="AE348" s="182">
        <v>99.23333333333339</v>
      </c>
      <c r="AF348" s="10" t="b">
        <v>0</v>
      </c>
      <c r="AG348" s="10" t="b">
        <v>0</v>
      </c>
      <c r="AH348" s="144"/>
      <c r="AI348" s="3"/>
      <c r="AJ348" s="10"/>
      <c r="AK348" s="3" t="s">
        <v>52</v>
      </c>
      <c r="AL348" s="5"/>
      <c r="AM348" s="5" t="s">
        <v>1191</v>
      </c>
      <c r="AN348" s="5" t="s">
        <v>1203</v>
      </c>
      <c r="AO348" s="5" t="s">
        <v>2185</v>
      </c>
      <c r="AP348" s="5" t="s">
        <v>2185</v>
      </c>
      <c r="AQ348" s="5" t="s">
        <v>2185</v>
      </c>
      <c r="AR348" s="5" t="s">
        <v>2185</v>
      </c>
      <c r="AS348" s="142"/>
      <c r="AT348" s="142" t="b">
        <v>0</v>
      </c>
      <c r="AU348" s="142"/>
      <c r="AV348" s="142"/>
      <c r="AW348" s="142"/>
      <c r="AX348" s="142"/>
      <c r="AY348" s="142"/>
      <c r="AZ348" s="174"/>
      <c r="BA348" s="142"/>
      <c r="BB348" s="142"/>
      <c r="BC348" s="142"/>
      <c r="BD348" s="142"/>
      <c r="BE348" s="142"/>
      <c r="BF348" s="142"/>
      <c r="BG348" s="142"/>
    </row>
    <row r="349">
      <c r="A349" s="5" t="s">
        <v>1216</v>
      </c>
      <c r="B349" s="44">
        <v>44607.0</v>
      </c>
      <c r="C349" s="150">
        <v>0.2629282407407407</v>
      </c>
      <c r="D349" s="3"/>
      <c r="E349" s="3"/>
      <c r="F349" s="5"/>
      <c r="G349" s="5"/>
      <c r="H349" s="5"/>
      <c r="I349" s="3"/>
      <c r="J349" s="3"/>
      <c r="K349" s="3" t="s">
        <v>244</v>
      </c>
      <c r="L349" s="44">
        <v>44607.0</v>
      </c>
      <c r="M349" s="150">
        <v>0.5867939814814814</v>
      </c>
      <c r="N349" s="5"/>
      <c r="O349" s="5"/>
      <c r="P349" s="10" t="b">
        <v>0</v>
      </c>
      <c r="Q349" s="10" t="s">
        <v>2184</v>
      </c>
      <c r="R349" s="144" t="b">
        <v>1</v>
      </c>
      <c r="S349" s="144">
        <v>1.0</v>
      </c>
      <c r="T349" s="10"/>
      <c r="U349" s="5"/>
      <c r="V349" s="3"/>
      <c r="W349" s="5"/>
      <c r="X349" s="144" t="b">
        <v>0</v>
      </c>
      <c r="Y349" s="10" t="b">
        <v>0</v>
      </c>
      <c r="Z349" s="3"/>
      <c r="AA349" s="10" t="b">
        <v>0</v>
      </c>
      <c r="AB349" s="10" t="b">
        <v>0</v>
      </c>
      <c r="AC349" s="181">
        <v>420.0</v>
      </c>
      <c r="AD349" s="144" t="b">
        <v>0</v>
      </c>
      <c r="AE349" s="182">
        <v>466.3666666666666</v>
      </c>
      <c r="AF349" s="10" t="b">
        <v>0</v>
      </c>
      <c r="AG349" s="10" t="b">
        <v>0</v>
      </c>
      <c r="AH349" s="144"/>
      <c r="AI349" s="3"/>
      <c r="AJ349" s="10"/>
      <c r="AK349" s="3" t="s">
        <v>244</v>
      </c>
      <c r="AL349" s="5"/>
      <c r="AM349" s="5" t="s">
        <v>865</v>
      </c>
      <c r="AN349" s="5" t="s">
        <v>548</v>
      </c>
      <c r="AO349" s="5" t="s">
        <v>2185</v>
      </c>
      <c r="AP349" s="5" t="s">
        <v>2185</v>
      </c>
      <c r="AQ349" s="5" t="s">
        <v>2185</v>
      </c>
      <c r="AR349" s="5" t="s">
        <v>2185</v>
      </c>
      <c r="AS349" s="142"/>
      <c r="AT349" s="142" t="b">
        <v>0</v>
      </c>
      <c r="AU349" s="142"/>
      <c r="AV349" s="142"/>
      <c r="AW349" s="142"/>
      <c r="AX349" s="142"/>
      <c r="AY349" s="142"/>
      <c r="AZ349" s="174"/>
      <c r="BA349" s="142"/>
      <c r="BB349" s="142"/>
      <c r="BC349" s="142"/>
      <c r="BD349" s="142"/>
      <c r="BE349" s="142"/>
      <c r="BF349" s="142"/>
      <c r="BG349" s="142"/>
    </row>
    <row r="350">
      <c r="A350" s="5" t="s">
        <v>1218</v>
      </c>
      <c r="B350" s="44">
        <v>44607.0</v>
      </c>
      <c r="C350" s="150">
        <v>0.2821412037037037</v>
      </c>
      <c r="D350" s="3"/>
      <c r="E350" s="3"/>
      <c r="F350" s="5"/>
      <c r="G350" s="5"/>
      <c r="H350" s="5"/>
      <c r="I350" s="3"/>
      <c r="J350" s="3"/>
      <c r="K350" s="3" t="s">
        <v>244</v>
      </c>
      <c r="L350" s="44">
        <v>44607.0</v>
      </c>
      <c r="M350" s="150">
        <v>0.5867939814814814</v>
      </c>
      <c r="N350" s="5"/>
      <c r="O350" s="5"/>
      <c r="P350" s="10" t="b">
        <v>0</v>
      </c>
      <c r="Q350" s="10" t="s">
        <v>2184</v>
      </c>
      <c r="R350" s="144" t="b">
        <v>1</v>
      </c>
      <c r="S350" s="144">
        <v>1.0</v>
      </c>
      <c r="T350" s="10"/>
      <c r="U350" s="5"/>
      <c r="V350" s="3"/>
      <c r="W350" s="5"/>
      <c r="X350" s="144" t="b">
        <v>0</v>
      </c>
      <c r="Y350" s="10" t="b">
        <v>0</v>
      </c>
      <c r="Z350" s="3"/>
      <c r="AA350" s="10" t="b">
        <v>0</v>
      </c>
      <c r="AB350" s="10" t="b">
        <v>0</v>
      </c>
      <c r="AC350" s="181">
        <v>419.0</v>
      </c>
      <c r="AD350" s="144" t="b">
        <v>0</v>
      </c>
      <c r="AE350" s="182">
        <v>438.69999999999993</v>
      </c>
      <c r="AF350" s="10" t="b">
        <v>0</v>
      </c>
      <c r="AG350" s="10" t="b">
        <v>0</v>
      </c>
      <c r="AH350" s="144"/>
      <c r="AI350" s="3"/>
      <c r="AJ350" s="10"/>
      <c r="AK350" s="3" t="s">
        <v>244</v>
      </c>
      <c r="AL350" s="5"/>
      <c r="AM350" s="5" t="s">
        <v>612</v>
      </c>
      <c r="AN350" s="5" t="s">
        <v>613</v>
      </c>
      <c r="AO350" s="5" t="s">
        <v>2185</v>
      </c>
      <c r="AP350" s="5" t="s">
        <v>2185</v>
      </c>
      <c r="AQ350" s="5" t="s">
        <v>2185</v>
      </c>
      <c r="AR350" s="5" t="s">
        <v>2185</v>
      </c>
      <c r="AS350" s="142"/>
      <c r="AT350" s="142" t="b">
        <v>0</v>
      </c>
      <c r="AU350" s="142"/>
      <c r="AV350" s="142"/>
      <c r="AW350" s="142"/>
      <c r="AX350" s="142"/>
      <c r="AY350" s="142"/>
      <c r="AZ350" s="174"/>
      <c r="BA350" s="142"/>
      <c r="BB350" s="142"/>
      <c r="BC350" s="142"/>
      <c r="BD350" s="142"/>
      <c r="BE350" s="142"/>
      <c r="BF350" s="142"/>
      <c r="BG350" s="142"/>
    </row>
    <row r="351">
      <c r="A351" s="5" t="s">
        <v>1224</v>
      </c>
      <c r="B351" s="44">
        <v>44607.0</v>
      </c>
      <c r="C351" s="150">
        <v>0.29532407407407407</v>
      </c>
      <c r="D351" s="3"/>
      <c r="E351" s="3"/>
      <c r="F351" s="5"/>
      <c r="G351" s="5"/>
      <c r="H351" s="5"/>
      <c r="I351" s="3"/>
      <c r="J351" s="3"/>
      <c r="K351" s="3" t="s">
        <v>244</v>
      </c>
      <c r="L351" s="44">
        <v>44607.0</v>
      </c>
      <c r="M351" s="150">
        <v>0.5867939814814814</v>
      </c>
      <c r="N351" s="5"/>
      <c r="O351" s="5"/>
      <c r="P351" s="10" t="b">
        <v>0</v>
      </c>
      <c r="Q351" s="10" t="s">
        <v>2184</v>
      </c>
      <c r="R351" s="144" t="b">
        <v>1</v>
      </c>
      <c r="S351" s="144">
        <v>1.0</v>
      </c>
      <c r="T351" s="10"/>
      <c r="U351" s="5"/>
      <c r="V351" s="3"/>
      <c r="W351" s="5"/>
      <c r="X351" s="144" t="b">
        <v>0</v>
      </c>
      <c r="Y351" s="10" t="b">
        <v>0</v>
      </c>
      <c r="Z351" s="3"/>
      <c r="AA351" s="10" t="b">
        <v>0</v>
      </c>
      <c r="AB351" s="10" t="b">
        <v>0</v>
      </c>
      <c r="AC351" s="181">
        <v>416.0</v>
      </c>
      <c r="AD351" s="144" t="b">
        <v>0</v>
      </c>
      <c r="AE351" s="182">
        <v>419.7166666666666</v>
      </c>
      <c r="AF351" s="10" t="b">
        <v>0</v>
      </c>
      <c r="AG351" s="10" t="b">
        <v>0</v>
      </c>
      <c r="AH351" s="144"/>
      <c r="AI351" s="3"/>
      <c r="AJ351" s="10"/>
      <c r="AK351" s="3" t="s">
        <v>244</v>
      </c>
      <c r="AL351" s="5"/>
      <c r="AM351" s="5" t="s">
        <v>1225</v>
      </c>
      <c r="AN351" s="5" t="s">
        <v>374</v>
      </c>
      <c r="AO351" s="5" t="s">
        <v>2185</v>
      </c>
      <c r="AP351" s="5" t="s">
        <v>2185</v>
      </c>
      <c r="AQ351" s="5" t="s">
        <v>2185</v>
      </c>
      <c r="AR351" s="5" t="s">
        <v>2185</v>
      </c>
      <c r="AS351" s="142"/>
      <c r="AT351" s="142" t="b">
        <v>0</v>
      </c>
      <c r="AU351" s="142"/>
      <c r="AV351" s="142"/>
      <c r="AW351" s="142"/>
      <c r="AX351" s="142"/>
      <c r="AY351" s="142"/>
      <c r="AZ351" s="174"/>
      <c r="BA351" s="142"/>
      <c r="BB351" s="142"/>
      <c r="BC351" s="142"/>
      <c r="BD351" s="142"/>
      <c r="BE351" s="142"/>
      <c r="BF351" s="142"/>
      <c r="BG351" s="142"/>
    </row>
    <row r="352">
      <c r="A352" s="5" t="s">
        <v>1227</v>
      </c>
      <c r="B352" s="44">
        <v>44607.0</v>
      </c>
      <c r="C352" s="150">
        <v>0.2986226851851852</v>
      </c>
      <c r="D352" s="3"/>
      <c r="E352" s="3"/>
      <c r="F352" s="5"/>
      <c r="G352" s="5"/>
      <c r="H352" s="5"/>
      <c r="I352" s="3"/>
      <c r="J352" s="3"/>
      <c r="K352" s="3" t="s">
        <v>244</v>
      </c>
      <c r="L352" s="44">
        <v>44607.0</v>
      </c>
      <c r="M352" s="150">
        <v>0.5867939814814814</v>
      </c>
      <c r="N352" s="5"/>
      <c r="O352" s="5"/>
      <c r="P352" s="10" t="b">
        <v>0</v>
      </c>
      <c r="Q352" s="10" t="s">
        <v>2184</v>
      </c>
      <c r="R352" s="144" t="b">
        <v>1</v>
      </c>
      <c r="S352" s="144">
        <v>1.0</v>
      </c>
      <c r="T352" s="10"/>
      <c r="U352" s="5"/>
      <c r="V352" s="3"/>
      <c r="W352" s="5"/>
      <c r="X352" s="144" t="b">
        <v>0</v>
      </c>
      <c r="Y352" s="10" t="b">
        <v>0</v>
      </c>
      <c r="Z352" s="3"/>
      <c r="AA352" s="10" t="b">
        <v>0</v>
      </c>
      <c r="AB352" s="10" t="b">
        <v>0</v>
      </c>
      <c r="AC352" s="181">
        <v>415.0</v>
      </c>
      <c r="AD352" s="144" t="b">
        <v>0</v>
      </c>
      <c r="AE352" s="182">
        <v>414.9666666666666</v>
      </c>
      <c r="AF352" s="10" t="b">
        <v>0</v>
      </c>
      <c r="AG352" s="10" t="b">
        <v>0</v>
      </c>
      <c r="AH352" s="144"/>
      <c r="AI352" s="3"/>
      <c r="AJ352" s="10"/>
      <c r="AK352" s="3" t="s">
        <v>244</v>
      </c>
      <c r="AL352" s="5"/>
      <c r="AM352" s="5" t="s">
        <v>857</v>
      </c>
      <c r="AN352" s="5" t="s">
        <v>696</v>
      </c>
      <c r="AO352" s="5" t="s">
        <v>2185</v>
      </c>
      <c r="AP352" s="5" t="s">
        <v>2185</v>
      </c>
      <c r="AQ352" s="5" t="s">
        <v>2185</v>
      </c>
      <c r="AR352" s="5" t="s">
        <v>2185</v>
      </c>
      <c r="AS352" s="142"/>
      <c r="AT352" s="142" t="b">
        <v>0</v>
      </c>
      <c r="AU352" s="142"/>
      <c r="AV352" s="142"/>
      <c r="AW352" s="142"/>
      <c r="AX352" s="142"/>
      <c r="AY352" s="142"/>
      <c r="AZ352" s="174"/>
      <c r="BA352" s="142"/>
      <c r="BB352" s="142"/>
      <c r="BC352" s="142"/>
      <c r="BD352" s="142"/>
      <c r="BE352" s="142"/>
      <c r="BF352" s="142"/>
      <c r="BG352" s="142"/>
    </row>
    <row r="353">
      <c r="A353" s="5" t="s">
        <v>1229</v>
      </c>
      <c r="B353" s="44">
        <v>44607.0</v>
      </c>
      <c r="C353" s="150">
        <v>0.2989583333333333</v>
      </c>
      <c r="D353" s="3"/>
      <c r="E353" s="3"/>
      <c r="F353" s="5"/>
      <c r="G353" s="5"/>
      <c r="H353" s="5"/>
      <c r="I353" s="3"/>
      <c r="J353" s="3"/>
      <c r="K353" s="3" t="s">
        <v>244</v>
      </c>
      <c r="L353" s="44">
        <v>44607.0</v>
      </c>
      <c r="M353" s="150">
        <v>0.5867939814814814</v>
      </c>
      <c r="N353" s="5"/>
      <c r="O353" s="5"/>
      <c r="P353" s="10" t="b">
        <v>0</v>
      </c>
      <c r="Q353" s="10" t="s">
        <v>2184</v>
      </c>
      <c r="R353" s="144" t="b">
        <v>1</v>
      </c>
      <c r="S353" s="144">
        <v>1.0</v>
      </c>
      <c r="T353" s="10"/>
      <c r="U353" s="5"/>
      <c r="V353" s="3"/>
      <c r="W353" s="5"/>
      <c r="X353" s="144" t="b">
        <v>0</v>
      </c>
      <c r="Y353" s="10" t="b">
        <v>0</v>
      </c>
      <c r="Z353" s="3"/>
      <c r="AA353" s="10" t="b">
        <v>0</v>
      </c>
      <c r="AB353" s="10" t="b">
        <v>0</v>
      </c>
      <c r="AC353" s="181">
        <v>414.0</v>
      </c>
      <c r="AD353" s="144" t="b">
        <v>0</v>
      </c>
      <c r="AE353" s="182">
        <v>414.4833333333333</v>
      </c>
      <c r="AF353" s="10" t="b">
        <v>0</v>
      </c>
      <c r="AG353" s="10" t="b">
        <v>0</v>
      </c>
      <c r="AH353" s="144"/>
      <c r="AI353" s="3"/>
      <c r="AJ353" s="10"/>
      <c r="AK353" s="3" t="s">
        <v>244</v>
      </c>
      <c r="AL353" s="5"/>
      <c r="AM353" s="5" t="s">
        <v>430</v>
      </c>
      <c r="AN353" s="5" t="s">
        <v>431</v>
      </c>
      <c r="AO353" s="5" t="s">
        <v>2185</v>
      </c>
      <c r="AP353" s="5" t="s">
        <v>2185</v>
      </c>
      <c r="AQ353" s="5" t="s">
        <v>2185</v>
      </c>
      <c r="AR353" s="5" t="s">
        <v>2185</v>
      </c>
      <c r="AS353" s="142"/>
      <c r="AT353" s="142" t="b">
        <v>0</v>
      </c>
      <c r="AU353" s="142"/>
      <c r="AV353" s="142"/>
      <c r="AW353" s="142"/>
      <c r="AX353" s="142"/>
      <c r="AY353" s="142"/>
      <c r="AZ353" s="174"/>
      <c r="BA353" s="142"/>
      <c r="BB353" s="142"/>
      <c r="BC353" s="142"/>
      <c r="BD353" s="142"/>
      <c r="BE353" s="142"/>
      <c r="BF353" s="142"/>
      <c r="BG353" s="142"/>
    </row>
    <row r="354">
      <c r="A354" s="5" t="s">
        <v>1231</v>
      </c>
      <c r="B354" s="44">
        <v>44607.0</v>
      </c>
      <c r="C354" s="150">
        <v>0.30033564814814817</v>
      </c>
      <c r="D354" s="3"/>
      <c r="E354" s="3"/>
      <c r="F354" s="5"/>
      <c r="G354" s="5"/>
      <c r="H354" s="5"/>
      <c r="I354" s="3"/>
      <c r="J354" s="3"/>
      <c r="K354" s="3" t="s">
        <v>244</v>
      </c>
      <c r="L354" s="44">
        <v>44607.0</v>
      </c>
      <c r="M354" s="150">
        <v>0.5867939814814814</v>
      </c>
      <c r="N354" s="5"/>
      <c r="O354" s="5"/>
      <c r="P354" s="10" t="b">
        <v>0</v>
      </c>
      <c r="Q354" s="10" t="s">
        <v>2184</v>
      </c>
      <c r="R354" s="144" t="b">
        <v>1</v>
      </c>
      <c r="S354" s="144">
        <v>1.0</v>
      </c>
      <c r="T354" s="10"/>
      <c r="U354" s="5"/>
      <c r="V354" s="3"/>
      <c r="W354" s="5"/>
      <c r="X354" s="144" t="b">
        <v>0</v>
      </c>
      <c r="Y354" s="10" t="b">
        <v>0</v>
      </c>
      <c r="Z354" s="3"/>
      <c r="AA354" s="10" t="b">
        <v>0</v>
      </c>
      <c r="AB354" s="10" t="b">
        <v>0</v>
      </c>
      <c r="AC354" s="181">
        <v>413.0</v>
      </c>
      <c r="AD354" s="144" t="b">
        <v>0</v>
      </c>
      <c r="AE354" s="182">
        <v>412.4999999999999</v>
      </c>
      <c r="AF354" s="10" t="b">
        <v>0</v>
      </c>
      <c r="AG354" s="10" t="b">
        <v>0</v>
      </c>
      <c r="AH354" s="144"/>
      <c r="AI354" s="3"/>
      <c r="AJ354" s="10"/>
      <c r="AK354" s="3" t="s">
        <v>244</v>
      </c>
      <c r="AL354" s="5"/>
      <c r="AM354" s="5" t="s">
        <v>587</v>
      </c>
      <c r="AN354" s="5" t="s">
        <v>588</v>
      </c>
      <c r="AO354" s="5" t="s">
        <v>2185</v>
      </c>
      <c r="AP354" s="5" t="s">
        <v>2185</v>
      </c>
      <c r="AQ354" s="5" t="s">
        <v>2185</v>
      </c>
      <c r="AR354" s="5" t="s">
        <v>2185</v>
      </c>
      <c r="AS354" s="142"/>
      <c r="AT354" s="142" t="b">
        <v>0</v>
      </c>
      <c r="AU354" s="142"/>
      <c r="AV354" s="142"/>
      <c r="AW354" s="142"/>
      <c r="AX354" s="142"/>
      <c r="AY354" s="142"/>
      <c r="AZ354" s="174"/>
      <c r="BA354" s="142"/>
      <c r="BB354" s="142"/>
      <c r="BC354" s="142"/>
      <c r="BD354" s="142"/>
      <c r="BE354" s="142"/>
      <c r="BF354" s="142"/>
      <c r="BG354" s="142"/>
    </row>
    <row r="355">
      <c r="A355" s="5" t="s">
        <v>1235</v>
      </c>
      <c r="B355" s="44">
        <v>44607.0</v>
      </c>
      <c r="C355" s="150">
        <v>0.31167824074074074</v>
      </c>
      <c r="D355" s="3"/>
      <c r="E355" s="3"/>
      <c r="F355" s="5"/>
      <c r="G355" s="5"/>
      <c r="H355" s="5"/>
      <c r="I355" s="3"/>
      <c r="J355" s="3"/>
      <c r="K355" s="3" t="s">
        <v>244</v>
      </c>
      <c r="L355" s="44">
        <v>44607.0</v>
      </c>
      <c r="M355" s="150">
        <v>0.5867939814814814</v>
      </c>
      <c r="N355" s="5"/>
      <c r="O355" s="5"/>
      <c r="P355" s="10" t="b">
        <v>0</v>
      </c>
      <c r="Q355" s="10" t="s">
        <v>2184</v>
      </c>
      <c r="R355" s="144" t="b">
        <v>1</v>
      </c>
      <c r="S355" s="144">
        <v>1.0</v>
      </c>
      <c r="T355" s="10"/>
      <c r="U355" s="5"/>
      <c r="V355" s="3"/>
      <c r="W355" s="5"/>
      <c r="X355" s="144" t="b">
        <v>0</v>
      </c>
      <c r="Y355" s="10" t="b">
        <v>0</v>
      </c>
      <c r="Z355" s="3"/>
      <c r="AA355" s="10" t="b">
        <v>0</v>
      </c>
      <c r="AB355" s="10" t="b">
        <v>0</v>
      </c>
      <c r="AC355" s="181">
        <v>411.0</v>
      </c>
      <c r="AD355" s="144" t="b">
        <v>0</v>
      </c>
      <c r="AE355" s="182">
        <v>396.1666666666666</v>
      </c>
      <c r="AF355" s="10" t="b">
        <v>0</v>
      </c>
      <c r="AG355" s="10" t="b">
        <v>0</v>
      </c>
      <c r="AH355" s="144"/>
      <c r="AI355" s="3"/>
      <c r="AJ355" s="10"/>
      <c r="AK355" s="3" t="s">
        <v>244</v>
      </c>
      <c r="AL355" s="5"/>
      <c r="AM355" s="5" t="s">
        <v>797</v>
      </c>
      <c r="AN355" s="5" t="s">
        <v>798</v>
      </c>
      <c r="AO355" s="5" t="s">
        <v>2185</v>
      </c>
      <c r="AP355" s="5" t="s">
        <v>2185</v>
      </c>
      <c r="AQ355" s="5" t="s">
        <v>2185</v>
      </c>
      <c r="AR355" s="5" t="s">
        <v>2185</v>
      </c>
      <c r="AS355" s="142"/>
      <c r="AT355" s="142" t="b">
        <v>0</v>
      </c>
      <c r="AU355" s="142"/>
      <c r="AV355" s="142"/>
      <c r="AW355" s="142"/>
      <c r="AX355" s="142"/>
      <c r="AY355" s="142"/>
      <c r="AZ355" s="174"/>
      <c r="BA355" s="142"/>
      <c r="BB355" s="142"/>
      <c r="BC355" s="142"/>
      <c r="BD355" s="142"/>
      <c r="BE355" s="142"/>
      <c r="BF355" s="142"/>
      <c r="BG355" s="142"/>
    </row>
    <row r="356">
      <c r="A356" s="5" t="s">
        <v>1237</v>
      </c>
      <c r="B356" s="44">
        <v>44607.0</v>
      </c>
      <c r="C356" s="150">
        <v>0.3127083333333333</v>
      </c>
      <c r="D356" s="3"/>
      <c r="E356" s="3"/>
      <c r="F356" s="5"/>
      <c r="G356" s="5"/>
      <c r="H356" s="5"/>
      <c r="I356" s="3"/>
      <c r="J356" s="3"/>
      <c r="K356" s="3" t="s">
        <v>244</v>
      </c>
      <c r="L356" s="44">
        <v>44607.0</v>
      </c>
      <c r="M356" s="150">
        <v>0.5867939814814814</v>
      </c>
      <c r="N356" s="5"/>
      <c r="O356" s="5"/>
      <c r="P356" s="10" t="b">
        <v>0</v>
      </c>
      <c r="Q356" s="10" t="s">
        <v>2184</v>
      </c>
      <c r="R356" s="144" t="b">
        <v>1</v>
      </c>
      <c r="S356" s="144">
        <v>1.0</v>
      </c>
      <c r="T356" s="10"/>
      <c r="U356" s="5"/>
      <c r="V356" s="3"/>
      <c r="W356" s="5"/>
      <c r="X356" s="144" t="b">
        <v>0</v>
      </c>
      <c r="Y356" s="10" t="b">
        <v>0</v>
      </c>
      <c r="Z356" s="3"/>
      <c r="AA356" s="10" t="b">
        <v>0</v>
      </c>
      <c r="AB356" s="10" t="b">
        <v>0</v>
      </c>
      <c r="AC356" s="181">
        <v>410.0</v>
      </c>
      <c r="AD356" s="144" t="b">
        <v>0</v>
      </c>
      <c r="AE356" s="182">
        <v>394.6833333333333</v>
      </c>
      <c r="AF356" s="10" t="b">
        <v>0</v>
      </c>
      <c r="AG356" s="10" t="b">
        <v>0</v>
      </c>
      <c r="AH356" s="144"/>
      <c r="AI356" s="3"/>
      <c r="AJ356" s="10"/>
      <c r="AK356" s="3" t="s">
        <v>244</v>
      </c>
      <c r="AL356" s="5"/>
      <c r="AM356" s="5" t="s">
        <v>504</v>
      </c>
      <c r="AN356" s="5" t="s">
        <v>505</v>
      </c>
      <c r="AO356" s="5" t="s">
        <v>2185</v>
      </c>
      <c r="AP356" s="5" t="s">
        <v>2185</v>
      </c>
      <c r="AQ356" s="5" t="s">
        <v>2185</v>
      </c>
      <c r="AR356" s="5" t="s">
        <v>2185</v>
      </c>
      <c r="AS356" s="142"/>
      <c r="AT356" s="142" t="b">
        <v>0</v>
      </c>
      <c r="AU356" s="142"/>
      <c r="AV356" s="142"/>
      <c r="AW356" s="142"/>
      <c r="AX356" s="142"/>
      <c r="AY356" s="142"/>
      <c r="AZ356" s="174"/>
      <c r="BA356" s="142"/>
      <c r="BB356" s="142"/>
      <c r="BC356" s="142"/>
      <c r="BD356" s="142"/>
      <c r="BE356" s="142"/>
      <c r="BF356" s="142"/>
      <c r="BG356" s="142"/>
    </row>
    <row r="357">
      <c r="A357" s="5" t="s">
        <v>1239</v>
      </c>
      <c r="B357" s="44">
        <v>44607.0</v>
      </c>
      <c r="C357" s="150">
        <v>0.31320601851851854</v>
      </c>
      <c r="D357" s="3"/>
      <c r="E357" s="3"/>
      <c r="F357" s="5"/>
      <c r="G357" s="5"/>
      <c r="H357" s="5"/>
      <c r="I357" s="3"/>
      <c r="J357" s="3"/>
      <c r="K357" s="3" t="s">
        <v>244</v>
      </c>
      <c r="L357" s="44">
        <v>44607.0</v>
      </c>
      <c r="M357" s="150">
        <v>0.5868055555555556</v>
      </c>
      <c r="N357" s="5"/>
      <c r="O357" s="5"/>
      <c r="P357" s="10" t="b">
        <v>0</v>
      </c>
      <c r="Q357" s="10" t="s">
        <v>2184</v>
      </c>
      <c r="R357" s="144" t="b">
        <v>1</v>
      </c>
      <c r="S357" s="144">
        <v>1.0</v>
      </c>
      <c r="T357" s="10"/>
      <c r="U357" s="5"/>
      <c r="V357" s="3"/>
      <c r="W357" s="5"/>
      <c r="X357" s="144" t="b">
        <v>0</v>
      </c>
      <c r="Y357" s="10" t="b">
        <v>0</v>
      </c>
      <c r="Z357" s="3"/>
      <c r="AA357" s="10" t="b">
        <v>0</v>
      </c>
      <c r="AB357" s="10" t="b">
        <v>0</v>
      </c>
      <c r="AC357" s="181">
        <v>409.0</v>
      </c>
      <c r="AD357" s="144" t="b">
        <v>0</v>
      </c>
      <c r="AE357" s="182">
        <v>393.98333333333335</v>
      </c>
      <c r="AF357" s="10" t="b">
        <v>0</v>
      </c>
      <c r="AG357" s="10" t="b">
        <v>0</v>
      </c>
      <c r="AH357" s="144"/>
      <c r="AI357" s="3"/>
      <c r="AJ357" s="10"/>
      <c r="AK357" s="3" t="s">
        <v>244</v>
      </c>
      <c r="AL357" s="5"/>
      <c r="AM357" s="5" t="s">
        <v>257</v>
      </c>
      <c r="AN357" s="5" t="s">
        <v>406</v>
      </c>
      <c r="AO357" s="5" t="s">
        <v>2185</v>
      </c>
      <c r="AP357" s="5" t="s">
        <v>2185</v>
      </c>
      <c r="AQ357" s="5" t="s">
        <v>2185</v>
      </c>
      <c r="AR357" s="5" t="s">
        <v>2185</v>
      </c>
      <c r="AS357" s="142"/>
      <c r="AT357" s="142" t="b">
        <v>0</v>
      </c>
      <c r="AU357" s="142"/>
      <c r="AV357" s="142"/>
      <c r="AW357" s="142"/>
      <c r="AX357" s="142"/>
      <c r="AY357" s="142"/>
      <c r="AZ357" s="174"/>
      <c r="BA357" s="142"/>
      <c r="BB357" s="142"/>
      <c r="BC357" s="142"/>
      <c r="BD357" s="142"/>
      <c r="BE357" s="142"/>
      <c r="BF357" s="142"/>
      <c r="BG357" s="142"/>
    </row>
    <row r="358">
      <c r="A358" s="5" t="s">
        <v>1241</v>
      </c>
      <c r="B358" s="44">
        <v>44607.0</v>
      </c>
      <c r="C358" s="150">
        <v>0.31328703703703703</v>
      </c>
      <c r="D358" s="3"/>
      <c r="E358" s="3"/>
      <c r="F358" s="5"/>
      <c r="G358" s="5"/>
      <c r="H358" s="5"/>
      <c r="I358" s="3"/>
      <c r="J358" s="3"/>
      <c r="K358" s="3" t="s">
        <v>244</v>
      </c>
      <c r="L358" s="44">
        <v>44607.0</v>
      </c>
      <c r="M358" s="150">
        <v>0.5868055555555556</v>
      </c>
      <c r="N358" s="5"/>
      <c r="O358" s="5"/>
      <c r="P358" s="10" t="b">
        <v>0</v>
      </c>
      <c r="Q358" s="10" t="s">
        <v>2184</v>
      </c>
      <c r="R358" s="144" t="b">
        <v>1</v>
      </c>
      <c r="S358" s="144">
        <v>1.0</v>
      </c>
      <c r="T358" s="10"/>
      <c r="U358" s="5"/>
      <c r="V358" s="3"/>
      <c r="W358" s="5"/>
      <c r="X358" s="144" t="b">
        <v>0</v>
      </c>
      <c r="Y358" s="10" t="b">
        <v>0</v>
      </c>
      <c r="Z358" s="3"/>
      <c r="AA358" s="10" t="b">
        <v>0</v>
      </c>
      <c r="AB358" s="10" t="b">
        <v>0</v>
      </c>
      <c r="AC358" s="181">
        <v>408.0</v>
      </c>
      <c r="AD358" s="144" t="b">
        <v>0</v>
      </c>
      <c r="AE358" s="182">
        <v>393.86666666666673</v>
      </c>
      <c r="AF358" s="10" t="b">
        <v>0</v>
      </c>
      <c r="AG358" s="10" t="b">
        <v>0</v>
      </c>
      <c r="AH358" s="144"/>
      <c r="AI358" s="3"/>
      <c r="AJ358" s="10"/>
      <c r="AK358" s="3" t="s">
        <v>244</v>
      </c>
      <c r="AL358" s="5"/>
      <c r="AM358" s="5" t="s">
        <v>1242</v>
      </c>
      <c r="AN358" s="5" t="s">
        <v>1243</v>
      </c>
      <c r="AO358" s="5" t="s">
        <v>2185</v>
      </c>
      <c r="AP358" s="5" t="s">
        <v>2185</v>
      </c>
      <c r="AQ358" s="5" t="s">
        <v>2185</v>
      </c>
      <c r="AR358" s="5" t="s">
        <v>2185</v>
      </c>
      <c r="AS358" s="142"/>
      <c r="AT358" s="142" t="b">
        <v>0</v>
      </c>
      <c r="AU358" s="142"/>
      <c r="AV358" s="142"/>
      <c r="AW358" s="142"/>
      <c r="AX358" s="142"/>
      <c r="AY358" s="142"/>
      <c r="AZ358" s="174"/>
      <c r="BA358" s="142"/>
      <c r="BB358" s="142"/>
      <c r="BC358" s="142"/>
      <c r="BD358" s="142"/>
      <c r="BE358" s="142"/>
      <c r="BF358" s="142"/>
      <c r="BG358" s="142"/>
    </row>
    <row r="359">
      <c r="A359" s="5" t="s">
        <v>1245</v>
      </c>
      <c r="B359" s="44">
        <v>44607.0</v>
      </c>
      <c r="C359" s="150">
        <v>0.31342592592592594</v>
      </c>
      <c r="D359" s="3"/>
      <c r="E359" s="3"/>
      <c r="F359" s="5"/>
      <c r="G359" s="5"/>
      <c r="H359" s="5"/>
      <c r="I359" s="3"/>
      <c r="J359" s="3"/>
      <c r="K359" s="3" t="s">
        <v>244</v>
      </c>
      <c r="L359" s="44">
        <v>44607.0</v>
      </c>
      <c r="M359" s="150">
        <v>0.5868055555555556</v>
      </c>
      <c r="N359" s="5"/>
      <c r="O359" s="5"/>
      <c r="P359" s="10" t="b">
        <v>0</v>
      </c>
      <c r="Q359" s="10" t="s">
        <v>2184</v>
      </c>
      <c r="R359" s="144" t="b">
        <v>1</v>
      </c>
      <c r="S359" s="144">
        <v>1.0</v>
      </c>
      <c r="T359" s="10"/>
      <c r="U359" s="5"/>
      <c r="V359" s="3"/>
      <c r="W359" s="5"/>
      <c r="X359" s="144" t="b">
        <v>0</v>
      </c>
      <c r="Y359" s="10" t="b">
        <v>0</v>
      </c>
      <c r="Z359" s="3"/>
      <c r="AA359" s="10" t="b">
        <v>0</v>
      </c>
      <c r="AB359" s="10" t="b">
        <v>0</v>
      </c>
      <c r="AC359" s="181">
        <v>407.0</v>
      </c>
      <c r="AD359" s="144" t="b">
        <v>0</v>
      </c>
      <c r="AE359" s="182">
        <v>393.6666666666667</v>
      </c>
      <c r="AF359" s="10" t="b">
        <v>0</v>
      </c>
      <c r="AG359" s="10" t="b">
        <v>0</v>
      </c>
      <c r="AH359" s="144"/>
      <c r="AI359" s="3"/>
      <c r="AJ359" s="10"/>
      <c r="AK359" s="3" t="s">
        <v>244</v>
      </c>
      <c r="AL359" s="5"/>
      <c r="AM359" s="5" t="s">
        <v>491</v>
      </c>
      <c r="AN359" s="5" t="s">
        <v>495</v>
      </c>
      <c r="AO359" s="5" t="s">
        <v>2185</v>
      </c>
      <c r="AP359" s="5" t="s">
        <v>2185</v>
      </c>
      <c r="AQ359" s="5" t="s">
        <v>2185</v>
      </c>
      <c r="AR359" s="5" t="s">
        <v>2185</v>
      </c>
      <c r="AS359" s="142"/>
      <c r="AT359" s="142" t="b">
        <v>0</v>
      </c>
      <c r="AU359" s="142"/>
      <c r="AV359" s="142"/>
      <c r="AW359" s="142"/>
      <c r="AX359" s="142"/>
      <c r="AY359" s="142"/>
      <c r="AZ359" s="174"/>
      <c r="BA359" s="142"/>
      <c r="BB359" s="142"/>
      <c r="BC359" s="142"/>
      <c r="BD359" s="142"/>
      <c r="BE359" s="142"/>
      <c r="BF359" s="142"/>
      <c r="BG359" s="142"/>
    </row>
    <row r="360">
      <c r="A360" s="5" t="s">
        <v>1247</v>
      </c>
      <c r="B360" s="44">
        <v>44607.0</v>
      </c>
      <c r="C360" s="150">
        <v>0.3134953703703704</v>
      </c>
      <c r="D360" s="3"/>
      <c r="E360" s="3"/>
      <c r="F360" s="5"/>
      <c r="G360" s="5"/>
      <c r="H360" s="5"/>
      <c r="I360" s="3"/>
      <c r="J360" s="3"/>
      <c r="K360" s="3" t="s">
        <v>244</v>
      </c>
      <c r="L360" s="44">
        <v>44607.0</v>
      </c>
      <c r="M360" s="150">
        <v>0.5868055555555556</v>
      </c>
      <c r="N360" s="5"/>
      <c r="O360" s="5"/>
      <c r="P360" s="10" t="b">
        <v>0</v>
      </c>
      <c r="Q360" s="10" t="s">
        <v>2184</v>
      </c>
      <c r="R360" s="144" t="b">
        <v>1</v>
      </c>
      <c r="S360" s="144">
        <v>1.0</v>
      </c>
      <c r="T360" s="10"/>
      <c r="U360" s="5"/>
      <c r="V360" s="3"/>
      <c r="W360" s="5"/>
      <c r="X360" s="144" t="b">
        <v>0</v>
      </c>
      <c r="Y360" s="10" t="b">
        <v>0</v>
      </c>
      <c r="Z360" s="3"/>
      <c r="AA360" s="10" t="b">
        <v>0</v>
      </c>
      <c r="AB360" s="10" t="b">
        <v>0</v>
      </c>
      <c r="AC360" s="181">
        <v>406.0</v>
      </c>
      <c r="AD360" s="144" t="b">
        <v>0</v>
      </c>
      <c r="AE360" s="182">
        <v>393.5666666666667</v>
      </c>
      <c r="AF360" s="10" t="b">
        <v>0</v>
      </c>
      <c r="AG360" s="10" t="b">
        <v>0</v>
      </c>
      <c r="AH360" s="144"/>
      <c r="AI360" s="3"/>
      <c r="AJ360" s="10"/>
      <c r="AK360" s="3" t="s">
        <v>244</v>
      </c>
      <c r="AL360" s="5"/>
      <c r="AM360" s="5" t="s">
        <v>1248</v>
      </c>
      <c r="AN360" s="5" t="s">
        <v>1249</v>
      </c>
      <c r="AO360" s="5" t="s">
        <v>2185</v>
      </c>
      <c r="AP360" s="5" t="s">
        <v>2185</v>
      </c>
      <c r="AQ360" s="5" t="s">
        <v>2185</v>
      </c>
      <c r="AR360" s="5" t="s">
        <v>2185</v>
      </c>
      <c r="AS360" s="142"/>
      <c r="AT360" s="142" t="b">
        <v>0</v>
      </c>
      <c r="AU360" s="142"/>
      <c r="AV360" s="142"/>
      <c r="AW360" s="142"/>
      <c r="AX360" s="142"/>
      <c r="AY360" s="142"/>
      <c r="AZ360" s="174"/>
      <c r="BA360" s="142"/>
      <c r="BB360" s="142"/>
      <c r="BC360" s="142"/>
      <c r="BD360" s="142"/>
      <c r="BE360" s="142"/>
      <c r="BF360" s="142"/>
      <c r="BG360" s="142"/>
    </row>
    <row r="361">
      <c r="A361" s="5" t="s">
        <v>1251</v>
      </c>
      <c r="B361" s="44">
        <v>44607.0</v>
      </c>
      <c r="C361" s="150">
        <v>0.314224537037037</v>
      </c>
      <c r="D361" s="3"/>
      <c r="E361" s="3"/>
      <c r="F361" s="5"/>
      <c r="G361" s="5"/>
      <c r="H361" s="5"/>
      <c r="I361" s="3"/>
      <c r="J361" s="3"/>
      <c r="K361" s="3" t="s">
        <v>244</v>
      </c>
      <c r="L361" s="44">
        <v>44607.0</v>
      </c>
      <c r="M361" s="150">
        <v>0.5868055555555556</v>
      </c>
      <c r="N361" s="5"/>
      <c r="O361" s="5"/>
      <c r="P361" s="10" t="b">
        <v>0</v>
      </c>
      <c r="Q361" s="10" t="s">
        <v>2184</v>
      </c>
      <c r="R361" s="144" t="b">
        <v>1</v>
      </c>
      <c r="S361" s="144">
        <v>1.0</v>
      </c>
      <c r="T361" s="10"/>
      <c r="U361" s="5"/>
      <c r="V361" s="3"/>
      <c r="W361" s="5"/>
      <c r="X361" s="144" t="b">
        <v>0</v>
      </c>
      <c r="Y361" s="10" t="b">
        <v>0</v>
      </c>
      <c r="Z361" s="3"/>
      <c r="AA361" s="10" t="b">
        <v>0</v>
      </c>
      <c r="AB361" s="10" t="b">
        <v>0</v>
      </c>
      <c r="AC361" s="181">
        <v>405.0</v>
      </c>
      <c r="AD361" s="144" t="b">
        <v>0</v>
      </c>
      <c r="AE361" s="182">
        <v>392.51666666666677</v>
      </c>
      <c r="AF361" s="10" t="b">
        <v>0</v>
      </c>
      <c r="AG361" s="10" t="b">
        <v>0</v>
      </c>
      <c r="AH361" s="144"/>
      <c r="AI361" s="3"/>
      <c r="AJ361" s="10"/>
      <c r="AK361" s="3" t="s">
        <v>244</v>
      </c>
      <c r="AL361" s="5"/>
      <c r="AM361" s="5" t="s">
        <v>649</v>
      </c>
      <c r="AN361" s="5" t="s">
        <v>336</v>
      </c>
      <c r="AO361" s="5" t="s">
        <v>2185</v>
      </c>
      <c r="AP361" s="5" t="s">
        <v>2185</v>
      </c>
      <c r="AQ361" s="5" t="s">
        <v>2185</v>
      </c>
      <c r="AR361" s="5" t="s">
        <v>2185</v>
      </c>
      <c r="AS361" s="142"/>
      <c r="AT361" s="142" t="b">
        <v>0</v>
      </c>
      <c r="AU361" s="142"/>
      <c r="AV361" s="142"/>
      <c r="AW361" s="142"/>
      <c r="AX361" s="142"/>
      <c r="AY361" s="142"/>
      <c r="AZ361" s="174"/>
      <c r="BA361" s="142"/>
      <c r="BB361" s="142"/>
      <c r="BC361" s="142"/>
      <c r="BD361" s="142"/>
      <c r="BE361" s="142"/>
      <c r="BF361" s="142"/>
      <c r="BG361" s="142"/>
    </row>
    <row r="362">
      <c r="A362" s="5" t="s">
        <v>1253</v>
      </c>
      <c r="B362" s="44">
        <v>44607.0</v>
      </c>
      <c r="C362" s="150">
        <v>0.3147337962962963</v>
      </c>
      <c r="D362" s="3"/>
      <c r="E362" s="3"/>
      <c r="F362" s="5"/>
      <c r="G362" s="5"/>
      <c r="H362" s="5"/>
      <c r="I362" s="3"/>
      <c r="J362" s="3"/>
      <c r="K362" s="3" t="s">
        <v>244</v>
      </c>
      <c r="L362" s="44">
        <v>44607.0</v>
      </c>
      <c r="M362" s="150">
        <v>0.5868055555555556</v>
      </c>
      <c r="N362" s="5"/>
      <c r="O362" s="5"/>
      <c r="P362" s="10" t="b">
        <v>0</v>
      </c>
      <c r="Q362" s="10" t="s">
        <v>2184</v>
      </c>
      <c r="R362" s="144" t="b">
        <v>1</v>
      </c>
      <c r="S362" s="144">
        <v>1.0</v>
      </c>
      <c r="T362" s="10"/>
      <c r="U362" s="5"/>
      <c r="V362" s="3"/>
      <c r="W362" s="5"/>
      <c r="X362" s="144" t="b">
        <v>0</v>
      </c>
      <c r="Y362" s="10" t="b">
        <v>0</v>
      </c>
      <c r="Z362" s="3"/>
      <c r="AA362" s="10" t="b">
        <v>0</v>
      </c>
      <c r="AB362" s="10" t="b">
        <v>0</v>
      </c>
      <c r="AC362" s="181">
        <v>404.0</v>
      </c>
      <c r="AD362" s="144" t="b">
        <v>0</v>
      </c>
      <c r="AE362" s="182">
        <v>391.7833333333334</v>
      </c>
      <c r="AF362" s="10" t="b">
        <v>0</v>
      </c>
      <c r="AG362" s="10" t="b">
        <v>0</v>
      </c>
      <c r="AH362" s="144"/>
      <c r="AI362" s="3"/>
      <c r="AJ362" s="10"/>
      <c r="AK362" s="3" t="s">
        <v>244</v>
      </c>
      <c r="AL362" s="5"/>
      <c r="AM362" s="5" t="s">
        <v>1254</v>
      </c>
      <c r="AN362" s="5" t="s">
        <v>1255</v>
      </c>
      <c r="AO362" s="5" t="s">
        <v>2185</v>
      </c>
      <c r="AP362" s="5" t="s">
        <v>2185</v>
      </c>
      <c r="AQ362" s="5" t="s">
        <v>2185</v>
      </c>
      <c r="AR362" s="5" t="s">
        <v>2185</v>
      </c>
      <c r="AS362" s="142"/>
      <c r="AT362" s="142" t="b">
        <v>0</v>
      </c>
      <c r="AU362" s="142"/>
      <c r="AV362" s="142"/>
      <c r="AW362" s="142"/>
      <c r="AX362" s="142"/>
      <c r="AY362" s="142"/>
      <c r="AZ362" s="174"/>
      <c r="BA362" s="142"/>
      <c r="BB362" s="142"/>
      <c r="BC362" s="142"/>
      <c r="BD362" s="142"/>
      <c r="BE362" s="142"/>
      <c r="BF362" s="142"/>
      <c r="BG362" s="142"/>
    </row>
    <row r="363">
      <c r="A363" s="5" t="s">
        <v>1257</v>
      </c>
      <c r="B363" s="44">
        <v>44607.0</v>
      </c>
      <c r="C363" s="150">
        <v>0.31958333333333333</v>
      </c>
      <c r="D363" s="3"/>
      <c r="E363" s="3"/>
      <c r="F363" s="5"/>
      <c r="G363" s="5"/>
      <c r="H363" s="5"/>
      <c r="I363" s="3"/>
      <c r="J363" s="3"/>
      <c r="K363" s="3" t="s">
        <v>244</v>
      </c>
      <c r="L363" s="44">
        <v>44607.0</v>
      </c>
      <c r="M363" s="150">
        <v>0.5868055555555556</v>
      </c>
      <c r="N363" s="5"/>
      <c r="O363" s="5"/>
      <c r="P363" s="10" t="b">
        <v>0</v>
      </c>
      <c r="Q363" s="10" t="s">
        <v>2184</v>
      </c>
      <c r="R363" s="144" t="b">
        <v>1</v>
      </c>
      <c r="S363" s="144">
        <v>1.0</v>
      </c>
      <c r="T363" s="10"/>
      <c r="U363" s="5"/>
      <c r="V363" s="3"/>
      <c r="W363" s="5"/>
      <c r="X363" s="144" t="b">
        <v>0</v>
      </c>
      <c r="Y363" s="10" t="b">
        <v>0</v>
      </c>
      <c r="Z363" s="3"/>
      <c r="AA363" s="10" t="b">
        <v>0</v>
      </c>
      <c r="AB363" s="10" t="b">
        <v>0</v>
      </c>
      <c r="AC363" s="181">
        <v>403.0</v>
      </c>
      <c r="AD363" s="144" t="b">
        <v>0</v>
      </c>
      <c r="AE363" s="182">
        <v>384.80000000000007</v>
      </c>
      <c r="AF363" s="10" t="b">
        <v>0</v>
      </c>
      <c r="AG363" s="10" t="b">
        <v>0</v>
      </c>
      <c r="AH363" s="144"/>
      <c r="AI363" s="3"/>
      <c r="AJ363" s="10"/>
      <c r="AK363" s="3" t="s">
        <v>244</v>
      </c>
      <c r="AL363" s="5"/>
      <c r="AM363" s="5" t="s">
        <v>875</v>
      </c>
      <c r="AN363" s="5" t="s">
        <v>876</v>
      </c>
      <c r="AO363" s="5" t="s">
        <v>2185</v>
      </c>
      <c r="AP363" s="5" t="s">
        <v>2185</v>
      </c>
      <c r="AQ363" s="5" t="s">
        <v>2185</v>
      </c>
      <c r="AR363" s="5" t="s">
        <v>2185</v>
      </c>
      <c r="AS363" s="142"/>
      <c r="AT363" s="142" t="b">
        <v>0</v>
      </c>
      <c r="AU363" s="142"/>
      <c r="AV363" s="142"/>
      <c r="AW363" s="142"/>
      <c r="AX363" s="142"/>
      <c r="AY363" s="142"/>
      <c r="AZ363" s="174"/>
      <c r="BA363" s="142"/>
      <c r="BB363" s="142"/>
      <c r="BC363" s="142"/>
      <c r="BD363" s="142"/>
      <c r="BE363" s="142"/>
      <c r="BF363" s="142"/>
      <c r="BG363" s="142"/>
    </row>
    <row r="364">
      <c r="A364" s="5" t="s">
        <v>1259</v>
      </c>
      <c r="B364" s="44">
        <v>44607.0</v>
      </c>
      <c r="C364" s="150">
        <v>0.32024305555555554</v>
      </c>
      <c r="D364" s="3"/>
      <c r="E364" s="3"/>
      <c r="F364" s="5"/>
      <c r="G364" s="5"/>
      <c r="H364" s="5"/>
      <c r="I364" s="3"/>
      <c r="J364" s="3"/>
      <c r="K364" s="3" t="s">
        <v>244</v>
      </c>
      <c r="L364" s="44">
        <v>44607.0</v>
      </c>
      <c r="M364" s="150">
        <v>0.5868055555555556</v>
      </c>
      <c r="N364" s="5"/>
      <c r="O364" s="5"/>
      <c r="P364" s="10" t="b">
        <v>0</v>
      </c>
      <c r="Q364" s="10" t="s">
        <v>2184</v>
      </c>
      <c r="R364" s="144" t="b">
        <v>1</v>
      </c>
      <c r="S364" s="144">
        <v>1.0</v>
      </c>
      <c r="T364" s="10"/>
      <c r="U364" s="5"/>
      <c r="V364" s="3"/>
      <c r="W364" s="5"/>
      <c r="X364" s="144" t="b">
        <v>0</v>
      </c>
      <c r="Y364" s="10" t="b">
        <v>0</v>
      </c>
      <c r="Z364" s="3"/>
      <c r="AA364" s="10" t="b">
        <v>0</v>
      </c>
      <c r="AB364" s="10" t="b">
        <v>0</v>
      </c>
      <c r="AC364" s="181">
        <v>402.0</v>
      </c>
      <c r="AD364" s="144" t="b">
        <v>0</v>
      </c>
      <c r="AE364" s="182">
        <v>383.85</v>
      </c>
      <c r="AF364" s="10" t="b">
        <v>0</v>
      </c>
      <c r="AG364" s="10" t="b">
        <v>0</v>
      </c>
      <c r="AH364" s="144"/>
      <c r="AI364" s="3"/>
      <c r="AJ364" s="10"/>
      <c r="AK364" s="3" t="s">
        <v>244</v>
      </c>
      <c r="AL364" s="5"/>
      <c r="AM364" s="5" t="s">
        <v>1260</v>
      </c>
      <c r="AN364" s="5" t="s">
        <v>1261</v>
      </c>
      <c r="AO364" s="5" t="s">
        <v>2185</v>
      </c>
      <c r="AP364" s="5" t="s">
        <v>2185</v>
      </c>
      <c r="AQ364" s="5" t="s">
        <v>2185</v>
      </c>
      <c r="AR364" s="5" t="s">
        <v>2185</v>
      </c>
      <c r="AS364" s="142"/>
      <c r="AT364" s="142" t="b">
        <v>0</v>
      </c>
      <c r="AU364" s="142"/>
      <c r="AV364" s="142"/>
      <c r="AW364" s="142"/>
      <c r="AX364" s="142"/>
      <c r="AY364" s="142"/>
      <c r="AZ364" s="174"/>
      <c r="BA364" s="142"/>
      <c r="BB364" s="142"/>
      <c r="BC364" s="142"/>
      <c r="BD364" s="142"/>
      <c r="BE364" s="142"/>
      <c r="BF364" s="142"/>
      <c r="BG364" s="142"/>
    </row>
    <row r="365">
      <c r="A365" s="5" t="s">
        <v>1263</v>
      </c>
      <c r="B365" s="44">
        <v>44607.0</v>
      </c>
      <c r="C365" s="150">
        <v>0.32314814814814813</v>
      </c>
      <c r="D365" s="3"/>
      <c r="E365" s="3"/>
      <c r="F365" s="5"/>
      <c r="G365" s="5"/>
      <c r="H365" s="5"/>
      <c r="I365" s="3"/>
      <c r="J365" s="3"/>
      <c r="K365" s="3" t="s">
        <v>244</v>
      </c>
      <c r="L365" s="44">
        <v>44607.0</v>
      </c>
      <c r="M365" s="150">
        <v>0.5868055555555556</v>
      </c>
      <c r="N365" s="5"/>
      <c r="O365" s="5"/>
      <c r="P365" s="10" t="b">
        <v>0</v>
      </c>
      <c r="Q365" s="10" t="s">
        <v>2184</v>
      </c>
      <c r="R365" s="144" t="b">
        <v>1</v>
      </c>
      <c r="S365" s="144">
        <v>1.0</v>
      </c>
      <c r="T365" s="10"/>
      <c r="U365" s="5"/>
      <c r="V365" s="3"/>
      <c r="W365" s="5"/>
      <c r="X365" s="144" t="b">
        <v>0</v>
      </c>
      <c r="Y365" s="10" t="b">
        <v>0</v>
      </c>
      <c r="Z365" s="3"/>
      <c r="AA365" s="10" t="b">
        <v>0</v>
      </c>
      <c r="AB365" s="10" t="b">
        <v>0</v>
      </c>
      <c r="AC365" s="181">
        <v>401.0</v>
      </c>
      <c r="AD365" s="144" t="b">
        <v>0</v>
      </c>
      <c r="AE365" s="182">
        <v>379.66666666666674</v>
      </c>
      <c r="AF365" s="10" t="b">
        <v>0</v>
      </c>
      <c r="AG365" s="10" t="b">
        <v>0</v>
      </c>
      <c r="AH365" s="144"/>
      <c r="AI365" s="3"/>
      <c r="AJ365" s="10"/>
      <c r="AK365" s="3" t="s">
        <v>244</v>
      </c>
      <c r="AL365" s="5"/>
      <c r="AM365" s="5" t="s">
        <v>465</v>
      </c>
      <c r="AN365" s="5" t="s">
        <v>466</v>
      </c>
      <c r="AO365" s="5" t="s">
        <v>2185</v>
      </c>
      <c r="AP365" s="5" t="s">
        <v>2185</v>
      </c>
      <c r="AQ365" s="5" t="s">
        <v>2185</v>
      </c>
      <c r="AR365" s="5" t="s">
        <v>2185</v>
      </c>
      <c r="AS365" s="142"/>
      <c r="AT365" s="142" t="b">
        <v>0</v>
      </c>
      <c r="AU365" s="142"/>
      <c r="AV365" s="142"/>
      <c r="AW365" s="142"/>
      <c r="AX365" s="142"/>
      <c r="AY365" s="142"/>
      <c r="AZ365" s="174"/>
      <c r="BA365" s="142"/>
      <c r="BB365" s="142"/>
      <c r="BC365" s="142"/>
      <c r="BD365" s="142"/>
      <c r="BE365" s="142"/>
      <c r="BF365" s="142"/>
      <c r="BG365" s="142"/>
    </row>
    <row r="366">
      <c r="A366" s="5" t="s">
        <v>1265</v>
      </c>
      <c r="B366" s="44">
        <v>44607.0</v>
      </c>
      <c r="C366" s="150">
        <v>0.32350694444444444</v>
      </c>
      <c r="D366" s="3"/>
      <c r="E366" s="3"/>
      <c r="F366" s="5"/>
      <c r="G366" s="5"/>
      <c r="H366" s="5"/>
      <c r="I366" s="3"/>
      <c r="J366" s="3"/>
      <c r="K366" s="3" t="s">
        <v>244</v>
      </c>
      <c r="L366" s="44">
        <v>44607.0</v>
      </c>
      <c r="M366" s="150">
        <v>0.5868055555555556</v>
      </c>
      <c r="N366" s="5"/>
      <c r="O366" s="5"/>
      <c r="P366" s="10" t="b">
        <v>0</v>
      </c>
      <c r="Q366" s="10" t="s">
        <v>2184</v>
      </c>
      <c r="R366" s="144" t="b">
        <v>1</v>
      </c>
      <c r="S366" s="144">
        <v>1.0</v>
      </c>
      <c r="T366" s="10"/>
      <c r="U366" s="5"/>
      <c r="V366" s="3"/>
      <c r="W366" s="5"/>
      <c r="X366" s="144" t="b">
        <v>0</v>
      </c>
      <c r="Y366" s="10" t="b">
        <v>0</v>
      </c>
      <c r="Z366" s="3"/>
      <c r="AA366" s="10" t="b">
        <v>0</v>
      </c>
      <c r="AB366" s="10" t="b">
        <v>0</v>
      </c>
      <c r="AC366" s="181">
        <v>400.0</v>
      </c>
      <c r="AD366" s="144" t="b">
        <v>0</v>
      </c>
      <c r="AE366" s="182">
        <v>379.1500000000001</v>
      </c>
      <c r="AF366" s="10" t="b">
        <v>0</v>
      </c>
      <c r="AG366" s="10" t="b">
        <v>0</v>
      </c>
      <c r="AH366" s="144"/>
      <c r="AI366" s="3"/>
      <c r="AJ366" s="10"/>
      <c r="AK366" s="3" t="s">
        <v>244</v>
      </c>
      <c r="AL366" s="5"/>
      <c r="AM366" s="5" t="s">
        <v>793</v>
      </c>
      <c r="AN366" s="5" t="s">
        <v>836</v>
      </c>
      <c r="AO366" s="5" t="s">
        <v>2185</v>
      </c>
      <c r="AP366" s="5" t="s">
        <v>2185</v>
      </c>
      <c r="AQ366" s="5" t="s">
        <v>2185</v>
      </c>
      <c r="AR366" s="5" t="s">
        <v>2185</v>
      </c>
      <c r="AS366" s="142"/>
      <c r="AT366" s="142" t="b">
        <v>0</v>
      </c>
      <c r="AU366" s="142"/>
      <c r="AV366" s="142"/>
      <c r="AW366" s="142"/>
      <c r="AX366" s="142"/>
      <c r="AY366" s="142"/>
      <c r="AZ366" s="174"/>
      <c r="BA366" s="142"/>
      <c r="BB366" s="142"/>
      <c r="BC366" s="142"/>
      <c r="BD366" s="142"/>
      <c r="BE366" s="142"/>
      <c r="BF366" s="142"/>
      <c r="BG366" s="142"/>
    </row>
    <row r="367">
      <c r="A367" s="5" t="s">
        <v>1267</v>
      </c>
      <c r="B367" s="44">
        <v>44607.0</v>
      </c>
      <c r="C367" s="150">
        <v>0.3248726851851852</v>
      </c>
      <c r="D367" s="3"/>
      <c r="E367" s="3"/>
      <c r="F367" s="5"/>
      <c r="G367" s="5"/>
      <c r="H367" s="5"/>
      <c r="I367" s="3"/>
      <c r="J367" s="3"/>
      <c r="K367" s="3" t="s">
        <v>244</v>
      </c>
      <c r="L367" s="44">
        <v>44607.0</v>
      </c>
      <c r="M367" s="150">
        <v>0.5868055555555556</v>
      </c>
      <c r="N367" s="5"/>
      <c r="O367" s="5"/>
      <c r="P367" s="10" t="b">
        <v>0</v>
      </c>
      <c r="Q367" s="10" t="s">
        <v>2184</v>
      </c>
      <c r="R367" s="144" t="b">
        <v>1</v>
      </c>
      <c r="S367" s="144">
        <v>1.0</v>
      </c>
      <c r="T367" s="10"/>
      <c r="U367" s="5"/>
      <c r="V367" s="3"/>
      <c r="W367" s="5"/>
      <c r="X367" s="144" t="b">
        <v>0</v>
      </c>
      <c r="Y367" s="10" t="b">
        <v>0</v>
      </c>
      <c r="Z367" s="3"/>
      <c r="AA367" s="10" t="b">
        <v>0</v>
      </c>
      <c r="AB367" s="10" t="b">
        <v>0</v>
      </c>
      <c r="AC367" s="181">
        <v>399.0</v>
      </c>
      <c r="AD367" s="144" t="b">
        <v>0</v>
      </c>
      <c r="AE367" s="182">
        <v>377.18333333333334</v>
      </c>
      <c r="AF367" s="10" t="b">
        <v>0</v>
      </c>
      <c r="AG367" s="10" t="b">
        <v>0</v>
      </c>
      <c r="AH367" s="144"/>
      <c r="AI367" s="3"/>
      <c r="AJ367" s="10"/>
      <c r="AK367" s="3" t="s">
        <v>244</v>
      </c>
      <c r="AL367" s="5"/>
      <c r="AM367" s="5" t="s">
        <v>471</v>
      </c>
      <c r="AN367" s="5" t="s">
        <v>472</v>
      </c>
      <c r="AO367" s="5" t="s">
        <v>2185</v>
      </c>
      <c r="AP367" s="5" t="s">
        <v>2185</v>
      </c>
      <c r="AQ367" s="5" t="s">
        <v>2185</v>
      </c>
      <c r="AR367" s="5" t="s">
        <v>2185</v>
      </c>
      <c r="AS367" s="142"/>
      <c r="AT367" s="142" t="b">
        <v>0</v>
      </c>
      <c r="AU367" s="142"/>
      <c r="AV367" s="142"/>
      <c r="AW367" s="142"/>
      <c r="AX367" s="142"/>
      <c r="AY367" s="142"/>
      <c r="AZ367" s="174"/>
      <c r="BA367" s="142"/>
      <c r="BB367" s="142"/>
      <c r="BC367" s="142"/>
      <c r="BD367" s="142"/>
      <c r="BE367" s="142"/>
      <c r="BF367" s="142"/>
      <c r="BG367" s="142"/>
    </row>
    <row r="368">
      <c r="A368" s="5" t="s">
        <v>1269</v>
      </c>
      <c r="B368" s="44">
        <v>44607.0</v>
      </c>
      <c r="C368" s="150">
        <v>0.32538194444444446</v>
      </c>
      <c r="D368" s="3"/>
      <c r="E368" s="3"/>
      <c r="F368" s="5"/>
      <c r="G368" s="5"/>
      <c r="H368" s="5"/>
      <c r="I368" s="3"/>
      <c r="J368" s="3"/>
      <c r="K368" s="3" t="s">
        <v>244</v>
      </c>
      <c r="L368" s="44">
        <v>44607.0</v>
      </c>
      <c r="M368" s="150">
        <v>0.5868055555555556</v>
      </c>
      <c r="N368" s="5"/>
      <c r="O368" s="5"/>
      <c r="P368" s="10" t="b">
        <v>0</v>
      </c>
      <c r="Q368" s="10" t="s">
        <v>2184</v>
      </c>
      <c r="R368" s="144" t="b">
        <v>1</v>
      </c>
      <c r="S368" s="144">
        <v>1.0</v>
      </c>
      <c r="T368" s="10"/>
      <c r="U368" s="5"/>
      <c r="V368" s="3"/>
      <c r="W368" s="5"/>
      <c r="X368" s="144" t="b">
        <v>0</v>
      </c>
      <c r="Y368" s="10" t="b">
        <v>0</v>
      </c>
      <c r="Z368" s="3"/>
      <c r="AA368" s="10" t="b">
        <v>0</v>
      </c>
      <c r="AB368" s="10" t="b">
        <v>0</v>
      </c>
      <c r="AC368" s="181">
        <v>398.0</v>
      </c>
      <c r="AD368" s="144" t="b">
        <v>0</v>
      </c>
      <c r="AE368" s="182">
        <v>376.45</v>
      </c>
      <c r="AF368" s="10" t="b">
        <v>0</v>
      </c>
      <c r="AG368" s="10" t="b">
        <v>0</v>
      </c>
      <c r="AH368" s="144"/>
      <c r="AI368" s="3"/>
      <c r="AJ368" s="10"/>
      <c r="AK368" s="3" t="s">
        <v>244</v>
      </c>
      <c r="AL368" s="5"/>
      <c r="AM368" s="5" t="s">
        <v>1270</v>
      </c>
      <c r="AN368" s="5" t="s">
        <v>1271</v>
      </c>
      <c r="AO368" s="5" t="s">
        <v>2185</v>
      </c>
      <c r="AP368" s="5" t="s">
        <v>2185</v>
      </c>
      <c r="AQ368" s="5" t="s">
        <v>2185</v>
      </c>
      <c r="AR368" s="5" t="s">
        <v>2185</v>
      </c>
      <c r="AS368" s="142"/>
      <c r="AT368" s="142" t="b">
        <v>0</v>
      </c>
      <c r="AU368" s="142"/>
      <c r="AV368" s="142"/>
      <c r="AW368" s="142"/>
      <c r="AX368" s="142"/>
      <c r="AY368" s="142"/>
      <c r="AZ368" s="174"/>
      <c r="BA368" s="142"/>
      <c r="BB368" s="142"/>
      <c r="BC368" s="142"/>
      <c r="BD368" s="142"/>
      <c r="BE368" s="142"/>
      <c r="BF368" s="142"/>
      <c r="BG368" s="142"/>
    </row>
    <row r="369">
      <c r="A369" s="5" t="s">
        <v>1273</v>
      </c>
      <c r="B369" s="44">
        <v>44607.0</v>
      </c>
      <c r="C369" s="150">
        <v>0.3254398148148148</v>
      </c>
      <c r="D369" s="3"/>
      <c r="E369" s="3"/>
      <c r="F369" s="5"/>
      <c r="G369" s="5"/>
      <c r="H369" s="5"/>
      <c r="I369" s="3"/>
      <c r="J369" s="3"/>
      <c r="K369" s="3" t="s">
        <v>244</v>
      </c>
      <c r="L369" s="44">
        <v>44607.0</v>
      </c>
      <c r="M369" s="150">
        <v>0.5868055555555556</v>
      </c>
      <c r="N369" s="5"/>
      <c r="O369" s="5"/>
      <c r="P369" s="10" t="b">
        <v>0</v>
      </c>
      <c r="Q369" s="10" t="s">
        <v>2184</v>
      </c>
      <c r="R369" s="144" t="b">
        <v>1</v>
      </c>
      <c r="S369" s="144">
        <v>1.0</v>
      </c>
      <c r="T369" s="10"/>
      <c r="U369" s="5"/>
      <c r="V369" s="3"/>
      <c r="W369" s="5"/>
      <c r="X369" s="144" t="b">
        <v>0</v>
      </c>
      <c r="Y369" s="10" t="b">
        <v>0</v>
      </c>
      <c r="Z369" s="3"/>
      <c r="AA369" s="10" t="b">
        <v>0</v>
      </c>
      <c r="AB369" s="10" t="b">
        <v>0</v>
      </c>
      <c r="AC369" s="181">
        <v>397.0</v>
      </c>
      <c r="AD369" s="144" t="b">
        <v>0</v>
      </c>
      <c r="AE369" s="182">
        <v>376.3666666666667</v>
      </c>
      <c r="AF369" s="10" t="b">
        <v>0</v>
      </c>
      <c r="AG369" s="10" t="b">
        <v>0</v>
      </c>
      <c r="AH369" s="144"/>
      <c r="AI369" s="3"/>
      <c r="AJ369" s="10"/>
      <c r="AK369" s="3" t="s">
        <v>244</v>
      </c>
      <c r="AL369" s="5"/>
      <c r="AM369" s="5" t="s">
        <v>1274</v>
      </c>
      <c r="AN369" s="5" t="s">
        <v>1275</v>
      </c>
      <c r="AO369" s="5" t="s">
        <v>2185</v>
      </c>
      <c r="AP369" s="5" t="s">
        <v>2185</v>
      </c>
      <c r="AQ369" s="5" t="s">
        <v>2185</v>
      </c>
      <c r="AR369" s="5" t="s">
        <v>2185</v>
      </c>
      <c r="AS369" s="142"/>
      <c r="AT369" s="142" t="b">
        <v>0</v>
      </c>
      <c r="AU369" s="142"/>
      <c r="AV369" s="142"/>
      <c r="AW369" s="142"/>
      <c r="AX369" s="142"/>
      <c r="AY369" s="142"/>
      <c r="AZ369" s="174"/>
      <c r="BA369" s="142"/>
      <c r="BB369" s="142"/>
      <c r="BC369" s="142"/>
      <c r="BD369" s="142"/>
      <c r="BE369" s="142"/>
      <c r="BF369" s="142"/>
      <c r="BG369" s="142"/>
    </row>
    <row r="370">
      <c r="A370" s="5" t="s">
        <v>1277</v>
      </c>
      <c r="B370" s="44">
        <v>44607.0</v>
      </c>
      <c r="C370" s="150">
        <v>0.32666666666666666</v>
      </c>
      <c r="D370" s="3"/>
      <c r="E370" s="3"/>
      <c r="F370" s="5"/>
      <c r="G370" s="5"/>
      <c r="H370" s="5"/>
      <c r="I370" s="3"/>
      <c r="J370" s="3"/>
      <c r="K370" s="3" t="s">
        <v>244</v>
      </c>
      <c r="L370" s="44">
        <v>44607.0</v>
      </c>
      <c r="M370" s="150">
        <v>0.5868055555555556</v>
      </c>
      <c r="N370" s="5"/>
      <c r="O370" s="5"/>
      <c r="P370" s="10" t="b">
        <v>0</v>
      </c>
      <c r="Q370" s="10" t="s">
        <v>2184</v>
      </c>
      <c r="R370" s="144" t="b">
        <v>1</v>
      </c>
      <c r="S370" s="144">
        <v>1.0</v>
      </c>
      <c r="T370" s="10"/>
      <c r="U370" s="5"/>
      <c r="V370" s="3"/>
      <c r="W370" s="5"/>
      <c r="X370" s="144" t="b">
        <v>0</v>
      </c>
      <c r="Y370" s="10" t="b">
        <v>0</v>
      </c>
      <c r="Z370" s="3"/>
      <c r="AA370" s="10" t="b">
        <v>0</v>
      </c>
      <c r="AB370" s="10" t="b">
        <v>0</v>
      </c>
      <c r="AC370" s="181">
        <v>396.0</v>
      </c>
      <c r="AD370" s="144" t="b">
        <v>0</v>
      </c>
      <c r="AE370" s="182">
        <v>374.6</v>
      </c>
      <c r="AF370" s="10" t="b">
        <v>0</v>
      </c>
      <c r="AG370" s="10" t="b">
        <v>0</v>
      </c>
      <c r="AH370" s="144"/>
      <c r="AI370" s="3"/>
      <c r="AJ370" s="10"/>
      <c r="AK370" s="3" t="s">
        <v>244</v>
      </c>
      <c r="AL370" s="5"/>
      <c r="AM370" s="5" t="s">
        <v>398</v>
      </c>
      <c r="AN370" s="5" t="s">
        <v>399</v>
      </c>
      <c r="AO370" s="5" t="s">
        <v>2185</v>
      </c>
      <c r="AP370" s="5" t="s">
        <v>2185</v>
      </c>
      <c r="AQ370" s="5" t="s">
        <v>2185</v>
      </c>
      <c r="AR370" s="5" t="s">
        <v>2185</v>
      </c>
      <c r="AS370" s="142"/>
      <c r="AT370" s="142" t="b">
        <v>0</v>
      </c>
      <c r="AU370" s="142"/>
      <c r="AV370" s="142"/>
      <c r="AW370" s="142"/>
      <c r="AX370" s="142"/>
      <c r="AY370" s="142"/>
      <c r="AZ370" s="174"/>
      <c r="BA370" s="142"/>
      <c r="BB370" s="142"/>
      <c r="BC370" s="142"/>
      <c r="BD370" s="142"/>
      <c r="BE370" s="142"/>
      <c r="BF370" s="142"/>
      <c r="BG370" s="142"/>
    </row>
    <row r="371">
      <c r="A371" s="5" t="s">
        <v>1281</v>
      </c>
      <c r="B371" s="44">
        <v>44607.0</v>
      </c>
      <c r="C371" s="150">
        <v>0.32873842592592595</v>
      </c>
      <c r="D371" s="3"/>
      <c r="E371" s="3"/>
      <c r="F371" s="5"/>
      <c r="G371" s="5"/>
      <c r="H371" s="5"/>
      <c r="I371" s="3"/>
      <c r="J371" s="3"/>
      <c r="K371" s="3" t="s">
        <v>244</v>
      </c>
      <c r="L371" s="44">
        <v>44607.0</v>
      </c>
      <c r="M371" s="150">
        <v>0.5868055555555556</v>
      </c>
      <c r="N371" s="5"/>
      <c r="O371" s="5"/>
      <c r="P371" s="10" t="b">
        <v>0</v>
      </c>
      <c r="Q371" s="10" t="s">
        <v>2184</v>
      </c>
      <c r="R371" s="144" t="b">
        <v>1</v>
      </c>
      <c r="S371" s="144">
        <v>1.0</v>
      </c>
      <c r="T371" s="10"/>
      <c r="U371" s="5"/>
      <c r="V371" s="3"/>
      <c r="W371" s="5"/>
      <c r="X371" s="144" t="b">
        <v>0</v>
      </c>
      <c r="Y371" s="10" t="b">
        <v>0</v>
      </c>
      <c r="Z371" s="3"/>
      <c r="AA371" s="10" t="b">
        <v>0</v>
      </c>
      <c r="AB371" s="10" t="b">
        <v>0</v>
      </c>
      <c r="AC371" s="181">
        <v>394.0</v>
      </c>
      <c r="AD371" s="144" t="b">
        <v>0</v>
      </c>
      <c r="AE371" s="182">
        <v>371.6166666666667</v>
      </c>
      <c r="AF371" s="10" t="b">
        <v>0</v>
      </c>
      <c r="AG371" s="10" t="b">
        <v>0</v>
      </c>
      <c r="AH371" s="144"/>
      <c r="AI371" s="3"/>
      <c r="AJ371" s="10"/>
      <c r="AK371" s="3" t="s">
        <v>244</v>
      </c>
      <c r="AL371" s="5"/>
      <c r="AM371" s="5" t="s">
        <v>307</v>
      </c>
      <c r="AN371" s="5" t="s">
        <v>266</v>
      </c>
      <c r="AO371" s="5" t="s">
        <v>2185</v>
      </c>
      <c r="AP371" s="5" t="s">
        <v>2185</v>
      </c>
      <c r="AQ371" s="5" t="s">
        <v>2185</v>
      </c>
      <c r="AR371" s="5" t="s">
        <v>2185</v>
      </c>
      <c r="AS371" s="142"/>
      <c r="AT371" s="142" t="b">
        <v>0</v>
      </c>
      <c r="AU371" s="142"/>
      <c r="AV371" s="142"/>
      <c r="AW371" s="142"/>
      <c r="AX371" s="142"/>
      <c r="AY371" s="142"/>
      <c r="AZ371" s="174"/>
      <c r="BA371" s="142"/>
      <c r="BB371" s="142"/>
      <c r="BC371" s="142"/>
      <c r="BD371" s="142"/>
      <c r="BE371" s="142"/>
      <c r="BF371" s="142"/>
      <c r="BG371" s="142"/>
    </row>
    <row r="372">
      <c r="A372" s="5" t="s">
        <v>1283</v>
      </c>
      <c r="B372" s="44">
        <v>44607.0</v>
      </c>
      <c r="C372" s="150">
        <v>0.3297685185185185</v>
      </c>
      <c r="D372" s="3"/>
      <c r="E372" s="3"/>
      <c r="F372" s="5"/>
      <c r="G372" s="5"/>
      <c r="H372" s="5"/>
      <c r="I372" s="3"/>
      <c r="J372" s="3"/>
      <c r="K372" s="3" t="s">
        <v>244</v>
      </c>
      <c r="L372" s="44">
        <v>44607.0</v>
      </c>
      <c r="M372" s="150">
        <v>0.5868171296296296</v>
      </c>
      <c r="N372" s="5"/>
      <c r="O372" s="5"/>
      <c r="P372" s="10" t="b">
        <v>0</v>
      </c>
      <c r="Q372" s="10" t="s">
        <v>2184</v>
      </c>
      <c r="R372" s="144" t="b">
        <v>1</v>
      </c>
      <c r="S372" s="144">
        <v>1.0</v>
      </c>
      <c r="T372" s="10"/>
      <c r="U372" s="5"/>
      <c r="V372" s="3"/>
      <c r="W372" s="5"/>
      <c r="X372" s="144" t="b">
        <v>0</v>
      </c>
      <c r="Y372" s="10" t="b">
        <v>0</v>
      </c>
      <c r="Z372" s="3"/>
      <c r="AA372" s="10" t="b">
        <v>0</v>
      </c>
      <c r="AB372" s="10" t="b">
        <v>0</v>
      </c>
      <c r="AC372" s="181">
        <v>393.0</v>
      </c>
      <c r="AD372" s="144" t="b">
        <v>0</v>
      </c>
      <c r="AE372" s="182">
        <v>370.15</v>
      </c>
      <c r="AF372" s="10" t="b">
        <v>0</v>
      </c>
      <c r="AG372" s="10" t="b">
        <v>0</v>
      </c>
      <c r="AH372" s="144"/>
      <c r="AI372" s="3"/>
      <c r="AJ372" s="10"/>
      <c r="AK372" s="3" t="s">
        <v>244</v>
      </c>
      <c r="AL372" s="5"/>
      <c r="AM372" s="5" t="s">
        <v>520</v>
      </c>
      <c r="AN372" s="5" t="s">
        <v>521</v>
      </c>
      <c r="AO372" s="5" t="s">
        <v>2185</v>
      </c>
      <c r="AP372" s="5" t="s">
        <v>2185</v>
      </c>
      <c r="AQ372" s="5" t="s">
        <v>2185</v>
      </c>
      <c r="AR372" s="5" t="s">
        <v>2185</v>
      </c>
      <c r="AS372" s="142"/>
      <c r="AT372" s="142" t="b">
        <v>0</v>
      </c>
      <c r="AU372" s="142"/>
      <c r="AV372" s="142"/>
      <c r="AW372" s="142"/>
      <c r="AX372" s="142"/>
      <c r="AY372" s="142"/>
      <c r="AZ372" s="174"/>
      <c r="BA372" s="142"/>
      <c r="BB372" s="142"/>
      <c r="BC372" s="142"/>
      <c r="BD372" s="142"/>
      <c r="BE372" s="142"/>
      <c r="BF372" s="142"/>
      <c r="BG372" s="142"/>
    </row>
    <row r="373">
      <c r="A373" s="5" t="s">
        <v>1285</v>
      </c>
      <c r="B373" s="44">
        <v>44607.0</v>
      </c>
      <c r="C373" s="150">
        <v>0.33239583333333333</v>
      </c>
      <c r="D373" s="3"/>
      <c r="E373" s="3"/>
      <c r="F373" s="5"/>
      <c r="G373" s="5"/>
      <c r="H373" s="5"/>
      <c r="I373" s="3"/>
      <c r="J373" s="3"/>
      <c r="K373" s="3" t="s">
        <v>244</v>
      </c>
      <c r="L373" s="44">
        <v>44607.0</v>
      </c>
      <c r="M373" s="150">
        <v>0.5868171296296296</v>
      </c>
      <c r="N373" s="5"/>
      <c r="O373" s="5"/>
      <c r="P373" s="10" t="b">
        <v>0</v>
      </c>
      <c r="Q373" s="10" t="s">
        <v>2184</v>
      </c>
      <c r="R373" s="144" t="b">
        <v>1</v>
      </c>
      <c r="S373" s="144">
        <v>1.0</v>
      </c>
      <c r="T373" s="10"/>
      <c r="U373" s="5"/>
      <c r="V373" s="3"/>
      <c r="W373" s="5"/>
      <c r="X373" s="144" t="b">
        <v>0</v>
      </c>
      <c r="Y373" s="10" t="b">
        <v>0</v>
      </c>
      <c r="Z373" s="3"/>
      <c r="AA373" s="10" t="b">
        <v>0</v>
      </c>
      <c r="AB373" s="10" t="b">
        <v>0</v>
      </c>
      <c r="AC373" s="181">
        <v>392.0</v>
      </c>
      <c r="AD373" s="144" t="b">
        <v>0</v>
      </c>
      <c r="AE373" s="182">
        <v>366.3666666666667</v>
      </c>
      <c r="AF373" s="10" t="b">
        <v>0</v>
      </c>
      <c r="AG373" s="10" t="b">
        <v>0</v>
      </c>
      <c r="AH373" s="144"/>
      <c r="AI373" s="3"/>
      <c r="AJ373" s="10"/>
      <c r="AK373" s="3" t="s">
        <v>244</v>
      </c>
      <c r="AL373" s="5"/>
      <c r="AM373" s="5" t="s">
        <v>1286</v>
      </c>
      <c r="AN373" s="5" t="s">
        <v>1287</v>
      </c>
      <c r="AO373" s="5" t="s">
        <v>2185</v>
      </c>
      <c r="AP373" s="5" t="s">
        <v>2185</v>
      </c>
      <c r="AQ373" s="5" t="s">
        <v>2185</v>
      </c>
      <c r="AR373" s="5" t="s">
        <v>2185</v>
      </c>
      <c r="AS373" s="142"/>
      <c r="AT373" s="142" t="b">
        <v>0</v>
      </c>
      <c r="AU373" s="142"/>
      <c r="AV373" s="142"/>
      <c r="AW373" s="142"/>
      <c r="AX373" s="142"/>
      <c r="AY373" s="142"/>
      <c r="AZ373" s="174"/>
      <c r="BA373" s="142"/>
      <c r="BB373" s="142"/>
      <c r="BC373" s="142"/>
      <c r="BD373" s="142"/>
      <c r="BE373" s="142"/>
      <c r="BF373" s="142"/>
      <c r="BG373" s="142"/>
    </row>
    <row r="374">
      <c r="A374" s="5" t="s">
        <v>1289</v>
      </c>
      <c r="B374" s="44">
        <v>44607.0</v>
      </c>
      <c r="C374" s="150">
        <v>0.33417824074074076</v>
      </c>
      <c r="D374" s="3"/>
      <c r="E374" s="3"/>
      <c r="F374" s="5"/>
      <c r="G374" s="5"/>
      <c r="H374" s="5"/>
      <c r="I374" s="3"/>
      <c r="J374" s="3"/>
      <c r="K374" s="3" t="s">
        <v>244</v>
      </c>
      <c r="L374" s="44">
        <v>44607.0</v>
      </c>
      <c r="M374" s="150">
        <v>0.5868171296296296</v>
      </c>
      <c r="N374" s="5"/>
      <c r="O374" s="5"/>
      <c r="P374" s="10" t="b">
        <v>0</v>
      </c>
      <c r="Q374" s="10" t="s">
        <v>2184</v>
      </c>
      <c r="R374" s="144" t="b">
        <v>1</v>
      </c>
      <c r="S374" s="144">
        <v>1.0</v>
      </c>
      <c r="T374" s="10"/>
      <c r="U374" s="5"/>
      <c r="V374" s="3"/>
      <c r="W374" s="5"/>
      <c r="X374" s="144" t="b">
        <v>0</v>
      </c>
      <c r="Y374" s="10" t="b">
        <v>0</v>
      </c>
      <c r="Z374" s="3"/>
      <c r="AA374" s="10" t="b">
        <v>0</v>
      </c>
      <c r="AB374" s="10" t="b">
        <v>0</v>
      </c>
      <c r="AC374" s="181">
        <v>391.0</v>
      </c>
      <c r="AD374" s="144" t="b">
        <v>0</v>
      </c>
      <c r="AE374" s="182">
        <v>363.79999999999995</v>
      </c>
      <c r="AF374" s="10" t="b">
        <v>0</v>
      </c>
      <c r="AG374" s="10" t="b">
        <v>0</v>
      </c>
      <c r="AH374" s="144"/>
      <c r="AI374" s="3"/>
      <c r="AJ374" s="10"/>
      <c r="AK374" s="3" t="s">
        <v>244</v>
      </c>
      <c r="AL374" s="5"/>
      <c r="AM374" s="5" t="s">
        <v>1290</v>
      </c>
      <c r="AN374" s="5" t="s">
        <v>1291</v>
      </c>
      <c r="AO374" s="5" t="s">
        <v>2185</v>
      </c>
      <c r="AP374" s="5" t="s">
        <v>2185</v>
      </c>
      <c r="AQ374" s="5" t="s">
        <v>2185</v>
      </c>
      <c r="AR374" s="5" t="s">
        <v>2185</v>
      </c>
      <c r="AS374" s="142"/>
      <c r="AT374" s="142" t="b">
        <v>0</v>
      </c>
      <c r="AU374" s="142"/>
      <c r="AV374" s="142"/>
      <c r="AW374" s="142"/>
      <c r="AX374" s="142"/>
      <c r="AY374" s="142"/>
      <c r="AZ374" s="174"/>
      <c r="BA374" s="142"/>
      <c r="BB374" s="142"/>
      <c r="BC374" s="142"/>
      <c r="BD374" s="142"/>
      <c r="BE374" s="142"/>
      <c r="BF374" s="142"/>
      <c r="BG374" s="142"/>
    </row>
    <row r="375">
      <c r="A375" s="5" t="s">
        <v>1293</v>
      </c>
      <c r="B375" s="44">
        <v>44607.0</v>
      </c>
      <c r="C375" s="150">
        <v>0.33814814814814814</v>
      </c>
      <c r="D375" s="3"/>
      <c r="E375" s="3"/>
      <c r="F375" s="5"/>
      <c r="G375" s="5"/>
      <c r="H375" s="5"/>
      <c r="I375" s="3"/>
      <c r="J375" s="3"/>
      <c r="K375" s="3" t="s">
        <v>244</v>
      </c>
      <c r="L375" s="44">
        <v>44607.0</v>
      </c>
      <c r="M375" s="150">
        <v>0.5868171296296296</v>
      </c>
      <c r="N375" s="5"/>
      <c r="O375" s="5"/>
      <c r="P375" s="10" t="b">
        <v>0</v>
      </c>
      <c r="Q375" s="10" t="s">
        <v>2184</v>
      </c>
      <c r="R375" s="144" t="b">
        <v>1</v>
      </c>
      <c r="S375" s="144">
        <v>1.0</v>
      </c>
      <c r="T375" s="10"/>
      <c r="U375" s="5"/>
      <c r="V375" s="3"/>
      <c r="W375" s="5"/>
      <c r="X375" s="144" t="b">
        <v>0</v>
      </c>
      <c r="Y375" s="10" t="b">
        <v>0</v>
      </c>
      <c r="Z375" s="3"/>
      <c r="AA375" s="10" t="b">
        <v>0</v>
      </c>
      <c r="AB375" s="10" t="b">
        <v>0</v>
      </c>
      <c r="AC375" s="181">
        <v>390.0</v>
      </c>
      <c r="AD375" s="144" t="b">
        <v>0</v>
      </c>
      <c r="AE375" s="182">
        <v>358.0833333333333</v>
      </c>
      <c r="AF375" s="10" t="b">
        <v>0</v>
      </c>
      <c r="AG375" s="10" t="b">
        <v>0</v>
      </c>
      <c r="AH375" s="144"/>
      <c r="AI375" s="3"/>
      <c r="AJ375" s="10"/>
      <c r="AK375" s="3" t="s">
        <v>244</v>
      </c>
      <c r="AL375" s="5"/>
      <c r="AM375" s="5" t="s">
        <v>1294</v>
      </c>
      <c r="AN375" s="5" t="s">
        <v>1295</v>
      </c>
      <c r="AO375" s="5" t="s">
        <v>2185</v>
      </c>
      <c r="AP375" s="5" t="s">
        <v>2185</v>
      </c>
      <c r="AQ375" s="5" t="s">
        <v>2185</v>
      </c>
      <c r="AR375" s="5" t="s">
        <v>2185</v>
      </c>
      <c r="AS375" s="142"/>
      <c r="AT375" s="142" t="b">
        <v>0</v>
      </c>
      <c r="AU375" s="142"/>
      <c r="AV375" s="142"/>
      <c r="AW375" s="142"/>
      <c r="AX375" s="142"/>
      <c r="AY375" s="142"/>
      <c r="AZ375" s="174"/>
      <c r="BA375" s="142"/>
      <c r="BB375" s="142"/>
      <c r="BC375" s="142"/>
      <c r="BD375" s="142"/>
      <c r="BE375" s="142"/>
      <c r="BF375" s="142"/>
      <c r="BG375" s="142"/>
    </row>
    <row r="376">
      <c r="A376" s="5" t="s">
        <v>1297</v>
      </c>
      <c r="B376" s="44">
        <v>44607.0</v>
      </c>
      <c r="C376" s="150">
        <v>0.34164351851851854</v>
      </c>
      <c r="D376" s="3"/>
      <c r="E376" s="3"/>
      <c r="F376" s="5"/>
      <c r="G376" s="5"/>
      <c r="H376" s="5"/>
      <c r="I376" s="3"/>
      <c r="J376" s="3"/>
      <c r="K376" s="3" t="s">
        <v>244</v>
      </c>
      <c r="L376" s="44">
        <v>44607.0</v>
      </c>
      <c r="M376" s="150">
        <v>0.5868171296296296</v>
      </c>
      <c r="N376" s="5"/>
      <c r="O376" s="5"/>
      <c r="P376" s="10" t="b">
        <v>0</v>
      </c>
      <c r="Q376" s="10" t="s">
        <v>2184</v>
      </c>
      <c r="R376" s="144" t="b">
        <v>1</v>
      </c>
      <c r="S376" s="144">
        <v>1.0</v>
      </c>
      <c r="T376" s="10"/>
      <c r="U376" s="5"/>
      <c r="V376" s="3"/>
      <c r="W376" s="5"/>
      <c r="X376" s="144" t="b">
        <v>0</v>
      </c>
      <c r="Y376" s="10" t="b">
        <v>0</v>
      </c>
      <c r="Z376" s="3"/>
      <c r="AA376" s="10" t="b">
        <v>0</v>
      </c>
      <c r="AB376" s="10" t="b">
        <v>0</v>
      </c>
      <c r="AC376" s="181">
        <v>389.0</v>
      </c>
      <c r="AD376" s="144" t="b">
        <v>0</v>
      </c>
      <c r="AE376" s="182">
        <v>353.04999999999995</v>
      </c>
      <c r="AF376" s="10" t="b">
        <v>0</v>
      </c>
      <c r="AG376" s="10" t="b">
        <v>0</v>
      </c>
      <c r="AH376" s="144"/>
      <c r="AI376" s="3"/>
      <c r="AJ376" s="10"/>
      <c r="AK376" s="3" t="s">
        <v>244</v>
      </c>
      <c r="AL376" s="5"/>
      <c r="AM376" s="5" t="s">
        <v>1298</v>
      </c>
      <c r="AN376" s="5" t="s">
        <v>1299</v>
      </c>
      <c r="AO376" s="5" t="s">
        <v>2185</v>
      </c>
      <c r="AP376" s="5" t="s">
        <v>2185</v>
      </c>
      <c r="AQ376" s="5" t="s">
        <v>2185</v>
      </c>
      <c r="AR376" s="5" t="s">
        <v>2185</v>
      </c>
      <c r="AS376" s="142"/>
      <c r="AT376" s="142" t="b">
        <v>0</v>
      </c>
      <c r="AU376" s="142"/>
      <c r="AV376" s="142"/>
      <c r="AW376" s="142"/>
      <c r="AX376" s="142"/>
      <c r="AY376" s="142"/>
      <c r="AZ376" s="174"/>
      <c r="BA376" s="142"/>
      <c r="BB376" s="142"/>
      <c r="BC376" s="142"/>
      <c r="BD376" s="142"/>
      <c r="BE376" s="142"/>
      <c r="BF376" s="142"/>
      <c r="BG376" s="142"/>
    </row>
    <row r="377">
      <c r="A377" s="5" t="s">
        <v>1301</v>
      </c>
      <c r="B377" s="44">
        <v>44607.0</v>
      </c>
      <c r="C377" s="150">
        <v>0.3449537037037037</v>
      </c>
      <c r="D377" s="3"/>
      <c r="E377" s="3"/>
      <c r="F377" s="5"/>
      <c r="G377" s="5"/>
      <c r="H377" s="5"/>
      <c r="I377" s="3"/>
      <c r="J377" s="3"/>
      <c r="K377" s="3" t="s">
        <v>244</v>
      </c>
      <c r="L377" s="44">
        <v>44607.0</v>
      </c>
      <c r="M377" s="150">
        <v>0.5868171296296296</v>
      </c>
      <c r="N377" s="5"/>
      <c r="O377" s="5"/>
      <c r="P377" s="10" t="b">
        <v>0</v>
      </c>
      <c r="Q377" s="10" t="s">
        <v>2184</v>
      </c>
      <c r="R377" s="144" t="b">
        <v>1</v>
      </c>
      <c r="S377" s="144">
        <v>1.0</v>
      </c>
      <c r="T377" s="10"/>
      <c r="U377" s="5"/>
      <c r="V377" s="3"/>
      <c r="W377" s="5"/>
      <c r="X377" s="144" t="b">
        <v>0</v>
      </c>
      <c r="Y377" s="10" t="b">
        <v>0</v>
      </c>
      <c r="Z377" s="3"/>
      <c r="AA377" s="10" t="b">
        <v>0</v>
      </c>
      <c r="AB377" s="10" t="b">
        <v>0</v>
      </c>
      <c r="AC377" s="181">
        <v>388.0</v>
      </c>
      <c r="AD377" s="144" t="b">
        <v>0</v>
      </c>
      <c r="AE377" s="182">
        <v>348.2833333333333</v>
      </c>
      <c r="AF377" s="10" t="b">
        <v>0</v>
      </c>
      <c r="AG377" s="10" t="b">
        <v>0</v>
      </c>
      <c r="AH377" s="144"/>
      <c r="AI377" s="3"/>
      <c r="AJ377" s="10"/>
      <c r="AK377" s="3" t="s">
        <v>244</v>
      </c>
      <c r="AL377" s="5"/>
      <c r="AM377" s="5" t="s">
        <v>457</v>
      </c>
      <c r="AN377" s="5" t="s">
        <v>458</v>
      </c>
      <c r="AO377" s="5" t="s">
        <v>2185</v>
      </c>
      <c r="AP377" s="5" t="s">
        <v>2185</v>
      </c>
      <c r="AQ377" s="5" t="s">
        <v>2185</v>
      </c>
      <c r="AR377" s="5" t="s">
        <v>2185</v>
      </c>
      <c r="AS377" s="142"/>
      <c r="AT377" s="142" t="b">
        <v>0</v>
      </c>
      <c r="AU377" s="142"/>
      <c r="AV377" s="142"/>
      <c r="AW377" s="142"/>
      <c r="AX377" s="142"/>
      <c r="AY377" s="142"/>
      <c r="AZ377" s="174"/>
      <c r="BA377" s="142"/>
      <c r="BB377" s="142"/>
      <c r="BC377" s="142"/>
      <c r="BD377" s="142"/>
      <c r="BE377" s="142"/>
      <c r="BF377" s="142"/>
      <c r="BG377" s="142"/>
    </row>
    <row r="378">
      <c r="A378" s="5" t="s">
        <v>1303</v>
      </c>
      <c r="B378" s="44">
        <v>44607.0</v>
      </c>
      <c r="C378" s="150">
        <v>0.3477546296296296</v>
      </c>
      <c r="D378" s="3"/>
      <c r="E378" s="3"/>
      <c r="F378" s="5"/>
      <c r="G378" s="5"/>
      <c r="H378" s="5"/>
      <c r="I378" s="3"/>
      <c r="J378" s="3"/>
      <c r="K378" s="3" t="s">
        <v>244</v>
      </c>
      <c r="L378" s="44">
        <v>44607.0</v>
      </c>
      <c r="M378" s="150">
        <v>0.5868171296296296</v>
      </c>
      <c r="N378" s="5"/>
      <c r="O378" s="5"/>
      <c r="P378" s="10" t="b">
        <v>0</v>
      </c>
      <c r="Q378" s="10" t="s">
        <v>2184</v>
      </c>
      <c r="R378" s="144" t="b">
        <v>1</v>
      </c>
      <c r="S378" s="144">
        <v>1.0</v>
      </c>
      <c r="T378" s="10"/>
      <c r="U378" s="5"/>
      <c r="V378" s="3"/>
      <c r="W378" s="5"/>
      <c r="X378" s="144" t="b">
        <v>0</v>
      </c>
      <c r="Y378" s="10" t="b">
        <v>0</v>
      </c>
      <c r="Z378" s="3"/>
      <c r="AA378" s="10" t="b">
        <v>0</v>
      </c>
      <c r="AB378" s="10" t="b">
        <v>0</v>
      </c>
      <c r="AC378" s="181">
        <v>387.0</v>
      </c>
      <c r="AD378" s="144" t="b">
        <v>0</v>
      </c>
      <c r="AE378" s="182">
        <v>344.25000000000006</v>
      </c>
      <c r="AF378" s="10" t="b">
        <v>0</v>
      </c>
      <c r="AG378" s="10" t="b">
        <v>0</v>
      </c>
      <c r="AH378" s="144"/>
      <c r="AI378" s="3"/>
      <c r="AJ378" s="10"/>
      <c r="AK378" s="3" t="s">
        <v>244</v>
      </c>
      <c r="AL378" s="5"/>
      <c r="AM378" s="5" t="s">
        <v>436</v>
      </c>
      <c r="AN378" s="5" t="s">
        <v>437</v>
      </c>
      <c r="AO378" s="5" t="s">
        <v>2185</v>
      </c>
      <c r="AP378" s="5" t="s">
        <v>2185</v>
      </c>
      <c r="AQ378" s="5" t="s">
        <v>2185</v>
      </c>
      <c r="AR378" s="5" t="s">
        <v>2185</v>
      </c>
      <c r="AS378" s="142"/>
      <c r="AT378" s="142" t="b">
        <v>0</v>
      </c>
      <c r="AU378" s="142"/>
      <c r="AV378" s="142"/>
      <c r="AW378" s="142"/>
      <c r="AX378" s="142"/>
      <c r="AY378" s="142"/>
      <c r="AZ378" s="174"/>
      <c r="BA378" s="142"/>
      <c r="BB378" s="142"/>
      <c r="BC378" s="142"/>
      <c r="BD378" s="142"/>
      <c r="BE378" s="142"/>
      <c r="BF378" s="142"/>
      <c r="BG378" s="142"/>
    </row>
    <row r="379">
      <c r="A379" s="5" t="s">
        <v>1305</v>
      </c>
      <c r="B379" s="44">
        <v>44607.0</v>
      </c>
      <c r="C379" s="150">
        <v>0.3717361111111111</v>
      </c>
      <c r="D379" s="3"/>
      <c r="E379" s="3"/>
      <c r="F379" s="5"/>
      <c r="G379" s="5"/>
      <c r="H379" s="5"/>
      <c r="I379" s="3"/>
      <c r="J379" s="3"/>
      <c r="K379" s="3" t="s">
        <v>244</v>
      </c>
      <c r="L379" s="44">
        <v>44607.0</v>
      </c>
      <c r="M379" s="150">
        <v>0.5868171296296296</v>
      </c>
      <c r="N379" s="5"/>
      <c r="O379" s="5"/>
      <c r="P379" s="10" t="b">
        <v>0</v>
      </c>
      <c r="Q379" s="10" t="s">
        <v>2184</v>
      </c>
      <c r="R379" s="144" t="b">
        <v>1</v>
      </c>
      <c r="S379" s="144">
        <v>1.0</v>
      </c>
      <c r="T379" s="10"/>
      <c r="U379" s="5"/>
      <c r="V379" s="3"/>
      <c r="W379" s="5"/>
      <c r="X379" s="144" t="b">
        <v>0</v>
      </c>
      <c r="Y379" s="10" t="b">
        <v>0</v>
      </c>
      <c r="Z379" s="3"/>
      <c r="AA379" s="10" t="b">
        <v>0</v>
      </c>
      <c r="AB379" s="10" t="b">
        <v>0</v>
      </c>
      <c r="AC379" s="181">
        <v>386.0</v>
      </c>
      <c r="AD379" s="144" t="b">
        <v>0</v>
      </c>
      <c r="AE379" s="182">
        <v>309.71666666666664</v>
      </c>
      <c r="AF379" s="10" t="b">
        <v>0</v>
      </c>
      <c r="AG379" s="10" t="b">
        <v>0</v>
      </c>
      <c r="AH379" s="144"/>
      <c r="AI379" s="3"/>
      <c r="AJ379" s="10"/>
      <c r="AK379" s="3" t="s">
        <v>244</v>
      </c>
      <c r="AL379" s="5"/>
      <c r="AM379" s="5" t="s">
        <v>1306</v>
      </c>
      <c r="AN379" s="5" t="s">
        <v>1307</v>
      </c>
      <c r="AO379" s="5" t="s">
        <v>2185</v>
      </c>
      <c r="AP379" s="5" t="s">
        <v>2185</v>
      </c>
      <c r="AQ379" s="5" t="s">
        <v>2185</v>
      </c>
      <c r="AR379" s="5" t="s">
        <v>2185</v>
      </c>
      <c r="AS379" s="142"/>
      <c r="AT379" s="142" t="b">
        <v>0</v>
      </c>
      <c r="AU379" s="142"/>
      <c r="AV379" s="142"/>
      <c r="AW379" s="142"/>
      <c r="AX379" s="142"/>
      <c r="AY379" s="142"/>
      <c r="AZ379" s="174"/>
      <c r="BA379" s="142"/>
      <c r="BB379" s="142"/>
      <c r="BC379" s="142"/>
      <c r="BD379" s="142"/>
      <c r="BE379" s="142"/>
      <c r="BF379" s="142"/>
      <c r="BG379" s="142"/>
    </row>
    <row r="380">
      <c r="A380" s="5" t="s">
        <v>1309</v>
      </c>
      <c r="B380" s="44">
        <v>44607.0</v>
      </c>
      <c r="C380" s="150">
        <v>0.3924884259259259</v>
      </c>
      <c r="D380" s="3"/>
      <c r="E380" s="3"/>
      <c r="F380" s="5"/>
      <c r="G380" s="5"/>
      <c r="H380" s="5"/>
      <c r="I380" s="3"/>
      <c r="J380" s="3"/>
      <c r="K380" s="3" t="s">
        <v>244</v>
      </c>
      <c r="L380" s="44">
        <v>44607.0</v>
      </c>
      <c r="M380" s="150">
        <v>0.5868171296296296</v>
      </c>
      <c r="N380" s="5"/>
      <c r="O380" s="5"/>
      <c r="P380" s="10" t="b">
        <v>0</v>
      </c>
      <c r="Q380" s="10" t="s">
        <v>2184</v>
      </c>
      <c r="R380" s="144" t="b">
        <v>0</v>
      </c>
      <c r="S380" s="144">
        <v>4.0</v>
      </c>
      <c r="T380" s="10"/>
      <c r="U380" s="5"/>
      <c r="V380" s="3"/>
      <c r="W380" s="5"/>
      <c r="X380" s="144" t="b">
        <v>0</v>
      </c>
      <c r="Y380" s="10" t="b">
        <v>0</v>
      </c>
      <c r="Z380" s="3"/>
      <c r="AA380" s="10" t="b">
        <v>0</v>
      </c>
      <c r="AB380" s="10" t="b">
        <v>0</v>
      </c>
      <c r="AC380" s="181">
        <v>384.0</v>
      </c>
      <c r="AD380" s="144" t="b">
        <v>0</v>
      </c>
      <c r="AE380" s="182">
        <v>279.8333333333333</v>
      </c>
      <c r="AF380" s="10" t="b">
        <v>0</v>
      </c>
      <c r="AG380" s="10" t="b">
        <v>0</v>
      </c>
      <c r="AH380" s="144"/>
      <c r="AI380" s="3"/>
      <c r="AJ380" s="10"/>
      <c r="AK380" s="3" t="s">
        <v>244</v>
      </c>
      <c r="AL380" s="5"/>
      <c r="AM380" s="5" t="s">
        <v>1313</v>
      </c>
      <c r="AN380" s="5" t="s">
        <v>1295</v>
      </c>
      <c r="AO380" s="5" t="s">
        <v>2185</v>
      </c>
      <c r="AP380" s="5" t="s">
        <v>2185</v>
      </c>
      <c r="AQ380" s="5" t="s">
        <v>2185</v>
      </c>
      <c r="AR380" s="5" t="s">
        <v>2185</v>
      </c>
      <c r="AS380" s="142"/>
      <c r="AT380" s="142" t="b">
        <v>0</v>
      </c>
      <c r="AU380" s="142"/>
      <c r="AV380" s="142"/>
      <c r="AW380" s="142"/>
      <c r="AX380" s="142"/>
      <c r="AY380" s="142"/>
      <c r="AZ380" s="174"/>
      <c r="BA380" s="142"/>
      <c r="BB380" s="142"/>
      <c r="BC380" s="142"/>
      <c r="BD380" s="142"/>
      <c r="BE380" s="142"/>
      <c r="BF380" s="142"/>
      <c r="BG380" s="142"/>
    </row>
    <row r="381">
      <c r="A381" s="5" t="s">
        <v>1315</v>
      </c>
      <c r="B381" s="44">
        <v>44607.0</v>
      </c>
      <c r="C381" s="150">
        <v>0.5372106481481481</v>
      </c>
      <c r="D381" s="3"/>
      <c r="E381" s="3"/>
      <c r="F381" s="5"/>
      <c r="G381" s="5"/>
      <c r="H381" s="5"/>
      <c r="I381" s="3"/>
      <c r="J381" s="3"/>
      <c r="K381" s="3" t="s">
        <v>254</v>
      </c>
      <c r="L381" s="44"/>
      <c r="M381" s="150"/>
      <c r="N381" s="5"/>
      <c r="O381" s="5"/>
      <c r="P381" s="10" t="b">
        <v>0</v>
      </c>
      <c r="Q381" s="10" t="s">
        <v>2188</v>
      </c>
      <c r="R381" s="144" t="b">
        <v>1</v>
      </c>
      <c r="S381" s="144">
        <v>1.0</v>
      </c>
      <c r="T381" s="10">
        <v>0.0</v>
      </c>
      <c r="U381" s="5"/>
      <c r="V381" s="3"/>
      <c r="W381" s="5"/>
      <c r="X381" s="144" t="b">
        <v>0</v>
      </c>
      <c r="Y381" s="10" t="b">
        <v>0</v>
      </c>
      <c r="Z381" s="3"/>
      <c r="AA381" s="10" t="b">
        <v>0</v>
      </c>
      <c r="AB381" s="10" t="b">
        <v>0</v>
      </c>
      <c r="AC381" s="181">
        <v>381.0</v>
      </c>
      <c r="AD381" s="144" t="b">
        <v>0</v>
      </c>
      <c r="AE381" s="182"/>
      <c r="AF381" s="10" t="b">
        <v>0</v>
      </c>
      <c r="AG381" s="10" t="b">
        <v>0</v>
      </c>
      <c r="AH381" s="144"/>
      <c r="AI381" s="3"/>
      <c r="AJ381" s="10">
        <v>2.0</v>
      </c>
      <c r="AK381" s="3" t="s">
        <v>244</v>
      </c>
      <c r="AL381" s="5"/>
      <c r="AM381" s="5" t="s">
        <v>261</v>
      </c>
      <c r="AN381" s="5" t="s">
        <v>1143</v>
      </c>
      <c r="AO381" s="5" t="s">
        <v>2185</v>
      </c>
      <c r="AP381" s="5" t="s">
        <v>2185</v>
      </c>
      <c r="AQ381" s="5" t="s">
        <v>2185</v>
      </c>
      <c r="AR381" s="5" t="s">
        <v>2185</v>
      </c>
      <c r="AS381" s="142"/>
      <c r="AT381" s="142" t="b">
        <v>0</v>
      </c>
      <c r="AU381" s="142"/>
      <c r="AV381" s="142"/>
      <c r="AW381" s="142"/>
      <c r="AX381" s="142"/>
      <c r="AY381" s="142"/>
      <c r="AZ381" s="174"/>
      <c r="BA381" s="142"/>
      <c r="BB381" s="142"/>
      <c r="BC381" s="142"/>
      <c r="BD381" s="142"/>
      <c r="BE381" s="142"/>
      <c r="BF381" s="142"/>
      <c r="BG381" s="142"/>
    </row>
    <row r="382">
      <c r="A382" s="5" t="s">
        <v>1317</v>
      </c>
      <c r="B382" s="44">
        <v>44609.0</v>
      </c>
      <c r="C382" s="150">
        <v>0.28282407407407406</v>
      </c>
      <c r="D382" s="3"/>
      <c r="E382" s="3"/>
      <c r="F382" s="5"/>
      <c r="G382" s="5"/>
      <c r="H382" s="5"/>
      <c r="I382" s="3"/>
      <c r="J382" s="3"/>
      <c r="K382" s="3" t="s">
        <v>244</v>
      </c>
      <c r="L382" s="44">
        <v>44611.0</v>
      </c>
      <c r="M382" s="150">
        <v>0.3895601851851852</v>
      </c>
      <c r="N382" s="5"/>
      <c r="O382" s="5"/>
      <c r="P382" s="10" t="b">
        <v>0</v>
      </c>
      <c r="Q382" s="10" t="s">
        <v>2184</v>
      </c>
      <c r="R382" s="144" t="b">
        <v>1</v>
      </c>
      <c r="S382" s="144">
        <v>1.0</v>
      </c>
      <c r="T382" s="10"/>
      <c r="U382" s="5"/>
      <c r="V382" s="3"/>
      <c r="W382" s="5"/>
      <c r="X382" s="144" t="b">
        <v>0</v>
      </c>
      <c r="Y382" s="10" t="b">
        <v>0</v>
      </c>
      <c r="Z382" s="3"/>
      <c r="AA382" s="10" t="b">
        <v>0</v>
      </c>
      <c r="AB382" s="10" t="b">
        <v>0</v>
      </c>
      <c r="AC382" s="181">
        <v>380.0</v>
      </c>
      <c r="AD382" s="144" t="b">
        <v>0</v>
      </c>
      <c r="AE382" s="182"/>
      <c r="AF382" s="10" t="b">
        <v>0</v>
      </c>
      <c r="AG382" s="10" t="b">
        <v>0</v>
      </c>
      <c r="AH382" s="144"/>
      <c r="AI382" s="3"/>
      <c r="AJ382" s="10"/>
      <c r="AK382" s="3" t="s">
        <v>244</v>
      </c>
      <c r="AL382" s="5"/>
      <c r="AM382" s="5" t="s">
        <v>390</v>
      </c>
      <c r="AN382" s="5" t="s">
        <v>391</v>
      </c>
      <c r="AO382" s="5" t="s">
        <v>2185</v>
      </c>
      <c r="AP382" s="5" t="s">
        <v>2185</v>
      </c>
      <c r="AQ382" s="5" t="s">
        <v>2185</v>
      </c>
      <c r="AR382" s="5" t="s">
        <v>2185</v>
      </c>
      <c r="AS382" s="142"/>
      <c r="AT382" s="142" t="b">
        <v>0</v>
      </c>
      <c r="AU382" s="142"/>
      <c r="AV382" s="142"/>
      <c r="AW382" s="142"/>
      <c r="AX382" s="142"/>
      <c r="AY382" s="142"/>
      <c r="AZ382" s="174"/>
      <c r="BA382" s="142"/>
      <c r="BB382" s="142"/>
      <c r="BC382" s="142"/>
      <c r="BD382" s="142"/>
      <c r="BE382" s="142"/>
      <c r="BF382" s="142"/>
      <c r="BG382" s="142"/>
    </row>
    <row r="383">
      <c r="A383" s="5" t="s">
        <v>1319</v>
      </c>
      <c r="B383" s="44">
        <v>44609.0</v>
      </c>
      <c r="C383" s="150">
        <v>0.29255787037037034</v>
      </c>
      <c r="D383" s="3"/>
      <c r="E383" s="3"/>
      <c r="F383" s="5"/>
      <c r="G383" s="5"/>
      <c r="H383" s="5"/>
      <c r="I383" s="3"/>
      <c r="J383" s="3"/>
      <c r="K383" s="3" t="s">
        <v>244</v>
      </c>
      <c r="L383" s="44">
        <v>44611.0</v>
      </c>
      <c r="M383" s="150">
        <v>0.3895601851851852</v>
      </c>
      <c r="N383" s="5"/>
      <c r="O383" s="5"/>
      <c r="P383" s="10" t="b">
        <v>0</v>
      </c>
      <c r="Q383" s="10" t="s">
        <v>2184</v>
      </c>
      <c r="R383" s="144" t="b">
        <v>1</v>
      </c>
      <c r="S383" s="144">
        <v>1.0</v>
      </c>
      <c r="T383" s="10"/>
      <c r="U383" s="5"/>
      <c r="V383" s="3"/>
      <c r="W383" s="5"/>
      <c r="X383" s="144" t="b">
        <v>0</v>
      </c>
      <c r="Y383" s="10" t="b">
        <v>0</v>
      </c>
      <c r="Z383" s="3"/>
      <c r="AA383" s="10" t="b">
        <v>0</v>
      </c>
      <c r="AB383" s="10" t="b">
        <v>0</v>
      </c>
      <c r="AC383" s="181">
        <v>376.0</v>
      </c>
      <c r="AD383" s="144" t="b">
        <v>0</v>
      </c>
      <c r="AE383" s="182"/>
      <c r="AF383" s="10" t="b">
        <v>0</v>
      </c>
      <c r="AG383" s="10" t="b">
        <v>0</v>
      </c>
      <c r="AH383" s="144"/>
      <c r="AI383" s="3"/>
      <c r="AJ383" s="10"/>
      <c r="AK383" s="3" t="s">
        <v>244</v>
      </c>
      <c r="AL383" s="5"/>
      <c r="AM383" s="5" t="s">
        <v>806</v>
      </c>
      <c r="AN383" s="5" t="s">
        <v>807</v>
      </c>
      <c r="AO383" s="5" t="s">
        <v>2185</v>
      </c>
      <c r="AP383" s="5" t="s">
        <v>2185</v>
      </c>
      <c r="AQ383" s="5" t="s">
        <v>2185</v>
      </c>
      <c r="AR383" s="5" t="s">
        <v>2185</v>
      </c>
      <c r="AS383" s="142"/>
      <c r="AT383" s="142" t="b">
        <v>0</v>
      </c>
      <c r="AU383" s="142"/>
      <c r="AV383" s="142"/>
      <c r="AW383" s="142"/>
      <c r="AX383" s="142"/>
      <c r="AY383" s="142"/>
      <c r="AZ383" s="174"/>
      <c r="BA383" s="142"/>
      <c r="BB383" s="142"/>
      <c r="BC383" s="142"/>
      <c r="BD383" s="142"/>
      <c r="BE383" s="142"/>
      <c r="BF383" s="142"/>
      <c r="BG383" s="142"/>
    </row>
    <row r="384">
      <c r="A384" s="5" t="s">
        <v>1321</v>
      </c>
      <c r="B384" s="44">
        <v>44609.0</v>
      </c>
      <c r="C384" s="150">
        <v>0.2935185185185185</v>
      </c>
      <c r="D384" s="3"/>
      <c r="E384" s="3"/>
      <c r="F384" s="5"/>
      <c r="G384" s="5"/>
      <c r="H384" s="5"/>
      <c r="I384" s="3"/>
      <c r="J384" s="3"/>
      <c r="K384" s="3" t="s">
        <v>244</v>
      </c>
      <c r="L384" s="44">
        <v>44611.0</v>
      </c>
      <c r="M384" s="150">
        <v>0.3895601851851852</v>
      </c>
      <c r="N384" s="5"/>
      <c r="O384" s="5"/>
      <c r="P384" s="10" t="b">
        <v>0</v>
      </c>
      <c r="Q384" s="10" t="s">
        <v>2184</v>
      </c>
      <c r="R384" s="144" t="b">
        <v>1</v>
      </c>
      <c r="S384" s="144">
        <v>1.0</v>
      </c>
      <c r="T384" s="10">
        <v>0.0</v>
      </c>
      <c r="U384" s="5"/>
      <c r="V384" s="3"/>
      <c r="W384" s="5"/>
      <c r="X384" s="144" t="b">
        <v>0</v>
      </c>
      <c r="Y384" s="10" t="b">
        <v>0</v>
      </c>
      <c r="Z384" s="3"/>
      <c r="AA384" s="10" t="b">
        <v>0</v>
      </c>
      <c r="AB384" s="10" t="b">
        <v>0</v>
      </c>
      <c r="AC384" s="181">
        <v>379.0</v>
      </c>
      <c r="AD384" s="144" t="b">
        <v>0</v>
      </c>
      <c r="AE384" s="182"/>
      <c r="AF384" s="10" t="b">
        <v>0</v>
      </c>
      <c r="AG384" s="10" t="b">
        <v>0</v>
      </c>
      <c r="AH384" s="144"/>
      <c r="AI384" s="3"/>
      <c r="AJ384" s="10"/>
      <c r="AK384" s="3" t="s">
        <v>244</v>
      </c>
      <c r="AL384" s="5"/>
      <c r="AM384" s="5" t="s">
        <v>261</v>
      </c>
      <c r="AN384" s="5" t="s">
        <v>708</v>
      </c>
      <c r="AO384" s="5" t="s">
        <v>2185</v>
      </c>
      <c r="AP384" s="5" t="s">
        <v>2185</v>
      </c>
      <c r="AQ384" s="5" t="s">
        <v>2185</v>
      </c>
      <c r="AR384" s="5" t="s">
        <v>2185</v>
      </c>
      <c r="AS384" s="142"/>
      <c r="AT384" s="142" t="b">
        <v>0</v>
      </c>
      <c r="AU384" s="142"/>
      <c r="AV384" s="142"/>
      <c r="AW384" s="142"/>
      <c r="AX384" s="142"/>
      <c r="AY384" s="142"/>
      <c r="AZ384" s="174"/>
      <c r="BA384" s="142"/>
      <c r="BB384" s="142"/>
      <c r="BC384" s="142"/>
      <c r="BD384" s="142"/>
      <c r="BE384" s="142"/>
      <c r="BF384" s="142"/>
      <c r="BG384" s="142"/>
    </row>
    <row r="385">
      <c r="A385" s="5" t="s">
        <v>1323</v>
      </c>
      <c r="B385" s="44">
        <v>44609.0</v>
      </c>
      <c r="C385" s="150">
        <v>0.2938541666666667</v>
      </c>
      <c r="D385" s="3"/>
      <c r="E385" s="3"/>
      <c r="F385" s="5"/>
      <c r="G385" s="5"/>
      <c r="H385" s="5"/>
      <c r="I385" s="3"/>
      <c r="J385" s="3"/>
      <c r="K385" s="3" t="s">
        <v>244</v>
      </c>
      <c r="L385" s="44">
        <v>44611.0</v>
      </c>
      <c r="M385" s="150">
        <v>0.3895601851851852</v>
      </c>
      <c r="N385" s="5"/>
      <c r="O385" s="5"/>
      <c r="P385" s="10" t="b">
        <v>0</v>
      </c>
      <c r="Q385" s="10" t="s">
        <v>2184</v>
      </c>
      <c r="R385" s="144" t="b">
        <v>1</v>
      </c>
      <c r="S385" s="144">
        <v>1.0</v>
      </c>
      <c r="T385" s="10">
        <v>0.0</v>
      </c>
      <c r="U385" s="5"/>
      <c r="V385" s="3"/>
      <c r="W385" s="5"/>
      <c r="X385" s="144" t="b">
        <v>0</v>
      </c>
      <c r="Y385" s="10" t="b">
        <v>0</v>
      </c>
      <c r="Z385" s="3"/>
      <c r="AA385" s="10" t="b">
        <v>0</v>
      </c>
      <c r="AB385" s="10" t="b">
        <v>0</v>
      </c>
      <c r="AC385" s="181">
        <v>378.0</v>
      </c>
      <c r="AD385" s="144" t="b">
        <v>0</v>
      </c>
      <c r="AE385" s="182"/>
      <c r="AF385" s="10" t="b">
        <v>0</v>
      </c>
      <c r="AG385" s="10" t="b">
        <v>0</v>
      </c>
      <c r="AH385" s="144"/>
      <c r="AI385" s="3"/>
      <c r="AJ385" s="10"/>
      <c r="AK385" s="3" t="s">
        <v>244</v>
      </c>
      <c r="AL385" s="5"/>
      <c r="AM385" s="5" t="s">
        <v>261</v>
      </c>
      <c r="AN385" s="5" t="s">
        <v>913</v>
      </c>
      <c r="AO385" s="5" t="s">
        <v>2185</v>
      </c>
      <c r="AP385" s="5" t="s">
        <v>2185</v>
      </c>
      <c r="AQ385" s="5" t="s">
        <v>2185</v>
      </c>
      <c r="AR385" s="5" t="s">
        <v>2185</v>
      </c>
      <c r="AS385" s="142"/>
      <c r="AT385" s="142" t="b">
        <v>0</v>
      </c>
      <c r="AU385" s="142"/>
      <c r="AV385" s="142"/>
      <c r="AW385" s="142"/>
      <c r="AX385" s="142"/>
      <c r="AY385" s="142"/>
      <c r="AZ385" s="174"/>
      <c r="BA385" s="142"/>
      <c r="BB385" s="142"/>
      <c r="BC385" s="142"/>
      <c r="BD385" s="142"/>
      <c r="BE385" s="142"/>
      <c r="BF385" s="142"/>
      <c r="BG385" s="142"/>
    </row>
    <row r="386">
      <c r="A386" s="5" t="s">
        <v>1325</v>
      </c>
      <c r="B386" s="44">
        <v>44609.0</v>
      </c>
      <c r="C386" s="150">
        <v>0.2951736111111111</v>
      </c>
      <c r="D386" s="3"/>
      <c r="E386" s="3"/>
      <c r="F386" s="5"/>
      <c r="G386" s="5"/>
      <c r="H386" s="5"/>
      <c r="I386" s="3"/>
      <c r="J386" s="3"/>
      <c r="K386" s="3" t="s">
        <v>244</v>
      </c>
      <c r="L386" s="44">
        <v>44611.0</v>
      </c>
      <c r="M386" s="150">
        <v>0.3895601851851852</v>
      </c>
      <c r="N386" s="5"/>
      <c r="O386" s="5"/>
      <c r="P386" s="10" t="b">
        <v>0</v>
      </c>
      <c r="Q386" s="10" t="s">
        <v>2184</v>
      </c>
      <c r="R386" s="144" t="b">
        <v>1</v>
      </c>
      <c r="S386" s="144">
        <v>1.0</v>
      </c>
      <c r="T386" s="10"/>
      <c r="U386" s="5"/>
      <c r="V386" s="3"/>
      <c r="W386" s="5"/>
      <c r="X386" s="144" t="b">
        <v>0</v>
      </c>
      <c r="Y386" s="10" t="b">
        <v>0</v>
      </c>
      <c r="Z386" s="3"/>
      <c r="AA386" s="10" t="b">
        <v>0</v>
      </c>
      <c r="AB386" s="10" t="b">
        <v>0</v>
      </c>
      <c r="AC386" s="181">
        <v>377.0</v>
      </c>
      <c r="AD386" s="144" t="b">
        <v>0</v>
      </c>
      <c r="AE386" s="182"/>
      <c r="AF386" s="10" t="b">
        <v>0</v>
      </c>
      <c r="AG386" s="10" t="b">
        <v>0</v>
      </c>
      <c r="AH386" s="144"/>
      <c r="AI386" s="3"/>
      <c r="AJ386" s="10"/>
      <c r="AK386" s="3" t="s">
        <v>244</v>
      </c>
      <c r="AL386" s="5"/>
      <c r="AM386" s="5" t="s">
        <v>261</v>
      </c>
      <c r="AN386" s="5" t="s">
        <v>262</v>
      </c>
      <c r="AO386" s="5" t="s">
        <v>2185</v>
      </c>
      <c r="AP386" s="5" t="s">
        <v>2185</v>
      </c>
      <c r="AQ386" s="5" t="s">
        <v>2185</v>
      </c>
      <c r="AR386" s="5" t="s">
        <v>2185</v>
      </c>
      <c r="AS386" s="142"/>
      <c r="AT386" s="142" t="b">
        <v>0</v>
      </c>
      <c r="AU386" s="142"/>
      <c r="AV386" s="142"/>
      <c r="AW386" s="142"/>
      <c r="AX386" s="142"/>
      <c r="AY386" s="142"/>
      <c r="AZ386" s="174"/>
      <c r="BA386" s="142"/>
      <c r="BB386" s="142"/>
      <c r="BC386" s="142"/>
      <c r="BD386" s="142"/>
      <c r="BE386" s="142"/>
      <c r="BF386" s="142"/>
      <c r="BG386" s="142"/>
    </row>
    <row r="387">
      <c r="A387" s="5" t="s">
        <v>1327</v>
      </c>
      <c r="B387" s="44">
        <v>44609.0</v>
      </c>
      <c r="C387" s="150">
        <v>0.3042824074074074</v>
      </c>
      <c r="D387" s="3"/>
      <c r="E387" s="3"/>
      <c r="F387" s="5"/>
      <c r="G387" s="5"/>
      <c r="H387" s="5"/>
      <c r="I387" s="3"/>
      <c r="J387" s="3"/>
      <c r="K387" s="3" t="s">
        <v>244</v>
      </c>
      <c r="L387" s="44">
        <v>44611.0</v>
      </c>
      <c r="M387" s="150">
        <v>0.3895601851851852</v>
      </c>
      <c r="N387" s="5"/>
      <c r="O387" s="5"/>
      <c r="P387" s="10" t="b">
        <v>0</v>
      </c>
      <c r="Q387" s="10" t="s">
        <v>2184</v>
      </c>
      <c r="R387" s="144" t="b">
        <v>1</v>
      </c>
      <c r="S387" s="144">
        <v>1.0</v>
      </c>
      <c r="T387" s="10"/>
      <c r="U387" s="5"/>
      <c r="V387" s="3"/>
      <c r="W387" s="5"/>
      <c r="X387" s="144" t="b">
        <v>0</v>
      </c>
      <c r="Y387" s="10" t="b">
        <v>0</v>
      </c>
      <c r="Z387" s="3"/>
      <c r="AA387" s="10" t="b">
        <v>0</v>
      </c>
      <c r="AB387" s="10" t="b">
        <v>0</v>
      </c>
      <c r="AC387" s="181">
        <v>375.0</v>
      </c>
      <c r="AD387" s="144" t="b">
        <v>0</v>
      </c>
      <c r="AE387" s="182"/>
      <c r="AF387" s="10" t="b">
        <v>0</v>
      </c>
      <c r="AG387" s="10" t="b">
        <v>0</v>
      </c>
      <c r="AH387" s="144"/>
      <c r="AI387" s="3"/>
      <c r="AJ387" s="10"/>
      <c r="AK387" s="3" t="s">
        <v>244</v>
      </c>
      <c r="AL387" s="5"/>
      <c r="AM387" s="5" t="s">
        <v>299</v>
      </c>
      <c r="AN387" s="5" t="s">
        <v>300</v>
      </c>
      <c r="AO387" s="5" t="s">
        <v>2185</v>
      </c>
      <c r="AP387" s="5" t="s">
        <v>2185</v>
      </c>
      <c r="AQ387" s="5" t="s">
        <v>2185</v>
      </c>
      <c r="AR387" s="5" t="s">
        <v>2185</v>
      </c>
      <c r="AS387" s="142"/>
      <c r="AT387" s="142" t="b">
        <v>0</v>
      </c>
      <c r="AU387" s="142"/>
      <c r="AV387" s="142"/>
      <c r="AW387" s="142"/>
      <c r="AX387" s="142"/>
      <c r="AY387" s="142"/>
      <c r="AZ387" s="174"/>
      <c r="BA387" s="142"/>
      <c r="BB387" s="142"/>
      <c r="BC387" s="142"/>
      <c r="BD387" s="142"/>
      <c r="BE387" s="142"/>
      <c r="BF387" s="142"/>
      <c r="BG387" s="142"/>
    </row>
    <row r="388">
      <c r="A388" s="5" t="s">
        <v>1329</v>
      </c>
      <c r="B388" s="44">
        <v>44609.0</v>
      </c>
      <c r="C388" s="150">
        <v>0.3059953703703704</v>
      </c>
      <c r="D388" s="3"/>
      <c r="E388" s="3"/>
      <c r="F388" s="5"/>
      <c r="G388" s="5"/>
      <c r="H388" s="5"/>
      <c r="I388" s="3"/>
      <c r="J388" s="3"/>
      <c r="K388" s="3" t="s">
        <v>244</v>
      </c>
      <c r="L388" s="44">
        <v>44611.0</v>
      </c>
      <c r="M388" s="150">
        <v>0.38957175925925924</v>
      </c>
      <c r="N388" s="5"/>
      <c r="O388" s="5"/>
      <c r="P388" s="10" t="b">
        <v>0</v>
      </c>
      <c r="Q388" s="10" t="s">
        <v>2184</v>
      </c>
      <c r="R388" s="144" t="b">
        <v>1</v>
      </c>
      <c r="S388" s="144">
        <v>1.0</v>
      </c>
      <c r="T388" s="10"/>
      <c r="U388" s="5"/>
      <c r="V388" s="3"/>
      <c r="W388" s="5"/>
      <c r="X388" s="144" t="b">
        <v>0</v>
      </c>
      <c r="Y388" s="10" t="b">
        <v>0</v>
      </c>
      <c r="Z388" s="3"/>
      <c r="AA388" s="10" t="b">
        <v>0</v>
      </c>
      <c r="AB388" s="10" t="b">
        <v>0</v>
      </c>
      <c r="AC388" s="181">
        <v>374.0</v>
      </c>
      <c r="AD388" s="144" t="b">
        <v>0</v>
      </c>
      <c r="AE388" s="182"/>
      <c r="AF388" s="10" t="b">
        <v>0</v>
      </c>
      <c r="AG388" s="10" t="b">
        <v>0</v>
      </c>
      <c r="AH388" s="144"/>
      <c r="AI388" s="3"/>
      <c r="AJ388" s="10"/>
      <c r="AK388" s="3" t="s">
        <v>244</v>
      </c>
      <c r="AL388" s="5"/>
      <c r="AM388" s="5" t="s">
        <v>491</v>
      </c>
      <c r="AN388" s="5" t="s">
        <v>495</v>
      </c>
      <c r="AO388" s="5" t="s">
        <v>2185</v>
      </c>
      <c r="AP388" s="5" t="s">
        <v>2185</v>
      </c>
      <c r="AQ388" s="5" t="s">
        <v>2185</v>
      </c>
      <c r="AR388" s="5" t="s">
        <v>2185</v>
      </c>
      <c r="AS388" s="142"/>
      <c r="AT388" s="142" t="b">
        <v>0</v>
      </c>
      <c r="AU388" s="142"/>
      <c r="AV388" s="142"/>
      <c r="AW388" s="142"/>
      <c r="AX388" s="142"/>
      <c r="AY388" s="142"/>
      <c r="AZ388" s="174"/>
      <c r="BA388" s="142"/>
      <c r="BB388" s="142"/>
      <c r="BC388" s="142"/>
      <c r="BD388" s="142"/>
      <c r="BE388" s="142"/>
      <c r="BF388" s="142"/>
      <c r="BG388" s="142"/>
    </row>
    <row r="389">
      <c r="A389" s="5" t="s">
        <v>1331</v>
      </c>
      <c r="B389" s="44">
        <v>44609.0</v>
      </c>
      <c r="C389" s="150">
        <v>0.3083680555555556</v>
      </c>
      <c r="D389" s="3"/>
      <c r="E389" s="3"/>
      <c r="F389" s="5"/>
      <c r="G389" s="5"/>
      <c r="H389" s="5"/>
      <c r="I389" s="3"/>
      <c r="J389" s="3"/>
      <c r="K389" s="3" t="s">
        <v>244</v>
      </c>
      <c r="L389" s="44">
        <v>44611.0</v>
      </c>
      <c r="M389" s="150">
        <v>0.38957175925925924</v>
      </c>
      <c r="N389" s="5"/>
      <c r="O389" s="5"/>
      <c r="P389" s="10" t="b">
        <v>0</v>
      </c>
      <c r="Q389" s="10" t="s">
        <v>2184</v>
      </c>
      <c r="R389" s="144" t="b">
        <v>1</v>
      </c>
      <c r="S389" s="144">
        <v>1.0</v>
      </c>
      <c r="T389" s="10"/>
      <c r="U389" s="5"/>
      <c r="V389" s="3"/>
      <c r="W389" s="5"/>
      <c r="X389" s="144" t="b">
        <v>0</v>
      </c>
      <c r="Y389" s="10" t="b">
        <v>0</v>
      </c>
      <c r="Z389" s="3"/>
      <c r="AA389" s="10" t="b">
        <v>0</v>
      </c>
      <c r="AB389" s="10" t="b">
        <v>0</v>
      </c>
      <c r="AC389" s="181">
        <v>373.0</v>
      </c>
      <c r="AD389" s="144" t="b">
        <v>0</v>
      </c>
      <c r="AE389" s="182"/>
      <c r="AF389" s="10" t="b">
        <v>0</v>
      </c>
      <c r="AG389" s="10" t="b">
        <v>0</v>
      </c>
      <c r="AH389" s="144"/>
      <c r="AI389" s="3"/>
      <c r="AJ389" s="10"/>
      <c r="AK389" s="3" t="s">
        <v>244</v>
      </c>
      <c r="AL389" s="5"/>
      <c r="AM389" s="5" t="s">
        <v>291</v>
      </c>
      <c r="AN389" s="5" t="s">
        <v>292</v>
      </c>
      <c r="AO389" s="5" t="s">
        <v>2185</v>
      </c>
      <c r="AP389" s="5" t="s">
        <v>2185</v>
      </c>
      <c r="AQ389" s="5" t="s">
        <v>2185</v>
      </c>
      <c r="AR389" s="5" t="s">
        <v>2185</v>
      </c>
      <c r="AS389" s="142"/>
      <c r="AT389" s="142" t="b">
        <v>0</v>
      </c>
      <c r="AU389" s="142"/>
      <c r="AV389" s="142"/>
      <c r="AW389" s="142"/>
      <c r="AX389" s="142"/>
      <c r="AY389" s="142"/>
      <c r="AZ389" s="174"/>
      <c r="BA389" s="142"/>
      <c r="BB389" s="142"/>
      <c r="BC389" s="142"/>
      <c r="BD389" s="142"/>
      <c r="BE389" s="142"/>
      <c r="BF389" s="142"/>
      <c r="BG389" s="142"/>
    </row>
    <row r="390">
      <c r="A390" s="5" t="s">
        <v>1333</v>
      </c>
      <c r="B390" s="44">
        <v>44609.0</v>
      </c>
      <c r="C390" s="150">
        <v>0.3095833333333333</v>
      </c>
      <c r="D390" s="3"/>
      <c r="E390" s="3"/>
      <c r="F390" s="5"/>
      <c r="G390" s="5"/>
      <c r="H390" s="5"/>
      <c r="I390" s="3"/>
      <c r="J390" s="3"/>
      <c r="K390" s="3" t="s">
        <v>244</v>
      </c>
      <c r="L390" s="44">
        <v>44611.0</v>
      </c>
      <c r="M390" s="150">
        <v>0.38957175925925924</v>
      </c>
      <c r="N390" s="5"/>
      <c r="O390" s="5"/>
      <c r="P390" s="10" t="b">
        <v>0</v>
      </c>
      <c r="Q390" s="10" t="s">
        <v>2184</v>
      </c>
      <c r="R390" s="144" t="b">
        <v>1</v>
      </c>
      <c r="S390" s="144">
        <v>1.0</v>
      </c>
      <c r="T390" s="10"/>
      <c r="U390" s="5"/>
      <c r="V390" s="3"/>
      <c r="W390" s="5"/>
      <c r="X390" s="144" t="b">
        <v>0</v>
      </c>
      <c r="Y390" s="10" t="b">
        <v>0</v>
      </c>
      <c r="Z390" s="3"/>
      <c r="AA390" s="10" t="b">
        <v>0</v>
      </c>
      <c r="AB390" s="10" t="b">
        <v>0</v>
      </c>
      <c r="AC390" s="181">
        <v>372.0</v>
      </c>
      <c r="AD390" s="144" t="b">
        <v>0</v>
      </c>
      <c r="AE390" s="182"/>
      <c r="AF390" s="10" t="b">
        <v>0</v>
      </c>
      <c r="AG390" s="10" t="b">
        <v>0</v>
      </c>
      <c r="AH390" s="144"/>
      <c r="AI390" s="3"/>
      <c r="AJ390" s="10"/>
      <c r="AK390" s="3" t="s">
        <v>244</v>
      </c>
      <c r="AL390" s="5"/>
      <c r="AM390" s="5" t="s">
        <v>1334</v>
      </c>
      <c r="AN390" s="5" t="s">
        <v>1335</v>
      </c>
      <c r="AO390" s="5" t="s">
        <v>2185</v>
      </c>
      <c r="AP390" s="5" t="s">
        <v>2185</v>
      </c>
      <c r="AQ390" s="5" t="s">
        <v>2185</v>
      </c>
      <c r="AR390" s="5" t="s">
        <v>2185</v>
      </c>
      <c r="AS390" s="142"/>
      <c r="AT390" s="142" t="b">
        <v>0</v>
      </c>
      <c r="AU390" s="142"/>
      <c r="AV390" s="142"/>
      <c r="AW390" s="142"/>
      <c r="AX390" s="142"/>
      <c r="AY390" s="142"/>
      <c r="AZ390" s="174"/>
      <c r="BA390" s="142"/>
      <c r="BB390" s="142"/>
      <c r="BC390" s="142"/>
      <c r="BD390" s="142"/>
      <c r="BE390" s="142"/>
      <c r="BF390" s="142"/>
      <c r="BG390" s="142"/>
    </row>
    <row r="391">
      <c r="A391" s="5" t="s">
        <v>1337</v>
      </c>
      <c r="B391" s="44">
        <v>44609.0</v>
      </c>
      <c r="C391" s="150">
        <v>0.3115625</v>
      </c>
      <c r="D391" s="3"/>
      <c r="E391" s="3"/>
      <c r="F391" s="5"/>
      <c r="G391" s="5"/>
      <c r="H391" s="5"/>
      <c r="I391" s="3"/>
      <c r="J391" s="3"/>
      <c r="K391" s="3" t="s">
        <v>244</v>
      </c>
      <c r="L391" s="44">
        <v>44611.0</v>
      </c>
      <c r="M391" s="150">
        <v>0.38957175925925924</v>
      </c>
      <c r="N391" s="5"/>
      <c r="O391" s="5"/>
      <c r="P391" s="10" t="b">
        <v>0</v>
      </c>
      <c r="Q391" s="10" t="s">
        <v>2184</v>
      </c>
      <c r="R391" s="144" t="b">
        <v>1</v>
      </c>
      <c r="S391" s="144">
        <v>1.0</v>
      </c>
      <c r="T391" s="10"/>
      <c r="U391" s="5"/>
      <c r="V391" s="3"/>
      <c r="W391" s="5"/>
      <c r="X391" s="144" t="b">
        <v>0</v>
      </c>
      <c r="Y391" s="10" t="b">
        <v>0</v>
      </c>
      <c r="Z391" s="3"/>
      <c r="AA391" s="10" t="b">
        <v>0</v>
      </c>
      <c r="AB391" s="10" t="b">
        <v>0</v>
      </c>
      <c r="AC391" s="181">
        <v>371.0</v>
      </c>
      <c r="AD391" s="144" t="b">
        <v>0</v>
      </c>
      <c r="AE391" s="182"/>
      <c r="AF391" s="10" t="b">
        <v>0</v>
      </c>
      <c r="AG391" s="10" t="b">
        <v>0</v>
      </c>
      <c r="AH391" s="144"/>
      <c r="AI391" s="3"/>
      <c r="AJ391" s="10"/>
      <c r="AK391" s="3" t="s">
        <v>244</v>
      </c>
      <c r="AL391" s="5"/>
      <c r="AM391" s="5" t="s">
        <v>356</v>
      </c>
      <c r="AN391" s="5" t="s">
        <v>357</v>
      </c>
      <c r="AO391" s="5" t="s">
        <v>2185</v>
      </c>
      <c r="AP391" s="5" t="s">
        <v>2185</v>
      </c>
      <c r="AQ391" s="5" t="s">
        <v>2185</v>
      </c>
      <c r="AR391" s="5" t="s">
        <v>2185</v>
      </c>
      <c r="AS391" s="142"/>
      <c r="AT391" s="142" t="b">
        <v>0</v>
      </c>
      <c r="AU391" s="142"/>
      <c r="AV391" s="142"/>
      <c r="AW391" s="142"/>
      <c r="AX391" s="142"/>
      <c r="AY391" s="142"/>
      <c r="AZ391" s="174"/>
      <c r="BA391" s="142"/>
      <c r="BB391" s="142"/>
      <c r="BC391" s="142"/>
      <c r="BD391" s="142"/>
      <c r="BE391" s="142"/>
      <c r="BF391" s="142"/>
      <c r="BG391" s="142"/>
    </row>
    <row r="392">
      <c r="A392" s="5" t="s">
        <v>1339</v>
      </c>
      <c r="B392" s="44">
        <v>44609.0</v>
      </c>
      <c r="C392" s="150">
        <v>0.31168981481481484</v>
      </c>
      <c r="D392" s="3"/>
      <c r="E392" s="3"/>
      <c r="F392" s="5"/>
      <c r="G392" s="5"/>
      <c r="H392" s="5"/>
      <c r="I392" s="3"/>
      <c r="J392" s="3"/>
      <c r="K392" s="3" t="s">
        <v>244</v>
      </c>
      <c r="L392" s="44">
        <v>44611.0</v>
      </c>
      <c r="M392" s="150">
        <v>0.38957175925925924</v>
      </c>
      <c r="N392" s="5"/>
      <c r="O392" s="5"/>
      <c r="P392" s="10" t="b">
        <v>0</v>
      </c>
      <c r="Q392" s="10" t="s">
        <v>2184</v>
      </c>
      <c r="R392" s="144" t="b">
        <v>1</v>
      </c>
      <c r="S392" s="144">
        <v>1.0</v>
      </c>
      <c r="T392" s="10"/>
      <c r="U392" s="5"/>
      <c r="V392" s="3"/>
      <c r="W392" s="5"/>
      <c r="X392" s="144" t="b">
        <v>0</v>
      </c>
      <c r="Y392" s="10" t="b">
        <v>0</v>
      </c>
      <c r="Z392" s="3"/>
      <c r="AA392" s="10" t="b">
        <v>0</v>
      </c>
      <c r="AB392" s="10" t="b">
        <v>0</v>
      </c>
      <c r="AC392" s="181">
        <v>370.0</v>
      </c>
      <c r="AD392" s="144" t="b">
        <v>0</v>
      </c>
      <c r="AE392" s="182"/>
      <c r="AF392" s="10" t="b">
        <v>0</v>
      </c>
      <c r="AG392" s="10" t="b">
        <v>0</v>
      </c>
      <c r="AH392" s="144"/>
      <c r="AI392" s="3"/>
      <c r="AJ392" s="10"/>
      <c r="AK392" s="3" t="s">
        <v>244</v>
      </c>
      <c r="AL392" s="5"/>
      <c r="AM392" s="5" t="s">
        <v>857</v>
      </c>
      <c r="AN392" s="5" t="s">
        <v>696</v>
      </c>
      <c r="AO392" s="5" t="s">
        <v>2185</v>
      </c>
      <c r="AP392" s="5" t="s">
        <v>2185</v>
      </c>
      <c r="AQ392" s="5" t="s">
        <v>2185</v>
      </c>
      <c r="AR392" s="5" t="s">
        <v>2185</v>
      </c>
      <c r="AS392" s="142"/>
      <c r="AT392" s="142" t="b">
        <v>0</v>
      </c>
      <c r="AU392" s="142"/>
      <c r="AV392" s="142"/>
      <c r="AW392" s="142"/>
      <c r="AX392" s="142"/>
      <c r="AY392" s="142"/>
      <c r="AZ392" s="174"/>
      <c r="BA392" s="142"/>
      <c r="BB392" s="142"/>
      <c r="BC392" s="142"/>
      <c r="BD392" s="142"/>
      <c r="BE392" s="142"/>
      <c r="BF392" s="142"/>
      <c r="BG392" s="142"/>
    </row>
    <row r="393">
      <c r="A393" s="5" t="s">
        <v>1341</v>
      </c>
      <c r="B393" s="44">
        <v>44609.0</v>
      </c>
      <c r="C393" s="150">
        <v>0.31559027777777776</v>
      </c>
      <c r="D393" s="3"/>
      <c r="E393" s="3"/>
      <c r="F393" s="5"/>
      <c r="G393" s="5"/>
      <c r="H393" s="5"/>
      <c r="I393" s="3"/>
      <c r="J393" s="3"/>
      <c r="K393" s="3" t="s">
        <v>244</v>
      </c>
      <c r="L393" s="44">
        <v>44611.0</v>
      </c>
      <c r="M393" s="150">
        <v>0.38957175925925924</v>
      </c>
      <c r="N393" s="5"/>
      <c r="O393" s="5"/>
      <c r="P393" s="10" t="b">
        <v>0</v>
      </c>
      <c r="Q393" s="10" t="s">
        <v>2184</v>
      </c>
      <c r="R393" s="144" t="b">
        <v>1</v>
      </c>
      <c r="S393" s="144">
        <v>1.0</v>
      </c>
      <c r="T393" s="10"/>
      <c r="U393" s="5"/>
      <c r="V393" s="3"/>
      <c r="W393" s="5"/>
      <c r="X393" s="144" t="b">
        <v>0</v>
      </c>
      <c r="Y393" s="10" t="b">
        <v>0</v>
      </c>
      <c r="Z393" s="3"/>
      <c r="AA393" s="10" t="b">
        <v>0</v>
      </c>
      <c r="AB393" s="10" t="b">
        <v>0</v>
      </c>
      <c r="AC393" s="181">
        <v>369.0</v>
      </c>
      <c r="AD393" s="144" t="b">
        <v>0</v>
      </c>
      <c r="AE393" s="182"/>
      <c r="AF393" s="10" t="b">
        <v>0</v>
      </c>
      <c r="AG393" s="10" t="b">
        <v>0</v>
      </c>
      <c r="AH393" s="144"/>
      <c r="AI393" s="3"/>
      <c r="AJ393" s="10"/>
      <c r="AK393" s="3" t="s">
        <v>244</v>
      </c>
      <c r="AL393" s="5"/>
      <c r="AM393" s="5" t="s">
        <v>1342</v>
      </c>
      <c r="AN393" s="5" t="s">
        <v>1343</v>
      </c>
      <c r="AO393" s="5" t="s">
        <v>2185</v>
      </c>
      <c r="AP393" s="5" t="s">
        <v>2185</v>
      </c>
      <c r="AQ393" s="5" t="s">
        <v>2185</v>
      </c>
      <c r="AR393" s="5" t="s">
        <v>2185</v>
      </c>
      <c r="AS393" s="142"/>
      <c r="AT393" s="142" t="b">
        <v>0</v>
      </c>
      <c r="AU393" s="142"/>
      <c r="AV393" s="142"/>
      <c r="AW393" s="142"/>
      <c r="AX393" s="142"/>
      <c r="AY393" s="142"/>
      <c r="AZ393" s="174"/>
      <c r="BA393" s="142"/>
      <c r="BB393" s="142"/>
      <c r="BC393" s="142"/>
      <c r="BD393" s="142"/>
      <c r="BE393" s="142"/>
      <c r="BF393" s="142"/>
      <c r="BG393" s="142"/>
    </row>
    <row r="394">
      <c r="A394" s="5" t="s">
        <v>1345</v>
      </c>
      <c r="B394" s="44">
        <v>44609.0</v>
      </c>
      <c r="C394" s="150">
        <v>0.3156365740740741</v>
      </c>
      <c r="D394" s="3"/>
      <c r="E394" s="3"/>
      <c r="F394" s="5"/>
      <c r="G394" s="5"/>
      <c r="H394" s="5"/>
      <c r="I394" s="3"/>
      <c r="J394" s="3"/>
      <c r="K394" s="3" t="s">
        <v>244</v>
      </c>
      <c r="L394" s="44">
        <v>44611.0</v>
      </c>
      <c r="M394" s="150">
        <v>0.38957175925925924</v>
      </c>
      <c r="N394" s="5"/>
      <c r="O394" s="5"/>
      <c r="P394" s="10" t="b">
        <v>0</v>
      </c>
      <c r="Q394" s="10" t="s">
        <v>2184</v>
      </c>
      <c r="R394" s="144" t="b">
        <v>1</v>
      </c>
      <c r="S394" s="144">
        <v>1.0</v>
      </c>
      <c r="T394" s="10"/>
      <c r="U394" s="5"/>
      <c r="V394" s="3"/>
      <c r="W394" s="5"/>
      <c r="X394" s="144" t="b">
        <v>0</v>
      </c>
      <c r="Y394" s="10" t="b">
        <v>0</v>
      </c>
      <c r="Z394" s="3"/>
      <c r="AA394" s="10" t="b">
        <v>0</v>
      </c>
      <c r="AB394" s="10" t="b">
        <v>0</v>
      </c>
      <c r="AC394" s="181">
        <v>368.0</v>
      </c>
      <c r="AD394" s="144" t="b">
        <v>0</v>
      </c>
      <c r="AE394" s="182"/>
      <c r="AF394" s="10" t="b">
        <v>0</v>
      </c>
      <c r="AG394" s="10" t="b">
        <v>0</v>
      </c>
      <c r="AH394" s="144"/>
      <c r="AI394" s="3"/>
      <c r="AJ394" s="10"/>
      <c r="AK394" s="3" t="s">
        <v>244</v>
      </c>
      <c r="AL394" s="5"/>
      <c r="AM394" s="5" t="s">
        <v>295</v>
      </c>
      <c r="AN394" s="5" t="s">
        <v>296</v>
      </c>
      <c r="AO394" s="5" t="s">
        <v>2185</v>
      </c>
      <c r="AP394" s="5" t="s">
        <v>2185</v>
      </c>
      <c r="AQ394" s="5" t="s">
        <v>2185</v>
      </c>
      <c r="AR394" s="5" t="s">
        <v>2185</v>
      </c>
      <c r="AS394" s="142"/>
      <c r="AT394" s="142" t="b">
        <v>0</v>
      </c>
      <c r="AU394" s="142"/>
      <c r="AV394" s="142"/>
      <c r="AW394" s="142"/>
      <c r="AX394" s="142"/>
      <c r="AY394" s="142"/>
      <c r="AZ394" s="174"/>
      <c r="BA394" s="142"/>
      <c r="BB394" s="142"/>
      <c r="BC394" s="142"/>
      <c r="BD394" s="142"/>
      <c r="BE394" s="142"/>
      <c r="BF394" s="142"/>
      <c r="BG394" s="142"/>
    </row>
    <row r="395">
      <c r="A395" s="5" t="s">
        <v>1347</v>
      </c>
      <c r="B395" s="44">
        <v>44609.0</v>
      </c>
      <c r="C395" s="150">
        <v>0.31603009259259257</v>
      </c>
      <c r="D395" s="3"/>
      <c r="E395" s="3"/>
      <c r="F395" s="5"/>
      <c r="G395" s="5"/>
      <c r="H395" s="5"/>
      <c r="I395" s="3"/>
      <c r="J395" s="3"/>
      <c r="K395" s="3" t="s">
        <v>244</v>
      </c>
      <c r="L395" s="44">
        <v>44611.0</v>
      </c>
      <c r="M395" s="150">
        <v>0.38957175925925924</v>
      </c>
      <c r="N395" s="5"/>
      <c r="O395" s="5"/>
      <c r="P395" s="10" t="b">
        <v>0</v>
      </c>
      <c r="Q395" s="10" t="s">
        <v>2184</v>
      </c>
      <c r="R395" s="144" t="b">
        <v>1</v>
      </c>
      <c r="S395" s="144">
        <v>1.0</v>
      </c>
      <c r="T395" s="10"/>
      <c r="U395" s="5"/>
      <c r="V395" s="3"/>
      <c r="W395" s="5"/>
      <c r="X395" s="144" t="b">
        <v>0</v>
      </c>
      <c r="Y395" s="10" t="b">
        <v>0</v>
      </c>
      <c r="Z395" s="3"/>
      <c r="AA395" s="10" t="b">
        <v>0</v>
      </c>
      <c r="AB395" s="10" t="b">
        <v>0</v>
      </c>
      <c r="AC395" s="181">
        <v>367.0</v>
      </c>
      <c r="AD395" s="144" t="b">
        <v>0</v>
      </c>
      <c r="AE395" s="182"/>
      <c r="AF395" s="10" t="b">
        <v>0</v>
      </c>
      <c r="AG395" s="10" t="b">
        <v>0</v>
      </c>
      <c r="AH395" s="144"/>
      <c r="AI395" s="3"/>
      <c r="AJ395" s="10"/>
      <c r="AK395" s="3" t="s">
        <v>244</v>
      </c>
      <c r="AL395" s="5"/>
      <c r="AM395" s="5" t="s">
        <v>362</v>
      </c>
      <c r="AN395" s="5" t="s">
        <v>363</v>
      </c>
      <c r="AO395" s="5" t="s">
        <v>2185</v>
      </c>
      <c r="AP395" s="5" t="s">
        <v>2185</v>
      </c>
      <c r="AQ395" s="5" t="s">
        <v>2185</v>
      </c>
      <c r="AR395" s="5" t="s">
        <v>2185</v>
      </c>
      <c r="AS395" s="142"/>
      <c r="AT395" s="142" t="b">
        <v>0</v>
      </c>
      <c r="AU395" s="142"/>
      <c r="AV395" s="142"/>
      <c r="AW395" s="142"/>
      <c r="AX395" s="142"/>
      <c r="AY395" s="142"/>
      <c r="AZ395" s="174"/>
      <c r="BA395" s="142"/>
      <c r="BB395" s="142"/>
      <c r="BC395" s="142"/>
      <c r="BD395" s="142"/>
      <c r="BE395" s="142"/>
      <c r="BF395" s="142"/>
      <c r="BG395" s="142"/>
    </row>
    <row r="396">
      <c r="A396" s="5" t="s">
        <v>1349</v>
      </c>
      <c r="B396" s="44">
        <v>44609.0</v>
      </c>
      <c r="C396" s="150">
        <v>0.31753472222222223</v>
      </c>
      <c r="D396" s="3"/>
      <c r="E396" s="3"/>
      <c r="F396" s="5"/>
      <c r="G396" s="5"/>
      <c r="H396" s="5"/>
      <c r="I396" s="3"/>
      <c r="J396" s="3"/>
      <c r="K396" s="3" t="s">
        <v>244</v>
      </c>
      <c r="L396" s="44">
        <v>44611.0</v>
      </c>
      <c r="M396" s="150">
        <v>0.38957175925925924</v>
      </c>
      <c r="N396" s="5"/>
      <c r="O396" s="5"/>
      <c r="P396" s="10" t="b">
        <v>0</v>
      </c>
      <c r="Q396" s="10" t="s">
        <v>2184</v>
      </c>
      <c r="R396" s="144" t="b">
        <v>1</v>
      </c>
      <c r="S396" s="144">
        <v>1.0</v>
      </c>
      <c r="T396" s="10"/>
      <c r="U396" s="5"/>
      <c r="V396" s="3"/>
      <c r="W396" s="5"/>
      <c r="X396" s="144" t="b">
        <v>0</v>
      </c>
      <c r="Y396" s="10" t="b">
        <v>0</v>
      </c>
      <c r="Z396" s="3"/>
      <c r="AA396" s="10" t="b">
        <v>0</v>
      </c>
      <c r="AB396" s="10" t="b">
        <v>0</v>
      </c>
      <c r="AC396" s="181">
        <v>366.0</v>
      </c>
      <c r="AD396" s="144" t="b">
        <v>0</v>
      </c>
      <c r="AE396" s="182"/>
      <c r="AF396" s="10" t="b">
        <v>0</v>
      </c>
      <c r="AG396" s="10" t="b">
        <v>0</v>
      </c>
      <c r="AH396" s="144"/>
      <c r="AI396" s="3"/>
      <c r="AJ396" s="10"/>
      <c r="AK396" s="3" t="s">
        <v>244</v>
      </c>
      <c r="AL396" s="5"/>
      <c r="AM396" s="5" t="s">
        <v>287</v>
      </c>
      <c r="AN396" s="5" t="s">
        <v>288</v>
      </c>
      <c r="AO396" s="5" t="s">
        <v>2185</v>
      </c>
      <c r="AP396" s="5" t="s">
        <v>2185</v>
      </c>
      <c r="AQ396" s="5" t="s">
        <v>2185</v>
      </c>
      <c r="AR396" s="5" t="s">
        <v>2185</v>
      </c>
      <c r="AS396" s="142"/>
      <c r="AT396" s="142" t="b">
        <v>0</v>
      </c>
      <c r="AU396" s="142"/>
      <c r="AV396" s="142"/>
      <c r="AW396" s="142"/>
      <c r="AX396" s="142"/>
      <c r="AY396" s="142"/>
      <c r="AZ396" s="174"/>
      <c r="BA396" s="142"/>
      <c r="BB396" s="142"/>
      <c r="BC396" s="142"/>
      <c r="BD396" s="142"/>
      <c r="BE396" s="142"/>
      <c r="BF396" s="142"/>
      <c r="BG396" s="142"/>
    </row>
    <row r="397">
      <c r="A397" s="5" t="s">
        <v>1351</v>
      </c>
      <c r="B397" s="44">
        <v>44609.0</v>
      </c>
      <c r="C397" s="150">
        <v>0.31873842592592594</v>
      </c>
      <c r="D397" s="3"/>
      <c r="E397" s="3"/>
      <c r="F397" s="5"/>
      <c r="G397" s="5"/>
      <c r="H397" s="5"/>
      <c r="I397" s="3"/>
      <c r="J397" s="3"/>
      <c r="K397" s="3" t="s">
        <v>244</v>
      </c>
      <c r="L397" s="44">
        <v>44611.0</v>
      </c>
      <c r="M397" s="150">
        <v>0.38957175925925924</v>
      </c>
      <c r="N397" s="5"/>
      <c r="O397" s="5"/>
      <c r="P397" s="10" t="b">
        <v>0</v>
      </c>
      <c r="Q397" s="10" t="s">
        <v>2184</v>
      </c>
      <c r="R397" s="144" t="b">
        <v>1</v>
      </c>
      <c r="S397" s="144">
        <v>1.0</v>
      </c>
      <c r="T397" s="10"/>
      <c r="U397" s="5"/>
      <c r="V397" s="3"/>
      <c r="W397" s="5"/>
      <c r="X397" s="144" t="b">
        <v>0</v>
      </c>
      <c r="Y397" s="10" t="b">
        <v>0</v>
      </c>
      <c r="Z397" s="3"/>
      <c r="AA397" s="10" t="b">
        <v>0</v>
      </c>
      <c r="AB397" s="10" t="b">
        <v>0</v>
      </c>
      <c r="AC397" s="181">
        <v>364.0</v>
      </c>
      <c r="AD397" s="144" t="b">
        <v>0</v>
      </c>
      <c r="AE397" s="182"/>
      <c r="AF397" s="10" t="b">
        <v>0</v>
      </c>
      <c r="AG397" s="10" t="b">
        <v>0</v>
      </c>
      <c r="AH397" s="144"/>
      <c r="AI397" s="3"/>
      <c r="AJ397" s="10"/>
      <c r="AK397" s="3" t="s">
        <v>244</v>
      </c>
      <c r="AL397" s="5"/>
      <c r="AM397" s="5" t="s">
        <v>839</v>
      </c>
      <c r="AN397" s="5" t="s">
        <v>542</v>
      </c>
      <c r="AO397" s="5" t="s">
        <v>2185</v>
      </c>
      <c r="AP397" s="5" t="s">
        <v>2185</v>
      </c>
      <c r="AQ397" s="5" t="s">
        <v>2185</v>
      </c>
      <c r="AR397" s="5" t="s">
        <v>2185</v>
      </c>
      <c r="AS397" s="142"/>
      <c r="AT397" s="142" t="b">
        <v>0</v>
      </c>
      <c r="AU397" s="142"/>
      <c r="AV397" s="142"/>
      <c r="AW397" s="142"/>
      <c r="AX397" s="142"/>
      <c r="AY397" s="142"/>
      <c r="AZ397" s="174"/>
      <c r="BA397" s="142"/>
      <c r="BB397" s="142"/>
      <c r="BC397" s="142"/>
      <c r="BD397" s="142"/>
      <c r="BE397" s="142"/>
      <c r="BF397" s="142"/>
      <c r="BG397" s="142"/>
    </row>
    <row r="398">
      <c r="A398" s="5" t="s">
        <v>1353</v>
      </c>
      <c r="B398" s="44">
        <v>44609.0</v>
      </c>
      <c r="C398" s="150">
        <v>0.3194328703703704</v>
      </c>
      <c r="D398" s="3"/>
      <c r="E398" s="3"/>
      <c r="F398" s="5"/>
      <c r="G398" s="5"/>
      <c r="H398" s="5"/>
      <c r="I398" s="3"/>
      <c r="J398" s="3"/>
      <c r="K398" s="3" t="s">
        <v>244</v>
      </c>
      <c r="L398" s="44">
        <v>44611.0</v>
      </c>
      <c r="M398" s="150">
        <v>0.38957175925925924</v>
      </c>
      <c r="N398" s="5"/>
      <c r="O398" s="5"/>
      <c r="P398" s="10" t="b">
        <v>0</v>
      </c>
      <c r="Q398" s="10" t="s">
        <v>2184</v>
      </c>
      <c r="R398" s="144" t="b">
        <v>1</v>
      </c>
      <c r="S398" s="144">
        <v>1.0</v>
      </c>
      <c r="T398" s="10"/>
      <c r="U398" s="5"/>
      <c r="V398" s="3"/>
      <c r="W398" s="5"/>
      <c r="X398" s="144" t="b">
        <v>0</v>
      </c>
      <c r="Y398" s="10" t="b">
        <v>0</v>
      </c>
      <c r="Z398" s="3"/>
      <c r="AA398" s="10" t="b">
        <v>0</v>
      </c>
      <c r="AB398" s="10" t="b">
        <v>0</v>
      </c>
      <c r="AC398" s="181">
        <v>365.0</v>
      </c>
      <c r="AD398" s="144" t="b">
        <v>0</v>
      </c>
      <c r="AE398" s="182"/>
      <c r="AF398" s="10" t="b">
        <v>0</v>
      </c>
      <c r="AG398" s="10" t="b">
        <v>0</v>
      </c>
      <c r="AH398" s="144"/>
      <c r="AI398" s="3"/>
      <c r="AJ398" s="10"/>
      <c r="AK398" s="3" t="s">
        <v>244</v>
      </c>
      <c r="AL398" s="5"/>
      <c r="AM398" s="5" t="s">
        <v>1354</v>
      </c>
      <c r="AN398" s="5" t="s">
        <v>1355</v>
      </c>
      <c r="AO398" s="5" t="s">
        <v>2185</v>
      </c>
      <c r="AP398" s="5" t="s">
        <v>2185</v>
      </c>
      <c r="AQ398" s="5" t="s">
        <v>2185</v>
      </c>
      <c r="AR398" s="5" t="s">
        <v>2185</v>
      </c>
      <c r="AS398" s="142"/>
      <c r="AT398" s="142" t="b">
        <v>0</v>
      </c>
      <c r="AU398" s="142"/>
      <c r="AV398" s="142"/>
      <c r="AW398" s="142"/>
      <c r="AX398" s="142"/>
      <c r="AY398" s="142"/>
      <c r="AZ398" s="174"/>
      <c r="BA398" s="142"/>
      <c r="BB398" s="142"/>
      <c r="BC398" s="142"/>
      <c r="BD398" s="142"/>
      <c r="BE398" s="142"/>
      <c r="BF398" s="142"/>
      <c r="BG398" s="142"/>
    </row>
    <row r="399">
      <c r="A399" s="5" t="s">
        <v>1357</v>
      </c>
      <c r="B399" s="44">
        <v>44609.0</v>
      </c>
      <c r="C399" s="150">
        <v>0.3199768518518519</v>
      </c>
      <c r="D399" s="3"/>
      <c r="E399" s="3"/>
      <c r="F399" s="5"/>
      <c r="G399" s="5"/>
      <c r="H399" s="5"/>
      <c r="I399" s="3"/>
      <c r="J399" s="3"/>
      <c r="K399" s="3" t="s">
        <v>244</v>
      </c>
      <c r="L399" s="44">
        <v>44611.0</v>
      </c>
      <c r="M399" s="150">
        <v>0.38957175925925924</v>
      </c>
      <c r="N399" s="5"/>
      <c r="O399" s="5"/>
      <c r="P399" s="10" t="b">
        <v>0</v>
      </c>
      <c r="Q399" s="10" t="s">
        <v>2184</v>
      </c>
      <c r="R399" s="144" t="b">
        <v>1</v>
      </c>
      <c r="S399" s="144">
        <v>1.0</v>
      </c>
      <c r="T399" s="10"/>
      <c r="U399" s="5"/>
      <c r="V399" s="3"/>
      <c r="W399" s="5"/>
      <c r="X399" s="144" t="b">
        <v>0</v>
      </c>
      <c r="Y399" s="10" t="b">
        <v>0</v>
      </c>
      <c r="Z399" s="3"/>
      <c r="AA399" s="10" t="b">
        <v>0</v>
      </c>
      <c r="AB399" s="10" t="b">
        <v>0</v>
      </c>
      <c r="AC399" s="181">
        <v>363.0</v>
      </c>
      <c r="AD399" s="144" t="b">
        <v>0</v>
      </c>
      <c r="AE399" s="182"/>
      <c r="AF399" s="10" t="b">
        <v>0</v>
      </c>
      <c r="AG399" s="10" t="b">
        <v>0</v>
      </c>
      <c r="AH399" s="144"/>
      <c r="AI399" s="3"/>
      <c r="AJ399" s="10"/>
      <c r="AK399" s="3" t="s">
        <v>244</v>
      </c>
      <c r="AL399" s="5"/>
      <c r="AM399" s="5" t="s">
        <v>1358</v>
      </c>
      <c r="AN399" s="5" t="s">
        <v>1359</v>
      </c>
      <c r="AO399" s="5" t="s">
        <v>2185</v>
      </c>
      <c r="AP399" s="5" t="s">
        <v>2185</v>
      </c>
      <c r="AQ399" s="5" t="s">
        <v>2185</v>
      </c>
      <c r="AR399" s="5" t="s">
        <v>2185</v>
      </c>
      <c r="AS399" s="142"/>
      <c r="AT399" s="142" t="b">
        <v>0</v>
      </c>
      <c r="AU399" s="142"/>
      <c r="AV399" s="142"/>
      <c r="AW399" s="142"/>
      <c r="AX399" s="142"/>
      <c r="AY399" s="142"/>
      <c r="AZ399" s="174"/>
      <c r="BA399" s="142"/>
      <c r="BB399" s="142"/>
      <c r="BC399" s="142"/>
      <c r="BD399" s="142"/>
      <c r="BE399" s="142"/>
      <c r="BF399" s="142"/>
      <c r="BG399" s="142"/>
    </row>
    <row r="400">
      <c r="A400" s="5" t="s">
        <v>185</v>
      </c>
      <c r="B400" s="44">
        <v>44609.0</v>
      </c>
      <c r="C400" s="150">
        <v>0.3274884259259259</v>
      </c>
      <c r="D400" s="3"/>
      <c r="E400" s="3"/>
      <c r="F400" s="5"/>
      <c r="G400" s="5"/>
      <c r="H400" s="5"/>
      <c r="I400" s="3"/>
      <c r="J400" s="3"/>
      <c r="K400" s="3" t="s">
        <v>244</v>
      </c>
      <c r="L400" s="44">
        <v>44611.0</v>
      </c>
      <c r="M400" s="150">
        <v>0.3895601851851852</v>
      </c>
      <c r="N400" s="5"/>
      <c r="O400" s="5"/>
      <c r="P400" s="10" t="b">
        <v>0</v>
      </c>
      <c r="Q400" s="10" t="s">
        <v>2184</v>
      </c>
      <c r="R400" s="144" t="b">
        <v>1</v>
      </c>
      <c r="S400" s="144">
        <v>1.0</v>
      </c>
      <c r="T400" s="10"/>
      <c r="U400" s="5"/>
      <c r="V400" s="3"/>
      <c r="W400" s="5"/>
      <c r="X400" s="144" t="b">
        <v>0</v>
      </c>
      <c r="Y400" s="10" t="b">
        <v>0</v>
      </c>
      <c r="Z400" s="3"/>
      <c r="AA400" s="10" t="b">
        <v>0</v>
      </c>
      <c r="AB400" s="10" t="b">
        <v>0</v>
      </c>
      <c r="AC400" s="181">
        <v>362.0</v>
      </c>
      <c r="AD400" s="144" t="b">
        <v>0</v>
      </c>
      <c r="AE400" s="182"/>
      <c r="AF400" s="10" t="b">
        <v>0</v>
      </c>
      <c r="AG400" s="10" t="b">
        <v>0</v>
      </c>
      <c r="AH400" s="144"/>
      <c r="AI400" s="3"/>
      <c r="AJ400" s="10">
        <v>4.1</v>
      </c>
      <c r="AK400" s="3" t="s">
        <v>63</v>
      </c>
      <c r="AL400" s="5" t="s">
        <v>1361</v>
      </c>
      <c r="AM400" s="5" t="s">
        <v>762</v>
      </c>
      <c r="AN400" s="5" t="s">
        <v>763</v>
      </c>
      <c r="AO400" s="5" t="s">
        <v>2185</v>
      </c>
      <c r="AP400" s="5" t="s">
        <v>2185</v>
      </c>
      <c r="AQ400" s="5" t="s">
        <v>2185</v>
      </c>
      <c r="AR400" s="5" t="s">
        <v>2185</v>
      </c>
      <c r="AS400" s="142"/>
      <c r="AT400" s="142" t="b">
        <v>0</v>
      </c>
      <c r="AU400" s="142"/>
      <c r="AV400" s="142"/>
      <c r="AW400" s="142"/>
      <c r="AX400" s="142"/>
      <c r="AY400" s="142"/>
      <c r="AZ400" s="174"/>
      <c r="BA400" s="142"/>
      <c r="BB400" s="142"/>
      <c r="BC400" s="142"/>
      <c r="BD400" s="142"/>
      <c r="BE400" s="142"/>
      <c r="BF400" s="142"/>
      <c r="BG400" s="142"/>
    </row>
    <row r="401">
      <c r="A401" s="5" t="s">
        <v>1363</v>
      </c>
      <c r="B401" s="44">
        <v>44609.0</v>
      </c>
      <c r="C401" s="150">
        <v>0.3275578703703704</v>
      </c>
      <c r="D401" s="3"/>
      <c r="E401" s="3"/>
      <c r="F401" s="5"/>
      <c r="G401" s="5"/>
      <c r="H401" s="5"/>
      <c r="I401" s="3"/>
      <c r="J401" s="3"/>
      <c r="K401" s="3" t="s">
        <v>244</v>
      </c>
      <c r="L401" s="44">
        <v>44611.0</v>
      </c>
      <c r="M401" s="150">
        <v>0.38957175925925924</v>
      </c>
      <c r="N401" s="5"/>
      <c r="O401" s="5"/>
      <c r="P401" s="10" t="b">
        <v>0</v>
      </c>
      <c r="Q401" s="10" t="s">
        <v>2184</v>
      </c>
      <c r="R401" s="144" t="b">
        <v>1</v>
      </c>
      <c r="S401" s="144">
        <v>1.0</v>
      </c>
      <c r="T401" s="10"/>
      <c r="U401" s="5"/>
      <c r="V401" s="3"/>
      <c r="W401" s="5"/>
      <c r="X401" s="144" t="b">
        <v>0</v>
      </c>
      <c r="Y401" s="10" t="b">
        <v>0</v>
      </c>
      <c r="Z401" s="3"/>
      <c r="AA401" s="10" t="b">
        <v>0</v>
      </c>
      <c r="AB401" s="10" t="b">
        <v>0</v>
      </c>
      <c r="AC401" s="181">
        <v>361.0</v>
      </c>
      <c r="AD401" s="144" t="b">
        <v>0</v>
      </c>
      <c r="AE401" s="182"/>
      <c r="AF401" s="10" t="b">
        <v>0</v>
      </c>
      <c r="AG401" s="10" t="b">
        <v>0</v>
      </c>
      <c r="AH401" s="144"/>
      <c r="AI401" s="3"/>
      <c r="AJ401" s="10"/>
      <c r="AK401" s="3" t="s">
        <v>244</v>
      </c>
      <c r="AL401" s="5"/>
      <c r="AM401" s="5" t="s">
        <v>307</v>
      </c>
      <c r="AN401" s="5" t="s">
        <v>266</v>
      </c>
      <c r="AO401" s="5" t="s">
        <v>2185</v>
      </c>
      <c r="AP401" s="5" t="s">
        <v>2185</v>
      </c>
      <c r="AQ401" s="5" t="s">
        <v>2185</v>
      </c>
      <c r="AR401" s="5" t="s">
        <v>2185</v>
      </c>
      <c r="AS401" s="142"/>
      <c r="AT401" s="142" t="b">
        <v>0</v>
      </c>
      <c r="AU401" s="142"/>
      <c r="AV401" s="142"/>
      <c r="AW401" s="142"/>
      <c r="AX401" s="142"/>
      <c r="AY401" s="142"/>
      <c r="AZ401" s="174"/>
      <c r="BA401" s="142"/>
      <c r="BB401" s="142"/>
      <c r="BC401" s="142"/>
      <c r="BD401" s="142"/>
      <c r="BE401" s="142"/>
      <c r="BF401" s="142"/>
      <c r="BG401" s="142"/>
    </row>
    <row r="402">
      <c r="A402" s="5" t="s">
        <v>1365</v>
      </c>
      <c r="B402" s="44">
        <v>44609.0</v>
      </c>
      <c r="C402" s="150">
        <v>0.32760416666666664</v>
      </c>
      <c r="D402" s="3"/>
      <c r="E402" s="3"/>
      <c r="F402" s="5"/>
      <c r="G402" s="5"/>
      <c r="H402" s="5"/>
      <c r="I402" s="3"/>
      <c r="J402" s="3"/>
      <c r="K402" s="3" t="s">
        <v>244</v>
      </c>
      <c r="L402" s="44">
        <v>44611.0</v>
      </c>
      <c r="M402" s="150">
        <v>0.38958333333333334</v>
      </c>
      <c r="N402" s="5"/>
      <c r="O402" s="5"/>
      <c r="P402" s="10" t="b">
        <v>0</v>
      </c>
      <c r="Q402" s="10" t="s">
        <v>2184</v>
      </c>
      <c r="R402" s="144" t="b">
        <v>1</v>
      </c>
      <c r="S402" s="144">
        <v>1.0</v>
      </c>
      <c r="T402" s="10"/>
      <c r="U402" s="5"/>
      <c r="V402" s="3"/>
      <c r="W402" s="5"/>
      <c r="X402" s="144" t="b">
        <v>0</v>
      </c>
      <c r="Y402" s="10" t="b">
        <v>0</v>
      </c>
      <c r="Z402" s="3"/>
      <c r="AA402" s="10" t="b">
        <v>0</v>
      </c>
      <c r="AB402" s="10" t="b">
        <v>0</v>
      </c>
      <c r="AC402" s="181">
        <v>360.0</v>
      </c>
      <c r="AD402" s="144" t="b">
        <v>0</v>
      </c>
      <c r="AE402" s="182"/>
      <c r="AF402" s="10" t="b">
        <v>0</v>
      </c>
      <c r="AG402" s="10" t="b">
        <v>0</v>
      </c>
      <c r="AH402" s="144"/>
      <c r="AI402" s="3"/>
      <c r="AJ402" s="10"/>
      <c r="AK402" s="3" t="s">
        <v>244</v>
      </c>
      <c r="AL402" s="5"/>
      <c r="AM402" s="5" t="s">
        <v>303</v>
      </c>
      <c r="AN402" s="5" t="s">
        <v>304</v>
      </c>
      <c r="AO402" s="5" t="s">
        <v>2185</v>
      </c>
      <c r="AP402" s="5" t="s">
        <v>2185</v>
      </c>
      <c r="AQ402" s="5" t="s">
        <v>2185</v>
      </c>
      <c r="AR402" s="5" t="s">
        <v>2185</v>
      </c>
      <c r="AS402" s="142"/>
      <c r="AT402" s="142" t="b">
        <v>0</v>
      </c>
      <c r="AU402" s="142"/>
      <c r="AV402" s="142"/>
      <c r="AW402" s="142"/>
      <c r="AX402" s="142"/>
      <c r="AY402" s="142"/>
      <c r="AZ402" s="174"/>
      <c r="BA402" s="142"/>
      <c r="BB402" s="142"/>
      <c r="BC402" s="142"/>
      <c r="BD402" s="142"/>
      <c r="BE402" s="142"/>
      <c r="BF402" s="142"/>
      <c r="BG402" s="142"/>
    </row>
    <row r="403">
      <c r="A403" s="5" t="s">
        <v>1367</v>
      </c>
      <c r="B403" s="44">
        <v>44609.0</v>
      </c>
      <c r="C403" s="150">
        <v>0.32766203703703706</v>
      </c>
      <c r="D403" s="3"/>
      <c r="E403" s="3"/>
      <c r="F403" s="5"/>
      <c r="G403" s="5"/>
      <c r="H403" s="5"/>
      <c r="I403" s="3"/>
      <c r="J403" s="3"/>
      <c r="K403" s="3" t="s">
        <v>244</v>
      </c>
      <c r="L403" s="44">
        <v>44611.0</v>
      </c>
      <c r="M403" s="150">
        <v>0.38958333333333334</v>
      </c>
      <c r="N403" s="5"/>
      <c r="O403" s="5"/>
      <c r="P403" s="10" t="b">
        <v>0</v>
      </c>
      <c r="Q403" s="10" t="s">
        <v>2184</v>
      </c>
      <c r="R403" s="144" t="b">
        <v>1</v>
      </c>
      <c r="S403" s="144">
        <v>1.0</v>
      </c>
      <c r="T403" s="10"/>
      <c r="U403" s="5"/>
      <c r="V403" s="3"/>
      <c r="W403" s="5"/>
      <c r="X403" s="144" t="b">
        <v>0</v>
      </c>
      <c r="Y403" s="10" t="b">
        <v>0</v>
      </c>
      <c r="Z403" s="3"/>
      <c r="AA403" s="10" t="b">
        <v>0</v>
      </c>
      <c r="AB403" s="10" t="b">
        <v>0</v>
      </c>
      <c r="AC403" s="181">
        <v>359.0</v>
      </c>
      <c r="AD403" s="144" t="b">
        <v>0</v>
      </c>
      <c r="AE403" s="182"/>
      <c r="AF403" s="10" t="b">
        <v>0</v>
      </c>
      <c r="AG403" s="10" t="b">
        <v>0</v>
      </c>
      <c r="AH403" s="144"/>
      <c r="AI403" s="3"/>
      <c r="AJ403" s="10"/>
      <c r="AK403" s="3" t="s">
        <v>244</v>
      </c>
      <c r="AL403" s="5"/>
      <c r="AM403" s="5" t="s">
        <v>310</v>
      </c>
      <c r="AN403" s="5" t="s">
        <v>311</v>
      </c>
      <c r="AO403" s="5" t="s">
        <v>2185</v>
      </c>
      <c r="AP403" s="5" t="s">
        <v>2185</v>
      </c>
      <c r="AQ403" s="5" t="s">
        <v>2185</v>
      </c>
      <c r="AR403" s="5" t="s">
        <v>2185</v>
      </c>
      <c r="AS403" s="142"/>
      <c r="AT403" s="142" t="b">
        <v>0</v>
      </c>
      <c r="AU403" s="142"/>
      <c r="AV403" s="142"/>
      <c r="AW403" s="142"/>
      <c r="AX403" s="142"/>
      <c r="AY403" s="142"/>
      <c r="AZ403" s="174"/>
      <c r="BA403" s="142"/>
      <c r="BB403" s="142"/>
      <c r="BC403" s="142"/>
      <c r="BD403" s="142"/>
      <c r="BE403" s="142"/>
      <c r="BF403" s="142"/>
      <c r="BG403" s="142"/>
    </row>
    <row r="404">
      <c r="A404" s="5" t="s">
        <v>1369</v>
      </c>
      <c r="B404" s="44">
        <v>44609.0</v>
      </c>
      <c r="C404" s="150">
        <v>0.3283101851851852</v>
      </c>
      <c r="D404" s="3"/>
      <c r="E404" s="3"/>
      <c r="F404" s="5"/>
      <c r="G404" s="5"/>
      <c r="H404" s="5"/>
      <c r="I404" s="3"/>
      <c r="J404" s="3"/>
      <c r="K404" s="3" t="s">
        <v>244</v>
      </c>
      <c r="L404" s="44">
        <v>44611.0</v>
      </c>
      <c r="M404" s="150">
        <v>0.38958333333333334</v>
      </c>
      <c r="N404" s="5"/>
      <c r="O404" s="5"/>
      <c r="P404" s="10" t="b">
        <v>0</v>
      </c>
      <c r="Q404" s="10" t="s">
        <v>2184</v>
      </c>
      <c r="R404" s="144" t="b">
        <v>1</v>
      </c>
      <c r="S404" s="144">
        <v>1.0</v>
      </c>
      <c r="T404" s="10"/>
      <c r="U404" s="5"/>
      <c r="V404" s="3"/>
      <c r="W404" s="5"/>
      <c r="X404" s="144" t="b">
        <v>0</v>
      </c>
      <c r="Y404" s="10" t="b">
        <v>0</v>
      </c>
      <c r="Z404" s="3"/>
      <c r="AA404" s="10" t="b">
        <v>0</v>
      </c>
      <c r="AB404" s="10" t="b">
        <v>0</v>
      </c>
      <c r="AC404" s="181">
        <v>358.0</v>
      </c>
      <c r="AD404" s="144" t="b">
        <v>0</v>
      </c>
      <c r="AE404" s="182"/>
      <c r="AF404" s="10" t="b">
        <v>0</v>
      </c>
      <c r="AG404" s="10" t="b">
        <v>0</v>
      </c>
      <c r="AH404" s="144"/>
      <c r="AI404" s="3"/>
      <c r="AJ404" s="10"/>
      <c r="AK404" s="3" t="s">
        <v>244</v>
      </c>
      <c r="AL404" s="5"/>
      <c r="AM404" s="5" t="s">
        <v>1370</v>
      </c>
      <c r="AN404" s="5" t="s">
        <v>1371</v>
      </c>
      <c r="AO404" s="5" t="s">
        <v>2185</v>
      </c>
      <c r="AP404" s="5" t="s">
        <v>2185</v>
      </c>
      <c r="AQ404" s="5" t="s">
        <v>2185</v>
      </c>
      <c r="AR404" s="5" t="s">
        <v>2185</v>
      </c>
      <c r="AS404" s="142"/>
      <c r="AT404" s="142" t="b">
        <v>0</v>
      </c>
      <c r="AU404" s="142"/>
      <c r="AV404" s="142"/>
      <c r="AW404" s="142"/>
      <c r="AX404" s="142"/>
      <c r="AY404" s="142"/>
      <c r="AZ404" s="174"/>
      <c r="BA404" s="142"/>
      <c r="BB404" s="142"/>
      <c r="BC404" s="142"/>
      <c r="BD404" s="142"/>
      <c r="BE404" s="142"/>
      <c r="BF404" s="142"/>
      <c r="BG404" s="142"/>
    </row>
    <row r="405">
      <c r="A405" s="5" t="s">
        <v>1373</v>
      </c>
      <c r="B405" s="44">
        <v>44609.0</v>
      </c>
      <c r="C405" s="150">
        <v>0.33189814814814816</v>
      </c>
      <c r="D405" s="3"/>
      <c r="E405" s="3"/>
      <c r="F405" s="5"/>
      <c r="G405" s="5"/>
      <c r="H405" s="5"/>
      <c r="I405" s="3"/>
      <c r="J405" s="3"/>
      <c r="K405" s="3" t="s">
        <v>244</v>
      </c>
      <c r="L405" s="44">
        <v>44611.0</v>
      </c>
      <c r="M405" s="150">
        <v>0.38958333333333334</v>
      </c>
      <c r="N405" s="5"/>
      <c r="O405" s="5"/>
      <c r="P405" s="10" t="b">
        <v>0</v>
      </c>
      <c r="Q405" s="10" t="s">
        <v>2184</v>
      </c>
      <c r="R405" s="144" t="b">
        <v>1</v>
      </c>
      <c r="S405" s="144">
        <v>1.0</v>
      </c>
      <c r="T405" s="10"/>
      <c r="U405" s="5"/>
      <c r="V405" s="3"/>
      <c r="W405" s="5"/>
      <c r="X405" s="144" t="b">
        <v>0</v>
      </c>
      <c r="Y405" s="10" t="b">
        <v>0</v>
      </c>
      <c r="Z405" s="3"/>
      <c r="AA405" s="10" t="b">
        <v>0</v>
      </c>
      <c r="AB405" s="10" t="b">
        <v>0</v>
      </c>
      <c r="AC405" s="181">
        <v>357.0</v>
      </c>
      <c r="AD405" s="144" t="b">
        <v>0</v>
      </c>
      <c r="AE405" s="182"/>
      <c r="AF405" s="10" t="b">
        <v>0</v>
      </c>
      <c r="AG405" s="10" t="b">
        <v>0</v>
      </c>
      <c r="AH405" s="144"/>
      <c r="AI405" s="3"/>
      <c r="AJ405" s="10"/>
      <c r="AK405" s="3" t="s">
        <v>244</v>
      </c>
      <c r="AL405" s="5"/>
      <c r="AM405" s="5" t="s">
        <v>1374</v>
      </c>
      <c r="AN405" s="5" t="s">
        <v>1375</v>
      </c>
      <c r="AO405" s="5" t="s">
        <v>2185</v>
      </c>
      <c r="AP405" s="5" t="s">
        <v>2185</v>
      </c>
      <c r="AQ405" s="5" t="s">
        <v>2185</v>
      </c>
      <c r="AR405" s="5" t="s">
        <v>2185</v>
      </c>
      <c r="AS405" s="142"/>
      <c r="AT405" s="142" t="b">
        <v>0</v>
      </c>
      <c r="AU405" s="142"/>
      <c r="AV405" s="142"/>
      <c r="AW405" s="142"/>
      <c r="AX405" s="142"/>
      <c r="AY405" s="142"/>
      <c r="AZ405" s="174"/>
      <c r="BA405" s="142"/>
      <c r="BB405" s="142"/>
      <c r="BC405" s="142"/>
      <c r="BD405" s="142"/>
      <c r="BE405" s="142"/>
      <c r="BF405" s="142"/>
      <c r="BG405" s="142"/>
    </row>
    <row r="406">
      <c r="A406" s="5" t="s">
        <v>1377</v>
      </c>
      <c r="B406" s="44">
        <v>44609.0</v>
      </c>
      <c r="C406" s="150">
        <v>0.3327199074074074</v>
      </c>
      <c r="D406" s="3"/>
      <c r="E406" s="3"/>
      <c r="F406" s="5"/>
      <c r="G406" s="5"/>
      <c r="H406" s="5"/>
      <c r="I406" s="3"/>
      <c r="J406" s="3"/>
      <c r="K406" s="3" t="s">
        <v>244</v>
      </c>
      <c r="L406" s="44">
        <v>44611.0</v>
      </c>
      <c r="M406" s="150">
        <v>0.38958333333333334</v>
      </c>
      <c r="N406" s="5"/>
      <c r="O406" s="5"/>
      <c r="P406" s="10" t="b">
        <v>0</v>
      </c>
      <c r="Q406" s="10" t="s">
        <v>2184</v>
      </c>
      <c r="R406" s="144" t="b">
        <v>1</v>
      </c>
      <c r="S406" s="144">
        <v>1.0</v>
      </c>
      <c r="T406" s="10"/>
      <c r="U406" s="5"/>
      <c r="V406" s="3"/>
      <c r="W406" s="5"/>
      <c r="X406" s="144" t="b">
        <v>0</v>
      </c>
      <c r="Y406" s="10" t="b">
        <v>0</v>
      </c>
      <c r="Z406" s="3"/>
      <c r="AA406" s="10" t="b">
        <v>0</v>
      </c>
      <c r="AB406" s="10" t="b">
        <v>0</v>
      </c>
      <c r="AC406" s="181">
        <v>356.0</v>
      </c>
      <c r="AD406" s="144" t="b">
        <v>0</v>
      </c>
      <c r="AE406" s="182"/>
      <c r="AF406" s="10" t="b">
        <v>0</v>
      </c>
      <c r="AG406" s="10" t="b">
        <v>0</v>
      </c>
      <c r="AH406" s="144"/>
      <c r="AI406" s="3"/>
      <c r="AJ406" s="10"/>
      <c r="AK406" s="3" t="s">
        <v>244</v>
      </c>
      <c r="AL406" s="5"/>
      <c r="AM406" s="5" t="s">
        <v>1374</v>
      </c>
      <c r="AN406" s="5" t="s">
        <v>1162</v>
      </c>
      <c r="AO406" s="5" t="s">
        <v>2185</v>
      </c>
      <c r="AP406" s="5" t="s">
        <v>2185</v>
      </c>
      <c r="AQ406" s="5" t="s">
        <v>2185</v>
      </c>
      <c r="AR406" s="5" t="s">
        <v>2185</v>
      </c>
      <c r="AS406" s="142"/>
      <c r="AT406" s="142" t="b">
        <v>0</v>
      </c>
      <c r="AU406" s="142"/>
      <c r="AV406" s="142"/>
      <c r="AW406" s="142"/>
      <c r="AX406" s="142"/>
      <c r="AY406" s="142"/>
      <c r="AZ406" s="174"/>
      <c r="BA406" s="142"/>
      <c r="BB406" s="142"/>
      <c r="BC406" s="142"/>
      <c r="BD406" s="142"/>
      <c r="BE406" s="142"/>
      <c r="BF406" s="142"/>
      <c r="BG406" s="142"/>
    </row>
    <row r="407">
      <c r="A407" s="5" t="s">
        <v>1379</v>
      </c>
      <c r="B407" s="44">
        <v>44609.0</v>
      </c>
      <c r="C407" s="150">
        <v>0.33399305555555553</v>
      </c>
      <c r="D407" s="3"/>
      <c r="E407" s="3"/>
      <c r="F407" s="5"/>
      <c r="G407" s="5"/>
      <c r="H407" s="5"/>
      <c r="I407" s="3"/>
      <c r="J407" s="3"/>
      <c r="K407" s="3" t="s">
        <v>244</v>
      </c>
      <c r="L407" s="44">
        <v>44611.0</v>
      </c>
      <c r="M407" s="150">
        <v>0.38958333333333334</v>
      </c>
      <c r="N407" s="5"/>
      <c r="O407" s="5"/>
      <c r="P407" s="10" t="b">
        <v>0</v>
      </c>
      <c r="Q407" s="10" t="s">
        <v>2184</v>
      </c>
      <c r="R407" s="144" t="b">
        <v>1</v>
      </c>
      <c r="S407" s="144">
        <v>1.0</v>
      </c>
      <c r="T407" s="10"/>
      <c r="U407" s="5"/>
      <c r="V407" s="3"/>
      <c r="W407" s="5"/>
      <c r="X407" s="144" t="b">
        <v>0</v>
      </c>
      <c r="Y407" s="10" t="b">
        <v>0</v>
      </c>
      <c r="Z407" s="3"/>
      <c r="AA407" s="10" t="b">
        <v>0</v>
      </c>
      <c r="AB407" s="10" t="b">
        <v>0</v>
      </c>
      <c r="AC407" s="181">
        <v>355.0</v>
      </c>
      <c r="AD407" s="144" t="b">
        <v>0</v>
      </c>
      <c r="AE407" s="182"/>
      <c r="AF407" s="10" t="b">
        <v>0</v>
      </c>
      <c r="AG407" s="10" t="b">
        <v>0</v>
      </c>
      <c r="AH407" s="144"/>
      <c r="AI407" s="3"/>
      <c r="AJ407" s="10"/>
      <c r="AK407" s="3" t="s">
        <v>244</v>
      </c>
      <c r="AL407" s="5"/>
      <c r="AM407" s="5" t="s">
        <v>1380</v>
      </c>
      <c r="AN407" s="5" t="s">
        <v>1381</v>
      </c>
      <c r="AO407" s="5" t="s">
        <v>2185</v>
      </c>
      <c r="AP407" s="5" t="s">
        <v>2185</v>
      </c>
      <c r="AQ407" s="5" t="s">
        <v>2185</v>
      </c>
      <c r="AR407" s="5" t="s">
        <v>2185</v>
      </c>
      <c r="AS407" s="142"/>
      <c r="AT407" s="142" t="b">
        <v>0</v>
      </c>
      <c r="AU407" s="142"/>
      <c r="AV407" s="142"/>
      <c r="AW407" s="142"/>
      <c r="AX407" s="142"/>
      <c r="AY407" s="142"/>
      <c r="AZ407" s="174"/>
      <c r="BA407" s="142"/>
      <c r="BB407" s="142"/>
      <c r="BC407" s="142"/>
      <c r="BD407" s="142"/>
      <c r="BE407" s="142"/>
      <c r="BF407" s="142"/>
      <c r="BG407" s="142"/>
    </row>
    <row r="408">
      <c r="A408" s="5" t="s">
        <v>1383</v>
      </c>
      <c r="B408" s="44">
        <v>44609.0</v>
      </c>
      <c r="C408" s="150">
        <v>0.33414351851851853</v>
      </c>
      <c r="D408" s="3"/>
      <c r="E408" s="3"/>
      <c r="F408" s="5"/>
      <c r="G408" s="5"/>
      <c r="H408" s="5"/>
      <c r="I408" s="3"/>
      <c r="J408" s="3"/>
      <c r="K408" s="3" t="s">
        <v>244</v>
      </c>
      <c r="L408" s="44">
        <v>44611.0</v>
      </c>
      <c r="M408" s="150">
        <v>0.38958333333333334</v>
      </c>
      <c r="N408" s="5"/>
      <c r="O408" s="5"/>
      <c r="P408" s="10" t="b">
        <v>0</v>
      </c>
      <c r="Q408" s="10" t="s">
        <v>2184</v>
      </c>
      <c r="R408" s="144" t="b">
        <v>1</v>
      </c>
      <c r="S408" s="144">
        <v>1.0</v>
      </c>
      <c r="T408" s="10"/>
      <c r="U408" s="5"/>
      <c r="V408" s="3"/>
      <c r="W408" s="5"/>
      <c r="X408" s="144" t="b">
        <v>0</v>
      </c>
      <c r="Y408" s="10" t="b">
        <v>0</v>
      </c>
      <c r="Z408" s="3"/>
      <c r="AA408" s="10" t="b">
        <v>0</v>
      </c>
      <c r="AB408" s="10" t="b">
        <v>0</v>
      </c>
      <c r="AC408" s="181">
        <v>354.0</v>
      </c>
      <c r="AD408" s="144" t="b">
        <v>0</v>
      </c>
      <c r="AE408" s="182"/>
      <c r="AF408" s="10" t="b">
        <v>0</v>
      </c>
      <c r="AG408" s="10" t="b">
        <v>0</v>
      </c>
      <c r="AH408" s="144"/>
      <c r="AI408" s="3"/>
      <c r="AJ408" s="10"/>
      <c r="AK408" s="3" t="s">
        <v>244</v>
      </c>
      <c r="AL408" s="5"/>
      <c r="AM408" s="5" t="s">
        <v>1384</v>
      </c>
      <c r="AN408" s="5" t="s">
        <v>1385</v>
      </c>
      <c r="AO408" s="5" t="s">
        <v>2185</v>
      </c>
      <c r="AP408" s="5" t="s">
        <v>2185</v>
      </c>
      <c r="AQ408" s="5" t="s">
        <v>2185</v>
      </c>
      <c r="AR408" s="5" t="s">
        <v>2185</v>
      </c>
      <c r="AS408" s="142"/>
      <c r="AT408" s="142" t="b">
        <v>0</v>
      </c>
      <c r="AU408" s="142"/>
      <c r="AV408" s="142"/>
      <c r="AW408" s="142"/>
      <c r="AX408" s="142"/>
      <c r="AY408" s="142"/>
      <c r="AZ408" s="174"/>
      <c r="BA408" s="142"/>
      <c r="BB408" s="142"/>
      <c r="BC408" s="142"/>
      <c r="BD408" s="142"/>
      <c r="BE408" s="142"/>
      <c r="BF408" s="142"/>
      <c r="BG408" s="142"/>
    </row>
    <row r="409">
      <c r="A409" s="5" t="s">
        <v>1387</v>
      </c>
      <c r="B409" s="44">
        <v>44609.0</v>
      </c>
      <c r="C409" s="150">
        <v>0.33719907407407407</v>
      </c>
      <c r="D409" s="3"/>
      <c r="E409" s="3"/>
      <c r="F409" s="5"/>
      <c r="G409" s="5"/>
      <c r="H409" s="5"/>
      <c r="I409" s="3"/>
      <c r="J409" s="3"/>
      <c r="K409" s="3" t="s">
        <v>244</v>
      </c>
      <c r="L409" s="44">
        <v>44611.0</v>
      </c>
      <c r="M409" s="150">
        <v>0.38958333333333334</v>
      </c>
      <c r="N409" s="5"/>
      <c r="O409" s="5"/>
      <c r="P409" s="10" t="b">
        <v>0</v>
      </c>
      <c r="Q409" s="10" t="s">
        <v>2184</v>
      </c>
      <c r="R409" s="144" t="b">
        <v>1</v>
      </c>
      <c r="S409" s="144">
        <v>1.0</v>
      </c>
      <c r="T409" s="10"/>
      <c r="U409" s="5"/>
      <c r="V409" s="3"/>
      <c r="W409" s="5"/>
      <c r="X409" s="144" t="b">
        <v>0</v>
      </c>
      <c r="Y409" s="10" t="b">
        <v>0</v>
      </c>
      <c r="Z409" s="3"/>
      <c r="AA409" s="10" t="b">
        <v>0</v>
      </c>
      <c r="AB409" s="10" t="b">
        <v>0</v>
      </c>
      <c r="AC409" s="181">
        <v>353.0</v>
      </c>
      <c r="AD409" s="144" t="b">
        <v>0</v>
      </c>
      <c r="AE409" s="182"/>
      <c r="AF409" s="10" t="b">
        <v>0</v>
      </c>
      <c r="AG409" s="10" t="b">
        <v>0</v>
      </c>
      <c r="AH409" s="144"/>
      <c r="AI409" s="3"/>
      <c r="AJ409" s="10"/>
      <c r="AK409" s="3" t="s">
        <v>244</v>
      </c>
      <c r="AL409" s="5"/>
      <c r="AM409" s="5" t="s">
        <v>1260</v>
      </c>
      <c r="AN409" s="5" t="s">
        <v>1261</v>
      </c>
      <c r="AO409" s="5" t="s">
        <v>2185</v>
      </c>
      <c r="AP409" s="5" t="s">
        <v>2185</v>
      </c>
      <c r="AQ409" s="5" t="s">
        <v>2185</v>
      </c>
      <c r="AR409" s="5" t="s">
        <v>2185</v>
      </c>
      <c r="AS409" s="142"/>
      <c r="AT409" s="142" t="b">
        <v>0</v>
      </c>
      <c r="AU409" s="142"/>
      <c r="AV409" s="142"/>
      <c r="AW409" s="142"/>
      <c r="AX409" s="142"/>
      <c r="AY409" s="142"/>
      <c r="AZ409" s="174"/>
      <c r="BA409" s="142"/>
      <c r="BB409" s="142"/>
      <c r="BC409" s="142"/>
      <c r="BD409" s="142"/>
      <c r="BE409" s="142"/>
      <c r="BF409" s="142"/>
      <c r="BG409" s="142"/>
    </row>
    <row r="410">
      <c r="A410" s="5" t="s">
        <v>1389</v>
      </c>
      <c r="B410" s="44">
        <v>44609.0</v>
      </c>
      <c r="C410" s="150">
        <v>0.34019675925925924</v>
      </c>
      <c r="D410" s="3"/>
      <c r="E410" s="3"/>
      <c r="F410" s="5"/>
      <c r="G410" s="5"/>
      <c r="H410" s="5"/>
      <c r="I410" s="3"/>
      <c r="J410" s="3"/>
      <c r="K410" s="3" t="s">
        <v>244</v>
      </c>
      <c r="L410" s="44">
        <v>44611.0</v>
      </c>
      <c r="M410" s="150">
        <v>0.38958333333333334</v>
      </c>
      <c r="N410" s="5"/>
      <c r="O410" s="5"/>
      <c r="P410" s="10" t="b">
        <v>0</v>
      </c>
      <c r="Q410" s="10" t="s">
        <v>2184</v>
      </c>
      <c r="R410" s="144" t="b">
        <v>1</v>
      </c>
      <c r="S410" s="144">
        <v>1.0</v>
      </c>
      <c r="T410" s="10"/>
      <c r="U410" s="5"/>
      <c r="V410" s="3"/>
      <c r="W410" s="5"/>
      <c r="X410" s="144" t="b">
        <v>0</v>
      </c>
      <c r="Y410" s="10" t="b">
        <v>0</v>
      </c>
      <c r="Z410" s="3"/>
      <c r="AA410" s="10" t="b">
        <v>0</v>
      </c>
      <c r="AB410" s="10" t="b">
        <v>0</v>
      </c>
      <c r="AC410" s="181">
        <v>352.0</v>
      </c>
      <c r="AD410" s="144" t="b">
        <v>0</v>
      </c>
      <c r="AE410" s="182"/>
      <c r="AF410" s="10" t="b">
        <v>0</v>
      </c>
      <c r="AG410" s="10" t="b">
        <v>0</v>
      </c>
      <c r="AH410" s="144"/>
      <c r="AI410" s="3"/>
      <c r="AJ410" s="10"/>
      <c r="AK410" s="3" t="s">
        <v>244</v>
      </c>
      <c r="AL410" s="5"/>
      <c r="AM410" s="5" t="s">
        <v>508</v>
      </c>
      <c r="AN410" s="5" t="s">
        <v>1390</v>
      </c>
      <c r="AO410" s="5" t="s">
        <v>2185</v>
      </c>
      <c r="AP410" s="5" t="s">
        <v>2185</v>
      </c>
      <c r="AQ410" s="5" t="s">
        <v>2185</v>
      </c>
      <c r="AR410" s="5" t="s">
        <v>2185</v>
      </c>
      <c r="AS410" s="142"/>
      <c r="AT410" s="142" t="b">
        <v>0</v>
      </c>
      <c r="AU410" s="142"/>
      <c r="AV410" s="142"/>
      <c r="AW410" s="142"/>
      <c r="AX410" s="142"/>
      <c r="AY410" s="142"/>
      <c r="AZ410" s="174"/>
      <c r="BA410" s="142"/>
      <c r="BB410" s="142"/>
      <c r="BC410" s="142"/>
      <c r="BD410" s="142"/>
      <c r="BE410" s="142"/>
      <c r="BF410" s="142"/>
      <c r="BG410" s="142"/>
    </row>
    <row r="411">
      <c r="A411" s="5" t="s">
        <v>1392</v>
      </c>
      <c r="B411" s="44">
        <v>44609.0</v>
      </c>
      <c r="C411" s="150">
        <v>0.3439814814814815</v>
      </c>
      <c r="D411" s="3"/>
      <c r="E411" s="3"/>
      <c r="F411" s="5"/>
      <c r="G411" s="5"/>
      <c r="H411" s="5"/>
      <c r="I411" s="3"/>
      <c r="J411" s="3"/>
      <c r="K411" s="3" t="s">
        <v>244</v>
      </c>
      <c r="L411" s="44">
        <v>44611.0</v>
      </c>
      <c r="M411" s="150">
        <v>0.38958333333333334</v>
      </c>
      <c r="N411" s="5"/>
      <c r="O411" s="5"/>
      <c r="P411" s="10" t="b">
        <v>0</v>
      </c>
      <c r="Q411" s="10" t="s">
        <v>2184</v>
      </c>
      <c r="R411" s="144" t="b">
        <v>1</v>
      </c>
      <c r="S411" s="144">
        <v>1.0</v>
      </c>
      <c r="T411" s="10"/>
      <c r="U411" s="5"/>
      <c r="V411" s="3"/>
      <c r="W411" s="5"/>
      <c r="X411" s="144" t="b">
        <v>0</v>
      </c>
      <c r="Y411" s="10" t="b">
        <v>0</v>
      </c>
      <c r="Z411" s="3"/>
      <c r="AA411" s="10" t="b">
        <v>0</v>
      </c>
      <c r="AB411" s="10" t="b">
        <v>0</v>
      </c>
      <c r="AC411" s="181">
        <v>351.0</v>
      </c>
      <c r="AD411" s="144" t="b">
        <v>0</v>
      </c>
      <c r="AE411" s="182"/>
      <c r="AF411" s="10" t="b">
        <v>0</v>
      </c>
      <c r="AG411" s="10" t="b">
        <v>0</v>
      </c>
      <c r="AH411" s="144"/>
      <c r="AI411" s="3"/>
      <c r="AJ411" s="10"/>
      <c r="AK411" s="3" t="s">
        <v>244</v>
      </c>
      <c r="AL411" s="5"/>
      <c r="AM411" s="5" t="s">
        <v>731</v>
      </c>
      <c r="AN411" s="5" t="s">
        <v>732</v>
      </c>
      <c r="AO411" s="5" t="s">
        <v>2185</v>
      </c>
      <c r="AP411" s="5" t="s">
        <v>2185</v>
      </c>
      <c r="AQ411" s="5" t="s">
        <v>2185</v>
      </c>
      <c r="AR411" s="5" t="s">
        <v>2185</v>
      </c>
      <c r="AS411" s="142"/>
      <c r="AT411" s="142" t="b">
        <v>0</v>
      </c>
      <c r="AU411" s="142"/>
      <c r="AV411" s="142"/>
      <c r="AW411" s="142"/>
      <c r="AX411" s="142"/>
      <c r="AY411" s="142"/>
      <c r="AZ411" s="174"/>
      <c r="BA411" s="142"/>
      <c r="BB411" s="142"/>
      <c r="BC411" s="142"/>
      <c r="BD411" s="142"/>
      <c r="BE411" s="142"/>
      <c r="BF411" s="142"/>
      <c r="BG411" s="142"/>
    </row>
    <row r="412">
      <c r="A412" s="5" t="s">
        <v>1394</v>
      </c>
      <c r="B412" s="44">
        <v>44609.0</v>
      </c>
      <c r="C412" s="150">
        <v>0.3441666666666667</v>
      </c>
      <c r="D412" s="3"/>
      <c r="E412" s="3"/>
      <c r="F412" s="5"/>
      <c r="G412" s="5"/>
      <c r="H412" s="5"/>
      <c r="I412" s="3"/>
      <c r="J412" s="3"/>
      <c r="K412" s="3" t="s">
        <v>244</v>
      </c>
      <c r="L412" s="44">
        <v>44611.0</v>
      </c>
      <c r="M412" s="150">
        <v>0.38958333333333334</v>
      </c>
      <c r="N412" s="5"/>
      <c r="O412" s="5"/>
      <c r="P412" s="10" t="b">
        <v>0</v>
      </c>
      <c r="Q412" s="10" t="s">
        <v>2184</v>
      </c>
      <c r="R412" s="144" t="b">
        <v>1</v>
      </c>
      <c r="S412" s="144">
        <v>1.0</v>
      </c>
      <c r="T412" s="10"/>
      <c r="U412" s="5"/>
      <c r="V412" s="3"/>
      <c r="W412" s="5"/>
      <c r="X412" s="144" t="b">
        <v>0</v>
      </c>
      <c r="Y412" s="10" t="b">
        <v>0</v>
      </c>
      <c r="Z412" s="3"/>
      <c r="AA412" s="10" t="b">
        <v>0</v>
      </c>
      <c r="AB412" s="10" t="b">
        <v>0</v>
      </c>
      <c r="AC412" s="181">
        <v>350.0</v>
      </c>
      <c r="AD412" s="144" t="b">
        <v>0</v>
      </c>
      <c r="AE412" s="182"/>
      <c r="AF412" s="10" t="b">
        <v>0</v>
      </c>
      <c r="AG412" s="10" t="b">
        <v>0</v>
      </c>
      <c r="AH412" s="144"/>
      <c r="AI412" s="3"/>
      <c r="AJ412" s="10"/>
      <c r="AK412" s="3" t="s">
        <v>244</v>
      </c>
      <c r="AL412" s="5"/>
      <c r="AM412" s="5" t="s">
        <v>504</v>
      </c>
      <c r="AN412" s="5" t="s">
        <v>1395</v>
      </c>
      <c r="AO412" s="5" t="s">
        <v>2185</v>
      </c>
      <c r="AP412" s="5" t="s">
        <v>2185</v>
      </c>
      <c r="AQ412" s="5" t="s">
        <v>2185</v>
      </c>
      <c r="AR412" s="5" t="s">
        <v>2185</v>
      </c>
      <c r="AS412" s="142"/>
      <c r="AT412" s="142" t="b">
        <v>0</v>
      </c>
      <c r="AU412" s="142"/>
      <c r="AV412" s="142"/>
      <c r="AW412" s="142"/>
      <c r="AX412" s="142"/>
      <c r="AY412" s="142"/>
      <c r="AZ412" s="174"/>
      <c r="BA412" s="142"/>
      <c r="BB412" s="142"/>
      <c r="BC412" s="142"/>
      <c r="BD412" s="142"/>
      <c r="BE412" s="142"/>
      <c r="BF412" s="142"/>
      <c r="BG412" s="142"/>
    </row>
    <row r="413">
      <c r="A413" s="5" t="s">
        <v>1397</v>
      </c>
      <c r="B413" s="44">
        <v>44609.0</v>
      </c>
      <c r="C413" s="150">
        <v>0.35497685185185185</v>
      </c>
      <c r="D413" s="3"/>
      <c r="E413" s="3"/>
      <c r="F413" s="5"/>
      <c r="G413" s="5"/>
      <c r="H413" s="5"/>
      <c r="I413" s="3"/>
      <c r="J413" s="3"/>
      <c r="K413" s="3" t="s">
        <v>244</v>
      </c>
      <c r="L413" s="44">
        <v>44611.0</v>
      </c>
      <c r="M413" s="150">
        <v>0.38958333333333334</v>
      </c>
      <c r="N413" s="5"/>
      <c r="O413" s="5"/>
      <c r="P413" s="10" t="b">
        <v>0</v>
      </c>
      <c r="Q413" s="10" t="s">
        <v>2184</v>
      </c>
      <c r="R413" s="144" t="b">
        <v>1</v>
      </c>
      <c r="S413" s="144">
        <v>1.0</v>
      </c>
      <c r="T413" s="10"/>
      <c r="U413" s="5"/>
      <c r="V413" s="3"/>
      <c r="W413" s="5"/>
      <c r="X413" s="144" t="b">
        <v>0</v>
      </c>
      <c r="Y413" s="10" t="b">
        <v>0</v>
      </c>
      <c r="Z413" s="3"/>
      <c r="AA413" s="10" t="b">
        <v>0</v>
      </c>
      <c r="AB413" s="10" t="b">
        <v>0</v>
      </c>
      <c r="AC413" s="181">
        <v>349.0</v>
      </c>
      <c r="AD413" s="144" t="b">
        <v>0</v>
      </c>
      <c r="AE413" s="182"/>
      <c r="AF413" s="10" t="b">
        <v>0</v>
      </c>
      <c r="AG413" s="10" t="b">
        <v>0</v>
      </c>
      <c r="AH413" s="144"/>
      <c r="AI413" s="3"/>
      <c r="AJ413" s="10"/>
      <c r="AK413" s="3" t="s">
        <v>244</v>
      </c>
      <c r="AL413" s="5"/>
      <c r="AM413" s="5" t="s">
        <v>1398</v>
      </c>
      <c r="AN413" s="5" t="s">
        <v>1399</v>
      </c>
      <c r="AO413" s="5" t="s">
        <v>2185</v>
      </c>
      <c r="AP413" s="5" t="s">
        <v>2185</v>
      </c>
      <c r="AQ413" s="5" t="s">
        <v>2185</v>
      </c>
      <c r="AR413" s="5" t="s">
        <v>2185</v>
      </c>
      <c r="AS413" s="142"/>
      <c r="AT413" s="142" t="b">
        <v>0</v>
      </c>
      <c r="AU413" s="142"/>
      <c r="AV413" s="142"/>
      <c r="AW413" s="142"/>
      <c r="AX413" s="142"/>
      <c r="AY413" s="142"/>
      <c r="AZ413" s="174"/>
      <c r="BA413" s="142"/>
      <c r="BB413" s="142"/>
      <c r="BC413" s="142"/>
      <c r="BD413" s="142"/>
      <c r="BE413" s="142"/>
      <c r="BF413" s="142"/>
      <c r="BG413" s="142"/>
    </row>
    <row r="414">
      <c r="A414" s="5" t="s">
        <v>1401</v>
      </c>
      <c r="B414" s="44">
        <v>44609.0</v>
      </c>
      <c r="C414" s="150">
        <v>0.3872685185185185</v>
      </c>
      <c r="D414" s="3"/>
      <c r="E414" s="3"/>
      <c r="F414" s="5"/>
      <c r="G414" s="5"/>
      <c r="H414" s="5"/>
      <c r="I414" s="3"/>
      <c r="J414" s="3"/>
      <c r="K414" s="3" t="s">
        <v>244</v>
      </c>
      <c r="L414" s="44">
        <v>44611.0</v>
      </c>
      <c r="M414" s="150">
        <v>0.48824074074074075</v>
      </c>
      <c r="N414" s="5"/>
      <c r="O414" s="5"/>
      <c r="P414" s="10" t="b">
        <v>0</v>
      </c>
      <c r="Q414" s="10" t="s">
        <v>2184</v>
      </c>
      <c r="R414" s="144" t="b">
        <v>1</v>
      </c>
      <c r="S414" s="144">
        <v>1.0</v>
      </c>
      <c r="T414" s="10"/>
      <c r="U414" s="5"/>
      <c r="V414" s="3"/>
      <c r="W414" s="5"/>
      <c r="X414" s="144" t="b">
        <v>0</v>
      </c>
      <c r="Y414" s="10" t="b">
        <v>0</v>
      </c>
      <c r="Z414" s="3"/>
      <c r="AA414" s="10" t="b">
        <v>0</v>
      </c>
      <c r="AB414" s="10" t="b">
        <v>0</v>
      </c>
      <c r="AC414" s="181">
        <v>348.0</v>
      </c>
      <c r="AD414" s="144" t="b">
        <v>0</v>
      </c>
      <c r="AE414" s="182"/>
      <c r="AF414" s="10" t="b">
        <v>0</v>
      </c>
      <c r="AG414" s="10" t="b">
        <v>0</v>
      </c>
      <c r="AH414" s="144"/>
      <c r="AI414" s="3"/>
      <c r="AJ414" s="10"/>
      <c r="AK414" s="3" t="s">
        <v>244</v>
      </c>
      <c r="AL414" s="5"/>
      <c r="AM414" s="5" t="s">
        <v>1402</v>
      </c>
      <c r="AN414" s="5" t="s">
        <v>1403</v>
      </c>
      <c r="AO414" s="5" t="s">
        <v>2185</v>
      </c>
      <c r="AP414" s="5" t="s">
        <v>2185</v>
      </c>
      <c r="AQ414" s="5" t="s">
        <v>2185</v>
      </c>
      <c r="AR414" s="5" t="s">
        <v>2185</v>
      </c>
      <c r="AS414" s="142"/>
      <c r="AT414" s="142" t="b">
        <v>0</v>
      </c>
      <c r="AU414" s="142"/>
      <c r="AV414" s="142"/>
      <c r="AW414" s="142"/>
      <c r="AX414" s="142"/>
      <c r="AY414" s="142"/>
      <c r="AZ414" s="174"/>
      <c r="BA414" s="142"/>
      <c r="BB414" s="142"/>
      <c r="BC414" s="142"/>
      <c r="BD414" s="142"/>
      <c r="BE414" s="142"/>
      <c r="BF414" s="142"/>
      <c r="BG414" s="142"/>
    </row>
    <row r="415">
      <c r="A415" s="5" t="s">
        <v>1405</v>
      </c>
      <c r="B415" s="44">
        <v>44611.0</v>
      </c>
      <c r="C415" s="150">
        <v>0.2972337962962963</v>
      </c>
      <c r="D415" s="3"/>
      <c r="E415" s="3"/>
      <c r="F415" s="5"/>
      <c r="G415" s="5"/>
      <c r="H415" s="5"/>
      <c r="I415" s="3"/>
      <c r="J415" s="3"/>
      <c r="K415" s="3" t="s">
        <v>244</v>
      </c>
      <c r="L415" s="44">
        <v>44611.0</v>
      </c>
      <c r="M415" s="150">
        <v>0.48824074074074075</v>
      </c>
      <c r="N415" s="5"/>
      <c r="O415" s="5"/>
      <c r="P415" s="10" t="b">
        <v>0</v>
      </c>
      <c r="Q415" s="10" t="s">
        <v>2184</v>
      </c>
      <c r="R415" s="144" t="b">
        <v>1</v>
      </c>
      <c r="S415" s="144">
        <v>1.0</v>
      </c>
      <c r="T415" s="10"/>
      <c r="U415" s="5"/>
      <c r="V415" s="3"/>
      <c r="W415" s="5"/>
      <c r="X415" s="144" t="b">
        <v>0</v>
      </c>
      <c r="Y415" s="10" t="b">
        <v>0</v>
      </c>
      <c r="Z415" s="3"/>
      <c r="AA415" s="10" t="b">
        <v>0</v>
      </c>
      <c r="AB415" s="10" t="b">
        <v>0</v>
      </c>
      <c r="AC415" s="181">
        <v>347.0</v>
      </c>
      <c r="AD415" s="144" t="b">
        <v>0</v>
      </c>
      <c r="AE415" s="182">
        <v>275.05</v>
      </c>
      <c r="AF415" s="10" t="b">
        <v>0</v>
      </c>
      <c r="AG415" s="10" t="b">
        <v>0</v>
      </c>
      <c r="AH415" s="144"/>
      <c r="AI415" s="3"/>
      <c r="AJ415" s="10"/>
      <c r="AK415" s="3" t="s">
        <v>244</v>
      </c>
      <c r="AL415" s="5"/>
      <c r="AM415" s="5" t="s">
        <v>1254</v>
      </c>
      <c r="AN415" s="5" t="s">
        <v>1255</v>
      </c>
      <c r="AO415" s="5" t="s">
        <v>2185</v>
      </c>
      <c r="AP415" s="5" t="s">
        <v>2185</v>
      </c>
      <c r="AQ415" s="5" t="s">
        <v>2185</v>
      </c>
      <c r="AR415" s="5" t="s">
        <v>2185</v>
      </c>
      <c r="AS415" s="142"/>
      <c r="AT415" s="142" t="b">
        <v>0</v>
      </c>
      <c r="AU415" s="142"/>
      <c r="AV415" s="142"/>
      <c r="AW415" s="142"/>
      <c r="AX415" s="142"/>
      <c r="AY415" s="142"/>
      <c r="AZ415" s="174"/>
      <c r="BA415" s="142"/>
      <c r="BB415" s="142"/>
      <c r="BC415" s="142"/>
      <c r="BD415" s="142"/>
      <c r="BE415" s="142"/>
      <c r="BF415" s="142"/>
      <c r="BG415" s="142"/>
    </row>
    <row r="416">
      <c r="A416" s="5" t="s">
        <v>1407</v>
      </c>
      <c r="B416" s="44">
        <v>44611.0</v>
      </c>
      <c r="C416" s="150">
        <v>0.30069444444444443</v>
      </c>
      <c r="D416" s="3"/>
      <c r="E416" s="3"/>
      <c r="F416" s="5"/>
      <c r="G416" s="5"/>
      <c r="H416" s="5"/>
      <c r="I416" s="3"/>
      <c r="J416" s="3"/>
      <c r="K416" s="3" t="s">
        <v>244</v>
      </c>
      <c r="L416" s="44">
        <v>44611.0</v>
      </c>
      <c r="M416" s="150">
        <v>0.48824074074074075</v>
      </c>
      <c r="N416" s="5"/>
      <c r="O416" s="5"/>
      <c r="P416" s="10" t="b">
        <v>0</v>
      </c>
      <c r="Q416" s="10" t="s">
        <v>2184</v>
      </c>
      <c r="R416" s="144" t="b">
        <v>1</v>
      </c>
      <c r="S416" s="144">
        <v>1.0</v>
      </c>
      <c r="T416" s="10"/>
      <c r="U416" s="5"/>
      <c r="V416" s="3"/>
      <c r="W416" s="5"/>
      <c r="X416" s="144" t="b">
        <v>0</v>
      </c>
      <c r="Y416" s="10" t="b">
        <v>0</v>
      </c>
      <c r="Z416" s="3"/>
      <c r="AA416" s="10" t="b">
        <v>0</v>
      </c>
      <c r="AB416" s="10" t="b">
        <v>0</v>
      </c>
      <c r="AC416" s="181">
        <v>346.0</v>
      </c>
      <c r="AD416" s="144" t="b">
        <v>0</v>
      </c>
      <c r="AE416" s="182">
        <v>270.06666666666666</v>
      </c>
      <c r="AF416" s="10" t="b">
        <v>0</v>
      </c>
      <c r="AG416" s="10" t="b">
        <v>0</v>
      </c>
      <c r="AH416" s="144"/>
      <c r="AI416" s="3"/>
      <c r="AJ416" s="10"/>
      <c r="AK416" s="3" t="s">
        <v>244</v>
      </c>
      <c r="AL416" s="5"/>
      <c r="AM416" s="5" t="s">
        <v>1408</v>
      </c>
      <c r="AN416" s="5" t="s">
        <v>1409</v>
      </c>
      <c r="AO416" s="5" t="s">
        <v>2185</v>
      </c>
      <c r="AP416" s="5" t="s">
        <v>2185</v>
      </c>
      <c r="AQ416" s="5" t="s">
        <v>2185</v>
      </c>
      <c r="AR416" s="5" t="s">
        <v>2185</v>
      </c>
      <c r="AS416" s="142"/>
      <c r="AT416" s="142" t="b">
        <v>0</v>
      </c>
      <c r="AU416" s="142"/>
      <c r="AV416" s="142"/>
      <c r="AW416" s="142"/>
      <c r="AX416" s="142"/>
      <c r="AY416" s="142"/>
      <c r="AZ416" s="174"/>
      <c r="BA416" s="142"/>
      <c r="BB416" s="142"/>
      <c r="BC416" s="142"/>
      <c r="BD416" s="142"/>
      <c r="BE416" s="142"/>
      <c r="BF416" s="142"/>
      <c r="BG416" s="142"/>
    </row>
    <row r="417">
      <c r="A417" s="5" t="s">
        <v>1411</v>
      </c>
      <c r="B417" s="44">
        <v>44611.0</v>
      </c>
      <c r="C417" s="150">
        <v>0.30855324074074075</v>
      </c>
      <c r="D417" s="3"/>
      <c r="E417" s="3"/>
      <c r="F417" s="5"/>
      <c r="G417" s="5"/>
      <c r="H417" s="5"/>
      <c r="I417" s="3"/>
      <c r="J417" s="3"/>
      <c r="K417" s="3" t="s">
        <v>244</v>
      </c>
      <c r="L417" s="44">
        <v>44611.0</v>
      </c>
      <c r="M417" s="150">
        <v>0.48824074074074075</v>
      </c>
      <c r="N417" s="5"/>
      <c r="O417" s="5"/>
      <c r="P417" s="10" t="b">
        <v>0</v>
      </c>
      <c r="Q417" s="10" t="s">
        <v>2184</v>
      </c>
      <c r="R417" s="144" t="b">
        <v>1</v>
      </c>
      <c r="S417" s="144">
        <v>1.0</v>
      </c>
      <c r="T417" s="10"/>
      <c r="U417" s="5"/>
      <c r="V417" s="3"/>
      <c r="W417" s="5"/>
      <c r="X417" s="144" t="b">
        <v>0</v>
      </c>
      <c r="Y417" s="10" t="b">
        <v>0</v>
      </c>
      <c r="Z417" s="3"/>
      <c r="AA417" s="10" t="b">
        <v>0</v>
      </c>
      <c r="AB417" s="10" t="b">
        <v>0</v>
      </c>
      <c r="AC417" s="181">
        <v>345.0</v>
      </c>
      <c r="AD417" s="144" t="b">
        <v>0</v>
      </c>
      <c r="AE417" s="182">
        <v>258.75</v>
      </c>
      <c r="AF417" s="10" t="b">
        <v>0</v>
      </c>
      <c r="AG417" s="10" t="b">
        <v>0</v>
      </c>
      <c r="AH417" s="144"/>
      <c r="AI417" s="3"/>
      <c r="AJ417" s="10"/>
      <c r="AK417" s="3" t="s">
        <v>244</v>
      </c>
      <c r="AL417" s="5"/>
      <c r="AM417" s="5" t="s">
        <v>273</v>
      </c>
      <c r="AN417" s="5" t="s">
        <v>274</v>
      </c>
      <c r="AO417" s="5" t="s">
        <v>2185</v>
      </c>
      <c r="AP417" s="5" t="s">
        <v>2185</v>
      </c>
      <c r="AQ417" s="5" t="s">
        <v>2185</v>
      </c>
      <c r="AR417" s="5" t="s">
        <v>2185</v>
      </c>
      <c r="AS417" s="142"/>
      <c r="AT417" s="142" t="b">
        <v>0</v>
      </c>
      <c r="AU417" s="142"/>
      <c r="AV417" s="142"/>
      <c r="AW417" s="142"/>
      <c r="AX417" s="142"/>
      <c r="AY417" s="142"/>
      <c r="AZ417" s="174"/>
      <c r="BA417" s="142"/>
      <c r="BB417" s="142"/>
      <c r="BC417" s="142"/>
      <c r="BD417" s="142"/>
      <c r="BE417" s="142"/>
      <c r="BF417" s="142"/>
      <c r="BG417" s="142"/>
    </row>
    <row r="418">
      <c r="A418" s="5" t="s">
        <v>1413</v>
      </c>
      <c r="B418" s="44">
        <v>44611.0</v>
      </c>
      <c r="C418" s="150">
        <v>0.3107523148148148</v>
      </c>
      <c r="D418" s="3"/>
      <c r="E418" s="3"/>
      <c r="F418" s="5"/>
      <c r="G418" s="5"/>
      <c r="H418" s="5"/>
      <c r="I418" s="3"/>
      <c r="J418" s="3"/>
      <c r="K418" s="3" t="s">
        <v>244</v>
      </c>
      <c r="L418" s="44">
        <v>44611.0</v>
      </c>
      <c r="M418" s="150">
        <v>0.48824074074074075</v>
      </c>
      <c r="N418" s="5"/>
      <c r="O418" s="5"/>
      <c r="P418" s="10" t="b">
        <v>0</v>
      </c>
      <c r="Q418" s="10" t="s">
        <v>2184</v>
      </c>
      <c r="R418" s="144" t="b">
        <v>1</v>
      </c>
      <c r="S418" s="144">
        <v>1.0</v>
      </c>
      <c r="T418" s="10"/>
      <c r="U418" s="5"/>
      <c r="V418" s="3"/>
      <c r="W418" s="5"/>
      <c r="X418" s="144" t="b">
        <v>0</v>
      </c>
      <c r="Y418" s="10" t="b">
        <v>0</v>
      </c>
      <c r="Z418" s="3"/>
      <c r="AA418" s="10" t="b">
        <v>0</v>
      </c>
      <c r="AB418" s="10" t="b">
        <v>0</v>
      </c>
      <c r="AC418" s="181">
        <v>343.0</v>
      </c>
      <c r="AD418" s="144" t="b">
        <v>0</v>
      </c>
      <c r="AE418" s="182">
        <v>255.58333333333337</v>
      </c>
      <c r="AF418" s="10" t="b">
        <v>0</v>
      </c>
      <c r="AG418" s="10" t="b">
        <v>0</v>
      </c>
      <c r="AH418" s="144"/>
      <c r="AI418" s="3"/>
      <c r="AJ418" s="10"/>
      <c r="AK418" s="3" t="s">
        <v>244</v>
      </c>
      <c r="AL418" s="5"/>
      <c r="AM418" s="5" t="s">
        <v>1334</v>
      </c>
      <c r="AN418" s="5" t="s">
        <v>1335</v>
      </c>
      <c r="AO418" s="5" t="s">
        <v>2185</v>
      </c>
      <c r="AP418" s="5" t="s">
        <v>2185</v>
      </c>
      <c r="AQ418" s="5" t="s">
        <v>2185</v>
      </c>
      <c r="AR418" s="5" t="s">
        <v>2185</v>
      </c>
      <c r="AS418" s="142"/>
      <c r="AT418" s="142" t="b">
        <v>0</v>
      </c>
      <c r="AU418" s="142"/>
      <c r="AV418" s="142"/>
      <c r="AW418" s="142"/>
      <c r="AX418" s="142"/>
      <c r="AY418" s="142"/>
      <c r="AZ418" s="174"/>
      <c r="BA418" s="142"/>
      <c r="BB418" s="142"/>
      <c r="BC418" s="142"/>
      <c r="BD418" s="142"/>
      <c r="BE418" s="142"/>
      <c r="BF418" s="142"/>
      <c r="BG418" s="142"/>
    </row>
    <row r="419">
      <c r="A419" s="5" t="s">
        <v>1415</v>
      </c>
      <c r="B419" s="44">
        <v>44611.0</v>
      </c>
      <c r="C419" s="150">
        <v>0.3107523148148148</v>
      </c>
      <c r="D419" s="3"/>
      <c r="E419" s="3"/>
      <c r="F419" s="5"/>
      <c r="G419" s="5"/>
      <c r="H419" s="5"/>
      <c r="I419" s="3"/>
      <c r="J419" s="3"/>
      <c r="K419" s="3" t="s">
        <v>244</v>
      </c>
      <c r="L419" s="44">
        <v>44611.0</v>
      </c>
      <c r="M419" s="150">
        <v>0.48824074074074075</v>
      </c>
      <c r="N419" s="5"/>
      <c r="O419" s="5"/>
      <c r="P419" s="10" t="s">
        <v>2187</v>
      </c>
      <c r="Q419" s="10" t="s">
        <v>2187</v>
      </c>
      <c r="R419" s="144" t="b">
        <v>1</v>
      </c>
      <c r="S419" s="144">
        <v>1.0</v>
      </c>
      <c r="T419" s="10"/>
      <c r="U419" s="5"/>
      <c r="V419" s="3"/>
      <c r="W419" s="5"/>
      <c r="X419" s="144" t="b">
        <v>0</v>
      </c>
      <c r="Y419" s="10" t="b">
        <v>0</v>
      </c>
      <c r="Z419" s="3"/>
      <c r="AA419" s="10" t="b">
        <v>0</v>
      </c>
      <c r="AB419" s="10" t="b">
        <v>0</v>
      </c>
      <c r="AC419" s="181">
        <v>344.0</v>
      </c>
      <c r="AD419" s="144" t="b">
        <v>0</v>
      </c>
      <c r="AE419" s="182">
        <v>255.58333333333337</v>
      </c>
      <c r="AF419" s="10" t="b">
        <v>0</v>
      </c>
      <c r="AG419" s="10" t="b">
        <v>0</v>
      </c>
      <c r="AH419" s="144"/>
      <c r="AI419" s="3">
        <v>1.3</v>
      </c>
      <c r="AJ419" s="10"/>
      <c r="AK419" s="3" t="s">
        <v>244</v>
      </c>
      <c r="AL419" s="5"/>
      <c r="AM419" s="5" t="s">
        <v>1334</v>
      </c>
      <c r="AN419" s="5" t="s">
        <v>893</v>
      </c>
      <c r="AO419" s="5" t="s">
        <v>2185</v>
      </c>
      <c r="AP419" s="5" t="s">
        <v>2185</v>
      </c>
      <c r="AQ419" s="5" t="s">
        <v>2185</v>
      </c>
      <c r="AR419" s="5" t="s">
        <v>2185</v>
      </c>
      <c r="AS419" s="142"/>
      <c r="AT419" s="142" t="b">
        <v>0</v>
      </c>
      <c r="AU419" s="142"/>
      <c r="AV419" s="142"/>
      <c r="AW419" s="142"/>
      <c r="AX419" s="142"/>
      <c r="AY419" s="142"/>
      <c r="AZ419" s="174"/>
      <c r="BA419" s="142"/>
      <c r="BB419" s="142"/>
      <c r="BC419" s="142"/>
      <c r="BD419" s="142"/>
      <c r="BE419" s="142"/>
      <c r="BF419" s="142"/>
      <c r="BG419" s="142"/>
    </row>
    <row r="420">
      <c r="A420" s="5" t="s">
        <v>1417</v>
      </c>
      <c r="B420" s="44">
        <v>44611.0</v>
      </c>
      <c r="C420" s="150">
        <v>0.3114236111111111</v>
      </c>
      <c r="D420" s="3"/>
      <c r="E420" s="3"/>
      <c r="F420" s="5"/>
      <c r="G420" s="5"/>
      <c r="H420" s="5"/>
      <c r="I420" s="3"/>
      <c r="J420" s="3"/>
      <c r="K420" s="3" t="s">
        <v>244</v>
      </c>
      <c r="L420" s="44">
        <v>44611.0</v>
      </c>
      <c r="M420" s="150">
        <v>0.4882523148148148</v>
      </c>
      <c r="N420" s="5"/>
      <c r="O420" s="5"/>
      <c r="P420" s="10" t="b">
        <v>0</v>
      </c>
      <c r="Q420" s="10" t="s">
        <v>2184</v>
      </c>
      <c r="R420" s="144" t="b">
        <v>1</v>
      </c>
      <c r="S420" s="144">
        <v>1.0</v>
      </c>
      <c r="T420" s="10"/>
      <c r="U420" s="5"/>
      <c r="V420" s="3"/>
      <c r="W420" s="5"/>
      <c r="X420" s="144" t="b">
        <v>0</v>
      </c>
      <c r="Y420" s="10" t="b">
        <v>0</v>
      </c>
      <c r="Z420" s="3"/>
      <c r="AA420" s="10" t="b">
        <v>0</v>
      </c>
      <c r="AB420" s="10" t="b">
        <v>0</v>
      </c>
      <c r="AC420" s="181">
        <v>342.0</v>
      </c>
      <c r="AD420" s="144" t="b">
        <v>0</v>
      </c>
      <c r="AE420" s="182">
        <v>254.63333333333327</v>
      </c>
      <c r="AF420" s="10" t="b">
        <v>0</v>
      </c>
      <c r="AG420" s="10" t="b">
        <v>0</v>
      </c>
      <c r="AH420" s="144"/>
      <c r="AI420" s="3"/>
      <c r="AJ420" s="10"/>
      <c r="AK420" s="3" t="s">
        <v>244</v>
      </c>
      <c r="AL420" s="5"/>
      <c r="AM420" s="5" t="s">
        <v>471</v>
      </c>
      <c r="AN420" s="5" t="s">
        <v>472</v>
      </c>
      <c r="AO420" s="5" t="s">
        <v>2185</v>
      </c>
      <c r="AP420" s="5" t="s">
        <v>2185</v>
      </c>
      <c r="AQ420" s="5" t="s">
        <v>2185</v>
      </c>
      <c r="AR420" s="5" t="s">
        <v>2185</v>
      </c>
      <c r="AS420" s="142"/>
      <c r="AT420" s="142" t="b">
        <v>0</v>
      </c>
      <c r="AU420" s="142"/>
      <c r="AV420" s="142"/>
      <c r="AW420" s="142"/>
      <c r="AX420" s="142"/>
      <c r="AY420" s="142"/>
      <c r="AZ420" s="174"/>
      <c r="BA420" s="142"/>
      <c r="BB420" s="142"/>
      <c r="BC420" s="142"/>
      <c r="BD420" s="142"/>
      <c r="BE420" s="142"/>
      <c r="BF420" s="142"/>
      <c r="BG420" s="142"/>
    </row>
    <row r="421">
      <c r="A421" s="5" t="s">
        <v>1419</v>
      </c>
      <c r="B421" s="44">
        <v>44611.0</v>
      </c>
      <c r="C421" s="150">
        <v>0.3116550925925926</v>
      </c>
      <c r="D421" s="3"/>
      <c r="E421" s="3"/>
      <c r="F421" s="5"/>
      <c r="G421" s="5"/>
      <c r="H421" s="5"/>
      <c r="I421" s="3"/>
      <c r="J421" s="3"/>
      <c r="K421" s="3" t="s">
        <v>244</v>
      </c>
      <c r="L421" s="44">
        <v>44611.0</v>
      </c>
      <c r="M421" s="150">
        <v>0.4882523148148148</v>
      </c>
      <c r="N421" s="5"/>
      <c r="O421" s="5"/>
      <c r="P421" s="10" t="b">
        <v>0</v>
      </c>
      <c r="Q421" s="10" t="s">
        <v>2184</v>
      </c>
      <c r="R421" s="144" t="b">
        <v>1</v>
      </c>
      <c r="S421" s="144">
        <v>1.0</v>
      </c>
      <c r="T421" s="10"/>
      <c r="U421" s="5"/>
      <c r="V421" s="3"/>
      <c r="W421" s="5"/>
      <c r="X421" s="144" t="b">
        <v>0</v>
      </c>
      <c r="Y421" s="10" t="b">
        <v>0</v>
      </c>
      <c r="Z421" s="3"/>
      <c r="AA421" s="10" t="b">
        <v>0</v>
      </c>
      <c r="AB421" s="10" t="b">
        <v>0</v>
      </c>
      <c r="AC421" s="181">
        <v>341.0</v>
      </c>
      <c r="AD421" s="144" t="b">
        <v>0</v>
      </c>
      <c r="AE421" s="182">
        <v>254.29999999999995</v>
      </c>
      <c r="AF421" s="10" t="b">
        <v>0</v>
      </c>
      <c r="AG421" s="10" t="b">
        <v>0</v>
      </c>
      <c r="AH421" s="144"/>
      <c r="AI421" s="3"/>
      <c r="AJ421" s="10"/>
      <c r="AK421" s="3" t="s">
        <v>244</v>
      </c>
      <c r="AL421" s="5"/>
      <c r="AM421" s="5" t="s">
        <v>1420</v>
      </c>
      <c r="AN421" s="5" t="s">
        <v>1421</v>
      </c>
      <c r="AO421" s="5" t="s">
        <v>2185</v>
      </c>
      <c r="AP421" s="5" t="s">
        <v>2185</v>
      </c>
      <c r="AQ421" s="5" t="s">
        <v>2185</v>
      </c>
      <c r="AR421" s="5" t="s">
        <v>2185</v>
      </c>
      <c r="AS421" s="142"/>
      <c r="AT421" s="142" t="b">
        <v>0</v>
      </c>
      <c r="AU421" s="142"/>
      <c r="AV421" s="142"/>
      <c r="AW421" s="142"/>
      <c r="AX421" s="142"/>
      <c r="AY421" s="142"/>
      <c r="AZ421" s="174"/>
      <c r="BA421" s="142"/>
      <c r="BB421" s="142"/>
      <c r="BC421" s="142"/>
      <c r="BD421" s="142"/>
      <c r="BE421" s="142"/>
      <c r="BF421" s="142"/>
      <c r="BG421" s="142"/>
    </row>
    <row r="422">
      <c r="A422" s="5" t="s">
        <v>1423</v>
      </c>
      <c r="B422" s="44">
        <v>44611.0</v>
      </c>
      <c r="C422" s="150">
        <v>0.3137962962962963</v>
      </c>
      <c r="D422" s="3"/>
      <c r="E422" s="3"/>
      <c r="F422" s="5"/>
      <c r="G422" s="5"/>
      <c r="H422" s="5"/>
      <c r="I422" s="183"/>
      <c r="J422" s="3"/>
      <c r="K422" s="3" t="s">
        <v>244</v>
      </c>
      <c r="L422" s="44">
        <v>44611.0</v>
      </c>
      <c r="M422" s="150">
        <v>0.4882523148148148</v>
      </c>
      <c r="N422" s="5" t="s">
        <v>247</v>
      </c>
      <c r="O422" s="5"/>
      <c r="P422" s="10" t="b">
        <v>0</v>
      </c>
      <c r="Q422" s="10" t="s">
        <v>2184</v>
      </c>
      <c r="R422" s="144" t="b">
        <v>1</v>
      </c>
      <c r="S422" s="144">
        <v>1.0</v>
      </c>
      <c r="T422" s="10">
        <v>0.0</v>
      </c>
      <c r="U422" s="5"/>
      <c r="V422" s="3"/>
      <c r="W422" s="5"/>
      <c r="X422" s="144" t="b">
        <v>0</v>
      </c>
      <c r="Y422" s="10" t="b">
        <v>0</v>
      </c>
      <c r="Z422" s="3"/>
      <c r="AA422" s="10" t="b">
        <v>0</v>
      </c>
      <c r="AB422" s="10" t="b">
        <v>0</v>
      </c>
      <c r="AC422" s="181">
        <v>806.0</v>
      </c>
      <c r="AD422" s="144" t="b">
        <v>1</v>
      </c>
      <c r="AE422" s="182">
        <v>251.21666666666667</v>
      </c>
      <c r="AF422" s="10" t="b">
        <v>0</v>
      </c>
      <c r="AG422" s="10" t="b">
        <v>0</v>
      </c>
      <c r="AH422" s="144"/>
      <c r="AI422" s="3"/>
      <c r="AJ422" s="10"/>
      <c r="AK422" s="3" t="s">
        <v>244</v>
      </c>
      <c r="AL422" s="5"/>
      <c r="AM422" s="5" t="s">
        <v>918</v>
      </c>
      <c r="AN422" s="5" t="s">
        <v>886</v>
      </c>
      <c r="AO422" s="5" t="s">
        <v>2185</v>
      </c>
      <c r="AP422" s="5" t="s">
        <v>2185</v>
      </c>
      <c r="AQ422" s="5" t="s">
        <v>2185</v>
      </c>
      <c r="AR422" s="5" t="s">
        <v>2185</v>
      </c>
      <c r="AS422" s="142"/>
      <c r="AT422" s="142" t="b">
        <v>0</v>
      </c>
      <c r="AU422" s="142"/>
      <c r="AV422" s="142"/>
      <c r="AW422" s="142"/>
      <c r="AX422" s="142"/>
      <c r="AY422" s="142"/>
      <c r="AZ422" s="174"/>
      <c r="BA422" s="142"/>
      <c r="BB422" s="142"/>
      <c r="BC422" s="142"/>
      <c r="BD422" s="142"/>
      <c r="BE422" s="142"/>
      <c r="BF422" s="142"/>
      <c r="BG422" s="142"/>
    </row>
    <row r="423">
      <c r="A423" s="5" t="s">
        <v>1425</v>
      </c>
      <c r="B423" s="44">
        <v>44611.0</v>
      </c>
      <c r="C423" s="150">
        <v>0.3148842592592593</v>
      </c>
      <c r="D423" s="3"/>
      <c r="E423" s="3"/>
      <c r="F423" s="5"/>
      <c r="G423" s="5"/>
      <c r="H423" s="5"/>
      <c r="I423" s="3"/>
      <c r="J423" s="3"/>
      <c r="K423" s="3" t="s">
        <v>244</v>
      </c>
      <c r="L423" s="44">
        <v>44611.0</v>
      </c>
      <c r="M423" s="150">
        <v>0.4882523148148148</v>
      </c>
      <c r="N423" s="5"/>
      <c r="O423" s="5"/>
      <c r="P423" s="10" t="b">
        <v>0</v>
      </c>
      <c r="Q423" s="10" t="s">
        <v>2184</v>
      </c>
      <c r="R423" s="144" t="b">
        <v>1</v>
      </c>
      <c r="S423" s="144">
        <v>1.0</v>
      </c>
      <c r="T423" s="10"/>
      <c r="U423" s="5"/>
      <c r="V423" s="3"/>
      <c r="W423" s="5"/>
      <c r="X423" s="144" t="b">
        <v>0</v>
      </c>
      <c r="Y423" s="10" t="b">
        <v>0</v>
      </c>
      <c r="Z423" s="3"/>
      <c r="AA423" s="10" t="b">
        <v>0</v>
      </c>
      <c r="AB423" s="10" t="b">
        <v>0</v>
      </c>
      <c r="AC423" s="181">
        <v>340.0</v>
      </c>
      <c r="AD423" s="144" t="b">
        <v>0</v>
      </c>
      <c r="AE423" s="182">
        <v>249.64999999999998</v>
      </c>
      <c r="AF423" s="10" t="b">
        <v>0</v>
      </c>
      <c r="AG423" s="10" t="b">
        <v>0</v>
      </c>
      <c r="AH423" s="144"/>
      <c r="AI423" s="3"/>
      <c r="AJ423" s="10"/>
      <c r="AK423" s="3" t="s">
        <v>244</v>
      </c>
      <c r="AL423" s="5"/>
      <c r="AM423" s="5" t="s">
        <v>322</v>
      </c>
      <c r="AN423" s="5" t="s">
        <v>323</v>
      </c>
      <c r="AO423" s="5" t="s">
        <v>2185</v>
      </c>
      <c r="AP423" s="5" t="s">
        <v>2185</v>
      </c>
      <c r="AQ423" s="5" t="s">
        <v>2185</v>
      </c>
      <c r="AR423" s="5" t="s">
        <v>2185</v>
      </c>
      <c r="AS423" s="142"/>
      <c r="AT423" s="142" t="b">
        <v>0</v>
      </c>
      <c r="AU423" s="142"/>
      <c r="AV423" s="142"/>
      <c r="AW423" s="142"/>
      <c r="AX423" s="142"/>
      <c r="AY423" s="142"/>
      <c r="AZ423" s="174"/>
      <c r="BA423" s="142"/>
      <c r="BB423" s="142"/>
      <c r="BC423" s="142"/>
      <c r="BD423" s="142"/>
      <c r="BE423" s="142"/>
      <c r="BF423" s="142"/>
      <c r="BG423" s="142"/>
    </row>
    <row r="424">
      <c r="A424" s="5" t="s">
        <v>1427</v>
      </c>
      <c r="B424" s="44">
        <v>44611.0</v>
      </c>
      <c r="C424" s="150">
        <v>0.3153587962962963</v>
      </c>
      <c r="D424" s="3"/>
      <c r="E424" s="3"/>
      <c r="F424" s="5"/>
      <c r="G424" s="5"/>
      <c r="H424" s="5"/>
      <c r="I424" s="3"/>
      <c r="J424" s="3"/>
      <c r="K424" s="3" t="s">
        <v>244</v>
      </c>
      <c r="L424" s="44">
        <v>44611.0</v>
      </c>
      <c r="M424" s="150">
        <v>0.4882523148148148</v>
      </c>
      <c r="N424" s="5"/>
      <c r="O424" s="5"/>
      <c r="P424" s="10" t="b">
        <v>0</v>
      </c>
      <c r="Q424" s="10" t="s">
        <v>2184</v>
      </c>
      <c r="R424" s="144" t="b">
        <v>1</v>
      </c>
      <c r="S424" s="144">
        <v>1.0</v>
      </c>
      <c r="T424" s="10"/>
      <c r="U424" s="5"/>
      <c r="V424" s="3"/>
      <c r="W424" s="5"/>
      <c r="X424" s="144" t="b">
        <v>0</v>
      </c>
      <c r="Y424" s="10" t="b">
        <v>0</v>
      </c>
      <c r="Z424" s="3"/>
      <c r="AA424" s="10" t="b">
        <v>0</v>
      </c>
      <c r="AB424" s="10" t="b">
        <v>0</v>
      </c>
      <c r="AC424" s="181">
        <v>339.0</v>
      </c>
      <c r="AD424" s="144" t="b">
        <v>0</v>
      </c>
      <c r="AE424" s="182">
        <v>248.96666666666658</v>
      </c>
      <c r="AF424" s="10" t="b">
        <v>0</v>
      </c>
      <c r="AG424" s="10" t="b">
        <v>0</v>
      </c>
      <c r="AH424" s="144"/>
      <c r="AI424" s="3"/>
      <c r="AJ424" s="10"/>
      <c r="AK424" s="3" t="s">
        <v>244</v>
      </c>
      <c r="AL424" s="5"/>
      <c r="AM424" s="5" t="s">
        <v>583</v>
      </c>
      <c r="AN424" s="5" t="s">
        <v>584</v>
      </c>
      <c r="AO424" s="5" t="s">
        <v>2185</v>
      </c>
      <c r="AP424" s="5" t="s">
        <v>2185</v>
      </c>
      <c r="AQ424" s="5" t="s">
        <v>2185</v>
      </c>
      <c r="AR424" s="5" t="s">
        <v>2185</v>
      </c>
      <c r="AS424" s="142"/>
      <c r="AT424" s="142" t="b">
        <v>0</v>
      </c>
      <c r="AU424" s="142"/>
      <c r="AV424" s="142"/>
      <c r="AW424" s="142"/>
      <c r="AX424" s="142"/>
      <c r="AY424" s="142"/>
      <c r="AZ424" s="174"/>
      <c r="BA424" s="142"/>
      <c r="BB424" s="142"/>
      <c r="BC424" s="142"/>
      <c r="BD424" s="142"/>
      <c r="BE424" s="142"/>
      <c r="BF424" s="142"/>
      <c r="BG424" s="142"/>
    </row>
    <row r="425">
      <c r="A425" s="5" t="s">
        <v>1429</v>
      </c>
      <c r="B425" s="44">
        <v>44611.0</v>
      </c>
      <c r="C425" s="150">
        <v>0.3154282407407407</v>
      </c>
      <c r="D425" s="3"/>
      <c r="E425" s="3"/>
      <c r="F425" s="5"/>
      <c r="G425" s="5"/>
      <c r="H425" s="5"/>
      <c r="I425" s="3"/>
      <c r="J425" s="3"/>
      <c r="K425" s="3" t="s">
        <v>244</v>
      </c>
      <c r="L425" s="44">
        <v>44611.0</v>
      </c>
      <c r="M425" s="150">
        <v>0.4882523148148148</v>
      </c>
      <c r="N425" s="5"/>
      <c r="O425" s="5"/>
      <c r="P425" s="10" t="b">
        <v>0</v>
      </c>
      <c r="Q425" s="10" t="s">
        <v>2184</v>
      </c>
      <c r="R425" s="144" t="b">
        <v>1</v>
      </c>
      <c r="S425" s="144">
        <v>1.0</v>
      </c>
      <c r="T425" s="10"/>
      <c r="U425" s="5"/>
      <c r="V425" s="3"/>
      <c r="W425" s="5"/>
      <c r="X425" s="144" t="b">
        <v>0</v>
      </c>
      <c r="Y425" s="10" t="b">
        <v>0</v>
      </c>
      <c r="Z425" s="3"/>
      <c r="AA425" s="10" t="b">
        <v>0</v>
      </c>
      <c r="AB425" s="10" t="b">
        <v>0</v>
      </c>
      <c r="AC425" s="181">
        <v>338.0</v>
      </c>
      <c r="AD425" s="144" t="b">
        <v>0</v>
      </c>
      <c r="AE425" s="182">
        <v>248.86666666666667</v>
      </c>
      <c r="AF425" s="10" t="b">
        <v>0</v>
      </c>
      <c r="AG425" s="10" t="b">
        <v>0</v>
      </c>
      <c r="AH425" s="144"/>
      <c r="AI425" s="3"/>
      <c r="AJ425" s="10"/>
      <c r="AK425" s="3" t="s">
        <v>244</v>
      </c>
      <c r="AL425" s="5"/>
      <c r="AM425" s="5" t="s">
        <v>633</v>
      </c>
      <c r="AN425" s="5" t="s">
        <v>634</v>
      </c>
      <c r="AO425" s="5" t="s">
        <v>2185</v>
      </c>
      <c r="AP425" s="5" t="s">
        <v>2185</v>
      </c>
      <c r="AQ425" s="5" t="s">
        <v>2185</v>
      </c>
      <c r="AR425" s="5" t="s">
        <v>2185</v>
      </c>
      <c r="AS425" s="142"/>
      <c r="AT425" s="142" t="b">
        <v>0</v>
      </c>
      <c r="AU425" s="142"/>
      <c r="AV425" s="142"/>
      <c r="AW425" s="142"/>
      <c r="AX425" s="142"/>
      <c r="AY425" s="142"/>
      <c r="AZ425" s="174"/>
      <c r="BA425" s="142"/>
      <c r="BB425" s="142"/>
      <c r="BC425" s="142"/>
      <c r="BD425" s="142"/>
      <c r="BE425" s="142"/>
      <c r="BF425" s="142"/>
      <c r="BG425" s="142"/>
    </row>
    <row r="426">
      <c r="A426" s="5" t="s">
        <v>1431</v>
      </c>
      <c r="B426" s="44">
        <v>44611.0</v>
      </c>
      <c r="C426" s="150">
        <v>0.31581018518518517</v>
      </c>
      <c r="D426" s="3"/>
      <c r="E426" s="3"/>
      <c r="F426" s="5"/>
      <c r="G426" s="5"/>
      <c r="H426" s="5"/>
      <c r="I426" s="183"/>
      <c r="J426" s="3"/>
      <c r="K426" s="3" t="s">
        <v>244</v>
      </c>
      <c r="L426" s="44">
        <v>44611.0</v>
      </c>
      <c r="M426" s="150">
        <v>0.4882523148148148</v>
      </c>
      <c r="N426" s="5" t="s">
        <v>247</v>
      </c>
      <c r="O426" s="5"/>
      <c r="P426" s="10" t="b">
        <v>0</v>
      </c>
      <c r="Q426" s="10" t="s">
        <v>2184</v>
      </c>
      <c r="R426" s="144" t="b">
        <v>1</v>
      </c>
      <c r="S426" s="144">
        <v>1.0</v>
      </c>
      <c r="T426" s="10">
        <v>0.0</v>
      </c>
      <c r="U426" s="5"/>
      <c r="V426" s="3"/>
      <c r="W426" s="5"/>
      <c r="X426" s="144" t="b">
        <v>0</v>
      </c>
      <c r="Y426" s="10" t="b">
        <v>0</v>
      </c>
      <c r="Z426" s="3"/>
      <c r="AA426" s="10" t="b">
        <v>0</v>
      </c>
      <c r="AB426" s="10" t="b">
        <v>0</v>
      </c>
      <c r="AC426" s="181">
        <v>798.0</v>
      </c>
      <c r="AD426" s="144" t="b">
        <v>1</v>
      </c>
      <c r="AE426" s="182">
        <v>248.31666666666663</v>
      </c>
      <c r="AF426" s="10" t="b">
        <v>0</v>
      </c>
      <c r="AG426" s="10" t="b">
        <v>0</v>
      </c>
      <c r="AH426" s="144"/>
      <c r="AI426" s="3"/>
      <c r="AJ426" s="10"/>
      <c r="AK426" s="3" t="s">
        <v>244</v>
      </c>
      <c r="AL426" s="5"/>
      <c r="AM426" s="5" t="s">
        <v>500</v>
      </c>
      <c r="AN426" s="5" t="s">
        <v>377</v>
      </c>
      <c r="AO426" s="5" t="s">
        <v>2185</v>
      </c>
      <c r="AP426" s="5" t="s">
        <v>2185</v>
      </c>
      <c r="AQ426" s="5" t="s">
        <v>2185</v>
      </c>
      <c r="AR426" s="5" t="s">
        <v>2185</v>
      </c>
      <c r="AS426" s="142"/>
      <c r="AT426" s="142" t="b">
        <v>0</v>
      </c>
      <c r="AU426" s="142"/>
      <c r="AV426" s="142"/>
      <c r="AW426" s="142"/>
      <c r="AX426" s="142"/>
      <c r="AY426" s="142"/>
      <c r="AZ426" s="174"/>
      <c r="BA426" s="142"/>
      <c r="BB426" s="142"/>
      <c r="BC426" s="142"/>
      <c r="BD426" s="142"/>
      <c r="BE426" s="142"/>
      <c r="BF426" s="142"/>
      <c r="BG426" s="142"/>
    </row>
    <row r="427">
      <c r="A427" s="5" t="s">
        <v>1433</v>
      </c>
      <c r="B427" s="44">
        <v>44611.0</v>
      </c>
      <c r="C427" s="150">
        <v>0.3173611111111111</v>
      </c>
      <c r="D427" s="3"/>
      <c r="E427" s="3"/>
      <c r="F427" s="5"/>
      <c r="G427" s="5"/>
      <c r="H427" s="5"/>
      <c r="I427" s="3"/>
      <c r="J427" s="3"/>
      <c r="K427" s="3" t="s">
        <v>244</v>
      </c>
      <c r="L427" s="44">
        <v>44611.0</v>
      </c>
      <c r="M427" s="150">
        <v>0.4882523148148148</v>
      </c>
      <c r="N427" s="5"/>
      <c r="O427" s="5"/>
      <c r="P427" s="10" t="b">
        <v>0</v>
      </c>
      <c r="Q427" s="10" t="s">
        <v>2184</v>
      </c>
      <c r="R427" s="144" t="b">
        <v>1</v>
      </c>
      <c r="S427" s="144">
        <v>1.0</v>
      </c>
      <c r="T427" s="10"/>
      <c r="U427" s="5"/>
      <c r="V427" s="3"/>
      <c r="W427" s="5"/>
      <c r="X427" s="144" t="b">
        <v>0</v>
      </c>
      <c r="Y427" s="10" t="b">
        <v>0</v>
      </c>
      <c r="Z427" s="3"/>
      <c r="AA427" s="10" t="b">
        <v>0</v>
      </c>
      <c r="AB427" s="10" t="b">
        <v>0</v>
      </c>
      <c r="AC427" s="181">
        <v>337.0</v>
      </c>
      <c r="AD427" s="144" t="b">
        <v>0</v>
      </c>
      <c r="AE427" s="182">
        <v>246.08333333333331</v>
      </c>
      <c r="AF427" s="10" t="b">
        <v>0</v>
      </c>
      <c r="AG427" s="10" t="b">
        <v>0</v>
      </c>
      <c r="AH427" s="144"/>
      <c r="AI427" s="3"/>
      <c r="AJ427" s="10"/>
      <c r="AK427" s="3" t="s">
        <v>244</v>
      </c>
      <c r="AL427" s="5"/>
      <c r="AM427" s="5" t="s">
        <v>1099</v>
      </c>
      <c r="AN427" s="5" t="s">
        <v>1100</v>
      </c>
      <c r="AO427" s="5" t="s">
        <v>2185</v>
      </c>
      <c r="AP427" s="5" t="s">
        <v>2185</v>
      </c>
      <c r="AQ427" s="5" t="s">
        <v>2185</v>
      </c>
      <c r="AR427" s="5" t="s">
        <v>2185</v>
      </c>
      <c r="AS427" s="142"/>
      <c r="AT427" s="142" t="b">
        <v>0</v>
      </c>
      <c r="AU427" s="142"/>
      <c r="AV427" s="142"/>
      <c r="AW427" s="142"/>
      <c r="AX427" s="142"/>
      <c r="AY427" s="142"/>
      <c r="AZ427" s="174"/>
      <c r="BA427" s="142"/>
      <c r="BB427" s="142"/>
      <c r="BC427" s="142"/>
      <c r="BD427" s="142"/>
      <c r="BE427" s="142"/>
      <c r="BF427" s="142"/>
      <c r="BG427" s="142"/>
    </row>
    <row r="428">
      <c r="A428" s="5" t="s">
        <v>1435</v>
      </c>
      <c r="B428" s="44">
        <v>44611.0</v>
      </c>
      <c r="C428" s="150">
        <v>0.3180439814814815</v>
      </c>
      <c r="D428" s="3"/>
      <c r="E428" s="3"/>
      <c r="F428" s="5"/>
      <c r="G428" s="5"/>
      <c r="H428" s="5"/>
      <c r="I428" s="183"/>
      <c r="J428" s="3"/>
      <c r="K428" s="3" t="s">
        <v>244</v>
      </c>
      <c r="L428" s="44">
        <v>44611.0</v>
      </c>
      <c r="M428" s="150">
        <v>0.4882523148148148</v>
      </c>
      <c r="N428" s="5" t="s">
        <v>247</v>
      </c>
      <c r="O428" s="5"/>
      <c r="P428" s="10" t="b">
        <v>0</v>
      </c>
      <c r="Q428" s="10" t="s">
        <v>2184</v>
      </c>
      <c r="R428" s="144" t="b">
        <v>1</v>
      </c>
      <c r="S428" s="144">
        <v>1.0</v>
      </c>
      <c r="T428" s="10">
        <v>0.0</v>
      </c>
      <c r="U428" s="5"/>
      <c r="V428" s="3"/>
      <c r="W428" s="5"/>
      <c r="X428" s="144" t="b">
        <v>0</v>
      </c>
      <c r="Y428" s="10" t="b">
        <v>0</v>
      </c>
      <c r="Z428" s="3"/>
      <c r="AA428" s="10" t="b">
        <v>0</v>
      </c>
      <c r="AB428" s="10" t="b">
        <v>0</v>
      </c>
      <c r="AC428" s="181">
        <v>810.0</v>
      </c>
      <c r="AD428" s="144" t="b">
        <v>1</v>
      </c>
      <c r="AE428" s="182">
        <v>245.09999999999994</v>
      </c>
      <c r="AF428" s="10" t="b">
        <v>0</v>
      </c>
      <c r="AG428" s="10" t="b">
        <v>0</v>
      </c>
      <c r="AH428" s="144"/>
      <c r="AI428" s="3"/>
      <c r="AJ428" s="10"/>
      <c r="AK428" s="3" t="s">
        <v>244</v>
      </c>
      <c r="AL428" s="5"/>
      <c r="AM428" s="5" t="s">
        <v>918</v>
      </c>
      <c r="AN428" s="5" t="s">
        <v>923</v>
      </c>
      <c r="AO428" s="5" t="s">
        <v>2185</v>
      </c>
      <c r="AP428" s="5" t="s">
        <v>2185</v>
      </c>
      <c r="AQ428" s="5" t="s">
        <v>2185</v>
      </c>
      <c r="AR428" s="5" t="s">
        <v>2185</v>
      </c>
      <c r="AS428" s="142"/>
      <c r="AT428" s="142" t="b">
        <v>0</v>
      </c>
      <c r="AU428" s="142"/>
      <c r="AV428" s="142"/>
      <c r="AW428" s="142"/>
      <c r="AX428" s="142"/>
      <c r="AY428" s="142"/>
      <c r="AZ428" s="174"/>
      <c r="BA428" s="142"/>
      <c r="BB428" s="142"/>
      <c r="BC428" s="142"/>
      <c r="BD428" s="142"/>
      <c r="BE428" s="142"/>
      <c r="BF428" s="142"/>
      <c r="BG428" s="142"/>
    </row>
    <row r="429">
      <c r="A429" s="5" t="s">
        <v>1437</v>
      </c>
      <c r="B429" s="44">
        <v>44611.0</v>
      </c>
      <c r="C429" s="150">
        <v>0.318912037037037</v>
      </c>
      <c r="D429" s="3"/>
      <c r="E429" s="3"/>
      <c r="F429" s="5"/>
      <c r="G429" s="5"/>
      <c r="H429" s="5"/>
      <c r="I429" s="3"/>
      <c r="J429" s="3"/>
      <c r="K429" s="3" t="s">
        <v>244</v>
      </c>
      <c r="L429" s="44">
        <v>44611.0</v>
      </c>
      <c r="M429" s="150">
        <v>0.4882523148148148</v>
      </c>
      <c r="N429" s="5"/>
      <c r="O429" s="5"/>
      <c r="P429" s="10" t="b">
        <v>0</v>
      </c>
      <c r="Q429" s="10" t="s">
        <v>2184</v>
      </c>
      <c r="R429" s="144" t="b">
        <v>1</v>
      </c>
      <c r="S429" s="144">
        <v>1.0</v>
      </c>
      <c r="T429" s="10"/>
      <c r="U429" s="5"/>
      <c r="V429" s="3"/>
      <c r="W429" s="5"/>
      <c r="X429" s="144" t="b">
        <v>0</v>
      </c>
      <c r="Y429" s="10" t="b">
        <v>0</v>
      </c>
      <c r="Z429" s="3"/>
      <c r="AA429" s="10" t="b">
        <v>0</v>
      </c>
      <c r="AB429" s="10" t="b">
        <v>0</v>
      </c>
      <c r="AC429" s="181">
        <v>336.0</v>
      </c>
      <c r="AD429" s="144" t="b">
        <v>0</v>
      </c>
      <c r="AE429" s="182">
        <v>243.85000000000002</v>
      </c>
      <c r="AF429" s="10" t="b">
        <v>0</v>
      </c>
      <c r="AG429" s="10" t="b">
        <v>0</v>
      </c>
      <c r="AH429" s="144"/>
      <c r="AI429" s="3"/>
      <c r="AJ429" s="10"/>
      <c r="AK429" s="3" t="s">
        <v>244</v>
      </c>
      <c r="AL429" s="5"/>
      <c r="AM429" s="5" t="s">
        <v>1191</v>
      </c>
      <c r="AN429" s="5" t="s">
        <v>1192</v>
      </c>
      <c r="AO429" s="5" t="s">
        <v>2185</v>
      </c>
      <c r="AP429" s="5" t="s">
        <v>2185</v>
      </c>
      <c r="AQ429" s="5" t="s">
        <v>2185</v>
      </c>
      <c r="AR429" s="5" t="s">
        <v>2185</v>
      </c>
      <c r="AS429" s="142"/>
      <c r="AT429" s="142" t="b">
        <v>0</v>
      </c>
      <c r="AU429" s="142"/>
      <c r="AV429" s="142"/>
      <c r="AW429" s="142"/>
      <c r="AX429" s="142"/>
      <c r="AY429" s="142"/>
      <c r="AZ429" s="174"/>
      <c r="BA429" s="142"/>
      <c r="BB429" s="142"/>
      <c r="BC429" s="142"/>
      <c r="BD429" s="142"/>
      <c r="BE429" s="142"/>
      <c r="BF429" s="142"/>
      <c r="BG429" s="142"/>
    </row>
    <row r="430">
      <c r="A430" s="5" t="s">
        <v>1439</v>
      </c>
      <c r="B430" s="44">
        <v>44611.0</v>
      </c>
      <c r="C430" s="150">
        <v>0.3209606481481482</v>
      </c>
      <c r="D430" s="3"/>
      <c r="E430" s="3"/>
      <c r="F430" s="5"/>
      <c r="G430" s="5"/>
      <c r="H430" s="5"/>
      <c r="I430" s="3"/>
      <c r="J430" s="3"/>
      <c r="K430" s="3" t="s">
        <v>244</v>
      </c>
      <c r="L430" s="44">
        <v>44611.0</v>
      </c>
      <c r="M430" s="150">
        <v>0.4882523148148148</v>
      </c>
      <c r="N430" s="5"/>
      <c r="O430" s="5"/>
      <c r="P430" s="10" t="b">
        <v>0</v>
      </c>
      <c r="Q430" s="10" t="s">
        <v>2184</v>
      </c>
      <c r="R430" s="144" t="b">
        <v>1</v>
      </c>
      <c r="S430" s="144">
        <v>1.0</v>
      </c>
      <c r="T430" s="10"/>
      <c r="U430" s="5"/>
      <c r="V430" s="3"/>
      <c r="W430" s="5"/>
      <c r="X430" s="144" t="b">
        <v>0</v>
      </c>
      <c r="Y430" s="10" t="b">
        <v>0</v>
      </c>
      <c r="Z430" s="3"/>
      <c r="AA430" s="10" t="b">
        <v>0</v>
      </c>
      <c r="AB430" s="10" t="b">
        <v>0</v>
      </c>
      <c r="AC430" s="181">
        <v>335.0</v>
      </c>
      <c r="AD430" s="144" t="b">
        <v>0</v>
      </c>
      <c r="AE430" s="182">
        <v>240.89999999999992</v>
      </c>
      <c r="AF430" s="10" t="b">
        <v>0</v>
      </c>
      <c r="AG430" s="10" t="b">
        <v>0</v>
      </c>
      <c r="AH430" s="144"/>
      <c r="AI430" s="3"/>
      <c r="AJ430" s="10"/>
      <c r="AK430" s="3" t="s">
        <v>244</v>
      </c>
      <c r="AL430" s="5"/>
      <c r="AM430" s="5" t="s">
        <v>409</v>
      </c>
      <c r="AN430" s="5" t="s">
        <v>410</v>
      </c>
      <c r="AO430" s="5" t="s">
        <v>2185</v>
      </c>
      <c r="AP430" s="5" t="s">
        <v>2185</v>
      </c>
      <c r="AQ430" s="5" t="s">
        <v>2185</v>
      </c>
      <c r="AR430" s="5" t="s">
        <v>2185</v>
      </c>
      <c r="AS430" s="142"/>
      <c r="AT430" s="142" t="b">
        <v>0</v>
      </c>
      <c r="AU430" s="142"/>
      <c r="AV430" s="142"/>
      <c r="AW430" s="142"/>
      <c r="AX430" s="142"/>
      <c r="AY430" s="142"/>
      <c r="AZ430" s="174"/>
      <c r="BA430" s="142"/>
      <c r="BB430" s="142"/>
      <c r="BC430" s="142"/>
      <c r="BD430" s="142"/>
      <c r="BE430" s="142"/>
      <c r="BF430" s="142"/>
      <c r="BG430" s="142"/>
    </row>
    <row r="431">
      <c r="A431" s="5" t="s">
        <v>1441</v>
      </c>
      <c r="B431" s="44">
        <v>44611.0</v>
      </c>
      <c r="C431" s="150">
        <v>0.3225925925925926</v>
      </c>
      <c r="D431" s="3"/>
      <c r="E431" s="3"/>
      <c r="F431" s="5"/>
      <c r="G431" s="5"/>
      <c r="H431" s="5"/>
      <c r="I431" s="3"/>
      <c r="J431" s="3"/>
      <c r="K431" s="3" t="s">
        <v>244</v>
      </c>
      <c r="L431" s="44">
        <v>44611.0</v>
      </c>
      <c r="M431" s="150">
        <v>0.4882523148148148</v>
      </c>
      <c r="N431" s="5"/>
      <c r="O431" s="5"/>
      <c r="P431" s="10" t="b">
        <v>0</v>
      </c>
      <c r="Q431" s="10" t="s">
        <v>2184</v>
      </c>
      <c r="R431" s="144" t="b">
        <v>1</v>
      </c>
      <c r="S431" s="144">
        <v>1.0</v>
      </c>
      <c r="T431" s="10"/>
      <c r="U431" s="5"/>
      <c r="V431" s="3"/>
      <c r="W431" s="5"/>
      <c r="X431" s="144" t="b">
        <v>0</v>
      </c>
      <c r="Y431" s="10" t="b">
        <v>0</v>
      </c>
      <c r="Z431" s="3"/>
      <c r="AA431" s="10" t="b">
        <v>0</v>
      </c>
      <c r="AB431" s="10" t="b">
        <v>0</v>
      </c>
      <c r="AC431" s="181">
        <v>334.0</v>
      </c>
      <c r="AD431" s="144" t="b">
        <v>0</v>
      </c>
      <c r="AE431" s="182">
        <v>238.54999999999995</v>
      </c>
      <c r="AF431" s="10" t="b">
        <v>0</v>
      </c>
      <c r="AG431" s="10" t="b">
        <v>0</v>
      </c>
      <c r="AH431" s="144"/>
      <c r="AI431" s="3"/>
      <c r="AJ431" s="10"/>
      <c r="AK431" s="3" t="s">
        <v>244</v>
      </c>
      <c r="AL431" s="5"/>
      <c r="AM431" s="5" t="s">
        <v>573</v>
      </c>
      <c r="AN431" s="5" t="s">
        <v>574</v>
      </c>
      <c r="AO431" s="5" t="s">
        <v>2185</v>
      </c>
      <c r="AP431" s="5" t="s">
        <v>2185</v>
      </c>
      <c r="AQ431" s="5" t="s">
        <v>2185</v>
      </c>
      <c r="AR431" s="5" t="s">
        <v>2185</v>
      </c>
      <c r="AS431" s="142"/>
      <c r="AT431" s="142" t="b">
        <v>0</v>
      </c>
      <c r="AU431" s="142"/>
      <c r="AV431" s="142"/>
      <c r="AW431" s="142"/>
      <c r="AX431" s="142"/>
      <c r="AY431" s="142"/>
      <c r="AZ431" s="174"/>
      <c r="BA431" s="142"/>
      <c r="BB431" s="142"/>
      <c r="BC431" s="142"/>
      <c r="BD431" s="142"/>
      <c r="BE431" s="142"/>
      <c r="BF431" s="142"/>
      <c r="BG431" s="142"/>
    </row>
    <row r="432">
      <c r="A432" s="5" t="s">
        <v>1443</v>
      </c>
      <c r="B432" s="44">
        <v>44611.0</v>
      </c>
      <c r="C432" s="150">
        <v>0.3233333333333333</v>
      </c>
      <c r="D432" s="3"/>
      <c r="E432" s="3"/>
      <c r="F432" s="5"/>
      <c r="G432" s="5"/>
      <c r="H432" s="5"/>
      <c r="I432" s="3"/>
      <c r="J432" s="3"/>
      <c r="K432" s="3" t="s">
        <v>244</v>
      </c>
      <c r="L432" s="44">
        <v>44611.0</v>
      </c>
      <c r="M432" s="150">
        <v>0.4882523148148148</v>
      </c>
      <c r="N432" s="5"/>
      <c r="O432" s="5"/>
      <c r="P432" s="10" t="b">
        <v>0</v>
      </c>
      <c r="Q432" s="10" t="s">
        <v>2184</v>
      </c>
      <c r="R432" s="144" t="b">
        <v>1</v>
      </c>
      <c r="S432" s="144">
        <v>1.0</v>
      </c>
      <c r="T432" s="10"/>
      <c r="U432" s="5"/>
      <c r="V432" s="3"/>
      <c r="W432" s="5"/>
      <c r="X432" s="144" t="b">
        <v>0</v>
      </c>
      <c r="Y432" s="10" t="b">
        <v>0</v>
      </c>
      <c r="Z432" s="3"/>
      <c r="AA432" s="10" t="b">
        <v>0</v>
      </c>
      <c r="AB432" s="10" t="b">
        <v>0</v>
      </c>
      <c r="AC432" s="181">
        <v>333.0</v>
      </c>
      <c r="AD432" s="144" t="b">
        <v>0</v>
      </c>
      <c r="AE432" s="182">
        <v>237.48333333333335</v>
      </c>
      <c r="AF432" s="10" t="b">
        <v>0</v>
      </c>
      <c r="AG432" s="10" t="b">
        <v>0</v>
      </c>
      <c r="AH432" s="144"/>
      <c r="AI432" s="3"/>
      <c r="AJ432" s="10"/>
      <c r="AK432" s="3" t="s">
        <v>244</v>
      </c>
      <c r="AL432" s="5"/>
      <c r="AM432" s="5" t="s">
        <v>577</v>
      </c>
      <c r="AN432" s="5" t="s">
        <v>578</v>
      </c>
      <c r="AO432" s="5" t="s">
        <v>2185</v>
      </c>
      <c r="AP432" s="5" t="s">
        <v>2185</v>
      </c>
      <c r="AQ432" s="5" t="s">
        <v>2185</v>
      </c>
      <c r="AR432" s="5" t="s">
        <v>2185</v>
      </c>
      <c r="AS432" s="142"/>
      <c r="AT432" s="142" t="b">
        <v>0</v>
      </c>
      <c r="AU432" s="142"/>
      <c r="AV432" s="142"/>
      <c r="AW432" s="142"/>
      <c r="AX432" s="142"/>
      <c r="AY432" s="142"/>
      <c r="AZ432" s="174"/>
      <c r="BA432" s="142"/>
      <c r="BB432" s="142"/>
      <c r="BC432" s="142"/>
      <c r="BD432" s="142"/>
      <c r="BE432" s="142"/>
      <c r="BF432" s="142"/>
      <c r="BG432" s="142"/>
    </row>
    <row r="433">
      <c r="A433" s="5" t="s">
        <v>1445</v>
      </c>
      <c r="B433" s="44">
        <v>44611.0</v>
      </c>
      <c r="C433" s="150">
        <v>0.32579861111111114</v>
      </c>
      <c r="D433" s="3"/>
      <c r="E433" s="3"/>
      <c r="F433" s="5"/>
      <c r="G433" s="5"/>
      <c r="H433" s="5"/>
      <c r="I433" s="3"/>
      <c r="J433" s="3"/>
      <c r="K433" s="3" t="s">
        <v>244</v>
      </c>
      <c r="L433" s="44">
        <v>44611.0</v>
      </c>
      <c r="M433" s="150">
        <v>0.4882523148148148</v>
      </c>
      <c r="N433" s="5"/>
      <c r="O433" s="5"/>
      <c r="P433" s="10" t="b">
        <v>0</v>
      </c>
      <c r="Q433" s="10" t="s">
        <v>2184</v>
      </c>
      <c r="R433" s="144" t="b">
        <v>1</v>
      </c>
      <c r="S433" s="144">
        <v>1.0</v>
      </c>
      <c r="T433" s="10"/>
      <c r="U433" s="5"/>
      <c r="V433" s="3"/>
      <c r="W433" s="5"/>
      <c r="X433" s="144" t="b">
        <v>0</v>
      </c>
      <c r="Y433" s="10" t="b">
        <v>0</v>
      </c>
      <c r="Z433" s="3"/>
      <c r="AA433" s="10" t="b">
        <v>0</v>
      </c>
      <c r="AB433" s="10" t="b">
        <v>0</v>
      </c>
      <c r="AC433" s="181">
        <v>332.0</v>
      </c>
      <c r="AD433" s="144" t="b">
        <v>0</v>
      </c>
      <c r="AE433" s="182">
        <v>233.93333333333325</v>
      </c>
      <c r="AF433" s="10" t="b">
        <v>0</v>
      </c>
      <c r="AG433" s="10" t="b">
        <v>0</v>
      </c>
      <c r="AH433" s="144"/>
      <c r="AI433" s="3"/>
      <c r="AJ433" s="10"/>
      <c r="AK433" s="3" t="s">
        <v>244</v>
      </c>
      <c r="AL433" s="5"/>
      <c r="AM433" s="5" t="s">
        <v>314</v>
      </c>
      <c r="AN433" s="5" t="s">
        <v>315</v>
      </c>
      <c r="AO433" s="5" t="s">
        <v>2185</v>
      </c>
      <c r="AP433" s="5" t="s">
        <v>2185</v>
      </c>
      <c r="AQ433" s="5" t="s">
        <v>2185</v>
      </c>
      <c r="AR433" s="5" t="s">
        <v>2185</v>
      </c>
      <c r="AS433" s="142"/>
      <c r="AT433" s="142" t="b">
        <v>0</v>
      </c>
      <c r="AU433" s="142"/>
      <c r="AV433" s="142"/>
      <c r="AW433" s="142"/>
      <c r="AX433" s="142"/>
      <c r="AY433" s="142"/>
      <c r="AZ433" s="174"/>
      <c r="BA433" s="142"/>
      <c r="BB433" s="142"/>
      <c r="BC433" s="142"/>
      <c r="BD433" s="142"/>
      <c r="BE433" s="142"/>
      <c r="BF433" s="142"/>
      <c r="BG433" s="142"/>
    </row>
    <row r="434">
      <c r="A434" s="5" t="s">
        <v>1447</v>
      </c>
      <c r="B434" s="44">
        <v>44611.0</v>
      </c>
      <c r="C434" s="150">
        <v>0.32633101851851853</v>
      </c>
      <c r="D434" s="3"/>
      <c r="E434" s="3"/>
      <c r="F434" s="5"/>
      <c r="G434" s="5"/>
      <c r="H434" s="5"/>
      <c r="I434" s="3"/>
      <c r="J434" s="3"/>
      <c r="K434" s="3" t="s">
        <v>244</v>
      </c>
      <c r="L434" s="44">
        <v>44611.0</v>
      </c>
      <c r="M434" s="150">
        <v>0.4882523148148148</v>
      </c>
      <c r="N434" s="5"/>
      <c r="O434" s="5"/>
      <c r="P434" s="10" t="b">
        <v>0</v>
      </c>
      <c r="Q434" s="10" t="s">
        <v>2184</v>
      </c>
      <c r="R434" s="144" t="b">
        <v>1</v>
      </c>
      <c r="S434" s="144">
        <v>1.0</v>
      </c>
      <c r="T434" s="10"/>
      <c r="U434" s="5"/>
      <c r="V434" s="3"/>
      <c r="W434" s="5"/>
      <c r="X434" s="144" t="b">
        <v>0</v>
      </c>
      <c r="Y434" s="10" t="b">
        <v>0</v>
      </c>
      <c r="Z434" s="3"/>
      <c r="AA434" s="10" t="b">
        <v>0</v>
      </c>
      <c r="AB434" s="10" t="b">
        <v>0</v>
      </c>
      <c r="AC434" s="181">
        <v>331.0</v>
      </c>
      <c r="AD434" s="144" t="b">
        <v>0</v>
      </c>
      <c r="AE434" s="182">
        <v>233.1666666666666</v>
      </c>
      <c r="AF434" s="10" t="b">
        <v>0</v>
      </c>
      <c r="AG434" s="10" t="b">
        <v>0</v>
      </c>
      <c r="AH434" s="144"/>
      <c r="AI434" s="3"/>
      <c r="AJ434" s="10"/>
      <c r="AK434" s="3" t="s">
        <v>244</v>
      </c>
      <c r="AL434" s="5"/>
      <c r="AM434" s="5" t="s">
        <v>862</v>
      </c>
      <c r="AN434" s="5" t="s">
        <v>539</v>
      </c>
      <c r="AO434" s="5" t="s">
        <v>2185</v>
      </c>
      <c r="AP434" s="5" t="s">
        <v>2185</v>
      </c>
      <c r="AQ434" s="5" t="s">
        <v>2185</v>
      </c>
      <c r="AR434" s="5" t="s">
        <v>2185</v>
      </c>
      <c r="AS434" s="142"/>
      <c r="AT434" s="142" t="b">
        <v>0</v>
      </c>
      <c r="AU434" s="142"/>
      <c r="AV434" s="142"/>
      <c r="AW434" s="142"/>
      <c r="AX434" s="142"/>
      <c r="AY434" s="142"/>
      <c r="AZ434" s="174"/>
      <c r="BA434" s="142"/>
      <c r="BB434" s="142"/>
      <c r="BC434" s="142"/>
      <c r="BD434" s="142"/>
      <c r="BE434" s="142"/>
      <c r="BF434" s="142"/>
      <c r="BG434" s="142"/>
    </row>
    <row r="435">
      <c r="A435" s="5" t="s">
        <v>1449</v>
      </c>
      <c r="B435" s="44">
        <v>44611.0</v>
      </c>
      <c r="C435" s="150">
        <v>0.32788194444444446</v>
      </c>
      <c r="D435" s="3"/>
      <c r="E435" s="3"/>
      <c r="F435" s="5"/>
      <c r="G435" s="5"/>
      <c r="H435" s="5"/>
      <c r="I435" s="3"/>
      <c r="J435" s="3"/>
      <c r="K435" s="3" t="s">
        <v>244</v>
      </c>
      <c r="L435" s="44">
        <v>44611.0</v>
      </c>
      <c r="M435" s="150">
        <v>0.4882638888888889</v>
      </c>
      <c r="N435" s="5"/>
      <c r="O435" s="5"/>
      <c r="P435" s="10" t="b">
        <v>0</v>
      </c>
      <c r="Q435" s="10" t="s">
        <v>2184</v>
      </c>
      <c r="R435" s="144" t="b">
        <v>1</v>
      </c>
      <c r="S435" s="144">
        <v>1.0</v>
      </c>
      <c r="T435" s="10"/>
      <c r="U435" s="5"/>
      <c r="V435" s="3"/>
      <c r="W435" s="5"/>
      <c r="X435" s="144" t="b">
        <v>0</v>
      </c>
      <c r="Y435" s="10" t="b">
        <v>0</v>
      </c>
      <c r="Z435" s="3"/>
      <c r="AA435" s="10" t="b">
        <v>0</v>
      </c>
      <c r="AB435" s="10" t="b">
        <v>0</v>
      </c>
      <c r="AC435" s="181">
        <v>330.0</v>
      </c>
      <c r="AD435" s="144" t="b">
        <v>0</v>
      </c>
      <c r="AE435" s="182">
        <v>230.94999999999996</v>
      </c>
      <c r="AF435" s="10" t="b">
        <v>0</v>
      </c>
      <c r="AG435" s="10" t="b">
        <v>0</v>
      </c>
      <c r="AH435" s="144"/>
      <c r="AI435" s="3"/>
      <c r="AJ435" s="10"/>
      <c r="AK435" s="3" t="s">
        <v>244</v>
      </c>
      <c r="AL435" s="5"/>
      <c r="AM435" s="5" t="s">
        <v>870</v>
      </c>
      <c r="AN435" s="5" t="s">
        <v>533</v>
      </c>
      <c r="AO435" s="5" t="s">
        <v>2185</v>
      </c>
      <c r="AP435" s="5" t="s">
        <v>2185</v>
      </c>
      <c r="AQ435" s="5" t="s">
        <v>2185</v>
      </c>
      <c r="AR435" s="5" t="s">
        <v>2185</v>
      </c>
      <c r="AS435" s="142"/>
      <c r="AT435" s="142" t="b">
        <v>0</v>
      </c>
      <c r="AU435" s="142"/>
      <c r="AV435" s="142"/>
      <c r="AW435" s="142"/>
      <c r="AX435" s="142"/>
      <c r="AY435" s="142"/>
      <c r="AZ435" s="174"/>
      <c r="BA435" s="142"/>
      <c r="BB435" s="142"/>
      <c r="BC435" s="142"/>
      <c r="BD435" s="142"/>
      <c r="BE435" s="142"/>
      <c r="BF435" s="142"/>
      <c r="BG435" s="142"/>
    </row>
    <row r="436">
      <c r="A436" s="5" t="s">
        <v>1451</v>
      </c>
      <c r="B436" s="44">
        <v>44611.0</v>
      </c>
      <c r="C436" s="150">
        <v>0.32890046296296294</v>
      </c>
      <c r="D436" s="3"/>
      <c r="E436" s="3"/>
      <c r="F436" s="5"/>
      <c r="G436" s="5"/>
      <c r="H436" s="5"/>
      <c r="I436" s="3"/>
      <c r="J436" s="3"/>
      <c r="K436" s="3" t="s">
        <v>244</v>
      </c>
      <c r="L436" s="44">
        <v>44611.0</v>
      </c>
      <c r="M436" s="150">
        <v>0.4882638888888889</v>
      </c>
      <c r="N436" s="5"/>
      <c r="O436" s="5"/>
      <c r="P436" s="10" t="b">
        <v>0</v>
      </c>
      <c r="Q436" s="10" t="s">
        <v>2184</v>
      </c>
      <c r="R436" s="144" t="b">
        <v>1</v>
      </c>
      <c r="S436" s="144">
        <v>1.0</v>
      </c>
      <c r="T436" s="10"/>
      <c r="U436" s="5"/>
      <c r="V436" s="3"/>
      <c r="W436" s="5"/>
      <c r="X436" s="144" t="b">
        <v>0</v>
      </c>
      <c r="Y436" s="10" t="b">
        <v>0</v>
      </c>
      <c r="Z436" s="3"/>
      <c r="AA436" s="10" t="b">
        <v>0</v>
      </c>
      <c r="AB436" s="10" t="b">
        <v>0</v>
      </c>
      <c r="AC436" s="181">
        <v>329.0</v>
      </c>
      <c r="AD436" s="144" t="b">
        <v>0</v>
      </c>
      <c r="AE436" s="182">
        <v>229.48333333333338</v>
      </c>
      <c r="AF436" s="10" t="b">
        <v>0</v>
      </c>
      <c r="AG436" s="10" t="b">
        <v>0</v>
      </c>
      <c r="AH436" s="144"/>
      <c r="AI436" s="3"/>
      <c r="AJ436" s="10"/>
      <c r="AK436" s="3" t="s">
        <v>244</v>
      </c>
      <c r="AL436" s="5"/>
      <c r="AM436" s="5" t="s">
        <v>727</v>
      </c>
      <c r="AN436" s="5" t="s">
        <v>728</v>
      </c>
      <c r="AO436" s="5" t="s">
        <v>2185</v>
      </c>
      <c r="AP436" s="5" t="s">
        <v>2185</v>
      </c>
      <c r="AQ436" s="5" t="s">
        <v>2185</v>
      </c>
      <c r="AR436" s="5" t="s">
        <v>2185</v>
      </c>
      <c r="AS436" s="142"/>
      <c r="AT436" s="142" t="b">
        <v>0</v>
      </c>
      <c r="AU436" s="142"/>
      <c r="AV436" s="142"/>
      <c r="AW436" s="142"/>
      <c r="AX436" s="142"/>
      <c r="AY436" s="142"/>
      <c r="AZ436" s="174"/>
      <c r="BA436" s="142"/>
      <c r="BB436" s="142"/>
      <c r="BC436" s="142"/>
      <c r="BD436" s="142"/>
      <c r="BE436" s="142"/>
      <c r="BF436" s="142"/>
      <c r="BG436" s="142"/>
    </row>
    <row r="437">
      <c r="A437" s="5" t="s">
        <v>1453</v>
      </c>
      <c r="B437" s="44">
        <v>44611.0</v>
      </c>
      <c r="C437" s="150">
        <v>0.3321875</v>
      </c>
      <c r="D437" s="3"/>
      <c r="E437" s="3"/>
      <c r="F437" s="5"/>
      <c r="G437" s="5"/>
      <c r="H437" s="5"/>
      <c r="I437" s="3"/>
      <c r="J437" s="3"/>
      <c r="K437" s="3" t="s">
        <v>244</v>
      </c>
      <c r="L437" s="44">
        <v>44611.0</v>
      </c>
      <c r="M437" s="150">
        <v>0.4882638888888889</v>
      </c>
      <c r="N437" s="5"/>
      <c r="O437" s="5"/>
      <c r="P437" s="10" t="b">
        <v>0</v>
      </c>
      <c r="Q437" s="10" t="s">
        <v>2184</v>
      </c>
      <c r="R437" s="144" t="b">
        <v>1</v>
      </c>
      <c r="S437" s="144">
        <v>1.0</v>
      </c>
      <c r="T437" s="10"/>
      <c r="U437" s="5"/>
      <c r="V437" s="3"/>
      <c r="W437" s="5"/>
      <c r="X437" s="144" t="b">
        <v>0</v>
      </c>
      <c r="Y437" s="10" t="b">
        <v>0</v>
      </c>
      <c r="Z437" s="3"/>
      <c r="AA437" s="10" t="b">
        <v>0</v>
      </c>
      <c r="AB437" s="10" t="b">
        <v>0</v>
      </c>
      <c r="AC437" s="181">
        <v>328.0</v>
      </c>
      <c r="AD437" s="144" t="b">
        <v>0</v>
      </c>
      <c r="AE437" s="182">
        <v>224.74999999999997</v>
      </c>
      <c r="AF437" s="10" t="b">
        <v>0</v>
      </c>
      <c r="AG437" s="10" t="b">
        <v>0</v>
      </c>
      <c r="AH437" s="144"/>
      <c r="AI437" s="3"/>
      <c r="AJ437" s="10"/>
      <c r="AK437" s="3" t="s">
        <v>244</v>
      </c>
      <c r="AL437" s="5"/>
      <c r="AM437" s="5" t="s">
        <v>1454</v>
      </c>
      <c r="AN437" s="5" t="s">
        <v>1455</v>
      </c>
      <c r="AO437" s="5" t="s">
        <v>2185</v>
      </c>
      <c r="AP437" s="5" t="s">
        <v>2185</v>
      </c>
      <c r="AQ437" s="5" t="s">
        <v>2185</v>
      </c>
      <c r="AR437" s="5" t="s">
        <v>2185</v>
      </c>
      <c r="AS437" s="142"/>
      <c r="AT437" s="142" t="b">
        <v>0</v>
      </c>
      <c r="AU437" s="142"/>
      <c r="AV437" s="142"/>
      <c r="AW437" s="142"/>
      <c r="AX437" s="142"/>
      <c r="AY437" s="142"/>
      <c r="AZ437" s="174"/>
      <c r="BA437" s="142"/>
      <c r="BB437" s="142"/>
      <c r="BC437" s="142"/>
      <c r="BD437" s="142"/>
      <c r="BE437" s="142"/>
      <c r="BF437" s="142"/>
      <c r="BG437" s="142"/>
    </row>
    <row r="438">
      <c r="A438" s="5" t="s">
        <v>1457</v>
      </c>
      <c r="B438" s="44">
        <v>44611.0</v>
      </c>
      <c r="C438" s="150">
        <v>0.3321875</v>
      </c>
      <c r="D438" s="3"/>
      <c r="E438" s="3"/>
      <c r="F438" s="5"/>
      <c r="G438" s="5"/>
      <c r="H438" s="5"/>
      <c r="I438" s="3"/>
      <c r="J438" s="3"/>
      <c r="K438" s="3" t="s">
        <v>244</v>
      </c>
      <c r="L438" s="44">
        <v>44611.0</v>
      </c>
      <c r="M438" s="150">
        <v>0.5041203703703704</v>
      </c>
      <c r="N438" s="5"/>
      <c r="O438" s="5"/>
      <c r="P438" s="10" t="b">
        <v>0</v>
      </c>
      <c r="Q438" s="10" t="s">
        <v>2184</v>
      </c>
      <c r="R438" s="144" t="b">
        <v>1</v>
      </c>
      <c r="S438" s="144">
        <v>1.0</v>
      </c>
      <c r="T438" s="10"/>
      <c r="U438" s="5"/>
      <c r="V438" s="3"/>
      <c r="W438" s="5"/>
      <c r="X438" s="144" t="b">
        <v>0</v>
      </c>
      <c r="Y438" s="10" t="b">
        <v>0</v>
      </c>
      <c r="Z438" s="3"/>
      <c r="AA438" s="10" t="b">
        <v>0</v>
      </c>
      <c r="AB438" s="10" t="b">
        <v>0</v>
      </c>
      <c r="AC438" s="181">
        <v>327.0</v>
      </c>
      <c r="AD438" s="144" t="b">
        <v>0</v>
      </c>
      <c r="AE438" s="182">
        <v>247.5833333333333</v>
      </c>
      <c r="AF438" s="10" t="b">
        <v>0</v>
      </c>
      <c r="AG438" s="10" t="b">
        <v>0</v>
      </c>
      <c r="AH438" s="144"/>
      <c r="AI438" s="3"/>
      <c r="AJ438" s="10"/>
      <c r="AK438" s="3" t="s">
        <v>244</v>
      </c>
      <c r="AL438" s="5"/>
      <c r="AM438" s="5" t="s">
        <v>875</v>
      </c>
      <c r="AN438" s="5" t="s">
        <v>876</v>
      </c>
      <c r="AO438" s="5" t="s">
        <v>2185</v>
      </c>
      <c r="AP438" s="5" t="s">
        <v>2185</v>
      </c>
      <c r="AQ438" s="5" t="s">
        <v>2185</v>
      </c>
      <c r="AR438" s="5" t="s">
        <v>2185</v>
      </c>
      <c r="AS438" s="142"/>
      <c r="AT438" s="142" t="b">
        <v>0</v>
      </c>
      <c r="AU438" s="142"/>
      <c r="AV438" s="142"/>
      <c r="AW438" s="142"/>
      <c r="AX438" s="142"/>
      <c r="AY438" s="142"/>
      <c r="AZ438" s="174"/>
      <c r="BA438" s="142"/>
      <c r="BB438" s="142"/>
      <c r="BC438" s="142"/>
      <c r="BD438" s="142"/>
      <c r="BE438" s="142"/>
      <c r="BF438" s="142"/>
      <c r="BG438" s="142"/>
    </row>
    <row r="439">
      <c r="A439" s="5" t="s">
        <v>1459</v>
      </c>
      <c r="B439" s="44">
        <v>44611.0</v>
      </c>
      <c r="C439" s="150">
        <v>0.3335763888888889</v>
      </c>
      <c r="D439" s="3"/>
      <c r="E439" s="3"/>
      <c r="F439" s="5"/>
      <c r="G439" s="5"/>
      <c r="H439" s="5"/>
      <c r="I439" s="3"/>
      <c r="J439" s="3"/>
      <c r="K439" s="3" t="s">
        <v>244</v>
      </c>
      <c r="L439" s="44">
        <v>44611.0</v>
      </c>
      <c r="M439" s="150">
        <v>0.4882638888888889</v>
      </c>
      <c r="N439" s="5"/>
      <c r="O439" s="5"/>
      <c r="P439" s="10" t="b">
        <v>0</v>
      </c>
      <c r="Q439" s="10" t="s">
        <v>2184</v>
      </c>
      <c r="R439" s="144" t="b">
        <v>1</v>
      </c>
      <c r="S439" s="144">
        <v>1.0</v>
      </c>
      <c r="T439" s="10">
        <v>0.0</v>
      </c>
      <c r="U439" s="5"/>
      <c r="V439" s="3"/>
      <c r="W439" s="5"/>
      <c r="X439" s="144" t="b">
        <v>0</v>
      </c>
      <c r="Y439" s="10" t="b">
        <v>0</v>
      </c>
      <c r="Z439" s="3"/>
      <c r="AA439" s="10" t="b">
        <v>0</v>
      </c>
      <c r="AB439" s="10" t="b">
        <v>0</v>
      </c>
      <c r="AC439" s="181">
        <v>326.0</v>
      </c>
      <c r="AD439" s="144" t="b">
        <v>0</v>
      </c>
      <c r="AE439" s="182">
        <v>222.74999999999997</v>
      </c>
      <c r="AF439" s="10" t="b">
        <v>0</v>
      </c>
      <c r="AG439" s="10" t="b">
        <v>0</v>
      </c>
      <c r="AH439" s="144"/>
      <c r="AI439" s="3"/>
      <c r="AJ439" s="10"/>
      <c r="AK439" s="3" t="s">
        <v>244</v>
      </c>
      <c r="AL439" s="5"/>
      <c r="AM439" s="5" t="s">
        <v>875</v>
      </c>
      <c r="AN439" s="5" t="s">
        <v>1460</v>
      </c>
      <c r="AO439" s="5" t="s">
        <v>2185</v>
      </c>
      <c r="AP439" s="5" t="s">
        <v>2185</v>
      </c>
      <c r="AQ439" s="5" t="s">
        <v>2185</v>
      </c>
      <c r="AR439" s="5" t="s">
        <v>2185</v>
      </c>
      <c r="AS439" s="142"/>
      <c r="AT439" s="142" t="b">
        <v>0</v>
      </c>
      <c r="AU439" s="142"/>
      <c r="AV439" s="142"/>
      <c r="AW439" s="142"/>
      <c r="AX439" s="142"/>
      <c r="AY439" s="142"/>
      <c r="AZ439" s="174"/>
      <c r="BA439" s="142"/>
      <c r="BB439" s="142"/>
      <c r="BC439" s="142"/>
      <c r="BD439" s="142"/>
      <c r="BE439" s="142"/>
      <c r="BF439" s="142"/>
      <c r="BG439" s="142"/>
    </row>
    <row r="440">
      <c r="A440" s="5" t="s">
        <v>1462</v>
      </c>
      <c r="B440" s="44">
        <v>44611.0</v>
      </c>
      <c r="C440" s="150">
        <v>0.3342824074074074</v>
      </c>
      <c r="D440" s="3"/>
      <c r="E440" s="3"/>
      <c r="F440" s="5"/>
      <c r="G440" s="5"/>
      <c r="H440" s="5"/>
      <c r="I440" s="3"/>
      <c r="J440" s="3"/>
      <c r="K440" s="3" t="s">
        <v>244</v>
      </c>
      <c r="L440" s="44">
        <v>44611.0</v>
      </c>
      <c r="M440" s="150">
        <v>0.4882638888888889</v>
      </c>
      <c r="N440" s="5"/>
      <c r="O440" s="5"/>
      <c r="P440" s="10" t="b">
        <v>0</v>
      </c>
      <c r="Q440" s="10" t="s">
        <v>2184</v>
      </c>
      <c r="R440" s="144" t="b">
        <v>1</v>
      </c>
      <c r="S440" s="144">
        <v>1.0</v>
      </c>
      <c r="T440" s="10"/>
      <c r="U440" s="5"/>
      <c r="V440" s="3"/>
      <c r="W440" s="5"/>
      <c r="X440" s="144" t="b">
        <v>0</v>
      </c>
      <c r="Y440" s="10" t="b">
        <v>0</v>
      </c>
      <c r="Z440" s="3"/>
      <c r="AA440" s="10" t="b">
        <v>0</v>
      </c>
      <c r="AB440" s="10" t="b">
        <v>0</v>
      </c>
      <c r="AC440" s="181">
        <v>325.0</v>
      </c>
      <c r="AD440" s="144" t="b">
        <v>0</v>
      </c>
      <c r="AE440" s="182">
        <v>221.73333333333335</v>
      </c>
      <c r="AF440" s="10" t="b">
        <v>0</v>
      </c>
      <c r="AG440" s="10" t="b">
        <v>0</v>
      </c>
      <c r="AH440" s="144"/>
      <c r="AI440" s="3"/>
      <c r="AJ440" s="10"/>
      <c r="AK440" s="3" t="s">
        <v>244</v>
      </c>
      <c r="AL440" s="5"/>
      <c r="AM440" s="5" t="s">
        <v>1454</v>
      </c>
      <c r="AN440" s="5" t="s">
        <v>319</v>
      </c>
      <c r="AO440" s="5" t="s">
        <v>2185</v>
      </c>
      <c r="AP440" s="5" t="s">
        <v>2185</v>
      </c>
      <c r="AQ440" s="5" t="s">
        <v>2185</v>
      </c>
      <c r="AR440" s="5" t="s">
        <v>2185</v>
      </c>
      <c r="AS440" s="142"/>
      <c r="AT440" s="142" t="b">
        <v>0</v>
      </c>
      <c r="AU440" s="142"/>
      <c r="AV440" s="142"/>
      <c r="AW440" s="142"/>
      <c r="AX440" s="142"/>
      <c r="AY440" s="142"/>
      <c r="AZ440" s="174"/>
      <c r="BA440" s="142"/>
      <c r="BB440" s="142"/>
      <c r="BC440" s="142"/>
      <c r="BD440" s="142"/>
      <c r="BE440" s="142"/>
      <c r="BF440" s="142"/>
      <c r="BG440" s="142"/>
    </row>
    <row r="441">
      <c r="A441" s="5" t="s">
        <v>1464</v>
      </c>
      <c r="B441" s="44">
        <v>44611.0</v>
      </c>
      <c r="C441" s="150">
        <v>0.33471064814814816</v>
      </c>
      <c r="D441" s="3"/>
      <c r="E441" s="3"/>
      <c r="F441" s="5"/>
      <c r="G441" s="5"/>
      <c r="H441" s="5"/>
      <c r="I441" s="3"/>
      <c r="J441" s="3"/>
      <c r="K441" s="3" t="s">
        <v>244</v>
      </c>
      <c r="L441" s="44">
        <v>44611.0</v>
      </c>
      <c r="M441" s="150">
        <v>0.4882638888888889</v>
      </c>
      <c r="N441" s="5"/>
      <c r="O441" s="5"/>
      <c r="P441" s="10" t="b">
        <v>0</v>
      </c>
      <c r="Q441" s="10" t="s">
        <v>2184</v>
      </c>
      <c r="R441" s="144" t="b">
        <v>1</v>
      </c>
      <c r="S441" s="144">
        <v>1.0</v>
      </c>
      <c r="T441" s="10"/>
      <c r="U441" s="5"/>
      <c r="V441" s="3"/>
      <c r="W441" s="5"/>
      <c r="X441" s="144" t="b">
        <v>0</v>
      </c>
      <c r="Y441" s="10" t="b">
        <v>0</v>
      </c>
      <c r="Z441" s="3"/>
      <c r="AA441" s="10" t="b">
        <v>0</v>
      </c>
      <c r="AB441" s="10" t="b">
        <v>0</v>
      </c>
      <c r="AC441" s="181">
        <v>324.0</v>
      </c>
      <c r="AD441" s="144" t="b">
        <v>0</v>
      </c>
      <c r="AE441" s="182">
        <v>221.11666666666665</v>
      </c>
      <c r="AF441" s="10" t="b">
        <v>0</v>
      </c>
      <c r="AG441" s="10" t="b">
        <v>0</v>
      </c>
      <c r="AH441" s="144"/>
      <c r="AI441" s="3"/>
      <c r="AJ441" s="10"/>
      <c r="AK441" s="3" t="s">
        <v>244</v>
      </c>
      <c r="AL441" s="5"/>
      <c r="AM441" s="5" t="s">
        <v>1454</v>
      </c>
      <c r="AN441" s="5" t="s">
        <v>1465</v>
      </c>
      <c r="AO441" s="5" t="s">
        <v>2185</v>
      </c>
      <c r="AP441" s="5" t="s">
        <v>2185</v>
      </c>
      <c r="AQ441" s="5" t="s">
        <v>2185</v>
      </c>
      <c r="AR441" s="5" t="s">
        <v>2185</v>
      </c>
      <c r="AS441" s="142"/>
      <c r="AT441" s="142" t="b">
        <v>0</v>
      </c>
      <c r="AU441" s="142"/>
      <c r="AV441" s="142"/>
      <c r="AW441" s="142"/>
      <c r="AX441" s="142"/>
      <c r="AY441" s="142"/>
      <c r="AZ441" s="174"/>
      <c r="BA441" s="142"/>
      <c r="BB441" s="142"/>
      <c r="BC441" s="142"/>
      <c r="BD441" s="142"/>
      <c r="BE441" s="142"/>
      <c r="BF441" s="142"/>
      <c r="BG441" s="142"/>
    </row>
    <row r="442">
      <c r="A442" s="5" t="s">
        <v>1467</v>
      </c>
      <c r="B442" s="44">
        <v>44611.0</v>
      </c>
      <c r="C442" s="150">
        <v>0.3349537037037037</v>
      </c>
      <c r="D442" s="3"/>
      <c r="E442" s="3"/>
      <c r="F442" s="5"/>
      <c r="G442" s="5"/>
      <c r="H442" s="5"/>
      <c r="I442" s="3"/>
      <c r="J442" s="3"/>
      <c r="K442" s="3" t="s">
        <v>244</v>
      </c>
      <c r="L442" s="44">
        <v>44611.0</v>
      </c>
      <c r="M442" s="150">
        <v>0.5041203703703704</v>
      </c>
      <c r="N442" s="5"/>
      <c r="O442" s="5"/>
      <c r="P442" s="10" t="b">
        <v>0</v>
      </c>
      <c r="Q442" s="10" t="s">
        <v>2184</v>
      </c>
      <c r="R442" s="144" t="b">
        <v>1</v>
      </c>
      <c r="S442" s="144">
        <v>1.0</v>
      </c>
      <c r="T442" s="10">
        <v>0.0</v>
      </c>
      <c r="U442" s="5"/>
      <c r="V442" s="3"/>
      <c r="W442" s="5"/>
      <c r="X442" s="144" t="b">
        <v>0</v>
      </c>
      <c r="Y442" s="10" t="b">
        <v>0</v>
      </c>
      <c r="Z442" s="3"/>
      <c r="AA442" s="10" t="b">
        <v>0</v>
      </c>
      <c r="AB442" s="10" t="b">
        <v>0</v>
      </c>
      <c r="AC442" s="181">
        <v>323.0</v>
      </c>
      <c r="AD442" s="144" t="b">
        <v>0</v>
      </c>
      <c r="AE442" s="182">
        <v>243.60000000000002</v>
      </c>
      <c r="AF442" s="10" t="b">
        <v>0</v>
      </c>
      <c r="AG442" s="10" t="b">
        <v>0</v>
      </c>
      <c r="AH442" s="144"/>
      <c r="AI442" s="3"/>
      <c r="AJ442" s="10"/>
      <c r="AK442" s="3" t="s">
        <v>244</v>
      </c>
      <c r="AL442" s="5"/>
      <c r="AM442" s="5" t="s">
        <v>875</v>
      </c>
      <c r="AN442" s="5" t="s">
        <v>1468</v>
      </c>
      <c r="AO442" s="5" t="s">
        <v>2185</v>
      </c>
      <c r="AP442" s="5" t="s">
        <v>2185</v>
      </c>
      <c r="AQ442" s="5" t="s">
        <v>2185</v>
      </c>
      <c r="AR442" s="5" t="s">
        <v>2185</v>
      </c>
      <c r="AS442" s="142"/>
      <c r="AT442" s="142" t="b">
        <v>0</v>
      </c>
      <c r="AU442" s="142"/>
      <c r="AV442" s="142"/>
      <c r="AW442" s="142"/>
      <c r="AX442" s="142"/>
      <c r="AY442" s="142"/>
      <c r="AZ442" s="174"/>
      <c r="BA442" s="142"/>
      <c r="BB442" s="142"/>
      <c r="BC442" s="142"/>
      <c r="BD442" s="142"/>
      <c r="BE442" s="142"/>
      <c r="BF442" s="142"/>
      <c r="BG442" s="142"/>
    </row>
    <row r="443">
      <c r="A443" s="5" t="s">
        <v>1470</v>
      </c>
      <c r="B443" s="44">
        <v>44611.0</v>
      </c>
      <c r="C443" s="150">
        <v>0.34528935185185183</v>
      </c>
      <c r="D443" s="3"/>
      <c r="E443" s="3"/>
      <c r="F443" s="5"/>
      <c r="G443" s="5"/>
      <c r="H443" s="5"/>
      <c r="I443" s="183"/>
      <c r="J443" s="3"/>
      <c r="K443" s="3" t="s">
        <v>244</v>
      </c>
      <c r="L443" s="44">
        <v>44611.0</v>
      </c>
      <c r="M443" s="150">
        <v>0.4882638888888889</v>
      </c>
      <c r="N443" s="5" t="s">
        <v>247</v>
      </c>
      <c r="O443" s="5"/>
      <c r="P443" s="10" t="b">
        <v>0</v>
      </c>
      <c r="Q443" s="10" t="s">
        <v>2184</v>
      </c>
      <c r="R443" s="144" t="b">
        <v>1</v>
      </c>
      <c r="S443" s="144">
        <v>1.0</v>
      </c>
      <c r="T443" s="10">
        <v>0.0</v>
      </c>
      <c r="U443" s="5"/>
      <c r="V443" s="3"/>
      <c r="W443" s="5"/>
      <c r="X443" s="144" t="b">
        <v>0</v>
      </c>
      <c r="Y443" s="10" t="b">
        <v>0</v>
      </c>
      <c r="Z443" s="3"/>
      <c r="AA443" s="10" t="b">
        <v>0</v>
      </c>
      <c r="AB443" s="10" t="b">
        <v>0</v>
      </c>
      <c r="AC443" s="181">
        <v>790.0</v>
      </c>
      <c r="AD443" s="144" t="b">
        <v>1</v>
      </c>
      <c r="AE443" s="182">
        <v>205.88333333333335</v>
      </c>
      <c r="AF443" s="10" t="b">
        <v>0</v>
      </c>
      <c r="AG443" s="10" t="b">
        <v>0</v>
      </c>
      <c r="AH443" s="144"/>
      <c r="AI443" s="3"/>
      <c r="AJ443" s="10"/>
      <c r="AK443" s="3" t="s">
        <v>244</v>
      </c>
      <c r="AL443" s="5"/>
      <c r="AM443" s="5" t="s">
        <v>504</v>
      </c>
      <c r="AN443" s="5" t="s">
        <v>505</v>
      </c>
      <c r="AO443" s="5" t="s">
        <v>2185</v>
      </c>
      <c r="AP443" s="5" t="s">
        <v>2185</v>
      </c>
      <c r="AQ443" s="5" t="s">
        <v>2185</v>
      </c>
      <c r="AR443" s="5" t="s">
        <v>2185</v>
      </c>
      <c r="AS443" s="142"/>
      <c r="AT443" s="142" t="b">
        <v>0</v>
      </c>
      <c r="AU443" s="142"/>
      <c r="AV443" s="142"/>
      <c r="AW443" s="142"/>
      <c r="AX443" s="142"/>
      <c r="AY443" s="142"/>
      <c r="AZ443" s="174"/>
      <c r="BA443" s="142"/>
      <c r="BB443" s="142"/>
      <c r="BC443" s="142"/>
      <c r="BD443" s="142"/>
      <c r="BE443" s="142"/>
      <c r="BF443" s="142"/>
      <c r="BG443" s="142"/>
    </row>
    <row r="444">
      <c r="A444" s="5" t="s">
        <v>1472</v>
      </c>
      <c r="B444" s="44">
        <v>44611.0</v>
      </c>
      <c r="C444" s="150">
        <v>0.3456018518518518</v>
      </c>
      <c r="D444" s="3"/>
      <c r="E444" s="3"/>
      <c r="F444" s="5"/>
      <c r="G444" s="5"/>
      <c r="H444" s="5"/>
      <c r="I444" s="3"/>
      <c r="J444" s="3"/>
      <c r="K444" s="3" t="s">
        <v>244</v>
      </c>
      <c r="L444" s="44">
        <v>44611.0</v>
      </c>
      <c r="M444" s="150">
        <v>0.4882638888888889</v>
      </c>
      <c r="N444" s="5"/>
      <c r="O444" s="5"/>
      <c r="P444" s="10" t="b">
        <v>0</v>
      </c>
      <c r="Q444" s="10" t="s">
        <v>2184</v>
      </c>
      <c r="R444" s="144" t="b">
        <v>1</v>
      </c>
      <c r="S444" s="144">
        <v>1.0</v>
      </c>
      <c r="T444" s="10"/>
      <c r="U444" s="5"/>
      <c r="V444" s="3"/>
      <c r="W444" s="5"/>
      <c r="X444" s="144" t="b">
        <v>0</v>
      </c>
      <c r="Y444" s="10" t="b">
        <v>0</v>
      </c>
      <c r="Z444" s="3"/>
      <c r="AA444" s="10" t="b">
        <v>0</v>
      </c>
      <c r="AB444" s="10" t="b">
        <v>0</v>
      </c>
      <c r="AC444" s="181">
        <v>322.0</v>
      </c>
      <c r="AD444" s="144" t="b">
        <v>0</v>
      </c>
      <c r="AE444" s="182">
        <v>205.43333333333337</v>
      </c>
      <c r="AF444" s="10" t="b">
        <v>0</v>
      </c>
      <c r="AG444" s="10" t="b">
        <v>0</v>
      </c>
      <c r="AH444" s="144"/>
      <c r="AI444" s="3"/>
      <c r="AJ444" s="10"/>
      <c r="AK444" s="3" t="s">
        <v>244</v>
      </c>
      <c r="AL444" s="5"/>
      <c r="AM444" s="5" t="s">
        <v>1473</v>
      </c>
      <c r="AN444" s="5" t="s">
        <v>1474</v>
      </c>
      <c r="AO444" s="5" t="s">
        <v>2185</v>
      </c>
      <c r="AP444" s="5" t="s">
        <v>2185</v>
      </c>
      <c r="AQ444" s="5" t="s">
        <v>2185</v>
      </c>
      <c r="AR444" s="5" t="s">
        <v>2185</v>
      </c>
      <c r="AS444" s="142"/>
      <c r="AT444" s="142" t="b">
        <v>0</v>
      </c>
      <c r="AU444" s="142"/>
      <c r="AV444" s="142"/>
      <c r="AW444" s="142"/>
      <c r="AX444" s="142"/>
      <c r="AY444" s="142"/>
      <c r="AZ444" s="174"/>
      <c r="BA444" s="142"/>
      <c r="BB444" s="142"/>
      <c r="BC444" s="142"/>
      <c r="BD444" s="142"/>
      <c r="BE444" s="142"/>
      <c r="BF444" s="142"/>
      <c r="BG444" s="142"/>
    </row>
    <row r="445">
      <c r="A445" s="5" t="s">
        <v>1476</v>
      </c>
      <c r="B445" s="44">
        <v>44611.0</v>
      </c>
      <c r="C445" s="150">
        <v>0.4735300925925926</v>
      </c>
      <c r="D445" s="3"/>
      <c r="E445" s="3"/>
      <c r="F445" s="5"/>
      <c r="G445" s="5"/>
      <c r="H445" s="5"/>
      <c r="I445" s="3"/>
      <c r="J445" s="3"/>
      <c r="K445" s="3" t="s">
        <v>244</v>
      </c>
      <c r="L445" s="44">
        <v>44611.0</v>
      </c>
      <c r="M445" s="150">
        <v>0.4882638888888889</v>
      </c>
      <c r="N445" s="5"/>
      <c r="O445" s="5"/>
      <c r="P445" s="10" t="b">
        <v>0</v>
      </c>
      <c r="Q445" s="10" t="s">
        <v>2184</v>
      </c>
      <c r="R445" s="144" t="b">
        <v>1</v>
      </c>
      <c r="S445" s="144">
        <v>1.0</v>
      </c>
      <c r="T445" s="10"/>
      <c r="U445" s="5"/>
      <c r="V445" s="3"/>
      <c r="W445" s="5"/>
      <c r="X445" s="144" t="b">
        <v>0</v>
      </c>
      <c r="Y445" s="10" t="b">
        <v>0</v>
      </c>
      <c r="Z445" s="3"/>
      <c r="AA445" s="10" t="b">
        <v>0</v>
      </c>
      <c r="AB445" s="10" t="b">
        <v>0</v>
      </c>
      <c r="AC445" s="181">
        <v>321.0</v>
      </c>
      <c r="AD445" s="144" t="b">
        <v>0</v>
      </c>
      <c r="AE445" s="182">
        <v>21.216666666666654</v>
      </c>
      <c r="AF445" s="10" t="b">
        <v>0</v>
      </c>
      <c r="AG445" s="10" t="b">
        <v>0</v>
      </c>
      <c r="AH445" s="144"/>
      <c r="AI445" s="3"/>
      <c r="AJ445" s="10"/>
      <c r="AK445" s="3" t="s">
        <v>244</v>
      </c>
      <c r="AL445" s="5"/>
      <c r="AM445" s="5" t="s">
        <v>261</v>
      </c>
      <c r="AN445" s="5" t="s">
        <v>944</v>
      </c>
      <c r="AO445" s="5" t="s">
        <v>2185</v>
      </c>
      <c r="AP445" s="5" t="s">
        <v>2185</v>
      </c>
      <c r="AQ445" s="5" t="s">
        <v>2185</v>
      </c>
      <c r="AR445" s="5" t="s">
        <v>2185</v>
      </c>
      <c r="AS445" s="142"/>
      <c r="AT445" s="142" t="b">
        <v>0</v>
      </c>
      <c r="AU445" s="142"/>
      <c r="AV445" s="142"/>
      <c r="AW445" s="142"/>
      <c r="AX445" s="142"/>
      <c r="AY445" s="142"/>
      <c r="AZ445" s="174"/>
      <c r="BA445" s="142"/>
      <c r="BB445" s="142"/>
      <c r="BC445" s="142"/>
      <c r="BD445" s="142"/>
      <c r="BE445" s="142"/>
      <c r="BF445" s="142"/>
      <c r="BG445" s="142"/>
    </row>
    <row r="446">
      <c r="A446" s="5" t="s">
        <v>1478</v>
      </c>
      <c r="B446" s="44">
        <v>44613.0</v>
      </c>
      <c r="C446" s="150">
        <v>0.26121527777777775</v>
      </c>
      <c r="D446" s="3"/>
      <c r="E446" s="3"/>
      <c r="F446" s="5"/>
      <c r="G446" s="5"/>
      <c r="H446" s="5"/>
      <c r="I446" s="3"/>
      <c r="J446" s="3"/>
      <c r="K446" s="3" t="s">
        <v>244</v>
      </c>
      <c r="L446" s="44">
        <v>44613.0</v>
      </c>
      <c r="M446" s="150">
        <v>0.4693865740740741</v>
      </c>
      <c r="N446" s="5"/>
      <c r="O446" s="5"/>
      <c r="P446" s="10" t="b">
        <v>0</v>
      </c>
      <c r="Q446" s="10" t="s">
        <v>2184</v>
      </c>
      <c r="R446" s="144" t="b">
        <v>1</v>
      </c>
      <c r="S446" s="144">
        <v>1.0</v>
      </c>
      <c r="T446" s="10"/>
      <c r="U446" s="5"/>
      <c r="V446" s="3"/>
      <c r="W446" s="5"/>
      <c r="X446" s="144" t="b">
        <v>0</v>
      </c>
      <c r="Y446" s="10" t="b">
        <v>0</v>
      </c>
      <c r="Z446" s="3"/>
      <c r="AA446" s="10" t="b">
        <v>0</v>
      </c>
      <c r="AB446" s="10" t="b">
        <v>0</v>
      </c>
      <c r="AC446" s="181">
        <v>320.0</v>
      </c>
      <c r="AD446" s="144" t="b">
        <v>0</v>
      </c>
      <c r="AE446" s="182">
        <v>299.76666666666677</v>
      </c>
      <c r="AF446" s="10" t="b">
        <v>0</v>
      </c>
      <c r="AG446" s="10" t="b">
        <v>0</v>
      </c>
      <c r="AH446" s="144"/>
      <c r="AI446" s="3"/>
      <c r="AJ446" s="10"/>
      <c r="AK446" s="3" t="s">
        <v>244</v>
      </c>
      <c r="AL446" s="5"/>
      <c r="AM446" s="5" t="s">
        <v>865</v>
      </c>
      <c r="AN446" s="5" t="s">
        <v>548</v>
      </c>
      <c r="AO446" s="5" t="s">
        <v>2185</v>
      </c>
      <c r="AP446" s="5" t="s">
        <v>2185</v>
      </c>
      <c r="AQ446" s="5" t="s">
        <v>2185</v>
      </c>
      <c r="AR446" s="5" t="s">
        <v>2185</v>
      </c>
      <c r="AS446" s="142"/>
      <c r="AT446" s="142" t="b">
        <v>0</v>
      </c>
      <c r="AU446" s="142"/>
      <c r="AV446" s="142"/>
      <c r="AW446" s="142"/>
      <c r="AX446" s="142"/>
      <c r="AY446" s="142"/>
      <c r="AZ446" s="174"/>
      <c r="BA446" s="142"/>
      <c r="BB446" s="142"/>
      <c r="BC446" s="142"/>
      <c r="BD446" s="142"/>
      <c r="BE446" s="142"/>
      <c r="BF446" s="142"/>
      <c r="BG446" s="142"/>
    </row>
    <row r="447">
      <c r="A447" s="5" t="s">
        <v>1480</v>
      </c>
      <c r="B447" s="44">
        <v>44613.0</v>
      </c>
      <c r="C447" s="150">
        <v>0.26516203703703706</v>
      </c>
      <c r="D447" s="3"/>
      <c r="E447" s="3"/>
      <c r="F447" s="5"/>
      <c r="G447" s="5"/>
      <c r="H447" s="5"/>
      <c r="I447" s="3"/>
      <c r="J447" s="3"/>
      <c r="K447" s="3" t="s">
        <v>244</v>
      </c>
      <c r="L447" s="44">
        <v>44613.0</v>
      </c>
      <c r="M447" s="150">
        <v>0.4693865740740741</v>
      </c>
      <c r="N447" s="5"/>
      <c r="O447" s="5"/>
      <c r="P447" s="10" t="b">
        <v>0</v>
      </c>
      <c r="Q447" s="10" t="s">
        <v>2184</v>
      </c>
      <c r="R447" s="144" t="b">
        <v>1</v>
      </c>
      <c r="S447" s="144">
        <v>1.0</v>
      </c>
      <c r="T447" s="10"/>
      <c r="U447" s="5"/>
      <c r="V447" s="3"/>
      <c r="W447" s="5"/>
      <c r="X447" s="144" t="b">
        <v>0</v>
      </c>
      <c r="Y447" s="10" t="b">
        <v>0</v>
      </c>
      <c r="Z447" s="3"/>
      <c r="AA447" s="10" t="b">
        <v>0</v>
      </c>
      <c r="AB447" s="10" t="b">
        <v>0</v>
      </c>
      <c r="AC447" s="181">
        <v>319.0</v>
      </c>
      <c r="AD447" s="144" t="b">
        <v>0</v>
      </c>
      <c r="AE447" s="182">
        <v>294.0833333333333</v>
      </c>
      <c r="AF447" s="10" t="b">
        <v>0</v>
      </c>
      <c r="AG447" s="10" t="b">
        <v>0</v>
      </c>
      <c r="AH447" s="144"/>
      <c r="AI447" s="3"/>
      <c r="AJ447" s="10"/>
      <c r="AK447" s="3" t="s">
        <v>244</v>
      </c>
      <c r="AL447" s="5"/>
      <c r="AM447" s="5" t="s">
        <v>465</v>
      </c>
      <c r="AN447" s="5" t="s">
        <v>466</v>
      </c>
      <c r="AO447" s="5" t="s">
        <v>2185</v>
      </c>
      <c r="AP447" s="5" t="s">
        <v>2185</v>
      </c>
      <c r="AQ447" s="5" t="s">
        <v>2185</v>
      </c>
      <c r="AR447" s="5" t="s">
        <v>2185</v>
      </c>
      <c r="AS447" s="142"/>
      <c r="AT447" s="142" t="b">
        <v>0</v>
      </c>
      <c r="AU447" s="142"/>
      <c r="AV447" s="142"/>
      <c r="AW447" s="142"/>
      <c r="AX447" s="142"/>
      <c r="AY447" s="142"/>
      <c r="AZ447" s="174"/>
      <c r="BA447" s="142"/>
      <c r="BB447" s="142"/>
      <c r="BC447" s="142"/>
      <c r="BD447" s="142"/>
      <c r="BE447" s="142"/>
      <c r="BF447" s="142"/>
      <c r="BG447" s="142"/>
    </row>
    <row r="448">
      <c r="A448" s="5" t="s">
        <v>1482</v>
      </c>
      <c r="B448" s="44">
        <v>44613.0</v>
      </c>
      <c r="C448" s="150">
        <v>0.266724537037037</v>
      </c>
      <c r="D448" s="3"/>
      <c r="E448" s="3"/>
      <c r="F448" s="5"/>
      <c r="G448" s="5"/>
      <c r="H448" s="5"/>
      <c r="I448" s="3"/>
      <c r="J448" s="3"/>
      <c r="K448" s="3" t="s">
        <v>244</v>
      </c>
      <c r="L448" s="44">
        <v>44613.0</v>
      </c>
      <c r="M448" s="150">
        <v>0.4693981481481482</v>
      </c>
      <c r="N448" s="5"/>
      <c r="O448" s="5"/>
      <c r="P448" s="10" t="b">
        <v>0</v>
      </c>
      <c r="Q448" s="10" t="s">
        <v>2184</v>
      </c>
      <c r="R448" s="144" t="b">
        <v>1</v>
      </c>
      <c r="S448" s="144">
        <v>1.0</v>
      </c>
      <c r="T448" s="10"/>
      <c r="U448" s="5"/>
      <c r="V448" s="3"/>
      <c r="W448" s="5"/>
      <c r="X448" s="144" t="b">
        <v>0</v>
      </c>
      <c r="Y448" s="10" t="b">
        <v>0</v>
      </c>
      <c r="Z448" s="3"/>
      <c r="AA448" s="10" t="b">
        <v>0</v>
      </c>
      <c r="AB448" s="10" t="b">
        <v>0</v>
      </c>
      <c r="AC448" s="181">
        <v>318.0</v>
      </c>
      <c r="AD448" s="144" t="b">
        <v>0</v>
      </c>
      <c r="AE448" s="182">
        <v>291.8500000000001</v>
      </c>
      <c r="AF448" s="10" t="b">
        <v>0</v>
      </c>
      <c r="AG448" s="10" t="b">
        <v>0</v>
      </c>
      <c r="AH448" s="144"/>
      <c r="AI448" s="3"/>
      <c r="AJ448" s="10"/>
      <c r="AK448" s="3" t="s">
        <v>244</v>
      </c>
      <c r="AL448" s="5"/>
      <c r="AM448" s="5" t="s">
        <v>612</v>
      </c>
      <c r="AN448" s="5" t="s">
        <v>613</v>
      </c>
      <c r="AO448" s="5" t="s">
        <v>2185</v>
      </c>
      <c r="AP448" s="5" t="s">
        <v>2185</v>
      </c>
      <c r="AQ448" s="5" t="s">
        <v>2185</v>
      </c>
      <c r="AR448" s="5" t="s">
        <v>2185</v>
      </c>
      <c r="AS448" s="142"/>
      <c r="AT448" s="142" t="b">
        <v>0</v>
      </c>
      <c r="AU448" s="142"/>
      <c r="AV448" s="142"/>
      <c r="AW448" s="142"/>
      <c r="AX448" s="142"/>
      <c r="AY448" s="142"/>
      <c r="AZ448" s="174"/>
      <c r="BA448" s="142"/>
      <c r="BB448" s="142"/>
      <c r="BC448" s="142"/>
      <c r="BD448" s="142"/>
      <c r="BE448" s="142"/>
      <c r="BF448" s="142"/>
      <c r="BG448" s="142"/>
    </row>
    <row r="449">
      <c r="A449" s="5" t="s">
        <v>1484</v>
      </c>
      <c r="B449" s="44">
        <v>44613.0</v>
      </c>
      <c r="C449" s="150">
        <v>0.27609953703703705</v>
      </c>
      <c r="D449" s="3"/>
      <c r="E449" s="3"/>
      <c r="F449" s="5"/>
      <c r="G449" s="5"/>
      <c r="H449" s="5"/>
      <c r="I449" s="3"/>
      <c r="J449" s="3"/>
      <c r="K449" s="3" t="s">
        <v>244</v>
      </c>
      <c r="L449" s="44">
        <v>44613.0</v>
      </c>
      <c r="M449" s="150">
        <v>0.4693981481481482</v>
      </c>
      <c r="N449" s="5"/>
      <c r="O449" s="5"/>
      <c r="P449" s="10" t="b">
        <v>0</v>
      </c>
      <c r="Q449" s="10" t="s">
        <v>2184</v>
      </c>
      <c r="R449" s="144" t="b">
        <v>1</v>
      </c>
      <c r="S449" s="144">
        <v>1.0</v>
      </c>
      <c r="T449" s="10"/>
      <c r="U449" s="5"/>
      <c r="V449" s="3"/>
      <c r="W449" s="5"/>
      <c r="X449" s="144" t="b">
        <v>0</v>
      </c>
      <c r="Y449" s="10" t="b">
        <v>0</v>
      </c>
      <c r="Z449" s="3"/>
      <c r="AA449" s="10" t="b">
        <v>0</v>
      </c>
      <c r="AB449" s="10" t="b">
        <v>0</v>
      </c>
      <c r="AC449" s="181">
        <v>317.0</v>
      </c>
      <c r="AD449" s="144" t="b">
        <v>0</v>
      </c>
      <c r="AE449" s="182">
        <v>278.35</v>
      </c>
      <c r="AF449" s="10" t="b">
        <v>0</v>
      </c>
      <c r="AG449" s="10" t="b">
        <v>0</v>
      </c>
      <c r="AH449" s="144"/>
      <c r="AI449" s="3"/>
      <c r="AJ449" s="10"/>
      <c r="AK449" s="3" t="s">
        <v>244</v>
      </c>
      <c r="AL449" s="5"/>
      <c r="AM449" s="5" t="s">
        <v>1313</v>
      </c>
      <c r="AN449" s="5" t="s">
        <v>1485</v>
      </c>
      <c r="AO449" s="5" t="s">
        <v>2185</v>
      </c>
      <c r="AP449" s="5" t="s">
        <v>2185</v>
      </c>
      <c r="AQ449" s="5" t="s">
        <v>2185</v>
      </c>
      <c r="AR449" s="5" t="s">
        <v>2185</v>
      </c>
      <c r="AS449" s="142"/>
      <c r="AT449" s="142" t="b">
        <v>0</v>
      </c>
      <c r="AU449" s="142"/>
      <c r="AV449" s="142"/>
      <c r="AW449" s="142"/>
      <c r="AX449" s="142"/>
      <c r="AY449" s="142"/>
      <c r="AZ449" s="174"/>
      <c r="BA449" s="142"/>
      <c r="BB449" s="142"/>
      <c r="BC449" s="142"/>
      <c r="BD449" s="142"/>
      <c r="BE449" s="142"/>
      <c r="BF449" s="142"/>
      <c r="BG449" s="142"/>
    </row>
    <row r="450">
      <c r="A450" s="5" t="s">
        <v>1487</v>
      </c>
      <c r="B450" s="44">
        <v>44613.0</v>
      </c>
      <c r="C450" s="150">
        <v>0.2888425925925926</v>
      </c>
      <c r="D450" s="3"/>
      <c r="E450" s="3"/>
      <c r="F450" s="5"/>
      <c r="G450" s="5"/>
      <c r="H450" s="5"/>
      <c r="I450" s="3"/>
      <c r="J450" s="3"/>
      <c r="K450" s="3" t="s">
        <v>244</v>
      </c>
      <c r="L450" s="44">
        <v>44613.0</v>
      </c>
      <c r="M450" s="150">
        <v>0.4693981481481482</v>
      </c>
      <c r="N450" s="5"/>
      <c r="O450" s="5"/>
      <c r="P450" s="10" t="b">
        <v>0</v>
      </c>
      <c r="Q450" s="10" t="s">
        <v>2184</v>
      </c>
      <c r="R450" s="144" t="b">
        <v>1</v>
      </c>
      <c r="S450" s="144">
        <v>1.0</v>
      </c>
      <c r="T450" s="10"/>
      <c r="U450" s="5"/>
      <c r="V450" s="3"/>
      <c r="W450" s="5"/>
      <c r="X450" s="144" t="b">
        <v>0</v>
      </c>
      <c r="Y450" s="10" t="b">
        <v>0</v>
      </c>
      <c r="Z450" s="3"/>
      <c r="AA450" s="10" t="b">
        <v>0</v>
      </c>
      <c r="AB450" s="10" t="b">
        <v>0</v>
      </c>
      <c r="AC450" s="181">
        <v>316.0</v>
      </c>
      <c r="AD450" s="144" t="b">
        <v>0</v>
      </c>
      <c r="AE450" s="182">
        <v>260.00000000000006</v>
      </c>
      <c r="AF450" s="10" t="b">
        <v>0</v>
      </c>
      <c r="AG450" s="10" t="b">
        <v>0</v>
      </c>
      <c r="AH450" s="144"/>
      <c r="AI450" s="3"/>
      <c r="AJ450" s="10"/>
      <c r="AK450" s="3" t="s">
        <v>244</v>
      </c>
      <c r="AL450" s="5"/>
      <c r="AM450" s="5" t="s">
        <v>1306</v>
      </c>
      <c r="AN450" s="5" t="s">
        <v>1307</v>
      </c>
      <c r="AO450" s="5" t="s">
        <v>2185</v>
      </c>
      <c r="AP450" s="5" t="s">
        <v>2185</v>
      </c>
      <c r="AQ450" s="5" t="s">
        <v>2185</v>
      </c>
      <c r="AR450" s="5" t="s">
        <v>2185</v>
      </c>
      <c r="AS450" s="142"/>
      <c r="AT450" s="142" t="b">
        <v>0</v>
      </c>
      <c r="AU450" s="142"/>
      <c r="AV450" s="142"/>
      <c r="AW450" s="142"/>
      <c r="AX450" s="142"/>
      <c r="AY450" s="142"/>
      <c r="AZ450" s="174"/>
      <c r="BA450" s="142"/>
      <c r="BB450" s="142"/>
      <c r="BC450" s="142"/>
      <c r="BD450" s="142"/>
      <c r="BE450" s="142"/>
      <c r="BF450" s="142"/>
      <c r="BG450" s="142"/>
    </row>
    <row r="451">
      <c r="A451" s="5" t="s">
        <v>1489</v>
      </c>
      <c r="B451" s="44">
        <v>44613.0</v>
      </c>
      <c r="C451" s="150">
        <v>0.2935763888888889</v>
      </c>
      <c r="D451" s="3"/>
      <c r="E451" s="3"/>
      <c r="F451" s="5"/>
      <c r="G451" s="5"/>
      <c r="H451" s="5"/>
      <c r="I451" s="3"/>
      <c r="J451" s="3"/>
      <c r="K451" s="3" t="s">
        <v>244</v>
      </c>
      <c r="L451" s="44">
        <v>44613.0</v>
      </c>
      <c r="M451" s="150">
        <v>0.4693981481481482</v>
      </c>
      <c r="N451" s="5"/>
      <c r="O451" s="5"/>
      <c r="P451" s="10" t="b">
        <v>0</v>
      </c>
      <c r="Q451" s="10" t="s">
        <v>2184</v>
      </c>
      <c r="R451" s="144" t="b">
        <v>1</v>
      </c>
      <c r="S451" s="144">
        <v>1.0</v>
      </c>
      <c r="T451" s="10"/>
      <c r="U451" s="5"/>
      <c r="V451" s="3"/>
      <c r="W451" s="5"/>
      <c r="X451" s="144" t="b">
        <v>0</v>
      </c>
      <c r="Y451" s="10" t="b">
        <v>0</v>
      </c>
      <c r="Z451" s="3"/>
      <c r="AA451" s="10" t="b">
        <v>0</v>
      </c>
      <c r="AB451" s="10" t="b">
        <v>0</v>
      </c>
      <c r="AC451" s="181">
        <v>315.0</v>
      </c>
      <c r="AD451" s="144" t="b">
        <v>0</v>
      </c>
      <c r="AE451" s="182">
        <v>253.18333333333342</v>
      </c>
      <c r="AF451" s="10" t="b">
        <v>0</v>
      </c>
      <c r="AG451" s="10" t="b">
        <v>0</v>
      </c>
      <c r="AH451" s="144"/>
      <c r="AI451" s="3"/>
      <c r="AJ451" s="10"/>
      <c r="AK451" s="3" t="s">
        <v>244</v>
      </c>
      <c r="AL451" s="5"/>
      <c r="AM451" s="5" t="s">
        <v>1490</v>
      </c>
      <c r="AN451" s="5" t="s">
        <v>1491</v>
      </c>
      <c r="AO451" s="5" t="s">
        <v>2185</v>
      </c>
      <c r="AP451" s="5" t="s">
        <v>2185</v>
      </c>
      <c r="AQ451" s="5" t="s">
        <v>2185</v>
      </c>
      <c r="AR451" s="5" t="s">
        <v>2185</v>
      </c>
      <c r="AS451" s="142"/>
      <c r="AT451" s="142" t="b">
        <v>0</v>
      </c>
      <c r="AU451" s="142"/>
      <c r="AV451" s="142"/>
      <c r="AW451" s="142"/>
      <c r="AX451" s="142"/>
      <c r="AY451" s="142"/>
      <c r="AZ451" s="174"/>
      <c r="BA451" s="142"/>
      <c r="BB451" s="142"/>
      <c r="BC451" s="142"/>
      <c r="BD451" s="142"/>
      <c r="BE451" s="142"/>
      <c r="BF451" s="142"/>
      <c r="BG451" s="142"/>
    </row>
    <row r="452">
      <c r="A452" s="5" t="s">
        <v>1493</v>
      </c>
      <c r="B452" s="44">
        <v>44613.0</v>
      </c>
      <c r="C452" s="150">
        <v>0.3007175925925926</v>
      </c>
      <c r="D452" s="3"/>
      <c r="E452" s="3"/>
      <c r="F452" s="5"/>
      <c r="G452" s="5"/>
      <c r="H452" s="5"/>
      <c r="I452" s="3"/>
      <c r="J452" s="3"/>
      <c r="K452" s="3" t="s">
        <v>244</v>
      </c>
      <c r="L452" s="44">
        <v>44613.0</v>
      </c>
      <c r="M452" s="150">
        <v>0.4693981481481482</v>
      </c>
      <c r="N452" s="5"/>
      <c r="O452" s="5"/>
      <c r="P452" s="10" t="b">
        <v>0</v>
      </c>
      <c r="Q452" s="10" t="s">
        <v>2184</v>
      </c>
      <c r="R452" s="144" t="b">
        <v>1</v>
      </c>
      <c r="S452" s="144">
        <v>1.0</v>
      </c>
      <c r="T452" s="10"/>
      <c r="U452" s="5"/>
      <c r="V452" s="3"/>
      <c r="W452" s="5"/>
      <c r="X452" s="144" t="b">
        <v>0</v>
      </c>
      <c r="Y452" s="10" t="b">
        <v>0</v>
      </c>
      <c r="Z452" s="3"/>
      <c r="AA452" s="10" t="b">
        <v>0</v>
      </c>
      <c r="AB452" s="10" t="b">
        <v>0</v>
      </c>
      <c r="AC452" s="181">
        <v>314.0</v>
      </c>
      <c r="AD452" s="144" t="b">
        <v>0</v>
      </c>
      <c r="AE452" s="182">
        <v>242.90000000000003</v>
      </c>
      <c r="AF452" s="10" t="b">
        <v>0</v>
      </c>
      <c r="AG452" s="10" t="b">
        <v>0</v>
      </c>
      <c r="AH452" s="144"/>
      <c r="AI452" s="3"/>
      <c r="AJ452" s="10"/>
      <c r="AK452" s="3" t="s">
        <v>244</v>
      </c>
      <c r="AL452" s="5"/>
      <c r="AM452" s="5" t="s">
        <v>430</v>
      </c>
      <c r="AN452" s="5" t="s">
        <v>431</v>
      </c>
      <c r="AO452" s="5" t="s">
        <v>2185</v>
      </c>
      <c r="AP452" s="5" t="s">
        <v>2185</v>
      </c>
      <c r="AQ452" s="5" t="s">
        <v>2185</v>
      </c>
      <c r="AR452" s="5" t="s">
        <v>2185</v>
      </c>
      <c r="AS452" s="142"/>
      <c r="AT452" s="142" t="b">
        <v>0</v>
      </c>
      <c r="AU452" s="142"/>
      <c r="AV452" s="142"/>
      <c r="AW452" s="142"/>
      <c r="AX452" s="142"/>
      <c r="AY452" s="142"/>
      <c r="AZ452" s="174"/>
      <c r="BA452" s="142"/>
      <c r="BB452" s="142"/>
      <c r="BC452" s="142"/>
      <c r="BD452" s="142"/>
      <c r="BE452" s="142"/>
      <c r="BF452" s="142"/>
      <c r="BG452" s="142"/>
    </row>
    <row r="453">
      <c r="A453" s="5" t="s">
        <v>1495</v>
      </c>
      <c r="B453" s="44">
        <v>44613.0</v>
      </c>
      <c r="C453" s="150">
        <v>0.3065509259259259</v>
      </c>
      <c r="D453" s="3"/>
      <c r="E453" s="3"/>
      <c r="F453" s="5"/>
      <c r="G453" s="5"/>
      <c r="H453" s="5"/>
      <c r="I453" s="3"/>
      <c r="J453" s="3"/>
      <c r="K453" s="3" t="s">
        <v>244</v>
      </c>
      <c r="L453" s="44">
        <v>44613.0</v>
      </c>
      <c r="M453" s="150">
        <v>0.4693981481481482</v>
      </c>
      <c r="N453" s="5"/>
      <c r="O453" s="5"/>
      <c r="P453" s="10" t="b">
        <v>0</v>
      </c>
      <c r="Q453" s="10" t="s">
        <v>2184</v>
      </c>
      <c r="R453" s="144" t="b">
        <v>1</v>
      </c>
      <c r="S453" s="144">
        <v>1.0</v>
      </c>
      <c r="T453" s="10"/>
      <c r="U453" s="5"/>
      <c r="V453" s="3"/>
      <c r="W453" s="5"/>
      <c r="X453" s="144" t="b">
        <v>0</v>
      </c>
      <c r="Y453" s="10" t="b">
        <v>0</v>
      </c>
      <c r="Z453" s="3"/>
      <c r="AA453" s="10" t="b">
        <v>0</v>
      </c>
      <c r="AB453" s="10" t="b">
        <v>0</v>
      </c>
      <c r="AC453" s="181">
        <v>313.0</v>
      </c>
      <c r="AD453" s="144" t="b">
        <v>0</v>
      </c>
      <c r="AE453" s="182">
        <v>234.50000000000006</v>
      </c>
      <c r="AF453" s="10" t="b">
        <v>0</v>
      </c>
      <c r="AG453" s="10" t="b">
        <v>0</v>
      </c>
      <c r="AH453" s="144"/>
      <c r="AI453" s="3"/>
      <c r="AJ453" s="10"/>
      <c r="AK453" s="3" t="s">
        <v>244</v>
      </c>
      <c r="AL453" s="5"/>
      <c r="AM453" s="5" t="s">
        <v>857</v>
      </c>
      <c r="AN453" s="5" t="s">
        <v>696</v>
      </c>
      <c r="AO453" s="5" t="s">
        <v>2185</v>
      </c>
      <c r="AP453" s="5" t="s">
        <v>2185</v>
      </c>
      <c r="AQ453" s="5" t="s">
        <v>2185</v>
      </c>
      <c r="AR453" s="5" t="s">
        <v>2185</v>
      </c>
      <c r="AS453" s="142"/>
      <c r="AT453" s="142" t="b">
        <v>0</v>
      </c>
      <c r="AU453" s="142"/>
      <c r="AV453" s="142"/>
      <c r="AW453" s="142"/>
      <c r="AX453" s="142"/>
      <c r="AY453" s="142"/>
      <c r="AZ453" s="174"/>
      <c r="BA453" s="142"/>
      <c r="BB453" s="142"/>
      <c r="BC453" s="142"/>
      <c r="BD453" s="142"/>
      <c r="BE453" s="142"/>
      <c r="BF453" s="142"/>
      <c r="BG453" s="142"/>
    </row>
    <row r="454">
      <c r="A454" s="5" t="s">
        <v>1497</v>
      </c>
      <c r="B454" s="44">
        <v>44613.0</v>
      </c>
      <c r="C454" s="150">
        <v>0.30733796296296295</v>
      </c>
      <c r="D454" s="3"/>
      <c r="E454" s="3"/>
      <c r="F454" s="5"/>
      <c r="G454" s="5"/>
      <c r="H454" s="5"/>
      <c r="I454" s="3"/>
      <c r="J454" s="3"/>
      <c r="K454" s="3" t="s">
        <v>244</v>
      </c>
      <c r="L454" s="44">
        <v>44613.0</v>
      </c>
      <c r="M454" s="150">
        <v>0.4693981481481482</v>
      </c>
      <c r="N454" s="5"/>
      <c r="O454" s="5"/>
      <c r="P454" s="10" t="b">
        <v>0</v>
      </c>
      <c r="Q454" s="10" t="s">
        <v>2184</v>
      </c>
      <c r="R454" s="144" t="b">
        <v>1</v>
      </c>
      <c r="S454" s="144">
        <v>1.0</v>
      </c>
      <c r="T454" s="10"/>
      <c r="U454" s="5"/>
      <c r="V454" s="3"/>
      <c r="W454" s="5"/>
      <c r="X454" s="144" t="b">
        <v>0</v>
      </c>
      <c r="Y454" s="10" t="b">
        <v>0</v>
      </c>
      <c r="Z454" s="3"/>
      <c r="AA454" s="10" t="b">
        <v>0</v>
      </c>
      <c r="AB454" s="10" t="b">
        <v>0</v>
      </c>
      <c r="AC454" s="181">
        <v>312.0</v>
      </c>
      <c r="AD454" s="144" t="b">
        <v>0</v>
      </c>
      <c r="AE454" s="182">
        <v>233.36666666666673</v>
      </c>
      <c r="AF454" s="10" t="b">
        <v>0</v>
      </c>
      <c r="AG454" s="10" t="b">
        <v>0</v>
      </c>
      <c r="AH454" s="144"/>
      <c r="AI454" s="3"/>
      <c r="AJ454" s="10"/>
      <c r="AK454" s="3" t="s">
        <v>244</v>
      </c>
      <c r="AL454" s="5"/>
      <c r="AM454" s="5" t="s">
        <v>491</v>
      </c>
      <c r="AN454" s="5" t="s">
        <v>495</v>
      </c>
      <c r="AO454" s="5" t="s">
        <v>2185</v>
      </c>
      <c r="AP454" s="5" t="s">
        <v>2185</v>
      </c>
      <c r="AQ454" s="5" t="s">
        <v>2185</v>
      </c>
      <c r="AR454" s="5" t="s">
        <v>2185</v>
      </c>
      <c r="AS454" s="142"/>
      <c r="AT454" s="142" t="b">
        <v>0</v>
      </c>
      <c r="AU454" s="142"/>
      <c r="AV454" s="142"/>
      <c r="AW454" s="142"/>
      <c r="AX454" s="142"/>
      <c r="AY454" s="142"/>
      <c r="AZ454" s="174"/>
      <c r="BA454" s="142"/>
      <c r="BB454" s="142"/>
      <c r="BC454" s="142"/>
      <c r="BD454" s="142"/>
      <c r="BE454" s="142"/>
      <c r="BF454" s="142"/>
      <c r="BG454" s="142"/>
    </row>
    <row r="455">
      <c r="A455" s="5" t="s">
        <v>1499</v>
      </c>
      <c r="B455" s="44">
        <v>44613.0</v>
      </c>
      <c r="C455" s="150">
        <v>0.3089351851851852</v>
      </c>
      <c r="D455" s="3"/>
      <c r="E455" s="3"/>
      <c r="F455" s="5"/>
      <c r="G455" s="5"/>
      <c r="H455" s="5"/>
      <c r="I455" s="3"/>
      <c r="J455" s="3"/>
      <c r="K455" s="3" t="s">
        <v>244</v>
      </c>
      <c r="L455" s="44">
        <v>44613.0</v>
      </c>
      <c r="M455" s="150">
        <v>0.4693981481481482</v>
      </c>
      <c r="N455" s="5"/>
      <c r="O455" s="5"/>
      <c r="P455" s="10" t="b">
        <v>0</v>
      </c>
      <c r="Q455" s="10" t="s">
        <v>2184</v>
      </c>
      <c r="R455" s="144" t="b">
        <v>1</v>
      </c>
      <c r="S455" s="144">
        <v>1.0</v>
      </c>
      <c r="T455" s="10"/>
      <c r="U455" s="5"/>
      <c r="V455" s="3"/>
      <c r="W455" s="5"/>
      <c r="X455" s="144" t="b">
        <v>0</v>
      </c>
      <c r="Y455" s="10" t="b">
        <v>0</v>
      </c>
      <c r="Z455" s="3"/>
      <c r="AA455" s="10" t="b">
        <v>0</v>
      </c>
      <c r="AB455" s="10" t="b">
        <v>0</v>
      </c>
      <c r="AC455" s="181">
        <v>311.0</v>
      </c>
      <c r="AD455" s="144" t="b">
        <v>0</v>
      </c>
      <c r="AE455" s="182">
        <v>231.0666666666667</v>
      </c>
      <c r="AF455" s="10" t="b">
        <v>0</v>
      </c>
      <c r="AG455" s="10" t="b">
        <v>0</v>
      </c>
      <c r="AH455" s="144"/>
      <c r="AI455" s="3"/>
      <c r="AJ455" s="10"/>
      <c r="AK455" s="3" t="s">
        <v>244</v>
      </c>
      <c r="AL455" s="5"/>
      <c r="AM455" s="5" t="s">
        <v>328</v>
      </c>
      <c r="AN455" s="5" t="s">
        <v>329</v>
      </c>
      <c r="AO455" s="5" t="s">
        <v>2185</v>
      </c>
      <c r="AP455" s="5" t="s">
        <v>2185</v>
      </c>
      <c r="AQ455" s="5" t="s">
        <v>2185</v>
      </c>
      <c r="AR455" s="5" t="s">
        <v>2185</v>
      </c>
      <c r="AS455" s="142"/>
      <c r="AT455" s="142" t="b">
        <v>0</v>
      </c>
      <c r="AU455" s="142"/>
      <c r="AV455" s="142"/>
      <c r="AW455" s="142"/>
      <c r="AX455" s="142"/>
      <c r="AY455" s="142"/>
      <c r="AZ455" s="174"/>
      <c r="BA455" s="142"/>
      <c r="BB455" s="142"/>
      <c r="BC455" s="142"/>
      <c r="BD455" s="142"/>
      <c r="BE455" s="142"/>
      <c r="BF455" s="142"/>
      <c r="BG455" s="142"/>
    </row>
    <row r="456">
      <c r="A456" s="5" t="s">
        <v>1501</v>
      </c>
      <c r="B456" s="44">
        <v>44613.0</v>
      </c>
      <c r="C456" s="150">
        <v>0.31090277777777775</v>
      </c>
      <c r="D456" s="3"/>
      <c r="E456" s="3"/>
      <c r="F456" s="5"/>
      <c r="G456" s="5"/>
      <c r="H456" s="5"/>
      <c r="I456" s="183"/>
      <c r="J456" s="3"/>
      <c r="K456" s="3" t="s">
        <v>244</v>
      </c>
      <c r="L456" s="44">
        <v>44613.0</v>
      </c>
      <c r="M456" s="150">
        <v>0.4693981481481482</v>
      </c>
      <c r="N456" s="5" t="s">
        <v>247</v>
      </c>
      <c r="O456" s="5"/>
      <c r="P456" s="10" t="b">
        <v>0</v>
      </c>
      <c r="Q456" s="10" t="s">
        <v>2184</v>
      </c>
      <c r="R456" s="144" t="b">
        <v>1</v>
      </c>
      <c r="S456" s="144">
        <v>1.0</v>
      </c>
      <c r="T456" s="10">
        <v>0.0</v>
      </c>
      <c r="U456" s="5"/>
      <c r="V456" s="3"/>
      <c r="W456" s="5"/>
      <c r="X456" s="144" t="b">
        <v>0</v>
      </c>
      <c r="Y456" s="10" t="b">
        <v>0</v>
      </c>
      <c r="Z456" s="3"/>
      <c r="AA456" s="10" t="b">
        <v>0</v>
      </c>
      <c r="AB456" s="10" t="b">
        <v>0</v>
      </c>
      <c r="AC456" s="181">
        <v>786.0</v>
      </c>
      <c r="AD456" s="144" t="b">
        <v>1</v>
      </c>
      <c r="AE456" s="182">
        <v>228.2333333333334</v>
      </c>
      <c r="AF456" s="10" t="b">
        <v>0</v>
      </c>
      <c r="AG456" s="10" t="b">
        <v>0</v>
      </c>
      <c r="AH456" s="144"/>
      <c r="AI456" s="3"/>
      <c r="AJ456" s="10"/>
      <c r="AK456" s="3" t="s">
        <v>244</v>
      </c>
      <c r="AL456" s="5"/>
      <c r="AM456" s="5" t="s">
        <v>504</v>
      </c>
      <c r="AN456" s="5" t="s">
        <v>505</v>
      </c>
      <c r="AO456" s="5" t="s">
        <v>2185</v>
      </c>
      <c r="AP456" s="5" t="s">
        <v>2185</v>
      </c>
      <c r="AQ456" s="5" t="s">
        <v>2185</v>
      </c>
      <c r="AR456" s="5" t="s">
        <v>2185</v>
      </c>
      <c r="AS456" s="142"/>
      <c r="AT456" s="142" t="b">
        <v>0</v>
      </c>
      <c r="AU456" s="142"/>
      <c r="AV456" s="142"/>
      <c r="AW456" s="142"/>
      <c r="AX456" s="142"/>
      <c r="AY456" s="142"/>
      <c r="AZ456" s="174"/>
      <c r="BA456" s="142"/>
      <c r="BB456" s="142"/>
      <c r="BC456" s="142"/>
      <c r="BD456" s="142"/>
      <c r="BE456" s="142"/>
      <c r="BF456" s="142"/>
      <c r="BG456" s="142"/>
    </row>
    <row r="457">
      <c r="A457" s="5" t="s">
        <v>1503</v>
      </c>
      <c r="B457" s="44">
        <v>44613.0</v>
      </c>
      <c r="C457" s="150">
        <v>0.3148726851851852</v>
      </c>
      <c r="D457" s="3"/>
      <c r="E457" s="3"/>
      <c r="F457" s="5"/>
      <c r="G457" s="5"/>
      <c r="H457" s="5"/>
      <c r="I457" s="3"/>
      <c r="J457" s="3"/>
      <c r="K457" s="3" t="s">
        <v>244</v>
      </c>
      <c r="L457" s="44">
        <v>44613.0</v>
      </c>
      <c r="M457" s="150">
        <v>0.4693981481481482</v>
      </c>
      <c r="N457" s="5"/>
      <c r="O457" s="5"/>
      <c r="P457" s="10" t="b">
        <v>0</v>
      </c>
      <c r="Q457" s="10" t="s">
        <v>2184</v>
      </c>
      <c r="R457" s="144" t="b">
        <v>1</v>
      </c>
      <c r="S457" s="144">
        <v>1.0</v>
      </c>
      <c r="T457" s="10"/>
      <c r="U457" s="5"/>
      <c r="V457" s="3"/>
      <c r="W457" s="5"/>
      <c r="X457" s="144" t="b">
        <v>0</v>
      </c>
      <c r="Y457" s="10" t="b">
        <v>0</v>
      </c>
      <c r="Z457" s="3"/>
      <c r="AA457" s="10" t="b">
        <v>0</v>
      </c>
      <c r="AB457" s="10" t="b">
        <v>0</v>
      </c>
      <c r="AC457" s="181">
        <v>310.0</v>
      </c>
      <c r="AD457" s="144" t="b">
        <v>0</v>
      </c>
      <c r="AE457" s="182">
        <v>222.5166666666667</v>
      </c>
      <c r="AF457" s="10" t="b">
        <v>0</v>
      </c>
      <c r="AG457" s="10" t="b">
        <v>0</v>
      </c>
      <c r="AH457" s="144"/>
      <c r="AI457" s="3"/>
      <c r="AJ457" s="10"/>
      <c r="AK457" s="3" t="s">
        <v>244</v>
      </c>
      <c r="AL457" s="5"/>
      <c r="AM457" s="5" t="s">
        <v>257</v>
      </c>
      <c r="AN457" s="5" t="s">
        <v>406</v>
      </c>
      <c r="AO457" s="5" t="s">
        <v>2185</v>
      </c>
      <c r="AP457" s="5" t="s">
        <v>2185</v>
      </c>
      <c r="AQ457" s="5" t="s">
        <v>2185</v>
      </c>
      <c r="AR457" s="5" t="s">
        <v>2185</v>
      </c>
      <c r="AS457" s="142"/>
      <c r="AT457" s="142" t="b">
        <v>0</v>
      </c>
      <c r="AU457" s="142"/>
      <c r="AV457" s="142"/>
      <c r="AW457" s="142"/>
      <c r="AX457" s="142"/>
      <c r="AY457" s="142"/>
      <c r="AZ457" s="174"/>
      <c r="BA457" s="142"/>
      <c r="BB457" s="142"/>
      <c r="BC457" s="142"/>
      <c r="BD457" s="142"/>
      <c r="BE457" s="142"/>
      <c r="BF457" s="142"/>
      <c r="BG457" s="142"/>
    </row>
    <row r="458">
      <c r="A458" s="5" t="s">
        <v>1505</v>
      </c>
      <c r="B458" s="44">
        <v>44613.0</v>
      </c>
      <c r="C458" s="150">
        <v>0.3150115740740741</v>
      </c>
      <c r="D458" s="3"/>
      <c r="E458" s="3"/>
      <c r="F458" s="5"/>
      <c r="G458" s="5"/>
      <c r="H458" s="5"/>
      <c r="I458" s="3"/>
      <c r="J458" s="3"/>
      <c r="K458" s="3" t="s">
        <v>244</v>
      </c>
      <c r="L458" s="44">
        <v>44613.0</v>
      </c>
      <c r="M458" s="150">
        <v>0.4693981481481482</v>
      </c>
      <c r="N458" s="5"/>
      <c r="O458" s="5"/>
      <c r="P458" s="10" t="b">
        <v>0</v>
      </c>
      <c r="Q458" s="10" t="s">
        <v>2184</v>
      </c>
      <c r="R458" s="144" t="b">
        <v>1</v>
      </c>
      <c r="S458" s="144">
        <v>1.0</v>
      </c>
      <c r="T458" s="10"/>
      <c r="U458" s="5"/>
      <c r="V458" s="3"/>
      <c r="W458" s="5"/>
      <c r="X458" s="144" t="b">
        <v>0</v>
      </c>
      <c r="Y458" s="10" t="b">
        <v>0</v>
      </c>
      <c r="Z458" s="3"/>
      <c r="AA458" s="10" t="b">
        <v>0</v>
      </c>
      <c r="AB458" s="10" t="b">
        <v>0</v>
      </c>
      <c r="AC458" s="181">
        <v>309.0</v>
      </c>
      <c r="AD458" s="144" t="b">
        <v>0</v>
      </c>
      <c r="AE458" s="182">
        <v>222.31666666666666</v>
      </c>
      <c r="AF458" s="10" t="b">
        <v>0</v>
      </c>
      <c r="AG458" s="10" t="b">
        <v>0</v>
      </c>
      <c r="AH458" s="144"/>
      <c r="AI458" s="3"/>
      <c r="AJ458" s="10"/>
      <c r="AK458" s="3" t="s">
        <v>244</v>
      </c>
      <c r="AL458" s="5"/>
      <c r="AM458" s="5" t="s">
        <v>875</v>
      </c>
      <c r="AN458" s="5" t="s">
        <v>876</v>
      </c>
      <c r="AO458" s="5" t="s">
        <v>2185</v>
      </c>
      <c r="AP458" s="5" t="s">
        <v>2185</v>
      </c>
      <c r="AQ458" s="5" t="s">
        <v>2185</v>
      </c>
      <c r="AR458" s="5" t="s">
        <v>2185</v>
      </c>
      <c r="AS458" s="142"/>
      <c r="AT458" s="142" t="b">
        <v>0</v>
      </c>
      <c r="AU458" s="142"/>
      <c r="AV458" s="142"/>
      <c r="AW458" s="142"/>
      <c r="AX458" s="142"/>
      <c r="AY458" s="142"/>
      <c r="AZ458" s="174"/>
      <c r="BA458" s="142"/>
      <c r="BB458" s="142"/>
      <c r="BC458" s="142"/>
      <c r="BD458" s="142"/>
      <c r="BE458" s="142"/>
      <c r="BF458" s="142"/>
      <c r="BG458" s="142"/>
    </row>
    <row r="459">
      <c r="A459" s="5" t="s">
        <v>1507</v>
      </c>
      <c r="B459" s="44">
        <v>44613.0</v>
      </c>
      <c r="C459" s="150">
        <v>0.3159722222222222</v>
      </c>
      <c r="D459" s="3"/>
      <c r="E459" s="3"/>
      <c r="F459" s="5"/>
      <c r="G459" s="5"/>
      <c r="H459" s="5"/>
      <c r="I459" s="3"/>
      <c r="J459" s="3"/>
      <c r="K459" s="3" t="s">
        <v>244</v>
      </c>
      <c r="L459" s="44">
        <v>44613.0</v>
      </c>
      <c r="M459" s="150">
        <v>0.4693981481481482</v>
      </c>
      <c r="N459" s="5"/>
      <c r="O459" s="5"/>
      <c r="P459" s="10" t="b">
        <v>0</v>
      </c>
      <c r="Q459" s="10" t="s">
        <v>2184</v>
      </c>
      <c r="R459" s="144" t="b">
        <v>1</v>
      </c>
      <c r="S459" s="144">
        <v>1.0</v>
      </c>
      <c r="T459" s="10"/>
      <c r="U459" s="5"/>
      <c r="V459" s="3"/>
      <c r="W459" s="5"/>
      <c r="X459" s="144" t="b">
        <v>0</v>
      </c>
      <c r="Y459" s="10" t="b">
        <v>0</v>
      </c>
      <c r="Z459" s="3"/>
      <c r="AA459" s="10" t="b">
        <v>0</v>
      </c>
      <c r="AB459" s="10" t="b">
        <v>0</v>
      </c>
      <c r="AC459" s="181">
        <v>308.0</v>
      </c>
      <c r="AD459" s="144" t="b">
        <v>0</v>
      </c>
      <c r="AE459" s="182">
        <v>220.9333333333334</v>
      </c>
      <c r="AF459" s="10" t="b">
        <v>0</v>
      </c>
      <c r="AG459" s="10" t="b">
        <v>0</v>
      </c>
      <c r="AH459" s="144"/>
      <c r="AI459" s="3"/>
      <c r="AJ459" s="10"/>
      <c r="AK459" s="3" t="s">
        <v>244</v>
      </c>
      <c r="AL459" s="5"/>
      <c r="AM459" s="5" t="s">
        <v>649</v>
      </c>
      <c r="AN459" s="5" t="s">
        <v>336</v>
      </c>
      <c r="AO459" s="5" t="s">
        <v>2185</v>
      </c>
      <c r="AP459" s="5" t="s">
        <v>2185</v>
      </c>
      <c r="AQ459" s="5" t="s">
        <v>2185</v>
      </c>
      <c r="AR459" s="5" t="s">
        <v>2185</v>
      </c>
      <c r="AS459" s="142"/>
      <c r="AT459" s="142" t="b">
        <v>0</v>
      </c>
      <c r="AU459" s="142"/>
      <c r="AV459" s="142"/>
      <c r="AW459" s="142"/>
      <c r="AX459" s="142"/>
      <c r="AY459" s="142"/>
      <c r="AZ459" s="174"/>
      <c r="BA459" s="142"/>
      <c r="BB459" s="142"/>
      <c r="BC459" s="142"/>
      <c r="BD459" s="142"/>
      <c r="BE459" s="142"/>
      <c r="BF459" s="142"/>
      <c r="BG459" s="142"/>
    </row>
    <row r="460">
      <c r="A460" s="5" t="s">
        <v>1509</v>
      </c>
      <c r="B460" s="44">
        <v>44613.0</v>
      </c>
      <c r="C460" s="150">
        <v>0.316724537037037</v>
      </c>
      <c r="D460" s="3"/>
      <c r="E460" s="3"/>
      <c r="F460" s="5"/>
      <c r="G460" s="5"/>
      <c r="H460" s="5"/>
      <c r="I460" s="3"/>
      <c r="J460" s="3"/>
      <c r="K460" s="3" t="s">
        <v>244</v>
      </c>
      <c r="L460" s="44">
        <v>44613.0</v>
      </c>
      <c r="M460" s="150">
        <v>0.4693981481481482</v>
      </c>
      <c r="N460" s="5"/>
      <c r="O460" s="5"/>
      <c r="P460" s="10" t="b">
        <v>0</v>
      </c>
      <c r="Q460" s="10" t="s">
        <v>2184</v>
      </c>
      <c r="R460" s="144" t="b">
        <v>1</v>
      </c>
      <c r="S460" s="144">
        <v>1.0</v>
      </c>
      <c r="T460" s="10"/>
      <c r="U460" s="5"/>
      <c r="V460" s="3"/>
      <c r="W460" s="5"/>
      <c r="X460" s="144" t="b">
        <v>0</v>
      </c>
      <c r="Y460" s="10" t="b">
        <v>0</v>
      </c>
      <c r="Z460" s="3"/>
      <c r="AA460" s="10" t="b">
        <v>0</v>
      </c>
      <c r="AB460" s="10" t="b">
        <v>0</v>
      </c>
      <c r="AC460" s="181">
        <v>307.0</v>
      </c>
      <c r="AD460" s="144" t="b">
        <v>0</v>
      </c>
      <c r="AE460" s="182">
        <v>219.85000000000008</v>
      </c>
      <c r="AF460" s="10" t="b">
        <v>0</v>
      </c>
      <c r="AG460" s="10" t="b">
        <v>0</v>
      </c>
      <c r="AH460" s="144"/>
      <c r="AI460" s="3"/>
      <c r="AJ460" s="10"/>
      <c r="AK460" s="3" t="s">
        <v>244</v>
      </c>
      <c r="AL460" s="5"/>
      <c r="AM460" s="5" t="s">
        <v>850</v>
      </c>
      <c r="AN460" s="5" t="s">
        <v>851</v>
      </c>
      <c r="AO460" s="5" t="s">
        <v>2185</v>
      </c>
      <c r="AP460" s="5" t="s">
        <v>2185</v>
      </c>
      <c r="AQ460" s="5" t="s">
        <v>2185</v>
      </c>
      <c r="AR460" s="5" t="s">
        <v>2185</v>
      </c>
      <c r="AS460" s="142"/>
      <c r="AT460" s="142" t="b">
        <v>0</v>
      </c>
      <c r="AU460" s="142"/>
      <c r="AV460" s="142"/>
      <c r="AW460" s="142"/>
      <c r="AX460" s="142"/>
      <c r="AY460" s="142"/>
      <c r="AZ460" s="174"/>
      <c r="BA460" s="142"/>
      <c r="BB460" s="142"/>
      <c r="BC460" s="142"/>
      <c r="BD460" s="142"/>
      <c r="BE460" s="142"/>
      <c r="BF460" s="142"/>
      <c r="BG460" s="142"/>
    </row>
    <row r="461">
      <c r="A461" s="5" t="s">
        <v>1511</v>
      </c>
      <c r="B461" s="44">
        <v>44613.0</v>
      </c>
      <c r="C461" s="150">
        <v>0.3174652777777778</v>
      </c>
      <c r="D461" s="3"/>
      <c r="E461" s="3"/>
      <c r="F461" s="5"/>
      <c r="G461" s="5"/>
      <c r="H461" s="5"/>
      <c r="I461" s="3"/>
      <c r="J461" s="3"/>
      <c r="K461" s="3" t="s">
        <v>244</v>
      </c>
      <c r="L461" s="44">
        <v>44613.0</v>
      </c>
      <c r="M461" s="150">
        <v>0.4693981481481482</v>
      </c>
      <c r="N461" s="5"/>
      <c r="O461" s="5"/>
      <c r="P461" s="10" t="b">
        <v>0</v>
      </c>
      <c r="Q461" s="10" t="s">
        <v>2184</v>
      </c>
      <c r="R461" s="144" t="b">
        <v>1</v>
      </c>
      <c r="S461" s="144">
        <v>1.0</v>
      </c>
      <c r="T461" s="10"/>
      <c r="U461" s="5"/>
      <c r="V461" s="3"/>
      <c r="W461" s="5"/>
      <c r="X461" s="144" t="b">
        <v>0</v>
      </c>
      <c r="Y461" s="10" t="b">
        <v>0</v>
      </c>
      <c r="Z461" s="3"/>
      <c r="AA461" s="10" t="b">
        <v>0</v>
      </c>
      <c r="AB461" s="10" t="b">
        <v>0</v>
      </c>
      <c r="AC461" s="181">
        <v>306.0</v>
      </c>
      <c r="AD461" s="144" t="b">
        <v>0</v>
      </c>
      <c r="AE461" s="182">
        <v>218.78333333333336</v>
      </c>
      <c r="AF461" s="10" t="b">
        <v>0</v>
      </c>
      <c r="AG461" s="10" t="b">
        <v>0</v>
      </c>
      <c r="AH461" s="144"/>
      <c r="AI461" s="3"/>
      <c r="AJ461" s="10"/>
      <c r="AK461" s="3" t="s">
        <v>244</v>
      </c>
      <c r="AL461" s="5"/>
      <c r="AM461" s="5" t="s">
        <v>1512</v>
      </c>
      <c r="AN461" s="5" t="s">
        <v>1513</v>
      </c>
      <c r="AO461" s="5" t="s">
        <v>2185</v>
      </c>
      <c r="AP461" s="5" t="s">
        <v>2185</v>
      </c>
      <c r="AQ461" s="5" t="s">
        <v>2185</v>
      </c>
      <c r="AR461" s="5" t="s">
        <v>2185</v>
      </c>
      <c r="AS461" s="142"/>
      <c r="AT461" s="142" t="b">
        <v>0</v>
      </c>
      <c r="AU461" s="142"/>
      <c r="AV461" s="142"/>
      <c r="AW461" s="142"/>
      <c r="AX461" s="142"/>
      <c r="AY461" s="142"/>
      <c r="AZ461" s="174"/>
      <c r="BA461" s="142"/>
      <c r="BB461" s="142"/>
      <c r="BC461" s="142"/>
      <c r="BD461" s="142"/>
      <c r="BE461" s="142"/>
      <c r="BF461" s="142"/>
      <c r="BG461" s="142"/>
    </row>
    <row r="462">
      <c r="A462" s="5" t="s">
        <v>1515</v>
      </c>
      <c r="B462" s="44">
        <v>44613.0</v>
      </c>
      <c r="C462" s="150">
        <v>0.3193634259259259</v>
      </c>
      <c r="D462" s="3"/>
      <c r="E462" s="3"/>
      <c r="F462" s="5"/>
      <c r="G462" s="5"/>
      <c r="H462" s="5"/>
      <c r="I462" s="3"/>
      <c r="J462" s="3"/>
      <c r="K462" s="3" t="s">
        <v>244</v>
      </c>
      <c r="L462" s="44">
        <v>44613.0</v>
      </c>
      <c r="M462" s="150">
        <v>0.4694097222222222</v>
      </c>
      <c r="N462" s="5"/>
      <c r="O462" s="5"/>
      <c r="P462" s="10" t="b">
        <v>0</v>
      </c>
      <c r="Q462" s="10" t="s">
        <v>2184</v>
      </c>
      <c r="R462" s="144" t="b">
        <v>1</v>
      </c>
      <c r="S462" s="144">
        <v>1.0</v>
      </c>
      <c r="T462" s="10"/>
      <c r="U462" s="5"/>
      <c r="V462" s="3"/>
      <c r="W462" s="5"/>
      <c r="X462" s="144" t="b">
        <v>0</v>
      </c>
      <c r="Y462" s="10" t="b">
        <v>0</v>
      </c>
      <c r="Z462" s="3"/>
      <c r="AA462" s="10" t="b">
        <v>0</v>
      </c>
      <c r="AB462" s="10" t="b">
        <v>0</v>
      </c>
      <c r="AC462" s="181">
        <v>305.0</v>
      </c>
      <c r="AD462" s="144" t="b">
        <v>0</v>
      </c>
      <c r="AE462" s="182">
        <v>216.06666666666666</v>
      </c>
      <c r="AF462" s="10" t="b">
        <v>0</v>
      </c>
      <c r="AG462" s="10" t="b">
        <v>0</v>
      </c>
      <c r="AH462" s="144"/>
      <c r="AI462" s="3"/>
      <c r="AJ462" s="10"/>
      <c r="AK462" s="3" t="s">
        <v>244</v>
      </c>
      <c r="AL462" s="5"/>
      <c r="AM462" s="5" t="s">
        <v>1516</v>
      </c>
      <c r="AN462" s="5" t="s">
        <v>1517</v>
      </c>
      <c r="AO462" s="5" t="s">
        <v>2185</v>
      </c>
      <c r="AP462" s="5" t="s">
        <v>2185</v>
      </c>
      <c r="AQ462" s="5" t="s">
        <v>2185</v>
      </c>
      <c r="AR462" s="5" t="s">
        <v>2185</v>
      </c>
      <c r="AS462" s="142"/>
      <c r="AT462" s="142" t="b">
        <v>0</v>
      </c>
      <c r="AU462" s="142"/>
      <c r="AV462" s="142"/>
      <c r="AW462" s="142"/>
      <c r="AX462" s="142"/>
      <c r="AY462" s="142"/>
      <c r="AZ462" s="174"/>
      <c r="BA462" s="142"/>
      <c r="BB462" s="142"/>
      <c r="BC462" s="142"/>
      <c r="BD462" s="142"/>
      <c r="BE462" s="142"/>
      <c r="BF462" s="142"/>
      <c r="BG462" s="142"/>
    </row>
    <row r="463">
      <c r="A463" s="5" t="s">
        <v>1519</v>
      </c>
      <c r="B463" s="44">
        <v>44613.0</v>
      </c>
      <c r="C463" s="150">
        <v>0.3198611111111111</v>
      </c>
      <c r="D463" s="3"/>
      <c r="E463" s="3"/>
      <c r="F463" s="5"/>
      <c r="G463" s="5"/>
      <c r="H463" s="5"/>
      <c r="I463" s="3"/>
      <c r="J463" s="3"/>
      <c r="K463" s="3" t="s">
        <v>244</v>
      </c>
      <c r="L463" s="44">
        <v>44613.0</v>
      </c>
      <c r="M463" s="150">
        <v>0.4694097222222222</v>
      </c>
      <c r="N463" s="5"/>
      <c r="O463" s="5"/>
      <c r="P463" s="10" t="b">
        <v>0</v>
      </c>
      <c r="Q463" s="10" t="s">
        <v>2184</v>
      </c>
      <c r="R463" s="144" t="b">
        <v>1</v>
      </c>
      <c r="S463" s="144">
        <v>1.0</v>
      </c>
      <c r="T463" s="10"/>
      <c r="U463" s="5"/>
      <c r="V463" s="3"/>
      <c r="W463" s="5"/>
      <c r="X463" s="144" t="b">
        <v>0</v>
      </c>
      <c r="Y463" s="10" t="b">
        <v>0</v>
      </c>
      <c r="Z463" s="3"/>
      <c r="AA463" s="10" t="b">
        <v>0</v>
      </c>
      <c r="AB463" s="10" t="b">
        <v>0</v>
      </c>
      <c r="AC463" s="181">
        <v>304.0</v>
      </c>
      <c r="AD463" s="144" t="b">
        <v>0</v>
      </c>
      <c r="AE463" s="182">
        <v>215.35000000000002</v>
      </c>
      <c r="AF463" s="10" t="b">
        <v>0</v>
      </c>
      <c r="AG463" s="10" t="b">
        <v>0</v>
      </c>
      <c r="AH463" s="144"/>
      <c r="AI463" s="3"/>
      <c r="AJ463" s="10"/>
      <c r="AK463" s="3" t="s">
        <v>244</v>
      </c>
      <c r="AL463" s="5"/>
      <c r="AM463" s="5" t="s">
        <v>1260</v>
      </c>
      <c r="AN463" s="5" t="s">
        <v>1261</v>
      </c>
      <c r="AO463" s="5" t="s">
        <v>2185</v>
      </c>
      <c r="AP463" s="5" t="s">
        <v>2185</v>
      </c>
      <c r="AQ463" s="5" t="s">
        <v>2185</v>
      </c>
      <c r="AR463" s="5" t="s">
        <v>2185</v>
      </c>
      <c r="AS463" s="142"/>
      <c r="AT463" s="142" t="b">
        <v>0</v>
      </c>
      <c r="AU463" s="142"/>
      <c r="AV463" s="142"/>
      <c r="AW463" s="142"/>
      <c r="AX463" s="142"/>
      <c r="AY463" s="142"/>
      <c r="AZ463" s="174"/>
      <c r="BA463" s="142"/>
      <c r="BB463" s="142"/>
      <c r="BC463" s="142"/>
      <c r="BD463" s="142"/>
      <c r="BE463" s="142"/>
      <c r="BF463" s="142"/>
      <c r="BG463" s="142"/>
    </row>
    <row r="464">
      <c r="A464" s="5" t="s">
        <v>1521</v>
      </c>
      <c r="B464" s="44">
        <v>44613.0</v>
      </c>
      <c r="C464" s="150">
        <v>0.32069444444444445</v>
      </c>
      <c r="D464" s="3"/>
      <c r="E464" s="3"/>
      <c r="F464" s="5"/>
      <c r="G464" s="5"/>
      <c r="H464" s="5"/>
      <c r="I464" s="3"/>
      <c r="J464" s="3"/>
      <c r="K464" s="3" t="s">
        <v>244</v>
      </c>
      <c r="L464" s="44">
        <v>44613.0</v>
      </c>
      <c r="M464" s="150">
        <v>0.4694097222222222</v>
      </c>
      <c r="N464" s="5"/>
      <c r="O464" s="5"/>
      <c r="P464" s="10" t="b">
        <v>0</v>
      </c>
      <c r="Q464" s="10" t="s">
        <v>2184</v>
      </c>
      <c r="R464" s="144" t="b">
        <v>1</v>
      </c>
      <c r="S464" s="144">
        <v>1.0</v>
      </c>
      <c r="T464" s="10"/>
      <c r="U464" s="5"/>
      <c r="V464" s="3"/>
      <c r="W464" s="5"/>
      <c r="X464" s="144" t="b">
        <v>0</v>
      </c>
      <c r="Y464" s="10" t="b">
        <v>0</v>
      </c>
      <c r="Z464" s="3"/>
      <c r="AA464" s="10" t="b">
        <v>0</v>
      </c>
      <c r="AB464" s="10" t="b">
        <v>0</v>
      </c>
      <c r="AC464" s="181">
        <v>303.0</v>
      </c>
      <c r="AD464" s="144" t="b">
        <v>0</v>
      </c>
      <c r="AE464" s="182">
        <v>214.14999999999998</v>
      </c>
      <c r="AF464" s="10" t="b">
        <v>0</v>
      </c>
      <c r="AG464" s="10" t="b">
        <v>0</v>
      </c>
      <c r="AH464" s="144"/>
      <c r="AI464" s="3"/>
      <c r="AJ464" s="10"/>
      <c r="AK464" s="3" t="s">
        <v>244</v>
      </c>
      <c r="AL464" s="5"/>
      <c r="AM464" s="5" t="s">
        <v>436</v>
      </c>
      <c r="AN464" s="5" t="s">
        <v>437</v>
      </c>
      <c r="AO464" s="5" t="s">
        <v>2185</v>
      </c>
      <c r="AP464" s="5" t="s">
        <v>2185</v>
      </c>
      <c r="AQ464" s="5" t="s">
        <v>2185</v>
      </c>
      <c r="AR464" s="5" t="s">
        <v>2185</v>
      </c>
      <c r="AS464" s="142"/>
      <c r="AT464" s="142" t="b">
        <v>0</v>
      </c>
      <c r="AU464" s="142"/>
      <c r="AV464" s="142"/>
      <c r="AW464" s="142"/>
      <c r="AX464" s="142"/>
      <c r="AY464" s="142"/>
      <c r="AZ464" s="174"/>
      <c r="BA464" s="142"/>
      <c r="BB464" s="142"/>
      <c r="BC464" s="142"/>
      <c r="BD464" s="142"/>
      <c r="BE464" s="142"/>
      <c r="BF464" s="142"/>
      <c r="BG464" s="142"/>
    </row>
    <row r="465">
      <c r="A465" s="5" t="s">
        <v>1523</v>
      </c>
      <c r="B465" s="44">
        <v>44613.0</v>
      </c>
      <c r="C465" s="150">
        <v>0.32101851851851854</v>
      </c>
      <c r="D465" s="3"/>
      <c r="E465" s="3"/>
      <c r="F465" s="5"/>
      <c r="G465" s="5"/>
      <c r="H465" s="5"/>
      <c r="I465" s="3"/>
      <c r="J465" s="3"/>
      <c r="K465" s="3" t="s">
        <v>244</v>
      </c>
      <c r="L465" s="44">
        <v>44613.0</v>
      </c>
      <c r="M465" s="150">
        <v>0.4694097222222222</v>
      </c>
      <c r="N465" s="5"/>
      <c r="O465" s="5"/>
      <c r="P465" s="10" t="b">
        <v>0</v>
      </c>
      <c r="Q465" s="10" t="s">
        <v>2184</v>
      </c>
      <c r="R465" s="144" t="b">
        <v>1</v>
      </c>
      <c r="S465" s="144">
        <v>1.0</v>
      </c>
      <c r="T465" s="10"/>
      <c r="U465" s="5"/>
      <c r="V465" s="3"/>
      <c r="W465" s="5"/>
      <c r="X465" s="144" t="b">
        <v>0</v>
      </c>
      <c r="Y465" s="10" t="b">
        <v>0</v>
      </c>
      <c r="Z465" s="3"/>
      <c r="AA465" s="10" t="b">
        <v>0</v>
      </c>
      <c r="AB465" s="10" t="b">
        <v>0</v>
      </c>
      <c r="AC465" s="181">
        <v>302.0</v>
      </c>
      <c r="AD465" s="144" t="b">
        <v>0</v>
      </c>
      <c r="AE465" s="182">
        <v>213.6833333333333</v>
      </c>
      <c r="AF465" s="10" t="b">
        <v>0</v>
      </c>
      <c r="AG465" s="10" t="b">
        <v>0</v>
      </c>
      <c r="AH465" s="144"/>
      <c r="AI465" s="3"/>
      <c r="AJ465" s="10"/>
      <c r="AK465" s="3" t="s">
        <v>244</v>
      </c>
      <c r="AL465" s="5"/>
      <c r="AM465" s="5" t="s">
        <v>587</v>
      </c>
      <c r="AN465" s="5" t="s">
        <v>588</v>
      </c>
      <c r="AO465" s="5" t="s">
        <v>2185</v>
      </c>
      <c r="AP465" s="5" t="s">
        <v>2185</v>
      </c>
      <c r="AQ465" s="5" t="s">
        <v>2185</v>
      </c>
      <c r="AR465" s="5" t="s">
        <v>2185</v>
      </c>
      <c r="AS465" s="142"/>
      <c r="AT465" s="142" t="b">
        <v>0</v>
      </c>
      <c r="AU465" s="142"/>
      <c r="AV465" s="142"/>
      <c r="AW465" s="142"/>
      <c r="AX465" s="142"/>
      <c r="AY465" s="142"/>
      <c r="AZ465" s="174"/>
      <c r="BA465" s="142"/>
      <c r="BB465" s="142"/>
      <c r="BC465" s="142"/>
      <c r="BD465" s="142"/>
      <c r="BE465" s="142"/>
      <c r="BF465" s="142"/>
      <c r="BG465" s="142"/>
    </row>
    <row r="466">
      <c r="A466" s="5" t="s">
        <v>1525</v>
      </c>
      <c r="B466" s="44">
        <v>44613.0</v>
      </c>
      <c r="C466" s="150">
        <v>0.3212037037037037</v>
      </c>
      <c r="D466" s="3"/>
      <c r="E466" s="3"/>
      <c r="F466" s="5"/>
      <c r="G466" s="5"/>
      <c r="H466" s="5"/>
      <c r="I466" s="3"/>
      <c r="J466" s="3"/>
      <c r="K466" s="3" t="s">
        <v>244</v>
      </c>
      <c r="L466" s="44">
        <v>44613.0</v>
      </c>
      <c r="M466" s="150">
        <v>0.4694097222222222</v>
      </c>
      <c r="N466" s="5"/>
      <c r="O466" s="5"/>
      <c r="P466" s="10" t="b">
        <v>0</v>
      </c>
      <c r="Q466" s="10" t="s">
        <v>2184</v>
      </c>
      <c r="R466" s="144" t="b">
        <v>1</v>
      </c>
      <c r="S466" s="144">
        <v>1.0</v>
      </c>
      <c r="T466" s="10"/>
      <c r="U466" s="5"/>
      <c r="V466" s="3"/>
      <c r="W466" s="5"/>
      <c r="X466" s="144" t="b">
        <v>0</v>
      </c>
      <c r="Y466" s="10" t="b">
        <v>0</v>
      </c>
      <c r="Z466" s="3"/>
      <c r="AA466" s="10" t="b">
        <v>0</v>
      </c>
      <c r="AB466" s="10" t="b">
        <v>0</v>
      </c>
      <c r="AC466" s="181">
        <v>301.0</v>
      </c>
      <c r="AD466" s="144" t="b">
        <v>0</v>
      </c>
      <c r="AE466" s="182">
        <v>213.41666666666663</v>
      </c>
      <c r="AF466" s="10" t="b">
        <v>0</v>
      </c>
      <c r="AG466" s="10" t="b">
        <v>0</v>
      </c>
      <c r="AH466" s="144"/>
      <c r="AI466" s="3"/>
      <c r="AJ466" s="10"/>
      <c r="AK466" s="3" t="s">
        <v>244</v>
      </c>
      <c r="AL466" s="5"/>
      <c r="AM466" s="5" t="s">
        <v>1248</v>
      </c>
      <c r="AN466" s="5" t="s">
        <v>1249</v>
      </c>
      <c r="AO466" s="5" t="s">
        <v>2185</v>
      </c>
      <c r="AP466" s="5" t="s">
        <v>2185</v>
      </c>
      <c r="AQ466" s="5" t="s">
        <v>2185</v>
      </c>
      <c r="AR466" s="5" t="s">
        <v>2185</v>
      </c>
      <c r="AS466" s="142"/>
      <c r="AT466" s="142" t="b">
        <v>0</v>
      </c>
      <c r="AU466" s="142"/>
      <c r="AV466" s="142"/>
      <c r="AW466" s="142"/>
      <c r="AX466" s="142"/>
      <c r="AY466" s="142"/>
      <c r="AZ466" s="174"/>
      <c r="BA466" s="142"/>
      <c r="BB466" s="142"/>
      <c r="BC466" s="142"/>
      <c r="BD466" s="142"/>
      <c r="BE466" s="142"/>
      <c r="BF466" s="142"/>
      <c r="BG466" s="142"/>
    </row>
    <row r="467">
      <c r="A467" s="5" t="s">
        <v>1527</v>
      </c>
      <c r="B467" s="44">
        <v>44613.0</v>
      </c>
      <c r="C467" s="150">
        <v>0.3221643518518518</v>
      </c>
      <c r="D467" s="3"/>
      <c r="E467" s="3"/>
      <c r="F467" s="5"/>
      <c r="G467" s="5"/>
      <c r="H467" s="5"/>
      <c r="I467" s="3"/>
      <c r="J467" s="3"/>
      <c r="K467" s="3" t="s">
        <v>244</v>
      </c>
      <c r="L467" s="44">
        <v>44613.0</v>
      </c>
      <c r="M467" s="150">
        <v>0.4694097222222222</v>
      </c>
      <c r="N467" s="5"/>
      <c r="O467" s="5"/>
      <c r="P467" s="10" t="b">
        <v>0</v>
      </c>
      <c r="Q467" s="10" t="s">
        <v>2184</v>
      </c>
      <c r="R467" s="144" t="b">
        <v>1</v>
      </c>
      <c r="S467" s="144">
        <v>1.0</v>
      </c>
      <c r="T467" s="10"/>
      <c r="U467" s="5"/>
      <c r="V467" s="3"/>
      <c r="W467" s="5"/>
      <c r="X467" s="144" t="b">
        <v>0</v>
      </c>
      <c r="Y467" s="10" t="b">
        <v>0</v>
      </c>
      <c r="Z467" s="3"/>
      <c r="AA467" s="10" t="b">
        <v>0</v>
      </c>
      <c r="AB467" s="10" t="b">
        <v>0</v>
      </c>
      <c r="AC467" s="181">
        <v>300.0</v>
      </c>
      <c r="AD467" s="144" t="b">
        <v>0</v>
      </c>
      <c r="AE467" s="182">
        <v>212.03333333333336</v>
      </c>
      <c r="AF467" s="10" t="b">
        <v>0</v>
      </c>
      <c r="AG467" s="10" t="b">
        <v>0</v>
      </c>
      <c r="AH467" s="144"/>
      <c r="AI467" s="3"/>
      <c r="AJ467" s="10"/>
      <c r="AK467" s="3" t="s">
        <v>244</v>
      </c>
      <c r="AL467" s="5"/>
      <c r="AM467" s="5" t="s">
        <v>1274</v>
      </c>
      <c r="AN467" s="5" t="s">
        <v>1275</v>
      </c>
      <c r="AO467" s="5" t="s">
        <v>2185</v>
      </c>
      <c r="AP467" s="5" t="s">
        <v>2185</v>
      </c>
      <c r="AQ467" s="5" t="s">
        <v>2185</v>
      </c>
      <c r="AR467" s="5" t="s">
        <v>2185</v>
      </c>
      <c r="AS467" s="142"/>
      <c r="AT467" s="142" t="b">
        <v>0</v>
      </c>
      <c r="AU467" s="142"/>
      <c r="AV467" s="142"/>
      <c r="AW467" s="142"/>
      <c r="AX467" s="142"/>
      <c r="AY467" s="142"/>
      <c r="AZ467" s="174"/>
      <c r="BA467" s="142"/>
      <c r="BB467" s="142"/>
      <c r="BC467" s="142"/>
      <c r="BD467" s="142"/>
      <c r="BE467" s="142"/>
      <c r="BF467" s="142"/>
      <c r="BG467" s="142"/>
    </row>
    <row r="468">
      <c r="A468" s="5" t="s">
        <v>1529</v>
      </c>
      <c r="B468" s="44">
        <v>44613.0</v>
      </c>
      <c r="C468" s="150">
        <v>0.3222685185185185</v>
      </c>
      <c r="D468" s="3"/>
      <c r="E468" s="3"/>
      <c r="F468" s="5"/>
      <c r="G468" s="5"/>
      <c r="H468" s="5"/>
      <c r="I468" s="3"/>
      <c r="J468" s="3"/>
      <c r="K468" s="3" t="s">
        <v>244</v>
      </c>
      <c r="L468" s="44">
        <v>44613.0</v>
      </c>
      <c r="M468" s="150">
        <v>0.4694097222222222</v>
      </c>
      <c r="N468" s="5"/>
      <c r="O468" s="5"/>
      <c r="P468" s="10" t="b">
        <v>0</v>
      </c>
      <c r="Q468" s="10" t="s">
        <v>2184</v>
      </c>
      <c r="R468" s="144" t="b">
        <v>1</v>
      </c>
      <c r="S468" s="144">
        <v>1.0</v>
      </c>
      <c r="T468" s="10"/>
      <c r="U468" s="5"/>
      <c r="V468" s="3"/>
      <c r="W468" s="5"/>
      <c r="X468" s="144" t="b">
        <v>0</v>
      </c>
      <c r="Y468" s="10" t="b">
        <v>0</v>
      </c>
      <c r="Z468" s="3"/>
      <c r="AA468" s="10" t="b">
        <v>0</v>
      </c>
      <c r="AB468" s="10" t="b">
        <v>0</v>
      </c>
      <c r="AC468" s="181">
        <v>299.0</v>
      </c>
      <c r="AD468" s="144" t="b">
        <v>0</v>
      </c>
      <c r="AE468" s="182">
        <v>211.88333333333333</v>
      </c>
      <c r="AF468" s="10" t="b">
        <v>0</v>
      </c>
      <c r="AG468" s="10" t="b">
        <v>0</v>
      </c>
      <c r="AH468" s="144"/>
      <c r="AI468" s="3"/>
      <c r="AJ468" s="10"/>
      <c r="AK468" s="3" t="s">
        <v>244</v>
      </c>
      <c r="AL468" s="5"/>
      <c r="AM468" s="5" t="s">
        <v>1270</v>
      </c>
      <c r="AN468" s="5" t="s">
        <v>1271</v>
      </c>
      <c r="AO468" s="5" t="s">
        <v>2185</v>
      </c>
      <c r="AP468" s="5" t="s">
        <v>2185</v>
      </c>
      <c r="AQ468" s="5" t="s">
        <v>2185</v>
      </c>
      <c r="AR468" s="5" t="s">
        <v>2185</v>
      </c>
      <c r="AS468" s="142"/>
      <c r="AT468" s="142" t="b">
        <v>0</v>
      </c>
      <c r="AU468" s="142"/>
      <c r="AV468" s="142"/>
      <c r="AW468" s="142"/>
      <c r="AX468" s="142"/>
      <c r="AY468" s="142"/>
      <c r="AZ468" s="174"/>
      <c r="BA468" s="142"/>
      <c r="BB468" s="142"/>
      <c r="BC468" s="142"/>
      <c r="BD468" s="142"/>
      <c r="BE468" s="142"/>
      <c r="BF468" s="142"/>
      <c r="BG468" s="142"/>
    </row>
    <row r="469">
      <c r="A469" s="5" t="s">
        <v>1531</v>
      </c>
      <c r="B469" s="44">
        <v>44613.0</v>
      </c>
      <c r="C469" s="150">
        <v>0.3244097222222222</v>
      </c>
      <c r="D469" s="3"/>
      <c r="E469" s="3"/>
      <c r="F469" s="5"/>
      <c r="G469" s="5"/>
      <c r="H469" s="5"/>
      <c r="I469" s="3"/>
      <c r="J469" s="3"/>
      <c r="K469" s="3" t="s">
        <v>244</v>
      </c>
      <c r="L469" s="44">
        <v>44613.0</v>
      </c>
      <c r="M469" s="150">
        <v>0.4694097222222222</v>
      </c>
      <c r="N469" s="5"/>
      <c r="O469" s="5"/>
      <c r="P469" s="10" t="b">
        <v>0</v>
      </c>
      <c r="Q469" s="10" t="s">
        <v>2184</v>
      </c>
      <c r="R469" s="144" t="b">
        <v>1</v>
      </c>
      <c r="S469" s="144">
        <v>1.0</v>
      </c>
      <c r="T469" s="10"/>
      <c r="U469" s="5"/>
      <c r="V469" s="3"/>
      <c r="W469" s="5"/>
      <c r="X469" s="144" t="b">
        <v>0</v>
      </c>
      <c r="Y469" s="10" t="b">
        <v>0</v>
      </c>
      <c r="Z469" s="3"/>
      <c r="AA469" s="10" t="b">
        <v>0</v>
      </c>
      <c r="AB469" s="10" t="b">
        <v>0</v>
      </c>
      <c r="AC469" s="181">
        <v>298.0</v>
      </c>
      <c r="AD469" s="144" t="b">
        <v>0</v>
      </c>
      <c r="AE469" s="182">
        <v>208.8</v>
      </c>
      <c r="AF469" s="10" t="b">
        <v>0</v>
      </c>
      <c r="AG469" s="10" t="b">
        <v>0</v>
      </c>
      <c r="AH469" s="144"/>
      <c r="AI469" s="3"/>
      <c r="AJ469" s="10"/>
      <c r="AK469" s="3" t="s">
        <v>244</v>
      </c>
      <c r="AL469" s="5"/>
      <c r="AM469" s="5" t="s">
        <v>1242</v>
      </c>
      <c r="AN469" s="5" t="s">
        <v>1243</v>
      </c>
      <c r="AO469" s="5" t="s">
        <v>2185</v>
      </c>
      <c r="AP469" s="5" t="s">
        <v>2185</v>
      </c>
      <c r="AQ469" s="5" t="s">
        <v>2185</v>
      </c>
      <c r="AR469" s="5" t="s">
        <v>2185</v>
      </c>
      <c r="AS469" s="142"/>
      <c r="AT469" s="142" t="b">
        <v>0</v>
      </c>
      <c r="AU469" s="142"/>
      <c r="AV469" s="142"/>
      <c r="AW469" s="142"/>
      <c r="AX469" s="142"/>
      <c r="AY469" s="142"/>
      <c r="AZ469" s="174"/>
      <c r="BA469" s="142"/>
      <c r="BB469" s="142"/>
      <c r="BC469" s="142"/>
      <c r="BD469" s="142"/>
      <c r="BE469" s="142"/>
      <c r="BF469" s="142"/>
      <c r="BG469" s="142"/>
    </row>
    <row r="470">
      <c r="A470" s="5" t="s">
        <v>1533</v>
      </c>
      <c r="B470" s="44">
        <v>44613.0</v>
      </c>
      <c r="C470" s="150">
        <v>0.3271875</v>
      </c>
      <c r="D470" s="3"/>
      <c r="E470" s="3"/>
      <c r="F470" s="5"/>
      <c r="G470" s="5"/>
      <c r="H470" s="5"/>
      <c r="I470" s="3"/>
      <c r="J470" s="3"/>
      <c r="K470" s="3" t="s">
        <v>244</v>
      </c>
      <c r="L470" s="44">
        <v>44613.0</v>
      </c>
      <c r="M470" s="150">
        <v>0.4694097222222222</v>
      </c>
      <c r="N470" s="5"/>
      <c r="O470" s="5"/>
      <c r="P470" s="10" t="b">
        <v>0</v>
      </c>
      <c r="Q470" s="10" t="s">
        <v>2184</v>
      </c>
      <c r="R470" s="144" t="b">
        <v>1</v>
      </c>
      <c r="S470" s="144">
        <v>1.0</v>
      </c>
      <c r="T470" s="10"/>
      <c r="U470" s="5"/>
      <c r="V470" s="3"/>
      <c r="W470" s="5"/>
      <c r="X470" s="144" t="b">
        <v>0</v>
      </c>
      <c r="Y470" s="10" t="b">
        <v>0</v>
      </c>
      <c r="Z470" s="3"/>
      <c r="AA470" s="10" t="b">
        <v>0</v>
      </c>
      <c r="AB470" s="10" t="b">
        <v>0</v>
      </c>
      <c r="AC470" s="181">
        <v>297.0</v>
      </c>
      <c r="AD470" s="144" t="b">
        <v>0</v>
      </c>
      <c r="AE470" s="182">
        <v>204.79999999999995</v>
      </c>
      <c r="AF470" s="10" t="b">
        <v>0</v>
      </c>
      <c r="AG470" s="10" t="b">
        <v>0</v>
      </c>
      <c r="AH470" s="144"/>
      <c r="AI470" s="3"/>
      <c r="AJ470" s="10"/>
      <c r="AK470" s="3" t="s">
        <v>244</v>
      </c>
      <c r="AL470" s="5"/>
      <c r="AM470" s="5" t="s">
        <v>398</v>
      </c>
      <c r="AN470" s="5" t="s">
        <v>399</v>
      </c>
      <c r="AO470" s="5" t="s">
        <v>2185</v>
      </c>
      <c r="AP470" s="5" t="s">
        <v>2185</v>
      </c>
      <c r="AQ470" s="5" t="s">
        <v>2185</v>
      </c>
      <c r="AR470" s="5" t="s">
        <v>2185</v>
      </c>
      <c r="AS470" s="142"/>
      <c r="AT470" s="142" t="b">
        <v>0</v>
      </c>
      <c r="AU470" s="142"/>
      <c r="AV470" s="142"/>
      <c r="AW470" s="142"/>
      <c r="AX470" s="142"/>
      <c r="AY470" s="142"/>
      <c r="AZ470" s="174"/>
      <c r="BA470" s="142"/>
      <c r="BB470" s="142"/>
      <c r="BC470" s="142"/>
      <c r="BD470" s="142"/>
      <c r="BE470" s="142"/>
      <c r="BF470" s="142"/>
      <c r="BG470" s="142"/>
    </row>
    <row r="471">
      <c r="A471" s="5" t="s">
        <v>1535</v>
      </c>
      <c r="B471" s="44">
        <v>44613.0</v>
      </c>
      <c r="C471" s="150">
        <v>0.32894675925925926</v>
      </c>
      <c r="D471" s="3"/>
      <c r="E471" s="3"/>
      <c r="F471" s="5"/>
      <c r="G471" s="5"/>
      <c r="H471" s="5"/>
      <c r="I471" s="3"/>
      <c r="J471" s="3"/>
      <c r="K471" s="3" t="s">
        <v>244</v>
      </c>
      <c r="L471" s="44">
        <v>44613.0</v>
      </c>
      <c r="M471" s="150">
        <v>0.4694097222222222</v>
      </c>
      <c r="N471" s="5"/>
      <c r="O471" s="5"/>
      <c r="P471" s="10" t="b">
        <v>0</v>
      </c>
      <c r="Q471" s="10" t="s">
        <v>2184</v>
      </c>
      <c r="R471" s="144" t="b">
        <v>1</v>
      </c>
      <c r="S471" s="144">
        <v>1.0</v>
      </c>
      <c r="T471" s="10"/>
      <c r="U471" s="5"/>
      <c r="V471" s="3"/>
      <c r="W471" s="5"/>
      <c r="X471" s="144" t="b">
        <v>0</v>
      </c>
      <c r="Y471" s="10" t="b">
        <v>0</v>
      </c>
      <c r="Z471" s="3"/>
      <c r="AA471" s="10" t="b">
        <v>0</v>
      </c>
      <c r="AB471" s="10" t="b">
        <v>0</v>
      </c>
      <c r="AC471" s="181">
        <v>296.0</v>
      </c>
      <c r="AD471" s="144" t="b">
        <v>0</v>
      </c>
      <c r="AE471" s="182">
        <v>202.26666666666665</v>
      </c>
      <c r="AF471" s="10" t="b">
        <v>0</v>
      </c>
      <c r="AG471" s="10" t="b">
        <v>0</v>
      </c>
      <c r="AH471" s="144"/>
      <c r="AI471" s="3"/>
      <c r="AJ471" s="10"/>
      <c r="AK471" s="3" t="s">
        <v>244</v>
      </c>
      <c r="AL471" s="5"/>
      <c r="AM471" s="5" t="s">
        <v>639</v>
      </c>
      <c r="AN471" s="5" t="s">
        <v>640</v>
      </c>
      <c r="AO471" s="5" t="s">
        <v>2185</v>
      </c>
      <c r="AP471" s="5" t="s">
        <v>2185</v>
      </c>
      <c r="AQ471" s="5" t="s">
        <v>2185</v>
      </c>
      <c r="AR471" s="5" t="s">
        <v>2185</v>
      </c>
      <c r="AS471" s="142"/>
      <c r="AT471" s="142" t="b">
        <v>0</v>
      </c>
      <c r="AU471" s="142"/>
      <c r="AV471" s="142"/>
      <c r="AW471" s="142"/>
      <c r="AX471" s="142"/>
      <c r="AY471" s="142"/>
      <c r="AZ471" s="174"/>
      <c r="BA471" s="142"/>
      <c r="BB471" s="142"/>
      <c r="BC471" s="142"/>
      <c r="BD471" s="142"/>
      <c r="BE471" s="142"/>
      <c r="BF471" s="142"/>
      <c r="BG471" s="142"/>
    </row>
    <row r="472">
      <c r="A472" s="5" t="s">
        <v>1537</v>
      </c>
      <c r="B472" s="44">
        <v>44613.0</v>
      </c>
      <c r="C472" s="150">
        <v>0.3421064814814815</v>
      </c>
      <c r="D472" s="3"/>
      <c r="E472" s="3"/>
      <c r="F472" s="5"/>
      <c r="G472" s="5"/>
      <c r="H472" s="5"/>
      <c r="I472" s="3"/>
      <c r="J472" s="3"/>
      <c r="K472" s="3" t="s">
        <v>244</v>
      </c>
      <c r="L472" s="44">
        <v>44613.0</v>
      </c>
      <c r="M472" s="150">
        <v>0.4694212962962963</v>
      </c>
      <c r="N472" s="5"/>
      <c r="O472" s="5"/>
      <c r="P472" s="10" t="b">
        <v>0</v>
      </c>
      <c r="Q472" s="10" t="s">
        <v>2184</v>
      </c>
      <c r="R472" s="144" t="b">
        <v>1</v>
      </c>
      <c r="S472" s="144">
        <v>1.0</v>
      </c>
      <c r="T472" s="10"/>
      <c r="U472" s="5"/>
      <c r="V472" s="3"/>
      <c r="W472" s="5"/>
      <c r="X472" s="144" t="b">
        <v>0</v>
      </c>
      <c r="Y472" s="10" t="b">
        <v>0</v>
      </c>
      <c r="Z472" s="3"/>
      <c r="AA472" s="10" t="b">
        <v>0</v>
      </c>
      <c r="AB472" s="10" t="b">
        <v>0</v>
      </c>
      <c r="AC472" s="181">
        <v>295.0</v>
      </c>
      <c r="AD472" s="144" t="b">
        <v>0</v>
      </c>
      <c r="AE472" s="182">
        <v>183.33333333333334</v>
      </c>
      <c r="AF472" s="10" t="b">
        <v>0</v>
      </c>
      <c r="AG472" s="10" t="b">
        <v>0</v>
      </c>
      <c r="AH472" s="144"/>
      <c r="AI472" s="3"/>
      <c r="AJ472" s="10"/>
      <c r="AK472" s="3" t="s">
        <v>244</v>
      </c>
      <c r="AL472" s="5"/>
      <c r="AM472" s="5" t="s">
        <v>1290</v>
      </c>
      <c r="AN472" s="5" t="s">
        <v>1291</v>
      </c>
      <c r="AO472" s="5" t="s">
        <v>2185</v>
      </c>
      <c r="AP472" s="5" t="s">
        <v>2185</v>
      </c>
      <c r="AQ472" s="5" t="s">
        <v>2185</v>
      </c>
      <c r="AR472" s="5" t="s">
        <v>2185</v>
      </c>
      <c r="AS472" s="142"/>
      <c r="AT472" s="142" t="b">
        <v>0</v>
      </c>
      <c r="AU472" s="142"/>
      <c r="AV472" s="142"/>
      <c r="AW472" s="142"/>
      <c r="AX472" s="142"/>
      <c r="AY472" s="142"/>
      <c r="AZ472" s="174"/>
      <c r="BA472" s="142"/>
      <c r="BB472" s="142"/>
      <c r="BC472" s="142"/>
      <c r="BD472" s="142"/>
      <c r="BE472" s="142"/>
      <c r="BF472" s="142"/>
      <c r="BG472" s="142"/>
    </row>
    <row r="473">
      <c r="A473" s="5" t="s">
        <v>1539</v>
      </c>
      <c r="B473" s="44">
        <v>44613.0</v>
      </c>
      <c r="C473" s="150">
        <v>0.3566898148148148</v>
      </c>
      <c r="D473" s="3"/>
      <c r="E473" s="3"/>
      <c r="F473" s="5"/>
      <c r="G473" s="5"/>
      <c r="H473" s="5"/>
      <c r="I473" s="3"/>
      <c r="J473" s="3"/>
      <c r="K473" s="3" t="s">
        <v>244</v>
      </c>
      <c r="L473" s="44">
        <v>44613.0</v>
      </c>
      <c r="M473" s="150">
        <v>0.4694212962962963</v>
      </c>
      <c r="N473" s="5"/>
      <c r="O473" s="5"/>
      <c r="P473" s="10" t="b">
        <v>0</v>
      </c>
      <c r="Q473" s="10" t="s">
        <v>2184</v>
      </c>
      <c r="R473" s="144" t="b">
        <v>1</v>
      </c>
      <c r="S473" s="144">
        <v>1.0</v>
      </c>
      <c r="T473" s="10"/>
      <c r="U473" s="5"/>
      <c r="V473" s="3"/>
      <c r="W473" s="5"/>
      <c r="X473" s="144" t="b">
        <v>0</v>
      </c>
      <c r="Y473" s="10" t="b">
        <v>0</v>
      </c>
      <c r="Z473" s="3"/>
      <c r="AA473" s="10" t="b">
        <v>0</v>
      </c>
      <c r="AB473" s="10" t="b">
        <v>0</v>
      </c>
      <c r="AC473" s="181">
        <v>294.0</v>
      </c>
      <c r="AD473" s="144" t="b">
        <v>0</v>
      </c>
      <c r="AE473" s="182">
        <v>162.33333333333334</v>
      </c>
      <c r="AF473" s="10" t="b">
        <v>0</v>
      </c>
      <c r="AG473" s="10" t="b">
        <v>0</v>
      </c>
      <c r="AH473" s="144"/>
      <c r="AI473" s="3"/>
      <c r="AJ473" s="10"/>
      <c r="AK473" s="3" t="s">
        <v>244</v>
      </c>
      <c r="AL473" s="5"/>
      <c r="AM473" s="5" t="s">
        <v>457</v>
      </c>
      <c r="AN473" s="5" t="s">
        <v>458</v>
      </c>
      <c r="AO473" s="5" t="s">
        <v>2185</v>
      </c>
      <c r="AP473" s="5" t="s">
        <v>2185</v>
      </c>
      <c r="AQ473" s="5" t="s">
        <v>2185</v>
      </c>
      <c r="AR473" s="5" t="s">
        <v>2185</v>
      </c>
      <c r="AS473" s="142"/>
      <c r="AT473" s="142" t="b">
        <v>0</v>
      </c>
      <c r="AU473" s="142"/>
      <c r="AV473" s="142"/>
      <c r="AW473" s="142"/>
      <c r="AX473" s="142"/>
      <c r="AY473" s="142"/>
      <c r="AZ473" s="174"/>
      <c r="BA473" s="142"/>
      <c r="BB473" s="142"/>
      <c r="BC473" s="142"/>
      <c r="BD473" s="142"/>
      <c r="BE473" s="142"/>
      <c r="BF473" s="142"/>
      <c r="BG473" s="142"/>
    </row>
    <row r="474">
      <c r="A474" s="5" t="s">
        <v>1541</v>
      </c>
      <c r="B474" s="44">
        <v>44614.0</v>
      </c>
      <c r="C474" s="150">
        <v>0.3566898148148148</v>
      </c>
      <c r="D474" s="3"/>
      <c r="E474" s="3"/>
      <c r="F474" s="5"/>
      <c r="G474" s="5"/>
      <c r="H474" s="5"/>
      <c r="I474" s="3"/>
      <c r="J474" s="3"/>
      <c r="K474" s="3" t="s">
        <v>52</v>
      </c>
      <c r="L474" s="44">
        <v>44614.0</v>
      </c>
      <c r="M474" s="150">
        <v>0.6649768518518518</v>
      </c>
      <c r="N474" s="5"/>
      <c r="O474" s="5"/>
      <c r="P474" s="10" t="b">
        <v>0</v>
      </c>
      <c r="Q474" s="10" t="s">
        <v>2184</v>
      </c>
      <c r="R474" s="144" t="b">
        <v>1</v>
      </c>
      <c r="S474" s="144">
        <v>1.0</v>
      </c>
      <c r="T474" s="10"/>
      <c r="U474" s="5"/>
      <c r="V474" s="3"/>
      <c r="W474" s="5"/>
      <c r="X474" s="144" t="b">
        <v>0</v>
      </c>
      <c r="Y474" s="10" t="b">
        <v>0</v>
      </c>
      <c r="Z474" s="3"/>
      <c r="AA474" s="10" t="b">
        <v>0</v>
      </c>
      <c r="AB474" s="10" t="b">
        <v>0</v>
      </c>
      <c r="AC474" s="181">
        <v>293.0</v>
      </c>
      <c r="AD474" s="144" t="b">
        <v>0</v>
      </c>
      <c r="AE474" s="182">
        <v>443.93333333333334</v>
      </c>
      <c r="AF474" s="10" t="b">
        <v>0</v>
      </c>
      <c r="AG474" s="10" t="b">
        <v>0</v>
      </c>
      <c r="AH474" s="144"/>
      <c r="AI474" s="3"/>
      <c r="AJ474" s="10"/>
      <c r="AK474" s="3" t="s">
        <v>52</v>
      </c>
      <c r="AL474" s="5"/>
      <c r="AM474" s="5" t="s">
        <v>875</v>
      </c>
      <c r="AN474" s="5" t="s">
        <v>876</v>
      </c>
      <c r="AO474" s="5" t="s">
        <v>2185</v>
      </c>
      <c r="AP474" s="5" t="s">
        <v>2185</v>
      </c>
      <c r="AQ474" s="5" t="s">
        <v>2185</v>
      </c>
      <c r="AR474" s="5" t="s">
        <v>2185</v>
      </c>
      <c r="AS474" s="142"/>
      <c r="AT474" s="142" t="b">
        <v>0</v>
      </c>
      <c r="AU474" s="142"/>
      <c r="AV474" s="142"/>
      <c r="AW474" s="142"/>
      <c r="AX474" s="142"/>
      <c r="AY474" s="142"/>
      <c r="AZ474" s="174"/>
      <c r="BA474" s="142"/>
      <c r="BB474" s="142"/>
      <c r="BC474" s="142"/>
      <c r="BD474" s="142"/>
      <c r="BE474" s="142"/>
      <c r="BF474" s="142"/>
      <c r="BG474" s="142"/>
    </row>
    <row r="475">
      <c r="A475" s="5" t="s">
        <v>1543</v>
      </c>
      <c r="B475" s="44">
        <v>44615.0</v>
      </c>
      <c r="C475" s="150">
        <v>0.2632523148148148</v>
      </c>
      <c r="D475" s="3"/>
      <c r="E475" s="3"/>
      <c r="F475" s="5"/>
      <c r="G475" s="5"/>
      <c r="H475" s="5"/>
      <c r="I475" s="3"/>
      <c r="J475" s="3"/>
      <c r="K475" s="3" t="s">
        <v>52</v>
      </c>
      <c r="L475" s="44">
        <v>44615.0</v>
      </c>
      <c r="M475" s="150">
        <v>0.49122685185185183</v>
      </c>
      <c r="N475" s="5"/>
      <c r="O475" s="5"/>
      <c r="P475" s="10" t="b">
        <v>0</v>
      </c>
      <c r="Q475" s="10" t="s">
        <v>2184</v>
      </c>
      <c r="R475" s="144" t="b">
        <v>1</v>
      </c>
      <c r="S475" s="144">
        <v>1.0</v>
      </c>
      <c r="T475" s="10">
        <v>0.0</v>
      </c>
      <c r="U475" s="5"/>
      <c r="V475" s="3"/>
      <c r="W475" s="5"/>
      <c r="X475" s="144" t="b">
        <v>0</v>
      </c>
      <c r="Y475" s="10" t="b">
        <v>0</v>
      </c>
      <c r="Z475" s="3"/>
      <c r="AA475" s="10" t="b">
        <v>0</v>
      </c>
      <c r="AB475" s="10" t="b">
        <v>0</v>
      </c>
      <c r="AC475" s="181">
        <v>292.0</v>
      </c>
      <c r="AD475" s="144" t="b">
        <v>0</v>
      </c>
      <c r="AE475" s="182">
        <v>328.2833333333333</v>
      </c>
      <c r="AF475" s="10" t="b">
        <v>0</v>
      </c>
      <c r="AG475" s="10" t="b">
        <v>0</v>
      </c>
      <c r="AH475" s="144"/>
      <c r="AI475" s="3"/>
      <c r="AJ475" s="10">
        <v>2.7</v>
      </c>
      <c r="AK475" s="3" t="s">
        <v>244</v>
      </c>
      <c r="AL475" s="5" t="s">
        <v>1544</v>
      </c>
      <c r="AM475" s="5" t="s">
        <v>261</v>
      </c>
      <c r="AN475" s="5" t="s">
        <v>708</v>
      </c>
      <c r="AO475" s="5" t="s">
        <v>2185</v>
      </c>
      <c r="AP475" s="5" t="s">
        <v>2185</v>
      </c>
      <c r="AQ475" s="5" t="s">
        <v>2185</v>
      </c>
      <c r="AR475" s="5" t="s">
        <v>2185</v>
      </c>
      <c r="AS475" s="142"/>
      <c r="AT475" s="142" t="b">
        <v>0</v>
      </c>
      <c r="AU475" s="142"/>
      <c r="AV475" s="142"/>
      <c r="AW475" s="142"/>
      <c r="AX475" s="142"/>
      <c r="AY475" s="142"/>
      <c r="AZ475" s="174"/>
      <c r="BA475" s="142"/>
      <c r="BB475" s="142"/>
      <c r="BC475" s="142"/>
      <c r="BD475" s="142"/>
      <c r="BE475" s="142"/>
      <c r="BF475" s="142"/>
      <c r="BG475" s="142"/>
    </row>
    <row r="476">
      <c r="A476" s="5" t="s">
        <v>1546</v>
      </c>
      <c r="B476" s="44">
        <v>44615.0</v>
      </c>
      <c r="C476" s="150">
        <v>0.29224537037037035</v>
      </c>
      <c r="D476" s="3"/>
      <c r="E476" s="3"/>
      <c r="F476" s="5"/>
      <c r="G476" s="5"/>
      <c r="H476" s="5"/>
      <c r="I476" s="3"/>
      <c r="J476" s="3"/>
      <c r="K476" s="3" t="s">
        <v>52</v>
      </c>
      <c r="L476" s="44">
        <v>44615.0</v>
      </c>
      <c r="M476" s="150">
        <v>0.4912384259259259</v>
      </c>
      <c r="N476" s="5"/>
      <c r="O476" s="5"/>
      <c r="P476" s="10" t="b">
        <v>0</v>
      </c>
      <c r="Q476" s="10" t="s">
        <v>2184</v>
      </c>
      <c r="R476" s="144" t="b">
        <v>1</v>
      </c>
      <c r="S476" s="144">
        <v>1.0</v>
      </c>
      <c r="T476" s="10"/>
      <c r="U476" s="5"/>
      <c r="V476" s="3"/>
      <c r="W476" s="5"/>
      <c r="X476" s="144" t="b">
        <v>0</v>
      </c>
      <c r="Y476" s="10" t="b">
        <v>0</v>
      </c>
      <c r="Z476" s="3"/>
      <c r="AA476" s="10" t="b">
        <v>0</v>
      </c>
      <c r="AB476" s="10" t="b">
        <v>0</v>
      </c>
      <c r="AC476" s="181">
        <v>291.0</v>
      </c>
      <c r="AD476" s="144" t="b">
        <v>0</v>
      </c>
      <c r="AE476" s="182">
        <v>286.55</v>
      </c>
      <c r="AF476" s="10" t="b">
        <v>0</v>
      </c>
      <c r="AG476" s="10" t="b">
        <v>0</v>
      </c>
      <c r="AH476" s="144"/>
      <c r="AI476" s="3"/>
      <c r="AJ476" s="10">
        <v>2.7</v>
      </c>
      <c r="AK476" s="3" t="s">
        <v>244</v>
      </c>
      <c r="AL476" s="5" t="s">
        <v>1544</v>
      </c>
      <c r="AM476" s="5" t="s">
        <v>299</v>
      </c>
      <c r="AN476" s="5" t="s">
        <v>300</v>
      </c>
      <c r="AO476" s="5" t="s">
        <v>2185</v>
      </c>
      <c r="AP476" s="5" t="s">
        <v>2185</v>
      </c>
      <c r="AQ476" s="5" t="s">
        <v>2185</v>
      </c>
      <c r="AR476" s="5" t="s">
        <v>2185</v>
      </c>
      <c r="AS476" s="142"/>
      <c r="AT476" s="142" t="b">
        <v>0</v>
      </c>
      <c r="AU476" s="142"/>
      <c r="AV476" s="142"/>
      <c r="AW476" s="142"/>
      <c r="AX476" s="142"/>
      <c r="AY476" s="142"/>
      <c r="AZ476" s="174"/>
      <c r="BA476" s="142"/>
      <c r="BB476" s="142"/>
      <c r="BC476" s="142"/>
      <c r="BD476" s="142"/>
      <c r="BE476" s="142"/>
      <c r="BF476" s="142"/>
      <c r="BG476" s="142"/>
    </row>
    <row r="477">
      <c r="A477" s="5" t="s">
        <v>1548</v>
      </c>
      <c r="B477" s="44">
        <v>44615.0</v>
      </c>
      <c r="C477" s="150">
        <v>0.2953587962962963</v>
      </c>
      <c r="D477" s="3"/>
      <c r="E477" s="3"/>
      <c r="F477" s="5"/>
      <c r="G477" s="5"/>
      <c r="H477" s="5"/>
      <c r="I477" s="3"/>
      <c r="J477" s="3"/>
      <c r="K477" s="3" t="s">
        <v>52</v>
      </c>
      <c r="L477" s="44">
        <v>44615.0</v>
      </c>
      <c r="M477" s="150">
        <v>0.4912384259259259</v>
      </c>
      <c r="N477" s="5"/>
      <c r="O477" s="5"/>
      <c r="P477" s="10" t="b">
        <v>0</v>
      </c>
      <c r="Q477" s="10" t="s">
        <v>2184</v>
      </c>
      <c r="R477" s="144" t="b">
        <v>1</v>
      </c>
      <c r="S477" s="144">
        <v>1.0</v>
      </c>
      <c r="T477" s="10"/>
      <c r="U477" s="5"/>
      <c r="V477" s="3"/>
      <c r="W477" s="5"/>
      <c r="X477" s="144" t="b">
        <v>0</v>
      </c>
      <c r="Y477" s="10" t="b">
        <v>0</v>
      </c>
      <c r="Z477" s="3"/>
      <c r="AA477" s="10" t="b">
        <v>0</v>
      </c>
      <c r="AB477" s="10" t="b">
        <v>0</v>
      </c>
      <c r="AC477" s="181">
        <v>290.0</v>
      </c>
      <c r="AD477" s="144" t="b">
        <v>0</v>
      </c>
      <c r="AE477" s="182">
        <v>282.0666666666666</v>
      </c>
      <c r="AF477" s="10" t="b">
        <v>0</v>
      </c>
      <c r="AG477" s="10" t="b">
        <v>0</v>
      </c>
      <c r="AH477" s="144"/>
      <c r="AI477" s="3"/>
      <c r="AJ477" s="10">
        <v>2.7</v>
      </c>
      <c r="AK477" s="3" t="s">
        <v>244</v>
      </c>
      <c r="AL477" s="5" t="s">
        <v>1544</v>
      </c>
      <c r="AM477" s="5" t="s">
        <v>806</v>
      </c>
      <c r="AN477" s="5" t="s">
        <v>807</v>
      </c>
      <c r="AO477" s="5" t="s">
        <v>2185</v>
      </c>
      <c r="AP477" s="5" t="s">
        <v>2185</v>
      </c>
      <c r="AQ477" s="5" t="s">
        <v>2185</v>
      </c>
      <c r="AR477" s="5" t="s">
        <v>2185</v>
      </c>
      <c r="AS477" s="142"/>
      <c r="AT477" s="142" t="b">
        <v>0</v>
      </c>
      <c r="AU477" s="142"/>
      <c r="AV477" s="142"/>
      <c r="AW477" s="142"/>
      <c r="AX477" s="142"/>
      <c r="AY477" s="142"/>
      <c r="AZ477" s="174"/>
      <c r="BA477" s="142"/>
      <c r="BB477" s="142"/>
      <c r="BC477" s="142"/>
      <c r="BD477" s="142"/>
      <c r="BE477" s="142"/>
      <c r="BF477" s="142"/>
      <c r="BG477" s="142"/>
    </row>
    <row r="478">
      <c r="A478" s="5" t="s">
        <v>1550</v>
      </c>
      <c r="B478" s="44">
        <v>44615.0</v>
      </c>
      <c r="C478" s="150">
        <v>0.3012384259259259</v>
      </c>
      <c r="D478" s="3"/>
      <c r="E478" s="3"/>
      <c r="F478" s="5"/>
      <c r="G478" s="5"/>
      <c r="H478" s="5"/>
      <c r="I478" s="3"/>
      <c r="J478" s="3"/>
      <c r="K478" s="3" t="s">
        <v>52</v>
      </c>
      <c r="L478" s="44">
        <v>44615.0</v>
      </c>
      <c r="M478" s="150">
        <v>0.4912384259259259</v>
      </c>
      <c r="N478" s="5"/>
      <c r="O478" s="5"/>
      <c r="P478" s="10" t="b">
        <v>0</v>
      </c>
      <c r="Q478" s="10" t="s">
        <v>2184</v>
      </c>
      <c r="R478" s="144" t="b">
        <v>1</v>
      </c>
      <c r="S478" s="144">
        <v>1.0</v>
      </c>
      <c r="T478" s="10"/>
      <c r="U478" s="5"/>
      <c r="V478" s="3"/>
      <c r="W478" s="5"/>
      <c r="X478" s="144" t="b">
        <v>0</v>
      </c>
      <c r="Y478" s="10" t="b">
        <v>0</v>
      </c>
      <c r="Z478" s="3"/>
      <c r="AA478" s="10" t="b">
        <v>0</v>
      </c>
      <c r="AB478" s="10" t="b">
        <v>0</v>
      </c>
      <c r="AC478" s="181">
        <v>289.0</v>
      </c>
      <c r="AD478" s="144" t="b">
        <v>0</v>
      </c>
      <c r="AE478" s="182">
        <v>273.6</v>
      </c>
      <c r="AF478" s="10" t="b">
        <v>0</v>
      </c>
      <c r="AG478" s="10" t="b">
        <v>0</v>
      </c>
      <c r="AH478" s="144"/>
      <c r="AI478" s="3"/>
      <c r="AJ478" s="185">
        <v>2.7</v>
      </c>
      <c r="AK478" s="186" t="s">
        <v>244</v>
      </c>
      <c r="AL478" s="5" t="s">
        <v>1544</v>
      </c>
      <c r="AM478" s="5" t="s">
        <v>390</v>
      </c>
      <c r="AN478" s="5" t="s">
        <v>391</v>
      </c>
      <c r="AO478" s="5" t="s">
        <v>2185</v>
      </c>
      <c r="AP478" s="5" t="s">
        <v>2185</v>
      </c>
      <c r="AQ478" s="5" t="s">
        <v>2185</v>
      </c>
      <c r="AR478" s="5" t="s">
        <v>2185</v>
      </c>
      <c r="AS478" s="142"/>
      <c r="AT478" s="142" t="b">
        <v>0</v>
      </c>
      <c r="AU478" s="142"/>
      <c r="AV478" s="142"/>
      <c r="AW478" s="142"/>
      <c r="AX478" s="142"/>
      <c r="AY478" s="142"/>
      <c r="AZ478" s="174"/>
      <c r="BA478" s="142"/>
      <c r="BB478" s="142"/>
      <c r="BC478" s="142"/>
      <c r="BD478" s="142"/>
      <c r="BE478" s="142"/>
      <c r="BF478" s="142"/>
      <c r="BG478" s="142"/>
    </row>
    <row r="479">
      <c r="A479" s="5" t="s">
        <v>1552</v>
      </c>
      <c r="B479" s="44">
        <v>44615.0</v>
      </c>
      <c r="C479" s="150">
        <v>0.30679398148148146</v>
      </c>
      <c r="D479" s="3"/>
      <c r="E479" s="3"/>
      <c r="F479" s="5"/>
      <c r="G479" s="5"/>
      <c r="H479" s="5"/>
      <c r="I479" s="3"/>
      <c r="J479" s="3"/>
      <c r="K479" s="3" t="s">
        <v>52</v>
      </c>
      <c r="L479" s="44">
        <v>44615.0</v>
      </c>
      <c r="M479" s="150">
        <v>0.4912384259259259</v>
      </c>
      <c r="N479" s="5"/>
      <c r="O479" s="5"/>
      <c r="P479" s="10" t="b">
        <v>0</v>
      </c>
      <c r="Q479" s="10" t="s">
        <v>2184</v>
      </c>
      <c r="R479" s="144" t="b">
        <v>1</v>
      </c>
      <c r="S479" s="144">
        <v>1.0</v>
      </c>
      <c r="T479" s="10"/>
      <c r="U479" s="5"/>
      <c r="V479" s="3"/>
      <c r="W479" s="5"/>
      <c r="X479" s="144" t="b">
        <v>0</v>
      </c>
      <c r="Y479" s="10" t="b">
        <v>0</v>
      </c>
      <c r="Z479" s="3"/>
      <c r="AA479" s="10" t="b">
        <v>0</v>
      </c>
      <c r="AB479" s="10" t="b">
        <v>0</v>
      </c>
      <c r="AC479" s="181">
        <v>288.0</v>
      </c>
      <c r="AD479" s="144" t="b">
        <v>0</v>
      </c>
      <c r="AE479" s="182">
        <v>265.6000000000001</v>
      </c>
      <c r="AF479" s="10" t="b">
        <v>0</v>
      </c>
      <c r="AG479" s="10" t="b">
        <v>0</v>
      </c>
      <c r="AH479" s="144"/>
      <c r="AI479" s="3"/>
      <c r="AJ479" s="185">
        <v>2.7</v>
      </c>
      <c r="AK479" s="186" t="s">
        <v>244</v>
      </c>
      <c r="AL479" s="5" t="s">
        <v>1544</v>
      </c>
      <c r="AM479" s="5" t="s">
        <v>419</v>
      </c>
      <c r="AN479" s="5" t="s">
        <v>420</v>
      </c>
      <c r="AO479" s="5" t="s">
        <v>2185</v>
      </c>
      <c r="AP479" s="5" t="s">
        <v>2185</v>
      </c>
      <c r="AQ479" s="5" t="s">
        <v>2185</v>
      </c>
      <c r="AR479" s="5" t="s">
        <v>2185</v>
      </c>
      <c r="AS479" s="142"/>
      <c r="AT479" s="142" t="b">
        <v>0</v>
      </c>
      <c r="AU479" s="142"/>
      <c r="AV479" s="142"/>
      <c r="AW479" s="142"/>
      <c r="AX479" s="142"/>
      <c r="AY479" s="142"/>
      <c r="AZ479" s="174"/>
      <c r="BA479" s="142"/>
      <c r="BB479" s="142"/>
      <c r="BC479" s="142"/>
      <c r="BD479" s="142"/>
      <c r="BE479" s="142"/>
      <c r="BF479" s="142"/>
      <c r="BG479" s="142"/>
    </row>
    <row r="480">
      <c r="A480" s="5" t="s">
        <v>1554</v>
      </c>
      <c r="B480" s="44">
        <v>44615.0</v>
      </c>
      <c r="C480" s="150">
        <v>0.3086689814814815</v>
      </c>
      <c r="D480" s="3"/>
      <c r="E480" s="3"/>
      <c r="F480" s="5"/>
      <c r="G480" s="5"/>
      <c r="H480" s="5"/>
      <c r="I480" s="3"/>
      <c r="J480" s="3"/>
      <c r="K480" s="3" t="s">
        <v>52</v>
      </c>
      <c r="L480" s="44">
        <v>44615.0</v>
      </c>
      <c r="M480" s="150">
        <v>0.4912384259259259</v>
      </c>
      <c r="N480" s="5"/>
      <c r="O480" s="5"/>
      <c r="P480" s="10" t="b">
        <v>0</v>
      </c>
      <c r="Q480" s="10" t="s">
        <v>2184</v>
      </c>
      <c r="R480" s="144" t="b">
        <v>1</v>
      </c>
      <c r="S480" s="144">
        <v>1.0</v>
      </c>
      <c r="T480" s="10"/>
      <c r="U480" s="5"/>
      <c r="V480" s="3"/>
      <c r="W480" s="5"/>
      <c r="X480" s="144" t="b">
        <v>0</v>
      </c>
      <c r="Y480" s="10" t="b">
        <v>0</v>
      </c>
      <c r="Z480" s="3"/>
      <c r="AA480" s="10" t="b">
        <v>0</v>
      </c>
      <c r="AB480" s="10" t="b">
        <v>0</v>
      </c>
      <c r="AC480" s="181">
        <v>287.0</v>
      </c>
      <c r="AD480" s="144" t="b">
        <v>0</v>
      </c>
      <c r="AE480" s="182">
        <v>262.90000000000003</v>
      </c>
      <c r="AF480" s="10" t="b">
        <v>0</v>
      </c>
      <c r="AG480" s="10" t="b">
        <v>0</v>
      </c>
      <c r="AH480" s="144"/>
      <c r="AI480" s="3"/>
      <c r="AJ480" s="185">
        <v>2.7</v>
      </c>
      <c r="AK480" s="186" t="s">
        <v>244</v>
      </c>
      <c r="AL480" s="5" t="s">
        <v>1544</v>
      </c>
      <c r="AM480" s="5" t="s">
        <v>356</v>
      </c>
      <c r="AN480" s="5" t="s">
        <v>357</v>
      </c>
      <c r="AO480" s="5" t="s">
        <v>2185</v>
      </c>
      <c r="AP480" s="5" t="s">
        <v>2185</v>
      </c>
      <c r="AQ480" s="5" t="s">
        <v>2185</v>
      </c>
      <c r="AR480" s="5" t="s">
        <v>2185</v>
      </c>
      <c r="AS480" s="142"/>
      <c r="AT480" s="142" t="b">
        <v>0</v>
      </c>
      <c r="AU480" s="142"/>
      <c r="AV480" s="142"/>
      <c r="AW480" s="142"/>
      <c r="AX480" s="142"/>
      <c r="AY480" s="142"/>
      <c r="AZ480" s="174"/>
      <c r="BA480" s="142"/>
      <c r="BB480" s="142"/>
      <c r="BC480" s="142"/>
      <c r="BD480" s="142"/>
      <c r="BE480" s="142"/>
      <c r="BF480" s="142"/>
      <c r="BG480" s="142"/>
    </row>
    <row r="481">
      <c r="A481" s="5" t="s">
        <v>1556</v>
      </c>
      <c r="B481" s="44">
        <v>44615.0</v>
      </c>
      <c r="C481" s="150">
        <v>0.3092361111111111</v>
      </c>
      <c r="D481" s="3"/>
      <c r="E481" s="3"/>
      <c r="F481" s="5"/>
      <c r="G481" s="5"/>
      <c r="H481" s="5"/>
      <c r="I481" s="3"/>
      <c r="J481" s="3"/>
      <c r="K481" s="3" t="s">
        <v>52</v>
      </c>
      <c r="L481" s="44">
        <v>44615.0</v>
      </c>
      <c r="M481" s="150">
        <v>0.4912384259259259</v>
      </c>
      <c r="N481" s="5"/>
      <c r="O481" s="5"/>
      <c r="P481" s="10" t="b">
        <v>0</v>
      </c>
      <c r="Q481" s="10" t="s">
        <v>2184</v>
      </c>
      <c r="R481" s="144" t="b">
        <v>1</v>
      </c>
      <c r="S481" s="144">
        <v>1.0</v>
      </c>
      <c r="T481" s="10"/>
      <c r="U481" s="5"/>
      <c r="V481" s="3"/>
      <c r="W481" s="5"/>
      <c r="X481" s="144" t="b">
        <v>0</v>
      </c>
      <c r="Y481" s="10" t="b">
        <v>0</v>
      </c>
      <c r="Z481" s="3"/>
      <c r="AA481" s="10" t="b">
        <v>0</v>
      </c>
      <c r="AB481" s="10" t="b">
        <v>0</v>
      </c>
      <c r="AC481" s="181">
        <v>286.0</v>
      </c>
      <c r="AD481" s="144" t="b">
        <v>0</v>
      </c>
      <c r="AE481" s="182">
        <v>262.0833333333333</v>
      </c>
      <c r="AF481" s="10" t="b">
        <v>0</v>
      </c>
      <c r="AG481" s="10" t="b">
        <v>0</v>
      </c>
      <c r="AH481" s="144"/>
      <c r="AI481" s="3"/>
      <c r="AJ481" s="185">
        <v>2.7</v>
      </c>
      <c r="AK481" s="186" t="s">
        <v>244</v>
      </c>
      <c r="AL481" s="5" t="s">
        <v>1544</v>
      </c>
      <c r="AM481" s="5" t="s">
        <v>618</v>
      </c>
      <c r="AN481" s="5" t="s">
        <v>619</v>
      </c>
      <c r="AO481" s="5" t="s">
        <v>2185</v>
      </c>
      <c r="AP481" s="5" t="s">
        <v>2185</v>
      </c>
      <c r="AQ481" s="5" t="s">
        <v>2185</v>
      </c>
      <c r="AR481" s="5" t="s">
        <v>2185</v>
      </c>
      <c r="AS481" s="142"/>
      <c r="AT481" s="142" t="b">
        <v>0</v>
      </c>
      <c r="AU481" s="142"/>
      <c r="AV481" s="142"/>
      <c r="AW481" s="142"/>
      <c r="AX481" s="142"/>
      <c r="AY481" s="142"/>
      <c r="AZ481" s="174"/>
      <c r="BA481" s="142"/>
      <c r="BB481" s="142"/>
      <c r="BC481" s="142"/>
      <c r="BD481" s="142"/>
      <c r="BE481" s="142"/>
      <c r="BF481" s="142"/>
      <c r="BG481" s="142"/>
    </row>
    <row r="482">
      <c r="A482" s="5" t="s">
        <v>1558</v>
      </c>
      <c r="B482" s="44">
        <v>44615.0</v>
      </c>
      <c r="C482" s="150">
        <v>0.30931712962962965</v>
      </c>
      <c r="D482" s="3"/>
      <c r="E482" s="3"/>
      <c r="F482" s="5"/>
      <c r="G482" s="5"/>
      <c r="H482" s="5"/>
      <c r="I482" s="3"/>
      <c r="J482" s="3"/>
      <c r="K482" s="3" t="s">
        <v>52</v>
      </c>
      <c r="L482" s="44">
        <v>44615.0</v>
      </c>
      <c r="M482" s="150">
        <v>0.4912384259259259</v>
      </c>
      <c r="N482" s="5"/>
      <c r="O482" s="5"/>
      <c r="P482" s="10" t="b">
        <v>0</v>
      </c>
      <c r="Q482" s="10" t="s">
        <v>2184</v>
      </c>
      <c r="R482" s="144" t="b">
        <v>1</v>
      </c>
      <c r="S482" s="144">
        <v>1.0</v>
      </c>
      <c r="T482" s="10"/>
      <c r="U482" s="5"/>
      <c r="V482" s="3"/>
      <c r="W482" s="5"/>
      <c r="X482" s="144" t="b">
        <v>0</v>
      </c>
      <c r="Y482" s="10" t="b">
        <v>0</v>
      </c>
      <c r="Z482" s="3"/>
      <c r="AA482" s="10" t="b">
        <v>0</v>
      </c>
      <c r="AB482" s="10" t="b">
        <v>0</v>
      </c>
      <c r="AC482" s="181">
        <v>285.0</v>
      </c>
      <c r="AD482" s="144" t="b">
        <v>0</v>
      </c>
      <c r="AE482" s="182">
        <v>261.96666666666664</v>
      </c>
      <c r="AF482" s="10" t="b">
        <v>0</v>
      </c>
      <c r="AG482" s="10" t="b">
        <v>0</v>
      </c>
      <c r="AH482" s="144"/>
      <c r="AI482" s="3"/>
      <c r="AJ482" s="185">
        <v>2.7</v>
      </c>
      <c r="AK482" s="186" t="s">
        <v>244</v>
      </c>
      <c r="AL482" s="5" t="s">
        <v>1544</v>
      </c>
      <c r="AM482" s="5" t="s">
        <v>512</v>
      </c>
      <c r="AN482" s="5" t="s">
        <v>513</v>
      </c>
      <c r="AO482" s="5" t="s">
        <v>2185</v>
      </c>
      <c r="AP482" s="5" t="s">
        <v>2185</v>
      </c>
      <c r="AQ482" s="5" t="s">
        <v>2185</v>
      </c>
      <c r="AR482" s="5" t="s">
        <v>2185</v>
      </c>
      <c r="AS482" s="142"/>
      <c r="AT482" s="142" t="b">
        <v>0</v>
      </c>
      <c r="AU482" s="142"/>
      <c r="AV482" s="142"/>
      <c r="AW482" s="142"/>
      <c r="AX482" s="142"/>
      <c r="AY482" s="142"/>
      <c r="AZ482" s="174"/>
      <c r="BA482" s="142"/>
      <c r="BB482" s="142"/>
      <c r="BC482" s="142"/>
      <c r="BD482" s="142"/>
      <c r="BE482" s="142"/>
      <c r="BF482" s="142"/>
      <c r="BG482" s="142"/>
    </row>
    <row r="483">
      <c r="A483" s="5" t="s">
        <v>1560</v>
      </c>
      <c r="B483" s="44">
        <v>44615.0</v>
      </c>
      <c r="C483" s="150">
        <v>0.3097800925925926</v>
      </c>
      <c r="D483" s="3"/>
      <c r="E483" s="3"/>
      <c r="F483" s="5"/>
      <c r="G483" s="5"/>
      <c r="H483" s="5"/>
      <c r="I483" s="3"/>
      <c r="J483" s="3"/>
      <c r="K483" s="3" t="s">
        <v>52</v>
      </c>
      <c r="L483" s="44">
        <v>44615.0</v>
      </c>
      <c r="M483" s="150">
        <v>0.4912384259259259</v>
      </c>
      <c r="N483" s="5"/>
      <c r="O483" s="5"/>
      <c r="P483" s="10" t="b">
        <v>0</v>
      </c>
      <c r="Q483" s="10" t="s">
        <v>2184</v>
      </c>
      <c r="R483" s="144" t="b">
        <v>1</v>
      </c>
      <c r="S483" s="144">
        <v>1.0</v>
      </c>
      <c r="T483" s="10"/>
      <c r="U483" s="5"/>
      <c r="V483" s="3"/>
      <c r="W483" s="5"/>
      <c r="X483" s="144" t="b">
        <v>0</v>
      </c>
      <c r="Y483" s="10" t="b">
        <v>0</v>
      </c>
      <c r="Z483" s="3"/>
      <c r="AA483" s="10" t="b">
        <v>0</v>
      </c>
      <c r="AB483" s="10" t="b">
        <v>0</v>
      </c>
      <c r="AC483" s="181">
        <v>284.0</v>
      </c>
      <c r="AD483" s="144" t="b">
        <v>0</v>
      </c>
      <c r="AE483" s="182">
        <v>261.3</v>
      </c>
      <c r="AF483" s="10" t="b">
        <v>0</v>
      </c>
      <c r="AG483" s="10" t="b">
        <v>0</v>
      </c>
      <c r="AH483" s="144"/>
      <c r="AI483" s="3"/>
      <c r="AJ483" s="185">
        <v>2.7</v>
      </c>
      <c r="AK483" s="186" t="s">
        <v>244</v>
      </c>
      <c r="AL483" s="5" t="s">
        <v>1544</v>
      </c>
      <c r="AM483" s="5" t="s">
        <v>1561</v>
      </c>
      <c r="AN483" s="5" t="s">
        <v>1562</v>
      </c>
      <c r="AO483" s="5" t="s">
        <v>2185</v>
      </c>
      <c r="AP483" s="5" t="s">
        <v>2185</v>
      </c>
      <c r="AQ483" s="5" t="s">
        <v>2185</v>
      </c>
      <c r="AR483" s="5" t="s">
        <v>2185</v>
      </c>
      <c r="AS483" s="142"/>
      <c r="AT483" s="142" t="b">
        <v>0</v>
      </c>
      <c r="AU483" s="142"/>
      <c r="AV483" s="142"/>
      <c r="AW483" s="142"/>
      <c r="AX483" s="142"/>
      <c r="AY483" s="142"/>
      <c r="AZ483" s="174"/>
      <c r="BA483" s="142"/>
      <c r="BB483" s="142"/>
      <c r="BC483" s="142"/>
      <c r="BD483" s="142"/>
      <c r="BE483" s="142"/>
      <c r="BF483" s="142"/>
      <c r="BG483" s="142"/>
    </row>
    <row r="484">
      <c r="A484" s="5" t="s">
        <v>1564</v>
      </c>
      <c r="B484" s="44">
        <v>44615.0</v>
      </c>
      <c r="C484" s="150">
        <v>0.3108912037037037</v>
      </c>
      <c r="D484" s="3"/>
      <c r="E484" s="3"/>
      <c r="F484" s="5"/>
      <c r="G484" s="5"/>
      <c r="H484" s="5"/>
      <c r="I484" s="3"/>
      <c r="J484" s="3"/>
      <c r="K484" s="3" t="s">
        <v>52</v>
      </c>
      <c r="L484" s="44">
        <v>44615.0</v>
      </c>
      <c r="M484" s="150">
        <v>0.4912384259259259</v>
      </c>
      <c r="N484" s="5"/>
      <c r="O484" s="5"/>
      <c r="P484" s="10" t="b">
        <v>0</v>
      </c>
      <c r="Q484" s="10" t="s">
        <v>2184</v>
      </c>
      <c r="R484" s="144" t="b">
        <v>1</v>
      </c>
      <c r="S484" s="144">
        <v>1.0</v>
      </c>
      <c r="T484" s="10"/>
      <c r="U484" s="5"/>
      <c r="V484" s="3"/>
      <c r="W484" s="5"/>
      <c r="X484" s="144" t="b">
        <v>0</v>
      </c>
      <c r="Y484" s="10" t="b">
        <v>0</v>
      </c>
      <c r="Z484" s="3"/>
      <c r="AA484" s="10" t="b">
        <v>0</v>
      </c>
      <c r="AB484" s="10" t="b">
        <v>0</v>
      </c>
      <c r="AC484" s="181">
        <v>283.0</v>
      </c>
      <c r="AD484" s="144" t="b">
        <v>0</v>
      </c>
      <c r="AE484" s="182">
        <v>259.7</v>
      </c>
      <c r="AF484" s="10" t="b">
        <v>0</v>
      </c>
      <c r="AG484" s="10" t="b">
        <v>0</v>
      </c>
      <c r="AH484" s="144"/>
      <c r="AI484" s="3"/>
      <c r="AJ484" s="185">
        <v>2.7</v>
      </c>
      <c r="AK484" s="186" t="s">
        <v>244</v>
      </c>
      <c r="AL484" s="5" t="s">
        <v>1544</v>
      </c>
      <c r="AM484" s="5" t="s">
        <v>1380</v>
      </c>
      <c r="AN484" s="5" t="s">
        <v>1381</v>
      </c>
      <c r="AO484" s="5" t="s">
        <v>2185</v>
      </c>
      <c r="AP484" s="5" t="s">
        <v>2185</v>
      </c>
      <c r="AQ484" s="5" t="s">
        <v>2185</v>
      </c>
      <c r="AR484" s="5" t="s">
        <v>2185</v>
      </c>
      <c r="AS484" s="142"/>
      <c r="AT484" s="142" t="b">
        <v>0</v>
      </c>
      <c r="AU484" s="142"/>
      <c r="AV484" s="142"/>
      <c r="AW484" s="142"/>
      <c r="AX484" s="142"/>
      <c r="AY484" s="142"/>
      <c r="AZ484" s="174"/>
      <c r="BA484" s="142"/>
      <c r="BB484" s="142"/>
      <c r="BC484" s="142"/>
      <c r="BD484" s="142"/>
      <c r="BE484" s="142"/>
      <c r="BF484" s="142"/>
      <c r="BG484" s="142"/>
    </row>
    <row r="485">
      <c r="A485" s="5" t="s">
        <v>1566</v>
      </c>
      <c r="B485" s="44">
        <v>44615.0</v>
      </c>
      <c r="C485" s="150">
        <v>0.31449074074074074</v>
      </c>
      <c r="D485" s="3"/>
      <c r="E485" s="3"/>
      <c r="F485" s="5"/>
      <c r="G485" s="5"/>
      <c r="H485" s="5"/>
      <c r="I485" s="3"/>
      <c r="J485" s="3"/>
      <c r="K485" s="3" t="s">
        <v>52</v>
      </c>
      <c r="L485" s="44">
        <v>44615.0</v>
      </c>
      <c r="M485" s="150">
        <v>0.4912384259259259</v>
      </c>
      <c r="N485" s="5"/>
      <c r="O485" s="5"/>
      <c r="P485" s="10" t="b">
        <v>0</v>
      </c>
      <c r="Q485" s="10" t="s">
        <v>2184</v>
      </c>
      <c r="R485" s="144" t="b">
        <v>1</v>
      </c>
      <c r="S485" s="144">
        <v>1.0</v>
      </c>
      <c r="T485" s="10"/>
      <c r="U485" s="5"/>
      <c r="V485" s="3"/>
      <c r="W485" s="5"/>
      <c r="X485" s="144" t="b">
        <v>0</v>
      </c>
      <c r="Y485" s="10" t="b">
        <v>0</v>
      </c>
      <c r="Z485" s="3"/>
      <c r="AA485" s="10" t="b">
        <v>0</v>
      </c>
      <c r="AB485" s="10" t="b">
        <v>0</v>
      </c>
      <c r="AC485" s="181">
        <v>282.0</v>
      </c>
      <c r="AD485" s="144" t="b">
        <v>0</v>
      </c>
      <c r="AE485" s="182">
        <v>254.51666666666665</v>
      </c>
      <c r="AF485" s="10" t="b">
        <v>0</v>
      </c>
      <c r="AG485" s="10" t="b">
        <v>0</v>
      </c>
      <c r="AH485" s="144"/>
      <c r="AI485" s="3"/>
      <c r="AJ485" s="185">
        <v>2.7</v>
      </c>
      <c r="AK485" s="186" t="s">
        <v>244</v>
      </c>
      <c r="AL485" s="5" t="s">
        <v>1544</v>
      </c>
      <c r="AM485" s="5" t="s">
        <v>649</v>
      </c>
      <c r="AN485" s="5" t="s">
        <v>336</v>
      </c>
      <c r="AO485" s="5" t="s">
        <v>2185</v>
      </c>
      <c r="AP485" s="5" t="s">
        <v>2185</v>
      </c>
      <c r="AQ485" s="5" t="s">
        <v>2185</v>
      </c>
      <c r="AR485" s="5" t="s">
        <v>2185</v>
      </c>
      <c r="AS485" s="142"/>
      <c r="AT485" s="142" t="b">
        <v>0</v>
      </c>
      <c r="AU485" s="142"/>
      <c r="AV485" s="142"/>
      <c r="AW485" s="142"/>
      <c r="AX485" s="142"/>
      <c r="AY485" s="142"/>
      <c r="AZ485" s="174"/>
      <c r="BA485" s="142"/>
      <c r="BB485" s="142"/>
      <c r="BC485" s="142"/>
      <c r="BD485" s="142"/>
      <c r="BE485" s="142"/>
      <c r="BF485" s="142"/>
      <c r="BG485" s="142"/>
    </row>
    <row r="486">
      <c r="A486" s="5" t="s">
        <v>1568</v>
      </c>
      <c r="B486" s="44">
        <v>44615.0</v>
      </c>
      <c r="C486" s="150">
        <v>0.3146412037037037</v>
      </c>
      <c r="D486" s="3"/>
      <c r="E486" s="3"/>
      <c r="F486" s="5"/>
      <c r="G486" s="5"/>
      <c r="H486" s="5"/>
      <c r="I486" s="3"/>
      <c r="J486" s="3"/>
      <c r="K486" s="3" t="s">
        <v>52</v>
      </c>
      <c r="L486" s="44">
        <v>44615.0</v>
      </c>
      <c r="M486" s="150">
        <v>0.4912384259259259</v>
      </c>
      <c r="N486" s="5"/>
      <c r="O486" s="5"/>
      <c r="P486" s="10" t="b">
        <v>0</v>
      </c>
      <c r="Q486" s="10" t="s">
        <v>2184</v>
      </c>
      <c r="R486" s="144" t="b">
        <v>1</v>
      </c>
      <c r="S486" s="144">
        <v>1.0</v>
      </c>
      <c r="T486" s="10"/>
      <c r="U486" s="5"/>
      <c r="V486" s="3"/>
      <c r="W486" s="5"/>
      <c r="X486" s="144" t="b">
        <v>0</v>
      </c>
      <c r="Y486" s="10" t="b">
        <v>0</v>
      </c>
      <c r="Z486" s="3"/>
      <c r="AA486" s="10" t="b">
        <v>0</v>
      </c>
      <c r="AB486" s="10" t="b">
        <v>0</v>
      </c>
      <c r="AC486" s="181">
        <v>281.0</v>
      </c>
      <c r="AD486" s="144" t="b">
        <v>0</v>
      </c>
      <c r="AE486" s="182">
        <v>254.3</v>
      </c>
      <c r="AF486" s="10" t="b">
        <v>0</v>
      </c>
      <c r="AG486" s="10" t="b">
        <v>0</v>
      </c>
      <c r="AH486" s="144"/>
      <c r="AI486" s="3"/>
      <c r="AJ486" s="185">
        <v>2.7</v>
      </c>
      <c r="AK486" s="186" t="s">
        <v>244</v>
      </c>
      <c r="AL486" s="5" t="s">
        <v>1544</v>
      </c>
      <c r="AM486" s="5" t="s">
        <v>639</v>
      </c>
      <c r="AN486" s="5" t="s">
        <v>640</v>
      </c>
      <c r="AO486" s="5" t="s">
        <v>2185</v>
      </c>
      <c r="AP486" s="5" t="s">
        <v>2185</v>
      </c>
      <c r="AQ486" s="5" t="s">
        <v>2185</v>
      </c>
      <c r="AR486" s="5" t="s">
        <v>2185</v>
      </c>
      <c r="AS486" s="142"/>
      <c r="AT486" s="142" t="b">
        <v>0</v>
      </c>
      <c r="AU486" s="142"/>
      <c r="AV486" s="142"/>
      <c r="AW486" s="142"/>
      <c r="AX486" s="142"/>
      <c r="AY486" s="142"/>
      <c r="AZ486" s="174"/>
      <c r="BA486" s="142"/>
      <c r="BB486" s="142"/>
      <c r="BC486" s="142"/>
      <c r="BD486" s="142"/>
      <c r="BE486" s="142"/>
      <c r="BF486" s="142"/>
      <c r="BG486" s="142"/>
    </row>
    <row r="487">
      <c r="A487" s="5" t="s">
        <v>1570</v>
      </c>
      <c r="B487" s="44">
        <v>44615.0</v>
      </c>
      <c r="C487" s="150">
        <v>0.31958333333333333</v>
      </c>
      <c r="D487" s="3"/>
      <c r="E487" s="3"/>
      <c r="F487" s="5"/>
      <c r="G487" s="5"/>
      <c r="H487" s="5"/>
      <c r="I487" s="3"/>
      <c r="J487" s="3"/>
      <c r="K487" s="3" t="s">
        <v>52</v>
      </c>
      <c r="L487" s="44">
        <v>44615.0</v>
      </c>
      <c r="M487" s="150">
        <v>0.4912384259259259</v>
      </c>
      <c r="N487" s="5"/>
      <c r="O487" s="5"/>
      <c r="P487" s="10" t="b">
        <v>0</v>
      </c>
      <c r="Q487" s="10" t="s">
        <v>2184</v>
      </c>
      <c r="R487" s="144" t="b">
        <v>1</v>
      </c>
      <c r="S487" s="144">
        <v>1.0</v>
      </c>
      <c r="T487" s="10"/>
      <c r="U487" s="5"/>
      <c r="V487" s="3"/>
      <c r="W487" s="5"/>
      <c r="X487" s="144" t="b">
        <v>0</v>
      </c>
      <c r="Y487" s="10" t="b">
        <v>0</v>
      </c>
      <c r="Z487" s="3"/>
      <c r="AA487" s="10" t="b">
        <v>0</v>
      </c>
      <c r="AB487" s="10" t="b">
        <v>0</v>
      </c>
      <c r="AC487" s="181">
        <v>280.0</v>
      </c>
      <c r="AD487" s="144" t="b">
        <v>0</v>
      </c>
      <c r="AE487" s="182">
        <v>247.18333333333334</v>
      </c>
      <c r="AF487" s="10" t="b">
        <v>0</v>
      </c>
      <c r="AG487" s="10" t="b">
        <v>0</v>
      </c>
      <c r="AH487" s="144"/>
      <c r="AI487" s="3"/>
      <c r="AJ487" s="185">
        <v>2.7</v>
      </c>
      <c r="AK487" s="186" t="s">
        <v>244</v>
      </c>
      <c r="AL487" s="5" t="s">
        <v>1544</v>
      </c>
      <c r="AM487" s="5" t="s">
        <v>291</v>
      </c>
      <c r="AN487" s="5" t="s">
        <v>292</v>
      </c>
      <c r="AO487" s="5" t="s">
        <v>2185</v>
      </c>
      <c r="AP487" s="5" t="s">
        <v>2185</v>
      </c>
      <c r="AQ487" s="5" t="s">
        <v>2185</v>
      </c>
      <c r="AR487" s="5" t="s">
        <v>2185</v>
      </c>
      <c r="AS487" s="142"/>
      <c r="AT487" s="142" t="b">
        <v>0</v>
      </c>
      <c r="AU487" s="142"/>
      <c r="AV487" s="142"/>
      <c r="AW487" s="142"/>
      <c r="AX487" s="142"/>
      <c r="AY487" s="142"/>
      <c r="AZ487" s="174"/>
      <c r="BA487" s="142"/>
      <c r="BB487" s="142"/>
      <c r="BC487" s="142"/>
      <c r="BD487" s="142"/>
      <c r="BE487" s="142"/>
      <c r="BF487" s="142"/>
      <c r="BG487" s="142"/>
    </row>
    <row r="488">
      <c r="A488" s="5" t="s">
        <v>1572</v>
      </c>
      <c r="B488" s="44">
        <v>44615.0</v>
      </c>
      <c r="C488" s="150">
        <v>0.32104166666666667</v>
      </c>
      <c r="D488" s="3"/>
      <c r="E488" s="3"/>
      <c r="F488" s="5"/>
      <c r="G488" s="5"/>
      <c r="H488" s="5"/>
      <c r="I488" s="3"/>
      <c r="J488" s="3"/>
      <c r="K488" s="3" t="s">
        <v>52</v>
      </c>
      <c r="L488" s="44">
        <v>44615.0</v>
      </c>
      <c r="M488" s="150">
        <v>0.49125</v>
      </c>
      <c r="N488" s="5"/>
      <c r="O488" s="5"/>
      <c r="P488" s="10" t="b">
        <v>0</v>
      </c>
      <c r="Q488" s="10" t="s">
        <v>2184</v>
      </c>
      <c r="R488" s="144" t="b">
        <v>1</v>
      </c>
      <c r="S488" s="144">
        <v>1.0</v>
      </c>
      <c r="T488" s="10"/>
      <c r="U488" s="5"/>
      <c r="V488" s="3"/>
      <c r="W488" s="5"/>
      <c r="X488" s="144" t="b">
        <v>0</v>
      </c>
      <c r="Y488" s="10" t="b">
        <v>0</v>
      </c>
      <c r="Z488" s="3"/>
      <c r="AA488" s="10" t="b">
        <v>0</v>
      </c>
      <c r="AB488" s="10" t="b">
        <v>0</v>
      </c>
      <c r="AC488" s="181">
        <v>279.0</v>
      </c>
      <c r="AD488" s="144" t="b">
        <v>0</v>
      </c>
      <c r="AE488" s="182">
        <v>245.10000000000005</v>
      </c>
      <c r="AF488" s="10" t="b">
        <v>0</v>
      </c>
      <c r="AG488" s="10" t="b">
        <v>0</v>
      </c>
      <c r="AH488" s="144"/>
      <c r="AI488" s="3"/>
      <c r="AJ488" s="185">
        <v>2.7</v>
      </c>
      <c r="AK488" s="186" t="s">
        <v>244</v>
      </c>
      <c r="AL488" s="5" t="s">
        <v>1544</v>
      </c>
      <c r="AM488" s="5" t="s">
        <v>1358</v>
      </c>
      <c r="AN488" s="5" t="s">
        <v>1359</v>
      </c>
      <c r="AO488" s="5" t="s">
        <v>2185</v>
      </c>
      <c r="AP488" s="5" t="s">
        <v>2185</v>
      </c>
      <c r="AQ488" s="5" t="s">
        <v>2185</v>
      </c>
      <c r="AR488" s="5" t="s">
        <v>2185</v>
      </c>
      <c r="AS488" s="142"/>
      <c r="AT488" s="142" t="b">
        <v>0</v>
      </c>
      <c r="AU488" s="142"/>
      <c r="AV488" s="142"/>
      <c r="AW488" s="142"/>
      <c r="AX488" s="142"/>
      <c r="AY488" s="142"/>
      <c r="AZ488" s="174"/>
      <c r="BA488" s="142"/>
      <c r="BB488" s="142"/>
      <c r="BC488" s="142"/>
      <c r="BD488" s="142"/>
      <c r="BE488" s="142"/>
      <c r="BF488" s="142"/>
      <c r="BG488" s="142"/>
    </row>
    <row r="489">
      <c r="A489" s="5" t="s">
        <v>1574</v>
      </c>
      <c r="B489" s="44">
        <v>44615.0</v>
      </c>
      <c r="C489" s="150">
        <v>0.321712962962963</v>
      </c>
      <c r="D489" s="3"/>
      <c r="E489" s="3"/>
      <c r="F489" s="5"/>
      <c r="G489" s="5"/>
      <c r="H489" s="5"/>
      <c r="I489" s="3"/>
      <c r="J489" s="3"/>
      <c r="K489" s="3" t="s">
        <v>52</v>
      </c>
      <c r="L489" s="44">
        <v>44615.0</v>
      </c>
      <c r="M489" s="150">
        <v>0.49125</v>
      </c>
      <c r="N489" s="5"/>
      <c r="O489" s="5"/>
      <c r="P489" s="10" t="b">
        <v>0</v>
      </c>
      <c r="Q489" s="10" t="s">
        <v>2184</v>
      </c>
      <c r="R489" s="144" t="b">
        <v>1</v>
      </c>
      <c r="S489" s="144">
        <v>1.0</v>
      </c>
      <c r="T489" s="10"/>
      <c r="U489" s="5"/>
      <c r="V489" s="3"/>
      <c r="W489" s="5"/>
      <c r="X489" s="144" t="b">
        <v>0</v>
      </c>
      <c r="Y489" s="10" t="b">
        <v>0</v>
      </c>
      <c r="Z489" s="3"/>
      <c r="AA489" s="10" t="b">
        <v>0</v>
      </c>
      <c r="AB489" s="10" t="b">
        <v>0</v>
      </c>
      <c r="AC489" s="181">
        <v>278.0</v>
      </c>
      <c r="AD489" s="144" t="b">
        <v>0</v>
      </c>
      <c r="AE489" s="182">
        <v>244.13333333333333</v>
      </c>
      <c r="AF489" s="10" t="b">
        <v>0</v>
      </c>
      <c r="AG489" s="10" t="b">
        <v>0</v>
      </c>
      <c r="AH489" s="144"/>
      <c r="AI489" s="3"/>
      <c r="AJ489" s="185">
        <v>2.7</v>
      </c>
      <c r="AK489" s="186" t="s">
        <v>244</v>
      </c>
      <c r="AL489" s="5" t="s">
        <v>1544</v>
      </c>
      <c r="AM489" s="5" t="s">
        <v>1575</v>
      </c>
      <c r="AN489" s="5" t="s">
        <v>893</v>
      </c>
      <c r="AO489" s="5" t="s">
        <v>2185</v>
      </c>
      <c r="AP489" s="5" t="s">
        <v>2185</v>
      </c>
      <c r="AQ489" s="5" t="s">
        <v>2185</v>
      </c>
      <c r="AR489" s="5" t="s">
        <v>2185</v>
      </c>
      <c r="AS489" s="142"/>
      <c r="AT489" s="142" t="b">
        <v>0</v>
      </c>
      <c r="AU489" s="142"/>
      <c r="AV489" s="142"/>
      <c r="AW489" s="142"/>
      <c r="AX489" s="142"/>
      <c r="AY489" s="142"/>
      <c r="AZ489" s="174"/>
      <c r="BA489" s="142"/>
      <c r="BB489" s="142"/>
      <c r="BC489" s="142"/>
      <c r="BD489" s="142"/>
      <c r="BE489" s="142"/>
      <c r="BF489" s="142"/>
      <c r="BG489" s="142"/>
    </row>
    <row r="490">
      <c r="A490" s="5" t="s">
        <v>1577</v>
      </c>
      <c r="B490" s="44">
        <v>44615.0</v>
      </c>
      <c r="C490" s="150">
        <v>0.3237962962962963</v>
      </c>
      <c r="D490" s="3"/>
      <c r="E490" s="3"/>
      <c r="F490" s="5"/>
      <c r="G490" s="5"/>
      <c r="H490" s="5"/>
      <c r="I490" s="3"/>
      <c r="J490" s="3"/>
      <c r="K490" s="3" t="s">
        <v>52</v>
      </c>
      <c r="L490" s="44">
        <v>44615.0</v>
      </c>
      <c r="M490" s="150">
        <v>0.49125</v>
      </c>
      <c r="N490" s="5"/>
      <c r="O490" s="5"/>
      <c r="P490" s="10" t="b">
        <v>0</v>
      </c>
      <c r="Q490" s="10" t="s">
        <v>2184</v>
      </c>
      <c r="R490" s="144" t="b">
        <v>1</v>
      </c>
      <c r="S490" s="144">
        <v>1.0</v>
      </c>
      <c r="T490" s="10"/>
      <c r="U490" s="5"/>
      <c r="V490" s="3"/>
      <c r="W490" s="5"/>
      <c r="X490" s="144" t="b">
        <v>0</v>
      </c>
      <c r="Y490" s="10" t="b">
        <v>0</v>
      </c>
      <c r="Z490" s="3"/>
      <c r="AA490" s="10" t="b">
        <v>0</v>
      </c>
      <c r="AB490" s="10" t="b">
        <v>0</v>
      </c>
      <c r="AC490" s="181">
        <v>277.0</v>
      </c>
      <c r="AD490" s="144" t="b">
        <v>0</v>
      </c>
      <c r="AE490" s="182">
        <v>241.13333333333335</v>
      </c>
      <c r="AF490" s="10" t="b">
        <v>0</v>
      </c>
      <c r="AG490" s="10" t="b">
        <v>0</v>
      </c>
      <c r="AH490" s="144"/>
      <c r="AI490" s="3"/>
      <c r="AJ490" s="185">
        <v>2.7</v>
      </c>
      <c r="AK490" s="186" t="s">
        <v>244</v>
      </c>
      <c r="AL490" s="5" t="s">
        <v>1544</v>
      </c>
      <c r="AM490" s="5" t="s">
        <v>583</v>
      </c>
      <c r="AN490" s="5" t="s">
        <v>584</v>
      </c>
      <c r="AO490" s="5" t="s">
        <v>2185</v>
      </c>
      <c r="AP490" s="5" t="s">
        <v>2185</v>
      </c>
      <c r="AQ490" s="5" t="s">
        <v>2185</v>
      </c>
      <c r="AR490" s="5" t="s">
        <v>2185</v>
      </c>
      <c r="AS490" s="142"/>
      <c r="AT490" s="142" t="b">
        <v>0</v>
      </c>
      <c r="AU490" s="142"/>
      <c r="AV490" s="142"/>
      <c r="AW490" s="142"/>
      <c r="AX490" s="142"/>
      <c r="AY490" s="142"/>
      <c r="AZ490" s="174"/>
      <c r="BA490" s="142"/>
      <c r="BB490" s="142"/>
      <c r="BC490" s="142"/>
      <c r="BD490" s="142"/>
      <c r="BE490" s="142"/>
      <c r="BF490" s="142"/>
      <c r="BG490" s="142"/>
    </row>
    <row r="491">
      <c r="A491" s="5" t="s">
        <v>1579</v>
      </c>
      <c r="B491" s="44">
        <v>44615.0</v>
      </c>
      <c r="C491" s="150">
        <v>0.3284375</v>
      </c>
      <c r="D491" s="3"/>
      <c r="E491" s="3"/>
      <c r="F491" s="5"/>
      <c r="G491" s="5"/>
      <c r="H491" s="5"/>
      <c r="I491" s="3"/>
      <c r="J491" s="3"/>
      <c r="K491" s="3" t="s">
        <v>52</v>
      </c>
      <c r="L491" s="44">
        <v>44615.0</v>
      </c>
      <c r="M491" s="150">
        <v>0.49125</v>
      </c>
      <c r="N491" s="5"/>
      <c r="O491" s="5"/>
      <c r="P491" s="10" t="b">
        <v>0</v>
      </c>
      <c r="Q491" s="10" t="s">
        <v>2184</v>
      </c>
      <c r="R491" s="144" t="b">
        <v>1</v>
      </c>
      <c r="S491" s="144">
        <v>1.0</v>
      </c>
      <c r="T491" s="10"/>
      <c r="U491" s="5"/>
      <c r="V491" s="3"/>
      <c r="W491" s="5"/>
      <c r="X491" s="144" t="b">
        <v>0</v>
      </c>
      <c r="Y491" s="10" t="b">
        <v>0</v>
      </c>
      <c r="Z491" s="3"/>
      <c r="AA491" s="10" t="b">
        <v>0</v>
      </c>
      <c r="AB491" s="10" t="b">
        <v>0</v>
      </c>
      <c r="AC491" s="181">
        <v>276.0</v>
      </c>
      <c r="AD491" s="144" t="b">
        <v>0</v>
      </c>
      <c r="AE491" s="182">
        <v>234.45000000000005</v>
      </c>
      <c r="AF491" s="10" t="b">
        <v>0</v>
      </c>
      <c r="AG491" s="10" t="b">
        <v>0</v>
      </c>
      <c r="AH491" s="144"/>
      <c r="AI491" s="3"/>
      <c r="AJ491" s="185">
        <v>2.7</v>
      </c>
      <c r="AK491" s="186" t="s">
        <v>244</v>
      </c>
      <c r="AL491" s="5" t="s">
        <v>1544</v>
      </c>
      <c r="AM491" s="5" t="s">
        <v>310</v>
      </c>
      <c r="AN491" s="5" t="s">
        <v>311</v>
      </c>
      <c r="AO491" s="5" t="s">
        <v>2185</v>
      </c>
      <c r="AP491" s="5" t="s">
        <v>2185</v>
      </c>
      <c r="AQ491" s="5" t="s">
        <v>2185</v>
      </c>
      <c r="AR491" s="5" t="s">
        <v>2185</v>
      </c>
      <c r="AS491" s="142"/>
      <c r="AT491" s="142" t="b">
        <v>0</v>
      </c>
      <c r="AU491" s="142"/>
      <c r="AV491" s="142"/>
      <c r="AW491" s="142"/>
      <c r="AX491" s="142"/>
      <c r="AY491" s="142"/>
      <c r="AZ491" s="174"/>
      <c r="BA491" s="142"/>
      <c r="BB491" s="142"/>
      <c r="BC491" s="142"/>
      <c r="BD491" s="142"/>
      <c r="BE491" s="142"/>
      <c r="BF491" s="142"/>
      <c r="BG491" s="142"/>
    </row>
    <row r="492">
      <c r="A492" s="5" t="s">
        <v>1581</v>
      </c>
      <c r="B492" s="44">
        <v>44615.0</v>
      </c>
      <c r="C492" s="150">
        <v>0.33125</v>
      </c>
      <c r="D492" s="3"/>
      <c r="E492" s="3"/>
      <c r="F492" s="5"/>
      <c r="G492" s="5"/>
      <c r="H492" s="5"/>
      <c r="I492" s="3"/>
      <c r="J492" s="3"/>
      <c r="K492" s="3" t="s">
        <v>52</v>
      </c>
      <c r="L492" s="44">
        <v>44615.0</v>
      </c>
      <c r="M492" s="150">
        <v>0.49125</v>
      </c>
      <c r="N492" s="5"/>
      <c r="O492" s="5"/>
      <c r="P492" s="10" t="b">
        <v>0</v>
      </c>
      <c r="Q492" s="10" t="s">
        <v>2184</v>
      </c>
      <c r="R492" s="144" t="b">
        <v>1</v>
      </c>
      <c r="S492" s="144">
        <v>1.0</v>
      </c>
      <c r="T492" s="10"/>
      <c r="U492" s="5"/>
      <c r="V492" s="3"/>
      <c r="W492" s="5"/>
      <c r="X492" s="144" t="b">
        <v>0</v>
      </c>
      <c r="Y492" s="10" t="b">
        <v>0</v>
      </c>
      <c r="Z492" s="3"/>
      <c r="AA492" s="10" t="b">
        <v>0</v>
      </c>
      <c r="AB492" s="10" t="b">
        <v>0</v>
      </c>
      <c r="AC492" s="181">
        <v>275.0</v>
      </c>
      <c r="AD492" s="144" t="b">
        <v>0</v>
      </c>
      <c r="AE492" s="182">
        <v>230.40000000000003</v>
      </c>
      <c r="AF492" s="10" t="b">
        <v>0</v>
      </c>
      <c r="AG492" s="10" t="b">
        <v>0</v>
      </c>
      <c r="AH492" s="144"/>
      <c r="AI492" s="3"/>
      <c r="AJ492" s="185">
        <v>2.7</v>
      </c>
      <c r="AK492" s="186" t="s">
        <v>244</v>
      </c>
      <c r="AL492" s="5" t="s">
        <v>1544</v>
      </c>
      <c r="AM492" s="5" t="s">
        <v>287</v>
      </c>
      <c r="AN492" s="5" t="s">
        <v>288</v>
      </c>
      <c r="AO492" s="5" t="s">
        <v>2185</v>
      </c>
      <c r="AP492" s="5" t="s">
        <v>2185</v>
      </c>
      <c r="AQ492" s="5" t="s">
        <v>2185</v>
      </c>
      <c r="AR492" s="5" t="s">
        <v>2185</v>
      </c>
      <c r="AS492" s="142"/>
      <c r="AT492" s="142" t="b">
        <v>0</v>
      </c>
      <c r="AU492" s="142"/>
      <c r="AV492" s="142"/>
      <c r="AW492" s="142"/>
      <c r="AX492" s="142"/>
      <c r="AY492" s="142"/>
      <c r="AZ492" s="174"/>
      <c r="BA492" s="142"/>
      <c r="BB492" s="142"/>
      <c r="BC492" s="142"/>
      <c r="BD492" s="142"/>
      <c r="BE492" s="142"/>
      <c r="BF492" s="142"/>
      <c r="BG492" s="142"/>
    </row>
    <row r="493">
      <c r="A493" s="5" t="s">
        <v>1583</v>
      </c>
      <c r="B493" s="44">
        <v>44615.0</v>
      </c>
      <c r="C493" s="150">
        <v>0.3322569444444444</v>
      </c>
      <c r="D493" s="3"/>
      <c r="E493" s="3"/>
      <c r="F493" s="5"/>
      <c r="G493" s="5"/>
      <c r="H493" s="5"/>
      <c r="I493" s="3"/>
      <c r="J493" s="3"/>
      <c r="K493" s="3" t="s">
        <v>52</v>
      </c>
      <c r="L493" s="44">
        <v>44615.0</v>
      </c>
      <c r="M493" s="150">
        <v>0.49125</v>
      </c>
      <c r="N493" s="5"/>
      <c r="O493" s="5"/>
      <c r="P493" s="10" t="b">
        <v>0</v>
      </c>
      <c r="Q493" s="10" t="s">
        <v>2184</v>
      </c>
      <c r="R493" s="144" t="b">
        <v>1</v>
      </c>
      <c r="S493" s="144">
        <v>1.0</v>
      </c>
      <c r="T493" s="10"/>
      <c r="U493" s="5"/>
      <c r="V493" s="3"/>
      <c r="W493" s="5"/>
      <c r="X493" s="144" t="b">
        <v>0</v>
      </c>
      <c r="Y493" s="10" t="b">
        <v>0</v>
      </c>
      <c r="Z493" s="3"/>
      <c r="AA493" s="10" t="b">
        <v>0</v>
      </c>
      <c r="AB493" s="10" t="b">
        <v>0</v>
      </c>
      <c r="AC493" s="181">
        <v>274.0</v>
      </c>
      <c r="AD493" s="144" t="b">
        <v>0</v>
      </c>
      <c r="AE493" s="182">
        <v>228.95000000000005</v>
      </c>
      <c r="AF493" s="10" t="b">
        <v>0</v>
      </c>
      <c r="AG493" s="10" t="b">
        <v>0</v>
      </c>
      <c r="AH493" s="144"/>
      <c r="AI493" s="3"/>
      <c r="AJ493" s="185">
        <v>2.7</v>
      </c>
      <c r="AK493" s="186" t="s">
        <v>244</v>
      </c>
      <c r="AL493" s="5" t="s">
        <v>1544</v>
      </c>
      <c r="AM493" s="5" t="s">
        <v>1402</v>
      </c>
      <c r="AN493" s="5" t="s">
        <v>1403</v>
      </c>
      <c r="AO493" s="5" t="s">
        <v>2185</v>
      </c>
      <c r="AP493" s="5" t="s">
        <v>2185</v>
      </c>
      <c r="AQ493" s="5" t="s">
        <v>2185</v>
      </c>
      <c r="AR493" s="5" t="s">
        <v>2185</v>
      </c>
      <c r="AS493" s="142"/>
      <c r="AT493" s="142" t="b">
        <v>0</v>
      </c>
      <c r="AU493" s="142"/>
      <c r="AV493" s="142"/>
      <c r="AW493" s="142"/>
      <c r="AX493" s="142"/>
      <c r="AY493" s="142"/>
      <c r="AZ493" s="174"/>
      <c r="BA493" s="142"/>
      <c r="BB493" s="142"/>
      <c r="BC493" s="142"/>
      <c r="BD493" s="142"/>
      <c r="BE493" s="142"/>
      <c r="BF493" s="142"/>
      <c r="BG493" s="142"/>
    </row>
    <row r="494">
      <c r="A494" s="5" t="s">
        <v>1585</v>
      </c>
      <c r="B494" s="44">
        <v>44615.0</v>
      </c>
      <c r="C494" s="150">
        <v>0.33231481481481484</v>
      </c>
      <c r="D494" s="3"/>
      <c r="E494" s="3"/>
      <c r="F494" s="5"/>
      <c r="G494" s="5"/>
      <c r="H494" s="5"/>
      <c r="I494" s="3"/>
      <c r="J494" s="3"/>
      <c r="K494" s="3" t="s">
        <v>52</v>
      </c>
      <c r="L494" s="44">
        <v>44615.0</v>
      </c>
      <c r="M494" s="150">
        <v>0.49125</v>
      </c>
      <c r="N494" s="5"/>
      <c r="O494" s="5"/>
      <c r="P494" s="10" t="b">
        <v>0</v>
      </c>
      <c r="Q494" s="10" t="s">
        <v>2184</v>
      </c>
      <c r="R494" s="144" t="b">
        <v>1</v>
      </c>
      <c r="S494" s="144">
        <v>1.0</v>
      </c>
      <c r="T494" s="10"/>
      <c r="U494" s="5"/>
      <c r="V494" s="3"/>
      <c r="W494" s="5"/>
      <c r="X494" s="144" t="b">
        <v>0</v>
      </c>
      <c r="Y494" s="10" t="b">
        <v>0</v>
      </c>
      <c r="Z494" s="3"/>
      <c r="AA494" s="10" t="b">
        <v>0</v>
      </c>
      <c r="AB494" s="10" t="b">
        <v>0</v>
      </c>
      <c r="AC494" s="181">
        <v>273.0</v>
      </c>
      <c r="AD494" s="144" t="b">
        <v>0</v>
      </c>
      <c r="AE494" s="182">
        <v>228.86666666666665</v>
      </c>
      <c r="AF494" s="10" t="b">
        <v>0</v>
      </c>
      <c r="AG494" s="10" t="b">
        <v>0</v>
      </c>
      <c r="AH494" s="144"/>
      <c r="AI494" s="3"/>
      <c r="AJ494" s="185">
        <v>2.7</v>
      </c>
      <c r="AK494" s="186" t="s">
        <v>244</v>
      </c>
      <c r="AL494" s="5" t="s">
        <v>1544</v>
      </c>
      <c r="AM494" s="5" t="s">
        <v>508</v>
      </c>
      <c r="AN494" s="5" t="s">
        <v>1390</v>
      </c>
      <c r="AO494" s="5" t="s">
        <v>2185</v>
      </c>
      <c r="AP494" s="5" t="s">
        <v>2185</v>
      </c>
      <c r="AQ494" s="5" t="s">
        <v>2185</v>
      </c>
      <c r="AR494" s="5" t="s">
        <v>2185</v>
      </c>
      <c r="AS494" s="142"/>
      <c r="AT494" s="142" t="b">
        <v>0</v>
      </c>
      <c r="AU494" s="142"/>
      <c r="AV494" s="142"/>
      <c r="AW494" s="142"/>
      <c r="AX494" s="142"/>
      <c r="AY494" s="142"/>
      <c r="AZ494" s="174"/>
      <c r="BA494" s="142"/>
      <c r="BB494" s="142"/>
      <c r="BC494" s="142"/>
      <c r="BD494" s="142"/>
      <c r="BE494" s="142"/>
      <c r="BF494" s="142"/>
      <c r="BG494" s="142"/>
    </row>
    <row r="495">
      <c r="A495" s="5" t="s">
        <v>1587</v>
      </c>
      <c r="B495" s="44">
        <v>44615.0</v>
      </c>
      <c r="C495" s="150">
        <v>0.33490740740740743</v>
      </c>
      <c r="D495" s="3"/>
      <c r="E495" s="3"/>
      <c r="F495" s="5"/>
      <c r="G495" s="5"/>
      <c r="H495" s="5"/>
      <c r="I495" s="3"/>
      <c r="J495" s="3"/>
      <c r="K495" s="3" t="s">
        <v>52</v>
      </c>
      <c r="L495" s="44">
        <v>44615.0</v>
      </c>
      <c r="M495" s="150">
        <v>0.49125</v>
      </c>
      <c r="N495" s="5"/>
      <c r="O495" s="5"/>
      <c r="P495" s="10" t="b">
        <v>0</v>
      </c>
      <c r="Q495" s="10" t="s">
        <v>2184</v>
      </c>
      <c r="R495" s="144" t="b">
        <v>1</v>
      </c>
      <c r="S495" s="144">
        <v>1.0</v>
      </c>
      <c r="T495" s="10"/>
      <c r="U495" s="5"/>
      <c r="V495" s="3"/>
      <c r="W495" s="5"/>
      <c r="X495" s="144" t="b">
        <v>0</v>
      </c>
      <c r="Y495" s="10" t="b">
        <v>0</v>
      </c>
      <c r="Z495" s="3"/>
      <c r="AA495" s="10" t="b">
        <v>0</v>
      </c>
      <c r="AB495" s="10" t="b">
        <v>0</v>
      </c>
      <c r="AC495" s="181">
        <v>272.0</v>
      </c>
      <c r="AD495" s="144" t="b">
        <v>0</v>
      </c>
      <c r="AE495" s="182">
        <v>225.13333333333333</v>
      </c>
      <c r="AF495" s="10" t="b">
        <v>0</v>
      </c>
      <c r="AG495" s="10" t="b">
        <v>0</v>
      </c>
      <c r="AH495" s="144"/>
      <c r="AI495" s="3"/>
      <c r="AJ495" s="185">
        <v>2.7</v>
      </c>
      <c r="AK495" s="186" t="s">
        <v>244</v>
      </c>
      <c r="AL495" s="5" t="s">
        <v>1544</v>
      </c>
      <c r="AM495" s="5" t="s">
        <v>1290</v>
      </c>
      <c r="AN495" s="5" t="s">
        <v>1291</v>
      </c>
      <c r="AO495" s="5" t="s">
        <v>2185</v>
      </c>
      <c r="AP495" s="5" t="s">
        <v>2185</v>
      </c>
      <c r="AQ495" s="5" t="s">
        <v>2185</v>
      </c>
      <c r="AR495" s="5" t="s">
        <v>2185</v>
      </c>
      <c r="AS495" s="142"/>
      <c r="AT495" s="142" t="b">
        <v>0</v>
      </c>
      <c r="AU495" s="142"/>
      <c r="AV495" s="142"/>
      <c r="AW495" s="142"/>
      <c r="AX495" s="142"/>
      <c r="AY495" s="142"/>
      <c r="AZ495" s="174"/>
      <c r="BA495" s="142"/>
      <c r="BB495" s="142"/>
      <c r="BC495" s="142"/>
      <c r="BD495" s="142"/>
      <c r="BE495" s="142"/>
      <c r="BF495" s="142"/>
      <c r="BG495" s="142"/>
    </row>
    <row r="496">
      <c r="A496" s="5" t="s">
        <v>1589</v>
      </c>
      <c r="B496" s="44">
        <v>44615.0</v>
      </c>
      <c r="C496" s="150">
        <v>0.3352893518518518</v>
      </c>
      <c r="D496" s="3"/>
      <c r="E496" s="3"/>
      <c r="F496" s="5"/>
      <c r="G496" s="5"/>
      <c r="H496" s="5"/>
      <c r="I496" s="3"/>
      <c r="J496" s="3"/>
      <c r="K496" s="3" t="s">
        <v>52</v>
      </c>
      <c r="L496" s="44">
        <v>44615.0</v>
      </c>
      <c r="M496" s="150">
        <v>0.49125</v>
      </c>
      <c r="N496" s="5"/>
      <c r="O496" s="5"/>
      <c r="P496" s="10" t="b">
        <v>0</v>
      </c>
      <c r="Q496" s="10" t="s">
        <v>2184</v>
      </c>
      <c r="R496" s="144" t="b">
        <v>1</v>
      </c>
      <c r="S496" s="144">
        <v>1.0</v>
      </c>
      <c r="T496" s="10"/>
      <c r="U496" s="5"/>
      <c r="V496" s="3"/>
      <c r="W496" s="5"/>
      <c r="X496" s="144" t="b">
        <v>0</v>
      </c>
      <c r="Y496" s="10" t="b">
        <v>0</v>
      </c>
      <c r="Z496" s="3"/>
      <c r="AA496" s="10" t="b">
        <v>0</v>
      </c>
      <c r="AB496" s="10" t="b">
        <v>0</v>
      </c>
      <c r="AC496" s="181">
        <v>271.0</v>
      </c>
      <c r="AD496" s="144" t="b">
        <v>0</v>
      </c>
      <c r="AE496" s="182">
        <v>224.5833333333334</v>
      </c>
      <c r="AF496" s="10" t="b">
        <v>0</v>
      </c>
      <c r="AG496" s="10" t="b">
        <v>0</v>
      </c>
      <c r="AH496" s="144"/>
      <c r="AI496" s="3"/>
      <c r="AJ496" s="185">
        <v>2.7</v>
      </c>
      <c r="AK496" s="186" t="s">
        <v>244</v>
      </c>
      <c r="AL496" s="5" t="s">
        <v>1544</v>
      </c>
      <c r="AM496" s="5" t="s">
        <v>839</v>
      </c>
      <c r="AN496" s="5" t="s">
        <v>542</v>
      </c>
      <c r="AO496" s="5" t="s">
        <v>2185</v>
      </c>
      <c r="AP496" s="5" t="s">
        <v>2185</v>
      </c>
      <c r="AQ496" s="5" t="s">
        <v>2185</v>
      </c>
      <c r="AR496" s="5" t="s">
        <v>2185</v>
      </c>
      <c r="AS496" s="142"/>
      <c r="AT496" s="142" t="b">
        <v>0</v>
      </c>
      <c r="AU496" s="142"/>
      <c r="AV496" s="142"/>
      <c r="AW496" s="142"/>
      <c r="AX496" s="142"/>
      <c r="AY496" s="142"/>
      <c r="AZ496" s="174"/>
      <c r="BA496" s="142"/>
      <c r="BB496" s="142"/>
      <c r="BC496" s="142"/>
      <c r="BD496" s="142"/>
      <c r="BE496" s="142"/>
      <c r="BF496" s="142"/>
      <c r="BG496" s="142"/>
    </row>
    <row r="497">
      <c r="A497" s="5" t="s">
        <v>1591</v>
      </c>
      <c r="B497" s="44">
        <v>44615.0</v>
      </c>
      <c r="C497" s="150">
        <v>0.33663194444444444</v>
      </c>
      <c r="D497" s="3"/>
      <c r="E497" s="3"/>
      <c r="F497" s="5"/>
      <c r="G497" s="5"/>
      <c r="H497" s="5"/>
      <c r="I497" s="3"/>
      <c r="J497" s="3"/>
      <c r="K497" s="3" t="s">
        <v>52</v>
      </c>
      <c r="L497" s="44">
        <v>44615.0</v>
      </c>
      <c r="M497" s="150">
        <v>0.49125</v>
      </c>
      <c r="N497" s="5"/>
      <c r="O497" s="5"/>
      <c r="P497" s="10" t="b">
        <v>0</v>
      </c>
      <c r="Q497" s="10" t="s">
        <v>2184</v>
      </c>
      <c r="R497" s="144" t="b">
        <v>1</v>
      </c>
      <c r="S497" s="144">
        <v>1.0</v>
      </c>
      <c r="T497" s="10"/>
      <c r="U497" s="5"/>
      <c r="V497" s="3"/>
      <c r="W497" s="5"/>
      <c r="X497" s="144" t="b">
        <v>0</v>
      </c>
      <c r="Y497" s="10" t="b">
        <v>0</v>
      </c>
      <c r="Z497" s="3"/>
      <c r="AA497" s="10" t="b">
        <v>0</v>
      </c>
      <c r="AB497" s="10" t="b">
        <v>0</v>
      </c>
      <c r="AC497" s="181">
        <v>270.0</v>
      </c>
      <c r="AD497" s="144" t="b">
        <v>0</v>
      </c>
      <c r="AE497" s="182">
        <v>222.65000000000003</v>
      </c>
      <c r="AF497" s="10" t="b">
        <v>0</v>
      </c>
      <c r="AG497" s="10" t="b">
        <v>0</v>
      </c>
      <c r="AH497" s="144"/>
      <c r="AI497" s="3"/>
      <c r="AJ497" s="185">
        <v>2.7</v>
      </c>
      <c r="AK497" s="186" t="s">
        <v>244</v>
      </c>
      <c r="AL497" s="5" t="s">
        <v>1544</v>
      </c>
      <c r="AM497" s="5" t="s">
        <v>1370</v>
      </c>
      <c r="AN497" s="5" t="s">
        <v>1371</v>
      </c>
      <c r="AO497" s="5" t="s">
        <v>2185</v>
      </c>
      <c r="AP497" s="5" t="s">
        <v>2185</v>
      </c>
      <c r="AQ497" s="5" t="s">
        <v>2185</v>
      </c>
      <c r="AR497" s="5" t="s">
        <v>2185</v>
      </c>
      <c r="AS497" s="142"/>
      <c r="AT497" s="142" t="b">
        <v>0</v>
      </c>
      <c r="AU497" s="142"/>
      <c r="AV497" s="142"/>
      <c r="AW497" s="142"/>
      <c r="AX497" s="142"/>
      <c r="AY497" s="142"/>
      <c r="AZ497" s="174"/>
      <c r="BA497" s="142"/>
      <c r="BB497" s="142"/>
      <c r="BC497" s="142"/>
      <c r="BD497" s="142"/>
      <c r="BE497" s="142"/>
      <c r="BF497" s="142"/>
      <c r="BG497" s="142"/>
    </row>
    <row r="498">
      <c r="A498" s="5" t="s">
        <v>1593</v>
      </c>
      <c r="B498" s="44">
        <v>44615.0</v>
      </c>
      <c r="C498" s="150">
        <v>0.33788194444444447</v>
      </c>
      <c r="D498" s="3"/>
      <c r="E498" s="3"/>
      <c r="F498" s="5"/>
      <c r="G498" s="5"/>
      <c r="H498" s="5"/>
      <c r="I498" s="3"/>
      <c r="J498" s="3"/>
      <c r="K498" s="3" t="s">
        <v>52</v>
      </c>
      <c r="L498" s="44">
        <v>44615.0</v>
      </c>
      <c r="M498" s="150">
        <v>0.49125</v>
      </c>
      <c r="N498" s="5"/>
      <c r="O498" s="5"/>
      <c r="P498" s="10" t="b">
        <v>0</v>
      </c>
      <c r="Q498" s="10" t="s">
        <v>2184</v>
      </c>
      <c r="R498" s="144" t="b">
        <v>1</v>
      </c>
      <c r="S498" s="144">
        <v>1.0</v>
      </c>
      <c r="T498" s="10"/>
      <c r="U498" s="5"/>
      <c r="V498" s="3"/>
      <c r="W498" s="5"/>
      <c r="X498" s="144" t="b">
        <v>0</v>
      </c>
      <c r="Y498" s="10" t="b">
        <v>0</v>
      </c>
      <c r="Z498" s="3"/>
      <c r="AA498" s="10" t="b">
        <v>0</v>
      </c>
      <c r="AB498" s="10" t="b">
        <v>0</v>
      </c>
      <c r="AC498" s="181">
        <v>269.0</v>
      </c>
      <c r="AD498" s="144" t="b">
        <v>0</v>
      </c>
      <c r="AE498" s="182">
        <v>220.85</v>
      </c>
      <c r="AF498" s="10" t="b">
        <v>0</v>
      </c>
      <c r="AG498" s="10" t="b">
        <v>0</v>
      </c>
      <c r="AH498" s="144"/>
      <c r="AI498" s="3"/>
      <c r="AJ498" s="185">
        <v>2.7</v>
      </c>
      <c r="AK498" s="186" t="s">
        <v>244</v>
      </c>
      <c r="AL498" s="5" t="s">
        <v>1544</v>
      </c>
      <c r="AM498" s="5" t="s">
        <v>1270</v>
      </c>
      <c r="AN498" s="5" t="s">
        <v>1271</v>
      </c>
      <c r="AO498" s="5" t="s">
        <v>2185</v>
      </c>
      <c r="AP498" s="5" t="s">
        <v>2185</v>
      </c>
      <c r="AQ498" s="5" t="s">
        <v>2185</v>
      </c>
      <c r="AR498" s="5" t="s">
        <v>2185</v>
      </c>
      <c r="AS498" s="142"/>
      <c r="AT498" s="142" t="b">
        <v>0</v>
      </c>
      <c r="AU498" s="142"/>
      <c r="AV498" s="142"/>
      <c r="AW498" s="142"/>
      <c r="AX498" s="142"/>
      <c r="AY498" s="142"/>
      <c r="AZ498" s="174"/>
      <c r="BA498" s="142"/>
      <c r="BB498" s="142"/>
      <c r="BC498" s="142"/>
      <c r="BD498" s="142"/>
      <c r="BE498" s="142"/>
      <c r="BF498" s="142"/>
      <c r="BG498" s="142"/>
    </row>
    <row r="499">
      <c r="A499" s="5" t="s">
        <v>1595</v>
      </c>
      <c r="B499" s="44">
        <v>44615.0</v>
      </c>
      <c r="C499" s="150">
        <v>0.3422685185185185</v>
      </c>
      <c r="D499" s="3"/>
      <c r="E499" s="3"/>
      <c r="F499" s="5"/>
      <c r="G499" s="5"/>
      <c r="H499" s="5"/>
      <c r="I499" s="3"/>
      <c r="J499" s="3"/>
      <c r="K499" s="3" t="s">
        <v>52</v>
      </c>
      <c r="L499" s="44">
        <v>44615.0</v>
      </c>
      <c r="M499" s="150">
        <v>0.49125</v>
      </c>
      <c r="N499" s="5"/>
      <c r="O499" s="5"/>
      <c r="P499" s="10" t="b">
        <v>0</v>
      </c>
      <c r="Q499" s="10" t="s">
        <v>2184</v>
      </c>
      <c r="R499" s="144" t="b">
        <v>1</v>
      </c>
      <c r="S499" s="144">
        <v>1.0</v>
      </c>
      <c r="T499" s="10"/>
      <c r="U499" s="5"/>
      <c r="V499" s="3"/>
      <c r="W499" s="5"/>
      <c r="X499" s="144" t="b">
        <v>0</v>
      </c>
      <c r="Y499" s="10" t="b">
        <v>0</v>
      </c>
      <c r="Z499" s="3"/>
      <c r="AA499" s="10" t="b">
        <v>0</v>
      </c>
      <c r="AB499" s="10" t="b">
        <v>0</v>
      </c>
      <c r="AC499" s="181">
        <v>268.0</v>
      </c>
      <c r="AD499" s="144" t="b">
        <v>0</v>
      </c>
      <c r="AE499" s="182">
        <v>214.53333333333336</v>
      </c>
      <c r="AF499" s="10" t="b">
        <v>0</v>
      </c>
      <c r="AG499" s="10" t="b">
        <v>0</v>
      </c>
      <c r="AH499" s="144"/>
      <c r="AI499" s="3"/>
      <c r="AJ499" s="185">
        <v>2.7</v>
      </c>
      <c r="AK499" s="186" t="s">
        <v>244</v>
      </c>
      <c r="AL499" s="5" t="s">
        <v>1544</v>
      </c>
      <c r="AM499" s="5" t="s">
        <v>303</v>
      </c>
      <c r="AN499" s="5" t="s">
        <v>304</v>
      </c>
      <c r="AO499" s="5" t="s">
        <v>2185</v>
      </c>
      <c r="AP499" s="5" t="s">
        <v>2185</v>
      </c>
      <c r="AQ499" s="5" t="s">
        <v>2185</v>
      </c>
      <c r="AR499" s="5" t="s">
        <v>2185</v>
      </c>
      <c r="AS499" s="142"/>
      <c r="AT499" s="142" t="b">
        <v>0</v>
      </c>
      <c r="AU499" s="142"/>
      <c r="AV499" s="142"/>
      <c r="AW499" s="142"/>
      <c r="AX499" s="142"/>
      <c r="AY499" s="142"/>
      <c r="AZ499" s="174"/>
      <c r="BA499" s="142"/>
      <c r="BB499" s="142"/>
      <c r="BC499" s="142"/>
      <c r="BD499" s="142"/>
      <c r="BE499" s="142"/>
      <c r="BF499" s="142"/>
      <c r="BG499" s="142"/>
    </row>
    <row r="500">
      <c r="A500" s="5" t="s">
        <v>1597</v>
      </c>
      <c r="B500" s="44">
        <v>44615.0</v>
      </c>
      <c r="C500" s="150">
        <v>0.342349537037037</v>
      </c>
      <c r="D500" s="3"/>
      <c r="E500" s="3"/>
      <c r="F500" s="5"/>
      <c r="G500" s="5"/>
      <c r="H500" s="5"/>
      <c r="I500" s="3"/>
      <c r="J500" s="3"/>
      <c r="K500" s="3" t="s">
        <v>52</v>
      </c>
      <c r="L500" s="44">
        <v>44615.0</v>
      </c>
      <c r="M500" s="150">
        <v>0.49125</v>
      </c>
      <c r="N500" s="5"/>
      <c r="O500" s="5"/>
      <c r="P500" s="10" t="b">
        <v>0</v>
      </c>
      <c r="Q500" s="10" t="s">
        <v>2184</v>
      </c>
      <c r="R500" s="144" t="b">
        <v>1</v>
      </c>
      <c r="S500" s="144">
        <v>1.0</v>
      </c>
      <c r="T500" s="10"/>
      <c r="U500" s="5"/>
      <c r="V500" s="3"/>
      <c r="W500" s="5"/>
      <c r="X500" s="144" t="b">
        <v>0</v>
      </c>
      <c r="Y500" s="10" t="b">
        <v>0</v>
      </c>
      <c r="Z500" s="3"/>
      <c r="AA500" s="10" t="b">
        <v>0</v>
      </c>
      <c r="AB500" s="10" t="b">
        <v>0</v>
      </c>
      <c r="AC500" s="181">
        <v>267.0</v>
      </c>
      <c r="AD500" s="144" t="b">
        <v>0</v>
      </c>
      <c r="AE500" s="182">
        <v>214.4166666666667</v>
      </c>
      <c r="AF500" s="10" t="b">
        <v>0</v>
      </c>
      <c r="AG500" s="10" t="b">
        <v>0</v>
      </c>
      <c r="AH500" s="144"/>
      <c r="AI500" s="3"/>
      <c r="AJ500" s="185">
        <v>2.7</v>
      </c>
      <c r="AK500" s="186" t="s">
        <v>244</v>
      </c>
      <c r="AL500" s="5" t="s">
        <v>1544</v>
      </c>
      <c r="AM500" s="5" t="s">
        <v>491</v>
      </c>
      <c r="AN500" s="5" t="s">
        <v>495</v>
      </c>
      <c r="AO500" s="5" t="s">
        <v>2185</v>
      </c>
      <c r="AP500" s="5" t="s">
        <v>2185</v>
      </c>
      <c r="AQ500" s="5" t="s">
        <v>2185</v>
      </c>
      <c r="AR500" s="5" t="s">
        <v>2185</v>
      </c>
      <c r="AS500" s="142"/>
      <c r="AT500" s="142" t="b">
        <v>0</v>
      </c>
      <c r="AU500" s="142"/>
      <c r="AV500" s="142"/>
      <c r="AW500" s="142"/>
      <c r="AX500" s="142"/>
      <c r="AY500" s="142"/>
      <c r="AZ500" s="174"/>
      <c r="BA500" s="142"/>
      <c r="BB500" s="142"/>
      <c r="BC500" s="142"/>
      <c r="BD500" s="142"/>
      <c r="BE500" s="142"/>
      <c r="BF500" s="142"/>
      <c r="BG500" s="142"/>
    </row>
    <row r="501">
      <c r="A501" s="5" t="s">
        <v>1599</v>
      </c>
      <c r="B501" s="44">
        <v>44615.0</v>
      </c>
      <c r="C501" s="150">
        <v>0.34300925925925924</v>
      </c>
      <c r="D501" s="3"/>
      <c r="E501" s="3"/>
      <c r="F501" s="5"/>
      <c r="G501" s="5"/>
      <c r="H501" s="5"/>
      <c r="I501" s="3"/>
      <c r="J501" s="3"/>
      <c r="K501" s="3" t="s">
        <v>52</v>
      </c>
      <c r="L501" s="44">
        <v>44615.0</v>
      </c>
      <c r="M501" s="150">
        <v>0.49125</v>
      </c>
      <c r="N501" s="5"/>
      <c r="O501" s="5"/>
      <c r="P501" s="10" t="b">
        <v>0</v>
      </c>
      <c r="Q501" s="10" t="s">
        <v>2184</v>
      </c>
      <c r="R501" s="144" t="b">
        <v>1</v>
      </c>
      <c r="S501" s="144">
        <v>1.0</v>
      </c>
      <c r="T501" s="10"/>
      <c r="U501" s="5"/>
      <c r="V501" s="3"/>
      <c r="W501" s="5"/>
      <c r="X501" s="144" t="b">
        <v>0</v>
      </c>
      <c r="Y501" s="10" t="b">
        <v>0</v>
      </c>
      <c r="Z501" s="3"/>
      <c r="AA501" s="10" t="b">
        <v>0</v>
      </c>
      <c r="AB501" s="10" t="b">
        <v>0</v>
      </c>
      <c r="AC501" s="181">
        <v>266.0</v>
      </c>
      <c r="AD501" s="144" t="b">
        <v>0</v>
      </c>
      <c r="AE501" s="182">
        <v>213.46666666666673</v>
      </c>
      <c r="AF501" s="10" t="b">
        <v>0</v>
      </c>
      <c r="AG501" s="10" t="b">
        <v>0</v>
      </c>
      <c r="AH501" s="144"/>
      <c r="AI501" s="3"/>
      <c r="AJ501" s="185">
        <v>2.7</v>
      </c>
      <c r="AK501" s="186" t="s">
        <v>244</v>
      </c>
      <c r="AL501" s="5" t="s">
        <v>1544</v>
      </c>
      <c r="AM501" s="5" t="s">
        <v>295</v>
      </c>
      <c r="AN501" s="5" t="s">
        <v>296</v>
      </c>
      <c r="AO501" s="5" t="s">
        <v>2185</v>
      </c>
      <c r="AP501" s="5" t="s">
        <v>2185</v>
      </c>
      <c r="AQ501" s="5" t="s">
        <v>2185</v>
      </c>
      <c r="AR501" s="5" t="s">
        <v>2185</v>
      </c>
      <c r="AS501" s="142"/>
      <c r="AT501" s="142" t="b">
        <v>0</v>
      </c>
      <c r="AU501" s="142"/>
      <c r="AV501" s="142"/>
      <c r="AW501" s="142"/>
      <c r="AX501" s="142"/>
      <c r="AY501" s="142"/>
      <c r="AZ501" s="174"/>
      <c r="BA501" s="142"/>
      <c r="BB501" s="142"/>
      <c r="BC501" s="142"/>
      <c r="BD501" s="142"/>
      <c r="BE501" s="142"/>
      <c r="BF501" s="142"/>
      <c r="BG501" s="142"/>
    </row>
    <row r="502">
      <c r="A502" s="5" t="s">
        <v>1601</v>
      </c>
      <c r="B502" s="44">
        <v>44615.0</v>
      </c>
      <c r="C502" s="150">
        <v>0.3431828703703704</v>
      </c>
      <c r="D502" s="3"/>
      <c r="E502" s="3"/>
      <c r="F502" s="5"/>
      <c r="G502" s="5"/>
      <c r="H502" s="5"/>
      <c r="I502" s="3"/>
      <c r="J502" s="3"/>
      <c r="K502" s="3" t="s">
        <v>52</v>
      </c>
      <c r="L502" s="44">
        <v>44615.0</v>
      </c>
      <c r="M502" s="150">
        <v>0.49125</v>
      </c>
      <c r="N502" s="5"/>
      <c r="O502" s="5"/>
      <c r="P502" s="10" t="b">
        <v>0</v>
      </c>
      <c r="Q502" s="10" t="s">
        <v>2184</v>
      </c>
      <c r="R502" s="144" t="b">
        <v>1</v>
      </c>
      <c r="S502" s="144">
        <v>1.0</v>
      </c>
      <c r="T502" s="10"/>
      <c r="U502" s="5"/>
      <c r="V502" s="3"/>
      <c r="W502" s="5"/>
      <c r="X502" s="144" t="b">
        <v>0</v>
      </c>
      <c r="Y502" s="10" t="b">
        <v>0</v>
      </c>
      <c r="Z502" s="3"/>
      <c r="AA502" s="10" t="b">
        <v>0</v>
      </c>
      <c r="AB502" s="10" t="b">
        <v>0</v>
      </c>
      <c r="AC502" s="181">
        <v>265.0</v>
      </c>
      <c r="AD502" s="144" t="b">
        <v>0</v>
      </c>
      <c r="AE502" s="182">
        <v>213.2166666666667</v>
      </c>
      <c r="AF502" s="10" t="b">
        <v>0</v>
      </c>
      <c r="AG502" s="10" t="b">
        <v>0</v>
      </c>
      <c r="AH502" s="144"/>
      <c r="AI502" s="3"/>
      <c r="AJ502" s="185">
        <v>2.7</v>
      </c>
      <c r="AK502" s="186" t="s">
        <v>244</v>
      </c>
      <c r="AL502" s="5" t="s">
        <v>1544</v>
      </c>
      <c r="AM502" s="5" t="s">
        <v>762</v>
      </c>
      <c r="AN502" s="5" t="s">
        <v>763</v>
      </c>
      <c r="AO502" s="5" t="s">
        <v>2185</v>
      </c>
      <c r="AP502" s="5" t="s">
        <v>2185</v>
      </c>
      <c r="AQ502" s="5" t="s">
        <v>2185</v>
      </c>
      <c r="AR502" s="5" t="s">
        <v>2185</v>
      </c>
      <c r="AS502" s="142"/>
      <c r="AT502" s="142" t="b">
        <v>0</v>
      </c>
      <c r="AU502" s="142"/>
      <c r="AV502" s="142"/>
      <c r="AW502" s="142"/>
      <c r="AX502" s="142"/>
      <c r="AY502" s="142"/>
      <c r="AZ502" s="174"/>
      <c r="BA502" s="142"/>
      <c r="BB502" s="142"/>
      <c r="BC502" s="142"/>
      <c r="BD502" s="142"/>
      <c r="BE502" s="142"/>
      <c r="BF502" s="142"/>
      <c r="BG502" s="142"/>
    </row>
    <row r="503">
      <c r="A503" s="5" t="s">
        <v>1603</v>
      </c>
      <c r="B503" s="44">
        <v>44615.0</v>
      </c>
      <c r="C503" s="150">
        <v>0.3433217592592593</v>
      </c>
      <c r="D503" s="3"/>
      <c r="E503" s="3"/>
      <c r="F503" s="5"/>
      <c r="G503" s="5"/>
      <c r="H503" s="5"/>
      <c r="I503" s="3"/>
      <c r="J503" s="3"/>
      <c r="K503" s="3" t="s">
        <v>52</v>
      </c>
      <c r="L503" s="44">
        <v>44615.0</v>
      </c>
      <c r="M503" s="150">
        <v>0.49126157407407406</v>
      </c>
      <c r="N503" s="5"/>
      <c r="O503" s="5"/>
      <c r="P503" s="10" t="b">
        <v>0</v>
      </c>
      <c r="Q503" s="10" t="s">
        <v>2184</v>
      </c>
      <c r="R503" s="144" t="b">
        <v>1</v>
      </c>
      <c r="S503" s="144">
        <v>1.0</v>
      </c>
      <c r="T503" s="10"/>
      <c r="U503" s="5"/>
      <c r="V503" s="3"/>
      <c r="W503" s="5"/>
      <c r="X503" s="144" t="b">
        <v>0</v>
      </c>
      <c r="Y503" s="10" t="b">
        <v>0</v>
      </c>
      <c r="Z503" s="3"/>
      <c r="AA503" s="10" t="b">
        <v>0</v>
      </c>
      <c r="AB503" s="10" t="b">
        <v>0</v>
      </c>
      <c r="AC503" s="181">
        <v>264.0</v>
      </c>
      <c r="AD503" s="144" t="b">
        <v>0</v>
      </c>
      <c r="AE503" s="182">
        <v>213.03333333333327</v>
      </c>
      <c r="AF503" s="10" t="b">
        <v>0</v>
      </c>
      <c r="AG503" s="10" t="b">
        <v>0</v>
      </c>
      <c r="AH503" s="144"/>
      <c r="AI503" s="3"/>
      <c r="AJ503" s="185">
        <v>2.7</v>
      </c>
      <c r="AK503" s="186" t="s">
        <v>244</v>
      </c>
      <c r="AL503" s="5" t="s">
        <v>1544</v>
      </c>
      <c r="AM503" s="5" t="s">
        <v>731</v>
      </c>
      <c r="AN503" s="5" t="s">
        <v>732</v>
      </c>
      <c r="AO503" s="5" t="s">
        <v>2185</v>
      </c>
      <c r="AP503" s="5" t="s">
        <v>2185</v>
      </c>
      <c r="AQ503" s="5" t="s">
        <v>2185</v>
      </c>
      <c r="AR503" s="5" t="s">
        <v>2185</v>
      </c>
      <c r="AS503" s="142"/>
      <c r="AT503" s="142" t="b">
        <v>0</v>
      </c>
      <c r="AU503" s="142"/>
      <c r="AV503" s="142"/>
      <c r="AW503" s="142"/>
      <c r="AX503" s="142"/>
      <c r="AY503" s="142"/>
      <c r="AZ503" s="174"/>
      <c r="BA503" s="142"/>
      <c r="BB503" s="142"/>
      <c r="BC503" s="142"/>
      <c r="BD503" s="142"/>
      <c r="BE503" s="142"/>
      <c r="BF503" s="142"/>
      <c r="BG503" s="142"/>
    </row>
    <row r="504">
      <c r="A504" s="5" t="s">
        <v>1605</v>
      </c>
      <c r="B504" s="44">
        <v>44615.0</v>
      </c>
      <c r="C504" s="150">
        <v>0.3441782407407407</v>
      </c>
      <c r="D504" s="3"/>
      <c r="E504" s="3"/>
      <c r="F504" s="5"/>
      <c r="G504" s="5"/>
      <c r="H504" s="5"/>
      <c r="I504" s="3"/>
      <c r="J504" s="3"/>
      <c r="K504" s="3" t="s">
        <v>52</v>
      </c>
      <c r="L504" s="44">
        <v>44615.0</v>
      </c>
      <c r="M504" s="150">
        <v>0.49126157407407406</v>
      </c>
      <c r="N504" s="5"/>
      <c r="O504" s="5"/>
      <c r="P504" s="10" t="b">
        <v>0</v>
      </c>
      <c r="Q504" s="10" t="s">
        <v>2184</v>
      </c>
      <c r="R504" s="144" t="b">
        <v>1</v>
      </c>
      <c r="S504" s="144">
        <v>1.0</v>
      </c>
      <c r="T504" s="10"/>
      <c r="U504" s="5"/>
      <c r="V504" s="3"/>
      <c r="W504" s="5"/>
      <c r="X504" s="144" t="b">
        <v>0</v>
      </c>
      <c r="Y504" s="10" t="b">
        <v>0</v>
      </c>
      <c r="Z504" s="3"/>
      <c r="AA504" s="10" t="b">
        <v>0</v>
      </c>
      <c r="AB504" s="10" t="b">
        <v>0</v>
      </c>
      <c r="AC504" s="181">
        <v>263.0</v>
      </c>
      <c r="AD504" s="144" t="b">
        <v>0</v>
      </c>
      <c r="AE504" s="182">
        <v>211.8</v>
      </c>
      <c r="AF504" s="10" t="b">
        <v>0</v>
      </c>
      <c r="AG504" s="10" t="b">
        <v>0</v>
      </c>
      <c r="AH504" s="144"/>
      <c r="AI504" s="3"/>
      <c r="AJ504" s="185">
        <v>2.7</v>
      </c>
      <c r="AK504" s="186" t="s">
        <v>244</v>
      </c>
      <c r="AL504" s="5" t="s">
        <v>1544</v>
      </c>
      <c r="AM504" s="5" t="s">
        <v>1384</v>
      </c>
      <c r="AN504" s="5" t="s">
        <v>1385</v>
      </c>
      <c r="AO504" s="5" t="s">
        <v>2185</v>
      </c>
      <c r="AP504" s="5" t="s">
        <v>2185</v>
      </c>
      <c r="AQ504" s="5" t="s">
        <v>2185</v>
      </c>
      <c r="AR504" s="5" t="s">
        <v>2185</v>
      </c>
      <c r="AS504" s="142"/>
      <c r="AT504" s="142" t="b">
        <v>0</v>
      </c>
      <c r="AU504" s="142"/>
      <c r="AV504" s="142"/>
      <c r="AW504" s="142"/>
      <c r="AX504" s="142"/>
      <c r="AY504" s="142"/>
      <c r="AZ504" s="174"/>
      <c r="BA504" s="142"/>
      <c r="BB504" s="142"/>
      <c r="BC504" s="142"/>
      <c r="BD504" s="142"/>
      <c r="BE504" s="142"/>
      <c r="BF504" s="142"/>
      <c r="BG504" s="142"/>
    </row>
    <row r="505">
      <c r="A505" s="5" t="s">
        <v>1607</v>
      </c>
      <c r="B505" s="44">
        <v>44615.0</v>
      </c>
      <c r="C505" s="150">
        <v>0.38722222222222225</v>
      </c>
      <c r="D505" s="3"/>
      <c r="E505" s="3"/>
      <c r="F505" s="5"/>
      <c r="G505" s="5"/>
      <c r="H505" s="5"/>
      <c r="I505" s="3"/>
      <c r="J505" s="3"/>
      <c r="K505" s="3" t="s">
        <v>52</v>
      </c>
      <c r="L505" s="44">
        <v>44615.0</v>
      </c>
      <c r="M505" s="150">
        <v>0.49126157407407406</v>
      </c>
      <c r="N505" s="5"/>
      <c r="O505" s="5"/>
      <c r="P505" s="10" t="b">
        <v>0</v>
      </c>
      <c r="Q505" s="10" t="s">
        <v>2184</v>
      </c>
      <c r="R505" s="144" t="b">
        <v>1</v>
      </c>
      <c r="S505" s="144">
        <v>1.0</v>
      </c>
      <c r="T505" s="10"/>
      <c r="U505" s="5"/>
      <c r="V505" s="3"/>
      <c r="W505" s="5"/>
      <c r="X505" s="144" t="b">
        <v>0</v>
      </c>
      <c r="Y505" s="10" t="b">
        <v>0</v>
      </c>
      <c r="Z505" s="3"/>
      <c r="AA505" s="10" t="b">
        <v>0</v>
      </c>
      <c r="AB505" s="10" t="b">
        <v>0</v>
      </c>
      <c r="AC505" s="181">
        <v>262.0</v>
      </c>
      <c r="AD505" s="144" t="b">
        <v>0</v>
      </c>
      <c r="AE505" s="182">
        <v>149.8166666666666</v>
      </c>
      <c r="AF505" s="10" t="b">
        <v>0</v>
      </c>
      <c r="AG505" s="10" t="b">
        <v>0</v>
      </c>
      <c r="AH505" s="144"/>
      <c r="AI505" s="3"/>
      <c r="AJ505" s="185">
        <v>2.7</v>
      </c>
      <c r="AK505" s="186" t="s">
        <v>244</v>
      </c>
      <c r="AL505" s="5" t="s">
        <v>1544</v>
      </c>
      <c r="AM505" s="5" t="s">
        <v>1374</v>
      </c>
      <c r="AN505" s="5" t="s">
        <v>1375</v>
      </c>
      <c r="AO505" s="5" t="s">
        <v>2185</v>
      </c>
      <c r="AP505" s="5" t="s">
        <v>2185</v>
      </c>
      <c r="AQ505" s="5" t="s">
        <v>2185</v>
      </c>
      <c r="AR505" s="5" t="s">
        <v>2185</v>
      </c>
      <c r="AS505" s="142"/>
      <c r="AT505" s="142" t="b">
        <v>0</v>
      </c>
      <c r="AU505" s="142"/>
      <c r="AV505" s="142"/>
      <c r="AW505" s="142"/>
      <c r="AX505" s="142"/>
      <c r="AY505" s="142"/>
      <c r="AZ505" s="174"/>
      <c r="BA505" s="142"/>
      <c r="BB505" s="142"/>
      <c r="BC505" s="142"/>
      <c r="BD505" s="142"/>
      <c r="BE505" s="142"/>
      <c r="BF505" s="142"/>
      <c r="BG505" s="142"/>
    </row>
    <row r="506">
      <c r="A506" s="5" t="s">
        <v>1609</v>
      </c>
      <c r="B506" s="44">
        <v>44615.0</v>
      </c>
      <c r="C506" s="150">
        <v>0.39533564814814814</v>
      </c>
      <c r="D506" s="3"/>
      <c r="E506" s="3"/>
      <c r="F506" s="5"/>
      <c r="G506" s="5"/>
      <c r="H506" s="5"/>
      <c r="I506" s="3"/>
      <c r="J506" s="3"/>
      <c r="K506" s="3" t="s">
        <v>52</v>
      </c>
      <c r="L506" s="44">
        <v>44615.0</v>
      </c>
      <c r="M506" s="150">
        <v>0.49126157407407406</v>
      </c>
      <c r="N506" s="5"/>
      <c r="O506" s="5"/>
      <c r="P506" s="10" t="b">
        <v>0</v>
      </c>
      <c r="Q506" s="10" t="s">
        <v>2184</v>
      </c>
      <c r="R506" s="144" t="b">
        <v>1</v>
      </c>
      <c r="S506" s="144">
        <v>1.0</v>
      </c>
      <c r="T506" s="10"/>
      <c r="U506" s="5"/>
      <c r="V506" s="3"/>
      <c r="W506" s="5"/>
      <c r="X506" s="144" t="b">
        <v>0</v>
      </c>
      <c r="Y506" s="10" t="b">
        <v>0</v>
      </c>
      <c r="Z506" s="3"/>
      <c r="AA506" s="10" t="b">
        <v>0</v>
      </c>
      <c r="AB506" s="10" t="b">
        <v>0</v>
      </c>
      <c r="AC506" s="181">
        <v>261.0</v>
      </c>
      <c r="AD506" s="144" t="b">
        <v>0</v>
      </c>
      <c r="AE506" s="182">
        <v>138.13333333333333</v>
      </c>
      <c r="AF506" s="10" t="b">
        <v>0</v>
      </c>
      <c r="AG506" s="10" t="b">
        <v>0</v>
      </c>
      <c r="AH506" s="144"/>
      <c r="AI506" s="3"/>
      <c r="AJ506" s="185">
        <v>2.7</v>
      </c>
      <c r="AK506" s="186" t="s">
        <v>244</v>
      </c>
      <c r="AL506" s="5" t="s">
        <v>1544</v>
      </c>
      <c r="AM506" s="5" t="s">
        <v>307</v>
      </c>
      <c r="AN506" s="5" t="s">
        <v>266</v>
      </c>
      <c r="AO506" s="5" t="s">
        <v>2185</v>
      </c>
      <c r="AP506" s="5" t="s">
        <v>2185</v>
      </c>
      <c r="AQ506" s="5" t="s">
        <v>2185</v>
      </c>
      <c r="AR506" s="5" t="s">
        <v>2185</v>
      </c>
      <c r="AS506" s="142"/>
      <c r="AT506" s="142" t="b">
        <v>0</v>
      </c>
      <c r="AU506" s="142"/>
      <c r="AV506" s="142"/>
      <c r="AW506" s="142"/>
      <c r="AX506" s="142"/>
      <c r="AY506" s="142"/>
      <c r="AZ506" s="174"/>
      <c r="BA506" s="142"/>
      <c r="BB506" s="142"/>
      <c r="BC506" s="142"/>
      <c r="BD506" s="142"/>
      <c r="BE506" s="142"/>
      <c r="BF506" s="142"/>
      <c r="BG506" s="142"/>
    </row>
    <row r="507">
      <c r="A507" s="5" t="s">
        <v>1611</v>
      </c>
      <c r="B507" s="44">
        <v>44615.0</v>
      </c>
      <c r="C507" s="150">
        <v>0.4183912037037037</v>
      </c>
      <c r="D507" s="3"/>
      <c r="E507" s="3"/>
      <c r="F507" s="5"/>
      <c r="G507" s="5"/>
      <c r="H507" s="5"/>
      <c r="I507" s="3"/>
      <c r="J507" s="3"/>
      <c r="K507" s="3" t="s">
        <v>52</v>
      </c>
      <c r="L507" s="44">
        <v>44615.0</v>
      </c>
      <c r="M507" s="150">
        <v>0.49126157407407406</v>
      </c>
      <c r="N507" s="5"/>
      <c r="O507" s="5"/>
      <c r="P507" s="10" t="b">
        <v>0</v>
      </c>
      <c r="Q507" s="10" t="s">
        <v>2184</v>
      </c>
      <c r="R507" s="144" t="b">
        <v>1</v>
      </c>
      <c r="S507" s="144">
        <v>1.0</v>
      </c>
      <c r="T507" s="10"/>
      <c r="U507" s="5"/>
      <c r="V507" s="3"/>
      <c r="W507" s="5"/>
      <c r="X507" s="144" t="b">
        <v>0</v>
      </c>
      <c r="Y507" s="10" t="b">
        <v>0</v>
      </c>
      <c r="Z507" s="3"/>
      <c r="AA507" s="10" t="b">
        <v>0</v>
      </c>
      <c r="AB507" s="10" t="b">
        <v>0</v>
      </c>
      <c r="AC507" s="181">
        <v>260.0</v>
      </c>
      <c r="AD507" s="144" t="b">
        <v>0</v>
      </c>
      <c r="AE507" s="182">
        <v>104.93333333333332</v>
      </c>
      <c r="AF507" s="10" t="b">
        <v>0</v>
      </c>
      <c r="AG507" s="10" t="b">
        <v>0</v>
      </c>
      <c r="AH507" s="144"/>
      <c r="AI507" s="3"/>
      <c r="AJ507" s="185">
        <v>2.7</v>
      </c>
      <c r="AK507" s="186" t="s">
        <v>244</v>
      </c>
      <c r="AL507" s="5" t="s">
        <v>1544</v>
      </c>
      <c r="AM507" s="5" t="s">
        <v>261</v>
      </c>
      <c r="AN507" s="5" t="s">
        <v>262</v>
      </c>
      <c r="AO507" s="5" t="s">
        <v>2185</v>
      </c>
      <c r="AP507" s="5" t="s">
        <v>2185</v>
      </c>
      <c r="AQ507" s="5" t="s">
        <v>2185</v>
      </c>
      <c r="AR507" s="5" t="s">
        <v>2185</v>
      </c>
      <c r="AS507" s="142"/>
      <c r="AT507" s="142" t="b">
        <v>0</v>
      </c>
      <c r="AU507" s="142"/>
      <c r="AV507" s="142"/>
      <c r="AW507" s="142"/>
      <c r="AX507" s="142"/>
      <c r="AY507" s="142"/>
      <c r="AZ507" s="174"/>
      <c r="BA507" s="142"/>
      <c r="BB507" s="142"/>
      <c r="BC507" s="142"/>
      <c r="BD507" s="142"/>
      <c r="BE507" s="142"/>
      <c r="BF507" s="142"/>
      <c r="BG507" s="142"/>
    </row>
    <row r="508">
      <c r="A508" s="5" t="s">
        <v>1613</v>
      </c>
      <c r="B508" s="44">
        <v>44615.0</v>
      </c>
      <c r="C508" s="150">
        <v>0.41844907407407406</v>
      </c>
      <c r="D508" s="3"/>
      <c r="E508" s="3"/>
      <c r="F508" s="5"/>
      <c r="G508" s="5"/>
      <c r="H508" s="5"/>
      <c r="I508" s="3"/>
      <c r="J508" s="3"/>
      <c r="K508" s="3" t="s">
        <v>52</v>
      </c>
      <c r="L508" s="44">
        <v>44615.0</v>
      </c>
      <c r="M508" s="150">
        <v>0.49126157407407406</v>
      </c>
      <c r="N508" s="5"/>
      <c r="O508" s="5"/>
      <c r="P508" s="10" t="b">
        <v>0</v>
      </c>
      <c r="Q508" s="10" t="s">
        <v>2184</v>
      </c>
      <c r="R508" s="144" t="b">
        <v>1</v>
      </c>
      <c r="S508" s="144">
        <v>1.0</v>
      </c>
      <c r="T508" s="10"/>
      <c r="U508" s="5"/>
      <c r="V508" s="3"/>
      <c r="W508" s="5"/>
      <c r="X508" s="144" t="b">
        <v>0</v>
      </c>
      <c r="Y508" s="10" t="b">
        <v>0</v>
      </c>
      <c r="Z508" s="3"/>
      <c r="AA508" s="10" t="b">
        <v>0</v>
      </c>
      <c r="AB508" s="10" t="b">
        <v>0</v>
      </c>
      <c r="AC508" s="181">
        <v>259.0</v>
      </c>
      <c r="AD508" s="144" t="b">
        <v>0</v>
      </c>
      <c r="AE508" s="182">
        <v>104.85000000000001</v>
      </c>
      <c r="AF508" s="10" t="b">
        <v>0</v>
      </c>
      <c r="AG508" s="10" t="b">
        <v>0</v>
      </c>
      <c r="AH508" s="144"/>
      <c r="AI508" s="3"/>
      <c r="AJ508" s="185">
        <v>2.7</v>
      </c>
      <c r="AK508" s="186" t="s">
        <v>244</v>
      </c>
      <c r="AL508" s="5" t="s">
        <v>1544</v>
      </c>
      <c r="AM508" s="5" t="s">
        <v>273</v>
      </c>
      <c r="AN508" s="5" t="s">
        <v>274</v>
      </c>
      <c r="AO508" s="5" t="s">
        <v>2185</v>
      </c>
      <c r="AP508" s="5" t="s">
        <v>2185</v>
      </c>
      <c r="AQ508" s="5" t="s">
        <v>2185</v>
      </c>
      <c r="AR508" s="5" t="s">
        <v>2185</v>
      </c>
      <c r="AS508" s="142"/>
      <c r="AT508" s="142" t="b">
        <v>0</v>
      </c>
      <c r="AU508" s="142"/>
      <c r="AV508" s="142"/>
      <c r="AW508" s="142"/>
      <c r="AX508" s="142"/>
      <c r="AY508" s="142"/>
      <c r="AZ508" s="174"/>
      <c r="BA508" s="142"/>
      <c r="BB508" s="142"/>
      <c r="BC508" s="142"/>
      <c r="BD508" s="142"/>
      <c r="BE508" s="142"/>
      <c r="BF508" s="142"/>
      <c r="BG508" s="142"/>
    </row>
    <row r="509">
      <c r="A509" s="5" t="s">
        <v>1615</v>
      </c>
      <c r="B509" s="44">
        <v>44617.0</v>
      </c>
      <c r="C509" s="150">
        <v>0.29310185185185184</v>
      </c>
      <c r="D509" s="3"/>
      <c r="E509" s="3"/>
      <c r="F509" s="5"/>
      <c r="G509" s="5"/>
      <c r="H509" s="5"/>
      <c r="I509" s="3"/>
      <c r="J509" s="3"/>
      <c r="K509" s="3" t="s">
        <v>244</v>
      </c>
      <c r="L509" s="44">
        <v>44617.0</v>
      </c>
      <c r="M509" s="150">
        <v>0.5033680555555555</v>
      </c>
      <c r="N509" s="5"/>
      <c r="O509" s="5"/>
      <c r="P509" s="10" t="b">
        <v>0</v>
      </c>
      <c r="Q509" s="10" t="s">
        <v>2184</v>
      </c>
      <c r="R509" s="144" t="b">
        <v>1</v>
      </c>
      <c r="S509" s="144">
        <v>1.0</v>
      </c>
      <c r="T509" s="10"/>
      <c r="U509" s="5"/>
      <c r="V509" s="3"/>
      <c r="W509" s="5"/>
      <c r="X509" s="144" t="b">
        <v>0</v>
      </c>
      <c r="Y509" s="10" t="b">
        <v>0</v>
      </c>
      <c r="Z509" s="3"/>
      <c r="AA509" s="10" t="b">
        <v>0</v>
      </c>
      <c r="AB509" s="10" t="b">
        <v>0</v>
      </c>
      <c r="AC509" s="181">
        <v>258.0</v>
      </c>
      <c r="AD509" s="144" t="b">
        <v>0</v>
      </c>
      <c r="AE509" s="182">
        <v>302.7833333333333</v>
      </c>
      <c r="AF509" s="10" t="b">
        <v>0</v>
      </c>
      <c r="AG509" s="10" t="b">
        <v>0</v>
      </c>
      <c r="AH509" s="144"/>
      <c r="AI509" s="3"/>
      <c r="AJ509" s="185"/>
      <c r="AK509" s="186" t="s">
        <v>244</v>
      </c>
      <c r="AL509" s="5"/>
      <c r="AM509" s="5" t="s">
        <v>573</v>
      </c>
      <c r="AN509" s="5" t="s">
        <v>574</v>
      </c>
      <c r="AO509" s="5" t="s">
        <v>2185</v>
      </c>
      <c r="AP509" s="5" t="s">
        <v>2185</v>
      </c>
      <c r="AQ509" s="5" t="s">
        <v>2185</v>
      </c>
      <c r="AR509" s="5" t="s">
        <v>2185</v>
      </c>
      <c r="AS509" s="142"/>
      <c r="AT509" s="142" t="b">
        <v>0</v>
      </c>
      <c r="AU509" s="142"/>
      <c r="AV509" s="142"/>
      <c r="AW509" s="142"/>
      <c r="AX509" s="142"/>
      <c r="AY509" s="142"/>
      <c r="AZ509" s="174"/>
      <c r="BA509" s="142"/>
      <c r="BB509" s="142"/>
      <c r="BC509" s="142"/>
      <c r="BD509" s="142"/>
      <c r="BE509" s="142"/>
      <c r="BF509" s="142"/>
      <c r="BG509" s="142"/>
    </row>
    <row r="510">
      <c r="A510" s="5" t="s">
        <v>1617</v>
      </c>
      <c r="B510" s="44">
        <v>44617.0</v>
      </c>
      <c r="C510" s="150">
        <v>0.3017476851851852</v>
      </c>
      <c r="D510" s="3"/>
      <c r="E510" s="3"/>
      <c r="F510" s="5"/>
      <c r="G510" s="5"/>
      <c r="H510" s="5"/>
      <c r="I510" s="3"/>
      <c r="J510" s="3"/>
      <c r="K510" s="3" t="s">
        <v>244</v>
      </c>
      <c r="L510" s="44">
        <v>44617.0</v>
      </c>
      <c r="M510" s="150">
        <v>0.5033680555555555</v>
      </c>
      <c r="N510" s="5"/>
      <c r="O510" s="5"/>
      <c r="P510" s="10" t="b">
        <v>0</v>
      </c>
      <c r="Q510" s="10" t="s">
        <v>2184</v>
      </c>
      <c r="R510" s="144" t="b">
        <v>1</v>
      </c>
      <c r="S510" s="144">
        <v>1.0</v>
      </c>
      <c r="T510" s="10"/>
      <c r="U510" s="5"/>
      <c r="V510" s="3"/>
      <c r="W510" s="5"/>
      <c r="X510" s="144" t="b">
        <v>0</v>
      </c>
      <c r="Y510" s="10" t="b">
        <v>0</v>
      </c>
      <c r="Z510" s="3"/>
      <c r="AA510" s="10" t="b">
        <v>0</v>
      </c>
      <c r="AB510" s="10" t="b">
        <v>0</v>
      </c>
      <c r="AC510" s="181">
        <v>257.0</v>
      </c>
      <c r="AD510" s="144" t="b">
        <v>0</v>
      </c>
      <c r="AE510" s="182">
        <v>290.3333333333333</v>
      </c>
      <c r="AF510" s="10" t="b">
        <v>0</v>
      </c>
      <c r="AG510" s="10" t="b">
        <v>0</v>
      </c>
      <c r="AH510" s="144"/>
      <c r="AI510" s="3"/>
      <c r="AJ510" s="185"/>
      <c r="AK510" s="186" t="s">
        <v>244</v>
      </c>
      <c r="AL510" s="5"/>
      <c r="AM510" s="5" t="s">
        <v>633</v>
      </c>
      <c r="AN510" s="5" t="s">
        <v>634</v>
      </c>
      <c r="AO510" s="5" t="s">
        <v>2185</v>
      </c>
      <c r="AP510" s="5" t="s">
        <v>2185</v>
      </c>
      <c r="AQ510" s="5" t="s">
        <v>2185</v>
      </c>
      <c r="AR510" s="5" t="s">
        <v>2185</v>
      </c>
      <c r="AS510" s="142"/>
      <c r="AT510" s="142" t="b">
        <v>0</v>
      </c>
      <c r="AU510" s="142"/>
      <c r="AV510" s="142"/>
      <c r="AW510" s="142"/>
      <c r="AX510" s="142"/>
      <c r="AY510" s="142"/>
      <c r="AZ510" s="174"/>
      <c r="BA510" s="142"/>
      <c r="BB510" s="142"/>
      <c r="BC510" s="142"/>
      <c r="BD510" s="142"/>
      <c r="BE510" s="142"/>
      <c r="BF510" s="142"/>
      <c r="BG510" s="142"/>
    </row>
    <row r="511">
      <c r="A511" s="5" t="s">
        <v>1619</v>
      </c>
      <c r="B511" s="44">
        <v>44617.0</v>
      </c>
      <c r="C511" s="150">
        <v>0.3025115740740741</v>
      </c>
      <c r="D511" s="3"/>
      <c r="E511" s="3"/>
      <c r="F511" s="5"/>
      <c r="G511" s="5"/>
      <c r="H511" s="5"/>
      <c r="I511" s="3"/>
      <c r="J511" s="3"/>
      <c r="K511" s="3" t="s">
        <v>244</v>
      </c>
      <c r="L511" s="44">
        <v>44617.0</v>
      </c>
      <c r="M511" s="150">
        <v>0.5033680555555555</v>
      </c>
      <c r="N511" s="5"/>
      <c r="O511" s="5"/>
      <c r="P511" s="10" t="b">
        <v>0</v>
      </c>
      <c r="Q511" s="10" t="s">
        <v>2184</v>
      </c>
      <c r="R511" s="144" t="b">
        <v>1</v>
      </c>
      <c r="S511" s="144">
        <v>1.0</v>
      </c>
      <c r="T511" s="10"/>
      <c r="U511" s="5"/>
      <c r="V511" s="3"/>
      <c r="W511" s="5"/>
      <c r="X511" s="144" t="b">
        <v>0</v>
      </c>
      <c r="Y511" s="10" t="b">
        <v>0</v>
      </c>
      <c r="Z511" s="3"/>
      <c r="AA511" s="10" t="b">
        <v>0</v>
      </c>
      <c r="AB511" s="10" t="b">
        <v>0</v>
      </c>
      <c r="AC511" s="181">
        <v>256.0</v>
      </c>
      <c r="AD511" s="144" t="b">
        <v>0</v>
      </c>
      <c r="AE511" s="182">
        <v>289.23333333333323</v>
      </c>
      <c r="AF511" s="10" t="b">
        <v>0</v>
      </c>
      <c r="AG511" s="10" t="b">
        <v>0</v>
      </c>
      <c r="AH511" s="144"/>
      <c r="AI511" s="3"/>
      <c r="AJ511" s="185"/>
      <c r="AK511" s="186" t="s">
        <v>244</v>
      </c>
      <c r="AL511" s="5"/>
      <c r="AM511" s="5" t="s">
        <v>419</v>
      </c>
      <c r="AN511" s="5" t="s">
        <v>420</v>
      </c>
      <c r="AO511" s="5" t="s">
        <v>2185</v>
      </c>
      <c r="AP511" s="5" t="s">
        <v>2185</v>
      </c>
      <c r="AQ511" s="5" t="s">
        <v>2185</v>
      </c>
      <c r="AR511" s="5" t="s">
        <v>2185</v>
      </c>
      <c r="AS511" s="142"/>
      <c r="AT511" s="142" t="b">
        <v>0</v>
      </c>
      <c r="AU511" s="142"/>
      <c r="AV511" s="142"/>
      <c r="AW511" s="142"/>
      <c r="AX511" s="142"/>
      <c r="AY511" s="142"/>
      <c r="AZ511" s="174"/>
      <c r="BA511" s="142"/>
      <c r="BB511" s="142"/>
      <c r="BC511" s="142"/>
      <c r="BD511" s="142"/>
      <c r="BE511" s="142"/>
      <c r="BF511" s="142"/>
      <c r="BG511" s="142"/>
    </row>
    <row r="512">
      <c r="A512" s="5" t="s">
        <v>1621</v>
      </c>
      <c r="B512" s="44">
        <v>44617.0</v>
      </c>
      <c r="C512" s="150">
        <v>0.30302083333333335</v>
      </c>
      <c r="D512" s="3"/>
      <c r="E512" s="3"/>
      <c r="F512" s="5"/>
      <c r="G512" s="5"/>
      <c r="H512" s="5"/>
      <c r="I512" s="3"/>
      <c r="J512" s="3"/>
      <c r="K512" s="3" t="s">
        <v>244</v>
      </c>
      <c r="L512" s="44">
        <v>44617.0</v>
      </c>
      <c r="M512" s="150">
        <v>0.5033680555555555</v>
      </c>
      <c r="N512" s="5"/>
      <c r="O512" s="5"/>
      <c r="P512" s="10" t="b">
        <v>0</v>
      </c>
      <c r="Q512" s="10" t="s">
        <v>2184</v>
      </c>
      <c r="R512" s="144" t="b">
        <v>1</v>
      </c>
      <c r="S512" s="144">
        <v>1.0</v>
      </c>
      <c r="T512" s="10"/>
      <c r="U512" s="5"/>
      <c r="V512" s="3"/>
      <c r="W512" s="5"/>
      <c r="X512" s="144" t="b">
        <v>0</v>
      </c>
      <c r="Y512" s="10" t="b">
        <v>0</v>
      </c>
      <c r="Z512" s="3"/>
      <c r="AA512" s="10" t="b">
        <v>0</v>
      </c>
      <c r="AB512" s="10" t="b">
        <v>0</v>
      </c>
      <c r="AC512" s="181">
        <v>255.0</v>
      </c>
      <c r="AD512" s="144" t="b">
        <v>0</v>
      </c>
      <c r="AE512" s="182">
        <v>288.4999999999999</v>
      </c>
      <c r="AF512" s="10" t="b">
        <v>0</v>
      </c>
      <c r="AG512" s="10" t="b">
        <v>0</v>
      </c>
      <c r="AH512" s="144"/>
      <c r="AI512" s="3"/>
      <c r="AJ512" s="10"/>
      <c r="AK512" s="3" t="s">
        <v>244</v>
      </c>
      <c r="AL512" s="5"/>
      <c r="AM512" s="5" t="s">
        <v>649</v>
      </c>
      <c r="AN512" s="5" t="s">
        <v>336</v>
      </c>
      <c r="AO512" s="5" t="s">
        <v>2185</v>
      </c>
      <c r="AP512" s="5" t="s">
        <v>2185</v>
      </c>
      <c r="AQ512" s="5" t="s">
        <v>2185</v>
      </c>
      <c r="AR512" s="5" t="s">
        <v>2185</v>
      </c>
      <c r="AS512" s="142"/>
      <c r="AT512" s="142" t="b">
        <v>0</v>
      </c>
      <c r="AU512" s="142"/>
      <c r="AV512" s="142"/>
      <c r="AW512" s="142"/>
      <c r="AX512" s="142"/>
      <c r="AY512" s="142"/>
      <c r="AZ512" s="174"/>
      <c r="BA512" s="142"/>
      <c r="BB512" s="142"/>
      <c r="BC512" s="142"/>
      <c r="BD512" s="142"/>
      <c r="BE512" s="142"/>
      <c r="BF512" s="142"/>
      <c r="BG512" s="142"/>
    </row>
    <row r="513">
      <c r="A513" s="5" t="s">
        <v>1623</v>
      </c>
      <c r="B513" s="44">
        <v>44617.0</v>
      </c>
      <c r="C513" s="150">
        <v>0.3043518518518519</v>
      </c>
      <c r="D513" s="3"/>
      <c r="E513" s="3"/>
      <c r="F513" s="5"/>
      <c r="G513" s="5"/>
      <c r="H513" s="5"/>
      <c r="I513" s="3"/>
      <c r="J513" s="3"/>
      <c r="K513" s="3" t="s">
        <v>244</v>
      </c>
      <c r="L513" s="44">
        <v>44617.0</v>
      </c>
      <c r="M513" s="150">
        <v>0.5033680555555555</v>
      </c>
      <c r="N513" s="5"/>
      <c r="O513" s="5"/>
      <c r="P513" s="10" t="b">
        <v>0</v>
      </c>
      <c r="Q513" s="10" t="s">
        <v>2184</v>
      </c>
      <c r="R513" s="144" t="b">
        <v>1</v>
      </c>
      <c r="S513" s="144">
        <v>1.0</v>
      </c>
      <c r="T513" s="10"/>
      <c r="U513" s="5"/>
      <c r="V513" s="3"/>
      <c r="W513" s="5"/>
      <c r="X513" s="144" t="b">
        <v>0</v>
      </c>
      <c r="Y513" s="10" t="b">
        <v>0</v>
      </c>
      <c r="Z513" s="3"/>
      <c r="AA513" s="10" t="b">
        <v>0</v>
      </c>
      <c r="AB513" s="10" t="b">
        <v>0</v>
      </c>
      <c r="AC513" s="181">
        <v>254.0</v>
      </c>
      <c r="AD513" s="144" t="b">
        <v>0</v>
      </c>
      <c r="AE513" s="182">
        <v>286.58333333333326</v>
      </c>
      <c r="AF513" s="10" t="b">
        <v>0</v>
      </c>
      <c r="AG513" s="10" t="b">
        <v>0</v>
      </c>
      <c r="AH513" s="144"/>
      <c r="AI513" s="3"/>
      <c r="AJ513" s="10"/>
      <c r="AK513" s="3" t="s">
        <v>244</v>
      </c>
      <c r="AL513" s="5"/>
      <c r="AM513" s="5" t="s">
        <v>1420</v>
      </c>
      <c r="AN513" s="5" t="s">
        <v>1421</v>
      </c>
      <c r="AO513" s="5" t="s">
        <v>2185</v>
      </c>
      <c r="AP513" s="5" t="s">
        <v>2185</v>
      </c>
      <c r="AQ513" s="5" t="s">
        <v>2185</v>
      </c>
      <c r="AR513" s="5" t="s">
        <v>2185</v>
      </c>
      <c r="AS513" s="142"/>
      <c r="AT513" s="142" t="b">
        <v>0</v>
      </c>
      <c r="AU513" s="142"/>
      <c r="AV513" s="142"/>
      <c r="AW513" s="142"/>
      <c r="AX513" s="142"/>
      <c r="AY513" s="142"/>
      <c r="AZ513" s="174"/>
      <c r="BA513" s="142"/>
      <c r="BB513" s="142"/>
      <c r="BC513" s="142"/>
      <c r="BD513" s="142"/>
      <c r="BE513" s="142"/>
      <c r="BF513" s="142"/>
      <c r="BG513" s="142"/>
    </row>
    <row r="514">
      <c r="A514" s="5" t="s">
        <v>1625</v>
      </c>
      <c r="B514" s="44">
        <v>44617.0</v>
      </c>
      <c r="C514" s="150">
        <v>0.30461805555555554</v>
      </c>
      <c r="D514" s="3"/>
      <c r="E514" s="3"/>
      <c r="F514" s="5"/>
      <c r="G514" s="5"/>
      <c r="H514" s="5"/>
      <c r="I514" s="3"/>
      <c r="J514" s="3"/>
      <c r="K514" s="3" t="s">
        <v>244</v>
      </c>
      <c r="L514" s="44">
        <v>44617.0</v>
      </c>
      <c r="M514" s="150">
        <v>0.5033680555555555</v>
      </c>
      <c r="N514" s="5"/>
      <c r="O514" s="5"/>
      <c r="P514" s="10" t="b">
        <v>0</v>
      </c>
      <c r="Q514" s="10" t="s">
        <v>2184</v>
      </c>
      <c r="R514" s="144" t="b">
        <v>1</v>
      </c>
      <c r="S514" s="144">
        <v>1.0</v>
      </c>
      <c r="T514" s="10"/>
      <c r="U514" s="5"/>
      <c r="V514" s="3"/>
      <c r="W514" s="5"/>
      <c r="X514" s="144" t="b">
        <v>0</v>
      </c>
      <c r="Y514" s="10" t="b">
        <v>0</v>
      </c>
      <c r="Z514" s="3"/>
      <c r="AA514" s="10" t="b">
        <v>0</v>
      </c>
      <c r="AB514" s="10" t="b">
        <v>0</v>
      </c>
      <c r="AC514" s="181">
        <v>253.0</v>
      </c>
      <c r="AD514" s="144" t="b">
        <v>0</v>
      </c>
      <c r="AE514" s="182">
        <v>286.2</v>
      </c>
      <c r="AF514" s="10" t="b">
        <v>0</v>
      </c>
      <c r="AG514" s="10" t="b">
        <v>0</v>
      </c>
      <c r="AH514" s="144"/>
      <c r="AI514" s="3"/>
      <c r="AJ514" s="10"/>
      <c r="AK514" s="3" t="s">
        <v>244</v>
      </c>
      <c r="AL514" s="5"/>
      <c r="AM514" s="5" t="s">
        <v>624</v>
      </c>
      <c r="AN514" s="5" t="s">
        <v>625</v>
      </c>
      <c r="AO514" s="5" t="s">
        <v>2185</v>
      </c>
      <c r="AP514" s="5" t="s">
        <v>2185</v>
      </c>
      <c r="AQ514" s="5" t="s">
        <v>2185</v>
      </c>
      <c r="AR514" s="5" t="s">
        <v>2185</v>
      </c>
      <c r="AS514" s="142"/>
      <c r="AT514" s="142" t="b">
        <v>0</v>
      </c>
      <c r="AU514" s="142"/>
      <c r="AV514" s="142"/>
      <c r="AW514" s="142"/>
      <c r="AX514" s="142"/>
      <c r="AY514" s="142"/>
      <c r="AZ514" s="174"/>
      <c r="BA514" s="142"/>
      <c r="BB514" s="142"/>
      <c r="BC514" s="142"/>
      <c r="BD514" s="142"/>
      <c r="BE514" s="142"/>
      <c r="BF514" s="142"/>
      <c r="BG514" s="142"/>
    </row>
    <row r="515">
      <c r="A515" s="5" t="s">
        <v>1627</v>
      </c>
      <c r="B515" s="44">
        <v>44617.0</v>
      </c>
      <c r="C515" s="150">
        <v>0.30627314814814816</v>
      </c>
      <c r="D515" s="3"/>
      <c r="E515" s="3"/>
      <c r="F515" s="5"/>
      <c r="G515" s="5"/>
      <c r="H515" s="5"/>
      <c r="I515" s="3"/>
      <c r="J515" s="3"/>
      <c r="K515" s="3" t="s">
        <v>244</v>
      </c>
      <c r="L515" s="44">
        <v>44617.0</v>
      </c>
      <c r="M515" s="150">
        <v>0.5033680555555555</v>
      </c>
      <c r="N515" s="5"/>
      <c r="O515" s="5"/>
      <c r="P515" s="10" t="b">
        <v>0</v>
      </c>
      <c r="Q515" s="10" t="s">
        <v>2184</v>
      </c>
      <c r="R515" s="144" t="b">
        <v>1</v>
      </c>
      <c r="S515" s="144">
        <v>1.0</v>
      </c>
      <c r="T515" s="10"/>
      <c r="U515" s="5"/>
      <c r="V515" s="3"/>
      <c r="W515" s="5"/>
      <c r="X515" s="144" t="b">
        <v>0</v>
      </c>
      <c r="Y515" s="10" t="b">
        <v>0</v>
      </c>
      <c r="Z515" s="3"/>
      <c r="AA515" s="10" t="b">
        <v>0</v>
      </c>
      <c r="AB515" s="10" t="b">
        <v>0</v>
      </c>
      <c r="AC515" s="181">
        <v>252.0</v>
      </c>
      <c r="AD515" s="144" t="b">
        <v>0</v>
      </c>
      <c r="AE515" s="182">
        <v>283.81666666666666</v>
      </c>
      <c r="AF515" s="10" t="b">
        <v>0</v>
      </c>
      <c r="AG515" s="10" t="b">
        <v>0</v>
      </c>
      <c r="AH515" s="144"/>
      <c r="AI515" s="3"/>
      <c r="AJ515" s="10"/>
      <c r="AK515" s="3" t="s">
        <v>244</v>
      </c>
      <c r="AL515" s="5"/>
      <c r="AM515" s="5" t="s">
        <v>1354</v>
      </c>
      <c r="AN515" s="5" t="s">
        <v>1355</v>
      </c>
      <c r="AO515" s="5" t="s">
        <v>2185</v>
      </c>
      <c r="AP515" s="5" t="s">
        <v>2185</v>
      </c>
      <c r="AQ515" s="5" t="s">
        <v>2185</v>
      </c>
      <c r="AR515" s="5" t="s">
        <v>2185</v>
      </c>
      <c r="AS515" s="142"/>
      <c r="AT515" s="142" t="b">
        <v>0</v>
      </c>
      <c r="AU515" s="142"/>
      <c r="AV515" s="142"/>
      <c r="AW515" s="142"/>
      <c r="AX515" s="142"/>
      <c r="AY515" s="142"/>
      <c r="AZ515" s="174"/>
      <c r="BA515" s="142"/>
      <c r="BB515" s="142"/>
      <c r="BC515" s="142"/>
      <c r="BD515" s="142"/>
      <c r="BE515" s="142"/>
      <c r="BF515" s="142"/>
      <c r="BG515" s="142"/>
    </row>
    <row r="516">
      <c r="A516" s="5" t="s">
        <v>1629</v>
      </c>
      <c r="B516" s="44">
        <v>44617.0</v>
      </c>
      <c r="C516" s="150">
        <v>0.3128009259259259</v>
      </c>
      <c r="D516" s="3"/>
      <c r="E516" s="3"/>
      <c r="F516" s="5"/>
      <c r="G516" s="5"/>
      <c r="H516" s="5"/>
      <c r="I516" s="3"/>
      <c r="J516" s="3"/>
      <c r="K516" s="3" t="s">
        <v>244</v>
      </c>
      <c r="L516" s="44">
        <v>44617.0</v>
      </c>
      <c r="M516" s="150">
        <v>0.5033680555555555</v>
      </c>
      <c r="N516" s="5"/>
      <c r="O516" s="5"/>
      <c r="P516" s="10" t="b">
        <v>0</v>
      </c>
      <c r="Q516" s="10" t="s">
        <v>2184</v>
      </c>
      <c r="R516" s="144" t="b">
        <v>1</v>
      </c>
      <c r="S516" s="144">
        <v>1.0</v>
      </c>
      <c r="T516" s="10"/>
      <c r="U516" s="5"/>
      <c r="V516" s="3"/>
      <c r="W516" s="5"/>
      <c r="X516" s="144" t="b">
        <v>0</v>
      </c>
      <c r="Y516" s="10" t="b">
        <v>0</v>
      </c>
      <c r="Z516" s="3"/>
      <c r="AA516" s="10" t="b">
        <v>0</v>
      </c>
      <c r="AB516" s="10" t="b">
        <v>0</v>
      </c>
      <c r="AC516" s="181">
        <v>251.0</v>
      </c>
      <c r="AD516" s="144" t="b">
        <v>0</v>
      </c>
      <c r="AE516" s="182">
        <v>274.4166666666667</v>
      </c>
      <c r="AF516" s="10" t="b">
        <v>0</v>
      </c>
      <c r="AG516" s="10" t="b">
        <v>0</v>
      </c>
      <c r="AH516" s="144"/>
      <c r="AI516" s="3"/>
      <c r="AJ516" s="10"/>
      <c r="AK516" s="3" t="s">
        <v>244</v>
      </c>
      <c r="AL516" s="5"/>
      <c r="AM516" s="5" t="s">
        <v>583</v>
      </c>
      <c r="AN516" s="5" t="s">
        <v>584</v>
      </c>
      <c r="AO516" s="5" t="s">
        <v>2185</v>
      </c>
      <c r="AP516" s="5" t="s">
        <v>2185</v>
      </c>
      <c r="AQ516" s="5" t="s">
        <v>2185</v>
      </c>
      <c r="AR516" s="5" t="s">
        <v>2185</v>
      </c>
      <c r="AS516" s="142"/>
      <c r="AT516" s="142" t="b">
        <v>0</v>
      </c>
      <c r="AU516" s="142"/>
      <c r="AV516" s="142"/>
      <c r="AW516" s="142"/>
      <c r="AX516" s="142"/>
      <c r="AY516" s="142"/>
      <c r="AZ516" s="174"/>
      <c r="BA516" s="142"/>
      <c r="BB516" s="142"/>
      <c r="BC516" s="142"/>
      <c r="BD516" s="142"/>
      <c r="BE516" s="142"/>
      <c r="BF516" s="142"/>
      <c r="BG516" s="142"/>
    </row>
    <row r="517">
      <c r="A517" s="5" t="s">
        <v>1631</v>
      </c>
      <c r="B517" s="44">
        <v>44617.0</v>
      </c>
      <c r="C517" s="150">
        <v>0.3161921296296296</v>
      </c>
      <c r="D517" s="3"/>
      <c r="E517" s="3"/>
      <c r="F517" s="5"/>
      <c r="G517" s="5"/>
      <c r="H517" s="5"/>
      <c r="I517" s="183"/>
      <c r="J517" s="3"/>
      <c r="K517" s="3" t="s">
        <v>244</v>
      </c>
      <c r="L517" s="44">
        <v>44617.0</v>
      </c>
      <c r="M517" s="150">
        <v>0.5033680555555555</v>
      </c>
      <c r="N517" s="5" t="s">
        <v>247</v>
      </c>
      <c r="O517" s="5"/>
      <c r="P517" s="10" t="b">
        <v>0</v>
      </c>
      <c r="Q517" s="10" t="s">
        <v>2184</v>
      </c>
      <c r="R517" s="144" t="b">
        <v>1</v>
      </c>
      <c r="S517" s="144">
        <v>1.0</v>
      </c>
      <c r="T517" s="10">
        <v>0.0</v>
      </c>
      <c r="U517" s="5"/>
      <c r="V517" s="3"/>
      <c r="W517" s="5"/>
      <c r="X517" s="144" t="b">
        <v>0</v>
      </c>
      <c r="Y517" s="10" t="b">
        <v>0</v>
      </c>
      <c r="Z517" s="3"/>
      <c r="AA517" s="10" t="b">
        <v>0</v>
      </c>
      <c r="AB517" s="10" t="b">
        <v>0</v>
      </c>
      <c r="AC517" s="181">
        <v>800.0</v>
      </c>
      <c r="AD517" s="144" t="b">
        <v>1</v>
      </c>
      <c r="AE517" s="182">
        <v>269.5333333333333</v>
      </c>
      <c r="AF517" s="10" t="b">
        <v>0</v>
      </c>
      <c r="AG517" s="10" t="b">
        <v>0</v>
      </c>
      <c r="AH517" s="144"/>
      <c r="AI517" s="3"/>
      <c r="AJ517" s="10"/>
      <c r="AK517" s="3" t="s">
        <v>244</v>
      </c>
      <c r="AL517" s="5"/>
      <c r="AM517" s="5" t="s">
        <v>918</v>
      </c>
      <c r="AN517" s="5" t="s">
        <v>886</v>
      </c>
      <c r="AO517" s="5" t="s">
        <v>2185</v>
      </c>
      <c r="AP517" s="5" t="s">
        <v>2185</v>
      </c>
      <c r="AQ517" s="5" t="s">
        <v>2185</v>
      </c>
      <c r="AR517" s="5" t="s">
        <v>2185</v>
      </c>
      <c r="AS517" s="142"/>
      <c r="AT517" s="142" t="b">
        <v>0</v>
      </c>
      <c r="AU517" s="142"/>
      <c r="AV517" s="142"/>
      <c r="AW517" s="142"/>
      <c r="AX517" s="142"/>
      <c r="AY517" s="142"/>
      <c r="AZ517" s="174"/>
      <c r="BA517" s="142"/>
      <c r="BB517" s="142"/>
      <c r="BC517" s="142"/>
      <c r="BD517" s="142"/>
      <c r="BE517" s="142"/>
      <c r="BF517" s="142"/>
      <c r="BG517" s="142"/>
    </row>
    <row r="518">
      <c r="A518" s="5" t="s">
        <v>1633</v>
      </c>
      <c r="B518" s="44">
        <v>44617.0</v>
      </c>
      <c r="C518" s="150">
        <v>0.31754629629629627</v>
      </c>
      <c r="D518" s="3"/>
      <c r="E518" s="3"/>
      <c r="F518" s="5"/>
      <c r="G518" s="5"/>
      <c r="H518" s="5"/>
      <c r="I518" s="3"/>
      <c r="J518" s="3"/>
      <c r="K518" s="3" t="s">
        <v>244</v>
      </c>
      <c r="L518" s="44">
        <v>44617.0</v>
      </c>
      <c r="M518" s="150">
        <v>0.5033680555555555</v>
      </c>
      <c r="N518" s="5"/>
      <c r="O518" s="5"/>
      <c r="P518" s="10" t="b">
        <v>0</v>
      </c>
      <c r="Q518" s="10" t="s">
        <v>2184</v>
      </c>
      <c r="R518" s="144" t="b">
        <v>1</v>
      </c>
      <c r="S518" s="144">
        <v>1.0</v>
      </c>
      <c r="T518" s="10"/>
      <c r="U518" s="5"/>
      <c r="V518" s="3"/>
      <c r="W518" s="5"/>
      <c r="X518" s="144" t="b">
        <v>0</v>
      </c>
      <c r="Y518" s="10" t="b">
        <v>0</v>
      </c>
      <c r="Z518" s="3"/>
      <c r="AA518" s="10" t="b">
        <v>0</v>
      </c>
      <c r="AB518" s="10" t="b">
        <v>0</v>
      </c>
      <c r="AC518" s="181">
        <v>250.0</v>
      </c>
      <c r="AD518" s="144" t="b">
        <v>0</v>
      </c>
      <c r="AE518" s="182">
        <v>267.5833333333333</v>
      </c>
      <c r="AF518" s="10" t="b">
        <v>0</v>
      </c>
      <c r="AG518" s="10" t="b">
        <v>0</v>
      </c>
      <c r="AH518" s="144"/>
      <c r="AI518" s="3"/>
      <c r="AJ518" s="10"/>
      <c r="AK518" s="3" t="s">
        <v>244</v>
      </c>
      <c r="AL518" s="5"/>
      <c r="AM518" s="5" t="s">
        <v>1516</v>
      </c>
      <c r="AN518" s="5" t="s">
        <v>1517</v>
      </c>
      <c r="AO518" s="5" t="s">
        <v>2185</v>
      </c>
      <c r="AP518" s="5" t="s">
        <v>2185</v>
      </c>
      <c r="AQ518" s="5" t="s">
        <v>2185</v>
      </c>
      <c r="AR518" s="5" t="s">
        <v>2185</v>
      </c>
      <c r="AS518" s="142"/>
      <c r="AT518" s="142" t="b">
        <v>0</v>
      </c>
      <c r="AU518" s="142"/>
      <c r="AV518" s="142"/>
      <c r="AW518" s="142"/>
      <c r="AX518" s="142"/>
      <c r="AY518" s="142"/>
      <c r="AZ518" s="174"/>
      <c r="BA518" s="142"/>
      <c r="BB518" s="142"/>
      <c r="BC518" s="142"/>
      <c r="BD518" s="142"/>
      <c r="BE518" s="142"/>
      <c r="BF518" s="142"/>
      <c r="BG518" s="142"/>
    </row>
    <row r="519">
      <c r="A519" s="5" t="s">
        <v>1635</v>
      </c>
      <c r="B519" s="44">
        <v>44617.0</v>
      </c>
      <c r="C519" s="150">
        <v>0.31829861111111113</v>
      </c>
      <c r="D519" s="3"/>
      <c r="E519" s="3"/>
      <c r="F519" s="5"/>
      <c r="G519" s="5"/>
      <c r="H519" s="5"/>
      <c r="I519" s="3"/>
      <c r="J519" s="3"/>
      <c r="K519" s="3" t="s">
        <v>244</v>
      </c>
      <c r="L519" s="44">
        <v>44617.0</v>
      </c>
      <c r="M519" s="150">
        <v>0.5033680555555555</v>
      </c>
      <c r="N519" s="5"/>
      <c r="O519" s="5"/>
      <c r="P519" s="10" t="b">
        <v>0</v>
      </c>
      <c r="Q519" s="10" t="s">
        <v>2184</v>
      </c>
      <c r="R519" s="144" t="b">
        <v>1</v>
      </c>
      <c r="S519" s="144">
        <v>1.0</v>
      </c>
      <c r="T519" s="10"/>
      <c r="U519" s="5"/>
      <c r="V519" s="3"/>
      <c r="W519" s="5"/>
      <c r="X519" s="144" t="b">
        <v>0</v>
      </c>
      <c r="Y519" s="10" t="b">
        <v>0</v>
      </c>
      <c r="Z519" s="3"/>
      <c r="AA519" s="10" t="b">
        <v>0</v>
      </c>
      <c r="AB519" s="10" t="b">
        <v>0</v>
      </c>
      <c r="AC519" s="181">
        <v>249.0</v>
      </c>
      <c r="AD519" s="144" t="b">
        <v>0</v>
      </c>
      <c r="AE519" s="182">
        <v>266.49999999999994</v>
      </c>
      <c r="AF519" s="10" t="b">
        <v>0</v>
      </c>
      <c r="AG519" s="10" t="b">
        <v>0</v>
      </c>
      <c r="AH519" s="144"/>
      <c r="AI519" s="3"/>
      <c r="AJ519" s="10"/>
      <c r="AK519" s="3" t="s">
        <v>244</v>
      </c>
      <c r="AL519" s="5"/>
      <c r="AM519" s="5" t="s">
        <v>328</v>
      </c>
      <c r="AN519" s="5" t="s">
        <v>329</v>
      </c>
      <c r="AO519" s="5" t="s">
        <v>2185</v>
      </c>
      <c r="AP519" s="5" t="s">
        <v>2185</v>
      </c>
      <c r="AQ519" s="5" t="s">
        <v>2185</v>
      </c>
      <c r="AR519" s="5" t="s">
        <v>2185</v>
      </c>
      <c r="AS519" s="142"/>
      <c r="AT519" s="142" t="b">
        <v>0</v>
      </c>
      <c r="AU519" s="142"/>
      <c r="AV519" s="142"/>
      <c r="AW519" s="142"/>
      <c r="AX519" s="142"/>
      <c r="AY519" s="142"/>
      <c r="AZ519" s="174"/>
      <c r="BA519" s="142"/>
      <c r="BB519" s="142"/>
      <c r="BC519" s="142"/>
      <c r="BD519" s="142"/>
      <c r="BE519" s="142"/>
      <c r="BF519" s="142"/>
      <c r="BG519" s="142"/>
    </row>
    <row r="520">
      <c r="A520" s="5" t="s">
        <v>1637</v>
      </c>
      <c r="B520" s="44">
        <v>44617.0</v>
      </c>
      <c r="C520" s="150">
        <v>0.31871527777777775</v>
      </c>
      <c r="D520" s="3"/>
      <c r="E520" s="3"/>
      <c r="F520" s="5"/>
      <c r="G520" s="5"/>
      <c r="H520" s="5"/>
      <c r="I520" s="3"/>
      <c r="J520" s="3"/>
      <c r="K520" s="3" t="s">
        <v>244</v>
      </c>
      <c r="L520" s="44">
        <v>44617.0</v>
      </c>
      <c r="M520" s="150">
        <v>0.5033680555555555</v>
      </c>
      <c r="N520" s="5"/>
      <c r="O520" s="5"/>
      <c r="P520" s="10" t="b">
        <v>0</v>
      </c>
      <c r="Q520" s="10" t="s">
        <v>2184</v>
      </c>
      <c r="R520" s="144" t="b">
        <v>1</v>
      </c>
      <c r="S520" s="144">
        <v>1.0</v>
      </c>
      <c r="T520" s="10"/>
      <c r="U520" s="5"/>
      <c r="V520" s="3"/>
      <c r="W520" s="5"/>
      <c r="X520" s="144" t="b">
        <v>0</v>
      </c>
      <c r="Y520" s="10" t="b">
        <v>0</v>
      </c>
      <c r="Z520" s="3"/>
      <c r="AA520" s="10" t="b">
        <v>0</v>
      </c>
      <c r="AB520" s="10" t="b">
        <v>0</v>
      </c>
      <c r="AC520" s="181">
        <v>248.0</v>
      </c>
      <c r="AD520" s="144" t="b">
        <v>0</v>
      </c>
      <c r="AE520" s="182">
        <v>265.9</v>
      </c>
      <c r="AF520" s="10" t="b">
        <v>0</v>
      </c>
      <c r="AG520" s="10" t="b">
        <v>0</v>
      </c>
      <c r="AH520" s="144"/>
      <c r="AI520" s="3"/>
      <c r="AJ520" s="10"/>
      <c r="AK520" s="3" t="s">
        <v>244</v>
      </c>
      <c r="AL520" s="5"/>
      <c r="AM520" s="5" t="s">
        <v>1638</v>
      </c>
      <c r="AN520" s="5" t="s">
        <v>1639</v>
      </c>
      <c r="AO520" s="5" t="s">
        <v>2185</v>
      </c>
      <c r="AP520" s="5" t="s">
        <v>2185</v>
      </c>
      <c r="AQ520" s="5" t="s">
        <v>2185</v>
      </c>
      <c r="AR520" s="5" t="s">
        <v>2185</v>
      </c>
      <c r="AS520" s="142"/>
      <c r="AT520" s="142" t="b">
        <v>0</v>
      </c>
      <c r="AU520" s="142"/>
      <c r="AV520" s="142"/>
      <c r="AW520" s="142"/>
      <c r="AX520" s="142"/>
      <c r="AY520" s="142"/>
      <c r="AZ520" s="174"/>
      <c r="BA520" s="142"/>
      <c r="BB520" s="142"/>
      <c r="BC520" s="142"/>
      <c r="BD520" s="142"/>
      <c r="BE520" s="142"/>
      <c r="BF520" s="142"/>
      <c r="BG520" s="142"/>
    </row>
    <row r="521">
      <c r="A521" s="5" t="s">
        <v>1641</v>
      </c>
      <c r="B521" s="44">
        <v>44617.0</v>
      </c>
      <c r="C521" s="150">
        <v>0.3202199074074074</v>
      </c>
      <c r="D521" s="3"/>
      <c r="E521" s="3"/>
      <c r="F521" s="5"/>
      <c r="G521" s="5"/>
      <c r="H521" s="5"/>
      <c r="I521" s="3"/>
      <c r="J521" s="3"/>
      <c r="K521" s="3" t="s">
        <v>244</v>
      </c>
      <c r="L521" s="44">
        <v>44617.0</v>
      </c>
      <c r="M521" s="150">
        <v>0.5033680555555555</v>
      </c>
      <c r="N521" s="5"/>
      <c r="O521" s="5"/>
      <c r="P521" s="10" t="b">
        <v>0</v>
      </c>
      <c r="Q521" s="10" t="s">
        <v>2184</v>
      </c>
      <c r="R521" s="144" t="b">
        <v>1</v>
      </c>
      <c r="S521" s="144">
        <v>1.0</v>
      </c>
      <c r="T521" s="10"/>
      <c r="U521" s="5"/>
      <c r="V521" s="3"/>
      <c r="W521" s="5"/>
      <c r="X521" s="144" t="b">
        <v>0</v>
      </c>
      <c r="Y521" s="10" t="b">
        <v>0</v>
      </c>
      <c r="Z521" s="3"/>
      <c r="AA521" s="10" t="b">
        <v>0</v>
      </c>
      <c r="AB521" s="10" t="b">
        <v>0</v>
      </c>
      <c r="AC521" s="181">
        <v>247.0</v>
      </c>
      <c r="AD521" s="144" t="b">
        <v>0</v>
      </c>
      <c r="AE521" s="182">
        <v>263.7333333333333</v>
      </c>
      <c r="AF521" s="10" t="b">
        <v>0</v>
      </c>
      <c r="AG521" s="10" t="b">
        <v>0</v>
      </c>
      <c r="AH521" s="144"/>
      <c r="AI521" s="3"/>
      <c r="AJ521" s="10"/>
      <c r="AK521" s="3" t="s">
        <v>244</v>
      </c>
      <c r="AL521" s="5"/>
      <c r="AM521" s="5" t="s">
        <v>727</v>
      </c>
      <c r="AN521" s="5" t="s">
        <v>728</v>
      </c>
      <c r="AO521" s="5" t="s">
        <v>2185</v>
      </c>
      <c r="AP521" s="5" t="s">
        <v>2185</v>
      </c>
      <c r="AQ521" s="5" t="s">
        <v>2185</v>
      </c>
      <c r="AR521" s="5" t="s">
        <v>2185</v>
      </c>
      <c r="AS521" s="142"/>
      <c r="AT521" s="142" t="b">
        <v>0</v>
      </c>
      <c r="AU521" s="142"/>
      <c r="AV521" s="142"/>
      <c r="AW521" s="142"/>
      <c r="AX521" s="142"/>
      <c r="AY521" s="142"/>
      <c r="AZ521" s="174"/>
      <c r="BA521" s="142"/>
      <c r="BB521" s="142"/>
      <c r="BC521" s="142"/>
      <c r="BD521" s="142"/>
      <c r="BE521" s="142"/>
      <c r="BF521" s="142"/>
      <c r="BG521" s="142"/>
    </row>
    <row r="522">
      <c r="A522" s="5" t="s">
        <v>1643</v>
      </c>
      <c r="B522" s="44">
        <v>44617.0</v>
      </c>
      <c r="C522" s="150">
        <v>0.32024305555555554</v>
      </c>
      <c r="D522" s="3"/>
      <c r="E522" s="3"/>
      <c r="F522" s="5"/>
      <c r="G522" s="5"/>
      <c r="H522" s="5"/>
      <c r="I522" s="3"/>
      <c r="J522" s="3"/>
      <c r="K522" s="3" t="s">
        <v>244</v>
      </c>
      <c r="L522" s="44">
        <v>44617.0</v>
      </c>
      <c r="M522" s="150">
        <v>0.5033680555555555</v>
      </c>
      <c r="N522" s="5"/>
      <c r="O522" s="5"/>
      <c r="P522" s="10" t="b">
        <v>0</v>
      </c>
      <c r="Q522" s="10" t="s">
        <v>2184</v>
      </c>
      <c r="R522" s="144" t="b">
        <v>1</v>
      </c>
      <c r="S522" s="144">
        <v>1.0</v>
      </c>
      <c r="T522" s="10"/>
      <c r="U522" s="5"/>
      <c r="V522" s="3"/>
      <c r="W522" s="5"/>
      <c r="X522" s="144" t="b">
        <v>0</v>
      </c>
      <c r="Y522" s="10" t="b">
        <v>0</v>
      </c>
      <c r="Z522" s="3"/>
      <c r="AA522" s="10" t="b">
        <v>0</v>
      </c>
      <c r="AB522" s="10" t="b">
        <v>0</v>
      </c>
      <c r="AC522" s="181">
        <v>246.0</v>
      </c>
      <c r="AD522" s="144" t="b">
        <v>0</v>
      </c>
      <c r="AE522" s="182">
        <v>263.7</v>
      </c>
      <c r="AF522" s="10" t="b">
        <v>0</v>
      </c>
      <c r="AG522" s="10" t="b">
        <v>0</v>
      </c>
      <c r="AH522" s="144"/>
      <c r="AI522" s="3"/>
      <c r="AJ522" s="10"/>
      <c r="AK522" s="3" t="s">
        <v>244</v>
      </c>
      <c r="AL522" s="5"/>
      <c r="AM522" s="5" t="s">
        <v>982</v>
      </c>
      <c r="AN522" s="5" t="s">
        <v>983</v>
      </c>
      <c r="AO522" s="5" t="s">
        <v>2185</v>
      </c>
      <c r="AP522" s="5" t="s">
        <v>2185</v>
      </c>
      <c r="AQ522" s="5" t="s">
        <v>2185</v>
      </c>
      <c r="AR522" s="5" t="s">
        <v>2185</v>
      </c>
      <c r="AS522" s="142"/>
      <c r="AT522" s="142" t="b">
        <v>0</v>
      </c>
      <c r="AU522" s="142"/>
      <c r="AV522" s="142"/>
      <c r="AW522" s="142"/>
      <c r="AX522" s="142"/>
      <c r="AY522" s="142"/>
      <c r="AZ522" s="174"/>
      <c r="BA522" s="142"/>
      <c r="BB522" s="142"/>
      <c r="BC522" s="142"/>
      <c r="BD522" s="142"/>
      <c r="BE522" s="142"/>
      <c r="BF522" s="142"/>
      <c r="BG522" s="142"/>
    </row>
    <row r="523">
      <c r="A523" s="5" t="s">
        <v>1645</v>
      </c>
      <c r="B523" s="44">
        <v>44617.0</v>
      </c>
      <c r="C523" s="150">
        <v>0.32025462962962964</v>
      </c>
      <c r="D523" s="3"/>
      <c r="E523" s="3"/>
      <c r="F523" s="5"/>
      <c r="G523" s="5"/>
      <c r="H523" s="5"/>
      <c r="I523" s="3"/>
      <c r="J523" s="3"/>
      <c r="K523" s="3" t="s">
        <v>244</v>
      </c>
      <c r="L523" s="44">
        <v>44617.0</v>
      </c>
      <c r="M523" s="150">
        <v>0.5033796296296297</v>
      </c>
      <c r="N523" s="5"/>
      <c r="O523" s="5"/>
      <c r="P523" s="10" t="b">
        <v>0</v>
      </c>
      <c r="Q523" s="10" t="s">
        <v>2184</v>
      </c>
      <c r="R523" s="144" t="b">
        <v>1</v>
      </c>
      <c r="S523" s="144">
        <v>1.0</v>
      </c>
      <c r="T523" s="10"/>
      <c r="U523" s="5"/>
      <c r="V523" s="3"/>
      <c r="W523" s="5"/>
      <c r="X523" s="144" t="b">
        <v>0</v>
      </c>
      <c r="Y523" s="10" t="b">
        <v>0</v>
      </c>
      <c r="Z523" s="3"/>
      <c r="AA523" s="10" t="b">
        <v>0</v>
      </c>
      <c r="AB523" s="10" t="b">
        <v>0</v>
      </c>
      <c r="AC523" s="181">
        <v>245.0</v>
      </c>
      <c r="AD523" s="144" t="b">
        <v>0</v>
      </c>
      <c r="AE523" s="182">
        <v>263.7000000000001</v>
      </c>
      <c r="AF523" s="10" t="b">
        <v>0</v>
      </c>
      <c r="AG523" s="10" t="b">
        <v>0</v>
      </c>
      <c r="AH523" s="144"/>
      <c r="AI523" s="3"/>
      <c r="AJ523" s="10"/>
      <c r="AK523" s="3" t="s">
        <v>244</v>
      </c>
      <c r="AL523" s="5"/>
      <c r="AM523" s="5" t="s">
        <v>362</v>
      </c>
      <c r="AN523" s="5" t="s">
        <v>363</v>
      </c>
      <c r="AO523" s="5" t="s">
        <v>2185</v>
      </c>
      <c r="AP523" s="5" t="s">
        <v>2185</v>
      </c>
      <c r="AQ523" s="5" t="s">
        <v>2185</v>
      </c>
      <c r="AR523" s="5" t="s">
        <v>2185</v>
      </c>
      <c r="AS523" s="142"/>
      <c r="AT523" s="142" t="b">
        <v>0</v>
      </c>
      <c r="AU523" s="142"/>
      <c r="AV523" s="142"/>
      <c r="AW523" s="142"/>
      <c r="AX523" s="142"/>
      <c r="AY523" s="142"/>
      <c r="AZ523" s="174"/>
      <c r="BA523" s="142"/>
      <c r="BB523" s="142"/>
      <c r="BC523" s="142"/>
      <c r="BD523" s="142"/>
      <c r="BE523" s="142"/>
      <c r="BF523" s="142"/>
      <c r="BG523" s="142"/>
    </row>
    <row r="524">
      <c r="A524" s="5" t="s">
        <v>1647</v>
      </c>
      <c r="B524" s="44">
        <v>44617.0</v>
      </c>
      <c r="C524" s="150">
        <v>0.3203472222222222</v>
      </c>
      <c r="D524" s="3"/>
      <c r="E524" s="3"/>
      <c r="F524" s="5"/>
      <c r="G524" s="5"/>
      <c r="H524" s="5"/>
      <c r="I524" s="3"/>
      <c r="J524" s="3"/>
      <c r="K524" s="3" t="s">
        <v>244</v>
      </c>
      <c r="L524" s="44">
        <v>44617.0</v>
      </c>
      <c r="M524" s="150">
        <v>0.5033680555555555</v>
      </c>
      <c r="N524" s="5"/>
      <c r="O524" s="5"/>
      <c r="P524" s="10" t="b">
        <v>0</v>
      </c>
      <c r="Q524" s="10" t="s">
        <v>2184</v>
      </c>
      <c r="R524" s="144" t="b">
        <v>1</v>
      </c>
      <c r="S524" s="144">
        <v>1.0</v>
      </c>
      <c r="T524" s="10"/>
      <c r="U524" s="5"/>
      <c r="V524" s="3"/>
      <c r="W524" s="5"/>
      <c r="X524" s="144" t="b">
        <v>0</v>
      </c>
      <c r="Y524" s="10" t="b">
        <v>0</v>
      </c>
      <c r="Z524" s="3"/>
      <c r="AA524" s="10" t="b">
        <v>0</v>
      </c>
      <c r="AB524" s="10" t="b">
        <v>0</v>
      </c>
      <c r="AC524" s="181">
        <v>244.0</v>
      </c>
      <c r="AD524" s="144" t="b">
        <v>0</v>
      </c>
      <c r="AE524" s="182">
        <v>263.54999999999995</v>
      </c>
      <c r="AF524" s="10" t="b">
        <v>0</v>
      </c>
      <c r="AG524" s="10" t="b">
        <v>0</v>
      </c>
      <c r="AH524" s="144"/>
      <c r="AI524" s="3"/>
      <c r="AJ524" s="10"/>
      <c r="AK524" s="3" t="s">
        <v>244</v>
      </c>
      <c r="AL524" s="5"/>
      <c r="AM524" s="5" t="s">
        <v>1575</v>
      </c>
      <c r="AN524" s="5" t="s">
        <v>893</v>
      </c>
      <c r="AO524" s="5" t="s">
        <v>2185</v>
      </c>
      <c r="AP524" s="5" t="s">
        <v>2185</v>
      </c>
      <c r="AQ524" s="5" t="s">
        <v>2185</v>
      </c>
      <c r="AR524" s="5" t="s">
        <v>2185</v>
      </c>
      <c r="AS524" s="142"/>
      <c r="AT524" s="142" t="b">
        <v>0</v>
      </c>
      <c r="AU524" s="142"/>
      <c r="AV524" s="142"/>
      <c r="AW524" s="142"/>
      <c r="AX524" s="142"/>
      <c r="AY524" s="142"/>
      <c r="AZ524" s="174"/>
      <c r="BA524" s="142"/>
      <c r="BB524" s="142"/>
      <c r="BC524" s="142"/>
      <c r="BD524" s="142"/>
      <c r="BE524" s="142"/>
      <c r="BF524" s="142"/>
      <c r="BG524" s="142"/>
    </row>
    <row r="525">
      <c r="A525" s="5" t="s">
        <v>1649</v>
      </c>
      <c r="B525" s="44">
        <v>44617.0</v>
      </c>
      <c r="C525" s="150">
        <v>0.32081018518518517</v>
      </c>
      <c r="D525" s="3"/>
      <c r="E525" s="3"/>
      <c r="F525" s="5"/>
      <c r="G525" s="5"/>
      <c r="H525" s="5"/>
      <c r="I525" s="3"/>
      <c r="J525" s="3"/>
      <c r="K525" s="3" t="s">
        <v>244</v>
      </c>
      <c r="L525" s="44">
        <v>44617.0</v>
      </c>
      <c r="M525" s="150">
        <v>0.5033796296296297</v>
      </c>
      <c r="N525" s="5"/>
      <c r="O525" s="5"/>
      <c r="P525" s="10" t="b">
        <v>0</v>
      </c>
      <c r="Q525" s="10" t="s">
        <v>2184</v>
      </c>
      <c r="R525" s="144" t="b">
        <v>1</v>
      </c>
      <c r="S525" s="144">
        <v>1.0</v>
      </c>
      <c r="T525" s="10"/>
      <c r="U525" s="5"/>
      <c r="V525" s="3"/>
      <c r="W525" s="5"/>
      <c r="X525" s="144" t="b">
        <v>0</v>
      </c>
      <c r="Y525" s="10" t="b">
        <v>0</v>
      </c>
      <c r="Z525" s="3"/>
      <c r="AA525" s="10" t="b">
        <v>0</v>
      </c>
      <c r="AB525" s="10" t="b">
        <v>0</v>
      </c>
      <c r="AC525" s="181">
        <v>243.0</v>
      </c>
      <c r="AD525" s="144" t="b">
        <v>0</v>
      </c>
      <c r="AE525" s="182">
        <v>262.9000000000001</v>
      </c>
      <c r="AF525" s="10" t="b">
        <v>0</v>
      </c>
      <c r="AG525" s="10" t="b">
        <v>0</v>
      </c>
      <c r="AH525" s="144"/>
      <c r="AI525" s="3"/>
      <c r="AJ525" s="10"/>
      <c r="AK525" s="3" t="s">
        <v>244</v>
      </c>
      <c r="AL525" s="5"/>
      <c r="AM525" s="5" t="s">
        <v>1575</v>
      </c>
      <c r="AN525" s="5" t="s">
        <v>1100</v>
      </c>
      <c r="AO525" s="5" t="s">
        <v>2185</v>
      </c>
      <c r="AP525" s="5" t="s">
        <v>2185</v>
      </c>
      <c r="AQ525" s="5" t="s">
        <v>2185</v>
      </c>
      <c r="AR525" s="5" t="s">
        <v>2185</v>
      </c>
      <c r="AS525" s="142"/>
      <c r="AT525" s="142" t="b">
        <v>0</v>
      </c>
      <c r="AU525" s="142"/>
      <c r="AV525" s="142"/>
      <c r="AW525" s="142"/>
      <c r="AX525" s="142"/>
      <c r="AY525" s="142"/>
      <c r="AZ525" s="174"/>
      <c r="BA525" s="142"/>
      <c r="BB525" s="142"/>
      <c r="BC525" s="142"/>
      <c r="BD525" s="142"/>
      <c r="BE525" s="142"/>
      <c r="BF525" s="142"/>
      <c r="BG525" s="142"/>
    </row>
    <row r="526">
      <c r="A526" s="5" t="s">
        <v>1651</v>
      </c>
      <c r="B526" s="44">
        <v>44617.0</v>
      </c>
      <c r="C526" s="150">
        <v>0.3227083333333333</v>
      </c>
      <c r="D526" s="3"/>
      <c r="E526" s="3"/>
      <c r="F526" s="5"/>
      <c r="G526" s="5"/>
      <c r="H526" s="5"/>
      <c r="I526" s="3"/>
      <c r="J526" s="3"/>
      <c r="K526" s="3" t="s">
        <v>244</v>
      </c>
      <c r="L526" s="44">
        <v>44617.0</v>
      </c>
      <c r="M526" s="150">
        <v>0.5033796296296297</v>
      </c>
      <c r="N526" s="5"/>
      <c r="O526" s="5"/>
      <c r="P526" s="10" t="b">
        <v>0</v>
      </c>
      <c r="Q526" s="10" t="s">
        <v>2184</v>
      </c>
      <c r="R526" s="144" t="b">
        <v>1</v>
      </c>
      <c r="S526" s="144">
        <v>1.0</v>
      </c>
      <c r="T526" s="10"/>
      <c r="U526" s="5"/>
      <c r="V526" s="3"/>
      <c r="W526" s="5"/>
      <c r="X526" s="144" t="b">
        <v>0</v>
      </c>
      <c r="Y526" s="10" t="b">
        <v>0</v>
      </c>
      <c r="Z526" s="3"/>
      <c r="AA526" s="10" t="b">
        <v>0</v>
      </c>
      <c r="AB526" s="10" t="b">
        <v>0</v>
      </c>
      <c r="AC526" s="181">
        <v>242.0</v>
      </c>
      <c r="AD526" s="144" t="b">
        <v>0</v>
      </c>
      <c r="AE526" s="182">
        <v>260.16666666666674</v>
      </c>
      <c r="AF526" s="10" t="b">
        <v>0</v>
      </c>
      <c r="AG526" s="10" t="b">
        <v>0</v>
      </c>
      <c r="AH526" s="144"/>
      <c r="AI526" s="3"/>
      <c r="AJ526" s="10"/>
      <c r="AK526" s="3" t="s">
        <v>244</v>
      </c>
      <c r="AL526" s="5"/>
      <c r="AM526" s="5" t="s">
        <v>587</v>
      </c>
      <c r="AN526" s="5" t="s">
        <v>588</v>
      </c>
      <c r="AO526" s="5" t="s">
        <v>2185</v>
      </c>
      <c r="AP526" s="5" t="s">
        <v>2185</v>
      </c>
      <c r="AQ526" s="5" t="s">
        <v>2185</v>
      </c>
      <c r="AR526" s="5" t="s">
        <v>2185</v>
      </c>
      <c r="AS526" s="142"/>
      <c r="AT526" s="142" t="b">
        <v>0</v>
      </c>
      <c r="AU526" s="142"/>
      <c r="AV526" s="142"/>
      <c r="AW526" s="142"/>
      <c r="AX526" s="142"/>
      <c r="AY526" s="142"/>
      <c r="AZ526" s="174"/>
      <c r="BA526" s="142"/>
      <c r="BB526" s="142"/>
      <c r="BC526" s="142"/>
      <c r="BD526" s="142"/>
      <c r="BE526" s="142"/>
      <c r="BF526" s="142"/>
      <c r="BG526" s="142"/>
    </row>
    <row r="527">
      <c r="A527" s="5" t="s">
        <v>1653</v>
      </c>
      <c r="B527" s="44">
        <v>44617.0</v>
      </c>
      <c r="C527" s="150">
        <v>0.32384259259259257</v>
      </c>
      <c r="D527" s="3"/>
      <c r="E527" s="3"/>
      <c r="F527" s="5"/>
      <c r="G527" s="5"/>
      <c r="H527" s="5"/>
      <c r="I527" s="3"/>
      <c r="J527" s="3"/>
      <c r="K527" s="3" t="s">
        <v>244</v>
      </c>
      <c r="L527" s="44">
        <v>44617.0</v>
      </c>
      <c r="M527" s="150">
        <v>0.5033796296296297</v>
      </c>
      <c r="N527" s="5"/>
      <c r="O527" s="5"/>
      <c r="P527" s="10" t="b">
        <v>0</v>
      </c>
      <c r="Q527" s="10" t="s">
        <v>2184</v>
      </c>
      <c r="R527" s="144" t="b">
        <v>1</v>
      </c>
      <c r="S527" s="144">
        <v>1.0</v>
      </c>
      <c r="T527" s="10"/>
      <c r="U527" s="5"/>
      <c r="V527" s="3"/>
      <c r="W527" s="5"/>
      <c r="X527" s="144" t="b">
        <v>0</v>
      </c>
      <c r="Y527" s="10" t="b">
        <v>0</v>
      </c>
      <c r="Z527" s="3"/>
      <c r="AA527" s="10" t="b">
        <v>0</v>
      </c>
      <c r="AB527" s="10" t="b">
        <v>0</v>
      </c>
      <c r="AC527" s="181">
        <v>241.0</v>
      </c>
      <c r="AD527" s="144" t="b">
        <v>0</v>
      </c>
      <c r="AE527" s="182">
        <v>258.5333333333335</v>
      </c>
      <c r="AF527" s="10" t="b">
        <v>0</v>
      </c>
      <c r="AG527" s="10" t="b">
        <v>0</v>
      </c>
      <c r="AH527" s="144"/>
      <c r="AI527" s="3"/>
      <c r="AJ527" s="10"/>
      <c r="AK527" s="3" t="s">
        <v>244</v>
      </c>
      <c r="AL527" s="5"/>
      <c r="AM527" s="5" t="s">
        <v>409</v>
      </c>
      <c r="AN527" s="5" t="s">
        <v>410</v>
      </c>
      <c r="AO527" s="5" t="s">
        <v>2185</v>
      </c>
      <c r="AP527" s="5" t="s">
        <v>2185</v>
      </c>
      <c r="AQ527" s="5" t="s">
        <v>2185</v>
      </c>
      <c r="AR527" s="5" t="s">
        <v>2185</v>
      </c>
      <c r="AS527" s="142"/>
      <c r="AT527" s="142" t="b">
        <v>0</v>
      </c>
      <c r="AU527" s="142"/>
      <c r="AV527" s="142"/>
      <c r="AW527" s="142"/>
      <c r="AX527" s="142"/>
      <c r="AY527" s="142"/>
      <c r="AZ527" s="174"/>
      <c r="BA527" s="142"/>
      <c r="BB527" s="142"/>
      <c r="BC527" s="142"/>
      <c r="BD527" s="142"/>
      <c r="BE527" s="142"/>
      <c r="BF527" s="142"/>
      <c r="BG527" s="142"/>
    </row>
    <row r="528">
      <c r="A528" s="5" t="s">
        <v>1655</v>
      </c>
      <c r="B528" s="44">
        <v>44617.0</v>
      </c>
      <c r="C528" s="150">
        <v>0.3297453703703704</v>
      </c>
      <c r="D528" s="3"/>
      <c r="E528" s="3"/>
      <c r="F528" s="5"/>
      <c r="G528" s="5"/>
      <c r="H528" s="5"/>
      <c r="I528" s="3"/>
      <c r="J528" s="3"/>
      <c r="K528" s="3" t="s">
        <v>244</v>
      </c>
      <c r="L528" s="44">
        <v>44617.0</v>
      </c>
      <c r="M528" s="150">
        <v>0.5033796296296297</v>
      </c>
      <c r="N528" s="5"/>
      <c r="O528" s="5"/>
      <c r="P528" s="10" t="b">
        <v>0</v>
      </c>
      <c r="Q528" s="10" t="s">
        <v>2184</v>
      </c>
      <c r="R528" s="144" t="b">
        <v>1</v>
      </c>
      <c r="S528" s="144">
        <v>1.0</v>
      </c>
      <c r="T528" s="10"/>
      <c r="U528" s="5"/>
      <c r="V528" s="3"/>
      <c r="W528" s="5"/>
      <c r="X528" s="144" t="b">
        <v>0</v>
      </c>
      <c r="Y528" s="10" t="b">
        <v>0</v>
      </c>
      <c r="Z528" s="3"/>
      <c r="AA528" s="10" t="b">
        <v>0</v>
      </c>
      <c r="AB528" s="10" t="b">
        <v>0</v>
      </c>
      <c r="AC528" s="181">
        <v>240.0</v>
      </c>
      <c r="AD528" s="144" t="b">
        <v>0</v>
      </c>
      <c r="AE528" s="182">
        <v>250.03333333333342</v>
      </c>
      <c r="AF528" s="10" t="b">
        <v>0</v>
      </c>
      <c r="AG528" s="10" t="b">
        <v>0</v>
      </c>
      <c r="AH528" s="144"/>
      <c r="AI528" s="3"/>
      <c r="AJ528" s="10"/>
      <c r="AK528" s="3" t="s">
        <v>244</v>
      </c>
      <c r="AL528" s="5"/>
      <c r="AM528" s="5" t="s">
        <v>1656</v>
      </c>
      <c r="AN528" s="5" t="s">
        <v>1657</v>
      </c>
      <c r="AO528" s="5" t="s">
        <v>2185</v>
      </c>
      <c r="AP528" s="5" t="s">
        <v>2185</v>
      </c>
      <c r="AQ528" s="5" t="s">
        <v>2185</v>
      </c>
      <c r="AR528" s="5" t="s">
        <v>2185</v>
      </c>
      <c r="AS528" s="142"/>
      <c r="AT528" s="142" t="b">
        <v>0</v>
      </c>
      <c r="AU528" s="142"/>
      <c r="AV528" s="142"/>
      <c r="AW528" s="142"/>
      <c r="AX528" s="142"/>
      <c r="AY528" s="142"/>
      <c r="AZ528" s="174"/>
      <c r="BA528" s="142"/>
      <c r="BB528" s="142"/>
      <c r="BC528" s="142"/>
      <c r="BD528" s="142"/>
      <c r="BE528" s="142"/>
      <c r="BF528" s="142"/>
      <c r="BG528" s="142"/>
    </row>
    <row r="529">
      <c r="A529" s="5" t="s">
        <v>1659</v>
      </c>
      <c r="B529" s="44">
        <v>44617.0</v>
      </c>
      <c r="C529" s="150">
        <v>0.3303935185185185</v>
      </c>
      <c r="D529" s="3"/>
      <c r="E529" s="3"/>
      <c r="F529" s="5"/>
      <c r="G529" s="5"/>
      <c r="H529" s="5"/>
      <c r="I529" s="3"/>
      <c r="J529" s="3"/>
      <c r="K529" s="3" t="s">
        <v>244</v>
      </c>
      <c r="L529" s="44">
        <v>44617.0</v>
      </c>
      <c r="M529" s="150">
        <v>0.5033796296296297</v>
      </c>
      <c r="N529" s="5"/>
      <c r="O529" s="5"/>
      <c r="P529" s="10" t="b">
        <v>0</v>
      </c>
      <c r="Q529" s="10" t="s">
        <v>2184</v>
      </c>
      <c r="R529" s="144" t="b">
        <v>1</v>
      </c>
      <c r="S529" s="144">
        <v>1.0</v>
      </c>
      <c r="T529" s="10"/>
      <c r="U529" s="5"/>
      <c r="V529" s="3"/>
      <c r="W529" s="5"/>
      <c r="X529" s="144" t="b">
        <v>0</v>
      </c>
      <c r="Y529" s="10" t="b">
        <v>0</v>
      </c>
      <c r="Z529" s="3"/>
      <c r="AA529" s="10" t="b">
        <v>0</v>
      </c>
      <c r="AB529" s="10" t="b">
        <v>0</v>
      </c>
      <c r="AC529" s="181">
        <v>239.0</v>
      </c>
      <c r="AD529" s="144" t="b">
        <v>0</v>
      </c>
      <c r="AE529" s="182">
        <v>249.10000000000008</v>
      </c>
      <c r="AF529" s="10" t="b">
        <v>0</v>
      </c>
      <c r="AG529" s="10" t="b">
        <v>0</v>
      </c>
      <c r="AH529" s="144"/>
      <c r="AI529" s="3"/>
      <c r="AJ529" s="10"/>
      <c r="AK529" s="3" t="s">
        <v>244</v>
      </c>
      <c r="AL529" s="5"/>
      <c r="AM529" s="5" t="s">
        <v>512</v>
      </c>
      <c r="AN529" s="5" t="s">
        <v>513</v>
      </c>
      <c r="AO529" s="5" t="s">
        <v>2185</v>
      </c>
      <c r="AP529" s="5" t="s">
        <v>2185</v>
      </c>
      <c r="AQ529" s="5" t="s">
        <v>2185</v>
      </c>
      <c r="AR529" s="5" t="s">
        <v>2185</v>
      </c>
      <c r="AS529" s="142"/>
      <c r="AT529" s="142" t="b">
        <v>0</v>
      </c>
      <c r="AU529" s="142"/>
      <c r="AV529" s="142"/>
      <c r="AW529" s="142"/>
      <c r="AX529" s="142"/>
      <c r="AY529" s="142"/>
      <c r="AZ529" s="174"/>
      <c r="BA529" s="142"/>
      <c r="BB529" s="142"/>
      <c r="BC529" s="142"/>
      <c r="BD529" s="142"/>
      <c r="BE529" s="142"/>
      <c r="BF529" s="142"/>
      <c r="BG529" s="142"/>
    </row>
    <row r="530">
      <c r="A530" s="5" t="s">
        <v>1661</v>
      </c>
      <c r="B530" s="44">
        <v>44617.0</v>
      </c>
      <c r="C530" s="150">
        <v>0.3313425925925926</v>
      </c>
      <c r="D530" s="3"/>
      <c r="E530" s="3"/>
      <c r="F530" s="5"/>
      <c r="G530" s="5"/>
      <c r="H530" s="5"/>
      <c r="I530" s="3"/>
      <c r="J530" s="3"/>
      <c r="K530" s="3" t="s">
        <v>244</v>
      </c>
      <c r="L530" s="44">
        <v>44617.0</v>
      </c>
      <c r="M530" s="150">
        <v>0.5033796296296297</v>
      </c>
      <c r="N530" s="5"/>
      <c r="O530" s="5"/>
      <c r="P530" s="10" t="b">
        <v>0</v>
      </c>
      <c r="Q530" s="10" t="s">
        <v>2184</v>
      </c>
      <c r="R530" s="144" t="b">
        <v>1</v>
      </c>
      <c r="S530" s="144">
        <v>1.0</v>
      </c>
      <c r="T530" s="10"/>
      <c r="U530" s="5"/>
      <c r="V530" s="3"/>
      <c r="W530" s="5"/>
      <c r="X530" s="144" t="b">
        <v>0</v>
      </c>
      <c r="Y530" s="10" t="b">
        <v>0</v>
      </c>
      <c r="Z530" s="3"/>
      <c r="AA530" s="10" t="b">
        <v>0</v>
      </c>
      <c r="AB530" s="10" t="b">
        <v>0</v>
      </c>
      <c r="AC530" s="181">
        <v>238.0</v>
      </c>
      <c r="AD530" s="144" t="b">
        <v>0</v>
      </c>
      <c r="AE530" s="182">
        <v>247.73333333333343</v>
      </c>
      <c r="AF530" s="10" t="b">
        <v>0</v>
      </c>
      <c r="AG530" s="10" t="b">
        <v>0</v>
      </c>
      <c r="AH530" s="144"/>
      <c r="AI530" s="3"/>
      <c r="AJ530" s="10"/>
      <c r="AK530" s="3" t="s">
        <v>244</v>
      </c>
      <c r="AL530" s="5"/>
      <c r="AM530" s="5" t="s">
        <v>1662</v>
      </c>
      <c r="AN530" s="5" t="s">
        <v>1663</v>
      </c>
      <c r="AO530" s="5" t="s">
        <v>2185</v>
      </c>
      <c r="AP530" s="5" t="s">
        <v>2185</v>
      </c>
      <c r="AQ530" s="5" t="s">
        <v>2185</v>
      </c>
      <c r="AR530" s="5" t="s">
        <v>2185</v>
      </c>
      <c r="AS530" s="142"/>
      <c r="AT530" s="142" t="b">
        <v>0</v>
      </c>
      <c r="AU530" s="142"/>
      <c r="AV530" s="142"/>
      <c r="AW530" s="142"/>
      <c r="AX530" s="142"/>
      <c r="AY530" s="142"/>
      <c r="AZ530" s="174"/>
      <c r="BA530" s="142"/>
      <c r="BB530" s="142"/>
      <c r="BC530" s="142"/>
      <c r="BD530" s="142"/>
      <c r="BE530" s="142"/>
      <c r="BF530" s="142"/>
      <c r="BG530" s="142"/>
    </row>
    <row r="531">
      <c r="A531" s="5" t="s">
        <v>1665</v>
      </c>
      <c r="B531" s="44">
        <v>44617.0</v>
      </c>
      <c r="C531" s="150">
        <v>0.3313773148148148</v>
      </c>
      <c r="D531" s="3"/>
      <c r="E531" s="3"/>
      <c r="F531" s="5"/>
      <c r="G531" s="5"/>
      <c r="H531" s="5"/>
      <c r="I531" s="3"/>
      <c r="J531" s="3"/>
      <c r="K531" s="3" t="s">
        <v>244</v>
      </c>
      <c r="L531" s="44">
        <v>44617.0</v>
      </c>
      <c r="M531" s="150">
        <v>0.5033796296296297</v>
      </c>
      <c r="N531" s="5"/>
      <c r="O531" s="5"/>
      <c r="P531" s="10" t="b">
        <v>0</v>
      </c>
      <c r="Q531" s="10" t="s">
        <v>2184</v>
      </c>
      <c r="R531" s="144" t="b">
        <v>1</v>
      </c>
      <c r="S531" s="144">
        <v>1.0</v>
      </c>
      <c r="T531" s="10"/>
      <c r="U531" s="5"/>
      <c r="V531" s="3"/>
      <c r="W531" s="5"/>
      <c r="X531" s="144" t="b">
        <v>0</v>
      </c>
      <c r="Y531" s="10" t="b">
        <v>0</v>
      </c>
      <c r="Z531" s="3"/>
      <c r="AA531" s="10" t="b">
        <v>0</v>
      </c>
      <c r="AB531" s="10" t="b">
        <v>0</v>
      </c>
      <c r="AC531" s="181">
        <v>237.0</v>
      </c>
      <c r="AD531" s="144" t="b">
        <v>0</v>
      </c>
      <c r="AE531" s="182">
        <v>247.68333333333342</v>
      </c>
      <c r="AF531" s="10" t="b">
        <v>0</v>
      </c>
      <c r="AG531" s="10" t="b">
        <v>0</v>
      </c>
      <c r="AH531" s="144"/>
      <c r="AI531" s="3"/>
      <c r="AJ531" s="10"/>
      <c r="AK531" s="3" t="s">
        <v>244</v>
      </c>
      <c r="AL531" s="5"/>
      <c r="AM531" s="5" t="s">
        <v>318</v>
      </c>
      <c r="AN531" s="5" t="s">
        <v>319</v>
      </c>
      <c r="AO531" s="5" t="s">
        <v>2185</v>
      </c>
      <c r="AP531" s="5" t="s">
        <v>2185</v>
      </c>
      <c r="AQ531" s="5" t="s">
        <v>2185</v>
      </c>
      <c r="AR531" s="5" t="s">
        <v>2185</v>
      </c>
      <c r="AS531" s="142"/>
      <c r="AT531" s="142" t="b">
        <v>0</v>
      </c>
      <c r="AU531" s="142"/>
      <c r="AV531" s="142"/>
      <c r="AW531" s="142"/>
      <c r="AX531" s="142"/>
      <c r="AY531" s="142"/>
      <c r="AZ531" s="174"/>
      <c r="BA531" s="142"/>
      <c r="BB531" s="142"/>
      <c r="BC531" s="142"/>
      <c r="BD531" s="142"/>
      <c r="BE531" s="142"/>
      <c r="BF531" s="142"/>
      <c r="BG531" s="142"/>
    </row>
    <row r="532">
      <c r="A532" s="5" t="s">
        <v>1667</v>
      </c>
      <c r="B532" s="44">
        <v>44617.0</v>
      </c>
      <c r="C532" s="150">
        <v>0.33167824074074076</v>
      </c>
      <c r="D532" s="3"/>
      <c r="E532" s="3"/>
      <c r="F532" s="5"/>
      <c r="G532" s="5"/>
      <c r="H532" s="5"/>
      <c r="I532" s="3"/>
      <c r="J532" s="3"/>
      <c r="K532" s="3" t="s">
        <v>244</v>
      </c>
      <c r="L532" s="44">
        <v>44617.0</v>
      </c>
      <c r="M532" s="150">
        <v>0.5033796296296297</v>
      </c>
      <c r="N532" s="5"/>
      <c r="O532" s="5"/>
      <c r="P532" s="10" t="b">
        <v>0</v>
      </c>
      <c r="Q532" s="10" t="s">
        <v>2184</v>
      </c>
      <c r="R532" s="144" t="b">
        <v>1</v>
      </c>
      <c r="S532" s="144">
        <v>1.0</v>
      </c>
      <c r="T532" s="10"/>
      <c r="U532" s="5"/>
      <c r="V532" s="3"/>
      <c r="W532" s="5"/>
      <c r="X532" s="144" t="b">
        <v>0</v>
      </c>
      <c r="Y532" s="10" t="b">
        <v>0</v>
      </c>
      <c r="Z532" s="3"/>
      <c r="AA532" s="10" t="b">
        <v>0</v>
      </c>
      <c r="AB532" s="10" t="b">
        <v>0</v>
      </c>
      <c r="AC532" s="181">
        <v>236.0</v>
      </c>
      <c r="AD532" s="144" t="b">
        <v>0</v>
      </c>
      <c r="AE532" s="182">
        <v>247.25</v>
      </c>
      <c r="AF532" s="10" t="b">
        <v>0</v>
      </c>
      <c r="AG532" s="10" t="b">
        <v>0</v>
      </c>
      <c r="AH532" s="144"/>
      <c r="AI532" s="3"/>
      <c r="AJ532" s="10"/>
      <c r="AK532" s="3" t="s">
        <v>244</v>
      </c>
      <c r="AL532" s="5"/>
      <c r="AM532" s="5" t="s">
        <v>318</v>
      </c>
      <c r="AN532" s="5" t="s">
        <v>1465</v>
      </c>
      <c r="AO532" s="5" t="s">
        <v>2185</v>
      </c>
      <c r="AP532" s="5" t="s">
        <v>2185</v>
      </c>
      <c r="AQ532" s="5" t="s">
        <v>2185</v>
      </c>
      <c r="AR532" s="5" t="s">
        <v>2185</v>
      </c>
      <c r="AS532" s="142"/>
      <c r="AT532" s="142" t="b">
        <v>0</v>
      </c>
      <c r="AU532" s="142"/>
      <c r="AV532" s="142"/>
      <c r="AW532" s="142"/>
      <c r="AX532" s="142"/>
      <c r="AY532" s="142"/>
      <c r="AZ532" s="174"/>
      <c r="BA532" s="142"/>
      <c r="BB532" s="142"/>
      <c r="BC532" s="142"/>
      <c r="BD532" s="142"/>
      <c r="BE532" s="142"/>
      <c r="BF532" s="142"/>
      <c r="BG532" s="142"/>
    </row>
    <row r="533">
      <c r="A533" s="5" t="s">
        <v>1669</v>
      </c>
      <c r="B533" s="44">
        <v>44617.0</v>
      </c>
      <c r="C533" s="150">
        <v>0.3319328703703704</v>
      </c>
      <c r="D533" s="3"/>
      <c r="E533" s="3"/>
      <c r="F533" s="5"/>
      <c r="G533" s="5"/>
      <c r="H533" s="5"/>
      <c r="I533" s="3"/>
      <c r="J533" s="3"/>
      <c r="K533" s="3" t="s">
        <v>244</v>
      </c>
      <c r="L533" s="44">
        <v>44617.0</v>
      </c>
      <c r="M533" s="150">
        <v>0.5033796296296297</v>
      </c>
      <c r="N533" s="5"/>
      <c r="O533" s="5"/>
      <c r="P533" s="10" t="b">
        <v>0</v>
      </c>
      <c r="Q533" s="10" t="s">
        <v>2184</v>
      </c>
      <c r="R533" s="144" t="b">
        <v>1</v>
      </c>
      <c r="S533" s="144">
        <v>1.0</v>
      </c>
      <c r="T533" s="10"/>
      <c r="U533" s="5"/>
      <c r="V533" s="3"/>
      <c r="W533" s="5"/>
      <c r="X533" s="144" t="b">
        <v>0</v>
      </c>
      <c r="Y533" s="10" t="b">
        <v>0</v>
      </c>
      <c r="Z533" s="3"/>
      <c r="AA533" s="10" t="b">
        <v>0</v>
      </c>
      <c r="AB533" s="10" t="b">
        <v>0</v>
      </c>
      <c r="AC533" s="181">
        <v>235.0</v>
      </c>
      <c r="AD533" s="144" t="b">
        <v>0</v>
      </c>
      <c r="AE533" s="182">
        <v>246.88333333333338</v>
      </c>
      <c r="AF533" s="10" t="b">
        <v>0</v>
      </c>
      <c r="AG533" s="10" t="b">
        <v>0</v>
      </c>
      <c r="AH533" s="144"/>
      <c r="AI533" s="3"/>
      <c r="AJ533" s="10"/>
      <c r="AK533" s="3" t="s">
        <v>244</v>
      </c>
      <c r="AL533" s="5"/>
      <c r="AM533" s="5" t="s">
        <v>307</v>
      </c>
      <c r="AN533" s="5" t="s">
        <v>266</v>
      </c>
      <c r="AO533" s="5" t="s">
        <v>2185</v>
      </c>
      <c r="AP533" s="5" t="s">
        <v>2185</v>
      </c>
      <c r="AQ533" s="5" t="s">
        <v>2185</v>
      </c>
      <c r="AR533" s="5" t="s">
        <v>2185</v>
      </c>
      <c r="AS533" s="142"/>
      <c r="AT533" s="142" t="b">
        <v>0</v>
      </c>
      <c r="AU533" s="142"/>
      <c r="AV533" s="142"/>
      <c r="AW533" s="142"/>
      <c r="AX533" s="142"/>
      <c r="AY533" s="142"/>
      <c r="AZ533" s="174"/>
      <c r="BA533" s="142"/>
      <c r="BB533" s="142"/>
      <c r="BC533" s="142"/>
      <c r="BD533" s="142"/>
      <c r="BE533" s="142"/>
      <c r="BF533" s="142"/>
      <c r="BG533" s="142"/>
    </row>
    <row r="534">
      <c r="A534" s="5" t="s">
        <v>1671</v>
      </c>
      <c r="B534" s="44">
        <v>44617.0</v>
      </c>
      <c r="C534" s="150">
        <v>0.3321875</v>
      </c>
      <c r="D534" s="3"/>
      <c r="E534" s="3"/>
      <c r="F534" s="5"/>
      <c r="G534" s="5"/>
      <c r="H534" s="5"/>
      <c r="I534" s="3"/>
      <c r="J534" s="3"/>
      <c r="K534" s="3" t="s">
        <v>244</v>
      </c>
      <c r="L534" s="44">
        <v>44617.0</v>
      </c>
      <c r="M534" s="150">
        <v>0.5033796296296297</v>
      </c>
      <c r="N534" s="5"/>
      <c r="O534" s="5"/>
      <c r="P534" s="10" t="b">
        <v>0</v>
      </c>
      <c r="Q534" s="10" t="s">
        <v>2184</v>
      </c>
      <c r="R534" s="144" t="b">
        <v>1</v>
      </c>
      <c r="S534" s="144">
        <v>1.0</v>
      </c>
      <c r="T534" s="10"/>
      <c r="U534" s="5"/>
      <c r="V534" s="3"/>
      <c r="W534" s="5"/>
      <c r="X534" s="144" t="b">
        <v>0</v>
      </c>
      <c r="Y534" s="10" t="b">
        <v>0</v>
      </c>
      <c r="Z534" s="3"/>
      <c r="AA534" s="10" t="b">
        <v>0</v>
      </c>
      <c r="AB534" s="10" t="b">
        <v>0</v>
      </c>
      <c r="AC534" s="181">
        <v>234.0</v>
      </c>
      <c r="AD534" s="144" t="b">
        <v>0</v>
      </c>
      <c r="AE534" s="182">
        <v>246.51666666666668</v>
      </c>
      <c r="AF534" s="10" t="b">
        <v>0</v>
      </c>
      <c r="AG534" s="10" t="b">
        <v>0</v>
      </c>
      <c r="AH534" s="144"/>
      <c r="AI534" s="3"/>
      <c r="AJ534" s="10"/>
      <c r="AK534" s="3" t="s">
        <v>244</v>
      </c>
      <c r="AL534" s="5"/>
      <c r="AM534" s="5" t="s">
        <v>870</v>
      </c>
      <c r="AN534" s="5" t="s">
        <v>533</v>
      </c>
      <c r="AO534" s="5" t="s">
        <v>2185</v>
      </c>
      <c r="AP534" s="5" t="s">
        <v>2185</v>
      </c>
      <c r="AQ534" s="5" t="s">
        <v>2185</v>
      </c>
      <c r="AR534" s="5" t="s">
        <v>2185</v>
      </c>
      <c r="AS534" s="142"/>
      <c r="AT534" s="142" t="b">
        <v>0</v>
      </c>
      <c r="AU534" s="142"/>
      <c r="AV534" s="142"/>
      <c r="AW534" s="142"/>
      <c r="AX534" s="142"/>
      <c r="AY534" s="142"/>
      <c r="AZ534" s="174"/>
      <c r="BA534" s="142"/>
      <c r="BB534" s="142"/>
      <c r="BC534" s="142"/>
      <c r="BD534" s="142"/>
      <c r="BE534" s="142"/>
      <c r="BF534" s="142"/>
      <c r="BG534" s="142"/>
    </row>
    <row r="535">
      <c r="A535" s="5" t="s">
        <v>1673</v>
      </c>
      <c r="B535" s="44">
        <v>44617.0</v>
      </c>
      <c r="C535" s="150">
        <v>0.3329050925925926</v>
      </c>
      <c r="D535" s="3"/>
      <c r="E535" s="3"/>
      <c r="F535" s="5"/>
      <c r="G535" s="5"/>
      <c r="H535" s="5"/>
      <c r="I535" s="3"/>
      <c r="J535" s="3"/>
      <c r="K535" s="3" t="s">
        <v>244</v>
      </c>
      <c r="L535" s="44">
        <v>44617.0</v>
      </c>
      <c r="M535" s="150">
        <v>0.5033796296296297</v>
      </c>
      <c r="N535" s="5"/>
      <c r="O535" s="5"/>
      <c r="P535" s="10" t="b">
        <v>0</v>
      </c>
      <c r="Q535" s="10" t="s">
        <v>2184</v>
      </c>
      <c r="R535" s="144" t="b">
        <v>1</v>
      </c>
      <c r="S535" s="144">
        <v>1.0</v>
      </c>
      <c r="T535" s="10"/>
      <c r="U535" s="5"/>
      <c r="V535" s="3"/>
      <c r="W535" s="5"/>
      <c r="X535" s="144" t="b">
        <v>0</v>
      </c>
      <c r="Y535" s="10" t="b">
        <v>0</v>
      </c>
      <c r="Z535" s="3"/>
      <c r="AA535" s="10" t="b">
        <v>0</v>
      </c>
      <c r="AB535" s="10" t="b">
        <v>0</v>
      </c>
      <c r="AC535" s="181">
        <v>233.0</v>
      </c>
      <c r="AD535" s="144" t="b">
        <v>0</v>
      </c>
      <c r="AE535" s="182">
        <v>245.4833333333334</v>
      </c>
      <c r="AF535" s="10" t="b">
        <v>0</v>
      </c>
      <c r="AG535" s="10" t="b">
        <v>0</v>
      </c>
      <c r="AH535" s="144"/>
      <c r="AI535" s="3"/>
      <c r="AJ535" s="10"/>
      <c r="AK535" s="3" t="s">
        <v>244</v>
      </c>
      <c r="AL535" s="5"/>
      <c r="AM535" s="5" t="s">
        <v>1454</v>
      </c>
      <c r="AN535" s="5" t="s">
        <v>1455</v>
      </c>
      <c r="AO535" s="5" t="s">
        <v>2185</v>
      </c>
      <c r="AP535" s="5" t="s">
        <v>2185</v>
      </c>
      <c r="AQ535" s="5" t="s">
        <v>2185</v>
      </c>
      <c r="AR535" s="5" t="s">
        <v>2185</v>
      </c>
      <c r="AS535" s="142"/>
      <c r="AT535" s="142" t="b">
        <v>0</v>
      </c>
      <c r="AU535" s="142"/>
      <c r="AV535" s="142"/>
      <c r="AW535" s="142"/>
      <c r="AX535" s="142"/>
      <c r="AY535" s="142"/>
      <c r="AZ535" s="174"/>
      <c r="BA535" s="142"/>
      <c r="BB535" s="142"/>
      <c r="BC535" s="142"/>
      <c r="BD535" s="142"/>
      <c r="BE535" s="142"/>
      <c r="BF535" s="142"/>
      <c r="BG535" s="142"/>
    </row>
    <row r="536">
      <c r="A536" s="5" t="s">
        <v>1675</v>
      </c>
      <c r="B536" s="44">
        <v>44617.0</v>
      </c>
      <c r="C536" s="150">
        <v>0.3387847222222222</v>
      </c>
      <c r="D536" s="3"/>
      <c r="E536" s="3"/>
      <c r="F536" s="5"/>
      <c r="G536" s="5"/>
      <c r="H536" s="5"/>
      <c r="I536" s="3"/>
      <c r="J536" s="3"/>
      <c r="K536" s="3" t="s">
        <v>244</v>
      </c>
      <c r="L536" s="44">
        <v>44617.0</v>
      </c>
      <c r="M536" s="150">
        <v>0.5033796296296297</v>
      </c>
      <c r="N536" s="5"/>
      <c r="O536" s="5"/>
      <c r="P536" s="10" t="b">
        <v>0</v>
      </c>
      <c r="Q536" s="10" t="s">
        <v>2184</v>
      </c>
      <c r="R536" s="144" t="b">
        <v>1</v>
      </c>
      <c r="S536" s="144">
        <v>1.0</v>
      </c>
      <c r="T536" s="10"/>
      <c r="U536" s="5"/>
      <c r="V536" s="3"/>
      <c r="W536" s="5"/>
      <c r="X536" s="144" t="b">
        <v>0</v>
      </c>
      <c r="Y536" s="10" t="b">
        <v>0</v>
      </c>
      <c r="Z536" s="3"/>
      <c r="AA536" s="10" t="b">
        <v>0</v>
      </c>
      <c r="AB536" s="10" t="b">
        <v>0</v>
      </c>
      <c r="AC536" s="181">
        <v>232.0</v>
      </c>
      <c r="AD536" s="144" t="b">
        <v>0</v>
      </c>
      <c r="AE536" s="182">
        <v>237.01666666666674</v>
      </c>
      <c r="AF536" s="10" t="b">
        <v>0</v>
      </c>
      <c r="AG536" s="10" t="b">
        <v>0</v>
      </c>
      <c r="AH536" s="144"/>
      <c r="AI536" s="3"/>
      <c r="AJ536" s="10"/>
      <c r="AK536" s="3" t="s">
        <v>244</v>
      </c>
      <c r="AL536" s="5"/>
      <c r="AM536" s="5" t="s">
        <v>717</v>
      </c>
      <c r="AN536" s="5" t="s">
        <v>718</v>
      </c>
      <c r="AO536" s="5" t="s">
        <v>2185</v>
      </c>
      <c r="AP536" s="5" t="s">
        <v>2185</v>
      </c>
      <c r="AQ536" s="5" t="s">
        <v>2185</v>
      </c>
      <c r="AR536" s="5" t="s">
        <v>2185</v>
      </c>
      <c r="AS536" s="142"/>
      <c r="AT536" s="142" t="b">
        <v>0</v>
      </c>
      <c r="AU536" s="142"/>
      <c r="AV536" s="142"/>
      <c r="AW536" s="142"/>
      <c r="AX536" s="142"/>
      <c r="AY536" s="142"/>
      <c r="AZ536" s="174"/>
      <c r="BA536" s="142"/>
      <c r="BB536" s="142"/>
      <c r="BC536" s="142"/>
      <c r="BD536" s="142"/>
      <c r="BE536" s="142"/>
      <c r="BF536" s="142"/>
      <c r="BG536" s="142"/>
    </row>
    <row r="537">
      <c r="A537" s="5" t="s">
        <v>1677</v>
      </c>
      <c r="B537" s="44">
        <v>44617.0</v>
      </c>
      <c r="C537" s="150">
        <v>0.34032407407407406</v>
      </c>
      <c r="D537" s="3"/>
      <c r="E537" s="3"/>
      <c r="F537" s="5"/>
      <c r="G537" s="5"/>
      <c r="H537" s="5"/>
      <c r="I537" s="3"/>
      <c r="J537" s="3"/>
      <c r="K537" s="3" t="s">
        <v>244</v>
      </c>
      <c r="L537" s="44">
        <v>44617.0</v>
      </c>
      <c r="M537" s="150">
        <v>0.5033796296296297</v>
      </c>
      <c r="N537" s="5"/>
      <c r="O537" s="5"/>
      <c r="P537" s="10" t="b">
        <v>0</v>
      </c>
      <c r="Q537" s="10" t="s">
        <v>2184</v>
      </c>
      <c r="R537" s="144" t="b">
        <v>1</v>
      </c>
      <c r="S537" s="144">
        <v>1.0</v>
      </c>
      <c r="T537" s="10"/>
      <c r="U537" s="5"/>
      <c r="V537" s="3"/>
      <c r="W537" s="5"/>
      <c r="X537" s="144" t="b">
        <v>0</v>
      </c>
      <c r="Y537" s="10" t="b">
        <v>0</v>
      </c>
      <c r="Z537" s="3"/>
      <c r="AA537" s="10" t="b">
        <v>0</v>
      </c>
      <c r="AB537" s="10" t="b">
        <v>0</v>
      </c>
      <c r="AC537" s="181">
        <v>231.0</v>
      </c>
      <c r="AD537" s="144" t="b">
        <v>0</v>
      </c>
      <c r="AE537" s="182">
        <v>234.8000000000001</v>
      </c>
      <c r="AF537" s="10" t="b">
        <v>0</v>
      </c>
      <c r="AG537" s="10" t="b">
        <v>0</v>
      </c>
      <c r="AH537" s="144"/>
      <c r="AI537" s="3"/>
      <c r="AJ537" s="10"/>
      <c r="AK537" s="3" t="s">
        <v>244</v>
      </c>
      <c r="AL537" s="5"/>
      <c r="AM537" s="5" t="s">
        <v>322</v>
      </c>
      <c r="AN537" s="5" t="s">
        <v>323</v>
      </c>
      <c r="AO537" s="5" t="s">
        <v>2185</v>
      </c>
      <c r="AP537" s="5" t="s">
        <v>2185</v>
      </c>
      <c r="AQ537" s="5" t="s">
        <v>2185</v>
      </c>
      <c r="AR537" s="5" t="s">
        <v>2185</v>
      </c>
      <c r="AS537" s="142"/>
      <c r="AT537" s="142" t="b">
        <v>0</v>
      </c>
      <c r="AU537" s="142"/>
      <c r="AV537" s="142"/>
      <c r="AW537" s="142"/>
      <c r="AX537" s="142"/>
      <c r="AY537" s="142"/>
      <c r="AZ537" s="174"/>
      <c r="BA537" s="142"/>
      <c r="BB537" s="142"/>
      <c r="BC537" s="142"/>
      <c r="BD537" s="142"/>
      <c r="BE537" s="142"/>
      <c r="BF537" s="142"/>
      <c r="BG537" s="142"/>
    </row>
    <row r="538">
      <c r="A538" s="5" t="s">
        <v>1679</v>
      </c>
      <c r="B538" s="44">
        <v>44617.0</v>
      </c>
      <c r="C538" s="150">
        <v>0.34774305555555557</v>
      </c>
      <c r="D538" s="3"/>
      <c r="E538" s="3"/>
      <c r="F538" s="5"/>
      <c r="G538" s="5"/>
      <c r="H538" s="5"/>
      <c r="I538" s="3"/>
      <c r="J538" s="3"/>
      <c r="K538" s="3" t="s">
        <v>244</v>
      </c>
      <c r="L538" s="44">
        <v>44617.0</v>
      </c>
      <c r="M538" s="150">
        <v>0.5033796296296297</v>
      </c>
      <c r="N538" s="5"/>
      <c r="O538" s="5"/>
      <c r="P538" s="10" t="b">
        <v>0</v>
      </c>
      <c r="Q538" s="10" t="s">
        <v>2184</v>
      </c>
      <c r="R538" s="144" t="b">
        <v>1</v>
      </c>
      <c r="S538" s="144">
        <v>1.0</v>
      </c>
      <c r="T538" s="10">
        <v>0.0</v>
      </c>
      <c r="U538" s="5"/>
      <c r="V538" s="3"/>
      <c r="W538" s="5"/>
      <c r="X538" s="144" t="b">
        <v>0</v>
      </c>
      <c r="Y538" s="10" t="b">
        <v>0</v>
      </c>
      <c r="Z538" s="3"/>
      <c r="AA538" s="10" t="b">
        <v>0</v>
      </c>
      <c r="AB538" s="10" t="b">
        <v>0</v>
      </c>
      <c r="AC538" s="181">
        <v>230.0</v>
      </c>
      <c r="AD538" s="144" t="b">
        <v>0</v>
      </c>
      <c r="AE538" s="182">
        <v>224.1166666666667</v>
      </c>
      <c r="AF538" s="10" t="b">
        <v>0</v>
      </c>
      <c r="AG538" s="10" t="b">
        <v>0</v>
      </c>
      <c r="AH538" s="144"/>
      <c r="AI538" s="3"/>
      <c r="AJ538" s="10"/>
      <c r="AK538" s="3" t="s">
        <v>244</v>
      </c>
      <c r="AL538" s="5"/>
      <c r="AM538" s="5" t="s">
        <v>1270</v>
      </c>
      <c r="AN538" s="5" t="s">
        <v>1680</v>
      </c>
      <c r="AO538" s="5" t="s">
        <v>2185</v>
      </c>
      <c r="AP538" s="5" t="s">
        <v>2185</v>
      </c>
      <c r="AQ538" s="5" t="s">
        <v>2185</v>
      </c>
      <c r="AR538" s="5" t="s">
        <v>2185</v>
      </c>
      <c r="AS538" s="142"/>
      <c r="AT538" s="142" t="b">
        <v>0</v>
      </c>
      <c r="AU538" s="142"/>
      <c r="AV538" s="142"/>
      <c r="AW538" s="142"/>
      <c r="AX538" s="142"/>
      <c r="AY538" s="142"/>
      <c r="AZ538" s="174"/>
      <c r="BA538" s="142"/>
      <c r="BB538" s="142"/>
      <c r="BC538" s="142"/>
      <c r="BD538" s="142"/>
      <c r="BE538" s="142"/>
      <c r="BF538" s="142"/>
      <c r="BG538" s="142"/>
    </row>
    <row r="539">
      <c r="A539" s="5" t="s">
        <v>1682</v>
      </c>
      <c r="B539" s="44">
        <v>44617.0</v>
      </c>
      <c r="C539" s="150">
        <v>0.3486342592592593</v>
      </c>
      <c r="D539" s="3"/>
      <c r="E539" s="3"/>
      <c r="F539" s="5"/>
      <c r="G539" s="5"/>
      <c r="H539" s="5"/>
      <c r="I539" s="3"/>
      <c r="J539" s="3"/>
      <c r="K539" s="3" t="s">
        <v>244</v>
      </c>
      <c r="L539" s="44">
        <v>44617.0</v>
      </c>
      <c r="M539" s="150">
        <v>0.5033796296296297</v>
      </c>
      <c r="N539" s="5"/>
      <c r="O539" s="5"/>
      <c r="P539" s="10" t="b">
        <v>0</v>
      </c>
      <c r="Q539" s="10" t="s">
        <v>2184</v>
      </c>
      <c r="R539" s="144" t="b">
        <v>1</v>
      </c>
      <c r="S539" s="144">
        <v>1.0</v>
      </c>
      <c r="T539" s="10"/>
      <c r="U539" s="5"/>
      <c r="V539" s="3"/>
      <c r="W539" s="5"/>
      <c r="X539" s="144" t="b">
        <v>0</v>
      </c>
      <c r="Y539" s="10" t="b">
        <v>0</v>
      </c>
      <c r="Z539" s="3"/>
      <c r="AA539" s="10" t="b">
        <v>0</v>
      </c>
      <c r="AB539" s="10" t="b">
        <v>0</v>
      </c>
      <c r="AC539" s="181">
        <v>229.0</v>
      </c>
      <c r="AD539" s="144" t="b">
        <v>0</v>
      </c>
      <c r="AE539" s="182">
        <v>222.83333333333337</v>
      </c>
      <c r="AF539" s="10" t="b">
        <v>0</v>
      </c>
      <c r="AG539" s="10" t="b">
        <v>0</v>
      </c>
      <c r="AH539" s="144"/>
      <c r="AI539" s="3"/>
      <c r="AJ539" s="10"/>
      <c r="AK539" s="3" t="s">
        <v>244</v>
      </c>
      <c r="AL539" s="5"/>
      <c r="AM539" s="5" t="s">
        <v>1270</v>
      </c>
      <c r="AN539" s="5" t="s">
        <v>1271</v>
      </c>
      <c r="AO539" s="5" t="s">
        <v>2185</v>
      </c>
      <c r="AP539" s="5" t="s">
        <v>2185</v>
      </c>
      <c r="AQ539" s="5" t="s">
        <v>2185</v>
      </c>
      <c r="AR539" s="5" t="s">
        <v>2185</v>
      </c>
      <c r="AS539" s="142"/>
      <c r="AT539" s="142" t="b">
        <v>0</v>
      </c>
      <c r="AU539" s="142"/>
      <c r="AV539" s="142"/>
      <c r="AW539" s="142"/>
      <c r="AX539" s="142"/>
      <c r="AY539" s="142"/>
      <c r="AZ539" s="174"/>
      <c r="BA539" s="142"/>
      <c r="BB539" s="142"/>
      <c r="BC539" s="142"/>
      <c r="BD539" s="142"/>
      <c r="BE539" s="142"/>
      <c r="BF539" s="142"/>
      <c r="BG539" s="142"/>
    </row>
    <row r="540">
      <c r="A540" s="5" t="s">
        <v>1684</v>
      </c>
      <c r="B540" s="44">
        <v>44617.0</v>
      </c>
      <c r="C540" s="150">
        <v>0.3496412037037037</v>
      </c>
      <c r="D540" s="3"/>
      <c r="E540" s="3"/>
      <c r="F540" s="5"/>
      <c r="G540" s="5"/>
      <c r="H540" s="5"/>
      <c r="I540" s="3"/>
      <c r="J540" s="3"/>
      <c r="K540" s="3" t="s">
        <v>244</v>
      </c>
      <c r="L540" s="44">
        <v>44617.0</v>
      </c>
      <c r="M540" s="150">
        <v>0.5033796296296297</v>
      </c>
      <c r="N540" s="5"/>
      <c r="O540" s="5"/>
      <c r="P540" s="10" t="b">
        <v>0</v>
      </c>
      <c r="Q540" s="10" t="s">
        <v>2184</v>
      </c>
      <c r="R540" s="144" t="b">
        <v>1</v>
      </c>
      <c r="S540" s="144">
        <v>1.0</v>
      </c>
      <c r="T540" s="10">
        <v>0.0</v>
      </c>
      <c r="U540" s="5"/>
      <c r="V540" s="3"/>
      <c r="W540" s="5"/>
      <c r="X540" s="144" t="b">
        <v>0</v>
      </c>
      <c r="Y540" s="10" t="b">
        <v>0</v>
      </c>
      <c r="Z540" s="3"/>
      <c r="AA540" s="10" t="b">
        <v>0</v>
      </c>
      <c r="AB540" s="10" t="b">
        <v>0</v>
      </c>
      <c r="AC540" s="181">
        <v>228.0</v>
      </c>
      <c r="AD540" s="144" t="b">
        <v>0</v>
      </c>
      <c r="AE540" s="182">
        <v>221.38333333333338</v>
      </c>
      <c r="AF540" s="10" t="b">
        <v>0</v>
      </c>
      <c r="AG540" s="10" t="b">
        <v>0</v>
      </c>
      <c r="AH540" s="144"/>
      <c r="AI540" s="3"/>
      <c r="AJ540" s="10"/>
      <c r="AK540" s="3" t="s">
        <v>244</v>
      </c>
      <c r="AL540" s="5"/>
      <c r="AM540" s="5" t="s">
        <v>1270</v>
      </c>
      <c r="AN540" s="5" t="s">
        <v>1685</v>
      </c>
      <c r="AO540" s="5" t="s">
        <v>2185</v>
      </c>
      <c r="AP540" s="5" t="s">
        <v>2185</v>
      </c>
      <c r="AQ540" s="5" t="s">
        <v>2185</v>
      </c>
      <c r="AR540" s="5" t="s">
        <v>2185</v>
      </c>
      <c r="AS540" s="142"/>
      <c r="AT540" s="142" t="b">
        <v>0</v>
      </c>
      <c r="AU540" s="142"/>
      <c r="AV540" s="142"/>
      <c r="AW540" s="142"/>
      <c r="AX540" s="142"/>
      <c r="AY540" s="142"/>
      <c r="AZ540" s="174"/>
      <c r="BA540" s="142"/>
      <c r="BB540" s="142"/>
      <c r="BC540" s="142"/>
      <c r="BD540" s="142"/>
      <c r="BE540" s="142"/>
      <c r="BF540" s="142"/>
      <c r="BG540" s="142"/>
    </row>
    <row r="541">
      <c r="A541" s="5" t="s">
        <v>1687</v>
      </c>
      <c r="B541" s="44">
        <v>44617.0</v>
      </c>
      <c r="C541" s="150">
        <v>0.41888888888888887</v>
      </c>
      <c r="D541" s="3"/>
      <c r="E541" s="3"/>
      <c r="F541" s="5"/>
      <c r="G541" s="5"/>
      <c r="H541" s="5"/>
      <c r="I541" s="3"/>
      <c r="J541" s="3"/>
      <c r="K541" s="3" t="s">
        <v>244</v>
      </c>
      <c r="L541" s="44">
        <v>44617.0</v>
      </c>
      <c r="M541" s="150">
        <v>0.5033912037037037</v>
      </c>
      <c r="N541" s="5"/>
      <c r="O541" s="5"/>
      <c r="P541" s="10" t="b">
        <v>0</v>
      </c>
      <c r="Q541" s="10" t="s">
        <v>2184</v>
      </c>
      <c r="R541" s="144" t="b">
        <v>1</v>
      </c>
      <c r="S541" s="144">
        <v>1.0</v>
      </c>
      <c r="T541" s="10"/>
      <c r="U541" s="5"/>
      <c r="V541" s="3"/>
      <c r="W541" s="5"/>
      <c r="X541" s="144" t="b">
        <v>0</v>
      </c>
      <c r="Y541" s="10" t="b">
        <v>0</v>
      </c>
      <c r="Z541" s="3"/>
      <c r="AA541" s="10" t="b">
        <v>0</v>
      </c>
      <c r="AB541" s="10" t="b">
        <v>0</v>
      </c>
      <c r="AC541" s="181">
        <v>227.0</v>
      </c>
      <c r="AD541" s="144" t="b">
        <v>0</v>
      </c>
      <c r="AE541" s="182">
        <v>121.68333333333338</v>
      </c>
      <c r="AF541" s="10" t="b">
        <v>0</v>
      </c>
      <c r="AG541" s="10" t="b">
        <v>0</v>
      </c>
      <c r="AH541" s="144"/>
      <c r="AI541" s="3"/>
      <c r="AJ541" s="10"/>
      <c r="AK541" s="3" t="s">
        <v>244</v>
      </c>
      <c r="AL541" s="5"/>
      <c r="AM541" s="5" t="s">
        <v>261</v>
      </c>
      <c r="AN541" s="5" t="s">
        <v>893</v>
      </c>
      <c r="AO541" s="5" t="s">
        <v>2185</v>
      </c>
      <c r="AP541" s="5" t="s">
        <v>2185</v>
      </c>
      <c r="AQ541" s="5" t="s">
        <v>2185</v>
      </c>
      <c r="AR541" s="5" t="s">
        <v>2185</v>
      </c>
      <c r="AS541" s="142"/>
      <c r="AT541" s="142" t="b">
        <v>0</v>
      </c>
      <c r="AU541" s="142"/>
      <c r="AV541" s="142"/>
      <c r="AW541" s="142"/>
      <c r="AX541" s="142"/>
      <c r="AY541" s="142"/>
      <c r="AZ541" s="174"/>
      <c r="BA541" s="142"/>
      <c r="BB541" s="142"/>
      <c r="BC541" s="142"/>
      <c r="BD541" s="142"/>
      <c r="BE541" s="142"/>
      <c r="BF541" s="142"/>
      <c r="BG541" s="142"/>
    </row>
    <row r="542">
      <c r="A542" s="5" t="s">
        <v>1689</v>
      </c>
      <c r="B542" s="44">
        <v>44619.0</v>
      </c>
      <c r="C542" s="150">
        <v>0.26229166666666665</v>
      </c>
      <c r="D542" s="3"/>
      <c r="E542" s="3"/>
      <c r="F542" s="5"/>
      <c r="G542" s="5"/>
      <c r="H542" s="5"/>
      <c r="I542" s="3"/>
      <c r="J542" s="3"/>
      <c r="K542" s="3" t="s">
        <v>244</v>
      </c>
      <c r="L542" s="44">
        <v>44621.0</v>
      </c>
      <c r="M542" s="150">
        <v>0.47833333333333333</v>
      </c>
      <c r="N542" s="5"/>
      <c r="O542" s="5"/>
      <c r="P542" s="10" t="b">
        <v>0</v>
      </c>
      <c r="Q542" s="10" t="s">
        <v>2184</v>
      </c>
      <c r="R542" s="144" t="b">
        <v>1</v>
      </c>
      <c r="S542" s="144">
        <v>1.0</v>
      </c>
      <c r="T542" s="10"/>
      <c r="U542" s="5"/>
      <c r="V542" s="3"/>
      <c r="W542" s="5"/>
      <c r="X542" s="144" t="b">
        <v>0</v>
      </c>
      <c r="Y542" s="10" t="b">
        <v>0</v>
      </c>
      <c r="Z542" s="3"/>
      <c r="AA542" s="10" t="b">
        <v>0</v>
      </c>
      <c r="AB542" s="10" t="b">
        <v>0</v>
      </c>
      <c r="AC542" s="181">
        <v>226.0</v>
      </c>
      <c r="AD542" s="144" t="b">
        <v>0</v>
      </c>
      <c r="AE542" s="182"/>
      <c r="AF542" s="10" t="b">
        <v>0</v>
      </c>
      <c r="AG542" s="10" t="b">
        <v>0</v>
      </c>
      <c r="AH542" s="144"/>
      <c r="AI542" s="3"/>
      <c r="AJ542" s="10"/>
      <c r="AK542" s="3" t="s">
        <v>244</v>
      </c>
      <c r="AL542" s="5"/>
      <c r="AM542" s="5" t="s">
        <v>465</v>
      </c>
      <c r="AN542" s="5" t="s">
        <v>466</v>
      </c>
      <c r="AO542" s="5" t="s">
        <v>2185</v>
      </c>
      <c r="AP542" s="5" t="s">
        <v>2185</v>
      </c>
      <c r="AQ542" s="5" t="s">
        <v>2185</v>
      </c>
      <c r="AR542" s="5" t="s">
        <v>2185</v>
      </c>
      <c r="AS542" s="142"/>
      <c r="AT542" s="142" t="b">
        <v>0</v>
      </c>
      <c r="AU542" s="142"/>
      <c r="AV542" s="142"/>
      <c r="AW542" s="142"/>
      <c r="AX542" s="142"/>
      <c r="AY542" s="142"/>
      <c r="AZ542" s="174"/>
      <c r="BA542" s="142"/>
      <c r="BB542" s="142"/>
      <c r="BC542" s="142"/>
      <c r="BD542" s="142"/>
      <c r="BE542" s="142"/>
      <c r="BF542" s="142"/>
      <c r="BG542" s="142"/>
    </row>
    <row r="543">
      <c r="A543" s="5" t="s">
        <v>1691</v>
      </c>
      <c r="B543" s="44">
        <v>44619.0</v>
      </c>
      <c r="C543" s="150">
        <v>0.27760416666666665</v>
      </c>
      <c r="D543" s="3"/>
      <c r="E543" s="3"/>
      <c r="F543" s="5"/>
      <c r="G543" s="5"/>
      <c r="H543" s="5"/>
      <c r="I543" s="3"/>
      <c r="J543" s="3"/>
      <c r="K543" s="3" t="s">
        <v>244</v>
      </c>
      <c r="L543" s="44">
        <v>44621.0</v>
      </c>
      <c r="M543" s="150">
        <v>0.4783449074074074</v>
      </c>
      <c r="N543" s="5"/>
      <c r="O543" s="5"/>
      <c r="P543" s="10" t="b">
        <v>0</v>
      </c>
      <c r="Q543" s="10" t="s">
        <v>2184</v>
      </c>
      <c r="R543" s="144" t="b">
        <v>1</v>
      </c>
      <c r="S543" s="144">
        <v>1.0</v>
      </c>
      <c r="T543" s="10"/>
      <c r="U543" s="5"/>
      <c r="V543" s="3"/>
      <c r="W543" s="5"/>
      <c r="X543" s="144" t="b">
        <v>0</v>
      </c>
      <c r="Y543" s="10" t="b">
        <v>0</v>
      </c>
      <c r="Z543" s="3"/>
      <c r="AA543" s="10" t="b">
        <v>0</v>
      </c>
      <c r="AB543" s="10" t="b">
        <v>0</v>
      </c>
      <c r="AC543" s="181">
        <v>225.0</v>
      </c>
      <c r="AD543" s="144" t="b">
        <v>0</v>
      </c>
      <c r="AE543" s="182"/>
      <c r="AF543" s="10" t="b">
        <v>0</v>
      </c>
      <c r="AG543" s="10" t="b">
        <v>0</v>
      </c>
      <c r="AH543" s="144"/>
      <c r="AI543" s="3"/>
      <c r="AJ543" s="10"/>
      <c r="AK543" s="3" t="s">
        <v>244</v>
      </c>
      <c r="AL543" s="5"/>
      <c r="AM543" s="5" t="s">
        <v>612</v>
      </c>
      <c r="AN543" s="5" t="s">
        <v>613</v>
      </c>
      <c r="AO543" s="5" t="s">
        <v>2185</v>
      </c>
      <c r="AP543" s="5" t="s">
        <v>2185</v>
      </c>
      <c r="AQ543" s="5" t="s">
        <v>2185</v>
      </c>
      <c r="AR543" s="5" t="s">
        <v>2185</v>
      </c>
      <c r="AS543" s="142"/>
      <c r="AT543" s="142" t="b">
        <v>0</v>
      </c>
      <c r="AU543" s="142"/>
      <c r="AV543" s="142"/>
      <c r="AW543" s="142"/>
      <c r="AX543" s="142"/>
      <c r="AY543" s="142"/>
      <c r="AZ543" s="174"/>
      <c r="BA543" s="142"/>
      <c r="BB543" s="142"/>
      <c r="BC543" s="142"/>
      <c r="BD543" s="142"/>
      <c r="BE543" s="142"/>
      <c r="BF543" s="142"/>
      <c r="BG543" s="142"/>
    </row>
    <row r="544">
      <c r="A544" s="5" t="s">
        <v>1693</v>
      </c>
      <c r="B544" s="44">
        <v>44619.0</v>
      </c>
      <c r="C544" s="150">
        <v>0.28652777777777777</v>
      </c>
      <c r="D544" s="3"/>
      <c r="E544" s="3"/>
      <c r="F544" s="5"/>
      <c r="G544" s="5"/>
      <c r="H544" s="5"/>
      <c r="I544" s="3"/>
      <c r="J544" s="3"/>
      <c r="K544" s="3" t="s">
        <v>244</v>
      </c>
      <c r="L544" s="44">
        <v>44621.0</v>
      </c>
      <c r="M544" s="150">
        <v>0.4783449074074074</v>
      </c>
      <c r="N544" s="5"/>
      <c r="O544" s="5"/>
      <c r="P544" s="10" t="b">
        <v>0</v>
      </c>
      <c r="Q544" s="10" t="s">
        <v>2184</v>
      </c>
      <c r="R544" s="144" t="b">
        <v>1</v>
      </c>
      <c r="S544" s="144">
        <v>1.0</v>
      </c>
      <c r="T544" s="10"/>
      <c r="U544" s="5"/>
      <c r="V544" s="3"/>
      <c r="W544" s="5"/>
      <c r="X544" s="144" t="b">
        <v>0</v>
      </c>
      <c r="Y544" s="10" t="b">
        <v>0</v>
      </c>
      <c r="Z544" s="3"/>
      <c r="AA544" s="10" t="b">
        <v>0</v>
      </c>
      <c r="AB544" s="10" t="b">
        <v>0</v>
      </c>
      <c r="AC544" s="181">
        <v>224.0</v>
      </c>
      <c r="AD544" s="144" t="b">
        <v>0</v>
      </c>
      <c r="AE544" s="182"/>
      <c r="AF544" s="10" t="b">
        <v>0</v>
      </c>
      <c r="AG544" s="10" t="b">
        <v>0</v>
      </c>
      <c r="AH544" s="144"/>
      <c r="AI544" s="3"/>
      <c r="AJ544" s="10"/>
      <c r="AK544" s="3" t="s">
        <v>244</v>
      </c>
      <c r="AL544" s="5"/>
      <c r="AM544" s="5" t="s">
        <v>1313</v>
      </c>
      <c r="AN544" s="5" t="s">
        <v>1485</v>
      </c>
      <c r="AO544" s="5" t="s">
        <v>2185</v>
      </c>
      <c r="AP544" s="5" t="s">
        <v>2185</v>
      </c>
      <c r="AQ544" s="5" t="s">
        <v>2185</v>
      </c>
      <c r="AR544" s="5" t="s">
        <v>2185</v>
      </c>
      <c r="AS544" s="142"/>
      <c r="AT544" s="142" t="b">
        <v>0</v>
      </c>
      <c r="AU544" s="142"/>
      <c r="AV544" s="142"/>
      <c r="AW544" s="142"/>
      <c r="AX544" s="142"/>
      <c r="AY544" s="142"/>
      <c r="AZ544" s="174"/>
      <c r="BA544" s="142"/>
      <c r="BB544" s="142"/>
      <c r="BC544" s="142"/>
      <c r="BD544" s="142"/>
      <c r="BE544" s="142"/>
      <c r="BF544" s="142"/>
      <c r="BG544" s="142"/>
    </row>
    <row r="545">
      <c r="A545" s="5" t="s">
        <v>1695</v>
      </c>
      <c r="B545" s="44">
        <v>44619.0</v>
      </c>
      <c r="C545" s="150">
        <v>0.28791666666666665</v>
      </c>
      <c r="D545" s="3"/>
      <c r="E545" s="3"/>
      <c r="F545" s="5"/>
      <c r="G545" s="5"/>
      <c r="H545" s="5"/>
      <c r="I545" s="3"/>
      <c r="J545" s="3"/>
      <c r="K545" s="3" t="s">
        <v>244</v>
      </c>
      <c r="L545" s="44">
        <v>44621.0</v>
      </c>
      <c r="M545" s="150">
        <v>0.4783449074074074</v>
      </c>
      <c r="N545" s="5"/>
      <c r="O545" s="5"/>
      <c r="P545" s="10" t="b">
        <v>0</v>
      </c>
      <c r="Q545" s="10" t="s">
        <v>2184</v>
      </c>
      <c r="R545" s="144" t="b">
        <v>1</v>
      </c>
      <c r="S545" s="144">
        <v>1.0</v>
      </c>
      <c r="T545" s="10"/>
      <c r="U545" s="5"/>
      <c r="V545" s="3"/>
      <c r="W545" s="5"/>
      <c r="X545" s="144" t="b">
        <v>0</v>
      </c>
      <c r="Y545" s="10" t="b">
        <v>0</v>
      </c>
      <c r="Z545" s="3"/>
      <c r="AA545" s="10" t="b">
        <v>0</v>
      </c>
      <c r="AB545" s="10" t="b">
        <v>0</v>
      </c>
      <c r="AC545" s="181">
        <v>223.0</v>
      </c>
      <c r="AD545" s="144" t="b">
        <v>0</v>
      </c>
      <c r="AE545" s="182"/>
      <c r="AF545" s="10" t="b">
        <v>0</v>
      </c>
      <c r="AG545" s="10" t="b">
        <v>0</v>
      </c>
      <c r="AH545" s="144"/>
      <c r="AI545" s="3"/>
      <c r="AJ545" s="10"/>
      <c r="AK545" s="3" t="s">
        <v>244</v>
      </c>
      <c r="AL545" s="5"/>
      <c r="AM545" s="5" t="s">
        <v>1306</v>
      </c>
      <c r="AN545" s="5" t="s">
        <v>1307</v>
      </c>
      <c r="AO545" s="5" t="s">
        <v>2185</v>
      </c>
      <c r="AP545" s="5" t="s">
        <v>2185</v>
      </c>
      <c r="AQ545" s="5" t="s">
        <v>2185</v>
      </c>
      <c r="AR545" s="5" t="s">
        <v>2185</v>
      </c>
      <c r="AS545" s="142"/>
      <c r="AT545" s="142" t="b">
        <v>0</v>
      </c>
      <c r="AU545" s="142"/>
      <c r="AV545" s="142"/>
      <c r="AW545" s="142"/>
      <c r="AX545" s="142"/>
      <c r="AY545" s="142"/>
      <c r="AZ545" s="174"/>
      <c r="BA545" s="142"/>
      <c r="BB545" s="142"/>
      <c r="BC545" s="142"/>
      <c r="BD545" s="142"/>
      <c r="BE545" s="142"/>
      <c r="BF545" s="142"/>
      <c r="BG545" s="142"/>
    </row>
    <row r="546">
      <c r="A546" s="5" t="s">
        <v>1697</v>
      </c>
      <c r="B546" s="44">
        <v>44619.0</v>
      </c>
      <c r="C546" s="150">
        <v>0.29094907407407405</v>
      </c>
      <c r="D546" s="3"/>
      <c r="E546" s="3"/>
      <c r="F546" s="5"/>
      <c r="G546" s="5"/>
      <c r="H546" s="5"/>
      <c r="I546" s="3"/>
      <c r="J546" s="3"/>
      <c r="K546" s="3" t="s">
        <v>244</v>
      </c>
      <c r="L546" s="44">
        <v>44621.0</v>
      </c>
      <c r="M546" s="150">
        <v>0.4783449074074074</v>
      </c>
      <c r="N546" s="5"/>
      <c r="O546" s="5"/>
      <c r="P546" s="10" t="b">
        <v>0</v>
      </c>
      <c r="Q546" s="10" t="s">
        <v>2184</v>
      </c>
      <c r="R546" s="144" t="b">
        <v>1</v>
      </c>
      <c r="S546" s="144">
        <v>1.0</v>
      </c>
      <c r="T546" s="10"/>
      <c r="U546" s="5"/>
      <c r="V546" s="3"/>
      <c r="W546" s="5"/>
      <c r="X546" s="144" t="b">
        <v>0</v>
      </c>
      <c r="Y546" s="10" t="b">
        <v>0</v>
      </c>
      <c r="Z546" s="3"/>
      <c r="AA546" s="10" t="b">
        <v>0</v>
      </c>
      <c r="AB546" s="10" t="b">
        <v>0</v>
      </c>
      <c r="AC546" s="181">
        <v>222.0</v>
      </c>
      <c r="AD546" s="144" t="b">
        <v>0</v>
      </c>
      <c r="AE546" s="182"/>
      <c r="AF546" s="10" t="b">
        <v>0</v>
      </c>
      <c r="AG546" s="10" t="b">
        <v>0</v>
      </c>
      <c r="AH546" s="144"/>
      <c r="AI546" s="3"/>
      <c r="AJ546" s="10"/>
      <c r="AK546" s="3" t="s">
        <v>244</v>
      </c>
      <c r="AL546" s="5"/>
      <c r="AM546" s="5" t="s">
        <v>1490</v>
      </c>
      <c r="AN546" s="5" t="s">
        <v>1491</v>
      </c>
      <c r="AO546" s="5" t="s">
        <v>2185</v>
      </c>
      <c r="AP546" s="5" t="s">
        <v>2185</v>
      </c>
      <c r="AQ546" s="5" t="s">
        <v>2185</v>
      </c>
      <c r="AR546" s="5" t="s">
        <v>2185</v>
      </c>
      <c r="AS546" s="142"/>
      <c r="AT546" s="142" t="b">
        <v>0</v>
      </c>
      <c r="AU546" s="142"/>
      <c r="AV546" s="142"/>
      <c r="AW546" s="142"/>
      <c r="AX546" s="142"/>
      <c r="AY546" s="142"/>
      <c r="AZ546" s="174"/>
      <c r="BA546" s="142"/>
      <c r="BB546" s="142"/>
      <c r="BC546" s="142"/>
      <c r="BD546" s="142"/>
      <c r="BE546" s="142"/>
      <c r="BF546" s="142"/>
      <c r="BG546" s="142"/>
    </row>
    <row r="547">
      <c r="A547" s="5" t="s">
        <v>1699</v>
      </c>
      <c r="B547" s="44">
        <v>44619.0</v>
      </c>
      <c r="C547" s="150">
        <v>0.2973032407407407</v>
      </c>
      <c r="D547" s="3"/>
      <c r="E547" s="3"/>
      <c r="F547" s="5"/>
      <c r="G547" s="5"/>
      <c r="H547" s="5"/>
      <c r="I547" s="3"/>
      <c r="J547" s="3"/>
      <c r="K547" s="3" t="s">
        <v>244</v>
      </c>
      <c r="L547" s="44">
        <v>44621.0</v>
      </c>
      <c r="M547" s="150">
        <v>0.4783449074074074</v>
      </c>
      <c r="N547" s="5"/>
      <c r="O547" s="5"/>
      <c r="P547" s="10" t="b">
        <v>0</v>
      </c>
      <c r="Q547" s="10" t="s">
        <v>2184</v>
      </c>
      <c r="R547" s="144" t="b">
        <v>1</v>
      </c>
      <c r="S547" s="144">
        <v>1.0</v>
      </c>
      <c r="T547" s="10"/>
      <c r="U547" s="5"/>
      <c r="V547" s="3"/>
      <c r="W547" s="5"/>
      <c r="X547" s="144" t="b">
        <v>0</v>
      </c>
      <c r="Y547" s="10" t="b">
        <v>0</v>
      </c>
      <c r="Z547" s="3"/>
      <c r="AA547" s="10" t="b">
        <v>0</v>
      </c>
      <c r="AB547" s="10" t="b">
        <v>0</v>
      </c>
      <c r="AC547" s="181">
        <v>221.0</v>
      </c>
      <c r="AD547" s="144" t="b">
        <v>0</v>
      </c>
      <c r="AE547" s="182"/>
      <c r="AF547" s="10" t="b">
        <v>0</v>
      </c>
      <c r="AG547" s="10" t="b">
        <v>0</v>
      </c>
      <c r="AH547" s="144"/>
      <c r="AI547" s="3"/>
      <c r="AJ547" s="10"/>
      <c r="AK547" s="3" t="s">
        <v>244</v>
      </c>
      <c r="AL547" s="5"/>
      <c r="AM547" s="5" t="s">
        <v>430</v>
      </c>
      <c r="AN547" s="5" t="s">
        <v>431</v>
      </c>
      <c r="AO547" s="5" t="s">
        <v>2185</v>
      </c>
      <c r="AP547" s="5" t="s">
        <v>2185</v>
      </c>
      <c r="AQ547" s="5" t="s">
        <v>2185</v>
      </c>
      <c r="AR547" s="5" t="s">
        <v>2185</v>
      </c>
      <c r="AS547" s="142"/>
      <c r="AT547" s="142" t="b">
        <v>0</v>
      </c>
      <c r="AU547" s="142"/>
      <c r="AV547" s="142"/>
      <c r="AW547" s="142"/>
      <c r="AX547" s="142"/>
      <c r="AY547" s="142"/>
      <c r="AZ547" s="174"/>
      <c r="BA547" s="142"/>
      <c r="BB547" s="142"/>
      <c r="BC547" s="142"/>
      <c r="BD547" s="142"/>
      <c r="BE547" s="142"/>
      <c r="BF547" s="142"/>
      <c r="BG547" s="142"/>
    </row>
    <row r="548">
      <c r="A548" s="5" t="s">
        <v>1701</v>
      </c>
      <c r="B548" s="44">
        <v>44619.0</v>
      </c>
      <c r="C548" s="150">
        <v>0.3128587962962963</v>
      </c>
      <c r="D548" s="3"/>
      <c r="E548" s="3"/>
      <c r="F548" s="5"/>
      <c r="G548" s="5"/>
      <c r="H548" s="5"/>
      <c r="I548" s="3"/>
      <c r="J548" s="3"/>
      <c r="K548" s="3" t="s">
        <v>244</v>
      </c>
      <c r="L548" s="44">
        <v>44621.0</v>
      </c>
      <c r="M548" s="150">
        <v>0.4783449074074074</v>
      </c>
      <c r="N548" s="5"/>
      <c r="O548" s="5"/>
      <c r="P548" s="10" t="b">
        <v>0</v>
      </c>
      <c r="Q548" s="10" t="s">
        <v>2184</v>
      </c>
      <c r="R548" s="144" t="b">
        <v>1</v>
      </c>
      <c r="S548" s="144">
        <v>1.0</v>
      </c>
      <c r="T548" s="10"/>
      <c r="U548" s="5"/>
      <c r="V548" s="3"/>
      <c r="W548" s="5"/>
      <c r="X548" s="144" t="b">
        <v>0</v>
      </c>
      <c r="Y548" s="10" t="b">
        <v>0</v>
      </c>
      <c r="Z548" s="3"/>
      <c r="AA548" s="10" t="b">
        <v>0</v>
      </c>
      <c r="AB548" s="10" t="b">
        <v>0</v>
      </c>
      <c r="AC548" s="181">
        <v>220.0</v>
      </c>
      <c r="AD548" s="144" t="b">
        <v>0</v>
      </c>
      <c r="AE548" s="182"/>
      <c r="AF548" s="10" t="b">
        <v>0</v>
      </c>
      <c r="AG548" s="10" t="b">
        <v>0</v>
      </c>
      <c r="AH548" s="144"/>
      <c r="AI548" s="3"/>
      <c r="AJ548" s="10"/>
      <c r="AK548" s="3" t="s">
        <v>244</v>
      </c>
      <c r="AL548" s="5"/>
      <c r="AM548" s="5" t="s">
        <v>1294</v>
      </c>
      <c r="AN548" s="5" t="s">
        <v>1295</v>
      </c>
      <c r="AO548" s="5" t="s">
        <v>2185</v>
      </c>
      <c r="AP548" s="5" t="s">
        <v>2185</v>
      </c>
      <c r="AQ548" s="5" t="s">
        <v>2185</v>
      </c>
      <c r="AR548" s="5" t="s">
        <v>2185</v>
      </c>
      <c r="AS548" s="142"/>
      <c r="AT548" s="142" t="b">
        <v>0</v>
      </c>
      <c r="AU548" s="142"/>
      <c r="AV548" s="142"/>
      <c r="AW548" s="142"/>
      <c r="AX548" s="142"/>
      <c r="AY548" s="142"/>
      <c r="AZ548" s="174"/>
      <c r="BA548" s="142"/>
      <c r="BB548" s="142"/>
      <c r="BC548" s="142"/>
      <c r="BD548" s="142"/>
      <c r="BE548" s="142"/>
      <c r="BF548" s="142"/>
      <c r="BG548" s="142"/>
    </row>
    <row r="549">
      <c r="A549" s="5" t="s">
        <v>1703</v>
      </c>
      <c r="B549" s="44">
        <v>44619.0</v>
      </c>
      <c r="C549" s="150">
        <v>0.31364583333333335</v>
      </c>
      <c r="D549" s="3"/>
      <c r="E549" s="3"/>
      <c r="F549" s="5"/>
      <c r="G549" s="5"/>
      <c r="H549" s="5"/>
      <c r="I549" s="183"/>
      <c r="J549" s="3"/>
      <c r="K549" s="3" t="s">
        <v>244</v>
      </c>
      <c r="L549" s="44">
        <v>44621.0</v>
      </c>
      <c r="M549" s="150">
        <v>0.4783449074074074</v>
      </c>
      <c r="N549" s="5" t="s">
        <v>247</v>
      </c>
      <c r="O549" s="5"/>
      <c r="P549" s="10" t="b">
        <v>0</v>
      </c>
      <c r="Q549" s="10" t="s">
        <v>2184</v>
      </c>
      <c r="R549" s="144" t="b">
        <v>1</v>
      </c>
      <c r="S549" s="144">
        <v>1.0</v>
      </c>
      <c r="T549" s="10">
        <v>0.0</v>
      </c>
      <c r="U549" s="5"/>
      <c r="V549" s="3"/>
      <c r="W549" s="5"/>
      <c r="X549" s="144" t="b">
        <v>0</v>
      </c>
      <c r="Y549" s="10" t="b">
        <v>0</v>
      </c>
      <c r="Z549" s="3"/>
      <c r="AA549" s="10" t="b">
        <v>0</v>
      </c>
      <c r="AB549" s="10" t="b">
        <v>0</v>
      </c>
      <c r="AC549" s="181">
        <v>788.0</v>
      </c>
      <c r="AD549" s="144" t="b">
        <v>1</v>
      </c>
      <c r="AE549" s="182"/>
      <c r="AF549" s="10" t="b">
        <v>0</v>
      </c>
      <c r="AG549" s="10" t="b">
        <v>0</v>
      </c>
      <c r="AH549" s="144"/>
      <c r="AI549" s="3"/>
      <c r="AJ549" s="10"/>
      <c r="AK549" s="3" t="s">
        <v>244</v>
      </c>
      <c r="AL549" s="5"/>
      <c r="AM549" s="5" t="s">
        <v>504</v>
      </c>
      <c r="AN549" s="5" t="s">
        <v>505</v>
      </c>
      <c r="AO549" s="5" t="s">
        <v>2185</v>
      </c>
      <c r="AP549" s="5" t="s">
        <v>2185</v>
      </c>
      <c r="AQ549" s="5" t="s">
        <v>2185</v>
      </c>
      <c r="AR549" s="5" t="s">
        <v>2185</v>
      </c>
      <c r="AS549" s="142"/>
      <c r="AT549" s="142" t="b">
        <v>0</v>
      </c>
      <c r="AU549" s="142"/>
      <c r="AV549" s="142"/>
      <c r="AW549" s="142"/>
      <c r="AX549" s="142"/>
      <c r="AY549" s="142"/>
      <c r="AZ549" s="174"/>
      <c r="BA549" s="142"/>
      <c r="BB549" s="142"/>
      <c r="BC549" s="142"/>
      <c r="BD549" s="142"/>
      <c r="BE549" s="142"/>
      <c r="BF549" s="142"/>
      <c r="BG549" s="142"/>
    </row>
    <row r="550">
      <c r="A550" s="5" t="s">
        <v>1705</v>
      </c>
      <c r="B550" s="44">
        <v>44619.0</v>
      </c>
      <c r="C550" s="150">
        <v>0.3194212962962963</v>
      </c>
      <c r="D550" s="3"/>
      <c r="E550" s="3"/>
      <c r="F550" s="5"/>
      <c r="G550" s="5"/>
      <c r="H550" s="5"/>
      <c r="I550" s="3"/>
      <c r="J550" s="3"/>
      <c r="K550" s="3" t="s">
        <v>244</v>
      </c>
      <c r="L550" s="44">
        <v>44621.0</v>
      </c>
      <c r="M550" s="150">
        <v>0.4783449074074074</v>
      </c>
      <c r="N550" s="5"/>
      <c r="O550" s="5"/>
      <c r="P550" s="10" t="b">
        <v>0</v>
      </c>
      <c r="Q550" s="10" t="s">
        <v>2184</v>
      </c>
      <c r="R550" s="144" t="b">
        <v>1</v>
      </c>
      <c r="S550" s="144">
        <v>1.0</v>
      </c>
      <c r="T550" s="10"/>
      <c r="U550" s="5"/>
      <c r="V550" s="3"/>
      <c r="W550" s="5"/>
      <c r="X550" s="144" t="b">
        <v>0</v>
      </c>
      <c r="Y550" s="10" t="b">
        <v>0</v>
      </c>
      <c r="Z550" s="3"/>
      <c r="AA550" s="10" t="b">
        <v>0</v>
      </c>
      <c r="AB550" s="10" t="b">
        <v>0</v>
      </c>
      <c r="AC550" s="181">
        <v>219.0</v>
      </c>
      <c r="AD550" s="144" t="b">
        <v>0</v>
      </c>
      <c r="AE550" s="182"/>
      <c r="AF550" s="10" t="b">
        <v>0</v>
      </c>
      <c r="AG550" s="10" t="b">
        <v>0</v>
      </c>
      <c r="AH550" s="144"/>
      <c r="AI550" s="3"/>
      <c r="AJ550" s="10"/>
      <c r="AK550" s="3" t="s">
        <v>244</v>
      </c>
      <c r="AL550" s="5"/>
      <c r="AM550" s="5" t="s">
        <v>850</v>
      </c>
      <c r="AN550" s="5" t="s">
        <v>851</v>
      </c>
      <c r="AO550" s="5" t="s">
        <v>2185</v>
      </c>
      <c r="AP550" s="5" t="s">
        <v>2185</v>
      </c>
      <c r="AQ550" s="5" t="s">
        <v>2185</v>
      </c>
      <c r="AR550" s="5" t="s">
        <v>2185</v>
      </c>
      <c r="AS550" s="142"/>
      <c r="AT550" s="142" t="b">
        <v>0</v>
      </c>
      <c r="AU550" s="142"/>
      <c r="AV550" s="142"/>
      <c r="AW550" s="142"/>
      <c r="AX550" s="142"/>
      <c r="AY550" s="142"/>
      <c r="AZ550" s="174"/>
      <c r="BA550" s="142"/>
      <c r="BB550" s="142"/>
      <c r="BC550" s="142"/>
      <c r="BD550" s="142"/>
      <c r="BE550" s="142"/>
      <c r="BF550" s="142"/>
      <c r="BG550" s="142"/>
    </row>
    <row r="551">
      <c r="A551" s="5" t="s">
        <v>1707</v>
      </c>
      <c r="B551" s="44">
        <v>44619.0</v>
      </c>
      <c r="C551" s="150">
        <v>0.3200462962962963</v>
      </c>
      <c r="D551" s="3"/>
      <c r="E551" s="3"/>
      <c r="F551" s="5"/>
      <c r="G551" s="5"/>
      <c r="H551" s="5"/>
      <c r="I551" s="3"/>
      <c r="J551" s="3"/>
      <c r="K551" s="3" t="s">
        <v>244</v>
      </c>
      <c r="L551" s="44">
        <v>44621.0</v>
      </c>
      <c r="M551" s="150">
        <v>0.4783449074074074</v>
      </c>
      <c r="N551" s="5"/>
      <c r="O551" s="5"/>
      <c r="P551" s="10" t="b">
        <v>0</v>
      </c>
      <c r="Q551" s="10" t="s">
        <v>2184</v>
      </c>
      <c r="R551" s="144" t="b">
        <v>1</v>
      </c>
      <c r="S551" s="144">
        <v>1.0</v>
      </c>
      <c r="T551" s="10"/>
      <c r="U551" s="5"/>
      <c r="V551" s="3"/>
      <c r="W551" s="5"/>
      <c r="X551" s="144" t="b">
        <v>0</v>
      </c>
      <c r="Y551" s="10" t="b">
        <v>0</v>
      </c>
      <c r="Z551" s="3"/>
      <c r="AA551" s="10" t="b">
        <v>0</v>
      </c>
      <c r="AB551" s="10" t="b">
        <v>0</v>
      </c>
      <c r="AC551" s="181">
        <v>218.0</v>
      </c>
      <c r="AD551" s="144" t="b">
        <v>0</v>
      </c>
      <c r="AE551" s="182"/>
      <c r="AF551" s="10" t="b">
        <v>0</v>
      </c>
      <c r="AG551" s="10" t="b">
        <v>0</v>
      </c>
      <c r="AH551" s="144"/>
      <c r="AI551" s="3"/>
      <c r="AJ551" s="10"/>
      <c r="AK551" s="3" t="s">
        <v>244</v>
      </c>
      <c r="AL551" s="5"/>
      <c r="AM551" s="5" t="s">
        <v>1260</v>
      </c>
      <c r="AN551" s="5" t="s">
        <v>1261</v>
      </c>
      <c r="AO551" s="5" t="s">
        <v>2185</v>
      </c>
      <c r="AP551" s="5" t="s">
        <v>2185</v>
      </c>
      <c r="AQ551" s="5" t="s">
        <v>2185</v>
      </c>
      <c r="AR551" s="5" t="s">
        <v>2185</v>
      </c>
      <c r="AS551" s="142"/>
      <c r="AT551" s="142" t="b">
        <v>0</v>
      </c>
      <c r="AU551" s="142"/>
      <c r="AV551" s="142"/>
      <c r="AW551" s="142"/>
      <c r="AX551" s="142"/>
      <c r="AY551" s="142"/>
      <c r="AZ551" s="174"/>
      <c r="BA551" s="142"/>
      <c r="BB551" s="142"/>
      <c r="BC551" s="142"/>
      <c r="BD551" s="142"/>
      <c r="BE551" s="142"/>
      <c r="BF551" s="142"/>
      <c r="BG551" s="142"/>
    </row>
    <row r="552">
      <c r="A552" s="5" t="s">
        <v>1709</v>
      </c>
      <c r="B552" s="44">
        <v>44619.0</v>
      </c>
      <c r="C552" s="150">
        <v>0.32108796296296294</v>
      </c>
      <c r="D552" s="3"/>
      <c r="E552" s="3"/>
      <c r="F552" s="5"/>
      <c r="G552" s="5"/>
      <c r="H552" s="5"/>
      <c r="I552" s="183"/>
      <c r="J552" s="3"/>
      <c r="K552" s="3" t="s">
        <v>244</v>
      </c>
      <c r="L552" s="44">
        <v>44621.0</v>
      </c>
      <c r="M552" s="150">
        <v>0.4783449074074074</v>
      </c>
      <c r="N552" s="5" t="s">
        <v>247</v>
      </c>
      <c r="O552" s="5"/>
      <c r="P552" s="10" t="b">
        <v>0</v>
      </c>
      <c r="Q552" s="10" t="s">
        <v>2184</v>
      </c>
      <c r="R552" s="144" t="b">
        <v>1</v>
      </c>
      <c r="S552" s="144">
        <v>1.0</v>
      </c>
      <c r="T552" s="10"/>
      <c r="U552" s="5"/>
      <c r="V552" s="3"/>
      <c r="W552" s="5"/>
      <c r="X552" s="144" t="b">
        <v>0</v>
      </c>
      <c r="Y552" s="10" t="b">
        <v>0</v>
      </c>
      <c r="Z552" s="3"/>
      <c r="AA552" s="10" t="b">
        <v>0</v>
      </c>
      <c r="AB552" s="10" t="b">
        <v>0</v>
      </c>
      <c r="AC552" s="181">
        <v>792.0</v>
      </c>
      <c r="AD552" s="144" t="b">
        <v>1</v>
      </c>
      <c r="AE552" s="182"/>
      <c r="AF552" s="10" t="b">
        <v>0</v>
      </c>
      <c r="AG552" s="10" t="b">
        <v>0</v>
      </c>
      <c r="AH552" s="144"/>
      <c r="AI552" s="3">
        <v>7.0</v>
      </c>
      <c r="AJ552" s="10"/>
      <c r="AK552" s="3" t="s">
        <v>244</v>
      </c>
      <c r="AL552" s="5"/>
      <c r="AM552" s="5" t="s">
        <v>500</v>
      </c>
      <c r="AN552" s="5" t="s">
        <v>377</v>
      </c>
      <c r="AO552" s="5" t="s">
        <v>2185</v>
      </c>
      <c r="AP552" s="5" t="s">
        <v>2185</v>
      </c>
      <c r="AQ552" s="5" t="s">
        <v>2185</v>
      </c>
      <c r="AR552" s="5" t="s">
        <v>2185</v>
      </c>
      <c r="AS552" s="142"/>
      <c r="AT552" s="142" t="b">
        <v>0</v>
      </c>
      <c r="AU552" s="142"/>
      <c r="AV552" s="142"/>
      <c r="AW552" s="142"/>
      <c r="AX552" s="142"/>
      <c r="AY552" s="142"/>
      <c r="AZ552" s="174"/>
      <c r="BA552" s="142"/>
      <c r="BB552" s="142"/>
      <c r="BC552" s="142"/>
      <c r="BD552" s="142"/>
      <c r="BE552" s="142"/>
      <c r="BF552" s="142"/>
      <c r="BG552" s="142"/>
    </row>
    <row r="553">
      <c r="A553" s="5" t="s">
        <v>1711</v>
      </c>
      <c r="B553" s="44">
        <v>44619.0</v>
      </c>
      <c r="C553" s="150">
        <v>0.32261574074074073</v>
      </c>
      <c r="D553" s="3"/>
      <c r="E553" s="3"/>
      <c r="F553" s="5"/>
      <c r="G553" s="5"/>
      <c r="H553" s="5"/>
      <c r="I553" s="3"/>
      <c r="J553" s="3"/>
      <c r="K553" s="3" t="s">
        <v>244</v>
      </c>
      <c r="L553" s="44">
        <v>44621.0</v>
      </c>
      <c r="M553" s="150">
        <v>0.4783449074074074</v>
      </c>
      <c r="N553" s="5"/>
      <c r="O553" s="5"/>
      <c r="P553" s="10" t="b">
        <v>0</v>
      </c>
      <c r="Q553" s="10" t="s">
        <v>2184</v>
      </c>
      <c r="R553" s="144" t="b">
        <v>0</v>
      </c>
      <c r="S553" s="144">
        <v>2.0</v>
      </c>
      <c r="T553" s="10"/>
      <c r="U553" s="5"/>
      <c r="V553" s="3"/>
      <c r="W553" s="5"/>
      <c r="X553" s="144" t="b">
        <v>0</v>
      </c>
      <c r="Y553" s="10" t="b">
        <v>0</v>
      </c>
      <c r="Z553" s="3"/>
      <c r="AA553" s="10" t="b">
        <v>0</v>
      </c>
      <c r="AB553" s="10" t="b">
        <v>0</v>
      </c>
      <c r="AC553" s="181">
        <v>216.0</v>
      </c>
      <c r="AD553" s="144" t="b">
        <v>0</v>
      </c>
      <c r="AE553" s="182"/>
      <c r="AF553" s="10" t="b">
        <v>0</v>
      </c>
      <c r="AG553" s="10" t="b">
        <v>0</v>
      </c>
      <c r="AH553" s="144"/>
      <c r="AI553" s="3"/>
      <c r="AJ553" s="10"/>
      <c r="AK553" s="3" t="s">
        <v>244</v>
      </c>
      <c r="AL553" s="5"/>
      <c r="AM553" s="5" t="s">
        <v>1473</v>
      </c>
      <c r="AN553" s="5" t="s">
        <v>1713</v>
      </c>
      <c r="AO553" s="5" t="s">
        <v>2185</v>
      </c>
      <c r="AP553" s="5" t="s">
        <v>2185</v>
      </c>
      <c r="AQ553" s="5" t="s">
        <v>2185</v>
      </c>
      <c r="AR553" s="5" t="s">
        <v>2185</v>
      </c>
      <c r="AS553" s="142"/>
      <c r="AT553" s="142" t="b">
        <v>0</v>
      </c>
      <c r="AU553" s="142"/>
      <c r="AV553" s="142"/>
      <c r="AW553" s="142"/>
      <c r="AX553" s="142"/>
      <c r="AY553" s="142"/>
      <c r="AZ553" s="174"/>
      <c r="BA553" s="142"/>
      <c r="BB553" s="142"/>
      <c r="BC553" s="142"/>
      <c r="BD553" s="142"/>
      <c r="BE553" s="142"/>
      <c r="BF553" s="142"/>
      <c r="BG553" s="142"/>
    </row>
    <row r="554">
      <c r="A554" s="5" t="s">
        <v>1715</v>
      </c>
      <c r="B554" s="44">
        <v>44619.0</v>
      </c>
      <c r="C554" s="150">
        <v>0.32320601851851855</v>
      </c>
      <c r="D554" s="3"/>
      <c r="E554" s="3"/>
      <c r="F554" s="5"/>
      <c r="G554" s="5"/>
      <c r="H554" s="5"/>
      <c r="I554" s="3"/>
      <c r="J554" s="3"/>
      <c r="K554" s="3" t="s">
        <v>244</v>
      </c>
      <c r="L554" s="44">
        <v>44621.0</v>
      </c>
      <c r="M554" s="150">
        <v>0.4783449074074074</v>
      </c>
      <c r="N554" s="5"/>
      <c r="O554" s="5"/>
      <c r="P554" s="10" t="b">
        <v>0</v>
      </c>
      <c r="Q554" s="10" t="s">
        <v>2184</v>
      </c>
      <c r="R554" s="144" t="b">
        <v>0</v>
      </c>
      <c r="S554" s="144">
        <v>2.0</v>
      </c>
      <c r="T554" s="10"/>
      <c r="U554" s="5"/>
      <c r="V554" s="3"/>
      <c r="W554" s="5"/>
      <c r="X554" s="144" t="b">
        <v>0</v>
      </c>
      <c r="Y554" s="10" t="b">
        <v>0</v>
      </c>
      <c r="Z554" s="3"/>
      <c r="AA554" s="10" t="b">
        <v>0</v>
      </c>
      <c r="AB554" s="10" t="b">
        <v>0</v>
      </c>
      <c r="AC554" s="181">
        <v>214.0</v>
      </c>
      <c r="AD554" s="144" t="b">
        <v>0</v>
      </c>
      <c r="AE554" s="182"/>
      <c r="AF554" s="10" t="b">
        <v>0</v>
      </c>
      <c r="AG554" s="10" t="b">
        <v>0</v>
      </c>
      <c r="AH554" s="144"/>
      <c r="AI554" s="3"/>
      <c r="AJ554" s="10"/>
      <c r="AK554" s="3" t="s">
        <v>244</v>
      </c>
      <c r="AL554" s="5"/>
      <c r="AM554" s="5" t="s">
        <v>1473</v>
      </c>
      <c r="AN554" s="5" t="s">
        <v>1474</v>
      </c>
      <c r="AO554" s="5" t="s">
        <v>2185</v>
      </c>
      <c r="AP554" s="5" t="s">
        <v>2185</v>
      </c>
      <c r="AQ554" s="5" t="s">
        <v>2185</v>
      </c>
      <c r="AR554" s="5" t="s">
        <v>2185</v>
      </c>
      <c r="AS554" s="142"/>
      <c r="AT554" s="142" t="b">
        <v>0</v>
      </c>
      <c r="AU554" s="142"/>
      <c r="AV554" s="142"/>
      <c r="AW554" s="142"/>
      <c r="AX554" s="142"/>
      <c r="AY554" s="142"/>
      <c r="AZ554" s="174"/>
      <c r="BA554" s="142"/>
      <c r="BB554" s="142"/>
      <c r="BC554" s="142"/>
      <c r="BD554" s="142"/>
      <c r="BE554" s="142"/>
      <c r="BF554" s="142"/>
      <c r="BG554" s="142"/>
    </row>
    <row r="555">
      <c r="A555" s="5" t="s">
        <v>1718</v>
      </c>
      <c r="B555" s="44">
        <v>44619.0</v>
      </c>
      <c r="C555" s="150">
        <v>0.3246759259259259</v>
      </c>
      <c r="D555" s="3"/>
      <c r="E555" s="3"/>
      <c r="F555" s="5"/>
      <c r="G555" s="5"/>
      <c r="H555" s="5"/>
      <c r="I555" s="3"/>
      <c r="J555" s="3"/>
      <c r="K555" s="3" t="s">
        <v>244</v>
      </c>
      <c r="L555" s="44">
        <v>44621.0</v>
      </c>
      <c r="M555" s="150">
        <v>0.47835648148148147</v>
      </c>
      <c r="N555" s="5"/>
      <c r="O555" s="5"/>
      <c r="P555" s="10" t="b">
        <v>0</v>
      </c>
      <c r="Q555" s="10" t="s">
        <v>2184</v>
      </c>
      <c r="R555" s="144" t="b">
        <v>1</v>
      </c>
      <c r="S555" s="144">
        <v>1.0</v>
      </c>
      <c r="T555" s="10"/>
      <c r="U555" s="5"/>
      <c r="V555" s="3"/>
      <c r="W555" s="5"/>
      <c r="X555" s="144" t="b">
        <v>0</v>
      </c>
      <c r="Y555" s="10" t="b">
        <v>0</v>
      </c>
      <c r="Z555" s="3"/>
      <c r="AA555" s="10" t="b">
        <v>0</v>
      </c>
      <c r="AB555" s="10" t="b">
        <v>0</v>
      </c>
      <c r="AC555" s="181">
        <v>213.0</v>
      </c>
      <c r="AD555" s="144" t="b">
        <v>0</v>
      </c>
      <c r="AE555" s="182"/>
      <c r="AF555" s="10" t="b">
        <v>0</v>
      </c>
      <c r="AG555" s="10" t="b">
        <v>0</v>
      </c>
      <c r="AH555" s="144"/>
      <c r="AI555" s="3"/>
      <c r="AJ555" s="10"/>
      <c r="AK555" s="3" t="s">
        <v>244</v>
      </c>
      <c r="AL555" s="5"/>
      <c r="AM555" s="5" t="s">
        <v>520</v>
      </c>
      <c r="AN555" s="5" t="s">
        <v>521</v>
      </c>
      <c r="AO555" s="5" t="s">
        <v>2185</v>
      </c>
      <c r="AP555" s="5" t="s">
        <v>2185</v>
      </c>
      <c r="AQ555" s="5" t="s">
        <v>2185</v>
      </c>
      <c r="AR555" s="5" t="s">
        <v>2185</v>
      </c>
      <c r="AS555" s="142"/>
      <c r="AT555" s="142" t="b">
        <v>0</v>
      </c>
      <c r="AU555" s="142"/>
      <c r="AV555" s="142"/>
      <c r="AW555" s="142"/>
      <c r="AX555" s="142"/>
      <c r="AY555" s="142"/>
      <c r="AZ555" s="174"/>
      <c r="BA555" s="142"/>
      <c r="BB555" s="142"/>
      <c r="BC555" s="142"/>
      <c r="BD555" s="142"/>
      <c r="BE555" s="142"/>
      <c r="BF555" s="142"/>
      <c r="BG555" s="142"/>
    </row>
    <row r="556">
      <c r="A556" s="5" t="s">
        <v>1720</v>
      </c>
      <c r="B556" s="44">
        <v>44619.0</v>
      </c>
      <c r="C556" s="150">
        <v>0.3249768518518519</v>
      </c>
      <c r="D556" s="3"/>
      <c r="E556" s="3"/>
      <c r="F556" s="5"/>
      <c r="G556" s="5"/>
      <c r="H556" s="5"/>
      <c r="I556" s="3"/>
      <c r="J556" s="3"/>
      <c r="K556" s="3" t="s">
        <v>244</v>
      </c>
      <c r="L556" s="44">
        <v>44621.0</v>
      </c>
      <c r="M556" s="150">
        <v>0.47835648148148147</v>
      </c>
      <c r="N556" s="5"/>
      <c r="O556" s="5"/>
      <c r="P556" s="10" t="b">
        <v>0</v>
      </c>
      <c r="Q556" s="10" t="s">
        <v>2184</v>
      </c>
      <c r="R556" s="144" t="b">
        <v>1</v>
      </c>
      <c r="S556" s="144">
        <v>1.0</v>
      </c>
      <c r="T556" s="10"/>
      <c r="U556" s="5"/>
      <c r="V556" s="3"/>
      <c r="W556" s="5"/>
      <c r="X556" s="144" t="b">
        <v>0</v>
      </c>
      <c r="Y556" s="10" t="b">
        <v>0</v>
      </c>
      <c r="Z556" s="3"/>
      <c r="AA556" s="10" t="b">
        <v>0</v>
      </c>
      <c r="AB556" s="10" t="b">
        <v>0</v>
      </c>
      <c r="AC556" s="181">
        <v>212.0</v>
      </c>
      <c r="AD556" s="144" t="b">
        <v>0</v>
      </c>
      <c r="AE556" s="182"/>
      <c r="AF556" s="10" t="b">
        <v>0</v>
      </c>
      <c r="AG556" s="10" t="b">
        <v>0</v>
      </c>
      <c r="AH556" s="144"/>
      <c r="AI556" s="3"/>
      <c r="AJ556" s="10"/>
      <c r="AK556" s="3" t="s">
        <v>244</v>
      </c>
      <c r="AL556" s="5"/>
      <c r="AM556" s="5" t="s">
        <v>436</v>
      </c>
      <c r="AN556" s="5" t="s">
        <v>437</v>
      </c>
      <c r="AO556" s="5" t="s">
        <v>2185</v>
      </c>
      <c r="AP556" s="5" t="s">
        <v>2185</v>
      </c>
      <c r="AQ556" s="5" t="s">
        <v>2185</v>
      </c>
      <c r="AR556" s="5" t="s">
        <v>2185</v>
      </c>
      <c r="AS556" s="142"/>
      <c r="AT556" s="142" t="b">
        <v>0</v>
      </c>
      <c r="AU556" s="142"/>
      <c r="AV556" s="142"/>
      <c r="AW556" s="142"/>
      <c r="AX556" s="142"/>
      <c r="AY556" s="142"/>
      <c r="AZ556" s="174"/>
      <c r="BA556" s="142"/>
      <c r="BB556" s="142"/>
      <c r="BC556" s="142"/>
      <c r="BD556" s="142"/>
      <c r="BE556" s="142"/>
      <c r="BF556" s="142"/>
      <c r="BG556" s="142"/>
    </row>
    <row r="557">
      <c r="A557" s="5" t="s">
        <v>1722</v>
      </c>
      <c r="B557" s="44">
        <v>44619.0</v>
      </c>
      <c r="C557" s="150">
        <v>0.32743055555555556</v>
      </c>
      <c r="D557" s="3"/>
      <c r="E557" s="3"/>
      <c r="F557" s="5"/>
      <c r="G557" s="5"/>
      <c r="H557" s="5"/>
      <c r="I557" s="3"/>
      <c r="J557" s="3"/>
      <c r="K557" s="3" t="s">
        <v>244</v>
      </c>
      <c r="L557" s="44">
        <v>44621.0</v>
      </c>
      <c r="M557" s="150">
        <v>0.47835648148148147</v>
      </c>
      <c r="N557" s="5"/>
      <c r="O557" s="5"/>
      <c r="P557" s="10" t="b">
        <v>0</v>
      </c>
      <c r="Q557" s="10" t="s">
        <v>2184</v>
      </c>
      <c r="R557" s="144" t="b">
        <v>1</v>
      </c>
      <c r="S557" s="144">
        <v>1.0</v>
      </c>
      <c r="T557" s="10"/>
      <c r="U557" s="5"/>
      <c r="V557" s="3"/>
      <c r="W557" s="5"/>
      <c r="X557" s="144" t="b">
        <v>0</v>
      </c>
      <c r="Y557" s="10" t="b">
        <v>0</v>
      </c>
      <c r="Z557" s="3"/>
      <c r="AA557" s="10" t="b">
        <v>0</v>
      </c>
      <c r="AB557" s="10" t="b">
        <v>0</v>
      </c>
      <c r="AC557" s="181">
        <v>211.0</v>
      </c>
      <c r="AD557" s="144" t="b">
        <v>0</v>
      </c>
      <c r="AE557" s="182"/>
      <c r="AF557" s="10" t="b">
        <v>0</v>
      </c>
      <c r="AG557" s="10" t="b">
        <v>0</v>
      </c>
      <c r="AH557" s="144"/>
      <c r="AI557" s="3"/>
      <c r="AJ557" s="10"/>
      <c r="AK557" s="3" t="s">
        <v>244</v>
      </c>
      <c r="AL557" s="5"/>
      <c r="AM557" s="5" t="s">
        <v>398</v>
      </c>
      <c r="AN557" s="5" t="s">
        <v>399</v>
      </c>
      <c r="AO557" s="5" t="s">
        <v>2185</v>
      </c>
      <c r="AP557" s="5" t="s">
        <v>2185</v>
      </c>
      <c r="AQ557" s="5" t="s">
        <v>2185</v>
      </c>
      <c r="AR557" s="5" t="s">
        <v>2185</v>
      </c>
      <c r="AS557" s="142"/>
      <c r="AT557" s="142" t="b">
        <v>0</v>
      </c>
      <c r="AU557" s="142"/>
      <c r="AV557" s="142"/>
      <c r="AW557" s="142"/>
      <c r="AX557" s="142"/>
      <c r="AY557" s="142"/>
      <c r="AZ557" s="174"/>
      <c r="BA557" s="142"/>
      <c r="BB557" s="142"/>
      <c r="BC557" s="142"/>
      <c r="BD557" s="142"/>
      <c r="BE557" s="142"/>
      <c r="BF557" s="142"/>
      <c r="BG557" s="142"/>
    </row>
    <row r="558">
      <c r="A558" s="5" t="s">
        <v>1724</v>
      </c>
      <c r="B558" s="44">
        <v>44619.0</v>
      </c>
      <c r="C558" s="150">
        <v>0.33024305555555555</v>
      </c>
      <c r="D558" s="3"/>
      <c r="E558" s="3"/>
      <c r="F558" s="5"/>
      <c r="G558" s="5"/>
      <c r="H558" s="5"/>
      <c r="I558" s="3"/>
      <c r="J558" s="3"/>
      <c r="K558" s="3" t="s">
        <v>244</v>
      </c>
      <c r="L558" s="44">
        <v>44621.0</v>
      </c>
      <c r="M558" s="150">
        <v>0.47835648148148147</v>
      </c>
      <c r="N558" s="5"/>
      <c r="O558" s="5"/>
      <c r="P558" s="10" t="b">
        <v>0</v>
      </c>
      <c r="Q558" s="10" t="s">
        <v>2184</v>
      </c>
      <c r="R558" s="144" t="b">
        <v>1</v>
      </c>
      <c r="S558" s="144">
        <v>1.0</v>
      </c>
      <c r="T558" s="10"/>
      <c r="U558" s="5"/>
      <c r="V558" s="3"/>
      <c r="W558" s="5"/>
      <c r="X558" s="144" t="b">
        <v>0</v>
      </c>
      <c r="Y558" s="10" t="b">
        <v>0</v>
      </c>
      <c r="Z558" s="3"/>
      <c r="AA558" s="10" t="b">
        <v>0</v>
      </c>
      <c r="AB558" s="10" t="b">
        <v>0</v>
      </c>
      <c r="AC558" s="181">
        <v>210.0</v>
      </c>
      <c r="AD558" s="144" t="b">
        <v>0</v>
      </c>
      <c r="AE558" s="182"/>
      <c r="AF558" s="10" t="b">
        <v>0</v>
      </c>
      <c r="AG558" s="10" t="b">
        <v>0</v>
      </c>
      <c r="AH558" s="144"/>
      <c r="AI558" s="3"/>
      <c r="AJ558" s="10"/>
      <c r="AK558" s="3" t="s">
        <v>244</v>
      </c>
      <c r="AL558" s="5"/>
      <c r="AM558" s="5" t="s">
        <v>1298</v>
      </c>
      <c r="AN558" s="5" t="s">
        <v>1299</v>
      </c>
      <c r="AO558" s="5" t="s">
        <v>2185</v>
      </c>
      <c r="AP558" s="5" t="s">
        <v>2185</v>
      </c>
      <c r="AQ558" s="5" t="s">
        <v>2185</v>
      </c>
      <c r="AR558" s="5" t="s">
        <v>2185</v>
      </c>
      <c r="AS558" s="142"/>
      <c r="AT558" s="142" t="b">
        <v>0</v>
      </c>
      <c r="AU558" s="142"/>
      <c r="AV558" s="142"/>
      <c r="AW558" s="142"/>
      <c r="AX558" s="142"/>
      <c r="AY558" s="142"/>
      <c r="AZ558" s="174"/>
      <c r="BA558" s="142"/>
      <c r="BB558" s="142"/>
      <c r="BC558" s="142"/>
      <c r="BD558" s="142"/>
      <c r="BE558" s="142"/>
      <c r="BF558" s="142"/>
      <c r="BG558" s="142"/>
    </row>
    <row r="559">
      <c r="A559" s="5" t="s">
        <v>1726</v>
      </c>
      <c r="B559" s="44">
        <v>44619.0</v>
      </c>
      <c r="C559" s="150">
        <v>0.3308449074074074</v>
      </c>
      <c r="D559" s="3"/>
      <c r="E559" s="3"/>
      <c r="F559" s="5"/>
      <c r="G559" s="5"/>
      <c r="H559" s="5"/>
      <c r="I559" s="3"/>
      <c r="J559" s="3"/>
      <c r="K559" s="3" t="s">
        <v>244</v>
      </c>
      <c r="L559" s="44">
        <v>44621.0</v>
      </c>
      <c r="M559" s="150">
        <v>0.47835648148148147</v>
      </c>
      <c r="N559" s="5"/>
      <c r="O559" s="5"/>
      <c r="P559" s="10" t="b">
        <v>0</v>
      </c>
      <c r="Q559" s="10" t="s">
        <v>2184</v>
      </c>
      <c r="R559" s="144" t="b">
        <v>1</v>
      </c>
      <c r="S559" s="144">
        <v>1.0</v>
      </c>
      <c r="T559" s="10"/>
      <c r="U559" s="5"/>
      <c r="V559" s="3"/>
      <c r="W559" s="5"/>
      <c r="X559" s="144" t="b">
        <v>0</v>
      </c>
      <c r="Y559" s="10" t="b">
        <v>0</v>
      </c>
      <c r="Z559" s="3"/>
      <c r="AA559" s="10" t="b">
        <v>0</v>
      </c>
      <c r="AB559" s="10" t="b">
        <v>0</v>
      </c>
      <c r="AC559" s="181">
        <v>209.0</v>
      </c>
      <c r="AD559" s="144" t="b">
        <v>0</v>
      </c>
      <c r="AE559" s="182"/>
      <c r="AF559" s="10" t="b">
        <v>0</v>
      </c>
      <c r="AG559" s="10" t="b">
        <v>0</v>
      </c>
      <c r="AH559" s="144"/>
      <c r="AI559" s="3"/>
      <c r="AJ559" s="10"/>
      <c r="AK559" s="3" t="s">
        <v>244</v>
      </c>
      <c r="AL559" s="5"/>
      <c r="AM559" s="5" t="s">
        <v>1242</v>
      </c>
      <c r="AN559" s="5" t="s">
        <v>1243</v>
      </c>
      <c r="AO559" s="5" t="s">
        <v>2185</v>
      </c>
      <c r="AP559" s="5" t="s">
        <v>2185</v>
      </c>
      <c r="AQ559" s="5" t="s">
        <v>2185</v>
      </c>
      <c r="AR559" s="5" t="s">
        <v>2185</v>
      </c>
      <c r="AS559" s="142"/>
      <c r="AT559" s="142" t="b">
        <v>0</v>
      </c>
      <c r="AU559" s="142"/>
      <c r="AV559" s="142"/>
      <c r="AW559" s="142"/>
      <c r="AX559" s="142"/>
      <c r="AY559" s="142"/>
      <c r="AZ559" s="174"/>
      <c r="BA559" s="142"/>
      <c r="BB559" s="142"/>
      <c r="BC559" s="142"/>
      <c r="BD559" s="142"/>
      <c r="BE559" s="142"/>
      <c r="BF559" s="142"/>
      <c r="BG559" s="142"/>
    </row>
    <row r="560">
      <c r="A560" s="5" t="s">
        <v>1728</v>
      </c>
      <c r="B560" s="44">
        <v>44619.0</v>
      </c>
      <c r="C560" s="150">
        <v>0.3308564814814815</v>
      </c>
      <c r="D560" s="3"/>
      <c r="E560" s="3"/>
      <c r="F560" s="5"/>
      <c r="G560" s="5"/>
      <c r="H560" s="5"/>
      <c r="I560" s="3"/>
      <c r="J560" s="3"/>
      <c r="K560" s="3" t="s">
        <v>244</v>
      </c>
      <c r="L560" s="44">
        <v>44621.0</v>
      </c>
      <c r="M560" s="150">
        <v>0.47835648148148147</v>
      </c>
      <c r="N560" s="5"/>
      <c r="O560" s="5"/>
      <c r="P560" s="10" t="b">
        <v>0</v>
      </c>
      <c r="Q560" s="10" t="s">
        <v>2184</v>
      </c>
      <c r="R560" s="144" t="b">
        <v>1</v>
      </c>
      <c r="S560" s="144">
        <v>1.0</v>
      </c>
      <c r="T560" s="10"/>
      <c r="U560" s="5"/>
      <c r="V560" s="3"/>
      <c r="W560" s="5"/>
      <c r="X560" s="144" t="b">
        <v>0</v>
      </c>
      <c r="Y560" s="10" t="b">
        <v>0</v>
      </c>
      <c r="Z560" s="3"/>
      <c r="AA560" s="10" t="b">
        <v>0</v>
      </c>
      <c r="AB560" s="10" t="b">
        <v>0</v>
      </c>
      <c r="AC560" s="181">
        <v>208.0</v>
      </c>
      <c r="AD560" s="144" t="b">
        <v>0</v>
      </c>
      <c r="AE560" s="182"/>
      <c r="AF560" s="10" t="b">
        <v>0</v>
      </c>
      <c r="AG560" s="10" t="b">
        <v>0</v>
      </c>
      <c r="AH560" s="144"/>
      <c r="AI560" s="3"/>
      <c r="AJ560" s="10"/>
      <c r="AK560" s="3" t="s">
        <v>244</v>
      </c>
      <c r="AL560" s="5"/>
      <c r="AM560" s="5" t="s">
        <v>1270</v>
      </c>
      <c r="AN560" s="5" t="s">
        <v>1271</v>
      </c>
      <c r="AO560" s="5" t="s">
        <v>2185</v>
      </c>
      <c r="AP560" s="5" t="s">
        <v>2185</v>
      </c>
      <c r="AQ560" s="5" t="s">
        <v>2185</v>
      </c>
      <c r="AR560" s="5" t="s">
        <v>2185</v>
      </c>
      <c r="AS560" s="142"/>
      <c r="AT560" s="142" t="b">
        <v>0</v>
      </c>
      <c r="AU560" s="142"/>
      <c r="AV560" s="142"/>
      <c r="AW560" s="142"/>
      <c r="AX560" s="142"/>
      <c r="AY560" s="142"/>
      <c r="AZ560" s="174"/>
      <c r="BA560" s="142"/>
      <c r="BB560" s="142"/>
      <c r="BC560" s="142"/>
      <c r="BD560" s="142"/>
      <c r="BE560" s="142"/>
      <c r="BF560" s="142"/>
      <c r="BG560" s="142"/>
    </row>
    <row r="561">
      <c r="A561" s="5" t="s">
        <v>1730</v>
      </c>
      <c r="B561" s="44">
        <v>44619.0</v>
      </c>
      <c r="C561" s="150">
        <v>0.3393055555555556</v>
      </c>
      <c r="D561" s="3"/>
      <c r="E561" s="3"/>
      <c r="F561" s="5"/>
      <c r="G561" s="5"/>
      <c r="H561" s="5"/>
      <c r="I561" s="3"/>
      <c r="J561" s="3"/>
      <c r="K561" s="3" t="s">
        <v>244</v>
      </c>
      <c r="L561" s="44">
        <v>44621.0</v>
      </c>
      <c r="M561" s="150">
        <v>0.47835648148148147</v>
      </c>
      <c r="N561" s="5"/>
      <c r="O561" s="5"/>
      <c r="P561" s="10" t="b">
        <v>0</v>
      </c>
      <c r="Q561" s="10" t="s">
        <v>2184</v>
      </c>
      <c r="R561" s="144" t="b">
        <v>1</v>
      </c>
      <c r="S561" s="144">
        <v>1.0</v>
      </c>
      <c r="T561" s="10"/>
      <c r="U561" s="5"/>
      <c r="V561" s="3"/>
      <c r="W561" s="5"/>
      <c r="X561" s="144" t="b">
        <v>0</v>
      </c>
      <c r="Y561" s="10" t="b">
        <v>0</v>
      </c>
      <c r="Z561" s="3"/>
      <c r="AA561" s="10" t="b">
        <v>0</v>
      </c>
      <c r="AB561" s="10" t="b">
        <v>0</v>
      </c>
      <c r="AC561" s="181">
        <v>207.0</v>
      </c>
      <c r="AD561" s="144" t="b">
        <v>0</v>
      </c>
      <c r="AE561" s="182"/>
      <c r="AF561" s="10" t="b">
        <v>0</v>
      </c>
      <c r="AG561" s="10" t="b">
        <v>0</v>
      </c>
      <c r="AH561" s="144"/>
      <c r="AI561" s="3"/>
      <c r="AJ561" s="10"/>
      <c r="AK561" s="3" t="s">
        <v>244</v>
      </c>
      <c r="AL561" s="5"/>
      <c r="AM561" s="5" t="s">
        <v>793</v>
      </c>
      <c r="AN561" s="5" t="s">
        <v>836</v>
      </c>
      <c r="AO561" s="5" t="s">
        <v>2185</v>
      </c>
      <c r="AP561" s="5" t="s">
        <v>2185</v>
      </c>
      <c r="AQ561" s="5" t="s">
        <v>2185</v>
      </c>
      <c r="AR561" s="5" t="s">
        <v>2185</v>
      </c>
      <c r="AS561" s="142"/>
      <c r="AT561" s="142" t="b">
        <v>0</v>
      </c>
      <c r="AU561" s="142"/>
      <c r="AV561" s="142"/>
      <c r="AW561" s="142"/>
      <c r="AX561" s="142"/>
      <c r="AY561" s="142"/>
      <c r="AZ561" s="174"/>
      <c r="BA561" s="142"/>
      <c r="BB561" s="142"/>
      <c r="BC561" s="142"/>
      <c r="BD561" s="142"/>
      <c r="BE561" s="142"/>
      <c r="BF561" s="142"/>
      <c r="BG561" s="142"/>
    </row>
    <row r="562">
      <c r="A562" s="5" t="s">
        <v>1732</v>
      </c>
      <c r="B562" s="44">
        <v>44619.0</v>
      </c>
      <c r="C562" s="150">
        <v>0.35444444444444445</v>
      </c>
      <c r="D562" s="3"/>
      <c r="E562" s="3"/>
      <c r="F562" s="5"/>
      <c r="G562" s="5"/>
      <c r="H562" s="5"/>
      <c r="I562" s="3"/>
      <c r="J562" s="3"/>
      <c r="K562" s="3" t="s">
        <v>52</v>
      </c>
      <c r="L562" s="44">
        <v>44627.0</v>
      </c>
      <c r="M562" s="150">
        <v>0.4778935185185185</v>
      </c>
      <c r="N562" s="5"/>
      <c r="O562" s="5"/>
      <c r="P562" s="10" t="b">
        <v>0</v>
      </c>
      <c r="Q562" s="10" t="s">
        <v>2184</v>
      </c>
      <c r="R562" s="144" t="b">
        <v>1</v>
      </c>
      <c r="S562" s="144">
        <v>1.0</v>
      </c>
      <c r="T562" s="10"/>
      <c r="U562" s="5"/>
      <c r="V562" s="3"/>
      <c r="W562" s="5"/>
      <c r="X562" s="144" t="b">
        <v>0</v>
      </c>
      <c r="Y562" s="10" t="b">
        <v>0</v>
      </c>
      <c r="Z562" s="3"/>
      <c r="AA562" s="10" t="b">
        <v>0</v>
      </c>
      <c r="AB562" s="10" t="b">
        <v>0</v>
      </c>
      <c r="AC562" s="181">
        <v>206.0</v>
      </c>
      <c r="AD562" s="144" t="b">
        <v>0</v>
      </c>
      <c r="AE562" s="182"/>
      <c r="AF562" s="10" t="b">
        <v>0</v>
      </c>
      <c r="AG562" s="10" t="b">
        <v>0</v>
      </c>
      <c r="AH562" s="144"/>
      <c r="AI562" s="3"/>
      <c r="AJ562" s="10"/>
      <c r="AK562" s="3" t="s">
        <v>52</v>
      </c>
      <c r="AL562" s="5"/>
      <c r="AM562" s="5" t="s">
        <v>875</v>
      </c>
      <c r="AN562" s="5" t="s">
        <v>876</v>
      </c>
      <c r="AO562" s="5" t="s">
        <v>2185</v>
      </c>
      <c r="AP562" s="5" t="s">
        <v>2185</v>
      </c>
      <c r="AQ562" s="5" t="s">
        <v>2185</v>
      </c>
      <c r="AR562" s="5" t="s">
        <v>2185</v>
      </c>
      <c r="AS562" s="142"/>
      <c r="AT562" s="142" t="b">
        <v>0</v>
      </c>
      <c r="AU562" s="142"/>
      <c r="AV562" s="142"/>
      <c r="AW562" s="142"/>
      <c r="AX562" s="142"/>
      <c r="AY562" s="142"/>
      <c r="AZ562" s="174"/>
      <c r="BA562" s="142"/>
      <c r="BB562" s="142"/>
      <c r="BC562" s="142"/>
      <c r="BD562" s="142"/>
      <c r="BE562" s="142"/>
      <c r="BF562" s="142"/>
      <c r="BG562" s="142"/>
    </row>
    <row r="563">
      <c r="A563" s="5" t="s">
        <v>1734</v>
      </c>
      <c r="B563" s="44">
        <v>44619.0</v>
      </c>
      <c r="C563" s="150">
        <v>0.35575231481481484</v>
      </c>
      <c r="D563" s="3"/>
      <c r="E563" s="3"/>
      <c r="F563" s="5"/>
      <c r="G563" s="5"/>
      <c r="H563" s="5"/>
      <c r="I563" s="3"/>
      <c r="J563" s="3"/>
      <c r="K563" s="3" t="s">
        <v>244</v>
      </c>
      <c r="L563" s="44">
        <v>44621.0</v>
      </c>
      <c r="M563" s="150">
        <v>0.47835648148148147</v>
      </c>
      <c r="N563" s="5"/>
      <c r="O563" s="5"/>
      <c r="P563" s="10" t="b">
        <v>0</v>
      </c>
      <c r="Q563" s="10" t="s">
        <v>2184</v>
      </c>
      <c r="R563" s="144" t="b">
        <v>1</v>
      </c>
      <c r="S563" s="144">
        <v>1.0</v>
      </c>
      <c r="T563" s="10"/>
      <c r="U563" s="5"/>
      <c r="V563" s="3"/>
      <c r="W563" s="5"/>
      <c r="X563" s="144" t="b">
        <v>0</v>
      </c>
      <c r="Y563" s="10" t="b">
        <v>0</v>
      </c>
      <c r="Z563" s="3"/>
      <c r="AA563" s="10" t="b">
        <v>0</v>
      </c>
      <c r="AB563" s="10" t="b">
        <v>0</v>
      </c>
      <c r="AC563" s="181">
        <v>205.0</v>
      </c>
      <c r="AD563" s="144" t="b">
        <v>0</v>
      </c>
      <c r="AE563" s="182"/>
      <c r="AF563" s="10" t="b">
        <v>0</v>
      </c>
      <c r="AG563" s="10" t="b">
        <v>0</v>
      </c>
      <c r="AH563" s="144"/>
      <c r="AI563" s="3"/>
      <c r="AJ563" s="10"/>
      <c r="AK563" s="3" t="s">
        <v>244</v>
      </c>
      <c r="AL563" s="5"/>
      <c r="AM563" s="5" t="s">
        <v>1512</v>
      </c>
      <c r="AN563" s="5" t="s">
        <v>1513</v>
      </c>
      <c r="AO563" s="5" t="s">
        <v>2185</v>
      </c>
      <c r="AP563" s="5" t="s">
        <v>2185</v>
      </c>
      <c r="AQ563" s="5" t="s">
        <v>2185</v>
      </c>
      <c r="AR563" s="5" t="s">
        <v>2185</v>
      </c>
      <c r="AS563" s="142"/>
      <c r="AT563" s="142" t="b">
        <v>0</v>
      </c>
      <c r="AU563" s="142"/>
      <c r="AV563" s="142"/>
      <c r="AW563" s="142"/>
      <c r="AX563" s="142"/>
      <c r="AY563" s="142"/>
      <c r="AZ563" s="174"/>
      <c r="BA563" s="142"/>
      <c r="BB563" s="142"/>
      <c r="BC563" s="142"/>
      <c r="BD563" s="142"/>
      <c r="BE563" s="142"/>
      <c r="BF563" s="142"/>
      <c r="BG563" s="142"/>
    </row>
    <row r="564">
      <c r="A564" s="5" t="s">
        <v>1736</v>
      </c>
      <c r="B564" s="44">
        <v>44619.0</v>
      </c>
      <c r="C564" s="150">
        <v>0.3563773148148148</v>
      </c>
      <c r="D564" s="3"/>
      <c r="E564" s="3"/>
      <c r="F564" s="5"/>
      <c r="G564" s="5"/>
      <c r="H564" s="5"/>
      <c r="I564" s="3"/>
      <c r="J564" s="3"/>
      <c r="K564" s="3" t="s">
        <v>244</v>
      </c>
      <c r="L564" s="44">
        <v>44621.0</v>
      </c>
      <c r="M564" s="150">
        <v>0.47835648148148147</v>
      </c>
      <c r="N564" s="5"/>
      <c r="O564" s="5"/>
      <c r="P564" s="10" t="b">
        <v>0</v>
      </c>
      <c r="Q564" s="10" t="s">
        <v>2184</v>
      </c>
      <c r="R564" s="144" t="b">
        <v>1</v>
      </c>
      <c r="S564" s="144">
        <v>1.0</v>
      </c>
      <c r="T564" s="10"/>
      <c r="U564" s="5"/>
      <c r="V564" s="3"/>
      <c r="W564" s="5"/>
      <c r="X564" s="144" t="b">
        <v>0</v>
      </c>
      <c r="Y564" s="10" t="b">
        <v>0</v>
      </c>
      <c r="Z564" s="3"/>
      <c r="AA564" s="10" t="b">
        <v>0</v>
      </c>
      <c r="AB564" s="10" t="b">
        <v>0</v>
      </c>
      <c r="AC564" s="181">
        <v>204.0</v>
      </c>
      <c r="AD564" s="144" t="b">
        <v>0</v>
      </c>
      <c r="AE564" s="182"/>
      <c r="AF564" s="10" t="b">
        <v>0</v>
      </c>
      <c r="AG564" s="10" t="b">
        <v>0</v>
      </c>
      <c r="AH564" s="144"/>
      <c r="AI564" s="3"/>
      <c r="AJ564" s="10"/>
      <c r="AK564" s="3" t="s">
        <v>244</v>
      </c>
      <c r="AL564" s="5"/>
      <c r="AM564" s="5" t="s">
        <v>1274</v>
      </c>
      <c r="AN564" s="5" t="s">
        <v>1275</v>
      </c>
      <c r="AO564" s="5" t="s">
        <v>2185</v>
      </c>
      <c r="AP564" s="5" t="s">
        <v>2185</v>
      </c>
      <c r="AQ564" s="5" t="s">
        <v>2185</v>
      </c>
      <c r="AR564" s="5" t="s">
        <v>2185</v>
      </c>
      <c r="AS564" s="142"/>
      <c r="AT564" s="142" t="b">
        <v>0</v>
      </c>
      <c r="AU564" s="142"/>
      <c r="AV564" s="142"/>
      <c r="AW564" s="142"/>
      <c r="AX564" s="142"/>
      <c r="AY564" s="142"/>
      <c r="AZ564" s="174"/>
      <c r="BA564" s="142"/>
      <c r="BB564" s="142"/>
      <c r="BC564" s="142"/>
      <c r="BD564" s="142"/>
      <c r="BE564" s="142"/>
      <c r="BF564" s="142"/>
      <c r="BG564" s="142"/>
    </row>
    <row r="565">
      <c r="A565" s="5" t="s">
        <v>1738</v>
      </c>
      <c r="B565" s="44">
        <v>44619.0</v>
      </c>
      <c r="C565" s="150">
        <v>0.3628587962962963</v>
      </c>
      <c r="D565" s="3"/>
      <c r="E565" s="3"/>
      <c r="F565" s="5"/>
      <c r="G565" s="5"/>
      <c r="H565" s="5"/>
      <c r="I565" s="3"/>
      <c r="J565" s="3"/>
      <c r="K565" s="3" t="s">
        <v>244</v>
      </c>
      <c r="L565" s="44">
        <v>44621.0</v>
      </c>
      <c r="M565" s="150">
        <v>0.47835648148148147</v>
      </c>
      <c r="N565" s="5"/>
      <c r="O565" s="5"/>
      <c r="P565" s="10" t="b">
        <v>0</v>
      </c>
      <c r="Q565" s="10" t="s">
        <v>2184</v>
      </c>
      <c r="R565" s="144" t="b">
        <v>1</v>
      </c>
      <c r="S565" s="144">
        <v>1.0</v>
      </c>
      <c r="T565" s="10"/>
      <c r="U565" s="5"/>
      <c r="V565" s="3"/>
      <c r="W565" s="5"/>
      <c r="X565" s="144" t="b">
        <v>0</v>
      </c>
      <c r="Y565" s="10" t="b">
        <v>0</v>
      </c>
      <c r="Z565" s="3"/>
      <c r="AA565" s="10" t="b">
        <v>0</v>
      </c>
      <c r="AB565" s="10" t="b">
        <v>0</v>
      </c>
      <c r="AC565" s="181">
        <v>203.0</v>
      </c>
      <c r="AD565" s="144" t="b">
        <v>0</v>
      </c>
      <c r="AE565" s="182"/>
      <c r="AF565" s="10" t="b">
        <v>0</v>
      </c>
      <c r="AG565" s="10" t="b">
        <v>0</v>
      </c>
      <c r="AH565" s="144"/>
      <c r="AI565" s="3"/>
      <c r="AJ565" s="10"/>
      <c r="AK565" s="3" t="s">
        <v>244</v>
      </c>
      <c r="AL565" s="5"/>
      <c r="AM565" s="5" t="s">
        <v>261</v>
      </c>
      <c r="AN565" s="5" t="s">
        <v>262</v>
      </c>
      <c r="AO565" s="5" t="s">
        <v>2185</v>
      </c>
      <c r="AP565" s="5" t="s">
        <v>2185</v>
      </c>
      <c r="AQ565" s="5" t="s">
        <v>2185</v>
      </c>
      <c r="AR565" s="5" t="s">
        <v>2185</v>
      </c>
      <c r="AS565" s="142"/>
      <c r="AT565" s="142" t="b">
        <v>0</v>
      </c>
      <c r="AU565" s="142"/>
      <c r="AV565" s="142"/>
      <c r="AW565" s="142"/>
      <c r="AX565" s="142"/>
      <c r="AY565" s="142"/>
      <c r="AZ565" s="174"/>
      <c r="BA565" s="142"/>
      <c r="BB565" s="142"/>
      <c r="BC565" s="142"/>
      <c r="BD565" s="142"/>
      <c r="BE565" s="142"/>
      <c r="BF565" s="142"/>
      <c r="BG565" s="142"/>
    </row>
    <row r="566">
      <c r="A566" s="5" t="s">
        <v>1740</v>
      </c>
      <c r="B566" s="44">
        <v>44619.0</v>
      </c>
      <c r="C566" s="150">
        <v>0.3654513888888889</v>
      </c>
      <c r="D566" s="3"/>
      <c r="E566" s="3"/>
      <c r="F566" s="5"/>
      <c r="G566" s="5"/>
      <c r="H566" s="5"/>
      <c r="I566" s="3"/>
      <c r="J566" s="3"/>
      <c r="K566" s="3" t="s">
        <v>244</v>
      </c>
      <c r="L566" s="44">
        <v>44621.0</v>
      </c>
      <c r="M566" s="150">
        <v>0.47835648148148147</v>
      </c>
      <c r="N566" s="5"/>
      <c r="O566" s="5"/>
      <c r="P566" s="10" t="b">
        <v>0</v>
      </c>
      <c r="Q566" s="10" t="s">
        <v>2184</v>
      </c>
      <c r="R566" s="144" t="b">
        <v>1</v>
      </c>
      <c r="S566" s="144">
        <v>1.0</v>
      </c>
      <c r="T566" s="10"/>
      <c r="U566" s="5"/>
      <c r="V566" s="3"/>
      <c r="W566" s="5"/>
      <c r="X566" s="144" t="b">
        <v>0</v>
      </c>
      <c r="Y566" s="10" t="b">
        <v>0</v>
      </c>
      <c r="Z566" s="3"/>
      <c r="AA566" s="10" t="b">
        <v>0</v>
      </c>
      <c r="AB566" s="10" t="b">
        <v>0</v>
      </c>
      <c r="AC566" s="181">
        <v>202.0</v>
      </c>
      <c r="AD566" s="144" t="b">
        <v>0</v>
      </c>
      <c r="AE566" s="182"/>
      <c r="AF566" s="10" t="b">
        <v>0</v>
      </c>
      <c r="AG566" s="10" t="b">
        <v>0</v>
      </c>
      <c r="AH566" s="144"/>
      <c r="AI566" s="3"/>
      <c r="AJ566" s="10"/>
      <c r="AK566" s="3" t="s">
        <v>244</v>
      </c>
      <c r="AL566" s="5"/>
      <c r="AM566" s="5" t="s">
        <v>457</v>
      </c>
      <c r="AN566" s="5" t="s">
        <v>458</v>
      </c>
      <c r="AO566" s="5" t="s">
        <v>2185</v>
      </c>
      <c r="AP566" s="5" t="s">
        <v>2185</v>
      </c>
      <c r="AQ566" s="5" t="s">
        <v>2185</v>
      </c>
      <c r="AR566" s="5" t="s">
        <v>2185</v>
      </c>
      <c r="AS566" s="142"/>
      <c r="AT566" s="142" t="b">
        <v>0</v>
      </c>
      <c r="AU566" s="142"/>
      <c r="AV566" s="142"/>
      <c r="AW566" s="142"/>
      <c r="AX566" s="142"/>
      <c r="AY566" s="142"/>
      <c r="AZ566" s="174"/>
      <c r="BA566" s="142"/>
      <c r="BB566" s="142"/>
      <c r="BC566" s="142"/>
      <c r="BD566" s="142"/>
      <c r="BE566" s="142"/>
      <c r="BF566" s="142"/>
      <c r="BG566" s="142"/>
    </row>
    <row r="567">
      <c r="A567" s="5" t="s">
        <v>1742</v>
      </c>
      <c r="B567" s="44">
        <v>44619.0</v>
      </c>
      <c r="C567" s="150">
        <v>0.47077546296296297</v>
      </c>
      <c r="D567" s="3"/>
      <c r="E567" s="3"/>
      <c r="F567" s="5"/>
      <c r="G567" s="5"/>
      <c r="H567" s="5"/>
      <c r="I567" s="3"/>
      <c r="J567" s="3"/>
      <c r="K567" s="3" t="s">
        <v>52</v>
      </c>
      <c r="L567" s="44">
        <v>44627.0</v>
      </c>
      <c r="M567" s="150">
        <v>0.4778935185185185</v>
      </c>
      <c r="N567" s="5"/>
      <c r="O567" s="5"/>
      <c r="P567" s="10" t="b">
        <v>0</v>
      </c>
      <c r="Q567" s="10" t="s">
        <v>2184</v>
      </c>
      <c r="R567" s="144" t="b">
        <v>1</v>
      </c>
      <c r="S567" s="144">
        <v>1.0</v>
      </c>
      <c r="T567" s="10">
        <v>0.0</v>
      </c>
      <c r="U567" s="5"/>
      <c r="V567" s="3"/>
      <c r="W567" s="5"/>
      <c r="X567" s="144" t="b">
        <v>0</v>
      </c>
      <c r="Y567" s="10" t="b">
        <v>0</v>
      </c>
      <c r="Z567" s="3"/>
      <c r="AA567" s="10" t="b">
        <v>0</v>
      </c>
      <c r="AB567" s="10" t="b">
        <v>0</v>
      </c>
      <c r="AC567" s="181">
        <v>201.0</v>
      </c>
      <c r="AD567" s="144" t="b">
        <v>0</v>
      </c>
      <c r="AE567" s="182"/>
      <c r="AF567" s="10" t="b">
        <v>0</v>
      </c>
      <c r="AG567" s="10" t="b">
        <v>0</v>
      </c>
      <c r="AH567" s="144"/>
      <c r="AI567" s="3"/>
      <c r="AJ567" s="10"/>
      <c r="AK567" s="3" t="s">
        <v>52</v>
      </c>
      <c r="AL567" s="5"/>
      <c r="AM567" s="5" t="s">
        <v>1516</v>
      </c>
      <c r="AN567" s="5" t="s">
        <v>1743</v>
      </c>
      <c r="AO567" s="5" t="s">
        <v>2185</v>
      </c>
      <c r="AP567" s="5" t="s">
        <v>2185</v>
      </c>
      <c r="AQ567" s="5" t="s">
        <v>2185</v>
      </c>
      <c r="AR567" s="5" t="s">
        <v>2185</v>
      </c>
      <c r="AS567" s="142"/>
      <c r="AT567" s="142" t="b">
        <v>0</v>
      </c>
      <c r="AU567" s="142"/>
      <c r="AV567" s="142"/>
      <c r="AW567" s="142"/>
      <c r="AX567" s="142"/>
      <c r="AY567" s="142"/>
      <c r="AZ567" s="174"/>
      <c r="BA567" s="142"/>
      <c r="BB567" s="142"/>
      <c r="BC567" s="142"/>
      <c r="BD567" s="142"/>
      <c r="BE567" s="142"/>
      <c r="BF567" s="142"/>
      <c r="BG567" s="142"/>
    </row>
    <row r="568">
      <c r="A568" s="5" t="s">
        <v>1745</v>
      </c>
      <c r="B568" s="44">
        <v>44619.0</v>
      </c>
      <c r="C568" s="150">
        <v>0.47128472222222223</v>
      </c>
      <c r="D568" s="3"/>
      <c r="E568" s="3"/>
      <c r="F568" s="5"/>
      <c r="G568" s="5"/>
      <c r="H568" s="5"/>
      <c r="I568" s="3"/>
      <c r="J568" s="3"/>
      <c r="K568" s="3" t="s">
        <v>244</v>
      </c>
      <c r="L568" s="44">
        <v>44621.0</v>
      </c>
      <c r="M568" s="150">
        <v>0.47835648148148147</v>
      </c>
      <c r="N568" s="5"/>
      <c r="O568" s="5"/>
      <c r="P568" s="10" t="b">
        <v>0</v>
      </c>
      <c r="Q568" s="10" t="s">
        <v>2184</v>
      </c>
      <c r="R568" s="144" t="b">
        <v>1</v>
      </c>
      <c r="S568" s="144">
        <v>1.0</v>
      </c>
      <c r="T568" s="10">
        <v>0.0</v>
      </c>
      <c r="U568" s="5"/>
      <c r="V568" s="3"/>
      <c r="W568" s="5"/>
      <c r="X568" s="144" t="b">
        <v>0</v>
      </c>
      <c r="Y568" s="10" t="b">
        <v>0</v>
      </c>
      <c r="Z568" s="3"/>
      <c r="AA568" s="10" t="b">
        <v>0</v>
      </c>
      <c r="AB568" s="10" t="b">
        <v>0</v>
      </c>
      <c r="AC568" s="181">
        <v>200.0</v>
      </c>
      <c r="AD568" s="144" t="b">
        <v>0</v>
      </c>
      <c r="AE568" s="182"/>
      <c r="AF568" s="10" t="b">
        <v>0</v>
      </c>
      <c r="AG568" s="10" t="b">
        <v>0</v>
      </c>
      <c r="AH568" s="144"/>
      <c r="AI568" s="3"/>
      <c r="AJ568" s="10"/>
      <c r="AK568" s="3" t="s">
        <v>244</v>
      </c>
      <c r="AL568" s="5"/>
      <c r="AM568" s="5" t="s">
        <v>1516</v>
      </c>
      <c r="AN568" s="5" t="s">
        <v>1746</v>
      </c>
      <c r="AO568" s="5" t="s">
        <v>2185</v>
      </c>
      <c r="AP568" s="5" t="s">
        <v>2185</v>
      </c>
      <c r="AQ568" s="5" t="s">
        <v>2185</v>
      </c>
      <c r="AR568" s="5" t="s">
        <v>2185</v>
      </c>
      <c r="AS568" s="142"/>
      <c r="AT568" s="142" t="b">
        <v>0</v>
      </c>
      <c r="AU568" s="142"/>
      <c r="AV568" s="142"/>
      <c r="AW568" s="142"/>
      <c r="AX568" s="142"/>
      <c r="AY568" s="142"/>
      <c r="AZ568" s="174"/>
      <c r="BA568" s="142"/>
      <c r="BB568" s="142"/>
      <c r="BC568" s="142"/>
      <c r="BD568" s="142"/>
      <c r="BE568" s="142"/>
      <c r="BF568" s="142"/>
      <c r="BG568" s="142"/>
    </row>
    <row r="569">
      <c r="A569" s="5" t="s">
        <v>1748</v>
      </c>
      <c r="B569" s="44">
        <v>44619.0</v>
      </c>
      <c r="C569" s="150">
        <v>0.4717476851851852</v>
      </c>
      <c r="D569" s="3"/>
      <c r="E569" s="3"/>
      <c r="F569" s="5"/>
      <c r="G569" s="5"/>
      <c r="H569" s="5"/>
      <c r="I569" s="3"/>
      <c r="J569" s="3"/>
      <c r="K569" s="3" t="s">
        <v>244</v>
      </c>
      <c r="L569" s="44">
        <v>44621.0</v>
      </c>
      <c r="M569" s="150">
        <v>0.47836805555555556</v>
      </c>
      <c r="N569" s="5"/>
      <c r="O569" s="5"/>
      <c r="P569" s="10" t="b">
        <v>0</v>
      </c>
      <c r="Q569" s="10" t="s">
        <v>2184</v>
      </c>
      <c r="R569" s="144" t="b">
        <v>1</v>
      </c>
      <c r="S569" s="144">
        <v>1.0</v>
      </c>
      <c r="T569" s="10">
        <v>0.0</v>
      </c>
      <c r="U569" s="5"/>
      <c r="V569" s="3"/>
      <c r="W569" s="5"/>
      <c r="X569" s="144" t="b">
        <v>0</v>
      </c>
      <c r="Y569" s="10" t="b">
        <v>0</v>
      </c>
      <c r="Z569" s="3"/>
      <c r="AA569" s="10" t="b">
        <v>0</v>
      </c>
      <c r="AB569" s="10" t="b">
        <v>0</v>
      </c>
      <c r="AC569" s="181">
        <v>199.0</v>
      </c>
      <c r="AD569" s="144" t="b">
        <v>0</v>
      </c>
      <c r="AE569" s="182"/>
      <c r="AF569" s="10" t="b">
        <v>0</v>
      </c>
      <c r="AG569" s="10" t="b">
        <v>0</v>
      </c>
      <c r="AH569" s="144"/>
      <c r="AI569" s="3"/>
      <c r="AJ569" s="10"/>
      <c r="AK569" s="3" t="s">
        <v>244</v>
      </c>
      <c r="AL569" s="5"/>
      <c r="AM569" s="5" t="s">
        <v>1516</v>
      </c>
      <c r="AN569" s="5" t="s">
        <v>1749</v>
      </c>
      <c r="AO569" s="5" t="s">
        <v>2185</v>
      </c>
      <c r="AP569" s="5" t="s">
        <v>2185</v>
      </c>
      <c r="AQ569" s="5" t="s">
        <v>2185</v>
      </c>
      <c r="AR569" s="5" t="s">
        <v>2185</v>
      </c>
      <c r="AS569" s="142"/>
      <c r="AT569" s="142" t="b">
        <v>0</v>
      </c>
      <c r="AU569" s="142"/>
      <c r="AV569" s="142"/>
      <c r="AW569" s="142"/>
      <c r="AX569" s="142"/>
      <c r="AY569" s="142"/>
      <c r="AZ569" s="174"/>
      <c r="BA569" s="142"/>
      <c r="BB569" s="142"/>
      <c r="BC569" s="142"/>
      <c r="BD569" s="142"/>
      <c r="BE569" s="142"/>
      <c r="BF569" s="142"/>
      <c r="BG569" s="142"/>
    </row>
    <row r="570">
      <c r="A570" s="5" t="s">
        <v>1751</v>
      </c>
      <c r="B570" s="44">
        <v>44619.0</v>
      </c>
      <c r="C570" s="150">
        <v>0.47225694444444444</v>
      </c>
      <c r="D570" s="3"/>
      <c r="E570" s="3"/>
      <c r="F570" s="5"/>
      <c r="G570" s="5"/>
      <c r="H570" s="5"/>
      <c r="I570" s="3"/>
      <c r="J570" s="3"/>
      <c r="K570" s="3" t="s">
        <v>244</v>
      </c>
      <c r="L570" s="44">
        <v>44621.0</v>
      </c>
      <c r="M570" s="150">
        <v>0.47836805555555556</v>
      </c>
      <c r="N570" s="5"/>
      <c r="O570" s="5"/>
      <c r="P570" s="10" t="b">
        <v>0</v>
      </c>
      <c r="Q570" s="10" t="s">
        <v>2184</v>
      </c>
      <c r="R570" s="144" t="b">
        <v>1</v>
      </c>
      <c r="S570" s="144">
        <v>1.0</v>
      </c>
      <c r="T570" s="10">
        <v>0.0</v>
      </c>
      <c r="U570" s="5"/>
      <c r="V570" s="3"/>
      <c r="W570" s="5"/>
      <c r="X570" s="144" t="b">
        <v>0</v>
      </c>
      <c r="Y570" s="10" t="b">
        <v>0</v>
      </c>
      <c r="Z570" s="3"/>
      <c r="AA570" s="10" t="b">
        <v>0</v>
      </c>
      <c r="AB570" s="10" t="b">
        <v>0</v>
      </c>
      <c r="AC570" s="181">
        <v>198.0</v>
      </c>
      <c r="AD570" s="144" t="b">
        <v>0</v>
      </c>
      <c r="AE570" s="182"/>
      <c r="AF570" s="10" t="b">
        <v>0</v>
      </c>
      <c r="AG570" s="10" t="b">
        <v>0</v>
      </c>
      <c r="AH570" s="144"/>
      <c r="AI570" s="3"/>
      <c r="AJ570" s="10"/>
      <c r="AK570" s="3" t="s">
        <v>244</v>
      </c>
      <c r="AL570" s="5"/>
      <c r="AM570" s="5" t="s">
        <v>1516</v>
      </c>
      <c r="AN570" s="5" t="s">
        <v>1752</v>
      </c>
      <c r="AO570" s="5" t="s">
        <v>2185</v>
      </c>
      <c r="AP570" s="5" t="s">
        <v>2185</v>
      </c>
      <c r="AQ570" s="5" t="s">
        <v>2185</v>
      </c>
      <c r="AR570" s="5" t="s">
        <v>2185</v>
      </c>
      <c r="AS570" s="142"/>
      <c r="AT570" s="142" t="b">
        <v>0</v>
      </c>
      <c r="AU570" s="142"/>
      <c r="AV570" s="142"/>
      <c r="AW570" s="142"/>
      <c r="AX570" s="142"/>
      <c r="AY570" s="142"/>
      <c r="AZ570" s="174"/>
      <c r="BA570" s="142"/>
      <c r="BB570" s="142"/>
      <c r="BC570" s="142"/>
      <c r="BD570" s="142"/>
      <c r="BE570" s="142"/>
      <c r="BF570" s="142"/>
      <c r="BG570" s="142"/>
    </row>
    <row r="571">
      <c r="A571" s="5" t="s">
        <v>1754</v>
      </c>
      <c r="B571" s="44">
        <v>44619.0</v>
      </c>
      <c r="C571" s="150">
        <v>0.47260416666666666</v>
      </c>
      <c r="D571" s="3"/>
      <c r="E571" s="3"/>
      <c r="F571" s="5"/>
      <c r="G571" s="5"/>
      <c r="H571" s="5"/>
      <c r="I571" s="3"/>
      <c r="J571" s="3"/>
      <c r="K571" s="3" t="s">
        <v>244</v>
      </c>
      <c r="L571" s="44">
        <v>44621.0</v>
      </c>
      <c r="M571" s="150">
        <v>0.47836805555555556</v>
      </c>
      <c r="N571" s="5"/>
      <c r="O571" s="5"/>
      <c r="P571" s="10" t="b">
        <v>0</v>
      </c>
      <c r="Q571" s="10" t="s">
        <v>2184</v>
      </c>
      <c r="R571" s="144" t="b">
        <v>1</v>
      </c>
      <c r="S571" s="144">
        <v>1.0</v>
      </c>
      <c r="T571" s="10"/>
      <c r="U571" s="5"/>
      <c r="V571" s="3"/>
      <c r="W571" s="5"/>
      <c r="X571" s="144" t="b">
        <v>0</v>
      </c>
      <c r="Y571" s="10" t="b">
        <v>0</v>
      </c>
      <c r="Z571" s="3"/>
      <c r="AA571" s="10" t="b">
        <v>0</v>
      </c>
      <c r="AB571" s="10" t="b">
        <v>0</v>
      </c>
      <c r="AC571" s="181">
        <v>197.0</v>
      </c>
      <c r="AD571" s="144" t="b">
        <v>0</v>
      </c>
      <c r="AE571" s="182"/>
      <c r="AF571" s="10" t="b">
        <v>0</v>
      </c>
      <c r="AG571" s="10" t="b">
        <v>0</v>
      </c>
      <c r="AH571" s="144"/>
      <c r="AI571" s="3"/>
      <c r="AJ571" s="10"/>
      <c r="AK571" s="3" t="s">
        <v>244</v>
      </c>
      <c r="AL571" s="5"/>
      <c r="AM571" s="5" t="s">
        <v>1516</v>
      </c>
      <c r="AN571" s="5" t="s">
        <v>1517</v>
      </c>
      <c r="AO571" s="5" t="s">
        <v>2185</v>
      </c>
      <c r="AP571" s="5" t="s">
        <v>2185</v>
      </c>
      <c r="AQ571" s="5" t="s">
        <v>2185</v>
      </c>
      <c r="AR571" s="5" t="s">
        <v>2185</v>
      </c>
      <c r="AS571" s="142"/>
      <c r="AT571" s="142" t="b">
        <v>0</v>
      </c>
      <c r="AU571" s="142"/>
      <c r="AV571" s="142"/>
      <c r="AW571" s="142"/>
      <c r="AX571" s="142"/>
      <c r="AY571" s="142"/>
      <c r="AZ571" s="174"/>
      <c r="BA571" s="142"/>
      <c r="BB571" s="142"/>
      <c r="BC571" s="142"/>
      <c r="BD571" s="142"/>
      <c r="BE571" s="142"/>
      <c r="BF571" s="142"/>
      <c r="BG571" s="142"/>
    </row>
    <row r="572">
      <c r="A572" s="5" t="s">
        <v>1756</v>
      </c>
      <c r="B572" s="44">
        <v>44619.0</v>
      </c>
      <c r="C572" s="150">
        <v>0.5150231481481482</v>
      </c>
      <c r="D572" s="3"/>
      <c r="E572" s="3"/>
      <c r="F572" s="5"/>
      <c r="G572" s="5"/>
      <c r="H572" s="5"/>
      <c r="I572" s="3"/>
      <c r="J572" s="3"/>
      <c r="K572" s="3" t="s">
        <v>244</v>
      </c>
      <c r="L572" s="44">
        <v>44621.0</v>
      </c>
      <c r="M572" s="150">
        <v>0.47836805555555556</v>
      </c>
      <c r="N572" s="5"/>
      <c r="O572" s="5"/>
      <c r="P572" s="10" t="b">
        <v>0</v>
      </c>
      <c r="Q572" s="10" t="s">
        <v>2184</v>
      </c>
      <c r="R572" s="144" t="b">
        <v>1</v>
      </c>
      <c r="S572" s="144">
        <v>1.0</v>
      </c>
      <c r="T572" s="10">
        <v>0.0</v>
      </c>
      <c r="U572" s="5"/>
      <c r="V572" s="3"/>
      <c r="W572" s="5"/>
      <c r="X572" s="144" t="b">
        <v>0</v>
      </c>
      <c r="Y572" s="10" t="b">
        <v>0</v>
      </c>
      <c r="Z572" s="3"/>
      <c r="AA572" s="10" t="b">
        <v>0</v>
      </c>
      <c r="AB572" s="10" t="b">
        <v>0</v>
      </c>
      <c r="AC572" s="181">
        <v>196.0</v>
      </c>
      <c r="AD572" s="144" t="b">
        <v>0</v>
      </c>
      <c r="AE572" s="182"/>
      <c r="AF572" s="10" t="b">
        <v>0</v>
      </c>
      <c r="AG572" s="10" t="b">
        <v>0</v>
      </c>
      <c r="AH572" s="144"/>
      <c r="AI572" s="3"/>
      <c r="AJ572" s="10"/>
      <c r="AK572" s="3" t="s">
        <v>244</v>
      </c>
      <c r="AL572" s="5"/>
      <c r="AM572" s="5" t="s">
        <v>1757</v>
      </c>
      <c r="AN572" s="5" t="s">
        <v>1758</v>
      </c>
      <c r="AO572" s="5" t="s">
        <v>2185</v>
      </c>
      <c r="AP572" s="5" t="s">
        <v>2185</v>
      </c>
      <c r="AQ572" s="5" t="s">
        <v>2185</v>
      </c>
      <c r="AR572" s="5" t="s">
        <v>2185</v>
      </c>
      <c r="AS572" s="142"/>
      <c r="AT572" s="142" t="b">
        <v>0</v>
      </c>
      <c r="AU572" s="142"/>
      <c r="AV572" s="142"/>
      <c r="AW572" s="142"/>
      <c r="AX572" s="142"/>
      <c r="AY572" s="142"/>
      <c r="AZ572" s="174"/>
      <c r="BA572" s="142"/>
      <c r="BB572" s="142"/>
      <c r="BC572" s="142"/>
      <c r="BD572" s="142"/>
      <c r="BE572" s="142"/>
      <c r="BF572" s="142"/>
      <c r="BG572" s="142"/>
    </row>
    <row r="573">
      <c r="A573" s="5" t="s">
        <v>1760</v>
      </c>
      <c r="B573" s="44">
        <v>44619.0</v>
      </c>
      <c r="C573" s="150">
        <v>0.5154282407407408</v>
      </c>
      <c r="D573" s="3"/>
      <c r="E573" s="3"/>
      <c r="F573" s="5"/>
      <c r="G573" s="5"/>
      <c r="H573" s="5"/>
      <c r="I573" s="3"/>
      <c r="J573" s="3"/>
      <c r="K573" s="3" t="s">
        <v>244</v>
      </c>
      <c r="L573" s="44">
        <v>44621.0</v>
      </c>
      <c r="M573" s="150">
        <v>0.47836805555555556</v>
      </c>
      <c r="N573" s="5"/>
      <c r="O573" s="5"/>
      <c r="P573" s="10" t="b">
        <v>0</v>
      </c>
      <c r="Q573" s="10" t="s">
        <v>2184</v>
      </c>
      <c r="R573" s="144" t="b">
        <v>1</v>
      </c>
      <c r="S573" s="144">
        <v>1.0</v>
      </c>
      <c r="T573" s="10">
        <v>0.0</v>
      </c>
      <c r="U573" s="5"/>
      <c r="V573" s="3"/>
      <c r="W573" s="5"/>
      <c r="X573" s="144" t="b">
        <v>0</v>
      </c>
      <c r="Y573" s="10" t="b">
        <v>0</v>
      </c>
      <c r="Z573" s="3"/>
      <c r="AA573" s="10" t="b">
        <v>0</v>
      </c>
      <c r="AB573" s="10" t="b">
        <v>0</v>
      </c>
      <c r="AC573" s="181">
        <v>195.0</v>
      </c>
      <c r="AD573" s="144" t="b">
        <v>0</v>
      </c>
      <c r="AE573" s="182"/>
      <c r="AF573" s="10" t="b">
        <v>0</v>
      </c>
      <c r="AG573" s="10" t="b">
        <v>0</v>
      </c>
      <c r="AH573" s="144"/>
      <c r="AI573" s="3"/>
      <c r="AJ573" s="10"/>
      <c r="AK573" s="3" t="s">
        <v>244</v>
      </c>
      <c r="AL573" s="5"/>
      <c r="AM573" s="5" t="s">
        <v>1757</v>
      </c>
      <c r="AN573" s="5" t="s">
        <v>1761</v>
      </c>
      <c r="AO573" s="5" t="s">
        <v>2185</v>
      </c>
      <c r="AP573" s="5" t="s">
        <v>2185</v>
      </c>
      <c r="AQ573" s="5" t="s">
        <v>2185</v>
      </c>
      <c r="AR573" s="5" t="s">
        <v>2185</v>
      </c>
      <c r="AS573" s="142"/>
      <c r="AT573" s="142" t="b">
        <v>0</v>
      </c>
      <c r="AU573" s="142"/>
      <c r="AV573" s="142"/>
      <c r="AW573" s="142"/>
      <c r="AX573" s="142"/>
      <c r="AY573" s="142"/>
      <c r="AZ573" s="174"/>
      <c r="BA573" s="142"/>
      <c r="BB573" s="142"/>
      <c r="BC573" s="142"/>
      <c r="BD573" s="142"/>
      <c r="BE573" s="142"/>
      <c r="BF573" s="142"/>
      <c r="BG573" s="142"/>
    </row>
    <row r="574">
      <c r="A574" s="5" t="s">
        <v>1763</v>
      </c>
      <c r="B574" s="44">
        <v>44621.0</v>
      </c>
      <c r="C574" s="150">
        <v>0.2698611111111111</v>
      </c>
      <c r="D574" s="3"/>
      <c r="E574" s="3"/>
      <c r="F574" s="5"/>
      <c r="G574" s="5"/>
      <c r="H574" s="5"/>
      <c r="I574" s="3"/>
      <c r="J574" s="3"/>
      <c r="K574" s="3" t="s">
        <v>244</v>
      </c>
      <c r="L574" s="44">
        <v>44627.0</v>
      </c>
      <c r="M574" s="150">
        <v>0.4779050925925926</v>
      </c>
      <c r="N574" s="5"/>
      <c r="O574" s="5"/>
      <c r="P574" s="10" t="b">
        <v>0</v>
      </c>
      <c r="Q574" s="10" t="s">
        <v>2184</v>
      </c>
      <c r="R574" s="144" t="b">
        <v>1</v>
      </c>
      <c r="S574" s="144">
        <v>1.0</v>
      </c>
      <c r="T574" s="10"/>
      <c r="U574" s="5"/>
      <c r="V574" s="3"/>
      <c r="W574" s="5"/>
      <c r="X574" s="144" t="b">
        <v>0</v>
      </c>
      <c r="Y574" s="10" t="b">
        <v>0</v>
      </c>
      <c r="Z574" s="3"/>
      <c r="AA574" s="10" t="b">
        <v>0</v>
      </c>
      <c r="AB574" s="10" t="b">
        <v>0</v>
      </c>
      <c r="AC574" s="181">
        <v>194.0</v>
      </c>
      <c r="AD574" s="144" t="b">
        <v>0</v>
      </c>
      <c r="AE574" s="182"/>
      <c r="AF574" s="10" t="b">
        <v>0</v>
      </c>
      <c r="AG574" s="10" t="b">
        <v>0</v>
      </c>
      <c r="AH574" s="144"/>
      <c r="AI574" s="3"/>
      <c r="AJ574" s="10"/>
      <c r="AK574" s="3" t="s">
        <v>244</v>
      </c>
      <c r="AL574" s="5"/>
      <c r="AM574" s="5" t="s">
        <v>1384</v>
      </c>
      <c r="AN574" s="5" t="s">
        <v>1385</v>
      </c>
      <c r="AO574" s="5" t="s">
        <v>2185</v>
      </c>
      <c r="AP574" s="5" t="s">
        <v>2185</v>
      </c>
      <c r="AQ574" s="5" t="s">
        <v>2185</v>
      </c>
      <c r="AR574" s="5" t="s">
        <v>2185</v>
      </c>
      <c r="AS574" s="142"/>
      <c r="AT574" s="142" t="b">
        <v>0</v>
      </c>
      <c r="AU574" s="142"/>
      <c r="AV574" s="142"/>
      <c r="AW574" s="142"/>
      <c r="AX574" s="142"/>
      <c r="AY574" s="142"/>
      <c r="AZ574" s="174"/>
      <c r="BA574" s="142"/>
      <c r="BB574" s="142"/>
      <c r="BC574" s="142"/>
      <c r="BD574" s="142"/>
      <c r="BE574" s="142"/>
      <c r="BF574" s="142"/>
      <c r="BG574" s="142"/>
    </row>
    <row r="575">
      <c r="A575" s="5" t="s">
        <v>1765</v>
      </c>
      <c r="B575" s="44">
        <v>44621.0</v>
      </c>
      <c r="C575" s="150">
        <v>0.2941435185185185</v>
      </c>
      <c r="D575" s="3"/>
      <c r="E575" s="3"/>
      <c r="F575" s="5"/>
      <c r="G575" s="5"/>
      <c r="H575" s="5"/>
      <c r="I575" s="3"/>
      <c r="J575" s="3"/>
      <c r="K575" s="3" t="s">
        <v>244</v>
      </c>
      <c r="L575" s="44">
        <v>44627.0</v>
      </c>
      <c r="M575" s="150">
        <v>0.4779050925925926</v>
      </c>
      <c r="N575" s="5"/>
      <c r="O575" s="5"/>
      <c r="P575" s="10" t="b">
        <v>0</v>
      </c>
      <c r="Q575" s="10" t="s">
        <v>2184</v>
      </c>
      <c r="R575" s="144" t="b">
        <v>1</v>
      </c>
      <c r="S575" s="144">
        <v>1.0</v>
      </c>
      <c r="T575" s="10"/>
      <c r="U575" s="5"/>
      <c r="V575" s="3"/>
      <c r="W575" s="5"/>
      <c r="X575" s="144" t="b">
        <v>0</v>
      </c>
      <c r="Y575" s="10" t="b">
        <v>0</v>
      </c>
      <c r="Z575" s="3"/>
      <c r="AA575" s="10" t="b">
        <v>0</v>
      </c>
      <c r="AB575" s="10" t="b">
        <v>0</v>
      </c>
      <c r="AC575" s="181">
        <v>193.0</v>
      </c>
      <c r="AD575" s="144" t="b">
        <v>0</v>
      </c>
      <c r="AE575" s="182"/>
      <c r="AF575" s="10" t="b">
        <v>0</v>
      </c>
      <c r="AG575" s="10" t="b">
        <v>0</v>
      </c>
      <c r="AH575" s="144"/>
      <c r="AI575" s="3"/>
      <c r="AJ575" s="10"/>
      <c r="AK575" s="3" t="s">
        <v>244</v>
      </c>
      <c r="AL575" s="5"/>
      <c r="AM575" s="5" t="s">
        <v>806</v>
      </c>
      <c r="AN575" s="5" t="s">
        <v>807</v>
      </c>
      <c r="AO575" s="5" t="s">
        <v>2185</v>
      </c>
      <c r="AP575" s="5" t="s">
        <v>2185</v>
      </c>
      <c r="AQ575" s="5" t="s">
        <v>2185</v>
      </c>
      <c r="AR575" s="5" t="s">
        <v>2185</v>
      </c>
      <c r="AS575" s="142"/>
      <c r="AT575" s="142" t="b">
        <v>0</v>
      </c>
      <c r="AU575" s="142"/>
      <c r="AV575" s="142"/>
      <c r="AW575" s="142"/>
      <c r="AX575" s="142"/>
      <c r="AY575" s="142"/>
      <c r="AZ575" s="174"/>
      <c r="BA575" s="142"/>
      <c r="BB575" s="142"/>
      <c r="BC575" s="142"/>
      <c r="BD575" s="142"/>
      <c r="BE575" s="142"/>
      <c r="BF575" s="142"/>
      <c r="BG575" s="142"/>
    </row>
    <row r="576">
      <c r="A576" s="5" t="s">
        <v>1767</v>
      </c>
      <c r="B576" s="44">
        <v>44621.0</v>
      </c>
      <c r="C576" s="150">
        <v>0.3004513888888889</v>
      </c>
      <c r="D576" s="3"/>
      <c r="E576" s="3"/>
      <c r="F576" s="5"/>
      <c r="G576" s="5"/>
      <c r="H576" s="5"/>
      <c r="I576" s="3"/>
      <c r="J576" s="3"/>
      <c r="K576" s="3" t="s">
        <v>244</v>
      </c>
      <c r="L576" s="44">
        <v>44627.0</v>
      </c>
      <c r="M576" s="150">
        <v>0.4779050925925926</v>
      </c>
      <c r="N576" s="5"/>
      <c r="O576" s="5"/>
      <c r="P576" s="10" t="b">
        <v>0</v>
      </c>
      <c r="Q576" s="10" t="s">
        <v>2184</v>
      </c>
      <c r="R576" s="144" t="b">
        <v>1</v>
      </c>
      <c r="S576" s="144">
        <v>1.0</v>
      </c>
      <c r="T576" s="10"/>
      <c r="U576" s="5"/>
      <c r="V576" s="3"/>
      <c r="W576" s="5"/>
      <c r="X576" s="144" t="b">
        <v>0</v>
      </c>
      <c r="Y576" s="10" t="b">
        <v>0</v>
      </c>
      <c r="Z576" s="3"/>
      <c r="AA576" s="10" t="b">
        <v>0</v>
      </c>
      <c r="AB576" s="10" t="b">
        <v>0</v>
      </c>
      <c r="AC576" s="181">
        <v>192.0</v>
      </c>
      <c r="AD576" s="144" t="b">
        <v>0</v>
      </c>
      <c r="AE576" s="182"/>
      <c r="AF576" s="10" t="b">
        <v>0</v>
      </c>
      <c r="AG576" s="10" t="b">
        <v>0</v>
      </c>
      <c r="AH576" s="144"/>
      <c r="AI576" s="3"/>
      <c r="AJ576" s="10"/>
      <c r="AK576" s="3" t="s">
        <v>244</v>
      </c>
      <c r="AL576" s="5"/>
      <c r="AM576" s="5" t="s">
        <v>839</v>
      </c>
      <c r="AN576" s="5" t="s">
        <v>542</v>
      </c>
      <c r="AO576" s="5" t="s">
        <v>2185</v>
      </c>
      <c r="AP576" s="5" t="s">
        <v>2185</v>
      </c>
      <c r="AQ576" s="5" t="s">
        <v>2185</v>
      </c>
      <c r="AR576" s="5" t="s">
        <v>2185</v>
      </c>
      <c r="AS576" s="142"/>
      <c r="AT576" s="142" t="b">
        <v>0</v>
      </c>
      <c r="AU576" s="142"/>
      <c r="AV576" s="142"/>
      <c r="AW576" s="142"/>
      <c r="AX576" s="142"/>
      <c r="AY576" s="142"/>
      <c r="AZ576" s="174"/>
      <c r="BA576" s="142"/>
      <c r="BB576" s="142"/>
      <c r="BC576" s="142"/>
      <c r="BD576" s="142"/>
      <c r="BE576" s="142"/>
      <c r="BF576" s="142"/>
      <c r="BG576" s="142"/>
    </row>
    <row r="577">
      <c r="A577" s="5" t="s">
        <v>1769</v>
      </c>
      <c r="B577" s="44">
        <v>44621.0</v>
      </c>
      <c r="C577" s="150">
        <v>0.3062152777777778</v>
      </c>
      <c r="D577" s="3"/>
      <c r="E577" s="3"/>
      <c r="F577" s="5"/>
      <c r="G577" s="5"/>
      <c r="H577" s="5"/>
      <c r="I577" s="3"/>
      <c r="J577" s="3"/>
      <c r="K577" s="3" t="s">
        <v>244</v>
      </c>
      <c r="L577" s="44">
        <v>44627.0</v>
      </c>
      <c r="M577" s="150">
        <v>0.47791666666666666</v>
      </c>
      <c r="N577" s="5"/>
      <c r="O577" s="5"/>
      <c r="P577" s="10" t="b">
        <v>0</v>
      </c>
      <c r="Q577" s="10" t="s">
        <v>2184</v>
      </c>
      <c r="R577" s="144" t="b">
        <v>1</v>
      </c>
      <c r="S577" s="144">
        <v>1.0</v>
      </c>
      <c r="T577" s="10"/>
      <c r="U577" s="5"/>
      <c r="V577" s="3"/>
      <c r="W577" s="5"/>
      <c r="X577" s="144" t="b">
        <v>0</v>
      </c>
      <c r="Y577" s="10" t="b">
        <v>0</v>
      </c>
      <c r="Z577" s="3"/>
      <c r="AA577" s="10" t="b">
        <v>0</v>
      </c>
      <c r="AB577" s="10" t="b">
        <v>0</v>
      </c>
      <c r="AC577" s="181">
        <v>191.0</v>
      </c>
      <c r="AD577" s="144" t="b">
        <v>0</v>
      </c>
      <c r="AE577" s="182"/>
      <c r="AF577" s="10" t="b">
        <v>0</v>
      </c>
      <c r="AG577" s="10" t="b">
        <v>0</v>
      </c>
      <c r="AH577" s="144"/>
      <c r="AI577" s="3"/>
      <c r="AJ577" s="10"/>
      <c r="AK577" s="3" t="s">
        <v>244</v>
      </c>
      <c r="AL577" s="5"/>
      <c r="AM577" s="5" t="s">
        <v>303</v>
      </c>
      <c r="AN577" s="5" t="s">
        <v>304</v>
      </c>
      <c r="AO577" s="5" t="s">
        <v>2185</v>
      </c>
      <c r="AP577" s="5" t="s">
        <v>2185</v>
      </c>
      <c r="AQ577" s="5" t="s">
        <v>2185</v>
      </c>
      <c r="AR577" s="5" t="s">
        <v>2185</v>
      </c>
      <c r="AS577" s="142"/>
      <c r="AT577" s="142" t="b">
        <v>0</v>
      </c>
      <c r="AU577" s="142"/>
      <c r="AV577" s="142"/>
      <c r="AW577" s="142"/>
      <c r="AX577" s="142"/>
      <c r="AY577" s="142"/>
      <c r="AZ577" s="174"/>
      <c r="BA577" s="142"/>
      <c r="BB577" s="142"/>
      <c r="BC577" s="142"/>
      <c r="BD577" s="142"/>
      <c r="BE577" s="142"/>
      <c r="BF577" s="142"/>
      <c r="BG577" s="142"/>
    </row>
    <row r="578">
      <c r="A578" s="5" t="s">
        <v>1771</v>
      </c>
      <c r="B578" s="44">
        <v>44621.0</v>
      </c>
      <c r="C578" s="150">
        <v>0.3067708333333333</v>
      </c>
      <c r="D578" s="3"/>
      <c r="E578" s="3"/>
      <c r="F578" s="5"/>
      <c r="G578" s="5"/>
      <c r="H578" s="5"/>
      <c r="I578" s="3"/>
      <c r="J578" s="3"/>
      <c r="K578" s="3" t="s">
        <v>244</v>
      </c>
      <c r="L578" s="44">
        <v>44627.0</v>
      </c>
      <c r="M578" s="150">
        <v>0.47791666666666666</v>
      </c>
      <c r="N578" s="5"/>
      <c r="O578" s="5"/>
      <c r="P578" s="10" t="b">
        <v>0</v>
      </c>
      <c r="Q578" s="10" t="s">
        <v>2184</v>
      </c>
      <c r="R578" s="144" t="b">
        <v>1</v>
      </c>
      <c r="S578" s="144">
        <v>1.0</v>
      </c>
      <c r="T578" s="10"/>
      <c r="U578" s="5"/>
      <c r="V578" s="3"/>
      <c r="W578" s="5"/>
      <c r="X578" s="144" t="b">
        <v>0</v>
      </c>
      <c r="Y578" s="10" t="b">
        <v>0</v>
      </c>
      <c r="Z578" s="3"/>
      <c r="AA578" s="10" t="b">
        <v>0</v>
      </c>
      <c r="AB578" s="10" t="b">
        <v>0</v>
      </c>
      <c r="AC578" s="181">
        <v>190.0</v>
      </c>
      <c r="AD578" s="144" t="b">
        <v>0</v>
      </c>
      <c r="AE578" s="182"/>
      <c r="AF578" s="10" t="b">
        <v>0</v>
      </c>
      <c r="AG578" s="10" t="b">
        <v>0</v>
      </c>
      <c r="AH578" s="144"/>
      <c r="AI578" s="3"/>
      <c r="AJ578" s="10"/>
      <c r="AK578" s="3" t="s">
        <v>244</v>
      </c>
      <c r="AL578" s="5"/>
      <c r="AM578" s="5" t="s">
        <v>508</v>
      </c>
      <c r="AN578" s="5" t="s">
        <v>1390</v>
      </c>
      <c r="AO578" s="5" t="s">
        <v>2185</v>
      </c>
      <c r="AP578" s="5" t="s">
        <v>2185</v>
      </c>
      <c r="AQ578" s="5" t="s">
        <v>2185</v>
      </c>
      <c r="AR578" s="5" t="s">
        <v>2185</v>
      </c>
      <c r="AS578" s="142"/>
      <c r="AT578" s="142" t="b">
        <v>0</v>
      </c>
      <c r="AU578" s="142"/>
      <c r="AV578" s="142"/>
      <c r="AW578" s="142"/>
      <c r="AX578" s="142"/>
      <c r="AY578" s="142"/>
      <c r="AZ578" s="174"/>
      <c r="BA578" s="142"/>
      <c r="BB578" s="142"/>
      <c r="BC578" s="142"/>
      <c r="BD578" s="142"/>
      <c r="BE578" s="142"/>
      <c r="BF578" s="142"/>
      <c r="BG578" s="142"/>
    </row>
    <row r="579">
      <c r="A579" s="5" t="s">
        <v>1773</v>
      </c>
      <c r="B579" s="44">
        <v>44621.0</v>
      </c>
      <c r="C579" s="150">
        <v>0.3078587962962963</v>
      </c>
      <c r="D579" s="3"/>
      <c r="E579" s="3"/>
      <c r="F579" s="5"/>
      <c r="G579" s="5"/>
      <c r="H579" s="5"/>
      <c r="I579" s="3"/>
      <c r="J579" s="3"/>
      <c r="K579" s="3" t="s">
        <v>244</v>
      </c>
      <c r="L579" s="44">
        <v>44627.0</v>
      </c>
      <c r="M579" s="150">
        <v>0.47791666666666666</v>
      </c>
      <c r="N579" s="5"/>
      <c r="O579" s="5"/>
      <c r="P579" s="10" t="b">
        <v>0</v>
      </c>
      <c r="Q579" s="10" t="s">
        <v>2184</v>
      </c>
      <c r="R579" s="144" t="b">
        <v>1</v>
      </c>
      <c r="S579" s="144">
        <v>1.0</v>
      </c>
      <c r="T579" s="10"/>
      <c r="U579" s="5"/>
      <c r="V579" s="3"/>
      <c r="W579" s="5"/>
      <c r="X579" s="144" t="b">
        <v>0</v>
      </c>
      <c r="Y579" s="10" t="b">
        <v>0</v>
      </c>
      <c r="Z579" s="3"/>
      <c r="AA579" s="10" t="b">
        <v>0</v>
      </c>
      <c r="AB579" s="10" t="b">
        <v>0</v>
      </c>
      <c r="AC579" s="181">
        <v>189.0</v>
      </c>
      <c r="AD579" s="144" t="b">
        <v>0</v>
      </c>
      <c r="AE579" s="182"/>
      <c r="AF579" s="10" t="b">
        <v>0</v>
      </c>
      <c r="AG579" s="10" t="b">
        <v>0</v>
      </c>
      <c r="AH579" s="144"/>
      <c r="AI579" s="3"/>
      <c r="AJ579" s="10"/>
      <c r="AK579" s="3" t="s">
        <v>244</v>
      </c>
      <c r="AL579" s="5"/>
      <c r="AM579" s="5" t="s">
        <v>390</v>
      </c>
      <c r="AN579" s="5" t="s">
        <v>391</v>
      </c>
      <c r="AO579" s="5" t="s">
        <v>2185</v>
      </c>
      <c r="AP579" s="5" t="s">
        <v>2185</v>
      </c>
      <c r="AQ579" s="5" t="s">
        <v>2185</v>
      </c>
      <c r="AR579" s="5" t="s">
        <v>2185</v>
      </c>
      <c r="AS579" s="142"/>
      <c r="AT579" s="142" t="b">
        <v>0</v>
      </c>
      <c r="AU579" s="142"/>
      <c r="AV579" s="142"/>
      <c r="AW579" s="142"/>
      <c r="AX579" s="142"/>
      <c r="AY579" s="142"/>
      <c r="AZ579" s="174"/>
      <c r="BA579" s="142"/>
      <c r="BB579" s="142"/>
      <c r="BC579" s="142"/>
      <c r="BD579" s="142"/>
      <c r="BE579" s="142"/>
      <c r="BF579" s="142"/>
      <c r="BG579" s="142"/>
    </row>
    <row r="580">
      <c r="A580" s="5" t="s">
        <v>1775</v>
      </c>
      <c r="B580" s="44">
        <v>44621.0</v>
      </c>
      <c r="C580" s="150">
        <v>0.3086921296296296</v>
      </c>
      <c r="D580" s="3"/>
      <c r="E580" s="3"/>
      <c r="F580" s="5"/>
      <c r="G580" s="5"/>
      <c r="H580" s="5"/>
      <c r="I580" s="3"/>
      <c r="J580" s="3"/>
      <c r="K580" s="3" t="s">
        <v>244</v>
      </c>
      <c r="L580" s="44">
        <v>44627.0</v>
      </c>
      <c r="M580" s="150">
        <v>0.47791666666666666</v>
      </c>
      <c r="N580" s="5"/>
      <c r="O580" s="5"/>
      <c r="P580" s="10" t="b">
        <v>0</v>
      </c>
      <c r="Q580" s="10" t="s">
        <v>2184</v>
      </c>
      <c r="R580" s="144" t="b">
        <v>1</v>
      </c>
      <c r="S580" s="144">
        <v>1.0</v>
      </c>
      <c r="T580" s="10"/>
      <c r="U580" s="5"/>
      <c r="V580" s="3"/>
      <c r="W580" s="5"/>
      <c r="X580" s="144" t="b">
        <v>0</v>
      </c>
      <c r="Y580" s="10" t="b">
        <v>0</v>
      </c>
      <c r="Z580" s="3"/>
      <c r="AA580" s="10" t="b">
        <v>0</v>
      </c>
      <c r="AB580" s="10" t="b">
        <v>0</v>
      </c>
      <c r="AC580" s="181">
        <v>188.0</v>
      </c>
      <c r="AD580" s="144" t="b">
        <v>0</v>
      </c>
      <c r="AE580" s="182"/>
      <c r="AF580" s="10" t="b">
        <v>0</v>
      </c>
      <c r="AG580" s="10" t="b">
        <v>0</v>
      </c>
      <c r="AH580" s="144"/>
      <c r="AI580" s="3"/>
      <c r="AJ580" s="10"/>
      <c r="AK580" s="3" t="s">
        <v>244</v>
      </c>
      <c r="AL580" s="5"/>
      <c r="AM580" s="5" t="s">
        <v>854</v>
      </c>
      <c r="AN580" s="5" t="s">
        <v>687</v>
      </c>
      <c r="AO580" s="5" t="s">
        <v>2185</v>
      </c>
      <c r="AP580" s="5" t="s">
        <v>2185</v>
      </c>
      <c r="AQ580" s="5" t="s">
        <v>2185</v>
      </c>
      <c r="AR580" s="5" t="s">
        <v>2185</v>
      </c>
      <c r="AS580" s="142"/>
      <c r="AT580" s="142" t="b">
        <v>0</v>
      </c>
      <c r="AU580" s="142"/>
      <c r="AV580" s="142"/>
      <c r="AW580" s="142"/>
      <c r="AX580" s="142"/>
      <c r="AY580" s="142"/>
      <c r="AZ580" s="174"/>
      <c r="BA580" s="142"/>
      <c r="BB580" s="142"/>
      <c r="BC580" s="142"/>
      <c r="BD580" s="142"/>
      <c r="BE580" s="142"/>
      <c r="BF580" s="142"/>
      <c r="BG580" s="142"/>
    </row>
    <row r="581">
      <c r="A581" s="5" t="s">
        <v>1777</v>
      </c>
      <c r="B581" s="44">
        <v>44621.0</v>
      </c>
      <c r="C581" s="150">
        <v>0.3096875</v>
      </c>
      <c r="D581" s="3"/>
      <c r="E581" s="3"/>
      <c r="F581" s="5"/>
      <c r="G581" s="5"/>
      <c r="H581" s="5"/>
      <c r="I581" s="3"/>
      <c r="J581" s="3"/>
      <c r="K581" s="3" t="s">
        <v>244</v>
      </c>
      <c r="L581" s="44">
        <v>44627.0</v>
      </c>
      <c r="M581" s="150">
        <v>0.47791666666666666</v>
      </c>
      <c r="N581" s="5"/>
      <c r="O581" s="5"/>
      <c r="P581" s="10" t="b">
        <v>0</v>
      </c>
      <c r="Q581" s="10" t="s">
        <v>2184</v>
      </c>
      <c r="R581" s="144" t="b">
        <v>1</v>
      </c>
      <c r="S581" s="144">
        <v>1.0</v>
      </c>
      <c r="T581" s="10"/>
      <c r="U581" s="5"/>
      <c r="V581" s="3"/>
      <c r="W581" s="5"/>
      <c r="X581" s="144" t="b">
        <v>0</v>
      </c>
      <c r="Y581" s="10" t="b">
        <v>0</v>
      </c>
      <c r="Z581" s="3"/>
      <c r="AA581" s="10" t="b">
        <v>0</v>
      </c>
      <c r="AB581" s="10" t="b">
        <v>0</v>
      </c>
      <c r="AC581" s="181">
        <v>187.0</v>
      </c>
      <c r="AD581" s="144" t="b">
        <v>0</v>
      </c>
      <c r="AE581" s="182"/>
      <c r="AF581" s="10" t="b">
        <v>0</v>
      </c>
      <c r="AG581" s="10" t="b">
        <v>0</v>
      </c>
      <c r="AH581" s="144"/>
      <c r="AI581" s="3"/>
      <c r="AJ581" s="10"/>
      <c r="AK581" s="3" t="s">
        <v>244</v>
      </c>
      <c r="AL581" s="5"/>
      <c r="AM581" s="5" t="s">
        <v>269</v>
      </c>
      <c r="AN581" s="5" t="s">
        <v>270</v>
      </c>
      <c r="AO581" s="5" t="s">
        <v>2185</v>
      </c>
      <c r="AP581" s="5" t="s">
        <v>2185</v>
      </c>
      <c r="AQ581" s="5" t="s">
        <v>2185</v>
      </c>
      <c r="AR581" s="5" t="s">
        <v>2185</v>
      </c>
      <c r="AS581" s="142"/>
      <c r="AT581" s="142" t="b">
        <v>0</v>
      </c>
      <c r="AU581" s="142"/>
      <c r="AV581" s="142"/>
      <c r="AW581" s="142"/>
      <c r="AX581" s="142"/>
      <c r="AY581" s="142"/>
      <c r="AZ581" s="174"/>
      <c r="BA581" s="142"/>
      <c r="BB581" s="142"/>
      <c r="BC581" s="142"/>
      <c r="BD581" s="142"/>
      <c r="BE581" s="142"/>
      <c r="BF581" s="142"/>
      <c r="BG581" s="142"/>
    </row>
    <row r="582">
      <c r="A582" s="5" t="s">
        <v>1781</v>
      </c>
      <c r="B582" s="44">
        <v>44621.0</v>
      </c>
      <c r="C582" s="150">
        <v>0.3111921296296296</v>
      </c>
      <c r="D582" s="3"/>
      <c r="E582" s="3"/>
      <c r="F582" s="5"/>
      <c r="G582" s="5"/>
      <c r="H582" s="5"/>
      <c r="I582" s="3"/>
      <c r="J582" s="3"/>
      <c r="K582" s="3" t="s">
        <v>244</v>
      </c>
      <c r="L582" s="44">
        <v>44627.0</v>
      </c>
      <c r="M582" s="150">
        <v>0.47791666666666666</v>
      </c>
      <c r="N582" s="5"/>
      <c r="O582" s="5"/>
      <c r="P582" s="10" t="b">
        <v>0</v>
      </c>
      <c r="Q582" s="10" t="s">
        <v>2184</v>
      </c>
      <c r="R582" s="144" t="b">
        <v>1</v>
      </c>
      <c r="S582" s="144">
        <v>1.0</v>
      </c>
      <c r="T582" s="10"/>
      <c r="U582" s="5"/>
      <c r="V582" s="3"/>
      <c r="W582" s="5"/>
      <c r="X582" s="144" t="b">
        <v>0</v>
      </c>
      <c r="Y582" s="10" t="b">
        <v>0</v>
      </c>
      <c r="Z582" s="3"/>
      <c r="AA582" s="10" t="b">
        <v>0</v>
      </c>
      <c r="AB582" s="10" t="b">
        <v>0</v>
      </c>
      <c r="AC582" s="181">
        <v>185.0</v>
      </c>
      <c r="AD582" s="144" t="b">
        <v>0</v>
      </c>
      <c r="AE582" s="182"/>
      <c r="AF582" s="10" t="b">
        <v>0</v>
      </c>
      <c r="AG582" s="10" t="b">
        <v>0</v>
      </c>
      <c r="AH582" s="144"/>
      <c r="AI582" s="3"/>
      <c r="AJ582" s="10"/>
      <c r="AK582" s="3" t="s">
        <v>244</v>
      </c>
      <c r="AL582" s="5"/>
      <c r="AM582" s="5" t="s">
        <v>1270</v>
      </c>
      <c r="AN582" s="5" t="s">
        <v>1271</v>
      </c>
      <c r="AO582" s="5" t="s">
        <v>2185</v>
      </c>
      <c r="AP582" s="5" t="s">
        <v>2185</v>
      </c>
      <c r="AQ582" s="5" t="s">
        <v>2185</v>
      </c>
      <c r="AR582" s="5" t="s">
        <v>2185</v>
      </c>
      <c r="AS582" s="142"/>
      <c r="AT582" s="142" t="b">
        <v>0</v>
      </c>
      <c r="AU582" s="142"/>
      <c r="AV582" s="142"/>
      <c r="AW582" s="142"/>
      <c r="AX582" s="142"/>
      <c r="AY582" s="142"/>
      <c r="AZ582" s="174"/>
      <c r="BA582" s="142"/>
      <c r="BB582" s="142"/>
      <c r="BC582" s="142"/>
      <c r="BD582" s="142"/>
      <c r="BE582" s="142"/>
      <c r="BF582" s="142"/>
      <c r="BG582" s="142"/>
    </row>
    <row r="583">
      <c r="A583" s="5" t="s">
        <v>1783</v>
      </c>
      <c r="B583" s="44">
        <v>44621.0</v>
      </c>
      <c r="C583" s="150">
        <v>0.3119675925925926</v>
      </c>
      <c r="D583" s="3"/>
      <c r="E583" s="3"/>
      <c r="F583" s="5"/>
      <c r="G583" s="5"/>
      <c r="H583" s="5"/>
      <c r="I583" s="3"/>
      <c r="J583" s="3"/>
      <c r="K583" s="3" t="s">
        <v>244</v>
      </c>
      <c r="L583" s="44">
        <v>44627.0</v>
      </c>
      <c r="M583" s="150">
        <v>0.47791666666666666</v>
      </c>
      <c r="N583" s="5"/>
      <c r="O583" s="5"/>
      <c r="P583" s="10" t="b">
        <v>0</v>
      </c>
      <c r="Q583" s="10" t="s">
        <v>2184</v>
      </c>
      <c r="R583" s="144" t="b">
        <v>1</v>
      </c>
      <c r="S583" s="144">
        <v>1.0</v>
      </c>
      <c r="T583" s="10"/>
      <c r="U583" s="5"/>
      <c r="V583" s="3"/>
      <c r="W583" s="5"/>
      <c r="X583" s="144" t="b">
        <v>0</v>
      </c>
      <c r="Y583" s="10" t="b">
        <v>0</v>
      </c>
      <c r="Z583" s="3"/>
      <c r="AA583" s="10" t="b">
        <v>0</v>
      </c>
      <c r="AB583" s="10" t="b">
        <v>0</v>
      </c>
      <c r="AC583" s="181">
        <v>184.0</v>
      </c>
      <c r="AD583" s="144" t="b">
        <v>0</v>
      </c>
      <c r="AE583" s="182"/>
      <c r="AF583" s="10" t="b">
        <v>0</v>
      </c>
      <c r="AG583" s="10" t="b">
        <v>0</v>
      </c>
      <c r="AH583" s="144"/>
      <c r="AI583" s="3"/>
      <c r="AJ583" s="10"/>
      <c r="AK583" s="3" t="s">
        <v>244</v>
      </c>
      <c r="AL583" s="5"/>
      <c r="AM583" s="5" t="s">
        <v>1342</v>
      </c>
      <c r="AN583" s="5" t="s">
        <v>1343</v>
      </c>
      <c r="AO583" s="5" t="s">
        <v>2185</v>
      </c>
      <c r="AP583" s="5" t="s">
        <v>2185</v>
      </c>
      <c r="AQ583" s="5" t="s">
        <v>2185</v>
      </c>
      <c r="AR583" s="5" t="s">
        <v>2185</v>
      </c>
      <c r="AS583" s="142"/>
      <c r="AT583" s="142" t="b">
        <v>0</v>
      </c>
      <c r="AU583" s="142"/>
      <c r="AV583" s="142"/>
      <c r="AW583" s="142"/>
      <c r="AX583" s="142"/>
      <c r="AY583" s="142"/>
      <c r="AZ583" s="174"/>
      <c r="BA583" s="142"/>
      <c r="BB583" s="142"/>
      <c r="BC583" s="142"/>
      <c r="BD583" s="142"/>
      <c r="BE583" s="142"/>
      <c r="BF583" s="142"/>
      <c r="BG583" s="142"/>
    </row>
    <row r="584">
      <c r="A584" s="5" t="s">
        <v>1785</v>
      </c>
      <c r="B584" s="44">
        <v>44621.0</v>
      </c>
      <c r="C584" s="150">
        <v>0.3153587962962963</v>
      </c>
      <c r="D584" s="3"/>
      <c r="E584" s="3"/>
      <c r="F584" s="5"/>
      <c r="G584" s="5"/>
      <c r="H584" s="5"/>
      <c r="I584" s="3"/>
      <c r="J584" s="3"/>
      <c r="K584" s="3" t="s">
        <v>244</v>
      </c>
      <c r="L584" s="44">
        <v>44623.0</v>
      </c>
      <c r="M584" s="150">
        <v>0.4605787037037037</v>
      </c>
      <c r="N584" s="5"/>
      <c r="O584" s="5"/>
      <c r="P584" s="10" t="b">
        <v>0</v>
      </c>
      <c r="Q584" s="10" t="s">
        <v>2184</v>
      </c>
      <c r="R584" s="144" t="b">
        <v>1</v>
      </c>
      <c r="S584" s="144">
        <v>1.0</v>
      </c>
      <c r="T584" s="10"/>
      <c r="U584" s="5"/>
      <c r="V584" s="3"/>
      <c r="W584" s="5"/>
      <c r="X584" s="144" t="b">
        <v>0</v>
      </c>
      <c r="Y584" s="10" t="b">
        <v>0</v>
      </c>
      <c r="Z584" s="3"/>
      <c r="AA584" s="10" t="b">
        <v>0</v>
      </c>
      <c r="AB584" s="10" t="b">
        <v>0</v>
      </c>
      <c r="AC584" s="181">
        <v>183.0</v>
      </c>
      <c r="AD584" s="144" t="b">
        <v>0</v>
      </c>
      <c r="AE584" s="182"/>
      <c r="AF584" s="10" t="b">
        <v>0</v>
      </c>
      <c r="AG584" s="10" t="b">
        <v>0</v>
      </c>
      <c r="AH584" s="144"/>
      <c r="AI584" s="3"/>
      <c r="AJ584" s="10"/>
      <c r="AK584" s="3" t="s">
        <v>244</v>
      </c>
      <c r="AL584" s="5"/>
      <c r="AM584" s="5" t="s">
        <v>287</v>
      </c>
      <c r="AN584" s="5" t="s">
        <v>288</v>
      </c>
      <c r="AO584" s="5" t="s">
        <v>2185</v>
      </c>
      <c r="AP584" s="5" t="s">
        <v>2185</v>
      </c>
      <c r="AQ584" s="5" t="s">
        <v>2185</v>
      </c>
      <c r="AR584" s="5" t="s">
        <v>2185</v>
      </c>
      <c r="AS584" s="142"/>
      <c r="AT584" s="142" t="b">
        <v>0</v>
      </c>
      <c r="AU584" s="142"/>
      <c r="AV584" s="142"/>
      <c r="AW584" s="142"/>
      <c r="AX584" s="142"/>
      <c r="AY584" s="142"/>
      <c r="AZ584" s="174"/>
      <c r="BA584" s="142"/>
      <c r="BB584" s="142"/>
      <c r="BC584" s="142"/>
      <c r="BD584" s="142"/>
      <c r="BE584" s="142"/>
      <c r="BF584" s="142"/>
      <c r="BG584" s="142"/>
    </row>
    <row r="585">
      <c r="A585" s="5" t="s">
        <v>1787</v>
      </c>
      <c r="B585" s="44">
        <v>44621.0</v>
      </c>
      <c r="C585" s="150">
        <v>0.31734953703703705</v>
      </c>
      <c r="D585" s="3"/>
      <c r="E585" s="3"/>
      <c r="F585" s="5"/>
      <c r="G585" s="5"/>
      <c r="H585" s="5"/>
      <c r="I585" s="3"/>
      <c r="J585" s="3"/>
      <c r="K585" s="3" t="s">
        <v>244</v>
      </c>
      <c r="L585" s="44">
        <v>44627.0</v>
      </c>
      <c r="M585" s="150">
        <v>0.47791666666666666</v>
      </c>
      <c r="N585" s="5"/>
      <c r="O585" s="5"/>
      <c r="P585" s="10" t="b">
        <v>0</v>
      </c>
      <c r="Q585" s="10" t="s">
        <v>2184</v>
      </c>
      <c r="R585" s="144" t="b">
        <v>1</v>
      </c>
      <c r="S585" s="144">
        <v>1.0</v>
      </c>
      <c r="T585" s="10"/>
      <c r="U585" s="5"/>
      <c r="V585" s="3"/>
      <c r="W585" s="5"/>
      <c r="X585" s="144" t="b">
        <v>0</v>
      </c>
      <c r="Y585" s="10" t="b">
        <v>0</v>
      </c>
      <c r="Z585" s="3"/>
      <c r="AA585" s="10" t="b">
        <v>0</v>
      </c>
      <c r="AB585" s="10" t="b">
        <v>0</v>
      </c>
      <c r="AC585" s="181">
        <v>182.0</v>
      </c>
      <c r="AD585" s="144" t="b">
        <v>0</v>
      </c>
      <c r="AE585" s="182"/>
      <c r="AF585" s="10" t="b">
        <v>0</v>
      </c>
      <c r="AG585" s="10" t="b">
        <v>0</v>
      </c>
      <c r="AH585" s="144"/>
      <c r="AI585" s="3"/>
      <c r="AJ585" s="10"/>
      <c r="AK585" s="3" t="s">
        <v>244</v>
      </c>
      <c r="AL585" s="5"/>
      <c r="AM585" s="5" t="s">
        <v>295</v>
      </c>
      <c r="AN585" s="5" t="s">
        <v>296</v>
      </c>
      <c r="AO585" s="5" t="s">
        <v>2185</v>
      </c>
      <c r="AP585" s="5" t="s">
        <v>2185</v>
      </c>
      <c r="AQ585" s="5" t="s">
        <v>2185</v>
      </c>
      <c r="AR585" s="5" t="s">
        <v>2185</v>
      </c>
      <c r="AS585" s="142"/>
      <c r="AT585" s="142" t="b">
        <v>0</v>
      </c>
      <c r="AU585" s="142"/>
      <c r="AV585" s="142"/>
      <c r="AW585" s="142"/>
      <c r="AX585" s="142"/>
      <c r="AY585" s="142"/>
      <c r="AZ585" s="174"/>
      <c r="BA585" s="142"/>
      <c r="BB585" s="142"/>
      <c r="BC585" s="142"/>
      <c r="BD585" s="142"/>
      <c r="BE585" s="142"/>
      <c r="BF585" s="142"/>
      <c r="BG585" s="142"/>
    </row>
    <row r="586">
      <c r="A586" s="5" t="s">
        <v>1789</v>
      </c>
      <c r="B586" s="44">
        <v>44621.0</v>
      </c>
      <c r="C586" s="150">
        <v>0.32395833333333335</v>
      </c>
      <c r="D586" s="3"/>
      <c r="E586" s="3"/>
      <c r="F586" s="5"/>
      <c r="G586" s="5"/>
      <c r="H586" s="5"/>
      <c r="I586" s="3"/>
      <c r="J586" s="3"/>
      <c r="K586" s="3" t="s">
        <v>244</v>
      </c>
      <c r="L586" s="44">
        <v>44627.0</v>
      </c>
      <c r="M586" s="150">
        <v>0.47791666666666666</v>
      </c>
      <c r="N586" s="5"/>
      <c r="O586" s="5"/>
      <c r="P586" s="10" t="b">
        <v>0</v>
      </c>
      <c r="Q586" s="10" t="s">
        <v>2184</v>
      </c>
      <c r="R586" s="144" t="b">
        <v>1</v>
      </c>
      <c r="S586" s="144">
        <v>1.0</v>
      </c>
      <c r="T586" s="10"/>
      <c r="U586" s="5"/>
      <c r="V586" s="3"/>
      <c r="W586" s="5"/>
      <c r="X586" s="144" t="b">
        <v>0</v>
      </c>
      <c r="Y586" s="10" t="b">
        <v>0</v>
      </c>
      <c r="Z586" s="3"/>
      <c r="AA586" s="10" t="b">
        <v>0</v>
      </c>
      <c r="AB586" s="10" t="b">
        <v>0</v>
      </c>
      <c r="AC586" s="181">
        <v>181.0</v>
      </c>
      <c r="AD586" s="144" t="b">
        <v>0</v>
      </c>
      <c r="AE586" s="182"/>
      <c r="AF586" s="10" t="b">
        <v>0</v>
      </c>
      <c r="AG586" s="10" t="b">
        <v>0</v>
      </c>
      <c r="AH586" s="144"/>
      <c r="AI586" s="3"/>
      <c r="AJ586" s="10"/>
      <c r="AK586" s="3" t="s">
        <v>244</v>
      </c>
      <c r="AL586" s="5"/>
      <c r="AM586" s="5" t="s">
        <v>471</v>
      </c>
      <c r="AN586" s="5" t="s">
        <v>472</v>
      </c>
      <c r="AO586" s="5" t="s">
        <v>2185</v>
      </c>
      <c r="AP586" s="5" t="s">
        <v>2185</v>
      </c>
      <c r="AQ586" s="5" t="s">
        <v>2185</v>
      </c>
      <c r="AR586" s="5" t="s">
        <v>2185</v>
      </c>
      <c r="AS586" s="142"/>
      <c r="AT586" s="142" t="b">
        <v>0</v>
      </c>
      <c r="AU586" s="142"/>
      <c r="AV586" s="142"/>
      <c r="AW586" s="142"/>
      <c r="AX586" s="142"/>
      <c r="AY586" s="142"/>
      <c r="AZ586" s="174"/>
      <c r="BA586" s="142"/>
      <c r="BB586" s="142"/>
      <c r="BC586" s="142"/>
      <c r="BD586" s="142"/>
      <c r="BE586" s="142"/>
      <c r="BF586" s="142"/>
      <c r="BG586" s="142"/>
    </row>
    <row r="587">
      <c r="A587" s="5" t="s">
        <v>1791</v>
      </c>
      <c r="B587" s="44">
        <v>44621.0</v>
      </c>
      <c r="C587" s="150">
        <v>0.3244675925925926</v>
      </c>
      <c r="D587" s="3"/>
      <c r="E587" s="3"/>
      <c r="F587" s="5"/>
      <c r="G587" s="5"/>
      <c r="H587" s="5"/>
      <c r="I587" s="3"/>
      <c r="J587" s="3"/>
      <c r="K587" s="3" t="s">
        <v>244</v>
      </c>
      <c r="L587" s="44">
        <v>44627.0</v>
      </c>
      <c r="M587" s="150">
        <v>0.47791666666666666</v>
      </c>
      <c r="N587" s="5"/>
      <c r="O587" s="5"/>
      <c r="P587" s="10" t="b">
        <v>0</v>
      </c>
      <c r="Q587" s="10" t="s">
        <v>2184</v>
      </c>
      <c r="R587" s="144" t="b">
        <v>1</v>
      </c>
      <c r="S587" s="144">
        <v>1.0</v>
      </c>
      <c r="T587" s="10"/>
      <c r="U587" s="5"/>
      <c r="V587" s="3"/>
      <c r="W587" s="5"/>
      <c r="X587" s="144" t="b">
        <v>0</v>
      </c>
      <c r="Y587" s="10" t="b">
        <v>0</v>
      </c>
      <c r="Z587" s="3"/>
      <c r="AA587" s="10" t="b">
        <v>0</v>
      </c>
      <c r="AB587" s="10" t="b">
        <v>0</v>
      </c>
      <c r="AC587" s="181">
        <v>180.0</v>
      </c>
      <c r="AD587" s="144" t="b">
        <v>0</v>
      </c>
      <c r="AE587" s="182"/>
      <c r="AF587" s="10" t="b">
        <v>0</v>
      </c>
      <c r="AG587" s="10" t="b">
        <v>0</v>
      </c>
      <c r="AH587" s="144"/>
      <c r="AI587" s="3"/>
      <c r="AJ587" s="10"/>
      <c r="AK587" s="3" t="s">
        <v>244</v>
      </c>
      <c r="AL587" s="5"/>
      <c r="AM587" s="5" t="s">
        <v>762</v>
      </c>
      <c r="AN587" s="5" t="s">
        <v>763</v>
      </c>
      <c r="AO587" s="5" t="s">
        <v>2185</v>
      </c>
      <c r="AP587" s="5" t="s">
        <v>2185</v>
      </c>
      <c r="AQ587" s="5" t="s">
        <v>2185</v>
      </c>
      <c r="AR587" s="5" t="s">
        <v>2185</v>
      </c>
      <c r="AS587" s="142"/>
      <c r="AT587" s="142" t="b">
        <v>0</v>
      </c>
      <c r="AU587" s="142"/>
      <c r="AV587" s="142"/>
      <c r="AW587" s="142"/>
      <c r="AX587" s="142"/>
      <c r="AY587" s="142"/>
      <c r="AZ587" s="174"/>
      <c r="BA587" s="142"/>
      <c r="BB587" s="142"/>
      <c r="BC587" s="142"/>
      <c r="BD587" s="142"/>
      <c r="BE587" s="142"/>
      <c r="BF587" s="142"/>
      <c r="BG587" s="142"/>
    </row>
    <row r="588">
      <c r="A588" s="5" t="s">
        <v>1793</v>
      </c>
      <c r="B588" s="44">
        <v>44621.0</v>
      </c>
      <c r="C588" s="150">
        <v>0.3262962962962963</v>
      </c>
      <c r="D588" s="3"/>
      <c r="E588" s="3"/>
      <c r="F588" s="5"/>
      <c r="G588" s="5"/>
      <c r="H588" s="5"/>
      <c r="I588" s="3"/>
      <c r="J588" s="3"/>
      <c r="K588" s="3" t="s">
        <v>244</v>
      </c>
      <c r="L588" s="44">
        <v>44627.0</v>
      </c>
      <c r="M588" s="150">
        <v>0.47791666666666666</v>
      </c>
      <c r="N588" s="5"/>
      <c r="O588" s="5"/>
      <c r="P588" s="10" t="b">
        <v>0</v>
      </c>
      <c r="Q588" s="10" t="s">
        <v>2184</v>
      </c>
      <c r="R588" s="144" t="b">
        <v>1</v>
      </c>
      <c r="S588" s="144">
        <v>1.0</v>
      </c>
      <c r="T588" s="10"/>
      <c r="U588" s="5"/>
      <c r="V588" s="3"/>
      <c r="W588" s="5"/>
      <c r="X588" s="144" t="b">
        <v>0</v>
      </c>
      <c r="Y588" s="10" t="b">
        <v>0</v>
      </c>
      <c r="Z588" s="3"/>
      <c r="AA588" s="10" t="b">
        <v>0</v>
      </c>
      <c r="AB588" s="10" t="b">
        <v>0</v>
      </c>
      <c r="AC588" s="181">
        <v>179.0</v>
      </c>
      <c r="AD588" s="144" t="b">
        <v>0</v>
      </c>
      <c r="AE588" s="182"/>
      <c r="AF588" s="10" t="b">
        <v>0</v>
      </c>
      <c r="AG588" s="10" t="b">
        <v>0</v>
      </c>
      <c r="AH588" s="144"/>
      <c r="AI588" s="3"/>
      <c r="AJ588" s="10"/>
      <c r="AK588" s="3" t="s">
        <v>244</v>
      </c>
      <c r="AL588" s="5"/>
      <c r="AM588" s="5" t="s">
        <v>1402</v>
      </c>
      <c r="AN588" s="5" t="s">
        <v>1403</v>
      </c>
      <c r="AO588" s="5" t="s">
        <v>2185</v>
      </c>
      <c r="AP588" s="5" t="s">
        <v>2185</v>
      </c>
      <c r="AQ588" s="5" t="s">
        <v>2185</v>
      </c>
      <c r="AR588" s="5" t="s">
        <v>2185</v>
      </c>
      <c r="AS588" s="142"/>
      <c r="AT588" s="142" t="b">
        <v>0</v>
      </c>
      <c r="AU588" s="142"/>
      <c r="AV588" s="142"/>
      <c r="AW588" s="142"/>
      <c r="AX588" s="142"/>
      <c r="AY588" s="142"/>
      <c r="AZ588" s="174"/>
      <c r="BA588" s="142"/>
      <c r="BB588" s="142"/>
      <c r="BC588" s="142"/>
      <c r="BD588" s="142"/>
      <c r="BE588" s="142"/>
      <c r="BF588" s="142"/>
      <c r="BG588" s="142"/>
    </row>
    <row r="589">
      <c r="A589" s="5" t="s">
        <v>1795</v>
      </c>
      <c r="B589" s="44">
        <v>44621.0</v>
      </c>
      <c r="C589" s="150">
        <v>0.3267013888888889</v>
      </c>
      <c r="D589" s="3"/>
      <c r="E589" s="3"/>
      <c r="F589" s="5"/>
      <c r="G589" s="5"/>
      <c r="H589" s="5"/>
      <c r="I589" s="3"/>
      <c r="J589" s="3"/>
      <c r="K589" s="3" t="s">
        <v>244</v>
      </c>
      <c r="L589" s="44">
        <v>44627.0</v>
      </c>
      <c r="M589" s="150">
        <v>0.47791666666666666</v>
      </c>
      <c r="N589" s="5"/>
      <c r="O589" s="5"/>
      <c r="P589" s="10" t="b">
        <v>0</v>
      </c>
      <c r="Q589" s="10" t="s">
        <v>2184</v>
      </c>
      <c r="R589" s="144" t="b">
        <v>1</v>
      </c>
      <c r="S589" s="144">
        <v>1.0</v>
      </c>
      <c r="T589" s="10"/>
      <c r="U589" s="5"/>
      <c r="V589" s="3"/>
      <c r="W589" s="5"/>
      <c r="X589" s="144" t="b">
        <v>0</v>
      </c>
      <c r="Y589" s="10" t="b">
        <v>0</v>
      </c>
      <c r="Z589" s="3"/>
      <c r="AA589" s="10" t="b">
        <v>0</v>
      </c>
      <c r="AB589" s="10" t="b">
        <v>0</v>
      </c>
      <c r="AC589" s="181">
        <v>178.0</v>
      </c>
      <c r="AD589" s="144" t="b">
        <v>0</v>
      </c>
      <c r="AE589" s="182"/>
      <c r="AF589" s="10" t="b">
        <v>0</v>
      </c>
      <c r="AG589" s="10" t="b">
        <v>0</v>
      </c>
      <c r="AH589" s="144"/>
      <c r="AI589" s="3"/>
      <c r="AJ589" s="10"/>
      <c r="AK589" s="3" t="s">
        <v>244</v>
      </c>
      <c r="AL589" s="5"/>
      <c r="AM589" s="5" t="s">
        <v>1354</v>
      </c>
      <c r="AN589" s="5" t="s">
        <v>1355</v>
      </c>
      <c r="AO589" s="5" t="s">
        <v>2185</v>
      </c>
      <c r="AP589" s="5" t="s">
        <v>2185</v>
      </c>
      <c r="AQ589" s="5" t="s">
        <v>2185</v>
      </c>
      <c r="AR589" s="5" t="s">
        <v>2185</v>
      </c>
      <c r="AS589" s="142"/>
      <c r="AT589" s="142" t="b">
        <v>0</v>
      </c>
      <c r="AU589" s="142"/>
      <c r="AV589" s="142"/>
      <c r="AW589" s="142"/>
      <c r="AX589" s="142"/>
      <c r="AY589" s="142"/>
      <c r="AZ589" s="174"/>
      <c r="BA589" s="142"/>
      <c r="BB589" s="142"/>
      <c r="BC589" s="142"/>
      <c r="BD589" s="142"/>
      <c r="BE589" s="142"/>
      <c r="BF589" s="142"/>
      <c r="BG589" s="142"/>
    </row>
    <row r="590">
      <c r="A590" s="5" t="s">
        <v>1797</v>
      </c>
      <c r="B590" s="44">
        <v>44621.0</v>
      </c>
      <c r="C590" s="150">
        <v>0.3271527777777778</v>
      </c>
      <c r="D590" s="3"/>
      <c r="E590" s="3"/>
      <c r="F590" s="5"/>
      <c r="G590" s="5"/>
      <c r="H590" s="5"/>
      <c r="I590" s="3"/>
      <c r="J590" s="3"/>
      <c r="K590" s="3" t="s">
        <v>244</v>
      </c>
      <c r="L590" s="44">
        <v>44627.0</v>
      </c>
      <c r="M590" s="150">
        <v>0.47791666666666666</v>
      </c>
      <c r="N590" s="5"/>
      <c r="O590" s="5"/>
      <c r="P590" s="10" t="b">
        <v>0</v>
      </c>
      <c r="Q590" s="10" t="s">
        <v>2184</v>
      </c>
      <c r="R590" s="144" t="b">
        <v>1</v>
      </c>
      <c r="S590" s="144">
        <v>1.0</v>
      </c>
      <c r="T590" s="10"/>
      <c r="U590" s="5"/>
      <c r="V590" s="3"/>
      <c r="W590" s="5"/>
      <c r="X590" s="144" t="b">
        <v>0</v>
      </c>
      <c r="Y590" s="10" t="b">
        <v>0</v>
      </c>
      <c r="Z590" s="3"/>
      <c r="AA590" s="10" t="b">
        <v>0</v>
      </c>
      <c r="AB590" s="10" t="b">
        <v>0</v>
      </c>
      <c r="AC590" s="181">
        <v>177.0</v>
      </c>
      <c r="AD590" s="144" t="b">
        <v>0</v>
      </c>
      <c r="AE590" s="182"/>
      <c r="AF590" s="10" t="b">
        <v>0</v>
      </c>
      <c r="AG590" s="10" t="b">
        <v>0</v>
      </c>
      <c r="AH590" s="144"/>
      <c r="AI590" s="3"/>
      <c r="AJ590" s="10"/>
      <c r="AK590" s="3" t="s">
        <v>244</v>
      </c>
      <c r="AL590" s="5"/>
      <c r="AM590" s="5" t="s">
        <v>390</v>
      </c>
      <c r="AN590" s="5" t="s">
        <v>1162</v>
      </c>
      <c r="AO590" s="5" t="s">
        <v>2185</v>
      </c>
      <c r="AP590" s="5" t="s">
        <v>2185</v>
      </c>
      <c r="AQ590" s="5" t="s">
        <v>2185</v>
      </c>
      <c r="AR590" s="5" t="s">
        <v>2185</v>
      </c>
      <c r="AS590" s="142"/>
      <c r="AT590" s="142" t="b">
        <v>0</v>
      </c>
      <c r="AU590" s="142"/>
      <c r="AV590" s="142"/>
      <c r="AW590" s="142"/>
      <c r="AX590" s="142"/>
      <c r="AY590" s="142"/>
      <c r="AZ590" s="174"/>
      <c r="BA590" s="142"/>
      <c r="BB590" s="142"/>
      <c r="BC590" s="142"/>
      <c r="BD590" s="142"/>
      <c r="BE590" s="142"/>
      <c r="BF590" s="142"/>
      <c r="BG590" s="142"/>
    </row>
    <row r="591">
      <c r="A591" s="5" t="s">
        <v>1799</v>
      </c>
      <c r="B591" s="44">
        <v>44621.0</v>
      </c>
      <c r="C591" s="150">
        <v>0.32849537037037035</v>
      </c>
      <c r="D591" s="3"/>
      <c r="E591" s="3"/>
      <c r="F591" s="5"/>
      <c r="G591" s="5"/>
      <c r="H591" s="5"/>
      <c r="I591" s="3"/>
      <c r="J591" s="3"/>
      <c r="K591" s="3" t="s">
        <v>244</v>
      </c>
      <c r="L591" s="44">
        <v>44627.0</v>
      </c>
      <c r="M591" s="150">
        <v>0.47791666666666666</v>
      </c>
      <c r="N591" s="5"/>
      <c r="O591" s="5"/>
      <c r="P591" s="10" t="b">
        <v>0</v>
      </c>
      <c r="Q591" s="10" t="s">
        <v>2184</v>
      </c>
      <c r="R591" s="144" t="b">
        <v>1</v>
      </c>
      <c r="S591" s="144">
        <v>1.0</v>
      </c>
      <c r="T591" s="10"/>
      <c r="U591" s="5"/>
      <c r="V591" s="3"/>
      <c r="W591" s="5"/>
      <c r="X591" s="144" t="b">
        <v>0</v>
      </c>
      <c r="Y591" s="10" t="b">
        <v>0</v>
      </c>
      <c r="Z591" s="3"/>
      <c r="AA591" s="10" t="b">
        <v>0</v>
      </c>
      <c r="AB591" s="10" t="b">
        <v>0</v>
      </c>
      <c r="AC591" s="181">
        <v>176.0</v>
      </c>
      <c r="AD591" s="144" t="b">
        <v>0</v>
      </c>
      <c r="AE591" s="182"/>
      <c r="AF591" s="10" t="b">
        <v>0</v>
      </c>
      <c r="AG591" s="10" t="b">
        <v>0</v>
      </c>
      <c r="AH591" s="144"/>
      <c r="AI591" s="3"/>
      <c r="AJ591" s="10"/>
      <c r="AK591" s="3" t="s">
        <v>244</v>
      </c>
      <c r="AL591" s="5"/>
      <c r="AM591" s="5" t="s">
        <v>1358</v>
      </c>
      <c r="AN591" s="5" t="s">
        <v>1359</v>
      </c>
      <c r="AO591" s="5" t="s">
        <v>2185</v>
      </c>
      <c r="AP591" s="5" t="s">
        <v>2185</v>
      </c>
      <c r="AQ591" s="5" t="s">
        <v>2185</v>
      </c>
      <c r="AR591" s="5" t="s">
        <v>2185</v>
      </c>
      <c r="AS591" s="142"/>
      <c r="AT591" s="142" t="b">
        <v>0</v>
      </c>
      <c r="AU591" s="142"/>
      <c r="AV591" s="142"/>
      <c r="AW591" s="142"/>
      <c r="AX591" s="142"/>
      <c r="AY591" s="142"/>
      <c r="AZ591" s="174"/>
      <c r="BA591" s="142"/>
      <c r="BB591" s="142"/>
      <c r="BC591" s="142"/>
      <c r="BD591" s="142"/>
      <c r="BE591" s="142"/>
      <c r="BF591" s="142"/>
      <c r="BG591" s="142"/>
    </row>
    <row r="592">
      <c r="A592" s="5" t="s">
        <v>1801</v>
      </c>
      <c r="B592" s="44">
        <v>44621.0</v>
      </c>
      <c r="C592" s="150">
        <v>0.3285648148148148</v>
      </c>
      <c r="D592" s="3"/>
      <c r="E592" s="3"/>
      <c r="F592" s="5"/>
      <c r="G592" s="5"/>
      <c r="H592" s="5"/>
      <c r="I592" s="3"/>
      <c r="J592" s="3"/>
      <c r="K592" s="3" t="s">
        <v>244</v>
      </c>
      <c r="L592" s="44">
        <v>44627.0</v>
      </c>
      <c r="M592" s="150">
        <v>0.47792824074074075</v>
      </c>
      <c r="N592" s="5"/>
      <c r="O592" s="5"/>
      <c r="P592" s="10" t="b">
        <v>0</v>
      </c>
      <c r="Q592" s="10" t="s">
        <v>2184</v>
      </c>
      <c r="R592" s="144" t="b">
        <v>1</v>
      </c>
      <c r="S592" s="144">
        <v>1.0</v>
      </c>
      <c r="T592" s="10"/>
      <c r="U592" s="5"/>
      <c r="V592" s="3"/>
      <c r="W592" s="5"/>
      <c r="X592" s="144" t="b">
        <v>0</v>
      </c>
      <c r="Y592" s="10" t="b">
        <v>0</v>
      </c>
      <c r="Z592" s="3"/>
      <c r="AA592" s="10" t="b">
        <v>0</v>
      </c>
      <c r="AB592" s="10" t="b">
        <v>0</v>
      </c>
      <c r="AC592" s="181">
        <v>175.0</v>
      </c>
      <c r="AD592" s="144" t="b">
        <v>0</v>
      </c>
      <c r="AE592" s="182"/>
      <c r="AF592" s="10" t="b">
        <v>0</v>
      </c>
      <c r="AG592" s="10" t="b">
        <v>0</v>
      </c>
      <c r="AH592" s="144"/>
      <c r="AI592" s="3"/>
      <c r="AJ592" s="10"/>
      <c r="AK592" s="3" t="s">
        <v>244</v>
      </c>
      <c r="AL592" s="5"/>
      <c r="AM592" s="5" t="s">
        <v>299</v>
      </c>
      <c r="AN592" s="5" t="s">
        <v>300</v>
      </c>
      <c r="AO592" s="5" t="s">
        <v>2185</v>
      </c>
      <c r="AP592" s="5" t="s">
        <v>2185</v>
      </c>
      <c r="AQ592" s="5" t="s">
        <v>2185</v>
      </c>
      <c r="AR592" s="5" t="s">
        <v>2185</v>
      </c>
      <c r="AS592" s="142"/>
      <c r="AT592" s="142" t="b">
        <v>0</v>
      </c>
      <c r="AU592" s="142"/>
      <c r="AV592" s="142"/>
      <c r="AW592" s="142"/>
      <c r="AX592" s="142"/>
      <c r="AY592" s="142"/>
      <c r="AZ592" s="174"/>
      <c r="BA592" s="142"/>
      <c r="BB592" s="142"/>
      <c r="BC592" s="142"/>
      <c r="BD592" s="142"/>
      <c r="BE592" s="142"/>
      <c r="BF592" s="142"/>
      <c r="BG592" s="142"/>
    </row>
    <row r="593">
      <c r="A593" s="5" t="s">
        <v>1803</v>
      </c>
      <c r="B593" s="44">
        <v>44621.0</v>
      </c>
      <c r="C593" s="150">
        <v>0.329224537037037</v>
      </c>
      <c r="D593" s="3"/>
      <c r="E593" s="3"/>
      <c r="F593" s="5"/>
      <c r="G593" s="5"/>
      <c r="H593" s="5"/>
      <c r="I593" s="3"/>
      <c r="J593" s="3"/>
      <c r="K593" s="3" t="s">
        <v>244</v>
      </c>
      <c r="L593" s="44">
        <v>44627.0</v>
      </c>
      <c r="M593" s="150">
        <v>0.47792824074074075</v>
      </c>
      <c r="N593" s="5"/>
      <c r="O593" s="5"/>
      <c r="P593" s="10" t="b">
        <v>0</v>
      </c>
      <c r="Q593" s="10" t="s">
        <v>2184</v>
      </c>
      <c r="R593" s="144" t="b">
        <v>1</v>
      </c>
      <c r="S593" s="144">
        <v>1.0</v>
      </c>
      <c r="T593" s="10"/>
      <c r="U593" s="5"/>
      <c r="V593" s="3"/>
      <c r="W593" s="5"/>
      <c r="X593" s="144" t="b">
        <v>0</v>
      </c>
      <c r="Y593" s="10" t="b">
        <v>0</v>
      </c>
      <c r="Z593" s="3"/>
      <c r="AA593" s="10" t="b">
        <v>0</v>
      </c>
      <c r="AB593" s="10" t="b">
        <v>0</v>
      </c>
      <c r="AC593" s="181">
        <v>174.0</v>
      </c>
      <c r="AD593" s="144" t="b">
        <v>0</v>
      </c>
      <c r="AE593" s="182"/>
      <c r="AF593" s="10" t="b">
        <v>0</v>
      </c>
      <c r="AG593" s="10" t="b">
        <v>0</v>
      </c>
      <c r="AH593" s="144"/>
      <c r="AI593" s="3"/>
      <c r="AJ593" s="10"/>
      <c r="AK593" s="3" t="s">
        <v>244</v>
      </c>
      <c r="AL593" s="5"/>
      <c r="AM593" s="5" t="s">
        <v>593</v>
      </c>
      <c r="AN593" s="5" t="s">
        <v>594</v>
      </c>
      <c r="AO593" s="5" t="s">
        <v>2185</v>
      </c>
      <c r="AP593" s="5" t="s">
        <v>2185</v>
      </c>
      <c r="AQ593" s="5" t="s">
        <v>2185</v>
      </c>
      <c r="AR593" s="5" t="s">
        <v>2185</v>
      </c>
      <c r="AS593" s="142"/>
      <c r="AT593" s="142" t="b">
        <v>0</v>
      </c>
      <c r="AU593" s="142"/>
      <c r="AV593" s="142"/>
      <c r="AW593" s="142"/>
      <c r="AX593" s="142"/>
      <c r="AY593" s="142"/>
      <c r="AZ593" s="174"/>
      <c r="BA593" s="142"/>
      <c r="BB593" s="142"/>
      <c r="BC593" s="142"/>
      <c r="BD593" s="142"/>
      <c r="BE593" s="142"/>
      <c r="BF593" s="142"/>
      <c r="BG593" s="142"/>
    </row>
    <row r="594">
      <c r="A594" s="5" t="s">
        <v>1805</v>
      </c>
      <c r="B594" s="44">
        <v>44621.0</v>
      </c>
      <c r="C594" s="150">
        <v>0.329525462962963</v>
      </c>
      <c r="D594" s="3"/>
      <c r="E594" s="3"/>
      <c r="F594" s="5"/>
      <c r="G594" s="5"/>
      <c r="H594" s="5"/>
      <c r="I594" s="3"/>
      <c r="J594" s="3"/>
      <c r="K594" s="3" t="s">
        <v>244</v>
      </c>
      <c r="L594" s="44">
        <v>44627.0</v>
      </c>
      <c r="M594" s="150">
        <v>0.47792824074074075</v>
      </c>
      <c r="N594" s="5"/>
      <c r="O594" s="5"/>
      <c r="P594" s="10" t="b">
        <v>0</v>
      </c>
      <c r="Q594" s="10" t="s">
        <v>2184</v>
      </c>
      <c r="R594" s="144" t="b">
        <v>1</v>
      </c>
      <c r="S594" s="144">
        <v>1.0</v>
      </c>
      <c r="T594" s="10"/>
      <c r="U594" s="5"/>
      <c r="V594" s="3"/>
      <c r="W594" s="5"/>
      <c r="X594" s="144" t="b">
        <v>0</v>
      </c>
      <c r="Y594" s="10" t="b">
        <v>0</v>
      </c>
      <c r="Z594" s="3"/>
      <c r="AA594" s="10" t="b">
        <v>0</v>
      </c>
      <c r="AB594" s="10" t="b">
        <v>0</v>
      </c>
      <c r="AC594" s="181">
        <v>173.0</v>
      </c>
      <c r="AD594" s="144" t="b">
        <v>0</v>
      </c>
      <c r="AE594" s="182"/>
      <c r="AF594" s="10" t="b">
        <v>0</v>
      </c>
      <c r="AG594" s="10" t="b">
        <v>0</v>
      </c>
      <c r="AH594" s="144"/>
      <c r="AI594" s="3"/>
      <c r="AJ594" s="10"/>
      <c r="AK594" s="3" t="s">
        <v>244</v>
      </c>
      <c r="AL594" s="5"/>
      <c r="AM594" s="5" t="s">
        <v>1374</v>
      </c>
      <c r="AN594" s="5" t="s">
        <v>1375</v>
      </c>
      <c r="AO594" s="5" t="s">
        <v>2185</v>
      </c>
      <c r="AP594" s="5" t="s">
        <v>2185</v>
      </c>
      <c r="AQ594" s="5" t="s">
        <v>2185</v>
      </c>
      <c r="AR594" s="5" t="s">
        <v>2185</v>
      </c>
      <c r="AS594" s="142"/>
      <c r="AT594" s="142" t="b">
        <v>0</v>
      </c>
      <c r="AU594" s="142"/>
      <c r="AV594" s="142"/>
      <c r="AW594" s="142"/>
      <c r="AX594" s="142"/>
      <c r="AY594" s="142"/>
      <c r="AZ594" s="174"/>
      <c r="BA594" s="142"/>
      <c r="BB594" s="142"/>
      <c r="BC594" s="142"/>
      <c r="BD594" s="142"/>
      <c r="BE594" s="142"/>
      <c r="BF594" s="142"/>
      <c r="BG594" s="142"/>
    </row>
    <row r="595">
      <c r="A595" s="5" t="s">
        <v>1807</v>
      </c>
      <c r="B595" s="44">
        <v>44621.0</v>
      </c>
      <c r="C595" s="150">
        <v>0.33123842592592595</v>
      </c>
      <c r="D595" s="3"/>
      <c r="E595" s="3"/>
      <c r="F595" s="5"/>
      <c r="G595" s="5"/>
      <c r="H595" s="5"/>
      <c r="I595" s="3"/>
      <c r="J595" s="3"/>
      <c r="K595" s="3" t="s">
        <v>244</v>
      </c>
      <c r="L595" s="44">
        <v>44627.0</v>
      </c>
      <c r="M595" s="150">
        <v>0.47792824074074075</v>
      </c>
      <c r="N595" s="5"/>
      <c r="O595" s="5"/>
      <c r="P595" s="10" t="b">
        <v>0</v>
      </c>
      <c r="Q595" s="10" t="s">
        <v>2184</v>
      </c>
      <c r="R595" s="144" t="b">
        <v>1</v>
      </c>
      <c r="S595" s="144">
        <v>1.0</v>
      </c>
      <c r="T595" s="10"/>
      <c r="U595" s="5"/>
      <c r="V595" s="3"/>
      <c r="W595" s="5"/>
      <c r="X595" s="144" t="b">
        <v>0</v>
      </c>
      <c r="Y595" s="10" t="b">
        <v>0</v>
      </c>
      <c r="Z595" s="3"/>
      <c r="AA595" s="10" t="b">
        <v>0</v>
      </c>
      <c r="AB595" s="10" t="b">
        <v>0</v>
      </c>
      <c r="AC595" s="181">
        <v>172.0</v>
      </c>
      <c r="AD595" s="144" t="b">
        <v>0</v>
      </c>
      <c r="AE595" s="182"/>
      <c r="AF595" s="10" t="b">
        <v>0</v>
      </c>
      <c r="AG595" s="10" t="b">
        <v>0</v>
      </c>
      <c r="AH595" s="144"/>
      <c r="AI595" s="3"/>
      <c r="AJ595" s="10"/>
      <c r="AK595" s="3" t="s">
        <v>244</v>
      </c>
      <c r="AL595" s="5"/>
      <c r="AM595" s="5" t="s">
        <v>419</v>
      </c>
      <c r="AN595" s="5" t="s">
        <v>420</v>
      </c>
      <c r="AO595" s="5" t="s">
        <v>2185</v>
      </c>
      <c r="AP595" s="5" t="s">
        <v>2185</v>
      </c>
      <c r="AQ595" s="5" t="s">
        <v>2185</v>
      </c>
      <c r="AR595" s="5" t="s">
        <v>2185</v>
      </c>
      <c r="AS595" s="142"/>
      <c r="AT595" s="142" t="b">
        <v>0</v>
      </c>
      <c r="AU595" s="142"/>
      <c r="AV595" s="142"/>
      <c r="AW595" s="142"/>
      <c r="AX595" s="142"/>
      <c r="AY595" s="142"/>
      <c r="AZ595" s="174"/>
      <c r="BA595" s="142"/>
      <c r="BB595" s="142"/>
      <c r="BC595" s="142"/>
      <c r="BD595" s="142"/>
      <c r="BE595" s="142"/>
      <c r="BF595" s="142"/>
      <c r="BG595" s="142"/>
    </row>
    <row r="596">
      <c r="A596" s="5" t="s">
        <v>1809</v>
      </c>
      <c r="B596" s="44">
        <v>44621.0</v>
      </c>
      <c r="C596" s="150">
        <v>0.33143518518518517</v>
      </c>
      <c r="D596" s="3"/>
      <c r="E596" s="3"/>
      <c r="F596" s="5"/>
      <c r="G596" s="5"/>
      <c r="H596" s="5"/>
      <c r="I596" s="3"/>
      <c r="J596" s="3"/>
      <c r="K596" s="3" t="s">
        <v>244</v>
      </c>
      <c r="L596" s="44">
        <v>44627.0</v>
      </c>
      <c r="M596" s="150">
        <v>0.47792824074074075</v>
      </c>
      <c r="N596" s="5"/>
      <c r="O596" s="5"/>
      <c r="P596" s="10" t="b">
        <v>0</v>
      </c>
      <c r="Q596" s="10" t="s">
        <v>2184</v>
      </c>
      <c r="R596" s="144" t="b">
        <v>1</v>
      </c>
      <c r="S596" s="144">
        <v>1.0</v>
      </c>
      <c r="T596" s="10"/>
      <c r="U596" s="5"/>
      <c r="V596" s="3"/>
      <c r="W596" s="5"/>
      <c r="X596" s="144" t="b">
        <v>0</v>
      </c>
      <c r="Y596" s="10" t="b">
        <v>0</v>
      </c>
      <c r="Z596" s="3"/>
      <c r="AA596" s="10" t="b">
        <v>0</v>
      </c>
      <c r="AB596" s="10" t="b">
        <v>0</v>
      </c>
      <c r="AC596" s="181">
        <v>171.0</v>
      </c>
      <c r="AD596" s="144" t="b">
        <v>0</v>
      </c>
      <c r="AE596" s="182"/>
      <c r="AF596" s="10" t="b">
        <v>0</v>
      </c>
      <c r="AG596" s="10" t="b">
        <v>0</v>
      </c>
      <c r="AH596" s="144"/>
      <c r="AI596" s="3"/>
      <c r="AJ596" s="10"/>
      <c r="AK596" s="3" t="s">
        <v>244</v>
      </c>
      <c r="AL596" s="5"/>
      <c r="AM596" s="5" t="s">
        <v>307</v>
      </c>
      <c r="AN596" s="5" t="s">
        <v>266</v>
      </c>
      <c r="AO596" s="5" t="s">
        <v>2185</v>
      </c>
      <c r="AP596" s="5" t="s">
        <v>2185</v>
      </c>
      <c r="AQ596" s="5" t="s">
        <v>2185</v>
      </c>
      <c r="AR596" s="5" t="s">
        <v>2185</v>
      </c>
      <c r="AS596" s="142"/>
      <c r="AT596" s="142" t="b">
        <v>0</v>
      </c>
      <c r="AU596" s="142"/>
      <c r="AV596" s="142"/>
      <c r="AW596" s="142"/>
      <c r="AX596" s="142"/>
      <c r="AY596" s="142"/>
      <c r="AZ596" s="174"/>
      <c r="BA596" s="142"/>
      <c r="BB596" s="142"/>
      <c r="BC596" s="142"/>
      <c r="BD596" s="142"/>
      <c r="BE596" s="142"/>
      <c r="BF596" s="142"/>
      <c r="BG596" s="142"/>
    </row>
    <row r="597">
      <c r="A597" s="5" t="s">
        <v>1811</v>
      </c>
      <c r="B597" s="44">
        <v>44621.0</v>
      </c>
      <c r="C597" s="150">
        <v>0.3319328703703704</v>
      </c>
      <c r="D597" s="3"/>
      <c r="E597" s="3"/>
      <c r="F597" s="5"/>
      <c r="G597" s="5"/>
      <c r="H597" s="5"/>
      <c r="I597" s="3"/>
      <c r="J597" s="3"/>
      <c r="K597" s="3" t="s">
        <v>244</v>
      </c>
      <c r="L597" s="44">
        <v>44627.0</v>
      </c>
      <c r="M597" s="150">
        <v>0.47792824074074075</v>
      </c>
      <c r="N597" s="5"/>
      <c r="O597" s="5"/>
      <c r="P597" s="10" t="b">
        <v>0</v>
      </c>
      <c r="Q597" s="10" t="s">
        <v>2184</v>
      </c>
      <c r="R597" s="144" t="b">
        <v>1</v>
      </c>
      <c r="S597" s="144">
        <v>1.0</v>
      </c>
      <c r="T597" s="10"/>
      <c r="U597" s="5"/>
      <c r="V597" s="3"/>
      <c r="W597" s="5"/>
      <c r="X597" s="144" t="b">
        <v>0</v>
      </c>
      <c r="Y597" s="10" t="b">
        <v>0</v>
      </c>
      <c r="Z597" s="3"/>
      <c r="AA597" s="10" t="b">
        <v>0</v>
      </c>
      <c r="AB597" s="10" t="b">
        <v>0</v>
      </c>
      <c r="AC597" s="181">
        <v>170.0</v>
      </c>
      <c r="AD597" s="144" t="b">
        <v>0</v>
      </c>
      <c r="AE597" s="182"/>
      <c r="AF597" s="10" t="b">
        <v>0</v>
      </c>
      <c r="AG597" s="10" t="b">
        <v>0</v>
      </c>
      <c r="AH597" s="144"/>
      <c r="AI597" s="3"/>
      <c r="AJ597" s="10"/>
      <c r="AK597" s="3" t="s">
        <v>244</v>
      </c>
      <c r="AL597" s="5"/>
      <c r="AM597" s="5" t="s">
        <v>862</v>
      </c>
      <c r="AN597" s="5" t="s">
        <v>539</v>
      </c>
      <c r="AO597" s="5" t="s">
        <v>2185</v>
      </c>
      <c r="AP597" s="5" t="s">
        <v>2185</v>
      </c>
      <c r="AQ597" s="5" t="s">
        <v>2185</v>
      </c>
      <c r="AR597" s="5" t="s">
        <v>2185</v>
      </c>
      <c r="AS597" s="142"/>
      <c r="AT597" s="142" t="b">
        <v>0</v>
      </c>
      <c r="AU597" s="142"/>
      <c r="AV597" s="142"/>
      <c r="AW597" s="142"/>
      <c r="AX597" s="142"/>
      <c r="AY597" s="142"/>
      <c r="AZ597" s="174"/>
      <c r="BA597" s="142"/>
      <c r="BB597" s="142"/>
      <c r="BC597" s="142"/>
      <c r="BD597" s="142"/>
      <c r="BE597" s="142"/>
      <c r="BF597" s="142"/>
      <c r="BG597" s="142"/>
    </row>
    <row r="598">
      <c r="A598" s="5" t="s">
        <v>1813</v>
      </c>
      <c r="B598" s="44">
        <v>44621.0</v>
      </c>
      <c r="C598" s="150">
        <v>0.3345949074074074</v>
      </c>
      <c r="D598" s="3"/>
      <c r="E598" s="3"/>
      <c r="F598" s="5"/>
      <c r="G598" s="5"/>
      <c r="H598" s="5"/>
      <c r="I598" s="3"/>
      <c r="J598" s="3"/>
      <c r="K598" s="3" t="s">
        <v>244</v>
      </c>
      <c r="L598" s="44">
        <v>44627.0</v>
      </c>
      <c r="M598" s="150">
        <v>0.47792824074074075</v>
      </c>
      <c r="N598" s="5"/>
      <c r="O598" s="5"/>
      <c r="P598" s="10" t="b">
        <v>0</v>
      </c>
      <c r="Q598" s="10" t="s">
        <v>2184</v>
      </c>
      <c r="R598" s="144" t="b">
        <v>1</v>
      </c>
      <c r="S598" s="144">
        <v>1.0</v>
      </c>
      <c r="T598" s="10"/>
      <c r="U598" s="5"/>
      <c r="V598" s="3"/>
      <c r="W598" s="5"/>
      <c r="X598" s="144" t="b">
        <v>0</v>
      </c>
      <c r="Y598" s="10" t="b">
        <v>0</v>
      </c>
      <c r="Z598" s="3"/>
      <c r="AA598" s="10" t="b">
        <v>0</v>
      </c>
      <c r="AB598" s="10" t="b">
        <v>0</v>
      </c>
      <c r="AC598" s="181">
        <v>169.0</v>
      </c>
      <c r="AD598" s="144" t="b">
        <v>0</v>
      </c>
      <c r="AE598" s="182"/>
      <c r="AF598" s="10" t="b">
        <v>0</v>
      </c>
      <c r="AG598" s="10" t="b">
        <v>0</v>
      </c>
      <c r="AH598" s="144"/>
      <c r="AI598" s="3"/>
      <c r="AJ598" s="10"/>
      <c r="AK598" s="3" t="s">
        <v>244</v>
      </c>
      <c r="AL598" s="5"/>
      <c r="AM598" s="5" t="s">
        <v>1370</v>
      </c>
      <c r="AN598" s="5" t="s">
        <v>1371</v>
      </c>
      <c r="AO598" s="5" t="s">
        <v>2185</v>
      </c>
      <c r="AP598" s="5" t="s">
        <v>2185</v>
      </c>
      <c r="AQ598" s="5" t="s">
        <v>2185</v>
      </c>
      <c r="AR598" s="5" t="s">
        <v>2185</v>
      </c>
      <c r="AS598" s="142"/>
      <c r="AT598" s="142" t="b">
        <v>0</v>
      </c>
      <c r="AU598" s="142"/>
      <c r="AV598" s="142"/>
      <c r="AW598" s="142"/>
      <c r="AX598" s="142"/>
      <c r="AY598" s="142"/>
      <c r="AZ598" s="174"/>
      <c r="BA598" s="142"/>
      <c r="BB598" s="142"/>
      <c r="BC598" s="142"/>
      <c r="BD598" s="142"/>
      <c r="BE598" s="142"/>
      <c r="BF598" s="142"/>
      <c r="BG598" s="142"/>
    </row>
    <row r="599">
      <c r="A599" s="5" t="s">
        <v>1815</v>
      </c>
      <c r="B599" s="44">
        <v>44621.0</v>
      </c>
      <c r="C599" s="150">
        <v>0.3350925925925926</v>
      </c>
      <c r="D599" s="3"/>
      <c r="E599" s="3"/>
      <c r="F599" s="5"/>
      <c r="G599" s="5"/>
      <c r="H599" s="5"/>
      <c r="I599" s="3"/>
      <c r="J599" s="3"/>
      <c r="K599" s="3" t="s">
        <v>244</v>
      </c>
      <c r="L599" s="44">
        <v>44627.0</v>
      </c>
      <c r="M599" s="150">
        <v>0.47792824074074075</v>
      </c>
      <c r="N599" s="5"/>
      <c r="O599" s="5"/>
      <c r="P599" s="10" t="b">
        <v>0</v>
      </c>
      <c r="Q599" s="10" t="s">
        <v>2184</v>
      </c>
      <c r="R599" s="144" t="b">
        <v>1</v>
      </c>
      <c r="S599" s="144">
        <v>1.0</v>
      </c>
      <c r="T599" s="10"/>
      <c r="U599" s="5"/>
      <c r="V599" s="3"/>
      <c r="W599" s="5"/>
      <c r="X599" s="144" t="b">
        <v>0</v>
      </c>
      <c r="Y599" s="10" t="b">
        <v>0</v>
      </c>
      <c r="Z599" s="3"/>
      <c r="AA599" s="10" t="b">
        <v>0</v>
      </c>
      <c r="AB599" s="10" t="b">
        <v>0</v>
      </c>
      <c r="AC599" s="181">
        <v>168.0</v>
      </c>
      <c r="AD599" s="144" t="b">
        <v>0</v>
      </c>
      <c r="AE599" s="182"/>
      <c r="AF599" s="10" t="b">
        <v>0</v>
      </c>
      <c r="AG599" s="10" t="b">
        <v>0</v>
      </c>
      <c r="AH599" s="144"/>
      <c r="AI599" s="3"/>
      <c r="AJ599" s="10"/>
      <c r="AK599" s="3" t="s">
        <v>244</v>
      </c>
      <c r="AL599" s="5"/>
      <c r="AM599" s="5" t="s">
        <v>310</v>
      </c>
      <c r="AN599" s="5" t="s">
        <v>311</v>
      </c>
      <c r="AO599" s="5" t="s">
        <v>2185</v>
      </c>
      <c r="AP599" s="5" t="s">
        <v>2185</v>
      </c>
      <c r="AQ599" s="5" t="s">
        <v>2185</v>
      </c>
      <c r="AR599" s="5" t="s">
        <v>2185</v>
      </c>
      <c r="AS599" s="142"/>
      <c r="AT599" s="142" t="b">
        <v>0</v>
      </c>
      <c r="AU599" s="142"/>
      <c r="AV599" s="142"/>
      <c r="AW599" s="142"/>
      <c r="AX599" s="142"/>
      <c r="AY599" s="142"/>
      <c r="AZ599" s="174"/>
      <c r="BA599" s="142"/>
      <c r="BB599" s="142"/>
      <c r="BC599" s="142"/>
      <c r="BD599" s="142"/>
      <c r="BE599" s="142"/>
      <c r="BF599" s="142"/>
      <c r="BG599" s="142"/>
    </row>
    <row r="600">
      <c r="A600" s="5" t="s">
        <v>1817</v>
      </c>
      <c r="B600" s="44">
        <v>44621.0</v>
      </c>
      <c r="C600" s="150">
        <v>0.3414351851851852</v>
      </c>
      <c r="D600" s="3"/>
      <c r="E600" s="3"/>
      <c r="F600" s="5"/>
      <c r="G600" s="5"/>
      <c r="H600" s="5"/>
      <c r="I600" s="3"/>
      <c r="J600" s="3"/>
      <c r="K600" s="3" t="s">
        <v>244</v>
      </c>
      <c r="L600" s="44">
        <v>44627.0</v>
      </c>
      <c r="M600" s="150">
        <v>0.47792824074074075</v>
      </c>
      <c r="N600" s="5"/>
      <c r="O600" s="5"/>
      <c r="P600" s="10" t="b">
        <v>0</v>
      </c>
      <c r="Q600" s="10" t="s">
        <v>2184</v>
      </c>
      <c r="R600" s="144" t="b">
        <v>1</v>
      </c>
      <c r="S600" s="144">
        <v>1.0</v>
      </c>
      <c r="T600" s="10"/>
      <c r="U600" s="5"/>
      <c r="V600" s="3"/>
      <c r="W600" s="5"/>
      <c r="X600" s="144" t="b">
        <v>0</v>
      </c>
      <c r="Y600" s="10" t="b">
        <v>0</v>
      </c>
      <c r="Z600" s="3"/>
      <c r="AA600" s="10" t="b">
        <v>0</v>
      </c>
      <c r="AB600" s="10" t="b">
        <v>0</v>
      </c>
      <c r="AC600" s="181">
        <v>167.0</v>
      </c>
      <c r="AD600" s="144" t="b">
        <v>0</v>
      </c>
      <c r="AE600" s="182"/>
      <c r="AF600" s="10" t="b">
        <v>0</v>
      </c>
      <c r="AG600" s="10" t="b">
        <v>0</v>
      </c>
      <c r="AH600" s="144"/>
      <c r="AI600" s="3"/>
      <c r="AJ600" s="10"/>
      <c r="AK600" s="3" t="s">
        <v>244</v>
      </c>
      <c r="AL600" s="5"/>
      <c r="AM600" s="5" t="s">
        <v>291</v>
      </c>
      <c r="AN600" s="5" t="s">
        <v>292</v>
      </c>
      <c r="AO600" s="5" t="s">
        <v>2185</v>
      </c>
      <c r="AP600" s="5" t="s">
        <v>2185</v>
      </c>
      <c r="AQ600" s="5" t="s">
        <v>2185</v>
      </c>
      <c r="AR600" s="5" t="s">
        <v>2185</v>
      </c>
      <c r="AS600" s="142"/>
      <c r="AT600" s="142" t="b">
        <v>0</v>
      </c>
      <c r="AU600" s="142"/>
      <c r="AV600" s="142"/>
      <c r="AW600" s="142"/>
      <c r="AX600" s="142"/>
      <c r="AY600" s="142"/>
      <c r="AZ600" s="174"/>
      <c r="BA600" s="142"/>
      <c r="BB600" s="142"/>
      <c r="BC600" s="142"/>
      <c r="BD600" s="142"/>
      <c r="BE600" s="142"/>
      <c r="BF600" s="142"/>
      <c r="BG600" s="142"/>
    </row>
    <row r="601">
      <c r="A601" s="5" t="s">
        <v>1819</v>
      </c>
      <c r="B601" s="44">
        <v>44621.0</v>
      </c>
      <c r="C601" s="150">
        <v>0.3439699074074074</v>
      </c>
      <c r="D601" s="3"/>
      <c r="E601" s="3"/>
      <c r="F601" s="5"/>
      <c r="G601" s="5"/>
      <c r="H601" s="5"/>
      <c r="I601" s="3"/>
      <c r="J601" s="3"/>
      <c r="K601" s="3" t="s">
        <v>244</v>
      </c>
      <c r="L601" s="44">
        <v>44627.0</v>
      </c>
      <c r="M601" s="150">
        <v>0.47792824074074075</v>
      </c>
      <c r="N601" s="5"/>
      <c r="O601" s="5"/>
      <c r="P601" s="10" t="b">
        <v>0</v>
      </c>
      <c r="Q601" s="10" t="s">
        <v>2184</v>
      </c>
      <c r="R601" s="144" t="b">
        <v>1</v>
      </c>
      <c r="S601" s="144">
        <v>1.0</v>
      </c>
      <c r="T601" s="10"/>
      <c r="U601" s="5"/>
      <c r="V601" s="3"/>
      <c r="W601" s="5"/>
      <c r="X601" s="144" t="b">
        <v>0</v>
      </c>
      <c r="Y601" s="10" t="b">
        <v>0</v>
      </c>
      <c r="Z601" s="3"/>
      <c r="AA601" s="10" t="b">
        <v>0</v>
      </c>
      <c r="AB601" s="10" t="b">
        <v>0</v>
      </c>
      <c r="AC601" s="181">
        <v>166.0</v>
      </c>
      <c r="AD601" s="144" t="b">
        <v>0</v>
      </c>
      <c r="AE601" s="182"/>
      <c r="AF601" s="10" t="b">
        <v>0</v>
      </c>
      <c r="AG601" s="10" t="b">
        <v>0</v>
      </c>
      <c r="AH601" s="144"/>
      <c r="AI601" s="3"/>
      <c r="AJ601" s="10"/>
      <c r="AK601" s="3" t="s">
        <v>244</v>
      </c>
      <c r="AL601" s="5"/>
      <c r="AM601" s="5" t="s">
        <v>731</v>
      </c>
      <c r="AN601" s="5" t="s">
        <v>732</v>
      </c>
      <c r="AO601" s="5" t="s">
        <v>2185</v>
      </c>
      <c r="AP601" s="5" t="s">
        <v>2185</v>
      </c>
      <c r="AQ601" s="5" t="s">
        <v>2185</v>
      </c>
      <c r="AR601" s="5" t="s">
        <v>2185</v>
      </c>
      <c r="AS601" s="142"/>
      <c r="AT601" s="142" t="b">
        <v>0</v>
      </c>
      <c r="AU601" s="142"/>
      <c r="AV601" s="142"/>
      <c r="AW601" s="142"/>
      <c r="AX601" s="142"/>
      <c r="AY601" s="142"/>
      <c r="AZ601" s="174"/>
      <c r="BA601" s="142"/>
      <c r="BB601" s="142"/>
      <c r="BC601" s="142"/>
      <c r="BD601" s="142"/>
      <c r="BE601" s="142"/>
      <c r="BF601" s="142"/>
      <c r="BG601" s="142"/>
    </row>
    <row r="602">
      <c r="A602" s="5" t="s">
        <v>1821</v>
      </c>
      <c r="B602" s="44">
        <v>44621.0</v>
      </c>
      <c r="C602" s="150">
        <v>0.34618055555555555</v>
      </c>
      <c r="D602" s="3"/>
      <c r="E602" s="3"/>
      <c r="F602" s="5"/>
      <c r="G602" s="5"/>
      <c r="H602" s="5"/>
      <c r="I602" s="3"/>
      <c r="J602" s="3"/>
      <c r="K602" s="3" t="s">
        <v>244</v>
      </c>
      <c r="L602" s="44">
        <v>44627.0</v>
      </c>
      <c r="M602" s="150">
        <v>0.47792824074074075</v>
      </c>
      <c r="N602" s="5"/>
      <c r="O602" s="5"/>
      <c r="P602" s="10" t="b">
        <v>0</v>
      </c>
      <c r="Q602" s="10" t="s">
        <v>2184</v>
      </c>
      <c r="R602" s="144" t="b">
        <v>1</v>
      </c>
      <c r="S602" s="144">
        <v>1.0</v>
      </c>
      <c r="T602" s="10"/>
      <c r="U602" s="5"/>
      <c r="V602" s="3"/>
      <c r="W602" s="5"/>
      <c r="X602" s="144" t="b">
        <v>0</v>
      </c>
      <c r="Y602" s="10" t="b">
        <v>0</v>
      </c>
      <c r="Z602" s="3"/>
      <c r="AA602" s="10" t="b">
        <v>0</v>
      </c>
      <c r="AB602" s="10" t="b">
        <v>0</v>
      </c>
      <c r="AC602" s="181">
        <v>165.0</v>
      </c>
      <c r="AD602" s="144" t="b">
        <v>0</v>
      </c>
      <c r="AE602" s="182"/>
      <c r="AF602" s="10" t="b">
        <v>0</v>
      </c>
      <c r="AG602" s="10" t="b">
        <v>0</v>
      </c>
      <c r="AH602" s="144"/>
      <c r="AI602" s="3"/>
      <c r="AJ602" s="10"/>
      <c r="AK602" s="3" t="s">
        <v>244</v>
      </c>
      <c r="AL602" s="5"/>
      <c r="AM602" s="5" t="s">
        <v>362</v>
      </c>
      <c r="AN602" s="5" t="s">
        <v>363</v>
      </c>
      <c r="AO602" s="5" t="s">
        <v>2185</v>
      </c>
      <c r="AP602" s="5" t="s">
        <v>2185</v>
      </c>
      <c r="AQ602" s="5" t="s">
        <v>2185</v>
      </c>
      <c r="AR602" s="5" t="s">
        <v>2185</v>
      </c>
      <c r="AS602" s="142"/>
      <c r="AT602" s="142" t="b">
        <v>0</v>
      </c>
      <c r="AU602" s="142"/>
      <c r="AV602" s="142"/>
      <c r="AW602" s="142"/>
      <c r="AX602" s="142"/>
      <c r="AY602" s="142"/>
      <c r="AZ602" s="174"/>
      <c r="BA602" s="142"/>
      <c r="BB602" s="142"/>
      <c r="BC602" s="142"/>
      <c r="BD602" s="142"/>
      <c r="BE602" s="142"/>
      <c r="BF602" s="142"/>
      <c r="BG602" s="142"/>
    </row>
    <row r="603">
      <c r="A603" s="5" t="s">
        <v>1823</v>
      </c>
      <c r="B603" s="44">
        <v>44621.0</v>
      </c>
      <c r="C603" s="150">
        <v>0.44513888888888886</v>
      </c>
      <c r="D603" s="3"/>
      <c r="E603" s="3"/>
      <c r="F603" s="5"/>
      <c r="G603" s="5"/>
      <c r="H603" s="5"/>
      <c r="I603" s="3"/>
      <c r="J603" s="3"/>
      <c r="K603" s="3" t="s">
        <v>244</v>
      </c>
      <c r="L603" s="44">
        <v>44623.0</v>
      </c>
      <c r="M603" s="150">
        <v>0.4605787037037037</v>
      </c>
      <c r="N603" s="5"/>
      <c r="O603" s="5"/>
      <c r="P603" s="10" t="b">
        <v>0</v>
      </c>
      <c r="Q603" s="10" t="s">
        <v>2184</v>
      </c>
      <c r="R603" s="144" t="b">
        <v>1</v>
      </c>
      <c r="S603" s="144">
        <v>1.0</v>
      </c>
      <c r="T603" s="10"/>
      <c r="U603" s="5"/>
      <c r="V603" s="3"/>
      <c r="W603" s="5"/>
      <c r="X603" s="144" t="b">
        <v>0</v>
      </c>
      <c r="Y603" s="10" t="b">
        <v>0</v>
      </c>
      <c r="Z603" s="3"/>
      <c r="AA603" s="10" t="b">
        <v>0</v>
      </c>
      <c r="AB603" s="10" t="b">
        <v>0</v>
      </c>
      <c r="AC603" s="181">
        <v>164.0</v>
      </c>
      <c r="AD603" s="144" t="b">
        <v>0</v>
      </c>
      <c r="AE603" s="182"/>
      <c r="AF603" s="10" t="b">
        <v>0</v>
      </c>
      <c r="AG603" s="10" t="b">
        <v>0</v>
      </c>
      <c r="AH603" s="144"/>
      <c r="AI603" s="3"/>
      <c r="AJ603" s="10"/>
      <c r="AK603" s="3" t="s">
        <v>244</v>
      </c>
      <c r="AL603" s="5"/>
      <c r="AM603" s="5" t="s">
        <v>1374</v>
      </c>
      <c r="AN603" s="5" t="s">
        <v>1399</v>
      </c>
      <c r="AO603" s="5" t="s">
        <v>2185</v>
      </c>
      <c r="AP603" s="5" t="s">
        <v>2185</v>
      </c>
      <c r="AQ603" s="5" t="s">
        <v>2185</v>
      </c>
      <c r="AR603" s="5" t="s">
        <v>2185</v>
      </c>
      <c r="AS603" s="142"/>
      <c r="AT603" s="142" t="b">
        <v>0</v>
      </c>
      <c r="AU603" s="142"/>
      <c r="AV603" s="142"/>
      <c r="AW603" s="142"/>
      <c r="AX603" s="142"/>
      <c r="AY603" s="142"/>
      <c r="AZ603" s="174"/>
      <c r="BA603" s="142"/>
      <c r="BB603" s="142"/>
      <c r="BC603" s="142"/>
      <c r="BD603" s="142"/>
      <c r="BE603" s="142"/>
      <c r="BF603" s="142"/>
      <c r="BG603" s="142"/>
    </row>
    <row r="604">
      <c r="A604" s="5" t="s">
        <v>1825</v>
      </c>
      <c r="B604" s="44">
        <v>44621.0</v>
      </c>
      <c r="C604" s="150">
        <v>0.4674652777777778</v>
      </c>
      <c r="D604" s="3"/>
      <c r="E604" s="3"/>
      <c r="F604" s="5"/>
      <c r="G604" s="5"/>
      <c r="H604" s="5"/>
      <c r="I604" s="3"/>
      <c r="J604" s="3"/>
      <c r="K604" s="3" t="s">
        <v>244</v>
      </c>
      <c r="L604" s="44">
        <v>44627.0</v>
      </c>
      <c r="M604" s="150">
        <v>0.47792824074074075</v>
      </c>
      <c r="N604" s="5"/>
      <c r="O604" s="5"/>
      <c r="P604" s="10" t="b">
        <v>0</v>
      </c>
      <c r="Q604" s="10" t="s">
        <v>2184</v>
      </c>
      <c r="R604" s="144" t="b">
        <v>1</v>
      </c>
      <c r="S604" s="144">
        <v>1.0</v>
      </c>
      <c r="T604" s="10"/>
      <c r="U604" s="5"/>
      <c r="V604" s="3"/>
      <c r="W604" s="5"/>
      <c r="X604" s="144" t="b">
        <v>0</v>
      </c>
      <c r="Y604" s="10" t="b">
        <v>0</v>
      </c>
      <c r="Z604" s="3"/>
      <c r="AA604" s="10" t="b">
        <v>0</v>
      </c>
      <c r="AB604" s="10" t="b">
        <v>0</v>
      </c>
      <c r="AC604" s="181">
        <v>163.0</v>
      </c>
      <c r="AD604" s="144" t="b">
        <v>0</v>
      </c>
      <c r="AE604" s="182"/>
      <c r="AF604" s="10" t="b">
        <v>0</v>
      </c>
      <c r="AG604" s="10" t="b">
        <v>0</v>
      </c>
      <c r="AH604" s="144"/>
      <c r="AI604" s="3"/>
      <c r="AJ604" s="10"/>
      <c r="AK604" s="3" t="s">
        <v>244</v>
      </c>
      <c r="AL604" s="5"/>
      <c r="AM604" s="5" t="s">
        <v>273</v>
      </c>
      <c r="AN604" s="5" t="s">
        <v>357</v>
      </c>
      <c r="AO604" s="5" t="s">
        <v>2185</v>
      </c>
      <c r="AP604" s="5" t="s">
        <v>2185</v>
      </c>
      <c r="AQ604" s="5" t="s">
        <v>2185</v>
      </c>
      <c r="AR604" s="5" t="s">
        <v>2185</v>
      </c>
      <c r="AS604" s="142"/>
      <c r="AT604" s="142" t="b">
        <v>0</v>
      </c>
      <c r="AU604" s="142"/>
      <c r="AV604" s="142"/>
      <c r="AW604" s="142"/>
      <c r="AX604" s="142"/>
      <c r="AY604" s="142"/>
      <c r="AZ604" s="174"/>
      <c r="BA604" s="142"/>
      <c r="BB604" s="142"/>
      <c r="BC604" s="142"/>
      <c r="BD604" s="142"/>
      <c r="BE604" s="142"/>
      <c r="BF604" s="142"/>
      <c r="BG604" s="142"/>
    </row>
    <row r="605">
      <c r="A605" s="5" t="s">
        <v>1827</v>
      </c>
      <c r="B605" s="44">
        <v>44621.0</v>
      </c>
      <c r="C605" s="150">
        <v>0.46792824074074074</v>
      </c>
      <c r="D605" s="3"/>
      <c r="E605" s="3"/>
      <c r="F605" s="5"/>
      <c r="G605" s="5"/>
      <c r="H605" s="5"/>
      <c r="I605" s="183"/>
      <c r="J605" s="3"/>
      <c r="K605" s="3" t="s">
        <v>244</v>
      </c>
      <c r="L605" s="44">
        <v>44627.0</v>
      </c>
      <c r="M605" s="150">
        <v>0.4779398148148148</v>
      </c>
      <c r="N605" s="5" t="s">
        <v>247</v>
      </c>
      <c r="O605" s="5"/>
      <c r="P605" s="10" t="b">
        <v>0</v>
      </c>
      <c r="Q605" s="10" t="s">
        <v>2184</v>
      </c>
      <c r="R605" s="144" t="b">
        <v>1</v>
      </c>
      <c r="S605" s="144">
        <v>1.0</v>
      </c>
      <c r="T605" s="10">
        <v>0.0</v>
      </c>
      <c r="U605" s="5"/>
      <c r="V605" s="3"/>
      <c r="W605" s="5"/>
      <c r="X605" s="144" t="b">
        <v>0</v>
      </c>
      <c r="Y605" s="10" t="b">
        <v>0</v>
      </c>
      <c r="Z605" s="3"/>
      <c r="AA605" s="10" t="b">
        <v>0</v>
      </c>
      <c r="AB605" s="10" t="b">
        <v>0</v>
      </c>
      <c r="AC605" s="181">
        <v>801.0</v>
      </c>
      <c r="AD605" s="144" t="b">
        <v>1</v>
      </c>
      <c r="AE605" s="182"/>
      <c r="AF605" s="10" t="b">
        <v>0</v>
      </c>
      <c r="AG605" s="10" t="b">
        <v>0</v>
      </c>
      <c r="AH605" s="144"/>
      <c r="AI605" s="3"/>
      <c r="AJ605" s="10"/>
      <c r="AK605" s="3" t="s">
        <v>244</v>
      </c>
      <c r="AL605" s="5"/>
      <c r="AM605" s="5" t="s">
        <v>273</v>
      </c>
      <c r="AN605" s="5" t="s">
        <v>1828</v>
      </c>
      <c r="AO605" s="5" t="s">
        <v>2185</v>
      </c>
      <c r="AP605" s="5" t="s">
        <v>2185</v>
      </c>
      <c r="AQ605" s="5" t="s">
        <v>2185</v>
      </c>
      <c r="AR605" s="5" t="s">
        <v>2185</v>
      </c>
      <c r="AS605" s="142"/>
      <c r="AT605" s="142" t="b">
        <v>0</v>
      </c>
      <c r="AU605" s="142"/>
      <c r="AV605" s="142"/>
      <c r="AW605" s="142"/>
      <c r="AX605" s="142"/>
      <c r="AY605" s="142"/>
      <c r="AZ605" s="174"/>
      <c r="BA605" s="142"/>
      <c r="BB605" s="142"/>
      <c r="BC605" s="142"/>
      <c r="BD605" s="142"/>
      <c r="BE605" s="142"/>
      <c r="BF605" s="142"/>
      <c r="BG605" s="142"/>
    </row>
    <row r="606">
      <c r="A606" s="5" t="s">
        <v>1830</v>
      </c>
      <c r="B606" s="44">
        <v>44621.0</v>
      </c>
      <c r="C606" s="150">
        <v>0.46814814814814815</v>
      </c>
      <c r="D606" s="3"/>
      <c r="E606" s="3"/>
      <c r="F606" s="5"/>
      <c r="G606" s="5"/>
      <c r="H606" s="5"/>
      <c r="I606" s="183"/>
      <c r="J606" s="3"/>
      <c r="K606" s="3" t="s">
        <v>244</v>
      </c>
      <c r="L606" s="44">
        <v>44627.0</v>
      </c>
      <c r="M606" s="150">
        <v>0.4779398148148148</v>
      </c>
      <c r="N606" s="5" t="s">
        <v>247</v>
      </c>
      <c r="O606" s="5"/>
      <c r="P606" s="10" t="b">
        <v>0</v>
      </c>
      <c r="Q606" s="10" t="s">
        <v>2184</v>
      </c>
      <c r="R606" s="144" t="b">
        <v>1</v>
      </c>
      <c r="S606" s="144">
        <v>1.0</v>
      </c>
      <c r="T606" s="10">
        <v>0.0</v>
      </c>
      <c r="U606" s="5"/>
      <c r="V606" s="3"/>
      <c r="W606" s="5"/>
      <c r="X606" s="144" t="b">
        <v>0</v>
      </c>
      <c r="Y606" s="10" t="b">
        <v>0</v>
      </c>
      <c r="Z606" s="3"/>
      <c r="AA606" s="10" t="b">
        <v>0</v>
      </c>
      <c r="AB606" s="10" t="b">
        <v>0</v>
      </c>
      <c r="AC606" s="181">
        <v>804.0</v>
      </c>
      <c r="AD606" s="144" t="b">
        <v>1</v>
      </c>
      <c r="AE606" s="182"/>
      <c r="AF606" s="10" t="b">
        <v>0</v>
      </c>
      <c r="AG606" s="10" t="b">
        <v>0</v>
      </c>
      <c r="AH606" s="144"/>
      <c r="AI606" s="3"/>
      <c r="AJ606" s="10"/>
      <c r="AK606" s="3" t="s">
        <v>244</v>
      </c>
      <c r="AL606" s="5"/>
      <c r="AM606" s="5" t="s">
        <v>273</v>
      </c>
      <c r="AN606" s="5" t="s">
        <v>1831</v>
      </c>
      <c r="AO606" s="5" t="s">
        <v>2185</v>
      </c>
      <c r="AP606" s="5" t="s">
        <v>2185</v>
      </c>
      <c r="AQ606" s="5" t="s">
        <v>2185</v>
      </c>
      <c r="AR606" s="5" t="s">
        <v>2185</v>
      </c>
      <c r="AS606" s="142"/>
      <c r="AT606" s="142" t="b">
        <v>0</v>
      </c>
      <c r="AU606" s="142"/>
      <c r="AV606" s="142"/>
      <c r="AW606" s="142"/>
      <c r="AX606" s="142"/>
      <c r="AY606" s="142"/>
      <c r="AZ606" s="174"/>
      <c r="BA606" s="142"/>
      <c r="BB606" s="142"/>
      <c r="BC606" s="142"/>
      <c r="BD606" s="142"/>
      <c r="BE606" s="142"/>
      <c r="BF606" s="142"/>
      <c r="BG606" s="142"/>
    </row>
    <row r="607">
      <c r="A607" s="5" t="s">
        <v>1835</v>
      </c>
      <c r="B607" s="44">
        <v>44623.0</v>
      </c>
      <c r="C607" s="150">
        <v>0.29432870370370373</v>
      </c>
      <c r="D607" s="3"/>
      <c r="E607" s="3"/>
      <c r="F607" s="5"/>
      <c r="G607" s="5"/>
      <c r="H607" s="5"/>
      <c r="I607" s="3"/>
      <c r="J607" s="3"/>
      <c r="K607" s="3" t="s">
        <v>244</v>
      </c>
      <c r="L607" s="44">
        <v>44623.0</v>
      </c>
      <c r="M607" s="150">
        <v>0.4605902777777778</v>
      </c>
      <c r="N607" s="5"/>
      <c r="O607" s="5"/>
      <c r="P607" s="10" t="b">
        <v>0</v>
      </c>
      <c r="Q607" s="10" t="s">
        <v>2184</v>
      </c>
      <c r="R607" s="144" t="b">
        <v>1</v>
      </c>
      <c r="S607" s="144">
        <v>1.0</v>
      </c>
      <c r="T607" s="10"/>
      <c r="U607" s="5"/>
      <c r="V607" s="3"/>
      <c r="W607" s="5"/>
      <c r="X607" s="144" t="b">
        <v>0</v>
      </c>
      <c r="Y607" s="10" t="b">
        <v>0</v>
      </c>
      <c r="Z607" s="3"/>
      <c r="AA607" s="10" t="b">
        <v>0</v>
      </c>
      <c r="AB607" s="10" t="b">
        <v>0</v>
      </c>
      <c r="AC607" s="181">
        <v>161.0</v>
      </c>
      <c r="AD607" s="144" t="b">
        <v>0</v>
      </c>
      <c r="AE607" s="182">
        <v>239.41666666666663</v>
      </c>
      <c r="AF607" s="10" t="b">
        <v>0</v>
      </c>
      <c r="AG607" s="10" t="b">
        <v>0</v>
      </c>
      <c r="AH607" s="144"/>
      <c r="AI607" s="3"/>
      <c r="AJ607" s="10"/>
      <c r="AK607" s="3" t="s">
        <v>244</v>
      </c>
      <c r="AL607" s="5"/>
      <c r="AM607" s="5" t="s">
        <v>573</v>
      </c>
      <c r="AN607" s="5" t="s">
        <v>574</v>
      </c>
      <c r="AO607" s="5" t="s">
        <v>2185</v>
      </c>
      <c r="AP607" s="5" t="s">
        <v>2185</v>
      </c>
      <c r="AQ607" s="5" t="s">
        <v>2185</v>
      </c>
      <c r="AR607" s="5" t="s">
        <v>2185</v>
      </c>
      <c r="AS607" s="142"/>
      <c r="AT607" s="142" t="b">
        <v>0</v>
      </c>
      <c r="AU607" s="142"/>
      <c r="AV607" s="142"/>
      <c r="AW607" s="142"/>
      <c r="AX607" s="142"/>
      <c r="AY607" s="142"/>
      <c r="AZ607" s="174"/>
      <c r="BA607" s="142"/>
      <c r="BB607" s="142"/>
      <c r="BC607" s="142"/>
      <c r="BD607" s="142"/>
      <c r="BE607" s="142"/>
      <c r="BF607" s="142"/>
      <c r="BG607" s="142"/>
    </row>
    <row r="608">
      <c r="A608" s="5" t="s">
        <v>1837</v>
      </c>
      <c r="B608" s="44">
        <v>44623.0</v>
      </c>
      <c r="C608" s="150">
        <v>0.2961574074074074</v>
      </c>
      <c r="D608" s="3"/>
      <c r="E608" s="3"/>
      <c r="F608" s="5"/>
      <c r="G608" s="5"/>
      <c r="H608" s="5"/>
      <c r="I608" s="3"/>
      <c r="J608" s="3"/>
      <c r="K608" s="3" t="s">
        <v>244</v>
      </c>
      <c r="L608" s="44">
        <v>44623.0</v>
      </c>
      <c r="M608" s="150">
        <v>0.4605902777777778</v>
      </c>
      <c r="N608" s="5"/>
      <c r="O608" s="5"/>
      <c r="P608" s="10" t="b">
        <v>0</v>
      </c>
      <c r="Q608" s="10" t="s">
        <v>2184</v>
      </c>
      <c r="R608" s="144" t="b">
        <v>1</v>
      </c>
      <c r="S608" s="144">
        <v>1.0</v>
      </c>
      <c r="T608" s="10"/>
      <c r="U608" s="5"/>
      <c r="V608" s="3"/>
      <c r="W608" s="5"/>
      <c r="X608" s="144" t="b">
        <v>0</v>
      </c>
      <c r="Y608" s="10" t="b">
        <v>0</v>
      </c>
      <c r="Z608" s="3"/>
      <c r="AA608" s="10" t="b">
        <v>0</v>
      </c>
      <c r="AB608" s="10" t="b">
        <v>0</v>
      </c>
      <c r="AC608" s="181">
        <v>160.0</v>
      </c>
      <c r="AD608" s="144" t="b">
        <v>0</v>
      </c>
      <c r="AE608" s="182">
        <v>236.7833333333333</v>
      </c>
      <c r="AF608" s="10" t="b">
        <v>0</v>
      </c>
      <c r="AG608" s="10" t="b">
        <v>0</v>
      </c>
      <c r="AH608" s="144"/>
      <c r="AI608" s="3"/>
      <c r="AJ608" s="10"/>
      <c r="AK608" s="3" t="s">
        <v>244</v>
      </c>
      <c r="AL608" s="5"/>
      <c r="AM608" s="5" t="s">
        <v>624</v>
      </c>
      <c r="AN608" s="5" t="s">
        <v>625</v>
      </c>
      <c r="AO608" s="5" t="s">
        <v>2185</v>
      </c>
      <c r="AP608" s="5" t="s">
        <v>2185</v>
      </c>
      <c r="AQ608" s="5" t="s">
        <v>2185</v>
      </c>
      <c r="AR608" s="5" t="s">
        <v>2185</v>
      </c>
      <c r="AS608" s="142"/>
      <c r="AT608" s="142" t="b">
        <v>0</v>
      </c>
      <c r="AU608" s="142"/>
      <c r="AV608" s="142"/>
      <c r="AW608" s="142"/>
      <c r="AX608" s="142"/>
      <c r="AY608" s="142"/>
      <c r="AZ608" s="174"/>
      <c r="BA608" s="142"/>
      <c r="BB608" s="142"/>
      <c r="BC608" s="142"/>
      <c r="BD608" s="142"/>
      <c r="BE608" s="142"/>
      <c r="BF608" s="142"/>
      <c r="BG608" s="142"/>
    </row>
    <row r="609">
      <c r="A609" s="5" t="s">
        <v>1839</v>
      </c>
      <c r="B609" s="44">
        <v>44623.0</v>
      </c>
      <c r="C609" s="150">
        <v>0.30385416666666665</v>
      </c>
      <c r="D609" s="3"/>
      <c r="E609" s="3"/>
      <c r="F609" s="5"/>
      <c r="G609" s="5"/>
      <c r="H609" s="5"/>
      <c r="I609" s="3"/>
      <c r="J609" s="3"/>
      <c r="K609" s="3" t="s">
        <v>244</v>
      </c>
      <c r="L609" s="44">
        <v>44623.0</v>
      </c>
      <c r="M609" s="150">
        <v>0.4605902777777778</v>
      </c>
      <c r="N609" s="5"/>
      <c r="O609" s="5"/>
      <c r="P609" s="10" t="b">
        <v>0</v>
      </c>
      <c r="Q609" s="10" t="s">
        <v>2184</v>
      </c>
      <c r="R609" s="144" t="b">
        <v>1</v>
      </c>
      <c r="S609" s="144">
        <v>1.0</v>
      </c>
      <c r="T609" s="10"/>
      <c r="U609" s="5"/>
      <c r="V609" s="3"/>
      <c r="W609" s="5"/>
      <c r="X609" s="144" t="b">
        <v>0</v>
      </c>
      <c r="Y609" s="10" t="b">
        <v>0</v>
      </c>
      <c r="Z609" s="3"/>
      <c r="AA609" s="10" t="b">
        <v>0</v>
      </c>
      <c r="AB609" s="10" t="b">
        <v>0</v>
      </c>
      <c r="AC609" s="181">
        <v>159.0</v>
      </c>
      <c r="AD609" s="144" t="b">
        <v>0</v>
      </c>
      <c r="AE609" s="182">
        <v>225.70000000000002</v>
      </c>
      <c r="AF609" s="10" t="b">
        <v>0</v>
      </c>
      <c r="AG609" s="10" t="b">
        <v>0</v>
      </c>
      <c r="AH609" s="144"/>
      <c r="AI609" s="3"/>
      <c r="AJ609" s="10"/>
      <c r="AK609" s="3" t="s">
        <v>244</v>
      </c>
      <c r="AL609" s="5"/>
      <c r="AM609" s="5" t="s">
        <v>322</v>
      </c>
      <c r="AN609" s="5" t="s">
        <v>323</v>
      </c>
      <c r="AO609" s="5" t="s">
        <v>2185</v>
      </c>
      <c r="AP609" s="5" t="s">
        <v>2185</v>
      </c>
      <c r="AQ609" s="5" t="s">
        <v>2185</v>
      </c>
      <c r="AR609" s="5" t="s">
        <v>2185</v>
      </c>
      <c r="AS609" s="142"/>
      <c r="AT609" s="142" t="b">
        <v>0</v>
      </c>
      <c r="AU609" s="142"/>
      <c r="AV609" s="142"/>
      <c r="AW609" s="142"/>
      <c r="AX609" s="142"/>
      <c r="AY609" s="142"/>
      <c r="AZ609" s="174"/>
      <c r="BA609" s="142"/>
      <c r="BB609" s="142"/>
      <c r="BC609" s="142"/>
      <c r="BD609" s="142"/>
      <c r="BE609" s="142"/>
      <c r="BF609" s="142"/>
      <c r="BG609" s="142"/>
    </row>
    <row r="610">
      <c r="A610" s="5" t="s">
        <v>1841</v>
      </c>
      <c r="B610" s="44">
        <v>44623.0</v>
      </c>
      <c r="C610" s="150">
        <v>0.3044791666666667</v>
      </c>
      <c r="D610" s="3"/>
      <c r="E610" s="3"/>
      <c r="F610" s="5"/>
      <c r="G610" s="5"/>
      <c r="H610" s="5"/>
      <c r="I610" s="3"/>
      <c r="J610" s="3"/>
      <c r="K610" s="3" t="s">
        <v>244</v>
      </c>
      <c r="L610" s="44">
        <v>44623.0</v>
      </c>
      <c r="M610" s="150">
        <v>0.4605902777777778</v>
      </c>
      <c r="N610" s="5"/>
      <c r="O610" s="5"/>
      <c r="P610" s="10" t="b">
        <v>0</v>
      </c>
      <c r="Q610" s="10" t="s">
        <v>2184</v>
      </c>
      <c r="R610" s="144" t="b">
        <v>1</v>
      </c>
      <c r="S610" s="144">
        <v>1.0</v>
      </c>
      <c r="T610" s="10"/>
      <c r="U610" s="5"/>
      <c r="V610" s="3"/>
      <c r="W610" s="5"/>
      <c r="X610" s="144" t="b">
        <v>0</v>
      </c>
      <c r="Y610" s="10" t="b">
        <v>0</v>
      </c>
      <c r="Z610" s="3"/>
      <c r="AA610" s="10" t="b">
        <v>0</v>
      </c>
      <c r="AB610" s="10" t="b">
        <v>0</v>
      </c>
      <c r="AC610" s="181">
        <v>158.0</v>
      </c>
      <c r="AD610" s="144" t="b">
        <v>0</v>
      </c>
      <c r="AE610" s="182">
        <v>224.79999999999995</v>
      </c>
      <c r="AF610" s="10" t="b">
        <v>0</v>
      </c>
      <c r="AG610" s="10" t="b">
        <v>0</v>
      </c>
      <c r="AH610" s="144"/>
      <c r="AI610" s="3"/>
      <c r="AJ610" s="10"/>
      <c r="AK610" s="3" t="s">
        <v>244</v>
      </c>
      <c r="AL610" s="5"/>
      <c r="AM610" s="5" t="s">
        <v>1473</v>
      </c>
      <c r="AN610" s="5" t="s">
        <v>1474</v>
      </c>
      <c r="AO610" s="5" t="s">
        <v>2185</v>
      </c>
      <c r="AP610" s="5" t="s">
        <v>2185</v>
      </c>
      <c r="AQ610" s="5" t="s">
        <v>2185</v>
      </c>
      <c r="AR610" s="5" t="s">
        <v>2185</v>
      </c>
      <c r="AS610" s="142"/>
      <c r="AT610" s="142" t="b">
        <v>0</v>
      </c>
      <c r="AU610" s="142"/>
      <c r="AV610" s="142"/>
      <c r="AW610" s="142"/>
      <c r="AX610" s="142"/>
      <c r="AY610" s="142"/>
      <c r="AZ610" s="174"/>
      <c r="BA610" s="142"/>
      <c r="BB610" s="142"/>
      <c r="BC610" s="142"/>
      <c r="BD610" s="142"/>
      <c r="BE610" s="142"/>
      <c r="BF610" s="142"/>
      <c r="BG610" s="142"/>
    </row>
    <row r="611">
      <c r="A611" s="5" t="s">
        <v>1843</v>
      </c>
      <c r="B611" s="44">
        <v>44623.0</v>
      </c>
      <c r="C611" s="150">
        <v>0.3051388888888889</v>
      </c>
      <c r="D611" s="3"/>
      <c r="E611" s="3"/>
      <c r="F611" s="5"/>
      <c r="G611" s="5"/>
      <c r="H611" s="5"/>
      <c r="I611" s="3"/>
      <c r="J611" s="3"/>
      <c r="K611" s="3" t="s">
        <v>244</v>
      </c>
      <c r="L611" s="44">
        <v>44623.0</v>
      </c>
      <c r="M611" s="150">
        <v>0.4605902777777778</v>
      </c>
      <c r="N611" s="5"/>
      <c r="O611" s="5"/>
      <c r="P611" s="10" t="b">
        <v>0</v>
      </c>
      <c r="Q611" s="10" t="s">
        <v>2184</v>
      </c>
      <c r="R611" s="144" t="b">
        <v>1</v>
      </c>
      <c r="S611" s="144">
        <v>1.0</v>
      </c>
      <c r="T611" s="10"/>
      <c r="U611" s="5"/>
      <c r="V611" s="3"/>
      <c r="W611" s="5"/>
      <c r="X611" s="144" t="b">
        <v>0</v>
      </c>
      <c r="Y611" s="10" t="b">
        <v>0</v>
      </c>
      <c r="Z611" s="3"/>
      <c r="AA611" s="10" t="b">
        <v>0</v>
      </c>
      <c r="AB611" s="10" t="b">
        <v>0</v>
      </c>
      <c r="AC611" s="181">
        <v>157.0</v>
      </c>
      <c r="AD611" s="144" t="b">
        <v>0</v>
      </c>
      <c r="AE611" s="182">
        <v>223.84999999999997</v>
      </c>
      <c r="AF611" s="10" t="b">
        <v>0</v>
      </c>
      <c r="AG611" s="10" t="b">
        <v>0</v>
      </c>
      <c r="AH611" s="144"/>
      <c r="AI611" s="3"/>
      <c r="AJ611" s="10"/>
      <c r="AK611" s="3" t="s">
        <v>244</v>
      </c>
      <c r="AL611" s="5"/>
      <c r="AM611" s="5" t="s">
        <v>1099</v>
      </c>
      <c r="AN611" s="5" t="s">
        <v>1100</v>
      </c>
      <c r="AO611" s="5" t="s">
        <v>2185</v>
      </c>
      <c r="AP611" s="5" t="s">
        <v>2185</v>
      </c>
      <c r="AQ611" s="5" t="s">
        <v>2185</v>
      </c>
      <c r="AR611" s="5" t="s">
        <v>2185</v>
      </c>
      <c r="AS611" s="142"/>
      <c r="AT611" s="142" t="b">
        <v>0</v>
      </c>
      <c r="AU611" s="142"/>
      <c r="AV611" s="142"/>
      <c r="AW611" s="142"/>
      <c r="AX611" s="142"/>
      <c r="AY611" s="142"/>
      <c r="AZ611" s="174"/>
      <c r="BA611" s="142"/>
      <c r="BB611" s="142"/>
      <c r="BC611" s="142"/>
      <c r="BD611" s="142"/>
      <c r="BE611" s="142"/>
      <c r="BF611" s="142"/>
      <c r="BG611" s="142"/>
    </row>
    <row r="612">
      <c r="A612" s="5" t="s">
        <v>1845</v>
      </c>
      <c r="B612" s="44">
        <v>44623.0</v>
      </c>
      <c r="C612" s="150">
        <v>0.3095717592592593</v>
      </c>
      <c r="D612" s="3"/>
      <c r="E612" s="3"/>
      <c r="F612" s="5"/>
      <c r="G612" s="5"/>
      <c r="H612" s="5"/>
      <c r="I612" s="3"/>
      <c r="J612" s="3"/>
      <c r="K612" s="3" t="s">
        <v>244</v>
      </c>
      <c r="L612" s="44">
        <v>44623.0</v>
      </c>
      <c r="M612" s="150">
        <v>0.4605902777777778</v>
      </c>
      <c r="N612" s="5"/>
      <c r="O612" s="5"/>
      <c r="P612" s="10" t="b">
        <v>0</v>
      </c>
      <c r="Q612" s="10" t="s">
        <v>2184</v>
      </c>
      <c r="R612" s="144" t="b">
        <v>1</v>
      </c>
      <c r="S612" s="144">
        <v>1.0</v>
      </c>
      <c r="T612" s="10"/>
      <c r="U612" s="5"/>
      <c r="V612" s="3"/>
      <c r="W612" s="5"/>
      <c r="X612" s="144" t="b">
        <v>0</v>
      </c>
      <c r="Y612" s="10" t="b">
        <v>0</v>
      </c>
      <c r="Z612" s="3"/>
      <c r="AA612" s="10" t="b">
        <v>0</v>
      </c>
      <c r="AB612" s="10" t="b">
        <v>0</v>
      </c>
      <c r="AC612" s="181">
        <v>156.0</v>
      </c>
      <c r="AD612" s="144" t="b">
        <v>0</v>
      </c>
      <c r="AE612" s="182">
        <v>217.46666666666664</v>
      </c>
      <c r="AF612" s="10" t="b">
        <v>0</v>
      </c>
      <c r="AG612" s="10" t="b">
        <v>0</v>
      </c>
      <c r="AH612" s="144"/>
      <c r="AI612" s="3"/>
      <c r="AJ612" s="10"/>
      <c r="AK612" s="3" t="s">
        <v>244</v>
      </c>
      <c r="AL612" s="5"/>
      <c r="AM612" s="5" t="s">
        <v>1420</v>
      </c>
      <c r="AN612" s="5" t="s">
        <v>1421</v>
      </c>
      <c r="AO612" s="5" t="s">
        <v>2185</v>
      </c>
      <c r="AP612" s="5" t="s">
        <v>2185</v>
      </c>
      <c r="AQ612" s="5" t="s">
        <v>2185</v>
      </c>
      <c r="AR612" s="5" t="s">
        <v>2185</v>
      </c>
      <c r="AS612" s="142"/>
      <c r="AT612" s="142" t="b">
        <v>0</v>
      </c>
      <c r="AU612" s="142"/>
      <c r="AV612" s="142"/>
      <c r="AW612" s="142"/>
      <c r="AX612" s="142"/>
      <c r="AY612" s="142"/>
      <c r="AZ612" s="174"/>
      <c r="BA612" s="142"/>
      <c r="BB612" s="142"/>
      <c r="BC612" s="142"/>
      <c r="BD612" s="142"/>
      <c r="BE612" s="142"/>
      <c r="BF612" s="142"/>
      <c r="BG612" s="142"/>
    </row>
    <row r="613">
      <c r="A613" s="5" t="s">
        <v>1847</v>
      </c>
      <c r="B613" s="44">
        <v>44623.0</v>
      </c>
      <c r="C613" s="150">
        <v>0.3102662037037037</v>
      </c>
      <c r="D613" s="3"/>
      <c r="E613" s="3"/>
      <c r="F613" s="5"/>
      <c r="G613" s="5"/>
      <c r="H613" s="5"/>
      <c r="I613" s="3"/>
      <c r="J613" s="3"/>
      <c r="K613" s="3" t="s">
        <v>244</v>
      </c>
      <c r="L613" s="44">
        <v>44623.0</v>
      </c>
      <c r="M613" s="150">
        <v>0.4605902777777778</v>
      </c>
      <c r="N613" s="5"/>
      <c r="O613" s="5"/>
      <c r="P613" s="10" t="b">
        <v>0</v>
      </c>
      <c r="Q613" s="10" t="s">
        <v>2184</v>
      </c>
      <c r="R613" s="144" t="b">
        <v>1</v>
      </c>
      <c r="S613" s="144">
        <v>1.0</v>
      </c>
      <c r="T613" s="10"/>
      <c r="U613" s="5"/>
      <c r="V613" s="3"/>
      <c r="W613" s="5"/>
      <c r="X613" s="144" t="b">
        <v>0</v>
      </c>
      <c r="Y613" s="10" t="b">
        <v>0</v>
      </c>
      <c r="Z613" s="3"/>
      <c r="AA613" s="10" t="b">
        <v>0</v>
      </c>
      <c r="AB613" s="10" t="b">
        <v>0</v>
      </c>
      <c r="AC613" s="181">
        <v>155.0</v>
      </c>
      <c r="AD613" s="144" t="b">
        <v>0</v>
      </c>
      <c r="AE613" s="182">
        <v>216.46666666666664</v>
      </c>
      <c r="AF613" s="10" t="b">
        <v>0</v>
      </c>
      <c r="AG613" s="10" t="b">
        <v>0</v>
      </c>
      <c r="AH613" s="144"/>
      <c r="AI613" s="3"/>
      <c r="AJ613" s="10"/>
      <c r="AK613" s="3" t="s">
        <v>244</v>
      </c>
      <c r="AL613" s="5"/>
      <c r="AM613" s="5" t="s">
        <v>583</v>
      </c>
      <c r="AN613" s="5" t="s">
        <v>584</v>
      </c>
      <c r="AO613" s="5" t="s">
        <v>2185</v>
      </c>
      <c r="AP613" s="5" t="s">
        <v>2185</v>
      </c>
      <c r="AQ613" s="5" t="s">
        <v>2185</v>
      </c>
      <c r="AR613" s="5" t="s">
        <v>2185</v>
      </c>
      <c r="AS613" s="142"/>
      <c r="AT613" s="142" t="b">
        <v>0</v>
      </c>
      <c r="AU613" s="142"/>
      <c r="AV613" s="142"/>
      <c r="AW613" s="142"/>
      <c r="AX613" s="142"/>
      <c r="AY613" s="142"/>
      <c r="AZ613" s="174"/>
      <c r="BA613" s="142"/>
      <c r="BB613" s="142"/>
      <c r="BC613" s="142"/>
      <c r="BD613" s="142"/>
      <c r="BE613" s="142"/>
      <c r="BF613" s="142"/>
      <c r="BG613" s="142"/>
    </row>
    <row r="614">
      <c r="A614" s="5" t="s">
        <v>1849</v>
      </c>
      <c r="B614" s="44">
        <v>44623.0</v>
      </c>
      <c r="C614" s="150">
        <v>0.3108680555555556</v>
      </c>
      <c r="D614" s="3"/>
      <c r="E614" s="3"/>
      <c r="F614" s="5"/>
      <c r="G614" s="5"/>
      <c r="H614" s="5"/>
      <c r="I614" s="3"/>
      <c r="J614" s="3"/>
      <c r="K614" s="3" t="s">
        <v>244</v>
      </c>
      <c r="L614" s="44">
        <v>44623.0</v>
      </c>
      <c r="M614" s="150">
        <v>0.4605902777777778</v>
      </c>
      <c r="N614" s="5"/>
      <c r="O614" s="5"/>
      <c r="P614" s="10" t="b">
        <v>0</v>
      </c>
      <c r="Q614" s="10" t="s">
        <v>2184</v>
      </c>
      <c r="R614" s="144" t="b">
        <v>1</v>
      </c>
      <c r="S614" s="144">
        <v>1.0</v>
      </c>
      <c r="T614" s="10"/>
      <c r="U614" s="5"/>
      <c r="V614" s="3"/>
      <c r="W614" s="5"/>
      <c r="X614" s="144" t="b">
        <v>0</v>
      </c>
      <c r="Y614" s="10" t="b">
        <v>0</v>
      </c>
      <c r="Z614" s="3"/>
      <c r="AA614" s="10" t="b">
        <v>0</v>
      </c>
      <c r="AB614" s="10" t="b">
        <v>0</v>
      </c>
      <c r="AC614" s="181">
        <v>154.0</v>
      </c>
      <c r="AD614" s="144" t="b">
        <v>0</v>
      </c>
      <c r="AE614" s="182">
        <v>215.59999999999997</v>
      </c>
      <c r="AF614" s="10" t="b">
        <v>0</v>
      </c>
      <c r="AG614" s="10" t="b">
        <v>0</v>
      </c>
      <c r="AH614" s="144"/>
      <c r="AI614" s="3"/>
      <c r="AJ614" s="10"/>
      <c r="AK614" s="3" t="s">
        <v>244</v>
      </c>
      <c r="AL614" s="5"/>
      <c r="AM614" s="5" t="s">
        <v>512</v>
      </c>
      <c r="AN614" s="5" t="s">
        <v>513</v>
      </c>
      <c r="AO614" s="5" t="s">
        <v>2185</v>
      </c>
      <c r="AP614" s="5" t="s">
        <v>2185</v>
      </c>
      <c r="AQ614" s="5" t="s">
        <v>2185</v>
      </c>
      <c r="AR614" s="5" t="s">
        <v>2185</v>
      </c>
      <c r="AS614" s="142"/>
      <c r="AT614" s="142" t="b">
        <v>0</v>
      </c>
      <c r="AU614" s="142"/>
      <c r="AV614" s="142"/>
      <c r="AW614" s="142"/>
      <c r="AX614" s="142"/>
      <c r="AY614" s="142"/>
      <c r="AZ614" s="174"/>
      <c r="BA614" s="142"/>
      <c r="BB614" s="142"/>
      <c r="BC614" s="142"/>
      <c r="BD614" s="142"/>
      <c r="BE614" s="142"/>
      <c r="BF614" s="142"/>
      <c r="BG614" s="142"/>
    </row>
    <row r="615">
      <c r="A615" s="5" t="s">
        <v>1851</v>
      </c>
      <c r="B615" s="44">
        <v>44623.0</v>
      </c>
      <c r="C615" s="150">
        <v>0.31104166666666666</v>
      </c>
      <c r="D615" s="3"/>
      <c r="E615" s="3"/>
      <c r="F615" s="5"/>
      <c r="G615" s="5"/>
      <c r="H615" s="5"/>
      <c r="I615" s="3"/>
      <c r="J615" s="3"/>
      <c r="K615" s="3" t="s">
        <v>244</v>
      </c>
      <c r="L615" s="44">
        <v>44623.0</v>
      </c>
      <c r="M615" s="150">
        <v>0.4605902777777778</v>
      </c>
      <c r="N615" s="5"/>
      <c r="O615" s="5"/>
      <c r="P615" s="10" t="b">
        <v>0</v>
      </c>
      <c r="Q615" s="10" t="s">
        <v>2184</v>
      </c>
      <c r="R615" s="144" t="b">
        <v>1</v>
      </c>
      <c r="S615" s="144">
        <v>1.0</v>
      </c>
      <c r="T615" s="10"/>
      <c r="U615" s="5"/>
      <c r="V615" s="3"/>
      <c r="W615" s="5"/>
      <c r="X615" s="144" t="b">
        <v>0</v>
      </c>
      <c r="Y615" s="10" t="b">
        <v>0</v>
      </c>
      <c r="Z615" s="3"/>
      <c r="AA615" s="10" t="b">
        <v>0</v>
      </c>
      <c r="AB615" s="10" t="b">
        <v>0</v>
      </c>
      <c r="AC615" s="181">
        <v>153.0</v>
      </c>
      <c r="AD615" s="144" t="b">
        <v>0</v>
      </c>
      <c r="AE615" s="182">
        <v>215.35000000000002</v>
      </c>
      <c r="AF615" s="10" t="b">
        <v>0</v>
      </c>
      <c r="AG615" s="10" t="b">
        <v>0</v>
      </c>
      <c r="AH615" s="144"/>
      <c r="AI615" s="3"/>
      <c r="AJ615" s="10"/>
      <c r="AK615" s="3" t="s">
        <v>244</v>
      </c>
      <c r="AL615" s="5"/>
      <c r="AM615" s="5" t="s">
        <v>649</v>
      </c>
      <c r="AN615" s="5" t="s">
        <v>336</v>
      </c>
      <c r="AO615" s="5" t="s">
        <v>2185</v>
      </c>
      <c r="AP615" s="5" t="s">
        <v>2185</v>
      </c>
      <c r="AQ615" s="5" t="s">
        <v>2185</v>
      </c>
      <c r="AR615" s="5" t="s">
        <v>2185</v>
      </c>
      <c r="AS615" s="142"/>
      <c r="AT615" s="142" t="b">
        <v>0</v>
      </c>
      <c r="AU615" s="142"/>
      <c r="AV615" s="142"/>
      <c r="AW615" s="142"/>
      <c r="AX615" s="142"/>
      <c r="AY615" s="142"/>
      <c r="AZ615" s="174"/>
      <c r="BA615" s="142"/>
      <c r="BB615" s="142"/>
      <c r="BC615" s="142"/>
      <c r="BD615" s="142"/>
      <c r="BE615" s="142"/>
      <c r="BF615" s="142"/>
      <c r="BG615" s="142"/>
    </row>
    <row r="616">
      <c r="A616" s="5" t="s">
        <v>1853</v>
      </c>
      <c r="B616" s="44">
        <v>44623.0</v>
      </c>
      <c r="C616" s="150">
        <v>0.3132523148148148</v>
      </c>
      <c r="D616" s="3"/>
      <c r="E616" s="3"/>
      <c r="F616" s="5"/>
      <c r="G616" s="5"/>
      <c r="H616" s="5"/>
      <c r="I616" s="3"/>
      <c r="J616" s="3"/>
      <c r="K616" s="3" t="s">
        <v>244</v>
      </c>
      <c r="L616" s="44">
        <v>44623.0</v>
      </c>
      <c r="M616" s="150">
        <v>0.4605902777777778</v>
      </c>
      <c r="N616" s="5"/>
      <c r="O616" s="5"/>
      <c r="P616" s="10" t="b">
        <v>0</v>
      </c>
      <c r="Q616" s="10" t="s">
        <v>2184</v>
      </c>
      <c r="R616" s="144" t="b">
        <v>1</v>
      </c>
      <c r="S616" s="144">
        <v>1.0</v>
      </c>
      <c r="T616" s="10"/>
      <c r="U616" s="5"/>
      <c r="V616" s="3"/>
      <c r="W616" s="5"/>
      <c r="X616" s="144" t="b">
        <v>0</v>
      </c>
      <c r="Y616" s="10" t="b">
        <v>0</v>
      </c>
      <c r="Z616" s="3"/>
      <c r="AA616" s="10" t="b">
        <v>0</v>
      </c>
      <c r="AB616" s="10" t="b">
        <v>0</v>
      </c>
      <c r="AC616" s="181">
        <v>152.0</v>
      </c>
      <c r="AD616" s="144" t="b">
        <v>0</v>
      </c>
      <c r="AE616" s="182">
        <v>212.16666666666669</v>
      </c>
      <c r="AF616" s="10" t="b">
        <v>0</v>
      </c>
      <c r="AG616" s="10" t="b">
        <v>0</v>
      </c>
      <c r="AH616" s="144"/>
      <c r="AI616" s="3"/>
      <c r="AJ616" s="10"/>
      <c r="AK616" s="3" t="s">
        <v>244</v>
      </c>
      <c r="AL616" s="5"/>
      <c r="AM616" s="5" t="s">
        <v>618</v>
      </c>
      <c r="AN616" s="5" t="s">
        <v>619</v>
      </c>
      <c r="AO616" s="5" t="s">
        <v>2185</v>
      </c>
      <c r="AP616" s="5" t="s">
        <v>2185</v>
      </c>
      <c r="AQ616" s="5" t="s">
        <v>2185</v>
      </c>
      <c r="AR616" s="5" t="s">
        <v>2185</v>
      </c>
      <c r="AS616" s="142"/>
      <c r="AT616" s="142" t="b">
        <v>0</v>
      </c>
      <c r="AU616" s="142"/>
      <c r="AV616" s="142"/>
      <c r="AW616" s="142"/>
      <c r="AX616" s="142"/>
      <c r="AY616" s="142"/>
      <c r="AZ616" s="174"/>
      <c r="BA616" s="142"/>
      <c r="BB616" s="142"/>
      <c r="BC616" s="142"/>
      <c r="BD616" s="142"/>
      <c r="BE616" s="142"/>
      <c r="BF616" s="142"/>
      <c r="BG616" s="142"/>
    </row>
    <row r="617">
      <c r="A617" s="5" t="s">
        <v>1855</v>
      </c>
      <c r="B617" s="44">
        <v>44623.0</v>
      </c>
      <c r="C617" s="150">
        <v>0.3156481481481481</v>
      </c>
      <c r="D617" s="3"/>
      <c r="E617" s="3"/>
      <c r="F617" s="5"/>
      <c r="G617" s="5"/>
      <c r="H617" s="5"/>
      <c r="I617" s="3"/>
      <c r="J617" s="3"/>
      <c r="K617" s="3" t="s">
        <v>244</v>
      </c>
      <c r="L617" s="44">
        <v>44623.0</v>
      </c>
      <c r="M617" s="150">
        <v>0.4605902777777778</v>
      </c>
      <c r="N617" s="5"/>
      <c r="O617" s="5"/>
      <c r="P617" s="10" t="b">
        <v>0</v>
      </c>
      <c r="Q617" s="10" t="s">
        <v>2184</v>
      </c>
      <c r="R617" s="144" t="b">
        <v>1</v>
      </c>
      <c r="S617" s="144">
        <v>1.0</v>
      </c>
      <c r="T617" s="10"/>
      <c r="U617" s="5"/>
      <c r="V617" s="3"/>
      <c r="W617" s="5"/>
      <c r="X617" s="144" t="b">
        <v>0</v>
      </c>
      <c r="Y617" s="10" t="b">
        <v>0</v>
      </c>
      <c r="Z617" s="3"/>
      <c r="AA617" s="10" t="b">
        <v>0</v>
      </c>
      <c r="AB617" s="10" t="b">
        <v>0</v>
      </c>
      <c r="AC617" s="181">
        <v>151.0</v>
      </c>
      <c r="AD617" s="144" t="b">
        <v>0</v>
      </c>
      <c r="AE617" s="182">
        <v>208.7166666666667</v>
      </c>
      <c r="AF617" s="10" t="b">
        <v>0</v>
      </c>
      <c r="AG617" s="10" t="b">
        <v>0</v>
      </c>
      <c r="AH617" s="144"/>
      <c r="AI617" s="3"/>
      <c r="AJ617" s="10"/>
      <c r="AK617" s="3" t="s">
        <v>244</v>
      </c>
      <c r="AL617" s="5"/>
      <c r="AM617" s="5" t="s">
        <v>1656</v>
      </c>
      <c r="AN617" s="5" t="s">
        <v>1657</v>
      </c>
      <c r="AO617" s="5" t="s">
        <v>2185</v>
      </c>
      <c r="AP617" s="5" t="s">
        <v>2185</v>
      </c>
      <c r="AQ617" s="5" t="s">
        <v>2185</v>
      </c>
      <c r="AR617" s="5" t="s">
        <v>2185</v>
      </c>
      <c r="AS617" s="142"/>
      <c r="AT617" s="142" t="b">
        <v>0</v>
      </c>
      <c r="AU617" s="142"/>
      <c r="AV617" s="142"/>
      <c r="AW617" s="142"/>
      <c r="AX617" s="142"/>
      <c r="AY617" s="142"/>
      <c r="AZ617" s="174"/>
      <c r="BA617" s="142"/>
      <c r="BB617" s="142"/>
      <c r="BC617" s="142"/>
      <c r="BD617" s="142"/>
      <c r="BE617" s="142"/>
      <c r="BF617" s="142"/>
      <c r="BG617" s="142"/>
    </row>
    <row r="618">
      <c r="A618" s="5" t="s">
        <v>1857</v>
      </c>
      <c r="B618" s="44">
        <v>44623.0</v>
      </c>
      <c r="C618" s="150">
        <v>0.3174074074074074</v>
      </c>
      <c r="D618" s="3"/>
      <c r="E618" s="3"/>
      <c r="F618" s="5"/>
      <c r="G618" s="5"/>
      <c r="H618" s="5"/>
      <c r="I618" s="3"/>
      <c r="J618" s="3"/>
      <c r="K618" s="3" t="s">
        <v>244</v>
      </c>
      <c r="L618" s="44">
        <v>44623.0</v>
      </c>
      <c r="M618" s="150">
        <v>0.4605902777777778</v>
      </c>
      <c r="N618" s="5"/>
      <c r="O618" s="5"/>
      <c r="P618" s="10" t="b">
        <v>0</v>
      </c>
      <c r="Q618" s="10" t="s">
        <v>2184</v>
      </c>
      <c r="R618" s="144" t="b">
        <v>1</v>
      </c>
      <c r="S618" s="144">
        <v>1.0</v>
      </c>
      <c r="T618" s="10"/>
      <c r="U618" s="5"/>
      <c r="V618" s="3"/>
      <c r="W618" s="5"/>
      <c r="X618" s="144" t="b">
        <v>0</v>
      </c>
      <c r="Y618" s="10" t="b">
        <v>0</v>
      </c>
      <c r="Z618" s="3"/>
      <c r="AA618" s="10" t="b">
        <v>0</v>
      </c>
      <c r="AB618" s="10" t="b">
        <v>0</v>
      </c>
      <c r="AC618" s="181">
        <v>150.0</v>
      </c>
      <c r="AD618" s="144" t="b">
        <v>0</v>
      </c>
      <c r="AE618" s="182">
        <v>206.18333333333334</v>
      </c>
      <c r="AF618" s="10" t="b">
        <v>0</v>
      </c>
      <c r="AG618" s="10" t="b">
        <v>0</v>
      </c>
      <c r="AH618" s="144"/>
      <c r="AI618" s="3"/>
      <c r="AJ618" s="10"/>
      <c r="AK618" s="3" t="s">
        <v>244</v>
      </c>
      <c r="AL618" s="5"/>
      <c r="AM618" s="5" t="s">
        <v>1575</v>
      </c>
      <c r="AN618" s="5" t="s">
        <v>893</v>
      </c>
      <c r="AO618" s="5" t="s">
        <v>2185</v>
      </c>
      <c r="AP618" s="5" t="s">
        <v>2185</v>
      </c>
      <c r="AQ618" s="5" t="s">
        <v>2185</v>
      </c>
      <c r="AR618" s="5" t="s">
        <v>2185</v>
      </c>
      <c r="AS618" s="142"/>
      <c r="AT618" s="142" t="b">
        <v>0</v>
      </c>
      <c r="AU618" s="142"/>
      <c r="AV618" s="142"/>
      <c r="AW618" s="142"/>
      <c r="AX618" s="142"/>
      <c r="AY618" s="142"/>
      <c r="AZ618" s="174"/>
      <c r="BA618" s="142"/>
      <c r="BB618" s="142"/>
      <c r="BC618" s="142"/>
      <c r="BD618" s="142"/>
      <c r="BE618" s="142"/>
      <c r="BF618" s="142"/>
      <c r="BG618" s="142"/>
    </row>
    <row r="619">
      <c r="A619" s="5" t="s">
        <v>1859</v>
      </c>
      <c r="B619" s="44">
        <v>44623.0</v>
      </c>
      <c r="C619" s="150">
        <v>0.31928240740740743</v>
      </c>
      <c r="D619" s="3"/>
      <c r="E619" s="3"/>
      <c r="F619" s="5"/>
      <c r="G619" s="5"/>
      <c r="H619" s="5"/>
      <c r="I619" s="3"/>
      <c r="J619" s="3"/>
      <c r="K619" s="3" t="s">
        <v>244</v>
      </c>
      <c r="L619" s="44">
        <v>44623.0</v>
      </c>
      <c r="M619" s="150">
        <v>0.4605902777777778</v>
      </c>
      <c r="N619" s="5"/>
      <c r="O619" s="5"/>
      <c r="P619" s="10" t="b">
        <v>0</v>
      </c>
      <c r="Q619" s="10" t="s">
        <v>2184</v>
      </c>
      <c r="R619" s="144" t="b">
        <v>1</v>
      </c>
      <c r="S619" s="144">
        <v>1.0</v>
      </c>
      <c r="T619" s="10"/>
      <c r="U619" s="5"/>
      <c r="V619" s="3"/>
      <c r="W619" s="5"/>
      <c r="X619" s="144" t="b">
        <v>0</v>
      </c>
      <c r="Y619" s="10" t="b">
        <v>0</v>
      </c>
      <c r="Z619" s="3"/>
      <c r="AA619" s="10" t="b">
        <v>0</v>
      </c>
      <c r="AB619" s="10" t="b">
        <v>0</v>
      </c>
      <c r="AC619" s="181">
        <v>149.0</v>
      </c>
      <c r="AD619" s="144" t="b">
        <v>0</v>
      </c>
      <c r="AE619" s="182">
        <v>203.4833333333333</v>
      </c>
      <c r="AF619" s="10" t="b">
        <v>0</v>
      </c>
      <c r="AG619" s="10" t="b">
        <v>0</v>
      </c>
      <c r="AH619" s="144"/>
      <c r="AI619" s="3"/>
      <c r="AJ619" s="10"/>
      <c r="AK619" s="3" t="s">
        <v>244</v>
      </c>
      <c r="AL619" s="5"/>
      <c r="AM619" s="5" t="s">
        <v>409</v>
      </c>
      <c r="AN619" s="5" t="s">
        <v>410</v>
      </c>
      <c r="AO619" s="5" t="s">
        <v>2185</v>
      </c>
      <c r="AP619" s="5" t="s">
        <v>2185</v>
      </c>
      <c r="AQ619" s="5" t="s">
        <v>2185</v>
      </c>
      <c r="AR619" s="5" t="s">
        <v>2185</v>
      </c>
      <c r="AS619" s="142"/>
      <c r="AT619" s="142" t="b">
        <v>0</v>
      </c>
      <c r="AU619" s="142"/>
      <c r="AV619" s="142"/>
      <c r="AW619" s="142"/>
      <c r="AX619" s="142"/>
      <c r="AY619" s="142"/>
      <c r="AZ619" s="174"/>
      <c r="BA619" s="142"/>
      <c r="BB619" s="142"/>
      <c r="BC619" s="142"/>
      <c r="BD619" s="142"/>
      <c r="BE619" s="142"/>
      <c r="BF619" s="142"/>
      <c r="BG619" s="142"/>
    </row>
    <row r="620">
      <c r="A620" s="5" t="s">
        <v>1861</v>
      </c>
      <c r="B620" s="44">
        <v>44623.0</v>
      </c>
      <c r="C620" s="150">
        <v>0.32112268518518516</v>
      </c>
      <c r="D620" s="3"/>
      <c r="E620" s="3"/>
      <c r="F620" s="5"/>
      <c r="G620" s="5"/>
      <c r="H620" s="5"/>
      <c r="I620" s="3"/>
      <c r="J620" s="3"/>
      <c r="K620" s="3" t="s">
        <v>244</v>
      </c>
      <c r="L620" s="44">
        <v>44623.0</v>
      </c>
      <c r="M620" s="150">
        <v>0.4605902777777778</v>
      </c>
      <c r="N620" s="5"/>
      <c r="O620" s="5"/>
      <c r="P620" s="10" t="b">
        <v>0</v>
      </c>
      <c r="Q620" s="10" t="s">
        <v>2184</v>
      </c>
      <c r="R620" s="144" t="b">
        <v>1</v>
      </c>
      <c r="S620" s="144">
        <v>1.0</v>
      </c>
      <c r="T620" s="10"/>
      <c r="U620" s="5"/>
      <c r="V620" s="3"/>
      <c r="W620" s="5"/>
      <c r="X620" s="144" t="b">
        <v>0</v>
      </c>
      <c r="Y620" s="10" t="b">
        <v>0</v>
      </c>
      <c r="Z620" s="3"/>
      <c r="AA620" s="10" t="b">
        <v>0</v>
      </c>
      <c r="AB620" s="10" t="b">
        <v>0</v>
      </c>
      <c r="AC620" s="181">
        <v>148.0</v>
      </c>
      <c r="AD620" s="144" t="b">
        <v>0</v>
      </c>
      <c r="AE620" s="182">
        <v>200.83333333333337</v>
      </c>
      <c r="AF620" s="10" t="b">
        <v>0</v>
      </c>
      <c r="AG620" s="10" t="b">
        <v>0</v>
      </c>
      <c r="AH620" s="144"/>
      <c r="AI620" s="3"/>
      <c r="AJ620" s="10"/>
      <c r="AK620" s="3" t="s">
        <v>244</v>
      </c>
      <c r="AL620" s="5"/>
      <c r="AM620" s="5" t="s">
        <v>465</v>
      </c>
      <c r="AN620" s="5" t="s">
        <v>466</v>
      </c>
      <c r="AO620" s="5" t="s">
        <v>2185</v>
      </c>
      <c r="AP620" s="5" t="s">
        <v>2185</v>
      </c>
      <c r="AQ620" s="5" t="s">
        <v>2185</v>
      </c>
      <c r="AR620" s="5" t="s">
        <v>2185</v>
      </c>
      <c r="AS620" s="142"/>
      <c r="AT620" s="142" t="b">
        <v>0</v>
      </c>
      <c r="AU620" s="142"/>
      <c r="AV620" s="142"/>
      <c r="AW620" s="142"/>
      <c r="AX620" s="142"/>
      <c r="AY620" s="142"/>
      <c r="AZ620" s="174"/>
      <c r="BA620" s="142"/>
      <c r="BB620" s="142"/>
      <c r="BC620" s="142"/>
      <c r="BD620" s="142"/>
      <c r="BE620" s="142"/>
      <c r="BF620" s="142"/>
      <c r="BG620" s="142"/>
    </row>
    <row r="621">
      <c r="A621" s="5" t="s">
        <v>1863</v>
      </c>
      <c r="B621" s="44">
        <v>44623.0</v>
      </c>
      <c r="C621" s="150">
        <v>0.32178240740740743</v>
      </c>
      <c r="D621" s="3"/>
      <c r="E621" s="3"/>
      <c r="F621" s="5"/>
      <c r="G621" s="5"/>
      <c r="H621" s="5"/>
      <c r="I621" s="3"/>
      <c r="J621" s="3"/>
      <c r="K621" s="3" t="s">
        <v>244</v>
      </c>
      <c r="L621" s="44">
        <v>44623.0</v>
      </c>
      <c r="M621" s="150">
        <v>0.4605902777777778</v>
      </c>
      <c r="N621" s="5"/>
      <c r="O621" s="5"/>
      <c r="P621" s="10" t="b">
        <v>0</v>
      </c>
      <c r="Q621" s="10" t="s">
        <v>2184</v>
      </c>
      <c r="R621" s="144" t="b">
        <v>1</v>
      </c>
      <c r="S621" s="144">
        <v>1.0</v>
      </c>
      <c r="T621" s="10"/>
      <c r="U621" s="5"/>
      <c r="V621" s="3"/>
      <c r="W621" s="5"/>
      <c r="X621" s="144" t="b">
        <v>0</v>
      </c>
      <c r="Y621" s="10" t="b">
        <v>0</v>
      </c>
      <c r="Z621" s="3"/>
      <c r="AA621" s="10" t="b">
        <v>0</v>
      </c>
      <c r="AB621" s="10" t="b">
        <v>0</v>
      </c>
      <c r="AC621" s="181">
        <v>147.0</v>
      </c>
      <c r="AD621" s="144" t="b">
        <v>0</v>
      </c>
      <c r="AE621" s="182">
        <v>199.8833333333333</v>
      </c>
      <c r="AF621" s="10" t="b">
        <v>0</v>
      </c>
      <c r="AG621" s="10" t="b">
        <v>0</v>
      </c>
      <c r="AH621" s="144"/>
      <c r="AI621" s="3"/>
      <c r="AJ621" s="10"/>
      <c r="AK621" s="3" t="s">
        <v>244</v>
      </c>
      <c r="AL621" s="5"/>
      <c r="AM621" s="5" t="s">
        <v>875</v>
      </c>
      <c r="AN621" s="5" t="s">
        <v>876</v>
      </c>
      <c r="AO621" s="5" t="s">
        <v>2185</v>
      </c>
      <c r="AP621" s="5" t="s">
        <v>2185</v>
      </c>
      <c r="AQ621" s="5" t="s">
        <v>2185</v>
      </c>
      <c r="AR621" s="5" t="s">
        <v>2185</v>
      </c>
      <c r="AS621" s="142"/>
      <c r="AT621" s="142" t="b">
        <v>0</v>
      </c>
      <c r="AU621" s="142"/>
      <c r="AV621" s="142"/>
      <c r="AW621" s="142"/>
      <c r="AX621" s="142"/>
      <c r="AY621" s="142"/>
      <c r="AZ621" s="174"/>
      <c r="BA621" s="142"/>
      <c r="BB621" s="142"/>
      <c r="BC621" s="142"/>
      <c r="BD621" s="142"/>
      <c r="BE621" s="142"/>
      <c r="BF621" s="142"/>
      <c r="BG621" s="142"/>
    </row>
    <row r="622">
      <c r="A622" s="5" t="s">
        <v>1865</v>
      </c>
      <c r="B622" s="44">
        <v>44623.0</v>
      </c>
      <c r="C622" s="150">
        <v>0.32197916666666665</v>
      </c>
      <c r="D622" s="3"/>
      <c r="E622" s="3"/>
      <c r="F622" s="5"/>
      <c r="G622" s="5"/>
      <c r="H622" s="5"/>
      <c r="I622" s="3"/>
      <c r="J622" s="3"/>
      <c r="K622" s="3" t="s">
        <v>244</v>
      </c>
      <c r="L622" s="44">
        <v>44623.0</v>
      </c>
      <c r="M622" s="150">
        <v>0.4605902777777778</v>
      </c>
      <c r="N622" s="5"/>
      <c r="O622" s="5"/>
      <c r="P622" s="10" t="b">
        <v>0</v>
      </c>
      <c r="Q622" s="10" t="s">
        <v>2184</v>
      </c>
      <c r="R622" s="144" t="b">
        <v>1</v>
      </c>
      <c r="S622" s="144">
        <v>1.0</v>
      </c>
      <c r="T622" s="10"/>
      <c r="U622" s="5"/>
      <c r="V622" s="3"/>
      <c r="W622" s="5"/>
      <c r="X622" s="144" t="b">
        <v>0</v>
      </c>
      <c r="Y622" s="10" t="b">
        <v>0</v>
      </c>
      <c r="Z622" s="3"/>
      <c r="AA622" s="10" t="b">
        <v>0</v>
      </c>
      <c r="AB622" s="10" t="b">
        <v>0</v>
      </c>
      <c r="AC622" s="181">
        <v>146.0</v>
      </c>
      <c r="AD622" s="144" t="b">
        <v>0</v>
      </c>
      <c r="AE622" s="182">
        <v>199.60000000000002</v>
      </c>
      <c r="AF622" s="10" t="b">
        <v>0</v>
      </c>
      <c r="AG622" s="10" t="b">
        <v>0</v>
      </c>
      <c r="AH622" s="144"/>
      <c r="AI622" s="3"/>
      <c r="AJ622" s="10"/>
      <c r="AK622" s="3" t="s">
        <v>244</v>
      </c>
      <c r="AL622" s="5"/>
      <c r="AM622" s="5" t="s">
        <v>1638</v>
      </c>
      <c r="AN622" s="5" t="s">
        <v>1639</v>
      </c>
      <c r="AO622" s="5" t="s">
        <v>2185</v>
      </c>
      <c r="AP622" s="5" t="s">
        <v>2185</v>
      </c>
      <c r="AQ622" s="5" t="s">
        <v>2185</v>
      </c>
      <c r="AR622" s="5" t="s">
        <v>2185</v>
      </c>
      <c r="AS622" s="142"/>
      <c r="AT622" s="142" t="b">
        <v>0</v>
      </c>
      <c r="AU622" s="142"/>
      <c r="AV622" s="142"/>
      <c r="AW622" s="142"/>
      <c r="AX622" s="142"/>
      <c r="AY622" s="142"/>
      <c r="AZ622" s="174"/>
      <c r="BA622" s="142"/>
      <c r="BB622" s="142"/>
      <c r="BC622" s="142"/>
      <c r="BD622" s="142"/>
      <c r="BE622" s="142"/>
      <c r="BF622" s="142"/>
      <c r="BG622" s="142"/>
    </row>
    <row r="623">
      <c r="A623" s="5" t="s">
        <v>1867</v>
      </c>
      <c r="B623" s="44">
        <v>44623.0</v>
      </c>
      <c r="C623" s="150">
        <v>0.32256944444444446</v>
      </c>
      <c r="D623" s="3"/>
      <c r="E623" s="3"/>
      <c r="F623" s="5"/>
      <c r="G623" s="5"/>
      <c r="H623" s="5"/>
      <c r="I623" s="3"/>
      <c r="J623" s="3"/>
      <c r="K623" s="3" t="s">
        <v>244</v>
      </c>
      <c r="L623" s="44">
        <v>44623.0</v>
      </c>
      <c r="M623" s="150">
        <v>0.4605902777777778</v>
      </c>
      <c r="N623" s="5"/>
      <c r="O623" s="5"/>
      <c r="P623" s="10" t="b">
        <v>0</v>
      </c>
      <c r="Q623" s="10" t="s">
        <v>2184</v>
      </c>
      <c r="R623" s="144" t="b">
        <v>1</v>
      </c>
      <c r="S623" s="144">
        <v>1.0</v>
      </c>
      <c r="T623" s="10"/>
      <c r="U623" s="5"/>
      <c r="V623" s="3"/>
      <c r="W623" s="5"/>
      <c r="X623" s="144" t="b">
        <v>0</v>
      </c>
      <c r="Y623" s="10" t="b">
        <v>0</v>
      </c>
      <c r="Z623" s="3"/>
      <c r="AA623" s="10" t="b">
        <v>0</v>
      </c>
      <c r="AB623" s="10" t="b">
        <v>0</v>
      </c>
      <c r="AC623" s="181">
        <v>145.0</v>
      </c>
      <c r="AD623" s="144" t="b">
        <v>0</v>
      </c>
      <c r="AE623" s="182">
        <v>198.74999999999997</v>
      </c>
      <c r="AF623" s="10" t="b">
        <v>0</v>
      </c>
      <c r="AG623" s="10" t="b">
        <v>0</v>
      </c>
      <c r="AH623" s="144"/>
      <c r="AI623" s="3"/>
      <c r="AJ623" s="10"/>
      <c r="AK623" s="3" t="s">
        <v>244</v>
      </c>
      <c r="AL623" s="5"/>
      <c r="AM623" s="5" t="s">
        <v>328</v>
      </c>
      <c r="AN623" s="5" t="s">
        <v>329</v>
      </c>
      <c r="AO623" s="5" t="s">
        <v>2185</v>
      </c>
      <c r="AP623" s="5" t="s">
        <v>2185</v>
      </c>
      <c r="AQ623" s="5" t="s">
        <v>2185</v>
      </c>
      <c r="AR623" s="5" t="s">
        <v>2185</v>
      </c>
      <c r="AS623" s="142"/>
      <c r="AT623" s="142" t="b">
        <v>0</v>
      </c>
      <c r="AU623" s="142"/>
      <c r="AV623" s="142"/>
      <c r="AW623" s="142"/>
      <c r="AX623" s="142"/>
      <c r="AY623" s="142"/>
      <c r="AZ623" s="174"/>
      <c r="BA623" s="142"/>
      <c r="BB623" s="142"/>
      <c r="BC623" s="142"/>
      <c r="BD623" s="142"/>
      <c r="BE623" s="142"/>
      <c r="BF623" s="142"/>
      <c r="BG623" s="142"/>
    </row>
    <row r="624">
      <c r="A624" s="5" t="s">
        <v>1869</v>
      </c>
      <c r="B624" s="44">
        <v>44623.0</v>
      </c>
      <c r="C624" s="150">
        <v>0.3226041666666667</v>
      </c>
      <c r="D624" s="3"/>
      <c r="E624" s="3"/>
      <c r="F624" s="5"/>
      <c r="G624" s="5"/>
      <c r="H624" s="5"/>
      <c r="I624" s="3"/>
      <c r="J624" s="3"/>
      <c r="K624" s="3" t="s">
        <v>244</v>
      </c>
      <c r="L624" s="44">
        <v>44623.0</v>
      </c>
      <c r="M624" s="150">
        <v>0.4605902777777778</v>
      </c>
      <c r="N624" s="5"/>
      <c r="O624" s="5"/>
      <c r="P624" s="10" t="b">
        <v>0</v>
      </c>
      <c r="Q624" s="10" t="s">
        <v>2184</v>
      </c>
      <c r="R624" s="144" t="b">
        <v>1</v>
      </c>
      <c r="S624" s="144">
        <v>1.0</v>
      </c>
      <c r="T624" s="10"/>
      <c r="U624" s="5"/>
      <c r="V624" s="3"/>
      <c r="W624" s="5"/>
      <c r="X624" s="144" t="b">
        <v>0</v>
      </c>
      <c r="Y624" s="10" t="b">
        <v>0</v>
      </c>
      <c r="Z624" s="3"/>
      <c r="AA624" s="10" t="b">
        <v>0</v>
      </c>
      <c r="AB624" s="10" t="b">
        <v>0</v>
      </c>
      <c r="AC624" s="181">
        <v>144.0</v>
      </c>
      <c r="AD624" s="144" t="b">
        <v>0</v>
      </c>
      <c r="AE624" s="182">
        <v>198.69999999999996</v>
      </c>
      <c r="AF624" s="10" t="b">
        <v>0</v>
      </c>
      <c r="AG624" s="10" t="b">
        <v>0</v>
      </c>
      <c r="AH624" s="144"/>
      <c r="AI624" s="3"/>
      <c r="AJ624" s="10"/>
      <c r="AK624" s="3" t="s">
        <v>244</v>
      </c>
      <c r="AL624" s="5"/>
      <c r="AM624" s="5" t="s">
        <v>717</v>
      </c>
      <c r="AN624" s="5" t="s">
        <v>718</v>
      </c>
      <c r="AO624" s="5" t="s">
        <v>2185</v>
      </c>
      <c r="AP624" s="5" t="s">
        <v>2185</v>
      </c>
      <c r="AQ624" s="5" t="s">
        <v>2185</v>
      </c>
      <c r="AR624" s="5" t="s">
        <v>2185</v>
      </c>
      <c r="AS624" s="142"/>
      <c r="AT624" s="142" t="b">
        <v>0</v>
      </c>
      <c r="AU624" s="142"/>
      <c r="AV624" s="142"/>
      <c r="AW624" s="142"/>
      <c r="AX624" s="142"/>
      <c r="AY624" s="142"/>
      <c r="AZ624" s="174"/>
      <c r="BA624" s="142"/>
      <c r="BB624" s="142"/>
      <c r="BC624" s="142"/>
      <c r="BD624" s="142"/>
      <c r="BE624" s="142"/>
      <c r="BF624" s="142"/>
      <c r="BG624" s="142"/>
    </row>
    <row r="625">
      <c r="A625" s="5" t="s">
        <v>1871</v>
      </c>
      <c r="B625" s="44">
        <v>44623.0</v>
      </c>
      <c r="C625" s="150">
        <v>0.32363425925925926</v>
      </c>
      <c r="D625" s="3"/>
      <c r="E625" s="3"/>
      <c r="F625" s="5"/>
      <c r="G625" s="5"/>
      <c r="H625" s="5"/>
      <c r="I625" s="3"/>
      <c r="J625" s="3"/>
      <c r="K625" s="3" t="s">
        <v>244</v>
      </c>
      <c r="L625" s="44">
        <v>44623.0</v>
      </c>
      <c r="M625" s="150">
        <v>0.4605902777777778</v>
      </c>
      <c r="N625" s="5"/>
      <c r="O625" s="5"/>
      <c r="P625" s="10" t="b">
        <v>0</v>
      </c>
      <c r="Q625" s="10" t="s">
        <v>2184</v>
      </c>
      <c r="R625" s="144" t="b">
        <v>1</v>
      </c>
      <c r="S625" s="144">
        <v>1.0</v>
      </c>
      <c r="T625" s="10"/>
      <c r="U625" s="5"/>
      <c r="V625" s="3"/>
      <c r="W625" s="5"/>
      <c r="X625" s="144" t="b">
        <v>0</v>
      </c>
      <c r="Y625" s="10" t="b">
        <v>0</v>
      </c>
      <c r="Z625" s="3"/>
      <c r="AA625" s="10" t="b">
        <v>0</v>
      </c>
      <c r="AB625" s="10" t="b">
        <v>0</v>
      </c>
      <c r="AC625" s="181">
        <v>143.0</v>
      </c>
      <c r="AD625" s="144" t="b">
        <v>0</v>
      </c>
      <c r="AE625" s="182">
        <v>197.21666666666667</v>
      </c>
      <c r="AF625" s="10" t="b">
        <v>0</v>
      </c>
      <c r="AG625" s="10" t="b">
        <v>0</v>
      </c>
      <c r="AH625" s="144"/>
      <c r="AI625" s="3"/>
      <c r="AJ625" s="10"/>
      <c r="AK625" s="3" t="s">
        <v>244</v>
      </c>
      <c r="AL625" s="5"/>
      <c r="AM625" s="5" t="s">
        <v>587</v>
      </c>
      <c r="AN625" s="5" t="s">
        <v>588</v>
      </c>
      <c r="AO625" s="5" t="s">
        <v>2185</v>
      </c>
      <c r="AP625" s="5" t="s">
        <v>2185</v>
      </c>
      <c r="AQ625" s="5" t="s">
        <v>2185</v>
      </c>
      <c r="AR625" s="5" t="s">
        <v>2185</v>
      </c>
      <c r="AS625" s="142"/>
      <c r="AT625" s="142" t="b">
        <v>0</v>
      </c>
      <c r="AU625" s="142"/>
      <c r="AV625" s="142"/>
      <c r="AW625" s="142"/>
      <c r="AX625" s="142"/>
      <c r="AY625" s="142"/>
      <c r="AZ625" s="174"/>
      <c r="BA625" s="142"/>
      <c r="BB625" s="142"/>
      <c r="BC625" s="142"/>
      <c r="BD625" s="142"/>
      <c r="BE625" s="142"/>
      <c r="BF625" s="142"/>
      <c r="BG625" s="142"/>
    </row>
    <row r="626">
      <c r="A626" s="5" t="s">
        <v>1873</v>
      </c>
      <c r="B626" s="44">
        <v>44623.0</v>
      </c>
      <c r="C626" s="150">
        <v>0.32719907407407406</v>
      </c>
      <c r="D626" s="3"/>
      <c r="E626" s="3"/>
      <c r="F626" s="5"/>
      <c r="G626" s="5"/>
      <c r="H626" s="5"/>
      <c r="I626" s="183"/>
      <c r="J626" s="3"/>
      <c r="K626" s="3" t="s">
        <v>244</v>
      </c>
      <c r="L626" s="44">
        <v>44623.0</v>
      </c>
      <c r="M626" s="150">
        <v>0.4605902777777778</v>
      </c>
      <c r="N626" s="5" t="s">
        <v>247</v>
      </c>
      <c r="O626" s="5"/>
      <c r="P626" s="10" t="b">
        <v>0</v>
      </c>
      <c r="Q626" s="10" t="s">
        <v>2184</v>
      </c>
      <c r="R626" s="144" t="b">
        <v>1</v>
      </c>
      <c r="S626" s="144">
        <v>1.0</v>
      </c>
      <c r="T626" s="10">
        <v>0.0</v>
      </c>
      <c r="U626" s="5"/>
      <c r="V626" s="3"/>
      <c r="W626" s="5"/>
      <c r="X626" s="144" t="b">
        <v>0</v>
      </c>
      <c r="Y626" s="10" t="b">
        <v>0</v>
      </c>
      <c r="Z626" s="3"/>
      <c r="AA626" s="10" t="b">
        <v>0</v>
      </c>
      <c r="AB626" s="10" t="b">
        <v>0</v>
      </c>
      <c r="AC626" s="181">
        <v>803.0</v>
      </c>
      <c r="AD626" s="144" t="b">
        <v>1</v>
      </c>
      <c r="AE626" s="182">
        <v>192.08333333333337</v>
      </c>
      <c r="AF626" s="10" t="b">
        <v>0</v>
      </c>
      <c r="AG626" s="10" t="b">
        <v>0</v>
      </c>
      <c r="AH626" s="144"/>
      <c r="AI626" s="3"/>
      <c r="AJ626" s="10"/>
      <c r="AK626" s="3" t="s">
        <v>244</v>
      </c>
      <c r="AL626" s="5"/>
      <c r="AM626" s="5" t="s">
        <v>918</v>
      </c>
      <c r="AN626" s="5" t="s">
        <v>886</v>
      </c>
      <c r="AO626" s="5" t="s">
        <v>2185</v>
      </c>
      <c r="AP626" s="5" t="s">
        <v>2185</v>
      </c>
      <c r="AQ626" s="5" t="s">
        <v>2185</v>
      </c>
      <c r="AR626" s="5" t="s">
        <v>2185</v>
      </c>
      <c r="AS626" s="142"/>
      <c r="AT626" s="142" t="b">
        <v>0</v>
      </c>
      <c r="AU626" s="142"/>
      <c r="AV626" s="142"/>
      <c r="AW626" s="142"/>
      <c r="AX626" s="142"/>
      <c r="AY626" s="142"/>
      <c r="AZ626" s="174"/>
      <c r="BA626" s="142"/>
      <c r="BB626" s="142"/>
      <c r="BC626" s="142"/>
      <c r="BD626" s="142"/>
      <c r="BE626" s="142"/>
      <c r="BF626" s="142"/>
      <c r="BG626" s="142"/>
    </row>
    <row r="627">
      <c r="A627" s="5" t="s">
        <v>1875</v>
      </c>
      <c r="B627" s="44">
        <v>44623.0</v>
      </c>
      <c r="C627" s="150">
        <v>0.3344212962962963</v>
      </c>
      <c r="D627" s="3"/>
      <c r="E627" s="3"/>
      <c r="F627" s="5"/>
      <c r="G627" s="5"/>
      <c r="H627" s="5"/>
      <c r="I627" s="3"/>
      <c r="J627" s="3"/>
      <c r="K627" s="3" t="s">
        <v>244</v>
      </c>
      <c r="L627" s="44">
        <v>44623.0</v>
      </c>
      <c r="M627" s="150">
        <v>0.4606018518518519</v>
      </c>
      <c r="N627" s="5"/>
      <c r="O627" s="5"/>
      <c r="P627" s="10" t="b">
        <v>0</v>
      </c>
      <c r="Q627" s="10" t="s">
        <v>2184</v>
      </c>
      <c r="R627" s="144" t="b">
        <v>1</v>
      </c>
      <c r="S627" s="144">
        <v>1.0</v>
      </c>
      <c r="T627" s="10"/>
      <c r="U627" s="5"/>
      <c r="V627" s="3"/>
      <c r="W627" s="5"/>
      <c r="X627" s="144" t="b">
        <v>0</v>
      </c>
      <c r="Y627" s="10" t="b">
        <v>0</v>
      </c>
      <c r="Z627" s="3"/>
      <c r="AA627" s="10" t="b">
        <v>0</v>
      </c>
      <c r="AB627" s="10" t="b">
        <v>0</v>
      </c>
      <c r="AC627" s="181">
        <v>142.0</v>
      </c>
      <c r="AD627" s="144" t="b">
        <v>0</v>
      </c>
      <c r="AE627" s="182">
        <v>181.70000000000002</v>
      </c>
      <c r="AF627" s="10" t="b">
        <v>0</v>
      </c>
      <c r="AG627" s="10" t="b">
        <v>0</v>
      </c>
      <c r="AH627" s="144"/>
      <c r="AI627" s="3"/>
      <c r="AJ627" s="10"/>
      <c r="AK627" s="3" t="s">
        <v>244</v>
      </c>
      <c r="AL627" s="5"/>
      <c r="AM627" s="5" t="s">
        <v>307</v>
      </c>
      <c r="AN627" s="5" t="s">
        <v>266</v>
      </c>
      <c r="AO627" s="5" t="s">
        <v>2185</v>
      </c>
      <c r="AP627" s="5" t="s">
        <v>2185</v>
      </c>
      <c r="AQ627" s="5" t="s">
        <v>2185</v>
      </c>
      <c r="AR627" s="5" t="s">
        <v>2185</v>
      </c>
      <c r="AS627" s="142"/>
      <c r="AT627" s="142" t="b">
        <v>0</v>
      </c>
      <c r="AU627" s="142"/>
      <c r="AV627" s="142"/>
      <c r="AW627" s="142"/>
      <c r="AX627" s="142"/>
      <c r="AY627" s="142"/>
      <c r="AZ627" s="174"/>
      <c r="BA627" s="142"/>
      <c r="BB627" s="142"/>
      <c r="BC627" s="142"/>
      <c r="BD627" s="142"/>
      <c r="BE627" s="142"/>
      <c r="BF627" s="142"/>
      <c r="BG627" s="142"/>
    </row>
    <row r="628">
      <c r="A628" s="5" t="s">
        <v>1877</v>
      </c>
      <c r="B628" s="44">
        <v>44623.0</v>
      </c>
      <c r="C628" s="150">
        <v>0.3357291666666667</v>
      </c>
      <c r="D628" s="3"/>
      <c r="E628" s="3"/>
      <c r="F628" s="5"/>
      <c r="G628" s="5"/>
      <c r="H628" s="5"/>
      <c r="I628" s="3"/>
      <c r="J628" s="3"/>
      <c r="K628" s="3" t="s">
        <v>244</v>
      </c>
      <c r="L628" s="44">
        <v>44623.0</v>
      </c>
      <c r="M628" s="150">
        <v>0.4606018518518519</v>
      </c>
      <c r="N628" s="5"/>
      <c r="O628" s="5"/>
      <c r="P628" s="10" t="b">
        <v>0</v>
      </c>
      <c r="Q628" s="10" t="s">
        <v>2184</v>
      </c>
      <c r="R628" s="144" t="b">
        <v>1</v>
      </c>
      <c r="S628" s="144">
        <v>1.0</v>
      </c>
      <c r="T628" s="10"/>
      <c r="U628" s="5"/>
      <c r="V628" s="3"/>
      <c r="W628" s="5"/>
      <c r="X628" s="144" t="b">
        <v>0</v>
      </c>
      <c r="Y628" s="10" t="b">
        <v>0</v>
      </c>
      <c r="Z628" s="3"/>
      <c r="AA628" s="10" t="b">
        <v>0</v>
      </c>
      <c r="AB628" s="10" t="b">
        <v>0</v>
      </c>
      <c r="AC628" s="181">
        <v>141.0</v>
      </c>
      <c r="AD628" s="144" t="b">
        <v>0</v>
      </c>
      <c r="AE628" s="182">
        <v>179.81666666666666</v>
      </c>
      <c r="AF628" s="10" t="b">
        <v>0</v>
      </c>
      <c r="AG628" s="10" t="b">
        <v>0</v>
      </c>
      <c r="AH628" s="144"/>
      <c r="AI628" s="3"/>
      <c r="AJ628" s="10"/>
      <c r="AK628" s="3" t="s">
        <v>244</v>
      </c>
      <c r="AL628" s="5"/>
      <c r="AM628" s="5" t="s">
        <v>633</v>
      </c>
      <c r="AN628" s="5" t="s">
        <v>634</v>
      </c>
      <c r="AO628" s="5" t="s">
        <v>2185</v>
      </c>
      <c r="AP628" s="5" t="s">
        <v>2185</v>
      </c>
      <c r="AQ628" s="5" t="s">
        <v>2185</v>
      </c>
      <c r="AR628" s="5" t="s">
        <v>2185</v>
      </c>
      <c r="AS628" s="142"/>
      <c r="AT628" s="142" t="b">
        <v>0</v>
      </c>
      <c r="AU628" s="142"/>
      <c r="AV628" s="142"/>
      <c r="AW628" s="142"/>
      <c r="AX628" s="142"/>
      <c r="AY628" s="142"/>
      <c r="AZ628" s="174"/>
      <c r="BA628" s="142"/>
      <c r="BB628" s="142"/>
      <c r="BC628" s="142"/>
      <c r="BD628" s="142"/>
      <c r="BE628" s="142"/>
      <c r="BF628" s="142"/>
      <c r="BG628" s="142"/>
    </row>
    <row r="629">
      <c r="A629" s="5" t="s">
        <v>1879</v>
      </c>
      <c r="B629" s="44">
        <v>44623.0</v>
      </c>
      <c r="C629" s="150">
        <v>0.33640046296296294</v>
      </c>
      <c r="D629" s="3"/>
      <c r="E629" s="3"/>
      <c r="F629" s="5"/>
      <c r="G629" s="5"/>
      <c r="H629" s="5"/>
      <c r="I629" s="3"/>
      <c r="J629" s="3"/>
      <c r="K629" s="3" t="s">
        <v>244</v>
      </c>
      <c r="L629" s="44">
        <v>44623.0</v>
      </c>
      <c r="M629" s="150">
        <v>0.4606018518518519</v>
      </c>
      <c r="N629" s="5"/>
      <c r="O629" s="5"/>
      <c r="P629" s="10" t="b">
        <v>0</v>
      </c>
      <c r="Q629" s="10" t="s">
        <v>2184</v>
      </c>
      <c r="R629" s="144" t="b">
        <v>1</v>
      </c>
      <c r="S629" s="144">
        <v>1.0</v>
      </c>
      <c r="T629" s="10"/>
      <c r="U629" s="5"/>
      <c r="V629" s="3"/>
      <c r="W629" s="5"/>
      <c r="X629" s="144" t="b">
        <v>0</v>
      </c>
      <c r="Y629" s="10" t="b">
        <v>0</v>
      </c>
      <c r="Z629" s="3"/>
      <c r="AA629" s="10" t="b">
        <v>0</v>
      </c>
      <c r="AB629" s="10" t="b">
        <v>0</v>
      </c>
      <c r="AC629" s="181">
        <v>140.0</v>
      </c>
      <c r="AD629" s="144" t="b">
        <v>0</v>
      </c>
      <c r="AE629" s="182">
        <v>178.85000000000005</v>
      </c>
      <c r="AF629" s="10" t="b">
        <v>0</v>
      </c>
      <c r="AG629" s="10" t="b">
        <v>0</v>
      </c>
      <c r="AH629" s="144"/>
      <c r="AI629" s="3"/>
      <c r="AJ629" s="10"/>
      <c r="AK629" s="3" t="s">
        <v>244</v>
      </c>
      <c r="AL629" s="5"/>
      <c r="AM629" s="5" t="s">
        <v>862</v>
      </c>
      <c r="AN629" s="5" t="s">
        <v>539</v>
      </c>
      <c r="AO629" s="5" t="s">
        <v>2185</v>
      </c>
      <c r="AP629" s="5" t="s">
        <v>2185</v>
      </c>
      <c r="AQ629" s="5" t="s">
        <v>2185</v>
      </c>
      <c r="AR629" s="5" t="s">
        <v>2185</v>
      </c>
      <c r="AS629" s="142"/>
      <c r="AT629" s="142" t="b">
        <v>0</v>
      </c>
      <c r="AU629" s="142"/>
      <c r="AV629" s="142"/>
      <c r="AW629" s="142"/>
      <c r="AX629" s="142"/>
      <c r="AY629" s="142"/>
      <c r="AZ629" s="174"/>
      <c r="BA629" s="142"/>
      <c r="BB629" s="142"/>
      <c r="BC629" s="142"/>
      <c r="BD629" s="142"/>
      <c r="BE629" s="142"/>
      <c r="BF629" s="142"/>
      <c r="BG629" s="142"/>
    </row>
    <row r="630">
      <c r="A630" s="5" t="s">
        <v>1881</v>
      </c>
      <c r="B630" s="44">
        <v>44623.0</v>
      </c>
      <c r="C630" s="150">
        <v>0.3459143518518519</v>
      </c>
      <c r="D630" s="3"/>
      <c r="E630" s="3"/>
      <c r="F630" s="5"/>
      <c r="G630" s="5"/>
      <c r="H630" s="5"/>
      <c r="I630" s="3"/>
      <c r="J630" s="3"/>
      <c r="K630" s="3" t="s">
        <v>244</v>
      </c>
      <c r="L630" s="44">
        <v>44623.0</v>
      </c>
      <c r="M630" s="150">
        <v>0.4606018518518519</v>
      </c>
      <c r="N630" s="5"/>
      <c r="O630" s="5"/>
      <c r="P630" s="10" t="b">
        <v>0</v>
      </c>
      <c r="Q630" s="10" t="s">
        <v>2184</v>
      </c>
      <c r="R630" s="144" t="b">
        <v>1</v>
      </c>
      <c r="S630" s="144">
        <v>1.0</v>
      </c>
      <c r="T630" s="10"/>
      <c r="U630" s="5"/>
      <c r="V630" s="3"/>
      <c r="W630" s="5"/>
      <c r="X630" s="144" t="b">
        <v>0</v>
      </c>
      <c r="Y630" s="10" t="b">
        <v>0</v>
      </c>
      <c r="Z630" s="3"/>
      <c r="AA630" s="10" t="b">
        <v>0</v>
      </c>
      <c r="AB630" s="10" t="b">
        <v>0</v>
      </c>
      <c r="AC630" s="181">
        <v>139.0</v>
      </c>
      <c r="AD630" s="144" t="b">
        <v>0</v>
      </c>
      <c r="AE630" s="182">
        <v>165.15</v>
      </c>
      <c r="AF630" s="10" t="b">
        <v>0</v>
      </c>
      <c r="AG630" s="10" t="b">
        <v>0</v>
      </c>
      <c r="AH630" s="144"/>
      <c r="AI630" s="3"/>
      <c r="AJ630" s="10"/>
      <c r="AK630" s="3" t="s">
        <v>244</v>
      </c>
      <c r="AL630" s="5"/>
      <c r="AM630" s="5" t="s">
        <v>318</v>
      </c>
      <c r="AN630" s="5" t="s">
        <v>319</v>
      </c>
      <c r="AO630" s="5" t="s">
        <v>2185</v>
      </c>
      <c r="AP630" s="5" t="s">
        <v>2185</v>
      </c>
      <c r="AQ630" s="5" t="s">
        <v>2185</v>
      </c>
      <c r="AR630" s="5" t="s">
        <v>2185</v>
      </c>
      <c r="AS630" s="142"/>
      <c r="AT630" s="142" t="b">
        <v>0</v>
      </c>
      <c r="AU630" s="142"/>
      <c r="AV630" s="142"/>
      <c r="AW630" s="142"/>
      <c r="AX630" s="142"/>
      <c r="AY630" s="142"/>
      <c r="AZ630" s="174"/>
      <c r="BA630" s="142"/>
      <c r="BB630" s="142"/>
      <c r="BC630" s="142"/>
      <c r="BD630" s="142"/>
      <c r="BE630" s="142"/>
      <c r="BF630" s="142"/>
      <c r="BG630" s="142"/>
    </row>
    <row r="631">
      <c r="A631" s="5" t="s">
        <v>1883</v>
      </c>
      <c r="B631" s="44">
        <v>44623.0</v>
      </c>
      <c r="C631" s="150">
        <v>0.35480324074074077</v>
      </c>
      <c r="D631" s="3"/>
      <c r="E631" s="3"/>
      <c r="F631" s="5"/>
      <c r="G631" s="5"/>
      <c r="H631" s="5"/>
      <c r="I631" s="3"/>
      <c r="J631" s="3"/>
      <c r="K631" s="3" t="s">
        <v>244</v>
      </c>
      <c r="L631" s="44">
        <v>44623.0</v>
      </c>
      <c r="M631" s="150">
        <v>0.4606018518518519</v>
      </c>
      <c r="N631" s="5"/>
      <c r="O631" s="5"/>
      <c r="P631" s="10" t="b">
        <v>0</v>
      </c>
      <c r="Q631" s="10" t="s">
        <v>2184</v>
      </c>
      <c r="R631" s="144" t="b">
        <v>1</v>
      </c>
      <c r="S631" s="144">
        <v>1.0</v>
      </c>
      <c r="T631" s="10"/>
      <c r="U631" s="5"/>
      <c r="V631" s="3"/>
      <c r="W631" s="5"/>
      <c r="X631" s="144" t="b">
        <v>0</v>
      </c>
      <c r="Y631" s="10" t="b">
        <v>0</v>
      </c>
      <c r="Z631" s="3"/>
      <c r="AA631" s="10" t="b">
        <v>0</v>
      </c>
      <c r="AB631" s="10" t="b">
        <v>0</v>
      </c>
      <c r="AC631" s="181">
        <v>138.0</v>
      </c>
      <c r="AD631" s="144" t="b">
        <v>0</v>
      </c>
      <c r="AE631" s="182">
        <v>152.35</v>
      </c>
      <c r="AF631" s="10" t="b">
        <v>0</v>
      </c>
      <c r="AG631" s="10" t="b">
        <v>0</v>
      </c>
      <c r="AH631" s="144"/>
      <c r="AI631" s="3"/>
      <c r="AJ631" s="10"/>
      <c r="AK631" s="3" t="s">
        <v>244</v>
      </c>
      <c r="AL631" s="5"/>
      <c r="AM631" s="5" t="s">
        <v>727</v>
      </c>
      <c r="AN631" s="5" t="s">
        <v>728</v>
      </c>
      <c r="AO631" s="5" t="s">
        <v>2185</v>
      </c>
      <c r="AP631" s="5" t="s">
        <v>2185</v>
      </c>
      <c r="AQ631" s="5" t="s">
        <v>2185</v>
      </c>
      <c r="AR631" s="5" t="s">
        <v>2185</v>
      </c>
      <c r="AS631" s="142"/>
      <c r="AT631" s="142" t="b">
        <v>0</v>
      </c>
      <c r="AU631" s="142"/>
      <c r="AV631" s="142"/>
      <c r="AW631" s="142"/>
      <c r="AX631" s="142"/>
      <c r="AY631" s="142"/>
      <c r="AZ631" s="174"/>
      <c r="BA631" s="142"/>
      <c r="BB631" s="142"/>
      <c r="BC631" s="142"/>
      <c r="BD631" s="142"/>
      <c r="BE631" s="142"/>
      <c r="BF631" s="142"/>
      <c r="BG631" s="142"/>
    </row>
    <row r="632">
      <c r="A632" s="5" t="s">
        <v>1885</v>
      </c>
      <c r="B632" s="44">
        <v>44623.0</v>
      </c>
      <c r="C632" s="150">
        <v>0.3894097222222222</v>
      </c>
      <c r="D632" s="3"/>
      <c r="E632" s="3"/>
      <c r="F632" s="5"/>
      <c r="G632" s="5"/>
      <c r="H632" s="5"/>
      <c r="I632" s="3"/>
      <c r="J632" s="3"/>
      <c r="K632" s="3" t="s">
        <v>244</v>
      </c>
      <c r="L632" s="44">
        <v>44623.0</v>
      </c>
      <c r="M632" s="150">
        <v>0.4606018518518519</v>
      </c>
      <c r="N632" s="5"/>
      <c r="O632" s="5"/>
      <c r="P632" s="10" t="b">
        <v>0</v>
      </c>
      <c r="Q632" s="10" t="s">
        <v>2184</v>
      </c>
      <c r="R632" s="144" t="b">
        <v>1</v>
      </c>
      <c r="S632" s="144">
        <v>1.0</v>
      </c>
      <c r="T632" s="10"/>
      <c r="U632" s="5"/>
      <c r="V632" s="3"/>
      <c r="W632" s="5"/>
      <c r="X632" s="144" t="b">
        <v>0</v>
      </c>
      <c r="Y632" s="10" t="b">
        <v>0</v>
      </c>
      <c r="Z632" s="3"/>
      <c r="AA632" s="10" t="b">
        <v>0</v>
      </c>
      <c r="AB632" s="10" t="b">
        <v>0</v>
      </c>
      <c r="AC632" s="181">
        <v>137.0</v>
      </c>
      <c r="AD632" s="144" t="b">
        <v>0</v>
      </c>
      <c r="AE632" s="182">
        <v>102.51666666666674</v>
      </c>
      <c r="AF632" s="10" t="b">
        <v>0</v>
      </c>
      <c r="AG632" s="10" t="b">
        <v>0</v>
      </c>
      <c r="AH632" s="144"/>
      <c r="AI632" s="3"/>
      <c r="AJ632" s="10"/>
      <c r="AK632" s="3" t="s">
        <v>244</v>
      </c>
      <c r="AL632" s="5"/>
      <c r="AM632" s="5" t="s">
        <v>273</v>
      </c>
      <c r="AN632" s="5" t="s">
        <v>274</v>
      </c>
      <c r="AO632" s="5" t="s">
        <v>2185</v>
      </c>
      <c r="AP632" s="5" t="s">
        <v>2185</v>
      </c>
      <c r="AQ632" s="5" t="s">
        <v>2185</v>
      </c>
      <c r="AR632" s="5" t="s">
        <v>2185</v>
      </c>
      <c r="AS632" s="142"/>
      <c r="AT632" s="142" t="b">
        <v>0</v>
      </c>
      <c r="AU632" s="142"/>
      <c r="AV632" s="142"/>
      <c r="AW632" s="142"/>
      <c r="AX632" s="142"/>
      <c r="AY632" s="142"/>
      <c r="AZ632" s="174"/>
      <c r="BA632" s="142"/>
      <c r="BB632" s="142"/>
      <c r="BC632" s="142"/>
      <c r="BD632" s="142"/>
      <c r="BE632" s="142"/>
      <c r="BF632" s="142"/>
      <c r="BG632" s="142"/>
    </row>
    <row r="633">
      <c r="A633" s="5" t="s">
        <v>1887</v>
      </c>
      <c r="B633" s="44">
        <v>44623.0</v>
      </c>
      <c r="C633" s="150">
        <v>0.3907638888888889</v>
      </c>
      <c r="D633" s="3"/>
      <c r="E633" s="3"/>
      <c r="F633" s="5"/>
      <c r="G633" s="5"/>
      <c r="H633" s="184"/>
      <c r="I633" s="183"/>
      <c r="J633" s="3"/>
      <c r="K633" s="3" t="s">
        <v>244</v>
      </c>
      <c r="L633" s="44">
        <v>44623.0</v>
      </c>
      <c r="M633" s="150">
        <v>0.4606018518518519</v>
      </c>
      <c r="N633" s="5" t="s">
        <v>247</v>
      </c>
      <c r="O633" s="5"/>
      <c r="P633" s="10" t="b">
        <v>0</v>
      </c>
      <c r="Q633" s="10" t="s">
        <v>2184</v>
      </c>
      <c r="R633" s="144" t="b">
        <v>1</v>
      </c>
      <c r="S633" s="144">
        <v>1.0</v>
      </c>
      <c r="T633" s="10">
        <v>0.0</v>
      </c>
      <c r="U633" s="5"/>
      <c r="V633" s="3"/>
      <c r="W633" s="5"/>
      <c r="X633" s="144" t="b">
        <v>0</v>
      </c>
      <c r="Y633" s="10" t="b">
        <v>0</v>
      </c>
      <c r="Z633" s="3"/>
      <c r="AA633" s="10" t="b">
        <v>0</v>
      </c>
      <c r="AB633" s="10" t="b">
        <v>0</v>
      </c>
      <c r="AC633" s="181">
        <v>808.0</v>
      </c>
      <c r="AD633" s="144" t="b">
        <v>1</v>
      </c>
      <c r="AE633" s="182">
        <v>100.56666666666666</v>
      </c>
      <c r="AF633" s="10" t="b">
        <v>0</v>
      </c>
      <c r="AG633" s="10" t="b">
        <v>0</v>
      </c>
      <c r="AH633" s="144"/>
      <c r="AI633" s="3"/>
      <c r="AJ633" s="10"/>
      <c r="AK633" s="3" t="s">
        <v>244</v>
      </c>
      <c r="AL633" s="5"/>
      <c r="AM633" s="5" t="s">
        <v>273</v>
      </c>
      <c r="AN633" s="5" t="s">
        <v>1888</v>
      </c>
      <c r="AO633" s="5" t="s">
        <v>2185</v>
      </c>
      <c r="AP633" s="5" t="s">
        <v>2185</v>
      </c>
      <c r="AQ633" s="5" t="s">
        <v>2185</v>
      </c>
      <c r="AR633" s="5" t="s">
        <v>2185</v>
      </c>
      <c r="AS633" s="142"/>
      <c r="AT633" s="142" t="b">
        <v>0</v>
      </c>
      <c r="AU633" s="142"/>
      <c r="AV633" s="142"/>
      <c r="AW633" s="142"/>
      <c r="AX633" s="142"/>
      <c r="AY633" s="142"/>
      <c r="AZ633" s="174"/>
      <c r="BA633" s="142"/>
      <c r="BB633" s="142"/>
      <c r="BC633" s="142"/>
      <c r="BD633" s="142"/>
      <c r="BE633" s="142"/>
      <c r="BF633" s="142"/>
      <c r="BG633" s="142"/>
    </row>
    <row r="634">
      <c r="A634" s="5" t="s">
        <v>1890</v>
      </c>
      <c r="B634" s="44">
        <v>44623.0</v>
      </c>
      <c r="C634" s="150">
        <v>0.3910416666666667</v>
      </c>
      <c r="D634" s="3"/>
      <c r="E634" s="3"/>
      <c r="F634" s="5"/>
      <c r="G634" s="5"/>
      <c r="H634" s="184"/>
      <c r="I634" s="183"/>
      <c r="J634" s="3"/>
      <c r="K634" s="3" t="s">
        <v>52</v>
      </c>
      <c r="L634" s="44">
        <v>44623.0</v>
      </c>
      <c r="M634" s="150">
        <v>0.46038194444444447</v>
      </c>
      <c r="N634" s="5" t="s">
        <v>247</v>
      </c>
      <c r="O634" s="5"/>
      <c r="P634" s="10" t="b">
        <v>0</v>
      </c>
      <c r="Q634" s="10" t="s">
        <v>2184</v>
      </c>
      <c r="R634" s="144" t="b">
        <v>1</v>
      </c>
      <c r="S634" s="144">
        <v>1.0</v>
      </c>
      <c r="T634" s="10">
        <v>0.0</v>
      </c>
      <c r="U634" s="5"/>
      <c r="V634" s="3"/>
      <c r="W634" s="5"/>
      <c r="X634" s="144" t="b">
        <v>0</v>
      </c>
      <c r="Y634" s="10" t="b">
        <v>0</v>
      </c>
      <c r="Z634" s="3"/>
      <c r="AA634" s="10" t="b">
        <v>0</v>
      </c>
      <c r="AB634" s="10" t="b">
        <v>0</v>
      </c>
      <c r="AC634" s="181">
        <v>807.0</v>
      </c>
      <c r="AD634" s="144" t="b">
        <v>1</v>
      </c>
      <c r="AE634" s="182">
        <v>99.85000000000002</v>
      </c>
      <c r="AF634" s="10" t="b">
        <v>0</v>
      </c>
      <c r="AG634" s="10" t="b">
        <v>0</v>
      </c>
      <c r="AH634" s="144"/>
      <c r="AI634" s="3"/>
      <c r="AJ634" s="10"/>
      <c r="AK634" s="3" t="s">
        <v>52</v>
      </c>
      <c r="AL634" s="5"/>
      <c r="AM634" s="5" t="s">
        <v>273</v>
      </c>
      <c r="AN634" s="5" t="s">
        <v>1891</v>
      </c>
      <c r="AO634" s="5" t="s">
        <v>2185</v>
      </c>
      <c r="AP634" s="5" t="s">
        <v>2185</v>
      </c>
      <c r="AQ634" s="5" t="s">
        <v>2185</v>
      </c>
      <c r="AR634" s="5" t="s">
        <v>2185</v>
      </c>
      <c r="AS634" s="142"/>
      <c r="AT634" s="142" t="b">
        <v>0</v>
      </c>
      <c r="AU634" s="142"/>
      <c r="AV634" s="142"/>
      <c r="AW634" s="142"/>
      <c r="AX634" s="142"/>
      <c r="AY634" s="142"/>
      <c r="AZ634" s="174"/>
      <c r="BA634" s="142"/>
      <c r="BB634" s="142"/>
      <c r="BC634" s="142"/>
      <c r="BD634" s="142"/>
      <c r="BE634" s="142"/>
      <c r="BF634" s="142"/>
      <c r="BG634" s="142"/>
    </row>
    <row r="635">
      <c r="A635" s="5" t="s">
        <v>1893</v>
      </c>
      <c r="B635" s="44">
        <v>44623.0</v>
      </c>
      <c r="C635" s="150">
        <v>0.3912731481481482</v>
      </c>
      <c r="D635" s="3"/>
      <c r="E635" s="3"/>
      <c r="F635" s="5"/>
      <c r="G635" s="5"/>
      <c r="H635" s="184"/>
      <c r="I635" s="183"/>
      <c r="J635" s="3"/>
      <c r="K635" s="3" t="s">
        <v>244</v>
      </c>
      <c r="L635" s="44">
        <v>44623.0</v>
      </c>
      <c r="M635" s="150">
        <v>0.4606018518518519</v>
      </c>
      <c r="N635" s="5" t="s">
        <v>247</v>
      </c>
      <c r="O635" s="5"/>
      <c r="P635" s="10" t="b">
        <v>0</v>
      </c>
      <c r="Q635" s="10" t="s">
        <v>2184</v>
      </c>
      <c r="R635" s="144" t="b">
        <v>1</v>
      </c>
      <c r="S635" s="144">
        <v>1.0</v>
      </c>
      <c r="T635" s="10">
        <v>0.0</v>
      </c>
      <c r="U635" s="5"/>
      <c r="V635" s="3"/>
      <c r="W635" s="5"/>
      <c r="X635" s="144" t="b">
        <v>0</v>
      </c>
      <c r="Y635" s="10" t="b">
        <v>0</v>
      </c>
      <c r="Z635" s="3"/>
      <c r="AA635" s="10" t="b">
        <v>0</v>
      </c>
      <c r="AB635" s="10" t="b">
        <v>0</v>
      </c>
      <c r="AC635" s="181">
        <v>809.0</v>
      </c>
      <c r="AD635" s="144" t="b">
        <v>1</v>
      </c>
      <c r="AE635" s="182">
        <v>99.83333333333333</v>
      </c>
      <c r="AF635" s="10" t="b">
        <v>0</v>
      </c>
      <c r="AG635" s="10" t="b">
        <v>0</v>
      </c>
      <c r="AH635" s="144"/>
      <c r="AI635" s="3"/>
      <c r="AJ635" s="10"/>
      <c r="AK635" s="3" t="s">
        <v>244</v>
      </c>
      <c r="AL635" s="5"/>
      <c r="AM635" s="5" t="s">
        <v>273</v>
      </c>
      <c r="AN635" s="5" t="s">
        <v>1894</v>
      </c>
      <c r="AO635" s="5" t="s">
        <v>2185</v>
      </c>
      <c r="AP635" s="5" t="s">
        <v>2185</v>
      </c>
      <c r="AQ635" s="5" t="s">
        <v>2185</v>
      </c>
      <c r="AR635" s="5" t="s">
        <v>2185</v>
      </c>
      <c r="AS635" s="142"/>
      <c r="AT635" s="142" t="b">
        <v>0</v>
      </c>
      <c r="AU635" s="142"/>
      <c r="AV635" s="142"/>
      <c r="AW635" s="142"/>
      <c r="AX635" s="142"/>
      <c r="AY635" s="142"/>
      <c r="AZ635" s="174"/>
      <c r="BA635" s="142"/>
      <c r="BB635" s="142"/>
      <c r="BC635" s="142"/>
      <c r="BD635" s="142"/>
      <c r="BE635" s="142"/>
      <c r="BF635" s="142"/>
      <c r="BG635" s="142"/>
    </row>
    <row r="636">
      <c r="A636" s="5" t="s">
        <v>1896</v>
      </c>
      <c r="B636" s="44">
        <v>44623.0</v>
      </c>
      <c r="C636" s="150">
        <v>0.3914930555555556</v>
      </c>
      <c r="D636" s="3"/>
      <c r="E636" s="3"/>
      <c r="F636" s="5"/>
      <c r="G636" s="5"/>
      <c r="H636" s="184"/>
      <c r="I636" s="183"/>
      <c r="J636" s="3"/>
      <c r="K636" s="3" t="s">
        <v>52</v>
      </c>
      <c r="L636" s="44">
        <v>44623.0</v>
      </c>
      <c r="M636" s="150">
        <v>0.46038194444444447</v>
      </c>
      <c r="N636" s="5" t="s">
        <v>247</v>
      </c>
      <c r="O636" s="5"/>
      <c r="P636" s="10" t="b">
        <v>0</v>
      </c>
      <c r="Q636" s="10" t="s">
        <v>2184</v>
      </c>
      <c r="R636" s="144" t="b">
        <v>1</v>
      </c>
      <c r="S636" s="144">
        <v>1.0</v>
      </c>
      <c r="T636" s="10">
        <v>0.0</v>
      </c>
      <c r="U636" s="5"/>
      <c r="V636" s="3"/>
      <c r="W636" s="5"/>
      <c r="X636" s="144" t="b">
        <v>0</v>
      </c>
      <c r="Y636" s="10" t="b">
        <v>0</v>
      </c>
      <c r="Z636" s="3"/>
      <c r="AA636" s="10" t="b">
        <v>0</v>
      </c>
      <c r="AB636" s="10" t="b">
        <v>0</v>
      </c>
      <c r="AC636" s="181">
        <v>796.0</v>
      </c>
      <c r="AD636" s="144" t="b">
        <v>1</v>
      </c>
      <c r="AE636" s="182">
        <v>99.2</v>
      </c>
      <c r="AF636" s="10" t="b">
        <v>0</v>
      </c>
      <c r="AG636" s="10" t="b">
        <v>0</v>
      </c>
      <c r="AH636" s="144"/>
      <c r="AI636" s="3"/>
      <c r="AJ636" s="10"/>
      <c r="AK636" s="3" t="s">
        <v>52</v>
      </c>
      <c r="AL636" s="5"/>
      <c r="AM636" s="5" t="s">
        <v>273</v>
      </c>
      <c r="AN636" s="5" t="s">
        <v>1897</v>
      </c>
      <c r="AO636" s="5" t="s">
        <v>2185</v>
      </c>
      <c r="AP636" s="5" t="s">
        <v>2185</v>
      </c>
      <c r="AQ636" s="5" t="s">
        <v>2185</v>
      </c>
      <c r="AR636" s="5" t="s">
        <v>2185</v>
      </c>
      <c r="AS636" s="142"/>
      <c r="AT636" s="142" t="b">
        <v>0</v>
      </c>
      <c r="AU636" s="142"/>
      <c r="AV636" s="142"/>
      <c r="AW636" s="142"/>
      <c r="AX636" s="142"/>
      <c r="AY636" s="142"/>
      <c r="AZ636" s="174"/>
      <c r="BA636" s="142"/>
      <c r="BB636" s="142"/>
      <c r="BC636" s="142"/>
      <c r="BD636" s="142"/>
      <c r="BE636" s="142"/>
      <c r="BF636" s="142"/>
      <c r="BG636" s="142"/>
    </row>
    <row r="637">
      <c r="A637" s="5" t="s">
        <v>1899</v>
      </c>
      <c r="B637" s="44">
        <v>44623.0</v>
      </c>
      <c r="C637" s="150">
        <v>0.4114699074074074</v>
      </c>
      <c r="D637" s="3"/>
      <c r="E637" s="3"/>
      <c r="F637" s="5"/>
      <c r="G637" s="5"/>
      <c r="H637" s="5"/>
      <c r="I637" s="3"/>
      <c r="J637" s="3"/>
      <c r="K637" s="3" t="s">
        <v>244</v>
      </c>
      <c r="L637" s="44">
        <v>44623.0</v>
      </c>
      <c r="M637" s="150">
        <v>0.4606018518518519</v>
      </c>
      <c r="N637" s="5"/>
      <c r="O637" s="5"/>
      <c r="P637" s="10" t="b">
        <v>0</v>
      </c>
      <c r="Q637" s="10" t="s">
        <v>2184</v>
      </c>
      <c r="R637" s="144" t="b">
        <v>1</v>
      </c>
      <c r="S637" s="144">
        <v>1.0</v>
      </c>
      <c r="T637" s="10"/>
      <c r="U637" s="5"/>
      <c r="V637" s="3"/>
      <c r="W637" s="5"/>
      <c r="X637" s="144" t="b">
        <v>0</v>
      </c>
      <c r="Y637" s="10" t="b">
        <v>0</v>
      </c>
      <c r="Z637" s="3"/>
      <c r="AA637" s="10" t="b">
        <v>0</v>
      </c>
      <c r="AB637" s="10" t="b">
        <v>0</v>
      </c>
      <c r="AC637" s="181">
        <v>136.0</v>
      </c>
      <c r="AD637" s="144" t="b">
        <v>0</v>
      </c>
      <c r="AE637" s="182">
        <v>70.75000000000003</v>
      </c>
      <c r="AF637" s="10" t="b">
        <v>0</v>
      </c>
      <c r="AG637" s="10" t="b">
        <v>0</v>
      </c>
      <c r="AH637" s="144"/>
      <c r="AI637" s="3"/>
      <c r="AJ637" s="10"/>
      <c r="AK637" s="3" t="s">
        <v>244</v>
      </c>
      <c r="AL637" s="5"/>
      <c r="AM637" s="5" t="s">
        <v>273</v>
      </c>
      <c r="AN637" s="5" t="s">
        <v>1900</v>
      </c>
      <c r="AO637" s="5" t="s">
        <v>2185</v>
      </c>
      <c r="AP637" s="5" t="s">
        <v>2185</v>
      </c>
      <c r="AQ637" s="5" t="s">
        <v>2185</v>
      </c>
      <c r="AR637" s="5" t="s">
        <v>2185</v>
      </c>
      <c r="AS637" s="142"/>
      <c r="AT637" s="142" t="b">
        <v>0</v>
      </c>
      <c r="AU637" s="142"/>
      <c r="AV637" s="142"/>
      <c r="AW637" s="142"/>
      <c r="AX637" s="142"/>
      <c r="AY637" s="142"/>
      <c r="AZ637" s="174"/>
      <c r="BA637" s="142"/>
      <c r="BB637" s="142"/>
      <c r="BC637" s="142"/>
      <c r="BD637" s="142"/>
      <c r="BE637" s="142"/>
      <c r="BF637" s="142"/>
      <c r="BG637" s="142"/>
    </row>
    <row r="638">
      <c r="A638" s="5" t="s">
        <v>1902</v>
      </c>
      <c r="B638" s="44">
        <v>44623.0</v>
      </c>
      <c r="C638" s="150">
        <v>0.4583564814814815</v>
      </c>
      <c r="D638" s="3"/>
      <c r="E638" s="3"/>
      <c r="F638" s="5"/>
      <c r="G638" s="5"/>
      <c r="H638" s="5"/>
      <c r="I638" s="3"/>
      <c r="J638" s="3"/>
      <c r="K638" s="3" t="s">
        <v>244</v>
      </c>
      <c r="L638" s="44">
        <v>44623.0</v>
      </c>
      <c r="M638" s="150">
        <v>0.4606018518518519</v>
      </c>
      <c r="N638" s="5"/>
      <c r="O638" s="5"/>
      <c r="P638" s="10" t="b">
        <v>0</v>
      </c>
      <c r="Q638" s="10" t="s">
        <v>2184</v>
      </c>
      <c r="R638" s="144" t="b">
        <v>1</v>
      </c>
      <c r="S638" s="144">
        <v>1.0</v>
      </c>
      <c r="T638" s="10"/>
      <c r="U638" s="5"/>
      <c r="V638" s="3"/>
      <c r="W638" s="5"/>
      <c r="X638" s="144" t="b">
        <v>0</v>
      </c>
      <c r="Y638" s="10" t="b">
        <v>0</v>
      </c>
      <c r="Z638" s="3"/>
      <c r="AA638" s="10" t="b">
        <v>0</v>
      </c>
      <c r="AB638" s="10" t="b">
        <v>0</v>
      </c>
      <c r="AC638" s="181">
        <v>135.0</v>
      </c>
      <c r="AD638" s="144" t="b">
        <v>0</v>
      </c>
      <c r="AE638" s="182">
        <v>3.2333333333333325</v>
      </c>
      <c r="AF638" s="10" t="b">
        <v>0</v>
      </c>
      <c r="AG638" s="10" t="b">
        <v>0</v>
      </c>
      <c r="AH638" s="144"/>
      <c r="AI638" s="3"/>
      <c r="AJ638" s="10"/>
      <c r="AK638" s="3" t="s">
        <v>244</v>
      </c>
      <c r="AL638" s="5"/>
      <c r="AM638" s="5" t="s">
        <v>273</v>
      </c>
      <c r="AN638" s="5" t="s">
        <v>1465</v>
      </c>
      <c r="AO638" s="5" t="s">
        <v>2185</v>
      </c>
      <c r="AP638" s="5" t="s">
        <v>2185</v>
      </c>
      <c r="AQ638" s="5" t="s">
        <v>2185</v>
      </c>
      <c r="AR638" s="5" t="s">
        <v>2185</v>
      </c>
      <c r="AS638" s="142"/>
      <c r="AT638" s="142" t="b">
        <v>0</v>
      </c>
      <c r="AU638" s="142"/>
      <c r="AV638" s="142"/>
      <c r="AW638" s="142"/>
      <c r="AX638" s="142"/>
      <c r="AY638" s="142"/>
      <c r="AZ638" s="174"/>
      <c r="BA638" s="142"/>
      <c r="BB638" s="142"/>
      <c r="BC638" s="142"/>
      <c r="BD638" s="142"/>
      <c r="BE638" s="142"/>
      <c r="BF638" s="142"/>
      <c r="BG638" s="142"/>
    </row>
    <row r="639">
      <c r="A639" s="5" t="s">
        <v>1904</v>
      </c>
      <c r="B639" s="44">
        <v>44623.0</v>
      </c>
      <c r="C639" s="150">
        <v>0.4691666666666667</v>
      </c>
      <c r="D639" s="3"/>
      <c r="E639" s="3"/>
      <c r="F639" s="5"/>
      <c r="G639" s="5"/>
      <c r="H639" s="5"/>
      <c r="I639" s="3"/>
      <c r="J639" s="3"/>
      <c r="K639" s="3" t="s">
        <v>254</v>
      </c>
      <c r="L639" s="44"/>
      <c r="M639" s="150"/>
      <c r="N639" s="5"/>
      <c r="O639" s="5"/>
      <c r="P639" s="10" t="b">
        <v>0</v>
      </c>
      <c r="Q639" s="10" t="s">
        <v>2188</v>
      </c>
      <c r="R639" s="144" t="b">
        <v>1</v>
      </c>
      <c r="S639" s="144">
        <v>1.0</v>
      </c>
      <c r="T639" s="10">
        <v>0.0</v>
      </c>
      <c r="U639" s="5"/>
      <c r="V639" s="3"/>
      <c r="W639" s="5"/>
      <c r="X639" s="144" t="b">
        <v>0</v>
      </c>
      <c r="Y639" s="10" t="b">
        <v>0</v>
      </c>
      <c r="Z639" s="3"/>
      <c r="AA639" s="10" t="b">
        <v>0</v>
      </c>
      <c r="AB639" s="10" t="b">
        <v>0</v>
      </c>
      <c r="AC639" s="181">
        <v>134.0</v>
      </c>
      <c r="AD639" s="144" t="b">
        <v>0</v>
      </c>
      <c r="AE639" s="182"/>
      <c r="AF639" s="10" t="b">
        <v>0</v>
      </c>
      <c r="AG639" s="10" t="b">
        <v>0</v>
      </c>
      <c r="AH639" s="144"/>
      <c r="AI639" s="3"/>
      <c r="AJ639" s="10">
        <v>2.0</v>
      </c>
      <c r="AK639" s="3" t="s">
        <v>244</v>
      </c>
      <c r="AL639" s="5"/>
      <c r="AM639" s="5" t="s">
        <v>273</v>
      </c>
      <c r="AN639" s="5" t="s">
        <v>1905</v>
      </c>
      <c r="AO639" s="5" t="s">
        <v>2185</v>
      </c>
      <c r="AP639" s="5" t="s">
        <v>2185</v>
      </c>
      <c r="AQ639" s="5" t="s">
        <v>2185</v>
      </c>
      <c r="AR639" s="5" t="s">
        <v>2185</v>
      </c>
      <c r="AS639" s="142"/>
      <c r="AT639" s="142" t="b">
        <v>0</v>
      </c>
      <c r="AU639" s="142"/>
      <c r="AV639" s="142"/>
      <c r="AW639" s="142"/>
      <c r="AX639" s="142"/>
      <c r="AY639" s="142"/>
      <c r="AZ639" s="174"/>
      <c r="BA639" s="142"/>
      <c r="BB639" s="142"/>
      <c r="BC639" s="142"/>
      <c r="BD639" s="142"/>
      <c r="BE639" s="142"/>
      <c r="BF639" s="142"/>
      <c r="BG639" s="142"/>
    </row>
    <row r="640">
      <c r="A640" s="5" t="s">
        <v>1907</v>
      </c>
      <c r="B640" s="44">
        <v>44625.0</v>
      </c>
      <c r="C640" s="150">
        <v>0.2652893518518519</v>
      </c>
      <c r="D640" s="3"/>
      <c r="E640" s="3"/>
      <c r="F640" s="5"/>
      <c r="G640" s="5"/>
      <c r="H640" s="5"/>
      <c r="I640" s="3"/>
      <c r="J640" s="3"/>
      <c r="K640" s="3" t="s">
        <v>244</v>
      </c>
      <c r="L640" s="44">
        <v>44625.0</v>
      </c>
      <c r="M640" s="150">
        <v>0.48974537037037036</v>
      </c>
      <c r="N640" s="5"/>
      <c r="O640" s="5"/>
      <c r="P640" s="10" t="b">
        <v>0</v>
      </c>
      <c r="Q640" s="10" t="s">
        <v>2184</v>
      </c>
      <c r="R640" s="144" t="b">
        <v>1</v>
      </c>
      <c r="S640" s="144">
        <v>1.0</v>
      </c>
      <c r="T640" s="10"/>
      <c r="U640" s="5"/>
      <c r="V640" s="3"/>
      <c r="W640" s="5"/>
      <c r="X640" s="144" t="b">
        <v>0</v>
      </c>
      <c r="Y640" s="10" t="b">
        <v>0</v>
      </c>
      <c r="Z640" s="3"/>
      <c r="AA640" s="10" t="b">
        <v>0</v>
      </c>
      <c r="AB640" s="10" t="b">
        <v>0</v>
      </c>
      <c r="AC640" s="181">
        <v>133.0</v>
      </c>
      <c r="AD640" s="144" t="b">
        <v>0</v>
      </c>
      <c r="AE640" s="182">
        <v>323.21666666666664</v>
      </c>
      <c r="AF640" s="10" t="b">
        <v>0</v>
      </c>
      <c r="AG640" s="10" t="b">
        <v>0</v>
      </c>
      <c r="AH640" s="144"/>
      <c r="AI640" s="3"/>
      <c r="AJ640" s="10"/>
      <c r="AK640" s="3" t="s">
        <v>244</v>
      </c>
      <c r="AL640" s="5"/>
      <c r="AM640" s="5" t="s">
        <v>1313</v>
      </c>
      <c r="AN640" s="5" t="s">
        <v>1485</v>
      </c>
      <c r="AO640" s="5" t="s">
        <v>2185</v>
      </c>
      <c r="AP640" s="5" t="s">
        <v>2185</v>
      </c>
      <c r="AQ640" s="5" t="s">
        <v>2185</v>
      </c>
      <c r="AR640" s="5" t="s">
        <v>2185</v>
      </c>
      <c r="AS640" s="142"/>
      <c r="AT640" s="142" t="b">
        <v>0</v>
      </c>
      <c r="AU640" s="142"/>
      <c r="AV640" s="142"/>
      <c r="AW640" s="142"/>
      <c r="AX640" s="142"/>
      <c r="AY640" s="142"/>
      <c r="AZ640" s="174"/>
      <c r="BA640" s="142"/>
      <c r="BB640" s="142"/>
      <c r="BC640" s="142"/>
      <c r="BD640" s="142"/>
      <c r="BE640" s="142"/>
      <c r="BF640" s="142"/>
      <c r="BG640" s="142"/>
    </row>
    <row r="641">
      <c r="A641" s="5" t="s">
        <v>1909</v>
      </c>
      <c r="B641" s="44">
        <v>44625.0</v>
      </c>
      <c r="C641" s="150">
        <v>0.2703587962962963</v>
      </c>
      <c r="D641" s="3"/>
      <c r="E641" s="3"/>
      <c r="F641" s="5"/>
      <c r="G641" s="5"/>
      <c r="H641" s="5"/>
      <c r="I641" s="3"/>
      <c r="J641" s="3"/>
      <c r="K641" s="3" t="s">
        <v>244</v>
      </c>
      <c r="L641" s="44">
        <v>44625.0</v>
      </c>
      <c r="M641" s="150">
        <v>0.48974537037037036</v>
      </c>
      <c r="N641" s="5"/>
      <c r="O641" s="5"/>
      <c r="P641" s="10" t="b">
        <v>0</v>
      </c>
      <c r="Q641" s="10" t="s">
        <v>2184</v>
      </c>
      <c r="R641" s="144" t="b">
        <v>1</v>
      </c>
      <c r="S641" s="144">
        <v>1.0</v>
      </c>
      <c r="T641" s="10"/>
      <c r="U641" s="5"/>
      <c r="V641" s="3"/>
      <c r="W641" s="5"/>
      <c r="X641" s="144" t="b">
        <v>0</v>
      </c>
      <c r="Y641" s="10" t="b">
        <v>0</v>
      </c>
      <c r="Z641" s="3"/>
      <c r="AA641" s="10" t="b">
        <v>0</v>
      </c>
      <c r="AB641" s="10" t="b">
        <v>0</v>
      </c>
      <c r="AC641" s="181">
        <v>132.0</v>
      </c>
      <c r="AD641" s="144" t="b">
        <v>0</v>
      </c>
      <c r="AE641" s="182">
        <v>315.91666666666663</v>
      </c>
      <c r="AF641" s="10" t="b">
        <v>0</v>
      </c>
      <c r="AG641" s="10" t="b">
        <v>0</v>
      </c>
      <c r="AH641" s="144"/>
      <c r="AI641" s="3"/>
      <c r="AJ641" s="10"/>
      <c r="AK641" s="3" t="s">
        <v>244</v>
      </c>
      <c r="AL641" s="5"/>
      <c r="AM641" s="5" t="s">
        <v>612</v>
      </c>
      <c r="AN641" s="5" t="s">
        <v>613</v>
      </c>
      <c r="AO641" s="5" t="s">
        <v>2185</v>
      </c>
      <c r="AP641" s="5" t="s">
        <v>2185</v>
      </c>
      <c r="AQ641" s="5" t="s">
        <v>2185</v>
      </c>
      <c r="AR641" s="5" t="s">
        <v>2185</v>
      </c>
      <c r="AS641" s="142"/>
      <c r="AT641" s="142" t="b">
        <v>0</v>
      </c>
      <c r="AU641" s="142"/>
      <c r="AV641" s="142"/>
      <c r="AW641" s="142"/>
      <c r="AX641" s="142"/>
      <c r="AY641" s="142"/>
      <c r="AZ641" s="174"/>
      <c r="BA641" s="142"/>
      <c r="BB641" s="142"/>
      <c r="BC641" s="142"/>
      <c r="BD641" s="142"/>
      <c r="BE641" s="142"/>
      <c r="BF641" s="142"/>
      <c r="BG641" s="142"/>
    </row>
    <row r="642">
      <c r="A642" s="5" t="s">
        <v>1911</v>
      </c>
      <c r="B642" s="44">
        <v>44625.0</v>
      </c>
      <c r="C642" s="150">
        <v>0.2726851851851852</v>
      </c>
      <c r="D642" s="3"/>
      <c r="E642" s="3"/>
      <c r="F642" s="5"/>
      <c r="G642" s="5"/>
      <c r="H642" s="5"/>
      <c r="I642" s="3"/>
      <c r="J642" s="3"/>
      <c r="K642" s="3" t="s">
        <v>244</v>
      </c>
      <c r="L642" s="44">
        <v>44625.0</v>
      </c>
      <c r="M642" s="150">
        <v>0.48974537037037036</v>
      </c>
      <c r="N642" s="5"/>
      <c r="O642" s="5"/>
      <c r="P642" s="10" t="b">
        <v>0</v>
      </c>
      <c r="Q642" s="10" t="s">
        <v>2184</v>
      </c>
      <c r="R642" s="144" t="b">
        <v>1</v>
      </c>
      <c r="S642" s="144">
        <v>1.0</v>
      </c>
      <c r="T642" s="10"/>
      <c r="U642" s="5"/>
      <c r="V642" s="3"/>
      <c r="W642" s="5"/>
      <c r="X642" s="144" t="b">
        <v>0</v>
      </c>
      <c r="Y642" s="10" t="b">
        <v>0</v>
      </c>
      <c r="Z642" s="3"/>
      <c r="AA642" s="10" t="b">
        <v>0</v>
      </c>
      <c r="AB642" s="10" t="b">
        <v>0</v>
      </c>
      <c r="AC642" s="181">
        <v>131.0</v>
      </c>
      <c r="AD642" s="144" t="b">
        <v>0</v>
      </c>
      <c r="AE642" s="182">
        <v>312.5666666666666</v>
      </c>
      <c r="AF642" s="10" t="b">
        <v>0</v>
      </c>
      <c r="AG642" s="10" t="b">
        <v>0</v>
      </c>
      <c r="AH642" s="144"/>
      <c r="AI642" s="3"/>
      <c r="AJ642" s="10"/>
      <c r="AK642" s="3" t="s">
        <v>244</v>
      </c>
      <c r="AL642" s="5"/>
      <c r="AM642" s="5" t="s">
        <v>430</v>
      </c>
      <c r="AN642" s="5" t="s">
        <v>431</v>
      </c>
      <c r="AO642" s="5" t="s">
        <v>2185</v>
      </c>
      <c r="AP642" s="5" t="s">
        <v>2185</v>
      </c>
      <c r="AQ642" s="5" t="s">
        <v>2185</v>
      </c>
      <c r="AR642" s="5" t="s">
        <v>2185</v>
      </c>
      <c r="AS642" s="142"/>
      <c r="AT642" s="142" t="b">
        <v>0</v>
      </c>
      <c r="AU642" s="142"/>
      <c r="AV642" s="142"/>
      <c r="AW642" s="142"/>
      <c r="AX642" s="142"/>
      <c r="AY642" s="142"/>
      <c r="AZ642" s="174"/>
      <c r="BA642" s="142"/>
      <c r="BB642" s="142"/>
      <c r="BC642" s="142"/>
      <c r="BD642" s="142"/>
      <c r="BE642" s="142"/>
      <c r="BF642" s="142"/>
      <c r="BG642" s="142"/>
    </row>
    <row r="643">
      <c r="A643" s="5" t="s">
        <v>1913</v>
      </c>
      <c r="B643" s="44">
        <v>44625.0</v>
      </c>
      <c r="C643" s="150">
        <v>0.28769675925925925</v>
      </c>
      <c r="D643" s="3"/>
      <c r="E643" s="3"/>
      <c r="F643" s="5"/>
      <c r="G643" s="5"/>
      <c r="H643" s="5"/>
      <c r="I643" s="3"/>
      <c r="J643" s="3"/>
      <c r="K643" s="3" t="s">
        <v>244</v>
      </c>
      <c r="L643" s="44">
        <v>44625.0</v>
      </c>
      <c r="M643" s="150">
        <v>0.48974537037037036</v>
      </c>
      <c r="N643" s="5"/>
      <c r="O643" s="5"/>
      <c r="P643" s="10" t="b">
        <v>0</v>
      </c>
      <c r="Q643" s="10" t="s">
        <v>2184</v>
      </c>
      <c r="R643" s="144" t="b">
        <v>1</v>
      </c>
      <c r="S643" s="144">
        <v>1.0</v>
      </c>
      <c r="T643" s="10"/>
      <c r="U643" s="5"/>
      <c r="V643" s="3"/>
      <c r="W643" s="5"/>
      <c r="X643" s="144" t="b">
        <v>0</v>
      </c>
      <c r="Y643" s="10" t="b">
        <v>0</v>
      </c>
      <c r="Z643" s="3"/>
      <c r="AA643" s="10" t="b">
        <v>0</v>
      </c>
      <c r="AB643" s="10" t="b">
        <v>0</v>
      </c>
      <c r="AC643" s="181">
        <v>130.0</v>
      </c>
      <c r="AD643" s="144" t="b">
        <v>0</v>
      </c>
      <c r="AE643" s="182">
        <v>290.95000000000005</v>
      </c>
      <c r="AF643" s="10" t="b">
        <v>0</v>
      </c>
      <c r="AG643" s="10" t="b">
        <v>0</v>
      </c>
      <c r="AH643" s="144"/>
      <c r="AI643" s="3"/>
      <c r="AJ643" s="10"/>
      <c r="AK643" s="3" t="s">
        <v>244</v>
      </c>
      <c r="AL643" s="5"/>
      <c r="AM643" s="5" t="s">
        <v>1306</v>
      </c>
      <c r="AN643" s="5" t="s">
        <v>1307</v>
      </c>
      <c r="AO643" s="5" t="s">
        <v>2185</v>
      </c>
      <c r="AP643" s="5" t="s">
        <v>2185</v>
      </c>
      <c r="AQ643" s="5" t="s">
        <v>2185</v>
      </c>
      <c r="AR643" s="5" t="s">
        <v>2185</v>
      </c>
      <c r="AS643" s="142"/>
      <c r="AT643" s="142" t="b">
        <v>0</v>
      </c>
      <c r="AU643" s="142"/>
      <c r="AV643" s="142"/>
      <c r="AW643" s="142"/>
      <c r="AX643" s="142"/>
      <c r="AY643" s="142"/>
      <c r="AZ643" s="174"/>
      <c r="BA643" s="142"/>
      <c r="BB643" s="142"/>
      <c r="BC643" s="142"/>
      <c r="BD643" s="142"/>
      <c r="BE643" s="142"/>
      <c r="BF643" s="142"/>
      <c r="BG643" s="142"/>
    </row>
    <row r="644">
      <c r="A644" s="5" t="s">
        <v>1915</v>
      </c>
      <c r="B644" s="44">
        <v>44625.0</v>
      </c>
      <c r="C644" s="150">
        <v>0.29268518518518516</v>
      </c>
      <c r="D644" s="3"/>
      <c r="E644" s="3"/>
      <c r="F644" s="5"/>
      <c r="G644" s="5"/>
      <c r="H644" s="5"/>
      <c r="I644" s="3"/>
      <c r="J644" s="3"/>
      <c r="K644" s="3" t="s">
        <v>244</v>
      </c>
      <c r="L644" s="44">
        <v>44625.0</v>
      </c>
      <c r="M644" s="150">
        <v>0.48998842592592595</v>
      </c>
      <c r="N644" s="5"/>
      <c r="O644" s="5"/>
      <c r="P644" s="10" t="b">
        <v>0</v>
      </c>
      <c r="Q644" s="10" t="s">
        <v>2184</v>
      </c>
      <c r="R644" s="144" t="b">
        <v>1</v>
      </c>
      <c r="S644" s="144">
        <v>1.0</v>
      </c>
      <c r="T644" s="10"/>
      <c r="U644" s="5"/>
      <c r="V644" s="3"/>
      <c r="W644" s="5"/>
      <c r="X644" s="144" t="b">
        <v>0</v>
      </c>
      <c r="Y644" s="10" t="b">
        <v>0</v>
      </c>
      <c r="Z644" s="3"/>
      <c r="AA644" s="10" t="b">
        <v>0</v>
      </c>
      <c r="AB644" s="10" t="b">
        <v>0</v>
      </c>
      <c r="AC644" s="181">
        <v>129.0</v>
      </c>
      <c r="AD644" s="144" t="b">
        <v>0</v>
      </c>
      <c r="AE644" s="182">
        <v>284.11666666666673</v>
      </c>
      <c r="AF644" s="10" t="b">
        <v>0</v>
      </c>
      <c r="AG644" s="10" t="b">
        <v>0</v>
      </c>
      <c r="AH644" s="144"/>
      <c r="AI644" s="3"/>
      <c r="AJ644" s="10"/>
      <c r="AK644" s="3" t="s">
        <v>244</v>
      </c>
      <c r="AL644" s="5"/>
      <c r="AM644" s="5" t="s">
        <v>1490</v>
      </c>
      <c r="AN644" s="5" t="s">
        <v>1491</v>
      </c>
      <c r="AO644" s="5" t="s">
        <v>2185</v>
      </c>
      <c r="AP644" s="5" t="s">
        <v>2185</v>
      </c>
      <c r="AQ644" s="5" t="s">
        <v>2185</v>
      </c>
      <c r="AR644" s="5" t="s">
        <v>2185</v>
      </c>
      <c r="AS644" s="142"/>
      <c r="AT644" s="142" t="b">
        <v>0</v>
      </c>
      <c r="AU644" s="142"/>
      <c r="AV644" s="142"/>
      <c r="AW644" s="142"/>
      <c r="AX644" s="142"/>
      <c r="AY644" s="142"/>
      <c r="AZ644" s="174"/>
      <c r="BA644" s="142"/>
      <c r="BB644" s="142"/>
      <c r="BC644" s="142"/>
      <c r="BD644" s="142"/>
      <c r="BE644" s="142"/>
      <c r="BF644" s="142"/>
      <c r="BG644" s="142"/>
    </row>
    <row r="645">
      <c r="A645" s="5" t="s">
        <v>1917</v>
      </c>
      <c r="B645" s="44">
        <v>44625.0</v>
      </c>
      <c r="C645" s="150">
        <v>0.29443287037037036</v>
      </c>
      <c r="D645" s="3"/>
      <c r="E645" s="3"/>
      <c r="F645" s="5"/>
      <c r="G645" s="5"/>
      <c r="H645" s="5"/>
      <c r="I645" s="3"/>
      <c r="J645" s="3"/>
      <c r="K645" s="3" t="s">
        <v>244</v>
      </c>
      <c r="L645" s="44">
        <v>44625.0</v>
      </c>
      <c r="M645" s="150">
        <v>0.48974537037037036</v>
      </c>
      <c r="N645" s="5"/>
      <c r="O645" s="5"/>
      <c r="P645" s="10" t="b">
        <v>0</v>
      </c>
      <c r="Q645" s="10" t="s">
        <v>2184</v>
      </c>
      <c r="R645" s="144" t="b">
        <v>1</v>
      </c>
      <c r="S645" s="144">
        <v>1.0</v>
      </c>
      <c r="T645" s="10"/>
      <c r="U645" s="5"/>
      <c r="V645" s="3"/>
      <c r="W645" s="5"/>
      <c r="X645" s="144" t="b">
        <v>0</v>
      </c>
      <c r="Y645" s="10" t="b">
        <v>0</v>
      </c>
      <c r="Z645" s="3"/>
      <c r="AA645" s="10" t="b">
        <v>0</v>
      </c>
      <c r="AB645" s="10" t="b">
        <v>0</v>
      </c>
      <c r="AC645" s="181">
        <v>128.0</v>
      </c>
      <c r="AD645" s="144" t="b">
        <v>0</v>
      </c>
      <c r="AE645" s="182">
        <v>281.25</v>
      </c>
      <c r="AF645" s="10" t="b">
        <v>0</v>
      </c>
      <c r="AG645" s="10" t="b">
        <v>0</v>
      </c>
      <c r="AH645" s="144"/>
      <c r="AI645" s="3"/>
      <c r="AJ645" s="10"/>
      <c r="AK645" s="3" t="s">
        <v>244</v>
      </c>
      <c r="AL645" s="5"/>
      <c r="AM645" s="5" t="s">
        <v>419</v>
      </c>
      <c r="AN645" s="5" t="s">
        <v>420</v>
      </c>
      <c r="AO645" s="5" t="s">
        <v>2185</v>
      </c>
      <c r="AP645" s="5" t="s">
        <v>2185</v>
      </c>
      <c r="AQ645" s="5" t="s">
        <v>2185</v>
      </c>
      <c r="AR645" s="5" t="s">
        <v>2185</v>
      </c>
      <c r="AS645" s="142"/>
      <c r="AT645" s="142" t="b">
        <v>0</v>
      </c>
      <c r="AU645" s="142"/>
      <c r="AV645" s="142"/>
      <c r="AW645" s="142"/>
      <c r="AX645" s="142"/>
      <c r="AY645" s="142"/>
      <c r="AZ645" s="174"/>
      <c r="BA645" s="142"/>
      <c r="BB645" s="142"/>
      <c r="BC645" s="142"/>
      <c r="BD645" s="142"/>
      <c r="BE645" s="142"/>
      <c r="BF645" s="142"/>
      <c r="BG645" s="142"/>
    </row>
    <row r="646">
      <c r="A646" s="5" t="s">
        <v>1919</v>
      </c>
      <c r="B646" s="44">
        <v>44625.0</v>
      </c>
      <c r="C646" s="150">
        <v>0.30115740740740743</v>
      </c>
      <c r="D646" s="3"/>
      <c r="E646" s="3"/>
      <c r="F646" s="5"/>
      <c r="G646" s="5"/>
      <c r="H646" s="5"/>
      <c r="I646" s="3"/>
      <c r="J646" s="3"/>
      <c r="K646" s="3" t="s">
        <v>244</v>
      </c>
      <c r="L646" s="44">
        <v>44625.0</v>
      </c>
      <c r="M646" s="150">
        <v>0.48974537037037036</v>
      </c>
      <c r="N646" s="5"/>
      <c r="O646" s="5"/>
      <c r="P646" s="10" t="b">
        <v>0</v>
      </c>
      <c r="Q646" s="10" t="s">
        <v>2184</v>
      </c>
      <c r="R646" s="144" t="b">
        <v>1</v>
      </c>
      <c r="S646" s="144">
        <v>1.0</v>
      </c>
      <c r="T646" s="10"/>
      <c r="U646" s="5"/>
      <c r="V646" s="3"/>
      <c r="W646" s="5"/>
      <c r="X646" s="144" t="b">
        <v>0</v>
      </c>
      <c r="Y646" s="10" t="b">
        <v>0</v>
      </c>
      <c r="Z646" s="3"/>
      <c r="AA646" s="10" t="b">
        <v>0</v>
      </c>
      <c r="AB646" s="10" t="b">
        <v>0</v>
      </c>
      <c r="AC646" s="181">
        <v>127.0</v>
      </c>
      <c r="AD646" s="144" t="b">
        <v>0</v>
      </c>
      <c r="AE646" s="182">
        <v>271.5666666666666</v>
      </c>
      <c r="AF646" s="10" t="b">
        <v>0</v>
      </c>
      <c r="AG646" s="10" t="b">
        <v>0</v>
      </c>
      <c r="AH646" s="144"/>
      <c r="AI646" s="3"/>
      <c r="AJ646" s="10"/>
      <c r="AK646" s="3" t="s">
        <v>244</v>
      </c>
      <c r="AL646" s="5"/>
      <c r="AM646" s="5" t="s">
        <v>1248</v>
      </c>
      <c r="AN646" s="5" t="s">
        <v>1249</v>
      </c>
      <c r="AO646" s="5" t="s">
        <v>2185</v>
      </c>
      <c r="AP646" s="5" t="s">
        <v>2185</v>
      </c>
      <c r="AQ646" s="5" t="s">
        <v>2185</v>
      </c>
      <c r="AR646" s="5" t="s">
        <v>2185</v>
      </c>
      <c r="AS646" s="142"/>
      <c r="AT646" s="142" t="b">
        <v>0</v>
      </c>
      <c r="AU646" s="142"/>
      <c r="AV646" s="142"/>
      <c r="AW646" s="142"/>
      <c r="AX646" s="142"/>
      <c r="AY646" s="142"/>
      <c r="AZ646" s="174"/>
      <c r="BA646" s="142"/>
      <c r="BB646" s="142"/>
      <c r="BC646" s="142"/>
      <c r="BD646" s="142"/>
      <c r="BE646" s="142"/>
      <c r="BF646" s="142"/>
      <c r="BG646" s="142"/>
    </row>
    <row r="647">
      <c r="A647" s="5" t="s">
        <v>1921</v>
      </c>
      <c r="B647" s="44">
        <v>44625.0</v>
      </c>
      <c r="C647" s="150">
        <v>0.30530092592592595</v>
      </c>
      <c r="D647" s="3"/>
      <c r="E647" s="3"/>
      <c r="F647" s="5"/>
      <c r="G647" s="5"/>
      <c r="H647" s="5"/>
      <c r="I647" s="3"/>
      <c r="J647" s="3"/>
      <c r="K647" s="3" t="s">
        <v>244</v>
      </c>
      <c r="L647" s="44">
        <v>44625.0</v>
      </c>
      <c r="M647" s="150">
        <v>0.48974537037037036</v>
      </c>
      <c r="N647" s="5"/>
      <c r="O647" s="5"/>
      <c r="P647" s="10" t="b">
        <v>0</v>
      </c>
      <c r="Q647" s="10" t="s">
        <v>2184</v>
      </c>
      <c r="R647" s="144" t="b">
        <v>1</v>
      </c>
      <c r="S647" s="144">
        <v>1.0</v>
      </c>
      <c r="T647" s="10"/>
      <c r="U647" s="5"/>
      <c r="V647" s="3"/>
      <c r="W647" s="5"/>
      <c r="X647" s="144" t="b">
        <v>0</v>
      </c>
      <c r="Y647" s="10" t="b">
        <v>0</v>
      </c>
      <c r="Z647" s="3"/>
      <c r="AA647" s="10" t="b">
        <v>0</v>
      </c>
      <c r="AB647" s="10" t="b">
        <v>0</v>
      </c>
      <c r="AC647" s="181">
        <v>126.0</v>
      </c>
      <c r="AD647" s="144" t="b">
        <v>0</v>
      </c>
      <c r="AE647" s="182">
        <v>265.59999999999997</v>
      </c>
      <c r="AF647" s="10" t="b">
        <v>0</v>
      </c>
      <c r="AG647" s="10" t="b">
        <v>0</v>
      </c>
      <c r="AH647" s="144"/>
      <c r="AI647" s="3"/>
      <c r="AJ647" s="10"/>
      <c r="AK647" s="3" t="s">
        <v>244</v>
      </c>
      <c r="AL647" s="5"/>
      <c r="AM647" s="5" t="s">
        <v>1274</v>
      </c>
      <c r="AN647" s="5" t="s">
        <v>1275</v>
      </c>
      <c r="AO647" s="5" t="s">
        <v>2185</v>
      </c>
      <c r="AP647" s="5" t="s">
        <v>2185</v>
      </c>
      <c r="AQ647" s="5" t="s">
        <v>2185</v>
      </c>
      <c r="AR647" s="5" t="s">
        <v>2185</v>
      </c>
      <c r="AS647" s="142"/>
      <c r="AT647" s="142" t="b">
        <v>0</v>
      </c>
      <c r="AU647" s="142"/>
      <c r="AV647" s="142"/>
      <c r="AW647" s="142"/>
      <c r="AX647" s="142"/>
      <c r="AY647" s="142"/>
      <c r="AZ647" s="174"/>
      <c r="BA647" s="142"/>
      <c r="BB647" s="142"/>
      <c r="BC647" s="142"/>
      <c r="BD647" s="142"/>
      <c r="BE647" s="142"/>
      <c r="BF647" s="142"/>
      <c r="BG647" s="142"/>
    </row>
    <row r="648">
      <c r="A648" s="5" t="s">
        <v>1923</v>
      </c>
      <c r="B648" s="44">
        <v>44625.0</v>
      </c>
      <c r="C648" s="150">
        <v>0.30789351851851854</v>
      </c>
      <c r="D648" s="3"/>
      <c r="E648" s="3"/>
      <c r="F648" s="5"/>
      <c r="G648" s="5"/>
      <c r="H648" s="5"/>
      <c r="I648" s="3"/>
      <c r="J648" s="3"/>
      <c r="K648" s="3" t="s">
        <v>244</v>
      </c>
      <c r="L648" s="44">
        <v>44625.0</v>
      </c>
      <c r="M648" s="150">
        <v>0.48974537037037036</v>
      </c>
      <c r="N648" s="5"/>
      <c r="O648" s="5"/>
      <c r="P648" s="10" t="b">
        <v>0</v>
      </c>
      <c r="Q648" s="10" t="s">
        <v>2184</v>
      </c>
      <c r="R648" s="144" t="b">
        <v>1</v>
      </c>
      <c r="S648" s="144">
        <v>1.0</v>
      </c>
      <c r="T648" s="10"/>
      <c r="U648" s="5"/>
      <c r="V648" s="3"/>
      <c r="W648" s="5"/>
      <c r="X648" s="144" t="b">
        <v>0</v>
      </c>
      <c r="Y648" s="10" t="b">
        <v>0</v>
      </c>
      <c r="Z648" s="3"/>
      <c r="AA648" s="10" t="b">
        <v>0</v>
      </c>
      <c r="AB648" s="10" t="b">
        <v>0</v>
      </c>
      <c r="AC648" s="181">
        <v>125.0</v>
      </c>
      <c r="AD648" s="144" t="b">
        <v>0</v>
      </c>
      <c r="AE648" s="182">
        <v>261.8666666666666</v>
      </c>
      <c r="AF648" s="10" t="b">
        <v>0</v>
      </c>
      <c r="AG648" s="10" t="b">
        <v>0</v>
      </c>
      <c r="AH648" s="144"/>
      <c r="AI648" s="3"/>
      <c r="AJ648" s="10"/>
      <c r="AK648" s="3" t="s">
        <v>244</v>
      </c>
      <c r="AL648" s="5"/>
      <c r="AM648" s="5" t="s">
        <v>1380</v>
      </c>
      <c r="AN648" s="5" t="s">
        <v>1381</v>
      </c>
      <c r="AO648" s="5" t="s">
        <v>2185</v>
      </c>
      <c r="AP648" s="5" t="s">
        <v>2185</v>
      </c>
      <c r="AQ648" s="5" t="s">
        <v>2185</v>
      </c>
      <c r="AR648" s="5" t="s">
        <v>2185</v>
      </c>
      <c r="AS648" s="142"/>
      <c r="AT648" s="142" t="b">
        <v>0</v>
      </c>
      <c r="AU648" s="142"/>
      <c r="AV648" s="142"/>
      <c r="AW648" s="142"/>
      <c r="AX648" s="142"/>
      <c r="AY648" s="142"/>
      <c r="AZ648" s="174"/>
      <c r="BA648" s="142"/>
      <c r="BB648" s="142"/>
      <c r="BC648" s="142"/>
      <c r="BD648" s="142"/>
      <c r="BE648" s="142"/>
      <c r="BF648" s="142"/>
      <c r="BG648" s="142"/>
    </row>
    <row r="649">
      <c r="A649" s="5" t="s">
        <v>1925</v>
      </c>
      <c r="B649" s="44">
        <v>44625.0</v>
      </c>
      <c r="C649" s="150">
        <v>0.3079861111111111</v>
      </c>
      <c r="D649" s="3"/>
      <c r="E649" s="3"/>
      <c r="F649" s="5"/>
      <c r="G649" s="5"/>
      <c r="H649" s="5"/>
      <c r="I649" s="3"/>
      <c r="J649" s="3"/>
      <c r="K649" s="3" t="s">
        <v>244</v>
      </c>
      <c r="L649" s="44">
        <v>44625.0</v>
      </c>
      <c r="M649" s="150">
        <v>0.48974537037037036</v>
      </c>
      <c r="N649" s="5"/>
      <c r="O649" s="5"/>
      <c r="P649" s="10" t="b">
        <v>0</v>
      </c>
      <c r="Q649" s="10" t="s">
        <v>2184</v>
      </c>
      <c r="R649" s="144" t="b">
        <v>1</v>
      </c>
      <c r="S649" s="144">
        <v>1.0</v>
      </c>
      <c r="T649" s="10"/>
      <c r="U649" s="5"/>
      <c r="V649" s="3"/>
      <c r="W649" s="5"/>
      <c r="X649" s="144" t="b">
        <v>0</v>
      </c>
      <c r="Y649" s="10" t="b">
        <v>0</v>
      </c>
      <c r="Z649" s="3"/>
      <c r="AA649" s="10" t="b">
        <v>0</v>
      </c>
      <c r="AB649" s="10" t="b">
        <v>0</v>
      </c>
      <c r="AC649" s="181">
        <v>124.0</v>
      </c>
      <c r="AD649" s="144" t="b">
        <v>0</v>
      </c>
      <c r="AE649" s="182">
        <v>261.73333333333335</v>
      </c>
      <c r="AF649" s="10" t="b">
        <v>0</v>
      </c>
      <c r="AG649" s="10" t="b">
        <v>0</v>
      </c>
      <c r="AH649" s="144"/>
      <c r="AI649" s="3"/>
      <c r="AJ649" s="10"/>
      <c r="AK649" s="3" t="s">
        <v>244</v>
      </c>
      <c r="AL649" s="5"/>
      <c r="AM649" s="5" t="s">
        <v>465</v>
      </c>
      <c r="AN649" s="5" t="s">
        <v>466</v>
      </c>
      <c r="AO649" s="5" t="s">
        <v>2185</v>
      </c>
      <c r="AP649" s="5" t="s">
        <v>2185</v>
      </c>
      <c r="AQ649" s="5" t="s">
        <v>2185</v>
      </c>
      <c r="AR649" s="5" t="s">
        <v>2185</v>
      </c>
      <c r="AS649" s="142"/>
      <c r="AT649" s="142" t="b">
        <v>0</v>
      </c>
      <c r="AU649" s="142"/>
      <c r="AV649" s="142"/>
      <c r="AW649" s="142"/>
      <c r="AX649" s="142"/>
      <c r="AY649" s="142"/>
      <c r="AZ649" s="174"/>
      <c r="BA649" s="142"/>
      <c r="BB649" s="142"/>
      <c r="BC649" s="142"/>
      <c r="BD649" s="142"/>
      <c r="BE649" s="142"/>
      <c r="BF649" s="142"/>
      <c r="BG649" s="142"/>
    </row>
    <row r="650">
      <c r="A650" s="5" t="s">
        <v>1927</v>
      </c>
      <c r="B650" s="44">
        <v>44625.0</v>
      </c>
      <c r="C650" s="150">
        <v>0.308599537037037</v>
      </c>
      <c r="D650" s="3"/>
      <c r="E650" s="3"/>
      <c r="F650" s="5"/>
      <c r="G650" s="5"/>
      <c r="H650" s="5"/>
      <c r="I650" s="3"/>
      <c r="J650" s="3"/>
      <c r="K650" s="3" t="s">
        <v>244</v>
      </c>
      <c r="L650" s="44">
        <v>44625.0</v>
      </c>
      <c r="M650" s="150">
        <v>0.48974537037037036</v>
      </c>
      <c r="N650" s="5"/>
      <c r="O650" s="5"/>
      <c r="P650" s="10" t="b">
        <v>0</v>
      </c>
      <c r="Q650" s="10" t="s">
        <v>2184</v>
      </c>
      <c r="R650" s="144" t="b">
        <v>1</v>
      </c>
      <c r="S650" s="144">
        <v>1.0</v>
      </c>
      <c r="T650" s="10"/>
      <c r="U650" s="5"/>
      <c r="V650" s="3"/>
      <c r="W650" s="5"/>
      <c r="X650" s="144" t="b">
        <v>0</v>
      </c>
      <c r="Y650" s="10" t="b">
        <v>0</v>
      </c>
      <c r="Z650" s="3"/>
      <c r="AA650" s="10" t="b">
        <v>0</v>
      </c>
      <c r="AB650" s="10" t="b">
        <v>0</v>
      </c>
      <c r="AC650" s="181">
        <v>123.0</v>
      </c>
      <c r="AD650" s="144" t="b">
        <v>0</v>
      </c>
      <c r="AE650" s="182">
        <v>260.85</v>
      </c>
      <c r="AF650" s="10" t="b">
        <v>0</v>
      </c>
      <c r="AG650" s="10" t="b">
        <v>0</v>
      </c>
      <c r="AH650" s="144"/>
      <c r="AI650" s="3"/>
      <c r="AJ650" s="10"/>
      <c r="AK650" s="3" t="s">
        <v>244</v>
      </c>
      <c r="AL650" s="5"/>
      <c r="AM650" s="5" t="s">
        <v>797</v>
      </c>
      <c r="AN650" s="5" t="s">
        <v>798</v>
      </c>
      <c r="AO650" s="5" t="s">
        <v>2185</v>
      </c>
      <c r="AP650" s="5" t="s">
        <v>2185</v>
      </c>
      <c r="AQ650" s="5" t="s">
        <v>2185</v>
      </c>
      <c r="AR650" s="5" t="s">
        <v>2185</v>
      </c>
      <c r="AS650" s="142"/>
      <c r="AT650" s="142" t="b">
        <v>0</v>
      </c>
      <c r="AU650" s="142"/>
      <c r="AV650" s="142"/>
      <c r="AW650" s="142"/>
      <c r="AX650" s="142"/>
      <c r="AY650" s="142"/>
      <c r="AZ650" s="174"/>
      <c r="BA650" s="142"/>
      <c r="BB650" s="142"/>
      <c r="BC650" s="142"/>
      <c r="BD650" s="142"/>
      <c r="BE650" s="142"/>
      <c r="BF650" s="142"/>
      <c r="BG650" s="142"/>
    </row>
    <row r="651">
      <c r="A651" s="5" t="s">
        <v>1929</v>
      </c>
      <c r="B651" s="44">
        <v>44625.0</v>
      </c>
      <c r="C651" s="150">
        <v>0.30886574074074075</v>
      </c>
      <c r="D651" s="3"/>
      <c r="E651" s="3"/>
      <c r="F651" s="5"/>
      <c r="G651" s="5"/>
      <c r="H651" s="5"/>
      <c r="I651" s="3"/>
      <c r="J651" s="3"/>
      <c r="K651" s="3" t="s">
        <v>244</v>
      </c>
      <c r="L651" s="44">
        <v>44625.0</v>
      </c>
      <c r="M651" s="150">
        <v>0.48974537037037036</v>
      </c>
      <c r="N651" s="5"/>
      <c r="O651" s="5"/>
      <c r="P651" s="10" t="b">
        <v>0</v>
      </c>
      <c r="Q651" s="10" t="s">
        <v>2184</v>
      </c>
      <c r="R651" s="144" t="b">
        <v>1</v>
      </c>
      <c r="S651" s="144">
        <v>1.0</v>
      </c>
      <c r="T651" s="10"/>
      <c r="U651" s="5"/>
      <c r="V651" s="3"/>
      <c r="W651" s="5"/>
      <c r="X651" s="144" t="b">
        <v>0</v>
      </c>
      <c r="Y651" s="10" t="b">
        <v>0</v>
      </c>
      <c r="Z651" s="3"/>
      <c r="AA651" s="10" t="b">
        <v>0</v>
      </c>
      <c r="AB651" s="10" t="b">
        <v>0</v>
      </c>
      <c r="AC651" s="181">
        <v>122.0</v>
      </c>
      <c r="AD651" s="144" t="b">
        <v>0</v>
      </c>
      <c r="AE651" s="182">
        <v>260.4666666666667</v>
      </c>
      <c r="AF651" s="10" t="b">
        <v>0</v>
      </c>
      <c r="AG651" s="10" t="b">
        <v>0</v>
      </c>
      <c r="AH651" s="144"/>
      <c r="AI651" s="3"/>
      <c r="AJ651" s="10"/>
      <c r="AK651" s="3" t="s">
        <v>244</v>
      </c>
      <c r="AL651" s="5"/>
      <c r="AM651" s="5" t="s">
        <v>1242</v>
      </c>
      <c r="AN651" s="5" t="s">
        <v>1243</v>
      </c>
      <c r="AO651" s="5" t="s">
        <v>2185</v>
      </c>
      <c r="AP651" s="5" t="s">
        <v>2185</v>
      </c>
      <c r="AQ651" s="5" t="s">
        <v>2185</v>
      </c>
      <c r="AR651" s="5" t="s">
        <v>2185</v>
      </c>
      <c r="AS651" s="142"/>
      <c r="AT651" s="142" t="b">
        <v>0</v>
      </c>
      <c r="AU651" s="142"/>
      <c r="AV651" s="142"/>
      <c r="AW651" s="142"/>
      <c r="AX651" s="142"/>
      <c r="AY651" s="142"/>
      <c r="AZ651" s="174"/>
      <c r="BA651" s="142"/>
      <c r="BB651" s="142"/>
      <c r="BC651" s="142"/>
      <c r="BD651" s="142"/>
      <c r="BE651" s="142"/>
      <c r="BF651" s="142"/>
      <c r="BG651" s="142"/>
    </row>
    <row r="652">
      <c r="A652" s="5" t="s">
        <v>1931</v>
      </c>
      <c r="B652" s="44">
        <v>44625.0</v>
      </c>
      <c r="C652" s="150">
        <v>0.3098148148148148</v>
      </c>
      <c r="D652" s="3"/>
      <c r="E652" s="3"/>
      <c r="F652" s="5"/>
      <c r="G652" s="5"/>
      <c r="H652" s="5"/>
      <c r="I652" s="3"/>
      <c r="J652" s="3"/>
      <c r="K652" s="3" t="s">
        <v>244</v>
      </c>
      <c r="L652" s="44">
        <v>44625.0</v>
      </c>
      <c r="M652" s="150">
        <v>0.48974537037037036</v>
      </c>
      <c r="N652" s="5"/>
      <c r="O652" s="5"/>
      <c r="P652" s="10" t="b">
        <v>0</v>
      </c>
      <c r="Q652" s="10" t="s">
        <v>2184</v>
      </c>
      <c r="R652" s="144" t="b">
        <v>1</v>
      </c>
      <c r="S652" s="144">
        <v>1.0</v>
      </c>
      <c r="T652" s="10"/>
      <c r="U652" s="5"/>
      <c r="V652" s="3"/>
      <c r="W652" s="5"/>
      <c r="X652" s="144" t="b">
        <v>0</v>
      </c>
      <c r="Y652" s="10" t="b">
        <v>0</v>
      </c>
      <c r="Z652" s="3"/>
      <c r="AA652" s="10" t="b">
        <v>0</v>
      </c>
      <c r="AB652" s="10" t="b">
        <v>0</v>
      </c>
      <c r="AC652" s="181">
        <v>121.0</v>
      </c>
      <c r="AD652" s="144" t="b">
        <v>0</v>
      </c>
      <c r="AE652" s="182">
        <v>259.1</v>
      </c>
      <c r="AF652" s="10" t="b">
        <v>0</v>
      </c>
      <c r="AG652" s="10" t="b">
        <v>0</v>
      </c>
      <c r="AH652" s="144"/>
      <c r="AI652" s="3"/>
      <c r="AJ652" s="10"/>
      <c r="AK652" s="3" t="s">
        <v>244</v>
      </c>
      <c r="AL652" s="5"/>
      <c r="AM652" s="5" t="s">
        <v>1512</v>
      </c>
      <c r="AN652" s="5" t="s">
        <v>1513</v>
      </c>
      <c r="AO652" s="5" t="s">
        <v>2185</v>
      </c>
      <c r="AP652" s="5" t="s">
        <v>2185</v>
      </c>
      <c r="AQ652" s="5" t="s">
        <v>2185</v>
      </c>
      <c r="AR652" s="5" t="s">
        <v>2185</v>
      </c>
      <c r="AS652" s="142"/>
      <c r="AT652" s="142" t="b">
        <v>0</v>
      </c>
      <c r="AU652" s="142"/>
      <c r="AV652" s="142"/>
      <c r="AW652" s="142"/>
      <c r="AX652" s="142"/>
      <c r="AY652" s="142"/>
      <c r="AZ652" s="174"/>
      <c r="BA652" s="142"/>
      <c r="BB652" s="142"/>
      <c r="BC652" s="142"/>
      <c r="BD652" s="142"/>
      <c r="BE652" s="142"/>
      <c r="BF652" s="142"/>
      <c r="BG652" s="142"/>
    </row>
    <row r="653">
      <c r="A653" s="5" t="s">
        <v>1933</v>
      </c>
      <c r="B653" s="44">
        <v>44625.0</v>
      </c>
      <c r="C653" s="150">
        <v>0.3107523148148148</v>
      </c>
      <c r="D653" s="3"/>
      <c r="E653" s="3"/>
      <c r="F653" s="5"/>
      <c r="G653" s="5"/>
      <c r="H653" s="5"/>
      <c r="I653" s="3"/>
      <c r="J653" s="3"/>
      <c r="K653" s="3" t="s">
        <v>244</v>
      </c>
      <c r="L653" s="44">
        <v>44625.0</v>
      </c>
      <c r="M653" s="150">
        <v>0.48974537037037036</v>
      </c>
      <c r="N653" s="5"/>
      <c r="O653" s="5"/>
      <c r="P653" s="10" t="b">
        <v>0</v>
      </c>
      <c r="Q653" s="10" t="s">
        <v>2184</v>
      </c>
      <c r="R653" s="144" t="b">
        <v>1</v>
      </c>
      <c r="S653" s="144">
        <v>1.0</v>
      </c>
      <c r="T653" s="10"/>
      <c r="U653" s="5"/>
      <c r="V653" s="3"/>
      <c r="W653" s="5"/>
      <c r="X653" s="144" t="b">
        <v>0</v>
      </c>
      <c r="Y653" s="10" t="b">
        <v>0</v>
      </c>
      <c r="Z653" s="3"/>
      <c r="AA653" s="10" t="b">
        <v>0</v>
      </c>
      <c r="AB653" s="10" t="b">
        <v>0</v>
      </c>
      <c r="AC653" s="181">
        <v>120.0</v>
      </c>
      <c r="AD653" s="144" t="b">
        <v>0</v>
      </c>
      <c r="AE653" s="182">
        <v>257.75</v>
      </c>
      <c r="AF653" s="10" t="b">
        <v>0</v>
      </c>
      <c r="AG653" s="10" t="b">
        <v>0</v>
      </c>
      <c r="AH653" s="144"/>
      <c r="AI653" s="3"/>
      <c r="AJ653" s="10"/>
      <c r="AK653" s="3" t="s">
        <v>244</v>
      </c>
      <c r="AL653" s="5"/>
      <c r="AM653" s="5" t="s">
        <v>1260</v>
      </c>
      <c r="AN653" s="5" t="s">
        <v>1261</v>
      </c>
      <c r="AO653" s="5" t="s">
        <v>2185</v>
      </c>
      <c r="AP653" s="5" t="s">
        <v>2185</v>
      </c>
      <c r="AQ653" s="5" t="s">
        <v>2185</v>
      </c>
      <c r="AR653" s="5" t="s">
        <v>2185</v>
      </c>
      <c r="AS653" s="142"/>
      <c r="AT653" s="142" t="b">
        <v>0</v>
      </c>
      <c r="AU653" s="142"/>
      <c r="AV653" s="142"/>
      <c r="AW653" s="142"/>
      <c r="AX653" s="142"/>
      <c r="AY653" s="142"/>
      <c r="AZ653" s="174"/>
      <c r="BA653" s="142"/>
      <c r="BB653" s="142"/>
      <c r="BC653" s="142"/>
      <c r="BD653" s="142"/>
      <c r="BE653" s="142"/>
      <c r="BF653" s="142"/>
      <c r="BG653" s="142"/>
    </row>
    <row r="654">
      <c r="A654" s="5" t="s">
        <v>1935</v>
      </c>
      <c r="B654" s="44">
        <v>44625.0</v>
      </c>
      <c r="C654" s="150">
        <v>0.3109953703703704</v>
      </c>
      <c r="D654" s="3"/>
      <c r="E654" s="3"/>
      <c r="F654" s="5"/>
      <c r="G654" s="5"/>
      <c r="H654" s="5"/>
      <c r="I654" s="3"/>
      <c r="J654" s="3"/>
      <c r="K654" s="3" t="s">
        <v>244</v>
      </c>
      <c r="L654" s="44">
        <v>44625.0</v>
      </c>
      <c r="M654" s="150">
        <v>0.48974537037037036</v>
      </c>
      <c r="N654" s="5"/>
      <c r="O654" s="5"/>
      <c r="P654" s="10" t="b">
        <v>0</v>
      </c>
      <c r="Q654" s="10" t="s">
        <v>2184</v>
      </c>
      <c r="R654" s="144" t="b">
        <v>1</v>
      </c>
      <c r="S654" s="144">
        <v>1.0</v>
      </c>
      <c r="T654" s="10"/>
      <c r="U654" s="5"/>
      <c r="V654" s="3"/>
      <c r="W654" s="5"/>
      <c r="X654" s="144" t="b">
        <v>0</v>
      </c>
      <c r="Y654" s="10" t="b">
        <v>0</v>
      </c>
      <c r="Z654" s="3"/>
      <c r="AA654" s="10" t="b">
        <v>0</v>
      </c>
      <c r="AB654" s="10" t="b">
        <v>0</v>
      </c>
      <c r="AC654" s="181">
        <v>119.0</v>
      </c>
      <c r="AD654" s="144" t="b">
        <v>0</v>
      </c>
      <c r="AE654" s="182">
        <v>257.4</v>
      </c>
      <c r="AF654" s="10" t="b">
        <v>0</v>
      </c>
      <c r="AG654" s="10" t="b">
        <v>0</v>
      </c>
      <c r="AH654" s="144"/>
      <c r="AI654" s="3"/>
      <c r="AJ654" s="10"/>
      <c r="AK654" s="3" t="s">
        <v>244</v>
      </c>
      <c r="AL654" s="5"/>
      <c r="AM654" s="5" t="s">
        <v>436</v>
      </c>
      <c r="AN654" s="5" t="s">
        <v>437</v>
      </c>
      <c r="AO654" s="5" t="s">
        <v>2185</v>
      </c>
      <c r="AP654" s="5" t="s">
        <v>2185</v>
      </c>
      <c r="AQ654" s="5" t="s">
        <v>2185</v>
      </c>
      <c r="AR654" s="5" t="s">
        <v>2185</v>
      </c>
      <c r="AS654" s="142"/>
      <c r="AT654" s="142" t="b">
        <v>0</v>
      </c>
      <c r="AU654" s="142"/>
      <c r="AV654" s="142"/>
      <c r="AW654" s="142"/>
      <c r="AX654" s="142"/>
      <c r="AY654" s="142"/>
      <c r="AZ654" s="174"/>
      <c r="BA654" s="142"/>
      <c r="BB654" s="142"/>
      <c r="BC654" s="142"/>
      <c r="BD654" s="142"/>
      <c r="BE654" s="142"/>
      <c r="BF654" s="142"/>
      <c r="BG654" s="142"/>
    </row>
    <row r="655">
      <c r="A655" s="5" t="s">
        <v>1937</v>
      </c>
      <c r="B655" s="44">
        <v>44625.0</v>
      </c>
      <c r="C655" s="150">
        <v>0.3150115740740741</v>
      </c>
      <c r="D655" s="3"/>
      <c r="E655" s="3"/>
      <c r="F655" s="5"/>
      <c r="G655" s="5"/>
      <c r="H655" s="5"/>
      <c r="I655" s="3"/>
      <c r="J655" s="3"/>
      <c r="K655" s="3" t="s">
        <v>244</v>
      </c>
      <c r="L655" s="44">
        <v>44625.0</v>
      </c>
      <c r="M655" s="150">
        <v>0.48974537037037036</v>
      </c>
      <c r="N655" s="5"/>
      <c r="O655" s="5"/>
      <c r="P655" s="10" t="b">
        <v>0</v>
      </c>
      <c r="Q655" s="10" t="s">
        <v>2184</v>
      </c>
      <c r="R655" s="144" t="b">
        <v>1</v>
      </c>
      <c r="S655" s="144">
        <v>1.0</v>
      </c>
      <c r="T655" s="10"/>
      <c r="U655" s="5"/>
      <c r="V655" s="3"/>
      <c r="W655" s="5"/>
      <c r="X655" s="144" t="b">
        <v>0</v>
      </c>
      <c r="Y655" s="10" t="b">
        <v>0</v>
      </c>
      <c r="Z655" s="3"/>
      <c r="AA655" s="10" t="b">
        <v>0</v>
      </c>
      <c r="AB655" s="10" t="b">
        <v>0</v>
      </c>
      <c r="AC655" s="181">
        <v>118.0</v>
      </c>
      <c r="AD655" s="144" t="b">
        <v>0</v>
      </c>
      <c r="AE655" s="182">
        <v>251.61666666666662</v>
      </c>
      <c r="AF655" s="10" t="b">
        <v>0</v>
      </c>
      <c r="AG655" s="10" t="b">
        <v>0</v>
      </c>
      <c r="AH655" s="144"/>
      <c r="AI655" s="3"/>
      <c r="AJ655" s="10"/>
      <c r="AK655" s="3" t="s">
        <v>244</v>
      </c>
      <c r="AL655" s="5"/>
      <c r="AM655" s="5" t="s">
        <v>1298</v>
      </c>
      <c r="AN655" s="5" t="s">
        <v>1299</v>
      </c>
      <c r="AO655" s="5" t="s">
        <v>2185</v>
      </c>
      <c r="AP655" s="5" t="s">
        <v>2185</v>
      </c>
      <c r="AQ655" s="5" t="s">
        <v>2185</v>
      </c>
      <c r="AR655" s="5" t="s">
        <v>2185</v>
      </c>
      <c r="AS655" s="142"/>
      <c r="AT655" s="142" t="b">
        <v>0</v>
      </c>
      <c r="AU655" s="142"/>
      <c r="AV655" s="142"/>
      <c r="AW655" s="142"/>
      <c r="AX655" s="142"/>
      <c r="AY655" s="142"/>
      <c r="AZ655" s="174"/>
      <c r="BA655" s="142"/>
      <c r="BB655" s="142"/>
      <c r="BC655" s="142"/>
      <c r="BD655" s="142"/>
      <c r="BE655" s="142"/>
      <c r="BF655" s="142"/>
      <c r="BG655" s="142"/>
    </row>
    <row r="656">
      <c r="A656" s="5" t="s">
        <v>1939</v>
      </c>
      <c r="B656" s="44">
        <v>44625.0</v>
      </c>
      <c r="C656" s="150">
        <v>0.3158564814814815</v>
      </c>
      <c r="D656" s="3"/>
      <c r="E656" s="3"/>
      <c r="F656" s="5"/>
      <c r="G656" s="5"/>
      <c r="H656" s="5"/>
      <c r="I656" s="3"/>
      <c r="J656" s="3"/>
      <c r="K656" s="3" t="s">
        <v>244</v>
      </c>
      <c r="L656" s="44">
        <v>44625.0</v>
      </c>
      <c r="M656" s="150">
        <v>0.48974537037037036</v>
      </c>
      <c r="N656" s="5"/>
      <c r="O656" s="5"/>
      <c r="P656" s="10" t="b">
        <v>0</v>
      </c>
      <c r="Q656" s="10" t="s">
        <v>2184</v>
      </c>
      <c r="R656" s="144" t="b">
        <v>1</v>
      </c>
      <c r="S656" s="144">
        <v>1.0</v>
      </c>
      <c r="T656" s="10"/>
      <c r="U656" s="5"/>
      <c r="V656" s="3"/>
      <c r="W656" s="5"/>
      <c r="X656" s="144" t="b">
        <v>0</v>
      </c>
      <c r="Y656" s="10" t="b">
        <v>0</v>
      </c>
      <c r="Z656" s="3"/>
      <c r="AA656" s="10" t="b">
        <v>0</v>
      </c>
      <c r="AB656" s="10" t="b">
        <v>0</v>
      </c>
      <c r="AC656" s="181">
        <v>117.0</v>
      </c>
      <c r="AD656" s="144" t="b">
        <v>0</v>
      </c>
      <c r="AE656" s="182">
        <v>250.39999999999998</v>
      </c>
      <c r="AF656" s="10" t="b">
        <v>0</v>
      </c>
      <c r="AG656" s="10" t="b">
        <v>0</v>
      </c>
      <c r="AH656" s="144"/>
      <c r="AI656" s="3"/>
      <c r="AJ656" s="10"/>
      <c r="AK656" s="3" t="s">
        <v>244</v>
      </c>
      <c r="AL656" s="5"/>
      <c r="AM656" s="5" t="s">
        <v>1575</v>
      </c>
      <c r="AN656" s="5" t="s">
        <v>893</v>
      </c>
      <c r="AO656" s="5" t="s">
        <v>2185</v>
      </c>
      <c r="AP656" s="5" t="s">
        <v>2185</v>
      </c>
      <c r="AQ656" s="5" t="s">
        <v>2185</v>
      </c>
      <c r="AR656" s="5" t="s">
        <v>2185</v>
      </c>
      <c r="AS656" s="142"/>
      <c r="AT656" s="142" t="b">
        <v>0</v>
      </c>
      <c r="AU656" s="142"/>
      <c r="AV656" s="142"/>
      <c r="AW656" s="142"/>
      <c r="AX656" s="142"/>
      <c r="AY656" s="142"/>
      <c r="AZ656" s="174"/>
      <c r="BA656" s="142"/>
      <c r="BB656" s="142"/>
      <c r="BC656" s="142"/>
      <c r="BD656" s="142"/>
      <c r="BE656" s="142"/>
      <c r="BF656" s="142"/>
      <c r="BG656" s="142"/>
    </row>
    <row r="657">
      <c r="A657" s="5" t="s">
        <v>1941</v>
      </c>
      <c r="B657" s="44">
        <v>44625.0</v>
      </c>
      <c r="C657" s="150">
        <v>0.31592592592592594</v>
      </c>
      <c r="D657" s="3"/>
      <c r="E657" s="3"/>
      <c r="F657" s="5"/>
      <c r="G657" s="5"/>
      <c r="H657" s="5"/>
      <c r="I657" s="3"/>
      <c r="J657" s="3"/>
      <c r="K657" s="3" t="s">
        <v>244</v>
      </c>
      <c r="L657" s="44">
        <v>44625.0</v>
      </c>
      <c r="M657" s="150">
        <v>0.48975694444444445</v>
      </c>
      <c r="N657" s="5"/>
      <c r="O657" s="5"/>
      <c r="P657" s="10" t="b">
        <v>0</v>
      </c>
      <c r="Q657" s="10" t="s">
        <v>2184</v>
      </c>
      <c r="R657" s="144" t="b">
        <v>1</v>
      </c>
      <c r="S657" s="144">
        <v>1.0</v>
      </c>
      <c r="T657" s="10"/>
      <c r="U657" s="5"/>
      <c r="V657" s="3"/>
      <c r="W657" s="5"/>
      <c r="X657" s="144" t="b">
        <v>0</v>
      </c>
      <c r="Y657" s="10" t="b">
        <v>0</v>
      </c>
      <c r="Z657" s="3"/>
      <c r="AA657" s="10" t="b">
        <v>0</v>
      </c>
      <c r="AB657" s="10" t="b">
        <v>0</v>
      </c>
      <c r="AC657" s="181">
        <v>116.0</v>
      </c>
      <c r="AD657" s="144" t="b">
        <v>0</v>
      </c>
      <c r="AE657" s="182">
        <v>250.31666666666663</v>
      </c>
      <c r="AF657" s="10" t="b">
        <v>0</v>
      </c>
      <c r="AG657" s="10" t="b">
        <v>0</v>
      </c>
      <c r="AH657" s="144"/>
      <c r="AI657" s="3"/>
      <c r="AJ657" s="10"/>
      <c r="AK657" s="3" t="s">
        <v>244</v>
      </c>
      <c r="AL657" s="5"/>
      <c r="AM657" s="5" t="s">
        <v>793</v>
      </c>
      <c r="AN657" s="5" t="s">
        <v>836</v>
      </c>
      <c r="AO657" s="5" t="s">
        <v>2185</v>
      </c>
      <c r="AP657" s="5" t="s">
        <v>2185</v>
      </c>
      <c r="AQ657" s="5" t="s">
        <v>2185</v>
      </c>
      <c r="AR657" s="5" t="s">
        <v>2185</v>
      </c>
      <c r="AS657" s="142"/>
      <c r="AT657" s="142" t="b">
        <v>0</v>
      </c>
      <c r="AU657" s="142"/>
      <c r="AV657" s="142"/>
      <c r="AW657" s="142"/>
      <c r="AX657" s="142"/>
      <c r="AY657" s="142"/>
      <c r="AZ657" s="174"/>
      <c r="BA657" s="142"/>
      <c r="BB657" s="142"/>
      <c r="BC657" s="142"/>
      <c r="BD657" s="142"/>
      <c r="BE657" s="142"/>
      <c r="BF657" s="142"/>
      <c r="BG657" s="142"/>
    </row>
    <row r="658">
      <c r="A658" s="5" t="s">
        <v>1943</v>
      </c>
      <c r="B658" s="44">
        <v>44625.0</v>
      </c>
      <c r="C658" s="150">
        <v>0.3188888888888889</v>
      </c>
      <c r="D658" s="3"/>
      <c r="E658" s="3"/>
      <c r="F658" s="5"/>
      <c r="G658" s="5"/>
      <c r="H658" s="5"/>
      <c r="I658" s="3"/>
      <c r="J658" s="3"/>
      <c r="K658" s="3" t="s">
        <v>244</v>
      </c>
      <c r="L658" s="44">
        <v>44627.0</v>
      </c>
      <c r="M658" s="150">
        <v>0.47788194444444443</v>
      </c>
      <c r="N658" s="5"/>
      <c r="O658" s="5"/>
      <c r="P658" s="10" t="b">
        <v>0</v>
      </c>
      <c r="Q658" s="10" t="s">
        <v>2184</v>
      </c>
      <c r="R658" s="144" t="b">
        <v>1</v>
      </c>
      <c r="S658" s="144">
        <v>1.0</v>
      </c>
      <c r="T658" s="10"/>
      <c r="U658" s="5"/>
      <c r="V658" s="3"/>
      <c r="W658" s="5"/>
      <c r="X658" s="144" t="b">
        <v>0</v>
      </c>
      <c r="Y658" s="10" t="b">
        <v>0</v>
      </c>
      <c r="Z658" s="3"/>
      <c r="AA658" s="10" t="b">
        <v>0</v>
      </c>
      <c r="AB658" s="10" t="b">
        <v>0</v>
      </c>
      <c r="AC658" s="181">
        <v>115.0</v>
      </c>
      <c r="AD658" s="144" t="b">
        <v>0</v>
      </c>
      <c r="AE658" s="182"/>
      <c r="AF658" s="10" t="b">
        <v>0</v>
      </c>
      <c r="AG658" s="10" t="b">
        <v>0</v>
      </c>
      <c r="AH658" s="144"/>
      <c r="AI658" s="3"/>
      <c r="AJ658" s="10"/>
      <c r="AK658" s="3" t="s">
        <v>244</v>
      </c>
      <c r="AL658" s="5"/>
      <c r="AM658" s="5" t="s">
        <v>1294</v>
      </c>
      <c r="AN658" s="5" t="s">
        <v>1295</v>
      </c>
      <c r="AO658" s="5" t="s">
        <v>2185</v>
      </c>
      <c r="AP658" s="5" t="s">
        <v>2185</v>
      </c>
      <c r="AQ658" s="5" t="s">
        <v>2185</v>
      </c>
      <c r="AR658" s="5" t="s">
        <v>2185</v>
      </c>
      <c r="AS658" s="142"/>
      <c r="AT658" s="142" t="b">
        <v>0</v>
      </c>
      <c r="AU658" s="142"/>
      <c r="AV658" s="142"/>
      <c r="AW658" s="142"/>
      <c r="AX658" s="142"/>
      <c r="AY658" s="142"/>
      <c r="AZ658" s="174"/>
      <c r="BA658" s="142"/>
      <c r="BB658" s="142"/>
      <c r="BC658" s="142"/>
      <c r="BD658" s="142"/>
      <c r="BE658" s="142"/>
      <c r="BF658" s="142"/>
      <c r="BG658" s="142"/>
    </row>
    <row r="659">
      <c r="A659" s="5" t="s">
        <v>1945</v>
      </c>
      <c r="B659" s="44">
        <v>44625.0</v>
      </c>
      <c r="C659" s="150">
        <v>0.3190277777777778</v>
      </c>
      <c r="D659" s="3"/>
      <c r="E659" s="3"/>
      <c r="F659" s="5"/>
      <c r="G659" s="5"/>
      <c r="H659" s="5"/>
      <c r="I659" s="3"/>
      <c r="J659" s="3"/>
      <c r="K659" s="3" t="s">
        <v>244</v>
      </c>
      <c r="L659" s="44">
        <v>44625.0</v>
      </c>
      <c r="M659" s="150">
        <v>0.48975694444444445</v>
      </c>
      <c r="N659" s="5"/>
      <c r="O659" s="5"/>
      <c r="P659" s="10" t="b">
        <v>0</v>
      </c>
      <c r="Q659" s="10" t="s">
        <v>2184</v>
      </c>
      <c r="R659" s="144" t="b">
        <v>1</v>
      </c>
      <c r="S659" s="144">
        <v>1.0</v>
      </c>
      <c r="T659" s="10"/>
      <c r="U659" s="5"/>
      <c r="V659" s="3"/>
      <c r="W659" s="5"/>
      <c r="X659" s="144" t="b">
        <v>0</v>
      </c>
      <c r="Y659" s="10" t="b">
        <v>0</v>
      </c>
      <c r="Z659" s="3"/>
      <c r="AA659" s="10" t="b">
        <v>0</v>
      </c>
      <c r="AB659" s="10" t="b">
        <v>0</v>
      </c>
      <c r="AC659" s="181">
        <v>114.0</v>
      </c>
      <c r="AD659" s="144" t="b">
        <v>0</v>
      </c>
      <c r="AE659" s="182">
        <v>245.85000000000002</v>
      </c>
      <c r="AF659" s="10" t="b">
        <v>0</v>
      </c>
      <c r="AG659" s="10" t="b">
        <v>0</v>
      </c>
      <c r="AH659" s="144"/>
      <c r="AI659" s="3"/>
      <c r="AJ659" s="10"/>
      <c r="AK659" s="3" t="s">
        <v>244</v>
      </c>
      <c r="AL659" s="5"/>
      <c r="AM659" s="5" t="s">
        <v>587</v>
      </c>
      <c r="AN659" s="5" t="s">
        <v>588</v>
      </c>
      <c r="AO659" s="5" t="s">
        <v>2185</v>
      </c>
      <c r="AP659" s="5" t="s">
        <v>2185</v>
      </c>
      <c r="AQ659" s="5" t="s">
        <v>2185</v>
      </c>
      <c r="AR659" s="5" t="s">
        <v>2185</v>
      </c>
      <c r="AS659" s="142"/>
      <c r="AT659" s="142" t="b">
        <v>0</v>
      </c>
      <c r="AU659" s="142"/>
      <c r="AV659" s="142"/>
      <c r="AW659" s="142"/>
      <c r="AX659" s="142"/>
      <c r="AY659" s="142"/>
      <c r="AZ659" s="174"/>
      <c r="BA659" s="142"/>
      <c r="BB659" s="142"/>
      <c r="BC659" s="142"/>
      <c r="BD659" s="142"/>
      <c r="BE659" s="142"/>
      <c r="BF659" s="142"/>
      <c r="BG659" s="142"/>
    </row>
    <row r="660">
      <c r="A660" s="5" t="s">
        <v>1947</v>
      </c>
      <c r="B660" s="44">
        <v>44625.0</v>
      </c>
      <c r="C660" s="150">
        <v>0.3232175925925926</v>
      </c>
      <c r="D660" s="3"/>
      <c r="E660" s="3"/>
      <c r="F660" s="5"/>
      <c r="G660" s="5"/>
      <c r="H660" s="5"/>
      <c r="I660" s="3"/>
      <c r="J660" s="3"/>
      <c r="K660" s="3" t="s">
        <v>244</v>
      </c>
      <c r="L660" s="44">
        <v>44625.0</v>
      </c>
      <c r="M660" s="150">
        <v>0.48997685185185186</v>
      </c>
      <c r="N660" s="5"/>
      <c r="O660" s="5"/>
      <c r="P660" s="10" t="b">
        <v>0</v>
      </c>
      <c r="Q660" s="10" t="s">
        <v>2184</v>
      </c>
      <c r="R660" s="144" t="b">
        <v>1</v>
      </c>
      <c r="S660" s="144">
        <v>1.0</v>
      </c>
      <c r="T660" s="10"/>
      <c r="U660" s="5"/>
      <c r="V660" s="3"/>
      <c r="W660" s="5"/>
      <c r="X660" s="144" t="b">
        <v>0</v>
      </c>
      <c r="Y660" s="10" t="b">
        <v>0</v>
      </c>
      <c r="Z660" s="3"/>
      <c r="AA660" s="10" t="b">
        <v>0</v>
      </c>
      <c r="AB660" s="10" t="b">
        <v>0</v>
      </c>
      <c r="AC660" s="181">
        <v>113.0</v>
      </c>
      <c r="AD660" s="144" t="b">
        <v>0</v>
      </c>
      <c r="AE660" s="182">
        <v>240.13333333333335</v>
      </c>
      <c r="AF660" s="10" t="b">
        <v>0</v>
      </c>
      <c r="AG660" s="10" t="b">
        <v>0</v>
      </c>
      <c r="AH660" s="144"/>
      <c r="AI660" s="3"/>
      <c r="AJ660" s="10"/>
      <c r="AK660" s="3" t="s">
        <v>244</v>
      </c>
      <c r="AL660" s="5"/>
      <c r="AM660" s="5" t="s">
        <v>1516</v>
      </c>
      <c r="AN660" s="5" t="s">
        <v>1517</v>
      </c>
      <c r="AO660" s="5" t="s">
        <v>2185</v>
      </c>
      <c r="AP660" s="5" t="s">
        <v>2185</v>
      </c>
      <c r="AQ660" s="5" t="s">
        <v>2185</v>
      </c>
      <c r="AR660" s="5" t="s">
        <v>2185</v>
      </c>
      <c r="AS660" s="142"/>
      <c r="AT660" s="142" t="b">
        <v>0</v>
      </c>
      <c r="AU660" s="142"/>
      <c r="AV660" s="142"/>
      <c r="AW660" s="142"/>
      <c r="AX660" s="142"/>
      <c r="AY660" s="142"/>
      <c r="AZ660" s="174"/>
      <c r="BA660" s="142"/>
      <c r="BB660" s="142"/>
      <c r="BC660" s="142"/>
      <c r="BD660" s="142"/>
      <c r="BE660" s="142"/>
      <c r="BF660" s="142"/>
      <c r="BG660" s="142"/>
    </row>
    <row r="661">
      <c r="A661" s="5" t="s">
        <v>1949</v>
      </c>
      <c r="B661" s="44">
        <v>44625.0</v>
      </c>
      <c r="C661" s="150">
        <v>0.33188657407407407</v>
      </c>
      <c r="D661" s="3"/>
      <c r="E661" s="3"/>
      <c r="F661" s="5"/>
      <c r="G661" s="5"/>
      <c r="H661" s="5"/>
      <c r="I661" s="3"/>
      <c r="J661" s="3"/>
      <c r="K661" s="3" t="s">
        <v>244</v>
      </c>
      <c r="L661" s="44">
        <v>44625.0</v>
      </c>
      <c r="M661" s="150">
        <v>0.48975694444444445</v>
      </c>
      <c r="N661" s="5"/>
      <c r="O661" s="5"/>
      <c r="P661" s="10" t="b">
        <v>0</v>
      </c>
      <c r="Q661" s="10" t="s">
        <v>2184</v>
      </c>
      <c r="R661" s="144" t="b">
        <v>1</v>
      </c>
      <c r="S661" s="144">
        <v>1.0</v>
      </c>
      <c r="T661" s="10"/>
      <c r="U661" s="5"/>
      <c r="V661" s="3"/>
      <c r="W661" s="5"/>
      <c r="X661" s="144" t="b">
        <v>0</v>
      </c>
      <c r="Y661" s="10" t="b">
        <v>0</v>
      </c>
      <c r="Z661" s="3"/>
      <c r="AA661" s="10" t="b">
        <v>0</v>
      </c>
      <c r="AB661" s="10" t="b">
        <v>0</v>
      </c>
      <c r="AC661" s="181">
        <v>112.0</v>
      </c>
      <c r="AD661" s="144" t="b">
        <v>0</v>
      </c>
      <c r="AE661" s="182">
        <v>227.33333333333334</v>
      </c>
      <c r="AF661" s="10" t="b">
        <v>0</v>
      </c>
      <c r="AG661" s="10" t="b">
        <v>0</v>
      </c>
      <c r="AH661" s="144"/>
      <c r="AI661" s="3"/>
      <c r="AJ661" s="10"/>
      <c r="AK661" s="3" t="s">
        <v>244</v>
      </c>
      <c r="AL661" s="5"/>
      <c r="AM661" s="5" t="s">
        <v>257</v>
      </c>
      <c r="AN661" s="5" t="s">
        <v>406</v>
      </c>
      <c r="AO661" s="5" t="s">
        <v>2185</v>
      </c>
      <c r="AP661" s="5" t="s">
        <v>2185</v>
      </c>
      <c r="AQ661" s="5" t="s">
        <v>2185</v>
      </c>
      <c r="AR661" s="5" t="s">
        <v>2185</v>
      </c>
      <c r="AS661" s="142"/>
      <c r="AT661" s="142" t="b">
        <v>0</v>
      </c>
      <c r="AU661" s="142"/>
      <c r="AV661" s="142"/>
      <c r="AW661" s="142"/>
      <c r="AX661" s="142"/>
      <c r="AY661" s="142"/>
      <c r="AZ661" s="174"/>
      <c r="BA661" s="142"/>
      <c r="BB661" s="142"/>
      <c r="BC661" s="142"/>
      <c r="BD661" s="142"/>
      <c r="BE661" s="142"/>
      <c r="BF661" s="142"/>
      <c r="BG661" s="142"/>
    </row>
    <row r="662">
      <c r="A662" s="5" t="s">
        <v>1951</v>
      </c>
      <c r="B662" s="44">
        <v>44625.0</v>
      </c>
      <c r="C662" s="150">
        <v>0.3324884259259259</v>
      </c>
      <c r="D662" s="3"/>
      <c r="E662" s="3"/>
      <c r="F662" s="5"/>
      <c r="G662" s="5"/>
      <c r="H662" s="5"/>
      <c r="I662" s="3"/>
      <c r="J662" s="3"/>
      <c r="K662" s="3" t="s">
        <v>244</v>
      </c>
      <c r="L662" s="44">
        <v>44625.0</v>
      </c>
      <c r="M662" s="150">
        <v>0.48975694444444445</v>
      </c>
      <c r="N662" s="5"/>
      <c r="O662" s="5"/>
      <c r="P662" s="10" t="b">
        <v>0</v>
      </c>
      <c r="Q662" s="10" t="s">
        <v>2184</v>
      </c>
      <c r="R662" s="144" t="b">
        <v>1</v>
      </c>
      <c r="S662" s="144">
        <v>1.0</v>
      </c>
      <c r="T662" s="10"/>
      <c r="U662" s="5"/>
      <c r="V662" s="3"/>
      <c r="W662" s="5"/>
      <c r="X662" s="144" t="b">
        <v>0</v>
      </c>
      <c r="Y662" s="10" t="b">
        <v>0</v>
      </c>
      <c r="Z662" s="3"/>
      <c r="AA662" s="10" t="b">
        <v>0</v>
      </c>
      <c r="AB662" s="10" t="b">
        <v>0</v>
      </c>
      <c r="AC662" s="181">
        <v>111.0</v>
      </c>
      <c r="AD662" s="144" t="b">
        <v>0</v>
      </c>
      <c r="AE662" s="182">
        <v>226.4666666666667</v>
      </c>
      <c r="AF662" s="10" t="b">
        <v>0</v>
      </c>
      <c r="AG662" s="10" t="b">
        <v>0</v>
      </c>
      <c r="AH662" s="144"/>
      <c r="AI662" s="3"/>
      <c r="AJ662" s="10"/>
      <c r="AK662" s="3" t="s">
        <v>244</v>
      </c>
      <c r="AL662" s="5"/>
      <c r="AM662" s="5" t="s">
        <v>1638</v>
      </c>
      <c r="AN662" s="5" t="s">
        <v>1639</v>
      </c>
      <c r="AO662" s="5" t="s">
        <v>2185</v>
      </c>
      <c r="AP662" s="5" t="s">
        <v>2185</v>
      </c>
      <c r="AQ662" s="5" t="s">
        <v>2185</v>
      </c>
      <c r="AR662" s="5" t="s">
        <v>2185</v>
      </c>
      <c r="AS662" s="142"/>
      <c r="AT662" s="142" t="b">
        <v>0</v>
      </c>
      <c r="AU662" s="142"/>
      <c r="AV662" s="142"/>
      <c r="AW662" s="142"/>
      <c r="AX662" s="142"/>
      <c r="AY662" s="142"/>
      <c r="AZ662" s="174"/>
      <c r="BA662" s="142"/>
      <c r="BB662" s="142"/>
      <c r="BC662" s="142"/>
      <c r="BD662" s="142"/>
      <c r="BE662" s="142"/>
      <c r="BF662" s="142"/>
      <c r="BG662" s="142"/>
    </row>
    <row r="663">
      <c r="A663" s="5" t="s">
        <v>1953</v>
      </c>
      <c r="B663" s="44">
        <v>44625.0</v>
      </c>
      <c r="C663" s="150">
        <v>0.3350462962962963</v>
      </c>
      <c r="D663" s="3"/>
      <c r="E663" s="3"/>
      <c r="F663" s="5"/>
      <c r="G663" s="5"/>
      <c r="H663" s="5"/>
      <c r="I663" s="3"/>
      <c r="J663" s="3"/>
      <c r="K663" s="3" t="s">
        <v>244</v>
      </c>
      <c r="L663" s="44">
        <v>44625.0</v>
      </c>
      <c r="M663" s="150">
        <v>0.48975694444444445</v>
      </c>
      <c r="N663" s="5"/>
      <c r="O663" s="5"/>
      <c r="P663" s="10" t="b">
        <v>0</v>
      </c>
      <c r="Q663" s="10" t="s">
        <v>2184</v>
      </c>
      <c r="R663" s="144" t="b">
        <v>1</v>
      </c>
      <c r="S663" s="144">
        <v>1.0</v>
      </c>
      <c r="T663" s="10"/>
      <c r="U663" s="5"/>
      <c r="V663" s="3"/>
      <c r="W663" s="5"/>
      <c r="X663" s="144" t="b">
        <v>0</v>
      </c>
      <c r="Y663" s="10" t="b">
        <v>0</v>
      </c>
      <c r="Z663" s="3"/>
      <c r="AA663" s="10" t="b">
        <v>0</v>
      </c>
      <c r="AB663" s="10" t="b">
        <v>0</v>
      </c>
      <c r="AC663" s="181">
        <v>110.0</v>
      </c>
      <c r="AD663" s="144" t="b">
        <v>0</v>
      </c>
      <c r="AE663" s="182">
        <v>222.78333333333336</v>
      </c>
      <c r="AF663" s="10" t="b">
        <v>0</v>
      </c>
      <c r="AG663" s="10" t="b">
        <v>0</v>
      </c>
      <c r="AH663" s="144"/>
      <c r="AI663" s="3"/>
      <c r="AJ663" s="10"/>
      <c r="AK663" s="3" t="s">
        <v>244</v>
      </c>
      <c r="AL663" s="5"/>
      <c r="AM663" s="5" t="s">
        <v>850</v>
      </c>
      <c r="AN663" s="5" t="s">
        <v>851</v>
      </c>
      <c r="AO663" s="5" t="s">
        <v>2185</v>
      </c>
      <c r="AP663" s="5" t="s">
        <v>2185</v>
      </c>
      <c r="AQ663" s="5" t="s">
        <v>2185</v>
      </c>
      <c r="AR663" s="5" t="s">
        <v>2185</v>
      </c>
      <c r="AS663" s="142"/>
      <c r="AT663" s="142" t="b">
        <v>0</v>
      </c>
      <c r="AU663" s="142"/>
      <c r="AV663" s="142"/>
      <c r="AW663" s="142"/>
      <c r="AX663" s="142"/>
      <c r="AY663" s="142"/>
      <c r="AZ663" s="174"/>
      <c r="BA663" s="142"/>
      <c r="BB663" s="142"/>
      <c r="BC663" s="142"/>
      <c r="BD663" s="142"/>
      <c r="BE663" s="142"/>
      <c r="BF663" s="142"/>
      <c r="BG663" s="142"/>
    </row>
    <row r="664">
      <c r="A664" s="5" t="s">
        <v>1955</v>
      </c>
      <c r="B664" s="44">
        <v>44625.0</v>
      </c>
      <c r="C664" s="150">
        <v>0.3416666666666667</v>
      </c>
      <c r="D664" s="3"/>
      <c r="E664" s="3"/>
      <c r="F664" s="5"/>
      <c r="G664" s="5"/>
      <c r="H664" s="5"/>
      <c r="I664" s="3"/>
      <c r="J664" s="3"/>
      <c r="K664" s="3" t="s">
        <v>244</v>
      </c>
      <c r="L664" s="44">
        <v>44625.0</v>
      </c>
      <c r="M664" s="150">
        <v>0.48975694444444445</v>
      </c>
      <c r="N664" s="5"/>
      <c r="O664" s="5"/>
      <c r="P664" s="10" t="b">
        <v>0</v>
      </c>
      <c r="Q664" s="10" t="s">
        <v>2184</v>
      </c>
      <c r="R664" s="144" t="b">
        <v>1</v>
      </c>
      <c r="S664" s="144">
        <v>1.0</v>
      </c>
      <c r="T664" s="10"/>
      <c r="U664" s="5"/>
      <c r="V664" s="3"/>
      <c r="W664" s="5"/>
      <c r="X664" s="144" t="b">
        <v>0</v>
      </c>
      <c r="Y664" s="10" t="b">
        <v>0</v>
      </c>
      <c r="Z664" s="3"/>
      <c r="AA664" s="10" t="b">
        <v>0</v>
      </c>
      <c r="AB664" s="10" t="b">
        <v>0</v>
      </c>
      <c r="AC664" s="181">
        <v>109.0</v>
      </c>
      <c r="AD664" s="144" t="b">
        <v>0</v>
      </c>
      <c r="AE664" s="182">
        <v>213.25</v>
      </c>
      <c r="AF664" s="10" t="b">
        <v>0</v>
      </c>
      <c r="AG664" s="10" t="b">
        <v>0</v>
      </c>
      <c r="AH664" s="144"/>
      <c r="AI664" s="3"/>
      <c r="AJ664" s="10"/>
      <c r="AK664" s="3" t="s">
        <v>244</v>
      </c>
      <c r="AL664" s="5"/>
      <c r="AM664" s="5" t="s">
        <v>1473</v>
      </c>
      <c r="AN664" s="5" t="s">
        <v>1474</v>
      </c>
      <c r="AO664" s="5" t="s">
        <v>2185</v>
      </c>
      <c r="AP664" s="5" t="s">
        <v>2185</v>
      </c>
      <c r="AQ664" s="5" t="s">
        <v>2185</v>
      </c>
      <c r="AR664" s="5" t="s">
        <v>2185</v>
      </c>
      <c r="AS664" s="142"/>
      <c r="AT664" s="142" t="b">
        <v>0</v>
      </c>
      <c r="AU664" s="142"/>
      <c r="AV664" s="142"/>
      <c r="AW664" s="142"/>
      <c r="AX664" s="142"/>
      <c r="AY664" s="142"/>
      <c r="AZ664" s="174"/>
      <c r="BA664" s="142"/>
      <c r="BB664" s="142"/>
      <c r="BC664" s="142"/>
      <c r="BD664" s="142"/>
      <c r="BE664" s="142"/>
      <c r="BF664" s="142"/>
      <c r="BG664" s="142"/>
    </row>
    <row r="665">
      <c r="A665" s="5" t="s">
        <v>1957</v>
      </c>
      <c r="B665" s="44">
        <v>44625.0</v>
      </c>
      <c r="C665" s="150">
        <v>0.34193287037037035</v>
      </c>
      <c r="D665" s="3"/>
      <c r="E665" s="3"/>
      <c r="F665" s="5"/>
      <c r="G665" s="5"/>
      <c r="H665" s="5"/>
      <c r="I665" s="3"/>
      <c r="J665" s="3"/>
      <c r="K665" s="3" t="s">
        <v>244</v>
      </c>
      <c r="L665" s="44">
        <v>44625.0</v>
      </c>
      <c r="M665" s="150">
        <v>0.48975694444444445</v>
      </c>
      <c r="N665" s="5"/>
      <c r="O665" s="5"/>
      <c r="P665" s="10" t="b">
        <v>0</v>
      </c>
      <c r="Q665" s="10" t="s">
        <v>2184</v>
      </c>
      <c r="R665" s="144" t="b">
        <v>1</v>
      </c>
      <c r="S665" s="144">
        <v>1.0</v>
      </c>
      <c r="T665" s="10"/>
      <c r="U665" s="5"/>
      <c r="V665" s="3"/>
      <c r="W665" s="5"/>
      <c r="X665" s="144" t="b">
        <v>0</v>
      </c>
      <c r="Y665" s="10" t="b">
        <v>0</v>
      </c>
      <c r="Z665" s="3"/>
      <c r="AA665" s="10" t="b">
        <v>0</v>
      </c>
      <c r="AB665" s="10" t="b">
        <v>0</v>
      </c>
      <c r="AC665" s="181">
        <v>108.0</v>
      </c>
      <c r="AD665" s="144" t="b">
        <v>0</v>
      </c>
      <c r="AE665" s="182">
        <v>212.8666666666667</v>
      </c>
      <c r="AF665" s="10" t="b">
        <v>0</v>
      </c>
      <c r="AG665" s="10" t="b">
        <v>0</v>
      </c>
      <c r="AH665" s="144"/>
      <c r="AI665" s="3"/>
      <c r="AJ665" s="10"/>
      <c r="AK665" s="3" t="s">
        <v>244</v>
      </c>
      <c r="AL665" s="5"/>
      <c r="AM665" s="5" t="s">
        <v>491</v>
      </c>
      <c r="AN665" s="5" t="s">
        <v>495</v>
      </c>
      <c r="AO665" s="5" t="s">
        <v>2185</v>
      </c>
      <c r="AP665" s="5" t="s">
        <v>2185</v>
      </c>
      <c r="AQ665" s="5" t="s">
        <v>2185</v>
      </c>
      <c r="AR665" s="5" t="s">
        <v>2185</v>
      </c>
      <c r="AS665" s="142"/>
      <c r="AT665" s="142" t="b">
        <v>0</v>
      </c>
      <c r="AU665" s="142"/>
      <c r="AV665" s="142"/>
      <c r="AW665" s="142"/>
      <c r="AX665" s="142"/>
      <c r="AY665" s="142"/>
      <c r="AZ665" s="174"/>
      <c r="BA665" s="142"/>
      <c r="BB665" s="142"/>
      <c r="BC665" s="142"/>
      <c r="BD665" s="142"/>
      <c r="BE665" s="142"/>
      <c r="BF665" s="142"/>
      <c r="BG665" s="142"/>
    </row>
    <row r="666">
      <c r="A666" s="5" t="s">
        <v>1959</v>
      </c>
      <c r="B666" s="44">
        <v>44625.0</v>
      </c>
      <c r="C666" s="150">
        <v>0.3421875</v>
      </c>
      <c r="D666" s="3"/>
      <c r="E666" s="3"/>
      <c r="F666" s="5"/>
      <c r="G666" s="5"/>
      <c r="H666" s="5"/>
      <c r="I666" s="3"/>
      <c r="J666" s="3"/>
      <c r="K666" s="3" t="s">
        <v>244</v>
      </c>
      <c r="L666" s="44">
        <v>44625.0</v>
      </c>
      <c r="M666" s="150">
        <v>0.48975694444444445</v>
      </c>
      <c r="N666" s="5"/>
      <c r="O666" s="5"/>
      <c r="P666" s="10" t="b">
        <v>0</v>
      </c>
      <c r="Q666" s="10" t="s">
        <v>2184</v>
      </c>
      <c r="R666" s="144" t="b">
        <v>1</v>
      </c>
      <c r="S666" s="144">
        <v>1.0</v>
      </c>
      <c r="T666" s="10"/>
      <c r="U666" s="5"/>
      <c r="V666" s="3"/>
      <c r="W666" s="5"/>
      <c r="X666" s="144" t="b">
        <v>0</v>
      </c>
      <c r="Y666" s="10" t="b">
        <v>0</v>
      </c>
      <c r="Z666" s="3"/>
      <c r="AA666" s="10" t="b">
        <v>0</v>
      </c>
      <c r="AB666" s="10" t="b">
        <v>0</v>
      </c>
      <c r="AC666" s="181">
        <v>107.0</v>
      </c>
      <c r="AD666" s="144" t="b">
        <v>0</v>
      </c>
      <c r="AE666" s="182">
        <v>212.50000000000006</v>
      </c>
      <c r="AF666" s="10" t="b">
        <v>0</v>
      </c>
      <c r="AG666" s="10" t="b">
        <v>0</v>
      </c>
      <c r="AH666" s="144"/>
      <c r="AI666" s="3"/>
      <c r="AJ666" s="10"/>
      <c r="AK666" s="3" t="s">
        <v>244</v>
      </c>
      <c r="AL666" s="5"/>
      <c r="AM666" s="5" t="s">
        <v>857</v>
      </c>
      <c r="AN666" s="5" t="s">
        <v>696</v>
      </c>
      <c r="AO666" s="5" t="s">
        <v>2185</v>
      </c>
      <c r="AP666" s="5" t="s">
        <v>2185</v>
      </c>
      <c r="AQ666" s="5" t="s">
        <v>2185</v>
      </c>
      <c r="AR666" s="5" t="s">
        <v>2185</v>
      </c>
      <c r="AS666" s="142"/>
      <c r="AT666" s="142" t="b">
        <v>0</v>
      </c>
      <c r="AU666" s="142"/>
      <c r="AV666" s="142"/>
      <c r="AW666" s="142"/>
      <c r="AX666" s="142"/>
      <c r="AY666" s="142"/>
      <c r="AZ666" s="174"/>
      <c r="BA666" s="142"/>
      <c r="BB666" s="142"/>
      <c r="BC666" s="142"/>
      <c r="BD666" s="142"/>
      <c r="BE666" s="142"/>
      <c r="BF666" s="142"/>
      <c r="BG666" s="142"/>
    </row>
    <row r="667">
      <c r="A667" s="5" t="s">
        <v>1961</v>
      </c>
      <c r="B667" s="44">
        <v>44625.0</v>
      </c>
      <c r="C667" s="150">
        <v>0.35530092592592594</v>
      </c>
      <c r="D667" s="3"/>
      <c r="E667" s="3"/>
      <c r="F667" s="5"/>
      <c r="G667" s="5"/>
      <c r="H667" s="5"/>
      <c r="I667" s="3"/>
      <c r="J667" s="3"/>
      <c r="K667" s="3" t="s">
        <v>52</v>
      </c>
      <c r="L667" s="44">
        <v>44627.0</v>
      </c>
      <c r="M667" s="150">
        <v>0.4779861111111111</v>
      </c>
      <c r="N667" s="5"/>
      <c r="O667" s="5"/>
      <c r="P667" s="10" t="b">
        <v>0</v>
      </c>
      <c r="Q667" s="10" t="s">
        <v>2184</v>
      </c>
      <c r="R667" s="144" t="b">
        <v>1</v>
      </c>
      <c r="S667" s="144">
        <v>1.0</v>
      </c>
      <c r="T667" s="10"/>
      <c r="U667" s="5"/>
      <c r="V667" s="3"/>
      <c r="W667" s="5"/>
      <c r="X667" s="144" t="b">
        <v>0</v>
      </c>
      <c r="Y667" s="10" t="b">
        <v>0</v>
      </c>
      <c r="Z667" s="3"/>
      <c r="AA667" s="10" t="b">
        <v>0</v>
      </c>
      <c r="AB667" s="10" t="b">
        <v>0</v>
      </c>
      <c r="AC667" s="181">
        <v>106.0</v>
      </c>
      <c r="AD667" s="144" t="b">
        <v>0</v>
      </c>
      <c r="AE667" s="182"/>
      <c r="AF667" s="10" t="b">
        <v>0</v>
      </c>
      <c r="AG667" s="10" t="b">
        <v>0</v>
      </c>
      <c r="AH667" s="144"/>
      <c r="AI667" s="3"/>
      <c r="AJ667" s="10"/>
      <c r="AK667" s="3" t="s">
        <v>52</v>
      </c>
      <c r="AL667" s="5"/>
      <c r="AM667" s="5" t="s">
        <v>269</v>
      </c>
      <c r="AN667" s="5" t="s">
        <v>270</v>
      </c>
      <c r="AO667" s="5" t="s">
        <v>2185</v>
      </c>
      <c r="AP667" s="5" t="s">
        <v>2185</v>
      </c>
      <c r="AQ667" s="5" t="s">
        <v>2185</v>
      </c>
      <c r="AR667" s="5" t="s">
        <v>2185</v>
      </c>
      <c r="AS667" s="142"/>
      <c r="AT667" s="142" t="b">
        <v>0</v>
      </c>
      <c r="AU667" s="142"/>
      <c r="AV667" s="142"/>
      <c r="AW667" s="142"/>
      <c r="AX667" s="142"/>
      <c r="AY667" s="142"/>
      <c r="AZ667" s="174"/>
      <c r="BA667" s="142"/>
      <c r="BB667" s="142"/>
      <c r="BC667" s="142"/>
      <c r="BD667" s="142"/>
      <c r="BE667" s="142"/>
      <c r="BF667" s="142"/>
      <c r="BG667" s="142"/>
    </row>
    <row r="668">
      <c r="A668" s="5" t="s">
        <v>1963</v>
      </c>
      <c r="B668" s="44">
        <v>44625.0</v>
      </c>
      <c r="C668" s="150">
        <v>0.36768518518518517</v>
      </c>
      <c r="D668" s="3"/>
      <c r="E668" s="3"/>
      <c r="F668" s="5"/>
      <c r="G668" s="5"/>
      <c r="H668" s="5"/>
      <c r="I668" s="3"/>
      <c r="J668" s="3"/>
      <c r="K668" s="3" t="s">
        <v>244</v>
      </c>
      <c r="L668" s="44">
        <v>44625.0</v>
      </c>
      <c r="M668" s="150">
        <v>0.48975694444444445</v>
      </c>
      <c r="N668" s="5"/>
      <c r="O668" s="5"/>
      <c r="P668" s="10" t="b">
        <v>0</v>
      </c>
      <c r="Q668" s="10" t="s">
        <v>2184</v>
      </c>
      <c r="R668" s="144" t="b">
        <v>1</v>
      </c>
      <c r="S668" s="144">
        <v>1.0</v>
      </c>
      <c r="T668" s="10"/>
      <c r="U668" s="5"/>
      <c r="V668" s="3"/>
      <c r="W668" s="5"/>
      <c r="X668" s="144" t="b">
        <v>0</v>
      </c>
      <c r="Y668" s="10" t="b">
        <v>0</v>
      </c>
      <c r="Z668" s="3"/>
      <c r="AA668" s="10" t="b">
        <v>0</v>
      </c>
      <c r="AB668" s="10" t="b">
        <v>0</v>
      </c>
      <c r="AC668" s="181">
        <v>105.0</v>
      </c>
      <c r="AD668" s="144" t="b">
        <v>0</v>
      </c>
      <c r="AE668" s="182">
        <v>175.78333333333336</v>
      </c>
      <c r="AF668" s="10" t="b">
        <v>0</v>
      </c>
      <c r="AG668" s="10" t="b">
        <v>0</v>
      </c>
      <c r="AH668" s="144"/>
      <c r="AI668" s="3"/>
      <c r="AJ668" s="10"/>
      <c r="AK668" s="3" t="s">
        <v>244</v>
      </c>
      <c r="AL668" s="5"/>
      <c r="AM668" s="5" t="s">
        <v>577</v>
      </c>
      <c r="AN668" s="5" t="s">
        <v>578</v>
      </c>
      <c r="AO668" s="5" t="s">
        <v>2185</v>
      </c>
      <c r="AP668" s="5" t="s">
        <v>2185</v>
      </c>
      <c r="AQ668" s="5" t="s">
        <v>2185</v>
      </c>
      <c r="AR668" s="5" t="s">
        <v>2185</v>
      </c>
      <c r="AS668" s="142"/>
      <c r="AT668" s="142" t="b">
        <v>0</v>
      </c>
      <c r="AU668" s="142"/>
      <c r="AV668" s="142"/>
      <c r="AW668" s="142"/>
      <c r="AX668" s="142"/>
      <c r="AY668" s="142"/>
      <c r="AZ668" s="174"/>
      <c r="BA668" s="142"/>
      <c r="BB668" s="142"/>
      <c r="BC668" s="142"/>
      <c r="BD668" s="142"/>
      <c r="BE668" s="142"/>
      <c r="BF668" s="142"/>
      <c r="BG668" s="142"/>
    </row>
    <row r="669">
      <c r="A669" s="5" t="s">
        <v>1965</v>
      </c>
      <c r="B669" s="44">
        <v>44625.0</v>
      </c>
      <c r="C669" s="150">
        <v>0.3858333333333333</v>
      </c>
      <c r="D669" s="3"/>
      <c r="E669" s="3"/>
      <c r="F669" s="5"/>
      <c r="G669" s="5"/>
      <c r="H669" s="5"/>
      <c r="I669" s="3"/>
      <c r="J669" s="3"/>
      <c r="K669" s="3" t="s">
        <v>244</v>
      </c>
      <c r="L669" s="44">
        <v>44625.0</v>
      </c>
      <c r="M669" s="150">
        <v>0.48975694444444445</v>
      </c>
      <c r="N669" s="5"/>
      <c r="O669" s="5"/>
      <c r="P669" s="10" t="b">
        <v>0</v>
      </c>
      <c r="Q669" s="10" t="s">
        <v>2184</v>
      </c>
      <c r="R669" s="144" t="b">
        <v>1</v>
      </c>
      <c r="S669" s="144">
        <v>1.0</v>
      </c>
      <c r="T669" s="10"/>
      <c r="U669" s="5"/>
      <c r="V669" s="3"/>
      <c r="W669" s="5"/>
      <c r="X669" s="144" t="b">
        <v>0</v>
      </c>
      <c r="Y669" s="10" t="b">
        <v>0</v>
      </c>
      <c r="Z669" s="3"/>
      <c r="AA669" s="10" t="b">
        <v>0</v>
      </c>
      <c r="AB669" s="10" t="b">
        <v>0</v>
      </c>
      <c r="AC669" s="181">
        <v>104.0</v>
      </c>
      <c r="AD669" s="144" t="b">
        <v>0</v>
      </c>
      <c r="AE669" s="182">
        <v>149.65000000000006</v>
      </c>
      <c r="AF669" s="10" t="b">
        <v>0</v>
      </c>
      <c r="AG669" s="10" t="b">
        <v>0</v>
      </c>
      <c r="AH669" s="144"/>
      <c r="AI669" s="3"/>
      <c r="AJ669" s="10"/>
      <c r="AK669" s="3" t="s">
        <v>244</v>
      </c>
      <c r="AL669" s="5"/>
      <c r="AM669" s="5" t="s">
        <v>457</v>
      </c>
      <c r="AN669" s="5" t="s">
        <v>458</v>
      </c>
      <c r="AO669" s="5" t="s">
        <v>2185</v>
      </c>
      <c r="AP669" s="5" t="s">
        <v>2185</v>
      </c>
      <c r="AQ669" s="5" t="s">
        <v>2185</v>
      </c>
      <c r="AR669" s="5" t="s">
        <v>2185</v>
      </c>
      <c r="AS669" s="142"/>
      <c r="AT669" s="142" t="b">
        <v>0</v>
      </c>
      <c r="AU669" s="142"/>
      <c r="AV669" s="142"/>
      <c r="AW669" s="142"/>
      <c r="AX669" s="142"/>
      <c r="AY669" s="142"/>
      <c r="AZ669" s="174"/>
      <c r="BA669" s="142"/>
      <c r="BB669" s="142"/>
      <c r="BC669" s="142"/>
      <c r="BD669" s="142"/>
      <c r="BE669" s="142"/>
      <c r="BF669" s="142"/>
      <c r="BG669" s="142"/>
    </row>
    <row r="670">
      <c r="A670" s="5" t="s">
        <v>1967</v>
      </c>
      <c r="B670" s="44">
        <v>44625.0</v>
      </c>
      <c r="C670" s="150">
        <v>0.3939930555555556</v>
      </c>
      <c r="D670" s="3"/>
      <c r="E670" s="3"/>
      <c r="F670" s="5"/>
      <c r="G670" s="5"/>
      <c r="H670" s="5"/>
      <c r="I670" s="3"/>
      <c r="J670" s="3"/>
      <c r="K670" s="3" t="s">
        <v>244</v>
      </c>
      <c r="L670" s="44">
        <v>44625.0</v>
      </c>
      <c r="M670" s="150">
        <v>0.48998842592592595</v>
      </c>
      <c r="N670" s="5"/>
      <c r="O670" s="5"/>
      <c r="P670" s="10" t="b">
        <v>0</v>
      </c>
      <c r="Q670" s="10" t="s">
        <v>2184</v>
      </c>
      <c r="R670" s="144" t="b">
        <v>1</v>
      </c>
      <c r="S670" s="144">
        <v>1.0</v>
      </c>
      <c r="T670" s="10">
        <v>0.0</v>
      </c>
      <c r="U670" s="5"/>
      <c r="V670" s="3"/>
      <c r="W670" s="5"/>
      <c r="X670" s="144" t="b">
        <v>0</v>
      </c>
      <c r="Y670" s="10" t="b">
        <v>0</v>
      </c>
      <c r="Z670" s="3"/>
      <c r="AA670" s="10" t="b">
        <v>0</v>
      </c>
      <c r="AB670" s="10" t="b">
        <v>0</v>
      </c>
      <c r="AC670" s="181">
        <v>103.0</v>
      </c>
      <c r="AD670" s="144" t="b">
        <v>0</v>
      </c>
      <c r="AE670" s="182">
        <v>138.23333333333332</v>
      </c>
      <c r="AF670" s="10" t="b">
        <v>0</v>
      </c>
      <c r="AG670" s="10" t="b">
        <v>0</v>
      </c>
      <c r="AH670" s="144"/>
      <c r="AI670" s="3"/>
      <c r="AJ670" s="10"/>
      <c r="AK670" s="3" t="s">
        <v>244</v>
      </c>
      <c r="AL670" s="5"/>
      <c r="AM670" s="5" t="s">
        <v>1757</v>
      </c>
      <c r="AN670" s="5" t="s">
        <v>1905</v>
      </c>
      <c r="AO670" s="5" t="s">
        <v>2185</v>
      </c>
      <c r="AP670" s="5" t="s">
        <v>2185</v>
      </c>
      <c r="AQ670" s="5" t="s">
        <v>2185</v>
      </c>
      <c r="AR670" s="5" t="s">
        <v>2185</v>
      </c>
      <c r="AS670" s="142"/>
      <c r="AT670" s="142" t="b">
        <v>0</v>
      </c>
      <c r="AU670" s="142"/>
      <c r="AV670" s="142"/>
      <c r="AW670" s="142"/>
      <c r="AX670" s="142"/>
      <c r="AY670" s="142"/>
      <c r="AZ670" s="174"/>
      <c r="BA670" s="142"/>
      <c r="BB670" s="142"/>
      <c r="BC670" s="142"/>
      <c r="BD670" s="142"/>
      <c r="BE670" s="142"/>
      <c r="BF670" s="142"/>
      <c r="BG670" s="142"/>
    </row>
    <row r="671">
      <c r="A671" s="5" t="s">
        <v>1969</v>
      </c>
      <c r="B671" s="44">
        <v>44625.0</v>
      </c>
      <c r="C671" s="150">
        <v>0.3943171296296296</v>
      </c>
      <c r="D671" s="3"/>
      <c r="E671" s="3"/>
      <c r="F671" s="5"/>
      <c r="G671" s="5"/>
      <c r="H671" s="5"/>
      <c r="I671" s="3"/>
      <c r="J671" s="3"/>
      <c r="K671" s="3" t="s">
        <v>244</v>
      </c>
      <c r="L671" s="44">
        <v>44625.0</v>
      </c>
      <c r="M671" s="150">
        <v>0.48975694444444445</v>
      </c>
      <c r="N671" s="5"/>
      <c r="O671" s="5"/>
      <c r="P671" s="10" t="b">
        <v>0</v>
      </c>
      <c r="Q671" s="10" t="s">
        <v>2184</v>
      </c>
      <c r="R671" s="144" t="b">
        <v>1</v>
      </c>
      <c r="S671" s="144">
        <v>1.0</v>
      </c>
      <c r="T671" s="10">
        <v>0.0</v>
      </c>
      <c r="U671" s="5"/>
      <c r="V671" s="3"/>
      <c r="W671" s="5"/>
      <c r="X671" s="144" t="b">
        <v>0</v>
      </c>
      <c r="Y671" s="10" t="b">
        <v>0</v>
      </c>
      <c r="Z671" s="3"/>
      <c r="AA671" s="10" t="b">
        <v>0</v>
      </c>
      <c r="AB671" s="10" t="b">
        <v>0</v>
      </c>
      <c r="AC671" s="181">
        <v>102.0</v>
      </c>
      <c r="AD671" s="144" t="b">
        <v>0</v>
      </c>
      <c r="AE671" s="182">
        <v>137.43333333333337</v>
      </c>
      <c r="AF671" s="10" t="b">
        <v>0</v>
      </c>
      <c r="AG671" s="10" t="b">
        <v>0</v>
      </c>
      <c r="AH671" s="144"/>
      <c r="AI671" s="3"/>
      <c r="AJ671" s="10"/>
      <c r="AK671" s="3" t="s">
        <v>244</v>
      </c>
      <c r="AL671" s="5"/>
      <c r="AM671" s="5" t="s">
        <v>1757</v>
      </c>
      <c r="AN671" s="5" t="s">
        <v>1828</v>
      </c>
      <c r="AO671" s="5" t="s">
        <v>2185</v>
      </c>
      <c r="AP671" s="5" t="s">
        <v>2185</v>
      </c>
      <c r="AQ671" s="5" t="s">
        <v>2185</v>
      </c>
      <c r="AR671" s="5" t="s">
        <v>2185</v>
      </c>
      <c r="AS671" s="142"/>
      <c r="AT671" s="142" t="b">
        <v>0</v>
      </c>
      <c r="AU671" s="142"/>
      <c r="AV671" s="142"/>
      <c r="AW671" s="142"/>
      <c r="AX671" s="142"/>
      <c r="AY671" s="142"/>
      <c r="AZ671" s="174"/>
      <c r="BA671" s="142"/>
      <c r="BB671" s="142"/>
      <c r="BC671" s="142"/>
      <c r="BD671" s="142"/>
      <c r="BE671" s="142"/>
      <c r="BF671" s="142"/>
      <c r="BG671" s="142"/>
    </row>
    <row r="672">
      <c r="A672" s="5" t="s">
        <v>1971</v>
      </c>
      <c r="B672" s="44">
        <v>44625.0</v>
      </c>
      <c r="C672" s="150">
        <v>0.39457175925925925</v>
      </c>
      <c r="D672" s="3"/>
      <c r="E672" s="3"/>
      <c r="F672" s="5"/>
      <c r="G672" s="5"/>
      <c r="H672" s="5"/>
      <c r="I672" s="3"/>
      <c r="J672" s="3"/>
      <c r="K672" s="3" t="s">
        <v>244</v>
      </c>
      <c r="L672" s="44">
        <v>44625.0</v>
      </c>
      <c r="M672" s="150">
        <v>0.48975694444444445</v>
      </c>
      <c r="N672" s="5"/>
      <c r="O672" s="5"/>
      <c r="P672" s="10" t="b">
        <v>0</v>
      </c>
      <c r="Q672" s="10" t="s">
        <v>2184</v>
      </c>
      <c r="R672" s="144" t="b">
        <v>1</v>
      </c>
      <c r="S672" s="144">
        <v>1.0</v>
      </c>
      <c r="T672" s="10">
        <v>0.0</v>
      </c>
      <c r="U672" s="5"/>
      <c r="V672" s="3"/>
      <c r="W672" s="5"/>
      <c r="X672" s="144" t="b">
        <v>0</v>
      </c>
      <c r="Y672" s="10" t="b">
        <v>0</v>
      </c>
      <c r="Z672" s="3"/>
      <c r="AA672" s="10" t="b">
        <v>0</v>
      </c>
      <c r="AB672" s="10" t="b">
        <v>0</v>
      </c>
      <c r="AC672" s="181">
        <v>101.0</v>
      </c>
      <c r="AD672" s="144" t="b">
        <v>0</v>
      </c>
      <c r="AE672" s="182">
        <v>137.0666666666667</v>
      </c>
      <c r="AF672" s="10" t="b">
        <v>0</v>
      </c>
      <c r="AG672" s="10" t="b">
        <v>0</v>
      </c>
      <c r="AH672" s="144"/>
      <c r="AI672" s="3"/>
      <c r="AJ672" s="10"/>
      <c r="AK672" s="3" t="s">
        <v>244</v>
      </c>
      <c r="AL672" s="5"/>
      <c r="AM672" s="5" t="s">
        <v>1757</v>
      </c>
      <c r="AN672" s="5" t="s">
        <v>1831</v>
      </c>
      <c r="AO672" s="5" t="s">
        <v>2185</v>
      </c>
      <c r="AP672" s="5" t="s">
        <v>2185</v>
      </c>
      <c r="AQ672" s="5" t="s">
        <v>2185</v>
      </c>
      <c r="AR672" s="5" t="s">
        <v>2185</v>
      </c>
      <c r="AS672" s="142"/>
      <c r="AT672" s="142" t="b">
        <v>0</v>
      </c>
      <c r="AU672" s="142"/>
      <c r="AV672" s="142"/>
      <c r="AW672" s="142"/>
      <c r="AX672" s="142"/>
      <c r="AY672" s="142"/>
      <c r="AZ672" s="174"/>
      <c r="BA672" s="142"/>
      <c r="BB672" s="142"/>
      <c r="BC672" s="142"/>
      <c r="BD672" s="142"/>
      <c r="BE672" s="142"/>
      <c r="BF672" s="142"/>
      <c r="BG672" s="142"/>
    </row>
    <row r="673">
      <c r="A673" s="5" t="s">
        <v>1973</v>
      </c>
      <c r="B673" s="44">
        <v>44625.0</v>
      </c>
      <c r="C673" s="150">
        <v>0.43181712962962965</v>
      </c>
      <c r="D673" s="3"/>
      <c r="E673" s="3"/>
      <c r="F673" s="5"/>
      <c r="G673" s="5"/>
      <c r="H673" s="5"/>
      <c r="I673" s="3"/>
      <c r="J673" s="3"/>
      <c r="K673" s="3" t="s">
        <v>244</v>
      </c>
      <c r="L673" s="44">
        <v>44625.0</v>
      </c>
      <c r="M673" s="150">
        <v>0.48975694444444445</v>
      </c>
      <c r="N673" s="5"/>
      <c r="O673" s="5"/>
      <c r="P673" s="10" t="b">
        <v>0</v>
      </c>
      <c r="Q673" s="10" t="s">
        <v>2184</v>
      </c>
      <c r="R673" s="144" t="b">
        <v>1</v>
      </c>
      <c r="S673" s="144">
        <v>1.0</v>
      </c>
      <c r="T673" s="10">
        <v>0.0</v>
      </c>
      <c r="U673" s="5"/>
      <c r="V673" s="3"/>
      <c r="W673" s="5"/>
      <c r="X673" s="144" t="b">
        <v>0</v>
      </c>
      <c r="Y673" s="10" t="b">
        <v>0</v>
      </c>
      <c r="Z673" s="3"/>
      <c r="AA673" s="10" t="b">
        <v>0</v>
      </c>
      <c r="AB673" s="10" t="b">
        <v>0</v>
      </c>
      <c r="AC673" s="181">
        <v>100.0</v>
      </c>
      <c r="AD673" s="144" t="b">
        <v>0</v>
      </c>
      <c r="AE673" s="182">
        <v>83.43333333333332</v>
      </c>
      <c r="AF673" s="10" t="b">
        <v>0</v>
      </c>
      <c r="AG673" s="10" t="b">
        <v>0</v>
      </c>
      <c r="AH673" s="144"/>
      <c r="AI673" s="3"/>
      <c r="AJ673" s="10"/>
      <c r="AK673" s="3" t="s">
        <v>244</v>
      </c>
      <c r="AL673" s="5"/>
      <c r="AM673" s="5" t="s">
        <v>1757</v>
      </c>
      <c r="AN673" s="5" t="s">
        <v>1974</v>
      </c>
      <c r="AO673" s="5" t="s">
        <v>2185</v>
      </c>
      <c r="AP673" s="5" t="s">
        <v>2185</v>
      </c>
      <c r="AQ673" s="5" t="s">
        <v>2185</v>
      </c>
      <c r="AR673" s="5" t="s">
        <v>2185</v>
      </c>
      <c r="AS673" s="142"/>
      <c r="AT673" s="142" t="b">
        <v>0</v>
      </c>
      <c r="AU673" s="142"/>
      <c r="AV673" s="142"/>
      <c r="AW673" s="142"/>
      <c r="AX673" s="142"/>
      <c r="AY673" s="142"/>
      <c r="AZ673" s="174"/>
      <c r="BA673" s="142"/>
      <c r="BB673" s="142"/>
      <c r="BC673" s="142"/>
      <c r="BD673" s="142"/>
      <c r="BE673" s="142"/>
      <c r="BF673" s="142"/>
      <c r="BG673" s="142"/>
    </row>
    <row r="674">
      <c r="A674" s="5" t="s">
        <v>1976</v>
      </c>
      <c r="B674" s="44">
        <v>44627.0</v>
      </c>
      <c r="C674" s="150">
        <v>0.27618055555555554</v>
      </c>
      <c r="D674" s="3"/>
      <c r="E674" s="3"/>
      <c r="F674" s="5"/>
      <c r="G674" s="5"/>
      <c r="H674" s="5"/>
      <c r="I674" s="3"/>
      <c r="J674" s="3"/>
      <c r="K674" s="3" t="s">
        <v>244</v>
      </c>
      <c r="L674" s="44">
        <v>44627.0</v>
      </c>
      <c r="M674" s="150">
        <v>0.4778935185185185</v>
      </c>
      <c r="N674" s="5"/>
      <c r="O674" s="5"/>
      <c r="P674" s="10" t="b">
        <v>0</v>
      </c>
      <c r="Q674" s="10" t="s">
        <v>2184</v>
      </c>
      <c r="R674" s="144" t="b">
        <v>1</v>
      </c>
      <c r="S674" s="144">
        <v>1.0</v>
      </c>
      <c r="T674" s="10"/>
      <c r="U674" s="5"/>
      <c r="V674" s="3"/>
      <c r="W674" s="5"/>
      <c r="X674" s="144" t="b">
        <v>0</v>
      </c>
      <c r="Y674" s="10" t="b">
        <v>0</v>
      </c>
      <c r="Z674" s="3"/>
      <c r="AA674" s="10" t="b">
        <v>0</v>
      </c>
      <c r="AB674" s="10" t="b">
        <v>0</v>
      </c>
      <c r="AC674" s="181">
        <v>99.0</v>
      </c>
      <c r="AD674" s="144" t="b">
        <v>0</v>
      </c>
      <c r="AE674" s="182">
        <v>290.4666666666667</v>
      </c>
      <c r="AF674" s="10" t="b">
        <v>0</v>
      </c>
      <c r="AG674" s="10" t="b">
        <v>0</v>
      </c>
      <c r="AH674" s="144"/>
      <c r="AI674" s="3"/>
      <c r="AJ674" s="10"/>
      <c r="AK674" s="3" t="s">
        <v>244</v>
      </c>
      <c r="AL674" s="5"/>
      <c r="AM674" s="5" t="s">
        <v>1374</v>
      </c>
      <c r="AN674" s="5" t="s">
        <v>1375</v>
      </c>
      <c r="AO674" s="5" t="s">
        <v>2185</v>
      </c>
      <c r="AP674" s="5" t="s">
        <v>2185</v>
      </c>
      <c r="AQ674" s="5" t="s">
        <v>2185</v>
      </c>
      <c r="AR674" s="5" t="s">
        <v>2185</v>
      </c>
      <c r="AS674" s="142"/>
      <c r="AT674" s="142" t="b">
        <v>0</v>
      </c>
      <c r="AU674" s="142"/>
      <c r="AV674" s="142"/>
      <c r="AW674" s="142"/>
      <c r="AX674" s="142"/>
      <c r="AY674" s="142"/>
      <c r="AZ674" s="174"/>
      <c r="BA674" s="142"/>
      <c r="BB674" s="142"/>
      <c r="BC674" s="142"/>
      <c r="BD674" s="142"/>
      <c r="BE674" s="142"/>
      <c r="BF674" s="142"/>
      <c r="BG674" s="142"/>
    </row>
    <row r="675">
      <c r="A675" s="5" t="s">
        <v>1978</v>
      </c>
      <c r="B675" s="44">
        <v>44627.0</v>
      </c>
      <c r="C675" s="150">
        <v>0.28903935185185187</v>
      </c>
      <c r="D675" s="3"/>
      <c r="E675" s="3"/>
      <c r="F675" s="5"/>
      <c r="G675" s="5"/>
      <c r="H675" s="5"/>
      <c r="I675" s="3"/>
      <c r="J675" s="3"/>
      <c r="K675" s="3" t="s">
        <v>244</v>
      </c>
      <c r="L675" s="44">
        <v>44627.0</v>
      </c>
      <c r="M675" s="150">
        <v>0.4778935185185185</v>
      </c>
      <c r="N675" s="5"/>
      <c r="O675" s="5"/>
      <c r="P675" s="10" t="b">
        <v>0</v>
      </c>
      <c r="Q675" s="10" t="s">
        <v>2184</v>
      </c>
      <c r="R675" s="144" t="b">
        <v>1</v>
      </c>
      <c r="S675" s="144">
        <v>1.0</v>
      </c>
      <c r="T675" s="10"/>
      <c r="U675" s="5"/>
      <c r="V675" s="3"/>
      <c r="W675" s="5"/>
      <c r="X675" s="144" t="b">
        <v>0</v>
      </c>
      <c r="Y675" s="10" t="b">
        <v>0</v>
      </c>
      <c r="Z675" s="3"/>
      <c r="AA675" s="10" t="b">
        <v>0</v>
      </c>
      <c r="AB675" s="10" t="b">
        <v>0</v>
      </c>
      <c r="AC675" s="181">
        <v>98.0</v>
      </c>
      <c r="AD675" s="144" t="b">
        <v>0</v>
      </c>
      <c r="AE675" s="182">
        <v>271.95</v>
      </c>
      <c r="AF675" s="10" t="b">
        <v>0</v>
      </c>
      <c r="AG675" s="10" t="b">
        <v>0</v>
      </c>
      <c r="AH675" s="144"/>
      <c r="AI675" s="3"/>
      <c r="AJ675" s="10"/>
      <c r="AK675" s="3" t="s">
        <v>244</v>
      </c>
      <c r="AL675" s="5"/>
      <c r="AM675" s="5" t="s">
        <v>356</v>
      </c>
      <c r="AN675" s="5" t="s">
        <v>357</v>
      </c>
      <c r="AO675" s="5" t="s">
        <v>2185</v>
      </c>
      <c r="AP675" s="5" t="s">
        <v>2185</v>
      </c>
      <c r="AQ675" s="5" t="s">
        <v>2185</v>
      </c>
      <c r="AR675" s="5" t="s">
        <v>2185</v>
      </c>
      <c r="AS675" s="142"/>
      <c r="AT675" s="142" t="b">
        <v>0</v>
      </c>
      <c r="AU675" s="142"/>
      <c r="AV675" s="142"/>
      <c r="AW675" s="142"/>
      <c r="AX675" s="142"/>
      <c r="AY675" s="142"/>
      <c r="AZ675" s="174"/>
      <c r="BA675" s="142"/>
      <c r="BB675" s="142"/>
      <c r="BC675" s="142"/>
      <c r="BD675" s="142"/>
      <c r="BE675" s="142"/>
      <c r="BF675" s="142"/>
      <c r="BG675" s="142"/>
    </row>
    <row r="676">
      <c r="A676" s="5" t="s">
        <v>1980</v>
      </c>
      <c r="B676" s="44">
        <v>44627.0</v>
      </c>
      <c r="C676" s="150">
        <v>0.29409722222222223</v>
      </c>
      <c r="D676" s="3"/>
      <c r="E676" s="3"/>
      <c r="F676" s="5"/>
      <c r="G676" s="5"/>
      <c r="H676" s="5"/>
      <c r="I676" s="3"/>
      <c r="J676" s="3"/>
      <c r="K676" s="3" t="s">
        <v>244</v>
      </c>
      <c r="L676" s="44">
        <v>44627.0</v>
      </c>
      <c r="M676" s="150">
        <v>0.4778935185185185</v>
      </c>
      <c r="N676" s="5"/>
      <c r="O676" s="5"/>
      <c r="P676" s="10" t="b">
        <v>0</v>
      </c>
      <c r="Q676" s="10" t="s">
        <v>2184</v>
      </c>
      <c r="R676" s="144" t="b">
        <v>1</v>
      </c>
      <c r="S676" s="144">
        <v>1.0</v>
      </c>
      <c r="T676" s="10"/>
      <c r="U676" s="5"/>
      <c r="V676" s="3"/>
      <c r="W676" s="5"/>
      <c r="X676" s="144" t="b">
        <v>0</v>
      </c>
      <c r="Y676" s="10" t="b">
        <v>0</v>
      </c>
      <c r="Z676" s="3"/>
      <c r="AA676" s="10" t="b">
        <v>0</v>
      </c>
      <c r="AB676" s="10" t="b">
        <v>0</v>
      </c>
      <c r="AC676" s="181">
        <v>97.0</v>
      </c>
      <c r="AD676" s="144" t="b">
        <v>0</v>
      </c>
      <c r="AE676" s="182">
        <v>264.6666666666667</v>
      </c>
      <c r="AF676" s="10" t="b">
        <v>0</v>
      </c>
      <c r="AG676" s="10" t="b">
        <v>0</v>
      </c>
      <c r="AH676" s="144"/>
      <c r="AI676" s="3"/>
      <c r="AJ676" s="10"/>
      <c r="AK676" s="3" t="s">
        <v>244</v>
      </c>
      <c r="AL676" s="5"/>
      <c r="AM676" s="5" t="s">
        <v>1334</v>
      </c>
      <c r="AN676" s="5" t="s">
        <v>1335</v>
      </c>
      <c r="AO676" s="5" t="s">
        <v>2185</v>
      </c>
      <c r="AP676" s="5" t="s">
        <v>2185</v>
      </c>
      <c r="AQ676" s="5" t="s">
        <v>2185</v>
      </c>
      <c r="AR676" s="5" t="s">
        <v>2185</v>
      </c>
      <c r="AS676" s="142"/>
      <c r="AT676" s="142" t="b">
        <v>0</v>
      </c>
      <c r="AU676" s="142"/>
      <c r="AV676" s="142"/>
      <c r="AW676" s="142"/>
      <c r="AX676" s="142"/>
      <c r="AY676" s="142"/>
      <c r="AZ676" s="174"/>
      <c r="BA676" s="142"/>
      <c r="BB676" s="142"/>
      <c r="BC676" s="142"/>
      <c r="BD676" s="142"/>
      <c r="BE676" s="142"/>
      <c r="BF676" s="142"/>
      <c r="BG676" s="142"/>
    </row>
    <row r="677">
      <c r="A677" s="5" t="s">
        <v>1982</v>
      </c>
      <c r="B677" s="44">
        <v>44627.0</v>
      </c>
      <c r="C677" s="150">
        <v>0.2957175925925926</v>
      </c>
      <c r="D677" s="3"/>
      <c r="E677" s="3"/>
      <c r="F677" s="5"/>
      <c r="G677" s="5"/>
      <c r="H677" s="5"/>
      <c r="I677" s="3"/>
      <c r="J677" s="3"/>
      <c r="K677" s="3" t="s">
        <v>244</v>
      </c>
      <c r="L677" s="44">
        <v>44627.0</v>
      </c>
      <c r="M677" s="150">
        <v>0.4778935185185185</v>
      </c>
      <c r="N677" s="5"/>
      <c r="O677" s="5"/>
      <c r="P677" s="10" t="b">
        <v>0</v>
      </c>
      <c r="Q677" s="10" t="s">
        <v>2184</v>
      </c>
      <c r="R677" s="144" t="b">
        <v>1</v>
      </c>
      <c r="S677" s="144">
        <v>1.0</v>
      </c>
      <c r="T677" s="10"/>
      <c r="U677" s="5"/>
      <c r="V677" s="3"/>
      <c r="W677" s="5"/>
      <c r="X677" s="144" t="b">
        <v>0</v>
      </c>
      <c r="Y677" s="10" t="b">
        <v>0</v>
      </c>
      <c r="Z677" s="3"/>
      <c r="AA677" s="10" t="b">
        <v>0</v>
      </c>
      <c r="AB677" s="10" t="b">
        <v>0</v>
      </c>
      <c r="AC677" s="181">
        <v>94.0</v>
      </c>
      <c r="AD677" s="144" t="b">
        <v>0</v>
      </c>
      <c r="AE677" s="182">
        <v>262.3333333333333</v>
      </c>
      <c r="AF677" s="10" t="b">
        <v>0</v>
      </c>
      <c r="AG677" s="10" t="b">
        <v>0</v>
      </c>
      <c r="AH677" s="144"/>
      <c r="AI677" s="3"/>
      <c r="AJ677" s="10"/>
      <c r="AK677" s="3" t="s">
        <v>244</v>
      </c>
      <c r="AL677" s="5"/>
      <c r="AM677" s="5" t="s">
        <v>806</v>
      </c>
      <c r="AN677" s="5" t="s">
        <v>807</v>
      </c>
      <c r="AO677" s="5" t="s">
        <v>2185</v>
      </c>
      <c r="AP677" s="5" t="s">
        <v>2185</v>
      </c>
      <c r="AQ677" s="5" t="s">
        <v>2185</v>
      </c>
      <c r="AR677" s="5" t="s">
        <v>2185</v>
      </c>
      <c r="AS677" s="142"/>
      <c r="AT677" s="142" t="b">
        <v>0</v>
      </c>
      <c r="AU677" s="142"/>
      <c r="AV677" s="142"/>
      <c r="AW677" s="142"/>
      <c r="AX677" s="142"/>
      <c r="AY677" s="142"/>
      <c r="AZ677" s="174"/>
      <c r="BA677" s="142"/>
      <c r="BB677" s="142"/>
      <c r="BC677" s="142"/>
      <c r="BD677" s="142"/>
      <c r="BE677" s="142"/>
      <c r="BF677" s="142"/>
      <c r="BG677" s="142"/>
    </row>
    <row r="678">
      <c r="A678" s="5" t="s">
        <v>1984</v>
      </c>
      <c r="B678" s="44">
        <v>44627.0</v>
      </c>
      <c r="C678" s="150">
        <v>0.2964351851851852</v>
      </c>
      <c r="D678" s="3"/>
      <c r="E678" s="3"/>
      <c r="F678" s="5"/>
      <c r="G678" s="5"/>
      <c r="H678" s="5"/>
      <c r="I678" s="3"/>
      <c r="J678" s="3"/>
      <c r="K678" s="3" t="s">
        <v>244</v>
      </c>
      <c r="L678" s="44">
        <v>44627.0</v>
      </c>
      <c r="M678" s="150">
        <v>0.4778935185185185</v>
      </c>
      <c r="N678" s="5"/>
      <c r="O678" s="5"/>
      <c r="P678" s="10" t="b">
        <v>0</v>
      </c>
      <c r="Q678" s="10" t="s">
        <v>2184</v>
      </c>
      <c r="R678" s="144" t="b">
        <v>1</v>
      </c>
      <c r="S678" s="144">
        <v>1.0</v>
      </c>
      <c r="T678" s="10"/>
      <c r="U678" s="5"/>
      <c r="V678" s="3"/>
      <c r="W678" s="5"/>
      <c r="X678" s="144" t="b">
        <v>0</v>
      </c>
      <c r="Y678" s="10" t="b">
        <v>0</v>
      </c>
      <c r="Z678" s="3"/>
      <c r="AA678" s="10" t="b">
        <v>0</v>
      </c>
      <c r="AB678" s="10" t="b">
        <v>0</v>
      </c>
      <c r="AC678" s="181">
        <v>96.0</v>
      </c>
      <c r="AD678" s="144" t="b">
        <v>0</v>
      </c>
      <c r="AE678" s="182">
        <v>261.3</v>
      </c>
      <c r="AF678" s="10" t="b">
        <v>0</v>
      </c>
      <c r="AG678" s="10" t="b">
        <v>0</v>
      </c>
      <c r="AH678" s="144"/>
      <c r="AI678" s="3"/>
      <c r="AJ678" s="10"/>
      <c r="AK678" s="3" t="s">
        <v>244</v>
      </c>
      <c r="AL678" s="5"/>
      <c r="AM678" s="5" t="s">
        <v>1358</v>
      </c>
      <c r="AN678" s="5" t="s">
        <v>1359</v>
      </c>
      <c r="AO678" s="5" t="s">
        <v>2185</v>
      </c>
      <c r="AP678" s="5" t="s">
        <v>2185</v>
      </c>
      <c r="AQ678" s="5" t="s">
        <v>2185</v>
      </c>
      <c r="AR678" s="5" t="s">
        <v>2185</v>
      </c>
      <c r="AS678" s="142"/>
      <c r="AT678" s="142" t="b">
        <v>0</v>
      </c>
      <c r="AU678" s="142"/>
      <c r="AV678" s="142"/>
      <c r="AW678" s="142"/>
      <c r="AX678" s="142"/>
      <c r="AY678" s="142"/>
      <c r="AZ678" s="174"/>
      <c r="BA678" s="142"/>
      <c r="BB678" s="142"/>
      <c r="BC678" s="142"/>
      <c r="BD678" s="142"/>
      <c r="BE678" s="142"/>
      <c r="BF678" s="142"/>
      <c r="BG678" s="142"/>
    </row>
    <row r="679">
      <c r="A679" s="5" t="s">
        <v>1986</v>
      </c>
      <c r="B679" s="44">
        <v>44627.0</v>
      </c>
      <c r="C679" s="150">
        <v>0.2971412037037037</v>
      </c>
      <c r="D679" s="3"/>
      <c r="E679" s="3"/>
      <c r="F679" s="5"/>
      <c r="G679" s="5"/>
      <c r="H679" s="5"/>
      <c r="I679" s="3"/>
      <c r="J679" s="3"/>
      <c r="K679" s="3" t="s">
        <v>244</v>
      </c>
      <c r="L679" s="44">
        <v>44627.0</v>
      </c>
      <c r="M679" s="150">
        <v>0.4778935185185185</v>
      </c>
      <c r="N679" s="5"/>
      <c r="O679" s="5"/>
      <c r="P679" s="10" t="b">
        <v>0</v>
      </c>
      <c r="Q679" s="10" t="s">
        <v>2184</v>
      </c>
      <c r="R679" s="144" t="b">
        <v>1</v>
      </c>
      <c r="S679" s="144">
        <v>1.0</v>
      </c>
      <c r="T679" s="10"/>
      <c r="U679" s="5"/>
      <c r="V679" s="3"/>
      <c r="W679" s="5"/>
      <c r="X679" s="144" t="b">
        <v>0</v>
      </c>
      <c r="Y679" s="10" t="b">
        <v>0</v>
      </c>
      <c r="Z679" s="3"/>
      <c r="AA679" s="10" t="b">
        <v>0</v>
      </c>
      <c r="AB679" s="10" t="b">
        <v>0</v>
      </c>
      <c r="AC679" s="181">
        <v>95.0</v>
      </c>
      <c r="AD679" s="144" t="b">
        <v>0</v>
      </c>
      <c r="AE679" s="182">
        <v>260.2833333333333</v>
      </c>
      <c r="AF679" s="10" t="b">
        <v>0</v>
      </c>
      <c r="AG679" s="10" t="b">
        <v>0</v>
      </c>
      <c r="AH679" s="144"/>
      <c r="AI679" s="3"/>
      <c r="AJ679" s="10"/>
      <c r="AK679" s="3" t="s">
        <v>244</v>
      </c>
      <c r="AL679" s="5"/>
      <c r="AM679" s="5" t="s">
        <v>854</v>
      </c>
      <c r="AN679" s="5" t="s">
        <v>687</v>
      </c>
      <c r="AO679" s="5" t="s">
        <v>2185</v>
      </c>
      <c r="AP679" s="5" t="s">
        <v>2185</v>
      </c>
      <c r="AQ679" s="5" t="s">
        <v>2185</v>
      </c>
      <c r="AR679" s="5" t="s">
        <v>2185</v>
      </c>
      <c r="AS679" s="142"/>
      <c r="AT679" s="142" t="b">
        <v>0</v>
      </c>
      <c r="AU679" s="142"/>
      <c r="AV679" s="142"/>
      <c r="AW679" s="142"/>
      <c r="AX679" s="142"/>
      <c r="AY679" s="142"/>
      <c r="AZ679" s="174"/>
      <c r="BA679" s="142"/>
      <c r="BB679" s="142"/>
      <c r="BC679" s="142"/>
      <c r="BD679" s="142"/>
      <c r="BE679" s="142"/>
      <c r="BF679" s="142"/>
      <c r="BG679" s="142"/>
    </row>
    <row r="680">
      <c r="A680" s="5" t="s">
        <v>1988</v>
      </c>
      <c r="B680" s="44">
        <v>44627.0</v>
      </c>
      <c r="C680" s="150">
        <v>0.3037152777777778</v>
      </c>
      <c r="D680" s="3"/>
      <c r="E680" s="3"/>
      <c r="F680" s="5"/>
      <c r="G680" s="5"/>
      <c r="H680" s="5"/>
      <c r="I680" s="3"/>
      <c r="J680" s="3"/>
      <c r="K680" s="3" t="s">
        <v>244</v>
      </c>
      <c r="L680" s="44">
        <v>44627.0</v>
      </c>
      <c r="M680" s="150">
        <v>0.4778935185185185</v>
      </c>
      <c r="N680" s="5"/>
      <c r="O680" s="5"/>
      <c r="P680" s="10" t="b">
        <v>0</v>
      </c>
      <c r="Q680" s="10" t="s">
        <v>2184</v>
      </c>
      <c r="R680" s="144" t="b">
        <v>1</v>
      </c>
      <c r="S680" s="144">
        <v>1.0</v>
      </c>
      <c r="T680" s="10"/>
      <c r="U680" s="5"/>
      <c r="V680" s="3"/>
      <c r="W680" s="5"/>
      <c r="X680" s="144" t="b">
        <v>0</v>
      </c>
      <c r="Y680" s="10" t="b">
        <v>0</v>
      </c>
      <c r="Z680" s="3"/>
      <c r="AA680" s="10" t="b">
        <v>0</v>
      </c>
      <c r="AB680" s="10" t="b">
        <v>0</v>
      </c>
      <c r="AC680" s="181">
        <v>93.0</v>
      </c>
      <c r="AD680" s="144" t="b">
        <v>0</v>
      </c>
      <c r="AE680" s="182">
        <v>250.81666666666666</v>
      </c>
      <c r="AF680" s="10" t="b">
        <v>0</v>
      </c>
      <c r="AG680" s="10" t="b">
        <v>0</v>
      </c>
      <c r="AH680" s="144"/>
      <c r="AI680" s="3"/>
      <c r="AJ680" s="10"/>
      <c r="AK680" s="3" t="s">
        <v>244</v>
      </c>
      <c r="AL680" s="5"/>
      <c r="AM680" s="5" t="s">
        <v>390</v>
      </c>
      <c r="AN680" s="5" t="s">
        <v>391</v>
      </c>
      <c r="AO680" s="5" t="s">
        <v>2185</v>
      </c>
      <c r="AP680" s="5" t="s">
        <v>2185</v>
      </c>
      <c r="AQ680" s="5" t="s">
        <v>2185</v>
      </c>
      <c r="AR680" s="5" t="s">
        <v>2185</v>
      </c>
      <c r="AS680" s="142"/>
      <c r="AT680" s="142" t="b">
        <v>0</v>
      </c>
      <c r="AU680" s="142"/>
      <c r="AV680" s="142"/>
      <c r="AW680" s="142"/>
      <c r="AX680" s="142"/>
      <c r="AY680" s="142"/>
      <c r="AZ680" s="174"/>
      <c r="BA680" s="142"/>
      <c r="BB680" s="142"/>
      <c r="BC680" s="142"/>
      <c r="BD680" s="142"/>
      <c r="BE680" s="142"/>
      <c r="BF680" s="142"/>
      <c r="BG680" s="142"/>
    </row>
    <row r="681">
      <c r="A681" s="5" t="s">
        <v>1990</v>
      </c>
      <c r="B681" s="44">
        <v>44627.0</v>
      </c>
      <c r="C681" s="150">
        <v>0.3088194444444444</v>
      </c>
      <c r="D681" s="3"/>
      <c r="E681" s="3"/>
      <c r="F681" s="5"/>
      <c r="G681" s="5"/>
      <c r="H681" s="5"/>
      <c r="I681" s="3"/>
      <c r="J681" s="3"/>
      <c r="K681" s="3" t="s">
        <v>244</v>
      </c>
      <c r="L681" s="44">
        <v>44627.0</v>
      </c>
      <c r="M681" s="150">
        <v>0.4778935185185185</v>
      </c>
      <c r="N681" s="5"/>
      <c r="O681" s="5"/>
      <c r="P681" s="10" t="b">
        <v>0</v>
      </c>
      <c r="Q681" s="10" t="s">
        <v>2184</v>
      </c>
      <c r="R681" s="144" t="b">
        <v>1</v>
      </c>
      <c r="S681" s="144">
        <v>1.0</v>
      </c>
      <c r="T681" s="10"/>
      <c r="U681" s="5"/>
      <c r="V681" s="3"/>
      <c r="W681" s="5"/>
      <c r="X681" s="144" t="b">
        <v>0</v>
      </c>
      <c r="Y681" s="10" t="b">
        <v>0</v>
      </c>
      <c r="Z681" s="3"/>
      <c r="AA681" s="10" t="b">
        <v>0</v>
      </c>
      <c r="AB681" s="10" t="b">
        <v>0</v>
      </c>
      <c r="AC681" s="181">
        <v>92.0</v>
      </c>
      <c r="AD681" s="144" t="b">
        <v>0</v>
      </c>
      <c r="AE681" s="182">
        <v>243.46666666666667</v>
      </c>
      <c r="AF681" s="10" t="b">
        <v>0</v>
      </c>
      <c r="AG681" s="10" t="b">
        <v>0</v>
      </c>
      <c r="AH681" s="144"/>
      <c r="AI681" s="3"/>
      <c r="AJ681" s="10"/>
      <c r="AK681" s="3" t="s">
        <v>244</v>
      </c>
      <c r="AL681" s="5"/>
      <c r="AM681" s="5" t="s">
        <v>303</v>
      </c>
      <c r="AN681" s="5" t="s">
        <v>304</v>
      </c>
      <c r="AO681" s="5" t="s">
        <v>2185</v>
      </c>
      <c r="AP681" s="5" t="s">
        <v>2185</v>
      </c>
      <c r="AQ681" s="5" t="s">
        <v>2185</v>
      </c>
      <c r="AR681" s="5" t="s">
        <v>2185</v>
      </c>
      <c r="AS681" s="142"/>
      <c r="AT681" s="142" t="b">
        <v>0</v>
      </c>
      <c r="AU681" s="142"/>
      <c r="AV681" s="142"/>
      <c r="AW681" s="142"/>
      <c r="AX681" s="142"/>
      <c r="AY681" s="142"/>
      <c r="AZ681" s="174"/>
      <c r="BA681" s="142"/>
      <c r="BB681" s="142"/>
      <c r="BC681" s="142"/>
      <c r="BD681" s="142"/>
      <c r="BE681" s="142"/>
      <c r="BF681" s="142"/>
      <c r="BG681" s="142"/>
    </row>
    <row r="682">
      <c r="A682" s="5" t="s">
        <v>1992</v>
      </c>
      <c r="B682" s="44">
        <v>44627.0</v>
      </c>
      <c r="C682" s="150">
        <v>0.31277777777777777</v>
      </c>
      <c r="D682" s="3"/>
      <c r="E682" s="3"/>
      <c r="F682" s="5"/>
      <c r="G682" s="5"/>
      <c r="H682" s="5"/>
      <c r="I682" s="3"/>
      <c r="J682" s="3"/>
      <c r="K682" s="3" t="s">
        <v>244</v>
      </c>
      <c r="L682" s="44">
        <v>44627.0</v>
      </c>
      <c r="M682" s="150">
        <v>0.4778935185185185</v>
      </c>
      <c r="N682" s="5"/>
      <c r="O682" s="5"/>
      <c r="P682" s="10" t="b">
        <v>0</v>
      </c>
      <c r="Q682" s="10" t="s">
        <v>2184</v>
      </c>
      <c r="R682" s="144" t="b">
        <v>1</v>
      </c>
      <c r="S682" s="144">
        <v>1.0</v>
      </c>
      <c r="T682" s="10"/>
      <c r="U682" s="5"/>
      <c r="V682" s="3"/>
      <c r="W682" s="5"/>
      <c r="X682" s="144" t="b">
        <v>0</v>
      </c>
      <c r="Y682" s="10" t="b">
        <v>0</v>
      </c>
      <c r="Z682" s="3"/>
      <c r="AA682" s="10" t="b">
        <v>0</v>
      </c>
      <c r="AB682" s="10" t="b">
        <v>0</v>
      </c>
      <c r="AC682" s="181">
        <v>91.0</v>
      </c>
      <c r="AD682" s="144" t="b">
        <v>0</v>
      </c>
      <c r="AE682" s="182">
        <v>237.76666666666668</v>
      </c>
      <c r="AF682" s="10" t="b">
        <v>0</v>
      </c>
      <c r="AG682" s="10" t="b">
        <v>0</v>
      </c>
      <c r="AH682" s="144"/>
      <c r="AI682" s="3"/>
      <c r="AJ682" s="10"/>
      <c r="AK682" s="3" t="s">
        <v>244</v>
      </c>
      <c r="AL682" s="5"/>
      <c r="AM682" s="5" t="s">
        <v>508</v>
      </c>
      <c r="AN682" s="5" t="s">
        <v>1390</v>
      </c>
      <c r="AO682" s="5" t="s">
        <v>2185</v>
      </c>
      <c r="AP682" s="5" t="s">
        <v>2185</v>
      </c>
      <c r="AQ682" s="5" t="s">
        <v>2185</v>
      </c>
      <c r="AR682" s="5" t="s">
        <v>2185</v>
      </c>
      <c r="AS682" s="142"/>
      <c r="AT682" s="142" t="b">
        <v>0</v>
      </c>
      <c r="AU682" s="142"/>
      <c r="AV682" s="142"/>
      <c r="AW682" s="142"/>
      <c r="AX682" s="142"/>
      <c r="AY682" s="142"/>
      <c r="AZ682" s="174"/>
      <c r="BA682" s="142"/>
      <c r="BB682" s="142"/>
      <c r="BC682" s="142"/>
      <c r="BD682" s="142"/>
      <c r="BE682" s="142"/>
      <c r="BF682" s="142"/>
      <c r="BG682" s="142"/>
    </row>
    <row r="683">
      <c r="A683" s="5" t="s">
        <v>1994</v>
      </c>
      <c r="B683" s="44">
        <v>44627.0</v>
      </c>
      <c r="C683" s="150">
        <v>0.31363425925925925</v>
      </c>
      <c r="D683" s="3"/>
      <c r="E683" s="3"/>
      <c r="F683" s="5"/>
      <c r="G683" s="5"/>
      <c r="H683" s="5"/>
      <c r="I683" s="3"/>
      <c r="J683" s="3"/>
      <c r="K683" s="3" t="s">
        <v>244</v>
      </c>
      <c r="L683" s="44">
        <v>44627.0</v>
      </c>
      <c r="M683" s="150">
        <v>0.4778935185185185</v>
      </c>
      <c r="N683" s="5"/>
      <c r="O683" s="5"/>
      <c r="P683" s="10" t="b">
        <v>0</v>
      </c>
      <c r="Q683" s="10" t="s">
        <v>2184</v>
      </c>
      <c r="R683" s="144" t="b">
        <v>1</v>
      </c>
      <c r="S683" s="144">
        <v>1.0</v>
      </c>
      <c r="T683" s="10"/>
      <c r="U683" s="5"/>
      <c r="V683" s="3"/>
      <c r="W683" s="5"/>
      <c r="X683" s="144" t="b">
        <v>0</v>
      </c>
      <c r="Y683" s="10" t="b">
        <v>0</v>
      </c>
      <c r="Z683" s="3"/>
      <c r="AA683" s="10" t="b">
        <v>0</v>
      </c>
      <c r="AB683" s="10" t="b">
        <v>0</v>
      </c>
      <c r="AC683" s="181">
        <v>90.0</v>
      </c>
      <c r="AD683" s="144" t="b">
        <v>0</v>
      </c>
      <c r="AE683" s="182">
        <v>236.53333333333336</v>
      </c>
      <c r="AF683" s="10" t="b">
        <v>0</v>
      </c>
      <c r="AG683" s="10" t="b">
        <v>0</v>
      </c>
      <c r="AH683" s="144"/>
      <c r="AI683" s="3"/>
      <c r="AJ683" s="10"/>
      <c r="AK683" s="3" t="s">
        <v>244</v>
      </c>
      <c r="AL683" s="5"/>
      <c r="AM683" s="5" t="s">
        <v>1270</v>
      </c>
      <c r="AN683" s="5" t="s">
        <v>1271</v>
      </c>
      <c r="AO683" s="5" t="s">
        <v>2185</v>
      </c>
      <c r="AP683" s="5" t="s">
        <v>2185</v>
      </c>
      <c r="AQ683" s="5" t="s">
        <v>2185</v>
      </c>
      <c r="AR683" s="5" t="s">
        <v>2185</v>
      </c>
      <c r="AS683" s="142"/>
      <c r="AT683" s="142" t="b">
        <v>0</v>
      </c>
      <c r="AU683" s="142"/>
      <c r="AV683" s="142"/>
      <c r="AW683" s="142"/>
      <c r="AX683" s="142"/>
      <c r="AY683" s="142"/>
      <c r="AZ683" s="174"/>
      <c r="BA683" s="142"/>
      <c r="BB683" s="142"/>
      <c r="BC683" s="142"/>
      <c r="BD683" s="142"/>
      <c r="BE683" s="142"/>
      <c r="BF683" s="142"/>
      <c r="BG683" s="142"/>
    </row>
    <row r="684">
      <c r="A684" s="5" t="s">
        <v>1996</v>
      </c>
      <c r="B684" s="44">
        <v>44627.0</v>
      </c>
      <c r="C684" s="150">
        <v>0.3145833333333333</v>
      </c>
      <c r="D684" s="3"/>
      <c r="E684" s="3"/>
      <c r="F684" s="5"/>
      <c r="G684" s="5"/>
      <c r="H684" s="5"/>
      <c r="I684" s="3"/>
      <c r="J684" s="3"/>
      <c r="K684" s="3" t="s">
        <v>244</v>
      </c>
      <c r="L684" s="44">
        <v>44627.0</v>
      </c>
      <c r="M684" s="150">
        <v>0.4778935185185185</v>
      </c>
      <c r="N684" s="5"/>
      <c r="O684" s="5"/>
      <c r="P684" s="10" t="b">
        <v>0</v>
      </c>
      <c r="Q684" s="10" t="s">
        <v>2184</v>
      </c>
      <c r="R684" s="144" t="b">
        <v>1</v>
      </c>
      <c r="S684" s="144">
        <v>1.0</v>
      </c>
      <c r="T684" s="10"/>
      <c r="U684" s="5"/>
      <c r="V684" s="3"/>
      <c r="W684" s="5"/>
      <c r="X684" s="144" t="b">
        <v>0</v>
      </c>
      <c r="Y684" s="10" t="b">
        <v>0</v>
      </c>
      <c r="Z684" s="3"/>
      <c r="AA684" s="10" t="b">
        <v>0</v>
      </c>
      <c r="AB684" s="10" t="b">
        <v>0</v>
      </c>
      <c r="AC684" s="181">
        <v>89.0</v>
      </c>
      <c r="AD684" s="144" t="b">
        <v>0</v>
      </c>
      <c r="AE684" s="182">
        <v>235.16666666666669</v>
      </c>
      <c r="AF684" s="10" t="b">
        <v>0</v>
      </c>
      <c r="AG684" s="10" t="b">
        <v>0</v>
      </c>
      <c r="AH684" s="144"/>
      <c r="AI684" s="3"/>
      <c r="AJ684" s="10"/>
      <c r="AK684" s="3" t="s">
        <v>244</v>
      </c>
      <c r="AL684" s="5"/>
      <c r="AM684" s="5" t="s">
        <v>1420</v>
      </c>
      <c r="AN684" s="5" t="s">
        <v>1421</v>
      </c>
      <c r="AO684" s="5" t="s">
        <v>2185</v>
      </c>
      <c r="AP684" s="5" t="s">
        <v>2185</v>
      </c>
      <c r="AQ684" s="5" t="s">
        <v>2185</v>
      </c>
      <c r="AR684" s="5" t="s">
        <v>2185</v>
      </c>
      <c r="AS684" s="142"/>
      <c r="AT684" s="142" t="b">
        <v>0</v>
      </c>
      <c r="AU684" s="142"/>
      <c r="AV684" s="142"/>
      <c r="AW684" s="142"/>
      <c r="AX684" s="142"/>
      <c r="AY684" s="142"/>
      <c r="AZ684" s="174"/>
      <c r="BA684" s="142"/>
      <c r="BB684" s="142"/>
      <c r="BC684" s="142"/>
      <c r="BD684" s="142"/>
      <c r="BE684" s="142"/>
      <c r="BF684" s="142"/>
      <c r="BG684" s="142"/>
    </row>
    <row r="685">
      <c r="A685" s="5" t="s">
        <v>1998</v>
      </c>
      <c r="B685" s="44">
        <v>44627.0</v>
      </c>
      <c r="C685" s="150">
        <v>0.318125</v>
      </c>
      <c r="D685" s="3"/>
      <c r="E685" s="3"/>
      <c r="F685" s="5"/>
      <c r="G685" s="5"/>
      <c r="H685" s="5"/>
      <c r="I685" s="3"/>
      <c r="J685" s="3"/>
      <c r="K685" s="3" t="s">
        <v>244</v>
      </c>
      <c r="L685" s="44">
        <v>44627.0</v>
      </c>
      <c r="M685" s="150">
        <v>0.4778935185185185</v>
      </c>
      <c r="N685" s="5"/>
      <c r="O685" s="5"/>
      <c r="P685" s="10" t="b">
        <v>0</v>
      </c>
      <c r="Q685" s="10" t="s">
        <v>2184</v>
      </c>
      <c r="R685" s="144" t="b">
        <v>1</v>
      </c>
      <c r="S685" s="144">
        <v>1.0</v>
      </c>
      <c r="T685" s="10"/>
      <c r="U685" s="5"/>
      <c r="V685" s="3"/>
      <c r="W685" s="5"/>
      <c r="X685" s="144" t="b">
        <v>0</v>
      </c>
      <c r="Y685" s="10" t="b">
        <v>0</v>
      </c>
      <c r="Z685" s="3"/>
      <c r="AA685" s="10" t="b">
        <v>0</v>
      </c>
      <c r="AB685" s="10" t="b">
        <v>0</v>
      </c>
      <c r="AC685" s="181">
        <v>88.0</v>
      </c>
      <c r="AD685" s="144" t="b">
        <v>0</v>
      </c>
      <c r="AE685" s="182">
        <v>230.0666666666667</v>
      </c>
      <c r="AF685" s="10" t="b">
        <v>0</v>
      </c>
      <c r="AG685" s="10" t="b">
        <v>0</v>
      </c>
      <c r="AH685" s="144"/>
      <c r="AI685" s="3"/>
      <c r="AJ685" s="10"/>
      <c r="AK685" s="3" t="s">
        <v>244</v>
      </c>
      <c r="AL685" s="5"/>
      <c r="AM685" s="5" t="s">
        <v>295</v>
      </c>
      <c r="AN685" s="5" t="s">
        <v>296</v>
      </c>
      <c r="AO685" s="5" t="s">
        <v>2185</v>
      </c>
      <c r="AP685" s="5" t="s">
        <v>2185</v>
      </c>
      <c r="AQ685" s="5" t="s">
        <v>2185</v>
      </c>
      <c r="AR685" s="5" t="s">
        <v>2185</v>
      </c>
      <c r="AS685" s="142"/>
      <c r="AT685" s="142" t="b">
        <v>0</v>
      </c>
      <c r="AU685" s="142"/>
      <c r="AV685" s="142"/>
      <c r="AW685" s="142"/>
      <c r="AX685" s="142"/>
      <c r="AY685" s="142"/>
      <c r="AZ685" s="174"/>
      <c r="BA685" s="142"/>
      <c r="BB685" s="142"/>
      <c r="BC685" s="142"/>
      <c r="BD685" s="142"/>
      <c r="BE685" s="142"/>
      <c r="BF685" s="142"/>
      <c r="BG685" s="142"/>
    </row>
    <row r="686">
      <c r="A686" s="5" t="s">
        <v>2000</v>
      </c>
      <c r="B686" s="44">
        <v>44627.0</v>
      </c>
      <c r="C686" s="150">
        <v>0.31984953703703706</v>
      </c>
      <c r="D686" s="3"/>
      <c r="E686" s="3"/>
      <c r="F686" s="5"/>
      <c r="G686" s="5"/>
      <c r="H686" s="5"/>
      <c r="I686" s="3"/>
      <c r="J686" s="3"/>
      <c r="K686" s="3" t="s">
        <v>244</v>
      </c>
      <c r="L686" s="44">
        <v>44627.0</v>
      </c>
      <c r="M686" s="150">
        <v>0.4778935185185185</v>
      </c>
      <c r="N686" s="5"/>
      <c r="O686" s="5"/>
      <c r="P686" s="10" t="b">
        <v>0</v>
      </c>
      <c r="Q686" s="10" t="s">
        <v>2184</v>
      </c>
      <c r="R686" s="144" t="b">
        <v>1</v>
      </c>
      <c r="S686" s="144">
        <v>1.0</v>
      </c>
      <c r="T686" s="10"/>
      <c r="U686" s="5"/>
      <c r="V686" s="3"/>
      <c r="W686" s="5"/>
      <c r="X686" s="144" t="b">
        <v>0</v>
      </c>
      <c r="Y686" s="10" t="b">
        <v>0</v>
      </c>
      <c r="Z686" s="3"/>
      <c r="AA686" s="10" t="b">
        <v>0</v>
      </c>
      <c r="AB686" s="10" t="b">
        <v>0</v>
      </c>
      <c r="AC686" s="181">
        <v>87.0</v>
      </c>
      <c r="AD686" s="144" t="b">
        <v>0</v>
      </c>
      <c r="AE686" s="182">
        <v>227.58333333333331</v>
      </c>
      <c r="AF686" s="10" t="b">
        <v>0</v>
      </c>
      <c r="AG686" s="10" t="b">
        <v>0</v>
      </c>
      <c r="AH686" s="144"/>
      <c r="AI686" s="3"/>
      <c r="AJ686" s="10"/>
      <c r="AK686" s="3" t="s">
        <v>244</v>
      </c>
      <c r="AL686" s="5"/>
      <c r="AM686" s="5" t="s">
        <v>577</v>
      </c>
      <c r="AN686" s="5" t="s">
        <v>578</v>
      </c>
      <c r="AO686" s="5" t="s">
        <v>2185</v>
      </c>
      <c r="AP686" s="5" t="s">
        <v>2185</v>
      </c>
      <c r="AQ686" s="5" t="s">
        <v>2185</v>
      </c>
      <c r="AR686" s="5" t="s">
        <v>2185</v>
      </c>
      <c r="AS686" s="142"/>
      <c r="AT686" s="142" t="b">
        <v>0</v>
      </c>
      <c r="AU686" s="142"/>
      <c r="AV686" s="142"/>
      <c r="AW686" s="142"/>
      <c r="AX686" s="142"/>
      <c r="AY686" s="142"/>
      <c r="AZ686" s="174"/>
      <c r="BA686" s="142"/>
      <c r="BB686" s="142"/>
      <c r="BC686" s="142"/>
      <c r="BD686" s="142"/>
      <c r="BE686" s="142"/>
      <c r="BF686" s="142"/>
      <c r="BG686" s="142"/>
    </row>
    <row r="687">
      <c r="A687" s="5" t="s">
        <v>2002</v>
      </c>
      <c r="B687" s="44">
        <v>44627.0</v>
      </c>
      <c r="C687" s="150">
        <v>0.3199768518518519</v>
      </c>
      <c r="D687" s="3"/>
      <c r="E687" s="3"/>
      <c r="F687" s="5"/>
      <c r="G687" s="5"/>
      <c r="H687" s="5"/>
      <c r="I687" s="3"/>
      <c r="J687" s="3"/>
      <c r="K687" s="3" t="s">
        <v>244</v>
      </c>
      <c r="L687" s="44">
        <v>44627.0</v>
      </c>
      <c r="M687" s="150">
        <v>0.4778935185185185</v>
      </c>
      <c r="N687" s="5"/>
      <c r="O687" s="5"/>
      <c r="P687" s="10" t="b">
        <v>0</v>
      </c>
      <c r="Q687" s="10" t="s">
        <v>2184</v>
      </c>
      <c r="R687" s="144" t="b">
        <v>1</v>
      </c>
      <c r="S687" s="144">
        <v>1.0</v>
      </c>
      <c r="T687" s="10"/>
      <c r="U687" s="5"/>
      <c r="V687" s="3"/>
      <c r="W687" s="5"/>
      <c r="X687" s="144" t="b">
        <v>0</v>
      </c>
      <c r="Y687" s="10" t="b">
        <v>0</v>
      </c>
      <c r="Z687" s="3"/>
      <c r="AA687" s="10" t="b">
        <v>0</v>
      </c>
      <c r="AB687" s="10" t="b">
        <v>0</v>
      </c>
      <c r="AC687" s="181">
        <v>86.0</v>
      </c>
      <c r="AD687" s="144" t="b">
        <v>0</v>
      </c>
      <c r="AE687" s="182">
        <v>227.39999999999998</v>
      </c>
      <c r="AF687" s="10" t="b">
        <v>0</v>
      </c>
      <c r="AG687" s="10" t="b">
        <v>0</v>
      </c>
      <c r="AH687" s="144"/>
      <c r="AI687" s="3"/>
      <c r="AJ687" s="10"/>
      <c r="AK687" s="3" t="s">
        <v>244</v>
      </c>
      <c r="AL687" s="5"/>
      <c r="AM687" s="5" t="s">
        <v>362</v>
      </c>
      <c r="AN687" s="5" t="s">
        <v>363</v>
      </c>
      <c r="AO687" s="5" t="s">
        <v>2185</v>
      </c>
      <c r="AP687" s="5" t="s">
        <v>2185</v>
      </c>
      <c r="AQ687" s="5" t="s">
        <v>2185</v>
      </c>
      <c r="AR687" s="5" t="s">
        <v>2185</v>
      </c>
      <c r="AS687" s="142"/>
      <c r="AT687" s="142" t="b">
        <v>0</v>
      </c>
      <c r="AU687" s="142"/>
      <c r="AV687" s="142"/>
      <c r="AW687" s="142"/>
      <c r="AX687" s="142"/>
      <c r="AY687" s="142"/>
      <c r="AZ687" s="174"/>
      <c r="BA687" s="142"/>
      <c r="BB687" s="142"/>
      <c r="BC687" s="142"/>
      <c r="BD687" s="142"/>
      <c r="BE687" s="142"/>
      <c r="BF687" s="142"/>
      <c r="BG687" s="142"/>
    </row>
    <row r="688">
      <c r="A688" s="5" t="s">
        <v>2004</v>
      </c>
      <c r="B688" s="44">
        <v>44627.0</v>
      </c>
      <c r="C688" s="150">
        <v>0.3200925925925926</v>
      </c>
      <c r="D688" s="3"/>
      <c r="E688" s="3"/>
      <c r="F688" s="5"/>
      <c r="G688" s="5"/>
      <c r="H688" s="5"/>
      <c r="I688" s="3"/>
      <c r="J688" s="3"/>
      <c r="K688" s="3" t="s">
        <v>244</v>
      </c>
      <c r="L688" s="44">
        <v>44627.0</v>
      </c>
      <c r="M688" s="150">
        <v>0.4778935185185185</v>
      </c>
      <c r="N688" s="5"/>
      <c r="O688" s="5"/>
      <c r="P688" s="10" t="b">
        <v>0</v>
      </c>
      <c r="Q688" s="10" t="s">
        <v>2184</v>
      </c>
      <c r="R688" s="144" t="b">
        <v>1</v>
      </c>
      <c r="S688" s="144">
        <v>1.0</v>
      </c>
      <c r="T688" s="10"/>
      <c r="U688" s="5"/>
      <c r="V688" s="3"/>
      <c r="W688" s="5"/>
      <c r="X688" s="144" t="b">
        <v>0</v>
      </c>
      <c r="Y688" s="10" t="b">
        <v>0</v>
      </c>
      <c r="Z688" s="3"/>
      <c r="AA688" s="10" t="b">
        <v>0</v>
      </c>
      <c r="AB688" s="10" t="b">
        <v>0</v>
      </c>
      <c r="AC688" s="181">
        <v>85.0</v>
      </c>
      <c r="AD688" s="144" t="b">
        <v>0</v>
      </c>
      <c r="AE688" s="182">
        <v>227.23333333333335</v>
      </c>
      <c r="AF688" s="10" t="b">
        <v>0</v>
      </c>
      <c r="AG688" s="10" t="b">
        <v>0</v>
      </c>
      <c r="AH688" s="144"/>
      <c r="AI688" s="3"/>
      <c r="AJ688" s="10"/>
      <c r="AK688" s="3" t="s">
        <v>244</v>
      </c>
      <c r="AL688" s="5"/>
      <c r="AM688" s="5" t="s">
        <v>2005</v>
      </c>
      <c r="AN688" s="5" t="s">
        <v>2006</v>
      </c>
      <c r="AO688" s="5" t="s">
        <v>2185</v>
      </c>
      <c r="AP688" s="5" t="s">
        <v>2185</v>
      </c>
      <c r="AQ688" s="5" t="s">
        <v>2185</v>
      </c>
      <c r="AR688" s="5" t="s">
        <v>2185</v>
      </c>
      <c r="AS688" s="142"/>
      <c r="AT688" s="142" t="b">
        <v>0</v>
      </c>
      <c r="AU688" s="142"/>
      <c r="AV688" s="142"/>
      <c r="AW688" s="142"/>
      <c r="AX688" s="142"/>
      <c r="AY688" s="142"/>
      <c r="AZ688" s="174"/>
      <c r="BA688" s="142"/>
      <c r="BB688" s="142"/>
      <c r="BC688" s="142"/>
      <c r="BD688" s="142"/>
      <c r="BE688" s="142"/>
      <c r="BF688" s="142"/>
      <c r="BG688" s="142"/>
    </row>
    <row r="689">
      <c r="A689" s="5" t="s">
        <v>2008</v>
      </c>
      <c r="B689" s="44">
        <v>44627.0</v>
      </c>
      <c r="C689" s="150">
        <v>0.32047453703703704</v>
      </c>
      <c r="D689" s="3"/>
      <c r="E689" s="3"/>
      <c r="F689" s="5"/>
      <c r="G689" s="5"/>
      <c r="H689" s="5"/>
      <c r="I689" s="3"/>
      <c r="J689" s="3"/>
      <c r="K689" s="3" t="s">
        <v>244</v>
      </c>
      <c r="L689" s="44">
        <v>44627.0</v>
      </c>
      <c r="M689" s="150">
        <v>0.4778935185185185</v>
      </c>
      <c r="N689" s="5"/>
      <c r="O689" s="5"/>
      <c r="P689" s="10" t="b">
        <v>0</v>
      </c>
      <c r="Q689" s="10" t="s">
        <v>2184</v>
      </c>
      <c r="R689" s="144" t="b">
        <v>1</v>
      </c>
      <c r="S689" s="144">
        <v>1.0</v>
      </c>
      <c r="T689" s="10"/>
      <c r="U689" s="5"/>
      <c r="V689" s="3"/>
      <c r="W689" s="5"/>
      <c r="X689" s="144" t="b">
        <v>0</v>
      </c>
      <c r="Y689" s="10" t="b">
        <v>0</v>
      </c>
      <c r="Z689" s="3"/>
      <c r="AA689" s="10" t="b">
        <v>0</v>
      </c>
      <c r="AB689" s="10" t="b">
        <v>0</v>
      </c>
      <c r="AC689" s="181">
        <v>84.0</v>
      </c>
      <c r="AD689" s="144" t="b">
        <v>0</v>
      </c>
      <c r="AE689" s="182">
        <v>226.68333333333334</v>
      </c>
      <c r="AF689" s="10" t="b">
        <v>0</v>
      </c>
      <c r="AG689" s="10" t="b">
        <v>0</v>
      </c>
      <c r="AH689" s="144"/>
      <c r="AI689" s="3"/>
      <c r="AJ689" s="10"/>
      <c r="AK689" s="3" t="s">
        <v>244</v>
      </c>
      <c r="AL689" s="5"/>
      <c r="AM689" s="5" t="s">
        <v>731</v>
      </c>
      <c r="AN689" s="5" t="s">
        <v>732</v>
      </c>
      <c r="AO689" s="5" t="s">
        <v>2185</v>
      </c>
      <c r="AP689" s="5" t="s">
        <v>2185</v>
      </c>
      <c r="AQ689" s="5" t="s">
        <v>2185</v>
      </c>
      <c r="AR689" s="5" t="s">
        <v>2185</v>
      </c>
      <c r="AS689" s="142"/>
      <c r="AT689" s="142" t="b">
        <v>0</v>
      </c>
      <c r="AU689" s="142"/>
      <c r="AV689" s="142"/>
      <c r="AW689" s="142"/>
      <c r="AX689" s="142"/>
      <c r="AY689" s="142"/>
      <c r="AZ689" s="174"/>
      <c r="BA689" s="142"/>
      <c r="BB689" s="142"/>
      <c r="BC689" s="142"/>
      <c r="BD689" s="142"/>
      <c r="BE689" s="142"/>
      <c r="BF689" s="142"/>
      <c r="BG689" s="142"/>
    </row>
    <row r="690">
      <c r="A690" s="5" t="s">
        <v>2010</v>
      </c>
      <c r="B690" s="44">
        <v>44627.0</v>
      </c>
      <c r="C690" s="150">
        <v>0.32157407407407407</v>
      </c>
      <c r="D690" s="3"/>
      <c r="E690" s="3"/>
      <c r="F690" s="5"/>
      <c r="G690" s="5"/>
      <c r="H690" s="5"/>
      <c r="I690" s="3"/>
      <c r="J690" s="3"/>
      <c r="K690" s="3" t="s">
        <v>244</v>
      </c>
      <c r="L690" s="44">
        <v>44627.0</v>
      </c>
      <c r="M690" s="150">
        <v>0.4779050925925926</v>
      </c>
      <c r="N690" s="5"/>
      <c r="O690" s="5"/>
      <c r="P690" s="10" t="b">
        <v>0</v>
      </c>
      <c r="Q690" s="10" t="s">
        <v>2184</v>
      </c>
      <c r="R690" s="144" t="b">
        <v>1</v>
      </c>
      <c r="S690" s="144">
        <v>1.0</v>
      </c>
      <c r="T690" s="10"/>
      <c r="U690" s="5"/>
      <c r="V690" s="3"/>
      <c r="W690" s="5"/>
      <c r="X690" s="144" t="b">
        <v>0</v>
      </c>
      <c r="Y690" s="10" t="b">
        <v>0</v>
      </c>
      <c r="Z690" s="3"/>
      <c r="AA690" s="10" t="b">
        <v>0</v>
      </c>
      <c r="AB690" s="10" t="b">
        <v>0</v>
      </c>
      <c r="AC690" s="181">
        <v>83.0</v>
      </c>
      <c r="AD690" s="144" t="b">
        <v>0</v>
      </c>
      <c r="AE690" s="182">
        <v>225.1166666666667</v>
      </c>
      <c r="AF690" s="10" t="b">
        <v>0</v>
      </c>
      <c r="AG690" s="10" t="b">
        <v>0</v>
      </c>
      <c r="AH690" s="144"/>
      <c r="AI690" s="3"/>
      <c r="AJ690" s="10"/>
      <c r="AK690" s="3" t="s">
        <v>244</v>
      </c>
      <c r="AL690" s="5"/>
      <c r="AM690" s="5" t="s">
        <v>857</v>
      </c>
      <c r="AN690" s="5" t="s">
        <v>696</v>
      </c>
      <c r="AO690" s="5" t="s">
        <v>2185</v>
      </c>
      <c r="AP690" s="5" t="s">
        <v>2185</v>
      </c>
      <c r="AQ690" s="5" t="s">
        <v>2185</v>
      </c>
      <c r="AR690" s="5" t="s">
        <v>2185</v>
      </c>
      <c r="AS690" s="142"/>
      <c r="AT690" s="142" t="b">
        <v>0</v>
      </c>
      <c r="AU690" s="142"/>
      <c r="AV690" s="142"/>
      <c r="AW690" s="142"/>
      <c r="AX690" s="142"/>
      <c r="AY690" s="142"/>
      <c r="AZ690" s="174"/>
      <c r="BA690" s="142"/>
      <c r="BB690" s="142"/>
      <c r="BC690" s="142"/>
      <c r="BD690" s="142"/>
      <c r="BE690" s="142"/>
      <c r="BF690" s="142"/>
      <c r="BG690" s="142"/>
    </row>
    <row r="691">
      <c r="A691" s="5" t="s">
        <v>2012</v>
      </c>
      <c r="B691" s="44">
        <v>44627.0</v>
      </c>
      <c r="C691" s="150">
        <v>0.3216087962962963</v>
      </c>
      <c r="D691" s="3"/>
      <c r="E691" s="3"/>
      <c r="F691" s="5"/>
      <c r="G691" s="5"/>
      <c r="H691" s="5"/>
      <c r="I691" s="3"/>
      <c r="J691" s="3"/>
      <c r="K691" s="3" t="s">
        <v>244</v>
      </c>
      <c r="L691" s="44">
        <v>44627.0</v>
      </c>
      <c r="M691" s="150">
        <v>0.4779050925925926</v>
      </c>
      <c r="N691" s="5"/>
      <c r="O691" s="5"/>
      <c r="P691" s="10" t="b">
        <v>0</v>
      </c>
      <c r="Q691" s="10" t="s">
        <v>2184</v>
      </c>
      <c r="R691" s="144" t="b">
        <v>1</v>
      </c>
      <c r="S691" s="144">
        <v>1.0</v>
      </c>
      <c r="T691" s="10"/>
      <c r="U691" s="5"/>
      <c r="V691" s="3"/>
      <c r="W691" s="5"/>
      <c r="X691" s="144" t="b">
        <v>0</v>
      </c>
      <c r="Y691" s="10" t="b">
        <v>0</v>
      </c>
      <c r="Z691" s="3"/>
      <c r="AA691" s="10" t="b">
        <v>0</v>
      </c>
      <c r="AB691" s="10" t="b">
        <v>0</v>
      </c>
      <c r="AC691" s="181">
        <v>82.0</v>
      </c>
      <c r="AD691" s="144" t="b">
        <v>0</v>
      </c>
      <c r="AE691" s="182">
        <v>225.0666666666667</v>
      </c>
      <c r="AF691" s="10" t="b">
        <v>0</v>
      </c>
      <c r="AG691" s="10" t="b">
        <v>0</v>
      </c>
      <c r="AH691" s="144"/>
      <c r="AI691" s="3"/>
      <c r="AJ691" s="10"/>
      <c r="AK691" s="3" t="s">
        <v>244</v>
      </c>
      <c r="AL691" s="5"/>
      <c r="AM691" s="5" t="s">
        <v>491</v>
      </c>
      <c r="AN691" s="5" t="s">
        <v>495</v>
      </c>
      <c r="AO691" s="5" t="s">
        <v>2185</v>
      </c>
      <c r="AP691" s="5" t="s">
        <v>2185</v>
      </c>
      <c r="AQ691" s="5" t="s">
        <v>2185</v>
      </c>
      <c r="AR691" s="5" t="s">
        <v>2185</v>
      </c>
      <c r="AS691" s="142"/>
      <c r="AT691" s="142" t="b">
        <v>0</v>
      </c>
      <c r="AU691" s="142"/>
      <c r="AV691" s="142"/>
      <c r="AW691" s="142"/>
      <c r="AX691" s="142"/>
      <c r="AY691" s="142"/>
      <c r="AZ691" s="174"/>
      <c r="BA691" s="142"/>
      <c r="BB691" s="142"/>
      <c r="BC691" s="142"/>
      <c r="BD691" s="142"/>
      <c r="BE691" s="142"/>
      <c r="BF691" s="142"/>
      <c r="BG691" s="142"/>
    </row>
    <row r="692">
      <c r="A692" s="5" t="s">
        <v>2014</v>
      </c>
      <c r="B692" s="44">
        <v>44627.0</v>
      </c>
      <c r="C692" s="150">
        <v>0.32310185185185186</v>
      </c>
      <c r="D692" s="3"/>
      <c r="E692" s="3"/>
      <c r="F692" s="5"/>
      <c r="G692" s="5"/>
      <c r="H692" s="5"/>
      <c r="I692" s="3"/>
      <c r="J692" s="3"/>
      <c r="K692" s="3" t="s">
        <v>244</v>
      </c>
      <c r="L692" s="44">
        <v>44627.0</v>
      </c>
      <c r="M692" s="150">
        <v>0.4779050925925926</v>
      </c>
      <c r="N692" s="5"/>
      <c r="O692" s="5"/>
      <c r="P692" s="10" t="b">
        <v>0</v>
      </c>
      <c r="Q692" s="10" t="s">
        <v>2184</v>
      </c>
      <c r="R692" s="144" t="b">
        <v>1</v>
      </c>
      <c r="S692" s="144">
        <v>1.0</v>
      </c>
      <c r="T692" s="10"/>
      <c r="U692" s="5"/>
      <c r="V692" s="3"/>
      <c r="W692" s="5"/>
      <c r="X692" s="144" t="b">
        <v>0</v>
      </c>
      <c r="Y692" s="10" t="b">
        <v>0</v>
      </c>
      <c r="Z692" s="3"/>
      <c r="AA692" s="10" t="b">
        <v>0</v>
      </c>
      <c r="AB692" s="10" t="b">
        <v>0</v>
      </c>
      <c r="AC692" s="181">
        <v>81.0</v>
      </c>
      <c r="AD692" s="144" t="b">
        <v>0</v>
      </c>
      <c r="AE692" s="182">
        <v>222.91666666666669</v>
      </c>
      <c r="AF692" s="10" t="b">
        <v>0</v>
      </c>
      <c r="AG692" s="10" t="b">
        <v>0</v>
      </c>
      <c r="AH692" s="144"/>
      <c r="AI692" s="3"/>
      <c r="AJ692" s="10"/>
      <c r="AK692" s="3" t="s">
        <v>244</v>
      </c>
      <c r="AL692" s="5"/>
      <c r="AM692" s="5" t="s">
        <v>477</v>
      </c>
      <c r="AN692" s="5" t="s">
        <v>450</v>
      </c>
      <c r="AO692" s="5" t="s">
        <v>2185</v>
      </c>
      <c r="AP692" s="5" t="s">
        <v>2185</v>
      </c>
      <c r="AQ692" s="5" t="s">
        <v>2185</v>
      </c>
      <c r="AR692" s="5" t="s">
        <v>2185</v>
      </c>
      <c r="AS692" s="142"/>
      <c r="AT692" s="142" t="b">
        <v>0</v>
      </c>
      <c r="AU692" s="142"/>
      <c r="AV692" s="142"/>
      <c r="AW692" s="142"/>
      <c r="AX692" s="142"/>
      <c r="AY692" s="142"/>
      <c r="AZ692" s="174"/>
      <c r="BA692" s="142"/>
      <c r="BB692" s="142"/>
      <c r="BC692" s="142"/>
      <c r="BD692" s="142"/>
      <c r="BE692" s="142"/>
      <c r="BF692" s="142"/>
      <c r="BG692" s="142"/>
    </row>
    <row r="693">
      <c r="A693" s="5" t="s">
        <v>2016</v>
      </c>
      <c r="B693" s="44">
        <v>44627.0</v>
      </c>
      <c r="C693" s="150">
        <v>0.32450231481481484</v>
      </c>
      <c r="D693" s="3"/>
      <c r="E693" s="3"/>
      <c r="F693" s="5"/>
      <c r="G693" s="5"/>
      <c r="H693" s="5"/>
      <c r="I693" s="3"/>
      <c r="J693" s="3"/>
      <c r="K693" s="3" t="s">
        <v>244</v>
      </c>
      <c r="L693" s="44">
        <v>44627.0</v>
      </c>
      <c r="M693" s="150">
        <v>0.4779050925925926</v>
      </c>
      <c r="N693" s="5"/>
      <c r="O693" s="5"/>
      <c r="P693" s="10" t="b">
        <v>0</v>
      </c>
      <c r="Q693" s="10" t="s">
        <v>2184</v>
      </c>
      <c r="R693" s="144" t="b">
        <v>1</v>
      </c>
      <c r="S693" s="144">
        <v>1.0</v>
      </c>
      <c r="T693" s="10"/>
      <c r="U693" s="5"/>
      <c r="V693" s="3"/>
      <c r="W693" s="5"/>
      <c r="X693" s="144" t="b">
        <v>0</v>
      </c>
      <c r="Y693" s="10" t="b">
        <v>0</v>
      </c>
      <c r="Z693" s="3"/>
      <c r="AA693" s="10" t="b">
        <v>0</v>
      </c>
      <c r="AB693" s="10" t="b">
        <v>0</v>
      </c>
      <c r="AC693" s="181">
        <v>80.0</v>
      </c>
      <c r="AD693" s="144" t="b">
        <v>0</v>
      </c>
      <c r="AE693" s="182">
        <v>220.9</v>
      </c>
      <c r="AF693" s="10" t="b">
        <v>0</v>
      </c>
      <c r="AG693" s="10" t="b">
        <v>0</v>
      </c>
      <c r="AH693" s="144"/>
      <c r="AI693" s="3"/>
      <c r="AJ693" s="10"/>
      <c r="AK693" s="3" t="s">
        <v>244</v>
      </c>
      <c r="AL693" s="5"/>
      <c r="AM693" s="5" t="s">
        <v>762</v>
      </c>
      <c r="AN693" s="5" t="s">
        <v>763</v>
      </c>
      <c r="AO693" s="5" t="s">
        <v>2185</v>
      </c>
      <c r="AP693" s="5" t="s">
        <v>2185</v>
      </c>
      <c r="AQ693" s="5" t="s">
        <v>2185</v>
      </c>
      <c r="AR693" s="5" t="s">
        <v>2185</v>
      </c>
      <c r="AS693" s="142"/>
      <c r="AT693" s="142" t="b">
        <v>0</v>
      </c>
      <c r="AU693" s="142"/>
      <c r="AV693" s="142"/>
      <c r="AW693" s="142"/>
      <c r="AX693" s="142"/>
      <c r="AY693" s="142"/>
      <c r="AZ693" s="174"/>
      <c r="BA693" s="142"/>
      <c r="BB693" s="142"/>
      <c r="BC693" s="142"/>
      <c r="BD693" s="142"/>
      <c r="BE693" s="142"/>
      <c r="BF693" s="142"/>
      <c r="BG693" s="142"/>
    </row>
    <row r="694">
      <c r="A694" s="5" t="s">
        <v>2018</v>
      </c>
      <c r="B694" s="44">
        <v>44627.0</v>
      </c>
      <c r="C694" s="150">
        <v>0.3253125</v>
      </c>
      <c r="D694" s="3"/>
      <c r="E694" s="3"/>
      <c r="F694" s="5"/>
      <c r="G694" s="5"/>
      <c r="H694" s="5"/>
      <c r="I694" s="3"/>
      <c r="J694" s="3"/>
      <c r="K694" s="3" t="s">
        <v>244</v>
      </c>
      <c r="L694" s="44">
        <v>44627.0</v>
      </c>
      <c r="M694" s="150">
        <v>0.4779050925925926</v>
      </c>
      <c r="N694" s="5"/>
      <c r="O694" s="5"/>
      <c r="P694" s="10" t="b">
        <v>0</v>
      </c>
      <c r="Q694" s="10" t="s">
        <v>2184</v>
      </c>
      <c r="R694" s="144" t="b">
        <v>1</v>
      </c>
      <c r="S694" s="144">
        <v>1.0</v>
      </c>
      <c r="T694" s="10"/>
      <c r="U694" s="5"/>
      <c r="V694" s="3"/>
      <c r="W694" s="5"/>
      <c r="X694" s="144" t="b">
        <v>0</v>
      </c>
      <c r="Y694" s="10" t="b">
        <v>0</v>
      </c>
      <c r="Z694" s="3"/>
      <c r="AA694" s="10" t="b">
        <v>0</v>
      </c>
      <c r="AB694" s="10" t="b">
        <v>0</v>
      </c>
      <c r="AC694" s="181">
        <v>79.0</v>
      </c>
      <c r="AD694" s="144" t="b">
        <v>0</v>
      </c>
      <c r="AE694" s="182">
        <v>219.73333333333335</v>
      </c>
      <c r="AF694" s="10" t="b">
        <v>0</v>
      </c>
      <c r="AG694" s="10" t="b">
        <v>0</v>
      </c>
      <c r="AH694" s="144"/>
      <c r="AI694" s="3"/>
      <c r="AJ694" s="10"/>
      <c r="AK694" s="3" t="s">
        <v>244</v>
      </c>
      <c r="AL694" s="5"/>
      <c r="AM694" s="5" t="s">
        <v>307</v>
      </c>
      <c r="AN694" s="5" t="s">
        <v>266</v>
      </c>
      <c r="AO694" s="5" t="s">
        <v>2185</v>
      </c>
      <c r="AP694" s="5" t="s">
        <v>2185</v>
      </c>
      <c r="AQ694" s="5" t="s">
        <v>2185</v>
      </c>
      <c r="AR694" s="5" t="s">
        <v>2185</v>
      </c>
      <c r="AS694" s="142"/>
      <c r="AT694" s="142" t="b">
        <v>0</v>
      </c>
      <c r="AU694" s="142"/>
      <c r="AV694" s="142"/>
      <c r="AW694" s="142"/>
      <c r="AX694" s="142"/>
      <c r="AY694" s="142"/>
      <c r="AZ694" s="174"/>
      <c r="BA694" s="142"/>
      <c r="BB694" s="142"/>
      <c r="BC694" s="142"/>
      <c r="BD694" s="142"/>
      <c r="BE694" s="142"/>
      <c r="BF694" s="142"/>
      <c r="BG694" s="142"/>
    </row>
    <row r="695">
      <c r="A695" s="5" t="s">
        <v>2020</v>
      </c>
      <c r="B695" s="44">
        <v>44627.0</v>
      </c>
      <c r="C695" s="150">
        <v>0.3256712962962963</v>
      </c>
      <c r="D695" s="3"/>
      <c r="E695" s="3"/>
      <c r="F695" s="5"/>
      <c r="G695" s="5"/>
      <c r="H695" s="5"/>
      <c r="I695" s="3"/>
      <c r="J695" s="3"/>
      <c r="K695" s="3" t="s">
        <v>244</v>
      </c>
      <c r="L695" s="44">
        <v>44627.0</v>
      </c>
      <c r="M695" s="150">
        <v>0.4779050925925926</v>
      </c>
      <c r="N695" s="5"/>
      <c r="O695" s="5"/>
      <c r="P695" s="10" t="b">
        <v>0</v>
      </c>
      <c r="Q695" s="10" t="s">
        <v>2184</v>
      </c>
      <c r="R695" s="144" t="b">
        <v>1</v>
      </c>
      <c r="S695" s="144">
        <v>1.0</v>
      </c>
      <c r="T695" s="10"/>
      <c r="U695" s="5"/>
      <c r="V695" s="3"/>
      <c r="W695" s="5"/>
      <c r="X695" s="144" t="b">
        <v>0</v>
      </c>
      <c r="Y695" s="10" t="b">
        <v>0</v>
      </c>
      <c r="Z695" s="3"/>
      <c r="AA695" s="10" t="b">
        <v>0</v>
      </c>
      <c r="AB695" s="10" t="b">
        <v>0</v>
      </c>
      <c r="AC695" s="181">
        <v>78.0</v>
      </c>
      <c r="AD695" s="144" t="b">
        <v>0</v>
      </c>
      <c r="AE695" s="182">
        <v>219.21666666666667</v>
      </c>
      <c r="AF695" s="10" t="b">
        <v>0</v>
      </c>
      <c r="AG695" s="10" t="b">
        <v>0</v>
      </c>
      <c r="AH695" s="144"/>
      <c r="AI695" s="3"/>
      <c r="AJ695" s="10"/>
      <c r="AK695" s="3" t="s">
        <v>244</v>
      </c>
      <c r="AL695" s="5"/>
      <c r="AM695" s="5" t="s">
        <v>291</v>
      </c>
      <c r="AN695" s="5" t="s">
        <v>292</v>
      </c>
      <c r="AO695" s="5" t="s">
        <v>2185</v>
      </c>
      <c r="AP695" s="5" t="s">
        <v>2185</v>
      </c>
      <c r="AQ695" s="5" t="s">
        <v>2185</v>
      </c>
      <c r="AR695" s="5" t="s">
        <v>2185</v>
      </c>
      <c r="AS695" s="142"/>
      <c r="AT695" s="142" t="b">
        <v>0</v>
      </c>
      <c r="AU695" s="142"/>
      <c r="AV695" s="142"/>
      <c r="AW695" s="142"/>
      <c r="AX695" s="142"/>
      <c r="AY695" s="142"/>
      <c r="AZ695" s="174"/>
      <c r="BA695" s="142"/>
      <c r="BB695" s="142"/>
      <c r="BC695" s="142"/>
      <c r="BD695" s="142"/>
      <c r="BE695" s="142"/>
      <c r="BF695" s="142"/>
      <c r="BG695" s="142"/>
    </row>
    <row r="696">
      <c r="A696" s="5" t="s">
        <v>2022</v>
      </c>
      <c r="B696" s="44">
        <v>44627.0</v>
      </c>
      <c r="C696" s="150">
        <v>0.3267939814814815</v>
      </c>
      <c r="D696" s="3"/>
      <c r="E696" s="3"/>
      <c r="F696" s="5"/>
      <c r="G696" s="5"/>
      <c r="H696" s="5"/>
      <c r="I696" s="3"/>
      <c r="J696" s="3"/>
      <c r="K696" s="3" t="s">
        <v>244</v>
      </c>
      <c r="L696" s="44">
        <v>44627.0</v>
      </c>
      <c r="M696" s="150">
        <v>0.4779050925925926</v>
      </c>
      <c r="N696" s="5"/>
      <c r="O696" s="5"/>
      <c r="P696" s="10" t="b">
        <v>0</v>
      </c>
      <c r="Q696" s="10" t="s">
        <v>2184</v>
      </c>
      <c r="R696" s="144" t="b">
        <v>1</v>
      </c>
      <c r="S696" s="144">
        <v>1.0</v>
      </c>
      <c r="T696" s="10"/>
      <c r="U696" s="5"/>
      <c r="V696" s="3"/>
      <c r="W696" s="5"/>
      <c r="X696" s="144" t="b">
        <v>0</v>
      </c>
      <c r="Y696" s="10" t="b">
        <v>0</v>
      </c>
      <c r="Z696" s="3"/>
      <c r="AA696" s="10" t="b">
        <v>0</v>
      </c>
      <c r="AB696" s="10" t="b">
        <v>0</v>
      </c>
      <c r="AC696" s="181">
        <v>77.0</v>
      </c>
      <c r="AD696" s="144" t="b">
        <v>0</v>
      </c>
      <c r="AE696" s="182">
        <v>217.60000000000005</v>
      </c>
      <c r="AF696" s="10" t="b">
        <v>0</v>
      </c>
      <c r="AG696" s="10" t="b">
        <v>0</v>
      </c>
      <c r="AH696" s="144"/>
      <c r="AI696" s="3"/>
      <c r="AJ696" s="10"/>
      <c r="AK696" s="3" t="s">
        <v>244</v>
      </c>
      <c r="AL696" s="5"/>
      <c r="AM696" s="5" t="s">
        <v>1354</v>
      </c>
      <c r="AN696" s="5" t="s">
        <v>1355</v>
      </c>
      <c r="AO696" s="5" t="s">
        <v>2185</v>
      </c>
      <c r="AP696" s="5" t="s">
        <v>2185</v>
      </c>
      <c r="AQ696" s="5" t="s">
        <v>2185</v>
      </c>
      <c r="AR696" s="5" t="s">
        <v>2185</v>
      </c>
      <c r="AS696" s="142"/>
      <c r="AT696" s="142" t="b">
        <v>0</v>
      </c>
      <c r="AU696" s="142"/>
      <c r="AV696" s="142"/>
      <c r="AW696" s="142"/>
      <c r="AX696" s="142"/>
      <c r="AY696" s="142"/>
      <c r="AZ696" s="174"/>
      <c r="BA696" s="142"/>
      <c r="BB696" s="142"/>
      <c r="BC696" s="142"/>
      <c r="BD696" s="142"/>
      <c r="BE696" s="142"/>
      <c r="BF696" s="142"/>
      <c r="BG696" s="142"/>
    </row>
    <row r="697">
      <c r="A697" s="5" t="s">
        <v>2024</v>
      </c>
      <c r="B697" s="44">
        <v>44627.0</v>
      </c>
      <c r="C697" s="150">
        <v>0.3278240740740741</v>
      </c>
      <c r="D697" s="3"/>
      <c r="E697" s="3"/>
      <c r="F697" s="5"/>
      <c r="G697" s="5"/>
      <c r="H697" s="5"/>
      <c r="I697" s="3"/>
      <c r="J697" s="3"/>
      <c r="K697" s="3" t="s">
        <v>244</v>
      </c>
      <c r="L697" s="44">
        <v>44627.0</v>
      </c>
      <c r="M697" s="150">
        <v>0.4779050925925926</v>
      </c>
      <c r="N697" s="5"/>
      <c r="O697" s="5"/>
      <c r="P697" s="10" t="b">
        <v>0</v>
      </c>
      <c r="Q697" s="10" t="s">
        <v>2184</v>
      </c>
      <c r="R697" s="144" t="b">
        <v>1</v>
      </c>
      <c r="S697" s="144">
        <v>1.0</v>
      </c>
      <c r="T697" s="10"/>
      <c r="U697" s="5"/>
      <c r="V697" s="3"/>
      <c r="W697" s="5"/>
      <c r="X697" s="144" t="b">
        <v>0</v>
      </c>
      <c r="Y697" s="10" t="b">
        <v>0</v>
      </c>
      <c r="Z697" s="3"/>
      <c r="AA697" s="10" t="b">
        <v>0</v>
      </c>
      <c r="AB697" s="10" t="b">
        <v>0</v>
      </c>
      <c r="AC697" s="181">
        <v>76.0</v>
      </c>
      <c r="AD697" s="144" t="b">
        <v>0</v>
      </c>
      <c r="AE697" s="182">
        <v>216.11666666666667</v>
      </c>
      <c r="AF697" s="10" t="b">
        <v>0</v>
      </c>
      <c r="AG697" s="10" t="b">
        <v>0</v>
      </c>
      <c r="AH697" s="144"/>
      <c r="AI697" s="3"/>
      <c r="AJ697" s="10"/>
      <c r="AK697" s="3" t="s">
        <v>244</v>
      </c>
      <c r="AL697" s="5"/>
      <c r="AM697" s="5" t="s">
        <v>1454</v>
      </c>
      <c r="AN697" s="5" t="s">
        <v>1455</v>
      </c>
      <c r="AO697" s="5" t="s">
        <v>2185</v>
      </c>
      <c r="AP697" s="5" t="s">
        <v>2185</v>
      </c>
      <c r="AQ697" s="5" t="s">
        <v>2185</v>
      </c>
      <c r="AR697" s="5" t="s">
        <v>2185</v>
      </c>
      <c r="AS697" s="142"/>
      <c r="AT697" s="142" t="b">
        <v>0</v>
      </c>
      <c r="AU697" s="142"/>
      <c r="AV697" s="142"/>
      <c r="AW697" s="142"/>
      <c r="AX697" s="142"/>
      <c r="AY697" s="142"/>
      <c r="AZ697" s="174"/>
      <c r="BA697" s="142"/>
      <c r="BB697" s="142"/>
      <c r="BC697" s="142"/>
      <c r="BD697" s="142"/>
      <c r="BE697" s="142"/>
      <c r="BF697" s="142"/>
      <c r="BG697" s="142"/>
    </row>
    <row r="698">
      <c r="A698" s="5" t="s">
        <v>2026</v>
      </c>
      <c r="B698" s="44">
        <v>44627.0</v>
      </c>
      <c r="C698" s="150">
        <v>0.3370023148148148</v>
      </c>
      <c r="D698" s="3"/>
      <c r="E698" s="3"/>
      <c r="F698" s="5"/>
      <c r="G698" s="5"/>
      <c r="H698" s="5"/>
      <c r="I698" s="3"/>
      <c r="J698" s="3"/>
      <c r="K698" s="3" t="s">
        <v>244</v>
      </c>
      <c r="L698" s="44">
        <v>44627.0</v>
      </c>
      <c r="M698" s="150">
        <v>0.4779050925925926</v>
      </c>
      <c r="N698" s="5"/>
      <c r="O698" s="5"/>
      <c r="P698" s="10" t="b">
        <v>0</v>
      </c>
      <c r="Q698" s="10" t="s">
        <v>2184</v>
      </c>
      <c r="R698" s="144" t="b">
        <v>1</v>
      </c>
      <c r="S698" s="144">
        <v>1.0</v>
      </c>
      <c r="T698" s="10"/>
      <c r="U698" s="5"/>
      <c r="V698" s="3"/>
      <c r="W698" s="5"/>
      <c r="X698" s="144" t="b">
        <v>0</v>
      </c>
      <c r="Y698" s="10" t="b">
        <v>0</v>
      </c>
      <c r="Z698" s="3"/>
      <c r="AA698" s="10" t="b">
        <v>0</v>
      </c>
      <c r="AB698" s="10" t="b">
        <v>0</v>
      </c>
      <c r="AC698" s="181">
        <v>75.0</v>
      </c>
      <c r="AD698" s="144" t="b">
        <v>0</v>
      </c>
      <c r="AE698" s="182">
        <v>202.90000000000006</v>
      </c>
      <c r="AF698" s="10" t="b">
        <v>0</v>
      </c>
      <c r="AG698" s="10" t="b">
        <v>0</v>
      </c>
      <c r="AH698" s="144"/>
      <c r="AI698" s="3"/>
      <c r="AJ698" s="10"/>
      <c r="AK698" s="3" t="s">
        <v>244</v>
      </c>
      <c r="AL698" s="5"/>
      <c r="AM698" s="5" t="s">
        <v>1370</v>
      </c>
      <c r="AN698" s="5" t="s">
        <v>1371</v>
      </c>
      <c r="AO698" s="5" t="s">
        <v>2185</v>
      </c>
      <c r="AP698" s="5" t="s">
        <v>2185</v>
      </c>
      <c r="AQ698" s="5" t="s">
        <v>2185</v>
      </c>
      <c r="AR698" s="5" t="s">
        <v>2185</v>
      </c>
      <c r="AS698" s="142"/>
      <c r="AT698" s="142" t="b">
        <v>0</v>
      </c>
      <c r="AU698" s="142"/>
      <c r="AV698" s="142"/>
      <c r="AW698" s="142"/>
      <c r="AX698" s="142"/>
      <c r="AY698" s="142"/>
      <c r="AZ698" s="174"/>
      <c r="BA698" s="142"/>
      <c r="BB698" s="142"/>
      <c r="BC698" s="142"/>
      <c r="BD698" s="142"/>
      <c r="BE698" s="142"/>
      <c r="BF698" s="142"/>
      <c r="BG698" s="142"/>
    </row>
    <row r="699">
      <c r="A699" s="5" t="s">
        <v>2028</v>
      </c>
      <c r="B699" s="44">
        <v>44627.0</v>
      </c>
      <c r="C699" s="150">
        <v>0.3383449074074074</v>
      </c>
      <c r="D699" s="3"/>
      <c r="E699" s="3"/>
      <c r="F699" s="5"/>
      <c r="G699" s="5"/>
      <c r="H699" s="5"/>
      <c r="I699" s="3"/>
      <c r="J699" s="3"/>
      <c r="K699" s="3" t="s">
        <v>244</v>
      </c>
      <c r="L699" s="44">
        <v>44627.0</v>
      </c>
      <c r="M699" s="150">
        <v>0.4779050925925926</v>
      </c>
      <c r="N699" s="5"/>
      <c r="O699" s="5"/>
      <c r="P699" s="10" t="b">
        <v>0</v>
      </c>
      <c r="Q699" s="10" t="s">
        <v>2184</v>
      </c>
      <c r="R699" s="144" t="b">
        <v>1</v>
      </c>
      <c r="S699" s="144">
        <v>1.0</v>
      </c>
      <c r="T699" s="10"/>
      <c r="U699" s="5"/>
      <c r="V699" s="3"/>
      <c r="W699" s="5"/>
      <c r="X699" s="144" t="b">
        <v>0</v>
      </c>
      <c r="Y699" s="10" t="b">
        <v>0</v>
      </c>
      <c r="Z699" s="3"/>
      <c r="AA699" s="10" t="b">
        <v>0</v>
      </c>
      <c r="AB699" s="10" t="b">
        <v>0</v>
      </c>
      <c r="AC699" s="181">
        <v>74.0</v>
      </c>
      <c r="AD699" s="144" t="b">
        <v>0</v>
      </c>
      <c r="AE699" s="182">
        <v>200.9666666666667</v>
      </c>
      <c r="AF699" s="10" t="b">
        <v>0</v>
      </c>
      <c r="AG699" s="10" t="b">
        <v>0</v>
      </c>
      <c r="AH699" s="144"/>
      <c r="AI699" s="3"/>
      <c r="AJ699" s="10"/>
      <c r="AK699" s="3" t="s">
        <v>244</v>
      </c>
      <c r="AL699" s="5"/>
      <c r="AM699" s="5" t="s">
        <v>1370</v>
      </c>
      <c r="AN699" s="5" t="s">
        <v>1162</v>
      </c>
      <c r="AO699" s="5" t="s">
        <v>2185</v>
      </c>
      <c r="AP699" s="5" t="s">
        <v>2185</v>
      </c>
      <c r="AQ699" s="5" t="s">
        <v>2185</v>
      </c>
      <c r="AR699" s="5" t="s">
        <v>2185</v>
      </c>
      <c r="AS699" s="142"/>
      <c r="AT699" s="142" t="b">
        <v>0</v>
      </c>
      <c r="AU699" s="142"/>
      <c r="AV699" s="142"/>
      <c r="AW699" s="142"/>
      <c r="AX699" s="142"/>
      <c r="AY699" s="142"/>
      <c r="AZ699" s="174"/>
      <c r="BA699" s="142"/>
      <c r="BB699" s="142"/>
      <c r="BC699" s="142"/>
      <c r="BD699" s="142"/>
      <c r="BE699" s="142"/>
      <c r="BF699" s="142"/>
      <c r="BG699" s="142"/>
    </row>
    <row r="700">
      <c r="A700" s="5" t="s">
        <v>2030</v>
      </c>
      <c r="B700" s="44">
        <v>44627.0</v>
      </c>
      <c r="C700" s="150">
        <v>0.3385300925925926</v>
      </c>
      <c r="D700" s="3"/>
      <c r="E700" s="3"/>
      <c r="F700" s="5"/>
      <c r="G700" s="5"/>
      <c r="H700" s="5"/>
      <c r="I700" s="3"/>
      <c r="J700" s="3"/>
      <c r="K700" s="3" t="s">
        <v>244</v>
      </c>
      <c r="L700" s="44">
        <v>44627.0</v>
      </c>
      <c r="M700" s="150">
        <v>0.4779050925925926</v>
      </c>
      <c r="N700" s="5"/>
      <c r="O700" s="5"/>
      <c r="P700" s="10" t="b">
        <v>0</v>
      </c>
      <c r="Q700" s="10" t="s">
        <v>2184</v>
      </c>
      <c r="R700" s="144" t="b">
        <v>1</v>
      </c>
      <c r="S700" s="144">
        <v>1.0</v>
      </c>
      <c r="T700" s="10"/>
      <c r="U700" s="5"/>
      <c r="V700" s="3"/>
      <c r="W700" s="5"/>
      <c r="X700" s="144" t="b">
        <v>0</v>
      </c>
      <c r="Y700" s="10" t="b">
        <v>0</v>
      </c>
      <c r="Z700" s="3"/>
      <c r="AA700" s="10" t="b">
        <v>0</v>
      </c>
      <c r="AB700" s="10" t="b">
        <v>0</v>
      </c>
      <c r="AC700" s="181">
        <v>73.0</v>
      </c>
      <c r="AD700" s="144" t="b">
        <v>0</v>
      </c>
      <c r="AE700" s="182">
        <v>200.70000000000005</v>
      </c>
      <c r="AF700" s="10" t="b">
        <v>0</v>
      </c>
      <c r="AG700" s="10" t="b">
        <v>0</v>
      </c>
      <c r="AH700" s="144"/>
      <c r="AI700" s="3"/>
      <c r="AJ700" s="10"/>
      <c r="AK700" s="3" t="s">
        <v>244</v>
      </c>
      <c r="AL700" s="5"/>
      <c r="AM700" s="5" t="s">
        <v>1402</v>
      </c>
      <c r="AN700" s="5" t="s">
        <v>1403</v>
      </c>
      <c r="AO700" s="5" t="s">
        <v>2185</v>
      </c>
      <c r="AP700" s="5" t="s">
        <v>2185</v>
      </c>
      <c r="AQ700" s="5" t="s">
        <v>2185</v>
      </c>
      <c r="AR700" s="5" t="s">
        <v>2185</v>
      </c>
      <c r="AS700" s="142"/>
      <c r="AT700" s="142" t="b">
        <v>0</v>
      </c>
      <c r="AU700" s="142"/>
      <c r="AV700" s="142"/>
      <c r="AW700" s="142"/>
      <c r="AX700" s="142"/>
      <c r="AY700" s="142"/>
      <c r="AZ700" s="174"/>
      <c r="BA700" s="142"/>
      <c r="BB700" s="142"/>
      <c r="BC700" s="142"/>
      <c r="BD700" s="142"/>
      <c r="BE700" s="142"/>
      <c r="BF700" s="142"/>
      <c r="BG700" s="142"/>
    </row>
    <row r="701">
      <c r="A701" s="5" t="s">
        <v>2032</v>
      </c>
      <c r="B701" s="44">
        <v>44627.0</v>
      </c>
      <c r="C701" s="150">
        <v>0.3386458333333333</v>
      </c>
      <c r="D701" s="3"/>
      <c r="E701" s="3"/>
      <c r="F701" s="5"/>
      <c r="G701" s="5"/>
      <c r="H701" s="5"/>
      <c r="I701" s="3"/>
      <c r="J701" s="3"/>
      <c r="K701" s="3" t="s">
        <v>244</v>
      </c>
      <c r="L701" s="44">
        <v>44627.0</v>
      </c>
      <c r="M701" s="150">
        <v>0.4779050925925926</v>
      </c>
      <c r="N701" s="5"/>
      <c r="O701" s="5"/>
      <c r="P701" s="10" t="b">
        <v>0</v>
      </c>
      <c r="Q701" s="10" t="s">
        <v>2184</v>
      </c>
      <c r="R701" s="144" t="b">
        <v>1</v>
      </c>
      <c r="S701" s="144">
        <v>1.0</v>
      </c>
      <c r="T701" s="10"/>
      <c r="U701" s="5"/>
      <c r="V701" s="3"/>
      <c r="W701" s="5"/>
      <c r="X701" s="144" t="b">
        <v>0</v>
      </c>
      <c r="Y701" s="10" t="b">
        <v>0</v>
      </c>
      <c r="Z701" s="3"/>
      <c r="AA701" s="10" t="b">
        <v>0</v>
      </c>
      <c r="AB701" s="10" t="b">
        <v>0</v>
      </c>
      <c r="AC701" s="181">
        <v>72.0</v>
      </c>
      <c r="AD701" s="144" t="b">
        <v>0</v>
      </c>
      <c r="AE701" s="182">
        <v>200.5333333333334</v>
      </c>
      <c r="AF701" s="10" t="b">
        <v>0</v>
      </c>
      <c r="AG701" s="10" t="b">
        <v>0</v>
      </c>
      <c r="AH701" s="144"/>
      <c r="AI701" s="3"/>
      <c r="AJ701" s="10"/>
      <c r="AK701" s="3" t="s">
        <v>244</v>
      </c>
      <c r="AL701" s="5"/>
      <c r="AM701" s="5" t="s">
        <v>593</v>
      </c>
      <c r="AN701" s="5" t="s">
        <v>594</v>
      </c>
      <c r="AO701" s="5" t="s">
        <v>2185</v>
      </c>
      <c r="AP701" s="5" t="s">
        <v>2185</v>
      </c>
      <c r="AQ701" s="5" t="s">
        <v>2185</v>
      </c>
      <c r="AR701" s="5" t="s">
        <v>2185</v>
      </c>
      <c r="AS701" s="142"/>
      <c r="AT701" s="142" t="b">
        <v>0</v>
      </c>
      <c r="AU701" s="142"/>
      <c r="AV701" s="142"/>
      <c r="AW701" s="142"/>
      <c r="AX701" s="142"/>
      <c r="AY701" s="142"/>
      <c r="AZ701" s="174"/>
      <c r="BA701" s="142"/>
      <c r="BB701" s="142"/>
      <c r="BC701" s="142"/>
      <c r="BD701" s="142"/>
      <c r="BE701" s="142"/>
      <c r="BF701" s="142"/>
      <c r="BG701" s="142"/>
    </row>
    <row r="702">
      <c r="A702" s="5" t="s">
        <v>2034</v>
      </c>
      <c r="B702" s="44">
        <v>44627.0</v>
      </c>
      <c r="C702" s="150">
        <v>0.34769675925925925</v>
      </c>
      <c r="D702" s="3"/>
      <c r="E702" s="3"/>
      <c r="F702" s="5"/>
      <c r="G702" s="5"/>
      <c r="H702" s="5"/>
      <c r="I702" s="3"/>
      <c r="J702" s="3"/>
      <c r="K702" s="3" t="s">
        <v>244</v>
      </c>
      <c r="L702" s="44">
        <v>44627.0</v>
      </c>
      <c r="M702" s="150">
        <v>0.4779050925925926</v>
      </c>
      <c r="N702" s="5"/>
      <c r="O702" s="5"/>
      <c r="P702" s="10" t="b">
        <v>0</v>
      </c>
      <c r="Q702" s="10" t="s">
        <v>2184</v>
      </c>
      <c r="R702" s="144" t="b">
        <v>1</v>
      </c>
      <c r="S702" s="144">
        <v>1.0</v>
      </c>
      <c r="T702" s="10"/>
      <c r="U702" s="5"/>
      <c r="V702" s="3"/>
      <c r="W702" s="5"/>
      <c r="X702" s="144" t="b">
        <v>0</v>
      </c>
      <c r="Y702" s="10" t="b">
        <v>0</v>
      </c>
      <c r="Z702" s="3"/>
      <c r="AA702" s="10" t="b">
        <v>0</v>
      </c>
      <c r="AB702" s="10" t="b">
        <v>0</v>
      </c>
      <c r="AC702" s="181">
        <v>70.0</v>
      </c>
      <c r="AD702" s="144" t="b">
        <v>0</v>
      </c>
      <c r="AE702" s="182">
        <v>187.50000000000006</v>
      </c>
      <c r="AF702" s="10" t="b">
        <v>0</v>
      </c>
      <c r="AG702" s="10" t="b">
        <v>0</v>
      </c>
      <c r="AH702" s="144"/>
      <c r="AI702" s="3"/>
      <c r="AJ702" s="10"/>
      <c r="AK702" s="3" t="s">
        <v>244</v>
      </c>
      <c r="AL702" s="5"/>
      <c r="AM702" s="5" t="s">
        <v>649</v>
      </c>
      <c r="AN702" s="5" t="s">
        <v>336</v>
      </c>
      <c r="AO702" s="5" t="s">
        <v>2185</v>
      </c>
      <c r="AP702" s="5" t="s">
        <v>2185</v>
      </c>
      <c r="AQ702" s="5" t="s">
        <v>2185</v>
      </c>
      <c r="AR702" s="5" t="s">
        <v>2185</v>
      </c>
      <c r="AS702" s="142"/>
      <c r="AT702" s="142" t="b">
        <v>0</v>
      </c>
      <c r="AU702" s="142"/>
      <c r="AV702" s="142"/>
      <c r="AW702" s="142"/>
      <c r="AX702" s="142"/>
      <c r="AY702" s="142"/>
      <c r="AZ702" s="174"/>
      <c r="BA702" s="142"/>
      <c r="BB702" s="142"/>
      <c r="BC702" s="142"/>
      <c r="BD702" s="142"/>
      <c r="BE702" s="142"/>
      <c r="BF702" s="142"/>
      <c r="BG702" s="142"/>
    </row>
    <row r="703">
      <c r="A703" s="5" t="s">
        <v>2036</v>
      </c>
      <c r="B703" s="44">
        <v>44627.0</v>
      </c>
      <c r="C703" s="150">
        <v>0.35195601851851854</v>
      </c>
      <c r="D703" s="3"/>
      <c r="E703" s="3"/>
      <c r="F703" s="5"/>
      <c r="G703" s="5"/>
      <c r="H703" s="5"/>
      <c r="I703" s="3"/>
      <c r="J703" s="3"/>
      <c r="K703" s="3" t="s">
        <v>244</v>
      </c>
      <c r="L703" s="44">
        <v>44627.0</v>
      </c>
      <c r="M703" s="150">
        <v>0.4779050925925926</v>
      </c>
      <c r="N703" s="5"/>
      <c r="O703" s="5"/>
      <c r="P703" s="10" t="b">
        <v>0</v>
      </c>
      <c r="Q703" s="10" t="s">
        <v>2184</v>
      </c>
      <c r="R703" s="144" t="b">
        <v>1</v>
      </c>
      <c r="S703" s="144">
        <v>1.0</v>
      </c>
      <c r="T703" s="10"/>
      <c r="U703" s="5"/>
      <c r="V703" s="3"/>
      <c r="W703" s="5"/>
      <c r="X703" s="144" t="b">
        <v>0</v>
      </c>
      <c r="Y703" s="10" t="b">
        <v>0</v>
      </c>
      <c r="Z703" s="3"/>
      <c r="AA703" s="10" t="b">
        <v>0</v>
      </c>
      <c r="AB703" s="10" t="b">
        <v>0</v>
      </c>
      <c r="AC703" s="181">
        <v>69.0</v>
      </c>
      <c r="AD703" s="144" t="b">
        <v>0</v>
      </c>
      <c r="AE703" s="182">
        <v>181.36666666666667</v>
      </c>
      <c r="AF703" s="10" t="b">
        <v>0</v>
      </c>
      <c r="AG703" s="10" t="b">
        <v>0</v>
      </c>
      <c r="AH703" s="144"/>
      <c r="AI703" s="3"/>
      <c r="AJ703" s="10"/>
      <c r="AK703" s="3" t="s">
        <v>244</v>
      </c>
      <c r="AL703" s="5"/>
      <c r="AM703" s="5" t="s">
        <v>1380</v>
      </c>
      <c r="AN703" s="5" t="s">
        <v>1381</v>
      </c>
      <c r="AO703" s="5" t="s">
        <v>2185</v>
      </c>
      <c r="AP703" s="5" t="s">
        <v>2185</v>
      </c>
      <c r="AQ703" s="5" t="s">
        <v>2185</v>
      </c>
      <c r="AR703" s="5" t="s">
        <v>2185</v>
      </c>
      <c r="AS703" s="142"/>
      <c r="AT703" s="142" t="b">
        <v>0</v>
      </c>
      <c r="AU703" s="142"/>
      <c r="AV703" s="142"/>
      <c r="AW703" s="142"/>
      <c r="AX703" s="142"/>
      <c r="AY703" s="142"/>
      <c r="AZ703" s="174"/>
      <c r="BA703" s="142"/>
      <c r="BB703" s="142"/>
      <c r="BC703" s="142"/>
      <c r="BD703" s="142"/>
      <c r="BE703" s="142"/>
      <c r="BF703" s="142"/>
      <c r="BG703" s="142"/>
    </row>
    <row r="704">
      <c r="A704" s="5" t="s">
        <v>2038</v>
      </c>
      <c r="B704" s="44">
        <v>44629.0</v>
      </c>
      <c r="C704" s="150">
        <v>0.2939699074074074</v>
      </c>
      <c r="D704" s="3"/>
      <c r="E704" s="3"/>
      <c r="F704" s="5"/>
      <c r="G704" s="5"/>
      <c r="H704" s="5"/>
      <c r="I704" s="3"/>
      <c r="J704" s="3"/>
      <c r="K704" s="3" t="s">
        <v>244</v>
      </c>
      <c r="L704" s="44">
        <v>44629.0</v>
      </c>
      <c r="M704" s="150">
        <v>0.4994328703703704</v>
      </c>
      <c r="N704" s="5"/>
      <c r="O704" s="5"/>
      <c r="P704" s="10" t="b">
        <v>0</v>
      </c>
      <c r="Q704" s="10" t="s">
        <v>2184</v>
      </c>
      <c r="R704" s="144" t="b">
        <v>1</v>
      </c>
      <c r="S704" s="144">
        <v>1.0</v>
      </c>
      <c r="T704" s="10"/>
      <c r="U704" s="5"/>
      <c r="V704" s="3"/>
      <c r="W704" s="5"/>
      <c r="X704" s="144" t="b">
        <v>0</v>
      </c>
      <c r="Y704" s="10" t="b">
        <v>0</v>
      </c>
      <c r="Z704" s="3"/>
      <c r="AA704" s="10" t="b">
        <v>0</v>
      </c>
      <c r="AB704" s="10" t="b">
        <v>0</v>
      </c>
      <c r="AC704" s="181">
        <v>68.0</v>
      </c>
      <c r="AD704" s="144" t="b">
        <v>0</v>
      </c>
      <c r="AE704" s="182">
        <v>295.8666666666667</v>
      </c>
      <c r="AF704" s="10" t="b">
        <v>0</v>
      </c>
      <c r="AG704" s="10" t="b">
        <v>0</v>
      </c>
      <c r="AH704" s="144"/>
      <c r="AI704" s="3"/>
      <c r="AJ704" s="10"/>
      <c r="AK704" s="3" t="s">
        <v>244</v>
      </c>
      <c r="AL704" s="5"/>
      <c r="AM704" s="5" t="s">
        <v>624</v>
      </c>
      <c r="AN704" s="5" t="s">
        <v>625</v>
      </c>
      <c r="AO704" s="5" t="s">
        <v>2185</v>
      </c>
      <c r="AP704" s="5" t="s">
        <v>2185</v>
      </c>
      <c r="AQ704" s="5" t="s">
        <v>2185</v>
      </c>
      <c r="AR704" s="5" t="s">
        <v>2185</v>
      </c>
      <c r="AS704" s="142"/>
      <c r="AT704" s="142" t="b">
        <v>0</v>
      </c>
      <c r="AU704" s="142"/>
      <c r="AV704" s="142"/>
      <c r="AW704" s="142"/>
      <c r="AX704" s="142"/>
      <c r="AY704" s="142"/>
      <c r="AZ704" s="174"/>
      <c r="BA704" s="142"/>
      <c r="BB704" s="142"/>
      <c r="BC704" s="142"/>
      <c r="BD704" s="142"/>
      <c r="BE704" s="142"/>
      <c r="BF704" s="142"/>
      <c r="BG704" s="142"/>
    </row>
    <row r="705">
      <c r="A705" s="5" t="s">
        <v>2040</v>
      </c>
      <c r="B705" s="44">
        <v>44629.0</v>
      </c>
      <c r="C705" s="150">
        <v>0.31136574074074075</v>
      </c>
      <c r="D705" s="3"/>
      <c r="E705" s="3"/>
      <c r="F705" s="5"/>
      <c r="G705" s="5"/>
      <c r="H705" s="5"/>
      <c r="I705" s="3"/>
      <c r="J705" s="3"/>
      <c r="K705" s="3" t="s">
        <v>254</v>
      </c>
      <c r="L705" s="44"/>
      <c r="M705" s="150"/>
      <c r="N705" s="5"/>
      <c r="O705" s="5"/>
      <c r="P705" s="10" t="b">
        <v>0</v>
      </c>
      <c r="Q705" s="10" t="s">
        <v>2188</v>
      </c>
      <c r="R705" s="144" t="b">
        <v>1</v>
      </c>
      <c r="S705" s="144">
        <v>1.0</v>
      </c>
      <c r="T705" s="10"/>
      <c r="U705" s="5"/>
      <c r="V705" s="3"/>
      <c r="W705" s="5"/>
      <c r="X705" s="144" t="b">
        <v>0</v>
      </c>
      <c r="Y705" s="10" t="b">
        <v>0</v>
      </c>
      <c r="Z705" s="3"/>
      <c r="AA705" s="10" t="b">
        <v>0</v>
      </c>
      <c r="AB705" s="10" t="b">
        <v>0</v>
      </c>
      <c r="AC705" s="181">
        <v>67.0</v>
      </c>
      <c r="AD705" s="144" t="b">
        <v>0</v>
      </c>
      <c r="AE705" s="182"/>
      <c r="AF705" s="10" t="b">
        <v>0</v>
      </c>
      <c r="AG705" s="10" t="b">
        <v>0</v>
      </c>
      <c r="AH705" s="144"/>
      <c r="AI705" s="3"/>
      <c r="AJ705" s="10">
        <v>2.0</v>
      </c>
      <c r="AK705" s="3" t="s">
        <v>244</v>
      </c>
      <c r="AL705" s="5"/>
      <c r="AM705" s="5" t="s">
        <v>328</v>
      </c>
      <c r="AN705" s="5" t="s">
        <v>329</v>
      </c>
      <c r="AO705" s="5" t="s">
        <v>2185</v>
      </c>
      <c r="AP705" s="5" t="s">
        <v>2185</v>
      </c>
      <c r="AQ705" s="5" t="s">
        <v>2185</v>
      </c>
      <c r="AR705" s="5" t="s">
        <v>2185</v>
      </c>
      <c r="AS705" s="142"/>
      <c r="AT705" s="142" t="b">
        <v>0</v>
      </c>
      <c r="AU705" s="142"/>
      <c r="AV705" s="142"/>
      <c r="AW705" s="142"/>
      <c r="AX705" s="142"/>
      <c r="AY705" s="142"/>
      <c r="AZ705" s="174"/>
      <c r="BA705" s="142"/>
      <c r="BB705" s="142"/>
      <c r="BC705" s="142"/>
      <c r="BD705" s="142"/>
      <c r="BE705" s="142"/>
      <c r="BF705" s="142"/>
      <c r="BG705" s="142"/>
    </row>
    <row r="706">
      <c r="A706" s="5" t="s">
        <v>2042</v>
      </c>
      <c r="B706" s="44">
        <v>44629.0</v>
      </c>
      <c r="C706" s="150">
        <v>0.31177083333333333</v>
      </c>
      <c r="D706" s="3"/>
      <c r="E706" s="3"/>
      <c r="F706" s="5"/>
      <c r="G706" s="5"/>
      <c r="H706" s="5"/>
      <c r="I706" s="3"/>
      <c r="J706" s="3"/>
      <c r="K706" s="3" t="s">
        <v>244</v>
      </c>
      <c r="L706" s="44">
        <v>44629.0</v>
      </c>
      <c r="M706" s="150">
        <v>0.49944444444444447</v>
      </c>
      <c r="N706" s="5"/>
      <c r="O706" s="5"/>
      <c r="P706" s="10" t="b">
        <v>0</v>
      </c>
      <c r="Q706" s="10" t="s">
        <v>2184</v>
      </c>
      <c r="R706" s="144" t="b">
        <v>1</v>
      </c>
      <c r="S706" s="144">
        <v>1.0</v>
      </c>
      <c r="T706" s="10"/>
      <c r="U706" s="5"/>
      <c r="V706" s="3"/>
      <c r="W706" s="5"/>
      <c r="X706" s="144" t="b">
        <v>0</v>
      </c>
      <c r="Y706" s="10" t="b">
        <v>0</v>
      </c>
      <c r="Z706" s="3"/>
      <c r="AA706" s="10" t="b">
        <v>0</v>
      </c>
      <c r="AB706" s="10" t="b">
        <v>0</v>
      </c>
      <c r="AC706" s="181">
        <v>66.0</v>
      </c>
      <c r="AD706" s="144" t="b">
        <v>0</v>
      </c>
      <c r="AE706" s="182">
        <v>270.25000000000006</v>
      </c>
      <c r="AF706" s="10" t="b">
        <v>0</v>
      </c>
      <c r="AG706" s="10" t="b">
        <v>0</v>
      </c>
      <c r="AH706" s="144"/>
      <c r="AI706" s="3"/>
      <c r="AJ706" s="10"/>
      <c r="AK706" s="3" t="s">
        <v>244</v>
      </c>
      <c r="AL706" s="5"/>
      <c r="AM706" s="5" t="s">
        <v>875</v>
      </c>
      <c r="AN706" s="5" t="s">
        <v>876</v>
      </c>
      <c r="AO706" s="5" t="s">
        <v>2185</v>
      </c>
      <c r="AP706" s="5" t="s">
        <v>2185</v>
      </c>
      <c r="AQ706" s="5" t="s">
        <v>2185</v>
      </c>
      <c r="AR706" s="5" t="s">
        <v>2185</v>
      </c>
      <c r="AS706" s="142"/>
      <c r="AT706" s="142" t="b">
        <v>0</v>
      </c>
      <c r="AU706" s="142"/>
      <c r="AV706" s="142"/>
      <c r="AW706" s="142"/>
      <c r="AX706" s="142"/>
      <c r="AY706" s="142"/>
      <c r="AZ706" s="174"/>
      <c r="BA706" s="142"/>
      <c r="BB706" s="142"/>
      <c r="BC706" s="142"/>
      <c r="BD706" s="142"/>
      <c r="BE706" s="142"/>
      <c r="BF706" s="142"/>
      <c r="BG706" s="142"/>
    </row>
    <row r="707">
      <c r="A707" s="5" t="s">
        <v>2044</v>
      </c>
      <c r="B707" s="44">
        <v>44629.0</v>
      </c>
      <c r="C707" s="150">
        <v>0.3121527777777778</v>
      </c>
      <c r="D707" s="3"/>
      <c r="E707" s="3"/>
      <c r="F707" s="5"/>
      <c r="G707" s="5"/>
      <c r="H707" s="5"/>
      <c r="I707" s="3"/>
      <c r="J707" s="3"/>
      <c r="K707" s="3" t="s">
        <v>244</v>
      </c>
      <c r="L707" s="44">
        <v>44629.0</v>
      </c>
      <c r="M707" s="150">
        <v>0.49944444444444447</v>
      </c>
      <c r="N707" s="5"/>
      <c r="O707" s="5"/>
      <c r="P707" s="10" t="b">
        <v>0</v>
      </c>
      <c r="Q707" s="10" t="s">
        <v>2184</v>
      </c>
      <c r="R707" s="144" t="b">
        <v>1</v>
      </c>
      <c r="S707" s="144">
        <v>1.0</v>
      </c>
      <c r="T707" s="10"/>
      <c r="U707" s="5"/>
      <c r="V707" s="3"/>
      <c r="W707" s="5"/>
      <c r="X707" s="144" t="b">
        <v>0</v>
      </c>
      <c r="Y707" s="10" t="b">
        <v>0</v>
      </c>
      <c r="Z707" s="3"/>
      <c r="AA707" s="10" t="b">
        <v>0</v>
      </c>
      <c r="AB707" s="10" t="b">
        <v>0</v>
      </c>
      <c r="AC707" s="181">
        <v>65.0</v>
      </c>
      <c r="AD707" s="144" t="b">
        <v>0</v>
      </c>
      <c r="AE707" s="182">
        <v>269.70000000000005</v>
      </c>
      <c r="AF707" s="10" t="b">
        <v>0</v>
      </c>
      <c r="AG707" s="10" t="b">
        <v>0</v>
      </c>
      <c r="AH707" s="144"/>
      <c r="AI707" s="3"/>
      <c r="AJ707" s="10"/>
      <c r="AK707" s="3" t="s">
        <v>244</v>
      </c>
      <c r="AL707" s="5"/>
      <c r="AM707" s="5" t="s">
        <v>618</v>
      </c>
      <c r="AN707" s="5" t="s">
        <v>619</v>
      </c>
      <c r="AO707" s="5" t="s">
        <v>2185</v>
      </c>
      <c r="AP707" s="5" t="s">
        <v>2185</v>
      </c>
      <c r="AQ707" s="5" t="s">
        <v>2185</v>
      </c>
      <c r="AR707" s="5" t="s">
        <v>2185</v>
      </c>
      <c r="AS707" s="142"/>
      <c r="AT707" s="142" t="b">
        <v>0</v>
      </c>
      <c r="AU707" s="142"/>
      <c r="AV707" s="142"/>
      <c r="AW707" s="142"/>
      <c r="AX707" s="142"/>
      <c r="AY707" s="142"/>
      <c r="AZ707" s="174"/>
      <c r="BA707" s="142"/>
      <c r="BB707" s="142"/>
      <c r="BC707" s="142"/>
      <c r="BD707" s="142"/>
      <c r="BE707" s="142"/>
      <c r="BF707" s="142"/>
      <c r="BG707" s="142"/>
    </row>
    <row r="708">
      <c r="A708" s="5" t="s">
        <v>2046</v>
      </c>
      <c r="B708" s="44">
        <v>44629.0</v>
      </c>
      <c r="C708" s="150">
        <v>0.31225694444444446</v>
      </c>
      <c r="D708" s="3"/>
      <c r="E708" s="3"/>
      <c r="F708" s="5"/>
      <c r="G708" s="5"/>
      <c r="H708" s="5"/>
      <c r="I708" s="3"/>
      <c r="J708" s="3"/>
      <c r="K708" s="3" t="s">
        <v>244</v>
      </c>
      <c r="L708" s="44">
        <v>44629.0</v>
      </c>
      <c r="M708" s="150">
        <v>0.49944444444444447</v>
      </c>
      <c r="N708" s="5"/>
      <c r="O708" s="5"/>
      <c r="P708" s="10" t="b">
        <v>0</v>
      </c>
      <c r="Q708" s="10" t="s">
        <v>2184</v>
      </c>
      <c r="R708" s="144" t="b">
        <v>1</v>
      </c>
      <c r="S708" s="144">
        <v>1.0</v>
      </c>
      <c r="T708" s="10"/>
      <c r="U708" s="5"/>
      <c r="V708" s="3"/>
      <c r="W708" s="5"/>
      <c r="X708" s="144" t="b">
        <v>0</v>
      </c>
      <c r="Y708" s="10" t="b">
        <v>0</v>
      </c>
      <c r="Z708" s="3"/>
      <c r="AA708" s="10" t="b">
        <v>0</v>
      </c>
      <c r="AB708" s="10" t="b">
        <v>0</v>
      </c>
      <c r="AC708" s="181">
        <v>64.0</v>
      </c>
      <c r="AD708" s="144" t="b">
        <v>0</v>
      </c>
      <c r="AE708" s="182">
        <v>269.54999999999995</v>
      </c>
      <c r="AF708" s="10" t="b">
        <v>0</v>
      </c>
      <c r="AG708" s="10" t="b">
        <v>0</v>
      </c>
      <c r="AH708" s="144"/>
      <c r="AI708" s="3"/>
      <c r="AJ708" s="10"/>
      <c r="AK708" s="3" t="s">
        <v>244</v>
      </c>
      <c r="AL708" s="5"/>
      <c r="AM708" s="5" t="s">
        <v>1638</v>
      </c>
      <c r="AN708" s="5" t="s">
        <v>1639</v>
      </c>
      <c r="AO708" s="5" t="s">
        <v>2185</v>
      </c>
      <c r="AP708" s="5" t="s">
        <v>2185</v>
      </c>
      <c r="AQ708" s="5" t="s">
        <v>2185</v>
      </c>
      <c r="AR708" s="5" t="s">
        <v>2185</v>
      </c>
      <c r="AS708" s="142"/>
      <c r="AT708" s="142" t="b">
        <v>0</v>
      </c>
      <c r="AU708" s="142"/>
      <c r="AV708" s="142"/>
      <c r="AW708" s="142"/>
      <c r="AX708" s="142"/>
      <c r="AY708" s="142"/>
      <c r="AZ708" s="174"/>
      <c r="BA708" s="142"/>
      <c r="BB708" s="142"/>
      <c r="BC708" s="142"/>
      <c r="BD708" s="142"/>
      <c r="BE708" s="142"/>
      <c r="BF708" s="142"/>
      <c r="BG708" s="142"/>
    </row>
    <row r="709">
      <c r="A709" s="5" t="s">
        <v>2048</v>
      </c>
      <c r="B709" s="44">
        <v>44629.0</v>
      </c>
      <c r="C709" s="150">
        <v>0.31296296296296294</v>
      </c>
      <c r="D709" s="3"/>
      <c r="E709" s="3"/>
      <c r="F709" s="5"/>
      <c r="G709" s="5"/>
      <c r="H709" s="5"/>
      <c r="I709" s="3"/>
      <c r="J709" s="3"/>
      <c r="K709" s="3" t="s">
        <v>244</v>
      </c>
      <c r="L709" s="44">
        <v>44629.0</v>
      </c>
      <c r="M709" s="150">
        <v>0.49944444444444447</v>
      </c>
      <c r="N709" s="5"/>
      <c r="O709" s="5"/>
      <c r="P709" s="10" t="b">
        <v>0</v>
      </c>
      <c r="Q709" s="10" t="s">
        <v>2184</v>
      </c>
      <c r="R709" s="144" t="b">
        <v>1</v>
      </c>
      <c r="S709" s="144">
        <v>1.0</v>
      </c>
      <c r="T709" s="10"/>
      <c r="U709" s="5"/>
      <c r="V709" s="3"/>
      <c r="W709" s="5"/>
      <c r="X709" s="144" t="b">
        <v>0</v>
      </c>
      <c r="Y709" s="10" t="b">
        <v>0</v>
      </c>
      <c r="Z709" s="3"/>
      <c r="AA709" s="10" t="b">
        <v>0</v>
      </c>
      <c r="AB709" s="10" t="b">
        <v>0</v>
      </c>
      <c r="AC709" s="181">
        <v>63.0</v>
      </c>
      <c r="AD709" s="144" t="b">
        <v>0</v>
      </c>
      <c r="AE709" s="182">
        <v>268.5333333333334</v>
      </c>
      <c r="AF709" s="10" t="b">
        <v>0</v>
      </c>
      <c r="AG709" s="10" t="b">
        <v>0</v>
      </c>
      <c r="AH709" s="144"/>
      <c r="AI709" s="3"/>
      <c r="AJ709" s="10"/>
      <c r="AK709" s="3" t="s">
        <v>244</v>
      </c>
      <c r="AL709" s="5"/>
      <c r="AM709" s="5" t="s">
        <v>273</v>
      </c>
      <c r="AN709" s="5" t="s">
        <v>274</v>
      </c>
      <c r="AO709" s="5" t="s">
        <v>2185</v>
      </c>
      <c r="AP709" s="5" t="s">
        <v>2185</v>
      </c>
      <c r="AQ709" s="5" t="s">
        <v>2185</v>
      </c>
      <c r="AR709" s="5" t="s">
        <v>2185</v>
      </c>
      <c r="AS709" s="142"/>
      <c r="AT709" s="142" t="b">
        <v>0</v>
      </c>
      <c r="AU709" s="142"/>
      <c r="AV709" s="142"/>
      <c r="AW709" s="142"/>
      <c r="AX709" s="142"/>
      <c r="AY709" s="142"/>
      <c r="AZ709" s="174"/>
      <c r="BA709" s="142"/>
      <c r="BB709" s="142"/>
      <c r="BC709" s="142"/>
      <c r="BD709" s="142"/>
      <c r="BE709" s="142"/>
      <c r="BF709" s="142"/>
      <c r="BG709" s="142"/>
    </row>
    <row r="710">
      <c r="A710" s="5" t="s">
        <v>2050</v>
      </c>
      <c r="B710" s="44">
        <v>44629.0</v>
      </c>
      <c r="C710" s="150">
        <v>0.31309027777777776</v>
      </c>
      <c r="D710" s="3"/>
      <c r="E710" s="3"/>
      <c r="F710" s="5"/>
      <c r="G710" s="5"/>
      <c r="H710" s="5"/>
      <c r="I710" s="3"/>
      <c r="J710" s="3"/>
      <c r="K710" s="3" t="s">
        <v>244</v>
      </c>
      <c r="L710" s="44">
        <v>44629.0</v>
      </c>
      <c r="M710" s="150">
        <v>0.49944444444444447</v>
      </c>
      <c r="N710" s="5"/>
      <c r="O710" s="5"/>
      <c r="P710" s="10" t="b">
        <v>0</v>
      </c>
      <c r="Q710" s="10" t="s">
        <v>2184</v>
      </c>
      <c r="R710" s="144" t="b">
        <v>1</v>
      </c>
      <c r="S710" s="144">
        <v>1.0</v>
      </c>
      <c r="T710" s="10"/>
      <c r="U710" s="5"/>
      <c r="V710" s="3"/>
      <c r="W710" s="5"/>
      <c r="X710" s="144" t="b">
        <v>0</v>
      </c>
      <c r="Y710" s="10" t="b">
        <v>0</v>
      </c>
      <c r="Z710" s="3"/>
      <c r="AA710" s="10" t="b">
        <v>0</v>
      </c>
      <c r="AB710" s="10" t="b">
        <v>0</v>
      </c>
      <c r="AC710" s="181">
        <v>62.0</v>
      </c>
      <c r="AD710" s="144" t="b">
        <v>0</v>
      </c>
      <c r="AE710" s="182">
        <v>268.3500000000001</v>
      </c>
      <c r="AF710" s="10" t="b">
        <v>0</v>
      </c>
      <c r="AG710" s="10" t="b">
        <v>0</v>
      </c>
      <c r="AH710" s="144"/>
      <c r="AI710" s="3"/>
      <c r="AJ710" s="10"/>
      <c r="AK710" s="3" t="s">
        <v>244</v>
      </c>
      <c r="AL710" s="5"/>
      <c r="AM710" s="5" t="s">
        <v>1656</v>
      </c>
      <c r="AN710" s="5" t="s">
        <v>1657</v>
      </c>
      <c r="AO710" s="5" t="s">
        <v>2185</v>
      </c>
      <c r="AP710" s="5" t="s">
        <v>2185</v>
      </c>
      <c r="AQ710" s="5" t="s">
        <v>2185</v>
      </c>
      <c r="AR710" s="5" t="s">
        <v>2185</v>
      </c>
      <c r="AS710" s="142"/>
      <c r="AT710" s="142" t="b">
        <v>0</v>
      </c>
      <c r="AU710" s="142"/>
      <c r="AV710" s="142"/>
      <c r="AW710" s="142"/>
      <c r="AX710" s="142"/>
      <c r="AY710" s="142"/>
      <c r="AZ710" s="174"/>
      <c r="BA710" s="142"/>
      <c r="BB710" s="142"/>
      <c r="BC710" s="142"/>
      <c r="BD710" s="142"/>
      <c r="BE710" s="142"/>
      <c r="BF710" s="142"/>
      <c r="BG710" s="142"/>
    </row>
    <row r="711">
      <c r="A711" s="5" t="s">
        <v>2052</v>
      </c>
      <c r="B711" s="44">
        <v>44629.0</v>
      </c>
      <c r="C711" s="150">
        <v>0.31440972222222224</v>
      </c>
      <c r="D711" s="3"/>
      <c r="E711" s="3"/>
      <c r="F711" s="5"/>
      <c r="G711" s="5"/>
      <c r="H711" s="5"/>
      <c r="I711" s="3"/>
      <c r="J711" s="3"/>
      <c r="K711" s="3" t="s">
        <v>244</v>
      </c>
      <c r="L711" s="44">
        <v>44629.0</v>
      </c>
      <c r="M711" s="150">
        <v>0.49944444444444447</v>
      </c>
      <c r="N711" s="5"/>
      <c r="O711" s="5"/>
      <c r="P711" s="10" t="b">
        <v>0</v>
      </c>
      <c r="Q711" s="10" t="s">
        <v>2184</v>
      </c>
      <c r="R711" s="144" t="b">
        <v>1</v>
      </c>
      <c r="S711" s="144">
        <v>1.0</v>
      </c>
      <c r="T711" s="10"/>
      <c r="U711" s="5"/>
      <c r="V711" s="3"/>
      <c r="W711" s="5"/>
      <c r="X711" s="144" t="b">
        <v>0</v>
      </c>
      <c r="Y711" s="10" t="b">
        <v>0</v>
      </c>
      <c r="Z711" s="3"/>
      <c r="AA711" s="10" t="b">
        <v>0</v>
      </c>
      <c r="AB711" s="10" t="b">
        <v>0</v>
      </c>
      <c r="AC711" s="181">
        <v>61.0</v>
      </c>
      <c r="AD711" s="144" t="b">
        <v>0</v>
      </c>
      <c r="AE711" s="182">
        <v>266.45000000000005</v>
      </c>
      <c r="AF711" s="10" t="b">
        <v>0</v>
      </c>
      <c r="AG711" s="10" t="b">
        <v>0</v>
      </c>
      <c r="AH711" s="144"/>
      <c r="AI711" s="3"/>
      <c r="AJ711" s="10"/>
      <c r="AK711" s="3" t="s">
        <v>244</v>
      </c>
      <c r="AL711" s="5"/>
      <c r="AM711" s="5" t="s">
        <v>717</v>
      </c>
      <c r="AN711" s="5" t="s">
        <v>718</v>
      </c>
      <c r="AO711" s="5" t="s">
        <v>2185</v>
      </c>
      <c r="AP711" s="5" t="s">
        <v>2185</v>
      </c>
      <c r="AQ711" s="5" t="s">
        <v>2185</v>
      </c>
      <c r="AR711" s="5" t="s">
        <v>2185</v>
      </c>
      <c r="AS711" s="142"/>
      <c r="AT711" s="142" t="b">
        <v>0</v>
      </c>
      <c r="AU711" s="142"/>
      <c r="AV711" s="142"/>
      <c r="AW711" s="142"/>
      <c r="AX711" s="142"/>
      <c r="AY711" s="142"/>
      <c r="AZ711" s="174"/>
      <c r="BA711" s="142"/>
      <c r="BB711" s="142"/>
      <c r="BC711" s="142"/>
      <c r="BD711" s="142"/>
      <c r="BE711" s="142"/>
      <c r="BF711" s="142"/>
      <c r="BG711" s="142"/>
    </row>
    <row r="712">
      <c r="A712" s="5" t="s">
        <v>2054</v>
      </c>
      <c r="B712" s="44">
        <v>44629.0</v>
      </c>
      <c r="C712" s="150">
        <v>0.31482638888888886</v>
      </c>
      <c r="D712" s="3"/>
      <c r="E712" s="3"/>
      <c r="F712" s="5"/>
      <c r="G712" s="5"/>
      <c r="H712" s="5"/>
      <c r="I712" s="3"/>
      <c r="J712" s="3"/>
      <c r="K712" s="3" t="s">
        <v>244</v>
      </c>
      <c r="L712" s="44">
        <v>44629.0</v>
      </c>
      <c r="M712" s="150">
        <v>0.49944444444444447</v>
      </c>
      <c r="N712" s="5"/>
      <c r="O712" s="5"/>
      <c r="P712" s="10" t="b">
        <v>0</v>
      </c>
      <c r="Q712" s="10" t="s">
        <v>2184</v>
      </c>
      <c r="R712" s="144" t="b">
        <v>1</v>
      </c>
      <c r="S712" s="144">
        <v>1.0</v>
      </c>
      <c r="T712" s="10"/>
      <c r="U712" s="5"/>
      <c r="V712" s="3"/>
      <c r="W712" s="5"/>
      <c r="X712" s="144" t="b">
        <v>0</v>
      </c>
      <c r="Y712" s="10" t="b">
        <v>0</v>
      </c>
      <c r="Z712" s="3"/>
      <c r="AA712" s="10" t="b">
        <v>0</v>
      </c>
      <c r="AB712" s="10" t="b">
        <v>0</v>
      </c>
      <c r="AC712" s="181">
        <v>60.0</v>
      </c>
      <c r="AD712" s="144" t="b">
        <v>0</v>
      </c>
      <c r="AE712" s="182">
        <v>265.85</v>
      </c>
      <c r="AF712" s="10" t="b">
        <v>0</v>
      </c>
      <c r="AG712" s="10" t="b">
        <v>0</v>
      </c>
      <c r="AH712" s="144"/>
      <c r="AI712" s="3"/>
      <c r="AJ712" s="10"/>
      <c r="AK712" s="3" t="s">
        <v>244</v>
      </c>
      <c r="AL712" s="5"/>
      <c r="AM712" s="5" t="s">
        <v>587</v>
      </c>
      <c r="AN712" s="5" t="s">
        <v>588</v>
      </c>
      <c r="AO712" s="5" t="s">
        <v>2185</v>
      </c>
      <c r="AP712" s="5" t="s">
        <v>2185</v>
      </c>
      <c r="AQ712" s="5" t="s">
        <v>2185</v>
      </c>
      <c r="AR712" s="5" t="s">
        <v>2185</v>
      </c>
      <c r="AS712" s="142"/>
      <c r="AT712" s="142" t="b">
        <v>0</v>
      </c>
      <c r="AU712" s="142"/>
      <c r="AV712" s="142"/>
      <c r="AW712" s="142"/>
      <c r="AX712" s="142"/>
      <c r="AY712" s="142"/>
      <c r="AZ712" s="174"/>
      <c r="BA712" s="142"/>
      <c r="BB712" s="142"/>
      <c r="BC712" s="142"/>
      <c r="BD712" s="142"/>
      <c r="BE712" s="142"/>
      <c r="BF712" s="142"/>
      <c r="BG712" s="142"/>
    </row>
    <row r="713">
      <c r="A713" s="5" t="s">
        <v>2056</v>
      </c>
      <c r="B713" s="44">
        <v>44629.0</v>
      </c>
      <c r="C713" s="150">
        <v>0.3169328703703704</v>
      </c>
      <c r="D713" s="3"/>
      <c r="E713" s="3"/>
      <c r="F713" s="5"/>
      <c r="G713" s="5"/>
      <c r="H713" s="5"/>
      <c r="I713" s="3"/>
      <c r="J713" s="3"/>
      <c r="K713" s="3" t="s">
        <v>244</v>
      </c>
      <c r="L713" s="44">
        <v>44629.0</v>
      </c>
      <c r="M713" s="150">
        <v>0.49944444444444447</v>
      </c>
      <c r="N713" s="5"/>
      <c r="O713" s="5"/>
      <c r="P713" s="10" t="b">
        <v>0</v>
      </c>
      <c r="Q713" s="10" t="s">
        <v>2184</v>
      </c>
      <c r="R713" s="144" t="b">
        <v>1</v>
      </c>
      <c r="S713" s="144">
        <v>1.0</v>
      </c>
      <c r="T713" s="10"/>
      <c r="U713" s="5"/>
      <c r="V713" s="3"/>
      <c r="W713" s="5"/>
      <c r="X713" s="144" t="b">
        <v>0</v>
      </c>
      <c r="Y713" s="10" t="b">
        <v>0</v>
      </c>
      <c r="Z713" s="3"/>
      <c r="AA713" s="10" t="b">
        <v>0</v>
      </c>
      <c r="AB713" s="10" t="b">
        <v>0</v>
      </c>
      <c r="AC713" s="181">
        <v>59.0</v>
      </c>
      <c r="AD713" s="144" t="b">
        <v>0</v>
      </c>
      <c r="AE713" s="182">
        <v>262.81666666666666</v>
      </c>
      <c r="AF713" s="10" t="b">
        <v>0</v>
      </c>
      <c r="AG713" s="10" t="b">
        <v>0</v>
      </c>
      <c r="AH713" s="144"/>
      <c r="AI713" s="3"/>
      <c r="AJ713" s="10"/>
      <c r="AK713" s="3" t="s">
        <v>244</v>
      </c>
      <c r="AL713" s="5"/>
      <c r="AM713" s="5" t="s">
        <v>1099</v>
      </c>
      <c r="AN713" s="5" t="s">
        <v>1100</v>
      </c>
      <c r="AO713" s="5" t="s">
        <v>2185</v>
      </c>
      <c r="AP713" s="5" t="s">
        <v>2185</v>
      </c>
      <c r="AQ713" s="5" t="s">
        <v>2185</v>
      </c>
      <c r="AR713" s="5" t="s">
        <v>2185</v>
      </c>
      <c r="AS713" s="142"/>
      <c r="AT713" s="142" t="b">
        <v>0</v>
      </c>
      <c r="AU713" s="142"/>
      <c r="AV713" s="142"/>
      <c r="AW713" s="142"/>
      <c r="AX713" s="142"/>
      <c r="AY713" s="142"/>
      <c r="AZ713" s="174"/>
      <c r="BA713" s="142"/>
      <c r="BB713" s="142"/>
      <c r="BC713" s="142"/>
      <c r="BD713" s="142"/>
      <c r="BE713" s="142"/>
      <c r="BF713" s="142"/>
      <c r="BG713" s="142"/>
    </row>
    <row r="714">
      <c r="A714" s="5" t="s">
        <v>2058</v>
      </c>
      <c r="B714" s="44">
        <v>44629.0</v>
      </c>
      <c r="C714" s="150">
        <v>0.31734953703703705</v>
      </c>
      <c r="D714" s="3"/>
      <c r="E714" s="3"/>
      <c r="F714" s="5"/>
      <c r="G714" s="5"/>
      <c r="H714" s="5"/>
      <c r="I714" s="3"/>
      <c r="J714" s="3"/>
      <c r="K714" s="3" t="s">
        <v>244</v>
      </c>
      <c r="L714" s="44">
        <v>44629.0</v>
      </c>
      <c r="M714" s="150">
        <v>0.49944444444444447</v>
      </c>
      <c r="N714" s="5"/>
      <c r="O714" s="5"/>
      <c r="P714" s="10" t="b">
        <v>0</v>
      </c>
      <c r="Q714" s="10" t="s">
        <v>2184</v>
      </c>
      <c r="R714" s="144" t="b">
        <v>1</v>
      </c>
      <c r="S714" s="144">
        <v>1.0</v>
      </c>
      <c r="T714" s="10"/>
      <c r="U714" s="5"/>
      <c r="V714" s="3"/>
      <c r="W714" s="5"/>
      <c r="X714" s="144" t="b">
        <v>0</v>
      </c>
      <c r="Y714" s="10" t="b">
        <v>0</v>
      </c>
      <c r="Z714" s="3"/>
      <c r="AA714" s="10" t="b">
        <v>0</v>
      </c>
      <c r="AB714" s="10" t="b">
        <v>0</v>
      </c>
      <c r="AC714" s="181">
        <v>58.0</v>
      </c>
      <c r="AD714" s="144" t="b">
        <v>0</v>
      </c>
      <c r="AE714" s="182">
        <v>262.2166666666667</v>
      </c>
      <c r="AF714" s="10" t="b">
        <v>0</v>
      </c>
      <c r="AG714" s="10" t="b">
        <v>0</v>
      </c>
      <c r="AH714" s="144"/>
      <c r="AI714" s="3"/>
      <c r="AJ714" s="10"/>
      <c r="AK714" s="3" t="s">
        <v>244</v>
      </c>
      <c r="AL714" s="5"/>
      <c r="AM714" s="5" t="s">
        <v>322</v>
      </c>
      <c r="AN714" s="5" t="s">
        <v>323</v>
      </c>
      <c r="AO714" s="5" t="s">
        <v>2185</v>
      </c>
      <c r="AP714" s="5" t="s">
        <v>2185</v>
      </c>
      <c r="AQ714" s="5" t="s">
        <v>2185</v>
      </c>
      <c r="AR714" s="5" t="s">
        <v>2185</v>
      </c>
      <c r="AS714" s="142"/>
      <c r="AT714" s="142" t="b">
        <v>0</v>
      </c>
      <c r="AU714" s="142"/>
      <c r="AV714" s="142"/>
      <c r="AW714" s="142"/>
      <c r="AX714" s="142"/>
      <c r="AY714" s="142"/>
      <c r="AZ714" s="174"/>
      <c r="BA714" s="142"/>
      <c r="BB714" s="142"/>
      <c r="BC714" s="142"/>
      <c r="BD714" s="142"/>
      <c r="BE714" s="142"/>
      <c r="BF714" s="142"/>
      <c r="BG714" s="142"/>
    </row>
    <row r="715">
      <c r="A715" s="5" t="s">
        <v>2060</v>
      </c>
      <c r="B715" s="44">
        <v>44629.0</v>
      </c>
      <c r="C715" s="150">
        <v>0.31824074074074077</v>
      </c>
      <c r="D715" s="3"/>
      <c r="E715" s="3"/>
      <c r="F715" s="5"/>
      <c r="G715" s="5"/>
      <c r="H715" s="5"/>
      <c r="I715" s="3"/>
      <c r="J715" s="3"/>
      <c r="K715" s="3" t="s">
        <v>244</v>
      </c>
      <c r="L715" s="44">
        <v>44629.0</v>
      </c>
      <c r="M715" s="150">
        <v>0.49944444444444447</v>
      </c>
      <c r="N715" s="5"/>
      <c r="O715" s="5"/>
      <c r="P715" s="10" t="b">
        <v>0</v>
      </c>
      <c r="Q715" s="10" t="s">
        <v>2184</v>
      </c>
      <c r="R715" s="144" t="b">
        <v>1</v>
      </c>
      <c r="S715" s="144">
        <v>1.0</v>
      </c>
      <c r="T715" s="10"/>
      <c r="U715" s="5"/>
      <c r="V715" s="3"/>
      <c r="W715" s="5"/>
      <c r="X715" s="144" t="b">
        <v>0</v>
      </c>
      <c r="Y715" s="10" t="b">
        <v>0</v>
      </c>
      <c r="Z715" s="3"/>
      <c r="AA715" s="10" t="b">
        <v>0</v>
      </c>
      <c r="AB715" s="10" t="b">
        <v>0</v>
      </c>
      <c r="AC715" s="181">
        <v>57.0</v>
      </c>
      <c r="AD715" s="144" t="b">
        <v>0</v>
      </c>
      <c r="AE715" s="182">
        <v>260.9333333333333</v>
      </c>
      <c r="AF715" s="10" t="b">
        <v>0</v>
      </c>
      <c r="AG715" s="10" t="b">
        <v>0</v>
      </c>
      <c r="AH715" s="144"/>
      <c r="AI715" s="3"/>
      <c r="AJ715" s="10"/>
      <c r="AK715" s="3" t="s">
        <v>244</v>
      </c>
      <c r="AL715" s="5"/>
      <c r="AM715" s="5" t="s">
        <v>862</v>
      </c>
      <c r="AN715" s="5" t="s">
        <v>539</v>
      </c>
      <c r="AO715" s="5" t="s">
        <v>2185</v>
      </c>
      <c r="AP715" s="5" t="s">
        <v>2185</v>
      </c>
      <c r="AQ715" s="5" t="s">
        <v>2185</v>
      </c>
      <c r="AR715" s="5" t="s">
        <v>2185</v>
      </c>
      <c r="AS715" s="142"/>
      <c r="AT715" s="142" t="b">
        <v>0</v>
      </c>
      <c r="AU715" s="142"/>
      <c r="AV715" s="142"/>
      <c r="AW715" s="142"/>
      <c r="AX715" s="142"/>
      <c r="AY715" s="142"/>
      <c r="AZ715" s="174"/>
      <c r="BA715" s="142"/>
      <c r="BB715" s="142"/>
      <c r="BC715" s="142"/>
      <c r="BD715" s="142"/>
      <c r="BE715" s="142"/>
      <c r="BF715" s="142"/>
      <c r="BG715" s="142"/>
    </row>
    <row r="716">
      <c r="A716" s="5" t="s">
        <v>2062</v>
      </c>
      <c r="B716" s="44">
        <v>44629.0</v>
      </c>
      <c r="C716" s="150">
        <v>0.3201851851851852</v>
      </c>
      <c r="D716" s="3"/>
      <c r="E716" s="3"/>
      <c r="F716" s="5"/>
      <c r="G716" s="5"/>
      <c r="H716" s="5"/>
      <c r="I716" s="3"/>
      <c r="J716" s="3"/>
      <c r="K716" s="3" t="s">
        <v>244</v>
      </c>
      <c r="L716" s="44">
        <v>44629.0</v>
      </c>
      <c r="M716" s="150">
        <v>0.49944444444444447</v>
      </c>
      <c r="N716" s="5"/>
      <c r="O716" s="5"/>
      <c r="P716" s="10" t="b">
        <v>0</v>
      </c>
      <c r="Q716" s="10" t="s">
        <v>2184</v>
      </c>
      <c r="R716" s="144" t="b">
        <v>1</v>
      </c>
      <c r="S716" s="144">
        <v>1.0</v>
      </c>
      <c r="T716" s="10"/>
      <c r="U716" s="5"/>
      <c r="V716" s="3"/>
      <c r="W716" s="5"/>
      <c r="X716" s="144" t="b">
        <v>0</v>
      </c>
      <c r="Y716" s="10" t="b">
        <v>0</v>
      </c>
      <c r="Z716" s="3"/>
      <c r="AA716" s="10" t="b">
        <v>0</v>
      </c>
      <c r="AB716" s="10" t="b">
        <v>0</v>
      </c>
      <c r="AC716" s="181">
        <v>56.0</v>
      </c>
      <c r="AD716" s="144" t="b">
        <v>0</v>
      </c>
      <c r="AE716" s="182">
        <v>258.1333333333334</v>
      </c>
      <c r="AF716" s="10" t="b">
        <v>0</v>
      </c>
      <c r="AG716" s="10" t="b">
        <v>0</v>
      </c>
      <c r="AH716" s="144"/>
      <c r="AI716" s="3"/>
      <c r="AJ716" s="10"/>
      <c r="AK716" s="3" t="s">
        <v>244</v>
      </c>
      <c r="AL716" s="5"/>
      <c r="AM716" s="5" t="s">
        <v>508</v>
      </c>
      <c r="AN716" s="5" t="s">
        <v>1390</v>
      </c>
      <c r="AO716" s="5" t="s">
        <v>2185</v>
      </c>
      <c r="AP716" s="5" t="s">
        <v>2185</v>
      </c>
      <c r="AQ716" s="5" t="s">
        <v>2185</v>
      </c>
      <c r="AR716" s="5" t="s">
        <v>2185</v>
      </c>
      <c r="AS716" s="142"/>
      <c r="AT716" s="142" t="b">
        <v>0</v>
      </c>
      <c r="AU716" s="142"/>
      <c r="AV716" s="142"/>
      <c r="AW716" s="142"/>
      <c r="AX716" s="142"/>
      <c r="AY716" s="142"/>
      <c r="AZ716" s="174"/>
      <c r="BA716" s="142"/>
      <c r="BB716" s="142"/>
      <c r="BC716" s="142"/>
      <c r="BD716" s="142"/>
      <c r="BE716" s="142"/>
      <c r="BF716" s="142"/>
      <c r="BG716" s="142"/>
    </row>
    <row r="717">
      <c r="A717" s="5" t="s">
        <v>2064</v>
      </c>
      <c r="B717" s="44">
        <v>44629.0</v>
      </c>
      <c r="C717" s="150">
        <v>0.32186342592592593</v>
      </c>
      <c r="D717" s="3"/>
      <c r="E717" s="3"/>
      <c r="F717" s="5"/>
      <c r="G717" s="5"/>
      <c r="H717" s="5"/>
      <c r="I717" s="3"/>
      <c r="J717" s="3"/>
      <c r="K717" s="3" t="s">
        <v>244</v>
      </c>
      <c r="L717" s="44">
        <v>44629.0</v>
      </c>
      <c r="M717" s="150">
        <v>0.49944444444444447</v>
      </c>
      <c r="N717" s="5"/>
      <c r="O717" s="5"/>
      <c r="P717" s="10" t="b">
        <v>0</v>
      </c>
      <c r="Q717" s="10" t="s">
        <v>2184</v>
      </c>
      <c r="R717" s="144" t="b">
        <v>1</v>
      </c>
      <c r="S717" s="144">
        <v>1.0</v>
      </c>
      <c r="T717" s="10"/>
      <c r="U717" s="5"/>
      <c r="V717" s="3"/>
      <c r="W717" s="5"/>
      <c r="X717" s="144" t="b">
        <v>0</v>
      </c>
      <c r="Y717" s="10" t="b">
        <v>0</v>
      </c>
      <c r="Z717" s="3"/>
      <c r="AA717" s="10" t="b">
        <v>0</v>
      </c>
      <c r="AB717" s="10" t="b">
        <v>0</v>
      </c>
      <c r="AC717" s="181">
        <v>55.0</v>
      </c>
      <c r="AD717" s="144" t="b">
        <v>0</v>
      </c>
      <c r="AE717" s="182">
        <v>255.71666666666673</v>
      </c>
      <c r="AF717" s="10" t="b">
        <v>0</v>
      </c>
      <c r="AG717" s="10" t="b">
        <v>0</v>
      </c>
      <c r="AH717" s="144"/>
      <c r="AI717" s="3"/>
      <c r="AJ717" s="10"/>
      <c r="AK717" s="3" t="s">
        <v>244</v>
      </c>
      <c r="AL717" s="5"/>
      <c r="AM717" s="5" t="s">
        <v>1420</v>
      </c>
      <c r="AN717" s="5" t="s">
        <v>1421</v>
      </c>
      <c r="AO717" s="5" t="s">
        <v>2185</v>
      </c>
      <c r="AP717" s="5" t="s">
        <v>2185</v>
      </c>
      <c r="AQ717" s="5" t="s">
        <v>2185</v>
      </c>
      <c r="AR717" s="5" t="s">
        <v>2185</v>
      </c>
      <c r="AS717" s="142"/>
      <c r="AT717" s="142" t="b">
        <v>0</v>
      </c>
      <c r="AU717" s="142"/>
      <c r="AV717" s="142"/>
      <c r="AW717" s="142"/>
      <c r="AX717" s="142"/>
      <c r="AY717" s="142"/>
      <c r="AZ717" s="174"/>
      <c r="BA717" s="142"/>
      <c r="BB717" s="142"/>
      <c r="BC717" s="142"/>
      <c r="BD717" s="142"/>
      <c r="BE717" s="142"/>
      <c r="BF717" s="142"/>
      <c r="BG717" s="142"/>
    </row>
    <row r="718">
      <c r="A718" s="5" t="s">
        <v>2066</v>
      </c>
      <c r="B718" s="44">
        <v>44629.0</v>
      </c>
      <c r="C718" s="150">
        <v>0.3237847222222222</v>
      </c>
      <c r="D718" s="3"/>
      <c r="E718" s="3"/>
      <c r="F718" s="5"/>
      <c r="G718" s="5"/>
      <c r="H718" s="5"/>
      <c r="I718" s="3"/>
      <c r="J718" s="3"/>
      <c r="K718" s="3" t="s">
        <v>244</v>
      </c>
      <c r="L718" s="44">
        <v>44629.0</v>
      </c>
      <c r="M718" s="150">
        <v>0.49944444444444447</v>
      </c>
      <c r="N718" s="5"/>
      <c r="O718" s="5"/>
      <c r="P718" s="10" t="b">
        <v>0</v>
      </c>
      <c r="Q718" s="10" t="s">
        <v>2184</v>
      </c>
      <c r="R718" s="144" t="b">
        <v>1</v>
      </c>
      <c r="S718" s="144">
        <v>1.0</v>
      </c>
      <c r="T718" s="10"/>
      <c r="U718" s="5"/>
      <c r="V718" s="3"/>
      <c r="W718" s="5"/>
      <c r="X718" s="144" t="b">
        <v>0</v>
      </c>
      <c r="Y718" s="10" t="b">
        <v>0</v>
      </c>
      <c r="Z718" s="3"/>
      <c r="AA718" s="10" t="b">
        <v>0</v>
      </c>
      <c r="AB718" s="10" t="b">
        <v>0</v>
      </c>
      <c r="AC718" s="181">
        <v>54.0</v>
      </c>
      <c r="AD718" s="144" t="b">
        <v>0</v>
      </c>
      <c r="AE718" s="182">
        <v>252.95000000000005</v>
      </c>
      <c r="AF718" s="10" t="b">
        <v>0</v>
      </c>
      <c r="AG718" s="10" t="b">
        <v>0</v>
      </c>
      <c r="AH718" s="144"/>
      <c r="AI718" s="3"/>
      <c r="AJ718" s="10"/>
      <c r="AK718" s="3" t="s">
        <v>244</v>
      </c>
      <c r="AL718" s="5"/>
      <c r="AM718" s="5" t="s">
        <v>982</v>
      </c>
      <c r="AN718" s="5" t="s">
        <v>983</v>
      </c>
      <c r="AO718" s="5" t="s">
        <v>2185</v>
      </c>
      <c r="AP718" s="5" t="s">
        <v>2185</v>
      </c>
      <c r="AQ718" s="5" t="s">
        <v>2185</v>
      </c>
      <c r="AR718" s="5" t="s">
        <v>2185</v>
      </c>
      <c r="AS718" s="142"/>
      <c r="AT718" s="142" t="b">
        <v>0</v>
      </c>
      <c r="AU718" s="142"/>
      <c r="AV718" s="142"/>
      <c r="AW718" s="142"/>
      <c r="AX718" s="142"/>
      <c r="AY718" s="142"/>
      <c r="AZ718" s="174"/>
      <c r="BA718" s="142"/>
      <c r="BB718" s="142"/>
      <c r="BC718" s="142"/>
      <c r="BD718" s="142"/>
      <c r="BE718" s="142"/>
      <c r="BF718" s="142"/>
      <c r="BG718" s="142"/>
    </row>
    <row r="719">
      <c r="A719" s="5" t="s">
        <v>2068</v>
      </c>
      <c r="B719" s="44">
        <v>44629.0</v>
      </c>
      <c r="C719" s="150">
        <v>0.3240162037037037</v>
      </c>
      <c r="D719" s="3"/>
      <c r="E719" s="3"/>
      <c r="F719" s="5"/>
      <c r="G719" s="5"/>
      <c r="H719" s="5"/>
      <c r="I719" s="3"/>
      <c r="J719" s="3"/>
      <c r="K719" s="3" t="s">
        <v>244</v>
      </c>
      <c r="L719" s="44">
        <v>44629.0</v>
      </c>
      <c r="M719" s="150">
        <v>0.4994560185185185</v>
      </c>
      <c r="N719" s="5"/>
      <c r="O719" s="5"/>
      <c r="P719" s="10" t="b">
        <v>0</v>
      </c>
      <c r="Q719" s="10" t="s">
        <v>2184</v>
      </c>
      <c r="R719" s="144" t="b">
        <v>1</v>
      </c>
      <c r="S719" s="144">
        <v>1.0</v>
      </c>
      <c r="T719" s="10"/>
      <c r="U719" s="5"/>
      <c r="V719" s="3"/>
      <c r="W719" s="5"/>
      <c r="X719" s="144" t="b">
        <v>0</v>
      </c>
      <c r="Y719" s="10" t="b">
        <v>0</v>
      </c>
      <c r="Z719" s="3"/>
      <c r="AA719" s="10" t="b">
        <v>0</v>
      </c>
      <c r="AB719" s="10" t="b">
        <v>0</v>
      </c>
      <c r="AC719" s="181">
        <v>53.0</v>
      </c>
      <c r="AD719" s="144" t="b">
        <v>0</v>
      </c>
      <c r="AE719" s="182">
        <v>252.63333333333327</v>
      </c>
      <c r="AF719" s="10" t="b">
        <v>0</v>
      </c>
      <c r="AG719" s="10" t="b">
        <v>0</v>
      </c>
      <c r="AH719" s="144"/>
      <c r="AI719" s="3"/>
      <c r="AJ719" s="10"/>
      <c r="AK719" s="3" t="s">
        <v>244</v>
      </c>
      <c r="AL719" s="5"/>
      <c r="AM719" s="5" t="s">
        <v>577</v>
      </c>
      <c r="AN719" s="5" t="s">
        <v>578</v>
      </c>
      <c r="AO719" s="5" t="s">
        <v>2185</v>
      </c>
      <c r="AP719" s="5" t="s">
        <v>2185</v>
      </c>
      <c r="AQ719" s="5" t="s">
        <v>2185</v>
      </c>
      <c r="AR719" s="5" t="s">
        <v>2185</v>
      </c>
      <c r="AS719" s="142"/>
      <c r="AT719" s="142" t="b">
        <v>0</v>
      </c>
      <c r="AU719" s="142"/>
      <c r="AV719" s="142"/>
      <c r="AW719" s="142"/>
      <c r="AX719" s="142"/>
      <c r="AY719" s="142"/>
      <c r="AZ719" s="174"/>
      <c r="BA719" s="142"/>
      <c r="BB719" s="142"/>
      <c r="BC719" s="142"/>
      <c r="BD719" s="142"/>
      <c r="BE719" s="142"/>
      <c r="BF719" s="142"/>
      <c r="BG719" s="142"/>
    </row>
    <row r="720">
      <c r="A720" s="5" t="s">
        <v>2070</v>
      </c>
      <c r="B720" s="44">
        <v>44629.0</v>
      </c>
      <c r="C720" s="150">
        <v>0.32828703703703704</v>
      </c>
      <c r="D720" s="3"/>
      <c r="E720" s="3"/>
      <c r="F720" s="5"/>
      <c r="G720" s="5"/>
      <c r="H720" s="5"/>
      <c r="I720" s="3"/>
      <c r="J720" s="3"/>
      <c r="K720" s="3" t="s">
        <v>244</v>
      </c>
      <c r="L720" s="44">
        <v>44629.0</v>
      </c>
      <c r="M720" s="150">
        <v>0.4994560185185185</v>
      </c>
      <c r="N720" s="5"/>
      <c r="O720" s="5"/>
      <c r="P720" s="10" t="b">
        <v>0</v>
      </c>
      <c r="Q720" s="10" t="s">
        <v>2184</v>
      </c>
      <c r="R720" s="144" t="b">
        <v>1</v>
      </c>
      <c r="S720" s="144">
        <v>1.0</v>
      </c>
      <c r="T720" s="10"/>
      <c r="U720" s="5"/>
      <c r="V720" s="3"/>
      <c r="W720" s="5"/>
      <c r="X720" s="144" t="b">
        <v>0</v>
      </c>
      <c r="Y720" s="10" t="b">
        <v>0</v>
      </c>
      <c r="Z720" s="3"/>
      <c r="AA720" s="10" t="b">
        <v>0</v>
      </c>
      <c r="AB720" s="10" t="b">
        <v>0</v>
      </c>
      <c r="AC720" s="181">
        <v>52.0</v>
      </c>
      <c r="AD720" s="144" t="b">
        <v>0</v>
      </c>
      <c r="AE720" s="182">
        <v>246.48333333333335</v>
      </c>
      <c r="AF720" s="10" t="b">
        <v>0</v>
      </c>
      <c r="AG720" s="10" t="b">
        <v>0</v>
      </c>
      <c r="AH720" s="144"/>
      <c r="AI720" s="3"/>
      <c r="AJ720" s="10"/>
      <c r="AK720" s="3" t="s">
        <v>244</v>
      </c>
      <c r="AL720" s="5"/>
      <c r="AM720" s="5" t="s">
        <v>1408</v>
      </c>
      <c r="AN720" s="5" t="s">
        <v>1409</v>
      </c>
      <c r="AO720" s="5" t="s">
        <v>2185</v>
      </c>
      <c r="AP720" s="5" t="s">
        <v>2185</v>
      </c>
      <c r="AQ720" s="5" t="s">
        <v>2185</v>
      </c>
      <c r="AR720" s="5" t="s">
        <v>2185</v>
      </c>
      <c r="AS720" s="142"/>
      <c r="AT720" s="142" t="b">
        <v>0</v>
      </c>
      <c r="AU720" s="142"/>
      <c r="AV720" s="142"/>
      <c r="AW720" s="142"/>
      <c r="AX720" s="142"/>
      <c r="AY720" s="142"/>
      <c r="AZ720" s="174"/>
      <c r="BA720" s="142"/>
      <c r="BB720" s="142"/>
      <c r="BC720" s="142"/>
      <c r="BD720" s="142"/>
      <c r="BE720" s="142"/>
      <c r="BF720" s="142"/>
      <c r="BG720" s="142"/>
    </row>
    <row r="721">
      <c r="A721" s="5" t="s">
        <v>2072</v>
      </c>
      <c r="B721" s="44">
        <v>44629.0</v>
      </c>
      <c r="C721" s="150">
        <v>0.3285300925925926</v>
      </c>
      <c r="D721" s="3"/>
      <c r="E721" s="3"/>
      <c r="F721" s="5"/>
      <c r="G721" s="5"/>
      <c r="H721" s="5"/>
      <c r="I721" s="3"/>
      <c r="J721" s="3"/>
      <c r="K721" s="3" t="s">
        <v>244</v>
      </c>
      <c r="L721" s="44">
        <v>44629.0</v>
      </c>
      <c r="M721" s="150">
        <v>0.4994560185185185</v>
      </c>
      <c r="N721" s="5"/>
      <c r="O721" s="5"/>
      <c r="P721" s="10" t="b">
        <v>0</v>
      </c>
      <c r="Q721" s="10" t="s">
        <v>2184</v>
      </c>
      <c r="R721" s="144" t="b">
        <v>1</v>
      </c>
      <c r="S721" s="144">
        <v>1.0</v>
      </c>
      <c r="T721" s="10"/>
      <c r="U721" s="5"/>
      <c r="V721" s="3"/>
      <c r="W721" s="5"/>
      <c r="X721" s="144" t="b">
        <v>0</v>
      </c>
      <c r="Y721" s="10" t="b">
        <v>0</v>
      </c>
      <c r="Z721" s="3"/>
      <c r="AA721" s="10" t="b">
        <v>0</v>
      </c>
      <c r="AB721" s="10" t="b">
        <v>0</v>
      </c>
      <c r="AC721" s="181">
        <v>51.0</v>
      </c>
      <c r="AD721" s="144" t="b">
        <v>0</v>
      </c>
      <c r="AE721" s="182">
        <v>246.13333333333333</v>
      </c>
      <c r="AF721" s="10" t="b">
        <v>0</v>
      </c>
      <c r="AG721" s="10" t="b">
        <v>0</v>
      </c>
      <c r="AH721" s="144"/>
      <c r="AI721" s="3"/>
      <c r="AJ721" s="10"/>
      <c r="AK721" s="3" t="s">
        <v>244</v>
      </c>
      <c r="AL721" s="5"/>
      <c r="AM721" s="5" t="s">
        <v>573</v>
      </c>
      <c r="AN721" s="5" t="s">
        <v>574</v>
      </c>
      <c r="AO721" s="5" t="s">
        <v>2185</v>
      </c>
      <c r="AP721" s="5" t="s">
        <v>2185</v>
      </c>
      <c r="AQ721" s="5" t="s">
        <v>2185</v>
      </c>
      <c r="AR721" s="5" t="s">
        <v>2185</v>
      </c>
      <c r="AS721" s="142"/>
      <c r="AT721" s="142" t="b">
        <v>0</v>
      </c>
      <c r="AU721" s="142"/>
      <c r="AV721" s="142"/>
      <c r="AW721" s="142"/>
      <c r="AX721" s="142"/>
      <c r="AY721" s="142"/>
      <c r="AZ721" s="174"/>
      <c r="BA721" s="142"/>
      <c r="BB721" s="142"/>
      <c r="BC721" s="142"/>
      <c r="BD721" s="142"/>
      <c r="BE721" s="142"/>
      <c r="BF721" s="142"/>
      <c r="BG721" s="142"/>
    </row>
    <row r="722">
      <c r="A722" s="5" t="s">
        <v>2074</v>
      </c>
      <c r="B722" s="44">
        <v>44629.0</v>
      </c>
      <c r="C722" s="150">
        <v>0.3330324074074074</v>
      </c>
      <c r="D722" s="3"/>
      <c r="E722" s="3"/>
      <c r="F722" s="5"/>
      <c r="G722" s="5"/>
      <c r="H722" s="5"/>
      <c r="I722" s="3"/>
      <c r="J722" s="3"/>
      <c r="K722" s="3" t="s">
        <v>244</v>
      </c>
      <c r="L722" s="44">
        <v>44629.0</v>
      </c>
      <c r="M722" s="150">
        <v>0.4994560185185185</v>
      </c>
      <c r="N722" s="5"/>
      <c r="O722" s="5"/>
      <c r="P722" s="10" t="b">
        <v>0</v>
      </c>
      <c r="Q722" s="10" t="s">
        <v>2184</v>
      </c>
      <c r="R722" s="144" t="b">
        <v>1</v>
      </c>
      <c r="S722" s="144">
        <v>1.0</v>
      </c>
      <c r="T722" s="10"/>
      <c r="U722" s="5"/>
      <c r="V722" s="3"/>
      <c r="W722" s="5"/>
      <c r="X722" s="144" t="b">
        <v>0</v>
      </c>
      <c r="Y722" s="10" t="b">
        <v>0</v>
      </c>
      <c r="Z722" s="3"/>
      <c r="AA722" s="10" t="b">
        <v>0</v>
      </c>
      <c r="AB722" s="10" t="b">
        <v>0</v>
      </c>
      <c r="AC722" s="181">
        <v>50.0</v>
      </c>
      <c r="AD722" s="144" t="b">
        <v>0</v>
      </c>
      <c r="AE722" s="182">
        <v>239.64999999999998</v>
      </c>
      <c r="AF722" s="10" t="b">
        <v>0</v>
      </c>
      <c r="AG722" s="10" t="b">
        <v>0</v>
      </c>
      <c r="AH722" s="144"/>
      <c r="AI722" s="3"/>
      <c r="AJ722" s="10"/>
      <c r="AK722" s="3" t="s">
        <v>244</v>
      </c>
      <c r="AL722" s="5"/>
      <c r="AM722" s="5" t="s">
        <v>1662</v>
      </c>
      <c r="AN722" s="5" t="s">
        <v>1663</v>
      </c>
      <c r="AO722" s="5" t="s">
        <v>2185</v>
      </c>
      <c r="AP722" s="5" t="s">
        <v>2185</v>
      </c>
      <c r="AQ722" s="5" t="s">
        <v>2185</v>
      </c>
      <c r="AR722" s="5" t="s">
        <v>2185</v>
      </c>
      <c r="AS722" s="142"/>
      <c r="AT722" s="142" t="b">
        <v>0</v>
      </c>
      <c r="AU722" s="142"/>
      <c r="AV722" s="142"/>
      <c r="AW722" s="142"/>
      <c r="AX722" s="142"/>
      <c r="AY722" s="142"/>
      <c r="AZ722" s="174"/>
      <c r="BA722" s="142"/>
      <c r="BB722" s="142"/>
      <c r="BC722" s="142"/>
      <c r="BD722" s="142"/>
      <c r="BE722" s="142"/>
      <c r="BF722" s="142"/>
      <c r="BG722" s="142"/>
    </row>
    <row r="723">
      <c r="A723" s="5" t="s">
        <v>2076</v>
      </c>
      <c r="B723" s="44">
        <v>44629.0</v>
      </c>
      <c r="C723" s="150">
        <v>0.334837962962963</v>
      </c>
      <c r="D723" s="3"/>
      <c r="E723" s="3"/>
      <c r="F723" s="5"/>
      <c r="G723" s="5"/>
      <c r="H723" s="5"/>
      <c r="I723" s="3"/>
      <c r="J723" s="3"/>
      <c r="K723" s="3" t="s">
        <v>244</v>
      </c>
      <c r="L723" s="44">
        <v>44629.0</v>
      </c>
      <c r="M723" s="150">
        <v>0.4994560185185185</v>
      </c>
      <c r="N723" s="5"/>
      <c r="O723" s="5"/>
      <c r="P723" s="10" t="b">
        <v>0</v>
      </c>
      <c r="Q723" s="10" t="s">
        <v>2184</v>
      </c>
      <c r="R723" s="144" t="b">
        <v>1</v>
      </c>
      <c r="S723" s="144">
        <v>1.0</v>
      </c>
      <c r="T723" s="10"/>
      <c r="U723" s="5"/>
      <c r="V723" s="3"/>
      <c r="W723" s="5"/>
      <c r="X723" s="144" t="b">
        <v>0</v>
      </c>
      <c r="Y723" s="10" t="b">
        <v>0</v>
      </c>
      <c r="Z723" s="3"/>
      <c r="AA723" s="10" t="b">
        <v>0</v>
      </c>
      <c r="AB723" s="10" t="b">
        <v>0</v>
      </c>
      <c r="AC723" s="181">
        <v>49.0</v>
      </c>
      <c r="AD723" s="144" t="b">
        <v>0</v>
      </c>
      <c r="AE723" s="182">
        <v>237.04999999999995</v>
      </c>
      <c r="AF723" s="10" t="b">
        <v>0</v>
      </c>
      <c r="AG723" s="10" t="b">
        <v>0</v>
      </c>
      <c r="AH723" s="144"/>
      <c r="AI723" s="3"/>
      <c r="AJ723" s="10"/>
      <c r="AK723" s="3" t="s">
        <v>244</v>
      </c>
      <c r="AL723" s="5"/>
      <c r="AM723" s="5" t="s">
        <v>318</v>
      </c>
      <c r="AN723" s="5" t="s">
        <v>319</v>
      </c>
      <c r="AO723" s="5" t="s">
        <v>2185</v>
      </c>
      <c r="AP723" s="5" t="s">
        <v>2185</v>
      </c>
      <c r="AQ723" s="5" t="s">
        <v>2185</v>
      </c>
      <c r="AR723" s="5" t="s">
        <v>2185</v>
      </c>
      <c r="AS723" s="142"/>
      <c r="AT723" s="142" t="b">
        <v>0</v>
      </c>
      <c r="AU723" s="142"/>
      <c r="AV723" s="142"/>
      <c r="AW723" s="142"/>
      <c r="AX723" s="142"/>
      <c r="AY723" s="142"/>
      <c r="AZ723" s="174"/>
      <c r="BA723" s="142"/>
      <c r="BB723" s="142"/>
      <c r="BC723" s="142"/>
      <c r="BD723" s="142"/>
      <c r="BE723" s="142"/>
      <c r="BF723" s="142"/>
      <c r="BG723" s="142"/>
    </row>
    <row r="724">
      <c r="A724" s="5" t="s">
        <v>2078</v>
      </c>
      <c r="B724" s="44">
        <v>44629.0</v>
      </c>
      <c r="C724" s="150">
        <v>0.33490740740740743</v>
      </c>
      <c r="D724" s="3"/>
      <c r="E724" s="3"/>
      <c r="F724" s="5"/>
      <c r="G724" s="5"/>
      <c r="H724" s="5"/>
      <c r="I724" s="3"/>
      <c r="J724" s="3"/>
      <c r="K724" s="3" t="s">
        <v>244</v>
      </c>
      <c r="L724" s="44">
        <v>44629.0</v>
      </c>
      <c r="M724" s="150">
        <v>0.4994560185185185</v>
      </c>
      <c r="N724" s="5"/>
      <c r="O724" s="5"/>
      <c r="P724" s="10" t="b">
        <v>0</v>
      </c>
      <c r="Q724" s="10" t="s">
        <v>2184</v>
      </c>
      <c r="R724" s="144" t="b">
        <v>1</v>
      </c>
      <c r="S724" s="144">
        <v>1.0</v>
      </c>
      <c r="T724" s="10"/>
      <c r="U724" s="5"/>
      <c r="V724" s="3"/>
      <c r="W724" s="5"/>
      <c r="X724" s="144" t="b">
        <v>0</v>
      </c>
      <c r="Y724" s="10" t="b">
        <v>0</v>
      </c>
      <c r="Z724" s="3"/>
      <c r="AA724" s="10" t="b">
        <v>0</v>
      </c>
      <c r="AB724" s="10" t="b">
        <v>0</v>
      </c>
      <c r="AC724" s="181">
        <v>48.0</v>
      </c>
      <c r="AD724" s="144" t="b">
        <v>0</v>
      </c>
      <c r="AE724" s="182">
        <v>236.94999999999996</v>
      </c>
      <c r="AF724" s="10" t="b">
        <v>0</v>
      </c>
      <c r="AG724" s="10" t="b">
        <v>0</v>
      </c>
      <c r="AH724" s="144"/>
      <c r="AI724" s="3"/>
      <c r="AJ724" s="10"/>
      <c r="AK724" s="3" t="s">
        <v>244</v>
      </c>
      <c r="AL724" s="5"/>
      <c r="AM724" s="5" t="s">
        <v>1454</v>
      </c>
      <c r="AN724" s="5" t="s">
        <v>1455</v>
      </c>
      <c r="AO724" s="5" t="s">
        <v>2185</v>
      </c>
      <c r="AP724" s="5" t="s">
        <v>2185</v>
      </c>
      <c r="AQ724" s="5" t="s">
        <v>2185</v>
      </c>
      <c r="AR724" s="5" t="s">
        <v>2185</v>
      </c>
      <c r="AS724" s="142"/>
      <c r="AT724" s="142" t="b">
        <v>0</v>
      </c>
      <c r="AU724" s="142"/>
      <c r="AV724" s="142"/>
      <c r="AW724" s="142"/>
      <c r="AX724" s="142"/>
      <c r="AY724" s="142"/>
      <c r="AZ724" s="174"/>
      <c r="BA724" s="142"/>
      <c r="BB724" s="142"/>
      <c r="BC724" s="142"/>
      <c r="BD724" s="142"/>
      <c r="BE724" s="142"/>
      <c r="BF724" s="142"/>
      <c r="BG724" s="142"/>
    </row>
    <row r="725">
      <c r="A725" s="5" t="s">
        <v>2080</v>
      </c>
      <c r="B725" s="44">
        <v>44629.0</v>
      </c>
      <c r="C725" s="150">
        <v>0.3370949074074074</v>
      </c>
      <c r="D725" s="3"/>
      <c r="E725" s="3"/>
      <c r="F725" s="5"/>
      <c r="G725" s="5"/>
      <c r="H725" s="5"/>
      <c r="I725" s="3"/>
      <c r="J725" s="3"/>
      <c r="K725" s="3" t="s">
        <v>244</v>
      </c>
      <c r="L725" s="44">
        <v>44629.0</v>
      </c>
      <c r="M725" s="150">
        <v>0.4994560185185185</v>
      </c>
      <c r="N725" s="5"/>
      <c r="O725" s="5"/>
      <c r="P725" s="10" t="b">
        <v>0</v>
      </c>
      <c r="Q725" s="10" t="s">
        <v>2184</v>
      </c>
      <c r="R725" s="144" t="b">
        <v>1</v>
      </c>
      <c r="S725" s="144">
        <v>1.0</v>
      </c>
      <c r="T725" s="10"/>
      <c r="U725" s="5"/>
      <c r="V725" s="3"/>
      <c r="W725" s="5"/>
      <c r="X725" s="144" t="b">
        <v>0</v>
      </c>
      <c r="Y725" s="10" t="b">
        <v>0</v>
      </c>
      <c r="Z725" s="3"/>
      <c r="AA725" s="10" t="b">
        <v>0</v>
      </c>
      <c r="AB725" s="10" t="b">
        <v>0</v>
      </c>
      <c r="AC725" s="181">
        <v>47.0</v>
      </c>
      <c r="AD725" s="144" t="b">
        <v>0</v>
      </c>
      <c r="AE725" s="182">
        <v>233.8</v>
      </c>
      <c r="AF725" s="10" t="b">
        <v>0</v>
      </c>
      <c r="AG725" s="10" t="b">
        <v>0</v>
      </c>
      <c r="AH725" s="144"/>
      <c r="AI725" s="3"/>
      <c r="AJ725" s="10"/>
      <c r="AK725" s="3" t="s">
        <v>244</v>
      </c>
      <c r="AL725" s="5"/>
      <c r="AM725" s="5" t="s">
        <v>307</v>
      </c>
      <c r="AN725" s="5" t="s">
        <v>266</v>
      </c>
      <c r="AO725" s="5" t="s">
        <v>2185</v>
      </c>
      <c r="AP725" s="5" t="s">
        <v>2185</v>
      </c>
      <c r="AQ725" s="5" t="s">
        <v>2185</v>
      </c>
      <c r="AR725" s="5" t="s">
        <v>2185</v>
      </c>
      <c r="AS725" s="142"/>
      <c r="AT725" s="142" t="b">
        <v>0</v>
      </c>
      <c r="AU725" s="142"/>
      <c r="AV725" s="142"/>
      <c r="AW725" s="142"/>
      <c r="AX725" s="142"/>
      <c r="AY725" s="142"/>
      <c r="AZ725" s="174"/>
      <c r="BA725" s="142"/>
      <c r="BB725" s="142"/>
      <c r="BC725" s="142"/>
      <c r="BD725" s="142"/>
      <c r="BE725" s="142"/>
      <c r="BF725" s="142"/>
      <c r="BG725" s="142"/>
    </row>
    <row r="726">
      <c r="A726" s="5" t="s">
        <v>2082</v>
      </c>
      <c r="B726" s="44">
        <v>44629.0</v>
      </c>
      <c r="C726" s="150">
        <v>0.4018287037037037</v>
      </c>
      <c r="D726" s="3"/>
      <c r="E726" s="3"/>
      <c r="F726" s="5"/>
      <c r="G726" s="5"/>
      <c r="H726" s="5"/>
      <c r="I726" s="3"/>
      <c r="J726" s="3"/>
      <c r="K726" s="3" t="s">
        <v>244</v>
      </c>
      <c r="L726" s="44">
        <v>44629.0</v>
      </c>
      <c r="M726" s="150">
        <v>0.4994560185185185</v>
      </c>
      <c r="N726" s="5"/>
      <c r="O726" s="5"/>
      <c r="P726" s="10" t="b">
        <v>0</v>
      </c>
      <c r="Q726" s="10" t="s">
        <v>2184</v>
      </c>
      <c r="R726" s="144" t="b">
        <v>1</v>
      </c>
      <c r="S726" s="144">
        <v>1.0</v>
      </c>
      <c r="T726" s="10"/>
      <c r="U726" s="5"/>
      <c r="V726" s="3"/>
      <c r="W726" s="5"/>
      <c r="X726" s="144" t="b">
        <v>0</v>
      </c>
      <c r="Y726" s="10" t="b">
        <v>0</v>
      </c>
      <c r="Z726" s="3"/>
      <c r="AA726" s="10" t="b">
        <v>0</v>
      </c>
      <c r="AB726" s="10" t="b">
        <v>0</v>
      </c>
      <c r="AC726" s="181">
        <v>46.0</v>
      </c>
      <c r="AD726" s="144" t="b">
        <v>0</v>
      </c>
      <c r="AE726" s="182">
        <v>140.58333333333331</v>
      </c>
      <c r="AF726" s="10" t="b">
        <v>0</v>
      </c>
      <c r="AG726" s="10" t="b">
        <v>0</v>
      </c>
      <c r="AH726" s="144"/>
      <c r="AI726" s="3"/>
      <c r="AJ726" s="10"/>
      <c r="AK726" s="3" t="s">
        <v>244</v>
      </c>
      <c r="AL726" s="5"/>
      <c r="AM726" s="5" t="s">
        <v>727</v>
      </c>
      <c r="AN726" s="5" t="s">
        <v>728</v>
      </c>
      <c r="AO726" s="5" t="s">
        <v>2185</v>
      </c>
      <c r="AP726" s="5" t="s">
        <v>2185</v>
      </c>
      <c r="AQ726" s="5" t="s">
        <v>2185</v>
      </c>
      <c r="AR726" s="5" t="s">
        <v>2185</v>
      </c>
      <c r="AS726" s="142"/>
      <c r="AT726" s="142" t="b">
        <v>0</v>
      </c>
      <c r="AU726" s="142"/>
      <c r="AV726" s="142"/>
      <c r="AW726" s="142"/>
      <c r="AX726" s="142"/>
      <c r="AY726" s="142"/>
      <c r="AZ726" s="174"/>
      <c r="BA726" s="142"/>
      <c r="BB726" s="142"/>
      <c r="BC726" s="142"/>
      <c r="BD726" s="142"/>
      <c r="BE726" s="142"/>
      <c r="BF726" s="142"/>
      <c r="BG726" s="142"/>
    </row>
    <row r="727">
      <c r="A727" s="5" t="s">
        <v>2084</v>
      </c>
      <c r="B727" s="44">
        <v>44629.0</v>
      </c>
      <c r="C727" s="150">
        <v>0.40596064814814814</v>
      </c>
      <c r="D727" s="3"/>
      <c r="E727" s="3"/>
      <c r="F727" s="5"/>
      <c r="G727" s="5"/>
      <c r="H727" s="5"/>
      <c r="I727" s="3"/>
      <c r="J727" s="3"/>
      <c r="K727" s="3" t="s">
        <v>244</v>
      </c>
      <c r="L727" s="44">
        <v>44629.0</v>
      </c>
      <c r="M727" s="150">
        <v>0.4994560185185185</v>
      </c>
      <c r="N727" s="5"/>
      <c r="O727" s="5"/>
      <c r="P727" s="10" t="b">
        <v>0</v>
      </c>
      <c r="Q727" s="10" t="s">
        <v>2184</v>
      </c>
      <c r="R727" s="144" t="b">
        <v>1</v>
      </c>
      <c r="S727" s="144">
        <v>1.0</v>
      </c>
      <c r="T727" s="10"/>
      <c r="U727" s="5"/>
      <c r="V727" s="3"/>
      <c r="W727" s="5"/>
      <c r="X727" s="144" t="b">
        <v>0</v>
      </c>
      <c r="Y727" s="10" t="b">
        <v>0</v>
      </c>
      <c r="Z727" s="3"/>
      <c r="AA727" s="10" t="b">
        <v>0</v>
      </c>
      <c r="AB727" s="10" t="b">
        <v>0</v>
      </c>
      <c r="AC727" s="181">
        <v>45.0</v>
      </c>
      <c r="AD727" s="144" t="b">
        <v>0</v>
      </c>
      <c r="AE727" s="182">
        <v>134.63333333333333</v>
      </c>
      <c r="AF727" s="10" t="b">
        <v>0</v>
      </c>
      <c r="AG727" s="10" t="b">
        <v>0</v>
      </c>
      <c r="AH727" s="144"/>
      <c r="AI727" s="3"/>
      <c r="AJ727" s="10"/>
      <c r="AK727" s="3" t="s">
        <v>244</v>
      </c>
      <c r="AL727" s="5"/>
      <c r="AM727" s="5" t="s">
        <v>875</v>
      </c>
      <c r="AN727" s="5" t="s">
        <v>1465</v>
      </c>
      <c r="AO727" s="5" t="s">
        <v>2185</v>
      </c>
      <c r="AP727" s="5" t="s">
        <v>2185</v>
      </c>
      <c r="AQ727" s="5" t="s">
        <v>2185</v>
      </c>
      <c r="AR727" s="5" t="s">
        <v>2185</v>
      </c>
      <c r="AS727" s="142"/>
      <c r="AT727" s="142" t="b">
        <v>0</v>
      </c>
      <c r="AU727" s="142"/>
      <c r="AV727" s="142"/>
      <c r="AW727" s="142"/>
      <c r="AX727" s="142"/>
      <c r="AY727" s="142"/>
      <c r="AZ727" s="174"/>
      <c r="BA727" s="142"/>
      <c r="BB727" s="142"/>
      <c r="BC727" s="142"/>
      <c r="BD727" s="142"/>
      <c r="BE727" s="142"/>
      <c r="BF727" s="142"/>
      <c r="BG727" s="142"/>
    </row>
    <row r="728">
      <c r="A728" s="5" t="s">
        <v>2086</v>
      </c>
      <c r="B728" s="44">
        <v>44629.0</v>
      </c>
      <c r="C728" s="150">
        <v>0.407349537037037</v>
      </c>
      <c r="D728" s="3"/>
      <c r="E728" s="3"/>
      <c r="F728" s="5"/>
      <c r="G728" s="5"/>
      <c r="H728" s="5"/>
      <c r="I728" s="183"/>
      <c r="J728" s="3"/>
      <c r="K728" s="3" t="s">
        <v>254</v>
      </c>
      <c r="L728" s="44">
        <v>44861.0</v>
      </c>
      <c r="M728" s="150">
        <v>0.4895023148148148</v>
      </c>
      <c r="N728" s="5" t="s">
        <v>247</v>
      </c>
      <c r="O728" s="5"/>
      <c r="P728" s="10" t="b">
        <v>0</v>
      </c>
      <c r="Q728" s="10" t="s">
        <v>2188</v>
      </c>
      <c r="R728" s="144" t="b">
        <v>1</v>
      </c>
      <c r="S728" s="144">
        <v>1.0</v>
      </c>
      <c r="T728" s="10">
        <v>0.0</v>
      </c>
      <c r="U728" s="5"/>
      <c r="V728" s="3"/>
      <c r="W728" s="5"/>
      <c r="X728" s="144" t="b">
        <v>0</v>
      </c>
      <c r="Y728" s="10" t="b">
        <v>0</v>
      </c>
      <c r="Z728" s="3"/>
      <c r="AA728" s="10" t="b">
        <v>0</v>
      </c>
      <c r="AB728" s="10" t="b">
        <v>0</v>
      </c>
      <c r="AC728" s="181">
        <v>802.0</v>
      </c>
      <c r="AD728" s="144" t="b">
        <v>1</v>
      </c>
      <c r="AE728" s="182"/>
      <c r="AF728" s="10" t="b">
        <v>0</v>
      </c>
      <c r="AG728" s="10" t="b">
        <v>0</v>
      </c>
      <c r="AH728" s="144"/>
      <c r="AI728" s="3"/>
      <c r="AJ728" s="10">
        <v>2.0</v>
      </c>
      <c r="AK728" s="3" t="s">
        <v>244</v>
      </c>
      <c r="AL728" s="5"/>
      <c r="AM728" s="5" t="s">
        <v>918</v>
      </c>
      <c r="AN728" s="5" t="s">
        <v>886</v>
      </c>
      <c r="AO728" s="5" t="s">
        <v>2185</v>
      </c>
      <c r="AP728" s="5" t="s">
        <v>2185</v>
      </c>
      <c r="AQ728" s="5" t="s">
        <v>2185</v>
      </c>
      <c r="AR728" s="5" t="s">
        <v>2185</v>
      </c>
      <c r="AS728" s="142"/>
      <c r="AT728" s="142" t="b">
        <v>0</v>
      </c>
      <c r="AU728" s="142"/>
      <c r="AV728" s="142"/>
      <c r="AW728" s="142"/>
      <c r="AX728" s="142"/>
      <c r="AY728" s="142"/>
      <c r="AZ728" s="174"/>
      <c r="BA728" s="142"/>
      <c r="BB728" s="142"/>
      <c r="BC728" s="142"/>
      <c r="BD728" s="142"/>
      <c r="BE728" s="142"/>
      <c r="BF728" s="142"/>
      <c r="BG728" s="142"/>
    </row>
    <row r="729">
      <c r="A729" s="5" t="s">
        <v>2088</v>
      </c>
      <c r="B729" s="44">
        <v>44629.0</v>
      </c>
      <c r="C729" s="150">
        <v>0.4893287037037037</v>
      </c>
      <c r="D729" s="3"/>
      <c r="E729" s="3"/>
      <c r="F729" s="5"/>
      <c r="G729" s="5"/>
      <c r="H729" s="5"/>
      <c r="I729" s="3"/>
      <c r="J729" s="3"/>
      <c r="K729" s="3" t="s">
        <v>244</v>
      </c>
      <c r="L729" s="44">
        <v>44629.0</v>
      </c>
      <c r="M729" s="150">
        <v>0.4994560185185185</v>
      </c>
      <c r="N729" s="5"/>
      <c r="O729" s="5"/>
      <c r="P729" s="10" t="b">
        <v>0</v>
      </c>
      <c r="Q729" s="10" t="s">
        <v>2184</v>
      </c>
      <c r="R729" s="144" t="b">
        <v>1</v>
      </c>
      <c r="S729" s="144">
        <v>1.0</v>
      </c>
      <c r="T729" s="10"/>
      <c r="U729" s="5"/>
      <c r="V729" s="3"/>
      <c r="W729" s="5"/>
      <c r="X729" s="144" t="b">
        <v>0</v>
      </c>
      <c r="Y729" s="10" t="b">
        <v>0</v>
      </c>
      <c r="Z729" s="3"/>
      <c r="AA729" s="10" t="b">
        <v>0</v>
      </c>
      <c r="AB729" s="10" t="b">
        <v>0</v>
      </c>
      <c r="AC729" s="181">
        <v>44.0</v>
      </c>
      <c r="AD729" s="144" t="b">
        <v>0</v>
      </c>
      <c r="AE729" s="182">
        <v>14.583333333333348</v>
      </c>
      <c r="AF729" s="10" t="b">
        <v>0</v>
      </c>
      <c r="AG729" s="10" t="b">
        <v>0</v>
      </c>
      <c r="AH729" s="144"/>
      <c r="AI729" s="3"/>
      <c r="AJ729" s="10"/>
      <c r="AK729" s="3" t="s">
        <v>244</v>
      </c>
      <c r="AL729" s="5"/>
      <c r="AM729" s="5" t="s">
        <v>261</v>
      </c>
      <c r="AN729" s="5" t="s">
        <v>1900</v>
      </c>
      <c r="AO729" s="5" t="s">
        <v>2185</v>
      </c>
      <c r="AP729" s="5" t="s">
        <v>2185</v>
      </c>
      <c r="AQ729" s="5" t="s">
        <v>2185</v>
      </c>
      <c r="AR729" s="5" t="s">
        <v>2185</v>
      </c>
      <c r="AS729" s="142"/>
      <c r="AT729" s="142" t="b">
        <v>0</v>
      </c>
      <c r="AU729" s="142"/>
      <c r="AV729" s="142"/>
      <c r="AW729" s="142"/>
      <c r="AX729" s="142"/>
      <c r="AY729" s="142"/>
      <c r="AZ729" s="174"/>
      <c r="BA729" s="142"/>
      <c r="BB729" s="142"/>
      <c r="BC729" s="142"/>
      <c r="BD729" s="142"/>
      <c r="BE729" s="142"/>
      <c r="BF729" s="142"/>
      <c r="BG729" s="142"/>
    </row>
    <row r="730">
      <c r="A730" s="5" t="s">
        <v>2090</v>
      </c>
      <c r="B730" s="44">
        <v>44629.0</v>
      </c>
      <c r="C730" s="150">
        <v>0.4899074074074074</v>
      </c>
      <c r="D730" s="3"/>
      <c r="E730" s="3"/>
      <c r="F730" s="5"/>
      <c r="G730" s="5"/>
      <c r="H730" s="5"/>
      <c r="I730" s="3"/>
      <c r="J730" s="3"/>
      <c r="K730" s="3" t="s">
        <v>244</v>
      </c>
      <c r="L730" s="44">
        <v>44629.0</v>
      </c>
      <c r="M730" s="150">
        <v>0.4994560185185185</v>
      </c>
      <c r="N730" s="5"/>
      <c r="O730" s="5"/>
      <c r="P730" s="10" t="b">
        <v>0</v>
      </c>
      <c r="Q730" s="10" t="s">
        <v>2184</v>
      </c>
      <c r="R730" s="144" t="b">
        <v>1</v>
      </c>
      <c r="S730" s="144">
        <v>1.0</v>
      </c>
      <c r="T730" s="10"/>
      <c r="U730" s="5"/>
      <c r="V730" s="3"/>
      <c r="W730" s="5"/>
      <c r="X730" s="144" t="b">
        <v>0</v>
      </c>
      <c r="Y730" s="10" t="b">
        <v>0</v>
      </c>
      <c r="Z730" s="3"/>
      <c r="AA730" s="10" t="b">
        <v>0</v>
      </c>
      <c r="AB730" s="10" t="b">
        <v>0</v>
      </c>
      <c r="AC730" s="181">
        <v>43.0</v>
      </c>
      <c r="AD730" s="144" t="b">
        <v>0</v>
      </c>
      <c r="AE730" s="182">
        <v>13.749999999999991</v>
      </c>
      <c r="AF730" s="10" t="b">
        <v>0</v>
      </c>
      <c r="AG730" s="10" t="b">
        <v>0</v>
      </c>
      <c r="AH730" s="144"/>
      <c r="AI730" s="3"/>
      <c r="AJ730" s="10"/>
      <c r="AK730" s="3" t="s">
        <v>244</v>
      </c>
      <c r="AL730" s="5"/>
      <c r="AM730" s="5" t="s">
        <v>261</v>
      </c>
      <c r="AN730" s="5" t="s">
        <v>944</v>
      </c>
      <c r="AO730" s="5" t="s">
        <v>2185</v>
      </c>
      <c r="AP730" s="5" t="s">
        <v>2185</v>
      </c>
      <c r="AQ730" s="5" t="s">
        <v>2185</v>
      </c>
      <c r="AR730" s="5" t="s">
        <v>2185</v>
      </c>
      <c r="AS730" s="142"/>
      <c r="AT730" s="142" t="b">
        <v>0</v>
      </c>
      <c r="AU730" s="142"/>
      <c r="AV730" s="142"/>
      <c r="AW730" s="142"/>
      <c r="AX730" s="142"/>
      <c r="AY730" s="142"/>
      <c r="AZ730" s="174"/>
      <c r="BA730" s="142"/>
      <c r="BB730" s="142"/>
      <c r="BC730" s="142"/>
      <c r="BD730" s="142"/>
      <c r="BE730" s="142"/>
      <c r="BF730" s="142"/>
      <c r="BG730" s="142"/>
    </row>
    <row r="731">
      <c r="A731" s="5" t="s">
        <v>2092</v>
      </c>
      <c r="B731" s="44">
        <v>44631.0</v>
      </c>
      <c r="C731" s="150">
        <v>0.2678009259259259</v>
      </c>
      <c r="D731" s="3"/>
      <c r="E731" s="3"/>
      <c r="F731" s="5"/>
      <c r="G731" s="5"/>
      <c r="H731" s="5"/>
      <c r="I731" s="3"/>
      <c r="J731" s="3"/>
      <c r="K731" s="3" t="s">
        <v>244</v>
      </c>
      <c r="L731" s="44">
        <v>44631.0</v>
      </c>
      <c r="M731" s="150">
        <v>0.4860763888888889</v>
      </c>
      <c r="N731" s="5"/>
      <c r="O731" s="5"/>
      <c r="P731" s="10" t="b">
        <v>0</v>
      </c>
      <c r="Q731" s="10" t="s">
        <v>2184</v>
      </c>
      <c r="R731" s="144" t="b">
        <v>1</v>
      </c>
      <c r="S731" s="144">
        <v>1.0</v>
      </c>
      <c r="T731" s="10"/>
      <c r="U731" s="5"/>
      <c r="V731" s="3"/>
      <c r="W731" s="5"/>
      <c r="X731" s="144" t="b">
        <v>0</v>
      </c>
      <c r="Y731" s="10" t="b">
        <v>0</v>
      </c>
      <c r="Z731" s="3"/>
      <c r="AA731" s="10" t="b">
        <v>0</v>
      </c>
      <c r="AB731" s="10" t="b">
        <v>0</v>
      </c>
      <c r="AC731" s="181">
        <v>42.0</v>
      </c>
      <c r="AD731" s="144" t="b">
        <v>0</v>
      </c>
      <c r="AE731" s="182">
        <v>314.31666666666666</v>
      </c>
      <c r="AF731" s="10" t="b">
        <v>0</v>
      </c>
      <c r="AG731" s="10" t="b">
        <v>0</v>
      </c>
      <c r="AH731" s="144"/>
      <c r="AI731" s="3"/>
      <c r="AJ731" s="10"/>
      <c r="AK731" s="3" t="s">
        <v>244</v>
      </c>
      <c r="AL731" s="5"/>
      <c r="AM731" s="5" t="s">
        <v>793</v>
      </c>
      <c r="AN731" s="5" t="s">
        <v>836</v>
      </c>
      <c r="AO731" s="5" t="s">
        <v>2185</v>
      </c>
      <c r="AP731" s="5" t="s">
        <v>2185</v>
      </c>
      <c r="AQ731" s="5" t="s">
        <v>2185</v>
      </c>
      <c r="AR731" s="5" t="s">
        <v>2185</v>
      </c>
      <c r="AS731" s="142"/>
      <c r="AT731" s="142" t="b">
        <v>0</v>
      </c>
      <c r="AU731" s="142"/>
      <c r="AV731" s="142"/>
      <c r="AW731" s="142"/>
      <c r="AX731" s="142"/>
      <c r="AY731" s="142"/>
      <c r="AZ731" s="174"/>
      <c r="BA731" s="142"/>
      <c r="BB731" s="142"/>
      <c r="BC731" s="142"/>
      <c r="BD731" s="142"/>
      <c r="BE731" s="142"/>
      <c r="BF731" s="142"/>
      <c r="BG731" s="142"/>
    </row>
    <row r="732">
      <c r="A732" s="5" t="s">
        <v>2094</v>
      </c>
      <c r="B732" s="44">
        <v>44631.0</v>
      </c>
      <c r="C732" s="150">
        <v>0.2694328703703704</v>
      </c>
      <c r="D732" s="3"/>
      <c r="E732" s="3"/>
      <c r="F732" s="5"/>
      <c r="G732" s="5"/>
      <c r="H732" s="5"/>
      <c r="I732" s="3"/>
      <c r="J732" s="3"/>
      <c r="K732" s="3" t="s">
        <v>244</v>
      </c>
      <c r="L732" s="44">
        <v>44631.0</v>
      </c>
      <c r="M732" s="150">
        <v>0.4860763888888889</v>
      </c>
      <c r="N732" s="5"/>
      <c r="O732" s="5"/>
      <c r="P732" s="10" t="b">
        <v>0</v>
      </c>
      <c r="Q732" s="10" t="s">
        <v>2184</v>
      </c>
      <c r="R732" s="144" t="b">
        <v>1</v>
      </c>
      <c r="S732" s="144">
        <v>1.0</v>
      </c>
      <c r="T732" s="10">
        <v>0.0</v>
      </c>
      <c r="U732" s="5"/>
      <c r="V732" s="3"/>
      <c r="W732" s="5"/>
      <c r="X732" s="144" t="b">
        <v>0</v>
      </c>
      <c r="Y732" s="10" t="b">
        <v>0</v>
      </c>
      <c r="Z732" s="3"/>
      <c r="AA732" s="10" t="b">
        <v>0</v>
      </c>
      <c r="AB732" s="10" t="b">
        <v>0</v>
      </c>
      <c r="AC732" s="181">
        <v>41.0</v>
      </c>
      <c r="AD732" s="144" t="b">
        <v>0</v>
      </c>
      <c r="AE732" s="182">
        <v>311.96666666666664</v>
      </c>
      <c r="AF732" s="10" t="b">
        <v>0</v>
      </c>
      <c r="AG732" s="10" t="b">
        <v>0</v>
      </c>
      <c r="AH732" s="144"/>
      <c r="AI732" s="3"/>
      <c r="AJ732" s="10"/>
      <c r="AK732" s="3" t="s">
        <v>244</v>
      </c>
      <c r="AL732" s="5"/>
      <c r="AM732" s="5" t="s">
        <v>793</v>
      </c>
      <c r="AN732" s="5" t="s">
        <v>2095</v>
      </c>
      <c r="AO732" s="5" t="s">
        <v>2185</v>
      </c>
      <c r="AP732" s="5" t="s">
        <v>2185</v>
      </c>
      <c r="AQ732" s="5" t="s">
        <v>2185</v>
      </c>
      <c r="AR732" s="5" t="s">
        <v>2185</v>
      </c>
      <c r="AS732" s="142"/>
      <c r="AT732" s="142" t="b">
        <v>0</v>
      </c>
      <c r="AU732" s="142"/>
      <c r="AV732" s="142"/>
      <c r="AW732" s="142"/>
      <c r="AX732" s="142"/>
      <c r="AY732" s="142"/>
      <c r="AZ732" s="174"/>
      <c r="BA732" s="142"/>
      <c r="BB732" s="142"/>
      <c r="BC732" s="142"/>
      <c r="BD732" s="142"/>
      <c r="BE732" s="142"/>
      <c r="BF732" s="142"/>
      <c r="BG732" s="142"/>
    </row>
    <row r="733">
      <c r="A733" s="5" t="s">
        <v>2097</v>
      </c>
      <c r="B733" s="44">
        <v>44631.0</v>
      </c>
      <c r="C733" s="150">
        <v>0.2769097222222222</v>
      </c>
      <c r="D733" s="3"/>
      <c r="E733" s="3"/>
      <c r="F733" s="5"/>
      <c r="G733" s="5"/>
      <c r="H733" s="5"/>
      <c r="I733" s="3"/>
      <c r="J733" s="3"/>
      <c r="K733" s="3" t="s">
        <v>244</v>
      </c>
      <c r="L733" s="44">
        <v>44631.0</v>
      </c>
      <c r="M733" s="150">
        <v>0.4860763888888889</v>
      </c>
      <c r="N733" s="5"/>
      <c r="O733" s="5"/>
      <c r="P733" s="10" t="b">
        <v>0</v>
      </c>
      <c r="Q733" s="10" t="s">
        <v>2184</v>
      </c>
      <c r="R733" s="144" t="b">
        <v>1</v>
      </c>
      <c r="S733" s="144">
        <v>1.0</v>
      </c>
      <c r="T733" s="10"/>
      <c r="U733" s="5"/>
      <c r="V733" s="3"/>
      <c r="W733" s="5"/>
      <c r="X733" s="144" t="b">
        <v>0</v>
      </c>
      <c r="Y733" s="10" t="b">
        <v>0</v>
      </c>
      <c r="Z733" s="3"/>
      <c r="AA733" s="10" t="b">
        <v>0</v>
      </c>
      <c r="AB733" s="10" t="b">
        <v>0</v>
      </c>
      <c r="AC733" s="181">
        <v>40.0</v>
      </c>
      <c r="AD733" s="144" t="b">
        <v>0</v>
      </c>
      <c r="AE733" s="182">
        <v>301.2</v>
      </c>
      <c r="AF733" s="10" t="b">
        <v>0</v>
      </c>
      <c r="AG733" s="10" t="b">
        <v>0</v>
      </c>
      <c r="AH733" s="144"/>
      <c r="AI733" s="3"/>
      <c r="AJ733" s="10"/>
      <c r="AK733" s="3" t="s">
        <v>244</v>
      </c>
      <c r="AL733" s="5"/>
      <c r="AM733" s="5" t="s">
        <v>1313</v>
      </c>
      <c r="AN733" s="5" t="s">
        <v>1485</v>
      </c>
      <c r="AO733" s="5" t="s">
        <v>2185</v>
      </c>
      <c r="AP733" s="5" t="s">
        <v>2185</v>
      </c>
      <c r="AQ733" s="5" t="s">
        <v>2185</v>
      </c>
      <c r="AR733" s="5" t="s">
        <v>2185</v>
      </c>
      <c r="AS733" s="142"/>
      <c r="AT733" s="142" t="b">
        <v>0</v>
      </c>
      <c r="AU733" s="142"/>
      <c r="AV733" s="142"/>
      <c r="AW733" s="142"/>
      <c r="AX733" s="142"/>
      <c r="AY733" s="142"/>
      <c r="AZ733" s="174"/>
      <c r="BA733" s="142"/>
      <c r="BB733" s="142"/>
      <c r="BC733" s="142"/>
      <c r="BD733" s="142"/>
      <c r="BE733" s="142"/>
      <c r="BF733" s="142"/>
      <c r="BG733" s="142"/>
    </row>
    <row r="734">
      <c r="A734" s="5" t="s">
        <v>2099</v>
      </c>
      <c r="B734" s="44">
        <v>44631.0</v>
      </c>
      <c r="C734" s="150">
        <v>0.287662037037037</v>
      </c>
      <c r="D734" s="3"/>
      <c r="E734" s="3"/>
      <c r="F734" s="5"/>
      <c r="G734" s="5"/>
      <c r="H734" s="5"/>
      <c r="I734" s="3"/>
      <c r="J734" s="3"/>
      <c r="K734" s="3" t="s">
        <v>244</v>
      </c>
      <c r="L734" s="44">
        <v>44631.0</v>
      </c>
      <c r="M734" s="150">
        <v>0.4860763888888889</v>
      </c>
      <c r="N734" s="5"/>
      <c r="O734" s="5"/>
      <c r="P734" s="10" t="b">
        <v>0</v>
      </c>
      <c r="Q734" s="10" t="s">
        <v>2184</v>
      </c>
      <c r="R734" s="144" t="b">
        <v>1</v>
      </c>
      <c r="S734" s="144">
        <v>1.0</v>
      </c>
      <c r="T734" s="10"/>
      <c r="U734" s="5"/>
      <c r="V734" s="3"/>
      <c r="W734" s="5"/>
      <c r="X734" s="144" t="b">
        <v>0</v>
      </c>
      <c r="Y734" s="10" t="b">
        <v>0</v>
      </c>
      <c r="Z734" s="3"/>
      <c r="AA734" s="10" t="b">
        <v>0</v>
      </c>
      <c r="AB734" s="10" t="b">
        <v>0</v>
      </c>
      <c r="AC734" s="181">
        <v>39.0</v>
      </c>
      <c r="AD734" s="144" t="b">
        <v>0</v>
      </c>
      <c r="AE734" s="182">
        <v>285.7166666666667</v>
      </c>
      <c r="AF734" s="10" t="b">
        <v>0</v>
      </c>
      <c r="AG734" s="10" t="b">
        <v>0</v>
      </c>
      <c r="AH734" s="144"/>
      <c r="AI734" s="3"/>
      <c r="AJ734" s="10"/>
      <c r="AK734" s="3" t="s">
        <v>244</v>
      </c>
      <c r="AL734" s="5"/>
      <c r="AM734" s="5" t="s">
        <v>1490</v>
      </c>
      <c r="AN734" s="5" t="s">
        <v>1491</v>
      </c>
      <c r="AO734" s="5" t="s">
        <v>2185</v>
      </c>
      <c r="AP734" s="5" t="s">
        <v>2185</v>
      </c>
      <c r="AQ734" s="5" t="s">
        <v>2185</v>
      </c>
      <c r="AR734" s="5" t="s">
        <v>2185</v>
      </c>
      <c r="AS734" s="142"/>
      <c r="AT734" s="142" t="b">
        <v>0</v>
      </c>
      <c r="AU734" s="142"/>
      <c r="AV734" s="142"/>
      <c r="AW734" s="142"/>
      <c r="AX734" s="142"/>
      <c r="AY734" s="142"/>
      <c r="AZ734" s="174"/>
      <c r="BA734" s="142"/>
      <c r="BB734" s="142"/>
      <c r="BC734" s="142"/>
      <c r="BD734" s="142"/>
      <c r="BE734" s="142"/>
      <c r="BF734" s="142"/>
      <c r="BG734" s="142"/>
    </row>
    <row r="735">
      <c r="A735" s="5" t="s">
        <v>2101</v>
      </c>
      <c r="B735" s="44">
        <v>44631.0</v>
      </c>
      <c r="C735" s="150">
        <v>0.2908101851851852</v>
      </c>
      <c r="D735" s="3"/>
      <c r="E735" s="3"/>
      <c r="F735" s="5"/>
      <c r="G735" s="5"/>
      <c r="H735" s="5"/>
      <c r="I735" s="3"/>
      <c r="J735" s="3"/>
      <c r="K735" s="3" t="s">
        <v>244</v>
      </c>
      <c r="L735" s="44">
        <v>44631.0</v>
      </c>
      <c r="M735" s="150">
        <v>0.4860763888888889</v>
      </c>
      <c r="N735" s="5"/>
      <c r="O735" s="5"/>
      <c r="P735" s="10" t="b">
        <v>0</v>
      </c>
      <c r="Q735" s="10" t="s">
        <v>2184</v>
      </c>
      <c r="R735" s="144" t="b">
        <v>1</v>
      </c>
      <c r="S735" s="144">
        <v>1.0</v>
      </c>
      <c r="T735" s="10"/>
      <c r="U735" s="5"/>
      <c r="V735" s="3"/>
      <c r="W735" s="5"/>
      <c r="X735" s="144" t="b">
        <v>0</v>
      </c>
      <c r="Y735" s="10" t="b">
        <v>0</v>
      </c>
      <c r="Z735" s="3"/>
      <c r="AA735" s="10" t="b">
        <v>0</v>
      </c>
      <c r="AB735" s="10" t="b">
        <v>0</v>
      </c>
      <c r="AC735" s="181">
        <v>38.0</v>
      </c>
      <c r="AD735" s="144" t="b">
        <v>0</v>
      </c>
      <c r="AE735" s="182">
        <v>281.18333333333334</v>
      </c>
      <c r="AF735" s="10" t="b">
        <v>0</v>
      </c>
      <c r="AG735" s="10" t="b">
        <v>0</v>
      </c>
      <c r="AH735" s="144"/>
      <c r="AI735" s="3"/>
      <c r="AJ735" s="10"/>
      <c r="AK735" s="3" t="s">
        <v>244</v>
      </c>
      <c r="AL735" s="5"/>
      <c r="AM735" s="5" t="s">
        <v>850</v>
      </c>
      <c r="AN735" s="5" t="s">
        <v>851</v>
      </c>
      <c r="AO735" s="5" t="s">
        <v>2185</v>
      </c>
      <c r="AP735" s="5" t="s">
        <v>2185</v>
      </c>
      <c r="AQ735" s="5" t="s">
        <v>2185</v>
      </c>
      <c r="AR735" s="5" t="s">
        <v>2185</v>
      </c>
      <c r="AS735" s="142"/>
      <c r="AT735" s="142" t="b">
        <v>0</v>
      </c>
      <c r="AU735" s="142"/>
      <c r="AV735" s="142"/>
      <c r="AW735" s="142"/>
      <c r="AX735" s="142"/>
      <c r="AY735" s="142"/>
      <c r="AZ735" s="174"/>
      <c r="BA735" s="142"/>
      <c r="BB735" s="142"/>
      <c r="BC735" s="142"/>
      <c r="BD735" s="142"/>
      <c r="BE735" s="142"/>
      <c r="BF735" s="142"/>
      <c r="BG735" s="142"/>
    </row>
    <row r="736">
      <c r="A736" s="5" t="s">
        <v>2103</v>
      </c>
      <c r="B736" s="44">
        <v>44631.0</v>
      </c>
      <c r="C736" s="150">
        <v>0.2971875</v>
      </c>
      <c r="D736" s="3"/>
      <c r="E736" s="3"/>
      <c r="F736" s="5"/>
      <c r="G736" s="5"/>
      <c r="H736" s="5"/>
      <c r="I736" s="3"/>
      <c r="J736" s="3"/>
      <c r="K736" s="3" t="s">
        <v>244</v>
      </c>
      <c r="L736" s="44">
        <v>44631.0</v>
      </c>
      <c r="M736" s="150">
        <v>0.48608796296296297</v>
      </c>
      <c r="N736" s="5"/>
      <c r="O736" s="5"/>
      <c r="P736" s="10" t="b">
        <v>0</v>
      </c>
      <c r="Q736" s="10" t="s">
        <v>2184</v>
      </c>
      <c r="R736" s="144" t="b">
        <v>1</v>
      </c>
      <c r="S736" s="144">
        <v>1.0</v>
      </c>
      <c r="T736" s="10"/>
      <c r="U736" s="5"/>
      <c r="V736" s="3"/>
      <c r="W736" s="5"/>
      <c r="X736" s="144" t="b">
        <v>0</v>
      </c>
      <c r="Y736" s="10" t="b">
        <v>0</v>
      </c>
      <c r="Z736" s="3"/>
      <c r="AA736" s="10" t="b">
        <v>0</v>
      </c>
      <c r="AB736" s="10" t="b">
        <v>0</v>
      </c>
      <c r="AC736" s="181">
        <v>37.0</v>
      </c>
      <c r="AD736" s="144" t="b">
        <v>0</v>
      </c>
      <c r="AE736" s="182">
        <v>272.0166666666667</v>
      </c>
      <c r="AF736" s="10" t="b">
        <v>0</v>
      </c>
      <c r="AG736" s="10" t="b">
        <v>0</v>
      </c>
      <c r="AH736" s="144"/>
      <c r="AI736" s="3"/>
      <c r="AJ736" s="10"/>
      <c r="AK736" s="3" t="s">
        <v>244</v>
      </c>
      <c r="AL736" s="5"/>
      <c r="AM736" s="5" t="s">
        <v>1260</v>
      </c>
      <c r="AN736" s="5" t="s">
        <v>1261</v>
      </c>
      <c r="AO736" s="5" t="s">
        <v>2185</v>
      </c>
      <c r="AP736" s="5" t="s">
        <v>2185</v>
      </c>
      <c r="AQ736" s="5" t="s">
        <v>2185</v>
      </c>
      <c r="AR736" s="5" t="s">
        <v>2185</v>
      </c>
      <c r="AS736" s="142"/>
      <c r="AT736" s="142" t="b">
        <v>0</v>
      </c>
      <c r="AU736" s="142"/>
      <c r="AV736" s="142"/>
      <c r="AW736" s="142"/>
      <c r="AX736" s="142"/>
      <c r="AY736" s="142"/>
      <c r="AZ736" s="174"/>
      <c r="BA736" s="142"/>
      <c r="BB736" s="142"/>
      <c r="BC736" s="142"/>
      <c r="BD736" s="142"/>
      <c r="BE736" s="142"/>
      <c r="BF736" s="142"/>
      <c r="BG736" s="142"/>
    </row>
    <row r="737">
      <c r="A737" s="5" t="s">
        <v>2105</v>
      </c>
      <c r="B737" s="44">
        <v>44631.0</v>
      </c>
      <c r="C737" s="150">
        <v>0.30041666666666667</v>
      </c>
      <c r="D737" s="3"/>
      <c r="E737" s="3"/>
      <c r="F737" s="5"/>
      <c r="G737" s="5"/>
      <c r="H737" s="5"/>
      <c r="I737" s="3"/>
      <c r="J737" s="3"/>
      <c r="K737" s="3" t="s">
        <v>244</v>
      </c>
      <c r="L737" s="44">
        <v>44631.0</v>
      </c>
      <c r="M737" s="150">
        <v>0.48608796296296297</v>
      </c>
      <c r="N737" s="5"/>
      <c r="O737" s="5"/>
      <c r="P737" s="10" t="b">
        <v>0</v>
      </c>
      <c r="Q737" s="10" t="s">
        <v>2184</v>
      </c>
      <c r="R737" s="144" t="b">
        <v>1</v>
      </c>
      <c r="S737" s="144">
        <v>1.0</v>
      </c>
      <c r="T737" s="10"/>
      <c r="U737" s="5"/>
      <c r="V737" s="3"/>
      <c r="W737" s="5"/>
      <c r="X737" s="144" t="b">
        <v>0</v>
      </c>
      <c r="Y737" s="10" t="b">
        <v>0</v>
      </c>
      <c r="Z737" s="3"/>
      <c r="AA737" s="10" t="b">
        <v>0</v>
      </c>
      <c r="AB737" s="10" t="b">
        <v>0</v>
      </c>
      <c r="AC737" s="181">
        <v>36.0</v>
      </c>
      <c r="AD737" s="144" t="b">
        <v>0</v>
      </c>
      <c r="AE737" s="182">
        <v>267.3666666666667</v>
      </c>
      <c r="AF737" s="10" t="b">
        <v>0</v>
      </c>
      <c r="AG737" s="10" t="b">
        <v>0</v>
      </c>
      <c r="AH737" s="144"/>
      <c r="AI737" s="3"/>
      <c r="AJ737" s="10"/>
      <c r="AK737" s="3" t="s">
        <v>244</v>
      </c>
      <c r="AL737" s="5"/>
      <c r="AM737" s="5" t="s">
        <v>430</v>
      </c>
      <c r="AN737" s="5" t="s">
        <v>431</v>
      </c>
      <c r="AO737" s="5" t="s">
        <v>2185</v>
      </c>
      <c r="AP737" s="5" t="s">
        <v>2185</v>
      </c>
      <c r="AQ737" s="5" t="s">
        <v>2185</v>
      </c>
      <c r="AR737" s="5" t="s">
        <v>2185</v>
      </c>
      <c r="AS737" s="142"/>
      <c r="AT737" s="142" t="b">
        <v>0</v>
      </c>
      <c r="AU737" s="142"/>
      <c r="AV737" s="142"/>
      <c r="AW737" s="142"/>
      <c r="AX737" s="142"/>
      <c r="AY737" s="142"/>
      <c r="AZ737" s="174"/>
      <c r="BA737" s="142"/>
      <c r="BB737" s="142"/>
      <c r="BC737" s="142"/>
      <c r="BD737" s="142"/>
      <c r="BE737" s="142"/>
      <c r="BF737" s="142"/>
      <c r="BG737" s="142"/>
    </row>
    <row r="738">
      <c r="A738" s="5" t="s">
        <v>2107</v>
      </c>
      <c r="B738" s="44">
        <v>44631.0</v>
      </c>
      <c r="C738" s="150">
        <v>0.3006712962962963</v>
      </c>
      <c r="D738" s="3"/>
      <c r="E738" s="3"/>
      <c r="F738" s="5"/>
      <c r="G738" s="5"/>
      <c r="H738" s="5"/>
      <c r="I738" s="3"/>
      <c r="J738" s="3"/>
      <c r="K738" s="3" t="s">
        <v>244</v>
      </c>
      <c r="L738" s="44">
        <v>44631.0</v>
      </c>
      <c r="M738" s="150">
        <v>0.48608796296296297</v>
      </c>
      <c r="N738" s="5"/>
      <c r="O738" s="5"/>
      <c r="P738" s="10" t="b">
        <v>0</v>
      </c>
      <c r="Q738" s="10" t="s">
        <v>2184</v>
      </c>
      <c r="R738" s="144" t="b">
        <v>1</v>
      </c>
      <c r="S738" s="144">
        <v>1.0</v>
      </c>
      <c r="T738" s="10"/>
      <c r="U738" s="5"/>
      <c r="V738" s="3"/>
      <c r="W738" s="5"/>
      <c r="X738" s="144" t="b">
        <v>0</v>
      </c>
      <c r="Y738" s="10" t="b">
        <v>0</v>
      </c>
      <c r="Z738" s="3"/>
      <c r="AA738" s="10" t="b">
        <v>0</v>
      </c>
      <c r="AB738" s="10" t="b">
        <v>0</v>
      </c>
      <c r="AC738" s="181">
        <v>35.0</v>
      </c>
      <c r="AD738" s="144" t="b">
        <v>0</v>
      </c>
      <c r="AE738" s="182">
        <v>267.0</v>
      </c>
      <c r="AF738" s="10" t="b">
        <v>0</v>
      </c>
      <c r="AG738" s="10" t="b">
        <v>0</v>
      </c>
      <c r="AH738" s="144"/>
      <c r="AI738" s="3"/>
      <c r="AJ738" s="10"/>
      <c r="AK738" s="3" t="s">
        <v>244</v>
      </c>
      <c r="AL738" s="5"/>
      <c r="AM738" s="5" t="s">
        <v>1254</v>
      </c>
      <c r="AN738" s="5" t="s">
        <v>1255</v>
      </c>
      <c r="AO738" s="5" t="s">
        <v>2185</v>
      </c>
      <c r="AP738" s="5" t="s">
        <v>2185</v>
      </c>
      <c r="AQ738" s="5" t="s">
        <v>2185</v>
      </c>
      <c r="AR738" s="5" t="s">
        <v>2185</v>
      </c>
      <c r="AS738" s="142"/>
      <c r="AT738" s="142" t="b">
        <v>0</v>
      </c>
      <c r="AU738" s="142"/>
      <c r="AV738" s="142"/>
      <c r="AW738" s="142"/>
      <c r="AX738" s="142"/>
      <c r="AY738" s="142"/>
      <c r="AZ738" s="174"/>
      <c r="BA738" s="142"/>
      <c r="BB738" s="142"/>
      <c r="BC738" s="142"/>
      <c r="BD738" s="142"/>
      <c r="BE738" s="142"/>
      <c r="BF738" s="142"/>
      <c r="BG738" s="142"/>
    </row>
    <row r="739">
      <c r="A739" s="5" t="s">
        <v>2109</v>
      </c>
      <c r="B739" s="44">
        <v>44631.0</v>
      </c>
      <c r="C739" s="150">
        <v>0.30194444444444446</v>
      </c>
      <c r="D739" s="3"/>
      <c r="E739" s="3"/>
      <c r="F739" s="5"/>
      <c r="G739" s="5"/>
      <c r="H739" s="5"/>
      <c r="I739" s="3"/>
      <c r="J739" s="3"/>
      <c r="K739" s="3" t="s">
        <v>244</v>
      </c>
      <c r="L739" s="44">
        <v>44631.0</v>
      </c>
      <c r="M739" s="150">
        <v>0.48608796296296297</v>
      </c>
      <c r="N739" s="5"/>
      <c r="O739" s="5"/>
      <c r="P739" s="10" t="b">
        <v>0</v>
      </c>
      <c r="Q739" s="10" t="s">
        <v>2184</v>
      </c>
      <c r="R739" s="144" t="b">
        <v>1</v>
      </c>
      <c r="S739" s="144">
        <v>1.0</v>
      </c>
      <c r="T739" s="10"/>
      <c r="U739" s="5"/>
      <c r="V739" s="3"/>
      <c r="W739" s="5"/>
      <c r="X739" s="144" t="b">
        <v>0</v>
      </c>
      <c r="Y739" s="10" t="b">
        <v>0</v>
      </c>
      <c r="Z739" s="3"/>
      <c r="AA739" s="10" t="b">
        <v>0</v>
      </c>
      <c r="AB739" s="10" t="b">
        <v>0</v>
      </c>
      <c r="AC739" s="181">
        <v>34.0</v>
      </c>
      <c r="AD739" s="144" t="b">
        <v>0</v>
      </c>
      <c r="AE739" s="182">
        <v>265.16666666666663</v>
      </c>
      <c r="AF739" s="10" t="b">
        <v>0</v>
      </c>
      <c r="AG739" s="10" t="b">
        <v>0</v>
      </c>
      <c r="AH739" s="144"/>
      <c r="AI739" s="3"/>
      <c r="AJ739" s="10"/>
      <c r="AK739" s="3" t="s">
        <v>244</v>
      </c>
      <c r="AL739" s="5"/>
      <c r="AM739" s="5" t="s">
        <v>1294</v>
      </c>
      <c r="AN739" s="5" t="s">
        <v>1295</v>
      </c>
      <c r="AO739" s="5" t="s">
        <v>2185</v>
      </c>
      <c r="AP739" s="5" t="s">
        <v>2185</v>
      </c>
      <c r="AQ739" s="5" t="s">
        <v>2185</v>
      </c>
      <c r="AR739" s="5" t="s">
        <v>2185</v>
      </c>
      <c r="AS739" s="142"/>
      <c r="AT739" s="142" t="b">
        <v>0</v>
      </c>
      <c r="AU739" s="142"/>
      <c r="AV739" s="142"/>
      <c r="AW739" s="142"/>
      <c r="AX739" s="142"/>
      <c r="AY739" s="142"/>
      <c r="AZ739" s="174"/>
      <c r="BA739" s="142"/>
      <c r="BB739" s="142"/>
      <c r="BC739" s="142"/>
      <c r="BD739" s="142"/>
      <c r="BE739" s="142"/>
      <c r="BF739" s="142"/>
      <c r="BG739" s="142"/>
    </row>
    <row r="740">
      <c r="A740" s="5" t="s">
        <v>2111</v>
      </c>
      <c r="B740" s="44">
        <v>44631.0</v>
      </c>
      <c r="C740" s="150">
        <v>0.3019560185185185</v>
      </c>
      <c r="D740" s="3"/>
      <c r="E740" s="3"/>
      <c r="F740" s="5"/>
      <c r="G740" s="5"/>
      <c r="H740" s="5"/>
      <c r="I740" s="3"/>
      <c r="J740" s="3"/>
      <c r="K740" s="3" t="s">
        <v>244</v>
      </c>
      <c r="L740" s="44">
        <v>44631.0</v>
      </c>
      <c r="M740" s="150">
        <v>0.48608796296296297</v>
      </c>
      <c r="N740" s="5"/>
      <c r="O740" s="5"/>
      <c r="P740" s="10" t="b">
        <v>0</v>
      </c>
      <c r="Q740" s="10" t="s">
        <v>2184</v>
      </c>
      <c r="R740" s="144" t="b">
        <v>1</v>
      </c>
      <c r="S740" s="144">
        <v>1.0</v>
      </c>
      <c r="T740" s="10"/>
      <c r="U740" s="5"/>
      <c r="V740" s="3"/>
      <c r="W740" s="5"/>
      <c r="X740" s="144" t="b">
        <v>0</v>
      </c>
      <c r="Y740" s="10" t="b">
        <v>0</v>
      </c>
      <c r="Z740" s="3"/>
      <c r="AA740" s="10" t="b">
        <v>0</v>
      </c>
      <c r="AB740" s="10" t="b">
        <v>0</v>
      </c>
      <c r="AC740" s="181">
        <v>33.0</v>
      </c>
      <c r="AD740" s="144" t="b">
        <v>0</v>
      </c>
      <c r="AE740" s="182">
        <v>265.15000000000003</v>
      </c>
      <c r="AF740" s="10" t="b">
        <v>0</v>
      </c>
      <c r="AG740" s="10" t="b">
        <v>0</v>
      </c>
      <c r="AH740" s="144"/>
      <c r="AI740" s="3"/>
      <c r="AJ740" s="10"/>
      <c r="AK740" s="3" t="s">
        <v>244</v>
      </c>
      <c r="AL740" s="5"/>
      <c r="AM740" s="5" t="s">
        <v>1298</v>
      </c>
      <c r="AN740" s="5" t="s">
        <v>1299</v>
      </c>
      <c r="AO740" s="5" t="s">
        <v>2185</v>
      </c>
      <c r="AP740" s="5" t="s">
        <v>2185</v>
      </c>
      <c r="AQ740" s="5" t="s">
        <v>2185</v>
      </c>
      <c r="AR740" s="5" t="s">
        <v>2185</v>
      </c>
      <c r="AS740" s="142"/>
      <c r="AT740" s="142" t="b">
        <v>0</v>
      </c>
      <c r="AU740" s="142"/>
      <c r="AV740" s="142"/>
      <c r="AW740" s="142"/>
      <c r="AX740" s="142"/>
      <c r="AY740" s="142"/>
      <c r="AZ740" s="174"/>
      <c r="BA740" s="142"/>
      <c r="BB740" s="142"/>
      <c r="BC740" s="142"/>
      <c r="BD740" s="142"/>
      <c r="BE740" s="142"/>
      <c r="BF740" s="142"/>
      <c r="BG740" s="142"/>
    </row>
    <row r="741">
      <c r="A741" s="5" t="s">
        <v>2113</v>
      </c>
      <c r="B741" s="44">
        <v>44631.0</v>
      </c>
      <c r="C741" s="150">
        <v>0.30644675925925924</v>
      </c>
      <c r="D741" s="3"/>
      <c r="E741" s="3"/>
      <c r="F741" s="5"/>
      <c r="G741" s="5"/>
      <c r="H741" s="5"/>
      <c r="I741" s="3"/>
      <c r="J741" s="3"/>
      <c r="K741" s="3" t="s">
        <v>244</v>
      </c>
      <c r="L741" s="44">
        <v>44631.0</v>
      </c>
      <c r="M741" s="150">
        <v>0.48608796296296297</v>
      </c>
      <c r="N741" s="5"/>
      <c r="O741" s="5"/>
      <c r="P741" s="10" t="b">
        <v>0</v>
      </c>
      <c r="Q741" s="10" t="s">
        <v>2184</v>
      </c>
      <c r="R741" s="144" t="b">
        <v>1</v>
      </c>
      <c r="S741" s="144">
        <v>1.0</v>
      </c>
      <c r="T741" s="10"/>
      <c r="U741" s="5"/>
      <c r="V741" s="3"/>
      <c r="W741" s="5"/>
      <c r="X741" s="144" t="b">
        <v>0</v>
      </c>
      <c r="Y741" s="10" t="b">
        <v>0</v>
      </c>
      <c r="Z741" s="3"/>
      <c r="AA741" s="10" t="b">
        <v>0</v>
      </c>
      <c r="AB741" s="10" t="b">
        <v>0</v>
      </c>
      <c r="AC741" s="181">
        <v>32.0</v>
      </c>
      <c r="AD741" s="144" t="b">
        <v>0</v>
      </c>
      <c r="AE741" s="182">
        <v>258.6833333333334</v>
      </c>
      <c r="AF741" s="10" t="b">
        <v>0</v>
      </c>
      <c r="AG741" s="10" t="b">
        <v>0</v>
      </c>
      <c r="AH741" s="144"/>
      <c r="AI741" s="3"/>
      <c r="AJ741" s="10"/>
      <c r="AK741" s="3" t="s">
        <v>244</v>
      </c>
      <c r="AL741" s="5"/>
      <c r="AM741" s="5" t="s">
        <v>857</v>
      </c>
      <c r="AN741" s="5" t="s">
        <v>696</v>
      </c>
      <c r="AO741" s="5" t="s">
        <v>2185</v>
      </c>
      <c r="AP741" s="5" t="s">
        <v>2185</v>
      </c>
      <c r="AQ741" s="5" t="s">
        <v>2185</v>
      </c>
      <c r="AR741" s="5" t="s">
        <v>2185</v>
      </c>
      <c r="AS741" s="142"/>
      <c r="AT741" s="142" t="b">
        <v>0</v>
      </c>
      <c r="AU741" s="142"/>
      <c r="AV741" s="142"/>
      <c r="AW741" s="142"/>
      <c r="AX741" s="142"/>
      <c r="AY741" s="142"/>
      <c r="AZ741" s="174"/>
      <c r="BA741" s="142"/>
      <c r="BB741" s="142"/>
      <c r="BC741" s="142"/>
      <c r="BD741" s="142"/>
      <c r="BE741" s="142"/>
      <c r="BF741" s="142"/>
      <c r="BG741" s="142"/>
    </row>
    <row r="742">
      <c r="A742" s="5" t="s">
        <v>2115</v>
      </c>
      <c r="B742" s="44">
        <v>44631.0</v>
      </c>
      <c r="C742" s="150">
        <v>0.30668981481481483</v>
      </c>
      <c r="D742" s="3"/>
      <c r="E742" s="3"/>
      <c r="F742" s="5"/>
      <c r="G742" s="5"/>
      <c r="H742" s="5"/>
      <c r="I742" s="3"/>
      <c r="J742" s="3"/>
      <c r="K742" s="3" t="s">
        <v>244</v>
      </c>
      <c r="L742" s="44">
        <v>44631.0</v>
      </c>
      <c r="M742" s="150">
        <v>0.48608796296296297</v>
      </c>
      <c r="N742" s="5"/>
      <c r="O742" s="5"/>
      <c r="P742" s="10" t="b">
        <v>0</v>
      </c>
      <c r="Q742" s="10" t="s">
        <v>2184</v>
      </c>
      <c r="R742" s="144" t="b">
        <v>1</v>
      </c>
      <c r="S742" s="144">
        <v>1.0</v>
      </c>
      <c r="T742" s="10"/>
      <c r="U742" s="5"/>
      <c r="V742" s="3"/>
      <c r="W742" s="5"/>
      <c r="X742" s="144" t="b">
        <v>0</v>
      </c>
      <c r="Y742" s="10" t="b">
        <v>0</v>
      </c>
      <c r="Z742" s="3"/>
      <c r="AA742" s="10" t="b">
        <v>0</v>
      </c>
      <c r="AB742" s="10" t="b">
        <v>0</v>
      </c>
      <c r="AC742" s="181">
        <v>31.0</v>
      </c>
      <c r="AD742" s="144" t="b">
        <v>0</v>
      </c>
      <c r="AE742" s="182">
        <v>258.3333333333333</v>
      </c>
      <c r="AF742" s="10" t="b">
        <v>0</v>
      </c>
      <c r="AG742" s="10" t="b">
        <v>0</v>
      </c>
      <c r="AH742" s="144"/>
      <c r="AI742" s="3"/>
      <c r="AJ742" s="10"/>
      <c r="AK742" s="3" t="s">
        <v>244</v>
      </c>
      <c r="AL742" s="5"/>
      <c r="AM742" s="5" t="s">
        <v>2116</v>
      </c>
      <c r="AN742" s="5" t="s">
        <v>545</v>
      </c>
      <c r="AO742" s="5" t="s">
        <v>2185</v>
      </c>
      <c r="AP742" s="5" t="s">
        <v>2185</v>
      </c>
      <c r="AQ742" s="5" t="s">
        <v>2185</v>
      </c>
      <c r="AR742" s="5" t="s">
        <v>2185</v>
      </c>
      <c r="AS742" s="142"/>
      <c r="AT742" s="142" t="b">
        <v>0</v>
      </c>
      <c r="AU742" s="142"/>
      <c r="AV742" s="142"/>
      <c r="AW742" s="142"/>
      <c r="AX742" s="142"/>
      <c r="AY742" s="142"/>
      <c r="AZ742" s="174"/>
      <c r="BA742" s="142"/>
      <c r="BB742" s="142"/>
      <c r="BC742" s="142"/>
      <c r="BD742" s="142"/>
      <c r="BE742" s="142"/>
      <c r="BF742" s="142"/>
      <c r="BG742" s="142"/>
    </row>
    <row r="743">
      <c r="A743" s="5" t="s">
        <v>2118</v>
      </c>
      <c r="B743" s="44">
        <v>44631.0</v>
      </c>
      <c r="C743" s="150">
        <v>0.3084953703703704</v>
      </c>
      <c r="D743" s="3"/>
      <c r="E743" s="3"/>
      <c r="F743" s="5"/>
      <c r="G743" s="5"/>
      <c r="H743" s="5"/>
      <c r="I743" s="3"/>
      <c r="J743" s="3"/>
      <c r="K743" s="3" t="s">
        <v>244</v>
      </c>
      <c r="L743" s="44">
        <v>44631.0</v>
      </c>
      <c r="M743" s="150">
        <v>0.48608796296296297</v>
      </c>
      <c r="N743" s="5"/>
      <c r="O743" s="5"/>
      <c r="P743" s="10" t="b">
        <v>0</v>
      </c>
      <c r="Q743" s="10" t="s">
        <v>2184</v>
      </c>
      <c r="R743" s="144" t="b">
        <v>1</v>
      </c>
      <c r="S743" s="144">
        <v>1.0</v>
      </c>
      <c r="T743" s="10"/>
      <c r="U743" s="5"/>
      <c r="V743" s="3"/>
      <c r="W743" s="5"/>
      <c r="X743" s="144" t="b">
        <v>0</v>
      </c>
      <c r="Y743" s="10" t="b">
        <v>0</v>
      </c>
      <c r="Z743" s="3"/>
      <c r="AA743" s="10" t="b">
        <v>0</v>
      </c>
      <c r="AB743" s="10" t="b">
        <v>0</v>
      </c>
      <c r="AC743" s="181">
        <v>30.0</v>
      </c>
      <c r="AD743" s="144" t="b">
        <v>0</v>
      </c>
      <c r="AE743" s="182">
        <v>255.73333333333335</v>
      </c>
      <c r="AF743" s="10" t="b">
        <v>0</v>
      </c>
      <c r="AG743" s="10" t="b">
        <v>0</v>
      </c>
      <c r="AH743" s="144"/>
      <c r="AI743" s="3"/>
      <c r="AJ743" s="10"/>
      <c r="AK743" s="3" t="s">
        <v>244</v>
      </c>
      <c r="AL743" s="5"/>
      <c r="AM743" s="5" t="s">
        <v>1516</v>
      </c>
      <c r="AN743" s="5" t="s">
        <v>1517</v>
      </c>
      <c r="AO743" s="5" t="s">
        <v>2185</v>
      </c>
      <c r="AP743" s="5" t="s">
        <v>2185</v>
      </c>
      <c r="AQ743" s="5" t="s">
        <v>2185</v>
      </c>
      <c r="AR743" s="5" t="s">
        <v>2185</v>
      </c>
      <c r="AS743" s="142"/>
      <c r="AT743" s="142" t="b">
        <v>0</v>
      </c>
      <c r="AU743" s="142"/>
      <c r="AV743" s="142"/>
      <c r="AW743" s="142"/>
      <c r="AX743" s="142"/>
      <c r="AY743" s="142"/>
      <c r="AZ743" s="174"/>
      <c r="BA743" s="142"/>
      <c r="BB743" s="142"/>
      <c r="BC743" s="142"/>
      <c r="BD743" s="142"/>
      <c r="BE743" s="142"/>
      <c r="BF743" s="142"/>
      <c r="BG743" s="142"/>
    </row>
    <row r="744">
      <c r="A744" s="5" t="s">
        <v>2120</v>
      </c>
      <c r="B744" s="44">
        <v>44631.0</v>
      </c>
      <c r="C744" s="150">
        <v>0.30917824074074074</v>
      </c>
      <c r="D744" s="3"/>
      <c r="E744" s="3"/>
      <c r="F744" s="5"/>
      <c r="G744" s="5"/>
      <c r="H744" s="5"/>
      <c r="I744" s="3"/>
      <c r="J744" s="3"/>
      <c r="K744" s="3" t="s">
        <v>244</v>
      </c>
      <c r="L744" s="44">
        <v>44631.0</v>
      </c>
      <c r="M744" s="150">
        <v>0.48608796296296297</v>
      </c>
      <c r="N744" s="5"/>
      <c r="O744" s="5"/>
      <c r="P744" s="10" t="b">
        <v>0</v>
      </c>
      <c r="Q744" s="10" t="s">
        <v>2184</v>
      </c>
      <c r="R744" s="144" t="b">
        <v>1</v>
      </c>
      <c r="S744" s="144">
        <v>1.0</v>
      </c>
      <c r="T744" s="10">
        <v>0.0</v>
      </c>
      <c r="U744" s="5"/>
      <c r="V744" s="3"/>
      <c r="W744" s="5"/>
      <c r="X744" s="144" t="b">
        <v>0</v>
      </c>
      <c r="Y744" s="10" t="b">
        <v>0</v>
      </c>
      <c r="Z744" s="3"/>
      <c r="AA744" s="10" t="b">
        <v>0</v>
      </c>
      <c r="AB744" s="10" t="b">
        <v>0</v>
      </c>
      <c r="AC744" s="181">
        <v>29.0</v>
      </c>
      <c r="AD744" s="144" t="b">
        <v>0</v>
      </c>
      <c r="AE744" s="182">
        <v>254.75</v>
      </c>
      <c r="AF744" s="10" t="b">
        <v>0</v>
      </c>
      <c r="AG744" s="10" t="b">
        <v>0</v>
      </c>
      <c r="AH744" s="144"/>
      <c r="AI744" s="3"/>
      <c r="AJ744" s="10"/>
      <c r="AK744" s="3" t="s">
        <v>244</v>
      </c>
      <c r="AL744" s="5"/>
      <c r="AM744" s="5" t="s">
        <v>1516</v>
      </c>
      <c r="AN744" s="5" t="s">
        <v>1752</v>
      </c>
      <c r="AO744" s="5" t="s">
        <v>2185</v>
      </c>
      <c r="AP744" s="5" t="s">
        <v>2185</v>
      </c>
      <c r="AQ744" s="5" t="s">
        <v>2185</v>
      </c>
      <c r="AR744" s="5" t="s">
        <v>2185</v>
      </c>
      <c r="AS744" s="142"/>
      <c r="AT744" s="142" t="b">
        <v>0</v>
      </c>
      <c r="AU744" s="142"/>
      <c r="AV744" s="142"/>
      <c r="AW744" s="142"/>
      <c r="AX744" s="142"/>
      <c r="AY744" s="142"/>
      <c r="AZ744" s="174"/>
      <c r="BA744" s="142"/>
      <c r="BB744" s="142"/>
      <c r="BC744" s="142"/>
      <c r="BD744" s="142"/>
      <c r="BE744" s="142"/>
      <c r="BF744" s="142"/>
      <c r="BG744" s="142"/>
    </row>
    <row r="745">
      <c r="A745" s="5" t="s">
        <v>2122</v>
      </c>
      <c r="B745" s="44">
        <v>44631.0</v>
      </c>
      <c r="C745" s="150">
        <v>0.31730324074074073</v>
      </c>
      <c r="D745" s="3"/>
      <c r="E745" s="3"/>
      <c r="F745" s="5"/>
      <c r="G745" s="5"/>
      <c r="H745" s="5"/>
      <c r="I745" s="3"/>
      <c r="J745" s="3"/>
      <c r="K745" s="3" t="s">
        <v>244</v>
      </c>
      <c r="L745" s="44">
        <v>44631.0</v>
      </c>
      <c r="M745" s="150">
        <v>0.48608796296296297</v>
      </c>
      <c r="N745" s="5"/>
      <c r="O745" s="5"/>
      <c r="P745" s="10" t="b">
        <v>0</v>
      </c>
      <c r="Q745" s="10" t="s">
        <v>2184</v>
      </c>
      <c r="R745" s="144" t="b">
        <v>1</v>
      </c>
      <c r="S745" s="144">
        <v>1.0</v>
      </c>
      <c r="T745" s="10"/>
      <c r="U745" s="5"/>
      <c r="V745" s="3"/>
      <c r="W745" s="5"/>
      <c r="X745" s="144" t="b">
        <v>0</v>
      </c>
      <c r="Y745" s="10" t="b">
        <v>0</v>
      </c>
      <c r="Z745" s="3"/>
      <c r="AA745" s="10" t="b">
        <v>0</v>
      </c>
      <c r="AB745" s="10" t="b">
        <v>0</v>
      </c>
      <c r="AC745" s="181">
        <v>28.0</v>
      </c>
      <c r="AD745" s="144" t="b">
        <v>0</v>
      </c>
      <c r="AE745" s="182">
        <v>243.05</v>
      </c>
      <c r="AF745" s="10" t="b">
        <v>0</v>
      </c>
      <c r="AG745" s="10" t="b">
        <v>0</v>
      </c>
      <c r="AH745" s="144"/>
      <c r="AI745" s="3"/>
      <c r="AJ745" s="10"/>
      <c r="AK745" s="3" t="s">
        <v>244</v>
      </c>
      <c r="AL745" s="5"/>
      <c r="AM745" s="5" t="s">
        <v>577</v>
      </c>
      <c r="AN745" s="5" t="s">
        <v>578</v>
      </c>
      <c r="AO745" s="5" t="s">
        <v>2185</v>
      </c>
      <c r="AP745" s="5" t="s">
        <v>2185</v>
      </c>
      <c r="AQ745" s="5" t="s">
        <v>2185</v>
      </c>
      <c r="AR745" s="5" t="s">
        <v>2185</v>
      </c>
      <c r="AS745" s="142"/>
      <c r="AT745" s="142" t="b">
        <v>0</v>
      </c>
      <c r="AU745" s="142"/>
      <c r="AV745" s="142"/>
      <c r="AW745" s="142"/>
      <c r="AX745" s="142"/>
      <c r="AY745" s="142"/>
      <c r="AZ745" s="174"/>
      <c r="BA745" s="142"/>
      <c r="BB745" s="142"/>
      <c r="BC745" s="142"/>
      <c r="BD745" s="142"/>
      <c r="BE745" s="142"/>
      <c r="BF745" s="142"/>
      <c r="BG745" s="142"/>
    </row>
    <row r="746">
      <c r="A746" s="5" t="s">
        <v>2124</v>
      </c>
      <c r="B746" s="44">
        <v>44631.0</v>
      </c>
      <c r="C746" s="150">
        <v>0.3235763888888889</v>
      </c>
      <c r="D746" s="3"/>
      <c r="E746" s="3"/>
      <c r="F746" s="5"/>
      <c r="G746" s="5"/>
      <c r="H746" s="5"/>
      <c r="I746" s="3"/>
      <c r="J746" s="3"/>
      <c r="K746" s="3" t="s">
        <v>244</v>
      </c>
      <c r="L746" s="44">
        <v>44631.0</v>
      </c>
      <c r="M746" s="150">
        <v>0.48608796296296297</v>
      </c>
      <c r="N746" s="5"/>
      <c r="O746" s="5"/>
      <c r="P746" s="10" t="b">
        <v>0</v>
      </c>
      <c r="Q746" s="10" t="s">
        <v>2184</v>
      </c>
      <c r="R746" s="144" t="b">
        <v>1</v>
      </c>
      <c r="S746" s="144">
        <v>1.0</v>
      </c>
      <c r="T746" s="10"/>
      <c r="U746" s="5"/>
      <c r="V746" s="3"/>
      <c r="W746" s="5"/>
      <c r="X746" s="144" t="b">
        <v>0</v>
      </c>
      <c r="Y746" s="10" t="b">
        <v>0</v>
      </c>
      <c r="Z746" s="3"/>
      <c r="AA746" s="10" t="b">
        <v>0</v>
      </c>
      <c r="AB746" s="10" t="b">
        <v>0</v>
      </c>
      <c r="AC746" s="181">
        <v>27.0</v>
      </c>
      <c r="AD746" s="144" t="b">
        <v>0</v>
      </c>
      <c r="AE746" s="182">
        <v>234.01666666666665</v>
      </c>
      <c r="AF746" s="10" t="b">
        <v>0</v>
      </c>
      <c r="AG746" s="10" t="b">
        <v>0</v>
      </c>
      <c r="AH746" s="144"/>
      <c r="AI746" s="3"/>
      <c r="AJ746" s="10"/>
      <c r="AK746" s="3" t="s">
        <v>244</v>
      </c>
      <c r="AL746" s="5"/>
      <c r="AM746" s="5" t="s">
        <v>307</v>
      </c>
      <c r="AN746" s="5" t="s">
        <v>266</v>
      </c>
      <c r="AO746" s="5" t="s">
        <v>2185</v>
      </c>
      <c r="AP746" s="5" t="s">
        <v>2185</v>
      </c>
      <c r="AQ746" s="5" t="s">
        <v>2185</v>
      </c>
      <c r="AR746" s="5" t="s">
        <v>2185</v>
      </c>
      <c r="AS746" s="142"/>
      <c r="AT746" s="142" t="b">
        <v>0</v>
      </c>
      <c r="AU746" s="142"/>
      <c r="AV746" s="142"/>
      <c r="AW746" s="142"/>
      <c r="AX746" s="142"/>
      <c r="AY746" s="142"/>
      <c r="AZ746" s="174"/>
      <c r="BA746" s="142"/>
      <c r="BB746" s="142"/>
      <c r="BC746" s="142"/>
      <c r="BD746" s="142"/>
      <c r="BE746" s="142"/>
      <c r="BF746" s="142"/>
      <c r="BG746" s="142"/>
    </row>
    <row r="747">
      <c r="A747" s="5" t="s">
        <v>2126</v>
      </c>
      <c r="B747" s="44">
        <v>44631.0</v>
      </c>
      <c r="C747" s="150">
        <v>0.32358796296296294</v>
      </c>
      <c r="D747" s="3"/>
      <c r="E747" s="3"/>
      <c r="F747" s="5"/>
      <c r="G747" s="5"/>
      <c r="H747" s="5"/>
      <c r="I747" s="3"/>
      <c r="J747" s="3"/>
      <c r="K747" s="3" t="s">
        <v>244</v>
      </c>
      <c r="L747" s="44">
        <v>44631.0</v>
      </c>
      <c r="M747" s="150">
        <v>0.48608796296296297</v>
      </c>
      <c r="N747" s="5"/>
      <c r="O747" s="5"/>
      <c r="P747" s="10" t="b">
        <v>0</v>
      </c>
      <c r="Q747" s="10" t="s">
        <v>2184</v>
      </c>
      <c r="R747" s="144" t="b">
        <v>1</v>
      </c>
      <c r="S747" s="144">
        <v>1.0</v>
      </c>
      <c r="T747" s="10"/>
      <c r="U747" s="5"/>
      <c r="V747" s="3"/>
      <c r="W747" s="5"/>
      <c r="X747" s="144" t="b">
        <v>0</v>
      </c>
      <c r="Y747" s="10" t="b">
        <v>0</v>
      </c>
      <c r="Z747" s="3"/>
      <c r="AA747" s="10" t="b">
        <v>0</v>
      </c>
      <c r="AB747" s="10" t="b">
        <v>0</v>
      </c>
      <c r="AC747" s="181">
        <v>26.0</v>
      </c>
      <c r="AD747" s="144" t="b">
        <v>0</v>
      </c>
      <c r="AE747" s="182">
        <v>234.00000000000006</v>
      </c>
      <c r="AF747" s="10" t="b">
        <v>0</v>
      </c>
      <c r="AG747" s="10" t="b">
        <v>0</v>
      </c>
      <c r="AH747" s="144"/>
      <c r="AI747" s="3"/>
      <c r="AJ747" s="10"/>
      <c r="AK747" s="3" t="s">
        <v>244</v>
      </c>
      <c r="AL747" s="5"/>
      <c r="AM747" s="5" t="s">
        <v>491</v>
      </c>
      <c r="AN747" s="5" t="s">
        <v>495</v>
      </c>
      <c r="AO747" s="5" t="s">
        <v>2185</v>
      </c>
      <c r="AP747" s="5" t="s">
        <v>2185</v>
      </c>
      <c r="AQ747" s="5" t="s">
        <v>2185</v>
      </c>
      <c r="AR747" s="5" t="s">
        <v>2185</v>
      </c>
      <c r="AS747" s="142"/>
      <c r="AT747" s="142" t="b">
        <v>0</v>
      </c>
      <c r="AU747" s="142"/>
      <c r="AV747" s="142"/>
      <c r="AW747" s="142"/>
      <c r="AX747" s="142"/>
      <c r="AY747" s="142"/>
      <c r="AZ747" s="174"/>
      <c r="BA747" s="142"/>
      <c r="BB747" s="142"/>
      <c r="BC747" s="142"/>
      <c r="BD747" s="142"/>
      <c r="BE747" s="142"/>
      <c r="BF747" s="142"/>
      <c r="BG747" s="142"/>
    </row>
    <row r="748">
      <c r="A748" s="5" t="s">
        <v>2128</v>
      </c>
      <c r="B748" s="44">
        <v>44631.0</v>
      </c>
      <c r="C748" s="150">
        <v>0.32407407407407407</v>
      </c>
      <c r="D748" s="3"/>
      <c r="E748" s="3"/>
      <c r="F748" s="5"/>
      <c r="G748" s="5"/>
      <c r="H748" s="5"/>
      <c r="I748" s="183"/>
      <c r="J748" s="3"/>
      <c r="K748" s="3" t="s">
        <v>244</v>
      </c>
      <c r="L748" s="44">
        <v>44631.0</v>
      </c>
      <c r="M748" s="150">
        <v>0.486099537037037</v>
      </c>
      <c r="N748" s="5" t="s">
        <v>247</v>
      </c>
      <c r="O748" s="5"/>
      <c r="P748" s="10" t="b">
        <v>0</v>
      </c>
      <c r="Q748" s="10" t="s">
        <v>2184</v>
      </c>
      <c r="R748" s="144" t="b">
        <v>1</v>
      </c>
      <c r="S748" s="144">
        <v>1.0</v>
      </c>
      <c r="T748" s="10">
        <v>0.0</v>
      </c>
      <c r="U748" s="5"/>
      <c r="V748" s="3"/>
      <c r="W748" s="5"/>
      <c r="X748" s="144" t="b">
        <v>0</v>
      </c>
      <c r="Y748" s="10" t="b">
        <v>0</v>
      </c>
      <c r="Z748" s="3"/>
      <c r="AA748" s="10" t="b">
        <v>0</v>
      </c>
      <c r="AB748" s="10" t="b">
        <v>0</v>
      </c>
      <c r="AC748" s="181">
        <v>787.0</v>
      </c>
      <c r="AD748" s="144" t="b">
        <v>1</v>
      </c>
      <c r="AE748" s="182">
        <v>233.31666666666663</v>
      </c>
      <c r="AF748" s="10" t="b">
        <v>0</v>
      </c>
      <c r="AG748" s="10" t="b">
        <v>0</v>
      </c>
      <c r="AH748" s="144"/>
      <c r="AI748" s="3"/>
      <c r="AJ748" s="10"/>
      <c r="AK748" s="3" t="s">
        <v>244</v>
      </c>
      <c r="AL748" s="5"/>
      <c r="AM748" s="5" t="s">
        <v>504</v>
      </c>
      <c r="AN748" s="5" t="s">
        <v>505</v>
      </c>
      <c r="AO748" s="5" t="s">
        <v>2185</v>
      </c>
      <c r="AP748" s="5" t="s">
        <v>2185</v>
      </c>
      <c r="AQ748" s="5" t="s">
        <v>2185</v>
      </c>
      <c r="AR748" s="5" t="s">
        <v>2185</v>
      </c>
      <c r="AS748" s="142"/>
      <c r="AT748" s="142" t="b">
        <v>0</v>
      </c>
      <c r="AU748" s="142"/>
      <c r="AV748" s="142"/>
      <c r="AW748" s="142"/>
      <c r="AX748" s="142"/>
      <c r="AY748" s="142"/>
      <c r="AZ748" s="174"/>
      <c r="BA748" s="142"/>
      <c r="BB748" s="142"/>
      <c r="BC748" s="142"/>
      <c r="BD748" s="142"/>
      <c r="BE748" s="142"/>
      <c r="BF748" s="142"/>
      <c r="BG748" s="142"/>
    </row>
    <row r="749">
      <c r="A749" s="5" t="s">
        <v>2130</v>
      </c>
      <c r="B749" s="44">
        <v>44631.0</v>
      </c>
      <c r="C749" s="150">
        <v>0.32710648148148147</v>
      </c>
      <c r="D749" s="3"/>
      <c r="E749" s="3"/>
      <c r="F749" s="5"/>
      <c r="G749" s="5"/>
      <c r="H749" s="5"/>
      <c r="I749" s="3"/>
      <c r="J749" s="3"/>
      <c r="K749" s="3" t="s">
        <v>244</v>
      </c>
      <c r="L749" s="44">
        <v>44631.0</v>
      </c>
      <c r="M749" s="150">
        <v>0.486099537037037</v>
      </c>
      <c r="N749" s="5"/>
      <c r="O749" s="5"/>
      <c r="P749" s="10" t="b">
        <v>0</v>
      </c>
      <c r="Q749" s="10" t="s">
        <v>2184</v>
      </c>
      <c r="R749" s="144" t="b">
        <v>1</v>
      </c>
      <c r="S749" s="144">
        <v>1.0</v>
      </c>
      <c r="T749" s="10"/>
      <c r="U749" s="5"/>
      <c r="V749" s="3"/>
      <c r="W749" s="5"/>
      <c r="X749" s="144" t="b">
        <v>0</v>
      </c>
      <c r="Y749" s="10" t="b">
        <v>0</v>
      </c>
      <c r="Z749" s="3"/>
      <c r="AA749" s="10" t="b">
        <v>0</v>
      </c>
      <c r="AB749" s="10" t="b">
        <v>0</v>
      </c>
      <c r="AC749" s="181">
        <v>25.0</v>
      </c>
      <c r="AD749" s="144" t="b">
        <v>0</v>
      </c>
      <c r="AE749" s="182">
        <v>228.95</v>
      </c>
      <c r="AF749" s="10" t="b">
        <v>0</v>
      </c>
      <c r="AG749" s="10" t="b">
        <v>0</v>
      </c>
      <c r="AH749" s="144"/>
      <c r="AI749" s="3"/>
      <c r="AJ749" s="10"/>
      <c r="AK749" s="3" t="s">
        <v>244</v>
      </c>
      <c r="AL749" s="5"/>
      <c r="AM749" s="5" t="s">
        <v>465</v>
      </c>
      <c r="AN749" s="5" t="s">
        <v>466</v>
      </c>
      <c r="AO749" s="5" t="s">
        <v>2185</v>
      </c>
      <c r="AP749" s="5" t="s">
        <v>2185</v>
      </c>
      <c r="AQ749" s="5" t="s">
        <v>2185</v>
      </c>
      <c r="AR749" s="5" t="s">
        <v>2185</v>
      </c>
      <c r="AS749" s="142"/>
      <c r="AT749" s="142" t="b">
        <v>0</v>
      </c>
      <c r="AU749" s="142"/>
      <c r="AV749" s="142"/>
      <c r="AW749" s="142"/>
      <c r="AX749" s="142"/>
      <c r="AY749" s="142"/>
      <c r="AZ749" s="174"/>
      <c r="BA749" s="142"/>
      <c r="BB749" s="142"/>
      <c r="BC749" s="142"/>
      <c r="BD749" s="142"/>
      <c r="BE749" s="142"/>
      <c r="BF749" s="142"/>
      <c r="BG749" s="142"/>
    </row>
    <row r="750">
      <c r="A750" s="5" t="s">
        <v>2132</v>
      </c>
      <c r="B750" s="44">
        <v>44631.0</v>
      </c>
      <c r="C750" s="150">
        <v>0.3299884259259259</v>
      </c>
      <c r="D750" s="3"/>
      <c r="E750" s="3"/>
      <c r="F750" s="5"/>
      <c r="G750" s="5"/>
      <c r="H750" s="5"/>
      <c r="I750" s="3"/>
      <c r="J750" s="3"/>
      <c r="K750" s="3" t="s">
        <v>244</v>
      </c>
      <c r="L750" s="44">
        <v>44631.0</v>
      </c>
      <c r="M750" s="150">
        <v>0.486099537037037</v>
      </c>
      <c r="N750" s="5"/>
      <c r="O750" s="5"/>
      <c r="P750" s="10" t="b">
        <v>0</v>
      </c>
      <c r="Q750" s="10" t="s">
        <v>2184</v>
      </c>
      <c r="R750" s="144" t="b">
        <v>1</v>
      </c>
      <c r="S750" s="144">
        <v>1.0</v>
      </c>
      <c r="T750" s="10"/>
      <c r="U750" s="5"/>
      <c r="V750" s="3"/>
      <c r="W750" s="5"/>
      <c r="X750" s="144" t="b">
        <v>0</v>
      </c>
      <c r="Y750" s="10" t="b">
        <v>0</v>
      </c>
      <c r="Z750" s="3"/>
      <c r="AA750" s="10" t="b">
        <v>0</v>
      </c>
      <c r="AB750" s="10" t="b">
        <v>0</v>
      </c>
      <c r="AC750" s="181">
        <v>24.0</v>
      </c>
      <c r="AD750" s="144" t="b">
        <v>0</v>
      </c>
      <c r="AE750" s="182">
        <v>224.79999999999995</v>
      </c>
      <c r="AF750" s="10" t="b">
        <v>0</v>
      </c>
      <c r="AG750" s="10" t="b">
        <v>0</v>
      </c>
      <c r="AH750" s="144"/>
      <c r="AI750" s="3"/>
      <c r="AJ750" s="10"/>
      <c r="AK750" s="3" t="s">
        <v>244</v>
      </c>
      <c r="AL750" s="5"/>
      <c r="AM750" s="5" t="s">
        <v>398</v>
      </c>
      <c r="AN750" s="5" t="s">
        <v>399</v>
      </c>
      <c r="AO750" s="5" t="s">
        <v>2185</v>
      </c>
      <c r="AP750" s="5" t="s">
        <v>2185</v>
      </c>
      <c r="AQ750" s="5" t="s">
        <v>2185</v>
      </c>
      <c r="AR750" s="5" t="s">
        <v>2185</v>
      </c>
      <c r="AS750" s="142"/>
      <c r="AT750" s="142" t="b">
        <v>0</v>
      </c>
      <c r="AU750" s="142"/>
      <c r="AV750" s="142"/>
      <c r="AW750" s="142"/>
      <c r="AX750" s="142"/>
      <c r="AY750" s="142"/>
      <c r="AZ750" s="174"/>
      <c r="BA750" s="142"/>
      <c r="BB750" s="142"/>
      <c r="BC750" s="142"/>
      <c r="BD750" s="142"/>
      <c r="BE750" s="142"/>
      <c r="BF750" s="142"/>
      <c r="BG750" s="142"/>
    </row>
    <row r="751">
      <c r="A751" s="5" t="s">
        <v>2134</v>
      </c>
      <c r="B751" s="44">
        <v>44631.0</v>
      </c>
      <c r="C751" s="150">
        <v>0.3314236111111111</v>
      </c>
      <c r="D751" s="3"/>
      <c r="E751" s="3"/>
      <c r="F751" s="5"/>
      <c r="G751" s="5"/>
      <c r="H751" s="5"/>
      <c r="I751" s="3"/>
      <c r="J751" s="3"/>
      <c r="K751" s="3" t="s">
        <v>244</v>
      </c>
      <c r="L751" s="44">
        <v>44631.0</v>
      </c>
      <c r="M751" s="150">
        <v>0.486099537037037</v>
      </c>
      <c r="N751" s="5"/>
      <c r="O751" s="5"/>
      <c r="P751" s="10" t="b">
        <v>0</v>
      </c>
      <c r="Q751" s="10" t="s">
        <v>2184</v>
      </c>
      <c r="R751" s="144" t="b">
        <v>1</v>
      </c>
      <c r="S751" s="144">
        <v>1.0</v>
      </c>
      <c r="T751" s="10"/>
      <c r="U751" s="5"/>
      <c r="V751" s="3"/>
      <c r="W751" s="5"/>
      <c r="X751" s="144" t="b">
        <v>0</v>
      </c>
      <c r="Y751" s="10" t="b">
        <v>0</v>
      </c>
      <c r="Z751" s="3"/>
      <c r="AA751" s="10" t="b">
        <v>0</v>
      </c>
      <c r="AB751" s="10" t="b">
        <v>0</v>
      </c>
      <c r="AC751" s="181">
        <v>23.0</v>
      </c>
      <c r="AD751" s="144" t="b">
        <v>0</v>
      </c>
      <c r="AE751" s="182">
        <v>222.73333333333326</v>
      </c>
      <c r="AF751" s="10" t="b">
        <v>0</v>
      </c>
      <c r="AG751" s="10" t="b">
        <v>0</v>
      </c>
      <c r="AH751" s="144"/>
      <c r="AI751" s="3"/>
      <c r="AJ751" s="10"/>
      <c r="AK751" s="3" t="s">
        <v>244</v>
      </c>
      <c r="AL751" s="5"/>
      <c r="AM751" s="5" t="s">
        <v>1242</v>
      </c>
      <c r="AN751" s="5" t="s">
        <v>1243</v>
      </c>
      <c r="AO751" s="5" t="s">
        <v>2185</v>
      </c>
      <c r="AP751" s="5" t="s">
        <v>2185</v>
      </c>
      <c r="AQ751" s="5" t="s">
        <v>2185</v>
      </c>
      <c r="AR751" s="5" t="s">
        <v>2185</v>
      </c>
      <c r="AS751" s="142"/>
      <c r="AT751" s="142" t="b">
        <v>0</v>
      </c>
      <c r="AU751" s="142"/>
      <c r="AV751" s="142"/>
      <c r="AW751" s="142"/>
      <c r="AX751" s="142"/>
      <c r="AY751" s="142"/>
      <c r="AZ751" s="174"/>
      <c r="BA751" s="142"/>
      <c r="BB751" s="142"/>
      <c r="BC751" s="142"/>
      <c r="BD751" s="142"/>
      <c r="BE751" s="142"/>
      <c r="BF751" s="142"/>
      <c r="BG751" s="142"/>
    </row>
    <row r="752">
      <c r="A752" s="5" t="s">
        <v>2136</v>
      </c>
      <c r="B752" s="44">
        <v>44631.0</v>
      </c>
      <c r="C752" s="150">
        <v>0.3362962962962963</v>
      </c>
      <c r="D752" s="3"/>
      <c r="E752" s="3"/>
      <c r="F752" s="5"/>
      <c r="G752" s="5"/>
      <c r="H752" s="5"/>
      <c r="I752" s="3"/>
      <c r="J752" s="3"/>
      <c r="K752" s="3" t="s">
        <v>244</v>
      </c>
      <c r="L752" s="44">
        <v>44631.0</v>
      </c>
      <c r="M752" s="150">
        <v>0.486099537037037</v>
      </c>
      <c r="N752" s="5"/>
      <c r="O752" s="5"/>
      <c r="P752" s="10" t="b">
        <v>0</v>
      </c>
      <c r="Q752" s="10" t="s">
        <v>2184</v>
      </c>
      <c r="R752" s="144" t="b">
        <v>1</v>
      </c>
      <c r="S752" s="144">
        <v>1.0</v>
      </c>
      <c r="T752" s="10"/>
      <c r="U752" s="5"/>
      <c r="V752" s="3"/>
      <c r="W752" s="5"/>
      <c r="X752" s="144" t="b">
        <v>0</v>
      </c>
      <c r="Y752" s="10" t="b">
        <v>0</v>
      </c>
      <c r="Z752" s="3"/>
      <c r="AA752" s="10" t="b">
        <v>0</v>
      </c>
      <c r="AB752" s="10" t="b">
        <v>0</v>
      </c>
      <c r="AC752" s="181">
        <v>22.0</v>
      </c>
      <c r="AD752" s="144" t="b">
        <v>0</v>
      </c>
      <c r="AE752" s="182">
        <v>215.7166666666666</v>
      </c>
      <c r="AF752" s="10" t="b">
        <v>0</v>
      </c>
      <c r="AG752" s="10" t="b">
        <v>0</v>
      </c>
      <c r="AH752" s="144"/>
      <c r="AI752" s="3"/>
      <c r="AJ752" s="10"/>
      <c r="AK752" s="3" t="s">
        <v>244</v>
      </c>
      <c r="AL752" s="5"/>
      <c r="AM752" s="5" t="s">
        <v>457</v>
      </c>
      <c r="AN752" s="5" t="s">
        <v>458</v>
      </c>
      <c r="AO752" s="5" t="s">
        <v>2185</v>
      </c>
      <c r="AP752" s="5" t="s">
        <v>2185</v>
      </c>
      <c r="AQ752" s="5" t="s">
        <v>2185</v>
      </c>
      <c r="AR752" s="5" t="s">
        <v>2185</v>
      </c>
      <c r="AS752" s="142"/>
      <c r="AT752" s="142" t="b">
        <v>0</v>
      </c>
      <c r="AU752" s="142"/>
      <c r="AV752" s="142"/>
      <c r="AW752" s="142"/>
      <c r="AX752" s="142"/>
      <c r="AY752" s="142"/>
      <c r="AZ752" s="174"/>
      <c r="BA752" s="142"/>
      <c r="BB752" s="142"/>
      <c r="BC752" s="142"/>
      <c r="BD752" s="142"/>
      <c r="BE752" s="142"/>
      <c r="BF752" s="142"/>
      <c r="BG752" s="142"/>
    </row>
    <row r="753">
      <c r="A753" s="5" t="s">
        <v>2138</v>
      </c>
      <c r="B753" s="44">
        <v>44631.0</v>
      </c>
      <c r="C753" s="150">
        <v>0.340625</v>
      </c>
      <c r="D753" s="3"/>
      <c r="E753" s="3"/>
      <c r="F753" s="5"/>
      <c r="G753" s="5"/>
      <c r="H753" s="5"/>
      <c r="I753" s="3"/>
      <c r="J753" s="3"/>
      <c r="K753" s="3" t="s">
        <v>244</v>
      </c>
      <c r="L753" s="44">
        <v>44631.0</v>
      </c>
      <c r="M753" s="150">
        <v>0.486099537037037</v>
      </c>
      <c r="N753" s="5"/>
      <c r="O753" s="5"/>
      <c r="P753" s="10" t="b">
        <v>0</v>
      </c>
      <c r="Q753" s="10" t="s">
        <v>2184</v>
      </c>
      <c r="R753" s="144" t="b">
        <v>1</v>
      </c>
      <c r="S753" s="144">
        <v>1.0</v>
      </c>
      <c r="T753" s="10"/>
      <c r="U753" s="5"/>
      <c r="V753" s="3"/>
      <c r="W753" s="5"/>
      <c r="X753" s="144" t="b">
        <v>0</v>
      </c>
      <c r="Y753" s="10" t="b">
        <v>0</v>
      </c>
      <c r="Z753" s="3"/>
      <c r="AA753" s="10" t="b">
        <v>0</v>
      </c>
      <c r="AB753" s="10" t="b">
        <v>0</v>
      </c>
      <c r="AC753" s="181">
        <v>21.0</v>
      </c>
      <c r="AD753" s="144" t="b">
        <v>0</v>
      </c>
      <c r="AE753" s="182">
        <v>209.4833333333333</v>
      </c>
      <c r="AF753" s="10" t="b">
        <v>0</v>
      </c>
      <c r="AG753" s="10" t="b">
        <v>0</v>
      </c>
      <c r="AH753" s="144"/>
      <c r="AI753" s="3"/>
      <c r="AJ753" s="10"/>
      <c r="AK753" s="3" t="s">
        <v>244</v>
      </c>
      <c r="AL753" s="5"/>
      <c r="AM753" s="5" t="s">
        <v>436</v>
      </c>
      <c r="AN753" s="5" t="s">
        <v>437</v>
      </c>
      <c r="AO753" s="5" t="s">
        <v>2185</v>
      </c>
      <c r="AP753" s="5" t="s">
        <v>2185</v>
      </c>
      <c r="AQ753" s="5" t="s">
        <v>2185</v>
      </c>
      <c r="AR753" s="5" t="s">
        <v>2185</v>
      </c>
      <c r="AS753" s="142"/>
      <c r="AT753" s="142" t="b">
        <v>0</v>
      </c>
      <c r="AU753" s="142"/>
      <c r="AV753" s="142"/>
      <c r="AW753" s="142"/>
      <c r="AX753" s="142"/>
      <c r="AY753" s="142"/>
      <c r="AZ753" s="174"/>
      <c r="BA753" s="142"/>
      <c r="BB753" s="142"/>
      <c r="BC753" s="142"/>
      <c r="BD753" s="142"/>
      <c r="BE753" s="142"/>
      <c r="BF753" s="142"/>
      <c r="BG753" s="142"/>
    </row>
    <row r="754">
      <c r="A754" s="5" t="s">
        <v>2140</v>
      </c>
      <c r="B754" s="44">
        <v>44631.0</v>
      </c>
      <c r="C754" s="150">
        <v>0.34096064814814814</v>
      </c>
      <c r="D754" s="3"/>
      <c r="E754" s="3"/>
      <c r="F754" s="5"/>
      <c r="G754" s="5"/>
      <c r="H754" s="5"/>
      <c r="I754" s="3"/>
      <c r="J754" s="3"/>
      <c r="K754" s="3" t="s">
        <v>244</v>
      </c>
      <c r="L754" s="44">
        <v>44631.0</v>
      </c>
      <c r="M754" s="150">
        <v>0.486099537037037</v>
      </c>
      <c r="N754" s="5"/>
      <c r="O754" s="5"/>
      <c r="P754" s="10" t="b">
        <v>0</v>
      </c>
      <c r="Q754" s="10" t="s">
        <v>2184</v>
      </c>
      <c r="R754" s="144" t="b">
        <v>1</v>
      </c>
      <c r="S754" s="144">
        <v>1.0</v>
      </c>
      <c r="T754" s="10"/>
      <c r="U754" s="5"/>
      <c r="V754" s="3"/>
      <c r="W754" s="5"/>
      <c r="X754" s="144" t="b">
        <v>0</v>
      </c>
      <c r="Y754" s="10" t="b">
        <v>0</v>
      </c>
      <c r="Z754" s="3"/>
      <c r="AA754" s="10" t="b">
        <v>0</v>
      </c>
      <c r="AB754" s="10" t="b">
        <v>0</v>
      </c>
      <c r="AC754" s="181">
        <v>20.0</v>
      </c>
      <c r="AD754" s="144" t="b">
        <v>0</v>
      </c>
      <c r="AE754" s="182">
        <v>208.99999999999997</v>
      </c>
      <c r="AF754" s="10" t="b">
        <v>0</v>
      </c>
      <c r="AG754" s="10" t="b">
        <v>0</v>
      </c>
      <c r="AH754" s="144"/>
      <c r="AI754" s="3"/>
      <c r="AJ754" s="10"/>
      <c r="AK754" s="3" t="s">
        <v>244</v>
      </c>
      <c r="AL754" s="5"/>
      <c r="AM754" s="5" t="s">
        <v>1512</v>
      </c>
      <c r="AN754" s="5" t="s">
        <v>1513</v>
      </c>
      <c r="AO754" s="5" t="s">
        <v>2185</v>
      </c>
      <c r="AP754" s="5" t="s">
        <v>2185</v>
      </c>
      <c r="AQ754" s="5" t="s">
        <v>2185</v>
      </c>
      <c r="AR754" s="5" t="s">
        <v>2185</v>
      </c>
      <c r="AS754" s="142"/>
      <c r="AT754" s="142" t="b">
        <v>0</v>
      </c>
      <c r="AU754" s="142"/>
      <c r="AV754" s="142"/>
      <c r="AW754" s="142"/>
      <c r="AX754" s="142"/>
      <c r="AY754" s="142"/>
      <c r="AZ754" s="174"/>
      <c r="BA754" s="142"/>
      <c r="BB754" s="142"/>
      <c r="BC754" s="142"/>
      <c r="BD754" s="142"/>
      <c r="BE754" s="142"/>
      <c r="BF754" s="142"/>
      <c r="BG754" s="142"/>
    </row>
    <row r="755">
      <c r="A755" s="5" t="s">
        <v>2142</v>
      </c>
      <c r="B755" s="44">
        <v>44631.0</v>
      </c>
      <c r="C755" s="150">
        <v>0.34293981481481484</v>
      </c>
      <c r="D755" s="3"/>
      <c r="E755" s="3"/>
      <c r="F755" s="5"/>
      <c r="G755" s="5"/>
      <c r="H755" s="5"/>
      <c r="I755" s="3"/>
      <c r="J755" s="3"/>
      <c r="K755" s="3" t="s">
        <v>244</v>
      </c>
      <c r="L755" s="44">
        <v>44631.0</v>
      </c>
      <c r="M755" s="150">
        <v>0.486099537037037</v>
      </c>
      <c r="N755" s="5"/>
      <c r="O755" s="5"/>
      <c r="P755" s="10" t="b">
        <v>0</v>
      </c>
      <c r="Q755" s="10" t="s">
        <v>2184</v>
      </c>
      <c r="R755" s="144" t="b">
        <v>1</v>
      </c>
      <c r="S755" s="144">
        <v>1.0</v>
      </c>
      <c r="T755" s="10"/>
      <c r="U755" s="5"/>
      <c r="V755" s="3"/>
      <c r="W755" s="5"/>
      <c r="X755" s="144" t="b">
        <v>0</v>
      </c>
      <c r="Y755" s="10" t="b">
        <v>0</v>
      </c>
      <c r="Z755" s="3"/>
      <c r="AA755" s="10" t="b">
        <v>0</v>
      </c>
      <c r="AB755" s="10" t="b">
        <v>0</v>
      </c>
      <c r="AC755" s="181">
        <v>19.0</v>
      </c>
      <c r="AD755" s="144" t="b">
        <v>0</v>
      </c>
      <c r="AE755" s="182">
        <v>206.14999999999992</v>
      </c>
      <c r="AF755" s="10" t="b">
        <v>0</v>
      </c>
      <c r="AG755" s="10" t="b">
        <v>0</v>
      </c>
      <c r="AH755" s="144"/>
      <c r="AI755" s="3"/>
      <c r="AJ755" s="10"/>
      <c r="AK755" s="3" t="s">
        <v>244</v>
      </c>
      <c r="AL755" s="5"/>
      <c r="AM755" s="5" t="s">
        <v>649</v>
      </c>
      <c r="AN755" s="5" t="s">
        <v>336</v>
      </c>
      <c r="AO755" s="5" t="s">
        <v>2185</v>
      </c>
      <c r="AP755" s="5" t="s">
        <v>2185</v>
      </c>
      <c r="AQ755" s="5" t="s">
        <v>2185</v>
      </c>
      <c r="AR755" s="5" t="s">
        <v>2185</v>
      </c>
      <c r="AS755" s="142"/>
      <c r="AT755" s="142" t="b">
        <v>0</v>
      </c>
      <c r="AU755" s="142"/>
      <c r="AV755" s="142"/>
      <c r="AW755" s="142"/>
      <c r="AX755" s="142"/>
      <c r="AY755" s="142"/>
      <c r="AZ755" s="174"/>
      <c r="BA755" s="142"/>
      <c r="BB755" s="142"/>
      <c r="BC755" s="142"/>
      <c r="BD755" s="142"/>
      <c r="BE755" s="142"/>
      <c r="BF755" s="142"/>
      <c r="BG755" s="142"/>
    </row>
    <row r="756">
      <c r="A756" s="5" t="s">
        <v>2144</v>
      </c>
      <c r="B756" s="44">
        <v>44631.0</v>
      </c>
      <c r="C756" s="150">
        <v>0.34501157407407407</v>
      </c>
      <c r="D756" s="3"/>
      <c r="E756" s="3"/>
      <c r="F756" s="5"/>
      <c r="G756" s="5"/>
      <c r="H756" s="5"/>
      <c r="I756" s="3"/>
      <c r="J756" s="3"/>
      <c r="K756" s="3" t="s">
        <v>244</v>
      </c>
      <c r="L756" s="44">
        <v>44631.0</v>
      </c>
      <c r="M756" s="150">
        <v>0.486099537037037</v>
      </c>
      <c r="N756" s="5"/>
      <c r="O756" s="5"/>
      <c r="P756" s="10" t="b">
        <v>0</v>
      </c>
      <c r="Q756" s="10" t="s">
        <v>2184</v>
      </c>
      <c r="R756" s="144" t="b">
        <v>1</v>
      </c>
      <c r="S756" s="144">
        <v>1.0</v>
      </c>
      <c r="T756" s="10"/>
      <c r="U756" s="5"/>
      <c r="V756" s="3"/>
      <c r="W756" s="5"/>
      <c r="X756" s="144" t="b">
        <v>0</v>
      </c>
      <c r="Y756" s="10" t="b">
        <v>0</v>
      </c>
      <c r="Z756" s="3"/>
      <c r="AA756" s="10" t="b">
        <v>0</v>
      </c>
      <c r="AB756" s="10" t="b">
        <v>0</v>
      </c>
      <c r="AC756" s="181">
        <v>18.0</v>
      </c>
      <c r="AD756" s="144" t="b">
        <v>0</v>
      </c>
      <c r="AE756" s="182">
        <v>203.16666666666663</v>
      </c>
      <c r="AF756" s="10" t="b">
        <v>0</v>
      </c>
      <c r="AG756" s="10" t="b">
        <v>0</v>
      </c>
      <c r="AH756" s="144"/>
      <c r="AI756" s="3"/>
      <c r="AJ756" s="10"/>
      <c r="AK756" s="3" t="s">
        <v>244</v>
      </c>
      <c r="AL756" s="5"/>
      <c r="AM756" s="5" t="s">
        <v>731</v>
      </c>
      <c r="AN756" s="5" t="s">
        <v>732</v>
      </c>
      <c r="AO756" s="5" t="s">
        <v>2185</v>
      </c>
      <c r="AP756" s="5" t="s">
        <v>2185</v>
      </c>
      <c r="AQ756" s="5" t="s">
        <v>2185</v>
      </c>
      <c r="AR756" s="5" t="s">
        <v>2185</v>
      </c>
      <c r="AS756" s="142"/>
      <c r="AT756" s="142" t="b">
        <v>0</v>
      </c>
      <c r="AU756" s="142"/>
      <c r="AV756" s="142"/>
      <c r="AW756" s="142"/>
      <c r="AX756" s="142"/>
      <c r="AY756" s="142"/>
      <c r="AZ756" s="174"/>
      <c r="BA756" s="142"/>
      <c r="BB756" s="142"/>
      <c r="BC756" s="142"/>
      <c r="BD756" s="142"/>
      <c r="BE756" s="142"/>
      <c r="BF756" s="142"/>
      <c r="BG756" s="142"/>
    </row>
    <row r="757">
      <c r="A757" s="5" t="s">
        <v>2146</v>
      </c>
      <c r="B757" s="44">
        <v>44631.0</v>
      </c>
      <c r="C757" s="150">
        <v>0.39895833333333336</v>
      </c>
      <c r="D757" s="3"/>
      <c r="E757" s="3"/>
      <c r="F757" s="5"/>
      <c r="G757" s="5"/>
      <c r="H757" s="5"/>
      <c r="I757" s="183"/>
      <c r="J757" s="3"/>
      <c r="K757" s="3" t="s">
        <v>244</v>
      </c>
      <c r="L757" s="44">
        <v>44631.0</v>
      </c>
      <c r="M757" s="150">
        <v>0.486099537037037</v>
      </c>
      <c r="N757" s="5" t="s">
        <v>247</v>
      </c>
      <c r="O757" s="5"/>
      <c r="P757" s="10" t="b">
        <v>0</v>
      </c>
      <c r="Q757" s="10" t="s">
        <v>2184</v>
      </c>
      <c r="R757" s="144" t="b">
        <v>1</v>
      </c>
      <c r="S757" s="144">
        <v>1.0</v>
      </c>
      <c r="T757" s="10">
        <v>0.0</v>
      </c>
      <c r="U757" s="5"/>
      <c r="V757" s="3"/>
      <c r="W757" s="5"/>
      <c r="X757" s="144" t="b">
        <v>0</v>
      </c>
      <c r="Y757" s="10" t="b">
        <v>0</v>
      </c>
      <c r="Z757" s="3"/>
      <c r="AA757" s="10" t="b">
        <v>0</v>
      </c>
      <c r="AB757" s="10" t="b">
        <v>0</v>
      </c>
      <c r="AC757" s="181">
        <v>789.0</v>
      </c>
      <c r="AD757" s="144" t="b">
        <v>1</v>
      </c>
      <c r="AE757" s="182">
        <v>125.48333333333326</v>
      </c>
      <c r="AF757" s="10" t="b">
        <v>0</v>
      </c>
      <c r="AG757" s="10" t="b">
        <v>0</v>
      </c>
      <c r="AH757" s="144"/>
      <c r="AI757" s="3"/>
      <c r="AJ757" s="10"/>
      <c r="AK757" s="3" t="s">
        <v>244</v>
      </c>
      <c r="AL757" s="5"/>
      <c r="AM757" s="5" t="s">
        <v>500</v>
      </c>
      <c r="AN757" s="5" t="s">
        <v>377</v>
      </c>
      <c r="AO757" s="5" t="s">
        <v>2185</v>
      </c>
      <c r="AP757" s="5" t="s">
        <v>2185</v>
      </c>
      <c r="AQ757" s="5" t="s">
        <v>2185</v>
      </c>
      <c r="AR757" s="5" t="s">
        <v>2185</v>
      </c>
      <c r="AS757" s="142"/>
      <c r="AT757" s="142" t="b">
        <v>0</v>
      </c>
      <c r="AU757" s="142"/>
      <c r="AV757" s="142"/>
      <c r="AW757" s="142"/>
      <c r="AX757" s="142"/>
      <c r="AY757" s="142"/>
      <c r="AZ757" s="174"/>
      <c r="BA757" s="142"/>
      <c r="BB757" s="142"/>
      <c r="BC757" s="142"/>
      <c r="BD757" s="142"/>
      <c r="BE757" s="142"/>
      <c r="BF757" s="142"/>
      <c r="BG757" s="142"/>
    </row>
    <row r="758">
      <c r="A758" s="5" t="s">
        <v>2148</v>
      </c>
      <c r="B758" s="44">
        <v>44631.0</v>
      </c>
      <c r="C758" s="150">
        <v>0.4051388888888889</v>
      </c>
      <c r="D758" s="3"/>
      <c r="E758" s="3"/>
      <c r="F758" s="5"/>
      <c r="G758" s="5"/>
      <c r="H758" s="5"/>
      <c r="I758" s="3"/>
      <c r="J758" s="3"/>
      <c r="K758" s="3" t="s">
        <v>244</v>
      </c>
      <c r="L758" s="44">
        <v>44631.0</v>
      </c>
      <c r="M758" s="150">
        <v>0.486099537037037</v>
      </c>
      <c r="N758" s="5"/>
      <c r="O758" s="5"/>
      <c r="P758" s="10" t="b">
        <v>0</v>
      </c>
      <c r="Q758" s="10" t="s">
        <v>2184</v>
      </c>
      <c r="R758" s="144" t="b">
        <v>1</v>
      </c>
      <c r="S758" s="144">
        <v>1.0</v>
      </c>
      <c r="T758" s="10"/>
      <c r="U758" s="5"/>
      <c r="V758" s="3"/>
      <c r="W758" s="5"/>
      <c r="X758" s="144" t="b">
        <v>0</v>
      </c>
      <c r="Y758" s="10" t="b">
        <v>0</v>
      </c>
      <c r="Z758" s="3"/>
      <c r="AA758" s="10" t="b">
        <v>0</v>
      </c>
      <c r="AB758" s="10" t="b">
        <v>0</v>
      </c>
      <c r="AC758" s="181">
        <v>17.0</v>
      </c>
      <c r="AD758" s="144" t="b">
        <v>0</v>
      </c>
      <c r="AE758" s="182">
        <v>116.5833333333333</v>
      </c>
      <c r="AF758" s="10" t="b">
        <v>0</v>
      </c>
      <c r="AG758" s="10" t="b">
        <v>0</v>
      </c>
      <c r="AH758" s="144"/>
      <c r="AI758" s="3"/>
      <c r="AJ758" s="10"/>
      <c r="AK758" s="3" t="s">
        <v>244</v>
      </c>
      <c r="AL758" s="5"/>
      <c r="AM758" s="5" t="s">
        <v>1286</v>
      </c>
      <c r="AN758" s="5" t="s">
        <v>1287</v>
      </c>
      <c r="AO758" s="5" t="s">
        <v>2185</v>
      </c>
      <c r="AP758" s="5" t="s">
        <v>2185</v>
      </c>
      <c r="AQ758" s="5" t="s">
        <v>2185</v>
      </c>
      <c r="AR758" s="5" t="s">
        <v>2185</v>
      </c>
      <c r="AS758" s="142"/>
      <c r="AT758" s="142" t="b">
        <v>0</v>
      </c>
      <c r="AU758" s="142"/>
      <c r="AV758" s="142"/>
      <c r="AW758" s="142"/>
      <c r="AX758" s="142"/>
      <c r="AY758" s="142"/>
      <c r="AZ758" s="174"/>
      <c r="BA758" s="142"/>
      <c r="BB758" s="142"/>
      <c r="BC758" s="142"/>
      <c r="BD758" s="142"/>
      <c r="BE758" s="142"/>
      <c r="BF758" s="142"/>
      <c r="BG758" s="142"/>
    </row>
    <row r="759">
      <c r="A759" s="5" t="s">
        <v>2164</v>
      </c>
      <c r="B759" s="44">
        <v>44665.0</v>
      </c>
      <c r="C759" s="150">
        <v>0.32200231481481484</v>
      </c>
      <c r="D759" s="3"/>
      <c r="E759" s="3"/>
      <c r="F759" s="5"/>
      <c r="G759" s="5"/>
      <c r="H759" s="5"/>
      <c r="I759" s="3"/>
      <c r="J759" s="3"/>
      <c r="K759" s="3" t="s">
        <v>244</v>
      </c>
      <c r="L759" s="44">
        <v>44665.0</v>
      </c>
      <c r="M759" s="150">
        <v>0.36649305555555556</v>
      </c>
      <c r="N759" s="5"/>
      <c r="O759" s="5"/>
      <c r="P759" s="10" t="b">
        <v>0</v>
      </c>
      <c r="Q759" s="10" t="s">
        <v>2184</v>
      </c>
      <c r="R759" s="144" t="b">
        <v>1</v>
      </c>
      <c r="S759" s="144">
        <v>1.0</v>
      </c>
      <c r="T759" s="10"/>
      <c r="U759" s="5"/>
      <c r="V759" s="3"/>
      <c r="W759" s="5"/>
      <c r="X759" s="144" t="b">
        <v>0</v>
      </c>
      <c r="Y759" s="10" t="b">
        <v>0</v>
      </c>
      <c r="Z759" s="3"/>
      <c r="AA759" s="10" t="b">
        <v>0</v>
      </c>
      <c r="AB759" s="10" t="b">
        <v>0</v>
      </c>
      <c r="AC759" s="181">
        <v>10.0</v>
      </c>
      <c r="AD759" s="144" t="b">
        <v>0</v>
      </c>
      <c r="AE759" s="182">
        <v>64.06666666666663</v>
      </c>
      <c r="AF759" s="10" t="b">
        <v>0</v>
      </c>
      <c r="AG759" s="10" t="b">
        <v>0</v>
      </c>
      <c r="AH759" s="144"/>
      <c r="AI759" s="3"/>
      <c r="AJ759" s="10"/>
      <c r="AK759" s="3" t="s">
        <v>244</v>
      </c>
      <c r="AL759" s="5"/>
      <c r="AM759" s="5" t="s">
        <v>261</v>
      </c>
      <c r="AN759" s="5" t="s">
        <v>886</v>
      </c>
      <c r="AO759" s="5" t="s">
        <v>2185</v>
      </c>
      <c r="AP759" s="5" t="s">
        <v>2185</v>
      </c>
      <c r="AQ759" s="5" t="s">
        <v>2185</v>
      </c>
      <c r="AR759" s="5" t="s">
        <v>2185</v>
      </c>
      <c r="AS759" s="142"/>
      <c r="AT759" s="142" t="b">
        <v>0</v>
      </c>
      <c r="AU759" s="142"/>
      <c r="AV759" s="142"/>
      <c r="AW759" s="142"/>
      <c r="AX759" s="142"/>
      <c r="AY759" s="142"/>
      <c r="AZ759" s="174"/>
      <c r="BA759" s="142"/>
      <c r="BB759" s="142"/>
      <c r="BC759" s="142"/>
      <c r="BD759" s="142"/>
      <c r="BE759" s="142"/>
      <c r="BF759" s="142"/>
      <c r="BG759" s="142"/>
    </row>
    <row r="760">
      <c r="A760" s="5" t="s">
        <v>2166</v>
      </c>
      <c r="B760" s="44">
        <v>44692.0</v>
      </c>
      <c r="C760" s="150">
        <v>0.2778703703703704</v>
      </c>
      <c r="D760" s="3"/>
      <c r="E760" s="3"/>
      <c r="F760" s="5"/>
      <c r="G760" s="5"/>
      <c r="H760" s="5"/>
      <c r="I760" s="3"/>
      <c r="J760" s="3"/>
      <c r="K760" s="3" t="s">
        <v>244</v>
      </c>
      <c r="L760" s="44">
        <v>44692.0</v>
      </c>
      <c r="M760" s="150">
        <v>0.5025115740740741</v>
      </c>
      <c r="N760" s="5"/>
      <c r="O760" s="5"/>
      <c r="P760" s="10" t="b">
        <v>0</v>
      </c>
      <c r="Q760" s="10" t="s">
        <v>2184</v>
      </c>
      <c r="R760" s="144" t="b">
        <v>1</v>
      </c>
      <c r="S760" s="144">
        <v>1.0</v>
      </c>
      <c r="T760" s="10"/>
      <c r="U760" s="5"/>
      <c r="V760" s="3"/>
      <c r="W760" s="5"/>
      <c r="X760" s="144" t="b">
        <v>0</v>
      </c>
      <c r="Y760" s="10" t="b">
        <v>0</v>
      </c>
      <c r="Z760" s="3"/>
      <c r="AA760" s="10" t="b">
        <v>0</v>
      </c>
      <c r="AB760" s="10" t="b">
        <v>0</v>
      </c>
      <c r="AC760" s="181">
        <v>9.0</v>
      </c>
      <c r="AD760" s="144" t="b">
        <v>0</v>
      </c>
      <c r="AE760" s="182">
        <v>323.48333333333335</v>
      </c>
      <c r="AF760" s="10" t="b">
        <v>0</v>
      </c>
      <c r="AG760" s="10" t="b">
        <v>0</v>
      </c>
      <c r="AH760" s="144"/>
      <c r="AI760" s="3"/>
      <c r="AJ760" s="10"/>
      <c r="AK760" s="3" t="s">
        <v>244</v>
      </c>
      <c r="AL760" s="5"/>
      <c r="AM760" s="5" t="s">
        <v>261</v>
      </c>
      <c r="AN760" s="5" t="s">
        <v>262</v>
      </c>
      <c r="AO760" s="5" t="s">
        <v>2185</v>
      </c>
      <c r="AP760" s="5" t="s">
        <v>2185</v>
      </c>
      <c r="AQ760" s="5" t="s">
        <v>2185</v>
      </c>
      <c r="AR760" s="5" t="s">
        <v>2185</v>
      </c>
      <c r="AS760" s="142"/>
      <c r="AT760" s="142" t="b">
        <v>0</v>
      </c>
      <c r="AU760" s="142"/>
      <c r="AV760" s="142"/>
      <c r="AW760" s="142"/>
      <c r="AX760" s="142"/>
      <c r="AY760" s="142"/>
      <c r="AZ760" s="174"/>
      <c r="BA760" s="142"/>
      <c r="BB760" s="142"/>
      <c r="BC760" s="142"/>
      <c r="BD760" s="142"/>
      <c r="BE760" s="142"/>
      <c r="BF760" s="142"/>
      <c r="BG760" s="142"/>
    </row>
    <row r="761">
      <c r="A761" s="5" t="s">
        <v>2168</v>
      </c>
      <c r="B761" s="44">
        <v>44692.0</v>
      </c>
      <c r="C761" s="150">
        <v>0.2784259259259259</v>
      </c>
      <c r="D761" s="3"/>
      <c r="E761" s="3"/>
      <c r="F761" s="5"/>
      <c r="G761" s="5"/>
      <c r="H761" s="5"/>
      <c r="I761" s="3"/>
      <c r="J761" s="3"/>
      <c r="K761" s="3" t="s">
        <v>244</v>
      </c>
      <c r="L761" s="44">
        <v>44692.0</v>
      </c>
      <c r="M761" s="150">
        <v>0.5025115740740741</v>
      </c>
      <c r="N761" s="5"/>
      <c r="O761" s="5"/>
      <c r="P761" s="10" t="b">
        <v>0</v>
      </c>
      <c r="Q761" s="10" t="s">
        <v>2184</v>
      </c>
      <c r="R761" s="144" t="b">
        <v>1</v>
      </c>
      <c r="S761" s="144">
        <v>1.0</v>
      </c>
      <c r="T761" s="10">
        <v>0.0</v>
      </c>
      <c r="U761" s="5"/>
      <c r="V761" s="3"/>
      <c r="W761" s="5"/>
      <c r="X761" s="144" t="b">
        <v>0</v>
      </c>
      <c r="Y761" s="10" t="b">
        <v>0</v>
      </c>
      <c r="Z761" s="3"/>
      <c r="AA761" s="10" t="b">
        <v>0</v>
      </c>
      <c r="AB761" s="10" t="b">
        <v>0</v>
      </c>
      <c r="AC761" s="181">
        <v>8.0</v>
      </c>
      <c r="AD761" s="144" t="b">
        <v>0</v>
      </c>
      <c r="AE761" s="182">
        <v>322.6833333333334</v>
      </c>
      <c r="AF761" s="10" t="b">
        <v>0</v>
      </c>
      <c r="AG761" s="10" t="b">
        <v>0</v>
      </c>
      <c r="AH761" s="144"/>
      <c r="AI761" s="3"/>
      <c r="AJ761" s="10"/>
      <c r="AK761" s="3" t="s">
        <v>244</v>
      </c>
      <c r="AL761" s="5"/>
      <c r="AM761" s="5" t="s">
        <v>261</v>
      </c>
      <c r="AN761" s="5" t="s">
        <v>708</v>
      </c>
      <c r="AO761" s="5" t="s">
        <v>2185</v>
      </c>
      <c r="AP761" s="5" t="s">
        <v>2185</v>
      </c>
      <c r="AQ761" s="5" t="s">
        <v>2185</v>
      </c>
      <c r="AR761" s="5" t="s">
        <v>2185</v>
      </c>
      <c r="AS761" s="142"/>
      <c r="AT761" s="142" t="b">
        <v>0</v>
      </c>
      <c r="AU761" s="142"/>
      <c r="AV761" s="142"/>
      <c r="AW761" s="142"/>
      <c r="AX761" s="142"/>
      <c r="AY761" s="142"/>
      <c r="AZ761" s="174"/>
      <c r="BA761" s="142"/>
      <c r="BB761" s="142"/>
      <c r="BC761" s="142"/>
      <c r="BD761" s="142"/>
      <c r="BE761" s="142"/>
      <c r="BF761" s="142"/>
      <c r="BG761" s="142"/>
    </row>
    <row r="762">
      <c r="A762" s="5" t="s">
        <v>2170</v>
      </c>
      <c r="B762" s="44">
        <v>44692.0</v>
      </c>
      <c r="C762" s="150">
        <v>0.2788773148148148</v>
      </c>
      <c r="D762" s="3"/>
      <c r="E762" s="3"/>
      <c r="F762" s="5"/>
      <c r="G762" s="5"/>
      <c r="H762" s="5"/>
      <c r="I762" s="3"/>
      <c r="J762" s="3"/>
      <c r="K762" s="3" t="s">
        <v>244</v>
      </c>
      <c r="L762" s="44">
        <v>44692.0</v>
      </c>
      <c r="M762" s="150">
        <v>0.5025231481481481</v>
      </c>
      <c r="N762" s="5"/>
      <c r="O762" s="5"/>
      <c r="P762" s="10" t="b">
        <v>0</v>
      </c>
      <c r="Q762" s="10" t="s">
        <v>2184</v>
      </c>
      <c r="R762" s="144" t="b">
        <v>1</v>
      </c>
      <c r="S762" s="144">
        <v>1.0</v>
      </c>
      <c r="T762" s="10">
        <v>0.0</v>
      </c>
      <c r="U762" s="5"/>
      <c r="V762" s="3"/>
      <c r="W762" s="5"/>
      <c r="X762" s="144" t="b">
        <v>0</v>
      </c>
      <c r="Y762" s="10" t="b">
        <v>0</v>
      </c>
      <c r="Z762" s="3"/>
      <c r="AA762" s="10" t="b">
        <v>0</v>
      </c>
      <c r="AB762" s="10" t="b">
        <v>0</v>
      </c>
      <c r="AC762" s="181">
        <v>7.0</v>
      </c>
      <c r="AD762" s="144" t="b">
        <v>0</v>
      </c>
      <c r="AE762" s="182">
        <v>322.04999999999995</v>
      </c>
      <c r="AF762" s="10" t="b">
        <v>0</v>
      </c>
      <c r="AG762" s="10" t="b">
        <v>0</v>
      </c>
      <c r="AH762" s="144"/>
      <c r="AI762" s="3"/>
      <c r="AJ762" s="10"/>
      <c r="AK762" s="3" t="s">
        <v>244</v>
      </c>
      <c r="AL762" s="5"/>
      <c r="AM762" s="5" t="s">
        <v>261</v>
      </c>
      <c r="AN762" s="5" t="s">
        <v>913</v>
      </c>
      <c r="AO762" s="5" t="s">
        <v>2185</v>
      </c>
      <c r="AP762" s="5" t="s">
        <v>2185</v>
      </c>
      <c r="AQ762" s="5" t="s">
        <v>2185</v>
      </c>
      <c r="AR762" s="5" t="s">
        <v>2185</v>
      </c>
      <c r="AS762" s="142"/>
      <c r="AT762" s="142" t="b">
        <v>0</v>
      </c>
      <c r="AU762" s="142"/>
      <c r="AV762" s="142"/>
      <c r="AW762" s="142"/>
      <c r="AX762" s="142"/>
      <c r="AY762" s="142"/>
      <c r="AZ762" s="174"/>
      <c r="BA762" s="142"/>
      <c r="BB762" s="142"/>
      <c r="BC762" s="142"/>
      <c r="BD762" s="142"/>
      <c r="BE762" s="142"/>
      <c r="BF762" s="142"/>
      <c r="BG762" s="142"/>
    </row>
    <row r="763">
      <c r="A763" s="5" t="s">
        <v>2172</v>
      </c>
      <c r="B763" s="44">
        <v>44692.0</v>
      </c>
      <c r="C763" s="150">
        <v>0.2888541666666667</v>
      </c>
      <c r="D763" s="3"/>
      <c r="E763" s="3"/>
      <c r="F763" s="5"/>
      <c r="G763" s="5"/>
      <c r="H763" s="5"/>
      <c r="I763" s="3"/>
      <c r="J763" s="3"/>
      <c r="K763" s="3" t="s">
        <v>244</v>
      </c>
      <c r="L763" s="44">
        <v>44692.0</v>
      </c>
      <c r="M763" s="150">
        <v>0.5025231481481481</v>
      </c>
      <c r="N763" s="5"/>
      <c r="O763" s="5"/>
      <c r="P763" s="10" t="b">
        <v>0</v>
      </c>
      <c r="Q763" s="10" t="s">
        <v>2184</v>
      </c>
      <c r="R763" s="144" t="b">
        <v>1</v>
      </c>
      <c r="S763" s="144">
        <v>1.0</v>
      </c>
      <c r="T763" s="10">
        <v>0.0</v>
      </c>
      <c r="U763" s="5"/>
      <c r="V763" s="3"/>
      <c r="W763" s="5"/>
      <c r="X763" s="144" t="b">
        <v>0</v>
      </c>
      <c r="Y763" s="10" t="b">
        <v>0</v>
      </c>
      <c r="Z763" s="3"/>
      <c r="AA763" s="10" t="b">
        <v>0</v>
      </c>
      <c r="AB763" s="10" t="b">
        <v>0</v>
      </c>
      <c r="AC763" s="181">
        <v>6.0</v>
      </c>
      <c r="AD763" s="144" t="b">
        <v>0</v>
      </c>
      <c r="AE763" s="182">
        <v>307.6833333333333</v>
      </c>
      <c r="AF763" s="10" t="b">
        <v>0</v>
      </c>
      <c r="AG763" s="10" t="b">
        <v>0</v>
      </c>
      <c r="AH763" s="144"/>
      <c r="AI763" s="3"/>
      <c r="AJ763" s="10"/>
      <c r="AK763" s="3" t="s">
        <v>244</v>
      </c>
      <c r="AL763" s="5"/>
      <c r="AM763" s="5" t="s">
        <v>261</v>
      </c>
      <c r="AN763" s="5" t="s">
        <v>926</v>
      </c>
      <c r="AO763" s="5" t="s">
        <v>2185</v>
      </c>
      <c r="AP763" s="5" t="s">
        <v>2185</v>
      </c>
      <c r="AQ763" s="5" t="s">
        <v>2185</v>
      </c>
      <c r="AR763" s="5" t="s">
        <v>2185</v>
      </c>
      <c r="AS763" s="142"/>
      <c r="AT763" s="142" t="b">
        <v>0</v>
      </c>
      <c r="AU763" s="142"/>
      <c r="AV763" s="142"/>
      <c r="AW763" s="142"/>
      <c r="AX763" s="142"/>
      <c r="AY763" s="142"/>
      <c r="AZ763" s="174"/>
      <c r="BA763" s="142"/>
      <c r="BB763" s="142"/>
      <c r="BC763" s="142"/>
      <c r="BD763" s="142"/>
      <c r="BE763" s="142"/>
      <c r="BF763" s="142"/>
      <c r="BG763" s="142"/>
    </row>
    <row r="764">
      <c r="A764" s="5" t="s">
        <v>2174</v>
      </c>
      <c r="B764" s="44">
        <v>44692.0</v>
      </c>
      <c r="C764" s="150">
        <v>0.29189814814814813</v>
      </c>
      <c r="D764" s="3"/>
      <c r="E764" s="3"/>
      <c r="F764" s="5"/>
      <c r="G764" s="5"/>
      <c r="H764" s="5"/>
      <c r="I764" s="3"/>
      <c r="J764" s="3"/>
      <c r="K764" s="3" t="s">
        <v>244</v>
      </c>
      <c r="L764" s="44">
        <v>44692.0</v>
      </c>
      <c r="M764" s="150">
        <v>0.5025231481481481</v>
      </c>
      <c r="N764" s="5"/>
      <c r="O764" s="5"/>
      <c r="P764" s="10" t="b">
        <v>0</v>
      </c>
      <c r="Q764" s="10" t="s">
        <v>2184</v>
      </c>
      <c r="R764" s="144" t="b">
        <v>1</v>
      </c>
      <c r="S764" s="144">
        <v>1.0</v>
      </c>
      <c r="T764" s="10">
        <v>0.0</v>
      </c>
      <c r="U764" s="5"/>
      <c r="V764" s="3"/>
      <c r="W764" s="5"/>
      <c r="X764" s="144" t="b">
        <v>0</v>
      </c>
      <c r="Y764" s="10" t="b">
        <v>0</v>
      </c>
      <c r="Z764" s="3"/>
      <c r="AA764" s="10" t="b">
        <v>0</v>
      </c>
      <c r="AB764" s="10" t="b">
        <v>0</v>
      </c>
      <c r="AC764" s="181">
        <v>5.0</v>
      </c>
      <c r="AD764" s="144" t="b">
        <v>0</v>
      </c>
      <c r="AE764" s="182">
        <v>303.29999999999995</v>
      </c>
      <c r="AF764" s="10" t="b">
        <v>0</v>
      </c>
      <c r="AG764" s="10" t="b">
        <v>0</v>
      </c>
      <c r="AH764" s="144"/>
      <c r="AI764" s="3"/>
      <c r="AJ764" s="10"/>
      <c r="AK764" s="3" t="s">
        <v>244</v>
      </c>
      <c r="AL764" s="5"/>
      <c r="AM764" s="5" t="s">
        <v>261</v>
      </c>
      <c r="AN764" s="5" t="s">
        <v>923</v>
      </c>
      <c r="AO764" s="5" t="s">
        <v>2185</v>
      </c>
      <c r="AP764" s="5" t="s">
        <v>2185</v>
      </c>
      <c r="AQ764" s="5" t="s">
        <v>2185</v>
      </c>
      <c r="AR764" s="5" t="s">
        <v>2185</v>
      </c>
      <c r="AS764" s="142"/>
      <c r="AT764" s="142" t="b">
        <v>0</v>
      </c>
      <c r="AU764" s="142"/>
      <c r="AV764" s="142"/>
      <c r="AW764" s="142"/>
      <c r="AX764" s="142"/>
      <c r="AY764" s="142"/>
      <c r="AZ764" s="174"/>
      <c r="BA764" s="142"/>
      <c r="BB764" s="142"/>
      <c r="BC764" s="142"/>
      <c r="BD764" s="142"/>
      <c r="BE764" s="142"/>
      <c r="BF764" s="142"/>
      <c r="BG764" s="142"/>
    </row>
    <row r="765">
      <c r="A765" s="5" t="s">
        <v>2175</v>
      </c>
      <c r="B765" s="44">
        <v>44692.0</v>
      </c>
      <c r="C765" s="150">
        <v>0.30863425925925925</v>
      </c>
      <c r="D765" s="3"/>
      <c r="E765" s="3"/>
      <c r="F765" s="5"/>
      <c r="G765" s="5"/>
      <c r="H765" s="5"/>
      <c r="I765" s="3"/>
      <c r="J765" s="3"/>
      <c r="K765" s="3" t="s">
        <v>244</v>
      </c>
      <c r="L765" s="44">
        <v>44692.0</v>
      </c>
      <c r="M765" s="150">
        <v>0.5025231481481481</v>
      </c>
      <c r="N765" s="5"/>
      <c r="O765" s="5"/>
      <c r="P765" s="10" t="b">
        <v>0</v>
      </c>
      <c r="Q765" s="10" t="s">
        <v>2184</v>
      </c>
      <c r="R765" s="144" t="b">
        <v>1</v>
      </c>
      <c r="S765" s="144">
        <v>1.0</v>
      </c>
      <c r="T765" s="10">
        <v>0.0</v>
      </c>
      <c r="U765" s="5"/>
      <c r="V765" s="3"/>
      <c r="W765" s="5"/>
      <c r="X765" s="144" t="b">
        <v>0</v>
      </c>
      <c r="Y765" s="10" t="b">
        <v>0</v>
      </c>
      <c r="Z765" s="3"/>
      <c r="AA765" s="10" t="b">
        <v>0</v>
      </c>
      <c r="AB765" s="10" t="b">
        <v>0</v>
      </c>
      <c r="AC765" s="181">
        <v>4.0</v>
      </c>
      <c r="AD765" s="144" t="b">
        <v>0</v>
      </c>
      <c r="AE765" s="182">
        <v>279.2</v>
      </c>
      <c r="AF765" s="10" t="b">
        <v>0</v>
      </c>
      <c r="AG765" s="10" t="b">
        <v>0</v>
      </c>
      <c r="AH765" s="144"/>
      <c r="AI765" s="3"/>
      <c r="AJ765" s="10"/>
      <c r="AK765" s="3" t="s">
        <v>244</v>
      </c>
      <c r="AL765" s="5"/>
      <c r="AM765" s="5" t="s">
        <v>261</v>
      </c>
      <c r="AN765" s="5" t="s">
        <v>2176</v>
      </c>
      <c r="AO765" s="5" t="s">
        <v>2185</v>
      </c>
      <c r="AP765" s="5" t="s">
        <v>2185</v>
      </c>
      <c r="AQ765" s="5" t="s">
        <v>2185</v>
      </c>
      <c r="AR765" s="5" t="s">
        <v>2185</v>
      </c>
      <c r="AS765" s="142"/>
      <c r="AT765" s="142" t="b">
        <v>0</v>
      </c>
      <c r="AU765" s="142"/>
      <c r="AV765" s="142"/>
      <c r="AW765" s="142"/>
      <c r="AX765" s="142"/>
      <c r="AY765" s="142"/>
      <c r="AZ765" s="174"/>
      <c r="BA765" s="142"/>
      <c r="BB765" s="142"/>
      <c r="BC765" s="142"/>
      <c r="BD765" s="142"/>
      <c r="BE765" s="142"/>
      <c r="BF765" s="142"/>
      <c r="BG765" s="142"/>
    </row>
    <row r="766">
      <c r="A766" s="5" t="s">
        <v>2177</v>
      </c>
      <c r="B766" s="44">
        <v>44692.0</v>
      </c>
      <c r="C766" s="150">
        <v>0.30903935185185183</v>
      </c>
      <c r="D766" s="3"/>
      <c r="E766" s="3"/>
      <c r="F766" s="5"/>
      <c r="G766" s="5"/>
      <c r="H766" s="5"/>
      <c r="I766" s="3"/>
      <c r="J766" s="3"/>
      <c r="K766" s="3" t="s">
        <v>244</v>
      </c>
      <c r="L766" s="44">
        <v>44692.0</v>
      </c>
      <c r="M766" s="150">
        <v>0.5025231481481481</v>
      </c>
      <c r="N766" s="5"/>
      <c r="O766" s="5"/>
      <c r="P766" s="10" t="b">
        <v>0</v>
      </c>
      <c r="Q766" s="10" t="s">
        <v>2184</v>
      </c>
      <c r="R766" s="144" t="b">
        <v>1</v>
      </c>
      <c r="S766" s="144">
        <v>1.0</v>
      </c>
      <c r="T766" s="10">
        <v>0.0</v>
      </c>
      <c r="U766" s="5"/>
      <c r="V766" s="3"/>
      <c r="W766" s="5"/>
      <c r="X766" s="144" t="b">
        <v>0</v>
      </c>
      <c r="Y766" s="10" t="b">
        <v>0</v>
      </c>
      <c r="Z766" s="3"/>
      <c r="AA766" s="10" t="b">
        <v>0</v>
      </c>
      <c r="AB766" s="10" t="b">
        <v>0</v>
      </c>
      <c r="AC766" s="181">
        <v>3.0</v>
      </c>
      <c r="AD766" s="144" t="b">
        <v>0</v>
      </c>
      <c r="AE766" s="182">
        <v>278.6166666666667</v>
      </c>
      <c r="AF766" s="10" t="b">
        <v>0</v>
      </c>
      <c r="AG766" s="10" t="b">
        <v>0</v>
      </c>
      <c r="AH766" s="144"/>
      <c r="AI766" s="3"/>
      <c r="AJ766" s="10"/>
      <c r="AK766" s="3" t="s">
        <v>244</v>
      </c>
      <c r="AL766" s="5"/>
      <c r="AM766" s="5" t="s">
        <v>261</v>
      </c>
      <c r="AN766" s="5" t="s">
        <v>2178</v>
      </c>
      <c r="AO766" s="5" t="s">
        <v>2185</v>
      </c>
      <c r="AP766" s="5" t="s">
        <v>2185</v>
      </c>
      <c r="AQ766" s="5" t="s">
        <v>2185</v>
      </c>
      <c r="AR766" s="5" t="s">
        <v>2185</v>
      </c>
      <c r="AS766" s="142"/>
      <c r="AT766" s="142" t="b">
        <v>0</v>
      </c>
      <c r="AU766" s="142"/>
      <c r="AV766" s="142"/>
      <c r="AW766" s="142"/>
      <c r="AX766" s="142"/>
      <c r="AY766" s="142"/>
      <c r="AZ766" s="174"/>
      <c r="BA766" s="142"/>
      <c r="BB766" s="142"/>
      <c r="BC766" s="142"/>
      <c r="BD766" s="142"/>
      <c r="BE766" s="142"/>
      <c r="BF766" s="142"/>
      <c r="BG766" s="142"/>
    </row>
    <row r="767">
      <c r="A767" s="5" t="s">
        <v>2179</v>
      </c>
      <c r="B767" s="44">
        <v>44692.0</v>
      </c>
      <c r="C767" s="150">
        <v>0.3093634259259259</v>
      </c>
      <c r="D767" s="3"/>
      <c r="E767" s="3"/>
      <c r="F767" s="5"/>
      <c r="G767" s="5"/>
      <c r="H767" s="5"/>
      <c r="I767" s="3"/>
      <c r="J767" s="3"/>
      <c r="K767" s="3" t="s">
        <v>244</v>
      </c>
      <c r="L767" s="44">
        <v>44692.0</v>
      </c>
      <c r="M767" s="150">
        <v>0.5025231481481481</v>
      </c>
      <c r="N767" s="5"/>
      <c r="O767" s="5"/>
      <c r="P767" s="10" t="b">
        <v>0</v>
      </c>
      <c r="Q767" s="10" t="s">
        <v>2184</v>
      </c>
      <c r="R767" s="144" t="b">
        <v>1</v>
      </c>
      <c r="S767" s="144">
        <v>1.0</v>
      </c>
      <c r="T767" s="10">
        <v>0.0</v>
      </c>
      <c r="U767" s="5"/>
      <c r="V767" s="3"/>
      <c r="W767" s="5"/>
      <c r="X767" s="144" t="b">
        <v>0</v>
      </c>
      <c r="Y767" s="10" t="b">
        <v>0</v>
      </c>
      <c r="Z767" s="3"/>
      <c r="AA767" s="10" t="b">
        <v>0</v>
      </c>
      <c r="AB767" s="10" t="b">
        <v>0</v>
      </c>
      <c r="AC767" s="181">
        <v>2.0</v>
      </c>
      <c r="AD767" s="144" t="b">
        <v>0</v>
      </c>
      <c r="AE767" s="182">
        <v>278.15</v>
      </c>
      <c r="AF767" s="10" t="b">
        <v>0</v>
      </c>
      <c r="AG767" s="10" t="b">
        <v>0</v>
      </c>
      <c r="AH767" s="144"/>
      <c r="AI767" s="3"/>
      <c r="AJ767" s="10"/>
      <c r="AK767" s="3" t="s">
        <v>244</v>
      </c>
      <c r="AL767" s="5"/>
      <c r="AM767" s="5" t="s">
        <v>261</v>
      </c>
      <c r="AN767" s="5" t="s">
        <v>2180</v>
      </c>
      <c r="AO767" s="5" t="s">
        <v>2185</v>
      </c>
      <c r="AP767" s="5" t="s">
        <v>2185</v>
      </c>
      <c r="AQ767" s="5" t="s">
        <v>2185</v>
      </c>
      <c r="AR767" s="5" t="s">
        <v>2185</v>
      </c>
      <c r="AS767" s="142"/>
      <c r="AT767" s="142" t="b">
        <v>0</v>
      </c>
      <c r="AU767" s="142"/>
      <c r="AV767" s="142"/>
      <c r="AW767" s="142"/>
      <c r="AX767" s="142"/>
      <c r="AY767" s="142"/>
      <c r="AZ767" s="174"/>
      <c r="BA767" s="142"/>
      <c r="BB767" s="142"/>
      <c r="BC767" s="142"/>
      <c r="BD767" s="142"/>
      <c r="BE767" s="142"/>
      <c r="BF767" s="142"/>
      <c r="BG767" s="142"/>
    </row>
    <row r="768">
      <c r="A768" s="5" t="s">
        <v>2181</v>
      </c>
      <c r="B768" s="44">
        <v>44692.0</v>
      </c>
      <c r="C768" s="150">
        <v>0.34565972222222224</v>
      </c>
      <c r="D768" s="3"/>
      <c r="E768" s="3"/>
      <c r="F768" s="5"/>
      <c r="G768" s="5"/>
      <c r="H768" s="5"/>
      <c r="I768" s="3"/>
      <c r="J768" s="3"/>
      <c r="K768" s="3" t="s">
        <v>244</v>
      </c>
      <c r="L768" s="44">
        <v>44692.0</v>
      </c>
      <c r="M768" s="150">
        <v>0.5025231481481481</v>
      </c>
      <c r="N768" s="5"/>
      <c r="O768" s="5"/>
      <c r="P768" s="10" t="b">
        <v>0</v>
      </c>
      <c r="Q768" s="10" t="s">
        <v>2184</v>
      </c>
      <c r="R768" s="144" t="b">
        <v>1</v>
      </c>
      <c r="S768" s="144">
        <v>1.0</v>
      </c>
      <c r="T768" s="10"/>
      <c r="U768" s="5"/>
      <c r="V768" s="3"/>
      <c r="W768" s="5"/>
      <c r="X768" s="144" t="b">
        <v>0</v>
      </c>
      <c r="Y768" s="10" t="b">
        <v>0</v>
      </c>
      <c r="Z768" s="3"/>
      <c r="AA768" s="10" t="b">
        <v>0</v>
      </c>
      <c r="AB768" s="10" t="b">
        <v>0</v>
      </c>
      <c r="AC768" s="181">
        <v>1.0</v>
      </c>
      <c r="AD768" s="144" t="b">
        <v>0</v>
      </c>
      <c r="AE768" s="182">
        <v>225.8833333333333</v>
      </c>
      <c r="AF768" s="10" t="b">
        <v>0</v>
      </c>
      <c r="AG768" s="10" t="b">
        <v>0</v>
      </c>
      <c r="AH768" s="144"/>
      <c r="AI768" s="3"/>
      <c r="AJ768" s="10"/>
      <c r="AK768" s="3" t="s">
        <v>244</v>
      </c>
      <c r="AL768" s="5"/>
      <c r="AM768" s="5" t="s">
        <v>881</v>
      </c>
      <c r="AN768" s="5" t="s">
        <v>655</v>
      </c>
      <c r="AO768" s="5" t="s">
        <v>2185</v>
      </c>
      <c r="AP768" s="5" t="s">
        <v>2185</v>
      </c>
      <c r="AQ768" s="5" t="s">
        <v>2185</v>
      </c>
      <c r="AR768" s="5" t="s">
        <v>2185</v>
      </c>
      <c r="AS768" s="142"/>
      <c r="AT768" s="142" t="b">
        <v>0</v>
      </c>
      <c r="AU768" s="142"/>
      <c r="AV768" s="142"/>
      <c r="AW768" s="142"/>
      <c r="AX768" s="142"/>
      <c r="AY768" s="142"/>
      <c r="AZ768" s="174"/>
      <c r="BA768" s="142"/>
      <c r="BB768" s="142"/>
      <c r="BC768" s="142"/>
      <c r="BD768" s="142"/>
      <c r="BE768" s="142"/>
      <c r="BF768" s="142"/>
      <c r="BG768" s="142"/>
    </row>
    <row r="769">
      <c r="A769" s="5"/>
      <c r="B769" s="44"/>
      <c r="C769" s="150"/>
      <c r="D769" s="3"/>
      <c r="E769" s="3"/>
      <c r="F769" s="5"/>
      <c r="G769" s="5"/>
      <c r="H769" s="5"/>
      <c r="I769" s="3"/>
      <c r="J769" s="3"/>
      <c r="K769" s="3"/>
      <c r="L769" s="44"/>
      <c r="M769" s="150"/>
      <c r="N769" s="5"/>
      <c r="O769" s="5"/>
      <c r="P769" s="10"/>
      <c r="Q769" s="10"/>
      <c r="R769" s="144"/>
      <c r="S769" s="144"/>
      <c r="T769" s="10"/>
      <c r="U769" s="5"/>
      <c r="V769" s="3"/>
      <c r="W769" s="5"/>
      <c r="X769" s="144"/>
      <c r="Y769" s="10"/>
      <c r="Z769" s="3"/>
      <c r="AA769" s="10"/>
      <c r="AB769" s="10"/>
      <c r="AC769" s="181"/>
      <c r="AD769" s="144"/>
      <c r="AE769" s="182"/>
      <c r="AF769" s="10"/>
      <c r="AG769" s="10"/>
      <c r="AH769" s="144"/>
      <c r="AI769" s="3"/>
      <c r="AJ769" s="10"/>
      <c r="AK769" s="3"/>
      <c r="AL769" s="5"/>
      <c r="AM769" s="5"/>
      <c r="AN769" s="5"/>
      <c r="AO769" s="5"/>
      <c r="AP769" s="5"/>
      <c r="AQ769" s="5"/>
      <c r="AR769" s="5"/>
      <c r="AS769" s="142"/>
      <c r="AT769" s="142"/>
      <c r="AU769" s="142"/>
      <c r="AV769" s="142"/>
      <c r="AW769" s="142"/>
      <c r="AX769" s="142"/>
      <c r="AY769" s="142"/>
      <c r="AZ769" s="174"/>
      <c r="BA769" s="142"/>
      <c r="BB769" s="142"/>
      <c r="BC769" s="142"/>
      <c r="BD769" s="142"/>
      <c r="BE769" s="142"/>
      <c r="BF769" s="142"/>
      <c r="BG769" s="142"/>
    </row>
    <row r="770">
      <c r="A770" s="5"/>
      <c r="B770" s="44"/>
      <c r="C770" s="150"/>
      <c r="D770" s="3"/>
      <c r="E770" s="3"/>
      <c r="F770" s="5"/>
      <c r="G770" s="5"/>
      <c r="H770" s="5"/>
      <c r="I770" s="3"/>
      <c r="J770" s="3"/>
      <c r="K770" s="3"/>
      <c r="L770" s="44"/>
      <c r="M770" s="150"/>
      <c r="N770" s="5"/>
      <c r="O770" s="5"/>
      <c r="P770" s="10"/>
      <c r="Q770" s="10"/>
      <c r="R770" s="144"/>
      <c r="S770" s="144"/>
      <c r="T770" s="10"/>
      <c r="U770" s="5"/>
      <c r="V770" s="3"/>
      <c r="W770" s="5"/>
      <c r="X770" s="144"/>
      <c r="Y770" s="10"/>
      <c r="Z770" s="3"/>
      <c r="AA770" s="10"/>
      <c r="AB770" s="10"/>
      <c r="AC770" s="181"/>
      <c r="AD770" s="144"/>
      <c r="AE770" s="182"/>
      <c r="AF770" s="10"/>
      <c r="AG770" s="10"/>
      <c r="AH770" s="144"/>
      <c r="AI770" s="3"/>
      <c r="AJ770" s="10"/>
      <c r="AK770" s="3"/>
      <c r="AL770" s="5"/>
      <c r="AM770" s="5"/>
      <c r="AN770" s="5"/>
      <c r="AO770" s="5"/>
      <c r="AP770" s="5"/>
      <c r="AQ770" s="5"/>
      <c r="AR770" s="5"/>
      <c r="AS770" s="142"/>
      <c r="AT770" s="142"/>
      <c r="AU770" s="142"/>
      <c r="AV770" s="142"/>
      <c r="AW770" s="142"/>
      <c r="AX770" s="142"/>
      <c r="AY770" s="142"/>
      <c r="AZ770" s="174"/>
      <c r="BA770" s="142"/>
      <c r="BB770" s="142"/>
      <c r="BC770" s="142"/>
      <c r="BD770" s="142"/>
      <c r="BE770" s="142"/>
      <c r="BF770" s="142"/>
      <c r="BG770" s="142"/>
    </row>
    <row r="771">
      <c r="A771" s="5"/>
      <c r="B771" s="44"/>
      <c r="C771" s="150"/>
      <c r="D771" s="3"/>
      <c r="E771" s="3"/>
      <c r="F771" s="5"/>
      <c r="G771" s="5"/>
      <c r="H771" s="5"/>
      <c r="I771" s="3"/>
      <c r="J771" s="3"/>
      <c r="K771" s="3"/>
      <c r="L771" s="44"/>
      <c r="M771" s="150"/>
      <c r="N771" s="5"/>
      <c r="O771" s="5"/>
      <c r="P771" s="10"/>
      <c r="Q771" s="10"/>
      <c r="R771" s="144"/>
      <c r="S771" s="144"/>
      <c r="T771" s="10"/>
      <c r="U771" s="5"/>
      <c r="V771" s="3"/>
      <c r="W771" s="5"/>
      <c r="X771" s="144"/>
      <c r="Y771" s="10"/>
      <c r="Z771" s="3"/>
      <c r="AA771" s="10"/>
      <c r="AB771" s="10"/>
      <c r="AC771" s="181"/>
      <c r="AD771" s="144"/>
      <c r="AE771" s="182"/>
      <c r="AF771" s="10"/>
      <c r="AG771" s="10"/>
      <c r="AH771" s="144"/>
      <c r="AI771" s="3"/>
      <c r="AJ771" s="10"/>
      <c r="AK771" s="3"/>
      <c r="AL771" s="5"/>
      <c r="AM771" s="5"/>
      <c r="AN771" s="5"/>
      <c r="AO771" s="5"/>
      <c r="AP771" s="5"/>
      <c r="AQ771" s="5"/>
      <c r="AR771" s="5"/>
      <c r="AS771" s="142"/>
      <c r="AT771" s="142"/>
      <c r="AU771" s="142"/>
      <c r="AV771" s="142"/>
      <c r="AW771" s="142"/>
      <c r="AX771" s="142"/>
      <c r="AY771" s="142"/>
      <c r="AZ771" s="174"/>
      <c r="BA771" s="142"/>
      <c r="BB771" s="142"/>
      <c r="BC771" s="142"/>
      <c r="BD771" s="142"/>
      <c r="BE771" s="142"/>
      <c r="BF771" s="142"/>
      <c r="BG771" s="142"/>
    </row>
    <row r="772">
      <c r="A772" s="5"/>
      <c r="B772" s="44"/>
      <c r="C772" s="150"/>
      <c r="D772" s="3"/>
      <c r="E772" s="3"/>
      <c r="F772" s="5"/>
      <c r="G772" s="5"/>
      <c r="H772" s="5"/>
      <c r="I772" s="3"/>
      <c r="J772" s="3"/>
      <c r="K772" s="3"/>
      <c r="L772" s="44"/>
      <c r="M772" s="150"/>
      <c r="N772" s="5"/>
      <c r="O772" s="5"/>
      <c r="P772" s="10"/>
      <c r="Q772" s="10"/>
      <c r="R772" s="144"/>
      <c r="S772" s="144"/>
      <c r="T772" s="10"/>
      <c r="U772" s="5"/>
      <c r="V772" s="3"/>
      <c r="W772" s="5"/>
      <c r="X772" s="144"/>
      <c r="Y772" s="10"/>
      <c r="Z772" s="3"/>
      <c r="AA772" s="10"/>
      <c r="AB772" s="10"/>
      <c r="AC772" s="181"/>
      <c r="AD772" s="144"/>
      <c r="AE772" s="182"/>
      <c r="AF772" s="10"/>
      <c r="AG772" s="10"/>
      <c r="AH772" s="144"/>
      <c r="AI772" s="3"/>
      <c r="AJ772" s="10"/>
      <c r="AK772" s="3"/>
      <c r="AL772" s="5"/>
      <c r="AM772" s="5"/>
      <c r="AN772" s="5"/>
      <c r="AO772" s="5"/>
      <c r="AP772" s="5"/>
      <c r="AQ772" s="5"/>
      <c r="AR772" s="5"/>
      <c r="AS772" s="142"/>
      <c r="AT772" s="142"/>
      <c r="AU772" s="142"/>
      <c r="AV772" s="142"/>
      <c r="AW772" s="142"/>
      <c r="AX772" s="142"/>
      <c r="AY772" s="142"/>
      <c r="AZ772" s="174"/>
      <c r="BA772" s="142"/>
      <c r="BB772" s="142"/>
      <c r="BC772" s="142"/>
      <c r="BD772" s="142"/>
      <c r="BE772" s="142"/>
      <c r="BF772" s="142"/>
      <c r="BG772" s="142"/>
    </row>
    <row r="773">
      <c r="A773" s="5"/>
      <c r="B773" s="44"/>
      <c r="C773" s="150"/>
      <c r="D773" s="3"/>
      <c r="E773" s="3"/>
      <c r="F773" s="5"/>
      <c r="G773" s="5"/>
      <c r="H773" s="5"/>
      <c r="I773" s="3"/>
      <c r="J773" s="3"/>
      <c r="K773" s="3"/>
      <c r="L773" s="44"/>
      <c r="M773" s="150"/>
      <c r="N773" s="5"/>
      <c r="O773" s="5"/>
      <c r="P773" s="10"/>
      <c r="Q773" s="10"/>
      <c r="R773" s="144"/>
      <c r="S773" s="144"/>
      <c r="T773" s="10"/>
      <c r="U773" s="5"/>
      <c r="V773" s="3"/>
      <c r="W773" s="5"/>
      <c r="X773" s="144"/>
      <c r="Y773" s="10"/>
      <c r="Z773" s="3"/>
      <c r="AA773" s="10"/>
      <c r="AB773" s="10"/>
      <c r="AC773" s="181"/>
      <c r="AD773" s="144"/>
      <c r="AE773" s="182"/>
      <c r="AF773" s="10"/>
      <c r="AG773" s="10"/>
      <c r="AH773" s="144"/>
      <c r="AI773" s="3"/>
      <c r="AJ773" s="10"/>
      <c r="AK773" s="3"/>
      <c r="AL773" s="5"/>
      <c r="AM773" s="5"/>
      <c r="AN773" s="5"/>
      <c r="AO773" s="5"/>
      <c r="AP773" s="5"/>
      <c r="AQ773" s="5"/>
      <c r="AR773" s="5"/>
      <c r="AS773" s="142"/>
      <c r="AT773" s="142"/>
      <c r="AU773" s="142"/>
      <c r="AV773" s="142"/>
      <c r="AW773" s="142"/>
      <c r="AX773" s="142"/>
      <c r="AY773" s="142"/>
      <c r="AZ773" s="174"/>
      <c r="BA773" s="142"/>
      <c r="BB773" s="142"/>
      <c r="BC773" s="142"/>
      <c r="BD773" s="142"/>
      <c r="BE773" s="142"/>
      <c r="BF773" s="142"/>
      <c r="BG773" s="142"/>
    </row>
    <row r="774">
      <c r="A774" s="5"/>
      <c r="B774" s="44"/>
      <c r="C774" s="150"/>
      <c r="D774" s="3"/>
      <c r="E774" s="3"/>
      <c r="F774" s="5"/>
      <c r="G774" s="5"/>
      <c r="H774" s="5"/>
      <c r="I774" s="3"/>
      <c r="J774" s="3"/>
      <c r="K774" s="3"/>
      <c r="L774" s="44"/>
      <c r="M774" s="150"/>
      <c r="N774" s="5"/>
      <c r="O774" s="5"/>
      <c r="P774" s="10"/>
      <c r="Q774" s="10"/>
      <c r="R774" s="144"/>
      <c r="S774" s="144"/>
      <c r="T774" s="10"/>
      <c r="U774" s="5"/>
      <c r="V774" s="3"/>
      <c r="W774" s="5"/>
      <c r="X774" s="144"/>
      <c r="Y774" s="10"/>
      <c r="Z774" s="3"/>
      <c r="AA774" s="10"/>
      <c r="AB774" s="10"/>
      <c r="AC774" s="181"/>
      <c r="AD774" s="144"/>
      <c r="AE774" s="182"/>
      <c r="AF774" s="10"/>
      <c r="AG774" s="10"/>
      <c r="AH774" s="144"/>
      <c r="AI774" s="3"/>
      <c r="AJ774" s="10"/>
      <c r="AK774" s="3"/>
      <c r="AL774" s="5"/>
      <c r="AM774" s="5"/>
      <c r="AN774" s="5"/>
      <c r="AO774" s="5"/>
      <c r="AP774" s="5"/>
      <c r="AQ774" s="5"/>
      <c r="AR774" s="5"/>
      <c r="AS774" s="142"/>
      <c r="AT774" s="142"/>
      <c r="AU774" s="142"/>
      <c r="AV774" s="142"/>
      <c r="AW774" s="142"/>
      <c r="AX774" s="142"/>
      <c r="AY774" s="142"/>
      <c r="AZ774" s="174"/>
      <c r="BA774" s="142"/>
      <c r="BB774" s="142"/>
      <c r="BC774" s="142"/>
      <c r="BD774" s="142"/>
      <c r="BE774" s="142"/>
      <c r="BF774" s="142"/>
      <c r="BG774" s="142"/>
    </row>
    <row r="775">
      <c r="A775" s="5"/>
      <c r="B775" s="44"/>
      <c r="C775" s="150"/>
      <c r="D775" s="3"/>
      <c r="E775" s="3"/>
      <c r="F775" s="5"/>
      <c r="G775" s="5"/>
      <c r="H775" s="5"/>
      <c r="I775" s="3"/>
      <c r="J775" s="3"/>
      <c r="K775" s="3"/>
      <c r="L775" s="44"/>
      <c r="M775" s="150"/>
      <c r="N775" s="5"/>
      <c r="O775" s="5"/>
      <c r="P775" s="10"/>
      <c r="Q775" s="10"/>
      <c r="R775" s="144"/>
      <c r="S775" s="144"/>
      <c r="T775" s="10"/>
      <c r="U775" s="5"/>
      <c r="V775" s="3"/>
      <c r="W775" s="5"/>
      <c r="X775" s="144"/>
      <c r="Y775" s="10"/>
      <c r="Z775" s="3"/>
      <c r="AA775" s="10"/>
      <c r="AB775" s="10"/>
      <c r="AC775" s="181"/>
      <c r="AD775" s="144"/>
      <c r="AE775" s="182"/>
      <c r="AF775" s="10"/>
      <c r="AG775" s="10"/>
      <c r="AH775" s="144"/>
      <c r="AI775" s="3"/>
      <c r="AJ775" s="10"/>
      <c r="AK775" s="3"/>
      <c r="AL775" s="5"/>
      <c r="AM775" s="5"/>
      <c r="AN775" s="5"/>
      <c r="AO775" s="5"/>
      <c r="AP775" s="5"/>
      <c r="AQ775" s="5"/>
      <c r="AR775" s="5"/>
      <c r="AS775" s="142"/>
      <c r="AT775" s="142"/>
      <c r="AU775" s="142"/>
      <c r="AV775" s="142"/>
      <c r="AW775" s="142"/>
      <c r="AX775" s="142"/>
      <c r="AY775" s="142"/>
      <c r="AZ775" s="174"/>
      <c r="BA775" s="142"/>
      <c r="BB775" s="142"/>
      <c r="BC775" s="142"/>
      <c r="BD775" s="142"/>
      <c r="BE775" s="142"/>
      <c r="BF775" s="142"/>
      <c r="BG775" s="142"/>
    </row>
    <row r="776">
      <c r="A776" s="5"/>
      <c r="B776" s="44"/>
      <c r="C776" s="150"/>
      <c r="D776" s="3"/>
      <c r="E776" s="3"/>
      <c r="F776" s="5"/>
      <c r="G776" s="5"/>
      <c r="H776" s="5"/>
      <c r="I776" s="3"/>
      <c r="J776" s="3"/>
      <c r="K776" s="3"/>
      <c r="L776" s="44"/>
      <c r="M776" s="150"/>
      <c r="N776" s="5"/>
      <c r="O776" s="5"/>
      <c r="P776" s="10"/>
      <c r="Q776" s="10"/>
      <c r="R776" s="144"/>
      <c r="S776" s="144"/>
      <c r="T776" s="10"/>
      <c r="U776" s="5"/>
      <c r="V776" s="3"/>
      <c r="W776" s="5"/>
      <c r="X776" s="144"/>
      <c r="Y776" s="10"/>
      <c r="Z776" s="3"/>
      <c r="AA776" s="10"/>
      <c r="AB776" s="10"/>
      <c r="AC776" s="181"/>
      <c r="AD776" s="144"/>
      <c r="AE776" s="182"/>
      <c r="AF776" s="10"/>
      <c r="AG776" s="10"/>
      <c r="AH776" s="144"/>
      <c r="AI776" s="3"/>
      <c r="AJ776" s="10"/>
      <c r="AK776" s="3"/>
      <c r="AL776" s="5"/>
      <c r="AM776" s="5"/>
      <c r="AN776" s="5"/>
      <c r="AO776" s="5"/>
      <c r="AP776" s="5"/>
      <c r="AQ776" s="5"/>
      <c r="AR776" s="5"/>
      <c r="AS776" s="142"/>
      <c r="AT776" s="142"/>
      <c r="AU776" s="142"/>
      <c r="AV776" s="142"/>
      <c r="AW776" s="142"/>
      <c r="AX776" s="142"/>
      <c r="AY776" s="142"/>
      <c r="AZ776" s="174"/>
      <c r="BA776" s="142"/>
      <c r="BB776" s="142"/>
      <c r="BC776" s="142"/>
      <c r="BD776" s="142"/>
      <c r="BE776" s="142"/>
      <c r="BF776" s="142"/>
      <c r="BG776" s="142"/>
    </row>
    <row r="777">
      <c r="A777" s="5"/>
      <c r="B777" s="44"/>
      <c r="C777" s="150"/>
      <c r="D777" s="3"/>
      <c r="E777" s="3"/>
      <c r="F777" s="5"/>
      <c r="G777" s="5"/>
      <c r="H777" s="5"/>
      <c r="I777" s="3"/>
      <c r="J777" s="3"/>
      <c r="K777" s="3"/>
      <c r="L777" s="44"/>
      <c r="M777" s="150"/>
      <c r="N777" s="5"/>
      <c r="O777" s="5"/>
      <c r="P777" s="10"/>
      <c r="Q777" s="10"/>
      <c r="R777" s="144"/>
      <c r="S777" s="144"/>
      <c r="T777" s="10"/>
      <c r="U777" s="5"/>
      <c r="V777" s="3"/>
      <c r="W777" s="5"/>
      <c r="X777" s="144"/>
      <c r="Y777" s="10"/>
      <c r="Z777" s="3"/>
      <c r="AA777" s="10"/>
      <c r="AB777" s="10"/>
      <c r="AC777" s="181"/>
      <c r="AD777" s="144"/>
      <c r="AE777" s="182"/>
      <c r="AF777" s="10"/>
      <c r="AG777" s="10"/>
      <c r="AH777" s="144"/>
      <c r="AI777" s="3"/>
      <c r="AJ777" s="10"/>
      <c r="AK777" s="3"/>
      <c r="AL777" s="5"/>
      <c r="AM777" s="5"/>
      <c r="AN777" s="5"/>
      <c r="AO777" s="5"/>
      <c r="AP777" s="5"/>
      <c r="AQ777" s="5"/>
      <c r="AR777" s="5"/>
      <c r="AS777" s="142"/>
      <c r="AT777" s="142"/>
      <c r="AU777" s="142"/>
      <c r="AV777" s="142"/>
      <c r="AW777" s="142"/>
      <c r="AX777" s="142"/>
      <c r="AY777" s="142"/>
      <c r="AZ777" s="174"/>
      <c r="BA777" s="142"/>
      <c r="BB777" s="142"/>
      <c r="BC777" s="142"/>
      <c r="BD777" s="142"/>
      <c r="BE777" s="142"/>
      <c r="BF777" s="142"/>
      <c r="BG777" s="142"/>
    </row>
    <row r="778">
      <c r="A778" s="5"/>
      <c r="B778" s="44"/>
      <c r="C778" s="150"/>
      <c r="D778" s="3"/>
      <c r="E778" s="3"/>
      <c r="F778" s="5"/>
      <c r="G778" s="5"/>
      <c r="H778" s="5"/>
      <c r="I778" s="3"/>
      <c r="J778" s="3"/>
      <c r="K778" s="3"/>
      <c r="L778" s="44"/>
      <c r="M778" s="150"/>
      <c r="N778" s="5"/>
      <c r="O778" s="5"/>
      <c r="P778" s="10"/>
      <c r="Q778" s="10"/>
      <c r="R778" s="144"/>
      <c r="S778" s="144"/>
      <c r="T778" s="10"/>
      <c r="U778" s="5"/>
      <c r="V778" s="3"/>
      <c r="W778" s="5"/>
      <c r="X778" s="144"/>
      <c r="Y778" s="10"/>
      <c r="Z778" s="3"/>
      <c r="AA778" s="10"/>
      <c r="AB778" s="10"/>
      <c r="AC778" s="181"/>
      <c r="AD778" s="144"/>
      <c r="AE778" s="182"/>
      <c r="AF778" s="10"/>
      <c r="AG778" s="10"/>
      <c r="AH778" s="144"/>
      <c r="AI778" s="3"/>
      <c r="AJ778" s="10"/>
      <c r="AK778" s="3"/>
      <c r="AL778" s="5"/>
      <c r="AM778" s="5"/>
      <c r="AN778" s="5"/>
      <c r="AO778" s="5"/>
      <c r="AP778" s="5"/>
      <c r="AQ778" s="5"/>
      <c r="AR778" s="5"/>
      <c r="AS778" s="142"/>
      <c r="AT778" s="142"/>
      <c r="AU778" s="142"/>
      <c r="AV778" s="142"/>
      <c r="AW778" s="142"/>
      <c r="AX778" s="142"/>
      <c r="AY778" s="142"/>
      <c r="AZ778" s="174"/>
      <c r="BA778" s="142"/>
      <c r="BB778" s="142"/>
      <c r="BC778" s="142"/>
      <c r="BD778" s="142"/>
      <c r="BE778" s="142"/>
      <c r="BF778" s="142"/>
      <c r="BG778" s="142"/>
    </row>
    <row r="779">
      <c r="A779" s="5"/>
      <c r="B779" s="44"/>
      <c r="C779" s="150"/>
      <c r="D779" s="3"/>
      <c r="E779" s="3"/>
      <c r="F779" s="5"/>
      <c r="G779" s="5"/>
      <c r="H779" s="5"/>
      <c r="I779" s="3"/>
      <c r="J779" s="3"/>
      <c r="K779" s="3"/>
      <c r="L779" s="44"/>
      <c r="M779" s="150"/>
      <c r="N779" s="5"/>
      <c r="O779" s="5"/>
      <c r="P779" s="10"/>
      <c r="Q779" s="10"/>
      <c r="R779" s="144"/>
      <c r="S779" s="144"/>
      <c r="T779" s="10"/>
      <c r="U779" s="5"/>
      <c r="V779" s="3"/>
      <c r="W779" s="5"/>
      <c r="X779" s="144"/>
      <c r="Y779" s="10"/>
      <c r="Z779" s="3"/>
      <c r="AA779" s="10"/>
      <c r="AB779" s="10"/>
      <c r="AC779" s="181"/>
      <c r="AD779" s="144"/>
      <c r="AE779" s="182"/>
      <c r="AF779" s="10"/>
      <c r="AG779" s="10"/>
      <c r="AH779" s="144"/>
      <c r="AI779" s="3"/>
      <c r="AJ779" s="10"/>
      <c r="AK779" s="3"/>
      <c r="AL779" s="5"/>
      <c r="AM779" s="5"/>
      <c r="AN779" s="5"/>
      <c r="AO779" s="5"/>
      <c r="AP779" s="5"/>
      <c r="AQ779" s="5"/>
      <c r="AR779" s="5"/>
      <c r="AS779" s="142"/>
      <c r="AT779" s="142"/>
      <c r="AU779" s="142"/>
      <c r="AV779" s="142"/>
      <c r="AW779" s="142"/>
      <c r="AX779" s="142"/>
      <c r="AY779" s="142"/>
      <c r="AZ779" s="174"/>
      <c r="BA779" s="142"/>
      <c r="BB779" s="142"/>
      <c r="BC779" s="142"/>
      <c r="BD779" s="142"/>
      <c r="BE779" s="142"/>
      <c r="BF779" s="142"/>
      <c r="BG779" s="142"/>
    </row>
    <row r="780">
      <c r="A780" s="5"/>
      <c r="B780" s="44"/>
      <c r="C780" s="150"/>
      <c r="D780" s="3"/>
      <c r="E780" s="3"/>
      <c r="F780" s="5"/>
      <c r="G780" s="5"/>
      <c r="H780" s="5"/>
      <c r="I780" s="3"/>
      <c r="J780" s="3"/>
      <c r="K780" s="3"/>
      <c r="L780" s="44"/>
      <c r="M780" s="150"/>
      <c r="N780" s="5"/>
      <c r="O780" s="5"/>
      <c r="P780" s="10"/>
      <c r="Q780" s="10"/>
      <c r="R780" s="144"/>
      <c r="S780" s="144"/>
      <c r="T780" s="10"/>
      <c r="U780" s="5"/>
      <c r="V780" s="3"/>
      <c r="W780" s="5"/>
      <c r="X780" s="144"/>
      <c r="Y780" s="10"/>
      <c r="Z780" s="3"/>
      <c r="AA780" s="10"/>
      <c r="AB780" s="10"/>
      <c r="AC780" s="181"/>
      <c r="AD780" s="144"/>
      <c r="AE780" s="182"/>
      <c r="AF780" s="10"/>
      <c r="AG780" s="10"/>
      <c r="AH780" s="144"/>
      <c r="AI780" s="3"/>
      <c r="AJ780" s="10"/>
      <c r="AK780" s="3"/>
      <c r="AL780" s="5"/>
      <c r="AM780" s="5"/>
      <c r="AN780" s="5"/>
      <c r="AO780" s="5"/>
      <c r="AP780" s="5"/>
      <c r="AQ780" s="5"/>
      <c r="AR780" s="5"/>
      <c r="AS780" s="142"/>
      <c r="AT780" s="142"/>
      <c r="AU780" s="142"/>
      <c r="AV780" s="142"/>
      <c r="AW780" s="142"/>
      <c r="AX780" s="142"/>
      <c r="AY780" s="142"/>
      <c r="AZ780" s="174"/>
      <c r="BA780" s="142"/>
      <c r="BB780" s="142"/>
      <c r="BC780" s="142"/>
      <c r="BD780" s="142"/>
      <c r="BE780" s="142"/>
      <c r="BF780" s="142"/>
      <c r="BG780" s="142"/>
    </row>
    <row r="781">
      <c r="A781" s="5"/>
      <c r="B781" s="44"/>
      <c r="C781" s="150"/>
      <c r="D781" s="3"/>
      <c r="E781" s="3"/>
      <c r="F781" s="5"/>
      <c r="G781" s="5"/>
      <c r="H781" s="5"/>
      <c r="I781" s="3"/>
      <c r="J781" s="3"/>
      <c r="K781" s="3"/>
      <c r="L781" s="44"/>
      <c r="M781" s="150"/>
      <c r="N781" s="5"/>
      <c r="O781" s="5"/>
      <c r="P781" s="10"/>
      <c r="Q781" s="10"/>
      <c r="R781" s="144"/>
      <c r="S781" s="144"/>
      <c r="T781" s="10"/>
      <c r="U781" s="5"/>
      <c r="V781" s="3"/>
      <c r="W781" s="5"/>
      <c r="X781" s="144"/>
      <c r="Y781" s="10"/>
      <c r="Z781" s="3"/>
      <c r="AA781" s="10"/>
      <c r="AB781" s="10"/>
      <c r="AC781" s="181"/>
      <c r="AD781" s="144"/>
      <c r="AE781" s="182"/>
      <c r="AF781" s="10"/>
      <c r="AG781" s="10"/>
      <c r="AH781" s="144"/>
      <c r="AI781" s="3"/>
      <c r="AJ781" s="10"/>
      <c r="AK781" s="3"/>
      <c r="AL781" s="5"/>
      <c r="AM781" s="5"/>
      <c r="AN781" s="5"/>
      <c r="AO781" s="5"/>
      <c r="AP781" s="5"/>
      <c r="AQ781" s="5"/>
      <c r="AR781" s="5"/>
      <c r="AS781" s="142"/>
      <c r="AT781" s="142"/>
      <c r="AU781" s="142"/>
      <c r="AV781" s="142"/>
      <c r="AW781" s="142"/>
      <c r="AX781" s="142"/>
      <c r="AY781" s="142"/>
      <c r="AZ781" s="174"/>
      <c r="BA781" s="142"/>
      <c r="BB781" s="142"/>
      <c r="BC781" s="142"/>
      <c r="BD781" s="142"/>
      <c r="BE781" s="142"/>
      <c r="BF781" s="142"/>
      <c r="BG781" s="142"/>
    </row>
    <row r="782">
      <c r="A782" s="5"/>
      <c r="B782" s="44"/>
      <c r="C782" s="150"/>
      <c r="D782" s="3"/>
      <c r="E782" s="3"/>
      <c r="F782" s="5"/>
      <c r="G782" s="5"/>
      <c r="H782" s="5"/>
      <c r="I782" s="3"/>
      <c r="J782" s="3"/>
      <c r="K782" s="3"/>
      <c r="L782" s="44"/>
      <c r="M782" s="150"/>
      <c r="N782" s="5"/>
      <c r="O782" s="5"/>
      <c r="P782" s="10"/>
      <c r="Q782" s="10"/>
      <c r="R782" s="144"/>
      <c r="S782" s="144"/>
      <c r="T782" s="10"/>
      <c r="U782" s="5"/>
      <c r="V782" s="3"/>
      <c r="W782" s="5"/>
      <c r="X782" s="144"/>
      <c r="Y782" s="10"/>
      <c r="Z782" s="3"/>
      <c r="AA782" s="10"/>
      <c r="AB782" s="10"/>
      <c r="AC782" s="181"/>
      <c r="AD782" s="144"/>
      <c r="AE782" s="182"/>
      <c r="AF782" s="10"/>
      <c r="AG782" s="10"/>
      <c r="AH782" s="144"/>
      <c r="AI782" s="3"/>
      <c r="AJ782" s="10"/>
      <c r="AK782" s="3"/>
      <c r="AL782" s="5"/>
      <c r="AM782" s="5"/>
      <c r="AN782" s="5"/>
      <c r="AO782" s="5"/>
      <c r="AP782" s="5"/>
      <c r="AQ782" s="5"/>
      <c r="AR782" s="5"/>
      <c r="AS782" s="142"/>
      <c r="AT782" s="142"/>
      <c r="AU782" s="142"/>
      <c r="AV782" s="142"/>
      <c r="AW782" s="142"/>
      <c r="AX782" s="142"/>
      <c r="AY782" s="142"/>
      <c r="AZ782" s="174"/>
      <c r="BA782" s="142"/>
      <c r="BB782" s="142"/>
      <c r="BC782" s="142"/>
      <c r="BD782" s="142"/>
      <c r="BE782" s="142"/>
      <c r="BF782" s="142"/>
      <c r="BG782" s="142"/>
    </row>
    <row r="783">
      <c r="A783" s="5"/>
      <c r="B783" s="44"/>
      <c r="C783" s="150"/>
      <c r="D783" s="3"/>
      <c r="E783" s="3"/>
      <c r="F783" s="5"/>
      <c r="G783" s="5"/>
      <c r="H783" s="5"/>
      <c r="I783" s="3"/>
      <c r="J783" s="3"/>
      <c r="K783" s="3"/>
      <c r="L783" s="44"/>
      <c r="M783" s="150"/>
      <c r="N783" s="5"/>
      <c r="O783" s="5"/>
      <c r="P783" s="10"/>
      <c r="Q783" s="10"/>
      <c r="R783" s="144"/>
      <c r="S783" s="144"/>
      <c r="T783" s="10"/>
      <c r="U783" s="5"/>
      <c r="V783" s="3"/>
      <c r="W783" s="5"/>
      <c r="X783" s="144"/>
      <c r="Y783" s="10"/>
      <c r="Z783" s="3"/>
      <c r="AA783" s="10"/>
      <c r="AB783" s="10"/>
      <c r="AC783" s="181"/>
      <c r="AD783" s="144"/>
      <c r="AE783" s="182"/>
      <c r="AF783" s="10"/>
      <c r="AG783" s="10"/>
      <c r="AH783" s="144"/>
      <c r="AI783" s="3"/>
      <c r="AJ783" s="10"/>
      <c r="AK783" s="3"/>
      <c r="AL783" s="5"/>
      <c r="AM783" s="5"/>
      <c r="AN783" s="5"/>
      <c r="AO783" s="5"/>
      <c r="AP783" s="5"/>
      <c r="AQ783" s="5"/>
      <c r="AR783" s="5"/>
      <c r="AS783" s="142"/>
      <c r="AT783" s="142"/>
      <c r="AU783" s="142"/>
      <c r="AV783" s="142"/>
      <c r="AW783" s="142"/>
      <c r="AX783" s="142"/>
      <c r="AY783" s="142"/>
      <c r="AZ783" s="174"/>
      <c r="BA783" s="142"/>
      <c r="BB783" s="142"/>
      <c r="BC783" s="142"/>
      <c r="BD783" s="142"/>
      <c r="BE783" s="142"/>
      <c r="BF783" s="142"/>
      <c r="BG783" s="142"/>
    </row>
    <row r="784">
      <c r="A784" s="5"/>
      <c r="B784" s="44"/>
      <c r="C784" s="150"/>
      <c r="D784" s="3"/>
      <c r="E784" s="3"/>
      <c r="F784" s="5"/>
      <c r="G784" s="5"/>
      <c r="H784" s="5"/>
      <c r="I784" s="3"/>
      <c r="J784" s="3"/>
      <c r="K784" s="3"/>
      <c r="L784" s="44"/>
      <c r="M784" s="150"/>
      <c r="N784" s="5"/>
      <c r="O784" s="5"/>
      <c r="P784" s="10"/>
      <c r="Q784" s="10"/>
      <c r="R784" s="144"/>
      <c r="S784" s="144"/>
      <c r="T784" s="10"/>
      <c r="U784" s="5"/>
      <c r="V784" s="3"/>
      <c r="W784" s="5"/>
      <c r="X784" s="144"/>
      <c r="Y784" s="10"/>
      <c r="Z784" s="3"/>
      <c r="AA784" s="10"/>
      <c r="AB784" s="10"/>
      <c r="AC784" s="181"/>
      <c r="AD784" s="144"/>
      <c r="AE784" s="182"/>
      <c r="AF784" s="10"/>
      <c r="AG784" s="10"/>
      <c r="AH784" s="144"/>
      <c r="AI784" s="3"/>
      <c r="AJ784" s="10"/>
      <c r="AK784" s="3"/>
      <c r="AL784" s="5"/>
      <c r="AM784" s="5"/>
      <c r="AN784" s="5"/>
      <c r="AO784" s="5"/>
      <c r="AP784" s="5"/>
      <c r="AQ784" s="5"/>
      <c r="AR784" s="5"/>
      <c r="AS784" s="142"/>
      <c r="AT784" s="142"/>
      <c r="AU784" s="142"/>
      <c r="AV784" s="142"/>
      <c r="AW784" s="142"/>
      <c r="AX784" s="142"/>
      <c r="AY784" s="142"/>
      <c r="AZ784" s="174"/>
      <c r="BA784" s="142"/>
      <c r="BB784" s="142"/>
      <c r="BC784" s="142"/>
      <c r="BD784" s="142"/>
      <c r="BE784" s="142"/>
      <c r="BF784" s="142"/>
      <c r="BG784" s="142"/>
    </row>
    <row r="785">
      <c r="A785" s="5"/>
      <c r="B785" s="44"/>
      <c r="C785" s="150"/>
      <c r="D785" s="3"/>
      <c r="E785" s="3"/>
      <c r="F785" s="5"/>
      <c r="G785" s="5"/>
      <c r="H785" s="5"/>
      <c r="I785" s="3"/>
      <c r="J785" s="3"/>
      <c r="K785" s="3"/>
      <c r="L785" s="44"/>
      <c r="M785" s="150"/>
      <c r="N785" s="5"/>
      <c r="O785" s="5"/>
      <c r="P785" s="10"/>
      <c r="Q785" s="10"/>
      <c r="R785" s="144"/>
      <c r="S785" s="144"/>
      <c r="T785" s="10"/>
      <c r="U785" s="5"/>
      <c r="V785" s="3"/>
      <c r="W785" s="5"/>
      <c r="X785" s="144"/>
      <c r="Y785" s="10"/>
      <c r="Z785" s="3"/>
      <c r="AA785" s="10"/>
      <c r="AB785" s="10"/>
      <c r="AC785" s="181"/>
      <c r="AD785" s="144"/>
      <c r="AE785" s="182"/>
      <c r="AF785" s="10"/>
      <c r="AG785" s="10"/>
      <c r="AH785" s="144"/>
      <c r="AI785" s="3"/>
      <c r="AJ785" s="10"/>
      <c r="AK785" s="3"/>
      <c r="AL785" s="5"/>
      <c r="AM785" s="5"/>
      <c r="AN785" s="5"/>
      <c r="AO785" s="5"/>
      <c r="AP785" s="5"/>
      <c r="AQ785" s="5"/>
      <c r="AR785" s="5"/>
      <c r="AS785" s="142"/>
      <c r="AT785" s="142"/>
      <c r="AU785" s="142"/>
      <c r="AV785" s="142"/>
      <c r="AW785" s="142"/>
      <c r="AX785" s="142"/>
      <c r="AY785" s="142"/>
      <c r="AZ785" s="174"/>
      <c r="BA785" s="142"/>
      <c r="BB785" s="142"/>
      <c r="BC785" s="142"/>
      <c r="BD785" s="142"/>
      <c r="BE785" s="142"/>
      <c r="BF785" s="142"/>
      <c r="BG785" s="142"/>
    </row>
    <row r="786">
      <c r="A786" s="5"/>
      <c r="B786" s="44"/>
      <c r="C786" s="150"/>
      <c r="D786" s="3"/>
      <c r="E786" s="3"/>
      <c r="F786" s="5"/>
      <c r="G786" s="5"/>
      <c r="H786" s="5"/>
      <c r="I786" s="3"/>
      <c r="J786" s="3"/>
      <c r="K786" s="3"/>
      <c r="L786" s="44"/>
      <c r="M786" s="150"/>
      <c r="N786" s="5"/>
      <c r="O786" s="5"/>
      <c r="P786" s="10"/>
      <c r="Q786" s="10"/>
      <c r="R786" s="144"/>
      <c r="S786" s="144"/>
      <c r="T786" s="10"/>
      <c r="U786" s="5"/>
      <c r="V786" s="3"/>
      <c r="W786" s="5"/>
      <c r="X786" s="144"/>
      <c r="Y786" s="10"/>
      <c r="Z786" s="3"/>
      <c r="AA786" s="10"/>
      <c r="AB786" s="10"/>
      <c r="AC786" s="181"/>
      <c r="AD786" s="144"/>
      <c r="AE786" s="182"/>
      <c r="AF786" s="10"/>
      <c r="AG786" s="10"/>
      <c r="AH786" s="144"/>
      <c r="AI786" s="3"/>
      <c r="AJ786" s="10"/>
      <c r="AK786" s="3"/>
      <c r="AL786" s="5"/>
      <c r="AM786" s="5"/>
      <c r="AN786" s="5"/>
      <c r="AO786" s="5"/>
      <c r="AP786" s="5"/>
      <c r="AQ786" s="5"/>
      <c r="AR786" s="5"/>
      <c r="AS786" s="142"/>
      <c r="AT786" s="142"/>
      <c r="AU786" s="142"/>
      <c r="AV786" s="142"/>
      <c r="AW786" s="142"/>
      <c r="AX786" s="142"/>
      <c r="AY786" s="142"/>
      <c r="AZ786" s="174"/>
      <c r="BA786" s="142"/>
      <c r="BB786" s="142"/>
      <c r="BC786" s="142"/>
      <c r="BD786" s="142"/>
      <c r="BE786" s="142"/>
      <c r="BF786" s="142"/>
      <c r="BG786" s="142"/>
    </row>
    <row r="787">
      <c r="A787" s="5"/>
      <c r="B787" s="44"/>
      <c r="C787" s="150"/>
      <c r="D787" s="3"/>
      <c r="E787" s="3"/>
      <c r="F787" s="5"/>
      <c r="G787" s="5"/>
      <c r="H787" s="5"/>
      <c r="I787" s="3"/>
      <c r="J787" s="3"/>
      <c r="K787" s="3"/>
      <c r="L787" s="44"/>
      <c r="M787" s="150"/>
      <c r="N787" s="5"/>
      <c r="O787" s="5"/>
      <c r="P787" s="10"/>
      <c r="Q787" s="10"/>
      <c r="R787" s="144"/>
      <c r="S787" s="144"/>
      <c r="T787" s="10"/>
      <c r="U787" s="5"/>
      <c r="V787" s="3"/>
      <c r="W787" s="5"/>
      <c r="X787" s="144"/>
      <c r="Y787" s="10"/>
      <c r="Z787" s="3"/>
      <c r="AA787" s="10"/>
      <c r="AB787" s="10"/>
      <c r="AC787" s="181"/>
      <c r="AD787" s="144"/>
      <c r="AE787" s="182"/>
      <c r="AF787" s="10"/>
      <c r="AG787" s="10"/>
      <c r="AH787" s="144"/>
      <c r="AI787" s="3"/>
      <c r="AJ787" s="10"/>
      <c r="AK787" s="3"/>
      <c r="AL787" s="5"/>
      <c r="AM787" s="5"/>
      <c r="AN787" s="5"/>
      <c r="AO787" s="5"/>
      <c r="AP787" s="5"/>
      <c r="AQ787" s="5"/>
      <c r="AR787" s="5"/>
      <c r="AS787" s="142"/>
      <c r="AT787" s="142"/>
      <c r="AU787" s="142"/>
      <c r="AV787" s="142"/>
      <c r="AW787" s="142"/>
      <c r="AX787" s="142"/>
      <c r="AY787" s="142"/>
      <c r="AZ787" s="174"/>
      <c r="BA787" s="142"/>
      <c r="BB787" s="142"/>
      <c r="BC787" s="142"/>
      <c r="BD787" s="142"/>
      <c r="BE787" s="142"/>
      <c r="BF787" s="142"/>
      <c r="BG787" s="142"/>
    </row>
    <row r="788">
      <c r="A788" s="5"/>
      <c r="B788" s="44"/>
      <c r="C788" s="150"/>
      <c r="D788" s="3"/>
      <c r="E788" s="3"/>
      <c r="F788" s="5"/>
      <c r="G788" s="5"/>
      <c r="H788" s="5"/>
      <c r="I788" s="3"/>
      <c r="J788" s="3"/>
      <c r="K788" s="3"/>
      <c r="L788" s="44"/>
      <c r="M788" s="150"/>
      <c r="N788" s="5"/>
      <c r="O788" s="5"/>
      <c r="P788" s="10"/>
      <c r="Q788" s="10"/>
      <c r="R788" s="144"/>
      <c r="S788" s="144"/>
      <c r="T788" s="10"/>
      <c r="U788" s="5"/>
      <c r="V788" s="3"/>
      <c r="W788" s="5"/>
      <c r="X788" s="144"/>
      <c r="Y788" s="10"/>
      <c r="Z788" s="3"/>
      <c r="AA788" s="10"/>
      <c r="AB788" s="10"/>
      <c r="AC788" s="181"/>
      <c r="AD788" s="144"/>
      <c r="AE788" s="182"/>
      <c r="AF788" s="10"/>
      <c r="AG788" s="10"/>
      <c r="AH788" s="144"/>
      <c r="AI788" s="3"/>
      <c r="AJ788" s="10"/>
      <c r="AK788" s="3"/>
      <c r="AL788" s="5"/>
      <c r="AM788" s="5"/>
      <c r="AN788" s="5"/>
      <c r="AO788" s="5"/>
      <c r="AP788" s="5"/>
      <c r="AQ788" s="5"/>
      <c r="AR788" s="5"/>
      <c r="AS788" s="142"/>
      <c r="AT788" s="142"/>
      <c r="AU788" s="142"/>
      <c r="AV788" s="142"/>
      <c r="AW788" s="142"/>
      <c r="AX788" s="142"/>
      <c r="AY788" s="142"/>
      <c r="AZ788" s="174"/>
      <c r="BA788" s="142"/>
      <c r="BB788" s="142"/>
      <c r="BC788" s="142"/>
      <c r="BD788" s="142"/>
      <c r="BE788" s="142"/>
      <c r="BF788" s="142"/>
      <c r="BG788" s="142"/>
    </row>
    <row r="789">
      <c r="A789" s="5"/>
      <c r="B789" s="44"/>
      <c r="C789" s="150"/>
      <c r="D789" s="3"/>
      <c r="E789" s="3"/>
      <c r="F789" s="5"/>
      <c r="G789" s="5"/>
      <c r="H789" s="5"/>
      <c r="I789" s="3"/>
      <c r="J789" s="3"/>
      <c r="K789" s="3"/>
      <c r="L789" s="44"/>
      <c r="M789" s="150"/>
      <c r="N789" s="5"/>
      <c r="O789" s="5"/>
      <c r="P789" s="10"/>
      <c r="Q789" s="10"/>
      <c r="R789" s="144"/>
      <c r="S789" s="144"/>
      <c r="T789" s="10"/>
      <c r="U789" s="5"/>
      <c r="V789" s="3"/>
      <c r="W789" s="5"/>
      <c r="X789" s="144"/>
      <c r="Y789" s="10"/>
      <c r="Z789" s="3"/>
      <c r="AA789" s="10"/>
      <c r="AB789" s="10"/>
      <c r="AC789" s="181"/>
      <c r="AD789" s="144"/>
      <c r="AE789" s="182"/>
      <c r="AF789" s="10"/>
      <c r="AG789" s="10"/>
      <c r="AH789" s="144"/>
      <c r="AI789" s="3"/>
      <c r="AJ789" s="10"/>
      <c r="AK789" s="3"/>
      <c r="AL789" s="5"/>
      <c r="AM789" s="5"/>
      <c r="AN789" s="5"/>
      <c r="AO789" s="5"/>
      <c r="AP789" s="5"/>
      <c r="AQ789" s="5"/>
      <c r="AR789" s="5"/>
      <c r="AS789" s="142"/>
      <c r="AT789" s="142"/>
      <c r="AU789" s="142"/>
      <c r="AV789" s="142"/>
      <c r="AW789" s="142"/>
      <c r="AX789" s="142"/>
      <c r="AY789" s="142"/>
      <c r="AZ789" s="174"/>
      <c r="BA789" s="142"/>
      <c r="BB789" s="142"/>
      <c r="BC789" s="142"/>
      <c r="BD789" s="142"/>
      <c r="BE789" s="142"/>
      <c r="BF789" s="142"/>
      <c r="BG789" s="142"/>
    </row>
    <row r="790">
      <c r="A790" s="5"/>
      <c r="B790" s="44"/>
      <c r="C790" s="150"/>
      <c r="D790" s="3"/>
      <c r="E790" s="3"/>
      <c r="F790" s="5"/>
      <c r="G790" s="5"/>
      <c r="H790" s="5"/>
      <c r="I790" s="3"/>
      <c r="J790" s="3"/>
      <c r="K790" s="3"/>
      <c r="L790" s="44"/>
      <c r="M790" s="150"/>
      <c r="N790" s="5"/>
      <c r="O790" s="5"/>
      <c r="P790" s="10"/>
      <c r="Q790" s="10"/>
      <c r="R790" s="144"/>
      <c r="S790" s="144"/>
      <c r="T790" s="10"/>
      <c r="U790" s="5"/>
      <c r="V790" s="3"/>
      <c r="W790" s="5"/>
      <c r="X790" s="144"/>
      <c r="Y790" s="10"/>
      <c r="Z790" s="3"/>
      <c r="AA790" s="10"/>
      <c r="AB790" s="10"/>
      <c r="AC790" s="181"/>
      <c r="AD790" s="144"/>
      <c r="AE790" s="182"/>
      <c r="AF790" s="10"/>
      <c r="AG790" s="10"/>
      <c r="AH790" s="144"/>
      <c r="AI790" s="3"/>
      <c r="AJ790" s="10"/>
      <c r="AK790" s="3"/>
      <c r="AL790" s="5"/>
      <c r="AM790" s="5"/>
      <c r="AN790" s="5"/>
      <c r="AO790" s="5"/>
      <c r="AP790" s="5"/>
      <c r="AQ790" s="5"/>
      <c r="AR790" s="5"/>
      <c r="AS790" s="142"/>
      <c r="AT790" s="142"/>
      <c r="AU790" s="142"/>
      <c r="AV790" s="142"/>
      <c r="AW790" s="142"/>
      <c r="AX790" s="142"/>
      <c r="AY790" s="142"/>
      <c r="AZ790" s="174"/>
      <c r="BA790" s="142"/>
      <c r="BB790" s="142"/>
      <c r="BC790" s="142"/>
      <c r="BD790" s="142"/>
      <c r="BE790" s="142"/>
      <c r="BF790" s="142"/>
      <c r="BG790" s="142"/>
    </row>
    <row r="791">
      <c r="A791" s="5"/>
      <c r="B791" s="44"/>
      <c r="C791" s="150"/>
      <c r="D791" s="3"/>
      <c r="E791" s="3"/>
      <c r="F791" s="5"/>
      <c r="G791" s="5"/>
      <c r="H791" s="5"/>
      <c r="I791" s="3"/>
      <c r="J791" s="3"/>
      <c r="K791" s="3"/>
      <c r="L791" s="44"/>
      <c r="M791" s="150"/>
      <c r="N791" s="5"/>
      <c r="O791" s="5"/>
      <c r="P791" s="10"/>
      <c r="Q791" s="10"/>
      <c r="R791" s="144"/>
      <c r="S791" s="144"/>
      <c r="T791" s="10"/>
      <c r="U791" s="5"/>
      <c r="V791" s="3"/>
      <c r="W791" s="5"/>
      <c r="X791" s="144"/>
      <c r="Y791" s="10"/>
      <c r="Z791" s="3"/>
      <c r="AA791" s="10"/>
      <c r="AB791" s="10"/>
      <c r="AC791" s="181"/>
      <c r="AD791" s="144"/>
      <c r="AE791" s="182"/>
      <c r="AF791" s="10"/>
      <c r="AG791" s="10"/>
      <c r="AH791" s="144"/>
      <c r="AI791" s="3"/>
      <c r="AJ791" s="10"/>
      <c r="AK791" s="3"/>
      <c r="AL791" s="5"/>
      <c r="AM791" s="5"/>
      <c r="AN791" s="5"/>
      <c r="AO791" s="5"/>
      <c r="AP791" s="5"/>
      <c r="AQ791" s="5"/>
      <c r="AR791" s="5"/>
      <c r="AS791" s="142"/>
      <c r="AT791" s="142"/>
      <c r="AU791" s="142"/>
      <c r="AV791" s="142"/>
      <c r="AW791" s="142"/>
      <c r="AX791" s="142"/>
      <c r="AY791" s="142"/>
      <c r="AZ791" s="174"/>
      <c r="BA791" s="142"/>
      <c r="BB791" s="142"/>
      <c r="BC791" s="142"/>
      <c r="BD791" s="142"/>
      <c r="BE791" s="142"/>
      <c r="BF791" s="142"/>
      <c r="BG791" s="142"/>
    </row>
    <row r="792">
      <c r="A792" s="5"/>
      <c r="B792" s="44"/>
      <c r="C792" s="150"/>
      <c r="D792" s="3"/>
      <c r="E792" s="3"/>
      <c r="F792" s="5"/>
      <c r="G792" s="5"/>
      <c r="H792" s="5"/>
      <c r="I792" s="3"/>
      <c r="J792" s="3"/>
      <c r="K792" s="3"/>
      <c r="L792" s="44"/>
      <c r="M792" s="150"/>
      <c r="N792" s="5"/>
      <c r="O792" s="5"/>
      <c r="P792" s="10"/>
      <c r="Q792" s="10"/>
      <c r="R792" s="144"/>
      <c r="S792" s="144"/>
      <c r="T792" s="10"/>
      <c r="U792" s="5"/>
      <c r="V792" s="3"/>
      <c r="W792" s="5"/>
      <c r="X792" s="144"/>
      <c r="Y792" s="10"/>
      <c r="Z792" s="3"/>
      <c r="AA792" s="10"/>
      <c r="AB792" s="10"/>
      <c r="AC792" s="181"/>
      <c r="AD792" s="144"/>
      <c r="AE792" s="182"/>
      <c r="AF792" s="10"/>
      <c r="AG792" s="10"/>
      <c r="AH792" s="144"/>
      <c r="AI792" s="3"/>
      <c r="AJ792" s="10"/>
      <c r="AK792" s="3"/>
      <c r="AL792" s="5"/>
      <c r="AM792" s="5"/>
      <c r="AN792" s="5"/>
      <c r="AO792" s="5"/>
      <c r="AP792" s="5"/>
      <c r="AQ792" s="5"/>
      <c r="AR792" s="5"/>
      <c r="AS792" s="142"/>
      <c r="AT792" s="142"/>
      <c r="AU792" s="142"/>
      <c r="AV792" s="142"/>
      <c r="AW792" s="142"/>
      <c r="AX792" s="142"/>
      <c r="AY792" s="142"/>
      <c r="AZ792" s="174"/>
      <c r="BA792" s="142"/>
      <c r="BB792" s="142"/>
      <c r="BC792" s="142"/>
      <c r="BD792" s="142"/>
      <c r="BE792" s="142"/>
      <c r="BF792" s="142"/>
      <c r="BG792" s="142"/>
    </row>
    <row r="793">
      <c r="A793" s="5"/>
      <c r="B793" s="44"/>
      <c r="C793" s="150"/>
      <c r="D793" s="3"/>
      <c r="E793" s="3"/>
      <c r="F793" s="5"/>
      <c r="G793" s="5"/>
      <c r="H793" s="5"/>
      <c r="I793" s="3"/>
      <c r="J793" s="3"/>
      <c r="K793" s="3"/>
      <c r="L793" s="44"/>
      <c r="M793" s="150"/>
      <c r="N793" s="5"/>
      <c r="O793" s="5"/>
      <c r="P793" s="10"/>
      <c r="Q793" s="10"/>
      <c r="R793" s="144"/>
      <c r="S793" s="144"/>
      <c r="T793" s="10"/>
      <c r="U793" s="5"/>
      <c r="V793" s="3"/>
      <c r="W793" s="5"/>
      <c r="X793" s="144"/>
      <c r="Y793" s="10"/>
      <c r="Z793" s="3"/>
      <c r="AA793" s="10"/>
      <c r="AB793" s="10"/>
      <c r="AC793" s="181"/>
      <c r="AD793" s="144"/>
      <c r="AE793" s="182"/>
      <c r="AF793" s="10"/>
      <c r="AG793" s="10"/>
      <c r="AH793" s="144"/>
      <c r="AI793" s="3"/>
      <c r="AJ793" s="10"/>
      <c r="AK793" s="3"/>
      <c r="AL793" s="5"/>
      <c r="AM793" s="5"/>
      <c r="AN793" s="5"/>
      <c r="AO793" s="5"/>
      <c r="AP793" s="5"/>
      <c r="AQ793" s="5"/>
      <c r="AR793" s="5"/>
      <c r="AS793" s="142"/>
      <c r="AT793" s="142"/>
      <c r="AU793" s="142"/>
      <c r="AV793" s="142"/>
      <c r="AW793" s="142"/>
      <c r="AX793" s="142"/>
      <c r="AY793" s="142"/>
      <c r="AZ793" s="174"/>
      <c r="BA793" s="142"/>
      <c r="BB793" s="142"/>
      <c r="BC793" s="142"/>
      <c r="BD793" s="142"/>
      <c r="BE793" s="142"/>
      <c r="BF793" s="142"/>
      <c r="BG793" s="142"/>
    </row>
    <row r="794">
      <c r="A794" s="5"/>
      <c r="B794" s="44"/>
      <c r="C794" s="150"/>
      <c r="D794" s="3"/>
      <c r="E794" s="3"/>
      <c r="F794" s="5"/>
      <c r="G794" s="5"/>
      <c r="H794" s="5"/>
      <c r="I794" s="3"/>
      <c r="J794" s="3"/>
      <c r="K794" s="3"/>
      <c r="L794" s="44"/>
      <c r="M794" s="150"/>
      <c r="N794" s="5"/>
      <c r="O794" s="5"/>
      <c r="P794" s="10"/>
      <c r="Q794" s="10"/>
      <c r="R794" s="144"/>
      <c r="S794" s="144"/>
      <c r="T794" s="10"/>
      <c r="U794" s="5"/>
      <c r="V794" s="3"/>
      <c r="W794" s="5"/>
      <c r="X794" s="144"/>
      <c r="Y794" s="10"/>
      <c r="Z794" s="3"/>
      <c r="AA794" s="10"/>
      <c r="AB794" s="10"/>
      <c r="AC794" s="181"/>
      <c r="AD794" s="144"/>
      <c r="AE794" s="182"/>
      <c r="AF794" s="10"/>
      <c r="AG794" s="10"/>
      <c r="AH794" s="144"/>
      <c r="AI794" s="3"/>
      <c r="AJ794" s="10"/>
      <c r="AK794" s="3"/>
      <c r="AL794" s="5"/>
      <c r="AM794" s="5"/>
      <c r="AN794" s="5"/>
      <c r="AO794" s="5"/>
      <c r="AP794" s="5"/>
      <c r="AQ794" s="5"/>
      <c r="AR794" s="5"/>
      <c r="AS794" s="142"/>
      <c r="AT794" s="142"/>
      <c r="AU794" s="142"/>
      <c r="AV794" s="142"/>
      <c r="AW794" s="142"/>
      <c r="AX794" s="142"/>
      <c r="AY794" s="142"/>
      <c r="AZ794" s="174"/>
      <c r="BA794" s="142"/>
      <c r="BB794" s="142"/>
      <c r="BC794" s="142"/>
      <c r="BD794" s="142"/>
      <c r="BE794" s="142"/>
      <c r="BF794" s="142"/>
      <c r="BG794" s="142"/>
    </row>
    <row r="795">
      <c r="A795" s="5"/>
      <c r="B795" s="44"/>
      <c r="C795" s="150"/>
      <c r="D795" s="3"/>
      <c r="E795" s="3"/>
      <c r="F795" s="5"/>
      <c r="G795" s="5"/>
      <c r="H795" s="5"/>
      <c r="I795" s="3"/>
      <c r="J795" s="3"/>
      <c r="K795" s="3"/>
      <c r="L795" s="44"/>
      <c r="M795" s="150"/>
      <c r="N795" s="5"/>
      <c r="O795" s="5"/>
      <c r="P795" s="10"/>
      <c r="Q795" s="10"/>
      <c r="R795" s="144"/>
      <c r="S795" s="144"/>
      <c r="T795" s="10"/>
      <c r="U795" s="5"/>
      <c r="V795" s="3"/>
      <c r="W795" s="5"/>
      <c r="X795" s="144"/>
      <c r="Y795" s="10"/>
      <c r="Z795" s="3"/>
      <c r="AA795" s="10"/>
      <c r="AB795" s="10"/>
      <c r="AC795" s="181"/>
      <c r="AD795" s="144"/>
      <c r="AE795" s="182"/>
      <c r="AF795" s="10"/>
      <c r="AG795" s="10"/>
      <c r="AH795" s="144"/>
      <c r="AI795" s="3"/>
      <c r="AJ795" s="10"/>
      <c r="AK795" s="3"/>
      <c r="AL795" s="5"/>
      <c r="AM795" s="5"/>
      <c r="AN795" s="5"/>
      <c r="AO795" s="5"/>
      <c r="AP795" s="5"/>
      <c r="AQ795" s="5"/>
      <c r="AR795" s="5"/>
      <c r="AS795" s="142"/>
      <c r="AT795" s="142"/>
      <c r="AU795" s="142"/>
      <c r="AV795" s="142"/>
      <c r="AW795" s="142"/>
      <c r="AX795" s="142"/>
      <c r="AY795" s="142"/>
      <c r="AZ795" s="174"/>
      <c r="BA795" s="142"/>
      <c r="BB795" s="142"/>
      <c r="BC795" s="142"/>
      <c r="BD795" s="142"/>
      <c r="BE795" s="142"/>
      <c r="BF795" s="142"/>
      <c r="BG795" s="142"/>
    </row>
    <row r="796">
      <c r="A796" s="5"/>
      <c r="B796" s="44"/>
      <c r="C796" s="150"/>
      <c r="D796" s="3"/>
      <c r="E796" s="3"/>
      <c r="F796" s="5"/>
      <c r="G796" s="5"/>
      <c r="H796" s="5"/>
      <c r="I796" s="3"/>
      <c r="J796" s="3"/>
      <c r="K796" s="3"/>
      <c r="L796" s="44"/>
      <c r="M796" s="150"/>
      <c r="N796" s="5"/>
      <c r="O796" s="5"/>
      <c r="P796" s="10"/>
      <c r="Q796" s="10"/>
      <c r="R796" s="144"/>
      <c r="S796" s="144"/>
      <c r="T796" s="10"/>
      <c r="U796" s="5"/>
      <c r="V796" s="3"/>
      <c r="W796" s="5"/>
      <c r="X796" s="144"/>
      <c r="Y796" s="10"/>
      <c r="Z796" s="3"/>
      <c r="AA796" s="10"/>
      <c r="AB796" s="10"/>
      <c r="AC796" s="181"/>
      <c r="AD796" s="144"/>
      <c r="AE796" s="182"/>
      <c r="AF796" s="10"/>
      <c r="AG796" s="10"/>
      <c r="AH796" s="144"/>
      <c r="AI796" s="3"/>
      <c r="AJ796" s="10"/>
      <c r="AK796" s="3"/>
      <c r="AL796" s="5"/>
      <c r="AM796" s="5"/>
      <c r="AN796" s="5"/>
      <c r="AO796" s="5"/>
      <c r="AP796" s="5"/>
      <c r="AQ796" s="5"/>
      <c r="AR796" s="5"/>
      <c r="AS796" s="142"/>
      <c r="AT796" s="142"/>
      <c r="AU796" s="142"/>
      <c r="AV796" s="142"/>
      <c r="AW796" s="142"/>
      <c r="AX796" s="142"/>
      <c r="AY796" s="142"/>
      <c r="AZ796" s="174"/>
      <c r="BA796" s="142"/>
      <c r="BB796" s="142"/>
      <c r="BC796" s="142"/>
      <c r="BD796" s="142"/>
      <c r="BE796" s="142"/>
      <c r="BF796" s="142"/>
      <c r="BG796" s="142"/>
    </row>
    <row r="797">
      <c r="A797" s="5"/>
      <c r="B797" s="44"/>
      <c r="C797" s="150"/>
      <c r="D797" s="3"/>
      <c r="E797" s="3"/>
      <c r="F797" s="5"/>
      <c r="G797" s="5"/>
      <c r="H797" s="5"/>
      <c r="I797" s="3"/>
      <c r="J797" s="3"/>
      <c r="K797" s="3"/>
      <c r="L797" s="44"/>
      <c r="M797" s="150"/>
      <c r="N797" s="5"/>
      <c r="O797" s="5"/>
      <c r="P797" s="10"/>
      <c r="Q797" s="10"/>
      <c r="R797" s="144"/>
      <c r="S797" s="144"/>
      <c r="T797" s="10"/>
      <c r="U797" s="5"/>
      <c r="V797" s="3"/>
      <c r="W797" s="5"/>
      <c r="X797" s="144"/>
      <c r="Y797" s="10"/>
      <c r="Z797" s="3"/>
      <c r="AA797" s="10"/>
      <c r="AB797" s="10"/>
      <c r="AC797" s="181"/>
      <c r="AD797" s="144"/>
      <c r="AE797" s="182"/>
      <c r="AF797" s="10"/>
      <c r="AG797" s="10"/>
      <c r="AH797" s="144"/>
      <c r="AI797" s="3"/>
      <c r="AJ797" s="10"/>
      <c r="AK797" s="3"/>
      <c r="AL797" s="5"/>
      <c r="AM797" s="5"/>
      <c r="AN797" s="5"/>
      <c r="AO797" s="5"/>
      <c r="AP797" s="5"/>
      <c r="AQ797" s="5"/>
      <c r="AR797" s="5"/>
      <c r="AS797" s="142"/>
      <c r="AT797" s="142"/>
      <c r="AU797" s="142"/>
      <c r="AV797" s="142"/>
      <c r="AW797" s="142"/>
      <c r="AX797" s="142"/>
      <c r="AY797" s="142"/>
      <c r="AZ797" s="174"/>
      <c r="BA797" s="142"/>
      <c r="BB797" s="142"/>
      <c r="BC797" s="142"/>
      <c r="BD797" s="142"/>
      <c r="BE797" s="142"/>
      <c r="BF797" s="142"/>
      <c r="BG797" s="142"/>
    </row>
    <row r="798">
      <c r="A798" s="5"/>
      <c r="B798" s="44"/>
      <c r="C798" s="150"/>
      <c r="D798" s="3"/>
      <c r="E798" s="3"/>
      <c r="F798" s="5"/>
      <c r="G798" s="5"/>
      <c r="H798" s="5"/>
      <c r="I798" s="3"/>
      <c r="J798" s="3"/>
      <c r="K798" s="3"/>
      <c r="L798" s="44"/>
      <c r="M798" s="150"/>
      <c r="N798" s="5"/>
      <c r="O798" s="5"/>
      <c r="P798" s="10"/>
      <c r="Q798" s="10"/>
      <c r="R798" s="144"/>
      <c r="S798" s="144"/>
      <c r="T798" s="10"/>
      <c r="U798" s="5"/>
      <c r="V798" s="3"/>
      <c r="W798" s="5"/>
      <c r="X798" s="144"/>
      <c r="Y798" s="10"/>
      <c r="Z798" s="3"/>
      <c r="AA798" s="10"/>
      <c r="AB798" s="10"/>
      <c r="AC798" s="181"/>
      <c r="AD798" s="144"/>
      <c r="AE798" s="182"/>
      <c r="AF798" s="10"/>
      <c r="AG798" s="10"/>
      <c r="AH798" s="144"/>
      <c r="AI798" s="3"/>
      <c r="AJ798" s="10"/>
      <c r="AK798" s="3"/>
      <c r="AL798" s="5"/>
      <c r="AM798" s="5"/>
      <c r="AN798" s="5"/>
      <c r="AO798" s="5"/>
      <c r="AP798" s="5"/>
      <c r="AQ798" s="5"/>
      <c r="AR798" s="5"/>
      <c r="AS798" s="142"/>
      <c r="AT798" s="142"/>
      <c r="AU798" s="142"/>
      <c r="AV798" s="142"/>
      <c r="AW798" s="142"/>
      <c r="AX798" s="142"/>
      <c r="AY798" s="142"/>
      <c r="AZ798" s="174"/>
      <c r="BA798" s="142"/>
      <c r="BB798" s="142"/>
      <c r="BC798" s="142"/>
      <c r="BD798" s="142"/>
      <c r="BE798" s="142"/>
      <c r="BF798" s="142"/>
      <c r="BG798" s="142"/>
    </row>
    <row r="799">
      <c r="A799" s="5"/>
      <c r="B799" s="44"/>
      <c r="C799" s="150"/>
      <c r="D799" s="3"/>
      <c r="E799" s="3"/>
      <c r="F799" s="5"/>
      <c r="G799" s="5"/>
      <c r="H799" s="5"/>
      <c r="I799" s="3"/>
      <c r="J799" s="3"/>
      <c r="K799" s="3"/>
      <c r="L799" s="44"/>
      <c r="M799" s="150"/>
      <c r="N799" s="5"/>
      <c r="O799" s="5"/>
      <c r="P799" s="10"/>
      <c r="Q799" s="10"/>
      <c r="R799" s="144"/>
      <c r="S799" s="144"/>
      <c r="T799" s="10"/>
      <c r="U799" s="5"/>
      <c r="V799" s="3"/>
      <c r="W799" s="5"/>
      <c r="X799" s="144"/>
      <c r="Y799" s="10"/>
      <c r="Z799" s="3"/>
      <c r="AA799" s="10"/>
      <c r="AB799" s="10"/>
      <c r="AC799" s="181"/>
      <c r="AD799" s="144"/>
      <c r="AE799" s="182"/>
      <c r="AF799" s="10"/>
      <c r="AG799" s="10"/>
      <c r="AH799" s="144"/>
      <c r="AI799" s="3"/>
      <c r="AJ799" s="10"/>
      <c r="AK799" s="3"/>
      <c r="AL799" s="5"/>
      <c r="AM799" s="5"/>
      <c r="AN799" s="5"/>
      <c r="AO799" s="5"/>
      <c r="AP799" s="5"/>
      <c r="AQ799" s="5"/>
      <c r="AR799" s="5"/>
      <c r="AS799" s="142"/>
      <c r="AT799" s="142"/>
      <c r="AU799" s="142"/>
      <c r="AV799" s="142"/>
      <c r="AW799" s="142"/>
      <c r="AX799" s="142"/>
      <c r="AY799" s="142"/>
      <c r="AZ799" s="174"/>
      <c r="BA799" s="142"/>
      <c r="BB799" s="142"/>
      <c r="BC799" s="142"/>
      <c r="BD799" s="142"/>
      <c r="BE799" s="142"/>
      <c r="BF799" s="142"/>
      <c r="BG799" s="142"/>
    </row>
    <row r="800">
      <c r="A800" s="5"/>
      <c r="B800" s="44"/>
      <c r="C800" s="150"/>
      <c r="D800" s="3"/>
      <c r="E800" s="3"/>
      <c r="F800" s="5"/>
      <c r="G800" s="5"/>
      <c r="H800" s="5"/>
      <c r="I800" s="3"/>
      <c r="J800" s="3"/>
      <c r="K800" s="3"/>
      <c r="L800" s="44"/>
      <c r="M800" s="150"/>
      <c r="N800" s="5"/>
      <c r="O800" s="5"/>
      <c r="P800" s="10"/>
      <c r="Q800" s="10"/>
      <c r="R800" s="144"/>
      <c r="S800" s="144"/>
      <c r="T800" s="10"/>
      <c r="U800" s="5"/>
      <c r="V800" s="3"/>
      <c r="W800" s="5"/>
      <c r="X800" s="144"/>
      <c r="Y800" s="10"/>
      <c r="Z800" s="3"/>
      <c r="AA800" s="10"/>
      <c r="AB800" s="10"/>
      <c r="AC800" s="181"/>
      <c r="AD800" s="144"/>
      <c r="AE800" s="182"/>
      <c r="AF800" s="10"/>
      <c r="AG800" s="10"/>
      <c r="AH800" s="144"/>
      <c r="AI800" s="3"/>
      <c r="AJ800" s="10"/>
      <c r="AK800" s="3"/>
      <c r="AL800" s="5"/>
      <c r="AM800" s="5"/>
      <c r="AN800" s="5"/>
      <c r="AO800" s="5"/>
      <c r="AP800" s="5"/>
      <c r="AQ800" s="5"/>
      <c r="AR800" s="5"/>
      <c r="AS800" s="142"/>
      <c r="AT800" s="142"/>
      <c r="AU800" s="142"/>
      <c r="AV800" s="142"/>
      <c r="AW800" s="142"/>
      <c r="AX800" s="142"/>
      <c r="AY800" s="142"/>
      <c r="AZ800" s="174"/>
      <c r="BA800" s="142"/>
      <c r="BB800" s="142"/>
      <c r="BC800" s="142"/>
      <c r="BD800" s="142"/>
      <c r="BE800" s="142"/>
      <c r="BF800" s="142"/>
      <c r="BG800" s="142"/>
    </row>
    <row r="801">
      <c r="A801" s="5"/>
      <c r="B801" s="44"/>
      <c r="C801" s="150"/>
      <c r="D801" s="3"/>
      <c r="E801" s="3"/>
      <c r="F801" s="5"/>
      <c r="G801" s="5"/>
      <c r="H801" s="5"/>
      <c r="I801" s="3"/>
      <c r="J801" s="3"/>
      <c r="K801" s="3"/>
      <c r="L801" s="44"/>
      <c r="M801" s="150"/>
      <c r="N801" s="5"/>
      <c r="O801" s="5"/>
      <c r="P801" s="10"/>
      <c r="Q801" s="10"/>
      <c r="R801" s="144"/>
      <c r="S801" s="144"/>
      <c r="T801" s="10"/>
      <c r="U801" s="5"/>
      <c r="V801" s="3"/>
      <c r="W801" s="5"/>
      <c r="X801" s="144"/>
      <c r="Y801" s="10"/>
      <c r="Z801" s="3"/>
      <c r="AA801" s="10"/>
      <c r="AB801" s="10"/>
      <c r="AC801" s="181"/>
      <c r="AD801" s="144"/>
      <c r="AE801" s="182"/>
      <c r="AF801" s="10"/>
      <c r="AG801" s="10"/>
      <c r="AH801" s="144"/>
      <c r="AI801" s="3"/>
      <c r="AJ801" s="10"/>
      <c r="AK801" s="3"/>
      <c r="AL801" s="5"/>
      <c r="AM801" s="5"/>
      <c r="AN801" s="5"/>
      <c r="AO801" s="5"/>
      <c r="AP801" s="5"/>
      <c r="AQ801" s="5"/>
      <c r="AR801" s="5"/>
      <c r="AS801" s="142"/>
      <c r="AT801" s="142"/>
      <c r="AU801" s="142"/>
      <c r="AV801" s="142"/>
      <c r="AW801" s="142"/>
      <c r="AX801" s="142"/>
      <c r="AY801" s="142"/>
      <c r="AZ801" s="174"/>
      <c r="BA801" s="142"/>
      <c r="BB801" s="142"/>
      <c r="BC801" s="142"/>
      <c r="BD801" s="142"/>
      <c r="BE801" s="142"/>
      <c r="BF801" s="142"/>
      <c r="BG801" s="142"/>
    </row>
    <row r="802">
      <c r="A802" s="5"/>
      <c r="B802" s="44"/>
      <c r="C802" s="150"/>
      <c r="D802" s="3"/>
      <c r="E802" s="3"/>
      <c r="F802" s="5"/>
      <c r="G802" s="5"/>
      <c r="H802" s="5"/>
      <c r="I802" s="3"/>
      <c r="J802" s="3"/>
      <c r="K802" s="3"/>
      <c r="L802" s="44"/>
      <c r="M802" s="150"/>
      <c r="N802" s="5"/>
      <c r="O802" s="5"/>
      <c r="P802" s="10"/>
      <c r="Q802" s="10"/>
      <c r="R802" s="144"/>
      <c r="S802" s="144"/>
      <c r="T802" s="10"/>
      <c r="U802" s="5"/>
      <c r="V802" s="3"/>
      <c r="W802" s="5"/>
      <c r="X802" s="144"/>
      <c r="Y802" s="10"/>
      <c r="Z802" s="3"/>
      <c r="AA802" s="10"/>
      <c r="AB802" s="10"/>
      <c r="AC802" s="181"/>
      <c r="AD802" s="144"/>
      <c r="AE802" s="182"/>
      <c r="AF802" s="10"/>
      <c r="AG802" s="10"/>
      <c r="AH802" s="144"/>
      <c r="AI802" s="3"/>
      <c r="AJ802" s="10"/>
      <c r="AK802" s="3"/>
      <c r="AL802" s="5"/>
      <c r="AM802" s="5"/>
      <c r="AN802" s="5"/>
      <c r="AO802" s="5"/>
      <c r="AP802" s="5"/>
      <c r="AQ802" s="5"/>
      <c r="AR802" s="5"/>
      <c r="AS802" s="142"/>
      <c r="AT802" s="142"/>
      <c r="AU802" s="142"/>
      <c r="AV802" s="142"/>
      <c r="AW802" s="142"/>
      <c r="AX802" s="142"/>
      <c r="AY802" s="142"/>
      <c r="AZ802" s="174"/>
      <c r="BA802" s="142"/>
      <c r="BB802" s="142"/>
      <c r="BC802" s="142"/>
      <c r="BD802" s="142"/>
      <c r="BE802" s="142"/>
      <c r="BF802" s="142"/>
      <c r="BG802" s="142"/>
    </row>
    <row r="803">
      <c r="A803" s="5"/>
      <c r="B803" s="44"/>
      <c r="C803" s="150"/>
      <c r="D803" s="3"/>
      <c r="E803" s="3"/>
      <c r="F803" s="5"/>
      <c r="G803" s="5"/>
      <c r="H803" s="5"/>
      <c r="I803" s="3"/>
      <c r="J803" s="3"/>
      <c r="K803" s="3"/>
      <c r="L803" s="44"/>
      <c r="M803" s="150"/>
      <c r="N803" s="5"/>
      <c r="O803" s="5"/>
      <c r="P803" s="10"/>
      <c r="Q803" s="10"/>
      <c r="R803" s="144"/>
      <c r="S803" s="144"/>
      <c r="T803" s="10"/>
      <c r="U803" s="5"/>
      <c r="V803" s="3"/>
      <c r="W803" s="5"/>
      <c r="X803" s="144"/>
      <c r="Y803" s="10"/>
      <c r="Z803" s="3"/>
      <c r="AA803" s="10"/>
      <c r="AB803" s="10"/>
      <c r="AC803" s="181"/>
      <c r="AD803" s="144"/>
      <c r="AE803" s="182"/>
      <c r="AF803" s="10"/>
      <c r="AG803" s="10"/>
      <c r="AH803" s="144"/>
      <c r="AI803" s="3"/>
      <c r="AJ803" s="10"/>
      <c r="AK803" s="3"/>
      <c r="AL803" s="5"/>
      <c r="AM803" s="5"/>
      <c r="AN803" s="5"/>
      <c r="AO803" s="5"/>
      <c r="AP803" s="5"/>
      <c r="AQ803" s="5"/>
      <c r="AR803" s="5"/>
      <c r="AS803" s="142"/>
      <c r="AT803" s="142"/>
      <c r="AU803" s="142"/>
      <c r="AV803" s="142"/>
      <c r="AW803" s="142"/>
      <c r="AX803" s="142"/>
      <c r="AY803" s="142"/>
      <c r="AZ803" s="174"/>
      <c r="BA803" s="142"/>
      <c r="BB803" s="142"/>
      <c r="BC803" s="142"/>
      <c r="BD803" s="142"/>
      <c r="BE803" s="142"/>
      <c r="BF803" s="142"/>
      <c r="BG803" s="142"/>
    </row>
    <row r="804">
      <c r="A804" s="5"/>
      <c r="B804" s="44"/>
      <c r="C804" s="150"/>
      <c r="D804" s="3"/>
      <c r="E804" s="3"/>
      <c r="F804" s="5"/>
      <c r="G804" s="5"/>
      <c r="H804" s="5"/>
      <c r="I804" s="3"/>
      <c r="J804" s="3"/>
      <c r="K804" s="3"/>
      <c r="L804" s="44"/>
      <c r="M804" s="150"/>
      <c r="N804" s="5"/>
      <c r="O804" s="5"/>
      <c r="P804" s="10"/>
      <c r="Q804" s="10"/>
      <c r="R804" s="144"/>
      <c r="S804" s="144"/>
      <c r="T804" s="10"/>
      <c r="U804" s="5"/>
      <c r="V804" s="3"/>
      <c r="W804" s="5"/>
      <c r="X804" s="144"/>
      <c r="Y804" s="10"/>
      <c r="Z804" s="3"/>
      <c r="AA804" s="10"/>
      <c r="AB804" s="10"/>
      <c r="AC804" s="181"/>
      <c r="AD804" s="144"/>
      <c r="AE804" s="182"/>
      <c r="AF804" s="10"/>
      <c r="AG804" s="10"/>
      <c r="AH804" s="144"/>
      <c r="AI804" s="3"/>
      <c r="AJ804" s="10"/>
      <c r="AK804" s="3"/>
      <c r="AL804" s="5"/>
      <c r="AM804" s="5"/>
      <c r="AN804" s="5"/>
      <c r="AO804" s="5"/>
      <c r="AP804" s="5"/>
      <c r="AQ804" s="5"/>
      <c r="AR804" s="5"/>
      <c r="AS804" s="142"/>
      <c r="AT804" s="142"/>
      <c r="AU804" s="142"/>
      <c r="AV804" s="142"/>
      <c r="AW804" s="142"/>
      <c r="AX804" s="142"/>
      <c r="AY804" s="142"/>
      <c r="AZ804" s="174"/>
      <c r="BA804" s="142"/>
      <c r="BB804" s="142"/>
      <c r="BC804" s="142"/>
      <c r="BD804" s="142"/>
      <c r="BE804" s="142"/>
      <c r="BF804" s="142"/>
      <c r="BG804" s="142"/>
    </row>
    <row r="805">
      <c r="A805" s="5"/>
      <c r="B805" s="44"/>
      <c r="C805" s="150"/>
      <c r="D805" s="3"/>
      <c r="E805" s="3"/>
      <c r="F805" s="5"/>
      <c r="G805" s="5"/>
      <c r="H805" s="5"/>
      <c r="I805" s="3"/>
      <c r="J805" s="3"/>
      <c r="K805" s="3"/>
      <c r="L805" s="44"/>
      <c r="M805" s="150"/>
      <c r="N805" s="5"/>
      <c r="O805" s="5"/>
      <c r="P805" s="10"/>
      <c r="Q805" s="10"/>
      <c r="R805" s="144"/>
      <c r="S805" s="144"/>
      <c r="T805" s="10"/>
      <c r="U805" s="5"/>
      <c r="V805" s="3"/>
      <c r="W805" s="5"/>
      <c r="X805" s="144"/>
      <c r="Y805" s="10"/>
      <c r="Z805" s="3"/>
      <c r="AA805" s="10"/>
      <c r="AB805" s="10"/>
      <c r="AC805" s="181"/>
      <c r="AD805" s="144"/>
      <c r="AE805" s="182"/>
      <c r="AF805" s="10"/>
      <c r="AG805" s="10"/>
      <c r="AH805" s="144"/>
      <c r="AI805" s="3"/>
      <c r="AJ805" s="10"/>
      <c r="AK805" s="3"/>
      <c r="AL805" s="5"/>
      <c r="AM805" s="5"/>
      <c r="AN805" s="5"/>
      <c r="AO805" s="5"/>
      <c r="AP805" s="5"/>
      <c r="AQ805" s="5"/>
      <c r="AR805" s="5"/>
      <c r="AS805" s="142"/>
      <c r="AT805" s="142"/>
      <c r="AU805" s="142"/>
      <c r="AV805" s="142"/>
      <c r="AW805" s="142"/>
      <c r="AX805" s="142"/>
      <c r="AY805" s="142"/>
      <c r="AZ805" s="174"/>
      <c r="BA805" s="142"/>
      <c r="BB805" s="142"/>
      <c r="BC805" s="142"/>
      <c r="BD805" s="142"/>
      <c r="BE805" s="142"/>
      <c r="BF805" s="142"/>
      <c r="BG805" s="142"/>
    </row>
    <row r="806">
      <c r="A806" s="5"/>
      <c r="B806" s="44"/>
      <c r="C806" s="150"/>
      <c r="D806" s="3"/>
      <c r="E806" s="3"/>
      <c r="F806" s="5"/>
      <c r="G806" s="5"/>
      <c r="H806" s="5"/>
      <c r="I806" s="3"/>
      <c r="J806" s="3"/>
      <c r="K806" s="3"/>
      <c r="L806" s="44"/>
      <c r="M806" s="150"/>
      <c r="N806" s="5"/>
      <c r="O806" s="5"/>
      <c r="P806" s="10"/>
      <c r="Q806" s="10"/>
      <c r="R806" s="144"/>
      <c r="S806" s="144"/>
      <c r="T806" s="10"/>
      <c r="U806" s="5"/>
      <c r="V806" s="3"/>
      <c r="W806" s="5"/>
      <c r="X806" s="144"/>
      <c r="Y806" s="10"/>
      <c r="Z806" s="3"/>
      <c r="AA806" s="10"/>
      <c r="AB806" s="10"/>
      <c r="AC806" s="181"/>
      <c r="AD806" s="144"/>
      <c r="AE806" s="182"/>
      <c r="AF806" s="10"/>
      <c r="AG806" s="10"/>
      <c r="AH806" s="144"/>
      <c r="AI806" s="3"/>
      <c r="AJ806" s="10"/>
      <c r="AK806" s="3"/>
      <c r="AL806" s="5"/>
      <c r="AM806" s="5"/>
      <c r="AN806" s="5"/>
      <c r="AO806" s="5"/>
      <c r="AP806" s="5"/>
      <c r="AQ806" s="5"/>
      <c r="AR806" s="5"/>
      <c r="AS806" s="142"/>
      <c r="AT806" s="142"/>
      <c r="AU806" s="142"/>
      <c r="AV806" s="142"/>
      <c r="AW806" s="142"/>
      <c r="AX806" s="142"/>
      <c r="AY806" s="142"/>
      <c r="AZ806" s="174"/>
      <c r="BA806" s="142"/>
      <c r="BB806" s="142"/>
      <c r="BC806" s="142"/>
      <c r="BD806" s="142"/>
      <c r="BE806" s="142"/>
      <c r="BF806" s="142"/>
      <c r="BG806" s="142"/>
    </row>
    <row r="807">
      <c r="A807" s="5"/>
      <c r="B807" s="44"/>
      <c r="C807" s="150"/>
      <c r="D807" s="3"/>
      <c r="E807" s="3"/>
      <c r="F807" s="5"/>
      <c r="G807" s="5"/>
      <c r="H807" s="5"/>
      <c r="I807" s="3"/>
      <c r="J807" s="3"/>
      <c r="K807" s="3"/>
      <c r="L807" s="44"/>
      <c r="M807" s="150"/>
      <c r="N807" s="5"/>
      <c r="O807" s="5"/>
      <c r="P807" s="10"/>
      <c r="Q807" s="10"/>
      <c r="R807" s="144"/>
      <c r="S807" s="144"/>
      <c r="T807" s="10"/>
      <c r="U807" s="5"/>
      <c r="V807" s="3"/>
      <c r="W807" s="5"/>
      <c r="X807" s="144"/>
      <c r="Y807" s="10"/>
      <c r="Z807" s="3"/>
      <c r="AA807" s="10"/>
      <c r="AB807" s="10"/>
      <c r="AC807" s="181"/>
      <c r="AD807" s="144"/>
      <c r="AE807" s="182"/>
      <c r="AF807" s="10"/>
      <c r="AG807" s="10"/>
      <c r="AH807" s="144"/>
      <c r="AI807" s="3"/>
      <c r="AJ807" s="10"/>
      <c r="AK807" s="3"/>
      <c r="AL807" s="5"/>
      <c r="AM807" s="5"/>
      <c r="AN807" s="5"/>
      <c r="AO807" s="5"/>
      <c r="AP807" s="5"/>
      <c r="AQ807" s="5"/>
      <c r="AR807" s="5"/>
      <c r="AS807" s="142"/>
      <c r="AT807" s="142"/>
      <c r="AU807" s="142"/>
      <c r="AV807" s="142"/>
      <c r="AW807" s="142"/>
      <c r="AX807" s="142"/>
      <c r="AY807" s="142"/>
      <c r="AZ807" s="174"/>
      <c r="BA807" s="142"/>
      <c r="BB807" s="142"/>
      <c r="BC807" s="142"/>
      <c r="BD807" s="142"/>
      <c r="BE807" s="142"/>
      <c r="BF807" s="142"/>
      <c r="BG807" s="142"/>
    </row>
    <row r="808">
      <c r="A808" s="5"/>
      <c r="B808" s="44"/>
      <c r="C808" s="150"/>
      <c r="D808" s="3"/>
      <c r="E808" s="3"/>
      <c r="F808" s="5"/>
      <c r="G808" s="5"/>
      <c r="H808" s="5"/>
      <c r="I808" s="3"/>
      <c r="J808" s="3"/>
      <c r="K808" s="3"/>
      <c r="L808" s="44"/>
      <c r="M808" s="150"/>
      <c r="N808" s="5"/>
      <c r="O808" s="5"/>
      <c r="P808" s="10"/>
      <c r="Q808" s="10"/>
      <c r="R808" s="144"/>
      <c r="S808" s="144"/>
      <c r="T808" s="10"/>
      <c r="U808" s="5"/>
      <c r="V808" s="3"/>
      <c r="W808" s="5"/>
      <c r="X808" s="144"/>
      <c r="Y808" s="10"/>
      <c r="Z808" s="3"/>
      <c r="AA808" s="10"/>
      <c r="AB808" s="10"/>
      <c r="AC808" s="181"/>
      <c r="AD808" s="144"/>
      <c r="AE808" s="182"/>
      <c r="AF808" s="10"/>
      <c r="AG808" s="10"/>
      <c r="AH808" s="144"/>
      <c r="AI808" s="3"/>
      <c r="AJ808" s="10"/>
      <c r="AK808" s="3"/>
      <c r="AL808" s="5"/>
      <c r="AM808" s="5"/>
      <c r="AN808" s="5"/>
      <c r="AO808" s="5"/>
      <c r="AP808" s="5"/>
      <c r="AQ808" s="5"/>
      <c r="AR808" s="5"/>
      <c r="AS808" s="142"/>
      <c r="AT808" s="142"/>
      <c r="AU808" s="142"/>
      <c r="AV808" s="142"/>
      <c r="AW808" s="142"/>
      <c r="AX808" s="142"/>
      <c r="AY808" s="142"/>
      <c r="AZ808" s="174"/>
      <c r="BA808" s="142"/>
      <c r="BB808" s="142"/>
      <c r="BC808" s="142"/>
      <c r="BD808" s="142"/>
      <c r="BE808" s="142"/>
      <c r="BF808" s="142"/>
      <c r="BG808" s="142"/>
    </row>
    <row r="809">
      <c r="A809" s="5"/>
      <c r="B809" s="44"/>
      <c r="C809" s="150"/>
      <c r="D809" s="3"/>
      <c r="E809" s="3"/>
      <c r="F809" s="5"/>
      <c r="G809" s="5"/>
      <c r="H809" s="5"/>
      <c r="I809" s="3"/>
      <c r="J809" s="3"/>
      <c r="K809" s="3"/>
      <c r="L809" s="44"/>
      <c r="M809" s="150"/>
      <c r="N809" s="5"/>
      <c r="O809" s="5"/>
      <c r="P809" s="10"/>
      <c r="Q809" s="10"/>
      <c r="R809" s="144"/>
      <c r="S809" s="144"/>
      <c r="T809" s="10"/>
      <c r="U809" s="5"/>
      <c r="V809" s="3"/>
      <c r="W809" s="5"/>
      <c r="X809" s="144"/>
      <c r="Y809" s="10"/>
      <c r="Z809" s="3"/>
      <c r="AA809" s="10"/>
      <c r="AB809" s="10"/>
      <c r="AC809" s="181"/>
      <c r="AD809" s="144"/>
      <c r="AE809" s="182"/>
      <c r="AF809" s="10"/>
      <c r="AG809" s="10"/>
      <c r="AH809" s="144"/>
      <c r="AI809" s="3"/>
      <c r="AJ809" s="10"/>
      <c r="AK809" s="3"/>
      <c r="AL809" s="5"/>
      <c r="AM809" s="5"/>
      <c r="AN809" s="5"/>
      <c r="AO809" s="5"/>
      <c r="AP809" s="5"/>
      <c r="AQ809" s="5"/>
      <c r="AR809" s="5"/>
      <c r="AS809" s="142"/>
      <c r="AT809" s="142"/>
      <c r="AU809" s="142"/>
      <c r="AV809" s="142"/>
      <c r="AW809" s="142"/>
      <c r="AX809" s="142"/>
      <c r="AY809" s="142"/>
      <c r="AZ809" s="174"/>
      <c r="BA809" s="142"/>
      <c r="BB809" s="142"/>
      <c r="BC809" s="142"/>
      <c r="BD809" s="142"/>
      <c r="BE809" s="142"/>
      <c r="BF809" s="142"/>
      <c r="BG809" s="142"/>
    </row>
    <row r="810">
      <c r="A810" s="5"/>
      <c r="B810" s="44"/>
      <c r="C810" s="150"/>
      <c r="D810" s="3"/>
      <c r="E810" s="3"/>
      <c r="F810" s="5"/>
      <c r="G810" s="5"/>
      <c r="H810" s="5"/>
      <c r="I810" s="3"/>
      <c r="J810" s="3"/>
      <c r="K810" s="3"/>
      <c r="L810" s="44"/>
      <c r="M810" s="150"/>
      <c r="N810" s="5"/>
      <c r="O810" s="5"/>
      <c r="P810" s="10"/>
      <c r="Q810" s="10"/>
      <c r="R810" s="144"/>
      <c r="S810" s="144"/>
      <c r="T810" s="10"/>
      <c r="U810" s="5"/>
      <c r="V810" s="3"/>
      <c r="W810" s="5"/>
      <c r="X810" s="144"/>
      <c r="Y810" s="10"/>
      <c r="Z810" s="3"/>
      <c r="AA810" s="10"/>
      <c r="AB810" s="10"/>
      <c r="AC810" s="181"/>
      <c r="AD810" s="144"/>
      <c r="AE810" s="182"/>
      <c r="AF810" s="10"/>
      <c r="AG810" s="10"/>
      <c r="AH810" s="144"/>
      <c r="AI810" s="3"/>
      <c r="AJ810" s="10"/>
      <c r="AK810" s="3"/>
      <c r="AL810" s="5"/>
      <c r="AM810" s="5"/>
      <c r="AN810" s="5"/>
      <c r="AO810" s="5"/>
      <c r="AP810" s="5"/>
      <c r="AQ810" s="5"/>
      <c r="AR810" s="5"/>
      <c r="AS810" s="142"/>
      <c r="AT810" s="142"/>
      <c r="AU810" s="142"/>
      <c r="AV810" s="142"/>
      <c r="AW810" s="142"/>
      <c r="AX810" s="142"/>
      <c r="AY810" s="142"/>
      <c r="AZ810" s="174"/>
      <c r="BA810" s="142"/>
      <c r="BB810" s="142"/>
      <c r="BC810" s="142"/>
      <c r="BD810" s="142"/>
      <c r="BE810" s="142"/>
      <c r="BF810" s="142"/>
      <c r="BG810" s="142"/>
    </row>
    <row r="811">
      <c r="A811" s="5"/>
      <c r="B811" s="44"/>
      <c r="C811" s="150"/>
      <c r="D811" s="3"/>
      <c r="E811" s="3"/>
      <c r="F811" s="5"/>
      <c r="G811" s="5"/>
      <c r="H811" s="5"/>
      <c r="I811" s="3"/>
      <c r="J811" s="3"/>
      <c r="K811" s="3"/>
      <c r="L811" s="44"/>
      <c r="M811" s="150"/>
      <c r="N811" s="5"/>
      <c r="O811" s="5"/>
      <c r="P811" s="10"/>
      <c r="Q811" s="10"/>
      <c r="R811" s="144"/>
      <c r="S811" s="144"/>
      <c r="T811" s="10"/>
      <c r="U811" s="5"/>
      <c r="V811" s="3"/>
      <c r="W811" s="5"/>
      <c r="X811" s="144"/>
      <c r="Y811" s="10"/>
      <c r="Z811" s="3"/>
      <c r="AA811" s="10"/>
      <c r="AB811" s="10"/>
      <c r="AC811" s="181"/>
      <c r="AD811" s="144"/>
      <c r="AE811" s="182"/>
      <c r="AF811" s="10"/>
      <c r="AG811" s="10"/>
      <c r="AH811" s="144"/>
      <c r="AI811" s="3"/>
      <c r="AJ811" s="10"/>
      <c r="AK811" s="3"/>
      <c r="AL811" s="5"/>
      <c r="AM811" s="5"/>
      <c r="AN811" s="5"/>
      <c r="AO811" s="5"/>
      <c r="AP811" s="5"/>
      <c r="AQ811" s="5"/>
      <c r="AR811" s="5"/>
      <c r="AS811" s="142"/>
      <c r="AT811" s="142"/>
      <c r="AU811" s="142"/>
      <c r="AV811" s="142"/>
      <c r="AW811" s="142"/>
      <c r="AX811" s="142"/>
      <c r="AY811" s="142"/>
      <c r="AZ811" s="174"/>
      <c r="BA811" s="142"/>
      <c r="BB811" s="142"/>
      <c r="BC811" s="142"/>
      <c r="BD811" s="142"/>
      <c r="BE811" s="142"/>
      <c r="BF811" s="142"/>
      <c r="BG811" s="142"/>
    </row>
    <row r="812">
      <c r="A812" s="5"/>
      <c r="B812" s="44"/>
      <c r="C812" s="150"/>
      <c r="D812" s="3"/>
      <c r="E812" s="3"/>
      <c r="F812" s="5"/>
      <c r="G812" s="5"/>
      <c r="H812" s="5"/>
      <c r="I812" s="3"/>
      <c r="J812" s="3"/>
      <c r="K812" s="3"/>
      <c r="L812" s="44"/>
      <c r="M812" s="150"/>
      <c r="N812" s="5"/>
      <c r="O812" s="5"/>
      <c r="P812" s="10"/>
      <c r="Q812" s="10"/>
      <c r="R812" s="144"/>
      <c r="S812" s="144"/>
      <c r="T812" s="10"/>
      <c r="U812" s="5"/>
      <c r="V812" s="3"/>
      <c r="W812" s="5"/>
      <c r="X812" s="144"/>
      <c r="Y812" s="10"/>
      <c r="Z812" s="3"/>
      <c r="AA812" s="10"/>
      <c r="AB812" s="10"/>
      <c r="AC812" s="181"/>
      <c r="AD812" s="144"/>
      <c r="AE812" s="182"/>
      <c r="AF812" s="10"/>
      <c r="AG812" s="10"/>
      <c r="AH812" s="144"/>
      <c r="AI812" s="3"/>
      <c r="AJ812" s="10"/>
      <c r="AK812" s="3"/>
      <c r="AL812" s="5"/>
      <c r="AM812" s="5"/>
      <c r="AN812" s="5"/>
      <c r="AO812" s="5"/>
      <c r="AP812" s="5"/>
      <c r="AQ812" s="5"/>
      <c r="AR812" s="5"/>
      <c r="AS812" s="142"/>
      <c r="AT812" s="142"/>
      <c r="AU812" s="142"/>
      <c r="AV812" s="142"/>
      <c r="AW812" s="142"/>
      <c r="AX812" s="142"/>
      <c r="AY812" s="142"/>
      <c r="AZ812" s="174"/>
      <c r="BA812" s="142"/>
      <c r="BB812" s="142"/>
      <c r="BC812" s="142"/>
      <c r="BD812" s="142"/>
      <c r="BE812" s="142"/>
      <c r="BF812" s="142"/>
      <c r="BG812" s="142"/>
    </row>
    <row r="813">
      <c r="A813" s="5"/>
      <c r="B813" s="44"/>
      <c r="C813" s="150"/>
      <c r="D813" s="3"/>
      <c r="E813" s="3"/>
      <c r="F813" s="5"/>
      <c r="G813" s="5"/>
      <c r="H813" s="5"/>
      <c r="I813" s="3"/>
      <c r="J813" s="3"/>
      <c r="K813" s="3"/>
      <c r="L813" s="44"/>
      <c r="M813" s="150"/>
      <c r="N813" s="5"/>
      <c r="O813" s="5"/>
      <c r="P813" s="10"/>
      <c r="Q813" s="10"/>
      <c r="R813" s="144"/>
      <c r="S813" s="144"/>
      <c r="T813" s="10"/>
      <c r="U813" s="5"/>
      <c r="V813" s="3"/>
      <c r="W813" s="5"/>
      <c r="X813" s="144"/>
      <c r="Y813" s="10"/>
      <c r="Z813" s="3"/>
      <c r="AA813" s="10"/>
      <c r="AB813" s="10"/>
      <c r="AC813" s="181"/>
      <c r="AD813" s="144"/>
      <c r="AE813" s="182"/>
      <c r="AF813" s="10"/>
      <c r="AG813" s="10"/>
      <c r="AH813" s="144"/>
      <c r="AI813" s="3"/>
      <c r="AJ813" s="10"/>
      <c r="AK813" s="3"/>
      <c r="AL813" s="5"/>
      <c r="AM813" s="5"/>
      <c r="AN813" s="5"/>
      <c r="AO813" s="5"/>
      <c r="AP813" s="5"/>
      <c r="AQ813" s="5"/>
      <c r="AR813" s="5"/>
      <c r="AS813" s="142"/>
      <c r="AT813" s="142"/>
      <c r="AU813" s="142"/>
      <c r="AV813" s="142"/>
      <c r="AW813" s="142"/>
      <c r="AX813" s="142"/>
      <c r="AY813" s="142"/>
      <c r="AZ813" s="174"/>
      <c r="BA813" s="142"/>
      <c r="BB813" s="142"/>
      <c r="BC813" s="142"/>
      <c r="BD813" s="142"/>
      <c r="BE813" s="142"/>
      <c r="BF813" s="142"/>
      <c r="BG813" s="142"/>
    </row>
    <row r="814">
      <c r="A814" s="5"/>
      <c r="B814" s="44"/>
      <c r="C814" s="150"/>
      <c r="D814" s="3"/>
      <c r="E814" s="3"/>
      <c r="F814" s="5"/>
      <c r="G814" s="5"/>
      <c r="H814" s="5"/>
      <c r="I814" s="3"/>
      <c r="J814" s="3"/>
      <c r="K814" s="3"/>
      <c r="L814" s="44"/>
      <c r="M814" s="150"/>
      <c r="N814" s="5"/>
      <c r="O814" s="5"/>
      <c r="P814" s="10"/>
      <c r="Q814" s="10"/>
      <c r="R814" s="144"/>
      <c r="S814" s="144"/>
      <c r="T814" s="10"/>
      <c r="U814" s="5"/>
      <c r="V814" s="3"/>
      <c r="W814" s="5"/>
      <c r="X814" s="144"/>
      <c r="Y814" s="10"/>
      <c r="Z814" s="3"/>
      <c r="AA814" s="10"/>
      <c r="AB814" s="10"/>
      <c r="AC814" s="181"/>
      <c r="AD814" s="144"/>
      <c r="AE814" s="182"/>
      <c r="AF814" s="10"/>
      <c r="AG814" s="10"/>
      <c r="AH814" s="144"/>
      <c r="AI814" s="3"/>
      <c r="AJ814" s="10"/>
      <c r="AK814" s="3"/>
      <c r="AL814" s="5"/>
      <c r="AM814" s="5"/>
      <c r="AN814" s="5"/>
      <c r="AO814" s="5"/>
      <c r="AP814" s="5"/>
      <c r="AQ814" s="5"/>
      <c r="AR814" s="5"/>
      <c r="AS814" s="142"/>
      <c r="AT814" s="142"/>
      <c r="AU814" s="142"/>
      <c r="AV814" s="142"/>
      <c r="AW814" s="142"/>
      <c r="AX814" s="142"/>
      <c r="AY814" s="142"/>
      <c r="AZ814" s="174"/>
      <c r="BA814" s="142"/>
      <c r="BB814" s="142"/>
      <c r="BC814" s="142"/>
      <c r="BD814" s="142"/>
      <c r="BE814" s="142"/>
      <c r="BF814" s="142"/>
      <c r="BG814" s="142"/>
    </row>
    <row r="815">
      <c r="A815" s="5"/>
      <c r="B815" s="44"/>
      <c r="C815" s="150"/>
      <c r="D815" s="3"/>
      <c r="E815" s="3"/>
      <c r="F815" s="5"/>
      <c r="G815" s="5"/>
      <c r="H815" s="5"/>
      <c r="I815" s="3"/>
      <c r="J815" s="3"/>
      <c r="K815" s="3"/>
      <c r="L815" s="44"/>
      <c r="M815" s="150"/>
      <c r="N815" s="5"/>
      <c r="O815" s="5"/>
      <c r="P815" s="10"/>
      <c r="Q815" s="10"/>
      <c r="R815" s="144"/>
      <c r="S815" s="144"/>
      <c r="T815" s="10"/>
      <c r="U815" s="5"/>
      <c r="V815" s="3"/>
      <c r="W815" s="5"/>
      <c r="X815" s="144"/>
      <c r="Y815" s="10"/>
      <c r="Z815" s="3"/>
      <c r="AA815" s="10"/>
      <c r="AB815" s="10"/>
      <c r="AC815" s="181"/>
      <c r="AD815" s="144"/>
      <c r="AE815" s="182"/>
      <c r="AF815" s="10"/>
      <c r="AG815" s="10"/>
      <c r="AH815" s="144"/>
      <c r="AI815" s="3"/>
      <c r="AJ815" s="10"/>
      <c r="AK815" s="3"/>
      <c r="AL815" s="5"/>
      <c r="AM815" s="5"/>
      <c r="AN815" s="5"/>
      <c r="AO815" s="5"/>
      <c r="AP815" s="5"/>
      <c r="AQ815" s="5"/>
      <c r="AR815" s="5"/>
      <c r="AS815" s="142"/>
      <c r="AT815" s="142"/>
      <c r="AU815" s="142"/>
      <c r="AV815" s="142"/>
      <c r="AW815" s="142"/>
      <c r="AX815" s="142"/>
      <c r="AY815" s="142"/>
      <c r="AZ815" s="174"/>
      <c r="BA815" s="142"/>
      <c r="BB815" s="142"/>
      <c r="BC815" s="142"/>
      <c r="BD815" s="142"/>
      <c r="BE815" s="142"/>
      <c r="BF815" s="142"/>
      <c r="BG815" s="142"/>
    </row>
    <row r="816">
      <c r="A816" s="5"/>
      <c r="B816" s="44"/>
      <c r="C816" s="150"/>
      <c r="D816" s="3"/>
      <c r="E816" s="3"/>
      <c r="F816" s="5"/>
      <c r="G816" s="5"/>
      <c r="H816" s="5"/>
      <c r="I816" s="3"/>
      <c r="J816" s="3"/>
      <c r="K816" s="3"/>
      <c r="L816" s="44"/>
      <c r="M816" s="150"/>
      <c r="N816" s="5"/>
      <c r="O816" s="5"/>
      <c r="P816" s="10"/>
      <c r="Q816" s="10"/>
      <c r="R816" s="144"/>
      <c r="S816" s="144"/>
      <c r="T816" s="10"/>
      <c r="U816" s="5"/>
      <c r="V816" s="3"/>
      <c r="W816" s="5"/>
      <c r="X816" s="144"/>
      <c r="Y816" s="10"/>
      <c r="Z816" s="3"/>
      <c r="AA816" s="10"/>
      <c r="AB816" s="10"/>
      <c r="AC816" s="181"/>
      <c r="AD816" s="144"/>
      <c r="AE816" s="182"/>
      <c r="AF816" s="10"/>
      <c r="AG816" s="10"/>
      <c r="AH816" s="144"/>
      <c r="AI816" s="3"/>
      <c r="AJ816" s="10"/>
      <c r="AK816" s="3"/>
      <c r="AL816" s="5"/>
      <c r="AM816" s="5"/>
      <c r="AN816" s="5"/>
      <c r="AO816" s="5"/>
      <c r="AP816" s="5"/>
      <c r="AQ816" s="5"/>
      <c r="AR816" s="5"/>
      <c r="AS816" s="142"/>
      <c r="AT816" s="142"/>
      <c r="AU816" s="142"/>
      <c r="AV816" s="142"/>
      <c r="AW816" s="142"/>
      <c r="AX816" s="142"/>
      <c r="AY816" s="142"/>
      <c r="AZ816" s="174"/>
      <c r="BA816" s="142"/>
      <c r="BB816" s="142"/>
      <c r="BC816" s="142"/>
      <c r="BD816" s="142"/>
      <c r="BE816" s="142"/>
      <c r="BF816" s="142"/>
      <c r="BG816" s="142"/>
    </row>
    <row r="817">
      <c r="A817" s="5"/>
      <c r="B817" s="44"/>
      <c r="C817" s="150"/>
      <c r="D817" s="3"/>
      <c r="E817" s="3"/>
      <c r="F817" s="5"/>
      <c r="G817" s="5"/>
      <c r="H817" s="5"/>
      <c r="I817" s="3"/>
      <c r="J817" s="3"/>
      <c r="K817" s="3"/>
      <c r="L817" s="44"/>
      <c r="M817" s="150"/>
      <c r="N817" s="5"/>
      <c r="O817" s="5"/>
      <c r="P817" s="10"/>
      <c r="Q817" s="10"/>
      <c r="R817" s="144"/>
      <c r="S817" s="144"/>
      <c r="T817" s="10"/>
      <c r="U817" s="5"/>
      <c r="V817" s="3"/>
      <c r="W817" s="5"/>
      <c r="X817" s="144"/>
      <c r="Y817" s="10"/>
      <c r="Z817" s="3"/>
      <c r="AA817" s="10"/>
      <c r="AB817" s="10"/>
      <c r="AC817" s="181"/>
      <c r="AD817" s="144"/>
      <c r="AE817" s="182"/>
      <c r="AF817" s="10"/>
      <c r="AG817" s="10"/>
      <c r="AH817" s="144"/>
      <c r="AI817" s="3"/>
      <c r="AJ817" s="10"/>
      <c r="AK817" s="3"/>
      <c r="AL817" s="5"/>
      <c r="AM817" s="5"/>
      <c r="AN817" s="5"/>
      <c r="AO817" s="5"/>
      <c r="AP817" s="5"/>
      <c r="AQ817" s="5"/>
      <c r="AR817" s="5"/>
      <c r="AS817" s="142"/>
      <c r="AT817" s="142"/>
      <c r="AU817" s="142"/>
      <c r="AV817" s="142"/>
      <c r="AW817" s="142"/>
      <c r="AX817" s="142"/>
      <c r="AY817" s="142"/>
      <c r="AZ817" s="174"/>
      <c r="BA817" s="142"/>
      <c r="BB817" s="142"/>
      <c r="BC817" s="142"/>
      <c r="BD817" s="142"/>
      <c r="BE817" s="142"/>
      <c r="BF817" s="142"/>
      <c r="BG817" s="142"/>
    </row>
    <row r="818">
      <c r="A818" s="5"/>
      <c r="B818" s="44"/>
      <c r="C818" s="150"/>
      <c r="D818" s="3"/>
      <c r="E818" s="3"/>
      <c r="F818" s="5"/>
      <c r="G818" s="5"/>
      <c r="H818" s="5"/>
      <c r="I818" s="3"/>
      <c r="J818" s="3"/>
      <c r="K818" s="3"/>
      <c r="L818" s="44"/>
      <c r="M818" s="150"/>
      <c r="N818" s="5"/>
      <c r="O818" s="5"/>
      <c r="P818" s="10"/>
      <c r="Q818" s="10"/>
      <c r="R818" s="144"/>
      <c r="S818" s="144"/>
      <c r="T818" s="10"/>
      <c r="U818" s="5"/>
      <c r="V818" s="3"/>
      <c r="W818" s="5"/>
      <c r="X818" s="144"/>
      <c r="Y818" s="10"/>
      <c r="Z818" s="3"/>
      <c r="AA818" s="10"/>
      <c r="AB818" s="10"/>
      <c r="AC818" s="181"/>
      <c r="AD818" s="144"/>
      <c r="AE818" s="182"/>
      <c r="AF818" s="10"/>
      <c r="AG818" s="10"/>
      <c r="AH818" s="144"/>
      <c r="AI818" s="3"/>
      <c r="AJ818" s="10"/>
      <c r="AK818" s="3"/>
      <c r="AL818" s="5"/>
      <c r="AM818" s="5"/>
      <c r="AN818" s="5"/>
      <c r="AO818" s="5"/>
      <c r="AP818" s="5"/>
      <c r="AQ818" s="5"/>
      <c r="AR818" s="5"/>
      <c r="AS818" s="142"/>
      <c r="AT818" s="142"/>
      <c r="AU818" s="142"/>
      <c r="AV818" s="142"/>
      <c r="AW818" s="142"/>
      <c r="AX818" s="142"/>
      <c r="AY818" s="142"/>
      <c r="AZ818" s="174"/>
      <c r="BA818" s="142"/>
      <c r="BB818" s="142"/>
      <c r="BC818" s="142"/>
      <c r="BD818" s="142"/>
      <c r="BE818" s="142"/>
      <c r="BF818" s="142"/>
      <c r="BG818" s="142"/>
    </row>
    <row r="819">
      <c r="A819" s="5"/>
      <c r="B819" s="44"/>
      <c r="C819" s="150"/>
      <c r="D819" s="3"/>
      <c r="E819" s="3"/>
      <c r="F819" s="5"/>
      <c r="G819" s="5"/>
      <c r="H819" s="5"/>
      <c r="I819" s="3"/>
      <c r="J819" s="3"/>
      <c r="K819" s="3"/>
      <c r="L819" s="44"/>
      <c r="M819" s="150"/>
      <c r="N819" s="5"/>
      <c r="O819" s="5"/>
      <c r="P819" s="10"/>
      <c r="Q819" s="10"/>
      <c r="R819" s="144"/>
      <c r="S819" s="144"/>
      <c r="T819" s="10"/>
      <c r="U819" s="5"/>
      <c r="V819" s="3"/>
      <c r="W819" s="5"/>
      <c r="X819" s="144"/>
      <c r="Y819" s="10"/>
      <c r="Z819" s="3"/>
      <c r="AA819" s="10"/>
      <c r="AB819" s="10"/>
      <c r="AC819" s="181"/>
      <c r="AD819" s="144"/>
      <c r="AE819" s="182"/>
      <c r="AF819" s="10"/>
      <c r="AG819" s="10"/>
      <c r="AH819" s="144"/>
      <c r="AI819" s="3"/>
      <c r="AJ819" s="10"/>
      <c r="AK819" s="3"/>
      <c r="AL819" s="5"/>
      <c r="AM819" s="5"/>
      <c r="AN819" s="5"/>
      <c r="AO819" s="5"/>
      <c r="AP819" s="5"/>
      <c r="AQ819" s="5"/>
      <c r="AR819" s="5"/>
      <c r="AS819" s="142"/>
      <c r="AT819" s="142"/>
      <c r="AU819" s="142"/>
      <c r="AV819" s="142"/>
      <c r="AW819" s="142"/>
      <c r="AX819" s="142"/>
      <c r="AY819" s="142"/>
      <c r="AZ819" s="174"/>
      <c r="BA819" s="142"/>
      <c r="BB819" s="142"/>
      <c r="BC819" s="142"/>
      <c r="BD819" s="142"/>
      <c r="BE819" s="142"/>
      <c r="BF819" s="142"/>
      <c r="BG819" s="142"/>
    </row>
    <row r="820">
      <c r="A820" s="5"/>
      <c r="B820" s="44"/>
      <c r="C820" s="150"/>
      <c r="D820" s="3"/>
      <c r="E820" s="3"/>
      <c r="F820" s="5"/>
      <c r="G820" s="5"/>
      <c r="H820" s="5"/>
      <c r="I820" s="3"/>
      <c r="J820" s="3"/>
      <c r="K820" s="3"/>
      <c r="L820" s="44"/>
      <c r="M820" s="150"/>
      <c r="N820" s="5"/>
      <c r="O820" s="5"/>
      <c r="P820" s="10"/>
      <c r="Q820" s="10"/>
      <c r="R820" s="144"/>
      <c r="S820" s="144"/>
      <c r="T820" s="10"/>
      <c r="U820" s="5"/>
      <c r="V820" s="3"/>
      <c r="W820" s="5"/>
      <c r="X820" s="144"/>
      <c r="Y820" s="10"/>
      <c r="Z820" s="3"/>
      <c r="AA820" s="10"/>
      <c r="AB820" s="10"/>
      <c r="AC820" s="181"/>
      <c r="AD820" s="144"/>
      <c r="AE820" s="182"/>
      <c r="AF820" s="10"/>
      <c r="AG820" s="10"/>
      <c r="AH820" s="144"/>
      <c r="AI820" s="3"/>
      <c r="AJ820" s="10"/>
      <c r="AK820" s="3"/>
      <c r="AL820" s="5"/>
      <c r="AM820" s="5"/>
      <c r="AN820" s="5"/>
      <c r="AO820" s="5"/>
      <c r="AP820" s="5"/>
      <c r="AQ820" s="5"/>
      <c r="AR820" s="5"/>
      <c r="AS820" s="142"/>
      <c r="AT820" s="142"/>
      <c r="AU820" s="142"/>
      <c r="AV820" s="142"/>
      <c r="AW820" s="142"/>
      <c r="AX820" s="142"/>
      <c r="AY820" s="142"/>
      <c r="AZ820" s="174"/>
      <c r="BA820" s="142"/>
      <c r="BB820" s="142"/>
      <c r="BC820" s="142"/>
      <c r="BD820" s="142"/>
      <c r="BE820" s="142"/>
      <c r="BF820" s="142"/>
      <c r="BG820" s="142"/>
    </row>
    <row r="821">
      <c r="A821" s="5"/>
      <c r="B821" s="44"/>
      <c r="C821" s="150"/>
      <c r="D821" s="3"/>
      <c r="E821" s="3"/>
      <c r="F821" s="5"/>
      <c r="G821" s="5"/>
      <c r="H821" s="5"/>
      <c r="I821" s="3"/>
      <c r="J821" s="3"/>
      <c r="K821" s="3"/>
      <c r="L821" s="44"/>
      <c r="M821" s="150"/>
      <c r="N821" s="5"/>
      <c r="O821" s="5"/>
      <c r="P821" s="10"/>
      <c r="Q821" s="10"/>
      <c r="R821" s="144"/>
      <c r="S821" s="144"/>
      <c r="T821" s="10"/>
      <c r="U821" s="5"/>
      <c r="V821" s="3"/>
      <c r="W821" s="5"/>
      <c r="X821" s="144"/>
      <c r="Y821" s="10"/>
      <c r="Z821" s="3"/>
      <c r="AA821" s="10"/>
      <c r="AB821" s="10"/>
      <c r="AC821" s="181"/>
      <c r="AD821" s="144"/>
      <c r="AE821" s="182"/>
      <c r="AF821" s="10"/>
      <c r="AG821" s="10"/>
      <c r="AH821" s="144"/>
      <c r="AI821" s="3"/>
      <c r="AJ821" s="10"/>
      <c r="AK821" s="3"/>
      <c r="AL821" s="5"/>
      <c r="AM821" s="5"/>
      <c r="AN821" s="5"/>
      <c r="AO821" s="5"/>
      <c r="AP821" s="5"/>
      <c r="AQ821" s="5"/>
      <c r="AR821" s="5"/>
      <c r="AS821" s="142"/>
      <c r="AT821" s="142"/>
      <c r="AU821" s="142"/>
      <c r="AV821" s="142"/>
      <c r="AW821" s="142"/>
      <c r="AX821" s="142"/>
      <c r="AY821" s="142"/>
      <c r="AZ821" s="174"/>
      <c r="BA821" s="142"/>
      <c r="BB821" s="142"/>
      <c r="BC821" s="142"/>
      <c r="BD821" s="142"/>
      <c r="BE821" s="142"/>
      <c r="BF821" s="142"/>
      <c r="BG821" s="142"/>
    </row>
    <row r="822">
      <c r="A822" s="5"/>
      <c r="B822" s="44"/>
      <c r="C822" s="150"/>
      <c r="D822" s="3"/>
      <c r="E822" s="3"/>
      <c r="F822" s="5"/>
      <c r="G822" s="5"/>
      <c r="H822" s="5"/>
      <c r="I822" s="3"/>
      <c r="J822" s="3"/>
      <c r="K822" s="3"/>
      <c r="L822" s="44"/>
      <c r="M822" s="150"/>
      <c r="N822" s="5"/>
      <c r="O822" s="5"/>
      <c r="P822" s="10"/>
      <c r="Q822" s="10"/>
      <c r="R822" s="144"/>
      <c r="S822" s="144"/>
      <c r="T822" s="10"/>
      <c r="U822" s="5"/>
      <c r="V822" s="3"/>
      <c r="W822" s="5"/>
      <c r="X822" s="144"/>
      <c r="Y822" s="10"/>
      <c r="Z822" s="3"/>
      <c r="AA822" s="10"/>
      <c r="AB822" s="10"/>
      <c r="AC822" s="181"/>
      <c r="AD822" s="144"/>
      <c r="AE822" s="182"/>
      <c r="AF822" s="10"/>
      <c r="AG822" s="10"/>
      <c r="AH822" s="144"/>
      <c r="AI822" s="3"/>
      <c r="AJ822" s="10"/>
      <c r="AK822" s="3"/>
      <c r="AL822" s="5"/>
      <c r="AM822" s="5"/>
      <c r="AN822" s="5"/>
      <c r="AO822" s="5"/>
      <c r="AP822" s="5"/>
      <c r="AQ822" s="5"/>
      <c r="AR822" s="5"/>
      <c r="AS822" s="142"/>
      <c r="AT822" s="142"/>
      <c r="AU822" s="142"/>
      <c r="AV822" s="142"/>
      <c r="AW822" s="142"/>
      <c r="AX822" s="142"/>
      <c r="AY822" s="142"/>
      <c r="AZ822" s="174"/>
      <c r="BA822" s="142"/>
      <c r="BB822" s="142"/>
      <c r="BC822" s="142"/>
      <c r="BD822" s="142"/>
      <c r="BE822" s="142"/>
      <c r="BF822" s="142"/>
      <c r="BG822" s="142"/>
    </row>
    <row r="823">
      <c r="A823" s="5"/>
      <c r="B823" s="44"/>
      <c r="C823" s="150"/>
      <c r="D823" s="3"/>
      <c r="E823" s="3"/>
      <c r="F823" s="5"/>
      <c r="G823" s="5"/>
      <c r="H823" s="5"/>
      <c r="I823" s="3"/>
      <c r="J823" s="3"/>
      <c r="K823" s="3"/>
      <c r="L823" s="44"/>
      <c r="M823" s="150"/>
      <c r="N823" s="5"/>
      <c r="O823" s="5"/>
      <c r="P823" s="10"/>
      <c r="Q823" s="10"/>
      <c r="R823" s="144"/>
      <c r="S823" s="144"/>
      <c r="T823" s="10"/>
      <c r="U823" s="5"/>
      <c r="V823" s="3"/>
      <c r="W823" s="5"/>
      <c r="X823" s="144"/>
      <c r="Y823" s="10"/>
      <c r="Z823" s="3"/>
      <c r="AA823" s="10"/>
      <c r="AB823" s="10"/>
      <c r="AC823" s="181"/>
      <c r="AD823" s="144"/>
      <c r="AE823" s="182"/>
      <c r="AF823" s="10"/>
      <c r="AG823" s="10"/>
      <c r="AH823" s="144"/>
      <c r="AI823" s="3"/>
      <c r="AJ823" s="10"/>
      <c r="AK823" s="3"/>
      <c r="AL823" s="5"/>
      <c r="AM823" s="5"/>
      <c r="AN823" s="5"/>
      <c r="AO823" s="5"/>
      <c r="AP823" s="5"/>
      <c r="AQ823" s="5"/>
      <c r="AR823" s="5"/>
      <c r="AS823" s="142"/>
      <c r="AT823" s="142"/>
      <c r="AU823" s="142"/>
      <c r="AV823" s="142"/>
      <c r="AW823" s="142"/>
      <c r="AX823" s="142"/>
      <c r="AY823" s="142"/>
      <c r="AZ823" s="174"/>
      <c r="BA823" s="142"/>
      <c r="BB823" s="142"/>
      <c r="BC823" s="142"/>
      <c r="BD823" s="142"/>
      <c r="BE823" s="142"/>
      <c r="BF823" s="142"/>
      <c r="BG823" s="142"/>
    </row>
    <row r="824">
      <c r="A824" s="5"/>
      <c r="B824" s="44"/>
      <c r="C824" s="150"/>
      <c r="D824" s="3"/>
      <c r="E824" s="3"/>
      <c r="F824" s="5"/>
      <c r="G824" s="5"/>
      <c r="H824" s="5"/>
      <c r="I824" s="3"/>
      <c r="J824" s="3"/>
      <c r="K824" s="3"/>
      <c r="L824" s="44"/>
      <c r="M824" s="150"/>
      <c r="N824" s="5"/>
      <c r="O824" s="5"/>
      <c r="P824" s="10"/>
      <c r="Q824" s="10"/>
      <c r="R824" s="144"/>
      <c r="S824" s="144"/>
      <c r="T824" s="10"/>
      <c r="U824" s="5"/>
      <c r="V824" s="3"/>
      <c r="W824" s="5"/>
      <c r="X824" s="144"/>
      <c r="Y824" s="10"/>
      <c r="Z824" s="3"/>
      <c r="AA824" s="10"/>
      <c r="AB824" s="10"/>
      <c r="AC824" s="181"/>
      <c r="AD824" s="144"/>
      <c r="AE824" s="182"/>
      <c r="AF824" s="10"/>
      <c r="AG824" s="10"/>
      <c r="AH824" s="144"/>
      <c r="AI824" s="3"/>
      <c r="AJ824" s="10"/>
      <c r="AK824" s="3"/>
      <c r="AL824" s="5"/>
      <c r="AM824" s="5"/>
      <c r="AN824" s="5"/>
      <c r="AO824" s="5"/>
      <c r="AP824" s="5"/>
      <c r="AQ824" s="5"/>
      <c r="AR824" s="5"/>
      <c r="AS824" s="142"/>
      <c r="AT824" s="142"/>
      <c r="AU824" s="142"/>
      <c r="AV824" s="142"/>
      <c r="AW824" s="142"/>
      <c r="AX824" s="142"/>
      <c r="AY824" s="142"/>
      <c r="AZ824" s="174"/>
      <c r="BA824" s="142"/>
      <c r="BB824" s="142"/>
      <c r="BC824" s="142"/>
      <c r="BD824" s="142"/>
      <c r="BE824" s="142"/>
      <c r="BF824" s="142"/>
      <c r="BG824" s="142"/>
    </row>
    <row r="825">
      <c r="A825" s="5"/>
      <c r="B825" s="44"/>
      <c r="C825" s="150"/>
      <c r="D825" s="3"/>
      <c r="E825" s="3"/>
      <c r="F825" s="5"/>
      <c r="G825" s="5"/>
      <c r="H825" s="5"/>
      <c r="I825" s="3"/>
      <c r="J825" s="3"/>
      <c r="K825" s="3"/>
      <c r="L825" s="44"/>
      <c r="M825" s="150"/>
      <c r="N825" s="5"/>
      <c r="O825" s="5"/>
      <c r="P825" s="10"/>
      <c r="Q825" s="10"/>
      <c r="R825" s="144"/>
      <c r="S825" s="144"/>
      <c r="T825" s="10"/>
      <c r="U825" s="5"/>
      <c r="V825" s="3"/>
      <c r="W825" s="5"/>
      <c r="X825" s="144"/>
      <c r="Y825" s="10"/>
      <c r="Z825" s="3"/>
      <c r="AA825" s="10"/>
      <c r="AB825" s="10"/>
      <c r="AC825" s="181"/>
      <c r="AD825" s="144"/>
      <c r="AE825" s="182"/>
      <c r="AF825" s="10"/>
      <c r="AG825" s="10"/>
      <c r="AH825" s="144"/>
      <c r="AI825" s="3"/>
      <c r="AJ825" s="10"/>
      <c r="AK825" s="3"/>
      <c r="AL825" s="5"/>
      <c r="AM825" s="5"/>
      <c r="AN825" s="5"/>
      <c r="AO825" s="5"/>
      <c r="AP825" s="5"/>
      <c r="AQ825" s="5"/>
      <c r="AR825" s="5"/>
      <c r="AS825" s="142"/>
      <c r="AT825" s="142"/>
      <c r="AU825" s="142"/>
      <c r="AV825" s="142"/>
      <c r="AW825" s="142"/>
      <c r="AX825" s="142"/>
      <c r="AY825" s="142"/>
      <c r="AZ825" s="174"/>
      <c r="BA825" s="142"/>
      <c r="BB825" s="142"/>
      <c r="BC825" s="142"/>
      <c r="BD825" s="142"/>
      <c r="BE825" s="142"/>
      <c r="BF825" s="142"/>
      <c r="BG825" s="142"/>
    </row>
    <row r="826">
      <c r="A826" s="5"/>
      <c r="B826" s="44"/>
      <c r="C826" s="150"/>
      <c r="D826" s="3"/>
      <c r="E826" s="3"/>
      <c r="F826" s="5"/>
      <c r="G826" s="5"/>
      <c r="H826" s="5"/>
      <c r="I826" s="3"/>
      <c r="J826" s="3"/>
      <c r="K826" s="3"/>
      <c r="L826" s="44"/>
      <c r="M826" s="150"/>
      <c r="N826" s="5"/>
      <c r="O826" s="5"/>
      <c r="P826" s="10"/>
      <c r="Q826" s="10"/>
      <c r="R826" s="144"/>
      <c r="S826" s="144"/>
      <c r="T826" s="10"/>
      <c r="U826" s="5"/>
      <c r="V826" s="3"/>
      <c r="W826" s="5"/>
      <c r="X826" s="144"/>
      <c r="Y826" s="10"/>
      <c r="Z826" s="3"/>
      <c r="AA826" s="10"/>
      <c r="AB826" s="10"/>
      <c r="AC826" s="181"/>
      <c r="AD826" s="144"/>
      <c r="AE826" s="182"/>
      <c r="AF826" s="10"/>
      <c r="AG826" s="10"/>
      <c r="AH826" s="144"/>
      <c r="AI826" s="3"/>
      <c r="AJ826" s="10"/>
      <c r="AK826" s="3"/>
      <c r="AL826" s="5"/>
      <c r="AM826" s="5"/>
      <c r="AN826" s="5"/>
      <c r="AO826" s="5"/>
      <c r="AP826" s="5"/>
      <c r="AQ826" s="5"/>
      <c r="AR826" s="5"/>
      <c r="AS826" s="142"/>
      <c r="AT826" s="142"/>
      <c r="AU826" s="142"/>
      <c r="AV826" s="142"/>
      <c r="AW826" s="142"/>
      <c r="AX826" s="142"/>
      <c r="AY826" s="142"/>
      <c r="AZ826" s="174"/>
      <c r="BA826" s="142"/>
      <c r="BB826" s="142"/>
      <c r="BC826" s="142"/>
      <c r="BD826" s="142"/>
      <c r="BE826" s="142"/>
      <c r="BF826" s="142"/>
      <c r="BG826" s="142"/>
    </row>
    <row r="827">
      <c r="A827" s="5"/>
      <c r="B827" s="44"/>
      <c r="C827" s="150"/>
      <c r="D827" s="3"/>
      <c r="E827" s="3"/>
      <c r="F827" s="5"/>
      <c r="G827" s="5"/>
      <c r="H827" s="5"/>
      <c r="I827" s="3"/>
      <c r="J827" s="3"/>
      <c r="K827" s="3"/>
      <c r="L827" s="44"/>
      <c r="M827" s="150"/>
      <c r="N827" s="5"/>
      <c r="O827" s="5"/>
      <c r="P827" s="10"/>
      <c r="Q827" s="10"/>
      <c r="R827" s="144"/>
      <c r="S827" s="144"/>
      <c r="T827" s="10"/>
      <c r="U827" s="5"/>
      <c r="V827" s="3"/>
      <c r="W827" s="5"/>
      <c r="X827" s="144"/>
      <c r="Y827" s="10"/>
      <c r="Z827" s="3"/>
      <c r="AA827" s="10"/>
      <c r="AB827" s="10"/>
      <c r="AC827" s="181"/>
      <c r="AD827" s="144"/>
      <c r="AE827" s="182"/>
      <c r="AF827" s="10"/>
      <c r="AG827" s="10"/>
      <c r="AH827" s="144"/>
      <c r="AI827" s="3"/>
      <c r="AJ827" s="10"/>
      <c r="AK827" s="3"/>
      <c r="AL827" s="5"/>
      <c r="AM827" s="5"/>
      <c r="AN827" s="5"/>
      <c r="AO827" s="5"/>
      <c r="AP827" s="5"/>
      <c r="AQ827" s="5"/>
      <c r="AR827" s="5"/>
      <c r="AS827" s="142"/>
      <c r="AT827" s="142"/>
      <c r="AU827" s="142"/>
      <c r="AV827" s="142"/>
      <c r="AW827" s="142"/>
      <c r="AX827" s="142"/>
      <c r="AY827" s="142"/>
      <c r="AZ827" s="174"/>
      <c r="BA827" s="142"/>
      <c r="BB827" s="142"/>
      <c r="BC827" s="142"/>
      <c r="BD827" s="142"/>
      <c r="BE827" s="142"/>
      <c r="BF827" s="142"/>
      <c r="BG827" s="142"/>
    </row>
    <row r="828">
      <c r="A828" s="5"/>
      <c r="B828" s="44"/>
      <c r="C828" s="150"/>
      <c r="D828" s="3"/>
      <c r="E828" s="3"/>
      <c r="F828" s="5"/>
      <c r="G828" s="5"/>
      <c r="H828" s="5"/>
      <c r="I828" s="3"/>
      <c r="J828" s="3"/>
      <c r="K828" s="3"/>
      <c r="L828" s="44"/>
      <c r="M828" s="150"/>
      <c r="N828" s="5"/>
      <c r="O828" s="5"/>
      <c r="P828" s="10"/>
      <c r="Q828" s="10"/>
      <c r="R828" s="144"/>
      <c r="S828" s="144"/>
      <c r="T828" s="10"/>
      <c r="U828" s="5"/>
      <c r="V828" s="3"/>
      <c r="W828" s="5"/>
      <c r="X828" s="144"/>
      <c r="Y828" s="10"/>
      <c r="Z828" s="3"/>
      <c r="AA828" s="10"/>
      <c r="AB828" s="10"/>
      <c r="AC828" s="181"/>
      <c r="AD828" s="144"/>
      <c r="AE828" s="182"/>
      <c r="AF828" s="10"/>
      <c r="AG828" s="10"/>
      <c r="AH828" s="144"/>
      <c r="AI828" s="3"/>
      <c r="AJ828" s="10"/>
      <c r="AK828" s="3"/>
      <c r="AL828" s="5"/>
      <c r="AM828" s="5"/>
      <c r="AN828" s="5"/>
      <c r="AO828" s="5"/>
      <c r="AP828" s="5"/>
      <c r="AQ828" s="5"/>
      <c r="AR828" s="5"/>
      <c r="AS828" s="142"/>
      <c r="AT828" s="142"/>
      <c r="AU828" s="142"/>
      <c r="AV828" s="142"/>
      <c r="AW828" s="142"/>
      <c r="AX828" s="142"/>
      <c r="AY828" s="142"/>
      <c r="AZ828" s="174"/>
      <c r="BA828" s="142"/>
      <c r="BB828" s="142"/>
      <c r="BC828" s="142"/>
      <c r="BD828" s="142"/>
      <c r="BE828" s="142"/>
      <c r="BF828" s="142"/>
      <c r="BG828" s="142"/>
    </row>
    <row r="829">
      <c r="A829" s="5"/>
      <c r="B829" s="44"/>
      <c r="C829" s="150"/>
      <c r="D829" s="3"/>
      <c r="E829" s="3"/>
      <c r="F829" s="5"/>
      <c r="G829" s="5"/>
      <c r="H829" s="5"/>
      <c r="I829" s="3"/>
      <c r="J829" s="3"/>
      <c r="K829" s="3"/>
      <c r="L829" s="44"/>
      <c r="M829" s="150"/>
      <c r="N829" s="5"/>
      <c r="O829" s="5"/>
      <c r="P829" s="10"/>
      <c r="Q829" s="10"/>
      <c r="R829" s="144"/>
      <c r="S829" s="144"/>
      <c r="T829" s="10"/>
      <c r="U829" s="5"/>
      <c r="V829" s="3"/>
      <c r="W829" s="5"/>
      <c r="X829" s="144"/>
      <c r="Y829" s="10"/>
      <c r="Z829" s="3"/>
      <c r="AA829" s="10"/>
      <c r="AB829" s="10"/>
      <c r="AC829" s="181"/>
      <c r="AD829" s="144"/>
      <c r="AE829" s="182"/>
      <c r="AF829" s="10"/>
      <c r="AG829" s="10"/>
      <c r="AH829" s="144"/>
      <c r="AI829" s="3"/>
      <c r="AJ829" s="10"/>
      <c r="AK829" s="3"/>
      <c r="AL829" s="5"/>
      <c r="AM829" s="5"/>
      <c r="AN829" s="5"/>
      <c r="AO829" s="5"/>
      <c r="AP829" s="5"/>
      <c r="AQ829" s="5"/>
      <c r="AR829" s="5"/>
      <c r="AS829" s="142"/>
      <c r="AT829" s="142"/>
      <c r="AU829" s="142"/>
      <c r="AV829" s="142"/>
      <c r="AW829" s="142"/>
      <c r="AX829" s="142"/>
      <c r="AY829" s="142"/>
      <c r="AZ829" s="174"/>
      <c r="BA829" s="142"/>
      <c r="BB829" s="142"/>
      <c r="BC829" s="142"/>
      <c r="BD829" s="142"/>
      <c r="BE829" s="142"/>
      <c r="BF829" s="142"/>
      <c r="BG829" s="142"/>
    </row>
    <row r="830">
      <c r="A830" s="5"/>
      <c r="B830" s="44"/>
      <c r="C830" s="150"/>
      <c r="D830" s="3"/>
      <c r="E830" s="3"/>
      <c r="F830" s="5"/>
      <c r="G830" s="5"/>
      <c r="H830" s="5"/>
      <c r="I830" s="3"/>
      <c r="J830" s="3"/>
      <c r="K830" s="3"/>
      <c r="L830" s="44"/>
      <c r="M830" s="150"/>
      <c r="N830" s="5"/>
      <c r="O830" s="5"/>
      <c r="P830" s="10"/>
      <c r="Q830" s="10"/>
      <c r="R830" s="144"/>
      <c r="S830" s="144"/>
      <c r="T830" s="10"/>
      <c r="U830" s="5"/>
      <c r="V830" s="3"/>
      <c r="W830" s="5"/>
      <c r="X830" s="144"/>
      <c r="Y830" s="10"/>
      <c r="Z830" s="3"/>
      <c r="AA830" s="10"/>
      <c r="AB830" s="10"/>
      <c r="AC830" s="181"/>
      <c r="AD830" s="144"/>
      <c r="AE830" s="182"/>
      <c r="AF830" s="10"/>
      <c r="AG830" s="10"/>
      <c r="AH830" s="144"/>
      <c r="AI830" s="3"/>
      <c r="AJ830" s="10"/>
      <c r="AK830" s="3"/>
      <c r="AL830" s="5"/>
      <c r="AM830" s="5"/>
      <c r="AN830" s="5"/>
      <c r="AO830" s="5"/>
      <c r="AP830" s="5"/>
      <c r="AQ830" s="5"/>
      <c r="AR830" s="5"/>
      <c r="AS830" s="142"/>
      <c r="AT830" s="142"/>
      <c r="AU830" s="142"/>
      <c r="AV830" s="142"/>
      <c r="AW830" s="142"/>
      <c r="AX830" s="142"/>
      <c r="AY830" s="142"/>
      <c r="AZ830" s="174"/>
      <c r="BA830" s="142"/>
      <c r="BB830" s="142"/>
      <c r="BC830" s="142"/>
      <c r="BD830" s="142"/>
      <c r="BE830" s="142"/>
      <c r="BF830" s="142"/>
      <c r="BG830" s="142"/>
    </row>
    <row r="831">
      <c r="A831" s="5"/>
      <c r="B831" s="44"/>
      <c r="C831" s="150"/>
      <c r="D831" s="3"/>
      <c r="E831" s="3"/>
      <c r="F831" s="5"/>
      <c r="G831" s="5"/>
      <c r="H831" s="5"/>
      <c r="I831" s="3"/>
      <c r="J831" s="3"/>
      <c r="K831" s="3"/>
      <c r="L831" s="44"/>
      <c r="M831" s="150"/>
      <c r="N831" s="5"/>
      <c r="O831" s="5"/>
      <c r="P831" s="10"/>
      <c r="Q831" s="10"/>
      <c r="R831" s="144"/>
      <c r="S831" s="144"/>
      <c r="T831" s="10"/>
      <c r="U831" s="5"/>
      <c r="V831" s="3"/>
      <c r="W831" s="5"/>
      <c r="X831" s="144"/>
      <c r="Y831" s="10"/>
      <c r="Z831" s="3"/>
      <c r="AA831" s="10"/>
      <c r="AB831" s="10"/>
      <c r="AC831" s="181"/>
      <c r="AD831" s="144"/>
      <c r="AE831" s="182"/>
      <c r="AF831" s="10"/>
      <c r="AG831" s="10"/>
      <c r="AH831" s="144"/>
      <c r="AI831" s="3"/>
      <c r="AJ831" s="10"/>
      <c r="AK831" s="3"/>
      <c r="AL831" s="5"/>
      <c r="AM831" s="5"/>
      <c r="AN831" s="5"/>
      <c r="AO831" s="5"/>
      <c r="AP831" s="5"/>
      <c r="AQ831" s="5"/>
      <c r="AR831" s="5"/>
      <c r="AS831" s="142"/>
      <c r="AT831" s="142"/>
      <c r="AU831" s="142"/>
      <c r="AV831" s="142"/>
      <c r="AW831" s="142"/>
      <c r="AX831" s="142"/>
      <c r="AY831" s="142"/>
      <c r="AZ831" s="174"/>
      <c r="BA831" s="142"/>
      <c r="BB831" s="142"/>
      <c r="BC831" s="142"/>
      <c r="BD831" s="142"/>
      <c r="BE831" s="142"/>
      <c r="BF831" s="142"/>
      <c r="BG831" s="142"/>
    </row>
    <row r="832">
      <c r="A832" s="5"/>
      <c r="B832" s="44"/>
      <c r="C832" s="150"/>
      <c r="D832" s="3"/>
      <c r="E832" s="3"/>
      <c r="F832" s="5"/>
      <c r="G832" s="5"/>
      <c r="H832" s="5"/>
      <c r="I832" s="3"/>
      <c r="J832" s="3"/>
      <c r="K832" s="3"/>
      <c r="L832" s="44"/>
      <c r="M832" s="150"/>
      <c r="N832" s="5"/>
      <c r="O832" s="5"/>
      <c r="P832" s="10"/>
      <c r="Q832" s="10"/>
      <c r="R832" s="144"/>
      <c r="S832" s="144"/>
      <c r="T832" s="10"/>
      <c r="U832" s="5"/>
      <c r="V832" s="3"/>
      <c r="W832" s="5"/>
      <c r="X832" s="144"/>
      <c r="Y832" s="10"/>
      <c r="Z832" s="3"/>
      <c r="AA832" s="10"/>
      <c r="AB832" s="10"/>
      <c r="AC832" s="181"/>
      <c r="AD832" s="144"/>
      <c r="AE832" s="182"/>
      <c r="AF832" s="10"/>
      <c r="AG832" s="10"/>
      <c r="AH832" s="144"/>
      <c r="AI832" s="3"/>
      <c r="AJ832" s="10"/>
      <c r="AK832" s="3"/>
      <c r="AL832" s="5"/>
      <c r="AM832" s="5"/>
      <c r="AN832" s="5"/>
      <c r="AO832" s="5"/>
      <c r="AP832" s="5"/>
      <c r="AQ832" s="5"/>
      <c r="AR832" s="5"/>
      <c r="AS832" s="142"/>
      <c r="AT832" s="142"/>
      <c r="AU832" s="142"/>
      <c r="AV832" s="142"/>
      <c r="AW832" s="142"/>
      <c r="AX832" s="142"/>
      <c r="AY832" s="142"/>
      <c r="AZ832" s="174"/>
      <c r="BA832" s="142"/>
      <c r="BB832" s="142"/>
      <c r="BC832" s="142"/>
      <c r="BD832" s="142"/>
      <c r="BE832" s="142"/>
      <c r="BF832" s="142"/>
      <c r="BG832" s="142"/>
    </row>
    <row r="833">
      <c r="A833" s="5"/>
      <c r="B833" s="44"/>
      <c r="C833" s="150"/>
      <c r="D833" s="3"/>
      <c r="E833" s="3"/>
      <c r="F833" s="5"/>
      <c r="G833" s="5"/>
      <c r="H833" s="5"/>
      <c r="I833" s="3"/>
      <c r="J833" s="3"/>
      <c r="K833" s="3"/>
      <c r="L833" s="44"/>
      <c r="M833" s="150"/>
      <c r="N833" s="5"/>
      <c r="O833" s="5"/>
      <c r="P833" s="10"/>
      <c r="Q833" s="10"/>
      <c r="R833" s="144"/>
      <c r="S833" s="144"/>
      <c r="T833" s="10"/>
      <c r="U833" s="5"/>
      <c r="V833" s="3"/>
      <c r="W833" s="5"/>
      <c r="X833" s="144"/>
      <c r="Y833" s="10"/>
      <c r="Z833" s="3"/>
      <c r="AA833" s="10"/>
      <c r="AB833" s="10"/>
      <c r="AC833" s="181"/>
      <c r="AD833" s="144"/>
      <c r="AE833" s="182"/>
      <c r="AF833" s="10"/>
      <c r="AG833" s="10"/>
      <c r="AH833" s="144"/>
      <c r="AI833" s="3"/>
      <c r="AJ833" s="10"/>
      <c r="AK833" s="3"/>
      <c r="AL833" s="5"/>
      <c r="AM833" s="5"/>
      <c r="AN833" s="5"/>
      <c r="AO833" s="5"/>
      <c r="AP833" s="5"/>
      <c r="AQ833" s="5"/>
      <c r="AR833" s="5"/>
      <c r="AS833" s="142"/>
      <c r="AT833" s="142"/>
      <c r="AU833" s="142"/>
      <c r="AV833" s="142"/>
      <c r="AW833" s="142"/>
      <c r="AX833" s="142"/>
      <c r="AY833" s="142"/>
      <c r="AZ833" s="174"/>
      <c r="BA833" s="142"/>
      <c r="BB833" s="142"/>
      <c r="BC833" s="142"/>
      <c r="BD833" s="142"/>
      <c r="BE833" s="142"/>
      <c r="BF833" s="142"/>
      <c r="BG833" s="142"/>
    </row>
    <row r="834">
      <c r="A834" s="5"/>
      <c r="B834" s="44"/>
      <c r="C834" s="150"/>
      <c r="D834" s="3"/>
      <c r="E834" s="3"/>
      <c r="F834" s="5"/>
      <c r="G834" s="5"/>
      <c r="H834" s="5"/>
      <c r="I834" s="3"/>
      <c r="J834" s="3"/>
      <c r="K834" s="3"/>
      <c r="L834" s="44"/>
      <c r="M834" s="150"/>
      <c r="N834" s="5"/>
      <c r="O834" s="5"/>
      <c r="P834" s="10"/>
      <c r="Q834" s="10"/>
      <c r="R834" s="144"/>
      <c r="S834" s="144"/>
      <c r="T834" s="10"/>
      <c r="U834" s="5"/>
      <c r="V834" s="3"/>
      <c r="W834" s="5"/>
      <c r="X834" s="144"/>
      <c r="Y834" s="10"/>
      <c r="Z834" s="3"/>
      <c r="AA834" s="10"/>
      <c r="AB834" s="10"/>
      <c r="AC834" s="181"/>
      <c r="AD834" s="144"/>
      <c r="AE834" s="182"/>
      <c r="AF834" s="10"/>
      <c r="AG834" s="10"/>
      <c r="AH834" s="144"/>
      <c r="AI834" s="3"/>
      <c r="AJ834" s="10"/>
      <c r="AK834" s="3"/>
      <c r="AL834" s="5"/>
      <c r="AM834" s="5"/>
      <c r="AN834" s="5"/>
      <c r="AO834" s="5"/>
      <c r="AP834" s="5"/>
      <c r="AQ834" s="5"/>
      <c r="AR834" s="5"/>
      <c r="AS834" s="142"/>
      <c r="AT834" s="142"/>
      <c r="AU834" s="142"/>
      <c r="AV834" s="142"/>
      <c r="AW834" s="142"/>
      <c r="AX834" s="142"/>
      <c r="AY834" s="142"/>
      <c r="AZ834" s="174"/>
      <c r="BA834" s="142"/>
      <c r="BB834" s="142"/>
      <c r="BC834" s="142"/>
      <c r="BD834" s="142"/>
      <c r="BE834" s="142"/>
      <c r="BF834" s="142"/>
      <c r="BG834" s="142"/>
    </row>
    <row r="835">
      <c r="A835" s="5"/>
      <c r="B835" s="44"/>
      <c r="C835" s="150"/>
      <c r="D835" s="3"/>
      <c r="E835" s="3"/>
      <c r="F835" s="5"/>
      <c r="G835" s="5"/>
      <c r="H835" s="5"/>
      <c r="I835" s="3"/>
      <c r="J835" s="3"/>
      <c r="K835" s="3"/>
      <c r="L835" s="44"/>
      <c r="M835" s="150"/>
      <c r="N835" s="5"/>
      <c r="O835" s="5"/>
      <c r="P835" s="10"/>
      <c r="Q835" s="10"/>
      <c r="R835" s="144"/>
      <c r="S835" s="144"/>
      <c r="T835" s="10"/>
      <c r="U835" s="5"/>
      <c r="V835" s="3"/>
      <c r="W835" s="5"/>
      <c r="X835" s="144"/>
      <c r="Y835" s="10"/>
      <c r="Z835" s="3"/>
      <c r="AA835" s="10"/>
      <c r="AB835" s="10"/>
      <c r="AC835" s="181"/>
      <c r="AD835" s="144"/>
      <c r="AE835" s="182"/>
      <c r="AF835" s="10"/>
      <c r="AG835" s="10"/>
      <c r="AH835" s="144"/>
      <c r="AI835" s="3"/>
      <c r="AJ835" s="10"/>
      <c r="AK835" s="3"/>
      <c r="AL835" s="5"/>
      <c r="AM835" s="5"/>
      <c r="AN835" s="5"/>
      <c r="AO835" s="5"/>
      <c r="AP835" s="5"/>
      <c r="AQ835" s="5"/>
      <c r="AR835" s="5"/>
      <c r="AS835" s="142"/>
      <c r="AT835" s="142"/>
      <c r="AU835" s="142"/>
      <c r="AV835" s="142"/>
      <c r="AW835" s="142"/>
      <c r="AX835" s="142"/>
      <c r="AY835" s="142"/>
      <c r="AZ835" s="174"/>
      <c r="BA835" s="142"/>
      <c r="BB835" s="142"/>
      <c r="BC835" s="142"/>
      <c r="BD835" s="142"/>
      <c r="BE835" s="142"/>
      <c r="BF835" s="142"/>
      <c r="BG835" s="142"/>
    </row>
    <row r="836">
      <c r="A836" s="5"/>
      <c r="B836" s="44"/>
      <c r="C836" s="150"/>
      <c r="D836" s="3"/>
      <c r="E836" s="3"/>
      <c r="F836" s="5"/>
      <c r="G836" s="5"/>
      <c r="H836" s="5"/>
      <c r="I836" s="3"/>
      <c r="J836" s="3"/>
      <c r="K836" s="3"/>
      <c r="L836" s="44"/>
      <c r="M836" s="150"/>
      <c r="N836" s="5"/>
      <c r="O836" s="5"/>
      <c r="P836" s="10"/>
      <c r="Q836" s="10"/>
      <c r="R836" s="144"/>
      <c r="S836" s="144"/>
      <c r="T836" s="10"/>
      <c r="U836" s="5"/>
      <c r="V836" s="3"/>
      <c r="W836" s="5"/>
      <c r="X836" s="144"/>
      <c r="Y836" s="10"/>
      <c r="Z836" s="3"/>
      <c r="AA836" s="10"/>
      <c r="AB836" s="10"/>
      <c r="AC836" s="181"/>
      <c r="AD836" s="144"/>
      <c r="AE836" s="182"/>
      <c r="AF836" s="10"/>
      <c r="AG836" s="10"/>
      <c r="AH836" s="144"/>
      <c r="AI836" s="3"/>
      <c r="AJ836" s="10"/>
      <c r="AK836" s="3"/>
      <c r="AL836" s="5"/>
      <c r="AM836" s="5"/>
      <c r="AN836" s="5"/>
      <c r="AO836" s="5"/>
      <c r="AP836" s="5"/>
      <c r="AQ836" s="5"/>
      <c r="AR836" s="5"/>
      <c r="AS836" s="142"/>
      <c r="AT836" s="142"/>
      <c r="AU836" s="142"/>
      <c r="AV836" s="142"/>
      <c r="AW836" s="142"/>
      <c r="AX836" s="142"/>
      <c r="AY836" s="142"/>
      <c r="AZ836" s="174"/>
      <c r="BA836" s="142"/>
      <c r="BB836" s="142"/>
      <c r="BC836" s="142"/>
      <c r="BD836" s="142"/>
      <c r="BE836" s="142"/>
      <c r="BF836" s="142"/>
      <c r="BG836" s="142"/>
    </row>
    <row r="837">
      <c r="A837" s="5"/>
      <c r="B837" s="44"/>
      <c r="C837" s="150"/>
      <c r="D837" s="3"/>
      <c r="E837" s="3"/>
      <c r="F837" s="5"/>
      <c r="G837" s="5"/>
      <c r="H837" s="5"/>
      <c r="I837" s="3"/>
      <c r="J837" s="3"/>
      <c r="K837" s="3"/>
      <c r="L837" s="44"/>
      <c r="M837" s="150"/>
      <c r="N837" s="5"/>
      <c r="O837" s="5"/>
      <c r="P837" s="10"/>
      <c r="Q837" s="10"/>
      <c r="R837" s="144"/>
      <c r="S837" s="144"/>
      <c r="T837" s="10"/>
      <c r="U837" s="5"/>
      <c r="V837" s="3"/>
      <c r="W837" s="5"/>
      <c r="X837" s="144"/>
      <c r="Y837" s="10"/>
      <c r="Z837" s="3"/>
      <c r="AA837" s="10"/>
      <c r="AB837" s="10"/>
      <c r="AC837" s="181"/>
      <c r="AD837" s="144"/>
      <c r="AE837" s="182"/>
      <c r="AF837" s="10"/>
      <c r="AG837" s="10"/>
      <c r="AH837" s="144"/>
      <c r="AI837" s="3"/>
      <c r="AJ837" s="10"/>
      <c r="AK837" s="3"/>
      <c r="AL837" s="5"/>
      <c r="AM837" s="5"/>
      <c r="AN837" s="5"/>
      <c r="AO837" s="5"/>
      <c r="AP837" s="5"/>
      <c r="AQ837" s="5"/>
      <c r="AR837" s="5"/>
      <c r="AS837" s="142"/>
      <c r="AT837" s="142"/>
      <c r="AU837" s="142"/>
      <c r="AV837" s="142"/>
      <c r="AW837" s="142"/>
      <c r="AX837" s="142"/>
      <c r="AY837" s="142"/>
      <c r="AZ837" s="174"/>
      <c r="BA837" s="142"/>
      <c r="BB837" s="142"/>
      <c r="BC837" s="142"/>
      <c r="BD837" s="142"/>
      <c r="BE837" s="142"/>
      <c r="BF837" s="142"/>
      <c r="BG837" s="142"/>
    </row>
    <row r="838">
      <c r="A838" s="5"/>
      <c r="B838" s="44"/>
      <c r="C838" s="150"/>
      <c r="D838" s="3"/>
      <c r="E838" s="3"/>
      <c r="F838" s="5"/>
      <c r="G838" s="5"/>
      <c r="H838" s="5"/>
      <c r="I838" s="3"/>
      <c r="J838" s="3"/>
      <c r="K838" s="3"/>
      <c r="L838" s="44"/>
      <c r="M838" s="150"/>
      <c r="N838" s="5"/>
      <c r="O838" s="5"/>
      <c r="P838" s="10"/>
      <c r="Q838" s="10"/>
      <c r="R838" s="144"/>
      <c r="S838" s="144"/>
      <c r="T838" s="10"/>
      <c r="U838" s="5"/>
      <c r="V838" s="3"/>
      <c r="W838" s="5"/>
      <c r="X838" s="144"/>
      <c r="Y838" s="10"/>
      <c r="Z838" s="3"/>
      <c r="AA838" s="10"/>
      <c r="AB838" s="10"/>
      <c r="AC838" s="181"/>
      <c r="AD838" s="144"/>
      <c r="AE838" s="182"/>
      <c r="AF838" s="10"/>
      <c r="AG838" s="10"/>
      <c r="AH838" s="144"/>
      <c r="AI838" s="3"/>
      <c r="AJ838" s="10"/>
      <c r="AK838" s="3"/>
      <c r="AL838" s="5"/>
      <c r="AM838" s="5"/>
      <c r="AN838" s="5"/>
      <c r="AO838" s="5"/>
      <c r="AP838" s="5"/>
      <c r="AQ838" s="5"/>
      <c r="AR838" s="5"/>
      <c r="AS838" s="142"/>
      <c r="AT838" s="142"/>
      <c r="AU838" s="142"/>
      <c r="AV838" s="142"/>
      <c r="AW838" s="142"/>
      <c r="AX838" s="142"/>
      <c r="AY838" s="142"/>
      <c r="AZ838" s="174"/>
      <c r="BA838" s="142"/>
      <c r="BB838" s="142"/>
      <c r="BC838" s="142"/>
      <c r="BD838" s="142"/>
      <c r="BE838" s="142"/>
      <c r="BF838" s="142"/>
      <c r="BG838" s="142"/>
    </row>
    <row r="839">
      <c r="A839" s="5"/>
      <c r="B839" s="44"/>
      <c r="C839" s="150"/>
      <c r="D839" s="3"/>
      <c r="E839" s="3"/>
      <c r="F839" s="5"/>
      <c r="G839" s="5"/>
      <c r="H839" s="5"/>
      <c r="I839" s="3"/>
      <c r="J839" s="3"/>
      <c r="K839" s="3"/>
      <c r="L839" s="44"/>
      <c r="M839" s="150"/>
      <c r="N839" s="5"/>
      <c r="O839" s="5"/>
      <c r="P839" s="10"/>
      <c r="Q839" s="10"/>
      <c r="R839" s="144"/>
      <c r="S839" s="144"/>
      <c r="T839" s="10"/>
      <c r="U839" s="5"/>
      <c r="V839" s="3"/>
      <c r="W839" s="5"/>
      <c r="X839" s="144"/>
      <c r="Y839" s="10"/>
      <c r="Z839" s="3"/>
      <c r="AA839" s="10"/>
      <c r="AB839" s="10"/>
      <c r="AC839" s="181"/>
      <c r="AD839" s="144"/>
      <c r="AE839" s="182"/>
      <c r="AF839" s="10"/>
      <c r="AG839" s="10"/>
      <c r="AH839" s="144"/>
      <c r="AI839" s="3"/>
      <c r="AJ839" s="10"/>
      <c r="AK839" s="3"/>
      <c r="AL839" s="5"/>
      <c r="AM839" s="5"/>
      <c r="AN839" s="5"/>
      <c r="AO839" s="5"/>
      <c r="AP839" s="5"/>
      <c r="AQ839" s="5"/>
      <c r="AR839" s="5"/>
      <c r="AS839" s="142"/>
      <c r="AT839" s="142"/>
      <c r="AU839" s="142"/>
      <c r="AV839" s="142"/>
      <c r="AW839" s="142"/>
      <c r="AX839" s="142"/>
      <c r="AY839" s="142"/>
      <c r="AZ839" s="174"/>
      <c r="BA839" s="142"/>
      <c r="BB839" s="142"/>
      <c r="BC839" s="142"/>
      <c r="BD839" s="142"/>
      <c r="BE839" s="142"/>
      <c r="BF839" s="142"/>
      <c r="BG839" s="142"/>
    </row>
    <row r="840">
      <c r="A840" s="5"/>
      <c r="B840" s="44"/>
      <c r="C840" s="150"/>
      <c r="D840" s="3"/>
      <c r="E840" s="3"/>
      <c r="F840" s="5"/>
      <c r="G840" s="5"/>
      <c r="H840" s="5"/>
      <c r="I840" s="3"/>
      <c r="J840" s="3"/>
      <c r="K840" s="3"/>
      <c r="L840" s="44"/>
      <c r="M840" s="150"/>
      <c r="N840" s="5"/>
      <c r="O840" s="5"/>
      <c r="P840" s="10"/>
      <c r="Q840" s="10"/>
      <c r="R840" s="144"/>
      <c r="S840" s="144"/>
      <c r="T840" s="10"/>
      <c r="U840" s="5"/>
      <c r="V840" s="3"/>
      <c r="W840" s="5"/>
      <c r="X840" s="144"/>
      <c r="Y840" s="10"/>
      <c r="Z840" s="3"/>
      <c r="AA840" s="10"/>
      <c r="AB840" s="10"/>
      <c r="AC840" s="181"/>
      <c r="AD840" s="144"/>
      <c r="AE840" s="182"/>
      <c r="AF840" s="10"/>
      <c r="AG840" s="10"/>
      <c r="AH840" s="144"/>
      <c r="AI840" s="3"/>
      <c r="AJ840" s="10"/>
      <c r="AK840" s="3"/>
      <c r="AL840" s="5"/>
      <c r="AM840" s="5"/>
      <c r="AN840" s="5"/>
      <c r="AO840" s="5"/>
      <c r="AP840" s="5"/>
      <c r="AQ840" s="5"/>
      <c r="AR840" s="5"/>
      <c r="AS840" s="142"/>
      <c r="AT840" s="142"/>
      <c r="AU840" s="142"/>
      <c r="AV840" s="142"/>
      <c r="AW840" s="142"/>
      <c r="AX840" s="142"/>
      <c r="AY840" s="142"/>
      <c r="AZ840" s="174"/>
      <c r="BA840" s="142"/>
      <c r="BB840" s="142"/>
      <c r="BC840" s="142"/>
      <c r="BD840" s="142"/>
      <c r="BE840" s="142"/>
      <c r="BF840" s="142"/>
      <c r="BG840" s="142"/>
    </row>
    <row r="841">
      <c r="A841" s="5"/>
      <c r="B841" s="44"/>
      <c r="C841" s="150"/>
      <c r="D841" s="3"/>
      <c r="E841" s="3"/>
      <c r="F841" s="5"/>
      <c r="G841" s="5"/>
      <c r="H841" s="5"/>
      <c r="I841" s="3"/>
      <c r="J841" s="3"/>
      <c r="K841" s="3"/>
      <c r="L841" s="44"/>
      <c r="M841" s="150"/>
      <c r="N841" s="5"/>
      <c r="O841" s="5"/>
      <c r="P841" s="10"/>
      <c r="Q841" s="10"/>
      <c r="R841" s="144"/>
      <c r="S841" s="144"/>
      <c r="T841" s="10"/>
      <c r="U841" s="5"/>
      <c r="V841" s="3"/>
      <c r="W841" s="5"/>
      <c r="X841" s="144"/>
      <c r="Y841" s="10"/>
      <c r="Z841" s="3"/>
      <c r="AA841" s="10"/>
      <c r="AB841" s="10"/>
      <c r="AC841" s="181"/>
      <c r="AD841" s="144"/>
      <c r="AE841" s="182"/>
      <c r="AF841" s="10"/>
      <c r="AG841" s="10"/>
      <c r="AH841" s="144"/>
      <c r="AI841" s="3"/>
      <c r="AJ841" s="10"/>
      <c r="AK841" s="3"/>
      <c r="AL841" s="5"/>
      <c r="AM841" s="5"/>
      <c r="AN841" s="5"/>
      <c r="AO841" s="5"/>
      <c r="AP841" s="5"/>
      <c r="AQ841" s="5"/>
      <c r="AR841" s="5"/>
      <c r="AS841" s="142"/>
      <c r="AT841" s="142"/>
      <c r="AU841" s="142"/>
      <c r="AV841" s="142"/>
      <c r="AW841" s="142"/>
      <c r="AX841" s="142"/>
      <c r="AY841" s="142"/>
      <c r="AZ841" s="174"/>
      <c r="BA841" s="142"/>
      <c r="BB841" s="142"/>
      <c r="BC841" s="142"/>
      <c r="BD841" s="142"/>
      <c r="BE841" s="142"/>
      <c r="BF841" s="142"/>
      <c r="BG841" s="142"/>
    </row>
    <row r="842">
      <c r="A842" s="5"/>
      <c r="B842" s="44"/>
      <c r="C842" s="150"/>
      <c r="D842" s="3"/>
      <c r="E842" s="3"/>
      <c r="F842" s="5"/>
      <c r="G842" s="5"/>
      <c r="H842" s="5"/>
      <c r="I842" s="3"/>
      <c r="J842" s="3"/>
      <c r="K842" s="3"/>
      <c r="L842" s="44"/>
      <c r="M842" s="150"/>
      <c r="N842" s="5"/>
      <c r="O842" s="5"/>
      <c r="P842" s="10"/>
      <c r="Q842" s="10"/>
      <c r="R842" s="144"/>
      <c r="S842" s="144"/>
      <c r="T842" s="10"/>
      <c r="U842" s="5"/>
      <c r="V842" s="3"/>
      <c r="W842" s="5"/>
      <c r="X842" s="144"/>
      <c r="Y842" s="10"/>
      <c r="Z842" s="3"/>
      <c r="AA842" s="10"/>
      <c r="AB842" s="10"/>
      <c r="AC842" s="181"/>
      <c r="AD842" s="144"/>
      <c r="AE842" s="182"/>
      <c r="AF842" s="10"/>
      <c r="AG842" s="10"/>
      <c r="AH842" s="144"/>
      <c r="AI842" s="3"/>
      <c r="AJ842" s="10"/>
      <c r="AK842" s="3"/>
      <c r="AL842" s="5"/>
      <c r="AM842" s="5"/>
      <c r="AN842" s="5"/>
      <c r="AO842" s="5"/>
      <c r="AP842" s="5"/>
      <c r="AQ842" s="5"/>
      <c r="AR842" s="5"/>
      <c r="AS842" s="142"/>
      <c r="AT842" s="142"/>
      <c r="AU842" s="142"/>
      <c r="AV842" s="142"/>
      <c r="AW842" s="142"/>
      <c r="AX842" s="142"/>
      <c r="AY842" s="142"/>
      <c r="AZ842" s="174"/>
      <c r="BA842" s="142"/>
      <c r="BB842" s="142"/>
      <c r="BC842" s="142"/>
      <c r="BD842" s="142"/>
      <c r="BE842" s="142"/>
      <c r="BF842" s="142"/>
      <c r="BG842" s="142"/>
    </row>
    <row r="843">
      <c r="A843" s="5"/>
      <c r="B843" s="44"/>
      <c r="C843" s="150"/>
      <c r="D843" s="3"/>
      <c r="E843" s="3"/>
      <c r="F843" s="5"/>
      <c r="G843" s="5"/>
      <c r="H843" s="5"/>
      <c r="I843" s="3"/>
      <c r="J843" s="3"/>
      <c r="K843" s="3"/>
      <c r="L843" s="44"/>
      <c r="M843" s="150"/>
      <c r="N843" s="5"/>
      <c r="O843" s="5"/>
      <c r="P843" s="10"/>
      <c r="Q843" s="10"/>
      <c r="R843" s="144"/>
      <c r="S843" s="144"/>
      <c r="T843" s="10"/>
      <c r="U843" s="5"/>
      <c r="V843" s="3"/>
      <c r="W843" s="5"/>
      <c r="X843" s="144"/>
      <c r="Y843" s="10"/>
      <c r="Z843" s="3"/>
      <c r="AA843" s="10"/>
      <c r="AB843" s="10"/>
      <c r="AC843" s="181"/>
      <c r="AD843" s="144"/>
      <c r="AE843" s="182"/>
      <c r="AF843" s="10"/>
      <c r="AG843" s="10"/>
      <c r="AH843" s="144"/>
      <c r="AI843" s="3"/>
      <c r="AJ843" s="10"/>
      <c r="AK843" s="3"/>
      <c r="AL843" s="5"/>
      <c r="AM843" s="5"/>
      <c r="AN843" s="5"/>
      <c r="AO843" s="5"/>
      <c r="AP843" s="5"/>
      <c r="AQ843" s="5"/>
      <c r="AR843" s="5"/>
      <c r="AS843" s="142"/>
      <c r="AT843" s="142"/>
      <c r="AU843" s="142"/>
      <c r="AV843" s="142"/>
      <c r="AW843" s="142"/>
      <c r="AX843" s="142"/>
      <c r="AY843" s="142"/>
      <c r="AZ843" s="174"/>
      <c r="BA843" s="142"/>
      <c r="BB843" s="142"/>
      <c r="BC843" s="142"/>
      <c r="BD843" s="142"/>
      <c r="BE843" s="142"/>
      <c r="BF843" s="142"/>
      <c r="BG843" s="142"/>
    </row>
    <row r="844">
      <c r="A844" s="5"/>
      <c r="B844" s="44"/>
      <c r="C844" s="150"/>
      <c r="D844" s="3"/>
      <c r="E844" s="3"/>
      <c r="F844" s="5"/>
      <c r="G844" s="5"/>
      <c r="H844" s="5"/>
      <c r="I844" s="3"/>
      <c r="J844" s="3"/>
      <c r="K844" s="3"/>
      <c r="L844" s="44"/>
      <c r="M844" s="150"/>
      <c r="N844" s="5"/>
      <c r="O844" s="5"/>
      <c r="P844" s="10"/>
      <c r="Q844" s="10"/>
      <c r="R844" s="144"/>
      <c r="S844" s="144"/>
      <c r="T844" s="10"/>
      <c r="U844" s="5"/>
      <c r="V844" s="3"/>
      <c r="W844" s="5"/>
      <c r="X844" s="144"/>
      <c r="Y844" s="10"/>
      <c r="Z844" s="3"/>
      <c r="AA844" s="10"/>
      <c r="AB844" s="10"/>
      <c r="AC844" s="181"/>
      <c r="AD844" s="144"/>
      <c r="AE844" s="182"/>
      <c r="AF844" s="10"/>
      <c r="AG844" s="10"/>
      <c r="AH844" s="144"/>
      <c r="AI844" s="3"/>
      <c r="AJ844" s="10"/>
      <c r="AK844" s="3"/>
      <c r="AL844" s="5"/>
      <c r="AM844" s="5"/>
      <c r="AN844" s="5"/>
      <c r="AO844" s="5"/>
      <c r="AP844" s="5"/>
      <c r="AQ844" s="5"/>
      <c r="AR844" s="5"/>
      <c r="AS844" s="142"/>
      <c r="AT844" s="142"/>
      <c r="AU844" s="142"/>
      <c r="AV844" s="142"/>
      <c r="AW844" s="142"/>
      <c r="AX844" s="142"/>
      <c r="AY844" s="142"/>
      <c r="AZ844" s="174"/>
      <c r="BA844" s="142"/>
      <c r="BB844" s="142"/>
      <c r="BC844" s="142"/>
      <c r="BD844" s="142"/>
      <c r="BE844" s="142"/>
      <c r="BF844" s="142"/>
      <c r="BG844" s="142"/>
    </row>
    <row r="845">
      <c r="A845" s="5"/>
      <c r="B845" s="44"/>
      <c r="C845" s="150"/>
      <c r="D845" s="3"/>
      <c r="E845" s="3"/>
      <c r="F845" s="5"/>
      <c r="G845" s="5"/>
      <c r="H845" s="5"/>
      <c r="I845" s="3"/>
      <c r="J845" s="3"/>
      <c r="K845" s="3"/>
      <c r="L845" s="44"/>
      <c r="M845" s="150"/>
      <c r="N845" s="5"/>
      <c r="O845" s="5"/>
      <c r="P845" s="10"/>
      <c r="Q845" s="10"/>
      <c r="R845" s="144"/>
      <c r="S845" s="144"/>
      <c r="T845" s="10"/>
      <c r="U845" s="5"/>
      <c r="V845" s="3"/>
      <c r="W845" s="5"/>
      <c r="X845" s="144"/>
      <c r="Y845" s="10"/>
      <c r="Z845" s="3"/>
      <c r="AA845" s="10"/>
      <c r="AB845" s="10"/>
      <c r="AC845" s="181"/>
      <c r="AD845" s="144"/>
      <c r="AE845" s="182"/>
      <c r="AF845" s="10"/>
      <c r="AG845" s="10"/>
      <c r="AH845" s="144"/>
      <c r="AI845" s="3"/>
      <c r="AJ845" s="10"/>
      <c r="AK845" s="3"/>
      <c r="AL845" s="5"/>
      <c r="AM845" s="5"/>
      <c r="AN845" s="5"/>
      <c r="AO845" s="5"/>
      <c r="AP845" s="5"/>
      <c r="AQ845" s="5"/>
      <c r="AR845" s="5"/>
      <c r="AS845" s="142"/>
      <c r="AT845" s="142"/>
      <c r="AU845" s="142"/>
      <c r="AV845" s="142"/>
      <c r="AW845" s="142"/>
      <c r="AX845" s="142"/>
      <c r="AY845" s="142"/>
      <c r="AZ845" s="174"/>
      <c r="BA845" s="142"/>
      <c r="BB845" s="142"/>
      <c r="BC845" s="142"/>
      <c r="BD845" s="142"/>
      <c r="BE845" s="142"/>
      <c r="BF845" s="142"/>
      <c r="BG845" s="142"/>
    </row>
    <row r="846">
      <c r="A846" s="5"/>
      <c r="B846" s="44"/>
      <c r="C846" s="150"/>
      <c r="D846" s="3"/>
      <c r="E846" s="3"/>
      <c r="F846" s="5"/>
      <c r="G846" s="5"/>
      <c r="H846" s="5"/>
      <c r="I846" s="3"/>
      <c r="J846" s="3"/>
      <c r="K846" s="3"/>
      <c r="L846" s="44"/>
      <c r="M846" s="150"/>
      <c r="N846" s="5"/>
      <c r="O846" s="5"/>
      <c r="P846" s="10"/>
      <c r="Q846" s="10"/>
      <c r="R846" s="144"/>
      <c r="S846" s="144"/>
      <c r="T846" s="10"/>
      <c r="U846" s="5"/>
      <c r="V846" s="3"/>
      <c r="W846" s="5"/>
      <c r="X846" s="144"/>
      <c r="Y846" s="10"/>
      <c r="Z846" s="3"/>
      <c r="AA846" s="10"/>
      <c r="AB846" s="10"/>
      <c r="AC846" s="181"/>
      <c r="AD846" s="144"/>
      <c r="AE846" s="182"/>
      <c r="AF846" s="10"/>
      <c r="AG846" s="10"/>
      <c r="AH846" s="144"/>
      <c r="AI846" s="3"/>
      <c r="AJ846" s="10"/>
      <c r="AK846" s="3"/>
      <c r="AL846" s="5"/>
      <c r="AM846" s="5"/>
      <c r="AN846" s="5"/>
      <c r="AO846" s="5"/>
      <c r="AP846" s="5"/>
      <c r="AQ846" s="5"/>
      <c r="AR846" s="5"/>
      <c r="AS846" s="142"/>
      <c r="AT846" s="142"/>
      <c r="AU846" s="142"/>
      <c r="AV846" s="142"/>
      <c r="AW846" s="142"/>
      <c r="AX846" s="142"/>
      <c r="AY846" s="142"/>
      <c r="AZ846" s="174"/>
      <c r="BA846" s="142"/>
      <c r="BB846" s="142"/>
      <c r="BC846" s="142"/>
      <c r="BD846" s="142"/>
      <c r="BE846" s="142"/>
      <c r="BF846" s="142"/>
      <c r="BG846" s="142"/>
    </row>
    <row r="847">
      <c r="A847" s="5"/>
      <c r="B847" s="44"/>
      <c r="C847" s="150"/>
      <c r="D847" s="3"/>
      <c r="E847" s="3"/>
      <c r="F847" s="5"/>
      <c r="G847" s="5"/>
      <c r="H847" s="5"/>
      <c r="I847" s="3"/>
      <c r="J847" s="3"/>
      <c r="K847" s="3"/>
      <c r="L847" s="44"/>
      <c r="M847" s="150"/>
      <c r="N847" s="5"/>
      <c r="O847" s="5"/>
      <c r="P847" s="10"/>
      <c r="Q847" s="10"/>
      <c r="R847" s="144"/>
      <c r="S847" s="144"/>
      <c r="T847" s="10"/>
      <c r="U847" s="5"/>
      <c r="V847" s="3"/>
      <c r="W847" s="5"/>
      <c r="X847" s="144"/>
      <c r="Y847" s="10"/>
      <c r="Z847" s="3"/>
      <c r="AA847" s="10"/>
      <c r="AB847" s="10"/>
      <c r="AC847" s="181"/>
      <c r="AD847" s="144"/>
      <c r="AE847" s="182"/>
      <c r="AF847" s="10"/>
      <c r="AG847" s="10"/>
      <c r="AH847" s="144"/>
      <c r="AI847" s="3"/>
      <c r="AJ847" s="10"/>
      <c r="AK847" s="3"/>
      <c r="AL847" s="5"/>
      <c r="AM847" s="5"/>
      <c r="AN847" s="5"/>
      <c r="AO847" s="5"/>
      <c r="AP847" s="5"/>
      <c r="AQ847" s="5"/>
      <c r="AR847" s="5"/>
      <c r="AS847" s="142"/>
      <c r="AT847" s="142"/>
      <c r="AU847" s="142"/>
      <c r="AV847" s="142"/>
      <c r="AW847" s="142"/>
      <c r="AX847" s="142"/>
      <c r="AY847" s="142"/>
      <c r="AZ847" s="174"/>
      <c r="BA847" s="142"/>
      <c r="BB847" s="142"/>
      <c r="BC847" s="142"/>
      <c r="BD847" s="142"/>
      <c r="BE847" s="142"/>
      <c r="BF847" s="142"/>
      <c r="BG847" s="142"/>
    </row>
    <row r="848">
      <c r="A848" s="5"/>
      <c r="B848" s="44"/>
      <c r="C848" s="150"/>
      <c r="D848" s="3"/>
      <c r="E848" s="3"/>
      <c r="F848" s="5"/>
      <c r="G848" s="5"/>
      <c r="H848" s="5"/>
      <c r="I848" s="3"/>
      <c r="J848" s="3"/>
      <c r="K848" s="3"/>
      <c r="L848" s="44"/>
      <c r="M848" s="150"/>
      <c r="N848" s="5"/>
      <c r="O848" s="5"/>
      <c r="P848" s="10"/>
      <c r="Q848" s="10"/>
      <c r="R848" s="144"/>
      <c r="S848" s="144"/>
      <c r="T848" s="10"/>
      <c r="U848" s="5"/>
      <c r="V848" s="3"/>
      <c r="W848" s="5"/>
      <c r="X848" s="144"/>
      <c r="Y848" s="10"/>
      <c r="Z848" s="3"/>
      <c r="AA848" s="10"/>
      <c r="AB848" s="10"/>
      <c r="AC848" s="181"/>
      <c r="AD848" s="144"/>
      <c r="AE848" s="182"/>
      <c r="AF848" s="10"/>
      <c r="AG848" s="10"/>
      <c r="AH848" s="144"/>
      <c r="AI848" s="3"/>
      <c r="AJ848" s="10"/>
      <c r="AK848" s="3"/>
      <c r="AL848" s="5"/>
      <c r="AM848" s="5"/>
      <c r="AN848" s="5"/>
      <c r="AO848" s="5"/>
      <c r="AP848" s="5"/>
      <c r="AQ848" s="5"/>
      <c r="AR848" s="5"/>
      <c r="AS848" s="142"/>
      <c r="AT848" s="142"/>
      <c r="AU848" s="142"/>
      <c r="AV848" s="142"/>
      <c r="AW848" s="142"/>
      <c r="AX848" s="142"/>
      <c r="AY848" s="142"/>
      <c r="AZ848" s="174"/>
      <c r="BA848" s="142"/>
      <c r="BB848" s="142"/>
      <c r="BC848" s="142"/>
      <c r="BD848" s="142"/>
      <c r="BE848" s="142"/>
      <c r="BF848" s="142"/>
      <c r="BG848" s="142"/>
    </row>
    <row r="849">
      <c r="A849" s="5"/>
      <c r="B849" s="44"/>
      <c r="C849" s="150"/>
      <c r="D849" s="3"/>
      <c r="E849" s="3"/>
      <c r="F849" s="5"/>
      <c r="G849" s="5"/>
      <c r="H849" s="5"/>
      <c r="I849" s="3"/>
      <c r="J849" s="3"/>
      <c r="K849" s="3"/>
      <c r="L849" s="44"/>
      <c r="M849" s="150"/>
      <c r="N849" s="5"/>
      <c r="O849" s="5"/>
      <c r="P849" s="10"/>
      <c r="Q849" s="10"/>
      <c r="R849" s="144"/>
      <c r="S849" s="144"/>
      <c r="T849" s="10"/>
      <c r="U849" s="5"/>
      <c r="V849" s="3"/>
      <c r="W849" s="5"/>
      <c r="X849" s="144"/>
      <c r="Y849" s="10"/>
      <c r="Z849" s="3"/>
      <c r="AA849" s="10"/>
      <c r="AB849" s="10"/>
      <c r="AC849" s="181"/>
      <c r="AD849" s="144"/>
      <c r="AE849" s="182"/>
      <c r="AF849" s="10"/>
      <c r="AG849" s="10"/>
      <c r="AH849" s="144"/>
      <c r="AI849" s="3"/>
      <c r="AJ849" s="10"/>
      <c r="AK849" s="3"/>
      <c r="AL849" s="5"/>
      <c r="AM849" s="5"/>
      <c r="AN849" s="5"/>
      <c r="AO849" s="5"/>
      <c r="AP849" s="5"/>
      <c r="AQ849" s="5"/>
      <c r="AR849" s="5"/>
      <c r="AS849" s="142"/>
      <c r="AT849" s="142"/>
      <c r="AU849" s="142"/>
      <c r="AV849" s="142"/>
      <c r="AW849" s="142"/>
      <c r="AX849" s="142"/>
      <c r="AY849" s="142"/>
      <c r="AZ849" s="174"/>
      <c r="BA849" s="142"/>
      <c r="BB849" s="142"/>
      <c r="BC849" s="142"/>
      <c r="BD849" s="142"/>
      <c r="BE849" s="142"/>
      <c r="BF849" s="142"/>
      <c r="BG849" s="142"/>
    </row>
    <row r="850">
      <c r="A850" s="5"/>
      <c r="B850" s="44"/>
      <c r="C850" s="150"/>
      <c r="D850" s="3"/>
      <c r="E850" s="3"/>
      <c r="F850" s="5"/>
      <c r="G850" s="5"/>
      <c r="H850" s="5"/>
      <c r="I850" s="3"/>
      <c r="J850" s="3"/>
      <c r="K850" s="3"/>
      <c r="L850" s="44"/>
      <c r="M850" s="150"/>
      <c r="N850" s="5"/>
      <c r="O850" s="5"/>
      <c r="P850" s="10"/>
      <c r="Q850" s="10"/>
      <c r="R850" s="144"/>
      <c r="S850" s="144"/>
      <c r="T850" s="10"/>
      <c r="U850" s="5"/>
      <c r="V850" s="3"/>
      <c r="W850" s="5"/>
      <c r="X850" s="144"/>
      <c r="Y850" s="10"/>
      <c r="Z850" s="3"/>
      <c r="AA850" s="10"/>
      <c r="AB850" s="10"/>
      <c r="AC850" s="181"/>
      <c r="AD850" s="144"/>
      <c r="AE850" s="182"/>
      <c r="AF850" s="10"/>
      <c r="AG850" s="10"/>
      <c r="AH850" s="144"/>
      <c r="AI850" s="3"/>
      <c r="AJ850" s="10"/>
      <c r="AK850" s="3"/>
      <c r="AL850" s="5"/>
      <c r="AM850" s="5"/>
      <c r="AN850" s="5"/>
      <c r="AO850" s="5"/>
      <c r="AP850" s="5"/>
      <c r="AQ850" s="5"/>
      <c r="AR850" s="5"/>
      <c r="AS850" s="142"/>
      <c r="AT850" s="142"/>
      <c r="AU850" s="142"/>
      <c r="AV850" s="142"/>
      <c r="AW850" s="142"/>
      <c r="AX850" s="142"/>
      <c r="AY850" s="142"/>
      <c r="AZ850" s="174"/>
      <c r="BA850" s="142"/>
      <c r="BB850" s="142"/>
      <c r="BC850" s="142"/>
      <c r="BD850" s="142"/>
      <c r="BE850" s="142"/>
      <c r="BF850" s="142"/>
      <c r="BG850" s="142"/>
    </row>
    <row r="851">
      <c r="A851" s="5"/>
      <c r="B851" s="44"/>
      <c r="C851" s="150"/>
      <c r="D851" s="3"/>
      <c r="E851" s="3"/>
      <c r="F851" s="5"/>
      <c r="G851" s="5"/>
      <c r="H851" s="5"/>
      <c r="I851" s="3"/>
      <c r="J851" s="3"/>
      <c r="K851" s="3"/>
      <c r="L851" s="44"/>
      <c r="M851" s="150"/>
      <c r="N851" s="5"/>
      <c r="O851" s="5"/>
      <c r="P851" s="10"/>
      <c r="Q851" s="10"/>
      <c r="R851" s="144"/>
      <c r="S851" s="144"/>
      <c r="T851" s="10"/>
      <c r="U851" s="5"/>
      <c r="V851" s="3"/>
      <c r="W851" s="5"/>
      <c r="X851" s="144"/>
      <c r="Y851" s="10"/>
      <c r="Z851" s="3"/>
      <c r="AA851" s="10"/>
      <c r="AB851" s="10"/>
      <c r="AC851" s="181"/>
      <c r="AD851" s="144"/>
      <c r="AE851" s="182"/>
      <c r="AF851" s="10"/>
      <c r="AG851" s="10"/>
      <c r="AH851" s="144"/>
      <c r="AI851" s="3"/>
      <c r="AJ851" s="10"/>
      <c r="AK851" s="3"/>
      <c r="AL851" s="5"/>
      <c r="AM851" s="5"/>
      <c r="AN851" s="5"/>
      <c r="AO851" s="5"/>
      <c r="AP851" s="5"/>
      <c r="AQ851" s="5"/>
      <c r="AR851" s="5"/>
      <c r="AS851" s="142"/>
      <c r="AT851" s="142"/>
      <c r="AU851" s="142"/>
      <c r="AV851" s="142"/>
      <c r="AW851" s="142"/>
      <c r="AX851" s="142"/>
      <c r="AY851" s="142"/>
      <c r="AZ851" s="174"/>
      <c r="BA851" s="142"/>
      <c r="BB851" s="142"/>
      <c r="BC851" s="142"/>
      <c r="BD851" s="142"/>
      <c r="BE851" s="142"/>
      <c r="BF851" s="142"/>
      <c r="BG851" s="142"/>
    </row>
    <row r="852">
      <c r="A852" s="5"/>
      <c r="B852" s="44"/>
      <c r="C852" s="150"/>
      <c r="D852" s="3"/>
      <c r="E852" s="3"/>
      <c r="F852" s="5"/>
      <c r="G852" s="5"/>
      <c r="H852" s="5"/>
      <c r="I852" s="3"/>
      <c r="J852" s="3"/>
      <c r="K852" s="3"/>
      <c r="L852" s="44"/>
      <c r="M852" s="150"/>
      <c r="N852" s="5"/>
      <c r="O852" s="5"/>
      <c r="P852" s="10"/>
      <c r="Q852" s="10"/>
      <c r="R852" s="144"/>
      <c r="S852" s="144"/>
      <c r="T852" s="10"/>
      <c r="U852" s="5"/>
      <c r="V852" s="3"/>
      <c r="W852" s="5"/>
      <c r="X852" s="144"/>
      <c r="Y852" s="10"/>
      <c r="Z852" s="3"/>
      <c r="AA852" s="10"/>
      <c r="AB852" s="10"/>
      <c r="AC852" s="181"/>
      <c r="AD852" s="144"/>
      <c r="AE852" s="182"/>
      <c r="AF852" s="10"/>
      <c r="AG852" s="10"/>
      <c r="AH852" s="144"/>
      <c r="AI852" s="3"/>
      <c r="AJ852" s="10"/>
      <c r="AK852" s="3"/>
      <c r="AL852" s="5"/>
      <c r="AM852" s="5"/>
      <c r="AN852" s="5"/>
      <c r="AO852" s="5"/>
      <c r="AP852" s="5"/>
      <c r="AQ852" s="5"/>
      <c r="AR852" s="5"/>
      <c r="AS852" s="142"/>
      <c r="AT852" s="142"/>
      <c r="AU852" s="142"/>
      <c r="AV852" s="142"/>
      <c r="AW852" s="142"/>
      <c r="AX852" s="142"/>
      <c r="AY852" s="142"/>
      <c r="AZ852" s="174"/>
      <c r="BA852" s="142"/>
      <c r="BB852" s="142"/>
      <c r="BC852" s="142"/>
      <c r="BD852" s="142"/>
      <c r="BE852" s="142"/>
      <c r="BF852" s="142"/>
      <c r="BG852" s="142"/>
    </row>
    <row r="853">
      <c r="A853" s="5"/>
      <c r="B853" s="44"/>
      <c r="C853" s="150"/>
      <c r="D853" s="3"/>
      <c r="E853" s="3"/>
      <c r="F853" s="5"/>
      <c r="G853" s="5"/>
      <c r="H853" s="5"/>
      <c r="I853" s="3"/>
      <c r="J853" s="3"/>
      <c r="K853" s="3"/>
      <c r="L853" s="44"/>
      <c r="M853" s="150"/>
      <c r="N853" s="5"/>
      <c r="O853" s="5"/>
      <c r="P853" s="10"/>
      <c r="Q853" s="10"/>
      <c r="R853" s="144"/>
      <c r="S853" s="144"/>
      <c r="T853" s="10"/>
      <c r="U853" s="5"/>
      <c r="V853" s="3"/>
      <c r="W853" s="5"/>
      <c r="X853" s="144"/>
      <c r="Y853" s="10"/>
      <c r="Z853" s="3"/>
      <c r="AA853" s="10"/>
      <c r="AB853" s="10"/>
      <c r="AC853" s="181"/>
      <c r="AD853" s="144"/>
      <c r="AE853" s="182"/>
      <c r="AF853" s="10"/>
      <c r="AG853" s="10"/>
      <c r="AH853" s="144"/>
      <c r="AI853" s="3"/>
      <c r="AJ853" s="10"/>
      <c r="AK853" s="3"/>
      <c r="AL853" s="5"/>
      <c r="AM853" s="5"/>
      <c r="AN853" s="5"/>
      <c r="AO853" s="5"/>
      <c r="AP853" s="5"/>
      <c r="AQ853" s="5"/>
      <c r="AR853" s="5"/>
      <c r="AS853" s="142"/>
      <c r="AT853" s="142"/>
      <c r="AU853" s="142"/>
      <c r="AV853" s="142"/>
      <c r="AW853" s="142"/>
      <c r="AX853" s="142"/>
      <c r="AY853" s="142"/>
      <c r="AZ853" s="174"/>
      <c r="BA853" s="142"/>
      <c r="BB853" s="142"/>
      <c r="BC853" s="142"/>
      <c r="BD853" s="142"/>
      <c r="BE853" s="142"/>
      <c r="BF853" s="142"/>
      <c r="BG853" s="142"/>
    </row>
    <row r="854">
      <c r="A854" s="5"/>
      <c r="B854" s="44"/>
      <c r="C854" s="150"/>
      <c r="D854" s="3"/>
      <c r="E854" s="3"/>
      <c r="F854" s="5"/>
      <c r="G854" s="5"/>
      <c r="H854" s="5"/>
      <c r="I854" s="3"/>
      <c r="J854" s="3"/>
      <c r="K854" s="3"/>
      <c r="L854" s="44"/>
      <c r="M854" s="150"/>
      <c r="N854" s="5"/>
      <c r="O854" s="5"/>
      <c r="P854" s="10"/>
      <c r="Q854" s="10"/>
      <c r="R854" s="144"/>
      <c r="S854" s="144"/>
      <c r="T854" s="10"/>
      <c r="U854" s="5"/>
      <c r="V854" s="3"/>
      <c r="W854" s="5"/>
      <c r="X854" s="144"/>
      <c r="Y854" s="10"/>
      <c r="Z854" s="3"/>
      <c r="AA854" s="10"/>
      <c r="AB854" s="10"/>
      <c r="AC854" s="181"/>
      <c r="AD854" s="144"/>
      <c r="AE854" s="182"/>
      <c r="AF854" s="10"/>
      <c r="AG854" s="10"/>
      <c r="AH854" s="144"/>
      <c r="AI854" s="3"/>
      <c r="AJ854" s="10"/>
      <c r="AK854" s="3"/>
      <c r="AL854" s="5"/>
      <c r="AM854" s="5"/>
      <c r="AN854" s="5"/>
      <c r="AO854" s="5"/>
      <c r="AP854" s="5"/>
      <c r="AQ854" s="5"/>
      <c r="AR854" s="5"/>
      <c r="AS854" s="142"/>
      <c r="AT854" s="142"/>
      <c r="AU854" s="142"/>
      <c r="AV854" s="142"/>
      <c r="AW854" s="142"/>
      <c r="AX854" s="142"/>
      <c r="AY854" s="142"/>
      <c r="AZ854" s="174"/>
      <c r="BA854" s="142"/>
      <c r="BB854" s="142"/>
      <c r="BC854" s="142"/>
      <c r="BD854" s="142"/>
      <c r="BE854" s="142"/>
      <c r="BF854" s="142"/>
      <c r="BG854" s="142"/>
    </row>
    <row r="855">
      <c r="A855" s="5"/>
      <c r="B855" s="44"/>
      <c r="C855" s="150"/>
      <c r="D855" s="3"/>
      <c r="E855" s="3"/>
      <c r="F855" s="5"/>
      <c r="G855" s="5"/>
      <c r="H855" s="5"/>
      <c r="I855" s="3"/>
      <c r="J855" s="3"/>
      <c r="K855" s="3"/>
      <c r="L855" s="44"/>
      <c r="M855" s="150"/>
      <c r="N855" s="5"/>
      <c r="O855" s="5"/>
      <c r="P855" s="10"/>
      <c r="Q855" s="10"/>
      <c r="R855" s="144"/>
      <c r="S855" s="144"/>
      <c r="T855" s="10"/>
      <c r="U855" s="5"/>
      <c r="V855" s="3"/>
      <c r="W855" s="5"/>
      <c r="X855" s="144"/>
      <c r="Y855" s="10"/>
      <c r="Z855" s="3"/>
      <c r="AA855" s="10"/>
      <c r="AB855" s="10"/>
      <c r="AC855" s="181"/>
      <c r="AD855" s="144"/>
      <c r="AE855" s="182"/>
      <c r="AF855" s="10"/>
      <c r="AG855" s="10"/>
      <c r="AH855" s="144"/>
      <c r="AI855" s="3"/>
      <c r="AJ855" s="10"/>
      <c r="AK855" s="3"/>
      <c r="AL855" s="5"/>
      <c r="AM855" s="5"/>
      <c r="AN855" s="5"/>
      <c r="AO855" s="5"/>
      <c r="AP855" s="5"/>
      <c r="AQ855" s="5"/>
      <c r="AR855" s="5"/>
      <c r="AS855" s="142"/>
      <c r="AT855" s="142"/>
      <c r="AU855" s="142"/>
      <c r="AV855" s="142"/>
      <c r="AW855" s="142"/>
      <c r="AX855" s="142"/>
      <c r="AY855" s="142"/>
      <c r="AZ855" s="174"/>
      <c r="BA855" s="142"/>
      <c r="BB855" s="142"/>
      <c r="BC855" s="142"/>
      <c r="BD855" s="142"/>
      <c r="BE855" s="142"/>
      <c r="BF855" s="142"/>
      <c r="BG855" s="142"/>
    </row>
    <row r="856">
      <c r="A856" s="5"/>
      <c r="B856" s="44"/>
      <c r="C856" s="150"/>
      <c r="D856" s="3"/>
      <c r="E856" s="3"/>
      <c r="F856" s="5"/>
      <c r="G856" s="5"/>
      <c r="H856" s="5"/>
      <c r="I856" s="3"/>
      <c r="J856" s="3"/>
      <c r="K856" s="3"/>
      <c r="L856" s="44"/>
      <c r="M856" s="150"/>
      <c r="N856" s="5"/>
      <c r="O856" s="5"/>
      <c r="P856" s="10"/>
      <c r="Q856" s="10"/>
      <c r="R856" s="144"/>
      <c r="S856" s="144"/>
      <c r="T856" s="10"/>
      <c r="U856" s="5"/>
      <c r="V856" s="3"/>
      <c r="W856" s="5"/>
      <c r="X856" s="144"/>
      <c r="Y856" s="10"/>
      <c r="Z856" s="3"/>
      <c r="AA856" s="10"/>
      <c r="AB856" s="10"/>
      <c r="AC856" s="181"/>
      <c r="AD856" s="144"/>
      <c r="AE856" s="182"/>
      <c r="AF856" s="10"/>
      <c r="AG856" s="10"/>
      <c r="AH856" s="144"/>
      <c r="AI856" s="3"/>
      <c r="AJ856" s="10"/>
      <c r="AK856" s="3"/>
      <c r="AL856" s="5"/>
      <c r="AM856" s="5"/>
      <c r="AN856" s="5"/>
      <c r="AO856" s="5"/>
      <c r="AP856" s="5"/>
      <c r="AQ856" s="5"/>
      <c r="AR856" s="5"/>
      <c r="AS856" s="142"/>
      <c r="AT856" s="142"/>
      <c r="AU856" s="142"/>
      <c r="AV856" s="142"/>
      <c r="AW856" s="142"/>
      <c r="AX856" s="142"/>
      <c r="AY856" s="142"/>
      <c r="AZ856" s="174"/>
      <c r="BA856" s="142"/>
      <c r="BB856" s="142"/>
      <c r="BC856" s="142"/>
      <c r="BD856" s="142"/>
      <c r="BE856" s="142"/>
      <c r="BF856" s="142"/>
      <c r="BG856" s="142"/>
    </row>
    <row r="857">
      <c r="A857" s="5"/>
      <c r="B857" s="44"/>
      <c r="C857" s="150"/>
      <c r="D857" s="3"/>
      <c r="E857" s="3"/>
      <c r="F857" s="5"/>
      <c r="G857" s="5"/>
      <c r="H857" s="5"/>
      <c r="I857" s="3"/>
      <c r="J857" s="3"/>
      <c r="K857" s="3"/>
      <c r="L857" s="44"/>
      <c r="M857" s="150"/>
      <c r="N857" s="5"/>
      <c r="O857" s="5"/>
      <c r="P857" s="10"/>
      <c r="Q857" s="10"/>
      <c r="R857" s="144"/>
      <c r="S857" s="144"/>
      <c r="T857" s="10"/>
      <c r="U857" s="5"/>
      <c r="V857" s="3"/>
      <c r="W857" s="5"/>
      <c r="X857" s="144"/>
      <c r="Y857" s="10"/>
      <c r="Z857" s="3"/>
      <c r="AA857" s="10"/>
      <c r="AB857" s="10"/>
      <c r="AC857" s="181"/>
      <c r="AD857" s="144"/>
      <c r="AE857" s="182"/>
      <c r="AF857" s="10"/>
      <c r="AG857" s="10"/>
      <c r="AH857" s="144"/>
      <c r="AI857" s="3"/>
      <c r="AJ857" s="10"/>
      <c r="AK857" s="3"/>
      <c r="AL857" s="5"/>
      <c r="AM857" s="5"/>
      <c r="AN857" s="5"/>
      <c r="AO857" s="5"/>
      <c r="AP857" s="5"/>
      <c r="AQ857" s="5"/>
      <c r="AR857" s="5"/>
      <c r="AS857" s="142"/>
      <c r="AT857" s="142"/>
      <c r="AU857" s="142"/>
      <c r="AV857" s="142"/>
      <c r="AW857" s="142"/>
      <c r="AX857" s="142"/>
      <c r="AY857" s="142"/>
      <c r="AZ857" s="174"/>
      <c r="BA857" s="142"/>
      <c r="BB857" s="142"/>
      <c r="BC857" s="142"/>
      <c r="BD857" s="142"/>
      <c r="BE857" s="142"/>
      <c r="BF857" s="142"/>
      <c r="BG857" s="142"/>
    </row>
    <row r="858">
      <c r="A858" s="5"/>
      <c r="B858" s="44"/>
      <c r="C858" s="150"/>
      <c r="D858" s="3"/>
      <c r="E858" s="3"/>
      <c r="F858" s="5"/>
      <c r="G858" s="5"/>
      <c r="H858" s="5"/>
      <c r="I858" s="3"/>
      <c r="J858" s="3"/>
      <c r="K858" s="3"/>
      <c r="L858" s="44"/>
      <c r="M858" s="150"/>
      <c r="N858" s="5"/>
      <c r="O858" s="5"/>
      <c r="P858" s="10"/>
      <c r="Q858" s="10"/>
      <c r="R858" s="144"/>
      <c r="S858" s="144"/>
      <c r="T858" s="10"/>
      <c r="U858" s="5"/>
      <c r="V858" s="3"/>
      <c r="W858" s="5"/>
      <c r="X858" s="144"/>
      <c r="Y858" s="10"/>
      <c r="Z858" s="3"/>
      <c r="AA858" s="10"/>
      <c r="AB858" s="10"/>
      <c r="AC858" s="181"/>
      <c r="AD858" s="144"/>
      <c r="AE858" s="182"/>
      <c r="AF858" s="10"/>
      <c r="AG858" s="10"/>
      <c r="AH858" s="144"/>
      <c r="AI858" s="3"/>
      <c r="AJ858" s="10"/>
      <c r="AK858" s="3"/>
      <c r="AL858" s="5"/>
      <c r="AM858" s="5"/>
      <c r="AN858" s="5"/>
      <c r="AO858" s="5"/>
      <c r="AP858" s="5"/>
      <c r="AQ858" s="5"/>
      <c r="AR858" s="5"/>
      <c r="AS858" s="142"/>
      <c r="AT858" s="142"/>
      <c r="AU858" s="142"/>
      <c r="AV858" s="142"/>
      <c r="AW858" s="142"/>
      <c r="AX858" s="142"/>
      <c r="AY858" s="142"/>
      <c r="AZ858" s="174"/>
      <c r="BA858" s="142"/>
      <c r="BB858" s="142"/>
      <c r="BC858" s="142"/>
      <c r="BD858" s="142"/>
      <c r="BE858" s="142"/>
      <c r="BF858" s="142"/>
      <c r="BG858" s="142"/>
    </row>
    <row r="859">
      <c r="A859" s="5"/>
      <c r="B859" s="44"/>
      <c r="C859" s="150"/>
      <c r="D859" s="3"/>
      <c r="E859" s="3"/>
      <c r="F859" s="5"/>
      <c r="G859" s="5"/>
      <c r="H859" s="5"/>
      <c r="I859" s="3"/>
      <c r="J859" s="3"/>
      <c r="K859" s="3"/>
      <c r="L859" s="44"/>
      <c r="M859" s="150"/>
      <c r="N859" s="5"/>
      <c r="O859" s="5"/>
      <c r="P859" s="10"/>
      <c r="Q859" s="10"/>
      <c r="R859" s="144"/>
      <c r="S859" s="144"/>
      <c r="T859" s="10"/>
      <c r="U859" s="5"/>
      <c r="V859" s="3"/>
      <c r="W859" s="5"/>
      <c r="X859" s="144"/>
      <c r="Y859" s="10"/>
      <c r="Z859" s="3"/>
      <c r="AA859" s="10"/>
      <c r="AB859" s="10"/>
      <c r="AC859" s="181"/>
      <c r="AD859" s="144"/>
      <c r="AE859" s="182"/>
      <c r="AF859" s="10"/>
      <c r="AG859" s="10"/>
      <c r="AH859" s="144"/>
      <c r="AI859" s="3"/>
      <c r="AJ859" s="10"/>
      <c r="AK859" s="3"/>
      <c r="AL859" s="5"/>
      <c r="AM859" s="5"/>
      <c r="AN859" s="5"/>
      <c r="AO859" s="5"/>
      <c r="AP859" s="5"/>
      <c r="AQ859" s="5"/>
      <c r="AR859" s="5"/>
      <c r="AS859" s="142"/>
      <c r="AT859" s="142"/>
      <c r="AU859" s="142"/>
      <c r="AV859" s="142"/>
      <c r="AW859" s="142"/>
      <c r="AX859" s="142"/>
      <c r="AY859" s="142"/>
      <c r="AZ859" s="174"/>
      <c r="BA859" s="142"/>
      <c r="BB859" s="142"/>
      <c r="BC859" s="142"/>
      <c r="BD859" s="142"/>
      <c r="BE859" s="142"/>
      <c r="BF859" s="142"/>
      <c r="BG859" s="142"/>
    </row>
    <row r="860">
      <c r="A860" s="5"/>
      <c r="B860" s="44"/>
      <c r="C860" s="150"/>
      <c r="D860" s="3"/>
      <c r="E860" s="3"/>
      <c r="F860" s="5"/>
      <c r="G860" s="5"/>
      <c r="H860" s="5"/>
      <c r="I860" s="3"/>
      <c r="J860" s="3"/>
      <c r="K860" s="3"/>
      <c r="L860" s="44"/>
      <c r="M860" s="150"/>
      <c r="N860" s="5"/>
      <c r="O860" s="5"/>
      <c r="P860" s="10"/>
      <c r="Q860" s="10"/>
      <c r="R860" s="144"/>
      <c r="S860" s="144"/>
      <c r="T860" s="10"/>
      <c r="U860" s="5"/>
      <c r="V860" s="3"/>
      <c r="W860" s="5"/>
      <c r="X860" s="144"/>
      <c r="Y860" s="10"/>
      <c r="Z860" s="3"/>
      <c r="AA860" s="10"/>
      <c r="AB860" s="10"/>
      <c r="AC860" s="181"/>
      <c r="AD860" s="144"/>
      <c r="AE860" s="182"/>
      <c r="AF860" s="10"/>
      <c r="AG860" s="10"/>
      <c r="AH860" s="144"/>
      <c r="AI860" s="3"/>
      <c r="AJ860" s="10"/>
      <c r="AK860" s="3"/>
      <c r="AL860" s="5"/>
      <c r="AM860" s="5"/>
      <c r="AN860" s="5"/>
      <c r="AO860" s="5"/>
      <c r="AP860" s="5"/>
      <c r="AQ860" s="5"/>
      <c r="AR860" s="5"/>
      <c r="AS860" s="142"/>
      <c r="AT860" s="142"/>
      <c r="AU860" s="142"/>
      <c r="AV860" s="142"/>
      <c r="AW860" s="142"/>
      <c r="AX860" s="142"/>
      <c r="AY860" s="142"/>
      <c r="AZ860" s="174"/>
      <c r="BA860" s="142"/>
      <c r="BB860" s="142"/>
      <c r="BC860" s="142"/>
      <c r="BD860" s="142"/>
      <c r="BE860" s="142"/>
      <c r="BF860" s="142"/>
      <c r="BG860" s="142"/>
    </row>
    <row r="861">
      <c r="A861" s="5"/>
      <c r="B861" s="44"/>
      <c r="C861" s="150"/>
      <c r="D861" s="3"/>
      <c r="E861" s="3"/>
      <c r="F861" s="5"/>
      <c r="G861" s="5"/>
      <c r="H861" s="5"/>
      <c r="I861" s="3"/>
      <c r="J861" s="3"/>
      <c r="K861" s="3"/>
      <c r="L861" s="44"/>
      <c r="M861" s="150"/>
      <c r="N861" s="5"/>
      <c r="O861" s="5"/>
      <c r="P861" s="10"/>
      <c r="Q861" s="10"/>
      <c r="R861" s="144"/>
      <c r="S861" s="144"/>
      <c r="T861" s="10"/>
      <c r="U861" s="5"/>
      <c r="V861" s="3"/>
      <c r="W861" s="5"/>
      <c r="X861" s="144"/>
      <c r="Y861" s="10"/>
      <c r="Z861" s="3"/>
      <c r="AA861" s="10"/>
      <c r="AB861" s="10"/>
      <c r="AC861" s="181"/>
      <c r="AD861" s="144"/>
      <c r="AE861" s="182"/>
      <c r="AF861" s="10"/>
      <c r="AG861" s="10"/>
      <c r="AH861" s="144"/>
      <c r="AI861" s="3"/>
      <c r="AJ861" s="10"/>
      <c r="AK861" s="3"/>
      <c r="AL861" s="5"/>
      <c r="AM861" s="5"/>
      <c r="AN861" s="5"/>
      <c r="AO861" s="5"/>
      <c r="AP861" s="5"/>
      <c r="AQ861" s="5"/>
      <c r="AR861" s="5"/>
      <c r="AS861" s="142"/>
      <c r="AT861" s="142"/>
      <c r="AU861" s="142"/>
      <c r="AV861" s="142"/>
      <c r="AW861" s="142"/>
      <c r="AX861" s="142"/>
      <c r="AY861" s="142"/>
      <c r="AZ861" s="174"/>
      <c r="BA861" s="142"/>
      <c r="BB861" s="142"/>
      <c r="BC861" s="142"/>
      <c r="BD861" s="142"/>
      <c r="BE861" s="142"/>
      <c r="BF861" s="142"/>
      <c r="BG861" s="142"/>
    </row>
    <row r="862">
      <c r="A862" s="5"/>
      <c r="B862" s="44"/>
      <c r="C862" s="150"/>
      <c r="D862" s="3"/>
      <c r="E862" s="3"/>
      <c r="F862" s="5"/>
      <c r="G862" s="5"/>
      <c r="H862" s="5"/>
      <c r="I862" s="3"/>
      <c r="J862" s="3"/>
      <c r="K862" s="3"/>
      <c r="L862" s="44"/>
      <c r="M862" s="150"/>
      <c r="N862" s="5"/>
      <c r="O862" s="5"/>
      <c r="P862" s="10"/>
      <c r="Q862" s="10"/>
      <c r="R862" s="144"/>
      <c r="S862" s="144"/>
      <c r="T862" s="10"/>
      <c r="U862" s="5"/>
      <c r="V862" s="3"/>
      <c r="W862" s="5"/>
      <c r="X862" s="144"/>
      <c r="Y862" s="10"/>
      <c r="Z862" s="3"/>
      <c r="AA862" s="10"/>
      <c r="AB862" s="10"/>
      <c r="AC862" s="181"/>
      <c r="AD862" s="144"/>
      <c r="AE862" s="182"/>
      <c r="AF862" s="10"/>
      <c r="AG862" s="10"/>
      <c r="AH862" s="144"/>
      <c r="AI862" s="3"/>
      <c r="AJ862" s="10"/>
      <c r="AK862" s="3"/>
      <c r="AL862" s="5"/>
      <c r="AM862" s="5"/>
      <c r="AN862" s="5"/>
      <c r="AO862" s="5"/>
      <c r="AP862" s="5"/>
      <c r="AQ862" s="5"/>
      <c r="AR862" s="5"/>
      <c r="AS862" s="142"/>
      <c r="AT862" s="142"/>
      <c r="AU862" s="142"/>
      <c r="AV862" s="142"/>
      <c r="AW862" s="142"/>
      <c r="AX862" s="142"/>
      <c r="AY862" s="142"/>
      <c r="AZ862" s="174"/>
      <c r="BA862" s="142"/>
      <c r="BB862" s="142"/>
      <c r="BC862" s="142"/>
      <c r="BD862" s="142"/>
      <c r="BE862" s="142"/>
      <c r="BF862" s="142"/>
      <c r="BG862" s="142"/>
    </row>
    <row r="863">
      <c r="A863" s="5"/>
      <c r="B863" s="44"/>
      <c r="C863" s="150"/>
      <c r="D863" s="3"/>
      <c r="E863" s="3"/>
      <c r="F863" s="5"/>
      <c r="G863" s="5"/>
      <c r="H863" s="5"/>
      <c r="I863" s="3"/>
      <c r="J863" s="3"/>
      <c r="K863" s="3"/>
      <c r="L863" s="44"/>
      <c r="M863" s="150"/>
      <c r="N863" s="5"/>
      <c r="O863" s="5"/>
      <c r="P863" s="10"/>
      <c r="Q863" s="10"/>
      <c r="R863" s="144"/>
      <c r="S863" s="144"/>
      <c r="T863" s="10"/>
      <c r="U863" s="5"/>
      <c r="V863" s="3"/>
      <c r="W863" s="5"/>
      <c r="X863" s="144"/>
      <c r="Y863" s="10"/>
      <c r="Z863" s="3"/>
      <c r="AA863" s="10"/>
      <c r="AB863" s="10"/>
      <c r="AC863" s="181"/>
      <c r="AD863" s="144"/>
      <c r="AE863" s="182"/>
      <c r="AF863" s="10"/>
      <c r="AG863" s="10"/>
      <c r="AH863" s="144"/>
      <c r="AI863" s="3"/>
      <c r="AJ863" s="10"/>
      <c r="AK863" s="3"/>
      <c r="AL863" s="5"/>
      <c r="AM863" s="5"/>
      <c r="AN863" s="5"/>
      <c r="AO863" s="5"/>
      <c r="AP863" s="5"/>
      <c r="AQ863" s="5"/>
      <c r="AR863" s="5"/>
      <c r="AS863" s="142"/>
      <c r="AT863" s="142"/>
      <c r="AU863" s="142"/>
      <c r="AV863" s="142"/>
      <c r="AW863" s="142"/>
      <c r="AX863" s="142"/>
      <c r="AY863" s="142"/>
      <c r="AZ863" s="174"/>
      <c r="BA863" s="142"/>
      <c r="BB863" s="142"/>
      <c r="BC863" s="142"/>
      <c r="BD863" s="142"/>
      <c r="BE863" s="142"/>
      <c r="BF863" s="142"/>
      <c r="BG863" s="142"/>
    </row>
    <row r="864">
      <c r="A864" s="5"/>
      <c r="B864" s="44"/>
      <c r="C864" s="150"/>
      <c r="D864" s="3"/>
      <c r="E864" s="3"/>
      <c r="F864" s="5"/>
      <c r="G864" s="5"/>
      <c r="H864" s="5"/>
      <c r="I864" s="3"/>
      <c r="J864" s="3"/>
      <c r="K864" s="3"/>
      <c r="L864" s="44"/>
      <c r="M864" s="150"/>
      <c r="N864" s="5"/>
      <c r="O864" s="5"/>
      <c r="P864" s="10"/>
      <c r="Q864" s="10"/>
      <c r="R864" s="144"/>
      <c r="S864" s="144"/>
      <c r="T864" s="10"/>
      <c r="U864" s="5"/>
      <c r="V864" s="3"/>
      <c r="W864" s="5"/>
      <c r="X864" s="144"/>
      <c r="Y864" s="10"/>
      <c r="Z864" s="3"/>
      <c r="AA864" s="10"/>
      <c r="AB864" s="10"/>
      <c r="AC864" s="181"/>
      <c r="AD864" s="144"/>
      <c r="AE864" s="182"/>
      <c r="AF864" s="10"/>
      <c r="AG864" s="10"/>
      <c r="AH864" s="144"/>
      <c r="AI864" s="3"/>
      <c r="AJ864" s="10"/>
      <c r="AK864" s="3"/>
      <c r="AL864" s="5"/>
      <c r="AM864" s="5"/>
      <c r="AN864" s="5"/>
      <c r="AO864" s="5"/>
      <c r="AP864" s="5"/>
      <c r="AQ864" s="5"/>
      <c r="AR864" s="5"/>
      <c r="AS864" s="142"/>
      <c r="AT864" s="142"/>
      <c r="AU864" s="142"/>
      <c r="AV864" s="142"/>
      <c r="AW864" s="142"/>
      <c r="AX864" s="142"/>
      <c r="AY864" s="142"/>
      <c r="AZ864" s="174"/>
      <c r="BA864" s="142"/>
      <c r="BB864" s="142"/>
      <c r="BC864" s="142"/>
      <c r="BD864" s="142"/>
      <c r="BE864" s="142"/>
      <c r="BF864" s="142"/>
      <c r="BG864" s="142"/>
    </row>
    <row r="865">
      <c r="A865" s="5"/>
      <c r="B865" s="44"/>
      <c r="C865" s="150"/>
      <c r="D865" s="3"/>
      <c r="E865" s="3"/>
      <c r="F865" s="5"/>
      <c r="G865" s="5"/>
      <c r="H865" s="5"/>
      <c r="I865" s="3"/>
      <c r="J865" s="3"/>
      <c r="K865" s="3"/>
      <c r="L865" s="44"/>
      <c r="M865" s="150"/>
      <c r="N865" s="5"/>
      <c r="O865" s="5"/>
      <c r="P865" s="10"/>
      <c r="Q865" s="10"/>
      <c r="R865" s="144"/>
      <c r="S865" s="144"/>
      <c r="T865" s="10"/>
      <c r="U865" s="5"/>
      <c r="V865" s="3"/>
      <c r="W865" s="5"/>
      <c r="X865" s="144"/>
      <c r="Y865" s="10"/>
      <c r="Z865" s="3"/>
      <c r="AA865" s="10"/>
      <c r="AB865" s="10"/>
      <c r="AC865" s="181"/>
      <c r="AD865" s="144"/>
      <c r="AE865" s="182"/>
      <c r="AF865" s="10"/>
      <c r="AG865" s="10"/>
      <c r="AH865" s="144"/>
      <c r="AI865" s="3"/>
      <c r="AJ865" s="10"/>
      <c r="AK865" s="3"/>
      <c r="AL865" s="5"/>
      <c r="AM865" s="5"/>
      <c r="AN865" s="5"/>
      <c r="AO865" s="5"/>
      <c r="AP865" s="5"/>
      <c r="AQ865" s="5"/>
      <c r="AR865" s="5"/>
      <c r="AS865" s="142"/>
      <c r="AT865" s="142"/>
      <c r="AU865" s="142"/>
      <c r="AV865" s="142"/>
      <c r="AW865" s="142"/>
      <c r="AX865" s="142"/>
      <c r="AY865" s="142"/>
      <c r="AZ865" s="174"/>
      <c r="BA865" s="142"/>
      <c r="BB865" s="142"/>
      <c r="BC865" s="142"/>
      <c r="BD865" s="142"/>
      <c r="BE865" s="142"/>
      <c r="BF865" s="142"/>
      <c r="BG865" s="142"/>
    </row>
    <row r="866">
      <c r="A866" s="5"/>
      <c r="B866" s="44"/>
      <c r="C866" s="150"/>
      <c r="D866" s="3"/>
      <c r="E866" s="3"/>
      <c r="F866" s="5"/>
      <c r="G866" s="5"/>
      <c r="H866" s="5"/>
      <c r="I866" s="3"/>
      <c r="J866" s="3"/>
      <c r="K866" s="3"/>
      <c r="L866" s="44"/>
      <c r="M866" s="150"/>
      <c r="N866" s="5"/>
      <c r="O866" s="5"/>
      <c r="P866" s="10"/>
      <c r="Q866" s="10"/>
      <c r="R866" s="144"/>
      <c r="S866" s="144"/>
      <c r="T866" s="10"/>
      <c r="U866" s="5"/>
      <c r="V866" s="3"/>
      <c r="W866" s="5"/>
      <c r="X866" s="144"/>
      <c r="Y866" s="10"/>
      <c r="Z866" s="3"/>
      <c r="AA866" s="10"/>
      <c r="AB866" s="10"/>
      <c r="AC866" s="181"/>
      <c r="AD866" s="144"/>
      <c r="AE866" s="182"/>
      <c r="AF866" s="10"/>
      <c r="AG866" s="10"/>
      <c r="AH866" s="144"/>
      <c r="AI866" s="3"/>
      <c r="AJ866" s="10"/>
      <c r="AK866" s="3"/>
      <c r="AL866" s="5"/>
      <c r="AM866" s="5"/>
      <c r="AN866" s="5"/>
      <c r="AO866" s="5"/>
      <c r="AP866" s="5"/>
      <c r="AQ866" s="5"/>
      <c r="AR866" s="5"/>
      <c r="AS866" s="142"/>
      <c r="AT866" s="142"/>
      <c r="AU866" s="142"/>
      <c r="AV866" s="142"/>
      <c r="AW866" s="142"/>
      <c r="AX866" s="142"/>
      <c r="AY866" s="142"/>
      <c r="AZ866" s="174"/>
      <c r="BA866" s="142"/>
      <c r="BB866" s="142"/>
      <c r="BC866" s="142"/>
      <c r="BD866" s="142"/>
      <c r="BE866" s="142"/>
      <c r="BF866" s="142"/>
      <c r="BG866" s="142"/>
    </row>
    <row r="867">
      <c r="A867" s="5"/>
      <c r="B867" s="44"/>
      <c r="C867" s="150"/>
      <c r="D867" s="3"/>
      <c r="E867" s="3"/>
      <c r="F867" s="5"/>
      <c r="G867" s="5"/>
      <c r="H867" s="5"/>
      <c r="I867" s="3"/>
      <c r="J867" s="3"/>
      <c r="K867" s="3"/>
      <c r="L867" s="44"/>
      <c r="M867" s="150"/>
      <c r="N867" s="5"/>
      <c r="O867" s="5"/>
      <c r="P867" s="10"/>
      <c r="Q867" s="10"/>
      <c r="R867" s="144"/>
      <c r="S867" s="144"/>
      <c r="T867" s="10"/>
      <c r="U867" s="5"/>
      <c r="V867" s="3"/>
      <c r="W867" s="5"/>
      <c r="X867" s="144"/>
      <c r="Y867" s="10"/>
      <c r="Z867" s="3"/>
      <c r="AA867" s="10"/>
      <c r="AB867" s="10"/>
      <c r="AC867" s="181"/>
      <c r="AD867" s="144"/>
      <c r="AE867" s="182"/>
      <c r="AF867" s="10"/>
      <c r="AG867" s="10"/>
      <c r="AH867" s="144"/>
      <c r="AI867" s="3"/>
      <c r="AJ867" s="10"/>
      <c r="AK867" s="3"/>
      <c r="AL867" s="5"/>
      <c r="AM867" s="5"/>
      <c r="AN867" s="5"/>
      <c r="AO867" s="5"/>
      <c r="AP867" s="5"/>
      <c r="AQ867" s="5"/>
      <c r="AR867" s="5"/>
      <c r="AS867" s="142"/>
      <c r="AT867" s="142"/>
      <c r="AU867" s="142"/>
      <c r="AV867" s="142"/>
      <c r="AW867" s="142"/>
      <c r="AX867" s="142"/>
      <c r="AY867" s="142"/>
      <c r="AZ867" s="174"/>
      <c r="BA867" s="142"/>
      <c r="BB867" s="142"/>
      <c r="BC867" s="142"/>
      <c r="BD867" s="142"/>
      <c r="BE867" s="142"/>
      <c r="BF867" s="142"/>
      <c r="BG867" s="142"/>
    </row>
    <row r="868">
      <c r="A868" s="5"/>
      <c r="B868" s="44"/>
      <c r="C868" s="150"/>
      <c r="D868" s="3"/>
      <c r="E868" s="3"/>
      <c r="F868" s="5"/>
      <c r="G868" s="5"/>
      <c r="H868" s="5"/>
      <c r="I868" s="3"/>
      <c r="J868" s="3"/>
      <c r="K868" s="3"/>
      <c r="L868" s="44"/>
      <c r="M868" s="150"/>
      <c r="N868" s="5"/>
      <c r="O868" s="5"/>
      <c r="P868" s="10"/>
      <c r="Q868" s="10"/>
      <c r="R868" s="144"/>
      <c r="S868" s="144"/>
      <c r="T868" s="10"/>
      <c r="U868" s="5"/>
      <c r="V868" s="3"/>
      <c r="W868" s="5"/>
      <c r="X868" s="144"/>
      <c r="Y868" s="10"/>
      <c r="Z868" s="3"/>
      <c r="AA868" s="10"/>
      <c r="AB868" s="10"/>
      <c r="AC868" s="181"/>
      <c r="AD868" s="144"/>
      <c r="AE868" s="182"/>
      <c r="AF868" s="10"/>
      <c r="AG868" s="10"/>
      <c r="AH868" s="144"/>
      <c r="AI868" s="3"/>
      <c r="AJ868" s="10"/>
      <c r="AK868" s="3"/>
      <c r="AL868" s="5"/>
      <c r="AM868" s="5"/>
      <c r="AN868" s="5"/>
      <c r="AO868" s="5"/>
      <c r="AP868" s="5"/>
      <c r="AQ868" s="5"/>
      <c r="AR868" s="5"/>
      <c r="AS868" s="142"/>
      <c r="AT868" s="142"/>
      <c r="AU868" s="142"/>
      <c r="AV868" s="142"/>
      <c r="AW868" s="142"/>
      <c r="AX868" s="142"/>
      <c r="AY868" s="142"/>
      <c r="AZ868" s="174"/>
      <c r="BA868" s="142"/>
      <c r="BB868" s="142"/>
      <c r="BC868" s="142"/>
      <c r="BD868" s="142"/>
      <c r="BE868" s="142"/>
      <c r="BF868" s="142"/>
      <c r="BG868" s="142"/>
    </row>
    <row r="869">
      <c r="A869" s="5"/>
      <c r="B869" s="44"/>
      <c r="C869" s="150"/>
      <c r="D869" s="3"/>
      <c r="E869" s="3"/>
      <c r="F869" s="5"/>
      <c r="G869" s="5"/>
      <c r="H869" s="5"/>
      <c r="I869" s="3"/>
      <c r="J869" s="3"/>
      <c r="K869" s="3"/>
      <c r="L869" s="44"/>
      <c r="M869" s="150"/>
      <c r="N869" s="5"/>
      <c r="O869" s="5"/>
      <c r="P869" s="10"/>
      <c r="Q869" s="10"/>
      <c r="R869" s="144"/>
      <c r="S869" s="144"/>
      <c r="T869" s="10"/>
      <c r="U869" s="5"/>
      <c r="V869" s="3"/>
      <c r="W869" s="5"/>
      <c r="X869" s="144"/>
      <c r="Y869" s="10"/>
      <c r="Z869" s="3"/>
      <c r="AA869" s="10"/>
      <c r="AB869" s="10"/>
      <c r="AC869" s="181"/>
      <c r="AD869" s="144"/>
      <c r="AE869" s="182"/>
      <c r="AF869" s="10"/>
      <c r="AG869" s="10"/>
      <c r="AH869" s="144"/>
      <c r="AI869" s="3"/>
      <c r="AJ869" s="10"/>
      <c r="AK869" s="3"/>
      <c r="AL869" s="5"/>
      <c r="AM869" s="5"/>
      <c r="AN869" s="5"/>
      <c r="AO869" s="5"/>
      <c r="AP869" s="5"/>
      <c r="AQ869" s="5"/>
      <c r="AR869" s="5"/>
      <c r="AS869" s="142"/>
      <c r="AT869" s="142"/>
      <c r="AU869" s="142"/>
      <c r="AV869" s="142"/>
      <c r="AW869" s="142"/>
      <c r="AX869" s="142"/>
      <c r="AY869" s="142"/>
      <c r="AZ869" s="174"/>
      <c r="BA869" s="142"/>
      <c r="BB869" s="142"/>
      <c r="BC869" s="142"/>
      <c r="BD869" s="142"/>
      <c r="BE869" s="142"/>
      <c r="BF869" s="142"/>
      <c r="BG869" s="142"/>
    </row>
    <row r="870">
      <c r="A870" s="5"/>
      <c r="B870" s="44"/>
      <c r="C870" s="150"/>
      <c r="D870" s="3"/>
      <c r="E870" s="3"/>
      <c r="F870" s="5"/>
      <c r="G870" s="5"/>
      <c r="H870" s="5"/>
      <c r="I870" s="3"/>
      <c r="J870" s="3"/>
      <c r="K870" s="3"/>
      <c r="L870" s="44"/>
      <c r="M870" s="150"/>
      <c r="N870" s="5"/>
      <c r="O870" s="5"/>
      <c r="P870" s="10"/>
      <c r="Q870" s="10"/>
      <c r="R870" s="144"/>
      <c r="S870" s="144"/>
      <c r="T870" s="10"/>
      <c r="U870" s="5"/>
      <c r="V870" s="3"/>
      <c r="W870" s="5"/>
      <c r="X870" s="144"/>
      <c r="Y870" s="10"/>
      <c r="Z870" s="3"/>
      <c r="AA870" s="10"/>
      <c r="AB870" s="10"/>
      <c r="AC870" s="181"/>
      <c r="AD870" s="144"/>
      <c r="AE870" s="182"/>
      <c r="AF870" s="10"/>
      <c r="AG870" s="10"/>
      <c r="AH870" s="144"/>
      <c r="AI870" s="3"/>
      <c r="AJ870" s="10"/>
      <c r="AK870" s="3"/>
      <c r="AL870" s="5"/>
      <c r="AM870" s="5"/>
      <c r="AN870" s="5"/>
      <c r="AO870" s="5"/>
      <c r="AP870" s="5"/>
      <c r="AQ870" s="5"/>
      <c r="AR870" s="5"/>
      <c r="AS870" s="142"/>
      <c r="AT870" s="142"/>
      <c r="AU870" s="142"/>
      <c r="AV870" s="142"/>
      <c r="AW870" s="142"/>
      <c r="AX870" s="142"/>
      <c r="AY870" s="142"/>
      <c r="AZ870" s="174"/>
      <c r="BA870" s="142"/>
      <c r="BB870" s="142"/>
      <c r="BC870" s="142"/>
      <c r="BD870" s="142"/>
      <c r="BE870" s="142"/>
      <c r="BF870" s="142"/>
      <c r="BG870" s="142"/>
    </row>
    <row r="871">
      <c r="A871" s="5"/>
      <c r="B871" s="44"/>
      <c r="C871" s="150"/>
      <c r="D871" s="3"/>
      <c r="E871" s="3"/>
      <c r="F871" s="5"/>
      <c r="G871" s="5"/>
      <c r="H871" s="5"/>
      <c r="I871" s="3"/>
      <c r="J871" s="3"/>
      <c r="K871" s="3"/>
      <c r="L871" s="44"/>
      <c r="M871" s="150"/>
      <c r="N871" s="5"/>
      <c r="O871" s="5"/>
      <c r="P871" s="10"/>
      <c r="Q871" s="10"/>
      <c r="R871" s="144"/>
      <c r="S871" s="144"/>
      <c r="T871" s="10"/>
      <c r="U871" s="5"/>
      <c r="V871" s="3"/>
      <c r="W871" s="5"/>
      <c r="X871" s="144"/>
      <c r="Y871" s="10"/>
      <c r="Z871" s="3"/>
      <c r="AA871" s="10"/>
      <c r="AB871" s="10"/>
      <c r="AC871" s="181"/>
      <c r="AD871" s="144"/>
      <c r="AE871" s="182"/>
      <c r="AF871" s="10"/>
      <c r="AG871" s="10"/>
      <c r="AH871" s="144"/>
      <c r="AI871" s="3"/>
      <c r="AJ871" s="10"/>
      <c r="AK871" s="3"/>
      <c r="AL871" s="5"/>
      <c r="AM871" s="5"/>
      <c r="AN871" s="5"/>
      <c r="AO871" s="5"/>
      <c r="AP871" s="5"/>
      <c r="AQ871" s="5"/>
      <c r="AR871" s="5"/>
      <c r="AS871" s="142"/>
      <c r="AT871" s="142"/>
      <c r="AU871" s="142"/>
      <c r="AV871" s="142"/>
      <c r="AW871" s="142"/>
      <c r="AX871" s="142"/>
      <c r="AY871" s="142"/>
      <c r="AZ871" s="174"/>
      <c r="BA871" s="142"/>
      <c r="BB871" s="142"/>
      <c r="BC871" s="142"/>
      <c r="BD871" s="142"/>
      <c r="BE871" s="142"/>
      <c r="BF871" s="142"/>
      <c r="BG871" s="142"/>
    </row>
    <row r="872">
      <c r="A872" s="5"/>
      <c r="B872" s="44"/>
      <c r="C872" s="150"/>
      <c r="D872" s="3"/>
      <c r="E872" s="3"/>
      <c r="F872" s="5"/>
      <c r="G872" s="5"/>
      <c r="H872" s="5"/>
      <c r="I872" s="3"/>
      <c r="J872" s="3"/>
      <c r="K872" s="3"/>
      <c r="L872" s="44"/>
      <c r="M872" s="150"/>
      <c r="N872" s="5"/>
      <c r="O872" s="5"/>
      <c r="P872" s="10"/>
      <c r="Q872" s="10"/>
      <c r="R872" s="144"/>
      <c r="S872" s="144"/>
      <c r="T872" s="10"/>
      <c r="U872" s="5"/>
      <c r="V872" s="3"/>
      <c r="W872" s="5"/>
      <c r="X872" s="144"/>
      <c r="Y872" s="10"/>
      <c r="Z872" s="3"/>
      <c r="AA872" s="10"/>
      <c r="AB872" s="10"/>
      <c r="AC872" s="181"/>
      <c r="AD872" s="144"/>
      <c r="AE872" s="182"/>
      <c r="AF872" s="10"/>
      <c r="AG872" s="10"/>
      <c r="AH872" s="144"/>
      <c r="AI872" s="3"/>
      <c r="AJ872" s="10"/>
      <c r="AK872" s="3"/>
      <c r="AL872" s="5"/>
      <c r="AM872" s="5"/>
      <c r="AN872" s="5"/>
      <c r="AO872" s="5"/>
      <c r="AP872" s="5"/>
      <c r="AQ872" s="5"/>
      <c r="AR872" s="5"/>
      <c r="AS872" s="142"/>
      <c r="AT872" s="142"/>
      <c r="AU872" s="142"/>
      <c r="AV872" s="142"/>
      <c r="AW872" s="142"/>
      <c r="AX872" s="142"/>
      <c r="AY872" s="142"/>
      <c r="AZ872" s="174"/>
      <c r="BA872" s="142"/>
      <c r="BB872" s="142"/>
      <c r="BC872" s="142"/>
      <c r="BD872" s="142"/>
      <c r="BE872" s="142"/>
      <c r="BF872" s="142"/>
      <c r="BG872" s="142"/>
    </row>
    <row r="873">
      <c r="A873" s="5"/>
      <c r="B873" s="44"/>
      <c r="C873" s="150"/>
      <c r="D873" s="3"/>
      <c r="E873" s="3"/>
      <c r="F873" s="5"/>
      <c r="G873" s="5"/>
      <c r="H873" s="5"/>
      <c r="I873" s="3"/>
      <c r="J873" s="3"/>
      <c r="K873" s="3"/>
      <c r="L873" s="44"/>
      <c r="M873" s="150"/>
      <c r="N873" s="5"/>
      <c r="O873" s="5"/>
      <c r="P873" s="10"/>
      <c r="Q873" s="10"/>
      <c r="R873" s="144"/>
      <c r="S873" s="144"/>
      <c r="T873" s="10"/>
      <c r="U873" s="5"/>
      <c r="V873" s="3"/>
      <c r="W873" s="5"/>
      <c r="X873" s="144"/>
      <c r="Y873" s="10"/>
      <c r="Z873" s="3"/>
      <c r="AA873" s="10"/>
      <c r="AB873" s="10"/>
      <c r="AC873" s="181"/>
      <c r="AD873" s="144"/>
      <c r="AE873" s="182"/>
      <c r="AF873" s="10"/>
      <c r="AG873" s="10"/>
      <c r="AH873" s="144"/>
      <c r="AI873" s="3"/>
      <c r="AJ873" s="10"/>
      <c r="AK873" s="3"/>
      <c r="AL873" s="5"/>
      <c r="AM873" s="5"/>
      <c r="AN873" s="5"/>
      <c r="AO873" s="5"/>
      <c r="AP873" s="5"/>
      <c r="AQ873" s="5"/>
      <c r="AR873" s="5"/>
      <c r="AS873" s="142"/>
      <c r="AT873" s="142"/>
      <c r="AU873" s="142"/>
      <c r="AV873" s="142"/>
      <c r="AW873" s="142"/>
      <c r="AX873" s="142"/>
      <c r="AY873" s="142"/>
      <c r="AZ873" s="174"/>
      <c r="BA873" s="142"/>
      <c r="BB873" s="142"/>
      <c r="BC873" s="142"/>
      <c r="BD873" s="142"/>
      <c r="BE873" s="142"/>
      <c r="BF873" s="142"/>
      <c r="BG873" s="142"/>
    </row>
    <row r="874">
      <c r="A874" s="5"/>
      <c r="B874" s="44"/>
      <c r="C874" s="150"/>
      <c r="D874" s="3"/>
      <c r="E874" s="3"/>
      <c r="F874" s="5"/>
      <c r="G874" s="5"/>
      <c r="H874" s="5"/>
      <c r="I874" s="3"/>
      <c r="J874" s="3"/>
      <c r="K874" s="3"/>
      <c r="L874" s="44"/>
      <c r="M874" s="150"/>
      <c r="N874" s="5"/>
      <c r="O874" s="5"/>
      <c r="P874" s="10"/>
      <c r="Q874" s="10"/>
      <c r="R874" s="144"/>
      <c r="S874" s="144"/>
      <c r="T874" s="10"/>
      <c r="U874" s="5"/>
      <c r="V874" s="3"/>
      <c r="W874" s="5"/>
      <c r="X874" s="144"/>
      <c r="Y874" s="10"/>
      <c r="Z874" s="3"/>
      <c r="AA874" s="10"/>
      <c r="AB874" s="10"/>
      <c r="AC874" s="181"/>
      <c r="AD874" s="144"/>
      <c r="AE874" s="182"/>
      <c r="AF874" s="10"/>
      <c r="AG874" s="10"/>
      <c r="AH874" s="144"/>
      <c r="AI874" s="3"/>
      <c r="AJ874" s="10"/>
      <c r="AK874" s="3"/>
      <c r="AL874" s="5"/>
      <c r="AM874" s="5"/>
      <c r="AN874" s="5"/>
      <c r="AO874" s="5"/>
      <c r="AP874" s="5"/>
      <c r="AQ874" s="5"/>
      <c r="AR874" s="5"/>
      <c r="AS874" s="142"/>
      <c r="AT874" s="142"/>
      <c r="AU874" s="142"/>
      <c r="AV874" s="142"/>
      <c r="AW874" s="142"/>
      <c r="AX874" s="142"/>
      <c r="AY874" s="142"/>
      <c r="AZ874" s="174"/>
      <c r="BA874" s="142"/>
      <c r="BB874" s="142"/>
      <c r="BC874" s="142"/>
      <c r="BD874" s="142"/>
      <c r="BE874" s="142"/>
      <c r="BF874" s="142"/>
      <c r="BG874" s="142"/>
    </row>
    <row r="875">
      <c r="A875" s="5"/>
      <c r="B875" s="44"/>
      <c r="C875" s="150"/>
      <c r="D875" s="3"/>
      <c r="E875" s="3"/>
      <c r="F875" s="5"/>
      <c r="G875" s="5"/>
      <c r="H875" s="5"/>
      <c r="I875" s="3"/>
      <c r="J875" s="3"/>
      <c r="K875" s="3"/>
      <c r="L875" s="44"/>
      <c r="M875" s="150"/>
      <c r="N875" s="5"/>
      <c r="O875" s="5"/>
      <c r="P875" s="10"/>
      <c r="Q875" s="10"/>
      <c r="R875" s="144"/>
      <c r="S875" s="144"/>
      <c r="T875" s="10"/>
      <c r="U875" s="5"/>
      <c r="V875" s="3"/>
      <c r="W875" s="5"/>
      <c r="X875" s="144"/>
      <c r="Y875" s="10"/>
      <c r="Z875" s="3"/>
      <c r="AA875" s="10"/>
      <c r="AB875" s="10"/>
      <c r="AC875" s="181"/>
      <c r="AD875" s="144"/>
      <c r="AE875" s="182"/>
      <c r="AF875" s="10"/>
      <c r="AG875" s="10"/>
      <c r="AH875" s="144"/>
      <c r="AI875" s="3"/>
      <c r="AJ875" s="10"/>
      <c r="AK875" s="3"/>
      <c r="AL875" s="5"/>
      <c r="AM875" s="5"/>
      <c r="AN875" s="5"/>
      <c r="AO875" s="5"/>
      <c r="AP875" s="5"/>
      <c r="AQ875" s="5"/>
      <c r="AR875" s="5"/>
      <c r="AS875" s="142"/>
      <c r="AT875" s="142"/>
      <c r="AU875" s="142"/>
      <c r="AV875" s="142"/>
      <c r="AW875" s="142"/>
      <c r="AX875" s="142"/>
      <c r="AY875" s="142"/>
      <c r="AZ875" s="174"/>
      <c r="BA875" s="142"/>
      <c r="BB875" s="142"/>
      <c r="BC875" s="142"/>
      <c r="BD875" s="142"/>
      <c r="BE875" s="142"/>
      <c r="BF875" s="142"/>
      <c r="BG875" s="142"/>
    </row>
    <row r="876">
      <c r="A876" s="5"/>
      <c r="B876" s="44"/>
      <c r="C876" s="150"/>
      <c r="D876" s="3"/>
      <c r="E876" s="3"/>
      <c r="F876" s="5"/>
      <c r="G876" s="5"/>
      <c r="H876" s="5"/>
      <c r="I876" s="3"/>
      <c r="J876" s="3"/>
      <c r="K876" s="3"/>
      <c r="L876" s="44"/>
      <c r="M876" s="150"/>
      <c r="N876" s="5"/>
      <c r="O876" s="5"/>
      <c r="P876" s="10"/>
      <c r="Q876" s="10"/>
      <c r="R876" s="144"/>
      <c r="S876" s="144"/>
      <c r="T876" s="10"/>
      <c r="U876" s="5"/>
      <c r="V876" s="3"/>
      <c r="W876" s="5"/>
      <c r="X876" s="144"/>
      <c r="Y876" s="10"/>
      <c r="Z876" s="3"/>
      <c r="AA876" s="10"/>
      <c r="AB876" s="10"/>
      <c r="AC876" s="181"/>
      <c r="AD876" s="144"/>
      <c r="AE876" s="182"/>
      <c r="AF876" s="10"/>
      <c r="AG876" s="10"/>
      <c r="AH876" s="144"/>
      <c r="AI876" s="3"/>
      <c r="AJ876" s="10"/>
      <c r="AK876" s="3"/>
      <c r="AL876" s="5"/>
      <c r="AM876" s="5"/>
      <c r="AN876" s="5"/>
      <c r="AO876" s="5"/>
      <c r="AP876" s="5"/>
      <c r="AQ876" s="5"/>
      <c r="AR876" s="5"/>
      <c r="AS876" s="142"/>
      <c r="AT876" s="142"/>
      <c r="AU876" s="142"/>
      <c r="AV876" s="142"/>
      <c r="AW876" s="142"/>
      <c r="AX876" s="142"/>
      <c r="AY876" s="142"/>
      <c r="AZ876" s="174"/>
      <c r="BA876" s="142"/>
      <c r="BB876" s="142"/>
      <c r="BC876" s="142"/>
      <c r="BD876" s="142"/>
      <c r="BE876" s="142"/>
      <c r="BF876" s="142"/>
      <c r="BG876" s="142"/>
    </row>
    <row r="877">
      <c r="A877" s="5"/>
      <c r="B877" s="44"/>
      <c r="C877" s="150"/>
      <c r="D877" s="3"/>
      <c r="E877" s="3"/>
      <c r="F877" s="5"/>
      <c r="G877" s="5"/>
      <c r="H877" s="5"/>
      <c r="I877" s="3"/>
      <c r="J877" s="3"/>
      <c r="K877" s="3"/>
      <c r="L877" s="44"/>
      <c r="M877" s="150"/>
      <c r="N877" s="5"/>
      <c r="O877" s="5"/>
      <c r="P877" s="10"/>
      <c r="Q877" s="10"/>
      <c r="R877" s="144"/>
      <c r="S877" s="144"/>
      <c r="T877" s="10"/>
      <c r="U877" s="5"/>
      <c r="V877" s="3"/>
      <c r="W877" s="5"/>
      <c r="X877" s="144"/>
      <c r="Y877" s="10"/>
      <c r="Z877" s="3"/>
      <c r="AA877" s="10"/>
      <c r="AB877" s="10"/>
      <c r="AC877" s="181"/>
      <c r="AD877" s="144"/>
      <c r="AE877" s="182"/>
      <c r="AF877" s="10"/>
      <c r="AG877" s="10"/>
      <c r="AH877" s="144"/>
      <c r="AI877" s="3"/>
      <c r="AJ877" s="10"/>
      <c r="AK877" s="3"/>
      <c r="AL877" s="5"/>
      <c r="AM877" s="5"/>
      <c r="AN877" s="5"/>
      <c r="AO877" s="5"/>
      <c r="AP877" s="5"/>
      <c r="AQ877" s="5"/>
      <c r="AR877" s="5"/>
      <c r="AS877" s="142"/>
      <c r="AT877" s="142"/>
      <c r="AU877" s="142"/>
      <c r="AV877" s="142"/>
      <c r="AW877" s="142"/>
      <c r="AX877" s="142"/>
      <c r="AY877" s="142"/>
      <c r="AZ877" s="174"/>
      <c r="BA877" s="142"/>
      <c r="BB877" s="142"/>
      <c r="BC877" s="142"/>
      <c r="BD877" s="142"/>
      <c r="BE877" s="142"/>
      <c r="BF877" s="142"/>
      <c r="BG877" s="142"/>
    </row>
    <row r="878">
      <c r="A878" s="5"/>
      <c r="B878" s="44"/>
      <c r="C878" s="150"/>
      <c r="D878" s="3"/>
      <c r="E878" s="3"/>
      <c r="F878" s="5"/>
      <c r="G878" s="5"/>
      <c r="H878" s="5"/>
      <c r="I878" s="3"/>
      <c r="J878" s="3"/>
      <c r="K878" s="3"/>
      <c r="L878" s="44"/>
      <c r="M878" s="150"/>
      <c r="N878" s="5"/>
      <c r="O878" s="5"/>
      <c r="P878" s="10"/>
      <c r="Q878" s="10"/>
      <c r="R878" s="144"/>
      <c r="S878" s="144"/>
      <c r="T878" s="10"/>
      <c r="U878" s="5"/>
      <c r="V878" s="3"/>
      <c r="W878" s="5"/>
      <c r="X878" s="144"/>
      <c r="Y878" s="10"/>
      <c r="Z878" s="3"/>
      <c r="AA878" s="10"/>
      <c r="AB878" s="10"/>
      <c r="AC878" s="181"/>
      <c r="AD878" s="144"/>
      <c r="AE878" s="182"/>
      <c r="AF878" s="10"/>
      <c r="AG878" s="10"/>
      <c r="AH878" s="144"/>
      <c r="AI878" s="3"/>
      <c r="AJ878" s="10"/>
      <c r="AK878" s="3"/>
      <c r="AL878" s="5"/>
      <c r="AM878" s="5"/>
      <c r="AN878" s="5"/>
      <c r="AO878" s="5"/>
      <c r="AP878" s="5"/>
      <c r="AQ878" s="5"/>
      <c r="AR878" s="5"/>
      <c r="AS878" s="142"/>
      <c r="AT878" s="142"/>
      <c r="AU878" s="142"/>
      <c r="AV878" s="142"/>
      <c r="AW878" s="142"/>
      <c r="AX878" s="142"/>
      <c r="AY878" s="142"/>
      <c r="AZ878" s="174"/>
      <c r="BA878" s="142"/>
      <c r="BB878" s="142"/>
      <c r="BC878" s="142"/>
      <c r="BD878" s="142"/>
      <c r="BE878" s="142"/>
      <c r="BF878" s="142"/>
      <c r="BG878" s="142"/>
    </row>
    <row r="879">
      <c r="A879" s="5"/>
      <c r="B879" s="44"/>
      <c r="C879" s="150"/>
      <c r="D879" s="3"/>
      <c r="E879" s="3"/>
      <c r="F879" s="5"/>
      <c r="G879" s="5"/>
      <c r="H879" s="5"/>
      <c r="I879" s="3"/>
      <c r="J879" s="3"/>
      <c r="K879" s="3"/>
      <c r="L879" s="44"/>
      <c r="M879" s="150"/>
      <c r="N879" s="5"/>
      <c r="O879" s="5"/>
      <c r="P879" s="10"/>
      <c r="Q879" s="10"/>
      <c r="R879" s="144"/>
      <c r="S879" s="144"/>
      <c r="T879" s="10"/>
      <c r="U879" s="5"/>
      <c r="V879" s="3"/>
      <c r="W879" s="5"/>
      <c r="X879" s="144"/>
      <c r="Y879" s="10"/>
      <c r="Z879" s="3"/>
      <c r="AA879" s="10"/>
      <c r="AB879" s="10"/>
      <c r="AC879" s="181"/>
      <c r="AD879" s="144"/>
      <c r="AE879" s="182"/>
      <c r="AF879" s="10"/>
      <c r="AG879" s="10"/>
      <c r="AH879" s="144"/>
      <c r="AI879" s="3"/>
      <c r="AJ879" s="10"/>
      <c r="AK879" s="3"/>
      <c r="AL879" s="5"/>
      <c r="AM879" s="5"/>
      <c r="AN879" s="5"/>
      <c r="AO879" s="5"/>
      <c r="AP879" s="5"/>
      <c r="AQ879" s="5"/>
      <c r="AR879" s="5"/>
      <c r="AS879" s="142"/>
      <c r="AT879" s="142"/>
      <c r="AU879" s="142"/>
      <c r="AV879" s="142"/>
      <c r="AW879" s="142"/>
      <c r="AX879" s="142"/>
      <c r="AY879" s="142"/>
      <c r="AZ879" s="174"/>
      <c r="BA879" s="142"/>
      <c r="BB879" s="142"/>
      <c r="BC879" s="142"/>
      <c r="BD879" s="142"/>
      <c r="BE879" s="142"/>
      <c r="BF879" s="142"/>
      <c r="BG879" s="142"/>
    </row>
    <row r="880">
      <c r="A880" s="5"/>
      <c r="B880" s="44"/>
      <c r="C880" s="150"/>
      <c r="D880" s="3"/>
      <c r="E880" s="3"/>
      <c r="F880" s="5"/>
      <c r="G880" s="5"/>
      <c r="H880" s="5"/>
      <c r="I880" s="3"/>
      <c r="J880" s="3"/>
      <c r="K880" s="3"/>
      <c r="L880" s="44"/>
      <c r="M880" s="150"/>
      <c r="N880" s="5"/>
      <c r="O880" s="5"/>
      <c r="P880" s="10"/>
      <c r="Q880" s="10"/>
      <c r="R880" s="144"/>
      <c r="S880" s="144"/>
      <c r="T880" s="10"/>
      <c r="U880" s="5"/>
      <c r="V880" s="3"/>
      <c r="W880" s="5"/>
      <c r="X880" s="144"/>
      <c r="Y880" s="10"/>
      <c r="Z880" s="3"/>
      <c r="AA880" s="10"/>
      <c r="AB880" s="10"/>
      <c r="AC880" s="181"/>
      <c r="AD880" s="144"/>
      <c r="AE880" s="182"/>
      <c r="AF880" s="10"/>
      <c r="AG880" s="10"/>
      <c r="AH880" s="144"/>
      <c r="AI880" s="3"/>
      <c r="AJ880" s="10"/>
      <c r="AK880" s="3"/>
      <c r="AL880" s="5"/>
      <c r="AM880" s="5"/>
      <c r="AN880" s="5"/>
      <c r="AO880" s="5"/>
      <c r="AP880" s="5"/>
      <c r="AQ880" s="5"/>
      <c r="AR880" s="5"/>
      <c r="AS880" s="142"/>
      <c r="AT880" s="142"/>
      <c r="AU880" s="142"/>
      <c r="AV880" s="142"/>
      <c r="AW880" s="142"/>
      <c r="AX880" s="142"/>
      <c r="AY880" s="142"/>
      <c r="AZ880" s="174"/>
      <c r="BA880" s="142"/>
      <c r="BB880" s="142"/>
      <c r="BC880" s="142"/>
      <c r="BD880" s="142"/>
      <c r="BE880" s="142"/>
      <c r="BF880" s="142"/>
      <c r="BG880" s="142"/>
    </row>
    <row r="881">
      <c r="A881" s="5"/>
      <c r="B881" s="44"/>
      <c r="C881" s="150"/>
      <c r="D881" s="3"/>
      <c r="E881" s="3"/>
      <c r="F881" s="5"/>
      <c r="G881" s="5"/>
      <c r="H881" s="5"/>
      <c r="I881" s="3"/>
      <c r="J881" s="3"/>
      <c r="K881" s="3"/>
      <c r="L881" s="44"/>
      <c r="M881" s="150"/>
      <c r="N881" s="5"/>
      <c r="O881" s="5"/>
      <c r="P881" s="10"/>
      <c r="Q881" s="10"/>
      <c r="R881" s="144"/>
      <c r="S881" s="144"/>
      <c r="T881" s="10"/>
      <c r="U881" s="5"/>
      <c r="V881" s="3"/>
      <c r="W881" s="5"/>
      <c r="X881" s="144"/>
      <c r="Y881" s="10"/>
      <c r="Z881" s="3"/>
      <c r="AA881" s="10"/>
      <c r="AB881" s="10"/>
      <c r="AC881" s="181"/>
      <c r="AD881" s="144"/>
      <c r="AE881" s="182"/>
      <c r="AF881" s="10"/>
      <c r="AG881" s="10"/>
      <c r="AH881" s="144"/>
      <c r="AI881" s="3"/>
      <c r="AJ881" s="10"/>
      <c r="AK881" s="3"/>
      <c r="AL881" s="5"/>
      <c r="AM881" s="5"/>
      <c r="AN881" s="5"/>
      <c r="AO881" s="5"/>
      <c r="AP881" s="5"/>
      <c r="AQ881" s="5"/>
      <c r="AR881" s="5"/>
      <c r="AS881" s="142"/>
      <c r="AT881" s="142"/>
      <c r="AU881" s="142"/>
      <c r="AV881" s="142"/>
      <c r="AW881" s="142"/>
      <c r="AX881" s="142"/>
      <c r="AY881" s="142"/>
      <c r="AZ881" s="174"/>
      <c r="BA881" s="142"/>
      <c r="BB881" s="142"/>
      <c r="BC881" s="142"/>
      <c r="BD881" s="142"/>
      <c r="BE881" s="142"/>
      <c r="BF881" s="142"/>
      <c r="BG881" s="142"/>
    </row>
    <row r="882">
      <c r="A882" s="5"/>
      <c r="B882" s="44"/>
      <c r="C882" s="150"/>
      <c r="D882" s="3"/>
      <c r="E882" s="3"/>
      <c r="F882" s="5"/>
      <c r="G882" s="5"/>
      <c r="H882" s="5"/>
      <c r="I882" s="3"/>
      <c r="J882" s="3"/>
      <c r="K882" s="3"/>
      <c r="L882" s="44"/>
      <c r="M882" s="150"/>
      <c r="N882" s="5"/>
      <c r="O882" s="5"/>
      <c r="P882" s="10"/>
      <c r="Q882" s="10"/>
      <c r="R882" s="144"/>
      <c r="S882" s="144"/>
      <c r="T882" s="10"/>
      <c r="U882" s="5"/>
      <c r="V882" s="3"/>
      <c r="W882" s="5"/>
      <c r="X882" s="144"/>
      <c r="Y882" s="10"/>
      <c r="Z882" s="3"/>
      <c r="AA882" s="10"/>
      <c r="AB882" s="10"/>
      <c r="AC882" s="181"/>
      <c r="AD882" s="144"/>
      <c r="AE882" s="182"/>
      <c r="AF882" s="10"/>
      <c r="AG882" s="10"/>
      <c r="AH882" s="144"/>
      <c r="AI882" s="3"/>
      <c r="AJ882" s="10"/>
      <c r="AK882" s="3"/>
      <c r="AL882" s="5"/>
      <c r="AM882" s="5"/>
      <c r="AN882" s="5"/>
      <c r="AO882" s="5"/>
      <c r="AP882" s="5"/>
      <c r="AQ882" s="5"/>
      <c r="AR882" s="5"/>
      <c r="AS882" s="142"/>
      <c r="AT882" s="142"/>
      <c r="AU882" s="142"/>
      <c r="AV882" s="142"/>
      <c r="AW882" s="142"/>
      <c r="AX882" s="142"/>
      <c r="AY882" s="142"/>
      <c r="AZ882" s="174"/>
      <c r="BA882" s="142"/>
      <c r="BB882" s="142"/>
      <c r="BC882" s="142"/>
      <c r="BD882" s="142"/>
      <c r="BE882" s="142"/>
      <c r="BF882" s="142"/>
      <c r="BG882" s="142"/>
    </row>
    <row r="883">
      <c r="A883" s="5"/>
      <c r="B883" s="44"/>
      <c r="C883" s="150"/>
      <c r="D883" s="3"/>
      <c r="E883" s="3"/>
      <c r="F883" s="5"/>
      <c r="G883" s="5"/>
      <c r="H883" s="5"/>
      <c r="I883" s="3"/>
      <c r="J883" s="3"/>
      <c r="K883" s="3"/>
      <c r="L883" s="44"/>
      <c r="M883" s="150"/>
      <c r="N883" s="5"/>
      <c r="O883" s="5"/>
      <c r="P883" s="10"/>
      <c r="Q883" s="10"/>
      <c r="R883" s="144"/>
      <c r="S883" s="144"/>
      <c r="T883" s="10"/>
      <c r="U883" s="5"/>
      <c r="V883" s="3"/>
      <c r="W883" s="5"/>
      <c r="X883" s="144"/>
      <c r="Y883" s="10"/>
      <c r="Z883" s="3"/>
      <c r="AA883" s="10"/>
      <c r="AB883" s="10"/>
      <c r="AC883" s="181"/>
      <c r="AD883" s="144"/>
      <c r="AE883" s="182"/>
      <c r="AF883" s="10"/>
      <c r="AG883" s="10"/>
      <c r="AH883" s="144"/>
      <c r="AI883" s="3"/>
      <c r="AJ883" s="10"/>
      <c r="AK883" s="3"/>
      <c r="AL883" s="5"/>
      <c r="AM883" s="5"/>
      <c r="AN883" s="5"/>
      <c r="AO883" s="5"/>
      <c r="AP883" s="5"/>
      <c r="AQ883" s="5"/>
      <c r="AR883" s="5"/>
      <c r="AS883" s="142"/>
      <c r="AT883" s="142"/>
      <c r="AU883" s="142"/>
      <c r="AV883" s="142"/>
      <c r="AW883" s="142"/>
      <c r="AX883" s="142"/>
      <c r="AY883" s="142"/>
      <c r="AZ883" s="174"/>
      <c r="BA883" s="142"/>
      <c r="BB883" s="142"/>
      <c r="BC883" s="142"/>
      <c r="BD883" s="142"/>
      <c r="BE883" s="142"/>
      <c r="BF883" s="142"/>
      <c r="BG883" s="142"/>
    </row>
    <row r="884">
      <c r="A884" s="5"/>
      <c r="B884" s="44"/>
      <c r="C884" s="150"/>
      <c r="D884" s="3"/>
      <c r="E884" s="3"/>
      <c r="F884" s="5"/>
      <c r="G884" s="5"/>
      <c r="H884" s="5"/>
      <c r="I884" s="3"/>
      <c r="J884" s="3"/>
      <c r="K884" s="3"/>
      <c r="L884" s="44"/>
      <c r="M884" s="150"/>
      <c r="N884" s="5"/>
      <c r="O884" s="5"/>
      <c r="P884" s="10"/>
      <c r="Q884" s="10"/>
      <c r="R884" s="144"/>
      <c r="S884" s="144"/>
      <c r="T884" s="10"/>
      <c r="U884" s="5"/>
      <c r="V884" s="3"/>
      <c r="W884" s="5"/>
      <c r="X884" s="144"/>
      <c r="Y884" s="10"/>
      <c r="Z884" s="3"/>
      <c r="AA884" s="10"/>
      <c r="AB884" s="10"/>
      <c r="AC884" s="181"/>
      <c r="AD884" s="144"/>
      <c r="AE884" s="182"/>
      <c r="AF884" s="10"/>
      <c r="AG884" s="10"/>
      <c r="AH884" s="144"/>
      <c r="AI884" s="3"/>
      <c r="AJ884" s="10"/>
      <c r="AK884" s="3"/>
      <c r="AL884" s="5"/>
      <c r="AM884" s="5"/>
      <c r="AN884" s="5"/>
      <c r="AO884" s="5"/>
      <c r="AP884" s="5"/>
      <c r="AQ884" s="5"/>
      <c r="AR884" s="5"/>
      <c r="AS884" s="142"/>
      <c r="AT884" s="142"/>
      <c r="AU884" s="142"/>
      <c r="AV884" s="142"/>
      <c r="AW884" s="142"/>
      <c r="AX884" s="142"/>
      <c r="AY884" s="142"/>
      <c r="AZ884" s="174"/>
      <c r="BA884" s="142"/>
      <c r="BB884" s="142"/>
      <c r="BC884" s="142"/>
      <c r="BD884" s="142"/>
      <c r="BE884" s="142"/>
      <c r="BF884" s="142"/>
      <c r="BG884" s="142"/>
    </row>
    <row r="885">
      <c r="A885" s="5"/>
      <c r="B885" s="44"/>
      <c r="C885" s="150"/>
      <c r="D885" s="3"/>
      <c r="E885" s="3"/>
      <c r="F885" s="5"/>
      <c r="G885" s="5"/>
      <c r="H885" s="5"/>
      <c r="I885" s="3"/>
      <c r="J885" s="3"/>
      <c r="K885" s="3"/>
      <c r="L885" s="44"/>
      <c r="M885" s="150"/>
      <c r="N885" s="5"/>
      <c r="O885" s="5"/>
      <c r="P885" s="10"/>
      <c r="Q885" s="10"/>
      <c r="R885" s="144"/>
      <c r="S885" s="144"/>
      <c r="T885" s="10"/>
      <c r="U885" s="5"/>
      <c r="V885" s="3"/>
      <c r="W885" s="5"/>
      <c r="X885" s="144"/>
      <c r="Y885" s="10"/>
      <c r="Z885" s="3"/>
      <c r="AA885" s="10"/>
      <c r="AB885" s="10"/>
      <c r="AC885" s="181"/>
      <c r="AD885" s="144"/>
      <c r="AE885" s="182"/>
      <c r="AF885" s="10"/>
      <c r="AG885" s="10"/>
      <c r="AH885" s="144"/>
      <c r="AI885" s="3"/>
      <c r="AJ885" s="10"/>
      <c r="AK885" s="3"/>
      <c r="AL885" s="5"/>
      <c r="AM885" s="5"/>
      <c r="AN885" s="5"/>
      <c r="AO885" s="5"/>
      <c r="AP885" s="5"/>
      <c r="AQ885" s="5"/>
      <c r="AR885" s="5"/>
      <c r="AS885" s="142"/>
      <c r="AT885" s="142"/>
      <c r="AU885" s="142"/>
      <c r="AV885" s="142"/>
      <c r="AW885" s="142"/>
      <c r="AX885" s="142"/>
      <c r="AY885" s="142"/>
      <c r="AZ885" s="174"/>
      <c r="BA885" s="142"/>
      <c r="BB885" s="142"/>
      <c r="BC885" s="142"/>
      <c r="BD885" s="142"/>
      <c r="BE885" s="142"/>
      <c r="BF885" s="142"/>
      <c r="BG885" s="142"/>
    </row>
    <row r="886">
      <c r="A886" s="5"/>
      <c r="B886" s="44"/>
      <c r="C886" s="150"/>
      <c r="D886" s="3"/>
      <c r="E886" s="3"/>
      <c r="F886" s="5"/>
      <c r="G886" s="5"/>
      <c r="H886" s="5"/>
      <c r="I886" s="3"/>
      <c r="J886" s="3"/>
      <c r="K886" s="3"/>
      <c r="L886" s="44"/>
      <c r="M886" s="150"/>
      <c r="N886" s="5"/>
      <c r="O886" s="5"/>
      <c r="P886" s="10"/>
      <c r="Q886" s="10"/>
      <c r="R886" s="144"/>
      <c r="S886" s="144"/>
      <c r="T886" s="10"/>
      <c r="U886" s="5"/>
      <c r="V886" s="3"/>
      <c r="W886" s="5"/>
      <c r="X886" s="144"/>
      <c r="Y886" s="10"/>
      <c r="Z886" s="3"/>
      <c r="AA886" s="10"/>
      <c r="AB886" s="10"/>
      <c r="AC886" s="181"/>
      <c r="AD886" s="144"/>
      <c r="AE886" s="182"/>
      <c r="AF886" s="10"/>
      <c r="AG886" s="10"/>
      <c r="AH886" s="144"/>
      <c r="AI886" s="3"/>
      <c r="AJ886" s="10"/>
      <c r="AK886" s="3"/>
      <c r="AL886" s="5"/>
      <c r="AM886" s="5"/>
      <c r="AN886" s="5"/>
      <c r="AO886" s="5"/>
      <c r="AP886" s="5"/>
      <c r="AQ886" s="5"/>
      <c r="AR886" s="5"/>
      <c r="AS886" s="142"/>
      <c r="AT886" s="142"/>
      <c r="AU886" s="142"/>
      <c r="AV886" s="142"/>
      <c r="AW886" s="142"/>
      <c r="AX886" s="142"/>
      <c r="AY886" s="142"/>
      <c r="AZ886" s="174"/>
      <c r="BA886" s="142"/>
      <c r="BB886" s="142"/>
      <c r="BC886" s="142"/>
      <c r="BD886" s="142"/>
      <c r="BE886" s="142"/>
      <c r="BF886" s="142"/>
      <c r="BG886" s="142"/>
    </row>
    <row r="887">
      <c r="A887" s="5"/>
      <c r="B887" s="44"/>
      <c r="C887" s="150"/>
      <c r="D887" s="3"/>
      <c r="E887" s="3"/>
      <c r="F887" s="5"/>
      <c r="G887" s="5"/>
      <c r="H887" s="5"/>
      <c r="I887" s="3"/>
      <c r="J887" s="3"/>
      <c r="K887" s="3"/>
      <c r="L887" s="44"/>
      <c r="M887" s="150"/>
      <c r="N887" s="5"/>
      <c r="O887" s="5"/>
      <c r="P887" s="10"/>
      <c r="Q887" s="10"/>
      <c r="R887" s="144"/>
      <c r="S887" s="144"/>
      <c r="T887" s="10"/>
      <c r="U887" s="5"/>
      <c r="V887" s="3"/>
      <c r="W887" s="5"/>
      <c r="X887" s="144"/>
      <c r="Y887" s="10"/>
      <c r="Z887" s="3"/>
      <c r="AA887" s="10"/>
      <c r="AB887" s="10"/>
      <c r="AC887" s="181"/>
      <c r="AD887" s="144"/>
      <c r="AE887" s="182"/>
      <c r="AF887" s="10"/>
      <c r="AG887" s="10"/>
      <c r="AH887" s="144"/>
      <c r="AI887" s="3"/>
      <c r="AJ887" s="10"/>
      <c r="AK887" s="3"/>
      <c r="AL887" s="5"/>
      <c r="AM887" s="5"/>
      <c r="AN887" s="5"/>
      <c r="AO887" s="5"/>
      <c r="AP887" s="5"/>
      <c r="AQ887" s="5"/>
      <c r="AR887" s="5"/>
      <c r="AS887" s="142"/>
      <c r="AT887" s="142"/>
      <c r="AU887" s="142"/>
      <c r="AV887" s="142"/>
      <c r="AW887" s="142"/>
      <c r="AX887" s="142"/>
      <c r="AY887" s="142"/>
      <c r="AZ887" s="174"/>
      <c r="BA887" s="142"/>
      <c r="BB887" s="142"/>
      <c r="BC887" s="142"/>
      <c r="BD887" s="142"/>
      <c r="BE887" s="142"/>
      <c r="BF887" s="142"/>
      <c r="BG887" s="142"/>
    </row>
    <row r="888">
      <c r="A888" s="5"/>
      <c r="B888" s="44"/>
      <c r="C888" s="150"/>
      <c r="D888" s="3"/>
      <c r="E888" s="3"/>
      <c r="F888" s="5"/>
      <c r="G888" s="5"/>
      <c r="H888" s="5"/>
      <c r="I888" s="3"/>
      <c r="J888" s="3"/>
      <c r="K888" s="3"/>
      <c r="L888" s="44"/>
      <c r="M888" s="150"/>
      <c r="N888" s="5"/>
      <c r="O888" s="5"/>
      <c r="P888" s="10"/>
      <c r="Q888" s="10"/>
      <c r="R888" s="144"/>
      <c r="S888" s="144"/>
      <c r="T888" s="10"/>
      <c r="U888" s="5"/>
      <c r="V888" s="3"/>
      <c r="W888" s="5"/>
      <c r="X888" s="144"/>
      <c r="Y888" s="10"/>
      <c r="Z888" s="3"/>
      <c r="AA888" s="10"/>
      <c r="AB888" s="10"/>
      <c r="AC888" s="181"/>
      <c r="AD888" s="144"/>
      <c r="AE888" s="182"/>
      <c r="AF888" s="10"/>
      <c r="AG888" s="10"/>
      <c r="AH888" s="144"/>
      <c r="AI888" s="3"/>
      <c r="AJ888" s="10"/>
      <c r="AK888" s="3"/>
      <c r="AL888" s="5"/>
      <c r="AM888" s="5"/>
      <c r="AN888" s="5"/>
      <c r="AO888" s="5"/>
      <c r="AP888" s="5"/>
      <c r="AQ888" s="5"/>
      <c r="AR888" s="5"/>
      <c r="AS888" s="142"/>
      <c r="AT888" s="142"/>
      <c r="AU888" s="142"/>
      <c r="AV888" s="142"/>
      <c r="AW888" s="142"/>
      <c r="AX888" s="142"/>
      <c r="AY888" s="142"/>
      <c r="AZ888" s="174"/>
      <c r="BA888" s="142"/>
      <c r="BB888" s="142"/>
      <c r="BC888" s="142"/>
      <c r="BD888" s="142"/>
      <c r="BE888" s="142"/>
      <c r="BF888" s="142"/>
      <c r="BG888" s="142"/>
    </row>
    <row r="889">
      <c r="A889" s="5"/>
      <c r="B889" s="44"/>
      <c r="C889" s="150"/>
      <c r="D889" s="3"/>
      <c r="E889" s="3"/>
      <c r="F889" s="5"/>
      <c r="G889" s="5"/>
      <c r="H889" s="5"/>
      <c r="I889" s="3"/>
      <c r="J889" s="3"/>
      <c r="K889" s="3"/>
      <c r="L889" s="44"/>
      <c r="M889" s="150"/>
      <c r="N889" s="5"/>
      <c r="O889" s="5"/>
      <c r="P889" s="10"/>
      <c r="Q889" s="10"/>
      <c r="R889" s="144"/>
      <c r="S889" s="144"/>
      <c r="T889" s="10"/>
      <c r="U889" s="5"/>
      <c r="V889" s="3"/>
      <c r="W889" s="5"/>
      <c r="X889" s="144"/>
      <c r="Y889" s="10"/>
      <c r="Z889" s="3"/>
      <c r="AA889" s="10"/>
      <c r="AB889" s="10"/>
      <c r="AC889" s="181"/>
      <c r="AD889" s="144"/>
      <c r="AE889" s="182"/>
      <c r="AF889" s="10"/>
      <c r="AG889" s="10"/>
      <c r="AH889" s="144"/>
      <c r="AI889" s="3"/>
      <c r="AJ889" s="10"/>
      <c r="AK889" s="3"/>
      <c r="AL889" s="5"/>
      <c r="AM889" s="5"/>
      <c r="AN889" s="5"/>
      <c r="AO889" s="5"/>
      <c r="AP889" s="5"/>
      <c r="AQ889" s="5"/>
      <c r="AR889" s="5"/>
      <c r="AS889" s="142"/>
      <c r="AT889" s="142"/>
      <c r="AU889" s="142"/>
      <c r="AV889" s="142"/>
      <c r="AW889" s="142"/>
      <c r="AX889" s="142"/>
      <c r="AY889" s="142"/>
      <c r="AZ889" s="174"/>
      <c r="BA889" s="142"/>
      <c r="BB889" s="142"/>
      <c r="BC889" s="142"/>
      <c r="BD889" s="142"/>
      <c r="BE889" s="142"/>
      <c r="BF889" s="142"/>
      <c r="BG889" s="142"/>
    </row>
    <row r="890">
      <c r="A890" s="5"/>
      <c r="B890" s="44"/>
      <c r="C890" s="150"/>
      <c r="D890" s="3"/>
      <c r="E890" s="3"/>
      <c r="F890" s="5"/>
      <c r="G890" s="5"/>
      <c r="H890" s="5"/>
      <c r="I890" s="3"/>
      <c r="J890" s="3"/>
      <c r="K890" s="3"/>
      <c r="L890" s="44"/>
      <c r="M890" s="150"/>
      <c r="N890" s="5"/>
      <c r="O890" s="5"/>
      <c r="P890" s="10"/>
      <c r="Q890" s="10"/>
      <c r="R890" s="144"/>
      <c r="S890" s="144"/>
      <c r="T890" s="10"/>
      <c r="U890" s="5"/>
      <c r="V890" s="3"/>
      <c r="W890" s="5"/>
      <c r="X890" s="144"/>
      <c r="Y890" s="10"/>
      <c r="Z890" s="3"/>
      <c r="AA890" s="10"/>
      <c r="AB890" s="10"/>
      <c r="AC890" s="181"/>
      <c r="AD890" s="144"/>
      <c r="AE890" s="182"/>
      <c r="AF890" s="10"/>
      <c r="AG890" s="10"/>
      <c r="AH890" s="144"/>
      <c r="AI890" s="3"/>
      <c r="AJ890" s="10"/>
      <c r="AK890" s="3"/>
      <c r="AL890" s="5"/>
      <c r="AM890" s="5"/>
      <c r="AN890" s="5"/>
      <c r="AO890" s="5"/>
      <c r="AP890" s="5"/>
      <c r="AQ890" s="5"/>
      <c r="AR890" s="5"/>
      <c r="AS890" s="142"/>
      <c r="AT890" s="142"/>
      <c r="AU890" s="142"/>
      <c r="AV890" s="142"/>
      <c r="AW890" s="142"/>
      <c r="AX890" s="142"/>
      <c r="AY890" s="142"/>
      <c r="AZ890" s="174"/>
      <c r="BA890" s="142"/>
      <c r="BB890" s="142"/>
      <c r="BC890" s="142"/>
      <c r="BD890" s="142"/>
      <c r="BE890" s="142"/>
      <c r="BF890" s="142"/>
      <c r="BG890" s="142"/>
    </row>
    <row r="891">
      <c r="A891" s="5"/>
      <c r="B891" s="44"/>
      <c r="C891" s="150"/>
      <c r="D891" s="3"/>
      <c r="E891" s="3"/>
      <c r="F891" s="5"/>
      <c r="G891" s="5"/>
      <c r="H891" s="5"/>
      <c r="I891" s="3"/>
      <c r="J891" s="3"/>
      <c r="K891" s="3"/>
      <c r="L891" s="44"/>
      <c r="M891" s="150"/>
      <c r="N891" s="5"/>
      <c r="O891" s="5"/>
      <c r="P891" s="10"/>
      <c r="Q891" s="10"/>
      <c r="R891" s="144"/>
      <c r="S891" s="144"/>
      <c r="T891" s="10"/>
      <c r="U891" s="5"/>
      <c r="V891" s="3"/>
      <c r="W891" s="5"/>
      <c r="X891" s="144"/>
      <c r="Y891" s="10"/>
      <c r="Z891" s="3"/>
      <c r="AA891" s="10"/>
      <c r="AB891" s="10"/>
      <c r="AC891" s="181"/>
      <c r="AD891" s="144"/>
      <c r="AE891" s="182"/>
      <c r="AF891" s="10"/>
      <c r="AG891" s="10"/>
      <c r="AH891" s="144"/>
      <c r="AI891" s="3"/>
      <c r="AJ891" s="10"/>
      <c r="AK891" s="3"/>
      <c r="AL891" s="5"/>
      <c r="AM891" s="5"/>
      <c r="AN891" s="5"/>
      <c r="AO891" s="5"/>
      <c r="AP891" s="5"/>
      <c r="AQ891" s="5"/>
      <c r="AR891" s="5"/>
      <c r="AS891" s="142"/>
      <c r="AT891" s="142"/>
      <c r="AU891" s="142"/>
      <c r="AV891" s="142"/>
      <c r="AW891" s="142"/>
      <c r="AX891" s="142"/>
      <c r="AY891" s="142"/>
      <c r="AZ891" s="174"/>
      <c r="BA891" s="142"/>
      <c r="BB891" s="142"/>
      <c r="BC891" s="142"/>
      <c r="BD891" s="142"/>
      <c r="BE891" s="142"/>
      <c r="BF891" s="142"/>
      <c r="BG891" s="142"/>
    </row>
    <row r="892">
      <c r="A892" s="5"/>
      <c r="B892" s="44"/>
      <c r="C892" s="150"/>
      <c r="D892" s="3"/>
      <c r="E892" s="3"/>
      <c r="F892" s="5"/>
      <c r="G892" s="5"/>
      <c r="H892" s="5"/>
      <c r="I892" s="3"/>
      <c r="J892" s="3"/>
      <c r="K892" s="3"/>
      <c r="L892" s="44"/>
      <c r="M892" s="150"/>
      <c r="N892" s="5"/>
      <c r="O892" s="5"/>
      <c r="P892" s="10"/>
      <c r="Q892" s="10"/>
      <c r="R892" s="144"/>
      <c r="S892" s="144"/>
      <c r="T892" s="10"/>
      <c r="U892" s="5"/>
      <c r="V892" s="3"/>
      <c r="W892" s="5"/>
      <c r="X892" s="144"/>
      <c r="Y892" s="10"/>
      <c r="Z892" s="3"/>
      <c r="AA892" s="10"/>
      <c r="AB892" s="10"/>
      <c r="AC892" s="181"/>
      <c r="AD892" s="144"/>
      <c r="AE892" s="182"/>
      <c r="AF892" s="10"/>
      <c r="AG892" s="10"/>
      <c r="AH892" s="144"/>
      <c r="AI892" s="3"/>
      <c r="AJ892" s="10"/>
      <c r="AK892" s="3"/>
      <c r="AL892" s="5"/>
      <c r="AM892" s="5"/>
      <c r="AN892" s="5"/>
      <c r="AO892" s="5"/>
      <c r="AP892" s="5"/>
      <c r="AQ892" s="5"/>
      <c r="AR892" s="5"/>
      <c r="AS892" s="142"/>
      <c r="AT892" s="142"/>
      <c r="AU892" s="142"/>
      <c r="AV892" s="142"/>
      <c r="AW892" s="142"/>
      <c r="AX892" s="142"/>
      <c r="AY892" s="142"/>
      <c r="AZ892" s="174"/>
      <c r="BA892" s="142"/>
      <c r="BB892" s="142"/>
      <c r="BC892" s="142"/>
      <c r="BD892" s="142"/>
      <c r="BE892" s="142"/>
      <c r="BF892" s="142"/>
      <c r="BG892" s="142"/>
    </row>
    <row r="893">
      <c r="A893" s="5"/>
      <c r="B893" s="44"/>
      <c r="C893" s="150"/>
      <c r="D893" s="3"/>
      <c r="E893" s="3"/>
      <c r="F893" s="5"/>
      <c r="G893" s="5"/>
      <c r="H893" s="5"/>
      <c r="I893" s="3"/>
      <c r="J893" s="3"/>
      <c r="K893" s="3"/>
      <c r="L893" s="44"/>
      <c r="M893" s="150"/>
      <c r="N893" s="5"/>
      <c r="O893" s="5"/>
      <c r="P893" s="10"/>
      <c r="Q893" s="10"/>
      <c r="R893" s="144"/>
      <c r="S893" s="144"/>
      <c r="T893" s="10"/>
      <c r="U893" s="5"/>
      <c r="V893" s="3"/>
      <c r="W893" s="5"/>
      <c r="X893" s="144"/>
      <c r="Y893" s="10"/>
      <c r="Z893" s="3"/>
      <c r="AA893" s="10"/>
      <c r="AB893" s="10"/>
      <c r="AC893" s="181"/>
      <c r="AD893" s="144"/>
      <c r="AE893" s="182"/>
      <c r="AF893" s="10"/>
      <c r="AG893" s="10"/>
      <c r="AH893" s="144"/>
      <c r="AI893" s="3"/>
      <c r="AJ893" s="10"/>
      <c r="AK893" s="3"/>
      <c r="AL893" s="5"/>
      <c r="AM893" s="5"/>
      <c r="AN893" s="5"/>
      <c r="AO893" s="5"/>
      <c r="AP893" s="5"/>
      <c r="AQ893" s="5"/>
      <c r="AR893" s="5"/>
      <c r="AS893" s="142"/>
      <c r="AT893" s="142"/>
      <c r="AU893" s="142"/>
      <c r="AV893" s="142"/>
      <c r="AW893" s="142"/>
      <c r="AX893" s="142"/>
      <c r="AY893" s="142"/>
      <c r="AZ893" s="174"/>
      <c r="BA893" s="142"/>
      <c r="BB893" s="142"/>
      <c r="BC893" s="142"/>
      <c r="BD893" s="142"/>
      <c r="BE893" s="142"/>
      <c r="BF893" s="142"/>
      <c r="BG893" s="142"/>
    </row>
    <row r="894">
      <c r="A894" s="5"/>
      <c r="B894" s="44"/>
      <c r="C894" s="150"/>
      <c r="D894" s="3"/>
      <c r="E894" s="3"/>
      <c r="F894" s="5"/>
      <c r="G894" s="5"/>
      <c r="H894" s="5"/>
      <c r="I894" s="3"/>
      <c r="J894" s="3"/>
      <c r="K894" s="3"/>
      <c r="L894" s="44"/>
      <c r="M894" s="150"/>
      <c r="N894" s="5"/>
      <c r="O894" s="5"/>
      <c r="P894" s="10"/>
      <c r="Q894" s="10"/>
      <c r="R894" s="144"/>
      <c r="S894" s="144"/>
      <c r="T894" s="10"/>
      <c r="U894" s="5"/>
      <c r="V894" s="3"/>
      <c r="W894" s="5"/>
      <c r="X894" s="144"/>
      <c r="Y894" s="10"/>
      <c r="Z894" s="3"/>
      <c r="AA894" s="10"/>
      <c r="AB894" s="10"/>
      <c r="AC894" s="181"/>
      <c r="AD894" s="144"/>
      <c r="AE894" s="182"/>
      <c r="AF894" s="10"/>
      <c r="AG894" s="10"/>
      <c r="AH894" s="144"/>
      <c r="AI894" s="3"/>
      <c r="AJ894" s="10"/>
      <c r="AK894" s="3"/>
      <c r="AL894" s="5"/>
      <c r="AM894" s="5"/>
      <c r="AN894" s="5"/>
      <c r="AO894" s="5"/>
      <c r="AP894" s="5"/>
      <c r="AQ894" s="5"/>
      <c r="AR894" s="5"/>
      <c r="AS894" s="142"/>
      <c r="AT894" s="142"/>
      <c r="AU894" s="142"/>
      <c r="AV894" s="142"/>
      <c r="AW894" s="142"/>
      <c r="AX894" s="142"/>
      <c r="AY894" s="142"/>
      <c r="AZ894" s="174"/>
      <c r="BA894" s="142"/>
      <c r="BB894" s="142"/>
      <c r="BC894" s="142"/>
      <c r="BD894" s="142"/>
      <c r="BE894" s="142"/>
      <c r="BF894" s="142"/>
      <c r="BG894" s="142"/>
    </row>
    <row r="895">
      <c r="A895" s="5"/>
      <c r="B895" s="44"/>
      <c r="C895" s="150"/>
      <c r="D895" s="3"/>
      <c r="E895" s="3"/>
      <c r="F895" s="5"/>
      <c r="G895" s="5"/>
      <c r="H895" s="5"/>
      <c r="I895" s="3"/>
      <c r="J895" s="3"/>
      <c r="K895" s="3"/>
      <c r="L895" s="44"/>
      <c r="M895" s="150"/>
      <c r="N895" s="5"/>
      <c r="O895" s="5"/>
      <c r="P895" s="10"/>
      <c r="Q895" s="10"/>
      <c r="R895" s="144"/>
      <c r="S895" s="144"/>
      <c r="T895" s="10"/>
      <c r="U895" s="5"/>
      <c r="V895" s="3"/>
      <c r="W895" s="5"/>
      <c r="X895" s="144"/>
      <c r="Y895" s="10"/>
      <c r="Z895" s="3"/>
      <c r="AA895" s="10"/>
      <c r="AB895" s="10"/>
      <c r="AC895" s="181"/>
      <c r="AD895" s="144"/>
      <c r="AE895" s="182"/>
      <c r="AF895" s="10"/>
      <c r="AG895" s="10"/>
      <c r="AH895" s="144"/>
      <c r="AI895" s="3"/>
      <c r="AJ895" s="10"/>
      <c r="AK895" s="3"/>
      <c r="AL895" s="5"/>
      <c r="AM895" s="5"/>
      <c r="AN895" s="5"/>
      <c r="AO895" s="5"/>
      <c r="AP895" s="5"/>
      <c r="AQ895" s="5"/>
      <c r="AR895" s="5"/>
      <c r="AS895" s="142"/>
      <c r="AT895" s="142"/>
      <c r="AU895" s="142"/>
      <c r="AV895" s="142"/>
      <c r="AW895" s="142"/>
      <c r="AX895" s="142"/>
      <c r="AY895" s="142"/>
      <c r="AZ895" s="174"/>
      <c r="BA895" s="142"/>
      <c r="BB895" s="142"/>
      <c r="BC895" s="142"/>
      <c r="BD895" s="142"/>
      <c r="BE895" s="142"/>
      <c r="BF895" s="142"/>
      <c r="BG895" s="142"/>
    </row>
    <row r="896">
      <c r="A896" s="5"/>
      <c r="B896" s="44"/>
      <c r="C896" s="150"/>
      <c r="D896" s="3"/>
      <c r="E896" s="3"/>
      <c r="F896" s="5"/>
      <c r="G896" s="5"/>
      <c r="H896" s="5"/>
      <c r="I896" s="3"/>
      <c r="J896" s="3"/>
      <c r="K896" s="3"/>
      <c r="L896" s="44"/>
      <c r="M896" s="150"/>
      <c r="N896" s="5"/>
      <c r="O896" s="5"/>
      <c r="P896" s="10"/>
      <c r="Q896" s="10"/>
      <c r="R896" s="144"/>
      <c r="S896" s="144"/>
      <c r="T896" s="10"/>
      <c r="U896" s="5"/>
      <c r="V896" s="3"/>
      <c r="W896" s="5"/>
      <c r="X896" s="144"/>
      <c r="Y896" s="10"/>
      <c r="Z896" s="3"/>
      <c r="AA896" s="10"/>
      <c r="AB896" s="10"/>
      <c r="AC896" s="181"/>
      <c r="AD896" s="144"/>
      <c r="AE896" s="182"/>
      <c r="AF896" s="10"/>
      <c r="AG896" s="10"/>
      <c r="AH896" s="144"/>
      <c r="AI896" s="3"/>
      <c r="AJ896" s="10"/>
      <c r="AK896" s="3"/>
      <c r="AL896" s="5"/>
      <c r="AM896" s="5"/>
      <c r="AN896" s="5"/>
      <c r="AO896" s="5"/>
      <c r="AP896" s="5"/>
      <c r="AQ896" s="5"/>
      <c r="AR896" s="5"/>
      <c r="AS896" s="142"/>
      <c r="AT896" s="142"/>
      <c r="AU896" s="142"/>
      <c r="AV896" s="142"/>
      <c r="AW896" s="142"/>
      <c r="AX896" s="142"/>
      <c r="AY896" s="142"/>
      <c r="AZ896" s="174"/>
      <c r="BA896" s="142"/>
      <c r="BB896" s="142"/>
      <c r="BC896" s="142"/>
      <c r="BD896" s="142"/>
      <c r="BE896" s="142"/>
      <c r="BF896" s="142"/>
      <c r="BG896" s="142"/>
    </row>
    <row r="897">
      <c r="A897" s="5"/>
      <c r="B897" s="44"/>
      <c r="C897" s="150"/>
      <c r="D897" s="3"/>
      <c r="E897" s="3"/>
      <c r="F897" s="5"/>
      <c r="G897" s="5"/>
      <c r="H897" s="5"/>
      <c r="I897" s="3"/>
      <c r="J897" s="3"/>
      <c r="K897" s="3"/>
      <c r="L897" s="44"/>
      <c r="M897" s="150"/>
      <c r="N897" s="5"/>
      <c r="O897" s="5"/>
      <c r="P897" s="10"/>
      <c r="Q897" s="10"/>
      <c r="R897" s="144"/>
      <c r="S897" s="144"/>
      <c r="T897" s="10"/>
      <c r="U897" s="5"/>
      <c r="V897" s="3"/>
      <c r="W897" s="5"/>
      <c r="X897" s="144"/>
      <c r="Y897" s="10"/>
      <c r="Z897" s="3"/>
      <c r="AA897" s="10"/>
      <c r="AB897" s="10"/>
      <c r="AC897" s="181"/>
      <c r="AD897" s="144"/>
      <c r="AE897" s="182"/>
      <c r="AF897" s="10"/>
      <c r="AG897" s="10"/>
      <c r="AH897" s="144"/>
      <c r="AI897" s="3"/>
      <c r="AJ897" s="10"/>
      <c r="AK897" s="3"/>
      <c r="AL897" s="5"/>
      <c r="AM897" s="5"/>
      <c r="AN897" s="5"/>
      <c r="AO897" s="5"/>
      <c r="AP897" s="5"/>
      <c r="AQ897" s="5"/>
      <c r="AR897" s="5"/>
      <c r="AS897" s="142"/>
      <c r="AT897" s="142"/>
      <c r="AU897" s="142"/>
      <c r="AV897" s="142"/>
      <c r="AW897" s="142"/>
      <c r="AX897" s="142"/>
      <c r="AY897" s="142"/>
      <c r="AZ897" s="174"/>
      <c r="BA897" s="142"/>
      <c r="BB897" s="142"/>
      <c r="BC897" s="142"/>
      <c r="BD897" s="142"/>
      <c r="BE897" s="142"/>
      <c r="BF897" s="142"/>
      <c r="BG897" s="142"/>
    </row>
    <row r="898">
      <c r="A898" s="5"/>
      <c r="B898" s="44"/>
      <c r="C898" s="150"/>
      <c r="D898" s="3"/>
      <c r="E898" s="3"/>
      <c r="F898" s="5"/>
      <c r="G898" s="5"/>
      <c r="H898" s="5"/>
      <c r="I898" s="3"/>
      <c r="J898" s="3"/>
      <c r="K898" s="3"/>
      <c r="L898" s="44"/>
      <c r="M898" s="150"/>
      <c r="N898" s="5"/>
      <c r="O898" s="5"/>
      <c r="P898" s="10"/>
      <c r="Q898" s="10"/>
      <c r="R898" s="144"/>
      <c r="S898" s="144"/>
      <c r="T898" s="10"/>
      <c r="U898" s="5"/>
      <c r="V898" s="3"/>
      <c r="W898" s="5"/>
      <c r="X898" s="144"/>
      <c r="Y898" s="10"/>
      <c r="Z898" s="3"/>
      <c r="AA898" s="10"/>
      <c r="AB898" s="10"/>
      <c r="AC898" s="181"/>
      <c r="AD898" s="144"/>
      <c r="AE898" s="182"/>
      <c r="AF898" s="10"/>
      <c r="AG898" s="10"/>
      <c r="AH898" s="144"/>
      <c r="AI898" s="3"/>
      <c r="AJ898" s="10"/>
      <c r="AK898" s="3"/>
      <c r="AL898" s="5"/>
      <c r="AM898" s="5"/>
      <c r="AN898" s="5"/>
      <c r="AO898" s="5"/>
      <c r="AP898" s="5"/>
      <c r="AQ898" s="5"/>
      <c r="AR898" s="5"/>
      <c r="AS898" s="142"/>
      <c r="AT898" s="142"/>
      <c r="AU898" s="142"/>
      <c r="AV898" s="142"/>
      <c r="AW898" s="142"/>
      <c r="AX898" s="142"/>
      <c r="AY898" s="142"/>
      <c r="AZ898" s="174"/>
      <c r="BA898" s="142"/>
      <c r="BB898" s="142"/>
      <c r="BC898" s="142"/>
      <c r="BD898" s="142"/>
      <c r="BE898" s="142"/>
      <c r="BF898" s="142"/>
      <c r="BG898" s="142"/>
    </row>
    <row r="899">
      <c r="A899" s="5"/>
      <c r="B899" s="44"/>
      <c r="C899" s="150"/>
      <c r="D899" s="3"/>
      <c r="E899" s="3"/>
      <c r="F899" s="5"/>
      <c r="G899" s="5"/>
      <c r="H899" s="5"/>
      <c r="I899" s="3"/>
      <c r="J899" s="3"/>
      <c r="K899" s="3"/>
      <c r="L899" s="44"/>
      <c r="M899" s="150"/>
      <c r="N899" s="5"/>
      <c r="O899" s="5"/>
      <c r="P899" s="10"/>
      <c r="Q899" s="10"/>
      <c r="R899" s="144"/>
      <c r="S899" s="144"/>
      <c r="T899" s="10"/>
      <c r="U899" s="5"/>
      <c r="V899" s="3"/>
      <c r="W899" s="5"/>
      <c r="X899" s="144"/>
      <c r="Y899" s="10"/>
      <c r="Z899" s="3"/>
      <c r="AA899" s="10"/>
      <c r="AB899" s="10"/>
      <c r="AC899" s="181"/>
      <c r="AD899" s="144"/>
      <c r="AE899" s="182"/>
      <c r="AF899" s="10"/>
      <c r="AG899" s="10"/>
      <c r="AH899" s="144"/>
      <c r="AI899" s="3"/>
      <c r="AJ899" s="10"/>
      <c r="AK899" s="3"/>
      <c r="AL899" s="5"/>
      <c r="AM899" s="5"/>
      <c r="AN899" s="5"/>
      <c r="AO899" s="5"/>
      <c r="AP899" s="5"/>
      <c r="AQ899" s="5"/>
      <c r="AR899" s="5"/>
      <c r="AS899" s="142"/>
      <c r="AT899" s="142"/>
      <c r="AU899" s="142"/>
      <c r="AV899" s="142"/>
      <c r="AW899" s="142"/>
      <c r="AX899" s="142"/>
      <c r="AY899" s="142"/>
      <c r="AZ899" s="174"/>
      <c r="BA899" s="142"/>
      <c r="BB899" s="142"/>
      <c r="BC899" s="142"/>
      <c r="BD899" s="142"/>
      <c r="BE899" s="142"/>
      <c r="BF899" s="142"/>
      <c r="BG899" s="142"/>
    </row>
    <row r="900">
      <c r="A900" s="5"/>
      <c r="B900" s="44"/>
      <c r="C900" s="150"/>
      <c r="D900" s="3"/>
      <c r="E900" s="3"/>
      <c r="F900" s="5"/>
      <c r="G900" s="5"/>
      <c r="H900" s="5"/>
      <c r="I900" s="3"/>
      <c r="J900" s="3"/>
      <c r="K900" s="3"/>
      <c r="L900" s="44"/>
      <c r="M900" s="150"/>
      <c r="N900" s="5"/>
      <c r="O900" s="5"/>
      <c r="P900" s="10"/>
      <c r="Q900" s="10"/>
      <c r="R900" s="144"/>
      <c r="S900" s="144"/>
      <c r="T900" s="10"/>
      <c r="U900" s="5"/>
      <c r="V900" s="3"/>
      <c r="W900" s="5"/>
      <c r="X900" s="144"/>
      <c r="Y900" s="10"/>
      <c r="Z900" s="3"/>
      <c r="AA900" s="10"/>
      <c r="AB900" s="10"/>
      <c r="AC900" s="181"/>
      <c r="AD900" s="144"/>
      <c r="AE900" s="182"/>
      <c r="AF900" s="10"/>
      <c r="AG900" s="10"/>
      <c r="AH900" s="144"/>
      <c r="AI900" s="3"/>
      <c r="AJ900" s="10"/>
      <c r="AK900" s="3"/>
      <c r="AL900" s="5"/>
      <c r="AM900" s="5"/>
      <c r="AN900" s="5"/>
      <c r="AO900" s="5"/>
      <c r="AP900" s="5"/>
      <c r="AQ900" s="5"/>
      <c r="AR900" s="5"/>
      <c r="AS900" s="142"/>
      <c r="AT900" s="142"/>
      <c r="AU900" s="142"/>
      <c r="AV900" s="142"/>
      <c r="AW900" s="142"/>
      <c r="AX900" s="142"/>
      <c r="AY900" s="142"/>
      <c r="AZ900" s="174"/>
      <c r="BA900" s="142"/>
      <c r="BB900" s="142"/>
      <c r="BC900" s="142"/>
      <c r="BD900" s="142"/>
      <c r="BE900" s="142"/>
      <c r="BF900" s="142"/>
      <c r="BG900" s="142"/>
    </row>
    <row r="901">
      <c r="A901" s="5"/>
      <c r="B901" s="44"/>
      <c r="C901" s="150"/>
      <c r="D901" s="3"/>
      <c r="E901" s="3"/>
      <c r="F901" s="5"/>
      <c r="G901" s="5"/>
      <c r="H901" s="5"/>
      <c r="I901" s="3"/>
      <c r="J901" s="3"/>
      <c r="K901" s="3"/>
      <c r="L901" s="44"/>
      <c r="M901" s="150"/>
      <c r="N901" s="5"/>
      <c r="O901" s="5"/>
      <c r="P901" s="10"/>
      <c r="Q901" s="10"/>
      <c r="R901" s="144"/>
      <c r="S901" s="144"/>
      <c r="T901" s="10"/>
      <c r="U901" s="5"/>
      <c r="V901" s="3"/>
      <c r="W901" s="5"/>
      <c r="X901" s="144"/>
      <c r="Y901" s="10"/>
      <c r="Z901" s="3"/>
      <c r="AA901" s="10"/>
      <c r="AB901" s="10"/>
      <c r="AC901" s="181"/>
      <c r="AD901" s="144"/>
      <c r="AE901" s="182"/>
      <c r="AF901" s="10"/>
      <c r="AG901" s="10"/>
      <c r="AH901" s="144"/>
      <c r="AI901" s="3"/>
      <c r="AJ901" s="10"/>
      <c r="AK901" s="3"/>
      <c r="AL901" s="5"/>
      <c r="AM901" s="5"/>
      <c r="AN901" s="5"/>
      <c r="AO901" s="5"/>
      <c r="AP901" s="5"/>
      <c r="AQ901" s="5"/>
      <c r="AR901" s="5"/>
      <c r="AS901" s="142"/>
      <c r="AT901" s="142"/>
      <c r="AU901" s="142"/>
      <c r="AV901" s="142"/>
      <c r="AW901" s="142"/>
      <c r="AX901" s="142"/>
      <c r="AY901" s="142"/>
      <c r="AZ901" s="174"/>
      <c r="BA901" s="142"/>
      <c r="BB901" s="142"/>
      <c r="BC901" s="142"/>
      <c r="BD901" s="142"/>
      <c r="BE901" s="142"/>
      <c r="BF901" s="142"/>
      <c r="BG901" s="142"/>
    </row>
    <row r="902">
      <c r="A902" s="5"/>
      <c r="B902" s="44"/>
      <c r="C902" s="150"/>
      <c r="D902" s="3"/>
      <c r="E902" s="3"/>
      <c r="F902" s="5"/>
      <c r="G902" s="5"/>
      <c r="H902" s="5"/>
      <c r="I902" s="3"/>
      <c r="J902" s="3"/>
      <c r="K902" s="3"/>
      <c r="L902" s="44"/>
      <c r="M902" s="150"/>
      <c r="N902" s="5"/>
      <c r="O902" s="5"/>
      <c r="P902" s="10"/>
      <c r="Q902" s="10"/>
      <c r="R902" s="144"/>
      <c r="S902" s="144"/>
      <c r="T902" s="10"/>
      <c r="U902" s="5"/>
      <c r="V902" s="3"/>
      <c r="W902" s="5"/>
      <c r="X902" s="144"/>
      <c r="Y902" s="10"/>
      <c r="Z902" s="3"/>
      <c r="AA902" s="10"/>
      <c r="AB902" s="10"/>
      <c r="AC902" s="181"/>
      <c r="AD902" s="144"/>
      <c r="AE902" s="182"/>
      <c r="AF902" s="10"/>
      <c r="AG902" s="10"/>
      <c r="AH902" s="144"/>
      <c r="AI902" s="3"/>
      <c r="AJ902" s="10"/>
      <c r="AK902" s="3"/>
      <c r="AL902" s="5"/>
      <c r="AM902" s="5"/>
      <c r="AN902" s="5"/>
      <c r="AO902" s="5"/>
      <c r="AP902" s="5"/>
      <c r="AQ902" s="5"/>
      <c r="AR902" s="5"/>
      <c r="AS902" s="142"/>
      <c r="AT902" s="142"/>
      <c r="AU902" s="142"/>
      <c r="AV902" s="142"/>
      <c r="AW902" s="142"/>
      <c r="AX902" s="142"/>
      <c r="AY902" s="142"/>
      <c r="AZ902" s="174"/>
      <c r="BA902" s="142"/>
      <c r="BB902" s="142"/>
      <c r="BC902" s="142"/>
      <c r="BD902" s="142"/>
      <c r="BE902" s="142"/>
      <c r="BF902" s="142"/>
      <c r="BG902" s="142"/>
    </row>
    <row r="903">
      <c r="A903" s="5"/>
      <c r="B903" s="44"/>
      <c r="C903" s="150"/>
      <c r="D903" s="3"/>
      <c r="E903" s="3"/>
      <c r="F903" s="5"/>
      <c r="G903" s="5"/>
      <c r="H903" s="5"/>
      <c r="I903" s="3"/>
      <c r="J903" s="3"/>
      <c r="K903" s="3"/>
      <c r="L903" s="44"/>
      <c r="M903" s="150"/>
      <c r="N903" s="5"/>
      <c r="O903" s="5"/>
      <c r="P903" s="10"/>
      <c r="Q903" s="10"/>
      <c r="R903" s="144"/>
      <c r="S903" s="144"/>
      <c r="T903" s="10"/>
      <c r="U903" s="5"/>
      <c r="V903" s="3"/>
      <c r="W903" s="5"/>
      <c r="X903" s="144"/>
      <c r="Y903" s="10"/>
      <c r="Z903" s="3"/>
      <c r="AA903" s="10"/>
      <c r="AB903" s="10"/>
      <c r="AC903" s="181"/>
      <c r="AD903" s="144"/>
      <c r="AE903" s="182"/>
      <c r="AF903" s="10"/>
      <c r="AG903" s="10"/>
      <c r="AH903" s="144"/>
      <c r="AI903" s="3"/>
      <c r="AJ903" s="10"/>
      <c r="AK903" s="3"/>
      <c r="AL903" s="5"/>
      <c r="AM903" s="5"/>
      <c r="AN903" s="5"/>
      <c r="AO903" s="5"/>
      <c r="AP903" s="5"/>
      <c r="AQ903" s="5"/>
      <c r="AR903" s="5"/>
      <c r="AS903" s="142"/>
      <c r="AT903" s="142"/>
      <c r="AU903" s="142"/>
      <c r="AV903" s="142"/>
      <c r="AW903" s="142"/>
      <c r="AX903" s="142"/>
      <c r="AY903" s="142"/>
      <c r="AZ903" s="174"/>
      <c r="BA903" s="142"/>
      <c r="BB903" s="142"/>
      <c r="BC903" s="142"/>
      <c r="BD903" s="142"/>
      <c r="BE903" s="142"/>
      <c r="BF903" s="142"/>
      <c r="BG903" s="142"/>
    </row>
    <row r="904">
      <c r="A904" s="5"/>
      <c r="B904" s="44"/>
      <c r="C904" s="150"/>
      <c r="D904" s="3"/>
      <c r="E904" s="3"/>
      <c r="F904" s="5"/>
      <c r="G904" s="5"/>
      <c r="H904" s="5"/>
      <c r="I904" s="3"/>
      <c r="J904" s="3"/>
      <c r="K904" s="3"/>
      <c r="L904" s="44"/>
      <c r="M904" s="150"/>
      <c r="N904" s="5"/>
      <c r="O904" s="5"/>
      <c r="P904" s="10"/>
      <c r="Q904" s="10"/>
      <c r="R904" s="144"/>
      <c r="S904" s="144"/>
      <c r="T904" s="10"/>
      <c r="U904" s="5"/>
      <c r="V904" s="3"/>
      <c r="W904" s="5"/>
      <c r="X904" s="144"/>
      <c r="Y904" s="10"/>
      <c r="Z904" s="3"/>
      <c r="AA904" s="10"/>
      <c r="AB904" s="10"/>
      <c r="AC904" s="181"/>
      <c r="AD904" s="144"/>
      <c r="AE904" s="182"/>
      <c r="AF904" s="10"/>
      <c r="AG904" s="10"/>
      <c r="AH904" s="144"/>
      <c r="AI904" s="3"/>
      <c r="AJ904" s="10"/>
      <c r="AK904" s="3"/>
      <c r="AL904" s="5"/>
      <c r="AM904" s="5"/>
      <c r="AN904" s="5"/>
      <c r="AO904" s="5"/>
      <c r="AP904" s="5"/>
      <c r="AQ904" s="5"/>
      <c r="AR904" s="5"/>
      <c r="AS904" s="142"/>
      <c r="AT904" s="142"/>
      <c r="AU904" s="142"/>
      <c r="AV904" s="142"/>
      <c r="AW904" s="142"/>
      <c r="AX904" s="142"/>
      <c r="AY904" s="142"/>
      <c r="AZ904" s="174"/>
      <c r="BA904" s="142"/>
      <c r="BB904" s="142"/>
      <c r="BC904" s="142"/>
      <c r="BD904" s="142"/>
      <c r="BE904" s="142"/>
      <c r="BF904" s="142"/>
      <c r="BG904" s="142"/>
    </row>
    <row r="905">
      <c r="A905" s="5"/>
      <c r="B905" s="44"/>
      <c r="C905" s="150"/>
      <c r="D905" s="3"/>
      <c r="E905" s="3"/>
      <c r="F905" s="5"/>
      <c r="G905" s="5"/>
      <c r="H905" s="5"/>
      <c r="I905" s="3"/>
      <c r="J905" s="3"/>
      <c r="K905" s="3"/>
      <c r="L905" s="44"/>
      <c r="M905" s="150"/>
      <c r="N905" s="5"/>
      <c r="O905" s="5"/>
      <c r="P905" s="10"/>
      <c r="Q905" s="10"/>
      <c r="R905" s="144"/>
      <c r="S905" s="144"/>
      <c r="T905" s="10"/>
      <c r="U905" s="5"/>
      <c r="V905" s="3"/>
      <c r="W905" s="5"/>
      <c r="X905" s="144"/>
      <c r="Y905" s="10"/>
      <c r="Z905" s="3"/>
      <c r="AA905" s="10"/>
      <c r="AB905" s="10"/>
      <c r="AC905" s="181"/>
      <c r="AD905" s="144"/>
      <c r="AE905" s="182"/>
      <c r="AF905" s="10"/>
      <c r="AG905" s="10"/>
      <c r="AH905" s="144"/>
      <c r="AI905" s="3"/>
      <c r="AJ905" s="10"/>
      <c r="AK905" s="3"/>
      <c r="AL905" s="5"/>
      <c r="AM905" s="5"/>
      <c r="AN905" s="5"/>
      <c r="AO905" s="5"/>
      <c r="AP905" s="5"/>
      <c r="AQ905" s="5"/>
      <c r="AR905" s="5"/>
      <c r="AS905" s="142"/>
      <c r="AT905" s="142"/>
      <c r="AU905" s="142"/>
      <c r="AV905" s="142"/>
      <c r="AW905" s="142"/>
      <c r="AX905" s="142"/>
      <c r="AY905" s="142"/>
      <c r="AZ905" s="174"/>
      <c r="BA905" s="142"/>
      <c r="BB905" s="142"/>
      <c r="BC905" s="142"/>
      <c r="BD905" s="142"/>
      <c r="BE905" s="142"/>
      <c r="BF905" s="142"/>
      <c r="BG905" s="142"/>
    </row>
    <row r="906">
      <c r="A906" s="5"/>
      <c r="B906" s="44"/>
      <c r="C906" s="150"/>
      <c r="D906" s="3"/>
      <c r="E906" s="3"/>
      <c r="F906" s="5"/>
      <c r="G906" s="5"/>
      <c r="H906" s="5"/>
      <c r="I906" s="3"/>
      <c r="J906" s="3"/>
      <c r="K906" s="3"/>
      <c r="L906" s="44"/>
      <c r="M906" s="150"/>
      <c r="N906" s="5"/>
      <c r="O906" s="5"/>
      <c r="P906" s="10"/>
      <c r="Q906" s="10"/>
      <c r="R906" s="144"/>
      <c r="S906" s="144"/>
      <c r="T906" s="10"/>
      <c r="U906" s="5"/>
      <c r="V906" s="3"/>
      <c r="W906" s="5"/>
      <c r="X906" s="144"/>
      <c r="Y906" s="10"/>
      <c r="Z906" s="3"/>
      <c r="AA906" s="10"/>
      <c r="AB906" s="10"/>
      <c r="AC906" s="181"/>
      <c r="AD906" s="144"/>
      <c r="AE906" s="182"/>
      <c r="AF906" s="10"/>
      <c r="AG906" s="10"/>
      <c r="AH906" s="144"/>
      <c r="AI906" s="3"/>
      <c r="AJ906" s="10"/>
      <c r="AK906" s="3"/>
      <c r="AL906" s="5"/>
      <c r="AM906" s="5"/>
      <c r="AN906" s="5"/>
      <c r="AO906" s="5"/>
      <c r="AP906" s="5"/>
      <c r="AQ906" s="5"/>
      <c r="AR906" s="5"/>
      <c r="AS906" s="142"/>
      <c r="AT906" s="142"/>
      <c r="AU906" s="142"/>
      <c r="AV906" s="142"/>
      <c r="AW906" s="142"/>
      <c r="AX906" s="142"/>
      <c r="AY906" s="142"/>
      <c r="AZ906" s="174"/>
      <c r="BA906" s="142"/>
      <c r="BB906" s="142"/>
      <c r="BC906" s="142"/>
      <c r="BD906" s="142"/>
      <c r="BE906" s="142"/>
      <c r="BF906" s="142"/>
      <c r="BG906" s="142"/>
    </row>
    <row r="907">
      <c r="A907" s="5"/>
      <c r="B907" s="44"/>
      <c r="C907" s="150"/>
      <c r="D907" s="3"/>
      <c r="E907" s="3"/>
      <c r="F907" s="5"/>
      <c r="G907" s="5"/>
      <c r="H907" s="5"/>
      <c r="I907" s="3"/>
      <c r="J907" s="3"/>
      <c r="K907" s="3"/>
      <c r="L907" s="44"/>
      <c r="M907" s="150"/>
      <c r="N907" s="5"/>
      <c r="O907" s="5"/>
      <c r="P907" s="10"/>
      <c r="Q907" s="10"/>
      <c r="R907" s="144"/>
      <c r="S907" s="144"/>
      <c r="T907" s="10"/>
      <c r="U907" s="5"/>
      <c r="V907" s="3"/>
      <c r="W907" s="5"/>
      <c r="X907" s="144"/>
      <c r="Y907" s="10"/>
      <c r="Z907" s="3"/>
      <c r="AA907" s="10"/>
      <c r="AB907" s="10"/>
      <c r="AC907" s="181"/>
      <c r="AD907" s="144"/>
      <c r="AE907" s="182"/>
      <c r="AF907" s="10"/>
      <c r="AG907" s="10"/>
      <c r="AH907" s="144"/>
      <c r="AI907" s="3"/>
      <c r="AJ907" s="10"/>
      <c r="AK907" s="3"/>
      <c r="AL907" s="5"/>
      <c r="AM907" s="5"/>
      <c r="AN907" s="5"/>
      <c r="AO907" s="5"/>
      <c r="AP907" s="5"/>
      <c r="AQ907" s="5"/>
      <c r="AR907" s="5"/>
      <c r="AS907" s="142"/>
      <c r="AT907" s="142"/>
      <c r="AU907" s="142"/>
      <c r="AV907" s="142"/>
      <c r="AW907" s="142"/>
      <c r="AX907" s="142"/>
      <c r="AY907" s="142"/>
      <c r="AZ907" s="174"/>
      <c r="BA907" s="142"/>
      <c r="BB907" s="142"/>
      <c r="BC907" s="142"/>
      <c r="BD907" s="142"/>
      <c r="BE907" s="142"/>
      <c r="BF907" s="142"/>
      <c r="BG907" s="142"/>
    </row>
    <row r="908">
      <c r="A908" s="5"/>
      <c r="B908" s="44"/>
      <c r="C908" s="150"/>
      <c r="D908" s="3"/>
      <c r="E908" s="3"/>
      <c r="F908" s="5"/>
      <c r="G908" s="5"/>
      <c r="H908" s="5"/>
      <c r="I908" s="3"/>
      <c r="J908" s="3"/>
      <c r="K908" s="3"/>
      <c r="L908" s="44"/>
      <c r="M908" s="150"/>
      <c r="N908" s="5"/>
      <c r="O908" s="5"/>
      <c r="P908" s="10"/>
      <c r="Q908" s="10"/>
      <c r="R908" s="144"/>
      <c r="S908" s="144"/>
      <c r="T908" s="10"/>
      <c r="U908" s="5"/>
      <c r="V908" s="3"/>
      <c r="W908" s="5"/>
      <c r="X908" s="144"/>
      <c r="Y908" s="10"/>
      <c r="Z908" s="3"/>
      <c r="AA908" s="10"/>
      <c r="AB908" s="10"/>
      <c r="AC908" s="181"/>
      <c r="AD908" s="144"/>
      <c r="AE908" s="182"/>
      <c r="AF908" s="10"/>
      <c r="AG908" s="10"/>
      <c r="AH908" s="144"/>
      <c r="AI908" s="3"/>
      <c r="AJ908" s="10"/>
      <c r="AK908" s="3"/>
      <c r="AL908" s="5"/>
      <c r="AM908" s="5"/>
      <c r="AN908" s="5"/>
      <c r="AO908" s="5"/>
      <c r="AP908" s="5"/>
      <c r="AQ908" s="5"/>
      <c r="AR908" s="5"/>
      <c r="AS908" s="142"/>
      <c r="AT908" s="142"/>
      <c r="AU908" s="142"/>
      <c r="AV908" s="142"/>
      <c r="AW908" s="142"/>
      <c r="AX908" s="142"/>
      <c r="AY908" s="142"/>
      <c r="AZ908" s="174"/>
      <c r="BA908" s="142"/>
      <c r="BB908" s="142"/>
      <c r="BC908" s="142"/>
      <c r="BD908" s="142"/>
      <c r="BE908" s="142"/>
      <c r="BF908" s="142"/>
      <c r="BG908" s="142"/>
    </row>
    <row r="909">
      <c r="A909" s="5"/>
      <c r="B909" s="44"/>
      <c r="C909" s="150"/>
      <c r="D909" s="3"/>
      <c r="E909" s="3"/>
      <c r="F909" s="5"/>
      <c r="G909" s="5"/>
      <c r="H909" s="5"/>
      <c r="I909" s="3"/>
      <c r="J909" s="3"/>
      <c r="K909" s="3"/>
      <c r="L909" s="44"/>
      <c r="M909" s="150"/>
      <c r="N909" s="5"/>
      <c r="O909" s="5"/>
      <c r="P909" s="10"/>
      <c r="Q909" s="10"/>
      <c r="R909" s="144"/>
      <c r="S909" s="144"/>
      <c r="T909" s="10"/>
      <c r="U909" s="5"/>
      <c r="V909" s="3"/>
      <c r="W909" s="5"/>
      <c r="X909" s="144"/>
      <c r="Y909" s="10"/>
      <c r="Z909" s="3"/>
      <c r="AA909" s="10"/>
      <c r="AB909" s="10"/>
      <c r="AC909" s="181"/>
      <c r="AD909" s="144"/>
      <c r="AE909" s="182"/>
      <c r="AF909" s="10"/>
      <c r="AG909" s="10"/>
      <c r="AH909" s="144"/>
      <c r="AI909" s="3"/>
      <c r="AJ909" s="10"/>
      <c r="AK909" s="3"/>
      <c r="AL909" s="5"/>
      <c r="AM909" s="5"/>
      <c r="AN909" s="5"/>
      <c r="AO909" s="5"/>
      <c r="AP909" s="5"/>
      <c r="AQ909" s="5"/>
      <c r="AR909" s="5"/>
      <c r="AS909" s="142"/>
      <c r="AT909" s="142"/>
      <c r="AU909" s="142"/>
      <c r="AV909" s="142"/>
      <c r="AW909" s="142"/>
      <c r="AX909" s="142"/>
      <c r="AY909" s="142"/>
      <c r="AZ909" s="174"/>
      <c r="BA909" s="142"/>
      <c r="BB909" s="142"/>
      <c r="BC909" s="142"/>
      <c r="BD909" s="142"/>
      <c r="BE909" s="142"/>
      <c r="BF909" s="142"/>
      <c r="BG909" s="142"/>
    </row>
    <row r="910">
      <c r="A910" s="5"/>
      <c r="B910" s="44"/>
      <c r="C910" s="150"/>
      <c r="D910" s="3"/>
      <c r="E910" s="3"/>
      <c r="F910" s="5"/>
      <c r="G910" s="5"/>
      <c r="H910" s="5"/>
      <c r="I910" s="3"/>
      <c r="J910" s="3"/>
      <c r="K910" s="3"/>
      <c r="L910" s="44"/>
      <c r="M910" s="150"/>
      <c r="N910" s="5"/>
      <c r="O910" s="5"/>
      <c r="P910" s="10"/>
      <c r="Q910" s="10"/>
      <c r="R910" s="144"/>
      <c r="S910" s="144"/>
      <c r="T910" s="10"/>
      <c r="U910" s="5"/>
      <c r="V910" s="3"/>
      <c r="W910" s="5"/>
      <c r="X910" s="144"/>
      <c r="Y910" s="10"/>
      <c r="Z910" s="3"/>
      <c r="AA910" s="10"/>
      <c r="AB910" s="10"/>
      <c r="AC910" s="181"/>
      <c r="AD910" s="144"/>
      <c r="AE910" s="182"/>
      <c r="AF910" s="10"/>
      <c r="AG910" s="10"/>
      <c r="AH910" s="144"/>
      <c r="AI910" s="3"/>
      <c r="AJ910" s="10"/>
      <c r="AK910" s="3"/>
      <c r="AL910" s="5"/>
      <c r="AM910" s="5"/>
      <c r="AN910" s="5"/>
      <c r="AO910" s="5"/>
      <c r="AP910" s="5"/>
      <c r="AQ910" s="5"/>
      <c r="AR910" s="5"/>
      <c r="AS910" s="142"/>
      <c r="AT910" s="142"/>
      <c r="AU910" s="142"/>
      <c r="AV910" s="142"/>
      <c r="AW910" s="142"/>
      <c r="AX910" s="142"/>
      <c r="AY910" s="142"/>
      <c r="AZ910" s="174"/>
      <c r="BA910" s="142"/>
      <c r="BB910" s="142"/>
      <c r="BC910" s="142"/>
      <c r="BD910" s="142"/>
      <c r="BE910" s="142"/>
      <c r="BF910" s="142"/>
      <c r="BG910" s="142"/>
    </row>
    <row r="911">
      <c r="A911" s="5"/>
      <c r="B911" s="44"/>
      <c r="C911" s="150"/>
      <c r="D911" s="3"/>
      <c r="E911" s="3"/>
      <c r="F911" s="5"/>
      <c r="G911" s="5"/>
      <c r="H911" s="5"/>
      <c r="I911" s="3"/>
      <c r="J911" s="3"/>
      <c r="K911" s="3"/>
      <c r="L911" s="44"/>
      <c r="M911" s="150"/>
      <c r="N911" s="5"/>
      <c r="O911" s="5"/>
      <c r="P911" s="10"/>
      <c r="Q911" s="10"/>
      <c r="R911" s="144"/>
      <c r="S911" s="144"/>
      <c r="T911" s="10"/>
      <c r="U911" s="5"/>
      <c r="V911" s="3"/>
      <c r="W911" s="5"/>
      <c r="X911" s="144"/>
      <c r="Y911" s="10"/>
      <c r="Z911" s="3"/>
      <c r="AA911" s="10"/>
      <c r="AB911" s="10"/>
      <c r="AC911" s="181"/>
      <c r="AD911" s="144"/>
      <c r="AE911" s="182"/>
      <c r="AF911" s="10"/>
      <c r="AG911" s="10"/>
      <c r="AH911" s="144"/>
      <c r="AI911" s="3"/>
      <c r="AJ911" s="10"/>
      <c r="AK911" s="3"/>
      <c r="AL911" s="5"/>
      <c r="AM911" s="5"/>
      <c r="AN911" s="5"/>
      <c r="AO911" s="5"/>
      <c r="AP911" s="5"/>
      <c r="AQ911" s="5"/>
      <c r="AR911" s="5"/>
      <c r="AS911" s="142"/>
      <c r="AT911" s="142"/>
      <c r="AU911" s="142"/>
      <c r="AV911" s="142"/>
      <c r="AW911" s="142"/>
      <c r="AX911" s="142"/>
      <c r="AY911" s="142"/>
      <c r="AZ911" s="174"/>
      <c r="BA911" s="142"/>
      <c r="BB911" s="142"/>
      <c r="BC911" s="142"/>
      <c r="BD911" s="142"/>
      <c r="BE911" s="142"/>
      <c r="BF911" s="142"/>
      <c r="BG911" s="142"/>
    </row>
    <row r="912">
      <c r="A912" s="5"/>
      <c r="B912" s="44"/>
      <c r="C912" s="150"/>
      <c r="D912" s="3"/>
      <c r="E912" s="3"/>
      <c r="F912" s="5"/>
      <c r="G912" s="5"/>
      <c r="H912" s="5"/>
      <c r="I912" s="3"/>
      <c r="J912" s="3"/>
      <c r="K912" s="3"/>
      <c r="L912" s="44"/>
      <c r="M912" s="150"/>
      <c r="N912" s="5"/>
      <c r="O912" s="5"/>
      <c r="P912" s="10"/>
      <c r="Q912" s="10"/>
      <c r="R912" s="144"/>
      <c r="S912" s="144"/>
      <c r="T912" s="10"/>
      <c r="U912" s="5"/>
      <c r="V912" s="3"/>
      <c r="W912" s="5"/>
      <c r="X912" s="144"/>
      <c r="Y912" s="10"/>
      <c r="Z912" s="3"/>
      <c r="AA912" s="10"/>
      <c r="AB912" s="10"/>
      <c r="AC912" s="181"/>
      <c r="AD912" s="144"/>
      <c r="AE912" s="182"/>
      <c r="AF912" s="10"/>
      <c r="AG912" s="10"/>
      <c r="AH912" s="144"/>
      <c r="AI912" s="3"/>
      <c r="AJ912" s="10"/>
      <c r="AK912" s="3"/>
      <c r="AL912" s="5"/>
      <c r="AM912" s="5"/>
      <c r="AN912" s="5"/>
      <c r="AO912" s="5"/>
      <c r="AP912" s="5"/>
      <c r="AQ912" s="5"/>
      <c r="AR912" s="5"/>
      <c r="AS912" s="142"/>
      <c r="AT912" s="142"/>
      <c r="AU912" s="142"/>
      <c r="AV912" s="142"/>
      <c r="AW912" s="142"/>
      <c r="AX912" s="142"/>
      <c r="AY912" s="142"/>
      <c r="AZ912" s="174"/>
      <c r="BA912" s="142"/>
      <c r="BB912" s="142"/>
      <c r="BC912" s="142"/>
      <c r="BD912" s="142"/>
      <c r="BE912" s="142"/>
      <c r="BF912" s="142"/>
      <c r="BG912" s="142"/>
    </row>
    <row r="913">
      <c r="A913" s="5"/>
      <c r="B913" s="44"/>
      <c r="C913" s="150"/>
      <c r="D913" s="3"/>
      <c r="E913" s="3"/>
      <c r="F913" s="5"/>
      <c r="G913" s="5"/>
      <c r="H913" s="5"/>
      <c r="I913" s="3"/>
      <c r="J913" s="3"/>
      <c r="K913" s="3"/>
      <c r="L913" s="44"/>
      <c r="M913" s="150"/>
      <c r="N913" s="5"/>
      <c r="O913" s="5"/>
      <c r="P913" s="10"/>
      <c r="Q913" s="10"/>
      <c r="R913" s="144"/>
      <c r="S913" s="144"/>
      <c r="T913" s="10"/>
      <c r="U913" s="5"/>
      <c r="V913" s="3"/>
      <c r="W913" s="5"/>
      <c r="X913" s="144"/>
      <c r="Y913" s="10"/>
      <c r="Z913" s="3"/>
      <c r="AA913" s="10"/>
      <c r="AB913" s="10"/>
      <c r="AC913" s="181"/>
      <c r="AD913" s="144"/>
      <c r="AE913" s="182"/>
      <c r="AF913" s="10"/>
      <c r="AG913" s="10"/>
      <c r="AH913" s="144"/>
      <c r="AI913" s="3"/>
      <c r="AJ913" s="10"/>
      <c r="AK913" s="3"/>
      <c r="AL913" s="5"/>
      <c r="AM913" s="5"/>
      <c r="AN913" s="5"/>
      <c r="AO913" s="5"/>
      <c r="AP913" s="5"/>
      <c r="AQ913" s="5"/>
      <c r="AR913" s="5"/>
      <c r="AS913" s="142"/>
      <c r="AT913" s="142"/>
      <c r="AU913" s="142"/>
      <c r="AV913" s="142"/>
      <c r="AW913" s="142"/>
      <c r="AX913" s="142"/>
      <c r="AY913" s="142"/>
      <c r="AZ913" s="174"/>
      <c r="BA913" s="142"/>
      <c r="BB913" s="142"/>
      <c r="BC913" s="142"/>
      <c r="BD913" s="142"/>
      <c r="BE913" s="142"/>
      <c r="BF913" s="142"/>
      <c r="BG913" s="142"/>
    </row>
    <row r="914">
      <c r="A914" s="5"/>
      <c r="B914" s="44"/>
      <c r="C914" s="150"/>
      <c r="D914" s="3"/>
      <c r="E914" s="3"/>
      <c r="F914" s="5"/>
      <c r="G914" s="5"/>
      <c r="H914" s="5"/>
      <c r="I914" s="3"/>
      <c r="J914" s="3"/>
      <c r="K914" s="3"/>
      <c r="L914" s="44"/>
      <c r="M914" s="150"/>
      <c r="N914" s="5"/>
      <c r="O914" s="5"/>
      <c r="P914" s="10"/>
      <c r="Q914" s="10"/>
      <c r="R914" s="144"/>
      <c r="S914" s="144"/>
      <c r="T914" s="10"/>
      <c r="U914" s="5"/>
      <c r="V914" s="3"/>
      <c r="W914" s="5"/>
      <c r="X914" s="144"/>
      <c r="Y914" s="10"/>
      <c r="Z914" s="3"/>
      <c r="AA914" s="10"/>
      <c r="AB914" s="10"/>
      <c r="AC914" s="181"/>
      <c r="AD914" s="144"/>
      <c r="AE914" s="182"/>
      <c r="AF914" s="10"/>
      <c r="AG914" s="10"/>
      <c r="AH914" s="144"/>
      <c r="AI914" s="3"/>
      <c r="AJ914" s="10"/>
      <c r="AK914" s="3"/>
      <c r="AL914" s="5"/>
      <c r="AM914" s="5"/>
      <c r="AN914" s="5"/>
      <c r="AO914" s="5"/>
      <c r="AP914" s="5"/>
      <c r="AQ914" s="5"/>
      <c r="AR914" s="5"/>
      <c r="AS914" s="142"/>
      <c r="AT914" s="142"/>
      <c r="AU914" s="142"/>
      <c r="AV914" s="142"/>
      <c r="AW914" s="142"/>
      <c r="AX914" s="142"/>
      <c r="AY914" s="142"/>
      <c r="AZ914" s="174"/>
      <c r="BA914" s="142"/>
      <c r="BB914" s="142"/>
      <c r="BC914" s="142"/>
      <c r="BD914" s="142"/>
      <c r="BE914" s="142"/>
      <c r="BF914" s="142"/>
      <c r="BG914" s="142"/>
    </row>
    <row r="915">
      <c r="A915" s="5"/>
      <c r="B915" s="44"/>
      <c r="C915" s="150"/>
      <c r="D915" s="3"/>
      <c r="E915" s="3"/>
      <c r="F915" s="5"/>
      <c r="G915" s="5"/>
      <c r="H915" s="5"/>
      <c r="I915" s="3"/>
      <c r="J915" s="3"/>
      <c r="K915" s="3"/>
      <c r="L915" s="44"/>
      <c r="M915" s="150"/>
      <c r="N915" s="5"/>
      <c r="O915" s="5"/>
      <c r="P915" s="10"/>
      <c r="Q915" s="10"/>
      <c r="R915" s="144"/>
      <c r="S915" s="144"/>
      <c r="T915" s="10"/>
      <c r="U915" s="5"/>
      <c r="V915" s="3"/>
      <c r="W915" s="5"/>
      <c r="X915" s="144"/>
      <c r="Y915" s="10"/>
      <c r="Z915" s="3"/>
      <c r="AA915" s="10"/>
      <c r="AB915" s="10"/>
      <c r="AC915" s="181"/>
      <c r="AD915" s="144"/>
      <c r="AE915" s="182"/>
      <c r="AF915" s="10"/>
      <c r="AG915" s="10"/>
      <c r="AH915" s="144"/>
      <c r="AI915" s="3"/>
      <c r="AJ915" s="10"/>
      <c r="AK915" s="3"/>
      <c r="AL915" s="5"/>
      <c r="AM915" s="5"/>
      <c r="AN915" s="5"/>
      <c r="AO915" s="5"/>
      <c r="AP915" s="5"/>
      <c r="AQ915" s="5"/>
      <c r="AR915" s="5"/>
      <c r="AS915" s="142"/>
      <c r="AT915" s="142"/>
      <c r="AU915" s="142"/>
      <c r="AV915" s="142"/>
      <c r="AW915" s="142"/>
      <c r="AX915" s="142"/>
      <c r="AY915" s="142"/>
      <c r="AZ915" s="174"/>
      <c r="BA915" s="142"/>
      <c r="BB915" s="142"/>
      <c r="BC915" s="142"/>
      <c r="BD915" s="142"/>
      <c r="BE915" s="142"/>
      <c r="BF915" s="142"/>
      <c r="BG915" s="142"/>
    </row>
    <row r="916">
      <c r="A916" s="5"/>
      <c r="B916" s="44"/>
      <c r="C916" s="150"/>
      <c r="D916" s="3"/>
      <c r="E916" s="3"/>
      <c r="F916" s="5"/>
      <c r="G916" s="5"/>
      <c r="H916" s="5"/>
      <c r="I916" s="3"/>
      <c r="J916" s="3"/>
      <c r="K916" s="3"/>
      <c r="L916" s="44"/>
      <c r="M916" s="150"/>
      <c r="N916" s="5"/>
      <c r="O916" s="5"/>
      <c r="P916" s="10"/>
      <c r="Q916" s="10"/>
      <c r="R916" s="144"/>
      <c r="S916" s="144"/>
      <c r="T916" s="10"/>
      <c r="U916" s="5"/>
      <c r="V916" s="3"/>
      <c r="W916" s="5"/>
      <c r="X916" s="144"/>
      <c r="Y916" s="10"/>
      <c r="Z916" s="3"/>
      <c r="AA916" s="10"/>
      <c r="AB916" s="10"/>
      <c r="AC916" s="181"/>
      <c r="AD916" s="144"/>
      <c r="AE916" s="182"/>
      <c r="AF916" s="10"/>
      <c r="AG916" s="10"/>
      <c r="AH916" s="144"/>
      <c r="AI916" s="3"/>
      <c r="AJ916" s="10"/>
      <c r="AK916" s="3"/>
      <c r="AL916" s="5"/>
      <c r="AM916" s="5"/>
      <c r="AN916" s="5"/>
      <c r="AO916" s="5"/>
      <c r="AP916" s="5"/>
      <c r="AQ916" s="5"/>
      <c r="AR916" s="5"/>
      <c r="AS916" s="142"/>
      <c r="AT916" s="142"/>
      <c r="AU916" s="142"/>
      <c r="AV916" s="142"/>
      <c r="AW916" s="142"/>
      <c r="AX916" s="142"/>
      <c r="AY916" s="142"/>
      <c r="AZ916" s="174"/>
      <c r="BA916" s="142"/>
      <c r="BB916" s="142"/>
      <c r="BC916" s="142"/>
      <c r="BD916" s="142"/>
      <c r="BE916" s="142"/>
      <c r="BF916" s="142"/>
      <c r="BG916" s="142"/>
    </row>
    <row r="917">
      <c r="A917" s="5"/>
      <c r="B917" s="44"/>
      <c r="C917" s="150"/>
      <c r="D917" s="3"/>
      <c r="E917" s="3"/>
      <c r="F917" s="5"/>
      <c r="G917" s="5"/>
      <c r="H917" s="5"/>
      <c r="I917" s="3"/>
      <c r="J917" s="3"/>
      <c r="K917" s="3"/>
      <c r="L917" s="44"/>
      <c r="M917" s="150"/>
      <c r="N917" s="5"/>
      <c r="O917" s="5"/>
      <c r="P917" s="10"/>
      <c r="Q917" s="10"/>
      <c r="R917" s="144"/>
      <c r="S917" s="144"/>
      <c r="T917" s="10"/>
      <c r="U917" s="5"/>
      <c r="V917" s="3"/>
      <c r="W917" s="5"/>
      <c r="X917" s="144"/>
      <c r="Y917" s="10"/>
      <c r="Z917" s="3"/>
      <c r="AA917" s="10"/>
      <c r="AB917" s="10"/>
      <c r="AC917" s="181"/>
      <c r="AD917" s="144"/>
      <c r="AE917" s="182"/>
      <c r="AF917" s="10"/>
      <c r="AG917" s="10"/>
      <c r="AH917" s="144"/>
      <c r="AI917" s="3"/>
      <c r="AJ917" s="10"/>
      <c r="AK917" s="3"/>
      <c r="AL917" s="5"/>
      <c r="AM917" s="5"/>
      <c r="AN917" s="5"/>
      <c r="AO917" s="5"/>
      <c r="AP917" s="5"/>
      <c r="AQ917" s="5"/>
      <c r="AR917" s="5"/>
      <c r="AS917" s="142"/>
      <c r="AT917" s="142"/>
      <c r="AU917" s="142"/>
      <c r="AV917" s="142"/>
      <c r="AW917" s="142"/>
      <c r="AX917" s="142"/>
      <c r="AY917" s="142"/>
      <c r="AZ917" s="174"/>
      <c r="BA917" s="142"/>
      <c r="BB917" s="142"/>
      <c r="BC917" s="142"/>
      <c r="BD917" s="142"/>
      <c r="BE917" s="142"/>
      <c r="BF917" s="142"/>
      <c r="BG917" s="142"/>
    </row>
    <row r="918">
      <c r="A918" s="5"/>
      <c r="B918" s="44"/>
      <c r="C918" s="150"/>
      <c r="D918" s="3"/>
      <c r="E918" s="3"/>
      <c r="F918" s="5"/>
      <c r="G918" s="5"/>
      <c r="H918" s="5"/>
      <c r="I918" s="3"/>
      <c r="J918" s="3"/>
      <c r="K918" s="3"/>
      <c r="L918" s="44"/>
      <c r="M918" s="150"/>
      <c r="N918" s="5"/>
      <c r="O918" s="5"/>
      <c r="P918" s="10"/>
      <c r="Q918" s="10"/>
      <c r="R918" s="144"/>
      <c r="S918" s="144"/>
      <c r="T918" s="10"/>
      <c r="U918" s="5"/>
      <c r="V918" s="3"/>
      <c r="W918" s="5"/>
      <c r="X918" s="144"/>
      <c r="Y918" s="10"/>
      <c r="Z918" s="3"/>
      <c r="AA918" s="10"/>
      <c r="AB918" s="10"/>
      <c r="AC918" s="181"/>
      <c r="AD918" s="144"/>
      <c r="AE918" s="182"/>
      <c r="AF918" s="10"/>
      <c r="AG918" s="10"/>
      <c r="AH918" s="144"/>
      <c r="AI918" s="3"/>
      <c r="AJ918" s="10"/>
      <c r="AK918" s="3"/>
      <c r="AL918" s="5"/>
      <c r="AM918" s="5"/>
      <c r="AN918" s="5"/>
      <c r="AO918" s="5"/>
      <c r="AP918" s="5"/>
      <c r="AQ918" s="5"/>
      <c r="AR918" s="5"/>
      <c r="AS918" s="142"/>
      <c r="AT918" s="142"/>
      <c r="AU918" s="142"/>
      <c r="AV918" s="142"/>
      <c r="AW918" s="142"/>
      <c r="AX918" s="142"/>
      <c r="AY918" s="142"/>
      <c r="AZ918" s="174"/>
      <c r="BA918" s="142"/>
      <c r="BB918" s="142"/>
      <c r="BC918" s="142"/>
      <c r="BD918" s="142"/>
      <c r="BE918" s="142"/>
      <c r="BF918" s="142"/>
      <c r="BG918" s="142"/>
    </row>
    <row r="919">
      <c r="A919" s="5"/>
      <c r="B919" s="44"/>
      <c r="C919" s="150"/>
      <c r="D919" s="3"/>
      <c r="E919" s="3"/>
      <c r="F919" s="5"/>
      <c r="G919" s="5"/>
      <c r="H919" s="5"/>
      <c r="I919" s="3"/>
      <c r="J919" s="3"/>
      <c r="K919" s="3"/>
      <c r="L919" s="44"/>
      <c r="M919" s="150"/>
      <c r="N919" s="5"/>
      <c r="O919" s="5"/>
      <c r="P919" s="10"/>
      <c r="Q919" s="10"/>
      <c r="R919" s="144"/>
      <c r="S919" s="144"/>
      <c r="T919" s="10"/>
      <c r="U919" s="5"/>
      <c r="V919" s="3"/>
      <c r="W919" s="5"/>
      <c r="X919" s="144"/>
      <c r="Y919" s="10"/>
      <c r="Z919" s="3"/>
      <c r="AA919" s="10"/>
      <c r="AB919" s="10"/>
      <c r="AC919" s="181"/>
      <c r="AD919" s="144"/>
      <c r="AE919" s="182"/>
      <c r="AF919" s="10"/>
      <c r="AG919" s="10"/>
      <c r="AH919" s="144"/>
      <c r="AI919" s="3"/>
      <c r="AJ919" s="10"/>
      <c r="AK919" s="3"/>
      <c r="AL919" s="5"/>
      <c r="AM919" s="5"/>
      <c r="AN919" s="5"/>
      <c r="AO919" s="5"/>
      <c r="AP919" s="5"/>
      <c r="AQ919" s="5"/>
      <c r="AR919" s="5"/>
      <c r="AS919" s="142"/>
      <c r="AT919" s="142"/>
      <c r="AU919" s="142"/>
      <c r="AV919" s="142"/>
      <c r="AW919" s="142"/>
      <c r="AX919" s="142"/>
      <c r="AY919" s="142"/>
      <c r="AZ919" s="174"/>
      <c r="BA919" s="142"/>
      <c r="BB919" s="142"/>
      <c r="BC919" s="142"/>
      <c r="BD919" s="142"/>
      <c r="BE919" s="142"/>
      <c r="BF919" s="142"/>
      <c r="BG919" s="142"/>
    </row>
    <row r="920">
      <c r="A920" s="5"/>
      <c r="B920" s="44"/>
      <c r="C920" s="150"/>
      <c r="D920" s="3"/>
      <c r="E920" s="3"/>
      <c r="F920" s="5"/>
      <c r="G920" s="5"/>
      <c r="H920" s="5"/>
      <c r="I920" s="3"/>
      <c r="J920" s="3"/>
      <c r="K920" s="3"/>
      <c r="L920" s="44"/>
      <c r="M920" s="150"/>
      <c r="N920" s="5"/>
      <c r="O920" s="5"/>
      <c r="P920" s="10"/>
      <c r="Q920" s="10"/>
      <c r="R920" s="144"/>
      <c r="S920" s="144"/>
      <c r="T920" s="10"/>
      <c r="U920" s="5"/>
      <c r="V920" s="3"/>
      <c r="W920" s="5"/>
      <c r="X920" s="144"/>
      <c r="Y920" s="10"/>
      <c r="Z920" s="3"/>
      <c r="AA920" s="10"/>
      <c r="AB920" s="10"/>
      <c r="AC920" s="181"/>
      <c r="AD920" s="144"/>
      <c r="AE920" s="182"/>
      <c r="AF920" s="10"/>
      <c r="AG920" s="10"/>
      <c r="AH920" s="144"/>
      <c r="AI920" s="3"/>
      <c r="AJ920" s="10"/>
      <c r="AK920" s="3"/>
      <c r="AL920" s="5"/>
      <c r="AM920" s="5"/>
      <c r="AN920" s="5"/>
      <c r="AO920" s="5"/>
      <c r="AP920" s="5"/>
      <c r="AQ920" s="5"/>
      <c r="AR920" s="5"/>
      <c r="AS920" s="142"/>
      <c r="AT920" s="142"/>
      <c r="AU920" s="142"/>
      <c r="AV920" s="142"/>
      <c r="AW920" s="142"/>
      <c r="AX920" s="142"/>
      <c r="AY920" s="142"/>
      <c r="AZ920" s="174"/>
      <c r="BA920" s="142"/>
      <c r="BB920" s="142"/>
      <c r="BC920" s="142"/>
      <c r="BD920" s="142"/>
      <c r="BE920" s="142"/>
      <c r="BF920" s="142"/>
      <c r="BG920" s="142"/>
    </row>
    <row r="921">
      <c r="A921" s="5"/>
      <c r="B921" s="44"/>
      <c r="C921" s="150"/>
      <c r="D921" s="3"/>
      <c r="E921" s="3"/>
      <c r="F921" s="5"/>
      <c r="G921" s="5"/>
      <c r="H921" s="5"/>
      <c r="I921" s="3"/>
      <c r="J921" s="3"/>
      <c r="K921" s="3"/>
      <c r="L921" s="44"/>
      <c r="M921" s="150"/>
      <c r="N921" s="5"/>
      <c r="O921" s="5"/>
      <c r="P921" s="10"/>
      <c r="Q921" s="10"/>
      <c r="R921" s="144"/>
      <c r="S921" s="144"/>
      <c r="T921" s="10"/>
      <c r="U921" s="5"/>
      <c r="V921" s="3"/>
      <c r="W921" s="5"/>
      <c r="X921" s="144"/>
      <c r="Y921" s="10"/>
      <c r="Z921" s="3"/>
      <c r="AA921" s="10"/>
      <c r="AB921" s="10"/>
      <c r="AC921" s="181"/>
      <c r="AD921" s="144"/>
      <c r="AE921" s="182"/>
      <c r="AF921" s="10"/>
      <c r="AG921" s="10"/>
      <c r="AH921" s="144"/>
      <c r="AI921" s="3"/>
      <c r="AJ921" s="10"/>
      <c r="AK921" s="3"/>
      <c r="AL921" s="5"/>
      <c r="AM921" s="5"/>
      <c r="AN921" s="5"/>
      <c r="AO921" s="5"/>
      <c r="AP921" s="5"/>
      <c r="AQ921" s="5"/>
      <c r="AR921" s="5"/>
      <c r="AS921" s="142"/>
      <c r="AT921" s="142"/>
      <c r="AU921" s="142"/>
      <c r="AV921" s="142"/>
      <c r="AW921" s="142"/>
      <c r="AX921" s="142"/>
      <c r="AY921" s="142"/>
      <c r="AZ921" s="174"/>
      <c r="BA921" s="142"/>
      <c r="BB921" s="142"/>
      <c r="BC921" s="142"/>
      <c r="BD921" s="142"/>
      <c r="BE921" s="142"/>
      <c r="BF921" s="142"/>
      <c r="BG921" s="142"/>
    </row>
    <row r="922">
      <c r="A922" s="5"/>
      <c r="B922" s="44"/>
      <c r="C922" s="150"/>
      <c r="D922" s="3"/>
      <c r="E922" s="3"/>
      <c r="F922" s="5"/>
      <c r="G922" s="5"/>
      <c r="H922" s="5"/>
      <c r="I922" s="3"/>
      <c r="J922" s="3"/>
      <c r="K922" s="3"/>
      <c r="L922" s="44"/>
      <c r="M922" s="150"/>
      <c r="N922" s="5"/>
      <c r="O922" s="5"/>
      <c r="P922" s="10"/>
      <c r="Q922" s="10"/>
      <c r="R922" s="144"/>
      <c r="S922" s="144"/>
      <c r="T922" s="10"/>
      <c r="U922" s="5"/>
      <c r="V922" s="3"/>
      <c r="W922" s="5"/>
      <c r="X922" s="144"/>
      <c r="Y922" s="10"/>
      <c r="Z922" s="3"/>
      <c r="AA922" s="10"/>
      <c r="AB922" s="10"/>
      <c r="AC922" s="181"/>
      <c r="AD922" s="144"/>
      <c r="AE922" s="182"/>
      <c r="AF922" s="10"/>
      <c r="AG922" s="10"/>
      <c r="AH922" s="144"/>
      <c r="AI922" s="3"/>
      <c r="AJ922" s="10"/>
      <c r="AK922" s="3"/>
      <c r="AL922" s="5"/>
      <c r="AM922" s="5"/>
      <c r="AN922" s="5"/>
      <c r="AO922" s="5"/>
      <c r="AP922" s="5"/>
      <c r="AQ922" s="5"/>
      <c r="AR922" s="5"/>
      <c r="AS922" s="142"/>
      <c r="AT922" s="142"/>
      <c r="AU922" s="142"/>
      <c r="AV922" s="142"/>
      <c r="AW922" s="142"/>
      <c r="AX922" s="142"/>
      <c r="AY922" s="142"/>
      <c r="AZ922" s="174"/>
      <c r="BA922" s="142"/>
      <c r="BB922" s="142"/>
      <c r="BC922" s="142"/>
      <c r="BD922" s="142"/>
      <c r="BE922" s="142"/>
      <c r="BF922" s="142"/>
      <c r="BG922" s="142"/>
    </row>
    <row r="923">
      <c r="A923" s="5"/>
      <c r="B923" s="44"/>
      <c r="C923" s="150"/>
      <c r="D923" s="3"/>
      <c r="E923" s="3"/>
      <c r="F923" s="5"/>
      <c r="G923" s="5"/>
      <c r="H923" s="5"/>
      <c r="I923" s="3"/>
      <c r="J923" s="3"/>
      <c r="K923" s="3"/>
      <c r="L923" s="44"/>
      <c r="M923" s="150"/>
      <c r="N923" s="5"/>
      <c r="O923" s="5"/>
      <c r="P923" s="10"/>
      <c r="Q923" s="10"/>
      <c r="R923" s="144"/>
      <c r="S923" s="144"/>
      <c r="T923" s="10"/>
      <c r="U923" s="5"/>
      <c r="V923" s="3"/>
      <c r="W923" s="5"/>
      <c r="X923" s="144"/>
      <c r="Y923" s="10"/>
      <c r="Z923" s="3"/>
      <c r="AA923" s="10"/>
      <c r="AB923" s="10"/>
      <c r="AC923" s="181"/>
      <c r="AD923" s="144"/>
      <c r="AE923" s="182"/>
      <c r="AF923" s="10"/>
      <c r="AG923" s="10"/>
      <c r="AH923" s="144"/>
      <c r="AI923" s="3"/>
      <c r="AJ923" s="10"/>
      <c r="AK923" s="3"/>
      <c r="AL923" s="5"/>
      <c r="AM923" s="5"/>
      <c r="AN923" s="5"/>
      <c r="AO923" s="5"/>
      <c r="AP923" s="5"/>
      <c r="AQ923" s="5"/>
      <c r="AR923" s="5"/>
      <c r="AS923" s="142"/>
      <c r="AT923" s="142"/>
      <c r="AU923" s="142"/>
      <c r="AV923" s="142"/>
      <c r="AW923" s="142"/>
      <c r="AX923" s="142"/>
      <c r="AY923" s="142"/>
      <c r="AZ923" s="174"/>
      <c r="BA923" s="142"/>
      <c r="BB923" s="142"/>
      <c r="BC923" s="142"/>
      <c r="BD923" s="142"/>
      <c r="BE923" s="142"/>
      <c r="BF923" s="142"/>
      <c r="BG923" s="142"/>
    </row>
    <row r="924">
      <c r="A924" s="5"/>
      <c r="B924" s="44"/>
      <c r="C924" s="150"/>
      <c r="D924" s="3"/>
      <c r="E924" s="3"/>
      <c r="F924" s="5"/>
      <c r="G924" s="5"/>
      <c r="H924" s="5"/>
      <c r="I924" s="3"/>
      <c r="J924" s="3"/>
      <c r="K924" s="3"/>
      <c r="L924" s="44"/>
      <c r="M924" s="150"/>
      <c r="N924" s="5"/>
      <c r="O924" s="5"/>
      <c r="P924" s="10"/>
      <c r="Q924" s="10"/>
      <c r="R924" s="144"/>
      <c r="S924" s="144"/>
      <c r="T924" s="10"/>
      <c r="U924" s="5"/>
      <c r="V924" s="3"/>
      <c r="W924" s="5"/>
      <c r="X924" s="144"/>
      <c r="Y924" s="10"/>
      <c r="Z924" s="3"/>
      <c r="AA924" s="10"/>
      <c r="AB924" s="10"/>
      <c r="AC924" s="181"/>
      <c r="AD924" s="144"/>
      <c r="AE924" s="182"/>
      <c r="AF924" s="10"/>
      <c r="AG924" s="10"/>
      <c r="AH924" s="144"/>
      <c r="AI924" s="3"/>
      <c r="AJ924" s="10"/>
      <c r="AK924" s="3"/>
      <c r="AL924" s="5"/>
      <c r="AM924" s="5"/>
      <c r="AN924" s="5"/>
      <c r="AO924" s="5"/>
      <c r="AP924" s="5"/>
      <c r="AQ924" s="5"/>
      <c r="AR924" s="5"/>
      <c r="AS924" s="142"/>
      <c r="AT924" s="142"/>
      <c r="AU924" s="142"/>
      <c r="AV924" s="142"/>
      <c r="AW924" s="142"/>
      <c r="AX924" s="142"/>
      <c r="AY924" s="142"/>
      <c r="AZ924" s="174"/>
      <c r="BA924" s="142"/>
      <c r="BB924" s="142"/>
      <c r="BC924" s="142"/>
      <c r="BD924" s="142"/>
      <c r="BE924" s="142"/>
      <c r="BF924" s="142"/>
      <c r="BG924" s="142"/>
    </row>
    <row r="925">
      <c r="A925" s="5"/>
      <c r="B925" s="44"/>
      <c r="C925" s="150"/>
      <c r="D925" s="3"/>
      <c r="E925" s="3"/>
      <c r="F925" s="5"/>
      <c r="G925" s="5"/>
      <c r="H925" s="5"/>
      <c r="I925" s="3"/>
      <c r="J925" s="3"/>
      <c r="K925" s="3"/>
      <c r="L925" s="44"/>
      <c r="M925" s="150"/>
      <c r="N925" s="5"/>
      <c r="O925" s="5"/>
      <c r="P925" s="10"/>
      <c r="Q925" s="10"/>
      <c r="R925" s="144"/>
      <c r="S925" s="144"/>
      <c r="T925" s="10"/>
      <c r="U925" s="5"/>
      <c r="V925" s="3"/>
      <c r="W925" s="5"/>
      <c r="X925" s="144"/>
      <c r="Y925" s="10"/>
      <c r="Z925" s="3"/>
      <c r="AA925" s="10"/>
      <c r="AB925" s="10"/>
      <c r="AC925" s="181"/>
      <c r="AD925" s="144"/>
      <c r="AE925" s="182"/>
      <c r="AF925" s="10"/>
      <c r="AG925" s="10"/>
      <c r="AH925" s="144"/>
      <c r="AI925" s="3"/>
      <c r="AJ925" s="10"/>
      <c r="AK925" s="3"/>
      <c r="AL925" s="5"/>
      <c r="AM925" s="5"/>
      <c r="AN925" s="5"/>
      <c r="AO925" s="5"/>
      <c r="AP925" s="5"/>
      <c r="AQ925" s="5"/>
      <c r="AR925" s="5"/>
      <c r="AS925" s="142"/>
      <c r="AT925" s="142"/>
      <c r="AU925" s="142"/>
      <c r="AV925" s="142"/>
      <c r="AW925" s="142"/>
      <c r="AX925" s="142"/>
      <c r="AY925" s="142"/>
      <c r="AZ925" s="174"/>
      <c r="BA925" s="142"/>
      <c r="BB925" s="142"/>
      <c r="BC925" s="142"/>
      <c r="BD925" s="142"/>
      <c r="BE925" s="142"/>
      <c r="BF925" s="142"/>
      <c r="BG925" s="142"/>
    </row>
    <row r="926">
      <c r="A926" s="5"/>
      <c r="B926" s="44"/>
      <c r="C926" s="150"/>
      <c r="D926" s="3"/>
      <c r="E926" s="3"/>
      <c r="F926" s="5"/>
      <c r="G926" s="5"/>
      <c r="H926" s="5"/>
      <c r="I926" s="3"/>
      <c r="J926" s="3"/>
      <c r="K926" s="3"/>
      <c r="L926" s="44"/>
      <c r="M926" s="150"/>
      <c r="N926" s="5"/>
      <c r="O926" s="5"/>
      <c r="P926" s="10"/>
      <c r="Q926" s="10"/>
      <c r="R926" s="144"/>
      <c r="S926" s="144"/>
      <c r="T926" s="10"/>
      <c r="U926" s="5"/>
      <c r="V926" s="3"/>
      <c r="W926" s="5"/>
      <c r="X926" s="144"/>
      <c r="Y926" s="10"/>
      <c r="Z926" s="3"/>
      <c r="AA926" s="10"/>
      <c r="AB926" s="10"/>
      <c r="AC926" s="181"/>
      <c r="AD926" s="144"/>
      <c r="AE926" s="182"/>
      <c r="AF926" s="10"/>
      <c r="AG926" s="10"/>
      <c r="AH926" s="144"/>
      <c r="AI926" s="3"/>
      <c r="AJ926" s="10"/>
      <c r="AK926" s="3"/>
      <c r="AL926" s="5"/>
      <c r="AM926" s="5"/>
      <c r="AN926" s="5"/>
      <c r="AO926" s="5"/>
      <c r="AP926" s="5"/>
      <c r="AQ926" s="5"/>
      <c r="AR926" s="5"/>
      <c r="AS926" s="142"/>
      <c r="AT926" s="142"/>
      <c r="AU926" s="142"/>
      <c r="AV926" s="142"/>
      <c r="AW926" s="142"/>
      <c r="AX926" s="142"/>
      <c r="AY926" s="142"/>
      <c r="AZ926" s="174"/>
      <c r="BA926" s="142"/>
      <c r="BB926" s="142"/>
      <c r="BC926" s="142"/>
      <c r="BD926" s="142"/>
      <c r="BE926" s="142"/>
      <c r="BF926" s="142"/>
      <c r="BG926" s="142"/>
    </row>
    <row r="927">
      <c r="A927" s="5"/>
      <c r="B927" s="44"/>
      <c r="C927" s="150"/>
      <c r="D927" s="3"/>
      <c r="E927" s="3"/>
      <c r="F927" s="5"/>
      <c r="G927" s="5"/>
      <c r="H927" s="5"/>
      <c r="I927" s="3"/>
      <c r="J927" s="3"/>
      <c r="K927" s="3"/>
      <c r="L927" s="44"/>
      <c r="M927" s="150"/>
      <c r="N927" s="5"/>
      <c r="O927" s="5"/>
      <c r="P927" s="10"/>
      <c r="Q927" s="10"/>
      <c r="R927" s="144"/>
      <c r="S927" s="144"/>
      <c r="T927" s="10"/>
      <c r="U927" s="5"/>
      <c r="V927" s="3"/>
      <c r="W927" s="5"/>
      <c r="X927" s="144"/>
      <c r="Y927" s="10"/>
      <c r="Z927" s="3"/>
      <c r="AA927" s="10"/>
      <c r="AB927" s="10"/>
      <c r="AC927" s="181"/>
      <c r="AD927" s="144"/>
      <c r="AE927" s="182"/>
      <c r="AF927" s="10"/>
      <c r="AG927" s="10"/>
      <c r="AH927" s="144"/>
      <c r="AI927" s="3"/>
      <c r="AJ927" s="10"/>
      <c r="AK927" s="3"/>
      <c r="AL927" s="5"/>
      <c r="AM927" s="5"/>
      <c r="AN927" s="5"/>
      <c r="AO927" s="5"/>
      <c r="AP927" s="5"/>
      <c r="AQ927" s="5"/>
      <c r="AR927" s="5"/>
      <c r="AS927" s="142"/>
      <c r="AT927" s="142"/>
      <c r="AU927" s="142"/>
      <c r="AV927" s="142"/>
      <c r="AW927" s="142"/>
      <c r="AX927" s="142"/>
      <c r="AY927" s="142"/>
      <c r="AZ927" s="174"/>
      <c r="BA927" s="142"/>
      <c r="BB927" s="142"/>
      <c r="BC927" s="142"/>
      <c r="BD927" s="142"/>
      <c r="BE927" s="142"/>
      <c r="BF927" s="142"/>
      <c r="BG927" s="142"/>
    </row>
    <row r="928">
      <c r="A928" s="5"/>
      <c r="B928" s="44"/>
      <c r="C928" s="150"/>
      <c r="D928" s="3"/>
      <c r="E928" s="3"/>
      <c r="F928" s="5"/>
      <c r="G928" s="5"/>
      <c r="H928" s="5"/>
      <c r="I928" s="3"/>
      <c r="J928" s="3"/>
      <c r="K928" s="3"/>
      <c r="L928" s="44"/>
      <c r="M928" s="150"/>
      <c r="N928" s="5"/>
      <c r="O928" s="5"/>
      <c r="P928" s="10"/>
      <c r="Q928" s="10"/>
      <c r="R928" s="144"/>
      <c r="S928" s="144"/>
      <c r="T928" s="10"/>
      <c r="U928" s="5"/>
      <c r="V928" s="3"/>
      <c r="W928" s="5"/>
      <c r="X928" s="144"/>
      <c r="Y928" s="10"/>
      <c r="Z928" s="3"/>
      <c r="AA928" s="10"/>
      <c r="AB928" s="10"/>
      <c r="AC928" s="181"/>
      <c r="AD928" s="144"/>
      <c r="AE928" s="182"/>
      <c r="AF928" s="10"/>
      <c r="AG928" s="10"/>
      <c r="AH928" s="144"/>
      <c r="AI928" s="3"/>
      <c r="AJ928" s="10"/>
      <c r="AK928" s="3"/>
      <c r="AL928" s="5"/>
      <c r="AM928" s="5"/>
      <c r="AN928" s="5"/>
      <c r="AO928" s="5"/>
      <c r="AP928" s="5"/>
      <c r="AQ928" s="5"/>
      <c r="AR928" s="5"/>
      <c r="AS928" s="142"/>
      <c r="AT928" s="142"/>
      <c r="AU928" s="142"/>
      <c r="AV928" s="142"/>
      <c r="AW928" s="142"/>
      <c r="AX928" s="142"/>
      <c r="AY928" s="142"/>
      <c r="AZ928" s="174"/>
      <c r="BA928" s="142"/>
      <c r="BB928" s="142"/>
      <c r="BC928" s="142"/>
      <c r="BD928" s="142"/>
      <c r="BE928" s="142"/>
      <c r="BF928" s="142"/>
      <c r="BG928" s="142"/>
    </row>
    <row r="929">
      <c r="A929" s="5"/>
      <c r="B929" s="44"/>
      <c r="C929" s="150"/>
      <c r="D929" s="3"/>
      <c r="E929" s="3"/>
      <c r="F929" s="5"/>
      <c r="G929" s="5"/>
      <c r="H929" s="5"/>
      <c r="I929" s="3"/>
      <c r="J929" s="3"/>
      <c r="K929" s="3"/>
      <c r="L929" s="44"/>
      <c r="M929" s="150"/>
      <c r="N929" s="5"/>
      <c r="O929" s="5"/>
      <c r="P929" s="10"/>
      <c r="Q929" s="10"/>
      <c r="R929" s="144"/>
      <c r="S929" s="144"/>
      <c r="T929" s="10"/>
      <c r="U929" s="5"/>
      <c r="V929" s="3"/>
      <c r="W929" s="5"/>
      <c r="X929" s="144"/>
      <c r="Y929" s="10"/>
      <c r="Z929" s="3"/>
      <c r="AA929" s="10"/>
      <c r="AB929" s="10"/>
      <c r="AC929" s="181"/>
      <c r="AD929" s="144"/>
      <c r="AE929" s="182"/>
      <c r="AF929" s="10"/>
      <c r="AG929" s="10"/>
      <c r="AH929" s="144"/>
      <c r="AI929" s="3"/>
      <c r="AJ929" s="10"/>
      <c r="AK929" s="3"/>
      <c r="AL929" s="5"/>
      <c r="AM929" s="5"/>
      <c r="AN929" s="5"/>
      <c r="AO929" s="5"/>
      <c r="AP929" s="5"/>
      <c r="AQ929" s="5"/>
      <c r="AR929" s="5"/>
      <c r="AS929" s="142"/>
      <c r="AT929" s="142"/>
      <c r="AU929" s="142"/>
      <c r="AV929" s="142"/>
      <c r="AW929" s="142"/>
      <c r="AX929" s="142"/>
      <c r="AY929" s="142"/>
      <c r="AZ929" s="174"/>
      <c r="BA929" s="142"/>
      <c r="BB929" s="142"/>
      <c r="BC929" s="142"/>
      <c r="BD929" s="142"/>
      <c r="BE929" s="142"/>
      <c r="BF929" s="142"/>
      <c r="BG929" s="142"/>
    </row>
    <row r="930">
      <c r="A930" s="5"/>
      <c r="B930" s="44"/>
      <c r="C930" s="150"/>
      <c r="D930" s="3"/>
      <c r="E930" s="3"/>
      <c r="F930" s="5"/>
      <c r="G930" s="5"/>
      <c r="H930" s="5"/>
      <c r="I930" s="3"/>
      <c r="J930" s="3"/>
      <c r="K930" s="3"/>
      <c r="L930" s="44"/>
      <c r="M930" s="150"/>
      <c r="N930" s="5"/>
      <c r="O930" s="5"/>
      <c r="P930" s="10"/>
      <c r="Q930" s="10"/>
      <c r="R930" s="144"/>
      <c r="S930" s="144"/>
      <c r="T930" s="10"/>
      <c r="U930" s="5"/>
      <c r="V930" s="3"/>
      <c r="W930" s="5"/>
      <c r="X930" s="144"/>
      <c r="Y930" s="10"/>
      <c r="Z930" s="3"/>
      <c r="AA930" s="10"/>
      <c r="AB930" s="10"/>
      <c r="AC930" s="181"/>
      <c r="AD930" s="144"/>
      <c r="AE930" s="182"/>
      <c r="AF930" s="10"/>
      <c r="AG930" s="10"/>
      <c r="AH930" s="144"/>
      <c r="AI930" s="3"/>
      <c r="AJ930" s="10"/>
      <c r="AK930" s="3"/>
      <c r="AL930" s="5"/>
      <c r="AM930" s="5"/>
      <c r="AN930" s="5"/>
      <c r="AO930" s="5"/>
      <c r="AP930" s="5"/>
      <c r="AQ930" s="5"/>
      <c r="AR930" s="5"/>
      <c r="AS930" s="142"/>
      <c r="AT930" s="142"/>
      <c r="AU930" s="142"/>
      <c r="AV930" s="142"/>
      <c r="AW930" s="142"/>
      <c r="AX930" s="142"/>
      <c r="AY930" s="142"/>
      <c r="AZ930" s="174"/>
      <c r="BA930" s="142"/>
      <c r="BB930" s="142"/>
      <c r="BC930" s="142"/>
      <c r="BD930" s="142"/>
      <c r="BE930" s="142"/>
      <c r="BF930" s="142"/>
      <c r="BG930" s="142"/>
    </row>
    <row r="931">
      <c r="A931" s="5"/>
      <c r="B931" s="44"/>
      <c r="C931" s="150"/>
      <c r="D931" s="3"/>
      <c r="E931" s="3"/>
      <c r="F931" s="5"/>
      <c r="G931" s="5"/>
      <c r="H931" s="5"/>
      <c r="I931" s="3"/>
      <c r="J931" s="3"/>
      <c r="K931" s="3"/>
      <c r="L931" s="44"/>
      <c r="M931" s="150"/>
      <c r="N931" s="5"/>
      <c r="O931" s="5"/>
      <c r="P931" s="10"/>
      <c r="Q931" s="10"/>
      <c r="R931" s="144"/>
      <c r="S931" s="144"/>
      <c r="T931" s="10"/>
      <c r="U931" s="5"/>
      <c r="V931" s="3"/>
      <c r="W931" s="5"/>
      <c r="X931" s="144"/>
      <c r="Y931" s="10"/>
      <c r="Z931" s="3"/>
      <c r="AA931" s="10"/>
      <c r="AB931" s="10"/>
      <c r="AC931" s="181"/>
      <c r="AD931" s="144"/>
      <c r="AE931" s="182"/>
      <c r="AF931" s="10"/>
      <c r="AG931" s="10"/>
      <c r="AH931" s="144"/>
      <c r="AI931" s="3"/>
      <c r="AJ931" s="10"/>
      <c r="AK931" s="3"/>
      <c r="AL931" s="5"/>
      <c r="AM931" s="5"/>
      <c r="AN931" s="5"/>
      <c r="AO931" s="5"/>
      <c r="AP931" s="5"/>
      <c r="AQ931" s="5"/>
      <c r="AR931" s="5"/>
      <c r="AS931" s="142"/>
      <c r="AT931" s="142"/>
      <c r="AU931" s="142"/>
      <c r="AV931" s="142"/>
      <c r="AW931" s="142"/>
      <c r="AX931" s="142"/>
      <c r="AY931" s="142"/>
      <c r="AZ931" s="174"/>
      <c r="BA931" s="142"/>
      <c r="BB931" s="142"/>
      <c r="BC931" s="142"/>
      <c r="BD931" s="142"/>
      <c r="BE931" s="142"/>
      <c r="BF931" s="142"/>
      <c r="BG931" s="142"/>
    </row>
    <row r="932">
      <c r="A932" s="5"/>
      <c r="B932" s="44"/>
      <c r="C932" s="150"/>
      <c r="D932" s="3"/>
      <c r="E932" s="3"/>
      <c r="F932" s="5"/>
      <c r="G932" s="5"/>
      <c r="H932" s="5"/>
      <c r="I932" s="3"/>
      <c r="J932" s="3"/>
      <c r="K932" s="3"/>
      <c r="L932" s="44"/>
      <c r="M932" s="150"/>
      <c r="N932" s="5"/>
      <c r="O932" s="5"/>
      <c r="P932" s="10"/>
      <c r="Q932" s="10"/>
      <c r="R932" s="144"/>
      <c r="S932" s="144"/>
      <c r="T932" s="10"/>
      <c r="U932" s="5"/>
      <c r="V932" s="3"/>
      <c r="W932" s="5"/>
      <c r="X932" s="144"/>
      <c r="Y932" s="10"/>
      <c r="Z932" s="3"/>
      <c r="AA932" s="10"/>
      <c r="AB932" s="10"/>
      <c r="AC932" s="181"/>
      <c r="AD932" s="144"/>
      <c r="AE932" s="182"/>
      <c r="AF932" s="10"/>
      <c r="AG932" s="10"/>
      <c r="AH932" s="144"/>
      <c r="AI932" s="3"/>
      <c r="AJ932" s="10"/>
      <c r="AK932" s="3"/>
      <c r="AL932" s="5"/>
      <c r="AM932" s="5"/>
      <c r="AN932" s="5"/>
      <c r="AO932" s="5"/>
      <c r="AP932" s="5"/>
      <c r="AQ932" s="5"/>
      <c r="AR932" s="5"/>
      <c r="AS932" s="142"/>
      <c r="AT932" s="142"/>
      <c r="AU932" s="142"/>
      <c r="AV932" s="142"/>
      <c r="AW932" s="142"/>
      <c r="AX932" s="142"/>
      <c r="AY932" s="142"/>
      <c r="AZ932" s="174"/>
      <c r="BA932" s="142"/>
      <c r="BB932" s="142"/>
      <c r="BC932" s="142"/>
      <c r="BD932" s="142"/>
      <c r="BE932" s="142"/>
      <c r="BF932" s="142"/>
      <c r="BG932" s="142"/>
    </row>
    <row r="933">
      <c r="A933" s="5"/>
      <c r="B933" s="44"/>
      <c r="C933" s="150"/>
      <c r="D933" s="3"/>
      <c r="E933" s="3"/>
      <c r="F933" s="5"/>
      <c r="G933" s="5"/>
      <c r="H933" s="5"/>
      <c r="I933" s="3"/>
      <c r="J933" s="3"/>
      <c r="K933" s="3"/>
      <c r="L933" s="44"/>
      <c r="M933" s="150"/>
      <c r="N933" s="5"/>
      <c r="O933" s="5"/>
      <c r="P933" s="10"/>
      <c r="Q933" s="10"/>
      <c r="R933" s="144"/>
      <c r="S933" s="144"/>
      <c r="T933" s="10"/>
      <c r="U933" s="5"/>
      <c r="V933" s="3"/>
      <c r="W933" s="5"/>
      <c r="X933" s="144"/>
      <c r="Y933" s="10"/>
      <c r="Z933" s="3"/>
      <c r="AA933" s="10"/>
      <c r="AB933" s="10"/>
      <c r="AC933" s="181"/>
      <c r="AD933" s="144"/>
      <c r="AE933" s="182"/>
      <c r="AF933" s="10"/>
      <c r="AG933" s="10"/>
      <c r="AH933" s="144"/>
      <c r="AI933" s="3"/>
      <c r="AJ933" s="10"/>
      <c r="AK933" s="3"/>
      <c r="AL933" s="5"/>
      <c r="AM933" s="5"/>
      <c r="AN933" s="5"/>
      <c r="AO933" s="5"/>
      <c r="AP933" s="5"/>
      <c r="AQ933" s="5"/>
      <c r="AR933" s="5"/>
      <c r="AS933" s="142"/>
      <c r="AT933" s="142"/>
      <c r="AU933" s="142"/>
      <c r="AV933" s="142"/>
      <c r="AW933" s="142"/>
      <c r="AX933" s="142"/>
      <c r="AY933" s="142"/>
      <c r="AZ933" s="174"/>
      <c r="BA933" s="142"/>
      <c r="BB933" s="142"/>
      <c r="BC933" s="142"/>
      <c r="BD933" s="142"/>
      <c r="BE933" s="142"/>
      <c r="BF933" s="142"/>
      <c r="BG933" s="142"/>
    </row>
    <row r="934">
      <c r="A934" s="5"/>
      <c r="B934" s="44"/>
      <c r="C934" s="150"/>
      <c r="D934" s="3"/>
      <c r="E934" s="3"/>
      <c r="F934" s="5"/>
      <c r="G934" s="5"/>
      <c r="H934" s="5"/>
      <c r="I934" s="3"/>
      <c r="J934" s="3"/>
      <c r="K934" s="3"/>
      <c r="L934" s="44"/>
      <c r="M934" s="150"/>
      <c r="N934" s="5"/>
      <c r="O934" s="5"/>
      <c r="P934" s="10"/>
      <c r="Q934" s="10"/>
      <c r="R934" s="144"/>
      <c r="S934" s="144"/>
      <c r="T934" s="10"/>
      <c r="U934" s="5"/>
      <c r="V934" s="3"/>
      <c r="W934" s="5"/>
      <c r="X934" s="144"/>
      <c r="Y934" s="10"/>
      <c r="Z934" s="3"/>
      <c r="AA934" s="10"/>
      <c r="AB934" s="10"/>
      <c r="AC934" s="181"/>
      <c r="AD934" s="144"/>
      <c r="AE934" s="182"/>
      <c r="AF934" s="10"/>
      <c r="AG934" s="10"/>
      <c r="AH934" s="144"/>
      <c r="AI934" s="3"/>
      <c r="AJ934" s="10"/>
      <c r="AK934" s="3"/>
      <c r="AL934" s="5"/>
      <c r="AM934" s="5"/>
      <c r="AN934" s="5"/>
      <c r="AO934" s="5"/>
      <c r="AP934" s="5"/>
      <c r="AQ934" s="5"/>
      <c r="AR934" s="5"/>
      <c r="AS934" s="142"/>
      <c r="AT934" s="142"/>
      <c r="AU934" s="142"/>
      <c r="AV934" s="142"/>
      <c r="AW934" s="142"/>
      <c r="AX934" s="142"/>
      <c r="AY934" s="142"/>
      <c r="AZ934" s="174"/>
      <c r="BA934" s="142"/>
      <c r="BB934" s="142"/>
      <c r="BC934" s="142"/>
      <c r="BD934" s="142"/>
      <c r="BE934" s="142"/>
      <c r="BF934" s="142"/>
      <c r="BG934" s="142"/>
    </row>
    <row r="935">
      <c r="A935" s="5"/>
      <c r="B935" s="44"/>
      <c r="C935" s="150"/>
      <c r="D935" s="3"/>
      <c r="E935" s="3"/>
      <c r="F935" s="5"/>
      <c r="G935" s="5"/>
      <c r="H935" s="5"/>
      <c r="I935" s="3"/>
      <c r="J935" s="3"/>
      <c r="K935" s="3"/>
      <c r="L935" s="44"/>
      <c r="M935" s="150"/>
      <c r="N935" s="5"/>
      <c r="O935" s="5"/>
      <c r="P935" s="10"/>
      <c r="Q935" s="10"/>
      <c r="R935" s="144"/>
      <c r="S935" s="144"/>
      <c r="T935" s="10"/>
      <c r="U935" s="5"/>
      <c r="V935" s="3"/>
      <c r="W935" s="5"/>
      <c r="X935" s="144"/>
      <c r="Y935" s="10"/>
      <c r="Z935" s="3"/>
      <c r="AA935" s="10"/>
      <c r="AB935" s="10"/>
      <c r="AC935" s="181"/>
      <c r="AD935" s="144"/>
      <c r="AE935" s="182"/>
      <c r="AF935" s="10"/>
      <c r="AG935" s="10"/>
      <c r="AH935" s="144"/>
      <c r="AI935" s="3"/>
      <c r="AJ935" s="10"/>
      <c r="AK935" s="3"/>
      <c r="AL935" s="5"/>
      <c r="AM935" s="5"/>
      <c r="AN935" s="5"/>
      <c r="AO935" s="5"/>
      <c r="AP935" s="5"/>
      <c r="AQ935" s="5"/>
      <c r="AR935" s="5"/>
      <c r="AS935" s="142"/>
      <c r="AT935" s="142"/>
      <c r="AU935" s="142"/>
      <c r="AV935" s="142"/>
      <c r="AW935" s="142"/>
      <c r="AX935" s="142"/>
      <c r="AY935" s="142"/>
      <c r="AZ935" s="174"/>
      <c r="BA935" s="142"/>
      <c r="BB935" s="142"/>
      <c r="BC935" s="142"/>
      <c r="BD935" s="142"/>
      <c r="BE935" s="142"/>
      <c r="BF935" s="142"/>
      <c r="BG935" s="142"/>
    </row>
    <row r="936">
      <c r="A936" s="5"/>
      <c r="B936" s="44"/>
      <c r="C936" s="150"/>
      <c r="D936" s="3"/>
      <c r="E936" s="3"/>
      <c r="F936" s="5"/>
      <c r="G936" s="5"/>
      <c r="H936" s="5"/>
      <c r="I936" s="3"/>
      <c r="J936" s="3"/>
      <c r="K936" s="3"/>
      <c r="L936" s="44"/>
      <c r="M936" s="150"/>
      <c r="N936" s="5"/>
      <c r="O936" s="5"/>
      <c r="P936" s="10"/>
      <c r="Q936" s="10"/>
      <c r="R936" s="144"/>
      <c r="S936" s="144"/>
      <c r="T936" s="10"/>
      <c r="U936" s="5"/>
      <c r="V936" s="3"/>
      <c r="W936" s="5"/>
      <c r="X936" s="144"/>
      <c r="Y936" s="10"/>
      <c r="Z936" s="3"/>
      <c r="AA936" s="10"/>
      <c r="AB936" s="10"/>
      <c r="AC936" s="181"/>
      <c r="AD936" s="144"/>
      <c r="AE936" s="182"/>
      <c r="AF936" s="10"/>
      <c r="AG936" s="10"/>
      <c r="AH936" s="144"/>
      <c r="AI936" s="3"/>
      <c r="AJ936" s="10"/>
      <c r="AK936" s="3"/>
      <c r="AL936" s="5"/>
      <c r="AM936" s="5"/>
      <c r="AN936" s="5"/>
      <c r="AO936" s="5"/>
      <c r="AP936" s="5"/>
      <c r="AQ936" s="5"/>
      <c r="AR936" s="5"/>
      <c r="AS936" s="142"/>
      <c r="AT936" s="142"/>
      <c r="AU936" s="142"/>
      <c r="AV936" s="142"/>
      <c r="AW936" s="142"/>
      <c r="AX936" s="142"/>
      <c r="AY936" s="142"/>
      <c r="AZ936" s="174"/>
      <c r="BA936" s="142"/>
      <c r="BB936" s="142"/>
      <c r="BC936" s="142"/>
      <c r="BD936" s="142"/>
      <c r="BE936" s="142"/>
      <c r="BF936" s="142"/>
      <c r="BG936" s="142"/>
    </row>
    <row r="937">
      <c r="A937" s="5"/>
      <c r="B937" s="44"/>
      <c r="C937" s="150"/>
      <c r="D937" s="3"/>
      <c r="E937" s="3"/>
      <c r="F937" s="5"/>
      <c r="G937" s="5"/>
      <c r="H937" s="5"/>
      <c r="I937" s="3"/>
      <c r="J937" s="3"/>
      <c r="K937" s="3"/>
      <c r="L937" s="44"/>
      <c r="M937" s="150"/>
      <c r="N937" s="5"/>
      <c r="O937" s="5"/>
      <c r="P937" s="10"/>
      <c r="Q937" s="10"/>
      <c r="R937" s="144"/>
      <c r="S937" s="144"/>
      <c r="T937" s="10"/>
      <c r="U937" s="5"/>
      <c r="V937" s="3"/>
      <c r="W937" s="5"/>
      <c r="X937" s="144"/>
      <c r="Y937" s="10"/>
      <c r="Z937" s="3"/>
      <c r="AA937" s="10"/>
      <c r="AB937" s="10"/>
      <c r="AC937" s="181"/>
      <c r="AD937" s="144"/>
      <c r="AE937" s="182"/>
      <c r="AF937" s="10"/>
      <c r="AG937" s="10"/>
      <c r="AH937" s="144"/>
      <c r="AI937" s="3"/>
      <c r="AJ937" s="10"/>
      <c r="AK937" s="3"/>
      <c r="AL937" s="5"/>
      <c r="AM937" s="5"/>
      <c r="AN937" s="5"/>
      <c r="AO937" s="5"/>
      <c r="AP937" s="5"/>
      <c r="AQ937" s="5"/>
      <c r="AR937" s="5"/>
      <c r="AS937" s="142"/>
      <c r="AT937" s="142"/>
      <c r="AU937" s="142"/>
      <c r="AV937" s="142"/>
      <c r="AW937" s="142"/>
      <c r="AX937" s="142"/>
      <c r="AY937" s="142"/>
      <c r="AZ937" s="174"/>
      <c r="BA937" s="142"/>
      <c r="BB937" s="142"/>
      <c r="BC937" s="142"/>
      <c r="BD937" s="142"/>
      <c r="BE937" s="142"/>
      <c r="BF937" s="142"/>
      <c r="BG937" s="142"/>
    </row>
    <row r="938">
      <c r="A938" s="5"/>
      <c r="B938" s="44"/>
      <c r="C938" s="150"/>
      <c r="D938" s="3"/>
      <c r="E938" s="3"/>
      <c r="F938" s="5"/>
      <c r="G938" s="5"/>
      <c r="H938" s="5"/>
      <c r="I938" s="3"/>
      <c r="J938" s="3"/>
      <c r="K938" s="3"/>
      <c r="L938" s="44"/>
      <c r="M938" s="150"/>
      <c r="N938" s="5"/>
      <c r="O938" s="5"/>
      <c r="P938" s="10"/>
      <c r="Q938" s="10"/>
      <c r="R938" s="144"/>
      <c r="S938" s="144"/>
      <c r="T938" s="10"/>
      <c r="U938" s="5"/>
      <c r="V938" s="3"/>
      <c r="W938" s="5"/>
      <c r="X938" s="144"/>
      <c r="Y938" s="10"/>
      <c r="Z938" s="3"/>
      <c r="AA938" s="10"/>
      <c r="AB938" s="10"/>
      <c r="AC938" s="181"/>
      <c r="AD938" s="144"/>
      <c r="AE938" s="182"/>
      <c r="AF938" s="10"/>
      <c r="AG938" s="10"/>
      <c r="AH938" s="144"/>
      <c r="AI938" s="3"/>
      <c r="AJ938" s="10"/>
      <c r="AK938" s="3"/>
      <c r="AL938" s="5"/>
      <c r="AM938" s="5"/>
      <c r="AN938" s="5"/>
      <c r="AO938" s="5"/>
      <c r="AP938" s="5"/>
      <c r="AQ938" s="5"/>
      <c r="AR938" s="5"/>
      <c r="AS938" s="142"/>
      <c r="AT938" s="142"/>
      <c r="AU938" s="142"/>
      <c r="AV938" s="142"/>
      <c r="AW938" s="142"/>
      <c r="AX938" s="142"/>
      <c r="AY938" s="142"/>
      <c r="AZ938" s="174"/>
      <c r="BA938" s="142"/>
      <c r="BB938" s="142"/>
      <c r="BC938" s="142"/>
      <c r="BD938" s="142"/>
      <c r="BE938" s="142"/>
      <c r="BF938" s="142"/>
      <c r="BG938" s="142"/>
    </row>
    <row r="939">
      <c r="A939" s="5"/>
      <c r="B939" s="44"/>
      <c r="C939" s="150"/>
      <c r="D939" s="3"/>
      <c r="E939" s="3"/>
      <c r="F939" s="5"/>
      <c r="G939" s="5"/>
      <c r="H939" s="5"/>
      <c r="I939" s="3"/>
      <c r="J939" s="3"/>
      <c r="K939" s="3"/>
      <c r="L939" s="44"/>
      <c r="M939" s="150"/>
      <c r="N939" s="5"/>
      <c r="O939" s="5"/>
      <c r="P939" s="10"/>
      <c r="Q939" s="10"/>
      <c r="R939" s="144"/>
      <c r="S939" s="144"/>
      <c r="T939" s="10"/>
      <c r="U939" s="5"/>
      <c r="V939" s="3"/>
      <c r="W939" s="5"/>
      <c r="X939" s="144"/>
      <c r="Y939" s="10"/>
      <c r="Z939" s="3"/>
      <c r="AA939" s="10"/>
      <c r="AB939" s="10"/>
      <c r="AC939" s="181"/>
      <c r="AD939" s="144"/>
      <c r="AE939" s="182"/>
      <c r="AF939" s="10"/>
      <c r="AG939" s="10"/>
      <c r="AH939" s="144"/>
      <c r="AI939" s="3"/>
      <c r="AJ939" s="10"/>
      <c r="AK939" s="3"/>
      <c r="AL939" s="5"/>
      <c r="AM939" s="5"/>
      <c r="AN939" s="5"/>
      <c r="AO939" s="5"/>
      <c r="AP939" s="5"/>
      <c r="AQ939" s="5"/>
      <c r="AR939" s="5"/>
      <c r="AS939" s="142"/>
      <c r="AT939" s="142"/>
      <c r="AU939" s="142"/>
      <c r="AV939" s="142"/>
      <c r="AW939" s="142"/>
      <c r="AX939" s="142"/>
      <c r="AY939" s="142"/>
      <c r="AZ939" s="174"/>
      <c r="BA939" s="142"/>
      <c r="BB939" s="142"/>
      <c r="BC939" s="142"/>
      <c r="BD939" s="142"/>
      <c r="BE939" s="142"/>
      <c r="BF939" s="142"/>
      <c r="BG939" s="142"/>
    </row>
    <row r="940">
      <c r="A940" s="5"/>
      <c r="B940" s="44"/>
      <c r="C940" s="150"/>
      <c r="D940" s="3"/>
      <c r="E940" s="3"/>
      <c r="F940" s="5"/>
      <c r="G940" s="5"/>
      <c r="H940" s="5"/>
      <c r="I940" s="3"/>
      <c r="J940" s="3"/>
      <c r="K940" s="3"/>
      <c r="L940" s="44"/>
      <c r="M940" s="150"/>
      <c r="N940" s="5"/>
      <c r="O940" s="5"/>
      <c r="P940" s="10"/>
      <c r="Q940" s="10"/>
      <c r="R940" s="144"/>
      <c r="S940" s="144"/>
      <c r="T940" s="10"/>
      <c r="U940" s="5"/>
      <c r="V940" s="3"/>
      <c r="W940" s="5"/>
      <c r="X940" s="144"/>
      <c r="Y940" s="10"/>
      <c r="Z940" s="3"/>
      <c r="AA940" s="10"/>
      <c r="AB940" s="10"/>
      <c r="AC940" s="181"/>
      <c r="AD940" s="144"/>
      <c r="AE940" s="182"/>
      <c r="AF940" s="10"/>
      <c r="AG940" s="10"/>
      <c r="AH940" s="144"/>
      <c r="AI940" s="3"/>
      <c r="AJ940" s="10"/>
      <c r="AK940" s="3"/>
      <c r="AL940" s="5"/>
      <c r="AM940" s="5"/>
      <c r="AN940" s="5"/>
      <c r="AO940" s="5"/>
      <c r="AP940" s="5"/>
      <c r="AQ940" s="5"/>
      <c r="AR940" s="5"/>
      <c r="AS940" s="142"/>
      <c r="AT940" s="142"/>
      <c r="AU940" s="142"/>
      <c r="AV940" s="142"/>
      <c r="AW940" s="142"/>
      <c r="AX940" s="142"/>
      <c r="AY940" s="142"/>
      <c r="AZ940" s="174"/>
      <c r="BA940" s="142"/>
      <c r="BB940" s="142"/>
      <c r="BC940" s="142"/>
      <c r="BD940" s="142"/>
      <c r="BE940" s="142"/>
      <c r="BF940" s="142"/>
      <c r="BG940" s="142"/>
    </row>
    <row r="941">
      <c r="A941" s="5"/>
      <c r="B941" s="44"/>
      <c r="C941" s="150"/>
      <c r="D941" s="3"/>
      <c r="E941" s="3"/>
      <c r="F941" s="5"/>
      <c r="G941" s="5"/>
      <c r="H941" s="5"/>
      <c r="I941" s="3"/>
      <c r="J941" s="3"/>
      <c r="K941" s="3"/>
      <c r="L941" s="44"/>
      <c r="M941" s="150"/>
      <c r="N941" s="5"/>
      <c r="O941" s="5"/>
      <c r="P941" s="10"/>
      <c r="Q941" s="10"/>
      <c r="R941" s="144"/>
      <c r="S941" s="144"/>
      <c r="T941" s="10"/>
      <c r="U941" s="5"/>
      <c r="V941" s="3"/>
      <c r="W941" s="5"/>
      <c r="X941" s="144"/>
      <c r="Y941" s="10"/>
      <c r="Z941" s="3"/>
      <c r="AA941" s="10"/>
      <c r="AB941" s="10"/>
      <c r="AC941" s="181"/>
      <c r="AD941" s="144"/>
      <c r="AE941" s="182"/>
      <c r="AF941" s="10"/>
      <c r="AG941" s="10"/>
      <c r="AH941" s="144"/>
      <c r="AI941" s="3"/>
      <c r="AJ941" s="10"/>
      <c r="AK941" s="3"/>
      <c r="AL941" s="5"/>
      <c r="AM941" s="5"/>
      <c r="AN941" s="5"/>
      <c r="AO941" s="5"/>
      <c r="AP941" s="5"/>
      <c r="AQ941" s="5"/>
      <c r="AR941" s="5"/>
      <c r="AS941" s="142"/>
      <c r="AT941" s="142"/>
      <c r="AU941" s="142"/>
      <c r="AV941" s="142"/>
      <c r="AW941" s="142"/>
      <c r="AX941" s="142"/>
      <c r="AY941" s="142"/>
      <c r="AZ941" s="174"/>
      <c r="BA941" s="142"/>
      <c r="BB941" s="142"/>
      <c r="BC941" s="142"/>
      <c r="BD941" s="142"/>
      <c r="BE941" s="142"/>
      <c r="BF941" s="142"/>
      <c r="BG941" s="142"/>
    </row>
    <row r="942">
      <c r="A942" s="5"/>
      <c r="B942" s="44"/>
      <c r="C942" s="150"/>
      <c r="D942" s="3"/>
      <c r="E942" s="3"/>
      <c r="F942" s="5"/>
      <c r="G942" s="5"/>
      <c r="H942" s="5"/>
      <c r="I942" s="3"/>
      <c r="J942" s="3"/>
      <c r="K942" s="3"/>
      <c r="L942" s="44"/>
      <c r="M942" s="150"/>
      <c r="N942" s="5"/>
      <c r="O942" s="5"/>
      <c r="P942" s="10"/>
      <c r="Q942" s="10"/>
      <c r="R942" s="144"/>
      <c r="S942" s="144"/>
      <c r="T942" s="10"/>
      <c r="U942" s="5"/>
      <c r="V942" s="3"/>
      <c r="W942" s="5"/>
      <c r="X942" s="144"/>
      <c r="Y942" s="10"/>
      <c r="Z942" s="3"/>
      <c r="AA942" s="10"/>
      <c r="AB942" s="10"/>
      <c r="AC942" s="181"/>
      <c r="AD942" s="144"/>
      <c r="AE942" s="182"/>
      <c r="AF942" s="10"/>
      <c r="AG942" s="10"/>
      <c r="AH942" s="144"/>
      <c r="AI942" s="3"/>
      <c r="AJ942" s="10"/>
      <c r="AK942" s="3"/>
      <c r="AL942" s="5"/>
      <c r="AM942" s="5"/>
      <c r="AN942" s="5"/>
      <c r="AO942" s="5"/>
      <c r="AP942" s="5"/>
      <c r="AQ942" s="5"/>
      <c r="AR942" s="5"/>
      <c r="AS942" s="142"/>
      <c r="AT942" s="142"/>
      <c r="AU942" s="142"/>
      <c r="AV942" s="142"/>
      <c r="AW942" s="142"/>
      <c r="AX942" s="142"/>
      <c r="AY942" s="142"/>
      <c r="AZ942" s="174"/>
      <c r="BA942" s="142"/>
      <c r="BB942" s="142"/>
      <c r="BC942" s="142"/>
      <c r="BD942" s="142"/>
      <c r="BE942" s="142"/>
      <c r="BF942" s="142"/>
      <c r="BG942" s="142"/>
    </row>
    <row r="943">
      <c r="A943" s="5"/>
      <c r="B943" s="44"/>
      <c r="C943" s="150"/>
      <c r="D943" s="3"/>
      <c r="E943" s="3"/>
      <c r="F943" s="5"/>
      <c r="G943" s="5"/>
      <c r="H943" s="5"/>
      <c r="I943" s="3"/>
      <c r="J943" s="3"/>
      <c r="K943" s="3"/>
      <c r="L943" s="44"/>
      <c r="M943" s="150"/>
      <c r="N943" s="5"/>
      <c r="O943" s="5"/>
      <c r="P943" s="10"/>
      <c r="Q943" s="10"/>
      <c r="R943" s="144"/>
      <c r="S943" s="144"/>
      <c r="T943" s="10"/>
      <c r="U943" s="5"/>
      <c r="V943" s="3"/>
      <c r="W943" s="5"/>
      <c r="X943" s="144"/>
      <c r="Y943" s="10"/>
      <c r="Z943" s="3"/>
      <c r="AA943" s="10"/>
      <c r="AB943" s="10"/>
      <c r="AC943" s="181"/>
      <c r="AD943" s="144"/>
      <c r="AE943" s="182"/>
      <c r="AF943" s="10"/>
      <c r="AG943" s="10"/>
      <c r="AH943" s="144"/>
      <c r="AI943" s="3"/>
      <c r="AJ943" s="10"/>
      <c r="AK943" s="3"/>
      <c r="AL943" s="5"/>
      <c r="AM943" s="5"/>
      <c r="AN943" s="5"/>
      <c r="AO943" s="5"/>
      <c r="AP943" s="5"/>
      <c r="AQ943" s="5"/>
      <c r="AR943" s="5"/>
      <c r="AS943" s="142"/>
      <c r="AT943" s="142"/>
      <c r="AU943" s="142"/>
      <c r="AV943" s="142"/>
      <c r="AW943" s="142"/>
      <c r="AX943" s="142"/>
      <c r="AY943" s="142"/>
      <c r="AZ943" s="174"/>
      <c r="BA943" s="142"/>
      <c r="BB943" s="142"/>
      <c r="BC943" s="142"/>
      <c r="BD943" s="142"/>
      <c r="BE943" s="142"/>
      <c r="BF943" s="142"/>
      <c r="BG943" s="142"/>
    </row>
    <row r="944">
      <c r="A944" s="5"/>
      <c r="B944" s="44"/>
      <c r="C944" s="150"/>
      <c r="D944" s="3"/>
      <c r="E944" s="3"/>
      <c r="F944" s="5"/>
      <c r="G944" s="5"/>
      <c r="H944" s="5"/>
      <c r="I944" s="3"/>
      <c r="J944" s="3"/>
      <c r="K944" s="3"/>
      <c r="L944" s="44"/>
      <c r="M944" s="150"/>
      <c r="N944" s="5"/>
      <c r="O944" s="5"/>
      <c r="P944" s="10"/>
      <c r="Q944" s="10"/>
      <c r="R944" s="144"/>
      <c r="S944" s="144"/>
      <c r="T944" s="10"/>
      <c r="U944" s="5"/>
      <c r="V944" s="3"/>
      <c r="W944" s="5"/>
      <c r="X944" s="144"/>
      <c r="Y944" s="10"/>
      <c r="Z944" s="3"/>
      <c r="AA944" s="10"/>
      <c r="AB944" s="10"/>
      <c r="AC944" s="181"/>
      <c r="AD944" s="144"/>
      <c r="AE944" s="182"/>
      <c r="AF944" s="10"/>
      <c r="AG944" s="10"/>
      <c r="AH944" s="144"/>
      <c r="AI944" s="3"/>
      <c r="AJ944" s="10"/>
      <c r="AK944" s="3"/>
      <c r="AL944" s="5"/>
      <c r="AM944" s="5"/>
      <c r="AN944" s="5"/>
      <c r="AO944" s="5"/>
      <c r="AP944" s="5"/>
      <c r="AQ944" s="5"/>
      <c r="AR944" s="5"/>
      <c r="AS944" s="142"/>
      <c r="AT944" s="142"/>
      <c r="AU944" s="142"/>
      <c r="AV944" s="142"/>
      <c r="AW944" s="142"/>
      <c r="AX944" s="142"/>
      <c r="AY944" s="142"/>
      <c r="AZ944" s="174"/>
      <c r="BA944" s="142"/>
      <c r="BB944" s="142"/>
      <c r="BC944" s="142"/>
      <c r="BD944" s="142"/>
      <c r="BE944" s="142"/>
      <c r="BF944" s="142"/>
      <c r="BG944" s="142"/>
    </row>
    <row r="945">
      <c r="A945" s="5"/>
      <c r="B945" s="44"/>
      <c r="C945" s="150"/>
      <c r="D945" s="3"/>
      <c r="E945" s="3"/>
      <c r="F945" s="5"/>
      <c r="G945" s="5"/>
      <c r="H945" s="5"/>
      <c r="I945" s="3"/>
      <c r="J945" s="3"/>
      <c r="K945" s="3"/>
      <c r="L945" s="44"/>
      <c r="M945" s="150"/>
      <c r="N945" s="5"/>
      <c r="O945" s="5"/>
      <c r="P945" s="10"/>
      <c r="Q945" s="10"/>
      <c r="R945" s="144"/>
      <c r="S945" s="144"/>
      <c r="T945" s="10"/>
      <c r="U945" s="5"/>
      <c r="V945" s="3"/>
      <c r="W945" s="5"/>
      <c r="X945" s="144"/>
      <c r="Y945" s="10"/>
      <c r="Z945" s="3"/>
      <c r="AA945" s="10"/>
      <c r="AB945" s="10"/>
      <c r="AC945" s="181"/>
      <c r="AD945" s="144"/>
      <c r="AE945" s="182"/>
      <c r="AF945" s="10"/>
      <c r="AG945" s="10"/>
      <c r="AH945" s="144"/>
      <c r="AI945" s="3"/>
      <c r="AJ945" s="10"/>
      <c r="AK945" s="3"/>
      <c r="AL945" s="5"/>
      <c r="AM945" s="5"/>
      <c r="AN945" s="5"/>
      <c r="AO945" s="5"/>
      <c r="AP945" s="5"/>
      <c r="AQ945" s="5"/>
      <c r="AR945" s="5"/>
      <c r="AS945" s="142"/>
      <c r="AT945" s="142"/>
      <c r="AU945" s="142"/>
      <c r="AV945" s="142"/>
      <c r="AW945" s="142"/>
      <c r="AX945" s="142"/>
      <c r="AY945" s="142"/>
      <c r="AZ945" s="174"/>
      <c r="BA945" s="142"/>
      <c r="BB945" s="142"/>
      <c r="BC945" s="142"/>
      <c r="BD945" s="142"/>
      <c r="BE945" s="142"/>
      <c r="BF945" s="142"/>
      <c r="BG945" s="142"/>
    </row>
    <row r="946">
      <c r="A946" s="5"/>
      <c r="B946" s="44"/>
      <c r="C946" s="150"/>
      <c r="D946" s="3"/>
      <c r="E946" s="3"/>
      <c r="F946" s="5"/>
      <c r="G946" s="5"/>
      <c r="H946" s="5"/>
      <c r="I946" s="3"/>
      <c r="J946" s="3"/>
      <c r="K946" s="3"/>
      <c r="L946" s="44"/>
      <c r="M946" s="150"/>
      <c r="N946" s="5"/>
      <c r="O946" s="5"/>
      <c r="P946" s="10"/>
      <c r="Q946" s="10"/>
      <c r="R946" s="144"/>
      <c r="S946" s="144"/>
      <c r="T946" s="10"/>
      <c r="U946" s="5"/>
      <c r="V946" s="3"/>
      <c r="W946" s="5"/>
      <c r="X946" s="144"/>
      <c r="Y946" s="10"/>
      <c r="Z946" s="3"/>
      <c r="AA946" s="10"/>
      <c r="AB946" s="10"/>
      <c r="AC946" s="181"/>
      <c r="AD946" s="144"/>
      <c r="AE946" s="182"/>
      <c r="AF946" s="10"/>
      <c r="AG946" s="10"/>
      <c r="AH946" s="144"/>
      <c r="AI946" s="3"/>
      <c r="AJ946" s="10"/>
      <c r="AK946" s="3"/>
      <c r="AL946" s="5"/>
      <c r="AM946" s="5"/>
      <c r="AN946" s="5"/>
      <c r="AO946" s="5"/>
      <c r="AP946" s="5"/>
      <c r="AQ946" s="5"/>
      <c r="AR946" s="5"/>
      <c r="AS946" s="142"/>
      <c r="AT946" s="142"/>
      <c r="AU946" s="142"/>
      <c r="AV946" s="142"/>
      <c r="AW946" s="142"/>
      <c r="AX946" s="142"/>
      <c r="AY946" s="142"/>
      <c r="AZ946" s="174"/>
      <c r="BA946" s="142"/>
      <c r="BB946" s="142"/>
      <c r="BC946" s="142"/>
      <c r="BD946" s="142"/>
      <c r="BE946" s="142"/>
      <c r="BF946" s="142"/>
      <c r="BG946" s="142"/>
    </row>
    <row r="947">
      <c r="A947" s="5"/>
      <c r="B947" s="44"/>
      <c r="C947" s="150"/>
      <c r="D947" s="3"/>
      <c r="E947" s="3"/>
      <c r="F947" s="5"/>
      <c r="G947" s="5"/>
      <c r="H947" s="5"/>
      <c r="I947" s="3"/>
      <c r="J947" s="3"/>
      <c r="K947" s="3"/>
      <c r="L947" s="44"/>
      <c r="M947" s="150"/>
      <c r="N947" s="5"/>
      <c r="O947" s="5"/>
      <c r="P947" s="10"/>
      <c r="Q947" s="10"/>
      <c r="R947" s="144"/>
      <c r="S947" s="144"/>
      <c r="T947" s="10"/>
      <c r="U947" s="5"/>
      <c r="V947" s="3"/>
      <c r="W947" s="5"/>
      <c r="X947" s="144"/>
      <c r="Y947" s="10"/>
      <c r="Z947" s="3"/>
      <c r="AA947" s="10"/>
      <c r="AB947" s="10"/>
      <c r="AC947" s="181"/>
      <c r="AD947" s="144"/>
      <c r="AE947" s="182"/>
      <c r="AF947" s="10"/>
      <c r="AG947" s="10"/>
      <c r="AH947" s="144"/>
      <c r="AI947" s="3"/>
      <c r="AJ947" s="10"/>
      <c r="AK947" s="3"/>
      <c r="AL947" s="5"/>
      <c r="AM947" s="5"/>
      <c r="AN947" s="5"/>
      <c r="AO947" s="5"/>
      <c r="AP947" s="5"/>
      <c r="AQ947" s="5"/>
      <c r="AR947" s="5"/>
      <c r="AS947" s="142"/>
      <c r="AT947" s="142"/>
      <c r="AU947" s="142"/>
      <c r="AV947" s="142"/>
      <c r="AW947" s="142"/>
      <c r="AX947" s="142"/>
      <c r="AY947" s="142"/>
      <c r="AZ947" s="174"/>
      <c r="BA947" s="142"/>
      <c r="BB947" s="142"/>
      <c r="BC947" s="142"/>
      <c r="BD947" s="142"/>
      <c r="BE947" s="142"/>
      <c r="BF947" s="142"/>
      <c r="BG947" s="142"/>
    </row>
    <row r="948">
      <c r="A948" s="5"/>
      <c r="B948" s="44"/>
      <c r="C948" s="150"/>
      <c r="D948" s="3"/>
      <c r="E948" s="3"/>
      <c r="F948" s="5"/>
      <c r="G948" s="5"/>
      <c r="H948" s="5"/>
      <c r="I948" s="3"/>
      <c r="J948" s="3"/>
      <c r="K948" s="3"/>
      <c r="L948" s="44"/>
      <c r="M948" s="150"/>
      <c r="N948" s="5"/>
      <c r="O948" s="5"/>
      <c r="P948" s="10"/>
      <c r="Q948" s="10"/>
      <c r="R948" s="144"/>
      <c r="S948" s="144"/>
      <c r="T948" s="10"/>
      <c r="U948" s="5"/>
      <c r="V948" s="3"/>
      <c r="W948" s="5"/>
      <c r="X948" s="144"/>
      <c r="Y948" s="10"/>
      <c r="Z948" s="3"/>
      <c r="AA948" s="10"/>
      <c r="AB948" s="10"/>
      <c r="AC948" s="181"/>
      <c r="AD948" s="144"/>
      <c r="AE948" s="182"/>
      <c r="AF948" s="10"/>
      <c r="AG948" s="10"/>
      <c r="AH948" s="144"/>
      <c r="AI948" s="3"/>
      <c r="AJ948" s="10"/>
      <c r="AK948" s="3"/>
      <c r="AL948" s="5"/>
      <c r="AM948" s="5"/>
      <c r="AN948" s="5"/>
      <c r="AO948" s="5"/>
      <c r="AP948" s="5"/>
      <c r="AQ948" s="5"/>
      <c r="AR948" s="5"/>
      <c r="AS948" s="142"/>
      <c r="AT948" s="142"/>
      <c r="AU948" s="142"/>
      <c r="AV948" s="142"/>
      <c r="AW948" s="142"/>
      <c r="AX948" s="142"/>
      <c r="AY948" s="142"/>
      <c r="AZ948" s="174"/>
      <c r="BA948" s="142"/>
      <c r="BB948" s="142"/>
      <c r="BC948" s="142"/>
      <c r="BD948" s="142"/>
      <c r="BE948" s="142"/>
      <c r="BF948" s="142"/>
      <c r="BG948" s="142"/>
    </row>
    <row r="949">
      <c r="A949" s="5"/>
      <c r="B949" s="44"/>
      <c r="C949" s="150"/>
      <c r="D949" s="3"/>
      <c r="E949" s="3"/>
      <c r="F949" s="5"/>
      <c r="G949" s="5"/>
      <c r="H949" s="5"/>
      <c r="I949" s="3"/>
      <c r="J949" s="3"/>
      <c r="K949" s="3"/>
      <c r="L949" s="44"/>
      <c r="M949" s="150"/>
      <c r="N949" s="5"/>
      <c r="O949" s="5"/>
      <c r="P949" s="10"/>
      <c r="Q949" s="10"/>
      <c r="R949" s="144"/>
      <c r="S949" s="144"/>
      <c r="T949" s="10"/>
      <c r="U949" s="5"/>
      <c r="V949" s="3"/>
      <c r="W949" s="5"/>
      <c r="X949" s="144"/>
      <c r="Y949" s="10"/>
      <c r="Z949" s="3"/>
      <c r="AA949" s="10"/>
      <c r="AB949" s="10"/>
      <c r="AC949" s="181"/>
      <c r="AD949" s="144"/>
      <c r="AE949" s="182"/>
      <c r="AF949" s="10"/>
      <c r="AG949" s="10"/>
      <c r="AH949" s="144"/>
      <c r="AI949" s="3"/>
      <c r="AJ949" s="10"/>
      <c r="AK949" s="3"/>
      <c r="AL949" s="5"/>
      <c r="AM949" s="5"/>
      <c r="AN949" s="5"/>
      <c r="AO949" s="5"/>
      <c r="AP949" s="5"/>
      <c r="AQ949" s="5"/>
      <c r="AR949" s="5"/>
      <c r="AS949" s="142"/>
      <c r="AT949" s="142"/>
      <c r="AU949" s="142"/>
      <c r="AV949" s="142"/>
      <c r="AW949" s="142"/>
      <c r="AX949" s="142"/>
      <c r="AY949" s="142"/>
      <c r="AZ949" s="174"/>
      <c r="BA949" s="142"/>
      <c r="BB949" s="142"/>
      <c r="BC949" s="142"/>
      <c r="BD949" s="142"/>
      <c r="BE949" s="142"/>
      <c r="BF949" s="142"/>
      <c r="BG949" s="142"/>
    </row>
    <row r="950">
      <c r="A950" s="5"/>
      <c r="B950" s="44"/>
      <c r="C950" s="150"/>
      <c r="D950" s="3"/>
      <c r="E950" s="3"/>
      <c r="F950" s="5"/>
      <c r="G950" s="5"/>
      <c r="H950" s="5"/>
      <c r="I950" s="3"/>
      <c r="J950" s="3"/>
      <c r="K950" s="3"/>
      <c r="L950" s="44"/>
      <c r="M950" s="150"/>
      <c r="N950" s="5"/>
      <c r="O950" s="5"/>
      <c r="P950" s="10"/>
      <c r="Q950" s="10"/>
      <c r="R950" s="144"/>
      <c r="S950" s="144"/>
      <c r="T950" s="10"/>
      <c r="U950" s="5"/>
      <c r="V950" s="3"/>
      <c r="W950" s="5"/>
      <c r="X950" s="144"/>
      <c r="Y950" s="10"/>
      <c r="Z950" s="3"/>
      <c r="AA950" s="10"/>
      <c r="AB950" s="10"/>
      <c r="AC950" s="181"/>
      <c r="AD950" s="144"/>
      <c r="AE950" s="182"/>
      <c r="AF950" s="10"/>
      <c r="AG950" s="10"/>
      <c r="AH950" s="144"/>
      <c r="AI950" s="3"/>
      <c r="AJ950" s="10"/>
      <c r="AK950" s="3"/>
      <c r="AL950" s="5"/>
      <c r="AM950" s="5"/>
      <c r="AN950" s="5"/>
      <c r="AO950" s="5"/>
      <c r="AP950" s="5"/>
      <c r="AQ950" s="5"/>
      <c r="AR950" s="5"/>
      <c r="AS950" s="142"/>
      <c r="AT950" s="142"/>
      <c r="AU950" s="142"/>
      <c r="AV950" s="142"/>
      <c r="AW950" s="142"/>
      <c r="AX950" s="142"/>
      <c r="AY950" s="142"/>
      <c r="AZ950" s="174"/>
      <c r="BA950" s="142"/>
      <c r="BB950" s="142"/>
      <c r="BC950" s="142"/>
      <c r="BD950" s="142"/>
      <c r="BE950" s="142"/>
      <c r="BF950" s="142"/>
      <c r="BG950" s="142"/>
    </row>
    <row r="951">
      <c r="A951" s="5"/>
      <c r="B951" s="44"/>
      <c r="C951" s="150"/>
      <c r="D951" s="3"/>
      <c r="E951" s="3"/>
      <c r="F951" s="5"/>
      <c r="G951" s="5"/>
      <c r="H951" s="5"/>
      <c r="I951" s="3"/>
      <c r="J951" s="3"/>
      <c r="K951" s="3"/>
      <c r="L951" s="44"/>
      <c r="M951" s="150"/>
      <c r="N951" s="5"/>
      <c r="O951" s="5"/>
      <c r="P951" s="10"/>
      <c r="Q951" s="10"/>
      <c r="R951" s="144"/>
      <c r="S951" s="144"/>
      <c r="T951" s="10"/>
      <c r="U951" s="5"/>
      <c r="V951" s="3"/>
      <c r="W951" s="5"/>
      <c r="X951" s="144"/>
      <c r="Y951" s="10"/>
      <c r="Z951" s="3"/>
      <c r="AA951" s="10"/>
      <c r="AB951" s="10"/>
      <c r="AC951" s="181"/>
      <c r="AD951" s="144"/>
      <c r="AE951" s="182"/>
      <c r="AF951" s="10"/>
      <c r="AG951" s="10"/>
      <c r="AH951" s="144"/>
      <c r="AI951" s="3"/>
      <c r="AJ951" s="10"/>
      <c r="AK951" s="3"/>
      <c r="AL951" s="5"/>
      <c r="AM951" s="5"/>
      <c r="AN951" s="5"/>
      <c r="AO951" s="5"/>
      <c r="AP951" s="5"/>
      <c r="AQ951" s="5"/>
      <c r="AR951" s="5"/>
      <c r="AS951" s="142"/>
      <c r="AT951" s="142"/>
      <c r="AU951" s="142"/>
      <c r="AV951" s="142"/>
      <c r="AW951" s="142"/>
      <c r="AX951" s="142"/>
      <c r="AY951" s="142"/>
      <c r="AZ951" s="174"/>
      <c r="BA951" s="142"/>
      <c r="BB951" s="142"/>
      <c r="BC951" s="142"/>
      <c r="BD951" s="142"/>
      <c r="BE951" s="142"/>
      <c r="BF951" s="142"/>
      <c r="BG951" s="142"/>
    </row>
    <row r="952">
      <c r="A952" s="5"/>
      <c r="B952" s="44"/>
      <c r="C952" s="150"/>
      <c r="D952" s="3"/>
      <c r="E952" s="3"/>
      <c r="F952" s="5"/>
      <c r="G952" s="5"/>
      <c r="H952" s="5"/>
      <c r="I952" s="3"/>
      <c r="J952" s="3"/>
      <c r="K952" s="3"/>
      <c r="L952" s="44"/>
      <c r="M952" s="150"/>
      <c r="N952" s="5"/>
      <c r="O952" s="5"/>
      <c r="P952" s="10"/>
      <c r="Q952" s="10"/>
      <c r="R952" s="144"/>
      <c r="S952" s="144"/>
      <c r="T952" s="10"/>
      <c r="U952" s="5"/>
      <c r="V952" s="3"/>
      <c r="W952" s="5"/>
      <c r="X952" s="144"/>
      <c r="Y952" s="10"/>
      <c r="Z952" s="3"/>
      <c r="AA952" s="10"/>
      <c r="AB952" s="10"/>
      <c r="AC952" s="181"/>
      <c r="AD952" s="144"/>
      <c r="AE952" s="182"/>
      <c r="AF952" s="10"/>
      <c r="AG952" s="10"/>
      <c r="AH952" s="144"/>
      <c r="AI952" s="3"/>
      <c r="AJ952" s="10"/>
      <c r="AK952" s="3"/>
      <c r="AL952" s="5"/>
      <c r="AM952" s="5"/>
      <c r="AN952" s="5"/>
      <c r="AO952" s="5"/>
      <c r="AP952" s="5"/>
      <c r="AQ952" s="5"/>
      <c r="AR952" s="5"/>
      <c r="AS952" s="142"/>
      <c r="AT952" s="142"/>
      <c r="AU952" s="142"/>
      <c r="AV952" s="142"/>
      <c r="AW952" s="142"/>
      <c r="AX952" s="142"/>
      <c r="AY952" s="142"/>
      <c r="AZ952" s="174"/>
      <c r="BA952" s="142"/>
      <c r="BB952" s="142"/>
      <c r="BC952" s="142"/>
      <c r="BD952" s="142"/>
      <c r="BE952" s="142"/>
      <c r="BF952" s="142"/>
      <c r="BG952" s="142"/>
    </row>
    <row r="953">
      <c r="A953" s="5"/>
      <c r="B953" s="44"/>
      <c r="C953" s="150"/>
      <c r="D953" s="3"/>
      <c r="E953" s="3"/>
      <c r="F953" s="5"/>
      <c r="G953" s="5"/>
      <c r="H953" s="5"/>
      <c r="I953" s="3"/>
      <c r="J953" s="3"/>
      <c r="K953" s="3"/>
      <c r="L953" s="44"/>
      <c r="M953" s="150"/>
      <c r="N953" s="5"/>
      <c r="O953" s="5"/>
      <c r="P953" s="10"/>
      <c r="Q953" s="10"/>
      <c r="R953" s="144"/>
      <c r="S953" s="144"/>
      <c r="T953" s="10"/>
      <c r="U953" s="5"/>
      <c r="V953" s="3"/>
      <c r="W953" s="5"/>
      <c r="X953" s="144"/>
      <c r="Y953" s="10"/>
      <c r="Z953" s="3"/>
      <c r="AA953" s="10"/>
      <c r="AB953" s="10"/>
      <c r="AC953" s="181"/>
      <c r="AD953" s="144"/>
      <c r="AE953" s="182"/>
      <c r="AF953" s="10"/>
      <c r="AG953" s="10"/>
      <c r="AH953" s="144"/>
      <c r="AI953" s="3"/>
      <c r="AJ953" s="10"/>
      <c r="AK953" s="3"/>
      <c r="AL953" s="5"/>
      <c r="AM953" s="5"/>
      <c r="AN953" s="5"/>
      <c r="AO953" s="5"/>
      <c r="AP953" s="5"/>
      <c r="AQ953" s="5"/>
      <c r="AR953" s="5"/>
      <c r="AS953" s="142"/>
      <c r="AT953" s="142"/>
      <c r="AU953" s="142"/>
      <c r="AV953" s="142"/>
      <c r="AW953" s="142"/>
      <c r="AX953" s="142"/>
      <c r="AY953" s="142"/>
      <c r="AZ953" s="174"/>
      <c r="BA953" s="142"/>
      <c r="BB953" s="142"/>
      <c r="BC953" s="142"/>
      <c r="BD953" s="142"/>
      <c r="BE953" s="142"/>
      <c r="BF953" s="142"/>
      <c r="BG953" s="142"/>
    </row>
    <row r="954">
      <c r="A954" s="5"/>
      <c r="B954" s="44"/>
      <c r="C954" s="150"/>
      <c r="D954" s="3"/>
      <c r="E954" s="3"/>
      <c r="F954" s="5"/>
      <c r="G954" s="5"/>
      <c r="H954" s="5"/>
      <c r="I954" s="3"/>
      <c r="J954" s="3"/>
      <c r="K954" s="3"/>
      <c r="L954" s="44"/>
      <c r="M954" s="150"/>
      <c r="N954" s="5"/>
      <c r="O954" s="5"/>
      <c r="P954" s="10"/>
      <c r="Q954" s="10"/>
      <c r="R954" s="144"/>
      <c r="S954" s="144"/>
      <c r="T954" s="10"/>
      <c r="U954" s="5"/>
      <c r="V954" s="3"/>
      <c r="W954" s="5"/>
      <c r="X954" s="144"/>
      <c r="Y954" s="10"/>
      <c r="Z954" s="3"/>
      <c r="AA954" s="10"/>
      <c r="AB954" s="10"/>
      <c r="AC954" s="181"/>
      <c r="AD954" s="144"/>
      <c r="AE954" s="182"/>
      <c r="AF954" s="10"/>
      <c r="AG954" s="10"/>
      <c r="AH954" s="144"/>
      <c r="AI954" s="3"/>
      <c r="AJ954" s="10"/>
      <c r="AK954" s="3"/>
      <c r="AL954" s="5"/>
      <c r="AM954" s="5"/>
      <c r="AN954" s="5"/>
      <c r="AO954" s="5"/>
      <c r="AP954" s="5"/>
      <c r="AQ954" s="5"/>
      <c r="AR954" s="5"/>
      <c r="AS954" s="142"/>
      <c r="AT954" s="142"/>
      <c r="AU954" s="142"/>
      <c r="AV954" s="142"/>
      <c r="AW954" s="142"/>
      <c r="AX954" s="142"/>
      <c r="AY954" s="142"/>
      <c r="AZ954" s="174"/>
      <c r="BA954" s="142"/>
      <c r="BB954" s="142"/>
      <c r="BC954" s="142"/>
      <c r="BD954" s="142"/>
      <c r="BE954" s="142"/>
      <c r="BF954" s="142"/>
      <c r="BG954" s="142"/>
    </row>
    <row r="955">
      <c r="A955" s="5"/>
      <c r="B955" s="44"/>
      <c r="C955" s="150"/>
      <c r="D955" s="3"/>
      <c r="E955" s="3"/>
      <c r="F955" s="5"/>
      <c r="G955" s="5"/>
      <c r="H955" s="5"/>
      <c r="I955" s="3"/>
      <c r="J955" s="3"/>
      <c r="K955" s="3"/>
      <c r="L955" s="44"/>
      <c r="M955" s="150"/>
      <c r="N955" s="5"/>
      <c r="O955" s="5"/>
      <c r="P955" s="10"/>
      <c r="Q955" s="10"/>
      <c r="R955" s="144"/>
      <c r="S955" s="144"/>
      <c r="T955" s="10"/>
      <c r="U955" s="5"/>
      <c r="V955" s="3"/>
      <c r="W955" s="5"/>
      <c r="X955" s="144"/>
      <c r="Y955" s="10"/>
      <c r="Z955" s="3"/>
      <c r="AA955" s="10"/>
      <c r="AB955" s="10"/>
      <c r="AC955" s="181"/>
      <c r="AD955" s="144"/>
      <c r="AE955" s="182"/>
      <c r="AF955" s="10"/>
      <c r="AG955" s="10"/>
      <c r="AH955" s="144"/>
      <c r="AI955" s="3"/>
      <c r="AJ955" s="10"/>
      <c r="AK955" s="3"/>
      <c r="AL955" s="5"/>
      <c r="AM955" s="5"/>
      <c r="AN955" s="5"/>
      <c r="AO955" s="5"/>
      <c r="AP955" s="5"/>
      <c r="AQ955" s="5"/>
      <c r="AR955" s="5"/>
      <c r="AS955" s="142"/>
      <c r="AT955" s="142"/>
      <c r="AU955" s="142"/>
      <c r="AV955" s="142"/>
      <c r="AW955" s="142"/>
      <c r="AX955" s="142"/>
      <c r="AY955" s="142"/>
      <c r="AZ955" s="174"/>
      <c r="BA955" s="142"/>
      <c r="BB955" s="142"/>
      <c r="BC955" s="142"/>
      <c r="BD955" s="142"/>
      <c r="BE955" s="142"/>
      <c r="BF955" s="142"/>
      <c r="BG955" s="142"/>
    </row>
    <row r="956">
      <c r="A956" s="5"/>
      <c r="B956" s="44"/>
      <c r="C956" s="150"/>
      <c r="D956" s="3"/>
      <c r="E956" s="3"/>
      <c r="F956" s="5"/>
      <c r="G956" s="5"/>
      <c r="H956" s="5"/>
      <c r="I956" s="3"/>
      <c r="J956" s="3"/>
      <c r="K956" s="3"/>
      <c r="L956" s="44"/>
      <c r="M956" s="150"/>
      <c r="N956" s="5"/>
      <c r="O956" s="5"/>
      <c r="P956" s="10"/>
      <c r="Q956" s="10"/>
      <c r="R956" s="144"/>
      <c r="S956" s="144"/>
      <c r="T956" s="10"/>
      <c r="U956" s="5"/>
      <c r="V956" s="3"/>
      <c r="W956" s="5"/>
      <c r="X956" s="144"/>
      <c r="Y956" s="10"/>
      <c r="Z956" s="3"/>
      <c r="AA956" s="10"/>
      <c r="AB956" s="10"/>
      <c r="AC956" s="181"/>
      <c r="AD956" s="144"/>
      <c r="AE956" s="182"/>
      <c r="AF956" s="10"/>
      <c r="AG956" s="10"/>
      <c r="AH956" s="144"/>
      <c r="AI956" s="3"/>
      <c r="AJ956" s="10"/>
      <c r="AK956" s="3"/>
      <c r="AL956" s="5"/>
      <c r="AM956" s="5"/>
      <c r="AN956" s="5"/>
      <c r="AO956" s="5"/>
      <c r="AP956" s="5"/>
      <c r="AQ956" s="5"/>
      <c r="AR956" s="5"/>
      <c r="AS956" s="142"/>
      <c r="AT956" s="142"/>
      <c r="AU956" s="142"/>
      <c r="AV956" s="142"/>
      <c r="AW956" s="142"/>
      <c r="AX956" s="142"/>
      <c r="AY956" s="142"/>
      <c r="AZ956" s="174"/>
      <c r="BA956" s="142"/>
      <c r="BB956" s="142"/>
      <c r="BC956" s="142"/>
      <c r="BD956" s="142"/>
      <c r="BE956" s="142"/>
      <c r="BF956" s="142"/>
      <c r="BG956" s="142"/>
    </row>
    <row r="957">
      <c r="A957" s="5"/>
      <c r="B957" s="44"/>
      <c r="C957" s="150"/>
      <c r="D957" s="3"/>
      <c r="E957" s="3"/>
      <c r="F957" s="5"/>
      <c r="G957" s="5"/>
      <c r="H957" s="5"/>
      <c r="I957" s="3"/>
      <c r="J957" s="3"/>
      <c r="K957" s="3"/>
      <c r="L957" s="44"/>
      <c r="M957" s="150"/>
      <c r="N957" s="5"/>
      <c r="O957" s="5"/>
      <c r="P957" s="10"/>
      <c r="Q957" s="10"/>
      <c r="R957" s="144"/>
      <c r="S957" s="144"/>
      <c r="T957" s="10"/>
      <c r="U957" s="5"/>
      <c r="V957" s="3"/>
      <c r="W957" s="5"/>
      <c r="X957" s="144"/>
      <c r="Y957" s="10"/>
      <c r="Z957" s="3"/>
      <c r="AA957" s="10"/>
      <c r="AB957" s="10"/>
      <c r="AC957" s="181"/>
      <c r="AD957" s="144"/>
      <c r="AE957" s="182"/>
      <c r="AF957" s="10"/>
      <c r="AG957" s="10"/>
      <c r="AH957" s="144"/>
      <c r="AI957" s="3"/>
      <c r="AJ957" s="10"/>
      <c r="AK957" s="3"/>
      <c r="AL957" s="5"/>
      <c r="AM957" s="5"/>
      <c r="AN957" s="5"/>
      <c r="AO957" s="5"/>
      <c r="AP957" s="5"/>
      <c r="AQ957" s="5"/>
      <c r="AR957" s="5"/>
      <c r="AS957" s="142"/>
      <c r="AT957" s="142"/>
      <c r="AU957" s="142"/>
      <c r="AV957" s="142"/>
      <c r="AW957" s="142"/>
      <c r="AX957" s="142"/>
      <c r="AY957" s="142"/>
      <c r="AZ957" s="174"/>
      <c r="BA957" s="142"/>
      <c r="BB957" s="142"/>
      <c r="BC957" s="142"/>
      <c r="BD957" s="142"/>
      <c r="BE957" s="142"/>
      <c r="BF957" s="142"/>
      <c r="BG957" s="142"/>
    </row>
    <row r="958">
      <c r="A958" s="5"/>
      <c r="B958" s="44"/>
      <c r="C958" s="150"/>
      <c r="D958" s="3"/>
      <c r="E958" s="3"/>
      <c r="F958" s="5"/>
      <c r="G958" s="5"/>
      <c r="H958" s="5"/>
      <c r="I958" s="3"/>
      <c r="J958" s="3"/>
      <c r="K958" s="3"/>
      <c r="L958" s="44"/>
      <c r="M958" s="150"/>
      <c r="N958" s="5"/>
      <c r="O958" s="5"/>
      <c r="P958" s="10"/>
      <c r="Q958" s="10"/>
      <c r="R958" s="144"/>
      <c r="S958" s="144"/>
      <c r="T958" s="10"/>
      <c r="U958" s="5"/>
      <c r="V958" s="3"/>
      <c r="W958" s="5"/>
      <c r="X958" s="144"/>
      <c r="Y958" s="10"/>
      <c r="Z958" s="3"/>
      <c r="AA958" s="10"/>
      <c r="AB958" s="10"/>
      <c r="AC958" s="181"/>
      <c r="AD958" s="144"/>
      <c r="AE958" s="182"/>
      <c r="AF958" s="10"/>
      <c r="AG958" s="10"/>
      <c r="AH958" s="144"/>
      <c r="AI958" s="3"/>
      <c r="AJ958" s="10"/>
      <c r="AK958" s="3"/>
      <c r="AL958" s="5"/>
      <c r="AM958" s="5"/>
      <c r="AN958" s="5"/>
      <c r="AO958" s="5"/>
      <c r="AP958" s="5"/>
      <c r="AQ958" s="5"/>
      <c r="AR958" s="5"/>
      <c r="AS958" s="142"/>
      <c r="AT958" s="142"/>
      <c r="AU958" s="142"/>
      <c r="AV958" s="142"/>
      <c r="AW958" s="142"/>
      <c r="AX958" s="142"/>
      <c r="AY958" s="142"/>
      <c r="AZ958" s="174"/>
      <c r="BA958" s="142"/>
      <c r="BB958" s="142"/>
      <c r="BC958" s="142"/>
      <c r="BD958" s="142"/>
      <c r="BE958" s="142"/>
      <c r="BF958" s="142"/>
      <c r="BG958" s="142"/>
    </row>
    <row r="959">
      <c r="A959" s="5"/>
      <c r="B959" s="44"/>
      <c r="C959" s="150"/>
      <c r="D959" s="3"/>
      <c r="E959" s="3"/>
      <c r="F959" s="5"/>
      <c r="G959" s="5"/>
      <c r="H959" s="5"/>
      <c r="I959" s="3"/>
      <c r="J959" s="3"/>
      <c r="K959" s="3"/>
      <c r="L959" s="44"/>
      <c r="M959" s="150"/>
      <c r="N959" s="5"/>
      <c r="O959" s="5"/>
      <c r="P959" s="10"/>
      <c r="Q959" s="10"/>
      <c r="R959" s="144"/>
      <c r="S959" s="144"/>
      <c r="T959" s="10"/>
      <c r="U959" s="5"/>
      <c r="V959" s="3"/>
      <c r="W959" s="5"/>
      <c r="X959" s="144"/>
      <c r="Y959" s="10"/>
      <c r="Z959" s="3"/>
      <c r="AA959" s="10"/>
      <c r="AB959" s="10"/>
      <c r="AC959" s="181"/>
      <c r="AD959" s="144"/>
      <c r="AE959" s="182"/>
      <c r="AF959" s="10"/>
      <c r="AG959" s="10"/>
      <c r="AH959" s="144"/>
      <c r="AI959" s="3"/>
      <c r="AJ959" s="10"/>
      <c r="AK959" s="3"/>
      <c r="AL959" s="5"/>
      <c r="AM959" s="5"/>
      <c r="AN959" s="5"/>
      <c r="AO959" s="5"/>
      <c r="AP959" s="5"/>
      <c r="AQ959" s="5"/>
      <c r="AR959" s="5"/>
      <c r="AS959" s="142"/>
      <c r="AT959" s="142"/>
      <c r="AU959" s="142"/>
      <c r="AV959" s="142"/>
      <c r="AW959" s="142"/>
      <c r="AX959" s="142"/>
      <c r="AY959" s="142"/>
      <c r="AZ959" s="174"/>
      <c r="BA959" s="142"/>
      <c r="BB959" s="142"/>
      <c r="BC959" s="142"/>
      <c r="BD959" s="142"/>
      <c r="BE959" s="142"/>
      <c r="BF959" s="142"/>
      <c r="BG959" s="142"/>
    </row>
    <row r="960">
      <c r="A960" s="5"/>
      <c r="B960" s="44"/>
      <c r="C960" s="150"/>
      <c r="D960" s="3"/>
      <c r="E960" s="3"/>
      <c r="F960" s="5"/>
      <c r="G960" s="5"/>
      <c r="H960" s="5"/>
      <c r="I960" s="3"/>
      <c r="J960" s="3"/>
      <c r="K960" s="3"/>
      <c r="L960" s="44"/>
      <c r="M960" s="150"/>
      <c r="N960" s="5"/>
      <c r="O960" s="5"/>
      <c r="P960" s="10"/>
      <c r="Q960" s="10"/>
      <c r="R960" s="144"/>
      <c r="S960" s="144"/>
      <c r="T960" s="10"/>
      <c r="U960" s="5"/>
      <c r="V960" s="3"/>
      <c r="W960" s="5"/>
      <c r="X960" s="144"/>
      <c r="Y960" s="10"/>
      <c r="Z960" s="3"/>
      <c r="AA960" s="10"/>
      <c r="AB960" s="10"/>
      <c r="AC960" s="181"/>
      <c r="AD960" s="144"/>
      <c r="AE960" s="182"/>
      <c r="AF960" s="10"/>
      <c r="AG960" s="10"/>
      <c r="AH960" s="144"/>
      <c r="AI960" s="3"/>
      <c r="AJ960" s="10"/>
      <c r="AK960" s="3"/>
      <c r="AL960" s="5"/>
      <c r="AM960" s="5"/>
      <c r="AN960" s="5"/>
      <c r="AO960" s="5"/>
      <c r="AP960" s="5"/>
      <c r="AQ960" s="5"/>
      <c r="AR960" s="5"/>
      <c r="AS960" s="142"/>
      <c r="AT960" s="142"/>
      <c r="AU960" s="142"/>
      <c r="AV960" s="142"/>
      <c r="AW960" s="142"/>
      <c r="AX960" s="142"/>
      <c r="AY960" s="142"/>
      <c r="AZ960" s="174"/>
      <c r="BA960" s="142"/>
      <c r="BB960" s="142"/>
      <c r="BC960" s="142"/>
      <c r="BD960" s="142"/>
      <c r="BE960" s="142"/>
      <c r="BF960" s="142"/>
      <c r="BG960" s="142"/>
    </row>
    <row r="961">
      <c r="A961" s="5"/>
      <c r="B961" s="44"/>
      <c r="C961" s="150"/>
      <c r="D961" s="3"/>
      <c r="E961" s="3"/>
      <c r="F961" s="5"/>
      <c r="G961" s="5"/>
      <c r="H961" s="5"/>
      <c r="I961" s="3"/>
      <c r="J961" s="3"/>
      <c r="K961" s="3"/>
      <c r="L961" s="44"/>
      <c r="M961" s="150"/>
      <c r="N961" s="5"/>
      <c r="O961" s="5"/>
      <c r="P961" s="10"/>
      <c r="Q961" s="10"/>
      <c r="R961" s="144"/>
      <c r="S961" s="144"/>
      <c r="T961" s="10"/>
      <c r="U961" s="5"/>
      <c r="V961" s="3"/>
      <c r="W961" s="5"/>
      <c r="X961" s="144"/>
      <c r="Y961" s="10"/>
      <c r="Z961" s="3"/>
      <c r="AA961" s="10"/>
      <c r="AB961" s="10"/>
      <c r="AC961" s="181"/>
      <c r="AD961" s="144"/>
      <c r="AE961" s="182"/>
      <c r="AF961" s="10"/>
      <c r="AG961" s="10"/>
      <c r="AH961" s="144"/>
      <c r="AI961" s="3"/>
      <c r="AJ961" s="10"/>
      <c r="AK961" s="3"/>
      <c r="AL961" s="5"/>
      <c r="AM961" s="5"/>
      <c r="AN961" s="5"/>
      <c r="AO961" s="5"/>
      <c r="AP961" s="5"/>
      <c r="AQ961" s="5"/>
      <c r="AR961" s="5"/>
      <c r="AS961" s="142"/>
      <c r="AT961" s="142"/>
      <c r="AU961" s="142"/>
      <c r="AV961" s="142"/>
      <c r="AW961" s="142"/>
      <c r="AX961" s="142"/>
      <c r="AY961" s="142"/>
      <c r="AZ961" s="174"/>
      <c r="BA961" s="142"/>
      <c r="BB961" s="142"/>
      <c r="BC961" s="142"/>
      <c r="BD961" s="142"/>
      <c r="BE961" s="142"/>
      <c r="BF961" s="142"/>
      <c r="BG961" s="142"/>
    </row>
    <row r="962">
      <c r="A962" s="5"/>
      <c r="B962" s="44"/>
      <c r="C962" s="150"/>
      <c r="D962" s="3"/>
      <c r="E962" s="3"/>
      <c r="F962" s="5"/>
      <c r="G962" s="5"/>
      <c r="H962" s="5"/>
      <c r="I962" s="3"/>
      <c r="J962" s="3"/>
      <c r="K962" s="3"/>
      <c r="L962" s="44"/>
      <c r="M962" s="150"/>
      <c r="N962" s="5"/>
      <c r="O962" s="5"/>
      <c r="P962" s="10"/>
      <c r="Q962" s="10"/>
      <c r="R962" s="144"/>
      <c r="S962" s="144"/>
      <c r="T962" s="10"/>
      <c r="U962" s="5"/>
      <c r="V962" s="3"/>
      <c r="W962" s="5"/>
      <c r="X962" s="144"/>
      <c r="Y962" s="10"/>
      <c r="Z962" s="3"/>
      <c r="AA962" s="10"/>
      <c r="AB962" s="10"/>
      <c r="AC962" s="181"/>
      <c r="AD962" s="144"/>
      <c r="AE962" s="182"/>
      <c r="AF962" s="10"/>
      <c r="AG962" s="10"/>
      <c r="AH962" s="144"/>
      <c r="AI962" s="3"/>
      <c r="AJ962" s="10"/>
      <c r="AK962" s="3"/>
      <c r="AL962" s="5"/>
      <c r="AM962" s="5"/>
      <c r="AN962" s="5"/>
      <c r="AO962" s="5"/>
      <c r="AP962" s="5"/>
      <c r="AQ962" s="5"/>
      <c r="AR962" s="5"/>
      <c r="AS962" s="142"/>
      <c r="AT962" s="142"/>
      <c r="AU962" s="142"/>
      <c r="AV962" s="142"/>
      <c r="AW962" s="142"/>
      <c r="AX962" s="142"/>
      <c r="AY962" s="142"/>
      <c r="AZ962" s="174"/>
      <c r="BA962" s="142"/>
      <c r="BB962" s="142"/>
      <c r="BC962" s="142"/>
      <c r="BD962" s="142"/>
      <c r="BE962" s="142"/>
      <c r="BF962" s="142"/>
      <c r="BG962" s="142"/>
    </row>
    <row r="963">
      <c r="A963" s="5"/>
      <c r="B963" s="44"/>
      <c r="C963" s="150"/>
      <c r="D963" s="3"/>
      <c r="E963" s="3"/>
      <c r="F963" s="5"/>
      <c r="G963" s="5"/>
      <c r="H963" s="5"/>
      <c r="I963" s="3"/>
      <c r="J963" s="3"/>
      <c r="K963" s="3"/>
      <c r="L963" s="44"/>
      <c r="M963" s="150"/>
      <c r="N963" s="5"/>
      <c r="O963" s="5"/>
      <c r="P963" s="10"/>
      <c r="Q963" s="10"/>
      <c r="R963" s="144"/>
      <c r="S963" s="144"/>
      <c r="T963" s="10"/>
      <c r="U963" s="5"/>
      <c r="V963" s="3"/>
      <c r="W963" s="5"/>
      <c r="X963" s="144"/>
      <c r="Y963" s="10"/>
      <c r="Z963" s="3"/>
      <c r="AA963" s="10"/>
      <c r="AB963" s="10"/>
      <c r="AC963" s="181"/>
      <c r="AD963" s="144"/>
      <c r="AE963" s="182"/>
      <c r="AF963" s="10"/>
      <c r="AG963" s="10"/>
      <c r="AH963" s="144"/>
      <c r="AI963" s="3"/>
      <c r="AJ963" s="10"/>
      <c r="AK963" s="3"/>
      <c r="AL963" s="5"/>
      <c r="AM963" s="5"/>
      <c r="AN963" s="5"/>
      <c r="AO963" s="5"/>
      <c r="AP963" s="5"/>
      <c r="AQ963" s="5"/>
      <c r="AR963" s="5"/>
      <c r="AS963" s="142"/>
      <c r="AT963" s="142"/>
      <c r="AU963" s="142"/>
      <c r="AV963" s="142"/>
      <c r="AW963" s="142"/>
      <c r="AX963" s="142"/>
      <c r="AY963" s="142"/>
      <c r="AZ963" s="174"/>
      <c r="BA963" s="142"/>
      <c r="BB963" s="142"/>
      <c r="BC963" s="142"/>
      <c r="BD963" s="142"/>
      <c r="BE963" s="142"/>
      <c r="BF963" s="142"/>
      <c r="BG963" s="142"/>
    </row>
    <row r="964">
      <c r="A964" s="5"/>
      <c r="B964" s="44"/>
      <c r="C964" s="150"/>
      <c r="D964" s="3"/>
      <c r="E964" s="3"/>
      <c r="F964" s="5"/>
      <c r="G964" s="5"/>
      <c r="H964" s="5"/>
      <c r="I964" s="3"/>
      <c r="J964" s="3"/>
      <c r="K964" s="3"/>
      <c r="L964" s="44"/>
      <c r="M964" s="150"/>
      <c r="N964" s="5"/>
      <c r="O964" s="5"/>
      <c r="P964" s="10"/>
      <c r="Q964" s="10"/>
      <c r="R964" s="144"/>
      <c r="S964" s="144"/>
      <c r="T964" s="10"/>
      <c r="U964" s="5"/>
      <c r="V964" s="3"/>
      <c r="W964" s="5"/>
      <c r="X964" s="144"/>
      <c r="Y964" s="10"/>
      <c r="Z964" s="3"/>
      <c r="AA964" s="10"/>
      <c r="AB964" s="10"/>
      <c r="AC964" s="181"/>
      <c r="AD964" s="144"/>
      <c r="AE964" s="182"/>
      <c r="AF964" s="10"/>
      <c r="AG964" s="10"/>
      <c r="AH964" s="144"/>
      <c r="AI964" s="3"/>
      <c r="AJ964" s="10"/>
      <c r="AK964" s="3"/>
      <c r="AL964" s="5"/>
      <c r="AM964" s="5"/>
      <c r="AN964" s="5"/>
      <c r="AO964" s="5"/>
      <c r="AP964" s="5"/>
      <c r="AQ964" s="5"/>
      <c r="AR964" s="5"/>
      <c r="AS964" s="142"/>
      <c r="AT964" s="142"/>
      <c r="AU964" s="142"/>
      <c r="AV964" s="142"/>
      <c r="AW964" s="142"/>
      <c r="AX964" s="142"/>
      <c r="AY964" s="142"/>
      <c r="AZ964" s="174"/>
      <c r="BA964" s="142"/>
      <c r="BB964" s="142"/>
      <c r="BC964" s="142"/>
      <c r="BD964" s="142"/>
      <c r="BE964" s="142"/>
      <c r="BF964" s="142"/>
      <c r="BG964" s="142"/>
    </row>
    <row r="965">
      <c r="A965" s="5"/>
      <c r="B965" s="44"/>
      <c r="C965" s="150"/>
      <c r="D965" s="3"/>
      <c r="E965" s="3"/>
      <c r="F965" s="5"/>
      <c r="G965" s="5"/>
      <c r="H965" s="5"/>
      <c r="I965" s="3"/>
      <c r="J965" s="3"/>
      <c r="K965" s="3"/>
      <c r="L965" s="44"/>
      <c r="M965" s="150"/>
      <c r="N965" s="5"/>
      <c r="O965" s="5"/>
      <c r="P965" s="10"/>
      <c r="Q965" s="10"/>
      <c r="R965" s="144"/>
      <c r="S965" s="144"/>
      <c r="T965" s="10"/>
      <c r="U965" s="5"/>
      <c r="V965" s="3"/>
      <c r="W965" s="5"/>
      <c r="X965" s="144"/>
      <c r="Y965" s="10"/>
      <c r="Z965" s="3"/>
      <c r="AA965" s="10"/>
      <c r="AB965" s="10"/>
      <c r="AC965" s="181"/>
      <c r="AD965" s="144"/>
      <c r="AE965" s="182"/>
      <c r="AF965" s="10"/>
      <c r="AG965" s="10"/>
      <c r="AH965" s="144"/>
      <c r="AI965" s="3"/>
      <c r="AJ965" s="10"/>
      <c r="AK965" s="3"/>
      <c r="AL965" s="5"/>
      <c r="AM965" s="5"/>
      <c r="AN965" s="5"/>
      <c r="AO965" s="5"/>
      <c r="AP965" s="5"/>
      <c r="AQ965" s="5"/>
      <c r="AR965" s="5"/>
      <c r="AS965" s="142"/>
      <c r="AT965" s="142"/>
      <c r="AU965" s="142"/>
      <c r="AV965" s="142"/>
      <c r="AW965" s="142"/>
      <c r="AX965" s="142"/>
      <c r="AY965" s="142"/>
      <c r="AZ965" s="174"/>
      <c r="BA965" s="142"/>
      <c r="BB965" s="142"/>
      <c r="BC965" s="142"/>
      <c r="BD965" s="142"/>
      <c r="BE965" s="142"/>
      <c r="BF965" s="142"/>
      <c r="BG965" s="142"/>
    </row>
    <row r="966">
      <c r="A966" s="5"/>
      <c r="B966" s="44"/>
      <c r="C966" s="150"/>
      <c r="D966" s="3"/>
      <c r="E966" s="3"/>
      <c r="F966" s="5"/>
      <c r="G966" s="5"/>
      <c r="H966" s="5"/>
      <c r="I966" s="3"/>
      <c r="J966" s="3"/>
      <c r="K966" s="3"/>
      <c r="L966" s="44"/>
      <c r="M966" s="150"/>
      <c r="N966" s="5"/>
      <c r="O966" s="5"/>
      <c r="P966" s="10"/>
      <c r="Q966" s="10"/>
      <c r="R966" s="144"/>
      <c r="S966" s="144"/>
      <c r="T966" s="10"/>
      <c r="U966" s="5"/>
      <c r="V966" s="3"/>
      <c r="W966" s="5"/>
      <c r="X966" s="144"/>
      <c r="Y966" s="10"/>
      <c r="Z966" s="3"/>
      <c r="AA966" s="10"/>
      <c r="AB966" s="10"/>
      <c r="AC966" s="181"/>
      <c r="AD966" s="144"/>
      <c r="AE966" s="182"/>
      <c r="AF966" s="10"/>
      <c r="AG966" s="10"/>
      <c r="AH966" s="144"/>
      <c r="AI966" s="3"/>
      <c r="AJ966" s="10"/>
      <c r="AK966" s="3"/>
      <c r="AL966" s="5"/>
      <c r="AM966" s="5"/>
      <c r="AN966" s="5"/>
      <c r="AO966" s="5"/>
      <c r="AP966" s="5"/>
      <c r="AQ966" s="5"/>
      <c r="AR966" s="5"/>
      <c r="AS966" s="142"/>
      <c r="AT966" s="142"/>
      <c r="AU966" s="142"/>
      <c r="AV966" s="142"/>
      <c r="AW966" s="142"/>
      <c r="AX966" s="142"/>
      <c r="AY966" s="142"/>
      <c r="AZ966" s="174"/>
      <c r="BA966" s="142"/>
      <c r="BB966" s="142"/>
      <c r="BC966" s="142"/>
      <c r="BD966" s="142"/>
      <c r="BE966" s="142"/>
      <c r="BF966" s="142"/>
      <c r="BG966" s="142"/>
    </row>
    <row r="967">
      <c r="A967" s="5"/>
      <c r="B967" s="44"/>
      <c r="C967" s="150"/>
      <c r="D967" s="3"/>
      <c r="E967" s="3"/>
      <c r="F967" s="5"/>
      <c r="G967" s="5"/>
      <c r="H967" s="5"/>
      <c r="I967" s="3"/>
      <c r="J967" s="3"/>
      <c r="K967" s="3"/>
      <c r="L967" s="44"/>
      <c r="M967" s="150"/>
      <c r="N967" s="5"/>
      <c r="O967" s="5"/>
      <c r="P967" s="10"/>
      <c r="Q967" s="10"/>
      <c r="R967" s="144"/>
      <c r="S967" s="144"/>
      <c r="T967" s="10"/>
      <c r="U967" s="5"/>
      <c r="V967" s="3"/>
      <c r="W967" s="5"/>
      <c r="X967" s="144"/>
      <c r="Y967" s="10"/>
      <c r="Z967" s="3"/>
      <c r="AA967" s="10"/>
      <c r="AB967" s="10"/>
      <c r="AC967" s="181"/>
      <c r="AD967" s="144"/>
      <c r="AE967" s="182"/>
      <c r="AF967" s="10"/>
      <c r="AG967" s="10"/>
      <c r="AH967" s="144"/>
      <c r="AI967" s="3"/>
      <c r="AJ967" s="10"/>
      <c r="AK967" s="3"/>
      <c r="AL967" s="5"/>
      <c r="AM967" s="5"/>
      <c r="AN967" s="5"/>
      <c r="AO967" s="5"/>
      <c r="AP967" s="5"/>
      <c r="AQ967" s="5"/>
      <c r="AR967" s="5"/>
      <c r="AS967" s="142"/>
      <c r="AT967" s="142"/>
      <c r="AU967" s="142"/>
      <c r="AV967" s="142"/>
      <c r="AW967" s="142"/>
      <c r="AX967" s="142"/>
      <c r="AY967" s="142"/>
      <c r="AZ967" s="174"/>
      <c r="BA967" s="142"/>
      <c r="BB967" s="142"/>
      <c r="BC967" s="142"/>
      <c r="BD967" s="142"/>
      <c r="BE967" s="142"/>
      <c r="BF967" s="142"/>
      <c r="BG967" s="142"/>
    </row>
    <row r="968">
      <c r="A968" s="5"/>
      <c r="B968" s="44"/>
      <c r="C968" s="150"/>
      <c r="D968" s="3"/>
      <c r="E968" s="3"/>
      <c r="F968" s="5"/>
      <c r="G968" s="5"/>
      <c r="H968" s="5"/>
      <c r="I968" s="3"/>
      <c r="J968" s="3"/>
      <c r="K968" s="3"/>
      <c r="L968" s="44"/>
      <c r="M968" s="150"/>
      <c r="N968" s="5"/>
      <c r="O968" s="5"/>
      <c r="P968" s="10"/>
      <c r="Q968" s="10"/>
      <c r="R968" s="144"/>
      <c r="S968" s="144"/>
      <c r="T968" s="10"/>
      <c r="U968" s="5"/>
      <c r="V968" s="3"/>
      <c r="W968" s="5"/>
      <c r="X968" s="144"/>
      <c r="Y968" s="10"/>
      <c r="Z968" s="3"/>
      <c r="AA968" s="10"/>
      <c r="AB968" s="10"/>
      <c r="AC968" s="181"/>
      <c r="AD968" s="144"/>
      <c r="AE968" s="182"/>
      <c r="AF968" s="10"/>
      <c r="AG968" s="10"/>
      <c r="AH968" s="144"/>
      <c r="AI968" s="3"/>
      <c r="AJ968" s="10"/>
      <c r="AK968" s="3"/>
      <c r="AL968" s="5"/>
      <c r="AM968" s="5"/>
      <c r="AN968" s="5"/>
      <c r="AO968" s="5"/>
      <c r="AP968" s="5"/>
      <c r="AQ968" s="5"/>
      <c r="AR968" s="5"/>
      <c r="AS968" s="142"/>
      <c r="AT968" s="142"/>
      <c r="AU968" s="142"/>
      <c r="AV968" s="142"/>
      <c r="AW968" s="142"/>
      <c r="AX968" s="142"/>
      <c r="AY968" s="142"/>
      <c r="AZ968" s="174"/>
      <c r="BA968" s="142"/>
      <c r="BB968" s="142"/>
      <c r="BC968" s="142"/>
      <c r="BD968" s="142"/>
      <c r="BE968" s="142"/>
      <c r="BF968" s="142"/>
      <c r="BG968" s="142"/>
    </row>
    <row r="969">
      <c r="A969" s="5"/>
      <c r="B969" s="44"/>
      <c r="C969" s="150"/>
      <c r="D969" s="3"/>
      <c r="E969" s="3"/>
      <c r="F969" s="5"/>
      <c r="G969" s="5"/>
      <c r="H969" s="5"/>
      <c r="I969" s="3"/>
      <c r="J969" s="3"/>
      <c r="K969" s="3"/>
      <c r="L969" s="44"/>
      <c r="M969" s="150"/>
      <c r="N969" s="5"/>
      <c r="O969" s="5"/>
      <c r="P969" s="10"/>
      <c r="Q969" s="10"/>
      <c r="R969" s="144"/>
      <c r="S969" s="144"/>
      <c r="T969" s="10"/>
      <c r="U969" s="5"/>
      <c r="V969" s="3"/>
      <c r="W969" s="5"/>
      <c r="X969" s="144"/>
      <c r="Y969" s="10"/>
      <c r="Z969" s="3"/>
      <c r="AA969" s="10"/>
      <c r="AB969" s="10"/>
      <c r="AC969" s="181"/>
      <c r="AD969" s="144"/>
      <c r="AE969" s="182"/>
      <c r="AF969" s="10"/>
      <c r="AG969" s="10"/>
      <c r="AH969" s="144"/>
      <c r="AI969" s="3"/>
      <c r="AJ969" s="10"/>
      <c r="AK969" s="3"/>
      <c r="AL969" s="5"/>
      <c r="AM969" s="5"/>
      <c r="AN969" s="5"/>
      <c r="AO969" s="5"/>
      <c r="AP969" s="5"/>
      <c r="AQ969" s="5"/>
      <c r="AR969" s="5"/>
      <c r="AS969" s="142"/>
      <c r="AT969" s="142"/>
      <c r="AU969" s="142"/>
      <c r="AV969" s="142"/>
      <c r="AW969" s="142"/>
      <c r="AX969" s="142"/>
      <c r="AY969" s="142"/>
      <c r="AZ969" s="174"/>
      <c r="BA969" s="142"/>
      <c r="BB969" s="142"/>
      <c r="BC969" s="142"/>
      <c r="BD969" s="142"/>
      <c r="BE969" s="142"/>
      <c r="BF969" s="142"/>
      <c r="BG969" s="142"/>
    </row>
    <row r="970">
      <c r="A970" s="5"/>
      <c r="B970" s="44"/>
      <c r="C970" s="150"/>
      <c r="D970" s="3"/>
      <c r="E970" s="3"/>
      <c r="F970" s="5"/>
      <c r="G970" s="5"/>
      <c r="H970" s="5"/>
      <c r="I970" s="3"/>
      <c r="J970" s="3"/>
      <c r="K970" s="3"/>
      <c r="L970" s="44"/>
      <c r="M970" s="150"/>
      <c r="N970" s="5"/>
      <c r="O970" s="5"/>
      <c r="P970" s="10"/>
      <c r="Q970" s="10"/>
      <c r="R970" s="144"/>
      <c r="S970" s="144"/>
      <c r="T970" s="10"/>
      <c r="U970" s="5"/>
      <c r="V970" s="3"/>
      <c r="W970" s="5"/>
      <c r="X970" s="144"/>
      <c r="Y970" s="10"/>
      <c r="Z970" s="3"/>
      <c r="AA970" s="10"/>
      <c r="AB970" s="10"/>
      <c r="AC970" s="181"/>
      <c r="AD970" s="144"/>
      <c r="AE970" s="182"/>
      <c r="AF970" s="10"/>
      <c r="AG970" s="10"/>
      <c r="AH970" s="144"/>
      <c r="AI970" s="3"/>
      <c r="AJ970" s="10"/>
      <c r="AK970" s="3"/>
      <c r="AL970" s="5"/>
      <c r="AM970" s="5"/>
      <c r="AN970" s="5"/>
      <c r="AO970" s="5"/>
      <c r="AP970" s="5"/>
      <c r="AQ970" s="5"/>
      <c r="AR970" s="5"/>
      <c r="AS970" s="142"/>
      <c r="AT970" s="142"/>
      <c r="AU970" s="142"/>
      <c r="AV970" s="142"/>
      <c r="AW970" s="142"/>
      <c r="AX970" s="142"/>
      <c r="AY970" s="142"/>
      <c r="AZ970" s="174"/>
      <c r="BA970" s="142"/>
      <c r="BB970" s="142"/>
      <c r="BC970" s="142"/>
      <c r="BD970" s="142"/>
      <c r="BE970" s="142"/>
      <c r="BF970" s="142"/>
      <c r="BG970" s="142"/>
    </row>
    <row r="971">
      <c r="A971" s="5"/>
      <c r="B971" s="44"/>
      <c r="C971" s="150"/>
      <c r="D971" s="3"/>
      <c r="E971" s="3"/>
      <c r="F971" s="5"/>
      <c r="G971" s="5"/>
      <c r="H971" s="5"/>
      <c r="I971" s="3"/>
      <c r="J971" s="3"/>
      <c r="K971" s="3"/>
      <c r="L971" s="44"/>
      <c r="M971" s="150"/>
      <c r="N971" s="5"/>
      <c r="O971" s="5"/>
      <c r="P971" s="10"/>
      <c r="Q971" s="10"/>
      <c r="R971" s="144"/>
      <c r="S971" s="144"/>
      <c r="T971" s="10"/>
      <c r="U971" s="5"/>
      <c r="V971" s="3"/>
      <c r="W971" s="5"/>
      <c r="X971" s="144"/>
      <c r="Y971" s="10"/>
      <c r="Z971" s="3"/>
      <c r="AA971" s="10"/>
      <c r="AB971" s="10"/>
      <c r="AC971" s="181"/>
      <c r="AD971" s="144"/>
      <c r="AE971" s="182"/>
      <c r="AF971" s="10"/>
      <c r="AG971" s="10"/>
      <c r="AH971" s="144"/>
      <c r="AI971" s="3"/>
      <c r="AJ971" s="10"/>
      <c r="AK971" s="3"/>
      <c r="AL971" s="5"/>
      <c r="AM971" s="5"/>
      <c r="AN971" s="5"/>
      <c r="AO971" s="5"/>
      <c r="AP971" s="5"/>
      <c r="AQ971" s="5"/>
      <c r="AR971" s="5"/>
      <c r="AS971" s="142"/>
      <c r="AT971" s="142"/>
      <c r="AU971" s="142"/>
      <c r="AV971" s="142"/>
      <c r="AW971" s="142"/>
      <c r="AX971" s="142"/>
      <c r="AY971" s="142"/>
      <c r="AZ971" s="174"/>
      <c r="BA971" s="142"/>
      <c r="BB971" s="142"/>
      <c r="BC971" s="142"/>
      <c r="BD971" s="142"/>
      <c r="BE971" s="142"/>
      <c r="BF971" s="142"/>
      <c r="BG971" s="142"/>
    </row>
    <row r="972">
      <c r="A972" s="5"/>
      <c r="B972" s="44"/>
      <c r="C972" s="150"/>
      <c r="D972" s="3"/>
      <c r="E972" s="3"/>
      <c r="F972" s="5"/>
      <c r="G972" s="5"/>
      <c r="H972" s="5"/>
      <c r="I972" s="3"/>
      <c r="J972" s="3"/>
      <c r="K972" s="3"/>
      <c r="L972" s="44"/>
      <c r="M972" s="150"/>
      <c r="N972" s="5"/>
      <c r="O972" s="5"/>
      <c r="P972" s="10"/>
      <c r="Q972" s="10"/>
      <c r="R972" s="144"/>
      <c r="S972" s="144"/>
      <c r="T972" s="10"/>
      <c r="U972" s="5"/>
      <c r="V972" s="3"/>
      <c r="W972" s="5"/>
      <c r="X972" s="144"/>
      <c r="Y972" s="10"/>
      <c r="Z972" s="3"/>
      <c r="AA972" s="10"/>
      <c r="AB972" s="10"/>
      <c r="AC972" s="181"/>
      <c r="AD972" s="144"/>
      <c r="AE972" s="182"/>
      <c r="AF972" s="10"/>
      <c r="AG972" s="10"/>
      <c r="AH972" s="144"/>
      <c r="AI972" s="3"/>
      <c r="AJ972" s="10"/>
      <c r="AK972" s="3"/>
      <c r="AL972" s="5"/>
      <c r="AM972" s="5"/>
      <c r="AN972" s="5"/>
      <c r="AO972" s="5"/>
      <c r="AP972" s="5"/>
      <c r="AQ972" s="5"/>
      <c r="AR972" s="5"/>
      <c r="AS972" s="142"/>
      <c r="AT972" s="142"/>
      <c r="AU972" s="142"/>
      <c r="AV972" s="142"/>
      <c r="AW972" s="142"/>
      <c r="AX972" s="142"/>
      <c r="AY972" s="142"/>
      <c r="AZ972" s="174"/>
      <c r="BA972" s="142"/>
      <c r="BB972" s="142"/>
      <c r="BC972" s="142"/>
      <c r="BD972" s="142"/>
      <c r="BE972" s="142"/>
      <c r="BF972" s="142"/>
      <c r="BG972" s="142"/>
    </row>
    <row r="973">
      <c r="A973" s="5"/>
      <c r="B973" s="44"/>
      <c r="C973" s="150"/>
      <c r="D973" s="3"/>
      <c r="E973" s="3"/>
      <c r="F973" s="5"/>
      <c r="G973" s="5"/>
      <c r="H973" s="5"/>
      <c r="I973" s="3"/>
      <c r="J973" s="3"/>
      <c r="K973" s="3"/>
      <c r="L973" s="44"/>
      <c r="M973" s="150"/>
      <c r="N973" s="5"/>
      <c r="O973" s="5"/>
      <c r="P973" s="10"/>
      <c r="Q973" s="10"/>
      <c r="R973" s="144"/>
      <c r="S973" s="144"/>
      <c r="T973" s="10"/>
      <c r="U973" s="5"/>
      <c r="V973" s="3"/>
      <c r="W973" s="5"/>
      <c r="X973" s="144"/>
      <c r="Y973" s="10"/>
      <c r="Z973" s="3"/>
      <c r="AA973" s="10"/>
      <c r="AB973" s="10"/>
      <c r="AC973" s="181"/>
      <c r="AD973" s="144"/>
      <c r="AE973" s="182"/>
      <c r="AF973" s="10"/>
      <c r="AG973" s="10"/>
      <c r="AH973" s="144"/>
      <c r="AI973" s="3"/>
      <c r="AJ973" s="10"/>
      <c r="AK973" s="3"/>
      <c r="AL973" s="5"/>
      <c r="AM973" s="5"/>
      <c r="AN973" s="5"/>
      <c r="AO973" s="5"/>
      <c r="AP973" s="5"/>
      <c r="AQ973" s="5"/>
      <c r="AR973" s="5"/>
      <c r="AS973" s="142"/>
      <c r="AT973" s="142"/>
      <c r="AU973" s="142"/>
      <c r="AV973" s="142"/>
      <c r="AW973" s="142"/>
      <c r="AX973" s="142"/>
      <c r="AY973" s="142"/>
      <c r="AZ973" s="174"/>
      <c r="BA973" s="142"/>
      <c r="BB973" s="142"/>
      <c r="BC973" s="142"/>
      <c r="BD973" s="142"/>
      <c r="BE973" s="142"/>
      <c r="BF973" s="142"/>
      <c r="BG973" s="142"/>
    </row>
    <row r="974">
      <c r="A974" s="5"/>
      <c r="B974" s="44"/>
      <c r="C974" s="150"/>
      <c r="D974" s="3"/>
      <c r="E974" s="3"/>
      <c r="F974" s="5"/>
      <c r="G974" s="5"/>
      <c r="H974" s="5"/>
      <c r="I974" s="3"/>
      <c r="J974" s="3"/>
      <c r="K974" s="3"/>
      <c r="L974" s="44"/>
      <c r="M974" s="150"/>
      <c r="N974" s="5"/>
      <c r="O974" s="5"/>
      <c r="P974" s="10"/>
      <c r="Q974" s="10"/>
      <c r="R974" s="144"/>
      <c r="S974" s="144"/>
      <c r="T974" s="10"/>
      <c r="U974" s="5"/>
      <c r="V974" s="3"/>
      <c r="W974" s="5"/>
      <c r="X974" s="144"/>
      <c r="Y974" s="10"/>
      <c r="Z974" s="3"/>
      <c r="AA974" s="10"/>
      <c r="AB974" s="10"/>
      <c r="AC974" s="181"/>
      <c r="AD974" s="144"/>
      <c r="AE974" s="182"/>
      <c r="AF974" s="10"/>
      <c r="AG974" s="10"/>
      <c r="AH974" s="144"/>
      <c r="AI974" s="3"/>
      <c r="AJ974" s="10"/>
      <c r="AK974" s="3"/>
      <c r="AL974" s="5"/>
      <c r="AM974" s="5"/>
      <c r="AN974" s="5"/>
      <c r="AO974" s="5"/>
      <c r="AP974" s="5"/>
      <c r="AQ974" s="5"/>
      <c r="AR974" s="5"/>
      <c r="AS974" s="142"/>
      <c r="AT974" s="142"/>
      <c r="AU974" s="142"/>
      <c r="AV974" s="142"/>
      <c r="AW974" s="142"/>
      <c r="AX974" s="142"/>
      <c r="AY974" s="142"/>
      <c r="AZ974" s="174"/>
      <c r="BA974" s="142"/>
      <c r="BB974" s="142"/>
      <c r="BC974" s="142"/>
      <c r="BD974" s="142"/>
      <c r="BE974" s="142"/>
      <c r="BF974" s="142"/>
      <c r="BG974" s="142"/>
    </row>
    <row r="975">
      <c r="A975" s="5"/>
      <c r="B975" s="44"/>
      <c r="C975" s="150"/>
      <c r="D975" s="3"/>
      <c r="E975" s="3"/>
      <c r="F975" s="5"/>
      <c r="G975" s="5"/>
      <c r="H975" s="5"/>
      <c r="I975" s="3"/>
      <c r="J975" s="3"/>
      <c r="K975" s="3"/>
      <c r="L975" s="44"/>
      <c r="M975" s="150"/>
      <c r="N975" s="5"/>
      <c r="O975" s="5"/>
      <c r="P975" s="10"/>
      <c r="Q975" s="10"/>
      <c r="R975" s="144"/>
      <c r="S975" s="144"/>
      <c r="T975" s="10"/>
      <c r="U975" s="5"/>
      <c r="V975" s="3"/>
      <c r="W975" s="5"/>
      <c r="X975" s="144"/>
      <c r="Y975" s="10"/>
      <c r="Z975" s="3"/>
      <c r="AA975" s="10"/>
      <c r="AB975" s="10"/>
      <c r="AC975" s="181"/>
      <c r="AD975" s="144"/>
      <c r="AE975" s="182"/>
      <c r="AF975" s="10"/>
      <c r="AG975" s="10"/>
      <c r="AH975" s="144"/>
      <c r="AI975" s="3"/>
      <c r="AJ975" s="10"/>
      <c r="AK975" s="3"/>
      <c r="AL975" s="5"/>
      <c r="AM975" s="5"/>
      <c r="AN975" s="5"/>
      <c r="AO975" s="5"/>
      <c r="AP975" s="5"/>
      <c r="AQ975" s="5"/>
      <c r="AR975" s="5"/>
      <c r="AS975" s="142"/>
      <c r="AT975" s="142"/>
      <c r="AU975" s="142"/>
      <c r="AV975" s="142"/>
      <c r="AW975" s="142"/>
      <c r="AX975" s="142"/>
      <c r="AY975" s="142"/>
      <c r="AZ975" s="174"/>
      <c r="BA975" s="142"/>
      <c r="BB975" s="142"/>
      <c r="BC975" s="142"/>
      <c r="BD975" s="142"/>
      <c r="BE975" s="142"/>
      <c r="BF975" s="142"/>
      <c r="BG975" s="142"/>
    </row>
    <row r="976">
      <c r="A976" s="5"/>
      <c r="B976" s="44"/>
      <c r="C976" s="150"/>
      <c r="D976" s="3"/>
      <c r="E976" s="3"/>
      <c r="F976" s="5"/>
      <c r="G976" s="5"/>
      <c r="H976" s="5"/>
      <c r="I976" s="3"/>
      <c r="J976" s="3"/>
      <c r="K976" s="3"/>
      <c r="L976" s="44"/>
      <c r="M976" s="150"/>
      <c r="N976" s="5"/>
      <c r="O976" s="5"/>
      <c r="P976" s="10"/>
      <c r="Q976" s="10"/>
      <c r="R976" s="144"/>
      <c r="S976" s="144"/>
      <c r="T976" s="10"/>
      <c r="U976" s="5"/>
      <c r="V976" s="3"/>
      <c r="W976" s="5"/>
      <c r="X976" s="144"/>
      <c r="Y976" s="10"/>
      <c r="Z976" s="3"/>
      <c r="AA976" s="10"/>
      <c r="AB976" s="10"/>
      <c r="AC976" s="181"/>
      <c r="AD976" s="144"/>
      <c r="AE976" s="182"/>
      <c r="AF976" s="10"/>
      <c r="AG976" s="10"/>
      <c r="AH976" s="144"/>
      <c r="AI976" s="3"/>
      <c r="AJ976" s="10"/>
      <c r="AK976" s="3"/>
      <c r="AL976" s="5"/>
      <c r="AM976" s="5"/>
      <c r="AN976" s="5"/>
      <c r="AO976" s="5"/>
      <c r="AP976" s="5"/>
      <c r="AQ976" s="5"/>
      <c r="AR976" s="5"/>
      <c r="AS976" s="142"/>
      <c r="AT976" s="142"/>
      <c r="AU976" s="142"/>
      <c r="AV976" s="142"/>
      <c r="AW976" s="142"/>
      <c r="AX976" s="142"/>
      <c r="AY976" s="142"/>
      <c r="AZ976" s="174"/>
      <c r="BA976" s="142"/>
      <c r="BB976" s="142"/>
      <c r="BC976" s="142"/>
      <c r="BD976" s="142"/>
      <c r="BE976" s="142"/>
      <c r="BF976" s="142"/>
      <c r="BG976" s="142"/>
    </row>
    <row r="977">
      <c r="A977" s="5"/>
      <c r="B977" s="44"/>
      <c r="C977" s="150"/>
      <c r="D977" s="3"/>
      <c r="E977" s="3"/>
      <c r="F977" s="5"/>
      <c r="G977" s="5"/>
      <c r="H977" s="5"/>
      <c r="I977" s="3"/>
      <c r="J977" s="3"/>
      <c r="K977" s="3"/>
      <c r="L977" s="44"/>
      <c r="M977" s="150"/>
      <c r="N977" s="5"/>
      <c r="O977" s="5"/>
      <c r="P977" s="10"/>
      <c r="Q977" s="10"/>
      <c r="R977" s="144"/>
      <c r="S977" s="144"/>
      <c r="T977" s="10"/>
      <c r="U977" s="5"/>
      <c r="V977" s="3"/>
      <c r="W977" s="5"/>
      <c r="X977" s="144"/>
      <c r="Y977" s="10"/>
      <c r="Z977" s="3"/>
      <c r="AA977" s="10"/>
      <c r="AB977" s="10"/>
      <c r="AC977" s="181"/>
      <c r="AD977" s="144"/>
      <c r="AE977" s="182"/>
      <c r="AF977" s="10"/>
      <c r="AG977" s="10"/>
      <c r="AH977" s="144"/>
      <c r="AI977" s="3"/>
      <c r="AJ977" s="10"/>
      <c r="AK977" s="3"/>
      <c r="AL977" s="5"/>
      <c r="AM977" s="5"/>
      <c r="AN977" s="5"/>
      <c r="AO977" s="5"/>
      <c r="AP977" s="5"/>
      <c r="AQ977" s="5"/>
      <c r="AR977" s="5"/>
      <c r="AS977" s="142"/>
      <c r="AT977" s="142"/>
      <c r="AU977" s="142"/>
      <c r="AV977" s="142"/>
      <c r="AW977" s="142"/>
      <c r="AX977" s="142"/>
      <c r="AY977" s="142"/>
      <c r="AZ977" s="174"/>
      <c r="BA977" s="142"/>
      <c r="BB977" s="142"/>
      <c r="BC977" s="142"/>
      <c r="BD977" s="142"/>
      <c r="BE977" s="142"/>
      <c r="BF977" s="142"/>
      <c r="BG977" s="142"/>
    </row>
    <row r="978">
      <c r="A978" s="5"/>
      <c r="B978" s="44"/>
      <c r="C978" s="150"/>
      <c r="D978" s="3"/>
      <c r="E978" s="3"/>
      <c r="F978" s="5"/>
      <c r="G978" s="5"/>
      <c r="H978" s="5"/>
      <c r="I978" s="3"/>
      <c r="J978" s="3"/>
      <c r="K978" s="3"/>
      <c r="L978" s="44"/>
      <c r="M978" s="150"/>
      <c r="N978" s="5"/>
      <c r="O978" s="5"/>
      <c r="P978" s="10"/>
      <c r="Q978" s="10"/>
      <c r="R978" s="144"/>
      <c r="S978" s="144"/>
      <c r="T978" s="10"/>
      <c r="U978" s="5"/>
      <c r="V978" s="3"/>
      <c r="W978" s="5"/>
      <c r="X978" s="144"/>
      <c r="Y978" s="10"/>
      <c r="Z978" s="3"/>
      <c r="AA978" s="10"/>
      <c r="AB978" s="10"/>
      <c r="AC978" s="181"/>
      <c r="AD978" s="144"/>
      <c r="AE978" s="182"/>
      <c r="AF978" s="10"/>
      <c r="AG978" s="10"/>
      <c r="AH978" s="144"/>
      <c r="AI978" s="3"/>
      <c r="AJ978" s="10"/>
      <c r="AK978" s="3"/>
      <c r="AL978" s="5"/>
      <c r="AM978" s="5"/>
      <c r="AN978" s="5"/>
      <c r="AO978" s="5"/>
      <c r="AP978" s="5"/>
      <c r="AQ978" s="5"/>
      <c r="AR978" s="5"/>
      <c r="AS978" s="142"/>
      <c r="AT978" s="142"/>
      <c r="AU978" s="142"/>
      <c r="AV978" s="142"/>
      <c r="AW978" s="142"/>
      <c r="AX978" s="142"/>
      <c r="AY978" s="142"/>
      <c r="AZ978" s="174"/>
      <c r="BA978" s="142"/>
      <c r="BB978" s="142"/>
      <c r="BC978" s="142"/>
      <c r="BD978" s="142"/>
      <c r="BE978" s="142"/>
      <c r="BF978" s="142"/>
      <c r="BG978" s="142"/>
    </row>
    <row r="979">
      <c r="A979" s="5"/>
      <c r="B979" s="44"/>
      <c r="C979" s="150"/>
      <c r="D979" s="3"/>
      <c r="E979" s="3"/>
      <c r="F979" s="5"/>
      <c r="G979" s="5"/>
      <c r="H979" s="5"/>
      <c r="I979" s="3"/>
      <c r="J979" s="3"/>
      <c r="K979" s="3"/>
      <c r="L979" s="44"/>
      <c r="M979" s="150"/>
      <c r="N979" s="5"/>
      <c r="O979" s="5"/>
      <c r="P979" s="10"/>
      <c r="Q979" s="10"/>
      <c r="R979" s="144"/>
      <c r="S979" s="144"/>
      <c r="T979" s="10"/>
      <c r="U979" s="5"/>
      <c r="V979" s="3"/>
      <c r="W979" s="5"/>
      <c r="X979" s="144"/>
      <c r="Y979" s="10"/>
      <c r="Z979" s="3"/>
      <c r="AA979" s="10"/>
      <c r="AB979" s="10"/>
      <c r="AC979" s="181"/>
      <c r="AD979" s="144"/>
      <c r="AE979" s="182"/>
      <c r="AF979" s="10"/>
      <c r="AG979" s="10"/>
      <c r="AH979" s="144"/>
      <c r="AI979" s="3"/>
      <c r="AJ979" s="10"/>
      <c r="AK979" s="3"/>
      <c r="AL979" s="5"/>
      <c r="AM979" s="5"/>
      <c r="AN979" s="5"/>
      <c r="AO979" s="5"/>
      <c r="AP979" s="5"/>
      <c r="AQ979" s="5"/>
      <c r="AR979" s="5"/>
      <c r="AS979" s="142"/>
      <c r="AT979" s="142"/>
      <c r="AU979" s="142"/>
      <c r="AV979" s="142"/>
      <c r="AW979" s="142"/>
      <c r="AX979" s="142"/>
      <c r="AY979" s="142"/>
      <c r="AZ979" s="174"/>
      <c r="BA979" s="142"/>
      <c r="BB979" s="142"/>
      <c r="BC979" s="142"/>
      <c r="BD979" s="142"/>
      <c r="BE979" s="142"/>
      <c r="BF979" s="142"/>
      <c r="BG979" s="142"/>
    </row>
    <row r="980">
      <c r="A980" s="5"/>
      <c r="B980" s="44"/>
      <c r="C980" s="150"/>
      <c r="D980" s="3"/>
      <c r="E980" s="3"/>
      <c r="F980" s="5"/>
      <c r="G980" s="5"/>
      <c r="H980" s="5"/>
      <c r="I980" s="3"/>
      <c r="J980" s="3"/>
      <c r="K980" s="3"/>
      <c r="L980" s="44"/>
      <c r="M980" s="150"/>
      <c r="N980" s="5"/>
      <c r="O980" s="5"/>
      <c r="P980" s="10"/>
      <c r="Q980" s="10"/>
      <c r="R980" s="144"/>
      <c r="S980" s="144"/>
      <c r="T980" s="10"/>
      <c r="U980" s="5"/>
      <c r="V980" s="3"/>
      <c r="W980" s="5"/>
      <c r="X980" s="144"/>
      <c r="Y980" s="10"/>
      <c r="Z980" s="3"/>
      <c r="AA980" s="10"/>
      <c r="AB980" s="10"/>
      <c r="AC980" s="181"/>
      <c r="AD980" s="144"/>
      <c r="AE980" s="182"/>
      <c r="AF980" s="10"/>
      <c r="AG980" s="10"/>
      <c r="AH980" s="144"/>
      <c r="AI980" s="3"/>
      <c r="AJ980" s="10"/>
      <c r="AK980" s="3"/>
      <c r="AL980" s="5"/>
      <c r="AM980" s="5"/>
      <c r="AN980" s="5"/>
      <c r="AO980" s="5"/>
      <c r="AP980" s="5"/>
      <c r="AQ980" s="5"/>
      <c r="AR980" s="5"/>
      <c r="AS980" s="142"/>
      <c r="AT980" s="142"/>
      <c r="AU980" s="142"/>
      <c r="AV980" s="142"/>
      <c r="AW980" s="142"/>
      <c r="AX980" s="142"/>
      <c r="AY980" s="142"/>
      <c r="AZ980" s="174"/>
      <c r="BA980" s="142"/>
      <c r="BB980" s="142"/>
      <c r="BC980" s="142"/>
      <c r="BD980" s="142"/>
      <c r="BE980" s="142"/>
      <c r="BF980" s="142"/>
      <c r="BG980" s="142"/>
    </row>
    <row r="981">
      <c r="A981" s="5"/>
      <c r="B981" s="44"/>
      <c r="C981" s="150"/>
      <c r="D981" s="3"/>
      <c r="E981" s="3"/>
      <c r="F981" s="5"/>
      <c r="G981" s="5"/>
      <c r="H981" s="5"/>
      <c r="I981" s="3"/>
      <c r="J981" s="3"/>
      <c r="K981" s="3"/>
      <c r="L981" s="44"/>
      <c r="M981" s="150"/>
      <c r="N981" s="5"/>
      <c r="O981" s="5"/>
      <c r="P981" s="10"/>
      <c r="Q981" s="10"/>
      <c r="R981" s="144"/>
      <c r="S981" s="144"/>
      <c r="T981" s="10"/>
      <c r="U981" s="5"/>
      <c r="V981" s="3"/>
      <c r="W981" s="5"/>
      <c r="X981" s="144"/>
      <c r="Y981" s="10"/>
      <c r="Z981" s="3"/>
      <c r="AA981" s="10"/>
      <c r="AB981" s="10"/>
      <c r="AC981" s="181"/>
      <c r="AD981" s="144"/>
      <c r="AE981" s="182"/>
      <c r="AF981" s="10"/>
      <c r="AG981" s="10"/>
      <c r="AH981" s="144"/>
      <c r="AI981" s="3"/>
      <c r="AJ981" s="10"/>
      <c r="AK981" s="3"/>
      <c r="AL981" s="5"/>
      <c r="AM981" s="5"/>
      <c r="AN981" s="5"/>
      <c r="AO981" s="5"/>
      <c r="AP981" s="5"/>
      <c r="AQ981" s="5"/>
      <c r="AR981" s="5"/>
      <c r="AS981" s="142"/>
      <c r="AT981" s="142"/>
      <c r="AU981" s="142"/>
      <c r="AV981" s="142"/>
      <c r="AW981" s="142"/>
      <c r="AX981" s="142"/>
      <c r="AY981" s="142"/>
      <c r="AZ981" s="174"/>
      <c r="BA981" s="142"/>
      <c r="BB981" s="142"/>
      <c r="BC981" s="142"/>
      <c r="BD981" s="142"/>
      <c r="BE981" s="142"/>
      <c r="BF981" s="142"/>
      <c r="BG981" s="142"/>
    </row>
    <row r="982">
      <c r="A982" s="5"/>
      <c r="B982" s="44"/>
      <c r="C982" s="150"/>
      <c r="D982" s="3"/>
      <c r="E982" s="3"/>
      <c r="F982" s="5"/>
      <c r="G982" s="5"/>
      <c r="H982" s="5"/>
      <c r="I982" s="3"/>
      <c r="J982" s="3"/>
      <c r="K982" s="3"/>
      <c r="L982" s="44"/>
      <c r="M982" s="150"/>
      <c r="N982" s="5"/>
      <c r="O982" s="5"/>
      <c r="P982" s="10"/>
      <c r="Q982" s="10"/>
      <c r="R982" s="144"/>
      <c r="S982" s="144"/>
      <c r="T982" s="10"/>
      <c r="U982" s="5"/>
      <c r="V982" s="3"/>
      <c r="W982" s="5"/>
      <c r="X982" s="144"/>
      <c r="Y982" s="10"/>
      <c r="Z982" s="3"/>
      <c r="AA982" s="10"/>
      <c r="AB982" s="10"/>
      <c r="AC982" s="181"/>
      <c r="AD982" s="144"/>
      <c r="AE982" s="182"/>
      <c r="AF982" s="10"/>
      <c r="AG982" s="10"/>
      <c r="AH982" s="144"/>
      <c r="AI982" s="3"/>
      <c r="AJ982" s="10"/>
      <c r="AK982" s="3"/>
      <c r="AL982" s="5"/>
      <c r="AM982" s="5"/>
      <c r="AN982" s="5"/>
      <c r="AO982" s="5"/>
      <c r="AP982" s="5"/>
      <c r="AQ982" s="5"/>
      <c r="AR982" s="5"/>
      <c r="AS982" s="142"/>
      <c r="AT982" s="142"/>
      <c r="AU982" s="142"/>
      <c r="AV982" s="142"/>
      <c r="AW982" s="142"/>
      <c r="AX982" s="142"/>
      <c r="AY982" s="142"/>
      <c r="AZ982" s="174"/>
      <c r="BA982" s="142"/>
      <c r="BB982" s="142"/>
      <c r="BC982" s="142"/>
      <c r="BD982" s="142"/>
      <c r="BE982" s="142"/>
      <c r="BF982" s="142"/>
      <c r="BG982" s="142"/>
    </row>
    <row r="983">
      <c r="A983" s="5"/>
      <c r="B983" s="44"/>
      <c r="C983" s="150"/>
      <c r="D983" s="3"/>
      <c r="E983" s="3"/>
      <c r="F983" s="5"/>
      <c r="G983" s="5"/>
      <c r="H983" s="5"/>
      <c r="I983" s="3"/>
      <c r="J983" s="3"/>
      <c r="K983" s="3"/>
      <c r="L983" s="44"/>
      <c r="M983" s="150"/>
      <c r="N983" s="5"/>
      <c r="O983" s="5"/>
      <c r="P983" s="10"/>
      <c r="Q983" s="10"/>
      <c r="R983" s="144"/>
      <c r="S983" s="144"/>
      <c r="T983" s="10"/>
      <c r="U983" s="5"/>
      <c r="V983" s="3"/>
      <c r="W983" s="5"/>
      <c r="X983" s="144"/>
      <c r="Y983" s="10"/>
      <c r="Z983" s="3"/>
      <c r="AA983" s="10"/>
      <c r="AB983" s="10"/>
      <c r="AC983" s="181"/>
      <c r="AD983" s="144"/>
      <c r="AE983" s="182"/>
      <c r="AF983" s="10"/>
      <c r="AG983" s="10"/>
      <c r="AH983" s="144"/>
      <c r="AI983" s="3"/>
      <c r="AJ983" s="10"/>
      <c r="AK983" s="3"/>
      <c r="AL983" s="5"/>
      <c r="AM983" s="5"/>
      <c r="AN983" s="5"/>
      <c r="AO983" s="5"/>
      <c r="AP983" s="5"/>
      <c r="AQ983" s="5"/>
      <c r="AR983" s="5"/>
      <c r="AS983" s="142"/>
      <c r="AT983" s="142"/>
      <c r="AU983" s="142"/>
      <c r="AV983" s="142"/>
      <c r="AW983" s="142"/>
      <c r="AX983" s="142"/>
      <c r="AY983" s="142"/>
      <c r="AZ983" s="174"/>
      <c r="BA983" s="142"/>
      <c r="BB983" s="142"/>
      <c r="BC983" s="142"/>
      <c r="BD983" s="142"/>
      <c r="BE983" s="142"/>
      <c r="BF983" s="142"/>
      <c r="BG983" s="142"/>
    </row>
    <row r="984">
      <c r="A984" s="5"/>
      <c r="B984" s="44"/>
      <c r="C984" s="150"/>
      <c r="D984" s="3"/>
      <c r="E984" s="3"/>
      <c r="F984" s="5"/>
      <c r="G984" s="5"/>
      <c r="H984" s="5"/>
      <c r="I984" s="3"/>
      <c r="J984" s="3"/>
      <c r="K984" s="3"/>
      <c r="L984" s="44"/>
      <c r="M984" s="150"/>
      <c r="N984" s="5"/>
      <c r="O984" s="5"/>
      <c r="P984" s="10"/>
      <c r="Q984" s="10"/>
      <c r="R984" s="144"/>
      <c r="S984" s="144"/>
      <c r="T984" s="10"/>
      <c r="U984" s="5"/>
      <c r="V984" s="3"/>
      <c r="W984" s="5"/>
      <c r="X984" s="144"/>
      <c r="Y984" s="10"/>
      <c r="Z984" s="3"/>
      <c r="AA984" s="10"/>
      <c r="AB984" s="10"/>
      <c r="AC984" s="181"/>
      <c r="AD984" s="144"/>
      <c r="AE984" s="182"/>
      <c r="AF984" s="10"/>
      <c r="AG984" s="10"/>
      <c r="AH984" s="144"/>
      <c r="AI984" s="3"/>
      <c r="AJ984" s="10"/>
      <c r="AK984" s="3"/>
      <c r="AL984" s="5"/>
      <c r="AM984" s="5"/>
      <c r="AN984" s="5"/>
      <c r="AO984" s="5"/>
      <c r="AP984" s="5"/>
      <c r="AQ984" s="5"/>
      <c r="AR984" s="5"/>
      <c r="AS984" s="142"/>
      <c r="AT984" s="142"/>
      <c r="AU984" s="142"/>
      <c r="AV984" s="142"/>
      <c r="AW984" s="142"/>
      <c r="AX984" s="142"/>
      <c r="AY984" s="142"/>
      <c r="AZ984" s="174"/>
      <c r="BA984" s="142"/>
      <c r="BB984" s="142"/>
      <c r="BC984" s="142"/>
      <c r="BD984" s="142"/>
      <c r="BE984" s="142"/>
      <c r="BF984" s="142"/>
      <c r="BG984" s="142"/>
    </row>
    <row r="985">
      <c r="A985" s="5"/>
      <c r="B985" s="44"/>
      <c r="C985" s="150"/>
      <c r="D985" s="3"/>
      <c r="E985" s="3"/>
      <c r="F985" s="5"/>
      <c r="G985" s="5"/>
      <c r="H985" s="5"/>
      <c r="I985" s="3"/>
      <c r="J985" s="3"/>
      <c r="K985" s="3"/>
      <c r="L985" s="44"/>
      <c r="M985" s="150"/>
      <c r="N985" s="5"/>
      <c r="O985" s="5"/>
      <c r="P985" s="10"/>
      <c r="Q985" s="10"/>
      <c r="R985" s="144"/>
      <c r="S985" s="144"/>
      <c r="T985" s="10"/>
      <c r="U985" s="5"/>
      <c r="V985" s="3"/>
      <c r="W985" s="5"/>
      <c r="X985" s="144"/>
      <c r="Y985" s="10"/>
      <c r="Z985" s="3"/>
      <c r="AA985" s="10"/>
      <c r="AB985" s="10"/>
      <c r="AC985" s="181"/>
      <c r="AD985" s="144"/>
      <c r="AE985" s="182"/>
      <c r="AF985" s="10"/>
      <c r="AG985" s="10"/>
      <c r="AH985" s="144"/>
      <c r="AI985" s="3"/>
      <c r="AJ985" s="10"/>
      <c r="AK985" s="3"/>
      <c r="AL985" s="5"/>
      <c r="AM985" s="5"/>
      <c r="AN985" s="5"/>
      <c r="AO985" s="5"/>
      <c r="AP985" s="5"/>
      <c r="AQ985" s="5"/>
      <c r="AR985" s="5"/>
      <c r="AS985" s="142"/>
      <c r="AT985" s="142"/>
      <c r="AU985" s="142"/>
      <c r="AV985" s="142"/>
      <c r="AW985" s="142"/>
      <c r="AX985" s="142"/>
      <c r="AY985" s="142"/>
      <c r="AZ985" s="174"/>
      <c r="BA985" s="142"/>
      <c r="BB985" s="142"/>
      <c r="BC985" s="142"/>
      <c r="BD985" s="142"/>
      <c r="BE985" s="142"/>
      <c r="BF985" s="142"/>
      <c r="BG985" s="142"/>
    </row>
    <row r="986">
      <c r="A986" s="5"/>
      <c r="B986" s="44"/>
      <c r="C986" s="150"/>
      <c r="D986" s="3"/>
      <c r="E986" s="3"/>
      <c r="F986" s="5"/>
      <c r="G986" s="5"/>
      <c r="H986" s="5"/>
      <c r="I986" s="3"/>
      <c r="J986" s="3"/>
      <c r="K986" s="3"/>
      <c r="L986" s="44"/>
      <c r="M986" s="150"/>
      <c r="N986" s="5"/>
      <c r="O986" s="5"/>
      <c r="P986" s="10"/>
      <c r="Q986" s="10"/>
      <c r="R986" s="144"/>
      <c r="S986" s="144"/>
      <c r="T986" s="10"/>
      <c r="U986" s="5"/>
      <c r="V986" s="3"/>
      <c r="W986" s="5"/>
      <c r="X986" s="144"/>
      <c r="Y986" s="10"/>
      <c r="Z986" s="3"/>
      <c r="AA986" s="10"/>
      <c r="AB986" s="10"/>
      <c r="AC986" s="181"/>
      <c r="AD986" s="144"/>
      <c r="AE986" s="182"/>
      <c r="AF986" s="10"/>
      <c r="AG986" s="10"/>
      <c r="AH986" s="144"/>
      <c r="AI986" s="3"/>
      <c r="AJ986" s="10"/>
      <c r="AK986" s="3"/>
      <c r="AL986" s="5"/>
      <c r="AM986" s="5"/>
      <c r="AN986" s="5"/>
      <c r="AO986" s="5"/>
      <c r="AP986" s="5"/>
      <c r="AQ986" s="5"/>
      <c r="AR986" s="5"/>
      <c r="AS986" s="142"/>
      <c r="AT986" s="142"/>
      <c r="AU986" s="142"/>
      <c r="AV986" s="142"/>
      <c r="AW986" s="142"/>
      <c r="AX986" s="142"/>
      <c r="AY986" s="142"/>
      <c r="AZ986" s="174"/>
      <c r="BA986" s="142"/>
      <c r="BB986" s="142"/>
      <c r="BC986" s="142"/>
      <c r="BD986" s="142"/>
      <c r="BE986" s="142"/>
      <c r="BF986" s="142"/>
      <c r="BG986" s="142"/>
    </row>
    <row r="987">
      <c r="A987" s="5"/>
      <c r="B987" s="44"/>
      <c r="C987" s="150"/>
      <c r="D987" s="3"/>
      <c r="E987" s="3"/>
      <c r="F987" s="5"/>
      <c r="G987" s="5"/>
      <c r="H987" s="5"/>
      <c r="I987" s="3"/>
      <c r="J987" s="3"/>
      <c r="K987" s="3"/>
      <c r="L987" s="44"/>
      <c r="M987" s="150"/>
      <c r="N987" s="5"/>
      <c r="O987" s="5"/>
      <c r="P987" s="10"/>
      <c r="Q987" s="10"/>
      <c r="R987" s="144"/>
      <c r="S987" s="144"/>
      <c r="T987" s="10"/>
      <c r="U987" s="5"/>
      <c r="V987" s="3"/>
      <c r="W987" s="5"/>
      <c r="X987" s="144"/>
      <c r="Y987" s="10"/>
      <c r="Z987" s="3"/>
      <c r="AA987" s="10"/>
      <c r="AB987" s="10"/>
      <c r="AC987" s="181"/>
      <c r="AD987" s="144"/>
      <c r="AE987" s="182"/>
      <c r="AF987" s="10"/>
      <c r="AG987" s="10"/>
      <c r="AH987" s="144"/>
      <c r="AI987" s="3"/>
      <c r="AJ987" s="10"/>
      <c r="AK987" s="3"/>
      <c r="AL987" s="5"/>
      <c r="AM987" s="5"/>
      <c r="AN987" s="5"/>
      <c r="AO987" s="5"/>
      <c r="AP987" s="5"/>
      <c r="AQ987" s="5"/>
      <c r="AR987" s="5"/>
      <c r="AS987" s="142"/>
      <c r="AT987" s="142"/>
      <c r="AU987" s="142"/>
      <c r="AV987" s="142"/>
      <c r="AW987" s="142"/>
      <c r="AX987" s="142"/>
      <c r="AY987" s="142"/>
      <c r="AZ987" s="174"/>
      <c r="BA987" s="142"/>
      <c r="BB987" s="142"/>
      <c r="BC987" s="142"/>
      <c r="BD987" s="142"/>
      <c r="BE987" s="142"/>
      <c r="BF987" s="142"/>
      <c r="BG987" s="142"/>
    </row>
    <row r="988">
      <c r="A988" s="5"/>
      <c r="B988" s="44"/>
      <c r="C988" s="150"/>
      <c r="D988" s="3"/>
      <c r="E988" s="3"/>
      <c r="F988" s="5"/>
      <c r="G988" s="5"/>
      <c r="H988" s="5"/>
      <c r="I988" s="3"/>
      <c r="J988" s="3"/>
      <c r="K988" s="3"/>
      <c r="L988" s="44"/>
      <c r="M988" s="150"/>
      <c r="N988" s="5"/>
      <c r="O988" s="5"/>
      <c r="P988" s="10"/>
      <c r="Q988" s="10"/>
      <c r="R988" s="144"/>
      <c r="S988" s="144"/>
      <c r="T988" s="10"/>
      <c r="U988" s="5"/>
      <c r="V988" s="3"/>
      <c r="W988" s="5"/>
      <c r="X988" s="144"/>
      <c r="Y988" s="10"/>
      <c r="Z988" s="3"/>
      <c r="AA988" s="10"/>
      <c r="AB988" s="10"/>
      <c r="AC988" s="181"/>
      <c r="AD988" s="144"/>
      <c r="AE988" s="182"/>
      <c r="AF988" s="10"/>
      <c r="AG988" s="10"/>
      <c r="AH988" s="144"/>
      <c r="AI988" s="3"/>
      <c r="AJ988" s="10"/>
      <c r="AK988" s="3"/>
      <c r="AL988" s="5"/>
      <c r="AM988" s="5"/>
      <c r="AN988" s="5"/>
      <c r="AO988" s="5"/>
      <c r="AP988" s="5"/>
      <c r="AQ988" s="5"/>
      <c r="AR988" s="5"/>
      <c r="AS988" s="142"/>
      <c r="AT988" s="142"/>
      <c r="AU988" s="142"/>
      <c r="AV988" s="142"/>
      <c r="AW988" s="142"/>
      <c r="AX988" s="142"/>
      <c r="AY988" s="142"/>
      <c r="AZ988" s="174"/>
      <c r="BA988" s="142"/>
      <c r="BB988" s="142"/>
      <c r="BC988" s="142"/>
      <c r="BD988" s="142"/>
      <c r="BE988" s="142"/>
      <c r="BF988" s="142"/>
      <c r="BG988" s="142"/>
    </row>
    <row r="989">
      <c r="A989" s="5"/>
      <c r="B989" s="44"/>
      <c r="C989" s="150"/>
      <c r="D989" s="3"/>
      <c r="E989" s="3"/>
      <c r="F989" s="5"/>
      <c r="G989" s="5"/>
      <c r="H989" s="5"/>
      <c r="I989" s="3"/>
      <c r="J989" s="3"/>
      <c r="K989" s="3"/>
      <c r="L989" s="44"/>
      <c r="M989" s="150"/>
      <c r="N989" s="5"/>
      <c r="O989" s="5"/>
      <c r="P989" s="10"/>
      <c r="Q989" s="10"/>
      <c r="R989" s="144"/>
      <c r="S989" s="144"/>
      <c r="T989" s="10"/>
      <c r="U989" s="5"/>
      <c r="V989" s="3"/>
      <c r="W989" s="5"/>
      <c r="X989" s="144"/>
      <c r="Y989" s="10"/>
      <c r="Z989" s="3"/>
      <c r="AA989" s="10"/>
      <c r="AB989" s="10"/>
      <c r="AC989" s="181"/>
      <c r="AD989" s="144"/>
      <c r="AE989" s="182"/>
      <c r="AF989" s="10"/>
      <c r="AG989" s="10"/>
      <c r="AH989" s="144"/>
      <c r="AI989" s="3"/>
      <c r="AJ989" s="10"/>
      <c r="AK989" s="3"/>
      <c r="AL989" s="5"/>
      <c r="AM989" s="5"/>
      <c r="AN989" s="5"/>
      <c r="AO989" s="5"/>
      <c r="AP989" s="5"/>
      <c r="AQ989" s="5"/>
      <c r="AR989" s="5"/>
      <c r="AS989" s="142"/>
      <c r="AT989" s="142"/>
      <c r="AU989" s="142"/>
      <c r="AV989" s="142"/>
      <c r="AW989" s="142"/>
      <c r="AX989" s="142"/>
      <c r="AY989" s="142"/>
      <c r="AZ989" s="174"/>
      <c r="BA989" s="142"/>
      <c r="BB989" s="142"/>
      <c r="BC989" s="142"/>
      <c r="BD989" s="142"/>
      <c r="BE989" s="142"/>
      <c r="BF989" s="142"/>
      <c r="BG989" s="142"/>
    </row>
    <row r="990">
      <c r="A990" s="5"/>
      <c r="B990" s="44"/>
      <c r="C990" s="150"/>
      <c r="D990" s="3"/>
      <c r="E990" s="3"/>
      <c r="F990" s="5"/>
      <c r="G990" s="5"/>
      <c r="H990" s="5"/>
      <c r="I990" s="3"/>
      <c r="J990" s="3"/>
      <c r="K990" s="3"/>
      <c r="L990" s="44"/>
      <c r="M990" s="150"/>
      <c r="N990" s="5"/>
      <c r="O990" s="5"/>
      <c r="P990" s="10"/>
      <c r="Q990" s="10"/>
      <c r="R990" s="144"/>
      <c r="S990" s="144"/>
      <c r="T990" s="10"/>
      <c r="U990" s="5"/>
      <c r="V990" s="3"/>
      <c r="W990" s="5"/>
      <c r="X990" s="144"/>
      <c r="Y990" s="10"/>
      <c r="Z990" s="3"/>
      <c r="AA990" s="10"/>
      <c r="AB990" s="10"/>
      <c r="AC990" s="181"/>
      <c r="AD990" s="144"/>
      <c r="AE990" s="182"/>
      <c r="AF990" s="10"/>
      <c r="AG990" s="10"/>
      <c r="AH990" s="144"/>
      <c r="AI990" s="3"/>
      <c r="AJ990" s="10"/>
      <c r="AK990" s="3"/>
      <c r="AL990" s="5"/>
      <c r="AM990" s="5"/>
      <c r="AN990" s="5"/>
      <c r="AO990" s="5"/>
      <c r="AP990" s="5"/>
      <c r="AQ990" s="5"/>
      <c r="AR990" s="5"/>
      <c r="AS990" s="142"/>
      <c r="AT990" s="142"/>
      <c r="AU990" s="142"/>
      <c r="AV990" s="142"/>
      <c r="AW990" s="142"/>
      <c r="AX990" s="142"/>
      <c r="AY990" s="142"/>
      <c r="AZ990" s="174"/>
      <c r="BA990" s="142"/>
      <c r="BB990" s="142"/>
      <c r="BC990" s="142"/>
      <c r="BD990" s="142"/>
      <c r="BE990" s="142"/>
      <c r="BF990" s="142"/>
      <c r="BG990" s="142"/>
    </row>
    <row r="991">
      <c r="A991" s="5"/>
      <c r="B991" s="44"/>
      <c r="C991" s="150"/>
      <c r="D991" s="3"/>
      <c r="E991" s="3"/>
      <c r="F991" s="5"/>
      <c r="G991" s="5"/>
      <c r="H991" s="5"/>
      <c r="I991" s="3"/>
      <c r="J991" s="3"/>
      <c r="K991" s="3"/>
      <c r="L991" s="44"/>
      <c r="M991" s="150"/>
      <c r="N991" s="5"/>
      <c r="O991" s="5"/>
      <c r="P991" s="10"/>
      <c r="Q991" s="10"/>
      <c r="R991" s="144"/>
      <c r="S991" s="144"/>
      <c r="T991" s="10"/>
      <c r="U991" s="5"/>
      <c r="V991" s="3"/>
      <c r="W991" s="5"/>
      <c r="X991" s="144"/>
      <c r="Y991" s="10"/>
      <c r="Z991" s="3"/>
      <c r="AA991" s="10"/>
      <c r="AB991" s="10"/>
      <c r="AC991" s="181"/>
      <c r="AD991" s="144"/>
      <c r="AE991" s="182"/>
      <c r="AF991" s="10"/>
      <c r="AG991" s="10"/>
      <c r="AH991" s="144"/>
      <c r="AI991" s="3"/>
      <c r="AJ991" s="10"/>
      <c r="AK991" s="3"/>
      <c r="AL991" s="5"/>
      <c r="AM991" s="5"/>
      <c r="AN991" s="5"/>
      <c r="AO991" s="5"/>
      <c r="AP991" s="5"/>
      <c r="AQ991" s="5"/>
      <c r="AR991" s="5"/>
      <c r="AS991" s="142"/>
      <c r="AT991" s="142"/>
      <c r="AU991" s="142"/>
      <c r="AV991" s="142"/>
      <c r="AW991" s="142"/>
      <c r="AX991" s="142"/>
      <c r="AY991" s="142"/>
      <c r="AZ991" s="174"/>
      <c r="BA991" s="142"/>
      <c r="BB991" s="142"/>
      <c r="BC991" s="142"/>
      <c r="BD991" s="142"/>
      <c r="BE991" s="142"/>
      <c r="BF991" s="142"/>
      <c r="BG991" s="142"/>
    </row>
    <row r="992">
      <c r="A992" s="5"/>
      <c r="B992" s="44"/>
      <c r="C992" s="150"/>
      <c r="D992" s="3"/>
      <c r="E992" s="3"/>
      <c r="F992" s="5"/>
      <c r="G992" s="5"/>
      <c r="H992" s="5"/>
      <c r="I992" s="3"/>
      <c r="J992" s="3"/>
      <c r="K992" s="3"/>
      <c r="L992" s="44"/>
      <c r="M992" s="150"/>
      <c r="N992" s="5"/>
      <c r="O992" s="5"/>
      <c r="P992" s="10"/>
      <c r="Q992" s="10"/>
      <c r="R992" s="144"/>
      <c r="S992" s="144"/>
      <c r="T992" s="10"/>
      <c r="U992" s="5"/>
      <c r="V992" s="3"/>
      <c r="W992" s="5"/>
      <c r="X992" s="144"/>
      <c r="Y992" s="10"/>
      <c r="Z992" s="3"/>
      <c r="AA992" s="10"/>
      <c r="AB992" s="10"/>
      <c r="AC992" s="181"/>
      <c r="AD992" s="144"/>
      <c r="AE992" s="182"/>
      <c r="AF992" s="10"/>
      <c r="AG992" s="10"/>
      <c r="AH992" s="144"/>
      <c r="AI992" s="3"/>
      <c r="AJ992" s="10"/>
      <c r="AK992" s="3"/>
      <c r="AL992" s="5"/>
      <c r="AM992" s="5"/>
      <c r="AN992" s="5"/>
      <c r="AO992" s="5"/>
      <c r="AP992" s="5"/>
      <c r="AQ992" s="5"/>
      <c r="AR992" s="5"/>
      <c r="AS992" s="142"/>
      <c r="AT992" s="142"/>
      <c r="AU992" s="142"/>
      <c r="AV992" s="142"/>
      <c r="AW992" s="142"/>
      <c r="AX992" s="142"/>
      <c r="AY992" s="142"/>
      <c r="AZ992" s="174"/>
      <c r="BA992" s="142"/>
      <c r="BB992" s="142"/>
      <c r="BC992" s="142"/>
      <c r="BD992" s="142"/>
      <c r="BE992" s="142"/>
      <c r="BF992" s="142"/>
      <c r="BG992" s="142"/>
    </row>
    <row r="993">
      <c r="A993" s="5"/>
      <c r="B993" s="44"/>
      <c r="C993" s="150"/>
      <c r="D993" s="3"/>
      <c r="E993" s="3"/>
      <c r="F993" s="5"/>
      <c r="G993" s="5"/>
      <c r="H993" s="5"/>
      <c r="I993" s="3"/>
      <c r="J993" s="3"/>
      <c r="K993" s="3"/>
      <c r="L993" s="44"/>
      <c r="M993" s="150"/>
      <c r="N993" s="5"/>
      <c r="O993" s="5"/>
      <c r="P993" s="10"/>
      <c r="Q993" s="10"/>
      <c r="R993" s="144"/>
      <c r="S993" s="144"/>
      <c r="T993" s="10"/>
      <c r="U993" s="5"/>
      <c r="V993" s="3"/>
      <c r="W993" s="5"/>
      <c r="X993" s="144"/>
      <c r="Y993" s="10"/>
      <c r="Z993" s="3"/>
      <c r="AA993" s="10"/>
      <c r="AB993" s="10"/>
      <c r="AC993" s="181"/>
      <c r="AD993" s="144"/>
      <c r="AE993" s="182"/>
      <c r="AF993" s="10"/>
      <c r="AG993" s="10"/>
      <c r="AH993" s="144"/>
      <c r="AI993" s="3"/>
      <c r="AJ993" s="10"/>
      <c r="AK993" s="3"/>
      <c r="AL993" s="5"/>
      <c r="AM993" s="5"/>
      <c r="AN993" s="5"/>
      <c r="AO993" s="5"/>
      <c r="AP993" s="5"/>
      <c r="AQ993" s="5"/>
      <c r="AR993" s="5"/>
      <c r="AS993" s="142"/>
      <c r="AT993" s="142"/>
      <c r="AU993" s="142"/>
      <c r="AV993" s="142"/>
      <c r="AW993" s="142"/>
      <c r="AX993" s="142"/>
      <c r="AY993" s="142"/>
      <c r="AZ993" s="174"/>
      <c r="BA993" s="142"/>
      <c r="BB993" s="142"/>
      <c r="BC993" s="142"/>
      <c r="BD993" s="142"/>
      <c r="BE993" s="142"/>
      <c r="BF993" s="142"/>
      <c r="BG993" s="142"/>
    </row>
    <row r="994">
      <c r="A994" s="5"/>
      <c r="B994" s="44"/>
      <c r="C994" s="150"/>
      <c r="D994" s="3"/>
      <c r="E994" s="3"/>
      <c r="F994" s="5"/>
      <c r="G994" s="5"/>
      <c r="H994" s="5"/>
      <c r="I994" s="3"/>
      <c r="J994" s="3"/>
      <c r="K994" s="3"/>
      <c r="L994" s="44"/>
      <c r="M994" s="150"/>
      <c r="N994" s="5"/>
      <c r="O994" s="5"/>
      <c r="P994" s="10"/>
      <c r="Q994" s="10"/>
      <c r="R994" s="144"/>
      <c r="S994" s="144"/>
      <c r="T994" s="10"/>
      <c r="U994" s="5"/>
      <c r="V994" s="3"/>
      <c r="W994" s="5"/>
      <c r="X994" s="144"/>
      <c r="Y994" s="10"/>
      <c r="Z994" s="3"/>
      <c r="AA994" s="10"/>
      <c r="AB994" s="10"/>
      <c r="AC994" s="181"/>
      <c r="AD994" s="144"/>
      <c r="AE994" s="182"/>
      <c r="AF994" s="10"/>
      <c r="AG994" s="10"/>
      <c r="AH994" s="144"/>
      <c r="AI994" s="3"/>
      <c r="AJ994" s="10"/>
      <c r="AK994" s="3"/>
      <c r="AL994" s="5"/>
      <c r="AM994" s="5"/>
      <c r="AN994" s="5"/>
      <c r="AO994" s="5"/>
      <c r="AP994" s="5"/>
      <c r="AQ994" s="5"/>
      <c r="AR994" s="5"/>
      <c r="AS994" s="142"/>
      <c r="AT994" s="142"/>
      <c r="AU994" s="142"/>
      <c r="AV994" s="142"/>
      <c r="AW994" s="142"/>
      <c r="AX994" s="142"/>
      <c r="AY994" s="142"/>
      <c r="AZ994" s="174"/>
      <c r="BA994" s="142"/>
      <c r="BB994" s="142"/>
      <c r="BC994" s="142"/>
      <c r="BD994" s="142"/>
      <c r="BE994" s="142"/>
      <c r="BF994" s="142"/>
      <c r="BG994" s="142"/>
    </row>
    <row r="995">
      <c r="A995" s="5"/>
      <c r="B995" s="44"/>
      <c r="C995" s="150"/>
      <c r="D995" s="3"/>
      <c r="E995" s="3"/>
      <c r="F995" s="5"/>
      <c r="G995" s="5"/>
      <c r="H995" s="5"/>
      <c r="I995" s="3"/>
      <c r="J995" s="3"/>
      <c r="K995" s="3"/>
      <c r="L995" s="44"/>
      <c r="M995" s="150"/>
      <c r="N995" s="5"/>
      <c r="O995" s="5"/>
      <c r="P995" s="10"/>
      <c r="Q995" s="10"/>
      <c r="R995" s="144"/>
      <c r="S995" s="144"/>
      <c r="T995" s="10"/>
      <c r="U995" s="5"/>
      <c r="V995" s="3"/>
      <c r="W995" s="5"/>
      <c r="X995" s="144"/>
      <c r="Y995" s="10"/>
      <c r="Z995" s="3"/>
      <c r="AA995" s="10"/>
      <c r="AB995" s="10"/>
      <c r="AC995" s="181"/>
      <c r="AD995" s="144"/>
      <c r="AE995" s="182"/>
      <c r="AF995" s="10"/>
      <c r="AG995" s="10"/>
      <c r="AH995" s="144"/>
      <c r="AI995" s="3"/>
      <c r="AJ995" s="10"/>
      <c r="AK995" s="3"/>
      <c r="AL995" s="5"/>
      <c r="AM995" s="5"/>
      <c r="AN995" s="5"/>
      <c r="AO995" s="5"/>
      <c r="AP995" s="5"/>
      <c r="AQ995" s="5"/>
      <c r="AR995" s="5"/>
      <c r="AS995" s="142"/>
      <c r="AT995" s="142"/>
      <c r="AU995" s="142"/>
      <c r="AV995" s="142"/>
      <c r="AW995" s="142"/>
      <c r="AX995" s="142"/>
      <c r="AY995" s="142"/>
      <c r="AZ995" s="174"/>
      <c r="BA995" s="142"/>
      <c r="BB995" s="142"/>
      <c r="BC995" s="142"/>
      <c r="BD995" s="142"/>
      <c r="BE995" s="142"/>
      <c r="BF995" s="142"/>
      <c r="BG995" s="142"/>
    </row>
    <row r="996">
      <c r="A996" s="5"/>
      <c r="B996" s="44"/>
      <c r="C996" s="150"/>
      <c r="D996" s="3"/>
      <c r="E996" s="3"/>
      <c r="F996" s="5"/>
      <c r="G996" s="5"/>
      <c r="H996" s="5"/>
      <c r="I996" s="3"/>
      <c r="J996" s="3"/>
      <c r="K996" s="3"/>
      <c r="L996" s="44"/>
      <c r="M996" s="150"/>
      <c r="N996" s="5"/>
      <c r="O996" s="5"/>
      <c r="P996" s="10"/>
      <c r="Q996" s="10"/>
      <c r="R996" s="144"/>
      <c r="S996" s="144"/>
      <c r="T996" s="10"/>
      <c r="U996" s="5"/>
      <c r="V996" s="3"/>
      <c r="W996" s="5"/>
      <c r="X996" s="144"/>
      <c r="Y996" s="10"/>
      <c r="Z996" s="3"/>
      <c r="AA996" s="10"/>
      <c r="AB996" s="10"/>
      <c r="AC996" s="181"/>
      <c r="AD996" s="144"/>
      <c r="AE996" s="182"/>
      <c r="AF996" s="10"/>
      <c r="AG996" s="10"/>
      <c r="AH996" s="144"/>
      <c r="AI996" s="3"/>
      <c r="AJ996" s="10"/>
      <c r="AK996" s="3"/>
      <c r="AL996" s="5"/>
      <c r="AM996" s="5"/>
      <c r="AN996" s="5"/>
      <c r="AO996" s="5"/>
      <c r="AP996" s="5"/>
      <c r="AQ996" s="5"/>
      <c r="AR996" s="5"/>
      <c r="AS996" s="142"/>
      <c r="AT996" s="142"/>
      <c r="AU996" s="142"/>
      <c r="AV996" s="142"/>
      <c r="AW996" s="142"/>
      <c r="AX996" s="142"/>
      <c r="AY996" s="142"/>
      <c r="AZ996" s="174"/>
      <c r="BA996" s="142"/>
      <c r="BB996" s="142"/>
      <c r="BC996" s="142"/>
      <c r="BD996" s="142"/>
      <c r="BE996" s="142"/>
      <c r="BF996" s="142"/>
      <c r="BG996" s="142"/>
    </row>
    <row r="997">
      <c r="A997" s="5"/>
      <c r="B997" s="44"/>
      <c r="C997" s="150"/>
      <c r="D997" s="3"/>
      <c r="E997" s="3"/>
      <c r="F997" s="5"/>
      <c r="G997" s="5"/>
      <c r="H997" s="5"/>
      <c r="I997" s="3"/>
      <c r="J997" s="3"/>
      <c r="K997" s="3"/>
      <c r="L997" s="44"/>
      <c r="M997" s="150"/>
      <c r="N997" s="5"/>
      <c r="O997" s="5"/>
      <c r="P997" s="10"/>
      <c r="Q997" s="10"/>
      <c r="R997" s="144"/>
      <c r="S997" s="144"/>
      <c r="T997" s="10"/>
      <c r="U997" s="5"/>
      <c r="V997" s="3"/>
      <c r="W997" s="5"/>
      <c r="X997" s="144"/>
      <c r="Y997" s="10"/>
      <c r="Z997" s="3"/>
      <c r="AA997" s="10"/>
      <c r="AB997" s="10"/>
      <c r="AC997" s="181"/>
      <c r="AD997" s="144"/>
      <c r="AE997" s="182"/>
      <c r="AF997" s="10"/>
      <c r="AG997" s="10"/>
      <c r="AH997" s="144"/>
      <c r="AI997" s="3"/>
      <c r="AJ997" s="10"/>
      <c r="AK997" s="3"/>
      <c r="AL997" s="5"/>
      <c r="AM997" s="5"/>
      <c r="AN997" s="5"/>
      <c r="AO997" s="5"/>
      <c r="AP997" s="5"/>
      <c r="AQ997" s="5"/>
      <c r="AR997" s="5"/>
      <c r="AS997" s="142"/>
      <c r="AT997" s="142"/>
      <c r="AU997" s="142"/>
      <c r="AV997" s="142"/>
      <c r="AW997" s="142"/>
      <c r="AX997" s="142"/>
      <c r="AY997" s="142"/>
      <c r="AZ997" s="174"/>
      <c r="BA997" s="142"/>
      <c r="BB997" s="142"/>
      <c r="BC997" s="142"/>
      <c r="BD997" s="142"/>
      <c r="BE997" s="142"/>
      <c r="BF997" s="142"/>
      <c r="BG997" s="142"/>
    </row>
    <row r="998">
      <c r="A998" s="5"/>
      <c r="B998" s="44"/>
      <c r="C998" s="150"/>
      <c r="D998" s="3"/>
      <c r="E998" s="3"/>
      <c r="F998" s="5"/>
      <c r="G998" s="5"/>
      <c r="H998" s="5"/>
      <c r="I998" s="3"/>
      <c r="J998" s="3"/>
      <c r="K998" s="3"/>
      <c r="L998" s="44"/>
      <c r="M998" s="150"/>
      <c r="N998" s="5"/>
      <c r="O998" s="5"/>
      <c r="P998" s="10"/>
      <c r="Q998" s="10"/>
      <c r="R998" s="144"/>
      <c r="S998" s="144"/>
      <c r="T998" s="10"/>
      <c r="U998" s="5"/>
      <c r="V998" s="3"/>
      <c r="W998" s="5"/>
      <c r="X998" s="144"/>
      <c r="Y998" s="10"/>
      <c r="Z998" s="3"/>
      <c r="AA998" s="10"/>
      <c r="AB998" s="10"/>
      <c r="AC998" s="181"/>
      <c r="AD998" s="144"/>
      <c r="AE998" s="182"/>
      <c r="AF998" s="10"/>
      <c r="AG998" s="10"/>
      <c r="AH998" s="144"/>
      <c r="AI998" s="3"/>
      <c r="AJ998" s="10"/>
      <c r="AK998" s="3"/>
      <c r="AL998" s="5"/>
      <c r="AM998" s="5"/>
      <c r="AN998" s="5"/>
      <c r="AO998" s="5"/>
      <c r="AP998" s="5"/>
      <c r="AQ998" s="5"/>
      <c r="AR998" s="5"/>
      <c r="AS998" s="142"/>
      <c r="AT998" s="142"/>
      <c r="AU998" s="142"/>
      <c r="AV998" s="142"/>
      <c r="AW998" s="142"/>
      <c r="AX998" s="142"/>
      <c r="AY998" s="142"/>
      <c r="AZ998" s="174"/>
      <c r="BA998" s="142"/>
      <c r="BB998" s="142"/>
      <c r="BC998" s="142"/>
      <c r="BD998" s="142"/>
      <c r="BE998" s="142"/>
      <c r="BF998" s="142"/>
      <c r="BG998" s="142"/>
    </row>
    <row r="999">
      <c r="A999" s="5"/>
      <c r="B999" s="44"/>
      <c r="C999" s="150"/>
      <c r="D999" s="3"/>
      <c r="E999" s="3"/>
      <c r="F999" s="5"/>
      <c r="G999" s="5"/>
      <c r="H999" s="5"/>
      <c r="I999" s="3"/>
      <c r="J999" s="3"/>
      <c r="K999" s="3"/>
      <c r="L999" s="44"/>
      <c r="M999" s="150"/>
      <c r="N999" s="5"/>
      <c r="O999" s="5"/>
      <c r="P999" s="10"/>
      <c r="Q999" s="10"/>
      <c r="R999" s="144"/>
      <c r="S999" s="144"/>
      <c r="T999" s="10"/>
      <c r="U999" s="5"/>
      <c r="V999" s="3"/>
      <c r="W999" s="5"/>
      <c r="X999" s="144"/>
      <c r="Y999" s="10"/>
      <c r="Z999" s="3"/>
      <c r="AA999" s="10"/>
      <c r="AB999" s="10"/>
      <c r="AC999" s="181"/>
      <c r="AD999" s="144"/>
      <c r="AE999" s="182"/>
      <c r="AF999" s="10"/>
      <c r="AG999" s="10"/>
      <c r="AH999" s="144"/>
      <c r="AI999" s="3"/>
      <c r="AJ999" s="10"/>
      <c r="AK999" s="3"/>
      <c r="AL999" s="5"/>
      <c r="AM999" s="5"/>
      <c r="AN999" s="5"/>
      <c r="AO999" s="5"/>
      <c r="AP999" s="5"/>
      <c r="AQ999" s="5"/>
      <c r="AR999" s="5"/>
      <c r="AS999" s="142"/>
      <c r="AT999" s="142"/>
      <c r="AU999" s="142"/>
      <c r="AV999" s="142"/>
      <c r="AW999" s="142"/>
      <c r="AX999" s="142"/>
      <c r="AY999" s="142"/>
      <c r="AZ999" s="174"/>
      <c r="BA999" s="142"/>
      <c r="BB999" s="142"/>
      <c r="BC999" s="142"/>
      <c r="BD999" s="142"/>
      <c r="BE999" s="142"/>
      <c r="BF999" s="142"/>
      <c r="BG999" s="142"/>
    </row>
    <row r="1000">
      <c r="A1000" s="5"/>
      <c r="B1000" s="44"/>
      <c r="C1000" s="150"/>
      <c r="D1000" s="3"/>
      <c r="E1000" s="3"/>
      <c r="F1000" s="5"/>
      <c r="G1000" s="5"/>
      <c r="H1000" s="5"/>
      <c r="I1000" s="3"/>
      <c r="J1000" s="3"/>
      <c r="K1000" s="3"/>
      <c r="L1000" s="44"/>
      <c r="M1000" s="150"/>
      <c r="N1000" s="5"/>
      <c r="O1000" s="5"/>
      <c r="P1000" s="10"/>
      <c r="Q1000" s="10"/>
      <c r="R1000" s="144"/>
      <c r="S1000" s="144"/>
      <c r="T1000" s="10"/>
      <c r="U1000" s="5"/>
      <c r="V1000" s="3"/>
      <c r="W1000" s="5"/>
      <c r="X1000" s="144"/>
      <c r="Y1000" s="10"/>
      <c r="Z1000" s="3"/>
      <c r="AA1000" s="10"/>
      <c r="AB1000" s="10"/>
      <c r="AC1000" s="181"/>
      <c r="AD1000" s="144"/>
      <c r="AE1000" s="182"/>
      <c r="AF1000" s="10"/>
      <c r="AG1000" s="10"/>
      <c r="AH1000" s="144"/>
      <c r="AI1000" s="3"/>
      <c r="AJ1000" s="10"/>
      <c r="AK1000" s="3"/>
      <c r="AL1000" s="5"/>
      <c r="AM1000" s="5"/>
      <c r="AN1000" s="5"/>
      <c r="AO1000" s="5"/>
      <c r="AP1000" s="5"/>
      <c r="AQ1000" s="5"/>
      <c r="AR1000" s="5"/>
      <c r="AS1000" s="142"/>
      <c r="AT1000" s="142"/>
      <c r="AU1000" s="142"/>
      <c r="AV1000" s="142"/>
      <c r="AW1000" s="142"/>
      <c r="AX1000" s="142"/>
      <c r="AY1000" s="142"/>
      <c r="AZ1000" s="174"/>
      <c r="BA1000" s="142"/>
      <c r="BB1000" s="142"/>
      <c r="BC1000" s="142"/>
      <c r="BD1000" s="142"/>
      <c r="BE1000" s="142"/>
      <c r="BF1000" s="142"/>
      <c r="BG1000" s="142"/>
    </row>
    <row r="1001">
      <c r="A1001" s="5"/>
      <c r="B1001" s="44"/>
      <c r="C1001" s="150"/>
      <c r="D1001" s="3"/>
      <c r="E1001" s="3"/>
      <c r="F1001" s="5"/>
      <c r="G1001" s="5"/>
      <c r="H1001" s="5"/>
      <c r="I1001" s="3"/>
      <c r="J1001" s="3"/>
      <c r="K1001" s="3"/>
      <c r="L1001" s="44"/>
      <c r="M1001" s="150"/>
      <c r="N1001" s="5"/>
      <c r="O1001" s="5"/>
      <c r="P1001" s="10"/>
      <c r="Q1001" s="10"/>
      <c r="R1001" s="144"/>
      <c r="S1001" s="144"/>
      <c r="T1001" s="10"/>
      <c r="U1001" s="5"/>
      <c r="V1001" s="3"/>
      <c r="W1001" s="5"/>
      <c r="X1001" s="144"/>
      <c r="Y1001" s="10"/>
      <c r="Z1001" s="3"/>
      <c r="AA1001" s="10"/>
      <c r="AB1001" s="10"/>
      <c r="AC1001" s="181"/>
      <c r="AD1001" s="144"/>
      <c r="AE1001" s="182"/>
      <c r="AF1001" s="10"/>
      <c r="AG1001" s="10"/>
      <c r="AH1001" s="144"/>
      <c r="AI1001" s="3"/>
      <c r="AJ1001" s="10"/>
      <c r="AK1001" s="3"/>
      <c r="AL1001" s="5"/>
      <c r="AM1001" s="5"/>
      <c r="AN1001" s="5"/>
      <c r="AO1001" s="5"/>
      <c r="AP1001" s="5"/>
      <c r="AQ1001" s="5"/>
      <c r="AR1001" s="5"/>
      <c r="AS1001" s="142"/>
      <c r="AT1001" s="142"/>
      <c r="AU1001" s="142"/>
      <c r="AV1001" s="142"/>
      <c r="AW1001" s="142"/>
      <c r="AX1001" s="142"/>
      <c r="AY1001" s="142"/>
      <c r="AZ1001" s="174"/>
      <c r="BA1001" s="142"/>
      <c r="BB1001" s="142"/>
      <c r="BC1001" s="142"/>
      <c r="BD1001" s="142"/>
      <c r="BE1001" s="142"/>
      <c r="BF1001" s="142"/>
      <c r="BG1001" s="142"/>
    </row>
    <row r="1002">
      <c r="A1002" s="5"/>
      <c r="B1002" s="44"/>
      <c r="C1002" s="150"/>
      <c r="D1002" s="3"/>
      <c r="E1002" s="3"/>
      <c r="F1002" s="5"/>
      <c r="G1002" s="5"/>
      <c r="H1002" s="5"/>
      <c r="I1002" s="3"/>
      <c r="J1002" s="3"/>
      <c r="K1002" s="3"/>
      <c r="L1002" s="44"/>
      <c r="M1002" s="150"/>
      <c r="N1002" s="5"/>
      <c r="O1002" s="5"/>
      <c r="P1002" s="10"/>
      <c r="Q1002" s="10"/>
      <c r="R1002" s="144"/>
      <c r="S1002" s="144"/>
      <c r="T1002" s="10"/>
      <c r="U1002" s="5"/>
      <c r="V1002" s="3"/>
      <c r="W1002" s="5"/>
      <c r="X1002" s="144"/>
      <c r="Y1002" s="10"/>
      <c r="Z1002" s="3"/>
      <c r="AA1002" s="10"/>
      <c r="AB1002" s="10"/>
      <c r="AC1002" s="181"/>
      <c r="AD1002" s="144"/>
      <c r="AE1002" s="182"/>
      <c r="AF1002" s="10"/>
      <c r="AG1002" s="10"/>
      <c r="AH1002" s="144"/>
      <c r="AI1002" s="3"/>
      <c r="AJ1002" s="10"/>
      <c r="AK1002" s="3"/>
      <c r="AL1002" s="5"/>
      <c r="AM1002" s="5"/>
      <c r="AN1002" s="5"/>
      <c r="AO1002" s="5"/>
      <c r="AP1002" s="5"/>
      <c r="AQ1002" s="5"/>
      <c r="AR1002" s="5"/>
      <c r="AS1002" s="142"/>
      <c r="AT1002" s="142"/>
      <c r="AU1002" s="142"/>
      <c r="AV1002" s="142"/>
      <c r="AW1002" s="142"/>
      <c r="AX1002" s="142"/>
      <c r="AY1002" s="142"/>
      <c r="AZ1002" s="174"/>
      <c r="BA1002" s="142"/>
      <c r="BB1002" s="142"/>
      <c r="BC1002" s="142"/>
      <c r="BD1002" s="142"/>
      <c r="BE1002" s="142"/>
      <c r="BF1002" s="142"/>
      <c r="BG1002" s="142"/>
    </row>
    <row r="1003">
      <c r="A1003" s="5"/>
      <c r="B1003" s="44"/>
      <c r="C1003" s="150"/>
      <c r="D1003" s="3"/>
      <c r="E1003" s="3"/>
      <c r="F1003" s="5"/>
      <c r="G1003" s="5"/>
      <c r="H1003" s="5"/>
      <c r="I1003" s="3"/>
      <c r="J1003" s="3"/>
      <c r="K1003" s="3"/>
      <c r="L1003" s="44"/>
      <c r="M1003" s="150"/>
      <c r="N1003" s="5"/>
      <c r="O1003" s="5"/>
      <c r="P1003" s="10"/>
      <c r="Q1003" s="10"/>
      <c r="R1003" s="144"/>
      <c r="S1003" s="144"/>
      <c r="T1003" s="10"/>
      <c r="U1003" s="5"/>
      <c r="V1003" s="3"/>
      <c r="W1003" s="5"/>
      <c r="X1003" s="144"/>
      <c r="Y1003" s="10"/>
      <c r="Z1003" s="3"/>
      <c r="AA1003" s="10"/>
      <c r="AB1003" s="10"/>
      <c r="AC1003" s="181"/>
      <c r="AD1003" s="144"/>
      <c r="AE1003" s="182"/>
      <c r="AF1003" s="10"/>
      <c r="AG1003" s="10"/>
      <c r="AH1003" s="144"/>
      <c r="AI1003" s="3"/>
      <c r="AJ1003" s="10"/>
      <c r="AK1003" s="3"/>
      <c r="AL1003" s="5"/>
      <c r="AM1003" s="5"/>
      <c r="AN1003" s="5"/>
      <c r="AO1003" s="5"/>
      <c r="AP1003" s="5"/>
      <c r="AQ1003" s="5"/>
      <c r="AR1003" s="5"/>
      <c r="AS1003" s="142"/>
      <c r="AT1003" s="142"/>
      <c r="AU1003" s="142"/>
      <c r="AV1003" s="142"/>
      <c r="AW1003" s="142"/>
      <c r="AX1003" s="142"/>
      <c r="AY1003" s="142"/>
      <c r="AZ1003" s="174"/>
      <c r="BA1003" s="142"/>
      <c r="BB1003" s="142"/>
      <c r="BC1003" s="142"/>
      <c r="BD1003" s="142"/>
      <c r="BE1003" s="142"/>
      <c r="BF1003" s="142"/>
      <c r="BG1003" s="142"/>
    </row>
    <row r="1004">
      <c r="A1004" s="5"/>
      <c r="B1004" s="44"/>
      <c r="C1004" s="150"/>
      <c r="D1004" s="3"/>
      <c r="E1004" s="3"/>
      <c r="F1004" s="5"/>
      <c r="G1004" s="5"/>
      <c r="H1004" s="5"/>
      <c r="I1004" s="3"/>
      <c r="J1004" s="3"/>
      <c r="K1004" s="3"/>
      <c r="L1004" s="44"/>
      <c r="M1004" s="150"/>
      <c r="N1004" s="5"/>
      <c r="O1004" s="5"/>
      <c r="P1004" s="10"/>
      <c r="Q1004" s="10"/>
      <c r="R1004" s="144"/>
      <c r="S1004" s="144"/>
      <c r="T1004" s="10"/>
      <c r="U1004" s="5"/>
      <c r="V1004" s="3"/>
      <c r="W1004" s="5"/>
      <c r="X1004" s="144"/>
      <c r="Y1004" s="10"/>
      <c r="Z1004" s="3"/>
      <c r="AA1004" s="10"/>
      <c r="AB1004" s="10"/>
      <c r="AC1004" s="181"/>
      <c r="AD1004" s="144"/>
      <c r="AE1004" s="182"/>
      <c r="AF1004" s="10"/>
      <c r="AG1004" s="10"/>
      <c r="AH1004" s="144"/>
      <c r="AI1004" s="3"/>
      <c r="AJ1004" s="10"/>
      <c r="AK1004" s="3"/>
      <c r="AL1004" s="5"/>
      <c r="AM1004" s="5"/>
      <c r="AN1004" s="5"/>
      <c r="AO1004" s="5"/>
      <c r="AP1004" s="5"/>
      <c r="AQ1004" s="5"/>
      <c r="AR1004" s="5"/>
      <c r="AS1004" s="142"/>
      <c r="AT1004" s="142"/>
      <c r="AU1004" s="142"/>
      <c r="AV1004" s="142"/>
      <c r="AW1004" s="142"/>
      <c r="AX1004" s="142"/>
      <c r="AY1004" s="142"/>
      <c r="AZ1004" s="174"/>
      <c r="BA1004" s="142"/>
      <c r="BB1004" s="142"/>
      <c r="BC1004" s="142"/>
      <c r="BD1004" s="142"/>
      <c r="BE1004" s="142"/>
      <c r="BF1004" s="142"/>
      <c r="BG1004" s="142"/>
    </row>
    <row r="1005">
      <c r="A1005" s="5"/>
      <c r="B1005" s="44"/>
      <c r="C1005" s="150"/>
      <c r="D1005" s="3"/>
      <c r="E1005" s="3"/>
      <c r="F1005" s="5"/>
      <c r="G1005" s="5"/>
      <c r="H1005" s="5"/>
      <c r="I1005" s="3"/>
      <c r="J1005" s="3"/>
      <c r="K1005" s="3"/>
      <c r="L1005" s="44"/>
      <c r="M1005" s="150"/>
      <c r="N1005" s="5"/>
      <c r="O1005" s="5"/>
      <c r="P1005" s="10"/>
      <c r="Q1005" s="10"/>
      <c r="R1005" s="144"/>
      <c r="S1005" s="144"/>
      <c r="T1005" s="10"/>
      <c r="U1005" s="5"/>
      <c r="V1005" s="3"/>
      <c r="W1005" s="5"/>
      <c r="X1005" s="144"/>
      <c r="Y1005" s="10"/>
      <c r="Z1005" s="3"/>
      <c r="AA1005" s="10"/>
      <c r="AB1005" s="10"/>
      <c r="AC1005" s="181"/>
      <c r="AD1005" s="144"/>
      <c r="AE1005" s="182"/>
      <c r="AF1005" s="10"/>
      <c r="AG1005" s="10"/>
      <c r="AH1005" s="144"/>
      <c r="AI1005" s="3"/>
      <c r="AJ1005" s="10"/>
      <c r="AK1005" s="3"/>
      <c r="AL1005" s="5"/>
      <c r="AM1005" s="5"/>
      <c r="AN1005" s="5"/>
      <c r="AO1005" s="5"/>
      <c r="AP1005" s="5"/>
      <c r="AQ1005" s="5"/>
      <c r="AR1005" s="5"/>
      <c r="AS1005" s="142"/>
      <c r="AT1005" s="142"/>
      <c r="AU1005" s="142"/>
      <c r="AV1005" s="142"/>
      <c r="AW1005" s="142"/>
      <c r="AX1005" s="142"/>
      <c r="AY1005" s="142"/>
      <c r="AZ1005" s="174"/>
      <c r="BA1005" s="142"/>
      <c r="BB1005" s="142"/>
      <c r="BC1005" s="142"/>
      <c r="BD1005" s="142"/>
      <c r="BE1005" s="142"/>
      <c r="BF1005" s="142"/>
      <c r="BG1005" s="142"/>
    </row>
    <row r="1006">
      <c r="A1006" s="5"/>
      <c r="B1006" s="44"/>
      <c r="C1006" s="150"/>
      <c r="D1006" s="3"/>
      <c r="E1006" s="3"/>
      <c r="F1006" s="5"/>
      <c r="G1006" s="5"/>
      <c r="H1006" s="5"/>
      <c r="I1006" s="3"/>
      <c r="J1006" s="3"/>
      <c r="K1006" s="3"/>
      <c r="L1006" s="44"/>
      <c r="M1006" s="150"/>
      <c r="N1006" s="5"/>
      <c r="O1006" s="5"/>
      <c r="P1006" s="10"/>
      <c r="Q1006" s="10"/>
      <c r="R1006" s="144"/>
      <c r="S1006" s="144"/>
      <c r="T1006" s="10"/>
      <c r="U1006" s="5"/>
      <c r="V1006" s="3"/>
      <c r="W1006" s="5"/>
      <c r="X1006" s="144"/>
      <c r="Y1006" s="10"/>
      <c r="Z1006" s="3"/>
      <c r="AA1006" s="10"/>
      <c r="AB1006" s="10"/>
      <c r="AC1006" s="181"/>
      <c r="AD1006" s="144"/>
      <c r="AE1006" s="182"/>
      <c r="AF1006" s="10"/>
      <c r="AG1006" s="10"/>
      <c r="AH1006" s="144"/>
      <c r="AI1006" s="3"/>
      <c r="AJ1006" s="10"/>
      <c r="AK1006" s="3"/>
      <c r="AL1006" s="5"/>
      <c r="AM1006" s="5"/>
      <c r="AN1006" s="5"/>
      <c r="AO1006" s="5"/>
      <c r="AP1006" s="5"/>
      <c r="AQ1006" s="5"/>
      <c r="AR1006" s="5"/>
      <c r="AS1006" s="142"/>
      <c r="AT1006" s="142"/>
      <c r="AU1006" s="142"/>
      <c r="AV1006" s="142"/>
      <c r="AW1006" s="142"/>
      <c r="AX1006" s="142"/>
      <c r="AY1006" s="142"/>
      <c r="AZ1006" s="174"/>
      <c r="BA1006" s="142"/>
      <c r="BB1006" s="142"/>
      <c r="BC1006" s="142"/>
      <c r="BD1006" s="142"/>
      <c r="BE1006" s="142"/>
      <c r="BF1006" s="142"/>
      <c r="BG1006" s="142"/>
    </row>
    <row r="1007">
      <c r="A1007" s="5"/>
      <c r="B1007" s="44"/>
      <c r="C1007" s="150"/>
      <c r="D1007" s="3"/>
      <c r="E1007" s="3"/>
      <c r="F1007" s="5"/>
      <c r="G1007" s="5"/>
      <c r="H1007" s="5"/>
      <c r="I1007" s="3"/>
      <c r="J1007" s="3"/>
      <c r="K1007" s="3"/>
      <c r="L1007" s="44"/>
      <c r="M1007" s="150"/>
      <c r="N1007" s="5"/>
      <c r="O1007" s="5"/>
      <c r="P1007" s="10"/>
      <c r="Q1007" s="10"/>
      <c r="R1007" s="144"/>
      <c r="S1007" s="144"/>
      <c r="T1007" s="10"/>
      <c r="U1007" s="5"/>
      <c r="V1007" s="3"/>
      <c r="W1007" s="5"/>
      <c r="X1007" s="144"/>
      <c r="Y1007" s="10"/>
      <c r="Z1007" s="3"/>
      <c r="AA1007" s="10"/>
      <c r="AB1007" s="10"/>
      <c r="AC1007" s="181"/>
      <c r="AD1007" s="144"/>
      <c r="AE1007" s="182"/>
      <c r="AF1007" s="10"/>
      <c r="AG1007" s="10"/>
      <c r="AH1007" s="144"/>
      <c r="AI1007" s="3"/>
      <c r="AJ1007" s="10"/>
      <c r="AK1007" s="3"/>
      <c r="AL1007" s="5"/>
      <c r="AM1007" s="5"/>
      <c r="AN1007" s="5"/>
      <c r="AO1007" s="5"/>
      <c r="AP1007" s="5"/>
      <c r="AQ1007" s="5"/>
      <c r="AR1007" s="5"/>
      <c r="AS1007" s="142"/>
      <c r="AT1007" s="142"/>
      <c r="AU1007" s="142"/>
      <c r="AV1007" s="142"/>
      <c r="AW1007" s="142"/>
      <c r="AX1007" s="142"/>
      <c r="AY1007" s="142"/>
      <c r="AZ1007" s="174"/>
      <c r="BA1007" s="142"/>
      <c r="BB1007" s="142"/>
      <c r="BC1007" s="142"/>
      <c r="BD1007" s="142"/>
      <c r="BE1007" s="142"/>
      <c r="BF1007" s="142"/>
      <c r="BG1007" s="142"/>
    </row>
    <row r="1008">
      <c r="A1008" s="5"/>
      <c r="B1008" s="44"/>
      <c r="C1008" s="150"/>
      <c r="D1008" s="3"/>
      <c r="E1008" s="3"/>
      <c r="F1008" s="5"/>
      <c r="G1008" s="5"/>
      <c r="H1008" s="5"/>
      <c r="I1008" s="3"/>
      <c r="J1008" s="3"/>
      <c r="K1008" s="3"/>
      <c r="L1008" s="44"/>
      <c r="M1008" s="150"/>
      <c r="N1008" s="5"/>
      <c r="O1008" s="5"/>
      <c r="P1008" s="10"/>
      <c r="Q1008" s="10"/>
      <c r="R1008" s="144"/>
      <c r="S1008" s="144"/>
      <c r="T1008" s="10"/>
      <c r="U1008" s="5"/>
      <c r="V1008" s="3"/>
      <c r="W1008" s="5"/>
      <c r="X1008" s="144"/>
      <c r="Y1008" s="10"/>
      <c r="Z1008" s="3"/>
      <c r="AA1008" s="10"/>
      <c r="AB1008" s="10"/>
      <c r="AC1008" s="181"/>
      <c r="AD1008" s="144"/>
      <c r="AE1008" s="182"/>
      <c r="AF1008" s="10"/>
      <c r="AG1008" s="10"/>
      <c r="AH1008" s="144"/>
      <c r="AI1008" s="3"/>
      <c r="AJ1008" s="10"/>
      <c r="AK1008" s="3"/>
      <c r="AL1008" s="5"/>
      <c r="AM1008" s="5"/>
      <c r="AN1008" s="5"/>
      <c r="AO1008" s="5"/>
      <c r="AP1008" s="5"/>
      <c r="AQ1008" s="5"/>
      <c r="AR1008" s="5"/>
      <c r="AS1008" s="142"/>
      <c r="AT1008" s="142"/>
      <c r="AU1008" s="142"/>
      <c r="AV1008" s="142"/>
      <c r="AW1008" s="142"/>
      <c r="AX1008" s="142"/>
      <c r="AY1008" s="142"/>
      <c r="AZ1008" s="174"/>
      <c r="BA1008" s="142"/>
      <c r="BB1008" s="142"/>
      <c r="BC1008" s="142"/>
      <c r="BD1008" s="142"/>
      <c r="BE1008" s="142"/>
      <c r="BF1008" s="142"/>
      <c r="BG1008" s="142"/>
    </row>
    <row r="1009">
      <c r="A1009" s="5"/>
      <c r="B1009" s="44"/>
      <c r="C1009" s="150"/>
      <c r="D1009" s="3"/>
      <c r="E1009" s="3"/>
      <c r="F1009" s="5"/>
      <c r="G1009" s="5"/>
      <c r="H1009" s="5"/>
      <c r="I1009" s="3"/>
      <c r="J1009" s="3"/>
      <c r="K1009" s="3"/>
      <c r="L1009" s="44"/>
      <c r="M1009" s="150"/>
      <c r="N1009" s="5"/>
      <c r="O1009" s="5"/>
      <c r="P1009" s="10"/>
      <c r="Q1009" s="10"/>
      <c r="R1009" s="144"/>
      <c r="S1009" s="144"/>
      <c r="T1009" s="10"/>
      <c r="U1009" s="5"/>
      <c r="V1009" s="3"/>
      <c r="W1009" s="5"/>
      <c r="X1009" s="144"/>
      <c r="Y1009" s="10"/>
      <c r="Z1009" s="3"/>
      <c r="AA1009" s="10"/>
      <c r="AB1009" s="10"/>
      <c r="AC1009" s="181"/>
      <c r="AD1009" s="144"/>
      <c r="AE1009" s="182"/>
      <c r="AF1009" s="10"/>
      <c r="AG1009" s="10"/>
      <c r="AH1009" s="144"/>
      <c r="AI1009" s="3"/>
      <c r="AJ1009" s="10"/>
      <c r="AK1009" s="3"/>
      <c r="AL1009" s="5"/>
      <c r="AM1009" s="5"/>
      <c r="AN1009" s="5"/>
      <c r="AO1009" s="5"/>
      <c r="AP1009" s="5"/>
      <c r="AQ1009" s="5"/>
      <c r="AR1009" s="5"/>
      <c r="AS1009" s="142"/>
      <c r="AT1009" s="142"/>
      <c r="AU1009" s="142"/>
      <c r="AV1009" s="142"/>
      <c r="AW1009" s="142"/>
      <c r="AX1009" s="142"/>
      <c r="AY1009" s="142"/>
      <c r="AZ1009" s="174"/>
      <c r="BA1009" s="142"/>
      <c r="BB1009" s="142"/>
      <c r="BC1009" s="142"/>
      <c r="BD1009" s="142"/>
      <c r="BE1009" s="142"/>
      <c r="BF1009" s="142"/>
      <c r="BG1009" s="142"/>
    </row>
    <row r="1010">
      <c r="A1010" s="5"/>
      <c r="B1010" s="44"/>
      <c r="C1010" s="150"/>
      <c r="D1010" s="3"/>
      <c r="E1010" s="3"/>
      <c r="F1010" s="5"/>
      <c r="G1010" s="5"/>
      <c r="H1010" s="5"/>
      <c r="I1010" s="3"/>
      <c r="J1010" s="3"/>
      <c r="K1010" s="3"/>
      <c r="L1010" s="44"/>
      <c r="M1010" s="150"/>
      <c r="N1010" s="5"/>
      <c r="O1010" s="5"/>
      <c r="P1010" s="10"/>
      <c r="Q1010" s="10"/>
      <c r="R1010" s="144"/>
      <c r="S1010" s="144"/>
      <c r="T1010" s="10"/>
      <c r="U1010" s="5"/>
      <c r="V1010" s="3"/>
      <c r="W1010" s="5"/>
      <c r="X1010" s="144"/>
      <c r="Y1010" s="10"/>
      <c r="Z1010" s="3"/>
      <c r="AA1010" s="10"/>
      <c r="AB1010" s="10"/>
      <c r="AC1010" s="181"/>
      <c r="AD1010" s="144"/>
      <c r="AE1010" s="182"/>
      <c r="AF1010" s="10"/>
      <c r="AG1010" s="10"/>
      <c r="AH1010" s="144"/>
      <c r="AI1010" s="3"/>
      <c r="AJ1010" s="10"/>
      <c r="AK1010" s="3"/>
      <c r="AL1010" s="5"/>
      <c r="AM1010" s="5"/>
      <c r="AN1010" s="5"/>
      <c r="AO1010" s="5"/>
      <c r="AP1010" s="5"/>
      <c r="AQ1010" s="5"/>
      <c r="AR1010" s="5"/>
      <c r="AS1010" s="142"/>
      <c r="AT1010" s="142"/>
      <c r="AU1010" s="142"/>
      <c r="AV1010" s="142"/>
      <c r="AW1010" s="142"/>
      <c r="AX1010" s="142"/>
      <c r="AY1010" s="142"/>
      <c r="AZ1010" s="174"/>
      <c r="BA1010" s="142"/>
      <c r="BB1010" s="142"/>
      <c r="BC1010" s="142"/>
      <c r="BD1010" s="142"/>
      <c r="BE1010" s="142"/>
      <c r="BF1010" s="142"/>
      <c r="BG1010" s="142"/>
    </row>
    <row r="1011">
      <c r="A1011" s="5"/>
      <c r="B1011" s="44"/>
      <c r="C1011" s="150"/>
      <c r="D1011" s="3"/>
      <c r="E1011" s="3"/>
      <c r="F1011" s="5"/>
      <c r="G1011" s="5"/>
      <c r="H1011" s="5"/>
      <c r="I1011" s="3"/>
      <c r="J1011" s="3"/>
      <c r="K1011" s="3"/>
      <c r="L1011" s="44"/>
      <c r="M1011" s="150"/>
      <c r="N1011" s="5"/>
      <c r="O1011" s="5"/>
      <c r="P1011" s="10"/>
      <c r="Q1011" s="10"/>
      <c r="R1011" s="144"/>
      <c r="S1011" s="144"/>
      <c r="T1011" s="10"/>
      <c r="U1011" s="5"/>
      <c r="V1011" s="3"/>
      <c r="W1011" s="5"/>
      <c r="X1011" s="144"/>
      <c r="Y1011" s="10"/>
      <c r="Z1011" s="3"/>
      <c r="AA1011" s="10"/>
      <c r="AB1011" s="10"/>
      <c r="AC1011" s="181"/>
      <c r="AD1011" s="144"/>
      <c r="AE1011" s="182"/>
      <c r="AF1011" s="10"/>
      <c r="AG1011" s="10"/>
      <c r="AH1011" s="144"/>
      <c r="AI1011" s="3"/>
      <c r="AJ1011" s="10"/>
      <c r="AK1011" s="3"/>
      <c r="AL1011" s="5"/>
      <c r="AM1011" s="5"/>
      <c r="AN1011" s="5"/>
      <c r="AO1011" s="5"/>
      <c r="AP1011" s="5"/>
      <c r="AQ1011" s="5"/>
      <c r="AR1011" s="5"/>
      <c r="AS1011" s="142"/>
      <c r="AT1011" s="142"/>
      <c r="AU1011" s="142"/>
      <c r="AV1011" s="142"/>
      <c r="AW1011" s="142"/>
      <c r="AX1011" s="142"/>
      <c r="AY1011" s="142"/>
      <c r="AZ1011" s="174"/>
      <c r="BA1011" s="142"/>
      <c r="BB1011" s="142"/>
      <c r="BC1011" s="142"/>
      <c r="BD1011" s="142"/>
      <c r="BE1011" s="142"/>
      <c r="BF1011" s="142"/>
      <c r="BG1011" s="142"/>
    </row>
    <row r="1012">
      <c r="A1012" s="5"/>
      <c r="B1012" s="44"/>
      <c r="C1012" s="150"/>
      <c r="D1012" s="3"/>
      <c r="E1012" s="3"/>
      <c r="F1012" s="5"/>
      <c r="G1012" s="5"/>
      <c r="H1012" s="5"/>
      <c r="I1012" s="3"/>
      <c r="J1012" s="3"/>
      <c r="K1012" s="3"/>
      <c r="L1012" s="44"/>
      <c r="M1012" s="150"/>
      <c r="N1012" s="5"/>
      <c r="O1012" s="5"/>
      <c r="P1012" s="10"/>
      <c r="Q1012" s="10"/>
      <c r="R1012" s="144"/>
      <c r="S1012" s="144"/>
      <c r="T1012" s="10"/>
      <c r="U1012" s="5"/>
      <c r="V1012" s="3"/>
      <c r="W1012" s="5"/>
      <c r="X1012" s="144"/>
      <c r="Y1012" s="10"/>
      <c r="Z1012" s="3"/>
      <c r="AA1012" s="10"/>
      <c r="AB1012" s="10"/>
      <c r="AC1012" s="181"/>
      <c r="AD1012" s="144"/>
      <c r="AE1012" s="182"/>
      <c r="AF1012" s="10"/>
      <c r="AG1012" s="10"/>
      <c r="AH1012" s="144"/>
      <c r="AI1012" s="3"/>
      <c r="AJ1012" s="10"/>
      <c r="AK1012" s="3"/>
      <c r="AL1012" s="5"/>
      <c r="AM1012" s="5"/>
      <c r="AN1012" s="5"/>
      <c r="AO1012" s="5"/>
      <c r="AP1012" s="5"/>
      <c r="AQ1012" s="5"/>
      <c r="AR1012" s="5"/>
      <c r="AS1012" s="142"/>
      <c r="AT1012" s="142"/>
      <c r="AU1012" s="142"/>
      <c r="AV1012" s="142"/>
      <c r="AW1012" s="142"/>
      <c r="AX1012" s="142"/>
      <c r="AY1012" s="142"/>
      <c r="AZ1012" s="174"/>
      <c r="BA1012" s="142"/>
      <c r="BB1012" s="142"/>
      <c r="BC1012" s="142"/>
      <c r="BD1012" s="142"/>
      <c r="BE1012" s="142"/>
      <c r="BF1012" s="142"/>
      <c r="BG1012" s="142"/>
    </row>
    <row r="1013">
      <c r="A1013" s="5"/>
      <c r="B1013" s="44"/>
      <c r="C1013" s="150"/>
      <c r="D1013" s="3"/>
      <c r="E1013" s="3"/>
      <c r="F1013" s="5"/>
      <c r="G1013" s="5"/>
      <c r="H1013" s="5"/>
      <c r="I1013" s="3"/>
      <c r="J1013" s="3"/>
      <c r="K1013" s="3"/>
      <c r="L1013" s="44"/>
      <c r="M1013" s="150"/>
      <c r="N1013" s="5"/>
      <c r="O1013" s="5"/>
      <c r="P1013" s="10"/>
      <c r="Q1013" s="10"/>
      <c r="R1013" s="144"/>
      <c r="S1013" s="144"/>
      <c r="T1013" s="10"/>
      <c r="U1013" s="5"/>
      <c r="V1013" s="3"/>
      <c r="W1013" s="5"/>
      <c r="X1013" s="144"/>
      <c r="Y1013" s="10"/>
      <c r="Z1013" s="3"/>
      <c r="AA1013" s="10"/>
      <c r="AB1013" s="10"/>
      <c r="AC1013" s="181"/>
      <c r="AD1013" s="144"/>
      <c r="AE1013" s="182"/>
      <c r="AF1013" s="10"/>
      <c r="AG1013" s="10"/>
      <c r="AH1013" s="144"/>
      <c r="AI1013" s="3"/>
      <c r="AJ1013" s="10"/>
      <c r="AK1013" s="3"/>
      <c r="AL1013" s="5"/>
      <c r="AM1013" s="5"/>
      <c r="AN1013" s="5"/>
      <c r="AO1013" s="5"/>
      <c r="AP1013" s="5"/>
      <c r="AQ1013" s="5"/>
      <c r="AR1013" s="5"/>
      <c r="AS1013" s="142"/>
      <c r="AT1013" s="142"/>
      <c r="AU1013" s="142"/>
      <c r="AV1013" s="142"/>
      <c r="AW1013" s="142"/>
      <c r="AX1013" s="142"/>
      <c r="AY1013" s="142"/>
      <c r="AZ1013" s="174"/>
      <c r="BA1013" s="142"/>
      <c r="BB1013" s="142"/>
      <c r="BC1013" s="142"/>
      <c r="BD1013" s="142"/>
      <c r="BE1013" s="142"/>
      <c r="BF1013" s="142"/>
      <c r="BG1013" s="142"/>
    </row>
    <row r="1014">
      <c r="A1014" s="5"/>
      <c r="B1014" s="44"/>
      <c r="C1014" s="150"/>
      <c r="D1014" s="3"/>
      <c r="E1014" s="3"/>
      <c r="F1014" s="5"/>
      <c r="G1014" s="5"/>
      <c r="H1014" s="5"/>
      <c r="I1014" s="3"/>
      <c r="J1014" s="3"/>
      <c r="K1014" s="3"/>
      <c r="L1014" s="44"/>
      <c r="M1014" s="150"/>
      <c r="N1014" s="5"/>
      <c r="O1014" s="5"/>
      <c r="P1014" s="10"/>
      <c r="Q1014" s="10"/>
      <c r="R1014" s="144"/>
      <c r="S1014" s="144"/>
      <c r="T1014" s="10"/>
      <c r="U1014" s="5"/>
      <c r="V1014" s="3"/>
      <c r="W1014" s="5"/>
      <c r="X1014" s="144"/>
      <c r="Y1014" s="10"/>
      <c r="Z1014" s="3"/>
      <c r="AA1014" s="10"/>
      <c r="AB1014" s="10"/>
      <c r="AC1014" s="181"/>
      <c r="AD1014" s="144"/>
      <c r="AE1014" s="182"/>
      <c r="AF1014" s="10"/>
      <c r="AG1014" s="10"/>
      <c r="AH1014" s="144"/>
      <c r="AI1014" s="3"/>
      <c r="AJ1014" s="10"/>
      <c r="AK1014" s="3"/>
      <c r="AL1014" s="5"/>
      <c r="AM1014" s="5"/>
      <c r="AN1014" s="5"/>
      <c r="AO1014" s="5"/>
      <c r="AP1014" s="5"/>
      <c r="AQ1014" s="5"/>
      <c r="AR1014" s="5"/>
      <c r="AS1014" s="142"/>
      <c r="AT1014" s="142"/>
      <c r="AU1014" s="142"/>
      <c r="AV1014" s="142"/>
      <c r="AW1014" s="142"/>
      <c r="AX1014" s="142"/>
      <c r="AY1014" s="142"/>
      <c r="AZ1014" s="174"/>
      <c r="BA1014" s="142"/>
      <c r="BB1014" s="142"/>
      <c r="BC1014" s="142"/>
      <c r="BD1014" s="142"/>
      <c r="BE1014" s="142"/>
      <c r="BF1014" s="142"/>
      <c r="BG1014" s="142"/>
    </row>
    <row r="1015">
      <c r="A1015" s="5"/>
      <c r="B1015" s="44"/>
      <c r="C1015" s="150"/>
      <c r="D1015" s="3"/>
      <c r="E1015" s="3"/>
      <c r="F1015" s="5"/>
      <c r="G1015" s="5"/>
      <c r="H1015" s="5"/>
      <c r="I1015" s="3"/>
      <c r="J1015" s="3"/>
      <c r="K1015" s="3"/>
      <c r="L1015" s="44"/>
      <c r="M1015" s="150"/>
      <c r="N1015" s="5"/>
      <c r="O1015" s="5"/>
      <c r="P1015" s="10"/>
      <c r="Q1015" s="10"/>
      <c r="R1015" s="144"/>
      <c r="S1015" s="144"/>
      <c r="T1015" s="10"/>
      <c r="U1015" s="5"/>
      <c r="V1015" s="3"/>
      <c r="W1015" s="5"/>
      <c r="X1015" s="144"/>
      <c r="Y1015" s="10"/>
      <c r="Z1015" s="3"/>
      <c r="AA1015" s="10"/>
      <c r="AB1015" s="10"/>
      <c r="AC1015" s="181"/>
      <c r="AD1015" s="144"/>
      <c r="AE1015" s="182"/>
      <c r="AF1015" s="10"/>
      <c r="AG1015" s="10"/>
      <c r="AH1015" s="144"/>
      <c r="AI1015" s="3"/>
      <c r="AJ1015" s="10"/>
      <c r="AK1015" s="3"/>
      <c r="AL1015" s="5"/>
      <c r="AM1015" s="5"/>
      <c r="AN1015" s="5"/>
      <c r="AO1015" s="5"/>
      <c r="AP1015" s="5"/>
      <c r="AQ1015" s="5"/>
      <c r="AR1015" s="5"/>
      <c r="AS1015" s="142"/>
      <c r="AT1015" s="142"/>
      <c r="AU1015" s="142"/>
      <c r="AV1015" s="142"/>
      <c r="AW1015" s="142"/>
      <c r="AX1015" s="142"/>
      <c r="AY1015" s="142"/>
      <c r="AZ1015" s="174"/>
      <c r="BA1015" s="142"/>
      <c r="BB1015" s="142"/>
      <c r="BC1015" s="142"/>
      <c r="BD1015" s="142"/>
      <c r="BE1015" s="142"/>
      <c r="BF1015" s="142"/>
      <c r="BG1015" s="142"/>
    </row>
    <row r="1016">
      <c r="A1016" s="5"/>
      <c r="B1016" s="44"/>
      <c r="C1016" s="150"/>
      <c r="D1016" s="3"/>
      <c r="E1016" s="3"/>
      <c r="F1016" s="5"/>
      <c r="G1016" s="5"/>
      <c r="H1016" s="5"/>
      <c r="I1016" s="3"/>
      <c r="J1016" s="3"/>
      <c r="K1016" s="3"/>
      <c r="L1016" s="44"/>
      <c r="M1016" s="150"/>
      <c r="N1016" s="5"/>
      <c r="O1016" s="5"/>
      <c r="P1016" s="10"/>
      <c r="Q1016" s="10"/>
      <c r="R1016" s="144"/>
      <c r="S1016" s="144"/>
      <c r="T1016" s="10"/>
      <c r="U1016" s="5"/>
      <c r="V1016" s="3"/>
      <c r="W1016" s="5"/>
      <c r="X1016" s="144"/>
      <c r="Y1016" s="10"/>
      <c r="Z1016" s="3"/>
      <c r="AA1016" s="10"/>
      <c r="AB1016" s="10"/>
      <c r="AC1016" s="181"/>
      <c r="AD1016" s="144"/>
      <c r="AE1016" s="182"/>
      <c r="AF1016" s="10"/>
      <c r="AG1016" s="10"/>
      <c r="AH1016" s="144"/>
      <c r="AI1016" s="3"/>
      <c r="AJ1016" s="10"/>
      <c r="AK1016" s="3"/>
      <c r="AL1016" s="5"/>
      <c r="AM1016" s="5"/>
      <c r="AN1016" s="5"/>
      <c r="AO1016" s="5"/>
      <c r="AP1016" s="5"/>
      <c r="AQ1016" s="5"/>
      <c r="AR1016" s="5"/>
      <c r="AS1016" s="142"/>
      <c r="AT1016" s="142"/>
      <c r="AU1016" s="142"/>
      <c r="AV1016" s="142"/>
      <c r="AW1016" s="142"/>
      <c r="AX1016" s="142"/>
      <c r="AY1016" s="142"/>
      <c r="AZ1016" s="174"/>
      <c r="BA1016" s="142"/>
      <c r="BB1016" s="142"/>
      <c r="BC1016" s="142"/>
      <c r="BD1016" s="142"/>
      <c r="BE1016" s="142"/>
      <c r="BF1016" s="142"/>
      <c r="BG1016" s="142"/>
    </row>
    <row r="1017">
      <c r="A1017" s="5"/>
      <c r="B1017" s="44"/>
      <c r="C1017" s="150"/>
      <c r="D1017" s="3"/>
      <c r="E1017" s="3"/>
      <c r="F1017" s="5"/>
      <c r="G1017" s="5"/>
      <c r="H1017" s="5"/>
      <c r="I1017" s="3"/>
      <c r="J1017" s="3"/>
      <c r="K1017" s="3"/>
      <c r="L1017" s="44"/>
      <c r="M1017" s="150"/>
      <c r="N1017" s="5"/>
      <c r="O1017" s="5"/>
      <c r="P1017" s="10"/>
      <c r="Q1017" s="10"/>
      <c r="R1017" s="144"/>
      <c r="S1017" s="144"/>
      <c r="T1017" s="10"/>
      <c r="U1017" s="5"/>
      <c r="V1017" s="3"/>
      <c r="W1017" s="5"/>
      <c r="X1017" s="144"/>
      <c r="Y1017" s="10"/>
      <c r="Z1017" s="3"/>
      <c r="AA1017" s="10"/>
      <c r="AB1017" s="10"/>
      <c r="AC1017" s="181"/>
      <c r="AD1017" s="144"/>
      <c r="AE1017" s="182"/>
      <c r="AF1017" s="10"/>
      <c r="AG1017" s="10"/>
      <c r="AH1017" s="144"/>
      <c r="AI1017" s="3"/>
      <c r="AJ1017" s="10"/>
      <c r="AK1017" s="3"/>
      <c r="AL1017" s="5"/>
      <c r="AM1017" s="5"/>
      <c r="AN1017" s="5"/>
      <c r="AO1017" s="5"/>
      <c r="AP1017" s="5"/>
      <c r="AQ1017" s="5"/>
      <c r="AR1017" s="5"/>
      <c r="AS1017" s="142"/>
      <c r="AT1017" s="142"/>
      <c r="AU1017" s="142"/>
      <c r="AV1017" s="142"/>
      <c r="AW1017" s="142"/>
      <c r="AX1017" s="142"/>
      <c r="AY1017" s="142"/>
      <c r="AZ1017" s="174"/>
      <c r="BA1017" s="142"/>
      <c r="BB1017" s="142"/>
      <c r="BC1017" s="142"/>
      <c r="BD1017" s="142"/>
      <c r="BE1017" s="142"/>
      <c r="BF1017" s="142"/>
      <c r="BG1017" s="142"/>
    </row>
    <row r="1018">
      <c r="A1018" s="5"/>
      <c r="B1018" s="44"/>
      <c r="C1018" s="150"/>
      <c r="D1018" s="3"/>
      <c r="E1018" s="3"/>
      <c r="F1018" s="5"/>
      <c r="G1018" s="5"/>
      <c r="H1018" s="5"/>
      <c r="I1018" s="3"/>
      <c r="J1018" s="3"/>
      <c r="K1018" s="3"/>
      <c r="L1018" s="44"/>
      <c r="M1018" s="150"/>
      <c r="N1018" s="5"/>
      <c r="O1018" s="5"/>
      <c r="P1018" s="10"/>
      <c r="Q1018" s="10"/>
      <c r="R1018" s="144"/>
      <c r="S1018" s="144"/>
      <c r="T1018" s="10"/>
      <c r="U1018" s="5"/>
      <c r="V1018" s="3"/>
      <c r="W1018" s="5"/>
      <c r="X1018" s="144"/>
      <c r="Y1018" s="10"/>
      <c r="Z1018" s="3"/>
      <c r="AA1018" s="10"/>
      <c r="AB1018" s="10"/>
      <c r="AC1018" s="181"/>
      <c r="AD1018" s="144"/>
      <c r="AE1018" s="182"/>
      <c r="AF1018" s="10"/>
      <c r="AG1018" s="10"/>
      <c r="AH1018" s="144"/>
      <c r="AI1018" s="3"/>
      <c r="AJ1018" s="10"/>
      <c r="AK1018" s="3"/>
      <c r="AL1018" s="5"/>
      <c r="AM1018" s="5"/>
      <c r="AN1018" s="5"/>
      <c r="AO1018" s="5"/>
      <c r="AP1018" s="5"/>
      <c r="AQ1018" s="5"/>
      <c r="AR1018" s="5"/>
      <c r="AS1018" s="142"/>
      <c r="AT1018" s="142"/>
      <c r="AU1018" s="142"/>
      <c r="AV1018" s="142"/>
      <c r="AW1018" s="142"/>
      <c r="AX1018" s="142"/>
      <c r="AY1018" s="142"/>
      <c r="AZ1018" s="174"/>
      <c r="BA1018" s="142"/>
      <c r="BB1018" s="142"/>
      <c r="BC1018" s="142"/>
      <c r="BD1018" s="142"/>
      <c r="BE1018" s="142"/>
      <c r="BF1018" s="142"/>
      <c r="BG1018" s="142"/>
    </row>
    <row r="1019">
      <c r="A1019" s="5"/>
      <c r="B1019" s="44"/>
      <c r="C1019" s="150"/>
      <c r="D1019" s="3"/>
      <c r="E1019" s="3"/>
      <c r="F1019" s="5"/>
      <c r="G1019" s="5"/>
      <c r="H1019" s="5"/>
      <c r="I1019" s="3"/>
      <c r="J1019" s="3"/>
      <c r="K1019" s="3"/>
      <c r="L1019" s="44"/>
      <c r="M1019" s="150"/>
      <c r="N1019" s="5"/>
      <c r="O1019" s="5"/>
      <c r="P1019" s="10"/>
      <c r="Q1019" s="10"/>
      <c r="R1019" s="144"/>
      <c r="S1019" s="144"/>
      <c r="T1019" s="10"/>
      <c r="U1019" s="5"/>
      <c r="V1019" s="3"/>
      <c r="W1019" s="5"/>
      <c r="X1019" s="144"/>
      <c r="Y1019" s="10"/>
      <c r="Z1019" s="3"/>
      <c r="AA1019" s="10"/>
      <c r="AB1019" s="10"/>
      <c r="AC1019" s="181"/>
      <c r="AD1019" s="144"/>
      <c r="AE1019" s="182"/>
      <c r="AF1019" s="10"/>
      <c r="AG1019" s="10"/>
      <c r="AH1019" s="144"/>
      <c r="AI1019" s="3"/>
      <c r="AJ1019" s="10"/>
      <c r="AK1019" s="3"/>
      <c r="AL1019" s="5"/>
      <c r="AM1019" s="5"/>
      <c r="AN1019" s="5"/>
      <c r="AO1019" s="5"/>
      <c r="AP1019" s="5"/>
      <c r="AQ1019" s="5"/>
      <c r="AR1019" s="5"/>
      <c r="AS1019" s="142"/>
      <c r="AT1019" s="142"/>
      <c r="AU1019" s="142"/>
      <c r="AV1019" s="142"/>
      <c r="AW1019" s="142"/>
      <c r="AX1019" s="142"/>
      <c r="AY1019" s="142"/>
      <c r="AZ1019" s="174"/>
      <c r="BA1019" s="142"/>
      <c r="BB1019" s="142"/>
      <c r="BC1019" s="142"/>
      <c r="BD1019" s="142"/>
      <c r="BE1019" s="142"/>
      <c r="BF1019" s="142"/>
      <c r="BG1019" s="142"/>
    </row>
    <row r="1020">
      <c r="A1020" s="5"/>
      <c r="B1020" s="44"/>
      <c r="C1020" s="150"/>
      <c r="D1020" s="3"/>
      <c r="E1020" s="3"/>
      <c r="F1020" s="5"/>
      <c r="G1020" s="5"/>
      <c r="H1020" s="5"/>
      <c r="I1020" s="3"/>
      <c r="J1020" s="3"/>
      <c r="K1020" s="3"/>
      <c r="L1020" s="44"/>
      <c r="M1020" s="150"/>
      <c r="N1020" s="5"/>
      <c r="O1020" s="5"/>
      <c r="P1020" s="10"/>
      <c r="Q1020" s="10"/>
      <c r="R1020" s="144"/>
      <c r="S1020" s="144"/>
      <c r="T1020" s="10"/>
      <c r="U1020" s="5"/>
      <c r="V1020" s="3"/>
      <c r="W1020" s="5"/>
      <c r="X1020" s="144"/>
      <c r="Y1020" s="10"/>
      <c r="Z1020" s="3"/>
      <c r="AA1020" s="10"/>
      <c r="AB1020" s="10"/>
      <c r="AC1020" s="181"/>
      <c r="AD1020" s="144"/>
      <c r="AE1020" s="182"/>
      <c r="AF1020" s="10"/>
      <c r="AG1020" s="10"/>
      <c r="AH1020" s="144"/>
      <c r="AI1020" s="3"/>
      <c r="AJ1020" s="10"/>
      <c r="AK1020" s="3"/>
      <c r="AL1020" s="5"/>
      <c r="AM1020" s="5"/>
      <c r="AN1020" s="5"/>
      <c r="AO1020" s="5"/>
      <c r="AP1020" s="5"/>
      <c r="AQ1020" s="5"/>
      <c r="AR1020" s="5"/>
      <c r="AS1020" s="142"/>
      <c r="AT1020" s="142"/>
      <c r="AU1020" s="142"/>
      <c r="AV1020" s="142"/>
      <c r="AW1020" s="142"/>
      <c r="AX1020" s="142"/>
      <c r="AY1020" s="142"/>
      <c r="AZ1020" s="174"/>
      <c r="BA1020" s="142"/>
      <c r="BB1020" s="142"/>
      <c r="BC1020" s="142"/>
      <c r="BD1020" s="142"/>
      <c r="BE1020" s="142"/>
      <c r="BF1020" s="142"/>
      <c r="BG1020" s="142"/>
    </row>
    <row r="1021">
      <c r="A1021" s="5"/>
      <c r="B1021" s="44"/>
      <c r="C1021" s="150"/>
      <c r="D1021" s="3"/>
      <c r="E1021" s="3"/>
      <c r="F1021" s="5"/>
      <c r="G1021" s="5"/>
      <c r="H1021" s="5"/>
      <c r="I1021" s="3"/>
      <c r="J1021" s="3"/>
      <c r="K1021" s="3"/>
      <c r="L1021" s="44"/>
      <c r="M1021" s="150"/>
      <c r="N1021" s="5"/>
      <c r="O1021" s="5"/>
      <c r="P1021" s="10"/>
      <c r="Q1021" s="10"/>
      <c r="R1021" s="144"/>
      <c r="S1021" s="144"/>
      <c r="T1021" s="10"/>
      <c r="U1021" s="5"/>
      <c r="V1021" s="3"/>
      <c r="W1021" s="5"/>
      <c r="X1021" s="144"/>
      <c r="Y1021" s="10"/>
      <c r="Z1021" s="3"/>
      <c r="AA1021" s="10"/>
      <c r="AB1021" s="10"/>
      <c r="AC1021" s="181"/>
      <c r="AD1021" s="144"/>
      <c r="AE1021" s="182"/>
      <c r="AF1021" s="10"/>
      <c r="AG1021" s="10"/>
      <c r="AH1021" s="144"/>
      <c r="AI1021" s="3"/>
      <c r="AJ1021" s="10"/>
      <c r="AK1021" s="3"/>
      <c r="AL1021" s="5"/>
      <c r="AM1021" s="5"/>
      <c r="AN1021" s="5"/>
      <c r="AO1021" s="5"/>
      <c r="AP1021" s="5"/>
      <c r="AQ1021" s="5"/>
      <c r="AR1021" s="5"/>
      <c r="AS1021" s="142"/>
      <c r="AT1021" s="142"/>
      <c r="AU1021" s="142"/>
      <c r="AV1021" s="142"/>
      <c r="AW1021" s="142"/>
      <c r="AX1021" s="142"/>
      <c r="AY1021" s="142"/>
      <c r="AZ1021" s="174"/>
      <c r="BA1021" s="142"/>
      <c r="BB1021" s="142"/>
      <c r="BC1021" s="142"/>
      <c r="BD1021" s="142"/>
      <c r="BE1021" s="142"/>
      <c r="BF1021" s="142"/>
      <c r="BG1021" s="142"/>
    </row>
    <row r="1022">
      <c r="A1022" s="5"/>
      <c r="B1022" s="44"/>
      <c r="C1022" s="150"/>
      <c r="D1022" s="3"/>
      <c r="E1022" s="3"/>
      <c r="F1022" s="5"/>
      <c r="G1022" s="5"/>
      <c r="H1022" s="5"/>
      <c r="I1022" s="3"/>
      <c r="J1022" s="3"/>
      <c r="K1022" s="3"/>
      <c r="L1022" s="44"/>
      <c r="M1022" s="150"/>
      <c r="N1022" s="5"/>
      <c r="O1022" s="5"/>
      <c r="P1022" s="10"/>
      <c r="Q1022" s="10"/>
      <c r="R1022" s="144"/>
      <c r="S1022" s="144"/>
      <c r="T1022" s="10"/>
      <c r="U1022" s="5"/>
      <c r="V1022" s="3"/>
      <c r="W1022" s="5"/>
      <c r="X1022" s="144"/>
      <c r="Y1022" s="10"/>
      <c r="Z1022" s="3"/>
      <c r="AA1022" s="10"/>
      <c r="AB1022" s="10"/>
      <c r="AC1022" s="181"/>
      <c r="AD1022" s="144"/>
      <c r="AE1022" s="182"/>
      <c r="AF1022" s="10"/>
      <c r="AG1022" s="10"/>
      <c r="AH1022" s="144"/>
      <c r="AI1022" s="3"/>
      <c r="AJ1022" s="10"/>
      <c r="AK1022" s="3"/>
      <c r="AL1022" s="5"/>
      <c r="AM1022" s="5"/>
      <c r="AN1022" s="5"/>
      <c r="AO1022" s="5"/>
      <c r="AP1022" s="5"/>
      <c r="AQ1022" s="5"/>
      <c r="AR1022" s="5"/>
      <c r="AS1022" s="142"/>
      <c r="AT1022" s="142"/>
      <c r="AU1022" s="142"/>
      <c r="AV1022" s="142"/>
      <c r="AW1022" s="142"/>
      <c r="AX1022" s="142"/>
      <c r="AY1022" s="142"/>
      <c r="AZ1022" s="174"/>
      <c r="BA1022" s="142"/>
      <c r="BB1022" s="142"/>
      <c r="BC1022" s="142"/>
      <c r="BD1022" s="142"/>
      <c r="BE1022" s="142"/>
      <c r="BF1022" s="142"/>
      <c r="BG1022" s="142"/>
    </row>
    <row r="1023">
      <c r="A1023" s="5"/>
      <c r="B1023" s="44"/>
      <c r="C1023" s="150"/>
      <c r="D1023" s="3"/>
      <c r="E1023" s="3"/>
      <c r="F1023" s="5"/>
      <c r="G1023" s="5"/>
      <c r="H1023" s="5"/>
      <c r="I1023" s="3"/>
      <c r="J1023" s="3"/>
      <c r="K1023" s="3"/>
      <c r="L1023" s="44"/>
      <c r="M1023" s="150"/>
      <c r="N1023" s="5"/>
      <c r="O1023" s="5"/>
      <c r="P1023" s="10"/>
      <c r="Q1023" s="10"/>
      <c r="R1023" s="144"/>
      <c r="S1023" s="144"/>
      <c r="T1023" s="10"/>
      <c r="U1023" s="5"/>
      <c r="V1023" s="3"/>
      <c r="W1023" s="5"/>
      <c r="X1023" s="144"/>
      <c r="Y1023" s="10"/>
      <c r="Z1023" s="3"/>
      <c r="AA1023" s="10"/>
      <c r="AB1023" s="10"/>
      <c r="AC1023" s="181"/>
      <c r="AD1023" s="144"/>
      <c r="AE1023" s="182"/>
      <c r="AF1023" s="10"/>
      <c r="AG1023" s="10"/>
      <c r="AH1023" s="144"/>
      <c r="AI1023" s="3"/>
      <c r="AJ1023" s="10"/>
      <c r="AK1023" s="3"/>
      <c r="AL1023" s="5"/>
      <c r="AM1023" s="5"/>
      <c r="AN1023" s="5"/>
      <c r="AO1023" s="5"/>
      <c r="AP1023" s="5"/>
      <c r="AQ1023" s="5"/>
      <c r="AR1023" s="5"/>
      <c r="AS1023" s="142"/>
      <c r="AT1023" s="142"/>
      <c r="AU1023" s="142"/>
      <c r="AV1023" s="142"/>
      <c r="AW1023" s="142"/>
      <c r="AX1023" s="142"/>
      <c r="AY1023" s="142"/>
      <c r="AZ1023" s="174"/>
      <c r="BA1023" s="142"/>
      <c r="BB1023" s="142"/>
      <c r="BC1023" s="142"/>
      <c r="BD1023" s="142"/>
      <c r="BE1023" s="142"/>
      <c r="BF1023" s="142"/>
      <c r="BG1023" s="142"/>
    </row>
    <row r="1024">
      <c r="A1024" s="5"/>
      <c r="B1024" s="44"/>
      <c r="C1024" s="150"/>
      <c r="D1024" s="3"/>
      <c r="E1024" s="3"/>
      <c r="F1024" s="5"/>
      <c r="G1024" s="5"/>
      <c r="H1024" s="5"/>
      <c r="I1024" s="3"/>
      <c r="J1024" s="3"/>
      <c r="K1024" s="3"/>
      <c r="L1024" s="44"/>
      <c r="M1024" s="150"/>
      <c r="N1024" s="5"/>
      <c r="O1024" s="5"/>
      <c r="P1024" s="10"/>
      <c r="Q1024" s="10"/>
      <c r="R1024" s="144"/>
      <c r="S1024" s="144"/>
      <c r="T1024" s="10"/>
      <c r="U1024" s="5"/>
      <c r="V1024" s="3"/>
      <c r="W1024" s="5"/>
      <c r="X1024" s="144"/>
      <c r="Y1024" s="10"/>
      <c r="Z1024" s="3"/>
      <c r="AA1024" s="10"/>
      <c r="AB1024" s="10"/>
      <c r="AC1024" s="181"/>
      <c r="AD1024" s="144"/>
      <c r="AE1024" s="182"/>
      <c r="AF1024" s="10"/>
      <c r="AG1024" s="10"/>
      <c r="AH1024" s="144"/>
      <c r="AI1024" s="3"/>
      <c r="AJ1024" s="10"/>
      <c r="AK1024" s="3"/>
      <c r="AL1024" s="5"/>
      <c r="AM1024" s="5"/>
      <c r="AN1024" s="5"/>
      <c r="AO1024" s="5"/>
      <c r="AP1024" s="5"/>
      <c r="AQ1024" s="5"/>
      <c r="AR1024" s="5"/>
      <c r="AS1024" s="142"/>
      <c r="AT1024" s="142"/>
      <c r="AU1024" s="142"/>
      <c r="AV1024" s="142"/>
      <c r="AW1024" s="142"/>
      <c r="AX1024" s="142"/>
      <c r="AY1024" s="142"/>
      <c r="AZ1024" s="174"/>
      <c r="BA1024" s="142"/>
      <c r="BB1024" s="142"/>
      <c r="BC1024" s="142"/>
      <c r="BD1024" s="142"/>
      <c r="BE1024" s="142"/>
      <c r="BF1024" s="142"/>
      <c r="BG1024" s="142"/>
    </row>
    <row r="1025">
      <c r="A1025" s="5"/>
      <c r="B1025" s="44"/>
      <c r="C1025" s="150"/>
      <c r="D1025" s="3"/>
      <c r="E1025" s="3"/>
      <c r="F1025" s="5"/>
      <c r="G1025" s="5"/>
      <c r="H1025" s="5"/>
      <c r="I1025" s="3"/>
      <c r="J1025" s="3"/>
      <c r="K1025" s="3"/>
      <c r="L1025" s="44"/>
      <c r="M1025" s="150"/>
      <c r="N1025" s="5"/>
      <c r="O1025" s="5"/>
      <c r="P1025" s="10"/>
      <c r="Q1025" s="10"/>
      <c r="R1025" s="144"/>
      <c r="S1025" s="144"/>
      <c r="T1025" s="10"/>
      <c r="U1025" s="5"/>
      <c r="V1025" s="3"/>
      <c r="W1025" s="5"/>
      <c r="X1025" s="144"/>
      <c r="Y1025" s="10"/>
      <c r="Z1025" s="3"/>
      <c r="AA1025" s="10"/>
      <c r="AB1025" s="10"/>
      <c r="AC1025" s="181"/>
      <c r="AD1025" s="144"/>
      <c r="AE1025" s="182"/>
      <c r="AF1025" s="10"/>
      <c r="AG1025" s="10"/>
      <c r="AH1025" s="144"/>
      <c r="AI1025" s="3"/>
      <c r="AJ1025" s="10"/>
      <c r="AK1025" s="3"/>
      <c r="AL1025" s="5"/>
      <c r="AM1025" s="5"/>
      <c r="AN1025" s="5"/>
      <c r="AO1025" s="5"/>
      <c r="AP1025" s="5"/>
      <c r="AQ1025" s="5"/>
      <c r="AR1025" s="5"/>
      <c r="AS1025" s="142"/>
      <c r="AT1025" s="142"/>
      <c r="AU1025" s="142"/>
      <c r="AV1025" s="142"/>
      <c r="AW1025" s="142"/>
      <c r="AX1025" s="142"/>
      <c r="AY1025" s="142"/>
      <c r="AZ1025" s="174"/>
      <c r="BA1025" s="142"/>
      <c r="BB1025" s="142"/>
      <c r="BC1025" s="142"/>
      <c r="BD1025" s="142"/>
      <c r="BE1025" s="142"/>
      <c r="BF1025" s="142"/>
      <c r="BG1025" s="142"/>
    </row>
    <row r="1026">
      <c r="A1026" s="5"/>
      <c r="B1026" s="44"/>
      <c r="C1026" s="150"/>
      <c r="D1026" s="3"/>
      <c r="E1026" s="3"/>
      <c r="F1026" s="5"/>
      <c r="G1026" s="5"/>
      <c r="H1026" s="5"/>
      <c r="I1026" s="3"/>
      <c r="J1026" s="3"/>
      <c r="K1026" s="3"/>
      <c r="L1026" s="44"/>
      <c r="M1026" s="150"/>
      <c r="N1026" s="5"/>
      <c r="O1026" s="5"/>
      <c r="P1026" s="10"/>
      <c r="Q1026" s="10"/>
      <c r="R1026" s="144"/>
      <c r="S1026" s="144"/>
      <c r="T1026" s="10"/>
      <c r="U1026" s="5"/>
      <c r="V1026" s="3"/>
      <c r="W1026" s="5"/>
      <c r="X1026" s="144"/>
      <c r="Y1026" s="10"/>
      <c r="Z1026" s="3"/>
      <c r="AA1026" s="10"/>
      <c r="AB1026" s="10"/>
      <c r="AC1026" s="181"/>
      <c r="AD1026" s="144"/>
      <c r="AE1026" s="182"/>
      <c r="AF1026" s="10"/>
      <c r="AG1026" s="10"/>
      <c r="AH1026" s="144"/>
      <c r="AI1026" s="3"/>
      <c r="AJ1026" s="10"/>
      <c r="AK1026" s="3"/>
      <c r="AL1026" s="5"/>
      <c r="AM1026" s="5"/>
      <c r="AN1026" s="5"/>
      <c r="AO1026" s="5"/>
      <c r="AP1026" s="5"/>
      <c r="AQ1026" s="5"/>
      <c r="AR1026" s="5"/>
      <c r="AS1026" s="142"/>
      <c r="AT1026" s="142"/>
      <c r="AU1026" s="142"/>
      <c r="AV1026" s="142"/>
      <c r="AW1026" s="142"/>
      <c r="AX1026" s="142"/>
      <c r="AY1026" s="142"/>
      <c r="AZ1026" s="174"/>
      <c r="BA1026" s="142"/>
      <c r="BB1026" s="142"/>
      <c r="BC1026" s="142"/>
      <c r="BD1026" s="142"/>
      <c r="BE1026" s="142"/>
      <c r="BF1026" s="142"/>
      <c r="BG1026" s="142"/>
    </row>
    <row r="1027">
      <c r="A1027" s="5"/>
      <c r="B1027" s="44"/>
      <c r="C1027" s="150"/>
      <c r="D1027" s="3"/>
      <c r="E1027" s="3"/>
      <c r="F1027" s="5"/>
      <c r="G1027" s="5"/>
      <c r="H1027" s="5"/>
      <c r="I1027" s="3"/>
      <c r="J1027" s="3"/>
      <c r="K1027" s="3"/>
      <c r="L1027" s="44"/>
      <c r="M1027" s="150"/>
      <c r="N1027" s="5"/>
      <c r="O1027" s="5"/>
      <c r="P1027" s="10"/>
      <c r="Q1027" s="10"/>
      <c r="R1027" s="144"/>
      <c r="S1027" s="144"/>
      <c r="T1027" s="10"/>
      <c r="U1027" s="5"/>
      <c r="V1027" s="3"/>
      <c r="W1027" s="5"/>
      <c r="X1027" s="144"/>
      <c r="Y1027" s="10"/>
      <c r="Z1027" s="3"/>
      <c r="AA1027" s="10"/>
      <c r="AB1027" s="10"/>
      <c r="AC1027" s="181"/>
      <c r="AD1027" s="144"/>
      <c r="AE1027" s="182"/>
      <c r="AF1027" s="10"/>
      <c r="AG1027" s="10"/>
      <c r="AH1027" s="144"/>
      <c r="AI1027" s="3"/>
      <c r="AJ1027" s="10"/>
      <c r="AK1027" s="3"/>
      <c r="AL1027" s="5"/>
      <c r="AM1027" s="5"/>
      <c r="AN1027" s="5"/>
      <c r="AO1027" s="5"/>
      <c r="AP1027" s="5"/>
      <c r="AQ1027" s="5"/>
      <c r="AR1027" s="5"/>
      <c r="AS1027" s="142"/>
      <c r="AT1027" s="142"/>
      <c r="AU1027" s="142"/>
      <c r="AV1027" s="142"/>
      <c r="AW1027" s="142"/>
      <c r="AX1027" s="142"/>
      <c r="AY1027" s="142"/>
      <c r="AZ1027" s="174"/>
      <c r="BA1027" s="142"/>
      <c r="BB1027" s="142"/>
      <c r="BC1027" s="142"/>
      <c r="BD1027" s="142"/>
      <c r="BE1027" s="142"/>
      <c r="BF1027" s="142"/>
      <c r="BG1027" s="142"/>
    </row>
    <row r="1028">
      <c r="A1028" s="5"/>
      <c r="B1028" s="44"/>
      <c r="C1028" s="150"/>
      <c r="D1028" s="3"/>
      <c r="E1028" s="3"/>
      <c r="F1028" s="5"/>
      <c r="G1028" s="5"/>
      <c r="H1028" s="5"/>
      <c r="I1028" s="3"/>
      <c r="J1028" s="3"/>
      <c r="K1028" s="3"/>
      <c r="L1028" s="44"/>
      <c r="M1028" s="150"/>
      <c r="N1028" s="5"/>
      <c r="O1028" s="5"/>
      <c r="P1028" s="10"/>
      <c r="Q1028" s="10"/>
      <c r="R1028" s="144"/>
      <c r="S1028" s="144"/>
      <c r="T1028" s="10"/>
      <c r="U1028" s="5"/>
      <c r="V1028" s="3"/>
      <c r="W1028" s="5"/>
      <c r="X1028" s="144"/>
      <c r="Y1028" s="10"/>
      <c r="Z1028" s="3"/>
      <c r="AA1028" s="10"/>
      <c r="AB1028" s="10"/>
      <c r="AC1028" s="181"/>
      <c r="AD1028" s="144"/>
      <c r="AE1028" s="182"/>
      <c r="AF1028" s="10"/>
      <c r="AG1028" s="10"/>
      <c r="AH1028" s="144"/>
      <c r="AI1028" s="3"/>
      <c r="AJ1028" s="10"/>
      <c r="AK1028" s="3"/>
      <c r="AL1028" s="5"/>
      <c r="AM1028" s="5"/>
      <c r="AN1028" s="5"/>
      <c r="AO1028" s="5"/>
      <c r="AP1028" s="5"/>
      <c r="AQ1028" s="5"/>
      <c r="AR1028" s="5"/>
      <c r="AS1028" s="142"/>
      <c r="AT1028" s="142"/>
      <c r="AU1028" s="142"/>
      <c r="AV1028" s="142"/>
      <c r="AW1028" s="142"/>
      <c r="AX1028" s="142"/>
      <c r="AY1028" s="142"/>
      <c r="AZ1028" s="174"/>
      <c r="BA1028" s="142"/>
      <c r="BB1028" s="142"/>
      <c r="BC1028" s="142"/>
      <c r="BD1028" s="142"/>
      <c r="BE1028" s="142"/>
      <c r="BF1028" s="142"/>
      <c r="BG1028" s="142"/>
    </row>
    <row r="1029">
      <c r="A1029" s="5"/>
      <c r="B1029" s="44"/>
      <c r="C1029" s="150"/>
      <c r="D1029" s="3"/>
      <c r="E1029" s="3"/>
      <c r="F1029" s="5"/>
      <c r="G1029" s="5"/>
      <c r="H1029" s="5"/>
      <c r="I1029" s="3"/>
      <c r="J1029" s="3"/>
      <c r="K1029" s="3"/>
      <c r="L1029" s="44"/>
      <c r="M1029" s="150"/>
      <c r="N1029" s="5"/>
      <c r="O1029" s="5"/>
      <c r="P1029" s="10"/>
      <c r="Q1029" s="10"/>
      <c r="R1029" s="144"/>
      <c r="S1029" s="144"/>
      <c r="T1029" s="10"/>
      <c r="U1029" s="5"/>
      <c r="V1029" s="3"/>
      <c r="W1029" s="5"/>
      <c r="X1029" s="144"/>
      <c r="Y1029" s="10"/>
      <c r="Z1029" s="3"/>
      <c r="AA1029" s="10"/>
      <c r="AB1029" s="10"/>
      <c r="AC1029" s="181"/>
      <c r="AD1029" s="144"/>
      <c r="AE1029" s="182"/>
      <c r="AF1029" s="10"/>
      <c r="AG1029" s="10"/>
      <c r="AH1029" s="144"/>
      <c r="AI1029" s="3"/>
      <c r="AJ1029" s="10"/>
      <c r="AK1029" s="3"/>
      <c r="AL1029" s="5"/>
      <c r="AM1029" s="5"/>
      <c r="AN1029" s="5"/>
      <c r="AO1029" s="5"/>
      <c r="AP1029" s="5"/>
      <c r="AQ1029" s="5"/>
      <c r="AR1029" s="5"/>
      <c r="AS1029" s="142"/>
      <c r="AT1029" s="142"/>
      <c r="AU1029" s="142"/>
      <c r="AV1029" s="142"/>
      <c r="AW1029" s="142"/>
      <c r="AX1029" s="142"/>
      <c r="AY1029" s="142"/>
      <c r="AZ1029" s="174"/>
      <c r="BA1029" s="142"/>
      <c r="BB1029" s="142"/>
      <c r="BC1029" s="142"/>
      <c r="BD1029" s="142"/>
      <c r="BE1029" s="142"/>
      <c r="BF1029" s="142"/>
      <c r="BG1029" s="142"/>
    </row>
    <row r="1030">
      <c r="A1030" s="5"/>
      <c r="B1030" s="44"/>
      <c r="C1030" s="150"/>
      <c r="D1030" s="3"/>
      <c r="E1030" s="3"/>
      <c r="F1030" s="5"/>
      <c r="G1030" s="5"/>
      <c r="H1030" s="5"/>
      <c r="I1030" s="3"/>
      <c r="J1030" s="3"/>
      <c r="K1030" s="3"/>
      <c r="L1030" s="44"/>
      <c r="M1030" s="150"/>
      <c r="N1030" s="5"/>
      <c r="O1030" s="5"/>
      <c r="P1030" s="10"/>
      <c r="Q1030" s="10"/>
      <c r="R1030" s="144"/>
      <c r="S1030" s="144"/>
      <c r="T1030" s="10"/>
      <c r="U1030" s="5"/>
      <c r="V1030" s="3"/>
      <c r="W1030" s="5"/>
      <c r="X1030" s="144"/>
      <c r="Y1030" s="10"/>
      <c r="Z1030" s="3"/>
      <c r="AA1030" s="10"/>
      <c r="AB1030" s="10"/>
      <c r="AC1030" s="181"/>
      <c r="AD1030" s="144"/>
      <c r="AE1030" s="182"/>
      <c r="AF1030" s="10"/>
      <c r="AG1030" s="10"/>
      <c r="AH1030" s="144"/>
      <c r="AI1030" s="3"/>
      <c r="AJ1030" s="10"/>
      <c r="AK1030" s="3"/>
      <c r="AL1030" s="5"/>
      <c r="AM1030" s="5"/>
      <c r="AN1030" s="5"/>
      <c r="AO1030" s="5"/>
      <c r="AP1030" s="5"/>
      <c r="AQ1030" s="5"/>
      <c r="AR1030" s="5"/>
      <c r="AS1030" s="142"/>
      <c r="AT1030" s="142"/>
      <c r="AU1030" s="142"/>
      <c r="AV1030" s="142"/>
      <c r="AW1030" s="142"/>
      <c r="AX1030" s="142"/>
      <c r="AY1030" s="142"/>
      <c r="AZ1030" s="174"/>
      <c r="BA1030" s="142"/>
      <c r="BB1030" s="142"/>
      <c r="BC1030" s="142"/>
      <c r="BD1030" s="142"/>
      <c r="BE1030" s="142"/>
      <c r="BF1030" s="142"/>
      <c r="BG1030" s="142"/>
    </row>
    <row r="1031">
      <c r="A1031" s="5"/>
      <c r="B1031" s="44"/>
      <c r="C1031" s="150"/>
      <c r="D1031" s="3"/>
      <c r="E1031" s="3"/>
      <c r="F1031" s="5"/>
      <c r="G1031" s="5"/>
      <c r="H1031" s="5"/>
      <c r="I1031" s="3"/>
      <c r="J1031" s="3"/>
      <c r="K1031" s="3"/>
      <c r="L1031" s="44"/>
      <c r="M1031" s="150"/>
      <c r="N1031" s="5"/>
      <c r="O1031" s="5"/>
      <c r="P1031" s="10"/>
      <c r="Q1031" s="10"/>
      <c r="R1031" s="144"/>
      <c r="S1031" s="144"/>
      <c r="T1031" s="10"/>
      <c r="U1031" s="5"/>
      <c r="V1031" s="3"/>
      <c r="W1031" s="5"/>
      <c r="X1031" s="144"/>
      <c r="Y1031" s="10"/>
      <c r="Z1031" s="3"/>
      <c r="AA1031" s="10"/>
      <c r="AB1031" s="10"/>
      <c r="AC1031" s="181"/>
      <c r="AD1031" s="144"/>
      <c r="AE1031" s="182"/>
      <c r="AF1031" s="10"/>
      <c r="AG1031" s="10"/>
      <c r="AH1031" s="144"/>
      <c r="AI1031" s="3"/>
      <c r="AJ1031" s="10"/>
      <c r="AK1031" s="3"/>
      <c r="AL1031" s="5"/>
      <c r="AM1031" s="5"/>
      <c r="AN1031" s="5"/>
      <c r="AO1031" s="5"/>
      <c r="AP1031" s="5"/>
      <c r="AQ1031" s="5"/>
      <c r="AR1031" s="5"/>
      <c r="AS1031" s="142"/>
      <c r="AT1031" s="142"/>
      <c r="AU1031" s="142"/>
      <c r="AV1031" s="142"/>
      <c r="AW1031" s="142"/>
      <c r="AX1031" s="142"/>
      <c r="AY1031" s="142"/>
      <c r="AZ1031" s="174"/>
      <c r="BA1031" s="142"/>
      <c r="BB1031" s="142"/>
      <c r="BC1031" s="142"/>
      <c r="BD1031" s="142"/>
      <c r="BE1031" s="142"/>
      <c r="BF1031" s="142"/>
      <c r="BG1031" s="142"/>
    </row>
    <row r="1032">
      <c r="A1032" s="5"/>
      <c r="B1032" s="44"/>
      <c r="C1032" s="150"/>
      <c r="D1032" s="3"/>
      <c r="E1032" s="3"/>
      <c r="F1032" s="5"/>
      <c r="G1032" s="5"/>
      <c r="H1032" s="5"/>
      <c r="I1032" s="3"/>
      <c r="J1032" s="3"/>
      <c r="K1032" s="3"/>
      <c r="L1032" s="44"/>
      <c r="M1032" s="150"/>
      <c r="N1032" s="5"/>
      <c r="O1032" s="5"/>
      <c r="P1032" s="10"/>
      <c r="Q1032" s="10"/>
      <c r="R1032" s="144"/>
      <c r="S1032" s="144"/>
      <c r="T1032" s="10"/>
      <c r="U1032" s="5"/>
      <c r="V1032" s="3"/>
      <c r="W1032" s="5"/>
      <c r="X1032" s="144"/>
      <c r="Y1032" s="10"/>
      <c r="Z1032" s="3"/>
      <c r="AA1032" s="10"/>
      <c r="AB1032" s="10"/>
      <c r="AC1032" s="181"/>
      <c r="AD1032" s="144"/>
      <c r="AE1032" s="182"/>
      <c r="AF1032" s="10"/>
      <c r="AG1032" s="10"/>
      <c r="AH1032" s="144"/>
      <c r="AI1032" s="3"/>
      <c r="AJ1032" s="10"/>
      <c r="AK1032" s="3"/>
      <c r="AL1032" s="5"/>
      <c r="AM1032" s="5"/>
      <c r="AN1032" s="5"/>
      <c r="AO1032" s="5"/>
      <c r="AP1032" s="5"/>
      <c r="AQ1032" s="5"/>
      <c r="AR1032" s="5"/>
      <c r="AS1032" s="142"/>
      <c r="AT1032" s="142"/>
      <c r="AU1032" s="142"/>
      <c r="AV1032" s="142"/>
      <c r="AW1032" s="142"/>
      <c r="AX1032" s="142"/>
      <c r="AY1032" s="142"/>
      <c r="AZ1032" s="174"/>
      <c r="BA1032" s="142"/>
      <c r="BB1032" s="142"/>
      <c r="BC1032" s="142"/>
      <c r="BD1032" s="142"/>
      <c r="BE1032" s="142"/>
      <c r="BF1032" s="142"/>
      <c r="BG1032" s="142"/>
    </row>
    <row r="1033">
      <c r="A1033" s="5"/>
      <c r="B1033" s="44"/>
      <c r="C1033" s="150"/>
      <c r="D1033" s="3"/>
      <c r="E1033" s="3"/>
      <c r="F1033" s="5"/>
      <c r="G1033" s="5"/>
      <c r="H1033" s="5"/>
      <c r="I1033" s="3"/>
      <c r="J1033" s="3"/>
      <c r="K1033" s="3"/>
      <c r="L1033" s="44"/>
      <c r="M1033" s="150"/>
      <c r="N1033" s="5"/>
      <c r="O1033" s="5"/>
      <c r="P1033" s="10"/>
      <c r="Q1033" s="10"/>
      <c r="R1033" s="144"/>
      <c r="S1033" s="144"/>
      <c r="T1033" s="10"/>
      <c r="U1033" s="5"/>
      <c r="V1033" s="3"/>
      <c r="W1033" s="5"/>
      <c r="X1033" s="144"/>
      <c r="Y1033" s="10"/>
      <c r="Z1033" s="3"/>
      <c r="AA1033" s="10"/>
      <c r="AB1033" s="10"/>
      <c r="AC1033" s="181"/>
      <c r="AD1033" s="144"/>
      <c r="AE1033" s="182"/>
      <c r="AF1033" s="10"/>
      <c r="AG1033" s="10"/>
      <c r="AH1033" s="144"/>
      <c r="AI1033" s="3"/>
      <c r="AJ1033" s="10"/>
      <c r="AK1033" s="3"/>
      <c r="AL1033" s="5"/>
      <c r="AM1033" s="5"/>
      <c r="AN1033" s="5"/>
      <c r="AO1033" s="5"/>
      <c r="AP1033" s="5"/>
      <c r="AQ1033" s="5"/>
      <c r="AR1033" s="5"/>
      <c r="AS1033" s="142"/>
      <c r="AT1033" s="142"/>
      <c r="AU1033" s="142"/>
      <c r="AV1033" s="142"/>
      <c r="AW1033" s="142"/>
      <c r="AX1033" s="142"/>
      <c r="AY1033" s="142"/>
      <c r="AZ1033" s="174"/>
      <c r="BA1033" s="142"/>
      <c r="BB1033" s="142"/>
      <c r="BC1033" s="142"/>
      <c r="BD1033" s="142"/>
      <c r="BE1033" s="142"/>
      <c r="BF1033" s="142"/>
      <c r="BG1033" s="142"/>
    </row>
    <row r="1034">
      <c r="A1034" s="5"/>
      <c r="B1034" s="44"/>
      <c r="C1034" s="150"/>
      <c r="D1034" s="3"/>
      <c r="E1034" s="3"/>
      <c r="F1034" s="5"/>
      <c r="G1034" s="5"/>
      <c r="H1034" s="5"/>
      <c r="I1034" s="3"/>
      <c r="J1034" s="3"/>
      <c r="K1034" s="3"/>
      <c r="L1034" s="44"/>
      <c r="M1034" s="150"/>
      <c r="N1034" s="5"/>
      <c r="O1034" s="5"/>
      <c r="P1034" s="10"/>
      <c r="Q1034" s="10"/>
      <c r="R1034" s="144"/>
      <c r="S1034" s="144"/>
      <c r="T1034" s="10"/>
      <c r="U1034" s="5"/>
      <c r="V1034" s="3"/>
      <c r="W1034" s="5"/>
      <c r="X1034" s="144"/>
      <c r="Y1034" s="10"/>
      <c r="Z1034" s="3"/>
      <c r="AA1034" s="10"/>
      <c r="AB1034" s="10"/>
      <c r="AC1034" s="181"/>
      <c r="AD1034" s="144"/>
      <c r="AE1034" s="182"/>
      <c r="AF1034" s="10"/>
      <c r="AG1034" s="10"/>
      <c r="AH1034" s="144"/>
      <c r="AI1034" s="3"/>
      <c r="AJ1034" s="10"/>
      <c r="AK1034" s="3"/>
      <c r="AL1034" s="5"/>
      <c r="AM1034" s="5"/>
      <c r="AN1034" s="5"/>
      <c r="AO1034" s="5"/>
      <c r="AP1034" s="5"/>
      <c r="AQ1034" s="5"/>
      <c r="AR1034" s="5"/>
      <c r="AS1034" s="142"/>
      <c r="AT1034" s="142"/>
      <c r="AU1034" s="142"/>
      <c r="AV1034" s="142"/>
      <c r="AW1034" s="142"/>
      <c r="AX1034" s="142"/>
      <c r="AY1034" s="142"/>
      <c r="AZ1034" s="174"/>
      <c r="BA1034" s="142"/>
      <c r="BB1034" s="142"/>
      <c r="BC1034" s="142"/>
      <c r="BD1034" s="142"/>
      <c r="BE1034" s="142"/>
      <c r="BF1034" s="142"/>
      <c r="BG1034" s="142"/>
    </row>
    <row r="1035">
      <c r="A1035" s="5"/>
      <c r="B1035" s="44"/>
      <c r="C1035" s="150"/>
      <c r="D1035" s="3"/>
      <c r="E1035" s="3"/>
      <c r="F1035" s="5"/>
      <c r="G1035" s="5"/>
      <c r="H1035" s="5"/>
      <c r="I1035" s="3"/>
      <c r="J1035" s="3"/>
      <c r="K1035" s="3"/>
      <c r="L1035" s="44"/>
      <c r="M1035" s="150"/>
      <c r="N1035" s="5"/>
      <c r="O1035" s="5"/>
      <c r="P1035" s="10"/>
      <c r="Q1035" s="10"/>
      <c r="R1035" s="144"/>
      <c r="S1035" s="144"/>
      <c r="T1035" s="10"/>
      <c r="U1035" s="5"/>
      <c r="V1035" s="3"/>
      <c r="W1035" s="5"/>
      <c r="X1035" s="144"/>
      <c r="Y1035" s="10"/>
      <c r="Z1035" s="3"/>
      <c r="AA1035" s="10"/>
      <c r="AB1035" s="10"/>
      <c r="AC1035" s="181"/>
      <c r="AD1035" s="144"/>
      <c r="AE1035" s="182"/>
      <c r="AF1035" s="10"/>
      <c r="AG1035" s="10"/>
      <c r="AH1035" s="144"/>
      <c r="AI1035" s="3"/>
      <c r="AJ1035" s="10"/>
      <c r="AK1035" s="3"/>
      <c r="AL1035" s="5"/>
      <c r="AM1035" s="5"/>
      <c r="AN1035" s="5"/>
      <c r="AO1035" s="5"/>
      <c r="AP1035" s="5"/>
      <c r="AQ1035" s="5"/>
      <c r="AR1035" s="5"/>
      <c r="AS1035" s="142"/>
      <c r="AT1035" s="142"/>
      <c r="AU1035" s="142"/>
      <c r="AV1035" s="142"/>
      <c r="AW1035" s="142"/>
      <c r="AX1035" s="142"/>
      <c r="AY1035" s="142"/>
      <c r="AZ1035" s="174"/>
      <c r="BA1035" s="142"/>
      <c r="BB1035" s="142"/>
      <c r="BC1035" s="142"/>
      <c r="BD1035" s="142"/>
      <c r="BE1035" s="142"/>
      <c r="BF1035" s="142"/>
      <c r="BG1035" s="142"/>
    </row>
    <row r="1036">
      <c r="A1036" s="5"/>
      <c r="B1036" s="44"/>
      <c r="C1036" s="150"/>
      <c r="D1036" s="3"/>
      <c r="E1036" s="3"/>
      <c r="F1036" s="5"/>
      <c r="G1036" s="5"/>
      <c r="H1036" s="5"/>
      <c r="I1036" s="3"/>
      <c r="J1036" s="3"/>
      <c r="K1036" s="3"/>
      <c r="L1036" s="44"/>
      <c r="M1036" s="150"/>
      <c r="N1036" s="5"/>
      <c r="O1036" s="5"/>
      <c r="P1036" s="10"/>
      <c r="Q1036" s="10"/>
      <c r="R1036" s="144"/>
      <c r="S1036" s="144"/>
      <c r="T1036" s="10"/>
      <c r="U1036" s="5"/>
      <c r="V1036" s="3"/>
      <c r="W1036" s="5"/>
      <c r="X1036" s="144"/>
      <c r="Y1036" s="10"/>
      <c r="Z1036" s="3"/>
      <c r="AA1036" s="10"/>
      <c r="AB1036" s="10"/>
      <c r="AC1036" s="181"/>
      <c r="AD1036" s="144"/>
      <c r="AE1036" s="182"/>
      <c r="AF1036" s="10"/>
      <c r="AG1036" s="10"/>
      <c r="AH1036" s="144"/>
      <c r="AI1036" s="3"/>
      <c r="AJ1036" s="10"/>
      <c r="AK1036" s="3"/>
      <c r="AL1036" s="5"/>
      <c r="AM1036" s="5"/>
      <c r="AN1036" s="5"/>
      <c r="AO1036" s="5"/>
      <c r="AP1036" s="5"/>
      <c r="AQ1036" s="5"/>
      <c r="AR1036" s="5"/>
      <c r="AS1036" s="142"/>
      <c r="AT1036" s="142"/>
      <c r="AU1036" s="142"/>
      <c r="AV1036" s="142"/>
      <c r="AW1036" s="142"/>
      <c r="AX1036" s="142"/>
      <c r="AY1036" s="142"/>
      <c r="AZ1036" s="174"/>
      <c r="BA1036" s="142"/>
      <c r="BB1036" s="142"/>
      <c r="BC1036" s="142"/>
      <c r="BD1036" s="142"/>
      <c r="BE1036" s="142"/>
      <c r="BF1036" s="142"/>
      <c r="BG1036" s="142"/>
    </row>
    <row r="1037">
      <c r="A1037" s="5"/>
      <c r="B1037" s="44"/>
      <c r="C1037" s="150"/>
      <c r="D1037" s="3"/>
      <c r="E1037" s="3"/>
      <c r="F1037" s="5"/>
      <c r="G1037" s="5"/>
      <c r="H1037" s="5"/>
      <c r="I1037" s="3"/>
      <c r="J1037" s="3"/>
      <c r="K1037" s="3"/>
      <c r="L1037" s="44"/>
      <c r="M1037" s="150"/>
      <c r="N1037" s="5"/>
      <c r="O1037" s="5"/>
      <c r="P1037" s="10"/>
      <c r="Q1037" s="10"/>
      <c r="R1037" s="144"/>
      <c r="S1037" s="144"/>
      <c r="T1037" s="10"/>
      <c r="U1037" s="5"/>
      <c r="V1037" s="3"/>
      <c r="W1037" s="5"/>
      <c r="X1037" s="144"/>
      <c r="Y1037" s="10"/>
      <c r="Z1037" s="3"/>
      <c r="AA1037" s="10"/>
      <c r="AB1037" s="10"/>
      <c r="AC1037" s="181"/>
      <c r="AD1037" s="144"/>
      <c r="AE1037" s="182"/>
      <c r="AF1037" s="10"/>
      <c r="AG1037" s="10"/>
      <c r="AH1037" s="144"/>
      <c r="AI1037" s="3"/>
      <c r="AJ1037" s="10"/>
      <c r="AK1037" s="3"/>
      <c r="AL1037" s="5"/>
      <c r="AM1037" s="5"/>
      <c r="AN1037" s="5"/>
      <c r="AO1037" s="5"/>
      <c r="AP1037" s="5"/>
      <c r="AQ1037" s="5"/>
      <c r="AR1037" s="5"/>
      <c r="AS1037" s="142"/>
      <c r="AT1037" s="142"/>
      <c r="AU1037" s="142"/>
      <c r="AV1037" s="142"/>
      <c r="AW1037" s="142"/>
      <c r="AX1037" s="142"/>
      <c r="AY1037" s="142"/>
      <c r="AZ1037" s="174"/>
      <c r="BA1037" s="142"/>
      <c r="BB1037" s="142"/>
      <c r="BC1037" s="142"/>
      <c r="BD1037" s="142"/>
      <c r="BE1037" s="142"/>
      <c r="BF1037" s="142"/>
      <c r="BG1037" s="142"/>
    </row>
    <row r="1038">
      <c r="A1038" s="5"/>
      <c r="B1038" s="44"/>
      <c r="C1038" s="150"/>
      <c r="D1038" s="3"/>
      <c r="E1038" s="3"/>
      <c r="F1038" s="5"/>
      <c r="G1038" s="5"/>
      <c r="H1038" s="5"/>
      <c r="I1038" s="3"/>
      <c r="J1038" s="3"/>
      <c r="K1038" s="3"/>
      <c r="L1038" s="44"/>
      <c r="M1038" s="150"/>
      <c r="N1038" s="5"/>
      <c r="O1038" s="5"/>
      <c r="P1038" s="10"/>
      <c r="Q1038" s="10"/>
      <c r="R1038" s="144"/>
      <c r="S1038" s="144"/>
      <c r="T1038" s="10"/>
      <c r="U1038" s="5"/>
      <c r="V1038" s="3"/>
      <c r="W1038" s="5"/>
      <c r="X1038" s="144"/>
      <c r="Y1038" s="10"/>
      <c r="Z1038" s="3"/>
      <c r="AA1038" s="10"/>
      <c r="AB1038" s="10"/>
      <c r="AC1038" s="181"/>
      <c r="AD1038" s="144"/>
      <c r="AE1038" s="182"/>
      <c r="AF1038" s="10"/>
      <c r="AG1038" s="10"/>
      <c r="AH1038" s="144"/>
      <c r="AI1038" s="3"/>
      <c r="AJ1038" s="10"/>
      <c r="AK1038" s="3"/>
      <c r="AL1038" s="5"/>
      <c r="AM1038" s="5"/>
      <c r="AN1038" s="5"/>
      <c r="AO1038" s="5"/>
      <c r="AP1038" s="5"/>
      <c r="AQ1038" s="5"/>
      <c r="AR1038" s="5"/>
      <c r="AS1038" s="142"/>
      <c r="AT1038" s="142"/>
      <c r="AU1038" s="142"/>
      <c r="AV1038" s="142"/>
      <c r="AW1038" s="142"/>
      <c r="AX1038" s="142"/>
      <c r="AY1038" s="142"/>
      <c r="AZ1038" s="174"/>
      <c r="BA1038" s="142"/>
      <c r="BB1038" s="142"/>
      <c r="BC1038" s="142"/>
      <c r="BD1038" s="142"/>
      <c r="BE1038" s="142"/>
      <c r="BF1038" s="142"/>
      <c r="BG1038" s="142"/>
    </row>
    <row r="1039">
      <c r="A1039" s="5"/>
      <c r="B1039" s="44"/>
      <c r="C1039" s="150"/>
      <c r="D1039" s="3"/>
      <c r="E1039" s="3"/>
      <c r="F1039" s="5"/>
      <c r="G1039" s="5"/>
      <c r="H1039" s="5"/>
      <c r="I1039" s="3"/>
      <c r="J1039" s="3"/>
      <c r="K1039" s="3"/>
      <c r="L1039" s="44"/>
      <c r="M1039" s="150"/>
      <c r="N1039" s="5"/>
      <c r="O1039" s="5"/>
      <c r="P1039" s="10"/>
      <c r="Q1039" s="10"/>
      <c r="R1039" s="144"/>
      <c r="S1039" s="144"/>
      <c r="T1039" s="10"/>
      <c r="U1039" s="5"/>
      <c r="V1039" s="3"/>
      <c r="W1039" s="5"/>
      <c r="X1039" s="144"/>
      <c r="Y1039" s="10"/>
      <c r="Z1039" s="3"/>
      <c r="AA1039" s="10"/>
      <c r="AB1039" s="10"/>
      <c r="AC1039" s="181"/>
      <c r="AD1039" s="144"/>
      <c r="AE1039" s="182"/>
      <c r="AF1039" s="10"/>
      <c r="AG1039" s="10"/>
      <c r="AH1039" s="144"/>
      <c r="AI1039" s="3"/>
      <c r="AJ1039" s="10"/>
      <c r="AK1039" s="3"/>
      <c r="AL1039" s="5"/>
      <c r="AM1039" s="5"/>
      <c r="AN1039" s="5"/>
      <c r="AO1039" s="5"/>
      <c r="AP1039" s="5"/>
      <c r="AQ1039" s="5"/>
      <c r="AR1039" s="5"/>
      <c r="AS1039" s="142"/>
      <c r="AT1039" s="142"/>
      <c r="AU1039" s="142"/>
      <c r="AV1039" s="142"/>
      <c r="AW1039" s="142"/>
      <c r="AX1039" s="142"/>
      <c r="AY1039" s="142"/>
      <c r="AZ1039" s="174"/>
      <c r="BA1039" s="142"/>
      <c r="BB1039" s="142"/>
      <c r="BC1039" s="142"/>
      <c r="BD1039" s="142"/>
      <c r="BE1039" s="142"/>
      <c r="BF1039" s="142"/>
      <c r="BG1039" s="142"/>
    </row>
    <row r="1040">
      <c r="A1040" s="5"/>
      <c r="B1040" s="44"/>
      <c r="C1040" s="150"/>
      <c r="D1040" s="3"/>
      <c r="E1040" s="3"/>
      <c r="F1040" s="5"/>
      <c r="G1040" s="5"/>
      <c r="H1040" s="5"/>
      <c r="I1040" s="3"/>
      <c r="J1040" s="3"/>
      <c r="K1040" s="3"/>
      <c r="L1040" s="44"/>
      <c r="M1040" s="150"/>
      <c r="N1040" s="5"/>
      <c r="O1040" s="5"/>
      <c r="P1040" s="10"/>
      <c r="Q1040" s="10"/>
      <c r="R1040" s="144"/>
      <c r="S1040" s="144"/>
      <c r="T1040" s="10"/>
      <c r="U1040" s="5"/>
      <c r="V1040" s="3"/>
      <c r="W1040" s="5"/>
      <c r="X1040" s="144"/>
      <c r="Y1040" s="10"/>
      <c r="Z1040" s="3"/>
      <c r="AA1040" s="10"/>
      <c r="AB1040" s="10"/>
      <c r="AC1040" s="181"/>
      <c r="AD1040" s="144"/>
      <c r="AE1040" s="182"/>
      <c r="AF1040" s="10"/>
      <c r="AG1040" s="10"/>
      <c r="AH1040" s="144"/>
      <c r="AI1040" s="3"/>
      <c r="AJ1040" s="10"/>
      <c r="AK1040" s="3"/>
      <c r="AL1040" s="5"/>
      <c r="AM1040" s="5"/>
      <c r="AN1040" s="5"/>
      <c r="AO1040" s="5"/>
      <c r="AP1040" s="5"/>
      <c r="AQ1040" s="5"/>
      <c r="AR1040" s="5"/>
      <c r="AS1040" s="142"/>
      <c r="AT1040" s="142"/>
      <c r="AU1040" s="142"/>
      <c r="AV1040" s="142"/>
      <c r="AW1040" s="142"/>
      <c r="AX1040" s="142"/>
      <c r="AY1040" s="142"/>
      <c r="AZ1040" s="174"/>
      <c r="BA1040" s="142"/>
      <c r="BB1040" s="142"/>
      <c r="BC1040" s="142"/>
      <c r="BD1040" s="142"/>
      <c r="BE1040" s="142"/>
      <c r="BF1040" s="142"/>
      <c r="BG1040" s="142"/>
    </row>
    <row r="1041">
      <c r="A1041" s="5"/>
      <c r="B1041" s="44"/>
      <c r="C1041" s="150"/>
      <c r="D1041" s="3"/>
      <c r="E1041" s="3"/>
      <c r="F1041" s="5"/>
      <c r="G1041" s="5"/>
      <c r="H1041" s="5"/>
      <c r="I1041" s="3"/>
      <c r="J1041" s="3"/>
      <c r="K1041" s="3"/>
      <c r="L1041" s="44"/>
      <c r="M1041" s="150"/>
      <c r="N1041" s="5"/>
      <c r="O1041" s="5"/>
      <c r="P1041" s="10"/>
      <c r="Q1041" s="10"/>
      <c r="R1041" s="144"/>
      <c r="S1041" s="144"/>
      <c r="T1041" s="10"/>
      <c r="U1041" s="5"/>
      <c r="V1041" s="3"/>
      <c r="W1041" s="5"/>
      <c r="X1041" s="144"/>
      <c r="Y1041" s="10"/>
      <c r="Z1041" s="3"/>
      <c r="AA1041" s="10"/>
      <c r="AB1041" s="10"/>
      <c r="AC1041" s="181"/>
      <c r="AD1041" s="144"/>
      <c r="AE1041" s="182"/>
      <c r="AF1041" s="10"/>
      <c r="AG1041" s="10"/>
      <c r="AH1041" s="144"/>
      <c r="AI1041" s="3"/>
      <c r="AJ1041" s="10"/>
      <c r="AK1041" s="3"/>
      <c r="AL1041" s="5"/>
      <c r="AM1041" s="5"/>
      <c r="AN1041" s="5"/>
      <c r="AO1041" s="5"/>
      <c r="AP1041" s="5"/>
      <c r="AQ1041" s="5"/>
      <c r="AR1041" s="5"/>
      <c r="AS1041" s="142"/>
      <c r="AT1041" s="142"/>
      <c r="AU1041" s="142"/>
      <c r="AV1041" s="142"/>
      <c r="AW1041" s="142"/>
      <c r="AX1041" s="142"/>
      <c r="AY1041" s="142"/>
      <c r="AZ1041" s="174"/>
      <c r="BA1041" s="142"/>
      <c r="BB1041" s="142"/>
      <c r="BC1041" s="142"/>
      <c r="BD1041" s="142"/>
      <c r="BE1041" s="142"/>
      <c r="BF1041" s="142"/>
      <c r="BG1041" s="142"/>
    </row>
    <row r="1042">
      <c r="A1042" s="5"/>
      <c r="B1042" s="44"/>
      <c r="C1042" s="150"/>
      <c r="D1042" s="3"/>
      <c r="E1042" s="3"/>
      <c r="F1042" s="5"/>
      <c r="G1042" s="5"/>
      <c r="H1042" s="5"/>
      <c r="I1042" s="3"/>
      <c r="J1042" s="3"/>
      <c r="K1042" s="3"/>
      <c r="L1042" s="44"/>
      <c r="M1042" s="150"/>
      <c r="N1042" s="5"/>
      <c r="O1042" s="5"/>
      <c r="P1042" s="10"/>
      <c r="Q1042" s="10"/>
      <c r="R1042" s="144"/>
      <c r="S1042" s="144"/>
      <c r="T1042" s="10"/>
      <c r="U1042" s="5"/>
      <c r="V1042" s="3"/>
      <c r="W1042" s="5"/>
      <c r="X1042" s="144"/>
      <c r="Y1042" s="10"/>
      <c r="Z1042" s="3"/>
      <c r="AA1042" s="10"/>
      <c r="AB1042" s="10"/>
      <c r="AC1042" s="181"/>
      <c r="AD1042" s="144"/>
      <c r="AE1042" s="182"/>
      <c r="AF1042" s="10"/>
      <c r="AG1042" s="10"/>
      <c r="AH1042" s="144"/>
      <c r="AI1042" s="3"/>
      <c r="AJ1042" s="10"/>
      <c r="AK1042" s="3"/>
      <c r="AL1042" s="5"/>
      <c r="AM1042" s="5"/>
      <c r="AN1042" s="5"/>
      <c r="AO1042" s="5"/>
      <c r="AP1042" s="5"/>
      <c r="AQ1042" s="5"/>
      <c r="AR1042" s="5"/>
      <c r="AS1042" s="142"/>
      <c r="AT1042" s="142"/>
      <c r="AU1042" s="142"/>
      <c r="AV1042" s="142"/>
      <c r="AW1042" s="142"/>
      <c r="AX1042" s="142"/>
      <c r="AY1042" s="142"/>
      <c r="AZ1042" s="174"/>
      <c r="BA1042" s="142"/>
      <c r="BB1042" s="142"/>
      <c r="BC1042" s="142"/>
      <c r="BD1042" s="142"/>
      <c r="BE1042" s="142"/>
      <c r="BF1042" s="142"/>
      <c r="BG1042" s="142"/>
    </row>
    <row r="1043">
      <c r="A1043" s="5"/>
      <c r="B1043" s="44"/>
      <c r="C1043" s="150"/>
      <c r="D1043" s="3"/>
      <c r="E1043" s="3"/>
      <c r="F1043" s="5"/>
      <c r="G1043" s="5"/>
      <c r="H1043" s="5"/>
      <c r="I1043" s="3"/>
      <c r="J1043" s="3"/>
      <c r="K1043" s="3"/>
      <c r="L1043" s="44"/>
      <c r="M1043" s="150"/>
      <c r="N1043" s="5"/>
      <c r="O1043" s="5"/>
      <c r="P1043" s="10"/>
      <c r="Q1043" s="10"/>
      <c r="R1043" s="144"/>
      <c r="S1043" s="144"/>
      <c r="T1043" s="10"/>
      <c r="U1043" s="5"/>
      <c r="V1043" s="3"/>
      <c r="W1043" s="5"/>
      <c r="X1043" s="144"/>
      <c r="Y1043" s="10"/>
      <c r="Z1043" s="3"/>
      <c r="AA1043" s="10"/>
      <c r="AB1043" s="10"/>
      <c r="AC1043" s="181"/>
      <c r="AD1043" s="144"/>
      <c r="AE1043" s="182"/>
      <c r="AF1043" s="10"/>
      <c r="AG1043" s="10"/>
      <c r="AH1043" s="144"/>
      <c r="AI1043" s="3"/>
      <c r="AJ1043" s="10"/>
      <c r="AK1043" s="3"/>
      <c r="AL1043" s="5"/>
      <c r="AM1043" s="5"/>
      <c r="AN1043" s="5"/>
      <c r="AO1043" s="5"/>
      <c r="AP1043" s="5"/>
      <c r="AQ1043" s="5"/>
      <c r="AR1043" s="5"/>
      <c r="AS1043" s="142"/>
      <c r="AT1043" s="142"/>
      <c r="AU1043" s="142"/>
      <c r="AV1043" s="142"/>
      <c r="AW1043" s="142"/>
      <c r="AX1043" s="142"/>
      <c r="AY1043" s="142"/>
      <c r="AZ1043" s="174"/>
      <c r="BA1043" s="142"/>
      <c r="BB1043" s="142"/>
      <c r="BC1043" s="142"/>
      <c r="BD1043" s="142"/>
      <c r="BE1043" s="142"/>
      <c r="BF1043" s="142"/>
      <c r="BG1043" s="142"/>
    </row>
    <row r="1044">
      <c r="A1044" s="5"/>
      <c r="B1044" s="44"/>
      <c r="C1044" s="150"/>
      <c r="D1044" s="3"/>
      <c r="E1044" s="3"/>
      <c r="F1044" s="5"/>
      <c r="G1044" s="5"/>
      <c r="H1044" s="5"/>
      <c r="I1044" s="3"/>
      <c r="J1044" s="3"/>
      <c r="K1044" s="3"/>
      <c r="L1044" s="44"/>
      <c r="M1044" s="150"/>
      <c r="N1044" s="5"/>
      <c r="O1044" s="5"/>
      <c r="P1044" s="10"/>
      <c r="Q1044" s="10"/>
      <c r="R1044" s="144"/>
      <c r="S1044" s="144"/>
      <c r="T1044" s="10"/>
      <c r="U1044" s="5"/>
      <c r="V1044" s="3"/>
      <c r="W1044" s="5"/>
      <c r="X1044" s="144"/>
      <c r="Y1044" s="10"/>
      <c r="Z1044" s="3"/>
      <c r="AA1044" s="10"/>
      <c r="AB1044" s="10"/>
      <c r="AC1044" s="181"/>
      <c r="AD1044" s="144"/>
      <c r="AE1044" s="182"/>
      <c r="AF1044" s="10"/>
      <c r="AG1044" s="10"/>
      <c r="AH1044" s="144"/>
      <c r="AI1044" s="3"/>
      <c r="AJ1044" s="10"/>
      <c r="AK1044" s="3"/>
      <c r="AL1044" s="5"/>
      <c r="AM1044" s="5"/>
      <c r="AN1044" s="5"/>
      <c r="AO1044" s="5"/>
      <c r="AP1044" s="5"/>
      <c r="AQ1044" s="5"/>
      <c r="AR1044" s="5"/>
      <c r="AS1044" s="142"/>
      <c r="AT1044" s="142"/>
      <c r="AU1044" s="142"/>
      <c r="AV1044" s="142"/>
      <c r="AW1044" s="142"/>
      <c r="AX1044" s="142"/>
      <c r="AY1044" s="142"/>
      <c r="AZ1044" s="174"/>
      <c r="BA1044" s="142"/>
      <c r="BB1044" s="142"/>
      <c r="BC1044" s="142"/>
      <c r="BD1044" s="142"/>
      <c r="BE1044" s="142"/>
      <c r="BF1044" s="142"/>
      <c r="BG1044" s="142"/>
    </row>
    <row r="1045">
      <c r="A1045" s="5"/>
      <c r="B1045" s="44"/>
      <c r="C1045" s="150"/>
      <c r="D1045" s="3"/>
      <c r="E1045" s="3"/>
      <c r="F1045" s="5"/>
      <c r="G1045" s="5"/>
      <c r="H1045" s="5"/>
      <c r="I1045" s="3"/>
      <c r="J1045" s="3"/>
      <c r="K1045" s="3"/>
      <c r="L1045" s="44"/>
      <c r="M1045" s="150"/>
      <c r="N1045" s="5"/>
      <c r="O1045" s="5"/>
      <c r="P1045" s="10"/>
      <c r="Q1045" s="10"/>
      <c r="R1045" s="144"/>
      <c r="S1045" s="144"/>
      <c r="T1045" s="10"/>
      <c r="U1045" s="5"/>
      <c r="V1045" s="3"/>
      <c r="W1045" s="5"/>
      <c r="X1045" s="144"/>
      <c r="Y1045" s="10"/>
      <c r="Z1045" s="3"/>
      <c r="AA1045" s="10"/>
      <c r="AB1045" s="10"/>
      <c r="AC1045" s="181"/>
      <c r="AD1045" s="144"/>
      <c r="AE1045" s="182"/>
      <c r="AF1045" s="10"/>
      <c r="AG1045" s="10"/>
      <c r="AH1045" s="144"/>
      <c r="AI1045" s="3"/>
      <c r="AJ1045" s="10"/>
      <c r="AK1045" s="3"/>
      <c r="AL1045" s="5"/>
      <c r="AM1045" s="5"/>
      <c r="AN1045" s="5"/>
      <c r="AO1045" s="5"/>
      <c r="AP1045" s="5"/>
      <c r="AQ1045" s="5"/>
      <c r="AR1045" s="5"/>
      <c r="AS1045" s="142"/>
      <c r="AT1045" s="142"/>
      <c r="AU1045" s="142"/>
      <c r="AV1045" s="142"/>
      <c r="AW1045" s="142"/>
      <c r="AX1045" s="142"/>
      <c r="AY1045" s="142"/>
      <c r="AZ1045" s="174"/>
      <c r="BA1045" s="142"/>
      <c r="BB1045" s="142"/>
      <c r="BC1045" s="142"/>
      <c r="BD1045" s="142"/>
      <c r="BE1045" s="142"/>
      <c r="BF1045" s="142"/>
      <c r="BG1045" s="142"/>
    </row>
    <row r="1046">
      <c r="A1046" s="5"/>
      <c r="B1046" s="44"/>
      <c r="C1046" s="150"/>
      <c r="D1046" s="3"/>
      <c r="E1046" s="3"/>
      <c r="F1046" s="5"/>
      <c r="G1046" s="5"/>
      <c r="H1046" s="5"/>
      <c r="I1046" s="3"/>
      <c r="J1046" s="3"/>
      <c r="K1046" s="3"/>
      <c r="L1046" s="44"/>
      <c r="M1046" s="150"/>
      <c r="N1046" s="5"/>
      <c r="O1046" s="5"/>
      <c r="P1046" s="10"/>
      <c r="Q1046" s="10"/>
      <c r="R1046" s="144"/>
      <c r="S1046" s="144"/>
      <c r="T1046" s="10"/>
      <c r="U1046" s="5"/>
      <c r="V1046" s="3"/>
      <c r="W1046" s="5"/>
      <c r="X1046" s="144"/>
      <c r="Y1046" s="10"/>
      <c r="Z1046" s="3"/>
      <c r="AA1046" s="10"/>
      <c r="AB1046" s="10"/>
      <c r="AC1046" s="181"/>
      <c r="AD1046" s="144"/>
      <c r="AE1046" s="182"/>
      <c r="AF1046" s="10"/>
      <c r="AG1046" s="10"/>
      <c r="AH1046" s="144"/>
      <c r="AI1046" s="3"/>
      <c r="AJ1046" s="10"/>
      <c r="AK1046" s="3"/>
      <c r="AL1046" s="5"/>
      <c r="AM1046" s="5"/>
      <c r="AN1046" s="5"/>
      <c r="AO1046" s="5"/>
      <c r="AP1046" s="5"/>
      <c r="AQ1046" s="5"/>
      <c r="AR1046" s="5"/>
      <c r="AS1046" s="142"/>
      <c r="AT1046" s="142"/>
      <c r="AU1046" s="142"/>
      <c r="AV1046" s="142"/>
      <c r="AW1046" s="142"/>
      <c r="AX1046" s="142"/>
      <c r="AY1046" s="142"/>
      <c r="AZ1046" s="174"/>
      <c r="BA1046" s="142"/>
      <c r="BB1046" s="142"/>
      <c r="BC1046" s="142"/>
      <c r="BD1046" s="142"/>
      <c r="BE1046" s="142"/>
      <c r="BF1046" s="142"/>
      <c r="BG1046" s="142"/>
    </row>
    <row r="1047">
      <c r="A1047" s="5"/>
      <c r="B1047" s="44"/>
      <c r="C1047" s="150"/>
      <c r="D1047" s="3"/>
      <c r="E1047" s="3"/>
      <c r="F1047" s="5"/>
      <c r="G1047" s="5"/>
      <c r="H1047" s="5"/>
      <c r="I1047" s="3"/>
      <c r="J1047" s="3"/>
      <c r="K1047" s="3"/>
      <c r="L1047" s="44"/>
      <c r="M1047" s="150"/>
      <c r="N1047" s="5"/>
      <c r="O1047" s="5"/>
      <c r="P1047" s="10"/>
      <c r="Q1047" s="10"/>
      <c r="R1047" s="144"/>
      <c r="S1047" s="144"/>
      <c r="T1047" s="10"/>
      <c r="U1047" s="5"/>
      <c r="V1047" s="3"/>
      <c r="W1047" s="5"/>
      <c r="X1047" s="144"/>
      <c r="Y1047" s="10"/>
      <c r="Z1047" s="3"/>
      <c r="AA1047" s="10"/>
      <c r="AB1047" s="10"/>
      <c r="AC1047" s="181"/>
      <c r="AD1047" s="144"/>
      <c r="AE1047" s="182"/>
      <c r="AF1047" s="10"/>
      <c r="AG1047" s="10"/>
      <c r="AH1047" s="144"/>
      <c r="AI1047" s="3"/>
      <c r="AJ1047" s="10"/>
      <c r="AK1047" s="3"/>
      <c r="AL1047" s="5"/>
      <c r="AM1047" s="5"/>
      <c r="AN1047" s="5"/>
      <c r="AO1047" s="5"/>
      <c r="AP1047" s="5"/>
      <c r="AQ1047" s="5"/>
      <c r="AR1047" s="5"/>
      <c r="AS1047" s="142"/>
      <c r="AT1047" s="142"/>
      <c r="AU1047" s="142"/>
      <c r="AV1047" s="142"/>
      <c r="AW1047" s="142"/>
      <c r="AX1047" s="142"/>
      <c r="AY1047" s="142"/>
      <c r="AZ1047" s="174"/>
      <c r="BA1047" s="142"/>
      <c r="BB1047" s="142"/>
      <c r="BC1047" s="142"/>
      <c r="BD1047" s="142"/>
      <c r="BE1047" s="142"/>
      <c r="BF1047" s="142"/>
      <c r="BG1047" s="142"/>
    </row>
    <row r="1048">
      <c r="A1048" s="5"/>
      <c r="B1048" s="44"/>
      <c r="C1048" s="150"/>
      <c r="D1048" s="3"/>
      <c r="E1048" s="3"/>
      <c r="F1048" s="5"/>
      <c r="G1048" s="5"/>
      <c r="H1048" s="5"/>
      <c r="I1048" s="3"/>
      <c r="J1048" s="3"/>
      <c r="K1048" s="3"/>
      <c r="L1048" s="44"/>
      <c r="M1048" s="150"/>
      <c r="N1048" s="5"/>
      <c r="O1048" s="5"/>
      <c r="P1048" s="10"/>
      <c r="Q1048" s="10"/>
      <c r="R1048" s="144"/>
      <c r="S1048" s="144"/>
      <c r="T1048" s="10"/>
      <c r="U1048" s="5"/>
      <c r="V1048" s="3"/>
      <c r="W1048" s="5"/>
      <c r="X1048" s="144"/>
      <c r="Y1048" s="10"/>
      <c r="Z1048" s="3"/>
      <c r="AA1048" s="10"/>
      <c r="AB1048" s="10"/>
      <c r="AC1048" s="181"/>
      <c r="AD1048" s="144"/>
      <c r="AE1048" s="182"/>
      <c r="AF1048" s="10"/>
      <c r="AG1048" s="10"/>
      <c r="AH1048" s="144"/>
      <c r="AI1048" s="3"/>
      <c r="AJ1048" s="10"/>
      <c r="AK1048" s="3"/>
      <c r="AL1048" s="5"/>
      <c r="AM1048" s="5"/>
      <c r="AN1048" s="5"/>
      <c r="AO1048" s="5"/>
      <c r="AP1048" s="5"/>
      <c r="AQ1048" s="5"/>
      <c r="AR1048" s="5"/>
      <c r="AS1048" s="142"/>
      <c r="AT1048" s="142"/>
      <c r="AU1048" s="142"/>
      <c r="AV1048" s="142"/>
      <c r="AW1048" s="142"/>
      <c r="AX1048" s="142"/>
      <c r="AY1048" s="142"/>
      <c r="AZ1048" s="174"/>
      <c r="BA1048" s="142"/>
      <c r="BB1048" s="142"/>
      <c r="BC1048" s="142"/>
      <c r="BD1048" s="142"/>
      <c r="BE1048" s="142"/>
      <c r="BF1048" s="142"/>
      <c r="BG1048" s="142"/>
    </row>
    <row r="1049">
      <c r="A1049" s="5"/>
      <c r="B1049" s="44"/>
      <c r="C1049" s="150"/>
      <c r="D1049" s="3"/>
      <c r="E1049" s="3"/>
      <c r="F1049" s="5"/>
      <c r="G1049" s="5"/>
      <c r="H1049" s="5"/>
      <c r="I1049" s="3"/>
      <c r="J1049" s="3"/>
      <c r="K1049" s="3"/>
      <c r="L1049" s="44"/>
      <c r="M1049" s="150"/>
      <c r="N1049" s="5"/>
      <c r="O1049" s="5"/>
      <c r="P1049" s="10"/>
      <c r="Q1049" s="10"/>
      <c r="R1049" s="144"/>
      <c r="S1049" s="144"/>
      <c r="T1049" s="10"/>
      <c r="U1049" s="5"/>
      <c r="V1049" s="3"/>
      <c r="W1049" s="5"/>
      <c r="X1049" s="144"/>
      <c r="Y1049" s="10"/>
      <c r="Z1049" s="3"/>
      <c r="AA1049" s="10"/>
      <c r="AB1049" s="10"/>
      <c r="AC1049" s="181"/>
      <c r="AD1049" s="144"/>
      <c r="AE1049" s="182"/>
      <c r="AF1049" s="10"/>
      <c r="AG1049" s="10"/>
      <c r="AH1049" s="144"/>
      <c r="AI1049" s="3"/>
      <c r="AJ1049" s="10"/>
      <c r="AK1049" s="3"/>
      <c r="AL1049" s="5"/>
      <c r="AM1049" s="5"/>
      <c r="AN1049" s="5"/>
      <c r="AO1049" s="5"/>
      <c r="AP1049" s="5"/>
      <c r="AQ1049" s="5"/>
      <c r="AR1049" s="5"/>
      <c r="AS1049" s="142"/>
      <c r="AT1049" s="142"/>
      <c r="AU1049" s="142"/>
      <c r="AV1049" s="142"/>
      <c r="AW1049" s="142"/>
      <c r="AX1049" s="142"/>
      <c r="AY1049" s="142"/>
      <c r="AZ1049" s="174"/>
      <c r="BA1049" s="142"/>
      <c r="BB1049" s="142"/>
      <c r="BC1049" s="142"/>
      <c r="BD1049" s="142"/>
      <c r="BE1049" s="142"/>
      <c r="BF1049" s="142"/>
      <c r="BG1049" s="142"/>
    </row>
    <row r="1050">
      <c r="A1050" s="5"/>
      <c r="B1050" s="44"/>
      <c r="C1050" s="150"/>
      <c r="D1050" s="3"/>
      <c r="E1050" s="3"/>
      <c r="F1050" s="5"/>
      <c r="G1050" s="5"/>
      <c r="H1050" s="5"/>
      <c r="I1050" s="3"/>
      <c r="J1050" s="3"/>
      <c r="K1050" s="3"/>
      <c r="L1050" s="44"/>
      <c r="M1050" s="150"/>
      <c r="N1050" s="5"/>
      <c r="O1050" s="5"/>
      <c r="P1050" s="10"/>
      <c r="Q1050" s="10"/>
      <c r="R1050" s="144"/>
      <c r="S1050" s="144"/>
      <c r="T1050" s="10"/>
      <c r="U1050" s="5"/>
      <c r="V1050" s="3"/>
      <c r="W1050" s="5"/>
      <c r="X1050" s="144"/>
      <c r="Y1050" s="10"/>
      <c r="Z1050" s="3"/>
      <c r="AA1050" s="10"/>
      <c r="AB1050" s="10"/>
      <c r="AC1050" s="181"/>
      <c r="AD1050" s="144"/>
      <c r="AE1050" s="182"/>
      <c r="AF1050" s="10"/>
      <c r="AG1050" s="10"/>
      <c r="AH1050" s="144"/>
      <c r="AI1050" s="3"/>
      <c r="AJ1050" s="10"/>
      <c r="AK1050" s="3"/>
      <c r="AL1050" s="5"/>
      <c r="AM1050" s="5"/>
      <c r="AN1050" s="5"/>
      <c r="AO1050" s="5"/>
      <c r="AP1050" s="5"/>
      <c r="AQ1050" s="5"/>
      <c r="AR1050" s="5"/>
      <c r="AS1050" s="142"/>
      <c r="AT1050" s="142"/>
      <c r="AU1050" s="142"/>
      <c r="AV1050" s="142"/>
      <c r="AW1050" s="142"/>
      <c r="AX1050" s="142"/>
      <c r="AY1050" s="142"/>
      <c r="AZ1050" s="174"/>
      <c r="BA1050" s="142"/>
      <c r="BB1050" s="142"/>
      <c r="BC1050" s="142"/>
      <c r="BD1050" s="142"/>
      <c r="BE1050" s="142"/>
      <c r="BF1050" s="142"/>
      <c r="BG1050" s="142"/>
    </row>
    <row r="1051">
      <c r="A1051" s="5"/>
      <c r="B1051" s="44"/>
      <c r="C1051" s="150"/>
      <c r="D1051" s="3"/>
      <c r="E1051" s="3"/>
      <c r="F1051" s="5"/>
      <c r="G1051" s="5"/>
      <c r="H1051" s="5"/>
      <c r="I1051" s="3"/>
      <c r="J1051" s="3"/>
      <c r="K1051" s="3"/>
      <c r="L1051" s="44"/>
      <c r="M1051" s="150"/>
      <c r="N1051" s="5"/>
      <c r="O1051" s="5"/>
      <c r="P1051" s="10"/>
      <c r="Q1051" s="10"/>
      <c r="R1051" s="144"/>
      <c r="S1051" s="144"/>
      <c r="T1051" s="10"/>
      <c r="U1051" s="5"/>
      <c r="V1051" s="3"/>
      <c r="W1051" s="5"/>
      <c r="X1051" s="144"/>
      <c r="Y1051" s="10"/>
      <c r="Z1051" s="3"/>
      <c r="AA1051" s="10"/>
      <c r="AB1051" s="10"/>
      <c r="AC1051" s="181"/>
      <c r="AD1051" s="144"/>
      <c r="AE1051" s="182"/>
      <c r="AF1051" s="10"/>
      <c r="AG1051" s="10"/>
      <c r="AH1051" s="144"/>
      <c r="AI1051" s="3"/>
      <c r="AJ1051" s="10"/>
      <c r="AK1051" s="3"/>
      <c r="AL1051" s="5"/>
      <c r="AM1051" s="5"/>
      <c r="AN1051" s="5"/>
      <c r="AO1051" s="5"/>
      <c r="AP1051" s="5"/>
      <c r="AQ1051" s="5"/>
      <c r="AR1051" s="5"/>
      <c r="AS1051" s="142"/>
      <c r="AT1051" s="142"/>
      <c r="AU1051" s="142"/>
      <c r="AV1051" s="142"/>
      <c r="AW1051" s="142"/>
      <c r="AX1051" s="142"/>
      <c r="AY1051" s="142"/>
      <c r="AZ1051" s="174"/>
      <c r="BA1051" s="142"/>
      <c r="BB1051" s="142"/>
      <c r="BC1051" s="142"/>
      <c r="BD1051" s="142"/>
      <c r="BE1051" s="142"/>
      <c r="BF1051" s="142"/>
      <c r="BG1051" s="142"/>
    </row>
    <row r="1052">
      <c r="A1052" s="5"/>
      <c r="B1052" s="44"/>
      <c r="C1052" s="150"/>
      <c r="D1052" s="3"/>
      <c r="E1052" s="3"/>
      <c r="F1052" s="5"/>
      <c r="G1052" s="5"/>
      <c r="H1052" s="5"/>
      <c r="I1052" s="3"/>
      <c r="J1052" s="3"/>
      <c r="K1052" s="3"/>
      <c r="L1052" s="44"/>
      <c r="M1052" s="150"/>
      <c r="N1052" s="5"/>
      <c r="O1052" s="5"/>
      <c r="P1052" s="10"/>
      <c r="Q1052" s="10"/>
      <c r="R1052" s="144"/>
      <c r="S1052" s="144"/>
      <c r="T1052" s="10"/>
      <c r="U1052" s="5"/>
      <c r="V1052" s="3"/>
      <c r="W1052" s="5"/>
      <c r="X1052" s="144"/>
      <c r="Y1052" s="10"/>
      <c r="Z1052" s="3"/>
      <c r="AA1052" s="10"/>
      <c r="AB1052" s="10"/>
      <c r="AC1052" s="181"/>
      <c r="AD1052" s="144"/>
      <c r="AE1052" s="182"/>
      <c r="AF1052" s="10"/>
      <c r="AG1052" s="10"/>
      <c r="AH1052" s="144"/>
      <c r="AI1052" s="3"/>
      <c r="AJ1052" s="10"/>
      <c r="AK1052" s="3"/>
      <c r="AL1052" s="5"/>
      <c r="AM1052" s="5"/>
      <c r="AN1052" s="5"/>
      <c r="AO1052" s="5"/>
      <c r="AP1052" s="5"/>
      <c r="AQ1052" s="5"/>
      <c r="AR1052" s="5"/>
      <c r="AS1052" s="142"/>
      <c r="AT1052" s="142"/>
      <c r="AU1052" s="142"/>
      <c r="AV1052" s="142"/>
      <c r="AW1052" s="142"/>
      <c r="AX1052" s="142"/>
      <c r="AY1052" s="142"/>
      <c r="AZ1052" s="174"/>
      <c r="BA1052" s="142"/>
      <c r="BB1052" s="142"/>
      <c r="BC1052" s="142"/>
      <c r="BD1052" s="142"/>
      <c r="BE1052" s="142"/>
      <c r="BF1052" s="142"/>
      <c r="BG1052" s="142"/>
    </row>
    <row r="1053">
      <c r="A1053" s="5"/>
      <c r="B1053" s="44"/>
      <c r="C1053" s="150"/>
      <c r="D1053" s="3"/>
      <c r="E1053" s="3"/>
      <c r="F1053" s="5"/>
      <c r="G1053" s="5"/>
      <c r="H1053" s="5"/>
      <c r="I1053" s="3"/>
      <c r="J1053" s="3"/>
      <c r="K1053" s="3"/>
      <c r="L1053" s="44"/>
      <c r="M1053" s="150"/>
      <c r="N1053" s="5"/>
      <c r="O1053" s="5"/>
      <c r="P1053" s="10"/>
      <c r="Q1053" s="10"/>
      <c r="R1053" s="144"/>
      <c r="S1053" s="144"/>
      <c r="T1053" s="10"/>
      <c r="U1053" s="5"/>
      <c r="V1053" s="3"/>
      <c r="W1053" s="5"/>
      <c r="X1053" s="144"/>
      <c r="Y1053" s="10"/>
      <c r="Z1053" s="3"/>
      <c r="AA1053" s="10"/>
      <c r="AB1053" s="10"/>
      <c r="AC1053" s="181"/>
      <c r="AD1053" s="144"/>
      <c r="AE1053" s="182"/>
      <c r="AF1053" s="10"/>
      <c r="AG1053" s="10"/>
      <c r="AH1053" s="144"/>
      <c r="AI1053" s="3"/>
      <c r="AJ1053" s="10"/>
      <c r="AK1053" s="3"/>
      <c r="AL1053" s="5"/>
      <c r="AM1053" s="5"/>
      <c r="AN1053" s="5"/>
      <c r="AO1053" s="5"/>
      <c r="AP1053" s="5"/>
      <c r="AQ1053" s="5"/>
      <c r="AR1053" s="5"/>
      <c r="AS1053" s="142"/>
      <c r="AT1053" s="142"/>
      <c r="AU1053" s="142"/>
      <c r="AV1053" s="142"/>
      <c r="AW1053" s="142"/>
      <c r="AX1053" s="142"/>
      <c r="AY1053" s="142"/>
      <c r="AZ1053" s="174"/>
      <c r="BA1053" s="142"/>
      <c r="BB1053" s="142"/>
      <c r="BC1053" s="142"/>
      <c r="BD1053" s="142"/>
      <c r="BE1053" s="142"/>
      <c r="BF1053" s="142"/>
      <c r="BG1053" s="142"/>
    </row>
    <row r="1054">
      <c r="A1054" s="5"/>
      <c r="B1054" s="44"/>
      <c r="C1054" s="150"/>
      <c r="D1054" s="3"/>
      <c r="E1054" s="3"/>
      <c r="F1054" s="5"/>
      <c r="G1054" s="5"/>
      <c r="H1054" s="5"/>
      <c r="I1054" s="3"/>
      <c r="J1054" s="3"/>
      <c r="K1054" s="3"/>
      <c r="L1054" s="44"/>
      <c r="M1054" s="150"/>
      <c r="N1054" s="5"/>
      <c r="O1054" s="5"/>
      <c r="P1054" s="10"/>
      <c r="Q1054" s="10"/>
      <c r="R1054" s="144"/>
      <c r="S1054" s="144"/>
      <c r="T1054" s="10"/>
      <c r="U1054" s="5"/>
      <c r="V1054" s="3"/>
      <c r="W1054" s="5"/>
      <c r="X1054" s="144"/>
      <c r="Y1054" s="10"/>
      <c r="Z1054" s="3"/>
      <c r="AA1054" s="10"/>
      <c r="AB1054" s="10"/>
      <c r="AC1054" s="181"/>
      <c r="AD1054" s="144"/>
      <c r="AE1054" s="182"/>
      <c r="AF1054" s="10"/>
      <c r="AG1054" s="10"/>
      <c r="AH1054" s="144"/>
      <c r="AI1054" s="3"/>
      <c r="AJ1054" s="10"/>
      <c r="AK1054" s="3"/>
      <c r="AL1054" s="5"/>
      <c r="AM1054" s="5"/>
      <c r="AN1054" s="5"/>
      <c r="AO1054" s="5"/>
      <c r="AP1054" s="5"/>
      <c r="AQ1054" s="5"/>
      <c r="AR1054" s="5"/>
      <c r="AS1054" s="142"/>
      <c r="AT1054" s="142"/>
      <c r="AU1054" s="142"/>
      <c r="AV1054" s="142"/>
      <c r="AW1054" s="142"/>
      <c r="AX1054" s="142"/>
      <c r="AY1054" s="142"/>
      <c r="AZ1054" s="174"/>
      <c r="BA1054" s="142"/>
      <c r="BB1054" s="142"/>
      <c r="BC1054" s="142"/>
      <c r="BD1054" s="142"/>
      <c r="BE1054" s="142"/>
      <c r="BF1054" s="142"/>
      <c r="BG1054" s="142"/>
    </row>
    <row r="1055">
      <c r="A1055" s="5"/>
      <c r="B1055" s="44"/>
      <c r="C1055" s="150"/>
      <c r="D1055" s="3"/>
      <c r="E1055" s="3"/>
      <c r="F1055" s="5"/>
      <c r="G1055" s="5"/>
      <c r="H1055" s="5"/>
      <c r="I1055" s="3"/>
      <c r="J1055" s="3"/>
      <c r="K1055" s="3"/>
      <c r="L1055" s="44"/>
      <c r="M1055" s="150"/>
      <c r="N1055" s="5"/>
      <c r="O1055" s="5"/>
      <c r="P1055" s="10"/>
      <c r="Q1055" s="10"/>
      <c r="R1055" s="144"/>
      <c r="S1055" s="144"/>
      <c r="T1055" s="10"/>
      <c r="U1055" s="5"/>
      <c r="V1055" s="3"/>
      <c r="W1055" s="5"/>
      <c r="X1055" s="144"/>
      <c r="Y1055" s="10"/>
      <c r="Z1055" s="3"/>
      <c r="AA1055" s="10"/>
      <c r="AB1055" s="10"/>
      <c r="AC1055" s="181"/>
      <c r="AD1055" s="144"/>
      <c r="AE1055" s="182"/>
      <c r="AF1055" s="10"/>
      <c r="AG1055" s="10"/>
      <c r="AH1055" s="144"/>
      <c r="AI1055" s="3"/>
      <c r="AJ1055" s="10"/>
      <c r="AK1055" s="3"/>
      <c r="AL1055" s="5"/>
      <c r="AM1055" s="5"/>
      <c r="AN1055" s="5"/>
      <c r="AO1055" s="5"/>
      <c r="AP1055" s="5"/>
      <c r="AQ1055" s="5"/>
      <c r="AR1055" s="5"/>
      <c r="AS1055" s="142"/>
      <c r="AT1055" s="142"/>
      <c r="AU1055" s="142"/>
      <c r="AV1055" s="142"/>
      <c r="AW1055" s="142"/>
      <c r="AX1055" s="142"/>
      <c r="AY1055" s="142"/>
      <c r="AZ1055" s="174"/>
      <c r="BA1055" s="142"/>
      <c r="BB1055" s="142"/>
      <c r="BC1055" s="142"/>
      <c r="BD1055" s="142"/>
      <c r="BE1055" s="142"/>
      <c r="BF1055" s="142"/>
      <c r="BG1055" s="142"/>
    </row>
    <row r="1056">
      <c r="A1056" s="5"/>
      <c r="B1056" s="44"/>
      <c r="C1056" s="150"/>
      <c r="D1056" s="3"/>
      <c r="E1056" s="3"/>
      <c r="F1056" s="5"/>
      <c r="G1056" s="5"/>
      <c r="H1056" s="5"/>
      <c r="I1056" s="3"/>
      <c r="J1056" s="3"/>
      <c r="K1056" s="3"/>
      <c r="L1056" s="44"/>
      <c r="M1056" s="150"/>
      <c r="N1056" s="5"/>
      <c r="O1056" s="5"/>
      <c r="P1056" s="10"/>
      <c r="Q1056" s="10"/>
      <c r="R1056" s="144"/>
      <c r="S1056" s="144"/>
      <c r="T1056" s="10"/>
      <c r="U1056" s="5"/>
      <c r="V1056" s="3"/>
      <c r="W1056" s="5"/>
      <c r="X1056" s="144"/>
      <c r="Y1056" s="10"/>
      <c r="Z1056" s="3"/>
      <c r="AA1056" s="10"/>
      <c r="AB1056" s="10"/>
      <c r="AC1056" s="181"/>
      <c r="AD1056" s="144"/>
      <c r="AE1056" s="182"/>
      <c r="AF1056" s="10"/>
      <c r="AG1056" s="10"/>
      <c r="AH1056" s="144"/>
      <c r="AI1056" s="3"/>
      <c r="AJ1056" s="10"/>
      <c r="AK1056" s="3"/>
      <c r="AL1056" s="5"/>
      <c r="AM1056" s="5"/>
      <c r="AN1056" s="5"/>
      <c r="AO1056" s="5"/>
      <c r="AP1056" s="5"/>
      <c r="AQ1056" s="5"/>
      <c r="AR1056" s="5"/>
      <c r="AS1056" s="142"/>
      <c r="AT1056" s="142"/>
      <c r="AU1056" s="142"/>
      <c r="AV1056" s="142"/>
      <c r="AW1056" s="142"/>
      <c r="AX1056" s="142"/>
      <c r="AY1056" s="142"/>
      <c r="AZ1056" s="174"/>
      <c r="BA1056" s="142"/>
      <c r="BB1056" s="142"/>
      <c r="BC1056" s="142"/>
      <c r="BD1056" s="142"/>
      <c r="BE1056" s="142"/>
      <c r="BF1056" s="142"/>
      <c r="BG1056" s="142"/>
    </row>
    <row r="1057">
      <c r="A1057" s="5"/>
      <c r="B1057" s="44"/>
      <c r="C1057" s="150"/>
      <c r="D1057" s="3"/>
      <c r="E1057" s="3"/>
      <c r="F1057" s="5"/>
      <c r="G1057" s="5"/>
      <c r="H1057" s="5"/>
      <c r="I1057" s="3"/>
      <c r="J1057" s="3"/>
      <c r="K1057" s="3"/>
      <c r="L1057" s="44"/>
      <c r="M1057" s="150"/>
      <c r="N1057" s="5"/>
      <c r="O1057" s="5"/>
      <c r="P1057" s="10"/>
      <c r="Q1057" s="10"/>
      <c r="R1057" s="144"/>
      <c r="S1057" s="144"/>
      <c r="T1057" s="10"/>
      <c r="U1057" s="5"/>
      <c r="V1057" s="3"/>
      <c r="W1057" s="5"/>
      <c r="X1057" s="144"/>
      <c r="Y1057" s="10"/>
      <c r="Z1057" s="3"/>
      <c r="AA1057" s="10"/>
      <c r="AB1057" s="10"/>
      <c r="AC1057" s="181"/>
      <c r="AD1057" s="144"/>
      <c r="AE1057" s="182"/>
      <c r="AF1057" s="10"/>
      <c r="AG1057" s="10"/>
      <c r="AH1057" s="144"/>
      <c r="AI1057" s="3"/>
      <c r="AJ1057" s="10"/>
      <c r="AK1057" s="3"/>
      <c r="AL1057" s="5"/>
      <c r="AM1057" s="5"/>
      <c r="AN1057" s="5"/>
      <c r="AO1057" s="5"/>
      <c r="AP1057" s="5"/>
      <c r="AQ1057" s="5"/>
      <c r="AR1057" s="5"/>
      <c r="AS1057" s="142"/>
      <c r="AT1057" s="142"/>
      <c r="AU1057" s="142"/>
      <c r="AV1057" s="142"/>
      <c r="AW1057" s="142"/>
      <c r="AX1057" s="142"/>
      <c r="AY1057" s="142"/>
      <c r="AZ1057" s="174"/>
      <c r="BA1057" s="142"/>
      <c r="BB1057" s="142"/>
      <c r="BC1057" s="142"/>
      <c r="BD1057" s="142"/>
      <c r="BE1057" s="142"/>
      <c r="BF1057" s="142"/>
      <c r="BG1057" s="142"/>
    </row>
    <row r="1058">
      <c r="A1058" s="5"/>
      <c r="B1058" s="44"/>
      <c r="C1058" s="150"/>
      <c r="D1058" s="3"/>
      <c r="E1058" s="3"/>
      <c r="F1058" s="5"/>
      <c r="G1058" s="5"/>
      <c r="H1058" s="5"/>
      <c r="I1058" s="3"/>
      <c r="J1058" s="3"/>
      <c r="K1058" s="3"/>
      <c r="L1058" s="44"/>
      <c r="M1058" s="150"/>
      <c r="N1058" s="5"/>
      <c r="O1058" s="5"/>
      <c r="P1058" s="10"/>
      <c r="Q1058" s="10"/>
      <c r="R1058" s="144"/>
      <c r="S1058" s="144"/>
      <c r="T1058" s="10"/>
      <c r="U1058" s="5"/>
      <c r="V1058" s="3"/>
      <c r="W1058" s="5"/>
      <c r="X1058" s="144"/>
      <c r="Y1058" s="10"/>
      <c r="Z1058" s="3"/>
      <c r="AA1058" s="10"/>
      <c r="AB1058" s="10"/>
      <c r="AC1058" s="181"/>
      <c r="AD1058" s="144"/>
      <c r="AE1058" s="182"/>
      <c r="AF1058" s="10"/>
      <c r="AG1058" s="10"/>
      <c r="AH1058" s="144"/>
      <c r="AI1058" s="3"/>
      <c r="AJ1058" s="10"/>
      <c r="AK1058" s="3"/>
      <c r="AL1058" s="5"/>
      <c r="AM1058" s="5"/>
      <c r="AN1058" s="5"/>
      <c r="AO1058" s="5"/>
      <c r="AP1058" s="5"/>
      <c r="AQ1058" s="5"/>
      <c r="AR1058" s="5"/>
      <c r="AS1058" s="142"/>
      <c r="AT1058" s="142"/>
      <c r="AU1058" s="142"/>
      <c r="AV1058" s="142"/>
      <c r="AW1058" s="142"/>
      <c r="AX1058" s="142"/>
      <c r="AY1058" s="142"/>
      <c r="AZ1058" s="174"/>
      <c r="BA1058" s="142"/>
      <c r="BB1058" s="142"/>
      <c r="BC1058" s="142"/>
      <c r="BD1058" s="142"/>
      <c r="BE1058" s="142"/>
      <c r="BF1058" s="142"/>
      <c r="BG1058" s="142"/>
    </row>
    <row r="1059">
      <c r="A1059" s="5"/>
      <c r="B1059" s="44"/>
      <c r="C1059" s="150"/>
      <c r="D1059" s="3"/>
      <c r="E1059" s="3"/>
      <c r="F1059" s="5"/>
      <c r="G1059" s="5"/>
      <c r="H1059" s="5"/>
      <c r="I1059" s="3"/>
      <c r="J1059" s="3"/>
      <c r="K1059" s="3"/>
      <c r="L1059" s="44"/>
      <c r="M1059" s="150"/>
      <c r="N1059" s="5"/>
      <c r="O1059" s="5"/>
      <c r="P1059" s="10"/>
      <c r="Q1059" s="10"/>
      <c r="R1059" s="144"/>
      <c r="S1059" s="144"/>
      <c r="T1059" s="10"/>
      <c r="U1059" s="5"/>
      <c r="V1059" s="3"/>
      <c r="W1059" s="5"/>
      <c r="X1059" s="144"/>
      <c r="Y1059" s="10"/>
      <c r="Z1059" s="3"/>
      <c r="AA1059" s="10"/>
      <c r="AB1059" s="10"/>
      <c r="AC1059" s="181"/>
      <c r="AD1059" s="144"/>
      <c r="AE1059" s="182"/>
      <c r="AF1059" s="10"/>
      <c r="AG1059" s="10"/>
      <c r="AH1059" s="144"/>
      <c r="AI1059" s="3"/>
      <c r="AJ1059" s="10"/>
      <c r="AK1059" s="3"/>
      <c r="AL1059" s="5"/>
      <c r="AM1059" s="5"/>
      <c r="AN1059" s="5"/>
      <c r="AO1059" s="5"/>
      <c r="AP1059" s="5"/>
      <c r="AQ1059" s="5"/>
      <c r="AR1059" s="5"/>
      <c r="AS1059" s="142"/>
      <c r="AT1059" s="142"/>
      <c r="AU1059" s="142"/>
      <c r="AV1059" s="142"/>
      <c r="AW1059" s="142"/>
      <c r="AX1059" s="142"/>
      <c r="AY1059" s="142"/>
      <c r="AZ1059" s="174"/>
      <c r="BA1059" s="142"/>
      <c r="BB1059" s="142"/>
      <c r="BC1059" s="142"/>
      <c r="BD1059" s="142"/>
      <c r="BE1059" s="142"/>
      <c r="BF1059" s="142"/>
      <c r="BG1059" s="142"/>
    </row>
    <row r="1060">
      <c r="A1060" s="5"/>
      <c r="B1060" s="44"/>
      <c r="C1060" s="150"/>
      <c r="D1060" s="3"/>
      <c r="E1060" s="3"/>
      <c r="F1060" s="5"/>
      <c r="G1060" s="5"/>
      <c r="H1060" s="5"/>
      <c r="I1060" s="3"/>
      <c r="J1060" s="3"/>
      <c r="K1060" s="3"/>
      <c r="L1060" s="44"/>
      <c r="M1060" s="150"/>
      <c r="N1060" s="5"/>
      <c r="O1060" s="5"/>
      <c r="P1060" s="10"/>
      <c r="Q1060" s="10"/>
      <c r="R1060" s="144"/>
      <c r="S1060" s="144"/>
      <c r="T1060" s="10"/>
      <c r="U1060" s="5"/>
      <c r="V1060" s="3"/>
      <c r="W1060" s="5"/>
      <c r="X1060" s="144"/>
      <c r="Y1060" s="10"/>
      <c r="Z1060" s="3"/>
      <c r="AA1060" s="10"/>
      <c r="AB1060" s="10"/>
      <c r="AC1060" s="181"/>
      <c r="AD1060" s="144"/>
      <c r="AE1060" s="182"/>
      <c r="AF1060" s="10"/>
      <c r="AG1060" s="10"/>
      <c r="AH1060" s="144"/>
      <c r="AI1060" s="3"/>
      <c r="AJ1060" s="10"/>
      <c r="AK1060" s="3"/>
      <c r="AL1060" s="5"/>
      <c r="AM1060" s="5"/>
      <c r="AN1060" s="5"/>
      <c r="AO1060" s="5"/>
      <c r="AP1060" s="5"/>
      <c r="AQ1060" s="5"/>
      <c r="AR1060" s="5"/>
      <c r="AS1060" s="142"/>
      <c r="AT1060" s="142"/>
      <c r="AU1060" s="142"/>
      <c r="AV1060" s="142"/>
      <c r="AW1060" s="142"/>
      <c r="AX1060" s="142"/>
      <c r="AY1060" s="142"/>
      <c r="AZ1060" s="174"/>
      <c r="BA1060" s="142"/>
      <c r="BB1060" s="142"/>
      <c r="BC1060" s="142"/>
      <c r="BD1060" s="142"/>
      <c r="BE1060" s="142"/>
      <c r="BF1060" s="142"/>
      <c r="BG1060" s="142"/>
    </row>
    <row r="1061">
      <c r="A1061" s="5"/>
      <c r="B1061" s="44"/>
      <c r="C1061" s="150"/>
      <c r="D1061" s="3"/>
      <c r="E1061" s="3"/>
      <c r="F1061" s="5"/>
      <c r="G1061" s="5"/>
      <c r="H1061" s="5"/>
      <c r="I1061" s="3"/>
      <c r="J1061" s="3"/>
      <c r="K1061" s="3"/>
      <c r="L1061" s="44"/>
      <c r="M1061" s="150"/>
      <c r="N1061" s="5"/>
      <c r="O1061" s="5"/>
      <c r="P1061" s="10"/>
      <c r="Q1061" s="10"/>
      <c r="R1061" s="144"/>
      <c r="S1061" s="144"/>
      <c r="T1061" s="10"/>
      <c r="U1061" s="5"/>
      <c r="V1061" s="3"/>
      <c r="W1061" s="5"/>
      <c r="X1061" s="144"/>
      <c r="Y1061" s="10"/>
      <c r="Z1061" s="3"/>
      <c r="AA1061" s="10"/>
      <c r="AB1061" s="10"/>
      <c r="AC1061" s="181"/>
      <c r="AD1061" s="144"/>
      <c r="AE1061" s="182"/>
      <c r="AF1061" s="10"/>
      <c r="AG1061" s="10"/>
      <c r="AH1061" s="144"/>
      <c r="AI1061" s="3"/>
      <c r="AJ1061" s="10"/>
      <c r="AK1061" s="3"/>
      <c r="AL1061" s="5"/>
      <c r="AM1061" s="5"/>
      <c r="AN1061" s="5"/>
      <c r="AO1061" s="5"/>
      <c r="AP1061" s="5"/>
      <c r="AQ1061" s="5"/>
      <c r="AR1061" s="5"/>
      <c r="AS1061" s="142"/>
      <c r="AT1061" s="142"/>
      <c r="AU1061" s="142"/>
      <c r="AV1061" s="142"/>
      <c r="AW1061" s="142"/>
      <c r="AX1061" s="142"/>
      <c r="AY1061" s="142"/>
      <c r="AZ1061" s="174"/>
      <c r="BA1061" s="142"/>
      <c r="BB1061" s="142"/>
      <c r="BC1061" s="142"/>
      <c r="BD1061" s="142"/>
      <c r="BE1061" s="142"/>
      <c r="BF1061" s="142"/>
      <c r="BG1061" s="142"/>
    </row>
    <row r="1062">
      <c r="A1062" s="5"/>
      <c r="B1062" s="44"/>
      <c r="C1062" s="150"/>
      <c r="D1062" s="3"/>
      <c r="E1062" s="3"/>
      <c r="F1062" s="5"/>
      <c r="G1062" s="5"/>
      <c r="H1062" s="5"/>
      <c r="I1062" s="3"/>
      <c r="J1062" s="3"/>
      <c r="K1062" s="3"/>
      <c r="L1062" s="44"/>
      <c r="M1062" s="150"/>
      <c r="N1062" s="5"/>
      <c r="O1062" s="5"/>
      <c r="P1062" s="10"/>
      <c r="Q1062" s="10"/>
      <c r="R1062" s="144"/>
      <c r="S1062" s="144"/>
      <c r="T1062" s="10"/>
      <c r="U1062" s="5"/>
      <c r="V1062" s="3"/>
      <c r="W1062" s="5"/>
      <c r="X1062" s="144"/>
      <c r="Y1062" s="10"/>
      <c r="Z1062" s="3"/>
      <c r="AA1062" s="10"/>
      <c r="AB1062" s="10"/>
      <c r="AC1062" s="181"/>
      <c r="AD1062" s="144"/>
      <c r="AE1062" s="182"/>
      <c r="AF1062" s="10"/>
      <c r="AG1062" s="10"/>
      <c r="AH1062" s="144"/>
      <c r="AI1062" s="3"/>
      <c r="AJ1062" s="10"/>
      <c r="AK1062" s="3"/>
      <c r="AL1062" s="5"/>
      <c r="AM1062" s="5"/>
      <c r="AN1062" s="5"/>
      <c r="AO1062" s="5"/>
      <c r="AP1062" s="5"/>
      <c r="AQ1062" s="5"/>
      <c r="AR1062" s="5"/>
      <c r="AS1062" s="142"/>
      <c r="AT1062" s="142"/>
      <c r="AU1062" s="142"/>
      <c r="AV1062" s="142"/>
      <c r="AW1062" s="142"/>
      <c r="AX1062" s="142"/>
      <c r="AY1062" s="142"/>
      <c r="AZ1062" s="174"/>
      <c r="BA1062" s="142"/>
      <c r="BB1062" s="142"/>
      <c r="BC1062" s="142"/>
      <c r="BD1062" s="142"/>
      <c r="BE1062" s="142"/>
      <c r="BF1062" s="142"/>
      <c r="BG1062" s="142"/>
    </row>
    <row r="1063">
      <c r="A1063" s="5"/>
      <c r="B1063" s="44"/>
      <c r="C1063" s="150"/>
      <c r="D1063" s="3"/>
      <c r="E1063" s="3"/>
      <c r="F1063" s="5"/>
      <c r="G1063" s="5"/>
      <c r="H1063" s="5"/>
      <c r="I1063" s="3"/>
      <c r="J1063" s="3"/>
      <c r="K1063" s="3"/>
      <c r="L1063" s="44"/>
      <c r="M1063" s="150"/>
      <c r="N1063" s="5"/>
      <c r="O1063" s="5"/>
      <c r="P1063" s="10"/>
      <c r="Q1063" s="10"/>
      <c r="R1063" s="144"/>
      <c r="S1063" s="144"/>
      <c r="T1063" s="10"/>
      <c r="U1063" s="5"/>
      <c r="V1063" s="3"/>
      <c r="W1063" s="5"/>
      <c r="X1063" s="144"/>
      <c r="Y1063" s="10"/>
      <c r="Z1063" s="3"/>
      <c r="AA1063" s="10"/>
      <c r="AB1063" s="10"/>
      <c r="AC1063" s="181"/>
      <c r="AD1063" s="144"/>
      <c r="AE1063" s="182"/>
      <c r="AF1063" s="10"/>
      <c r="AG1063" s="10"/>
      <c r="AH1063" s="144"/>
      <c r="AI1063" s="3"/>
      <c r="AJ1063" s="10"/>
      <c r="AK1063" s="3"/>
      <c r="AL1063" s="5"/>
      <c r="AM1063" s="5"/>
      <c r="AN1063" s="5"/>
      <c r="AO1063" s="5"/>
      <c r="AP1063" s="5"/>
      <c r="AQ1063" s="5"/>
      <c r="AR1063" s="5"/>
      <c r="AS1063" s="142"/>
      <c r="AT1063" s="142"/>
      <c r="AU1063" s="142"/>
      <c r="AV1063" s="142"/>
      <c r="AW1063" s="142"/>
      <c r="AX1063" s="142"/>
      <c r="AY1063" s="142"/>
      <c r="AZ1063" s="174"/>
      <c r="BA1063" s="142"/>
      <c r="BB1063" s="142"/>
      <c r="BC1063" s="142"/>
      <c r="BD1063" s="142"/>
      <c r="BE1063" s="142"/>
      <c r="BF1063" s="142"/>
      <c r="BG1063" s="142"/>
    </row>
    <row r="1064">
      <c r="A1064" s="5"/>
      <c r="B1064" s="44"/>
      <c r="C1064" s="150"/>
      <c r="D1064" s="3"/>
      <c r="E1064" s="3"/>
      <c r="F1064" s="5"/>
      <c r="G1064" s="5"/>
      <c r="H1064" s="5"/>
      <c r="I1064" s="3"/>
      <c r="J1064" s="3"/>
      <c r="K1064" s="3"/>
      <c r="L1064" s="44"/>
      <c r="M1064" s="150"/>
      <c r="N1064" s="5"/>
      <c r="O1064" s="5"/>
      <c r="P1064" s="10"/>
      <c r="Q1064" s="10"/>
      <c r="R1064" s="144"/>
      <c r="S1064" s="144"/>
      <c r="T1064" s="10"/>
      <c r="U1064" s="5"/>
      <c r="V1064" s="3"/>
      <c r="W1064" s="5"/>
      <c r="X1064" s="144"/>
      <c r="Y1064" s="10"/>
      <c r="Z1064" s="3"/>
      <c r="AA1064" s="10"/>
      <c r="AB1064" s="10"/>
      <c r="AC1064" s="181"/>
      <c r="AD1064" s="144"/>
      <c r="AE1064" s="182"/>
      <c r="AF1064" s="10"/>
      <c r="AG1064" s="10"/>
      <c r="AH1064" s="144"/>
      <c r="AI1064" s="3"/>
      <c r="AJ1064" s="10"/>
      <c r="AK1064" s="3"/>
      <c r="AL1064" s="5"/>
      <c r="AM1064" s="5"/>
      <c r="AN1064" s="5"/>
      <c r="AO1064" s="5"/>
      <c r="AP1064" s="5"/>
      <c r="AQ1064" s="5"/>
      <c r="AR1064" s="5"/>
      <c r="AS1064" s="142"/>
      <c r="AT1064" s="142"/>
      <c r="AU1064" s="142"/>
      <c r="AV1064" s="142"/>
      <c r="AW1064" s="142"/>
      <c r="AX1064" s="142"/>
      <c r="AY1064" s="142"/>
      <c r="AZ1064" s="174"/>
      <c r="BA1064" s="142"/>
      <c r="BB1064" s="142"/>
      <c r="BC1064" s="142"/>
      <c r="BD1064" s="142"/>
      <c r="BE1064" s="142"/>
      <c r="BF1064" s="142"/>
      <c r="BG1064" s="142"/>
    </row>
    <row r="1065">
      <c r="A1065" s="5"/>
      <c r="B1065" s="44"/>
      <c r="C1065" s="150"/>
      <c r="D1065" s="3"/>
      <c r="E1065" s="3"/>
      <c r="F1065" s="5"/>
      <c r="G1065" s="5"/>
      <c r="H1065" s="5"/>
      <c r="I1065" s="3"/>
      <c r="J1065" s="3"/>
      <c r="K1065" s="3"/>
      <c r="L1065" s="44"/>
      <c r="M1065" s="150"/>
      <c r="N1065" s="5"/>
      <c r="O1065" s="5"/>
      <c r="P1065" s="10"/>
      <c r="Q1065" s="10"/>
      <c r="R1065" s="144"/>
      <c r="S1065" s="144"/>
      <c r="T1065" s="10"/>
      <c r="U1065" s="5"/>
      <c r="V1065" s="3"/>
      <c r="W1065" s="5"/>
      <c r="X1065" s="144"/>
      <c r="Y1065" s="10"/>
      <c r="Z1065" s="3"/>
      <c r="AA1065" s="10"/>
      <c r="AB1065" s="10"/>
      <c r="AC1065" s="181"/>
      <c r="AD1065" s="144"/>
      <c r="AE1065" s="182"/>
      <c r="AF1065" s="10"/>
      <c r="AG1065" s="10"/>
      <c r="AH1065" s="144"/>
      <c r="AI1065" s="3"/>
      <c r="AJ1065" s="10"/>
      <c r="AK1065" s="3"/>
      <c r="AL1065" s="5"/>
      <c r="AM1065" s="5"/>
      <c r="AN1065" s="5"/>
      <c r="AO1065" s="5"/>
      <c r="AP1065" s="5"/>
      <c r="AQ1065" s="5"/>
      <c r="AR1065" s="5"/>
      <c r="AS1065" s="142"/>
      <c r="AT1065" s="142"/>
      <c r="AU1065" s="142"/>
      <c r="AV1065" s="142"/>
      <c r="AW1065" s="142"/>
      <c r="AX1065" s="142"/>
      <c r="AY1065" s="142"/>
      <c r="AZ1065" s="174"/>
      <c r="BA1065" s="142"/>
      <c r="BB1065" s="142"/>
      <c r="BC1065" s="142"/>
      <c r="BD1065" s="142"/>
      <c r="BE1065" s="142"/>
      <c r="BF1065" s="142"/>
      <c r="BG1065" s="142"/>
    </row>
    <row r="1066">
      <c r="A1066" s="5"/>
      <c r="B1066" s="44"/>
      <c r="C1066" s="150"/>
      <c r="D1066" s="3"/>
      <c r="E1066" s="3"/>
      <c r="F1066" s="5"/>
      <c r="G1066" s="5"/>
      <c r="H1066" s="5"/>
      <c r="I1066" s="3"/>
      <c r="J1066" s="3"/>
      <c r="K1066" s="3"/>
      <c r="L1066" s="44"/>
      <c r="M1066" s="150"/>
      <c r="N1066" s="5"/>
      <c r="O1066" s="5"/>
      <c r="P1066" s="10"/>
      <c r="Q1066" s="10"/>
      <c r="R1066" s="144"/>
      <c r="S1066" s="144"/>
      <c r="T1066" s="10"/>
      <c r="U1066" s="5"/>
      <c r="V1066" s="3"/>
      <c r="W1066" s="5"/>
      <c r="X1066" s="144"/>
      <c r="Y1066" s="10"/>
      <c r="Z1066" s="3"/>
      <c r="AA1066" s="10"/>
      <c r="AB1066" s="10"/>
      <c r="AC1066" s="181"/>
      <c r="AD1066" s="144"/>
      <c r="AE1066" s="182"/>
      <c r="AF1066" s="10"/>
      <c r="AG1066" s="10"/>
      <c r="AH1066" s="144"/>
      <c r="AI1066" s="3"/>
      <c r="AJ1066" s="10"/>
      <c r="AK1066" s="3"/>
      <c r="AL1066" s="5"/>
      <c r="AM1066" s="5"/>
      <c r="AN1066" s="5"/>
      <c r="AO1066" s="5"/>
      <c r="AP1066" s="5"/>
      <c r="AQ1066" s="5"/>
      <c r="AR1066" s="5"/>
      <c r="AS1066" s="142"/>
      <c r="AT1066" s="142"/>
      <c r="AU1066" s="142"/>
      <c r="AV1066" s="142"/>
      <c r="AW1066" s="142"/>
      <c r="AX1066" s="142"/>
      <c r="AY1066" s="142"/>
      <c r="AZ1066" s="174"/>
      <c r="BA1066" s="142"/>
      <c r="BB1066" s="142"/>
      <c r="BC1066" s="142"/>
      <c r="BD1066" s="142"/>
      <c r="BE1066" s="142"/>
      <c r="BF1066" s="142"/>
      <c r="BG1066" s="142"/>
    </row>
    <row r="1067">
      <c r="A1067" s="5"/>
      <c r="B1067" s="44"/>
      <c r="C1067" s="150"/>
      <c r="D1067" s="3"/>
      <c r="E1067" s="3"/>
      <c r="F1067" s="5"/>
      <c r="G1067" s="5"/>
      <c r="H1067" s="5"/>
      <c r="I1067" s="3"/>
      <c r="J1067" s="3"/>
      <c r="K1067" s="3"/>
      <c r="L1067" s="44"/>
      <c r="M1067" s="150"/>
      <c r="N1067" s="5"/>
      <c r="O1067" s="5"/>
      <c r="P1067" s="10"/>
      <c r="Q1067" s="10"/>
      <c r="R1067" s="144"/>
      <c r="S1067" s="144"/>
      <c r="T1067" s="10"/>
      <c r="U1067" s="5"/>
      <c r="V1067" s="3"/>
      <c r="W1067" s="5"/>
      <c r="X1067" s="144"/>
      <c r="Y1067" s="10"/>
      <c r="Z1067" s="3"/>
      <c r="AA1067" s="10"/>
      <c r="AB1067" s="10"/>
      <c r="AC1067" s="181"/>
      <c r="AD1067" s="144"/>
      <c r="AE1067" s="182"/>
      <c r="AF1067" s="10"/>
      <c r="AG1067" s="10"/>
      <c r="AH1067" s="144"/>
      <c r="AI1067" s="3"/>
      <c r="AJ1067" s="10"/>
      <c r="AK1067" s="3"/>
      <c r="AL1067" s="5"/>
      <c r="AM1067" s="5"/>
      <c r="AN1067" s="5"/>
      <c r="AO1067" s="5"/>
      <c r="AP1067" s="5"/>
      <c r="AQ1067" s="5"/>
      <c r="AR1067" s="5"/>
      <c r="AS1067" s="142"/>
      <c r="AT1067" s="142"/>
      <c r="AU1067" s="142"/>
      <c r="AV1067" s="142"/>
      <c r="AW1067" s="142"/>
      <c r="AX1067" s="142"/>
      <c r="AY1067" s="142"/>
      <c r="AZ1067" s="174"/>
      <c r="BA1067" s="142"/>
      <c r="BB1067" s="142"/>
      <c r="BC1067" s="142"/>
      <c r="BD1067" s="142"/>
      <c r="BE1067" s="142"/>
      <c r="BF1067" s="142"/>
      <c r="BG1067" s="142"/>
    </row>
    <row r="1068">
      <c r="A1068" s="5"/>
      <c r="B1068" s="44"/>
      <c r="C1068" s="150"/>
      <c r="D1068" s="3"/>
      <c r="E1068" s="3"/>
      <c r="F1068" s="5"/>
      <c r="G1068" s="5"/>
      <c r="H1068" s="5"/>
      <c r="I1068" s="3"/>
      <c r="J1068" s="3"/>
      <c r="K1068" s="3"/>
      <c r="L1068" s="44"/>
      <c r="M1068" s="150"/>
      <c r="N1068" s="5"/>
      <c r="O1068" s="5"/>
      <c r="P1068" s="10"/>
      <c r="Q1068" s="10"/>
      <c r="R1068" s="144"/>
      <c r="S1068" s="144"/>
      <c r="T1068" s="10"/>
      <c r="U1068" s="5"/>
      <c r="V1068" s="3"/>
      <c r="W1068" s="5"/>
      <c r="X1068" s="144"/>
      <c r="Y1068" s="10"/>
      <c r="Z1068" s="3"/>
      <c r="AA1068" s="10"/>
      <c r="AB1068" s="10"/>
      <c r="AC1068" s="181"/>
      <c r="AD1068" s="144"/>
      <c r="AE1068" s="182"/>
      <c r="AF1068" s="10"/>
      <c r="AG1068" s="10"/>
      <c r="AH1068" s="144"/>
      <c r="AI1068" s="3"/>
      <c r="AJ1068" s="10"/>
      <c r="AK1068" s="3"/>
      <c r="AL1068" s="5"/>
      <c r="AM1068" s="5"/>
      <c r="AN1068" s="5"/>
      <c r="AO1068" s="5"/>
      <c r="AP1068" s="5"/>
      <c r="AQ1068" s="5"/>
      <c r="AR1068" s="5"/>
      <c r="AS1068" s="142"/>
      <c r="AT1068" s="142"/>
      <c r="AU1068" s="142"/>
      <c r="AV1068" s="142"/>
      <c r="AW1068" s="142"/>
      <c r="AX1068" s="142"/>
      <c r="AY1068" s="142"/>
      <c r="AZ1068" s="174"/>
      <c r="BA1068" s="142"/>
      <c r="BB1068" s="142"/>
      <c r="BC1068" s="142"/>
      <c r="BD1068" s="142"/>
      <c r="BE1068" s="142"/>
      <c r="BF1068" s="142"/>
      <c r="BG1068" s="142"/>
    </row>
    <row r="1069">
      <c r="A1069" s="5"/>
      <c r="B1069" s="44"/>
      <c r="C1069" s="150"/>
      <c r="D1069" s="3"/>
      <c r="E1069" s="3"/>
      <c r="F1069" s="5"/>
      <c r="G1069" s="5"/>
      <c r="H1069" s="5"/>
      <c r="I1069" s="3"/>
      <c r="J1069" s="3"/>
      <c r="K1069" s="3"/>
      <c r="L1069" s="44"/>
      <c r="M1069" s="150"/>
      <c r="N1069" s="5"/>
      <c r="O1069" s="5"/>
      <c r="P1069" s="10"/>
      <c r="Q1069" s="10"/>
      <c r="R1069" s="144"/>
      <c r="S1069" s="144"/>
      <c r="T1069" s="10"/>
      <c r="U1069" s="5"/>
      <c r="V1069" s="3"/>
      <c r="W1069" s="5"/>
      <c r="X1069" s="144"/>
      <c r="Y1069" s="10"/>
      <c r="Z1069" s="3"/>
      <c r="AA1069" s="10"/>
      <c r="AB1069" s="10"/>
      <c r="AC1069" s="181"/>
      <c r="AD1069" s="144"/>
      <c r="AE1069" s="182"/>
      <c r="AF1069" s="10"/>
      <c r="AG1069" s="10"/>
      <c r="AH1069" s="144"/>
      <c r="AI1069" s="3"/>
      <c r="AJ1069" s="10"/>
      <c r="AK1069" s="3"/>
      <c r="AL1069" s="5"/>
      <c r="AM1069" s="5"/>
      <c r="AN1069" s="5"/>
      <c r="AO1069" s="5"/>
      <c r="AP1069" s="5"/>
      <c r="AQ1069" s="5"/>
      <c r="AR1069" s="5"/>
      <c r="AS1069" s="142"/>
      <c r="AT1069" s="142"/>
      <c r="AU1069" s="142"/>
      <c r="AV1069" s="142"/>
      <c r="AW1069" s="142"/>
      <c r="AX1069" s="142"/>
      <c r="AY1069" s="142"/>
      <c r="AZ1069" s="174"/>
      <c r="BA1069" s="142"/>
      <c r="BB1069" s="142"/>
      <c r="BC1069" s="142"/>
      <c r="BD1069" s="142"/>
      <c r="BE1069" s="142"/>
      <c r="BF1069" s="142"/>
      <c r="BG1069" s="142"/>
    </row>
    <row r="1070">
      <c r="A1070" s="5"/>
      <c r="B1070" s="44"/>
      <c r="C1070" s="150"/>
      <c r="D1070" s="3"/>
      <c r="E1070" s="3"/>
      <c r="F1070" s="5"/>
      <c r="G1070" s="5"/>
      <c r="H1070" s="5"/>
      <c r="I1070" s="3"/>
      <c r="J1070" s="3"/>
      <c r="K1070" s="3"/>
      <c r="L1070" s="44"/>
      <c r="M1070" s="150"/>
      <c r="N1070" s="5"/>
      <c r="O1070" s="5"/>
      <c r="P1070" s="10"/>
      <c r="Q1070" s="10"/>
      <c r="R1070" s="144"/>
      <c r="S1070" s="144"/>
      <c r="T1070" s="10"/>
      <c r="U1070" s="5"/>
      <c r="V1070" s="3"/>
      <c r="W1070" s="5"/>
      <c r="X1070" s="144"/>
      <c r="Y1070" s="10"/>
      <c r="Z1070" s="3"/>
      <c r="AA1070" s="10"/>
      <c r="AB1070" s="10"/>
      <c r="AC1070" s="181"/>
      <c r="AD1070" s="144"/>
      <c r="AE1070" s="182"/>
      <c r="AF1070" s="10"/>
      <c r="AG1070" s="10"/>
      <c r="AH1070" s="144"/>
      <c r="AI1070" s="3"/>
      <c r="AJ1070" s="10"/>
      <c r="AK1070" s="3"/>
      <c r="AL1070" s="5"/>
      <c r="AM1070" s="5"/>
      <c r="AN1070" s="5"/>
      <c r="AO1070" s="5"/>
      <c r="AP1070" s="5"/>
      <c r="AQ1070" s="5"/>
      <c r="AR1070" s="5"/>
      <c r="AS1070" s="142"/>
      <c r="AT1070" s="142"/>
      <c r="AU1070" s="142"/>
      <c r="AV1070" s="142"/>
      <c r="AW1070" s="142"/>
      <c r="AX1070" s="142"/>
      <c r="AY1070" s="142"/>
      <c r="AZ1070" s="174"/>
      <c r="BA1070" s="142"/>
      <c r="BB1070" s="142"/>
      <c r="BC1070" s="142"/>
      <c r="BD1070" s="142"/>
      <c r="BE1070" s="142"/>
      <c r="BF1070" s="142"/>
      <c r="BG1070" s="142"/>
    </row>
    <row r="1071">
      <c r="A1071" s="5"/>
      <c r="B1071" s="44"/>
      <c r="C1071" s="150"/>
      <c r="D1071" s="3"/>
      <c r="E1071" s="3"/>
      <c r="F1071" s="5"/>
      <c r="G1071" s="5"/>
      <c r="H1071" s="5"/>
      <c r="I1071" s="3"/>
      <c r="J1071" s="3"/>
      <c r="K1071" s="3"/>
      <c r="L1071" s="44"/>
      <c r="M1071" s="150"/>
      <c r="N1071" s="5"/>
      <c r="O1071" s="5"/>
      <c r="P1071" s="10"/>
      <c r="Q1071" s="10"/>
      <c r="R1071" s="144"/>
      <c r="S1071" s="144"/>
      <c r="T1071" s="10"/>
      <c r="U1071" s="5"/>
      <c r="V1071" s="3"/>
      <c r="W1071" s="5"/>
      <c r="X1071" s="144"/>
      <c r="Y1071" s="10"/>
      <c r="Z1071" s="3"/>
      <c r="AA1071" s="10"/>
      <c r="AB1071" s="10"/>
      <c r="AC1071" s="181"/>
      <c r="AD1071" s="144"/>
      <c r="AE1071" s="182"/>
      <c r="AF1071" s="10"/>
      <c r="AG1071" s="10"/>
      <c r="AH1071" s="144"/>
      <c r="AI1071" s="3"/>
      <c r="AJ1071" s="10"/>
      <c r="AK1071" s="3"/>
      <c r="AL1071" s="5"/>
      <c r="AM1071" s="5"/>
      <c r="AN1071" s="5"/>
      <c r="AO1071" s="5"/>
      <c r="AP1071" s="5"/>
      <c r="AQ1071" s="5"/>
      <c r="AR1071" s="5"/>
      <c r="AS1071" s="142"/>
      <c r="AT1071" s="142"/>
      <c r="AU1071" s="142"/>
      <c r="AV1071" s="142"/>
      <c r="AW1071" s="142"/>
      <c r="AX1071" s="142"/>
      <c r="AY1071" s="142"/>
      <c r="AZ1071" s="174"/>
      <c r="BA1071" s="142"/>
      <c r="BB1071" s="142"/>
      <c r="BC1071" s="142"/>
      <c r="BD1071" s="142"/>
      <c r="BE1071" s="142"/>
      <c r="BF1071" s="142"/>
      <c r="BG1071" s="142"/>
    </row>
    <row r="1072">
      <c r="A1072" s="5"/>
      <c r="B1072" s="44"/>
      <c r="C1072" s="150"/>
      <c r="D1072" s="3"/>
      <c r="E1072" s="3"/>
      <c r="F1072" s="5"/>
      <c r="G1072" s="5"/>
      <c r="H1072" s="5"/>
      <c r="I1072" s="3"/>
      <c r="J1072" s="3"/>
      <c r="K1072" s="3"/>
      <c r="L1072" s="44"/>
      <c r="M1072" s="150"/>
      <c r="N1072" s="5"/>
      <c r="O1072" s="5"/>
      <c r="P1072" s="10"/>
      <c r="Q1072" s="10"/>
      <c r="R1072" s="144"/>
      <c r="S1072" s="144"/>
      <c r="T1072" s="10"/>
      <c r="U1072" s="5"/>
      <c r="V1072" s="3"/>
      <c r="W1072" s="5"/>
      <c r="X1072" s="144"/>
      <c r="Y1072" s="10"/>
      <c r="Z1072" s="3"/>
      <c r="AA1072" s="10"/>
      <c r="AB1072" s="10"/>
      <c r="AC1072" s="181"/>
      <c r="AD1072" s="144"/>
      <c r="AE1072" s="182"/>
      <c r="AF1072" s="10"/>
      <c r="AG1072" s="10"/>
      <c r="AH1072" s="144"/>
      <c r="AI1072" s="3"/>
      <c r="AJ1072" s="10"/>
      <c r="AK1072" s="3"/>
      <c r="AL1072" s="5"/>
      <c r="AM1072" s="5"/>
      <c r="AN1072" s="5"/>
      <c r="AO1072" s="5"/>
      <c r="AP1072" s="5"/>
      <c r="AQ1072" s="5"/>
      <c r="AR1072" s="5"/>
      <c r="AS1072" s="142"/>
      <c r="AT1072" s="142"/>
      <c r="AU1072" s="142"/>
      <c r="AV1072" s="142"/>
      <c r="AW1072" s="142"/>
      <c r="AX1072" s="142"/>
      <c r="AY1072" s="142"/>
      <c r="AZ1072" s="174"/>
      <c r="BA1072" s="142"/>
      <c r="BB1072" s="142"/>
      <c r="BC1072" s="142"/>
      <c r="BD1072" s="142"/>
      <c r="BE1072" s="142"/>
      <c r="BF1072" s="142"/>
      <c r="BG1072" s="142"/>
    </row>
    <row r="1073">
      <c r="A1073" s="5"/>
      <c r="B1073" s="44"/>
      <c r="C1073" s="150"/>
      <c r="D1073" s="3"/>
      <c r="E1073" s="3"/>
      <c r="F1073" s="5"/>
      <c r="G1073" s="5"/>
      <c r="H1073" s="5"/>
      <c r="I1073" s="3"/>
      <c r="J1073" s="3"/>
      <c r="K1073" s="3"/>
      <c r="L1073" s="44"/>
      <c r="M1073" s="150"/>
      <c r="N1073" s="5"/>
      <c r="O1073" s="5"/>
      <c r="P1073" s="10"/>
      <c r="Q1073" s="10"/>
      <c r="R1073" s="144"/>
      <c r="S1073" s="144"/>
      <c r="T1073" s="10"/>
      <c r="U1073" s="5"/>
      <c r="V1073" s="3"/>
      <c r="W1073" s="5"/>
      <c r="X1073" s="144"/>
      <c r="Y1073" s="10"/>
      <c r="Z1073" s="3"/>
      <c r="AA1073" s="10"/>
      <c r="AB1073" s="10"/>
      <c r="AC1073" s="181"/>
      <c r="AD1073" s="144"/>
      <c r="AE1073" s="182"/>
      <c r="AF1073" s="10"/>
      <c r="AG1073" s="10"/>
      <c r="AH1073" s="144"/>
      <c r="AI1073" s="3"/>
      <c r="AJ1073" s="10"/>
      <c r="AK1073" s="3"/>
      <c r="AL1073" s="5"/>
      <c r="AM1073" s="5"/>
      <c r="AN1073" s="5"/>
      <c r="AO1073" s="5"/>
      <c r="AP1073" s="5"/>
      <c r="AQ1073" s="5"/>
      <c r="AR1073" s="5"/>
      <c r="AS1073" s="142"/>
      <c r="AT1073" s="142"/>
      <c r="AU1073" s="142"/>
      <c r="AV1073" s="142"/>
      <c r="AW1073" s="142"/>
      <c r="AX1073" s="142"/>
      <c r="AY1073" s="142"/>
      <c r="AZ1073" s="174"/>
      <c r="BA1073" s="142"/>
      <c r="BB1073" s="142"/>
      <c r="BC1073" s="142"/>
      <c r="BD1073" s="142"/>
      <c r="BE1073" s="142"/>
      <c r="BF1073" s="142"/>
      <c r="BG1073" s="142"/>
    </row>
    <row r="1074">
      <c r="A1074" s="5"/>
      <c r="B1074" s="44"/>
      <c r="C1074" s="150"/>
      <c r="D1074" s="3"/>
      <c r="E1074" s="3"/>
      <c r="F1074" s="5"/>
      <c r="G1074" s="5"/>
      <c r="H1074" s="5"/>
      <c r="I1074" s="3"/>
      <c r="J1074" s="3"/>
      <c r="K1074" s="3"/>
      <c r="L1074" s="44"/>
      <c r="M1074" s="150"/>
      <c r="N1074" s="5"/>
      <c r="O1074" s="5"/>
      <c r="P1074" s="10"/>
      <c r="Q1074" s="10"/>
      <c r="R1074" s="144"/>
      <c r="S1074" s="144"/>
      <c r="T1074" s="10"/>
      <c r="U1074" s="5"/>
      <c r="V1074" s="3"/>
      <c r="W1074" s="5"/>
      <c r="X1074" s="144"/>
      <c r="Y1074" s="10"/>
      <c r="Z1074" s="3"/>
      <c r="AA1074" s="10"/>
      <c r="AB1074" s="10"/>
      <c r="AC1074" s="181"/>
      <c r="AD1074" s="144"/>
      <c r="AE1074" s="182"/>
      <c r="AF1074" s="10"/>
      <c r="AG1074" s="10"/>
      <c r="AH1074" s="144"/>
      <c r="AI1074" s="3"/>
      <c r="AJ1074" s="10"/>
      <c r="AK1074" s="3"/>
      <c r="AL1074" s="5"/>
      <c r="AM1074" s="5"/>
      <c r="AN1074" s="5"/>
      <c r="AO1074" s="5"/>
      <c r="AP1074" s="5"/>
      <c r="AQ1074" s="5"/>
      <c r="AR1074" s="5"/>
      <c r="AS1074" s="142"/>
      <c r="AT1074" s="142"/>
      <c r="AU1074" s="142"/>
      <c r="AV1074" s="142"/>
      <c r="AW1074" s="142"/>
      <c r="AX1074" s="142"/>
      <c r="AY1074" s="142"/>
      <c r="AZ1074" s="174"/>
      <c r="BA1074" s="142"/>
      <c r="BB1074" s="142"/>
      <c r="BC1074" s="142"/>
      <c r="BD1074" s="142"/>
      <c r="BE1074" s="142"/>
      <c r="BF1074" s="142"/>
      <c r="BG1074" s="142"/>
    </row>
    <row r="1075">
      <c r="A1075" s="5"/>
      <c r="B1075" s="44"/>
      <c r="C1075" s="150"/>
      <c r="D1075" s="3"/>
      <c r="E1075" s="3"/>
      <c r="F1075" s="5"/>
      <c r="G1075" s="5"/>
      <c r="H1075" s="5"/>
      <c r="I1075" s="3"/>
      <c r="J1075" s="3"/>
      <c r="K1075" s="3"/>
      <c r="L1075" s="44"/>
      <c r="M1075" s="150"/>
      <c r="N1075" s="5"/>
      <c r="O1075" s="5"/>
      <c r="P1075" s="10"/>
      <c r="Q1075" s="10"/>
      <c r="R1075" s="144"/>
      <c r="S1075" s="144"/>
      <c r="T1075" s="10"/>
      <c r="U1075" s="5"/>
      <c r="V1075" s="3"/>
      <c r="W1075" s="5"/>
      <c r="X1075" s="144"/>
      <c r="Y1075" s="10"/>
      <c r="Z1075" s="3"/>
      <c r="AA1075" s="10"/>
      <c r="AB1075" s="10"/>
      <c r="AC1075" s="181"/>
      <c r="AD1075" s="144"/>
      <c r="AE1075" s="182"/>
      <c r="AF1075" s="10"/>
      <c r="AG1075" s="10"/>
      <c r="AH1075" s="144"/>
      <c r="AI1075" s="3"/>
      <c r="AJ1075" s="10"/>
      <c r="AK1075" s="3"/>
      <c r="AL1075" s="5"/>
      <c r="AM1075" s="5"/>
      <c r="AN1075" s="5"/>
      <c r="AO1075" s="5"/>
      <c r="AP1075" s="5"/>
      <c r="AQ1075" s="5"/>
      <c r="AR1075" s="5"/>
      <c r="AS1075" s="142"/>
      <c r="AT1075" s="142"/>
      <c r="AU1075" s="142"/>
      <c r="AV1075" s="142"/>
      <c r="AW1075" s="142"/>
      <c r="AX1075" s="142"/>
      <c r="AY1075" s="142"/>
      <c r="AZ1075" s="174"/>
      <c r="BA1075" s="142"/>
      <c r="BB1075" s="142"/>
      <c r="BC1075" s="142"/>
      <c r="BD1075" s="142"/>
      <c r="BE1075" s="142"/>
      <c r="BF1075" s="142"/>
      <c r="BG1075" s="142"/>
    </row>
    <row r="1076">
      <c r="A1076" s="5"/>
      <c r="B1076" s="44"/>
      <c r="C1076" s="150"/>
      <c r="D1076" s="3"/>
      <c r="E1076" s="3"/>
      <c r="F1076" s="5"/>
      <c r="G1076" s="5"/>
      <c r="H1076" s="5"/>
      <c r="I1076" s="3"/>
      <c r="J1076" s="3"/>
      <c r="K1076" s="3"/>
      <c r="L1076" s="44"/>
      <c r="M1076" s="150"/>
      <c r="N1076" s="5"/>
      <c r="O1076" s="5"/>
      <c r="P1076" s="10"/>
      <c r="Q1076" s="10"/>
      <c r="R1076" s="144"/>
      <c r="S1076" s="144"/>
      <c r="T1076" s="10"/>
      <c r="U1076" s="5"/>
      <c r="V1076" s="3"/>
      <c r="W1076" s="5"/>
      <c r="X1076" s="144"/>
      <c r="Y1076" s="10"/>
      <c r="Z1076" s="3"/>
      <c r="AA1076" s="10"/>
      <c r="AB1076" s="10"/>
      <c r="AC1076" s="181"/>
      <c r="AD1076" s="144"/>
      <c r="AE1076" s="182"/>
      <c r="AF1076" s="10"/>
      <c r="AG1076" s="10"/>
      <c r="AH1076" s="144"/>
      <c r="AI1076" s="3"/>
      <c r="AJ1076" s="10"/>
      <c r="AK1076" s="3"/>
      <c r="AL1076" s="5"/>
      <c r="AM1076" s="5"/>
      <c r="AN1076" s="5"/>
      <c r="AO1076" s="5"/>
      <c r="AP1076" s="5"/>
      <c r="AQ1076" s="5"/>
      <c r="AR1076" s="5"/>
      <c r="AS1076" s="142"/>
      <c r="AT1076" s="142"/>
      <c r="AU1076" s="142"/>
      <c r="AV1076" s="142"/>
      <c r="AW1076" s="142"/>
      <c r="AX1076" s="142"/>
      <c r="AY1076" s="142"/>
      <c r="AZ1076" s="174"/>
      <c r="BA1076" s="142"/>
      <c r="BB1076" s="142"/>
      <c r="BC1076" s="142"/>
      <c r="BD1076" s="142"/>
      <c r="BE1076" s="142"/>
      <c r="BF1076" s="142"/>
      <c r="BG1076" s="142"/>
    </row>
    <row r="1077">
      <c r="A1077" s="5"/>
      <c r="B1077" s="44"/>
      <c r="C1077" s="150"/>
      <c r="D1077" s="3"/>
      <c r="E1077" s="3"/>
      <c r="F1077" s="5"/>
      <c r="G1077" s="5"/>
      <c r="H1077" s="5"/>
      <c r="I1077" s="3"/>
      <c r="J1077" s="3"/>
      <c r="K1077" s="3"/>
      <c r="L1077" s="44"/>
      <c r="M1077" s="150"/>
      <c r="N1077" s="5"/>
      <c r="O1077" s="5"/>
      <c r="P1077" s="10"/>
      <c r="Q1077" s="10"/>
      <c r="R1077" s="144"/>
      <c r="S1077" s="144"/>
      <c r="T1077" s="10"/>
      <c r="U1077" s="5"/>
      <c r="V1077" s="3"/>
      <c r="W1077" s="5"/>
      <c r="X1077" s="144"/>
      <c r="Y1077" s="10"/>
      <c r="Z1077" s="3"/>
      <c r="AA1077" s="10"/>
      <c r="AB1077" s="10"/>
      <c r="AC1077" s="181"/>
      <c r="AD1077" s="144"/>
      <c r="AE1077" s="182"/>
      <c r="AF1077" s="10"/>
      <c r="AG1077" s="10"/>
      <c r="AH1077" s="144"/>
      <c r="AI1077" s="3"/>
      <c r="AJ1077" s="10"/>
      <c r="AK1077" s="3"/>
      <c r="AL1077" s="5"/>
      <c r="AM1077" s="5"/>
      <c r="AN1077" s="5"/>
      <c r="AO1077" s="5"/>
      <c r="AP1077" s="5"/>
      <c r="AQ1077" s="5"/>
      <c r="AR1077" s="5"/>
      <c r="AS1077" s="142"/>
      <c r="AT1077" s="142"/>
      <c r="AU1077" s="142"/>
      <c r="AV1077" s="142"/>
      <c r="AW1077" s="142"/>
      <c r="AX1077" s="142"/>
      <c r="AY1077" s="142"/>
      <c r="AZ1077" s="174"/>
      <c r="BA1077" s="142"/>
      <c r="BB1077" s="142"/>
      <c r="BC1077" s="142"/>
      <c r="BD1077" s="142"/>
      <c r="BE1077" s="142"/>
      <c r="BF1077" s="142"/>
      <c r="BG1077" s="142"/>
    </row>
    <row r="1078">
      <c r="A1078" s="5"/>
      <c r="B1078" s="44"/>
      <c r="C1078" s="150"/>
      <c r="D1078" s="3"/>
      <c r="E1078" s="3"/>
      <c r="F1078" s="5"/>
      <c r="G1078" s="5"/>
      <c r="H1078" s="5"/>
      <c r="I1078" s="3"/>
      <c r="J1078" s="3"/>
      <c r="K1078" s="3"/>
      <c r="L1078" s="44"/>
      <c r="M1078" s="150"/>
      <c r="N1078" s="5"/>
      <c r="O1078" s="5"/>
      <c r="P1078" s="10"/>
      <c r="Q1078" s="10"/>
      <c r="R1078" s="144"/>
      <c r="S1078" s="144"/>
      <c r="T1078" s="10"/>
      <c r="U1078" s="5"/>
      <c r="V1078" s="3"/>
      <c r="W1078" s="5"/>
      <c r="X1078" s="144"/>
      <c r="Y1078" s="10"/>
      <c r="Z1078" s="3"/>
      <c r="AA1078" s="10"/>
      <c r="AB1078" s="10"/>
      <c r="AC1078" s="181"/>
      <c r="AD1078" s="144"/>
      <c r="AE1078" s="182"/>
      <c r="AF1078" s="10"/>
      <c r="AG1078" s="10"/>
      <c r="AH1078" s="144"/>
      <c r="AI1078" s="3"/>
      <c r="AJ1078" s="10"/>
      <c r="AK1078" s="3"/>
      <c r="AL1078" s="5"/>
      <c r="AM1078" s="5"/>
      <c r="AN1078" s="5"/>
      <c r="AO1078" s="5"/>
      <c r="AP1078" s="5"/>
      <c r="AQ1078" s="5"/>
      <c r="AR1078" s="5"/>
      <c r="AS1078" s="142"/>
      <c r="AT1078" s="142"/>
      <c r="AU1078" s="142"/>
      <c r="AV1078" s="142"/>
      <c r="AW1078" s="142"/>
      <c r="AX1078" s="142"/>
      <c r="AY1078" s="142"/>
      <c r="AZ1078" s="174"/>
      <c r="BA1078" s="142"/>
      <c r="BB1078" s="142"/>
      <c r="BC1078" s="142"/>
      <c r="BD1078" s="142"/>
      <c r="BE1078" s="142"/>
      <c r="BF1078" s="142"/>
      <c r="BG1078" s="142"/>
    </row>
    <row r="1079">
      <c r="A1079" s="5"/>
      <c r="B1079" s="44"/>
      <c r="C1079" s="150"/>
      <c r="D1079" s="3"/>
      <c r="E1079" s="3"/>
      <c r="F1079" s="5"/>
      <c r="G1079" s="5"/>
      <c r="H1079" s="5"/>
      <c r="I1079" s="3"/>
      <c r="J1079" s="3"/>
      <c r="K1079" s="3"/>
      <c r="L1079" s="44"/>
      <c r="M1079" s="150"/>
      <c r="N1079" s="5"/>
      <c r="O1079" s="5"/>
      <c r="P1079" s="10"/>
      <c r="Q1079" s="10"/>
      <c r="R1079" s="144"/>
      <c r="S1079" s="144"/>
      <c r="T1079" s="10"/>
      <c r="U1079" s="5"/>
      <c r="V1079" s="3"/>
      <c r="W1079" s="5"/>
      <c r="X1079" s="144"/>
      <c r="Y1079" s="10"/>
      <c r="Z1079" s="3"/>
      <c r="AA1079" s="10"/>
      <c r="AB1079" s="10"/>
      <c r="AC1079" s="181"/>
      <c r="AD1079" s="144"/>
      <c r="AE1079" s="182"/>
      <c r="AF1079" s="10"/>
      <c r="AG1079" s="10"/>
      <c r="AH1079" s="144"/>
      <c r="AI1079" s="3"/>
      <c r="AJ1079" s="10"/>
      <c r="AK1079" s="3"/>
      <c r="AL1079" s="5"/>
      <c r="AM1079" s="5"/>
      <c r="AN1079" s="5"/>
      <c r="AO1079" s="5"/>
      <c r="AP1079" s="5"/>
      <c r="AQ1079" s="5"/>
      <c r="AR1079" s="5"/>
      <c r="AS1079" s="142"/>
      <c r="AT1079" s="142"/>
      <c r="AU1079" s="142"/>
      <c r="AV1079" s="142"/>
      <c r="AW1079" s="142"/>
      <c r="AX1079" s="142"/>
      <c r="AY1079" s="142"/>
      <c r="AZ1079" s="174"/>
      <c r="BA1079" s="142"/>
      <c r="BB1079" s="142"/>
      <c r="BC1079" s="142"/>
      <c r="BD1079" s="142"/>
      <c r="BE1079" s="142"/>
      <c r="BF1079" s="142"/>
      <c r="BG1079" s="142"/>
    </row>
    <row r="1080">
      <c r="A1080" s="5"/>
      <c r="B1080" s="44"/>
      <c r="C1080" s="150"/>
      <c r="D1080" s="3"/>
      <c r="E1080" s="3"/>
      <c r="F1080" s="5"/>
      <c r="G1080" s="5"/>
      <c r="H1080" s="5"/>
      <c r="I1080" s="3"/>
      <c r="J1080" s="3"/>
      <c r="K1080" s="3"/>
      <c r="L1080" s="44"/>
      <c r="M1080" s="150"/>
      <c r="N1080" s="5"/>
      <c r="O1080" s="5"/>
      <c r="P1080" s="10"/>
      <c r="Q1080" s="10"/>
      <c r="R1080" s="144"/>
      <c r="S1080" s="144"/>
      <c r="T1080" s="10"/>
      <c r="U1080" s="5"/>
      <c r="V1080" s="3"/>
      <c r="W1080" s="5"/>
      <c r="X1080" s="144"/>
      <c r="Y1080" s="10"/>
      <c r="Z1080" s="3"/>
      <c r="AA1080" s="10"/>
      <c r="AB1080" s="10"/>
      <c r="AC1080" s="181"/>
      <c r="AD1080" s="144"/>
      <c r="AE1080" s="182"/>
      <c r="AF1080" s="10"/>
      <c r="AG1080" s="10"/>
      <c r="AH1080" s="144"/>
      <c r="AI1080" s="3"/>
      <c r="AJ1080" s="10"/>
      <c r="AK1080" s="3"/>
      <c r="AL1080" s="5"/>
      <c r="AM1080" s="5"/>
      <c r="AN1080" s="5"/>
      <c r="AO1080" s="5"/>
      <c r="AP1080" s="5"/>
      <c r="AQ1080" s="5"/>
      <c r="AR1080" s="5"/>
      <c r="AS1080" s="142"/>
      <c r="AT1080" s="142"/>
      <c r="AU1080" s="142"/>
      <c r="AV1080" s="142"/>
      <c r="AW1080" s="142"/>
      <c r="AX1080" s="142"/>
      <c r="AY1080" s="142"/>
      <c r="AZ1080" s="174"/>
      <c r="BA1080" s="142"/>
      <c r="BB1080" s="142"/>
      <c r="BC1080" s="142"/>
      <c r="BD1080" s="142"/>
      <c r="BE1080" s="142"/>
      <c r="BF1080" s="142"/>
      <c r="BG1080" s="142"/>
    </row>
    <row r="1081">
      <c r="A1081" s="5"/>
      <c r="B1081" s="44"/>
      <c r="C1081" s="150"/>
      <c r="D1081" s="3"/>
      <c r="E1081" s="3"/>
      <c r="F1081" s="5"/>
      <c r="G1081" s="5"/>
      <c r="H1081" s="5"/>
      <c r="I1081" s="3"/>
      <c r="J1081" s="3"/>
      <c r="K1081" s="3"/>
      <c r="L1081" s="44"/>
      <c r="M1081" s="150"/>
      <c r="N1081" s="5"/>
      <c r="O1081" s="5"/>
      <c r="P1081" s="10"/>
      <c r="Q1081" s="10"/>
      <c r="R1081" s="144"/>
      <c r="S1081" s="144"/>
      <c r="T1081" s="10"/>
      <c r="U1081" s="5"/>
      <c r="V1081" s="3"/>
      <c r="W1081" s="5"/>
      <c r="X1081" s="144"/>
      <c r="Y1081" s="10"/>
      <c r="Z1081" s="3"/>
      <c r="AA1081" s="10"/>
      <c r="AB1081" s="10"/>
      <c r="AC1081" s="181"/>
      <c r="AD1081" s="144"/>
      <c r="AE1081" s="182"/>
      <c r="AF1081" s="10"/>
      <c r="AG1081" s="10"/>
      <c r="AH1081" s="144"/>
      <c r="AI1081" s="3"/>
      <c r="AJ1081" s="10"/>
      <c r="AK1081" s="3"/>
      <c r="AL1081" s="5"/>
      <c r="AM1081" s="5"/>
      <c r="AN1081" s="5"/>
      <c r="AO1081" s="5"/>
      <c r="AP1081" s="5"/>
      <c r="AQ1081" s="5"/>
      <c r="AR1081" s="5"/>
      <c r="AS1081" s="142"/>
      <c r="AT1081" s="142"/>
      <c r="AU1081" s="142"/>
      <c r="AV1081" s="142"/>
      <c r="AW1081" s="142"/>
      <c r="AX1081" s="142"/>
      <c r="AY1081" s="142"/>
      <c r="AZ1081" s="174"/>
      <c r="BA1081" s="142"/>
      <c r="BB1081" s="142"/>
      <c r="BC1081" s="142"/>
      <c r="BD1081" s="142"/>
      <c r="BE1081" s="142"/>
      <c r="BF1081" s="142"/>
      <c r="BG1081" s="142"/>
    </row>
    <row r="1082">
      <c r="A1082" s="5"/>
      <c r="B1082" s="44"/>
      <c r="C1082" s="150"/>
      <c r="D1082" s="3"/>
      <c r="E1082" s="3"/>
      <c r="F1082" s="5"/>
      <c r="G1082" s="5"/>
      <c r="H1082" s="5"/>
      <c r="I1082" s="3"/>
      <c r="J1082" s="3"/>
      <c r="K1082" s="3"/>
      <c r="L1082" s="44"/>
      <c r="M1082" s="150"/>
      <c r="N1082" s="5"/>
      <c r="O1082" s="5"/>
      <c r="P1082" s="10"/>
      <c r="Q1082" s="10"/>
      <c r="R1082" s="144"/>
      <c r="S1082" s="144"/>
      <c r="T1082" s="10"/>
      <c r="U1082" s="5"/>
      <c r="V1082" s="3"/>
      <c r="W1082" s="5"/>
      <c r="X1082" s="144"/>
      <c r="Y1082" s="10"/>
      <c r="Z1082" s="3"/>
      <c r="AA1082" s="10"/>
      <c r="AB1082" s="10"/>
      <c r="AC1082" s="181"/>
      <c r="AD1082" s="144"/>
      <c r="AE1082" s="182"/>
      <c r="AF1082" s="10"/>
      <c r="AG1082" s="10"/>
      <c r="AH1082" s="144"/>
      <c r="AI1082" s="3"/>
      <c r="AJ1082" s="10"/>
      <c r="AK1082" s="3"/>
      <c r="AL1082" s="5"/>
      <c r="AM1082" s="5"/>
      <c r="AN1082" s="5"/>
      <c r="AO1082" s="5"/>
      <c r="AP1082" s="5"/>
      <c r="AQ1082" s="5"/>
      <c r="AR1082" s="5"/>
      <c r="AS1082" s="142"/>
      <c r="AT1082" s="142"/>
      <c r="AU1082" s="142"/>
      <c r="AV1082" s="142"/>
      <c r="AW1082" s="142"/>
      <c r="AX1082" s="142"/>
      <c r="AY1082" s="142"/>
      <c r="AZ1082" s="174"/>
      <c r="BA1082" s="142"/>
      <c r="BB1082" s="142"/>
      <c r="BC1082" s="142"/>
      <c r="BD1082" s="142"/>
      <c r="BE1082" s="142"/>
      <c r="BF1082" s="142"/>
      <c r="BG1082" s="142"/>
    </row>
    <row r="1083">
      <c r="A1083" s="5"/>
      <c r="B1083" s="44"/>
      <c r="C1083" s="150"/>
      <c r="D1083" s="3"/>
      <c r="E1083" s="3"/>
      <c r="F1083" s="5"/>
      <c r="G1083" s="5"/>
      <c r="H1083" s="5"/>
      <c r="I1083" s="3"/>
      <c r="J1083" s="3"/>
      <c r="K1083" s="3"/>
      <c r="L1083" s="44"/>
      <c r="M1083" s="150"/>
      <c r="N1083" s="5"/>
      <c r="O1083" s="5"/>
      <c r="P1083" s="10"/>
      <c r="Q1083" s="10"/>
      <c r="R1083" s="144"/>
      <c r="S1083" s="144"/>
      <c r="T1083" s="10"/>
      <c r="U1083" s="5"/>
      <c r="V1083" s="3"/>
      <c r="W1083" s="5"/>
      <c r="X1083" s="144"/>
      <c r="Y1083" s="10"/>
      <c r="Z1083" s="3"/>
      <c r="AA1083" s="10"/>
      <c r="AB1083" s="10"/>
      <c r="AC1083" s="181"/>
      <c r="AD1083" s="144"/>
      <c r="AE1083" s="182"/>
      <c r="AF1083" s="10"/>
      <c r="AG1083" s="10"/>
      <c r="AH1083" s="144"/>
      <c r="AI1083" s="3"/>
      <c r="AJ1083" s="10"/>
      <c r="AK1083" s="3"/>
      <c r="AL1083" s="5"/>
      <c r="AM1083" s="5"/>
      <c r="AN1083" s="5"/>
      <c r="AO1083" s="5"/>
      <c r="AP1083" s="5"/>
      <c r="AQ1083" s="5"/>
      <c r="AR1083" s="5"/>
      <c r="AS1083" s="142"/>
      <c r="AT1083" s="142"/>
      <c r="AU1083" s="142"/>
      <c r="AV1083" s="142"/>
      <c r="AW1083" s="142"/>
      <c r="AX1083" s="142"/>
      <c r="AY1083" s="142"/>
      <c r="AZ1083" s="174"/>
      <c r="BA1083" s="142"/>
      <c r="BB1083" s="142"/>
      <c r="BC1083" s="142"/>
      <c r="BD1083" s="142"/>
      <c r="BE1083" s="142"/>
      <c r="BF1083" s="142"/>
      <c r="BG1083" s="142"/>
    </row>
    <row r="1084">
      <c r="A1084" s="5"/>
      <c r="B1084" s="44"/>
      <c r="C1084" s="150"/>
      <c r="D1084" s="3"/>
      <c r="E1084" s="3"/>
      <c r="F1084" s="5"/>
      <c r="G1084" s="5"/>
      <c r="H1084" s="5"/>
      <c r="I1084" s="3"/>
      <c r="J1084" s="3"/>
      <c r="K1084" s="3"/>
      <c r="L1084" s="44"/>
      <c r="M1084" s="150"/>
      <c r="N1084" s="5"/>
      <c r="O1084" s="5"/>
      <c r="P1084" s="10"/>
      <c r="Q1084" s="10"/>
      <c r="R1084" s="144"/>
      <c r="S1084" s="144"/>
      <c r="T1084" s="10"/>
      <c r="U1084" s="5"/>
      <c r="V1084" s="3"/>
      <c r="W1084" s="5"/>
      <c r="X1084" s="144"/>
      <c r="Y1084" s="10"/>
      <c r="Z1084" s="3"/>
      <c r="AA1084" s="10"/>
      <c r="AB1084" s="10"/>
      <c r="AC1084" s="181"/>
      <c r="AD1084" s="144"/>
      <c r="AE1084" s="182"/>
      <c r="AF1084" s="10"/>
      <c r="AG1084" s="10"/>
      <c r="AH1084" s="144"/>
      <c r="AI1084" s="3"/>
      <c r="AJ1084" s="10"/>
      <c r="AK1084" s="3"/>
      <c r="AL1084" s="5"/>
      <c r="AM1084" s="5"/>
      <c r="AN1084" s="5"/>
      <c r="AO1084" s="5"/>
      <c r="AP1084" s="5"/>
      <c r="AQ1084" s="5"/>
      <c r="AR1084" s="5"/>
      <c r="AS1084" s="142"/>
      <c r="AT1084" s="142"/>
      <c r="AU1084" s="142"/>
      <c r="AV1084" s="142"/>
      <c r="AW1084" s="142"/>
      <c r="AX1084" s="142"/>
      <c r="AY1084" s="142"/>
      <c r="AZ1084" s="174"/>
      <c r="BA1084" s="142"/>
      <c r="BB1084" s="142"/>
      <c r="BC1084" s="142"/>
      <c r="BD1084" s="142"/>
      <c r="BE1084" s="142"/>
      <c r="BF1084" s="142"/>
      <c r="BG1084" s="142"/>
    </row>
    <row r="1085">
      <c r="A1085" s="5"/>
      <c r="B1085" s="44"/>
      <c r="C1085" s="150"/>
      <c r="D1085" s="3"/>
      <c r="E1085" s="3"/>
      <c r="F1085" s="5"/>
      <c r="G1085" s="5"/>
      <c r="H1085" s="5"/>
      <c r="I1085" s="3"/>
      <c r="J1085" s="3"/>
      <c r="K1085" s="3"/>
      <c r="L1085" s="44"/>
      <c r="M1085" s="150"/>
      <c r="N1085" s="5"/>
      <c r="O1085" s="5"/>
      <c r="P1085" s="10"/>
      <c r="Q1085" s="10"/>
      <c r="R1085" s="144"/>
      <c r="S1085" s="144"/>
      <c r="T1085" s="10"/>
      <c r="U1085" s="5"/>
      <c r="V1085" s="3"/>
      <c r="W1085" s="5"/>
      <c r="X1085" s="144"/>
      <c r="Y1085" s="10"/>
      <c r="Z1085" s="3"/>
      <c r="AA1085" s="10"/>
      <c r="AB1085" s="10"/>
      <c r="AC1085" s="181"/>
      <c r="AD1085" s="144"/>
      <c r="AE1085" s="182"/>
      <c r="AF1085" s="10"/>
      <c r="AG1085" s="10"/>
      <c r="AH1085" s="144"/>
      <c r="AI1085" s="3"/>
      <c r="AJ1085" s="10"/>
      <c r="AK1085" s="3"/>
      <c r="AL1085" s="5"/>
      <c r="AM1085" s="5"/>
      <c r="AN1085" s="5"/>
      <c r="AO1085" s="5"/>
      <c r="AP1085" s="5"/>
      <c r="AQ1085" s="5"/>
      <c r="AR1085" s="5"/>
      <c r="AS1085" s="142"/>
      <c r="AT1085" s="142"/>
      <c r="AU1085" s="142"/>
      <c r="AV1085" s="142"/>
      <c r="AW1085" s="142"/>
      <c r="AX1085" s="142"/>
      <c r="AY1085" s="142"/>
      <c r="AZ1085" s="174"/>
      <c r="BA1085" s="142"/>
      <c r="BB1085" s="142"/>
      <c r="BC1085" s="142"/>
      <c r="BD1085" s="142"/>
      <c r="BE1085" s="142"/>
      <c r="BF1085" s="142"/>
      <c r="BG1085" s="142"/>
    </row>
    <row r="1086">
      <c r="A1086" s="5"/>
      <c r="B1086" s="44"/>
      <c r="C1086" s="150"/>
      <c r="D1086" s="3"/>
      <c r="E1086" s="3"/>
      <c r="F1086" s="5"/>
      <c r="G1086" s="5"/>
      <c r="H1086" s="5"/>
      <c r="I1086" s="3"/>
      <c r="J1086" s="3"/>
      <c r="K1086" s="3"/>
      <c r="L1086" s="44"/>
      <c r="M1086" s="150"/>
      <c r="N1086" s="5"/>
      <c r="O1086" s="5"/>
      <c r="P1086" s="10"/>
      <c r="Q1086" s="10"/>
      <c r="R1086" s="144"/>
      <c r="S1086" s="144"/>
      <c r="T1086" s="10"/>
      <c r="U1086" s="5"/>
      <c r="V1086" s="3"/>
      <c r="W1086" s="5"/>
      <c r="X1086" s="144"/>
      <c r="Y1086" s="10"/>
      <c r="Z1086" s="3"/>
      <c r="AA1086" s="10"/>
      <c r="AB1086" s="10"/>
      <c r="AC1086" s="181"/>
      <c r="AD1086" s="144"/>
      <c r="AE1086" s="182"/>
      <c r="AF1086" s="10"/>
      <c r="AG1086" s="10"/>
      <c r="AH1086" s="144"/>
      <c r="AI1086" s="3"/>
      <c r="AJ1086" s="10"/>
      <c r="AK1086" s="3"/>
      <c r="AL1086" s="5"/>
      <c r="AM1086" s="5"/>
      <c r="AN1086" s="5"/>
      <c r="AO1086" s="5"/>
      <c r="AP1086" s="5"/>
      <c r="AQ1086" s="5"/>
      <c r="AR1086" s="5"/>
      <c r="AS1086" s="142"/>
      <c r="AT1086" s="142"/>
      <c r="AU1086" s="142"/>
      <c r="AV1086" s="142"/>
      <c r="AW1086" s="142"/>
      <c r="AX1086" s="142"/>
      <c r="AY1086" s="142"/>
      <c r="AZ1086" s="174"/>
      <c r="BA1086" s="142"/>
      <c r="BB1086" s="142"/>
      <c r="BC1086" s="142"/>
      <c r="BD1086" s="142"/>
      <c r="BE1086" s="142"/>
      <c r="BF1086" s="142"/>
      <c r="BG1086" s="142"/>
    </row>
    <row r="1087">
      <c r="A1087" s="5"/>
      <c r="B1087" s="44"/>
      <c r="C1087" s="150"/>
      <c r="D1087" s="3"/>
      <c r="E1087" s="3"/>
      <c r="F1087" s="5"/>
      <c r="G1087" s="5"/>
      <c r="H1087" s="5"/>
      <c r="I1087" s="3"/>
      <c r="J1087" s="3"/>
      <c r="K1087" s="3"/>
      <c r="L1087" s="44"/>
      <c r="M1087" s="150"/>
      <c r="N1087" s="5"/>
      <c r="O1087" s="5"/>
      <c r="P1087" s="10"/>
      <c r="Q1087" s="10"/>
      <c r="R1087" s="144"/>
      <c r="S1087" s="144"/>
      <c r="T1087" s="10"/>
      <c r="U1087" s="5"/>
      <c r="V1087" s="3"/>
      <c r="W1087" s="5"/>
      <c r="X1087" s="144"/>
      <c r="Y1087" s="10"/>
      <c r="Z1087" s="3"/>
      <c r="AA1087" s="10"/>
      <c r="AB1087" s="10"/>
      <c r="AC1087" s="181"/>
      <c r="AD1087" s="144"/>
      <c r="AE1087" s="182"/>
      <c r="AF1087" s="10"/>
      <c r="AG1087" s="10"/>
      <c r="AH1087" s="144"/>
      <c r="AI1087" s="3"/>
      <c r="AJ1087" s="10"/>
      <c r="AK1087" s="3"/>
      <c r="AL1087" s="5"/>
      <c r="AM1087" s="5"/>
      <c r="AN1087" s="5"/>
      <c r="AO1087" s="5"/>
      <c r="AP1087" s="5"/>
      <c r="AQ1087" s="5"/>
      <c r="AR1087" s="5"/>
      <c r="AS1087" s="142"/>
      <c r="AT1087" s="142"/>
      <c r="AU1087" s="142"/>
      <c r="AV1087" s="142"/>
      <c r="AW1087" s="142"/>
      <c r="AX1087" s="142"/>
      <c r="AY1087" s="142"/>
      <c r="AZ1087" s="174"/>
      <c r="BA1087" s="142"/>
      <c r="BB1087" s="142"/>
      <c r="BC1087" s="142"/>
      <c r="BD1087" s="142"/>
      <c r="BE1087" s="142"/>
      <c r="BF1087" s="142"/>
      <c r="BG1087" s="142"/>
    </row>
    <row r="1088">
      <c r="A1088" s="5"/>
      <c r="B1088" s="44"/>
      <c r="C1088" s="150"/>
      <c r="D1088" s="3"/>
      <c r="E1088" s="3"/>
      <c r="F1088" s="5"/>
      <c r="G1088" s="5"/>
      <c r="H1088" s="5"/>
      <c r="I1088" s="3"/>
      <c r="J1088" s="3"/>
      <c r="K1088" s="3"/>
      <c r="L1088" s="44"/>
      <c r="M1088" s="150"/>
      <c r="N1088" s="5"/>
      <c r="O1088" s="5"/>
      <c r="P1088" s="10"/>
      <c r="Q1088" s="10"/>
      <c r="R1088" s="144"/>
      <c r="S1088" s="144"/>
      <c r="T1088" s="10"/>
      <c r="U1088" s="5"/>
      <c r="V1088" s="3"/>
      <c r="W1088" s="5"/>
      <c r="X1088" s="144"/>
      <c r="Y1088" s="10"/>
      <c r="Z1088" s="3"/>
      <c r="AA1088" s="10"/>
      <c r="AB1088" s="10"/>
      <c r="AC1088" s="181"/>
      <c r="AD1088" s="144"/>
      <c r="AE1088" s="182"/>
      <c r="AF1088" s="10"/>
      <c r="AG1088" s="10"/>
      <c r="AH1088" s="144"/>
      <c r="AI1088" s="3"/>
      <c r="AJ1088" s="10"/>
      <c r="AK1088" s="3"/>
      <c r="AL1088" s="5"/>
      <c r="AM1088" s="5"/>
      <c r="AN1088" s="5"/>
      <c r="AO1088" s="5"/>
      <c r="AP1088" s="5"/>
      <c r="AQ1088" s="5"/>
      <c r="AR1088" s="5"/>
      <c r="AS1088" s="142"/>
      <c r="AT1088" s="142"/>
      <c r="AU1088" s="142"/>
      <c r="AV1088" s="142"/>
      <c r="AW1088" s="142"/>
      <c r="AX1088" s="142"/>
      <c r="AY1088" s="142"/>
      <c r="AZ1088" s="174"/>
      <c r="BA1088" s="142"/>
      <c r="BB1088" s="142"/>
      <c r="BC1088" s="142"/>
      <c r="BD1088" s="142"/>
      <c r="BE1088" s="142"/>
      <c r="BF1088" s="142"/>
      <c r="BG1088" s="142"/>
    </row>
    <row r="1089">
      <c r="A1089" s="5"/>
      <c r="B1089" s="44"/>
      <c r="C1089" s="150"/>
      <c r="D1089" s="3"/>
      <c r="E1089" s="3"/>
      <c r="F1089" s="5"/>
      <c r="G1089" s="5"/>
      <c r="H1089" s="5"/>
      <c r="I1089" s="3"/>
      <c r="J1089" s="3"/>
      <c r="K1089" s="3"/>
      <c r="L1089" s="44"/>
      <c r="M1089" s="150"/>
      <c r="N1089" s="5"/>
      <c r="O1089" s="5"/>
      <c r="P1089" s="10"/>
      <c r="Q1089" s="10"/>
      <c r="R1089" s="144"/>
      <c r="S1089" s="144"/>
      <c r="T1089" s="10"/>
      <c r="U1089" s="5"/>
      <c r="V1089" s="3"/>
      <c r="W1089" s="5"/>
      <c r="X1089" s="144"/>
      <c r="Y1089" s="10"/>
      <c r="Z1089" s="3"/>
      <c r="AA1089" s="10"/>
      <c r="AB1089" s="10"/>
      <c r="AC1089" s="181"/>
      <c r="AD1089" s="144"/>
      <c r="AE1089" s="182"/>
      <c r="AF1089" s="10"/>
      <c r="AG1089" s="10"/>
      <c r="AH1089" s="144"/>
      <c r="AI1089" s="3"/>
      <c r="AJ1089" s="10"/>
      <c r="AK1089" s="3"/>
      <c r="AL1089" s="5"/>
      <c r="AM1089" s="5"/>
      <c r="AN1089" s="5"/>
      <c r="AO1089" s="5"/>
      <c r="AP1089" s="5"/>
      <c r="AQ1089" s="5"/>
      <c r="AR1089" s="5"/>
      <c r="AS1089" s="142"/>
      <c r="AT1089" s="142"/>
      <c r="AU1089" s="142"/>
      <c r="AV1089" s="142"/>
      <c r="AW1089" s="142"/>
      <c r="AX1089" s="142"/>
      <c r="AY1089" s="142"/>
      <c r="AZ1089" s="174"/>
      <c r="BA1089" s="142"/>
      <c r="BB1089" s="142"/>
      <c r="BC1089" s="142"/>
      <c r="BD1089" s="142"/>
      <c r="BE1089" s="142"/>
      <c r="BF1089" s="142"/>
      <c r="BG1089" s="142"/>
    </row>
    <row r="1090">
      <c r="A1090" s="5"/>
      <c r="B1090" s="44"/>
      <c r="C1090" s="150"/>
      <c r="D1090" s="3"/>
      <c r="E1090" s="3"/>
      <c r="F1090" s="5"/>
      <c r="G1090" s="5"/>
      <c r="H1090" s="5"/>
      <c r="I1090" s="3"/>
      <c r="J1090" s="3"/>
      <c r="K1090" s="3"/>
      <c r="L1090" s="44"/>
      <c r="M1090" s="150"/>
      <c r="N1090" s="5"/>
      <c r="O1090" s="5"/>
      <c r="P1090" s="10"/>
      <c r="Q1090" s="10"/>
      <c r="R1090" s="144"/>
      <c r="S1090" s="144"/>
      <c r="T1090" s="10"/>
      <c r="U1090" s="5"/>
      <c r="V1090" s="3"/>
      <c r="W1090" s="5"/>
      <c r="X1090" s="144"/>
      <c r="Y1090" s="10"/>
      <c r="Z1090" s="3"/>
      <c r="AA1090" s="10"/>
      <c r="AB1090" s="10"/>
      <c r="AC1090" s="181"/>
      <c r="AD1090" s="144"/>
      <c r="AE1090" s="182"/>
      <c r="AF1090" s="10"/>
      <c r="AG1090" s="10"/>
      <c r="AH1090" s="144"/>
      <c r="AI1090" s="3"/>
      <c r="AJ1090" s="10"/>
      <c r="AK1090" s="3"/>
      <c r="AL1090" s="5"/>
      <c r="AM1090" s="5"/>
      <c r="AN1090" s="5"/>
      <c r="AO1090" s="5"/>
      <c r="AP1090" s="5"/>
      <c r="AQ1090" s="5"/>
      <c r="AR1090" s="5"/>
      <c r="AS1090" s="142"/>
      <c r="AT1090" s="142"/>
      <c r="AU1090" s="142"/>
      <c r="AV1090" s="142"/>
      <c r="AW1090" s="142"/>
      <c r="AX1090" s="142"/>
      <c r="AY1090" s="142"/>
      <c r="AZ1090" s="174"/>
      <c r="BA1090" s="142"/>
      <c r="BB1090" s="142"/>
      <c r="BC1090" s="142"/>
      <c r="BD1090" s="142"/>
      <c r="BE1090" s="142"/>
      <c r="BF1090" s="142"/>
      <c r="BG1090" s="142"/>
    </row>
    <row r="1091">
      <c r="A1091" s="5"/>
      <c r="B1091" s="44"/>
      <c r="C1091" s="150"/>
      <c r="D1091" s="3"/>
      <c r="E1091" s="3"/>
      <c r="F1091" s="5"/>
      <c r="G1091" s="5"/>
      <c r="H1091" s="5"/>
      <c r="I1091" s="3"/>
      <c r="J1091" s="3"/>
      <c r="K1091" s="3"/>
      <c r="L1091" s="44"/>
      <c r="M1091" s="150"/>
      <c r="N1091" s="5"/>
      <c r="O1091" s="5"/>
      <c r="P1091" s="10"/>
      <c r="Q1091" s="10"/>
      <c r="R1091" s="144"/>
      <c r="S1091" s="144"/>
      <c r="T1091" s="10"/>
      <c r="U1091" s="5"/>
      <c r="V1091" s="3"/>
      <c r="W1091" s="5"/>
      <c r="X1091" s="144"/>
      <c r="Y1091" s="10"/>
      <c r="Z1091" s="3"/>
      <c r="AA1091" s="10"/>
      <c r="AB1091" s="10"/>
      <c r="AC1091" s="181"/>
      <c r="AD1091" s="144"/>
      <c r="AE1091" s="182"/>
      <c r="AF1091" s="10"/>
      <c r="AG1091" s="10"/>
      <c r="AH1091" s="144"/>
      <c r="AI1091" s="3"/>
      <c r="AJ1091" s="10"/>
      <c r="AK1091" s="3"/>
      <c r="AL1091" s="5"/>
      <c r="AM1091" s="5"/>
      <c r="AN1091" s="5"/>
      <c r="AO1091" s="5"/>
      <c r="AP1091" s="5"/>
      <c r="AQ1091" s="5"/>
      <c r="AR1091" s="5"/>
      <c r="AS1091" s="142"/>
      <c r="AT1091" s="142"/>
      <c r="AU1091" s="142"/>
      <c r="AV1091" s="142"/>
      <c r="AW1091" s="142"/>
      <c r="AX1091" s="142"/>
      <c r="AY1091" s="142"/>
      <c r="AZ1091" s="174"/>
      <c r="BA1091" s="142"/>
      <c r="BB1091" s="142"/>
      <c r="BC1091" s="142"/>
      <c r="BD1091" s="142"/>
      <c r="BE1091" s="142"/>
      <c r="BF1091" s="142"/>
      <c r="BG1091" s="142"/>
    </row>
    <row r="1092">
      <c r="A1092" s="5"/>
      <c r="B1092" s="44"/>
      <c r="C1092" s="150"/>
      <c r="D1092" s="3"/>
      <c r="E1092" s="3"/>
      <c r="F1092" s="5"/>
      <c r="G1092" s="5"/>
      <c r="H1092" s="5"/>
      <c r="I1092" s="3"/>
      <c r="J1092" s="3"/>
      <c r="K1092" s="3"/>
      <c r="L1092" s="44"/>
      <c r="M1092" s="150"/>
      <c r="N1092" s="5"/>
      <c r="O1092" s="5"/>
      <c r="P1092" s="10"/>
      <c r="Q1092" s="10"/>
      <c r="R1092" s="144"/>
      <c r="S1092" s="144"/>
      <c r="T1092" s="10"/>
      <c r="U1092" s="5"/>
      <c r="V1092" s="3"/>
      <c r="W1092" s="5"/>
      <c r="X1092" s="144"/>
      <c r="Y1092" s="10"/>
      <c r="Z1092" s="3"/>
      <c r="AA1092" s="10"/>
      <c r="AB1092" s="10"/>
      <c r="AC1092" s="181"/>
      <c r="AD1092" s="144"/>
      <c r="AE1092" s="182"/>
      <c r="AF1092" s="10"/>
      <c r="AG1092" s="10"/>
      <c r="AH1092" s="144"/>
      <c r="AI1092" s="3"/>
      <c r="AJ1092" s="10"/>
      <c r="AK1092" s="3"/>
      <c r="AL1092" s="5"/>
      <c r="AM1092" s="5"/>
      <c r="AN1092" s="5"/>
      <c r="AO1092" s="5"/>
      <c r="AP1092" s="5"/>
      <c r="AQ1092" s="5"/>
      <c r="AR1092" s="5"/>
      <c r="AS1092" s="142"/>
      <c r="AT1092" s="142"/>
      <c r="AU1092" s="142"/>
      <c r="AV1092" s="142"/>
      <c r="AW1092" s="142"/>
      <c r="AX1092" s="142"/>
      <c r="AY1092" s="142"/>
      <c r="AZ1092" s="174"/>
      <c r="BA1092" s="142"/>
      <c r="BB1092" s="142"/>
      <c r="BC1092" s="142"/>
      <c r="BD1092" s="142"/>
      <c r="BE1092" s="142"/>
      <c r="BF1092" s="142"/>
      <c r="BG1092" s="142"/>
    </row>
    <row r="1093">
      <c r="A1093" s="5"/>
      <c r="B1093" s="44"/>
      <c r="C1093" s="150"/>
      <c r="D1093" s="3"/>
      <c r="E1093" s="3"/>
      <c r="F1093" s="5"/>
      <c r="G1093" s="5"/>
      <c r="H1093" s="5"/>
      <c r="I1093" s="3"/>
      <c r="J1093" s="3"/>
      <c r="K1093" s="3"/>
      <c r="L1093" s="44"/>
      <c r="M1093" s="150"/>
      <c r="N1093" s="5"/>
      <c r="O1093" s="5"/>
      <c r="P1093" s="10"/>
      <c r="Q1093" s="10"/>
      <c r="R1093" s="144"/>
      <c r="S1093" s="144"/>
      <c r="T1093" s="10"/>
      <c r="U1093" s="5"/>
      <c r="V1093" s="3"/>
      <c r="W1093" s="5"/>
      <c r="X1093" s="144"/>
      <c r="Y1093" s="10"/>
      <c r="Z1093" s="3"/>
      <c r="AA1093" s="10"/>
      <c r="AB1093" s="10"/>
      <c r="AC1093" s="181"/>
      <c r="AD1093" s="144"/>
      <c r="AE1093" s="182"/>
      <c r="AF1093" s="10"/>
      <c r="AG1093" s="10"/>
      <c r="AH1093" s="144"/>
      <c r="AI1093" s="3"/>
      <c r="AJ1093" s="10"/>
      <c r="AK1093" s="3"/>
      <c r="AL1093" s="5"/>
      <c r="AM1093" s="5"/>
      <c r="AN1093" s="5"/>
      <c r="AO1093" s="5"/>
      <c r="AP1093" s="5"/>
      <c r="AQ1093" s="5"/>
      <c r="AR1093" s="5"/>
      <c r="AS1093" s="142"/>
      <c r="AT1093" s="142"/>
      <c r="AU1093" s="142"/>
      <c r="AV1093" s="142"/>
      <c r="AW1093" s="142"/>
      <c r="AX1093" s="142"/>
      <c r="AY1093" s="142"/>
      <c r="AZ1093" s="174"/>
      <c r="BA1093" s="142"/>
      <c r="BB1093" s="142"/>
      <c r="BC1093" s="142"/>
      <c r="BD1093" s="142"/>
      <c r="BE1093" s="142"/>
      <c r="BF1093" s="142"/>
      <c r="BG1093" s="142"/>
    </row>
    <row r="1094">
      <c r="A1094" s="5"/>
      <c r="B1094" s="44"/>
      <c r="C1094" s="150"/>
      <c r="D1094" s="3"/>
      <c r="E1094" s="3"/>
      <c r="F1094" s="5"/>
      <c r="G1094" s="5"/>
      <c r="H1094" s="5"/>
      <c r="I1094" s="3"/>
      <c r="J1094" s="3"/>
      <c r="K1094" s="3"/>
      <c r="L1094" s="44"/>
      <c r="M1094" s="150"/>
      <c r="N1094" s="5"/>
      <c r="O1094" s="5"/>
      <c r="P1094" s="10"/>
      <c r="Q1094" s="10"/>
      <c r="R1094" s="144"/>
      <c r="S1094" s="144"/>
      <c r="T1094" s="10"/>
      <c r="U1094" s="5"/>
      <c r="V1094" s="3"/>
      <c r="W1094" s="5"/>
      <c r="X1094" s="144"/>
      <c r="Y1094" s="10"/>
      <c r="Z1094" s="3"/>
      <c r="AA1094" s="10"/>
      <c r="AB1094" s="10"/>
      <c r="AC1094" s="181"/>
      <c r="AD1094" s="144"/>
      <c r="AE1094" s="182"/>
      <c r="AF1094" s="10"/>
      <c r="AG1094" s="10"/>
      <c r="AH1094" s="144"/>
      <c r="AI1094" s="3"/>
      <c r="AJ1094" s="10"/>
      <c r="AK1094" s="3"/>
      <c r="AL1094" s="5"/>
      <c r="AM1094" s="5"/>
      <c r="AN1094" s="5"/>
      <c r="AO1094" s="5"/>
      <c r="AP1094" s="5"/>
      <c r="AQ1094" s="5"/>
      <c r="AR1094" s="5"/>
      <c r="AS1094" s="142"/>
      <c r="AT1094" s="142"/>
      <c r="AU1094" s="142"/>
      <c r="AV1094" s="142"/>
      <c r="AW1094" s="142"/>
      <c r="AX1094" s="142"/>
      <c r="AY1094" s="142"/>
      <c r="AZ1094" s="174"/>
      <c r="BA1094" s="142"/>
      <c r="BB1094" s="142"/>
      <c r="BC1094" s="142"/>
      <c r="BD1094" s="142"/>
      <c r="BE1094" s="142"/>
      <c r="BF1094" s="142"/>
      <c r="BG1094" s="142"/>
    </row>
    <row r="1095">
      <c r="A1095" s="5"/>
      <c r="B1095" s="44"/>
      <c r="C1095" s="150"/>
      <c r="D1095" s="3"/>
      <c r="E1095" s="3"/>
      <c r="F1095" s="5"/>
      <c r="G1095" s="5"/>
      <c r="H1095" s="5"/>
      <c r="I1095" s="3"/>
      <c r="J1095" s="3"/>
      <c r="K1095" s="3"/>
      <c r="L1095" s="44"/>
      <c r="M1095" s="150"/>
      <c r="N1095" s="5"/>
      <c r="O1095" s="5"/>
      <c r="P1095" s="10"/>
      <c r="Q1095" s="10"/>
      <c r="R1095" s="144"/>
      <c r="S1095" s="144"/>
      <c r="T1095" s="10"/>
      <c r="U1095" s="5"/>
      <c r="V1095" s="3"/>
      <c r="W1095" s="5"/>
      <c r="X1095" s="144"/>
      <c r="Y1095" s="10"/>
      <c r="Z1095" s="3"/>
      <c r="AA1095" s="10"/>
      <c r="AB1095" s="10"/>
      <c r="AC1095" s="181"/>
      <c r="AD1095" s="144"/>
      <c r="AE1095" s="182"/>
      <c r="AF1095" s="10"/>
      <c r="AG1095" s="10"/>
      <c r="AH1095" s="144"/>
      <c r="AI1095" s="3"/>
      <c r="AJ1095" s="10"/>
      <c r="AK1095" s="3"/>
      <c r="AL1095" s="5"/>
      <c r="AM1095" s="5"/>
      <c r="AN1095" s="5"/>
      <c r="AO1095" s="5"/>
      <c r="AP1095" s="5"/>
      <c r="AQ1095" s="5"/>
      <c r="AR1095" s="5"/>
      <c r="AS1095" s="142"/>
      <c r="AT1095" s="142"/>
      <c r="AU1095" s="142"/>
      <c r="AV1095" s="142"/>
      <c r="AW1095" s="142"/>
      <c r="AX1095" s="142"/>
      <c r="AY1095" s="142"/>
      <c r="AZ1095" s="174"/>
      <c r="BA1095" s="142"/>
      <c r="BB1095" s="142"/>
      <c r="BC1095" s="142"/>
      <c r="BD1095" s="142"/>
      <c r="BE1095" s="142"/>
      <c r="BF1095" s="142"/>
      <c r="BG1095" s="142"/>
    </row>
    <row r="1096">
      <c r="A1096" s="5"/>
      <c r="B1096" s="44"/>
      <c r="C1096" s="150"/>
      <c r="D1096" s="3"/>
      <c r="E1096" s="3"/>
      <c r="F1096" s="5"/>
      <c r="G1096" s="5"/>
      <c r="H1096" s="5"/>
      <c r="I1096" s="3"/>
      <c r="J1096" s="3"/>
      <c r="K1096" s="3"/>
      <c r="L1096" s="44"/>
      <c r="M1096" s="150"/>
      <c r="N1096" s="5"/>
      <c r="O1096" s="5"/>
      <c r="P1096" s="10"/>
      <c r="Q1096" s="10"/>
      <c r="R1096" s="144"/>
      <c r="S1096" s="144"/>
      <c r="T1096" s="10"/>
      <c r="U1096" s="5"/>
      <c r="V1096" s="3"/>
      <c r="W1096" s="5"/>
      <c r="X1096" s="144"/>
      <c r="Y1096" s="10"/>
      <c r="Z1096" s="3"/>
      <c r="AA1096" s="10"/>
      <c r="AB1096" s="10"/>
      <c r="AC1096" s="181"/>
      <c r="AD1096" s="144"/>
      <c r="AE1096" s="182"/>
      <c r="AF1096" s="10"/>
      <c r="AG1096" s="10"/>
      <c r="AH1096" s="144"/>
      <c r="AI1096" s="3"/>
      <c r="AJ1096" s="10"/>
      <c r="AK1096" s="3"/>
      <c r="AL1096" s="5"/>
      <c r="AM1096" s="5"/>
      <c r="AN1096" s="5"/>
      <c r="AO1096" s="5"/>
      <c r="AP1096" s="5"/>
      <c r="AQ1096" s="5"/>
      <c r="AR1096" s="5"/>
      <c r="AS1096" s="142"/>
      <c r="AT1096" s="142"/>
      <c r="AU1096" s="142"/>
      <c r="AV1096" s="142"/>
      <c r="AW1096" s="142"/>
      <c r="AX1096" s="142"/>
      <c r="AY1096" s="142"/>
      <c r="AZ1096" s="174"/>
      <c r="BA1096" s="142"/>
      <c r="BB1096" s="142"/>
      <c r="BC1096" s="142"/>
      <c r="BD1096" s="142"/>
      <c r="BE1096" s="142"/>
      <c r="BF1096" s="142"/>
      <c r="BG1096" s="142"/>
    </row>
    <row r="1097">
      <c r="A1097" s="5"/>
      <c r="B1097" s="44"/>
      <c r="C1097" s="150"/>
      <c r="D1097" s="3"/>
      <c r="E1097" s="3"/>
      <c r="F1097" s="5"/>
      <c r="G1097" s="5"/>
      <c r="H1097" s="5"/>
      <c r="I1097" s="3"/>
      <c r="J1097" s="3"/>
      <c r="K1097" s="3"/>
      <c r="L1097" s="44"/>
      <c r="M1097" s="150"/>
      <c r="N1097" s="5"/>
      <c r="O1097" s="5"/>
      <c r="P1097" s="10"/>
      <c r="Q1097" s="10"/>
      <c r="R1097" s="144"/>
      <c r="S1097" s="144"/>
      <c r="T1097" s="10"/>
      <c r="U1097" s="5"/>
      <c r="V1097" s="3"/>
      <c r="W1097" s="5"/>
      <c r="X1097" s="144"/>
      <c r="Y1097" s="10"/>
      <c r="Z1097" s="3"/>
      <c r="AA1097" s="10"/>
      <c r="AB1097" s="10"/>
      <c r="AC1097" s="181"/>
      <c r="AD1097" s="144"/>
      <c r="AE1097" s="182"/>
      <c r="AF1097" s="10"/>
      <c r="AG1097" s="10"/>
      <c r="AH1097" s="144"/>
      <c r="AI1097" s="3"/>
      <c r="AJ1097" s="10"/>
      <c r="AK1097" s="3"/>
      <c r="AL1097" s="5"/>
      <c r="AM1097" s="5"/>
      <c r="AN1097" s="5"/>
      <c r="AO1097" s="5"/>
      <c r="AP1097" s="5"/>
      <c r="AQ1097" s="5"/>
      <c r="AR1097" s="5"/>
      <c r="AS1097" s="142"/>
      <c r="AT1097" s="142"/>
      <c r="AU1097" s="142"/>
      <c r="AV1097" s="142"/>
      <c r="AW1097" s="142"/>
      <c r="AX1097" s="142"/>
      <c r="AY1097" s="142"/>
      <c r="AZ1097" s="174"/>
      <c r="BA1097" s="142"/>
      <c r="BB1097" s="142"/>
      <c r="BC1097" s="142"/>
      <c r="BD1097" s="142"/>
      <c r="BE1097" s="142"/>
      <c r="BF1097" s="142"/>
      <c r="BG1097" s="142"/>
    </row>
    <row r="1098">
      <c r="A1098" s="5"/>
      <c r="B1098" s="44"/>
      <c r="C1098" s="150"/>
      <c r="D1098" s="3"/>
      <c r="E1098" s="3"/>
      <c r="F1098" s="5"/>
      <c r="G1098" s="5"/>
      <c r="H1098" s="5"/>
      <c r="I1098" s="3"/>
      <c r="J1098" s="3"/>
      <c r="K1098" s="3"/>
      <c r="L1098" s="44"/>
      <c r="M1098" s="150"/>
      <c r="N1098" s="5"/>
      <c r="O1098" s="5"/>
      <c r="P1098" s="10"/>
      <c r="Q1098" s="10"/>
      <c r="R1098" s="144"/>
      <c r="S1098" s="144"/>
      <c r="T1098" s="10"/>
      <c r="U1098" s="5"/>
      <c r="V1098" s="3"/>
      <c r="W1098" s="5"/>
      <c r="X1098" s="144"/>
      <c r="Y1098" s="10"/>
      <c r="Z1098" s="3"/>
      <c r="AA1098" s="10"/>
      <c r="AB1098" s="10"/>
      <c r="AC1098" s="181"/>
      <c r="AD1098" s="144"/>
      <c r="AE1098" s="182"/>
      <c r="AF1098" s="10"/>
      <c r="AG1098" s="10"/>
      <c r="AH1098" s="144"/>
      <c r="AI1098" s="3"/>
      <c r="AJ1098" s="10"/>
      <c r="AK1098" s="3"/>
      <c r="AL1098" s="5"/>
      <c r="AM1098" s="5"/>
      <c r="AN1098" s="5"/>
      <c r="AO1098" s="5"/>
      <c r="AP1098" s="5"/>
      <c r="AQ1098" s="5"/>
      <c r="AR1098" s="5"/>
      <c r="AS1098" s="142"/>
      <c r="AT1098" s="142"/>
      <c r="AU1098" s="142"/>
      <c r="AV1098" s="142"/>
      <c r="AW1098" s="142"/>
      <c r="AX1098" s="142"/>
      <c r="AY1098" s="142"/>
      <c r="AZ1098" s="174"/>
      <c r="BA1098" s="142"/>
      <c r="BB1098" s="142"/>
      <c r="BC1098" s="142"/>
      <c r="BD1098" s="142"/>
      <c r="BE1098" s="142"/>
      <c r="BF1098" s="142"/>
      <c r="BG1098" s="142"/>
    </row>
    <row r="1099">
      <c r="A1099" s="5"/>
      <c r="B1099" s="44"/>
      <c r="C1099" s="150"/>
      <c r="D1099" s="3"/>
      <c r="E1099" s="3"/>
      <c r="F1099" s="5"/>
      <c r="G1099" s="5"/>
      <c r="H1099" s="5"/>
      <c r="I1099" s="3"/>
      <c r="J1099" s="3"/>
      <c r="K1099" s="3"/>
      <c r="L1099" s="44"/>
      <c r="M1099" s="150"/>
      <c r="N1099" s="5"/>
      <c r="O1099" s="5"/>
      <c r="P1099" s="10"/>
      <c r="Q1099" s="10"/>
      <c r="R1099" s="144"/>
      <c r="S1099" s="144"/>
      <c r="T1099" s="10"/>
      <c r="U1099" s="5"/>
      <c r="V1099" s="3"/>
      <c r="W1099" s="5"/>
      <c r="X1099" s="144"/>
      <c r="Y1099" s="10"/>
      <c r="Z1099" s="3"/>
      <c r="AA1099" s="10"/>
      <c r="AB1099" s="10"/>
      <c r="AC1099" s="181"/>
      <c r="AD1099" s="144"/>
      <c r="AE1099" s="182"/>
      <c r="AF1099" s="10"/>
      <c r="AG1099" s="10"/>
      <c r="AH1099" s="144"/>
      <c r="AI1099" s="3"/>
      <c r="AJ1099" s="10"/>
      <c r="AK1099" s="3"/>
      <c r="AL1099" s="5"/>
      <c r="AM1099" s="5"/>
      <c r="AN1099" s="5"/>
      <c r="AO1099" s="5"/>
      <c r="AP1099" s="5"/>
      <c r="AQ1099" s="5"/>
      <c r="AR1099" s="5"/>
      <c r="AS1099" s="142"/>
      <c r="AT1099" s="142"/>
      <c r="AU1099" s="142"/>
      <c r="AV1099" s="142"/>
      <c r="AW1099" s="142"/>
      <c r="AX1099" s="142"/>
      <c r="AY1099" s="142"/>
      <c r="AZ1099" s="174"/>
      <c r="BA1099" s="142"/>
      <c r="BB1099" s="142"/>
      <c r="BC1099" s="142"/>
      <c r="BD1099" s="142"/>
      <c r="BE1099" s="142"/>
      <c r="BF1099" s="142"/>
      <c r="BG1099" s="142"/>
    </row>
    <row r="1100">
      <c r="A1100" s="5"/>
      <c r="B1100" s="44"/>
      <c r="C1100" s="150"/>
      <c r="D1100" s="3"/>
      <c r="E1100" s="3"/>
      <c r="F1100" s="5"/>
      <c r="G1100" s="5"/>
      <c r="H1100" s="5"/>
      <c r="I1100" s="3"/>
      <c r="J1100" s="3"/>
      <c r="K1100" s="3"/>
      <c r="L1100" s="44"/>
      <c r="M1100" s="150"/>
      <c r="N1100" s="5"/>
      <c r="O1100" s="5"/>
      <c r="P1100" s="10"/>
      <c r="Q1100" s="10"/>
      <c r="R1100" s="144"/>
      <c r="S1100" s="144"/>
      <c r="T1100" s="10"/>
      <c r="U1100" s="5"/>
      <c r="V1100" s="3"/>
      <c r="W1100" s="5"/>
      <c r="X1100" s="144"/>
      <c r="Y1100" s="10"/>
      <c r="Z1100" s="3"/>
      <c r="AA1100" s="10"/>
      <c r="AB1100" s="10"/>
      <c r="AC1100" s="181"/>
      <c r="AD1100" s="144"/>
      <c r="AE1100" s="182"/>
      <c r="AF1100" s="10"/>
      <c r="AG1100" s="10"/>
      <c r="AH1100" s="144"/>
      <c r="AI1100" s="3"/>
      <c r="AJ1100" s="10"/>
      <c r="AK1100" s="3"/>
      <c r="AL1100" s="5"/>
      <c r="AM1100" s="5"/>
      <c r="AN1100" s="5"/>
      <c r="AO1100" s="5"/>
      <c r="AP1100" s="5"/>
      <c r="AQ1100" s="5"/>
      <c r="AR1100" s="5"/>
      <c r="AS1100" s="142"/>
      <c r="AT1100" s="142"/>
      <c r="AU1100" s="142"/>
      <c r="AV1100" s="142"/>
      <c r="AW1100" s="142"/>
      <c r="AX1100" s="142"/>
      <c r="AY1100" s="142"/>
      <c r="AZ1100" s="174"/>
      <c r="BA1100" s="142"/>
      <c r="BB1100" s="142"/>
      <c r="BC1100" s="142"/>
      <c r="BD1100" s="142"/>
      <c r="BE1100" s="142"/>
      <c r="BF1100" s="142"/>
      <c r="BG1100" s="142"/>
    </row>
    <row r="1101">
      <c r="A1101" s="5"/>
      <c r="B1101" s="44"/>
      <c r="C1101" s="150"/>
      <c r="D1101" s="3"/>
      <c r="E1101" s="3"/>
      <c r="F1101" s="5"/>
      <c r="G1101" s="5"/>
      <c r="H1101" s="5"/>
      <c r="I1101" s="3"/>
      <c r="J1101" s="3"/>
      <c r="K1101" s="3"/>
      <c r="L1101" s="44"/>
      <c r="M1101" s="150"/>
      <c r="N1101" s="5"/>
      <c r="O1101" s="5"/>
      <c r="P1101" s="10"/>
      <c r="Q1101" s="10"/>
      <c r="R1101" s="144"/>
      <c r="S1101" s="144"/>
      <c r="T1101" s="10"/>
      <c r="U1101" s="5"/>
      <c r="V1101" s="3"/>
      <c r="W1101" s="5"/>
      <c r="X1101" s="144"/>
      <c r="Y1101" s="10"/>
      <c r="Z1101" s="3"/>
      <c r="AA1101" s="10"/>
      <c r="AB1101" s="10"/>
      <c r="AC1101" s="181"/>
      <c r="AD1101" s="144"/>
      <c r="AE1101" s="182"/>
      <c r="AF1101" s="10"/>
      <c r="AG1101" s="10"/>
      <c r="AH1101" s="144"/>
      <c r="AI1101" s="3"/>
      <c r="AJ1101" s="10"/>
      <c r="AK1101" s="3"/>
      <c r="AL1101" s="5"/>
      <c r="AM1101" s="5"/>
      <c r="AN1101" s="5"/>
      <c r="AO1101" s="5"/>
      <c r="AP1101" s="5"/>
      <c r="AQ1101" s="5"/>
      <c r="AR1101" s="5"/>
      <c r="AS1101" s="142"/>
      <c r="AT1101" s="142"/>
      <c r="AU1101" s="142"/>
      <c r="AV1101" s="142"/>
      <c r="AW1101" s="142"/>
      <c r="AX1101" s="142"/>
      <c r="AY1101" s="142"/>
      <c r="AZ1101" s="174"/>
      <c r="BA1101" s="142"/>
      <c r="BB1101" s="142"/>
      <c r="BC1101" s="142"/>
      <c r="BD1101" s="142"/>
      <c r="BE1101" s="142"/>
      <c r="BF1101" s="142"/>
      <c r="BG1101" s="142"/>
    </row>
    <row r="1102">
      <c r="A1102" s="5"/>
      <c r="B1102" s="44"/>
      <c r="C1102" s="150"/>
      <c r="D1102" s="3"/>
      <c r="E1102" s="3"/>
      <c r="F1102" s="5"/>
      <c r="G1102" s="5"/>
      <c r="H1102" s="5"/>
      <c r="I1102" s="3"/>
      <c r="J1102" s="3"/>
      <c r="K1102" s="3"/>
      <c r="L1102" s="44"/>
      <c r="M1102" s="150"/>
      <c r="N1102" s="5"/>
      <c r="O1102" s="5"/>
      <c r="P1102" s="10"/>
      <c r="Q1102" s="10"/>
      <c r="R1102" s="144"/>
      <c r="S1102" s="144"/>
      <c r="T1102" s="10"/>
      <c r="U1102" s="5"/>
      <c r="V1102" s="3"/>
      <c r="W1102" s="5"/>
      <c r="X1102" s="144"/>
      <c r="Y1102" s="10"/>
      <c r="Z1102" s="3"/>
      <c r="AA1102" s="10"/>
      <c r="AB1102" s="10"/>
      <c r="AC1102" s="181"/>
      <c r="AD1102" s="144"/>
      <c r="AE1102" s="182"/>
      <c r="AF1102" s="10"/>
      <c r="AG1102" s="10"/>
      <c r="AH1102" s="144"/>
      <c r="AI1102" s="3"/>
      <c r="AJ1102" s="10"/>
      <c r="AK1102" s="3"/>
      <c r="AL1102" s="5"/>
      <c r="AM1102" s="5"/>
      <c r="AN1102" s="5"/>
      <c r="AO1102" s="5"/>
      <c r="AP1102" s="5"/>
      <c r="AQ1102" s="5"/>
      <c r="AR1102" s="5"/>
      <c r="AS1102" s="142"/>
      <c r="AT1102" s="142"/>
      <c r="AU1102" s="142"/>
      <c r="AV1102" s="142"/>
      <c r="AW1102" s="142"/>
      <c r="AX1102" s="142"/>
      <c r="AY1102" s="142"/>
      <c r="AZ1102" s="174"/>
      <c r="BA1102" s="142"/>
      <c r="BB1102" s="142"/>
      <c r="BC1102" s="142"/>
      <c r="BD1102" s="142"/>
      <c r="BE1102" s="142"/>
      <c r="BF1102" s="142"/>
      <c r="BG1102" s="142"/>
    </row>
    <row r="1103">
      <c r="A1103" s="5"/>
      <c r="B1103" s="44"/>
      <c r="C1103" s="150"/>
      <c r="D1103" s="3"/>
      <c r="E1103" s="3"/>
      <c r="F1103" s="5"/>
      <c r="G1103" s="5"/>
      <c r="H1103" s="5"/>
      <c r="I1103" s="3"/>
      <c r="J1103" s="3"/>
      <c r="K1103" s="3"/>
      <c r="L1103" s="44"/>
      <c r="M1103" s="150"/>
      <c r="N1103" s="5"/>
      <c r="O1103" s="5"/>
      <c r="P1103" s="10"/>
      <c r="Q1103" s="10"/>
      <c r="R1103" s="144"/>
      <c r="S1103" s="144"/>
      <c r="T1103" s="10"/>
      <c r="U1103" s="5"/>
      <c r="V1103" s="3"/>
      <c r="W1103" s="5"/>
      <c r="X1103" s="144"/>
      <c r="Y1103" s="10"/>
      <c r="Z1103" s="3"/>
      <c r="AA1103" s="10"/>
      <c r="AB1103" s="10"/>
      <c r="AC1103" s="181"/>
      <c r="AD1103" s="144"/>
      <c r="AE1103" s="182"/>
      <c r="AF1103" s="10"/>
      <c r="AG1103" s="10"/>
      <c r="AH1103" s="144"/>
      <c r="AI1103" s="3"/>
      <c r="AJ1103" s="10"/>
      <c r="AK1103" s="3"/>
      <c r="AL1103" s="5"/>
      <c r="AM1103" s="5"/>
      <c r="AN1103" s="5"/>
      <c r="AO1103" s="5"/>
      <c r="AP1103" s="5"/>
      <c r="AQ1103" s="5"/>
      <c r="AR1103" s="5"/>
      <c r="AS1103" s="142"/>
      <c r="AT1103" s="142"/>
      <c r="AU1103" s="142"/>
      <c r="AV1103" s="142"/>
      <c r="AW1103" s="142"/>
      <c r="AX1103" s="142"/>
      <c r="AY1103" s="142"/>
      <c r="AZ1103" s="174"/>
      <c r="BA1103" s="142"/>
      <c r="BB1103" s="142"/>
      <c r="BC1103" s="142"/>
      <c r="BD1103" s="142"/>
      <c r="BE1103" s="142"/>
      <c r="BF1103" s="142"/>
      <c r="BG1103" s="142"/>
    </row>
    <row r="1104">
      <c r="A1104" s="5"/>
      <c r="B1104" s="44"/>
      <c r="C1104" s="150"/>
      <c r="D1104" s="3"/>
      <c r="E1104" s="3"/>
      <c r="F1104" s="5"/>
      <c r="G1104" s="5"/>
      <c r="H1104" s="5"/>
      <c r="I1104" s="3"/>
      <c r="J1104" s="3"/>
      <c r="K1104" s="3"/>
      <c r="L1104" s="44"/>
      <c r="M1104" s="150"/>
      <c r="N1104" s="5"/>
      <c r="O1104" s="5"/>
      <c r="P1104" s="10"/>
      <c r="Q1104" s="10"/>
      <c r="R1104" s="144"/>
      <c r="S1104" s="144"/>
      <c r="T1104" s="10"/>
      <c r="U1104" s="5"/>
      <c r="V1104" s="3"/>
      <c r="W1104" s="5"/>
      <c r="X1104" s="144"/>
      <c r="Y1104" s="10"/>
      <c r="Z1104" s="3"/>
      <c r="AA1104" s="10"/>
      <c r="AB1104" s="10"/>
      <c r="AC1104" s="181"/>
      <c r="AD1104" s="144"/>
      <c r="AE1104" s="182"/>
      <c r="AF1104" s="10"/>
      <c r="AG1104" s="10"/>
      <c r="AH1104" s="144"/>
      <c r="AI1104" s="3"/>
      <c r="AJ1104" s="10"/>
      <c r="AK1104" s="3"/>
      <c r="AL1104" s="5"/>
      <c r="AM1104" s="5"/>
      <c r="AN1104" s="5"/>
      <c r="AO1104" s="5"/>
      <c r="AP1104" s="5"/>
      <c r="AQ1104" s="5"/>
      <c r="AR1104" s="5"/>
      <c r="AS1104" s="142"/>
      <c r="AT1104" s="142"/>
      <c r="AU1104" s="142"/>
      <c r="AV1104" s="142"/>
      <c r="AW1104" s="142"/>
      <c r="AX1104" s="142"/>
      <c r="AY1104" s="142"/>
      <c r="AZ1104" s="174"/>
      <c r="BA1104" s="142"/>
      <c r="BB1104" s="142"/>
      <c r="BC1104" s="142"/>
      <c r="BD1104" s="142"/>
      <c r="BE1104" s="142"/>
      <c r="BF1104" s="142"/>
      <c r="BG1104" s="142"/>
    </row>
    <row r="1105">
      <c r="A1105" s="5"/>
      <c r="B1105" s="44"/>
      <c r="C1105" s="150"/>
      <c r="D1105" s="3"/>
      <c r="E1105" s="3"/>
      <c r="F1105" s="5"/>
      <c r="G1105" s="5"/>
      <c r="H1105" s="5"/>
      <c r="I1105" s="3"/>
      <c r="J1105" s="3"/>
      <c r="K1105" s="3"/>
      <c r="L1105" s="44"/>
      <c r="M1105" s="150"/>
      <c r="N1105" s="5"/>
      <c r="O1105" s="5"/>
      <c r="P1105" s="10"/>
      <c r="Q1105" s="10"/>
      <c r="R1105" s="144"/>
      <c r="S1105" s="144"/>
      <c r="T1105" s="10"/>
      <c r="U1105" s="5"/>
      <c r="V1105" s="3"/>
      <c r="W1105" s="5"/>
      <c r="X1105" s="144"/>
      <c r="Y1105" s="10"/>
      <c r="Z1105" s="3"/>
      <c r="AA1105" s="10"/>
      <c r="AB1105" s="10"/>
      <c r="AC1105" s="181"/>
      <c r="AD1105" s="144"/>
      <c r="AE1105" s="182"/>
      <c r="AF1105" s="10"/>
      <c r="AG1105" s="10"/>
      <c r="AH1105" s="144"/>
      <c r="AI1105" s="3"/>
      <c r="AJ1105" s="10"/>
      <c r="AK1105" s="3"/>
      <c r="AL1105" s="5"/>
      <c r="AM1105" s="5"/>
      <c r="AN1105" s="5"/>
      <c r="AO1105" s="5"/>
      <c r="AP1105" s="5"/>
      <c r="AQ1105" s="5"/>
      <c r="AR1105" s="5"/>
      <c r="AS1105" s="142"/>
      <c r="AT1105" s="142"/>
      <c r="AU1105" s="142"/>
      <c r="AV1105" s="142"/>
      <c r="AW1105" s="142"/>
      <c r="AX1105" s="142"/>
      <c r="AY1105" s="142"/>
      <c r="AZ1105" s="174"/>
      <c r="BA1105" s="142"/>
      <c r="BB1105" s="142"/>
      <c r="BC1105" s="142"/>
      <c r="BD1105" s="142"/>
      <c r="BE1105" s="142"/>
      <c r="BF1105" s="142"/>
      <c r="BG1105" s="142"/>
    </row>
    <row r="1106">
      <c r="A1106" s="5"/>
      <c r="B1106" s="44"/>
      <c r="C1106" s="150"/>
      <c r="D1106" s="3"/>
      <c r="E1106" s="3"/>
      <c r="F1106" s="5"/>
      <c r="G1106" s="5"/>
      <c r="H1106" s="5"/>
      <c r="I1106" s="3"/>
      <c r="J1106" s="3"/>
      <c r="K1106" s="3"/>
      <c r="L1106" s="44"/>
      <c r="M1106" s="150"/>
      <c r="N1106" s="5"/>
      <c r="O1106" s="5"/>
      <c r="P1106" s="10"/>
      <c r="Q1106" s="10"/>
      <c r="R1106" s="144"/>
      <c r="S1106" s="144"/>
      <c r="T1106" s="10"/>
      <c r="U1106" s="5"/>
      <c r="V1106" s="3"/>
      <c r="W1106" s="5"/>
      <c r="X1106" s="144"/>
      <c r="Y1106" s="10"/>
      <c r="Z1106" s="3"/>
      <c r="AA1106" s="10"/>
      <c r="AB1106" s="10"/>
      <c r="AC1106" s="181"/>
      <c r="AD1106" s="144"/>
      <c r="AE1106" s="182"/>
      <c r="AF1106" s="10"/>
      <c r="AG1106" s="10"/>
      <c r="AH1106" s="144"/>
      <c r="AI1106" s="3"/>
      <c r="AJ1106" s="10"/>
      <c r="AK1106" s="3"/>
      <c r="AL1106" s="5"/>
      <c r="AM1106" s="5"/>
      <c r="AN1106" s="5"/>
      <c r="AO1106" s="5"/>
      <c r="AP1106" s="5"/>
      <c r="AQ1106" s="5"/>
      <c r="AR1106" s="5"/>
      <c r="AS1106" s="142"/>
      <c r="AT1106" s="142"/>
      <c r="AU1106" s="142"/>
      <c r="AV1106" s="142"/>
      <c r="AW1106" s="142"/>
      <c r="AX1106" s="142"/>
      <c r="AY1106" s="142"/>
      <c r="AZ1106" s="174"/>
      <c r="BA1106" s="142"/>
      <c r="BB1106" s="142"/>
      <c r="BC1106" s="142"/>
      <c r="BD1106" s="142"/>
      <c r="BE1106" s="142"/>
      <c r="BF1106" s="142"/>
      <c r="BG1106" s="142"/>
    </row>
    <row r="1107">
      <c r="A1107" s="5"/>
      <c r="B1107" s="44"/>
      <c r="C1107" s="150"/>
      <c r="D1107" s="3"/>
      <c r="E1107" s="3"/>
      <c r="F1107" s="5"/>
      <c r="G1107" s="5"/>
      <c r="H1107" s="5"/>
      <c r="I1107" s="3"/>
      <c r="J1107" s="3"/>
      <c r="K1107" s="3"/>
      <c r="L1107" s="44"/>
      <c r="M1107" s="150"/>
      <c r="N1107" s="5"/>
      <c r="O1107" s="5"/>
      <c r="P1107" s="10"/>
      <c r="Q1107" s="10"/>
      <c r="R1107" s="144"/>
      <c r="S1107" s="144"/>
      <c r="T1107" s="10"/>
      <c r="U1107" s="5"/>
      <c r="V1107" s="3"/>
      <c r="W1107" s="5"/>
      <c r="X1107" s="144"/>
      <c r="Y1107" s="10"/>
      <c r="Z1107" s="3"/>
      <c r="AA1107" s="10"/>
      <c r="AB1107" s="10"/>
      <c r="AC1107" s="181"/>
      <c r="AD1107" s="144"/>
      <c r="AE1107" s="182"/>
      <c r="AF1107" s="10"/>
      <c r="AG1107" s="10"/>
      <c r="AH1107" s="144"/>
      <c r="AI1107" s="3"/>
      <c r="AJ1107" s="10"/>
      <c r="AK1107" s="3"/>
      <c r="AL1107" s="5"/>
      <c r="AM1107" s="5"/>
      <c r="AN1107" s="5"/>
      <c r="AO1107" s="5"/>
      <c r="AP1107" s="5"/>
      <c r="AQ1107" s="5"/>
      <c r="AR1107" s="5"/>
      <c r="AS1107" s="142"/>
      <c r="AT1107" s="142"/>
      <c r="AU1107" s="142"/>
      <c r="AV1107" s="142"/>
      <c r="AW1107" s="142"/>
      <c r="AX1107" s="142"/>
      <c r="AY1107" s="142"/>
      <c r="AZ1107" s="174"/>
      <c r="BA1107" s="142"/>
      <c r="BB1107" s="142"/>
      <c r="BC1107" s="142"/>
      <c r="BD1107" s="142"/>
      <c r="BE1107" s="142"/>
      <c r="BF1107" s="142"/>
      <c r="BG1107" s="142"/>
    </row>
    <row r="1108">
      <c r="A1108" s="5"/>
      <c r="B1108" s="44"/>
      <c r="C1108" s="150"/>
      <c r="D1108" s="3"/>
      <c r="E1108" s="3"/>
      <c r="F1108" s="5"/>
      <c r="G1108" s="5"/>
      <c r="H1108" s="5"/>
      <c r="I1108" s="3"/>
      <c r="J1108" s="3"/>
      <c r="K1108" s="3"/>
      <c r="L1108" s="44"/>
      <c r="M1108" s="150"/>
      <c r="N1108" s="5"/>
      <c r="O1108" s="5"/>
      <c r="P1108" s="10"/>
      <c r="Q1108" s="10"/>
      <c r="R1108" s="144"/>
      <c r="S1108" s="144"/>
      <c r="T1108" s="10"/>
      <c r="U1108" s="5"/>
      <c r="V1108" s="3"/>
      <c r="W1108" s="5"/>
      <c r="X1108" s="144"/>
      <c r="Y1108" s="10"/>
      <c r="Z1108" s="3"/>
      <c r="AA1108" s="10"/>
      <c r="AB1108" s="10"/>
      <c r="AC1108" s="181"/>
      <c r="AD1108" s="144"/>
      <c r="AE1108" s="182"/>
      <c r="AF1108" s="10"/>
      <c r="AG1108" s="10"/>
      <c r="AH1108" s="144"/>
      <c r="AI1108" s="3"/>
      <c r="AJ1108" s="10"/>
      <c r="AK1108" s="3"/>
      <c r="AL1108" s="5"/>
      <c r="AM1108" s="5"/>
      <c r="AN1108" s="5"/>
      <c r="AO1108" s="5"/>
      <c r="AP1108" s="5"/>
      <c r="AQ1108" s="5"/>
      <c r="AR1108" s="5"/>
      <c r="AS1108" s="142"/>
      <c r="AT1108" s="142"/>
      <c r="AU1108" s="142"/>
      <c r="AV1108" s="142"/>
      <c r="AW1108" s="142"/>
      <c r="AX1108" s="142"/>
      <c r="AY1108" s="142"/>
      <c r="AZ1108" s="174"/>
      <c r="BA1108" s="142"/>
      <c r="BB1108" s="142"/>
      <c r="BC1108" s="142"/>
      <c r="BD1108" s="142"/>
      <c r="BE1108" s="142"/>
      <c r="BF1108" s="142"/>
      <c r="BG1108" s="142"/>
    </row>
    <row r="1109">
      <c r="A1109" s="5"/>
      <c r="B1109" s="44"/>
      <c r="C1109" s="150"/>
      <c r="D1109" s="3"/>
      <c r="E1109" s="3"/>
      <c r="F1109" s="5"/>
      <c r="G1109" s="5"/>
      <c r="H1109" s="5"/>
      <c r="I1109" s="3"/>
      <c r="J1109" s="3"/>
      <c r="K1109" s="3"/>
      <c r="L1109" s="44"/>
      <c r="M1109" s="150"/>
      <c r="N1109" s="5"/>
      <c r="O1109" s="5"/>
      <c r="P1109" s="10"/>
      <c r="Q1109" s="10"/>
      <c r="R1109" s="144"/>
      <c r="S1109" s="144"/>
      <c r="T1109" s="10"/>
      <c r="U1109" s="5"/>
      <c r="V1109" s="3"/>
      <c r="W1109" s="5"/>
      <c r="X1109" s="144"/>
      <c r="Y1109" s="10"/>
      <c r="Z1109" s="3"/>
      <c r="AA1109" s="10"/>
      <c r="AB1109" s="10"/>
      <c r="AC1109" s="181"/>
      <c r="AD1109" s="144"/>
      <c r="AE1109" s="182"/>
      <c r="AF1109" s="10"/>
      <c r="AG1109" s="10"/>
      <c r="AH1109" s="144"/>
      <c r="AI1109" s="3"/>
      <c r="AJ1109" s="10"/>
      <c r="AK1109" s="3"/>
      <c r="AL1109" s="5"/>
      <c r="AM1109" s="5"/>
      <c r="AN1109" s="5"/>
      <c r="AO1109" s="5"/>
      <c r="AP1109" s="5"/>
      <c r="AQ1109" s="5"/>
      <c r="AR1109" s="5"/>
      <c r="AS1109" s="142"/>
      <c r="AT1109" s="142"/>
      <c r="AU1109" s="142"/>
      <c r="AV1109" s="142"/>
      <c r="AW1109" s="142"/>
      <c r="AX1109" s="142"/>
      <c r="AY1109" s="142"/>
      <c r="AZ1109" s="174"/>
      <c r="BA1109" s="142"/>
      <c r="BB1109" s="142"/>
      <c r="BC1109" s="142"/>
      <c r="BD1109" s="142"/>
      <c r="BE1109" s="142"/>
      <c r="BF1109" s="142"/>
      <c r="BG1109" s="142"/>
    </row>
    <row r="1110">
      <c r="A1110" s="5"/>
      <c r="B1110" s="44"/>
      <c r="C1110" s="150"/>
      <c r="D1110" s="3"/>
      <c r="E1110" s="3"/>
      <c r="F1110" s="5"/>
      <c r="G1110" s="5"/>
      <c r="H1110" s="5"/>
      <c r="I1110" s="3"/>
      <c r="J1110" s="3"/>
      <c r="K1110" s="3"/>
      <c r="L1110" s="44"/>
      <c r="M1110" s="150"/>
      <c r="N1110" s="5"/>
      <c r="O1110" s="5"/>
      <c r="P1110" s="10"/>
      <c r="Q1110" s="10"/>
      <c r="R1110" s="144"/>
      <c r="S1110" s="144"/>
      <c r="T1110" s="10"/>
      <c r="U1110" s="5"/>
      <c r="V1110" s="3"/>
      <c r="W1110" s="5"/>
      <c r="X1110" s="144"/>
      <c r="Y1110" s="10"/>
      <c r="Z1110" s="3"/>
      <c r="AA1110" s="10"/>
      <c r="AB1110" s="10"/>
      <c r="AC1110" s="181"/>
      <c r="AD1110" s="144"/>
      <c r="AE1110" s="182"/>
      <c r="AF1110" s="10"/>
      <c r="AG1110" s="10"/>
      <c r="AH1110" s="144"/>
      <c r="AI1110" s="3"/>
      <c r="AJ1110" s="10"/>
      <c r="AK1110" s="3"/>
      <c r="AL1110" s="5"/>
      <c r="AM1110" s="5"/>
      <c r="AN1110" s="5"/>
      <c r="AO1110" s="5"/>
      <c r="AP1110" s="5"/>
      <c r="AQ1110" s="5"/>
      <c r="AR1110" s="5"/>
      <c r="AS1110" s="142"/>
      <c r="AT1110" s="142"/>
      <c r="AU1110" s="142"/>
      <c r="AV1110" s="142"/>
      <c r="AW1110" s="142"/>
      <c r="AX1110" s="142"/>
      <c r="AY1110" s="142"/>
      <c r="AZ1110" s="174"/>
      <c r="BA1110" s="142"/>
      <c r="BB1110" s="142"/>
      <c r="BC1110" s="142"/>
      <c r="BD1110" s="142"/>
      <c r="BE1110" s="142"/>
      <c r="BF1110" s="142"/>
      <c r="BG1110" s="142"/>
    </row>
    <row r="1111">
      <c r="A1111" s="5"/>
      <c r="B1111" s="44"/>
      <c r="C1111" s="150"/>
      <c r="D1111" s="3"/>
      <c r="E1111" s="3"/>
      <c r="F1111" s="5"/>
      <c r="G1111" s="5"/>
      <c r="H1111" s="5"/>
      <c r="I1111" s="3"/>
      <c r="J1111" s="3"/>
      <c r="K1111" s="3"/>
      <c r="L1111" s="44"/>
      <c r="M1111" s="150"/>
      <c r="N1111" s="5"/>
      <c r="O1111" s="5"/>
      <c r="P1111" s="10"/>
      <c r="Q1111" s="10"/>
      <c r="R1111" s="144"/>
      <c r="S1111" s="144"/>
      <c r="T1111" s="10"/>
      <c r="U1111" s="5"/>
      <c r="V1111" s="3"/>
      <c r="W1111" s="5"/>
      <c r="X1111" s="144"/>
      <c r="Y1111" s="10"/>
      <c r="Z1111" s="3"/>
      <c r="AA1111" s="10"/>
      <c r="AB1111" s="10"/>
      <c r="AC1111" s="181"/>
      <c r="AD1111" s="144"/>
      <c r="AE1111" s="182"/>
      <c r="AF1111" s="10"/>
      <c r="AG1111" s="10"/>
      <c r="AH1111" s="144"/>
      <c r="AI1111" s="3"/>
      <c r="AJ1111" s="10"/>
      <c r="AK1111" s="3"/>
      <c r="AL1111" s="5"/>
      <c r="AM1111" s="5"/>
      <c r="AN1111" s="5"/>
      <c r="AO1111" s="5"/>
      <c r="AP1111" s="5"/>
      <c r="AQ1111" s="5"/>
      <c r="AR1111" s="5"/>
      <c r="AS1111" s="142"/>
      <c r="AT1111" s="142"/>
      <c r="AU1111" s="142"/>
      <c r="AV1111" s="142"/>
      <c r="AW1111" s="142"/>
      <c r="AX1111" s="142"/>
      <c r="AY1111" s="142"/>
      <c r="AZ1111" s="174"/>
      <c r="BA1111" s="142"/>
      <c r="BB1111" s="142"/>
      <c r="BC1111" s="142"/>
      <c r="BD1111" s="142"/>
      <c r="BE1111" s="142"/>
      <c r="BF1111" s="142"/>
      <c r="BG1111" s="142"/>
    </row>
    <row r="1112">
      <c r="A1112" s="5"/>
      <c r="B1112" s="44"/>
      <c r="C1112" s="150"/>
      <c r="D1112" s="3"/>
      <c r="E1112" s="3"/>
      <c r="F1112" s="5"/>
      <c r="G1112" s="5"/>
      <c r="H1112" s="5"/>
      <c r="I1112" s="3"/>
      <c r="J1112" s="3"/>
      <c r="K1112" s="3"/>
      <c r="L1112" s="44"/>
      <c r="M1112" s="150"/>
      <c r="N1112" s="5"/>
      <c r="O1112" s="5"/>
      <c r="P1112" s="10"/>
      <c r="Q1112" s="10"/>
      <c r="R1112" s="144"/>
      <c r="S1112" s="144"/>
      <c r="T1112" s="10"/>
      <c r="U1112" s="5"/>
      <c r="V1112" s="3"/>
      <c r="W1112" s="5"/>
      <c r="X1112" s="144"/>
      <c r="Y1112" s="10"/>
      <c r="Z1112" s="3"/>
      <c r="AA1112" s="10"/>
      <c r="AB1112" s="10"/>
      <c r="AC1112" s="181"/>
      <c r="AD1112" s="144"/>
      <c r="AE1112" s="182"/>
      <c r="AF1112" s="10"/>
      <c r="AG1112" s="10"/>
      <c r="AH1112" s="144"/>
      <c r="AI1112" s="3"/>
      <c r="AJ1112" s="10"/>
      <c r="AK1112" s="3"/>
      <c r="AL1112" s="5"/>
      <c r="AM1112" s="5"/>
      <c r="AN1112" s="5"/>
      <c r="AO1112" s="5"/>
      <c r="AP1112" s="5"/>
      <c r="AQ1112" s="5"/>
      <c r="AR1112" s="5"/>
      <c r="AS1112" s="142"/>
      <c r="AT1112" s="142"/>
      <c r="AU1112" s="142"/>
      <c r="AV1112" s="142"/>
      <c r="AW1112" s="142"/>
      <c r="AX1112" s="142"/>
      <c r="AY1112" s="142"/>
      <c r="AZ1112" s="174"/>
      <c r="BA1112" s="142"/>
      <c r="BB1112" s="142"/>
      <c r="BC1112" s="142"/>
      <c r="BD1112" s="142"/>
      <c r="BE1112" s="142"/>
      <c r="BF1112" s="142"/>
      <c r="BG1112" s="142"/>
    </row>
    <row r="1113">
      <c r="A1113" s="5"/>
      <c r="B1113" s="44"/>
      <c r="C1113" s="150"/>
      <c r="D1113" s="3"/>
      <c r="E1113" s="3"/>
      <c r="F1113" s="5"/>
      <c r="G1113" s="5"/>
      <c r="H1113" s="5"/>
      <c r="I1113" s="3"/>
      <c r="J1113" s="3"/>
      <c r="K1113" s="3"/>
      <c r="L1113" s="44"/>
      <c r="M1113" s="150"/>
      <c r="N1113" s="5"/>
      <c r="O1113" s="5"/>
      <c r="P1113" s="10"/>
      <c r="Q1113" s="10"/>
      <c r="R1113" s="144"/>
      <c r="S1113" s="144"/>
      <c r="T1113" s="10"/>
      <c r="U1113" s="5"/>
      <c r="V1113" s="3"/>
      <c r="W1113" s="5"/>
      <c r="X1113" s="144"/>
      <c r="Y1113" s="10"/>
      <c r="Z1113" s="3"/>
      <c r="AA1113" s="10"/>
      <c r="AB1113" s="10"/>
      <c r="AC1113" s="181"/>
      <c r="AD1113" s="144"/>
      <c r="AE1113" s="182"/>
      <c r="AF1113" s="10"/>
      <c r="AG1113" s="10"/>
      <c r="AH1113" s="144"/>
      <c r="AI1113" s="3"/>
      <c r="AJ1113" s="10"/>
      <c r="AK1113" s="3"/>
      <c r="AL1113" s="5"/>
      <c r="AM1113" s="5"/>
      <c r="AN1113" s="5"/>
      <c r="AO1113" s="5"/>
      <c r="AP1113" s="5"/>
      <c r="AQ1113" s="5"/>
      <c r="AR1113" s="5"/>
      <c r="AS1113" s="142"/>
      <c r="AT1113" s="142"/>
      <c r="AU1113" s="142"/>
      <c r="AV1113" s="142"/>
      <c r="AW1113" s="142"/>
      <c r="AX1113" s="142"/>
      <c r="AY1113" s="142"/>
      <c r="AZ1113" s="174"/>
      <c r="BA1113" s="142"/>
      <c r="BB1113" s="142"/>
      <c r="BC1113" s="142"/>
      <c r="BD1113" s="142"/>
      <c r="BE1113" s="142"/>
      <c r="BF1113" s="142"/>
      <c r="BG1113" s="142"/>
    </row>
    <row r="1114">
      <c r="A1114" s="5"/>
      <c r="B1114" s="44"/>
      <c r="C1114" s="150"/>
      <c r="D1114" s="3"/>
      <c r="E1114" s="3"/>
      <c r="F1114" s="5"/>
      <c r="G1114" s="5"/>
      <c r="H1114" s="5"/>
      <c r="I1114" s="3"/>
      <c r="J1114" s="3"/>
      <c r="K1114" s="3"/>
      <c r="L1114" s="44"/>
      <c r="M1114" s="150"/>
      <c r="N1114" s="5"/>
      <c r="O1114" s="5"/>
      <c r="P1114" s="10"/>
      <c r="Q1114" s="10"/>
      <c r="R1114" s="144"/>
      <c r="S1114" s="144"/>
      <c r="T1114" s="10"/>
      <c r="U1114" s="5"/>
      <c r="V1114" s="3"/>
      <c r="W1114" s="5"/>
      <c r="X1114" s="144"/>
      <c r="Y1114" s="10"/>
      <c r="Z1114" s="3"/>
      <c r="AA1114" s="10"/>
      <c r="AB1114" s="10"/>
      <c r="AC1114" s="181"/>
      <c r="AD1114" s="144"/>
      <c r="AE1114" s="182"/>
      <c r="AF1114" s="10"/>
      <c r="AG1114" s="10"/>
      <c r="AH1114" s="144"/>
      <c r="AI1114" s="3"/>
      <c r="AJ1114" s="10"/>
      <c r="AK1114" s="3"/>
      <c r="AL1114" s="5"/>
      <c r="AM1114" s="5"/>
      <c r="AN1114" s="5"/>
      <c r="AO1114" s="5"/>
      <c r="AP1114" s="5"/>
      <c r="AQ1114" s="5"/>
      <c r="AR1114" s="5"/>
      <c r="AS1114" s="142"/>
      <c r="AT1114" s="142"/>
      <c r="AU1114" s="142"/>
      <c r="AV1114" s="142"/>
      <c r="AW1114" s="142"/>
      <c r="AX1114" s="142"/>
      <c r="AY1114" s="142"/>
      <c r="AZ1114" s="174"/>
      <c r="BA1114" s="142"/>
      <c r="BB1114" s="142"/>
      <c r="BC1114" s="142"/>
      <c r="BD1114" s="142"/>
      <c r="BE1114" s="142"/>
      <c r="BF1114" s="142"/>
      <c r="BG1114" s="142"/>
    </row>
    <row r="1115">
      <c r="A1115" s="5"/>
      <c r="B1115" s="44"/>
      <c r="C1115" s="150"/>
      <c r="D1115" s="3"/>
      <c r="E1115" s="3"/>
      <c r="F1115" s="5"/>
      <c r="G1115" s="5"/>
      <c r="H1115" s="5"/>
      <c r="I1115" s="3"/>
      <c r="J1115" s="3"/>
      <c r="K1115" s="3"/>
      <c r="L1115" s="44"/>
      <c r="M1115" s="150"/>
      <c r="N1115" s="5"/>
      <c r="O1115" s="5"/>
      <c r="P1115" s="10"/>
      <c r="Q1115" s="10"/>
      <c r="R1115" s="144"/>
      <c r="S1115" s="144"/>
      <c r="T1115" s="10"/>
      <c r="U1115" s="5"/>
      <c r="V1115" s="3"/>
      <c r="W1115" s="5"/>
      <c r="X1115" s="144"/>
      <c r="Y1115" s="10"/>
      <c r="Z1115" s="3"/>
      <c r="AA1115" s="10"/>
      <c r="AB1115" s="10"/>
      <c r="AC1115" s="181"/>
      <c r="AD1115" s="144"/>
      <c r="AE1115" s="182"/>
      <c r="AF1115" s="10"/>
      <c r="AG1115" s="10"/>
      <c r="AH1115" s="144"/>
      <c r="AI1115" s="3"/>
      <c r="AJ1115" s="10"/>
      <c r="AK1115" s="3"/>
      <c r="AL1115" s="5"/>
      <c r="AM1115" s="5"/>
      <c r="AN1115" s="5"/>
      <c r="AO1115" s="5"/>
      <c r="AP1115" s="5"/>
      <c r="AQ1115" s="5"/>
      <c r="AR1115" s="5"/>
      <c r="AS1115" s="142"/>
      <c r="AT1115" s="142"/>
      <c r="AU1115" s="142"/>
      <c r="AV1115" s="142"/>
      <c r="AW1115" s="142"/>
      <c r="AX1115" s="142"/>
      <c r="AY1115" s="142"/>
      <c r="AZ1115" s="174"/>
      <c r="BA1115" s="142"/>
      <c r="BB1115" s="142"/>
      <c r="BC1115" s="142"/>
      <c r="BD1115" s="142"/>
      <c r="BE1115" s="142"/>
      <c r="BF1115" s="142"/>
      <c r="BG1115" s="142"/>
    </row>
    <row r="1116">
      <c r="A1116" s="5"/>
      <c r="B1116" s="44"/>
      <c r="C1116" s="150"/>
      <c r="D1116" s="3"/>
      <c r="E1116" s="3"/>
      <c r="F1116" s="5"/>
      <c r="G1116" s="5"/>
      <c r="H1116" s="5"/>
      <c r="I1116" s="3"/>
      <c r="J1116" s="3"/>
      <c r="K1116" s="3"/>
      <c r="L1116" s="44"/>
      <c r="M1116" s="150"/>
      <c r="N1116" s="5"/>
      <c r="O1116" s="5"/>
      <c r="P1116" s="10"/>
      <c r="Q1116" s="10"/>
      <c r="R1116" s="144"/>
      <c r="S1116" s="144"/>
      <c r="T1116" s="10"/>
      <c r="U1116" s="5"/>
      <c r="V1116" s="3"/>
      <c r="W1116" s="5"/>
      <c r="X1116" s="144"/>
      <c r="Y1116" s="10"/>
      <c r="Z1116" s="3"/>
      <c r="AA1116" s="10"/>
      <c r="AB1116" s="10"/>
      <c r="AC1116" s="181"/>
      <c r="AD1116" s="144"/>
      <c r="AE1116" s="182"/>
      <c r="AF1116" s="10"/>
      <c r="AG1116" s="10"/>
      <c r="AH1116" s="144"/>
      <c r="AI1116" s="3"/>
      <c r="AJ1116" s="10"/>
      <c r="AK1116" s="3"/>
      <c r="AL1116" s="5"/>
      <c r="AM1116" s="5"/>
      <c r="AN1116" s="5"/>
      <c r="AO1116" s="5"/>
      <c r="AP1116" s="5"/>
      <c r="AQ1116" s="5"/>
      <c r="AR1116" s="5"/>
      <c r="AS1116" s="142"/>
      <c r="AT1116" s="142"/>
      <c r="AU1116" s="142"/>
      <c r="AV1116" s="142"/>
      <c r="AW1116" s="142"/>
      <c r="AX1116" s="142"/>
      <c r="AY1116" s="142"/>
      <c r="AZ1116" s="174"/>
      <c r="BA1116" s="142"/>
      <c r="BB1116" s="142"/>
      <c r="BC1116" s="142"/>
      <c r="BD1116" s="142"/>
      <c r="BE1116" s="142"/>
      <c r="BF1116" s="142"/>
      <c r="BG1116" s="142"/>
    </row>
    <row r="1117">
      <c r="A1117" s="5"/>
      <c r="B1117" s="44"/>
      <c r="C1117" s="150"/>
      <c r="D1117" s="3"/>
      <c r="E1117" s="3"/>
      <c r="F1117" s="5"/>
      <c r="G1117" s="5"/>
      <c r="H1117" s="5"/>
      <c r="I1117" s="3"/>
      <c r="J1117" s="3"/>
      <c r="K1117" s="3"/>
      <c r="L1117" s="44"/>
      <c r="M1117" s="150"/>
      <c r="N1117" s="5"/>
      <c r="O1117" s="5"/>
      <c r="P1117" s="10"/>
      <c r="Q1117" s="10"/>
      <c r="R1117" s="144"/>
      <c r="S1117" s="144"/>
      <c r="T1117" s="10"/>
      <c r="U1117" s="5"/>
      <c r="V1117" s="3"/>
      <c r="W1117" s="5"/>
      <c r="X1117" s="144"/>
      <c r="Y1117" s="10"/>
      <c r="Z1117" s="3"/>
      <c r="AA1117" s="10"/>
      <c r="AB1117" s="10"/>
      <c r="AC1117" s="181"/>
      <c r="AD1117" s="144"/>
      <c r="AE1117" s="182"/>
      <c r="AF1117" s="10"/>
      <c r="AG1117" s="10"/>
      <c r="AH1117" s="144"/>
      <c r="AI1117" s="3"/>
      <c r="AJ1117" s="10"/>
      <c r="AK1117" s="3"/>
      <c r="AL1117" s="5"/>
      <c r="AM1117" s="5"/>
      <c r="AN1117" s="5"/>
      <c r="AO1117" s="5"/>
      <c r="AP1117" s="5"/>
      <c r="AQ1117" s="5"/>
      <c r="AR1117" s="5"/>
      <c r="AS1117" s="142"/>
      <c r="AT1117" s="142"/>
      <c r="AU1117" s="142"/>
      <c r="AV1117" s="142"/>
      <c r="AW1117" s="142"/>
      <c r="AX1117" s="142"/>
      <c r="AY1117" s="142"/>
      <c r="AZ1117" s="174"/>
      <c r="BA1117" s="142"/>
      <c r="BB1117" s="142"/>
      <c r="BC1117" s="142"/>
      <c r="BD1117" s="142"/>
      <c r="BE1117" s="142"/>
      <c r="BF1117" s="142"/>
      <c r="BG1117" s="142"/>
    </row>
    <row r="1118">
      <c r="A1118" s="5"/>
      <c r="B1118" s="44"/>
      <c r="C1118" s="150"/>
      <c r="D1118" s="3"/>
      <c r="E1118" s="3"/>
      <c r="F1118" s="5"/>
      <c r="G1118" s="5"/>
      <c r="H1118" s="5"/>
      <c r="I1118" s="3"/>
      <c r="J1118" s="3"/>
      <c r="K1118" s="3"/>
      <c r="L1118" s="44"/>
      <c r="M1118" s="150"/>
      <c r="N1118" s="5"/>
      <c r="O1118" s="5"/>
      <c r="P1118" s="10"/>
      <c r="Q1118" s="10"/>
      <c r="R1118" s="144"/>
      <c r="S1118" s="144"/>
      <c r="T1118" s="10"/>
      <c r="U1118" s="5"/>
      <c r="V1118" s="3"/>
      <c r="W1118" s="5"/>
      <c r="X1118" s="144"/>
      <c r="Y1118" s="10"/>
      <c r="Z1118" s="3"/>
      <c r="AA1118" s="10"/>
      <c r="AB1118" s="10"/>
      <c r="AC1118" s="181"/>
      <c r="AD1118" s="144"/>
      <c r="AE1118" s="182"/>
      <c r="AF1118" s="10"/>
      <c r="AG1118" s="10"/>
      <c r="AH1118" s="144"/>
      <c r="AI1118" s="3"/>
      <c r="AJ1118" s="10"/>
      <c r="AK1118" s="3"/>
      <c r="AL1118" s="5"/>
      <c r="AM1118" s="5"/>
      <c r="AN1118" s="5"/>
      <c r="AO1118" s="5"/>
      <c r="AP1118" s="5"/>
      <c r="AQ1118" s="5"/>
      <c r="AR1118" s="5"/>
      <c r="AS1118" s="142"/>
      <c r="AT1118" s="142"/>
      <c r="AU1118" s="142"/>
      <c r="AV1118" s="142"/>
      <c r="AW1118" s="142"/>
      <c r="AX1118" s="142"/>
      <c r="AY1118" s="142"/>
      <c r="AZ1118" s="174"/>
      <c r="BA1118" s="142"/>
      <c r="BB1118" s="142"/>
      <c r="BC1118" s="142"/>
      <c r="BD1118" s="142"/>
      <c r="BE1118" s="142"/>
      <c r="BF1118" s="142"/>
      <c r="BG1118" s="142"/>
    </row>
    <row r="1119">
      <c r="A1119" s="5"/>
      <c r="B1119" s="44"/>
      <c r="C1119" s="150"/>
      <c r="D1119" s="3"/>
      <c r="E1119" s="3"/>
      <c r="F1119" s="5"/>
      <c r="G1119" s="5"/>
      <c r="H1119" s="5"/>
      <c r="I1119" s="3"/>
      <c r="J1119" s="3"/>
      <c r="K1119" s="3"/>
      <c r="L1119" s="44"/>
      <c r="M1119" s="150"/>
      <c r="N1119" s="5"/>
      <c r="O1119" s="5"/>
      <c r="P1119" s="10"/>
      <c r="Q1119" s="10"/>
      <c r="R1119" s="144"/>
      <c r="S1119" s="144"/>
      <c r="T1119" s="10"/>
      <c r="U1119" s="5"/>
      <c r="V1119" s="3"/>
      <c r="W1119" s="5"/>
      <c r="X1119" s="144"/>
      <c r="Y1119" s="10"/>
      <c r="Z1119" s="3"/>
      <c r="AA1119" s="10"/>
      <c r="AB1119" s="10"/>
      <c r="AC1119" s="181"/>
      <c r="AD1119" s="144"/>
      <c r="AE1119" s="182"/>
      <c r="AF1119" s="10"/>
      <c r="AG1119" s="10"/>
      <c r="AH1119" s="144"/>
      <c r="AI1119" s="3"/>
      <c r="AJ1119" s="10"/>
      <c r="AK1119" s="3"/>
      <c r="AL1119" s="5"/>
      <c r="AM1119" s="5"/>
      <c r="AN1119" s="5"/>
      <c r="AO1119" s="5"/>
      <c r="AP1119" s="5"/>
      <c r="AQ1119" s="5"/>
      <c r="AR1119" s="5"/>
      <c r="AS1119" s="142"/>
      <c r="AT1119" s="142"/>
      <c r="AU1119" s="142"/>
      <c r="AV1119" s="142"/>
      <c r="AW1119" s="142"/>
      <c r="AX1119" s="142"/>
      <c r="AY1119" s="142"/>
      <c r="AZ1119" s="174"/>
      <c r="BA1119" s="142"/>
      <c r="BB1119" s="142"/>
      <c r="BC1119" s="142"/>
      <c r="BD1119" s="142"/>
      <c r="BE1119" s="142"/>
      <c r="BF1119" s="142"/>
      <c r="BG1119" s="142"/>
    </row>
    <row r="1120">
      <c r="A1120" s="5"/>
      <c r="B1120" s="44"/>
      <c r="C1120" s="150"/>
      <c r="D1120" s="3"/>
      <c r="E1120" s="3"/>
      <c r="F1120" s="5"/>
      <c r="G1120" s="5"/>
      <c r="H1120" s="5"/>
      <c r="I1120" s="3"/>
      <c r="J1120" s="3"/>
      <c r="K1120" s="3"/>
      <c r="L1120" s="44"/>
      <c r="M1120" s="150"/>
      <c r="N1120" s="5"/>
      <c r="O1120" s="5"/>
      <c r="P1120" s="10"/>
      <c r="Q1120" s="10"/>
      <c r="R1120" s="144"/>
      <c r="S1120" s="144"/>
      <c r="T1120" s="10"/>
      <c r="U1120" s="5"/>
      <c r="V1120" s="3"/>
      <c r="W1120" s="5"/>
      <c r="X1120" s="144"/>
      <c r="Y1120" s="10"/>
      <c r="Z1120" s="3"/>
      <c r="AA1120" s="10"/>
      <c r="AB1120" s="10"/>
      <c r="AC1120" s="181"/>
      <c r="AD1120" s="144"/>
      <c r="AE1120" s="182"/>
      <c r="AF1120" s="10"/>
      <c r="AG1120" s="10"/>
      <c r="AH1120" s="144"/>
      <c r="AI1120" s="3"/>
      <c r="AJ1120" s="10"/>
      <c r="AK1120" s="3"/>
      <c r="AL1120" s="5"/>
      <c r="AM1120" s="5"/>
      <c r="AN1120" s="5"/>
      <c r="AO1120" s="5"/>
      <c r="AP1120" s="5"/>
      <c r="AQ1120" s="5"/>
      <c r="AR1120" s="5"/>
      <c r="AS1120" s="142"/>
      <c r="AT1120" s="142"/>
      <c r="AU1120" s="142"/>
      <c r="AV1120" s="142"/>
      <c r="AW1120" s="142"/>
      <c r="AX1120" s="142"/>
      <c r="AY1120" s="142"/>
      <c r="AZ1120" s="174"/>
      <c r="BA1120" s="142"/>
      <c r="BB1120" s="142"/>
      <c r="BC1120" s="142"/>
      <c r="BD1120" s="142"/>
      <c r="BE1120" s="142"/>
      <c r="BF1120" s="142"/>
      <c r="BG1120" s="142"/>
    </row>
    <row r="1121">
      <c r="A1121" s="5"/>
      <c r="B1121" s="44"/>
      <c r="C1121" s="150"/>
      <c r="D1121" s="3"/>
      <c r="E1121" s="3"/>
      <c r="F1121" s="5"/>
      <c r="G1121" s="5"/>
      <c r="H1121" s="5"/>
      <c r="I1121" s="3"/>
      <c r="J1121" s="3"/>
      <c r="K1121" s="3"/>
      <c r="L1121" s="44"/>
      <c r="M1121" s="150"/>
      <c r="N1121" s="5"/>
      <c r="O1121" s="5"/>
      <c r="P1121" s="10"/>
      <c r="Q1121" s="10"/>
      <c r="R1121" s="144"/>
      <c r="S1121" s="144"/>
      <c r="T1121" s="10"/>
      <c r="U1121" s="5"/>
      <c r="V1121" s="3"/>
      <c r="W1121" s="5"/>
      <c r="X1121" s="144"/>
      <c r="Y1121" s="10"/>
      <c r="Z1121" s="3"/>
      <c r="AA1121" s="10"/>
      <c r="AB1121" s="10"/>
      <c r="AC1121" s="181"/>
      <c r="AD1121" s="144"/>
      <c r="AE1121" s="182"/>
      <c r="AF1121" s="10"/>
      <c r="AG1121" s="10"/>
      <c r="AH1121" s="144"/>
      <c r="AI1121" s="3"/>
      <c r="AJ1121" s="10"/>
      <c r="AK1121" s="3"/>
      <c r="AL1121" s="5"/>
      <c r="AM1121" s="5"/>
      <c r="AN1121" s="5"/>
      <c r="AO1121" s="5"/>
      <c r="AP1121" s="5"/>
      <c r="AQ1121" s="5"/>
      <c r="AR1121" s="5"/>
      <c r="AS1121" s="142"/>
      <c r="AT1121" s="142"/>
      <c r="AU1121" s="142"/>
      <c r="AV1121" s="142"/>
      <c r="AW1121" s="142"/>
      <c r="AX1121" s="142"/>
      <c r="AY1121" s="142"/>
      <c r="AZ1121" s="174"/>
      <c r="BA1121" s="142"/>
      <c r="BB1121" s="142"/>
      <c r="BC1121" s="142"/>
      <c r="BD1121" s="142"/>
      <c r="BE1121" s="142"/>
      <c r="BF1121" s="142"/>
      <c r="BG1121" s="142"/>
    </row>
    <row r="1122">
      <c r="A1122" s="5"/>
      <c r="B1122" s="44"/>
      <c r="C1122" s="150"/>
      <c r="D1122" s="3"/>
      <c r="E1122" s="3"/>
      <c r="F1122" s="5"/>
      <c r="G1122" s="5"/>
      <c r="H1122" s="5"/>
      <c r="I1122" s="3"/>
      <c r="J1122" s="3"/>
      <c r="K1122" s="3"/>
      <c r="L1122" s="44"/>
      <c r="M1122" s="150"/>
      <c r="N1122" s="5"/>
      <c r="O1122" s="5"/>
      <c r="P1122" s="10"/>
      <c r="Q1122" s="10"/>
      <c r="R1122" s="144"/>
      <c r="S1122" s="144"/>
      <c r="T1122" s="10"/>
      <c r="U1122" s="5"/>
      <c r="V1122" s="3"/>
      <c r="W1122" s="5"/>
      <c r="X1122" s="144"/>
      <c r="Y1122" s="10"/>
      <c r="Z1122" s="3"/>
      <c r="AA1122" s="10"/>
      <c r="AB1122" s="10"/>
      <c r="AC1122" s="181"/>
      <c r="AD1122" s="144"/>
      <c r="AE1122" s="182"/>
      <c r="AF1122" s="10"/>
      <c r="AG1122" s="10"/>
      <c r="AH1122" s="144"/>
      <c r="AI1122" s="3"/>
      <c r="AJ1122" s="10"/>
      <c r="AK1122" s="3"/>
      <c r="AL1122" s="5"/>
      <c r="AM1122" s="5"/>
      <c r="AN1122" s="5"/>
      <c r="AO1122" s="5"/>
      <c r="AP1122" s="5"/>
      <c r="AQ1122" s="5"/>
      <c r="AR1122" s="5"/>
      <c r="AS1122" s="142"/>
      <c r="AT1122" s="142"/>
      <c r="AU1122" s="142"/>
      <c r="AV1122" s="142"/>
      <c r="AW1122" s="142"/>
      <c r="AX1122" s="142"/>
      <c r="AY1122" s="142"/>
      <c r="AZ1122" s="174"/>
      <c r="BA1122" s="142"/>
      <c r="BB1122" s="142"/>
      <c r="BC1122" s="142"/>
      <c r="BD1122" s="142"/>
      <c r="BE1122" s="142"/>
      <c r="BF1122" s="142"/>
      <c r="BG1122" s="142"/>
    </row>
    <row r="1123">
      <c r="A1123" s="5"/>
      <c r="B1123" s="44"/>
      <c r="C1123" s="150"/>
      <c r="D1123" s="3"/>
      <c r="E1123" s="3"/>
      <c r="F1123" s="5"/>
      <c r="G1123" s="5"/>
      <c r="H1123" s="5"/>
      <c r="I1123" s="3"/>
      <c r="J1123" s="3"/>
      <c r="K1123" s="3"/>
      <c r="L1123" s="44"/>
      <c r="M1123" s="150"/>
      <c r="N1123" s="5"/>
      <c r="O1123" s="5"/>
      <c r="P1123" s="10"/>
      <c r="Q1123" s="10"/>
      <c r="R1123" s="144"/>
      <c r="S1123" s="144"/>
      <c r="T1123" s="10"/>
      <c r="U1123" s="5"/>
      <c r="V1123" s="3"/>
      <c r="W1123" s="5"/>
      <c r="X1123" s="144"/>
      <c r="Y1123" s="10"/>
      <c r="Z1123" s="3"/>
      <c r="AA1123" s="10"/>
      <c r="AB1123" s="10"/>
      <c r="AC1123" s="181"/>
      <c r="AD1123" s="144"/>
      <c r="AE1123" s="182"/>
      <c r="AF1123" s="10"/>
      <c r="AG1123" s="10"/>
      <c r="AH1123" s="144"/>
      <c r="AI1123" s="3"/>
      <c r="AJ1123" s="10"/>
      <c r="AK1123" s="3"/>
      <c r="AL1123" s="5"/>
      <c r="AM1123" s="5"/>
      <c r="AN1123" s="5"/>
      <c r="AO1123" s="5"/>
      <c r="AP1123" s="5"/>
      <c r="AQ1123" s="5"/>
      <c r="AR1123" s="5"/>
      <c r="AS1123" s="142"/>
      <c r="AT1123" s="142"/>
      <c r="AU1123" s="142"/>
      <c r="AV1123" s="142"/>
      <c r="AW1123" s="142"/>
      <c r="AX1123" s="142"/>
      <c r="AY1123" s="142"/>
      <c r="AZ1123" s="174"/>
      <c r="BA1123" s="142"/>
      <c r="BB1123" s="142"/>
      <c r="BC1123" s="142"/>
      <c r="BD1123" s="142"/>
      <c r="BE1123" s="142"/>
      <c r="BF1123" s="142"/>
      <c r="BG1123" s="142"/>
    </row>
    <row r="1124">
      <c r="A1124" s="5"/>
      <c r="B1124" s="44"/>
      <c r="C1124" s="150"/>
      <c r="D1124" s="3"/>
      <c r="E1124" s="3"/>
      <c r="F1124" s="5"/>
      <c r="G1124" s="5"/>
      <c r="H1124" s="5"/>
      <c r="I1124" s="3"/>
      <c r="J1124" s="3"/>
      <c r="K1124" s="3"/>
      <c r="L1124" s="44"/>
      <c r="M1124" s="150"/>
      <c r="N1124" s="5"/>
      <c r="O1124" s="5"/>
      <c r="P1124" s="10"/>
      <c r="Q1124" s="10"/>
      <c r="R1124" s="144"/>
      <c r="S1124" s="144"/>
      <c r="T1124" s="10"/>
      <c r="U1124" s="5"/>
      <c r="V1124" s="3"/>
      <c r="W1124" s="5"/>
      <c r="X1124" s="144"/>
      <c r="Y1124" s="10"/>
      <c r="Z1124" s="3"/>
      <c r="AA1124" s="10"/>
      <c r="AB1124" s="10"/>
      <c r="AC1124" s="181"/>
      <c r="AD1124" s="144"/>
      <c r="AE1124" s="182"/>
      <c r="AF1124" s="10"/>
      <c r="AG1124" s="10"/>
      <c r="AH1124" s="144"/>
      <c r="AI1124" s="3"/>
      <c r="AJ1124" s="10"/>
      <c r="AK1124" s="3"/>
      <c r="AL1124" s="5"/>
      <c r="AM1124" s="5"/>
      <c r="AN1124" s="5"/>
      <c r="AO1124" s="5"/>
      <c r="AP1124" s="5"/>
      <c r="AQ1124" s="5"/>
      <c r="AR1124" s="5"/>
      <c r="AS1124" s="142"/>
      <c r="AT1124" s="142"/>
      <c r="AU1124" s="142"/>
      <c r="AV1124" s="142"/>
      <c r="AW1124" s="142"/>
      <c r="AX1124" s="142"/>
      <c r="AY1124" s="142"/>
      <c r="AZ1124" s="174"/>
      <c r="BA1124" s="142"/>
      <c r="BB1124" s="142"/>
      <c r="BC1124" s="142"/>
      <c r="BD1124" s="142"/>
      <c r="BE1124" s="142"/>
      <c r="BF1124" s="142"/>
      <c r="BG1124" s="142"/>
    </row>
    <row r="1125">
      <c r="A1125" s="5"/>
      <c r="B1125" s="44"/>
      <c r="C1125" s="150"/>
      <c r="D1125" s="3"/>
      <c r="E1125" s="3"/>
      <c r="F1125" s="5"/>
      <c r="G1125" s="5"/>
      <c r="H1125" s="5"/>
      <c r="I1125" s="3"/>
      <c r="J1125" s="3"/>
      <c r="K1125" s="3"/>
      <c r="L1125" s="44"/>
      <c r="M1125" s="150"/>
      <c r="N1125" s="5"/>
      <c r="O1125" s="5"/>
      <c r="P1125" s="10"/>
      <c r="Q1125" s="10"/>
      <c r="R1125" s="144"/>
      <c r="S1125" s="144"/>
      <c r="T1125" s="10"/>
      <c r="U1125" s="5"/>
      <c r="V1125" s="3"/>
      <c r="W1125" s="5"/>
      <c r="X1125" s="144"/>
      <c r="Y1125" s="10"/>
      <c r="Z1125" s="3"/>
      <c r="AA1125" s="10"/>
      <c r="AB1125" s="10"/>
      <c r="AC1125" s="181"/>
      <c r="AD1125" s="144"/>
      <c r="AE1125" s="182"/>
      <c r="AF1125" s="10"/>
      <c r="AG1125" s="10"/>
      <c r="AH1125" s="144"/>
      <c r="AI1125" s="3"/>
      <c r="AJ1125" s="10"/>
      <c r="AK1125" s="3"/>
      <c r="AL1125" s="5"/>
      <c r="AM1125" s="5"/>
      <c r="AN1125" s="5"/>
      <c r="AO1125" s="5"/>
      <c r="AP1125" s="5"/>
      <c r="AQ1125" s="5"/>
      <c r="AR1125" s="5"/>
      <c r="AS1125" s="142"/>
      <c r="AT1125" s="142"/>
      <c r="AU1125" s="142"/>
      <c r="AV1125" s="142"/>
      <c r="AW1125" s="142"/>
      <c r="AX1125" s="142"/>
      <c r="AY1125" s="142"/>
      <c r="AZ1125" s="174"/>
      <c r="BA1125" s="142"/>
      <c r="BB1125" s="142"/>
      <c r="BC1125" s="142"/>
      <c r="BD1125" s="142"/>
      <c r="BE1125" s="142"/>
      <c r="BF1125" s="142"/>
      <c r="BG1125" s="142"/>
    </row>
    <row r="1126">
      <c r="A1126" s="5"/>
      <c r="B1126" s="44"/>
      <c r="C1126" s="150"/>
      <c r="D1126" s="3"/>
      <c r="E1126" s="3"/>
      <c r="F1126" s="5"/>
      <c r="G1126" s="5"/>
      <c r="H1126" s="5"/>
      <c r="I1126" s="3"/>
      <c r="J1126" s="3"/>
      <c r="K1126" s="3"/>
      <c r="L1126" s="44"/>
      <c r="M1126" s="150"/>
      <c r="N1126" s="5"/>
      <c r="O1126" s="5"/>
      <c r="P1126" s="10"/>
      <c r="Q1126" s="10"/>
      <c r="R1126" s="144"/>
      <c r="S1126" s="144"/>
      <c r="T1126" s="10"/>
      <c r="U1126" s="5"/>
      <c r="V1126" s="3"/>
      <c r="W1126" s="5"/>
      <c r="X1126" s="144"/>
      <c r="Y1126" s="10"/>
      <c r="Z1126" s="3"/>
      <c r="AA1126" s="10"/>
      <c r="AB1126" s="10"/>
      <c r="AC1126" s="181"/>
      <c r="AD1126" s="144"/>
      <c r="AE1126" s="182"/>
      <c r="AF1126" s="10"/>
      <c r="AG1126" s="10"/>
      <c r="AH1126" s="144"/>
      <c r="AI1126" s="3"/>
      <c r="AJ1126" s="10"/>
      <c r="AK1126" s="3"/>
      <c r="AL1126" s="5"/>
      <c r="AM1126" s="5"/>
      <c r="AN1126" s="5"/>
      <c r="AO1126" s="5"/>
      <c r="AP1126" s="5"/>
      <c r="AQ1126" s="5"/>
      <c r="AR1126" s="5"/>
      <c r="AS1126" s="142"/>
      <c r="AT1126" s="142"/>
      <c r="AU1126" s="142"/>
      <c r="AV1126" s="142"/>
      <c r="AW1126" s="142"/>
      <c r="AX1126" s="142"/>
      <c r="AY1126" s="142"/>
      <c r="AZ1126" s="174"/>
      <c r="BA1126" s="142"/>
      <c r="BB1126" s="142"/>
      <c r="BC1126" s="142"/>
      <c r="BD1126" s="142"/>
      <c r="BE1126" s="142"/>
      <c r="BF1126" s="142"/>
      <c r="BG1126" s="142"/>
    </row>
    <row r="1127">
      <c r="A1127" s="5"/>
      <c r="B1127" s="44"/>
      <c r="C1127" s="150"/>
      <c r="D1127" s="3"/>
      <c r="E1127" s="3"/>
      <c r="F1127" s="5"/>
      <c r="G1127" s="5"/>
      <c r="H1127" s="5"/>
      <c r="I1127" s="3"/>
      <c r="J1127" s="3"/>
      <c r="K1127" s="3"/>
      <c r="L1127" s="44"/>
      <c r="M1127" s="150"/>
      <c r="N1127" s="5"/>
      <c r="O1127" s="5"/>
      <c r="P1127" s="10"/>
      <c r="Q1127" s="10"/>
      <c r="R1127" s="144"/>
      <c r="S1127" s="144"/>
      <c r="T1127" s="10"/>
      <c r="U1127" s="5"/>
      <c r="V1127" s="3"/>
      <c r="W1127" s="5"/>
      <c r="X1127" s="144"/>
      <c r="Y1127" s="10"/>
      <c r="Z1127" s="3"/>
      <c r="AA1127" s="10"/>
      <c r="AB1127" s="10"/>
      <c r="AC1127" s="181"/>
      <c r="AD1127" s="144"/>
      <c r="AE1127" s="182"/>
      <c r="AF1127" s="10"/>
      <c r="AG1127" s="10"/>
      <c r="AH1127" s="144"/>
      <c r="AI1127" s="3"/>
      <c r="AJ1127" s="10"/>
      <c r="AK1127" s="3"/>
      <c r="AL1127" s="5"/>
      <c r="AM1127" s="5"/>
      <c r="AN1127" s="5"/>
      <c r="AO1127" s="5"/>
      <c r="AP1127" s="5"/>
      <c r="AQ1127" s="5"/>
      <c r="AR1127" s="5"/>
      <c r="AS1127" s="142"/>
      <c r="AT1127" s="142"/>
      <c r="AU1127" s="142"/>
      <c r="AV1127" s="142"/>
      <c r="AW1127" s="142"/>
      <c r="AX1127" s="142"/>
      <c r="AY1127" s="142"/>
      <c r="AZ1127" s="174"/>
      <c r="BA1127" s="142"/>
      <c r="BB1127" s="142"/>
      <c r="BC1127" s="142"/>
      <c r="BD1127" s="142"/>
      <c r="BE1127" s="142"/>
      <c r="BF1127" s="142"/>
      <c r="BG1127" s="142"/>
    </row>
    <row r="1128">
      <c r="A1128" s="5"/>
      <c r="B1128" s="44"/>
      <c r="C1128" s="150"/>
      <c r="D1128" s="3"/>
      <c r="E1128" s="3"/>
      <c r="F1128" s="5"/>
      <c r="G1128" s="5"/>
      <c r="H1128" s="5"/>
      <c r="I1128" s="3"/>
      <c r="J1128" s="3"/>
      <c r="K1128" s="3"/>
      <c r="L1128" s="44"/>
      <c r="M1128" s="150"/>
      <c r="N1128" s="5"/>
      <c r="O1128" s="5"/>
      <c r="P1128" s="10"/>
      <c r="Q1128" s="10"/>
      <c r="R1128" s="144"/>
      <c r="S1128" s="144"/>
      <c r="T1128" s="10"/>
      <c r="U1128" s="5"/>
      <c r="V1128" s="3"/>
      <c r="W1128" s="5"/>
      <c r="X1128" s="144"/>
      <c r="Y1128" s="10"/>
      <c r="Z1128" s="3"/>
      <c r="AA1128" s="10"/>
      <c r="AB1128" s="10"/>
      <c r="AC1128" s="181"/>
      <c r="AD1128" s="144"/>
      <c r="AE1128" s="182"/>
      <c r="AF1128" s="10"/>
      <c r="AG1128" s="10"/>
      <c r="AH1128" s="144"/>
      <c r="AI1128" s="3"/>
      <c r="AJ1128" s="10"/>
      <c r="AK1128" s="3"/>
      <c r="AL1128" s="5"/>
      <c r="AM1128" s="5"/>
      <c r="AN1128" s="5"/>
      <c r="AO1128" s="5"/>
      <c r="AP1128" s="5"/>
      <c r="AQ1128" s="5"/>
      <c r="AR1128" s="5"/>
      <c r="AS1128" s="142"/>
      <c r="AT1128" s="142"/>
      <c r="AU1128" s="142"/>
      <c r="AV1128" s="142"/>
      <c r="AW1128" s="142"/>
      <c r="AX1128" s="142"/>
      <c r="AY1128" s="142"/>
      <c r="AZ1128" s="174"/>
      <c r="BA1128" s="142"/>
      <c r="BB1128" s="142"/>
      <c r="BC1128" s="142"/>
      <c r="BD1128" s="142"/>
      <c r="BE1128" s="142"/>
      <c r="BF1128" s="142"/>
      <c r="BG1128" s="142"/>
    </row>
    <row r="1129">
      <c r="A1129" s="5"/>
      <c r="B1129" s="44"/>
      <c r="C1129" s="150"/>
      <c r="D1129" s="3"/>
      <c r="E1129" s="3"/>
      <c r="F1129" s="5"/>
      <c r="G1129" s="5"/>
      <c r="H1129" s="5"/>
      <c r="I1129" s="3"/>
      <c r="J1129" s="3"/>
      <c r="K1129" s="3"/>
      <c r="L1129" s="44"/>
      <c r="M1129" s="150"/>
      <c r="N1129" s="5"/>
      <c r="O1129" s="5"/>
      <c r="P1129" s="10"/>
      <c r="Q1129" s="10"/>
      <c r="R1129" s="144"/>
      <c r="S1129" s="144"/>
      <c r="T1129" s="10"/>
      <c r="U1129" s="5"/>
      <c r="V1129" s="3"/>
      <c r="W1129" s="5"/>
      <c r="X1129" s="144"/>
      <c r="Y1129" s="10"/>
      <c r="Z1129" s="3"/>
      <c r="AA1129" s="10"/>
      <c r="AB1129" s="10"/>
      <c r="AC1129" s="181"/>
      <c r="AD1129" s="144"/>
      <c r="AE1129" s="182"/>
      <c r="AF1129" s="10"/>
      <c r="AG1129" s="10"/>
      <c r="AH1129" s="144"/>
      <c r="AI1129" s="3"/>
      <c r="AJ1129" s="10"/>
      <c r="AK1129" s="3"/>
      <c r="AL1129" s="5"/>
      <c r="AM1129" s="5"/>
      <c r="AN1129" s="5"/>
      <c r="AO1129" s="5"/>
      <c r="AP1129" s="5"/>
      <c r="AQ1129" s="5"/>
      <c r="AR1129" s="5"/>
      <c r="AS1129" s="142"/>
      <c r="AT1129" s="142"/>
      <c r="AU1129" s="142"/>
      <c r="AV1129" s="142"/>
      <c r="AW1129" s="142"/>
      <c r="AX1129" s="142"/>
      <c r="AY1129" s="142"/>
      <c r="AZ1129" s="174"/>
      <c r="BA1129" s="142"/>
      <c r="BB1129" s="142"/>
      <c r="BC1129" s="142"/>
      <c r="BD1129" s="142"/>
      <c r="BE1129" s="142"/>
      <c r="BF1129" s="142"/>
      <c r="BG1129" s="142"/>
    </row>
    <row r="1130">
      <c r="A1130" s="5"/>
      <c r="B1130" s="44"/>
      <c r="C1130" s="150"/>
      <c r="D1130" s="3"/>
      <c r="E1130" s="3"/>
      <c r="F1130" s="5"/>
      <c r="G1130" s="5"/>
      <c r="H1130" s="5"/>
      <c r="I1130" s="3"/>
      <c r="J1130" s="3"/>
      <c r="K1130" s="3"/>
      <c r="L1130" s="44"/>
      <c r="M1130" s="150"/>
      <c r="N1130" s="5"/>
      <c r="O1130" s="5"/>
      <c r="P1130" s="10"/>
      <c r="Q1130" s="10"/>
      <c r="R1130" s="144"/>
      <c r="S1130" s="144"/>
      <c r="T1130" s="10"/>
      <c r="U1130" s="5"/>
      <c r="V1130" s="3"/>
      <c r="W1130" s="5"/>
      <c r="X1130" s="144"/>
      <c r="Y1130" s="10"/>
      <c r="Z1130" s="3"/>
      <c r="AA1130" s="10"/>
      <c r="AB1130" s="10"/>
      <c r="AC1130" s="181"/>
      <c r="AD1130" s="144"/>
      <c r="AE1130" s="182"/>
      <c r="AF1130" s="10"/>
      <c r="AG1130" s="10"/>
      <c r="AH1130" s="144"/>
      <c r="AI1130" s="3"/>
      <c r="AJ1130" s="10"/>
      <c r="AK1130" s="3"/>
      <c r="AL1130" s="5"/>
      <c r="AM1130" s="5"/>
      <c r="AN1130" s="5"/>
      <c r="AO1130" s="5"/>
      <c r="AP1130" s="5"/>
      <c r="AQ1130" s="5"/>
      <c r="AR1130" s="5"/>
      <c r="AS1130" s="142"/>
      <c r="AT1130" s="142"/>
      <c r="AU1130" s="142"/>
      <c r="AV1130" s="142"/>
      <c r="AW1130" s="142"/>
      <c r="AX1130" s="142"/>
      <c r="AY1130" s="142"/>
      <c r="AZ1130" s="174"/>
      <c r="BA1130" s="142"/>
      <c r="BB1130" s="142"/>
      <c r="BC1130" s="142"/>
      <c r="BD1130" s="142"/>
      <c r="BE1130" s="142"/>
      <c r="BF1130" s="142"/>
      <c r="BG1130" s="142"/>
    </row>
    <row r="1131">
      <c r="A1131" s="5"/>
      <c r="B1131" s="44"/>
      <c r="C1131" s="150"/>
      <c r="D1131" s="3"/>
      <c r="E1131" s="3"/>
      <c r="F1131" s="5"/>
      <c r="G1131" s="5"/>
      <c r="H1131" s="5"/>
      <c r="I1131" s="3"/>
      <c r="J1131" s="3"/>
      <c r="K1131" s="3"/>
      <c r="L1131" s="44"/>
      <c r="M1131" s="150"/>
      <c r="N1131" s="5"/>
      <c r="O1131" s="5"/>
      <c r="P1131" s="10"/>
      <c r="Q1131" s="10"/>
      <c r="R1131" s="144"/>
      <c r="S1131" s="144"/>
      <c r="T1131" s="10"/>
      <c r="U1131" s="5"/>
      <c r="V1131" s="3"/>
      <c r="W1131" s="5"/>
      <c r="X1131" s="144"/>
      <c r="Y1131" s="10"/>
      <c r="Z1131" s="3"/>
      <c r="AA1131" s="10"/>
      <c r="AB1131" s="10"/>
      <c r="AC1131" s="181"/>
      <c r="AD1131" s="144"/>
      <c r="AE1131" s="182"/>
      <c r="AF1131" s="10"/>
      <c r="AG1131" s="10"/>
      <c r="AH1131" s="144"/>
      <c r="AI1131" s="3"/>
      <c r="AJ1131" s="10"/>
      <c r="AK1131" s="3"/>
      <c r="AL1131" s="5"/>
      <c r="AM1131" s="5"/>
      <c r="AN1131" s="5"/>
      <c r="AO1131" s="5"/>
      <c r="AP1131" s="5"/>
      <c r="AQ1131" s="5"/>
      <c r="AR1131" s="5"/>
      <c r="AS1131" s="142"/>
      <c r="AT1131" s="142"/>
      <c r="AU1131" s="142"/>
      <c r="AV1131" s="142"/>
      <c r="AW1131" s="142"/>
      <c r="AX1131" s="142"/>
      <c r="AY1131" s="142"/>
      <c r="AZ1131" s="174"/>
      <c r="BA1131" s="142"/>
      <c r="BB1131" s="142"/>
      <c r="BC1131" s="142"/>
      <c r="BD1131" s="142"/>
      <c r="BE1131" s="142"/>
      <c r="BF1131" s="142"/>
      <c r="BG1131" s="142"/>
    </row>
    <row r="1132">
      <c r="A1132" s="5"/>
      <c r="B1132" s="44"/>
      <c r="C1132" s="150"/>
      <c r="D1132" s="3"/>
      <c r="E1132" s="3"/>
      <c r="F1132" s="5"/>
      <c r="G1132" s="5"/>
      <c r="H1132" s="5"/>
      <c r="I1132" s="3"/>
      <c r="J1132" s="3"/>
      <c r="K1132" s="3"/>
      <c r="L1132" s="44"/>
      <c r="M1132" s="150"/>
      <c r="N1132" s="5"/>
      <c r="O1132" s="5"/>
      <c r="P1132" s="10"/>
      <c r="Q1132" s="10"/>
      <c r="R1132" s="144"/>
      <c r="S1132" s="144"/>
      <c r="T1132" s="10"/>
      <c r="U1132" s="5"/>
      <c r="V1132" s="3"/>
      <c r="W1132" s="5"/>
      <c r="X1132" s="144"/>
      <c r="Y1132" s="10"/>
      <c r="Z1132" s="3"/>
      <c r="AA1132" s="10"/>
      <c r="AB1132" s="10"/>
      <c r="AC1132" s="181"/>
      <c r="AD1132" s="144"/>
      <c r="AE1132" s="182"/>
      <c r="AF1132" s="10"/>
      <c r="AG1132" s="10"/>
      <c r="AH1132" s="144"/>
      <c r="AI1132" s="3"/>
      <c r="AJ1132" s="10"/>
      <c r="AK1132" s="3"/>
      <c r="AL1132" s="5"/>
      <c r="AM1132" s="5"/>
      <c r="AN1132" s="5"/>
      <c r="AO1132" s="5"/>
      <c r="AP1132" s="5"/>
      <c r="AQ1132" s="5"/>
      <c r="AR1132" s="5"/>
      <c r="AS1132" s="142"/>
      <c r="AT1132" s="142"/>
      <c r="AU1132" s="142"/>
      <c r="AV1132" s="142"/>
      <c r="AW1132" s="142"/>
      <c r="AX1132" s="142"/>
      <c r="AY1132" s="142"/>
      <c r="AZ1132" s="174"/>
      <c r="BA1132" s="142"/>
      <c r="BB1132" s="142"/>
      <c r="BC1132" s="142"/>
      <c r="BD1132" s="142"/>
      <c r="BE1132" s="142"/>
      <c r="BF1132" s="142"/>
      <c r="BG1132" s="142"/>
    </row>
    <row r="1133">
      <c r="A1133" s="5"/>
      <c r="B1133" s="44"/>
      <c r="C1133" s="150"/>
      <c r="D1133" s="3"/>
      <c r="E1133" s="3"/>
      <c r="F1133" s="5"/>
      <c r="G1133" s="5"/>
      <c r="H1133" s="5"/>
      <c r="I1133" s="3"/>
      <c r="J1133" s="3"/>
      <c r="K1133" s="3"/>
      <c r="L1133" s="44"/>
      <c r="M1133" s="150"/>
      <c r="N1133" s="5"/>
      <c r="O1133" s="5"/>
      <c r="P1133" s="10"/>
      <c r="Q1133" s="10"/>
      <c r="R1133" s="144"/>
      <c r="S1133" s="144"/>
      <c r="T1133" s="10"/>
      <c r="U1133" s="5"/>
      <c r="V1133" s="3"/>
      <c r="W1133" s="5"/>
      <c r="X1133" s="144"/>
      <c r="Y1133" s="10"/>
      <c r="Z1133" s="3"/>
      <c r="AA1133" s="10"/>
      <c r="AB1133" s="10"/>
      <c r="AC1133" s="181"/>
      <c r="AD1133" s="144"/>
      <c r="AE1133" s="182"/>
      <c r="AF1133" s="10"/>
      <c r="AG1133" s="10"/>
      <c r="AH1133" s="144"/>
      <c r="AI1133" s="3"/>
      <c r="AJ1133" s="10"/>
      <c r="AK1133" s="3"/>
      <c r="AL1133" s="5"/>
      <c r="AM1133" s="5"/>
      <c r="AN1133" s="5"/>
      <c r="AO1133" s="5"/>
      <c r="AP1133" s="5"/>
      <c r="AQ1133" s="5"/>
      <c r="AR1133" s="5"/>
      <c r="AS1133" s="142"/>
      <c r="AT1133" s="142"/>
      <c r="AU1133" s="142"/>
      <c r="AV1133" s="142"/>
      <c r="AW1133" s="142"/>
      <c r="AX1133" s="142"/>
      <c r="AY1133" s="142"/>
      <c r="AZ1133" s="174"/>
      <c r="BA1133" s="142"/>
      <c r="BB1133" s="142"/>
      <c r="BC1133" s="142"/>
      <c r="BD1133" s="142"/>
      <c r="BE1133" s="142"/>
      <c r="BF1133" s="142"/>
      <c r="BG1133" s="142"/>
    </row>
    <row r="1134">
      <c r="A1134" s="5"/>
      <c r="B1134" s="44"/>
      <c r="C1134" s="150"/>
      <c r="D1134" s="3"/>
      <c r="E1134" s="3"/>
      <c r="F1134" s="5"/>
      <c r="G1134" s="5"/>
      <c r="H1134" s="5"/>
      <c r="I1134" s="3"/>
      <c r="J1134" s="3"/>
      <c r="K1134" s="3"/>
      <c r="L1134" s="44"/>
      <c r="M1134" s="150"/>
      <c r="N1134" s="5"/>
      <c r="O1134" s="5"/>
      <c r="P1134" s="10"/>
      <c r="Q1134" s="10"/>
      <c r="R1134" s="144"/>
      <c r="S1134" s="144"/>
      <c r="T1134" s="10"/>
      <c r="U1134" s="5"/>
      <c r="V1134" s="3"/>
      <c r="W1134" s="5"/>
      <c r="X1134" s="144"/>
      <c r="Y1134" s="10"/>
      <c r="Z1134" s="3"/>
      <c r="AA1134" s="10"/>
      <c r="AB1134" s="10"/>
      <c r="AC1134" s="181"/>
      <c r="AD1134" s="144"/>
      <c r="AE1134" s="182"/>
      <c r="AF1134" s="10"/>
      <c r="AG1134" s="10"/>
      <c r="AH1134" s="144"/>
      <c r="AI1134" s="3"/>
      <c r="AJ1134" s="10"/>
      <c r="AK1134" s="3"/>
      <c r="AL1134" s="5"/>
      <c r="AM1134" s="5"/>
      <c r="AN1134" s="5"/>
      <c r="AO1134" s="5"/>
      <c r="AP1134" s="5"/>
      <c r="AQ1134" s="5"/>
      <c r="AR1134" s="5"/>
      <c r="AS1134" s="142"/>
      <c r="AT1134" s="142"/>
      <c r="AU1134" s="142"/>
      <c r="AV1134" s="142"/>
      <c r="AW1134" s="142"/>
      <c r="AX1134" s="142"/>
      <c r="AY1134" s="142"/>
      <c r="AZ1134" s="174"/>
      <c r="BA1134" s="142"/>
      <c r="BB1134" s="142"/>
      <c r="BC1134" s="142"/>
      <c r="BD1134" s="142"/>
      <c r="BE1134" s="142"/>
      <c r="BF1134" s="142"/>
      <c r="BG1134" s="142"/>
    </row>
    <row r="1135">
      <c r="A1135" s="5"/>
      <c r="B1135" s="44"/>
      <c r="C1135" s="150"/>
      <c r="D1135" s="3"/>
      <c r="E1135" s="3"/>
      <c r="F1135" s="5"/>
      <c r="G1135" s="5"/>
      <c r="H1135" s="5"/>
      <c r="I1135" s="3"/>
      <c r="J1135" s="3"/>
      <c r="K1135" s="3"/>
      <c r="L1135" s="44"/>
      <c r="M1135" s="150"/>
      <c r="N1135" s="5"/>
      <c r="O1135" s="5"/>
      <c r="P1135" s="10"/>
      <c r="Q1135" s="10"/>
      <c r="R1135" s="144"/>
      <c r="S1135" s="144"/>
      <c r="T1135" s="10"/>
      <c r="U1135" s="5"/>
      <c r="V1135" s="3"/>
      <c r="W1135" s="5"/>
      <c r="X1135" s="144"/>
      <c r="Y1135" s="10"/>
      <c r="Z1135" s="3"/>
      <c r="AA1135" s="10"/>
      <c r="AB1135" s="10"/>
      <c r="AC1135" s="181"/>
      <c r="AD1135" s="144"/>
      <c r="AE1135" s="182"/>
      <c r="AF1135" s="10"/>
      <c r="AG1135" s="10"/>
      <c r="AH1135" s="144"/>
      <c r="AI1135" s="3"/>
      <c r="AJ1135" s="10"/>
      <c r="AK1135" s="3"/>
      <c r="AL1135" s="5"/>
      <c r="AM1135" s="5"/>
      <c r="AN1135" s="5"/>
      <c r="AO1135" s="5"/>
      <c r="AP1135" s="5"/>
      <c r="AQ1135" s="5"/>
      <c r="AR1135" s="5"/>
      <c r="AS1135" s="142"/>
      <c r="AT1135" s="142"/>
      <c r="AU1135" s="142"/>
      <c r="AV1135" s="142"/>
      <c r="AW1135" s="142"/>
      <c r="AX1135" s="142"/>
      <c r="AY1135" s="142"/>
      <c r="AZ1135" s="174"/>
      <c r="BA1135" s="142"/>
      <c r="BB1135" s="142"/>
      <c r="BC1135" s="142"/>
      <c r="BD1135" s="142"/>
      <c r="BE1135" s="142"/>
      <c r="BF1135" s="142"/>
      <c r="BG1135" s="142"/>
    </row>
    <row r="1136">
      <c r="A1136" s="5"/>
      <c r="B1136" s="44"/>
      <c r="C1136" s="150"/>
      <c r="D1136" s="3"/>
      <c r="E1136" s="3"/>
      <c r="F1136" s="5"/>
      <c r="G1136" s="5"/>
      <c r="H1136" s="5"/>
      <c r="I1136" s="3"/>
      <c r="J1136" s="3"/>
      <c r="K1136" s="3"/>
      <c r="L1136" s="44"/>
      <c r="M1136" s="150"/>
      <c r="N1136" s="5"/>
      <c r="O1136" s="5"/>
      <c r="P1136" s="10"/>
      <c r="Q1136" s="10"/>
      <c r="R1136" s="144"/>
      <c r="S1136" s="144"/>
      <c r="T1136" s="10"/>
      <c r="U1136" s="5"/>
      <c r="V1136" s="3"/>
      <c r="W1136" s="5"/>
      <c r="X1136" s="144"/>
      <c r="Y1136" s="10"/>
      <c r="Z1136" s="3"/>
      <c r="AA1136" s="10"/>
      <c r="AB1136" s="10"/>
      <c r="AC1136" s="181"/>
      <c r="AD1136" s="144"/>
      <c r="AE1136" s="182"/>
      <c r="AF1136" s="10"/>
      <c r="AG1136" s="10"/>
      <c r="AH1136" s="144"/>
      <c r="AI1136" s="3"/>
      <c r="AJ1136" s="10"/>
      <c r="AK1136" s="3"/>
      <c r="AL1136" s="5"/>
      <c r="AM1136" s="5"/>
      <c r="AN1136" s="5"/>
      <c r="AO1136" s="5"/>
      <c r="AP1136" s="5"/>
      <c r="AQ1136" s="5"/>
      <c r="AR1136" s="5"/>
      <c r="AS1136" s="142"/>
      <c r="AT1136" s="142"/>
      <c r="AU1136" s="142"/>
      <c r="AV1136" s="142"/>
      <c r="AW1136" s="142"/>
      <c r="AX1136" s="142"/>
      <c r="AY1136" s="142"/>
      <c r="AZ1136" s="174"/>
      <c r="BA1136" s="142"/>
      <c r="BB1136" s="142"/>
      <c r="BC1136" s="142"/>
      <c r="BD1136" s="142"/>
      <c r="BE1136" s="142"/>
      <c r="BF1136" s="142"/>
      <c r="BG1136" s="142"/>
    </row>
    <row r="1137">
      <c r="A1137" s="5"/>
      <c r="B1137" s="44"/>
      <c r="C1137" s="150"/>
      <c r="D1137" s="3"/>
      <c r="E1137" s="3"/>
      <c r="F1137" s="5"/>
      <c r="G1137" s="5"/>
      <c r="H1137" s="5"/>
      <c r="I1137" s="3"/>
      <c r="J1137" s="3"/>
      <c r="K1137" s="3"/>
      <c r="L1137" s="44"/>
      <c r="M1137" s="150"/>
      <c r="N1137" s="5"/>
      <c r="O1137" s="5"/>
      <c r="P1137" s="10"/>
      <c r="Q1137" s="10"/>
      <c r="R1137" s="144"/>
      <c r="S1137" s="144"/>
      <c r="T1137" s="10"/>
      <c r="U1137" s="5"/>
      <c r="V1137" s="3"/>
      <c r="W1137" s="5"/>
      <c r="X1137" s="144"/>
      <c r="Y1137" s="10"/>
      <c r="Z1137" s="3"/>
      <c r="AA1137" s="10"/>
      <c r="AB1137" s="10"/>
      <c r="AC1137" s="181"/>
      <c r="AD1137" s="144"/>
      <c r="AE1137" s="182"/>
      <c r="AF1137" s="10"/>
      <c r="AG1137" s="10"/>
      <c r="AH1137" s="144"/>
      <c r="AI1137" s="3"/>
      <c r="AJ1137" s="10"/>
      <c r="AK1137" s="3"/>
      <c r="AL1137" s="5"/>
      <c r="AM1137" s="5"/>
      <c r="AN1137" s="5"/>
      <c r="AO1137" s="5"/>
      <c r="AP1137" s="5"/>
      <c r="AQ1137" s="5"/>
      <c r="AR1137" s="5"/>
      <c r="AS1137" s="142"/>
      <c r="AT1137" s="142"/>
      <c r="AU1137" s="142"/>
      <c r="AV1137" s="142"/>
      <c r="AW1137" s="142"/>
      <c r="AX1137" s="142"/>
      <c r="AY1137" s="142"/>
      <c r="AZ1137" s="174"/>
      <c r="BA1137" s="142"/>
      <c r="BB1137" s="142"/>
      <c r="BC1137" s="142"/>
      <c r="BD1137" s="142"/>
      <c r="BE1137" s="142"/>
      <c r="BF1137" s="142"/>
      <c r="BG1137" s="142"/>
    </row>
    <row r="1138">
      <c r="A1138" s="5"/>
      <c r="B1138" s="44"/>
      <c r="C1138" s="150"/>
      <c r="D1138" s="3"/>
      <c r="E1138" s="3"/>
      <c r="F1138" s="5"/>
      <c r="G1138" s="5"/>
      <c r="H1138" s="5"/>
      <c r="I1138" s="3"/>
      <c r="J1138" s="3"/>
      <c r="K1138" s="3"/>
      <c r="L1138" s="44"/>
      <c r="M1138" s="150"/>
      <c r="N1138" s="5"/>
      <c r="O1138" s="5"/>
      <c r="P1138" s="10"/>
      <c r="Q1138" s="10"/>
      <c r="R1138" s="144"/>
      <c r="S1138" s="144"/>
      <c r="T1138" s="10"/>
      <c r="U1138" s="5"/>
      <c r="V1138" s="3"/>
      <c r="W1138" s="5"/>
      <c r="X1138" s="144"/>
      <c r="Y1138" s="10"/>
      <c r="Z1138" s="3"/>
      <c r="AA1138" s="10"/>
      <c r="AB1138" s="10"/>
      <c r="AC1138" s="181"/>
      <c r="AD1138" s="144"/>
      <c r="AE1138" s="182"/>
      <c r="AF1138" s="10"/>
      <c r="AG1138" s="10"/>
      <c r="AH1138" s="144"/>
      <c r="AI1138" s="3"/>
      <c r="AJ1138" s="10"/>
      <c r="AK1138" s="3"/>
      <c r="AL1138" s="5"/>
      <c r="AM1138" s="5"/>
      <c r="AN1138" s="5"/>
      <c r="AO1138" s="5"/>
      <c r="AP1138" s="5"/>
      <c r="AQ1138" s="5"/>
      <c r="AR1138" s="5"/>
      <c r="AS1138" s="142"/>
      <c r="AT1138" s="142"/>
      <c r="AU1138" s="142"/>
      <c r="AV1138" s="142"/>
      <c r="AW1138" s="142"/>
      <c r="AX1138" s="142"/>
      <c r="AY1138" s="142"/>
      <c r="AZ1138" s="174"/>
      <c r="BA1138" s="142"/>
      <c r="BB1138" s="142"/>
      <c r="BC1138" s="142"/>
      <c r="BD1138" s="142"/>
      <c r="BE1138" s="142"/>
      <c r="BF1138" s="142"/>
      <c r="BG1138" s="142"/>
    </row>
    <row r="1139">
      <c r="A1139" s="5"/>
      <c r="B1139" s="44"/>
      <c r="C1139" s="150"/>
      <c r="D1139" s="3"/>
      <c r="E1139" s="3"/>
      <c r="F1139" s="5"/>
      <c r="G1139" s="5"/>
      <c r="H1139" s="5"/>
      <c r="I1139" s="3"/>
      <c r="J1139" s="3"/>
      <c r="K1139" s="3"/>
      <c r="L1139" s="44"/>
      <c r="M1139" s="150"/>
      <c r="N1139" s="5"/>
      <c r="O1139" s="5"/>
      <c r="P1139" s="10"/>
      <c r="Q1139" s="10"/>
      <c r="R1139" s="144"/>
      <c r="S1139" s="144"/>
      <c r="T1139" s="10"/>
      <c r="U1139" s="5"/>
      <c r="V1139" s="3"/>
      <c r="W1139" s="5"/>
      <c r="X1139" s="144"/>
      <c r="Y1139" s="10"/>
      <c r="Z1139" s="3"/>
      <c r="AA1139" s="10"/>
      <c r="AB1139" s="10"/>
      <c r="AC1139" s="181"/>
      <c r="AD1139" s="144"/>
      <c r="AE1139" s="182"/>
      <c r="AF1139" s="10"/>
      <c r="AG1139" s="10"/>
      <c r="AH1139" s="144"/>
      <c r="AI1139" s="3"/>
      <c r="AJ1139" s="10"/>
      <c r="AK1139" s="3"/>
      <c r="AL1139" s="5"/>
      <c r="AM1139" s="5"/>
      <c r="AN1139" s="5"/>
      <c r="AO1139" s="5"/>
      <c r="AP1139" s="5"/>
      <c r="AQ1139" s="5"/>
      <c r="AR1139" s="5"/>
      <c r="AS1139" s="142"/>
      <c r="AT1139" s="142"/>
      <c r="AU1139" s="142"/>
      <c r="AV1139" s="142"/>
      <c r="AW1139" s="142"/>
      <c r="AX1139" s="142"/>
      <c r="AY1139" s="142"/>
      <c r="AZ1139" s="174"/>
      <c r="BA1139" s="142"/>
      <c r="BB1139" s="142"/>
      <c r="BC1139" s="142"/>
      <c r="BD1139" s="142"/>
      <c r="BE1139" s="142"/>
      <c r="BF1139" s="142"/>
      <c r="BG1139" s="142"/>
    </row>
    <row r="1140">
      <c r="A1140" s="5"/>
      <c r="B1140" s="44"/>
      <c r="C1140" s="150"/>
      <c r="D1140" s="3"/>
      <c r="E1140" s="3"/>
      <c r="F1140" s="5"/>
      <c r="G1140" s="5"/>
      <c r="H1140" s="5"/>
      <c r="I1140" s="3"/>
      <c r="J1140" s="3"/>
      <c r="K1140" s="3"/>
      <c r="L1140" s="44"/>
      <c r="M1140" s="150"/>
      <c r="N1140" s="5"/>
      <c r="O1140" s="5"/>
      <c r="P1140" s="10"/>
      <c r="Q1140" s="10"/>
      <c r="R1140" s="144"/>
      <c r="S1140" s="144"/>
      <c r="T1140" s="10"/>
      <c r="U1140" s="5"/>
      <c r="V1140" s="3"/>
      <c r="W1140" s="5"/>
      <c r="X1140" s="144"/>
      <c r="Y1140" s="10"/>
      <c r="Z1140" s="3"/>
      <c r="AA1140" s="10"/>
      <c r="AB1140" s="10"/>
      <c r="AC1140" s="181"/>
      <c r="AD1140" s="144"/>
      <c r="AE1140" s="182"/>
      <c r="AF1140" s="10"/>
      <c r="AG1140" s="10"/>
      <c r="AH1140" s="144"/>
      <c r="AI1140" s="3"/>
      <c r="AJ1140" s="10"/>
      <c r="AK1140" s="3"/>
      <c r="AL1140" s="5"/>
      <c r="AM1140" s="5"/>
      <c r="AN1140" s="5"/>
      <c r="AO1140" s="5"/>
      <c r="AP1140" s="5"/>
      <c r="AQ1140" s="5"/>
      <c r="AR1140" s="5"/>
      <c r="AS1140" s="142"/>
      <c r="AT1140" s="142"/>
      <c r="AU1140" s="142"/>
      <c r="AV1140" s="142"/>
      <c r="AW1140" s="142"/>
      <c r="AX1140" s="142"/>
      <c r="AY1140" s="142"/>
      <c r="AZ1140" s="174"/>
      <c r="BA1140" s="142"/>
      <c r="BB1140" s="142"/>
      <c r="BC1140" s="142"/>
      <c r="BD1140" s="142"/>
      <c r="BE1140" s="142"/>
      <c r="BF1140" s="142"/>
      <c r="BG1140" s="142"/>
    </row>
    <row r="1141">
      <c r="A1141" s="5"/>
      <c r="B1141" s="44"/>
      <c r="C1141" s="150"/>
      <c r="D1141" s="3"/>
      <c r="E1141" s="3"/>
      <c r="F1141" s="5"/>
      <c r="G1141" s="5"/>
      <c r="H1141" s="5"/>
      <c r="I1141" s="3"/>
      <c r="J1141" s="3"/>
      <c r="K1141" s="3"/>
      <c r="L1141" s="44"/>
      <c r="M1141" s="150"/>
      <c r="N1141" s="5"/>
      <c r="O1141" s="5"/>
      <c r="P1141" s="10"/>
      <c r="Q1141" s="10"/>
      <c r="R1141" s="144"/>
      <c r="S1141" s="144"/>
      <c r="T1141" s="10"/>
      <c r="U1141" s="5"/>
      <c r="V1141" s="3"/>
      <c r="W1141" s="5"/>
      <c r="X1141" s="144"/>
      <c r="Y1141" s="10"/>
      <c r="Z1141" s="3"/>
      <c r="AA1141" s="10"/>
      <c r="AB1141" s="10"/>
      <c r="AC1141" s="181"/>
      <c r="AD1141" s="144"/>
      <c r="AE1141" s="182"/>
      <c r="AF1141" s="10"/>
      <c r="AG1141" s="10"/>
      <c r="AH1141" s="144"/>
      <c r="AI1141" s="3"/>
      <c r="AJ1141" s="10"/>
      <c r="AK1141" s="3"/>
      <c r="AL1141" s="5"/>
      <c r="AM1141" s="5"/>
      <c r="AN1141" s="5"/>
      <c r="AO1141" s="5"/>
      <c r="AP1141" s="5"/>
      <c r="AQ1141" s="5"/>
      <c r="AR1141" s="5"/>
      <c r="AS1141" s="142"/>
      <c r="AT1141" s="142"/>
      <c r="AU1141" s="142"/>
      <c r="AV1141" s="142"/>
      <c r="AW1141" s="142"/>
      <c r="AX1141" s="142"/>
      <c r="AY1141" s="142"/>
      <c r="AZ1141" s="174"/>
      <c r="BA1141" s="142"/>
      <c r="BB1141" s="142"/>
      <c r="BC1141" s="142"/>
      <c r="BD1141" s="142"/>
      <c r="BE1141" s="142"/>
      <c r="BF1141" s="142"/>
      <c r="BG1141" s="142"/>
    </row>
    <row r="1142">
      <c r="A1142" s="5"/>
      <c r="B1142" s="44"/>
      <c r="C1142" s="150"/>
      <c r="D1142" s="3"/>
      <c r="E1142" s="3"/>
      <c r="F1142" s="5"/>
      <c r="G1142" s="5"/>
      <c r="H1142" s="5"/>
      <c r="I1142" s="3"/>
      <c r="J1142" s="3"/>
      <c r="K1142" s="3"/>
      <c r="L1142" s="44"/>
      <c r="M1142" s="150"/>
      <c r="N1142" s="5"/>
      <c r="O1142" s="5"/>
      <c r="P1142" s="10"/>
      <c r="Q1142" s="10"/>
      <c r="R1142" s="144"/>
      <c r="S1142" s="144"/>
      <c r="T1142" s="10"/>
      <c r="U1142" s="5"/>
      <c r="V1142" s="3"/>
      <c r="W1142" s="5"/>
      <c r="X1142" s="144"/>
      <c r="Y1142" s="10"/>
      <c r="Z1142" s="3"/>
      <c r="AA1142" s="10"/>
      <c r="AB1142" s="10"/>
      <c r="AC1142" s="181"/>
      <c r="AD1142" s="144"/>
      <c r="AE1142" s="182"/>
      <c r="AF1142" s="10"/>
      <c r="AG1142" s="10"/>
      <c r="AH1142" s="144"/>
      <c r="AI1142" s="3"/>
      <c r="AJ1142" s="10"/>
      <c r="AK1142" s="3"/>
      <c r="AL1142" s="5"/>
      <c r="AM1142" s="5"/>
      <c r="AN1142" s="5"/>
      <c r="AO1142" s="5"/>
      <c r="AP1142" s="5"/>
      <c r="AQ1142" s="5"/>
      <c r="AR1142" s="5"/>
      <c r="AS1142" s="142"/>
      <c r="AT1142" s="142"/>
      <c r="AU1142" s="142"/>
      <c r="AV1142" s="142"/>
      <c r="AW1142" s="142"/>
      <c r="AX1142" s="142"/>
      <c r="AY1142" s="142"/>
      <c r="AZ1142" s="174"/>
      <c r="BA1142" s="142"/>
      <c r="BB1142" s="142"/>
      <c r="BC1142" s="142"/>
      <c r="BD1142" s="142"/>
      <c r="BE1142" s="142"/>
      <c r="BF1142" s="142"/>
      <c r="BG1142" s="142"/>
    </row>
    <row r="1143">
      <c r="A1143" s="5"/>
      <c r="B1143" s="44"/>
      <c r="C1143" s="150"/>
      <c r="D1143" s="3"/>
      <c r="E1143" s="3"/>
      <c r="F1143" s="5"/>
      <c r="G1143" s="5"/>
      <c r="H1143" s="5"/>
      <c r="I1143" s="3"/>
      <c r="J1143" s="3"/>
      <c r="K1143" s="3"/>
      <c r="L1143" s="44"/>
      <c r="M1143" s="150"/>
      <c r="N1143" s="5"/>
      <c r="O1143" s="5"/>
      <c r="P1143" s="10"/>
      <c r="Q1143" s="10"/>
      <c r="R1143" s="144"/>
      <c r="S1143" s="144"/>
      <c r="T1143" s="10"/>
      <c r="U1143" s="5"/>
      <c r="V1143" s="3"/>
      <c r="W1143" s="5"/>
      <c r="X1143" s="144"/>
      <c r="Y1143" s="10"/>
      <c r="Z1143" s="3"/>
      <c r="AA1143" s="10"/>
      <c r="AB1143" s="10"/>
      <c r="AC1143" s="181"/>
      <c r="AD1143" s="144"/>
      <c r="AE1143" s="182"/>
      <c r="AF1143" s="10"/>
      <c r="AG1143" s="10"/>
      <c r="AH1143" s="144"/>
      <c r="AI1143" s="3"/>
      <c r="AJ1143" s="10"/>
      <c r="AK1143" s="3"/>
      <c r="AL1143" s="5"/>
      <c r="AM1143" s="5"/>
      <c r="AN1143" s="5"/>
      <c r="AO1143" s="5"/>
      <c r="AP1143" s="5"/>
      <c r="AQ1143" s="5"/>
      <c r="AR1143" s="5"/>
      <c r="AS1143" s="142"/>
      <c r="AT1143" s="142"/>
      <c r="AU1143" s="142"/>
      <c r="AV1143" s="142"/>
      <c r="AW1143" s="142"/>
      <c r="AX1143" s="142"/>
      <c r="AY1143" s="142"/>
      <c r="AZ1143" s="174"/>
      <c r="BA1143" s="142"/>
      <c r="BB1143" s="142"/>
      <c r="BC1143" s="142"/>
      <c r="BD1143" s="142"/>
      <c r="BE1143" s="142"/>
      <c r="BF1143" s="142"/>
      <c r="BG1143" s="142"/>
    </row>
    <row r="1144">
      <c r="A1144" s="5"/>
      <c r="B1144" s="44"/>
      <c r="C1144" s="150"/>
      <c r="D1144" s="3"/>
      <c r="E1144" s="3"/>
      <c r="F1144" s="5"/>
      <c r="G1144" s="5"/>
      <c r="H1144" s="5"/>
      <c r="I1144" s="3"/>
      <c r="J1144" s="3"/>
      <c r="K1144" s="3"/>
      <c r="L1144" s="44"/>
      <c r="M1144" s="150"/>
      <c r="N1144" s="5"/>
      <c r="O1144" s="5"/>
      <c r="P1144" s="10"/>
      <c r="Q1144" s="10"/>
      <c r="R1144" s="144"/>
      <c r="S1144" s="144"/>
      <c r="T1144" s="10"/>
      <c r="U1144" s="5"/>
      <c r="V1144" s="3"/>
      <c r="W1144" s="5"/>
      <c r="X1144" s="144"/>
      <c r="Y1144" s="10"/>
      <c r="Z1144" s="3"/>
      <c r="AA1144" s="10"/>
      <c r="AB1144" s="10"/>
      <c r="AC1144" s="181"/>
      <c r="AD1144" s="144"/>
      <c r="AE1144" s="182"/>
      <c r="AF1144" s="10"/>
      <c r="AG1144" s="10"/>
      <c r="AH1144" s="144"/>
      <c r="AI1144" s="3"/>
      <c r="AJ1144" s="10"/>
      <c r="AK1144" s="3"/>
      <c r="AL1144" s="5"/>
      <c r="AM1144" s="5"/>
      <c r="AN1144" s="5"/>
      <c r="AO1144" s="5"/>
      <c r="AP1144" s="5"/>
      <c r="AQ1144" s="5"/>
      <c r="AR1144" s="5"/>
      <c r="AS1144" s="142"/>
      <c r="AT1144" s="142"/>
      <c r="AU1144" s="142"/>
      <c r="AV1144" s="142"/>
      <c r="AW1144" s="142"/>
      <c r="AX1144" s="142"/>
      <c r="AY1144" s="142"/>
      <c r="AZ1144" s="174"/>
      <c r="BA1144" s="142"/>
      <c r="BB1144" s="142"/>
      <c r="BC1144" s="142"/>
      <c r="BD1144" s="142"/>
      <c r="BE1144" s="142"/>
      <c r="BF1144" s="142"/>
      <c r="BG1144" s="142"/>
    </row>
    <row r="1145">
      <c r="A1145" s="5"/>
      <c r="B1145" s="44"/>
      <c r="C1145" s="150"/>
      <c r="D1145" s="3"/>
      <c r="E1145" s="3"/>
      <c r="F1145" s="5"/>
      <c r="G1145" s="5"/>
      <c r="H1145" s="5"/>
      <c r="I1145" s="3"/>
      <c r="J1145" s="3"/>
      <c r="K1145" s="3"/>
      <c r="L1145" s="44"/>
      <c r="M1145" s="150"/>
      <c r="N1145" s="5"/>
      <c r="O1145" s="5"/>
      <c r="P1145" s="10"/>
      <c r="Q1145" s="10"/>
      <c r="R1145" s="144"/>
      <c r="S1145" s="144"/>
      <c r="T1145" s="10"/>
      <c r="U1145" s="5"/>
      <c r="V1145" s="3"/>
      <c r="W1145" s="5"/>
      <c r="X1145" s="144"/>
      <c r="Y1145" s="10"/>
      <c r="Z1145" s="3"/>
      <c r="AA1145" s="10"/>
      <c r="AB1145" s="10"/>
      <c r="AC1145" s="181"/>
      <c r="AD1145" s="144"/>
      <c r="AE1145" s="182"/>
      <c r="AF1145" s="10"/>
      <c r="AG1145" s="10"/>
      <c r="AH1145" s="144"/>
      <c r="AI1145" s="3"/>
      <c r="AJ1145" s="10"/>
      <c r="AK1145" s="3"/>
      <c r="AL1145" s="5"/>
      <c r="AM1145" s="5"/>
      <c r="AN1145" s="5"/>
      <c r="AO1145" s="5"/>
      <c r="AP1145" s="5"/>
      <c r="AQ1145" s="5"/>
      <c r="AR1145" s="5"/>
      <c r="AS1145" s="142"/>
      <c r="AT1145" s="142"/>
      <c r="AU1145" s="142"/>
      <c r="AV1145" s="142"/>
      <c r="AW1145" s="142"/>
      <c r="AX1145" s="142"/>
      <c r="AY1145" s="142"/>
      <c r="AZ1145" s="174"/>
      <c r="BA1145" s="142"/>
      <c r="BB1145" s="142"/>
      <c r="BC1145" s="142"/>
      <c r="BD1145" s="142"/>
      <c r="BE1145" s="142"/>
      <c r="BF1145" s="142"/>
      <c r="BG1145" s="142"/>
    </row>
    <row r="1146">
      <c r="A1146" s="5"/>
      <c r="B1146" s="44"/>
      <c r="C1146" s="150"/>
      <c r="D1146" s="3"/>
      <c r="E1146" s="3"/>
      <c r="F1146" s="5"/>
      <c r="G1146" s="5"/>
      <c r="H1146" s="5"/>
      <c r="I1146" s="3"/>
      <c r="J1146" s="3"/>
      <c r="K1146" s="3"/>
      <c r="L1146" s="44"/>
      <c r="M1146" s="150"/>
      <c r="N1146" s="5"/>
      <c r="O1146" s="5"/>
      <c r="P1146" s="10"/>
      <c r="Q1146" s="10"/>
      <c r="R1146" s="144"/>
      <c r="S1146" s="144"/>
      <c r="T1146" s="10"/>
      <c r="U1146" s="5"/>
      <c r="V1146" s="3"/>
      <c r="W1146" s="5"/>
      <c r="X1146" s="144"/>
      <c r="Y1146" s="10"/>
      <c r="Z1146" s="3"/>
      <c r="AA1146" s="10"/>
      <c r="AB1146" s="10"/>
      <c r="AC1146" s="181"/>
      <c r="AD1146" s="144"/>
      <c r="AE1146" s="182"/>
      <c r="AF1146" s="10"/>
      <c r="AG1146" s="10"/>
      <c r="AH1146" s="144"/>
      <c r="AI1146" s="3"/>
      <c r="AJ1146" s="10"/>
      <c r="AK1146" s="3"/>
      <c r="AL1146" s="5"/>
      <c r="AM1146" s="5"/>
      <c r="AN1146" s="5"/>
      <c r="AO1146" s="5"/>
      <c r="AP1146" s="5"/>
      <c r="AQ1146" s="5"/>
      <c r="AR1146" s="5"/>
      <c r="AS1146" s="142"/>
      <c r="AT1146" s="142"/>
      <c r="AU1146" s="142"/>
      <c r="AV1146" s="142"/>
      <c r="AW1146" s="142"/>
      <c r="AX1146" s="142"/>
      <c r="AY1146" s="142"/>
      <c r="AZ1146" s="174"/>
      <c r="BA1146" s="142"/>
      <c r="BB1146" s="142"/>
      <c r="BC1146" s="142"/>
      <c r="BD1146" s="142"/>
      <c r="BE1146" s="142"/>
      <c r="BF1146" s="142"/>
      <c r="BG1146" s="142"/>
    </row>
    <row r="1147">
      <c r="A1147" s="5"/>
      <c r="B1147" s="44"/>
      <c r="C1147" s="150"/>
      <c r="D1147" s="3"/>
      <c r="E1147" s="3"/>
      <c r="F1147" s="5"/>
      <c r="G1147" s="5"/>
      <c r="H1147" s="5"/>
      <c r="I1147" s="3"/>
      <c r="J1147" s="3"/>
      <c r="K1147" s="3"/>
      <c r="L1147" s="44"/>
      <c r="M1147" s="150"/>
      <c r="N1147" s="5"/>
      <c r="O1147" s="5"/>
      <c r="P1147" s="10"/>
      <c r="Q1147" s="10"/>
      <c r="R1147" s="144"/>
      <c r="S1147" s="144"/>
      <c r="T1147" s="10"/>
      <c r="U1147" s="5"/>
      <c r="V1147" s="3"/>
      <c r="W1147" s="5"/>
      <c r="X1147" s="144"/>
      <c r="Y1147" s="10"/>
      <c r="Z1147" s="3"/>
      <c r="AA1147" s="10"/>
      <c r="AB1147" s="10"/>
      <c r="AC1147" s="181"/>
      <c r="AD1147" s="144"/>
      <c r="AE1147" s="182"/>
      <c r="AF1147" s="10"/>
      <c r="AG1147" s="10"/>
      <c r="AH1147" s="144"/>
      <c r="AI1147" s="3"/>
      <c r="AJ1147" s="10"/>
      <c r="AK1147" s="3"/>
      <c r="AL1147" s="5"/>
      <c r="AM1147" s="5"/>
      <c r="AN1147" s="5"/>
      <c r="AO1147" s="5"/>
      <c r="AP1147" s="5"/>
      <c r="AQ1147" s="5"/>
      <c r="AR1147" s="5"/>
      <c r="AS1147" s="142"/>
      <c r="AT1147" s="142"/>
      <c r="AU1147" s="142"/>
      <c r="AV1147" s="142"/>
      <c r="AW1147" s="142"/>
      <c r="AX1147" s="142"/>
      <c r="AY1147" s="142"/>
      <c r="AZ1147" s="174"/>
      <c r="BA1147" s="142"/>
      <c r="BB1147" s="142"/>
      <c r="BC1147" s="142"/>
      <c r="BD1147" s="142"/>
      <c r="BE1147" s="142"/>
      <c r="BF1147" s="142"/>
      <c r="BG1147" s="142"/>
    </row>
    <row r="1148">
      <c r="A1148" s="5"/>
      <c r="B1148" s="44"/>
      <c r="C1148" s="150"/>
      <c r="D1148" s="3"/>
      <c r="E1148" s="3"/>
      <c r="F1148" s="5"/>
      <c r="G1148" s="5"/>
      <c r="H1148" s="5"/>
      <c r="I1148" s="3"/>
      <c r="J1148" s="3"/>
      <c r="K1148" s="3"/>
      <c r="L1148" s="44"/>
      <c r="M1148" s="150"/>
      <c r="N1148" s="5"/>
      <c r="O1148" s="5"/>
      <c r="P1148" s="10"/>
      <c r="Q1148" s="10"/>
      <c r="R1148" s="144"/>
      <c r="S1148" s="144"/>
      <c r="T1148" s="10"/>
      <c r="U1148" s="5"/>
      <c r="V1148" s="3"/>
      <c r="W1148" s="5"/>
      <c r="X1148" s="144"/>
      <c r="Y1148" s="10"/>
      <c r="Z1148" s="3"/>
      <c r="AA1148" s="10"/>
      <c r="AB1148" s="10"/>
      <c r="AC1148" s="181"/>
      <c r="AD1148" s="144"/>
      <c r="AE1148" s="182"/>
      <c r="AF1148" s="10"/>
      <c r="AG1148" s="10"/>
      <c r="AH1148" s="144"/>
      <c r="AI1148" s="3"/>
      <c r="AJ1148" s="10"/>
      <c r="AK1148" s="3"/>
      <c r="AL1148" s="5"/>
      <c r="AM1148" s="5"/>
      <c r="AN1148" s="5"/>
      <c r="AO1148" s="5"/>
      <c r="AP1148" s="5"/>
      <c r="AQ1148" s="5"/>
      <c r="AR1148" s="5"/>
      <c r="AS1148" s="142"/>
      <c r="AT1148" s="142"/>
      <c r="AU1148" s="142"/>
      <c r="AV1148" s="142"/>
      <c r="AW1148" s="142"/>
      <c r="AX1148" s="142"/>
      <c r="AY1148" s="142"/>
      <c r="AZ1148" s="174"/>
      <c r="BA1148" s="142"/>
      <c r="BB1148" s="142"/>
      <c r="BC1148" s="142"/>
      <c r="BD1148" s="142"/>
      <c r="BE1148" s="142"/>
      <c r="BF1148" s="142"/>
      <c r="BG1148" s="142"/>
    </row>
    <row r="1149">
      <c r="A1149" s="5"/>
      <c r="B1149" s="44"/>
      <c r="C1149" s="150"/>
      <c r="D1149" s="3"/>
      <c r="E1149" s="3"/>
      <c r="F1149" s="5"/>
      <c r="G1149" s="5"/>
      <c r="H1149" s="5"/>
      <c r="I1149" s="3"/>
      <c r="J1149" s="3"/>
      <c r="K1149" s="3"/>
      <c r="L1149" s="44"/>
      <c r="M1149" s="150"/>
      <c r="N1149" s="5"/>
      <c r="O1149" s="5"/>
      <c r="P1149" s="10"/>
      <c r="Q1149" s="10"/>
      <c r="R1149" s="144"/>
      <c r="S1149" s="144"/>
      <c r="T1149" s="10"/>
      <c r="U1149" s="5"/>
      <c r="V1149" s="3"/>
      <c r="W1149" s="5"/>
      <c r="X1149" s="144"/>
      <c r="Y1149" s="10"/>
      <c r="Z1149" s="3"/>
      <c r="AA1149" s="10"/>
      <c r="AB1149" s="10"/>
      <c r="AC1149" s="181"/>
      <c r="AD1149" s="144"/>
      <c r="AE1149" s="182"/>
      <c r="AF1149" s="10"/>
      <c r="AG1149" s="10"/>
      <c r="AH1149" s="144"/>
      <c r="AI1149" s="3"/>
      <c r="AJ1149" s="10"/>
      <c r="AK1149" s="3"/>
      <c r="AL1149" s="5"/>
      <c r="AM1149" s="5"/>
      <c r="AN1149" s="5"/>
      <c r="AO1149" s="5"/>
      <c r="AP1149" s="5"/>
      <c r="AQ1149" s="5"/>
      <c r="AR1149" s="5"/>
      <c r="AS1149" s="142"/>
      <c r="AT1149" s="142"/>
      <c r="AU1149" s="142"/>
      <c r="AV1149" s="142"/>
      <c r="AW1149" s="142"/>
      <c r="AX1149" s="142"/>
      <c r="AY1149" s="142"/>
      <c r="AZ1149" s="174"/>
      <c r="BA1149" s="142"/>
      <c r="BB1149" s="142"/>
      <c r="BC1149" s="142"/>
      <c r="BD1149" s="142"/>
      <c r="BE1149" s="142"/>
      <c r="BF1149" s="142"/>
      <c r="BG1149" s="142"/>
    </row>
    <row r="1150">
      <c r="A1150" s="5"/>
      <c r="B1150" s="44"/>
      <c r="C1150" s="150"/>
      <c r="D1150" s="3"/>
      <c r="E1150" s="3"/>
      <c r="F1150" s="5"/>
      <c r="G1150" s="5"/>
      <c r="H1150" s="5"/>
      <c r="I1150" s="3"/>
      <c r="J1150" s="3"/>
      <c r="K1150" s="3"/>
      <c r="L1150" s="44"/>
      <c r="M1150" s="150"/>
      <c r="N1150" s="5"/>
      <c r="O1150" s="5"/>
      <c r="P1150" s="10"/>
      <c r="Q1150" s="10"/>
      <c r="R1150" s="144"/>
      <c r="S1150" s="144"/>
      <c r="T1150" s="10"/>
      <c r="U1150" s="5"/>
      <c r="V1150" s="3"/>
      <c r="W1150" s="5"/>
      <c r="X1150" s="144"/>
      <c r="Y1150" s="10"/>
      <c r="Z1150" s="3"/>
      <c r="AA1150" s="10"/>
      <c r="AB1150" s="10"/>
      <c r="AC1150" s="181"/>
      <c r="AD1150" s="144"/>
      <c r="AE1150" s="182"/>
      <c r="AF1150" s="10"/>
      <c r="AG1150" s="10"/>
      <c r="AH1150" s="144"/>
      <c r="AI1150" s="3"/>
      <c r="AJ1150" s="10"/>
      <c r="AK1150" s="3"/>
      <c r="AL1150" s="5"/>
      <c r="AM1150" s="5"/>
      <c r="AN1150" s="5"/>
      <c r="AO1150" s="5"/>
      <c r="AP1150" s="5"/>
      <c r="AQ1150" s="5"/>
      <c r="AR1150" s="5"/>
      <c r="AS1150" s="142"/>
      <c r="AT1150" s="142"/>
      <c r="AU1150" s="142"/>
      <c r="AV1150" s="142"/>
      <c r="AW1150" s="142"/>
      <c r="AX1150" s="142"/>
      <c r="AY1150" s="142"/>
      <c r="AZ1150" s="174"/>
      <c r="BA1150" s="142"/>
      <c r="BB1150" s="142"/>
      <c r="BC1150" s="142"/>
      <c r="BD1150" s="142"/>
      <c r="BE1150" s="142"/>
      <c r="BF1150" s="142"/>
      <c r="BG1150" s="142"/>
    </row>
    <row r="1151">
      <c r="A1151" s="5"/>
      <c r="B1151" s="44"/>
      <c r="C1151" s="150"/>
      <c r="D1151" s="3"/>
      <c r="E1151" s="3"/>
      <c r="F1151" s="5"/>
      <c r="G1151" s="5"/>
      <c r="H1151" s="5"/>
      <c r="I1151" s="3"/>
      <c r="J1151" s="3"/>
      <c r="K1151" s="3"/>
      <c r="L1151" s="44"/>
      <c r="M1151" s="150"/>
      <c r="N1151" s="5"/>
      <c r="O1151" s="5"/>
      <c r="P1151" s="10"/>
      <c r="Q1151" s="10"/>
      <c r="R1151" s="144"/>
      <c r="S1151" s="144"/>
      <c r="T1151" s="10"/>
      <c r="U1151" s="5"/>
      <c r="V1151" s="3"/>
      <c r="W1151" s="5"/>
      <c r="X1151" s="144"/>
      <c r="Y1151" s="10"/>
      <c r="Z1151" s="3"/>
      <c r="AA1151" s="10"/>
      <c r="AB1151" s="10"/>
      <c r="AC1151" s="181"/>
      <c r="AD1151" s="144"/>
      <c r="AE1151" s="182"/>
      <c r="AF1151" s="10"/>
      <c r="AG1151" s="10"/>
      <c r="AH1151" s="144"/>
      <c r="AI1151" s="3"/>
      <c r="AJ1151" s="10"/>
      <c r="AK1151" s="3"/>
      <c r="AL1151" s="5"/>
      <c r="AM1151" s="5"/>
      <c r="AN1151" s="5"/>
      <c r="AO1151" s="5"/>
      <c r="AP1151" s="5"/>
      <c r="AQ1151" s="5"/>
      <c r="AR1151" s="5"/>
      <c r="AS1151" s="142"/>
      <c r="AT1151" s="142"/>
      <c r="AU1151" s="142"/>
      <c r="AV1151" s="142"/>
      <c r="AW1151" s="142"/>
      <c r="AX1151" s="142"/>
      <c r="AY1151" s="142"/>
      <c r="AZ1151" s="174"/>
      <c r="BA1151" s="142"/>
      <c r="BB1151" s="142"/>
      <c r="BC1151" s="142"/>
      <c r="BD1151" s="142"/>
      <c r="BE1151" s="142"/>
      <c r="BF1151" s="142"/>
      <c r="BG1151" s="142"/>
    </row>
    <row r="1152">
      <c r="A1152" s="5"/>
      <c r="B1152" s="44"/>
      <c r="C1152" s="150"/>
      <c r="D1152" s="3"/>
      <c r="E1152" s="3"/>
      <c r="F1152" s="5"/>
      <c r="G1152" s="5"/>
      <c r="H1152" s="5"/>
      <c r="I1152" s="3"/>
      <c r="J1152" s="3"/>
      <c r="K1152" s="3"/>
      <c r="L1152" s="44"/>
      <c r="M1152" s="150"/>
      <c r="N1152" s="5"/>
      <c r="O1152" s="5"/>
      <c r="P1152" s="10"/>
      <c r="Q1152" s="10"/>
      <c r="R1152" s="144"/>
      <c r="S1152" s="144"/>
      <c r="T1152" s="10"/>
      <c r="U1152" s="5"/>
      <c r="V1152" s="3"/>
      <c r="W1152" s="5"/>
      <c r="X1152" s="144"/>
      <c r="Y1152" s="10"/>
      <c r="Z1152" s="3"/>
      <c r="AA1152" s="10"/>
      <c r="AB1152" s="10"/>
      <c r="AC1152" s="181"/>
      <c r="AD1152" s="144"/>
      <c r="AE1152" s="182"/>
      <c r="AF1152" s="10"/>
      <c r="AG1152" s="10"/>
      <c r="AH1152" s="144"/>
      <c r="AI1152" s="3"/>
      <c r="AJ1152" s="10"/>
      <c r="AK1152" s="3"/>
      <c r="AL1152" s="5"/>
      <c r="AM1152" s="5"/>
      <c r="AN1152" s="5"/>
      <c r="AO1152" s="5"/>
      <c r="AP1152" s="5"/>
      <c r="AQ1152" s="5"/>
      <c r="AR1152" s="5"/>
      <c r="AS1152" s="142"/>
      <c r="AT1152" s="142"/>
      <c r="AU1152" s="142"/>
      <c r="AV1152" s="142"/>
      <c r="AW1152" s="142"/>
      <c r="AX1152" s="142"/>
      <c r="AY1152" s="142"/>
      <c r="AZ1152" s="174"/>
      <c r="BA1152" s="142"/>
      <c r="BB1152" s="142"/>
      <c r="BC1152" s="142"/>
      <c r="BD1152" s="142"/>
      <c r="BE1152" s="142"/>
      <c r="BF1152" s="142"/>
      <c r="BG1152" s="142"/>
    </row>
    <row r="1153">
      <c r="A1153" s="5"/>
      <c r="B1153" s="44"/>
      <c r="C1153" s="150"/>
      <c r="D1153" s="3"/>
      <c r="E1153" s="3"/>
      <c r="F1153" s="5"/>
      <c r="G1153" s="5"/>
      <c r="H1153" s="5"/>
      <c r="I1153" s="3"/>
      <c r="J1153" s="3"/>
      <c r="K1153" s="3"/>
      <c r="L1153" s="44"/>
      <c r="M1153" s="150"/>
      <c r="N1153" s="5"/>
      <c r="O1153" s="5"/>
      <c r="P1153" s="10"/>
      <c r="Q1153" s="10"/>
      <c r="R1153" s="144"/>
      <c r="S1153" s="144"/>
      <c r="T1153" s="10"/>
      <c r="U1153" s="5"/>
      <c r="V1153" s="3"/>
      <c r="W1153" s="5"/>
      <c r="X1153" s="144"/>
      <c r="Y1153" s="10"/>
      <c r="Z1153" s="3"/>
      <c r="AA1153" s="10"/>
      <c r="AB1153" s="10"/>
      <c r="AC1153" s="181"/>
      <c r="AD1153" s="144"/>
      <c r="AE1153" s="182"/>
      <c r="AF1153" s="10"/>
      <c r="AG1153" s="10"/>
      <c r="AH1153" s="144"/>
      <c r="AI1153" s="3"/>
      <c r="AJ1153" s="10"/>
      <c r="AK1153" s="3"/>
      <c r="AL1153" s="5"/>
      <c r="AM1153" s="5"/>
      <c r="AN1153" s="5"/>
      <c r="AO1153" s="5"/>
      <c r="AP1153" s="5"/>
      <c r="AQ1153" s="5"/>
      <c r="AR1153" s="5"/>
      <c r="AS1153" s="142"/>
      <c r="AT1153" s="142"/>
      <c r="AU1153" s="142"/>
      <c r="AV1153" s="142"/>
      <c r="AW1153" s="142"/>
      <c r="AX1153" s="142"/>
      <c r="AY1153" s="142"/>
      <c r="AZ1153" s="174"/>
      <c r="BA1153" s="142"/>
      <c r="BB1153" s="142"/>
      <c r="BC1153" s="142"/>
      <c r="BD1153" s="142"/>
      <c r="BE1153" s="142"/>
      <c r="BF1153" s="142"/>
      <c r="BG1153" s="142"/>
    </row>
    <row r="1154">
      <c r="A1154" s="5"/>
      <c r="B1154" s="44"/>
      <c r="C1154" s="150"/>
      <c r="D1154" s="3"/>
      <c r="E1154" s="3"/>
      <c r="F1154" s="5"/>
      <c r="G1154" s="5"/>
      <c r="H1154" s="5"/>
      <c r="I1154" s="3"/>
      <c r="J1154" s="3"/>
      <c r="K1154" s="3"/>
      <c r="L1154" s="44"/>
      <c r="M1154" s="150"/>
      <c r="N1154" s="5"/>
      <c r="O1154" s="5"/>
      <c r="P1154" s="10"/>
      <c r="Q1154" s="10"/>
      <c r="R1154" s="144"/>
      <c r="S1154" s="144"/>
      <c r="T1154" s="10"/>
      <c r="U1154" s="5"/>
      <c r="V1154" s="3"/>
      <c r="W1154" s="5"/>
      <c r="X1154" s="144"/>
      <c r="Y1154" s="10"/>
      <c r="Z1154" s="3"/>
      <c r="AA1154" s="10"/>
      <c r="AB1154" s="10"/>
      <c r="AC1154" s="181"/>
      <c r="AD1154" s="144"/>
      <c r="AE1154" s="182"/>
      <c r="AF1154" s="10"/>
      <c r="AG1154" s="10"/>
      <c r="AH1154" s="144"/>
      <c r="AI1154" s="3"/>
      <c r="AJ1154" s="10"/>
      <c r="AK1154" s="3"/>
      <c r="AL1154" s="5"/>
      <c r="AM1154" s="5"/>
      <c r="AN1154" s="5"/>
      <c r="AO1154" s="5"/>
      <c r="AP1154" s="5"/>
      <c r="AQ1154" s="5"/>
      <c r="AR1154" s="5"/>
      <c r="AS1154" s="142"/>
      <c r="AT1154" s="142"/>
      <c r="AU1154" s="142"/>
      <c r="AV1154" s="142"/>
      <c r="AW1154" s="142"/>
      <c r="AX1154" s="142"/>
      <c r="AY1154" s="142"/>
      <c r="AZ1154" s="174"/>
      <c r="BA1154" s="142"/>
      <c r="BB1154" s="142"/>
      <c r="BC1154" s="142"/>
      <c r="BD1154" s="142"/>
      <c r="BE1154" s="142"/>
      <c r="BF1154" s="142"/>
      <c r="BG1154" s="142"/>
    </row>
    <row r="1155">
      <c r="A1155" s="5"/>
      <c r="B1155" s="44"/>
      <c r="C1155" s="150"/>
      <c r="D1155" s="3"/>
      <c r="E1155" s="3"/>
      <c r="F1155" s="5"/>
      <c r="G1155" s="5"/>
      <c r="H1155" s="5"/>
      <c r="I1155" s="3"/>
      <c r="J1155" s="3"/>
      <c r="K1155" s="3"/>
      <c r="L1155" s="44"/>
      <c r="M1155" s="150"/>
      <c r="N1155" s="5"/>
      <c r="O1155" s="5"/>
      <c r="P1155" s="10"/>
      <c r="Q1155" s="10"/>
      <c r="R1155" s="144"/>
      <c r="S1155" s="144"/>
      <c r="T1155" s="10"/>
      <c r="U1155" s="5"/>
      <c r="V1155" s="3"/>
      <c r="W1155" s="5"/>
      <c r="X1155" s="144"/>
      <c r="Y1155" s="10"/>
      <c r="Z1155" s="3"/>
      <c r="AA1155" s="10"/>
      <c r="AB1155" s="10"/>
      <c r="AC1155" s="181"/>
      <c r="AD1155" s="144"/>
      <c r="AE1155" s="182"/>
      <c r="AF1155" s="10"/>
      <c r="AG1155" s="10"/>
      <c r="AH1155" s="144"/>
      <c r="AI1155" s="3"/>
      <c r="AJ1155" s="10"/>
      <c r="AK1155" s="3"/>
      <c r="AL1155" s="5"/>
      <c r="AM1155" s="5"/>
      <c r="AN1155" s="5"/>
      <c r="AO1155" s="5"/>
      <c r="AP1155" s="5"/>
      <c r="AQ1155" s="5"/>
      <c r="AR1155" s="5"/>
      <c r="AS1155" s="142"/>
      <c r="AT1155" s="142"/>
      <c r="AU1155" s="142"/>
      <c r="AV1155" s="142"/>
      <c r="AW1155" s="142"/>
      <c r="AX1155" s="142"/>
      <c r="AY1155" s="142"/>
      <c r="AZ1155" s="174"/>
      <c r="BA1155" s="142"/>
      <c r="BB1155" s="142"/>
      <c r="BC1155" s="142"/>
      <c r="BD1155" s="142"/>
      <c r="BE1155" s="142"/>
      <c r="BF1155" s="142"/>
      <c r="BG1155" s="142"/>
    </row>
    <row r="1156">
      <c r="A1156" s="5"/>
      <c r="B1156" s="44"/>
      <c r="C1156" s="150"/>
      <c r="D1156" s="3"/>
      <c r="E1156" s="3"/>
      <c r="F1156" s="5"/>
      <c r="G1156" s="5"/>
      <c r="H1156" s="5"/>
      <c r="I1156" s="3"/>
      <c r="J1156" s="3"/>
      <c r="K1156" s="3"/>
      <c r="L1156" s="44"/>
      <c r="M1156" s="150"/>
      <c r="N1156" s="5"/>
      <c r="O1156" s="5"/>
      <c r="P1156" s="10"/>
      <c r="Q1156" s="10"/>
      <c r="R1156" s="144"/>
      <c r="S1156" s="144"/>
      <c r="T1156" s="10"/>
      <c r="U1156" s="5"/>
      <c r="V1156" s="3"/>
      <c r="W1156" s="5"/>
      <c r="X1156" s="144"/>
      <c r="Y1156" s="10"/>
      <c r="Z1156" s="3"/>
      <c r="AA1156" s="10"/>
      <c r="AB1156" s="10"/>
      <c r="AC1156" s="181"/>
      <c r="AD1156" s="144"/>
      <c r="AE1156" s="182"/>
      <c r="AF1156" s="10"/>
      <c r="AG1156" s="10"/>
      <c r="AH1156" s="144"/>
      <c r="AI1156" s="3"/>
      <c r="AJ1156" s="10"/>
      <c r="AK1156" s="3"/>
      <c r="AL1156" s="5"/>
      <c r="AM1156" s="5"/>
      <c r="AN1156" s="5"/>
      <c r="AO1156" s="5"/>
      <c r="AP1156" s="5"/>
      <c r="AQ1156" s="5"/>
      <c r="AR1156" s="5"/>
      <c r="AS1156" s="142"/>
      <c r="AT1156" s="142"/>
      <c r="AU1156" s="142"/>
      <c r="AV1156" s="142"/>
      <c r="AW1156" s="142"/>
      <c r="AX1156" s="142"/>
      <c r="AY1156" s="142"/>
      <c r="AZ1156" s="174"/>
      <c r="BA1156" s="142"/>
      <c r="BB1156" s="142"/>
      <c r="BC1156" s="142"/>
      <c r="BD1156" s="142"/>
      <c r="BE1156" s="142"/>
      <c r="BF1156" s="142"/>
      <c r="BG1156" s="142"/>
    </row>
    <row r="1157">
      <c r="A1157" s="5"/>
      <c r="B1157" s="44"/>
      <c r="C1157" s="150"/>
      <c r="D1157" s="3"/>
      <c r="E1157" s="3"/>
      <c r="F1157" s="5"/>
      <c r="G1157" s="5"/>
      <c r="H1157" s="5"/>
      <c r="I1157" s="3"/>
      <c r="J1157" s="3"/>
      <c r="K1157" s="3"/>
      <c r="L1157" s="44"/>
      <c r="M1157" s="150"/>
      <c r="N1157" s="5"/>
      <c r="O1157" s="5"/>
      <c r="P1157" s="10"/>
      <c r="Q1157" s="10"/>
      <c r="R1157" s="144"/>
      <c r="S1157" s="144"/>
      <c r="T1157" s="10"/>
      <c r="U1157" s="5"/>
      <c r="V1157" s="3"/>
      <c r="W1157" s="5"/>
      <c r="X1157" s="144"/>
      <c r="Y1157" s="10"/>
      <c r="Z1157" s="3"/>
      <c r="AA1157" s="10"/>
      <c r="AB1157" s="10"/>
      <c r="AC1157" s="181"/>
      <c r="AD1157" s="144"/>
      <c r="AE1157" s="182"/>
      <c r="AF1157" s="10"/>
      <c r="AG1157" s="10"/>
      <c r="AH1157" s="144"/>
      <c r="AI1157" s="3"/>
      <c r="AJ1157" s="10"/>
      <c r="AK1157" s="3"/>
      <c r="AL1157" s="5"/>
      <c r="AM1157" s="5"/>
      <c r="AN1157" s="5"/>
      <c r="AO1157" s="5"/>
      <c r="AP1157" s="5"/>
      <c r="AQ1157" s="5"/>
      <c r="AR1157" s="5"/>
      <c r="AS1157" s="142"/>
      <c r="AT1157" s="142"/>
      <c r="AU1157" s="142"/>
      <c r="AV1157" s="142"/>
      <c r="AW1157" s="142"/>
      <c r="AX1157" s="142"/>
      <c r="AY1157" s="142"/>
      <c r="AZ1157" s="174"/>
      <c r="BA1157" s="142"/>
      <c r="BB1157" s="142"/>
      <c r="BC1157" s="142"/>
      <c r="BD1157" s="142"/>
      <c r="BE1157" s="142"/>
      <c r="BF1157" s="142"/>
      <c r="BG1157" s="142"/>
    </row>
    <row r="1158">
      <c r="A1158" s="5"/>
      <c r="B1158" s="44"/>
      <c r="C1158" s="150"/>
      <c r="D1158" s="3"/>
      <c r="E1158" s="3"/>
      <c r="F1158" s="5"/>
      <c r="G1158" s="5"/>
      <c r="H1158" s="5"/>
      <c r="I1158" s="3"/>
      <c r="J1158" s="3"/>
      <c r="K1158" s="3"/>
      <c r="L1158" s="44"/>
      <c r="M1158" s="150"/>
      <c r="N1158" s="5"/>
      <c r="O1158" s="5"/>
      <c r="P1158" s="10"/>
      <c r="Q1158" s="10"/>
      <c r="R1158" s="144"/>
      <c r="S1158" s="144"/>
      <c r="T1158" s="10"/>
      <c r="U1158" s="5"/>
      <c r="V1158" s="3"/>
      <c r="W1158" s="5"/>
      <c r="X1158" s="144"/>
      <c r="Y1158" s="10"/>
      <c r="Z1158" s="3"/>
      <c r="AA1158" s="10"/>
      <c r="AB1158" s="10"/>
      <c r="AC1158" s="181"/>
      <c r="AD1158" s="144"/>
      <c r="AE1158" s="182"/>
      <c r="AF1158" s="10"/>
      <c r="AG1158" s="10"/>
      <c r="AH1158" s="144"/>
      <c r="AI1158" s="3"/>
      <c r="AJ1158" s="10"/>
      <c r="AK1158" s="3"/>
      <c r="AL1158" s="5"/>
      <c r="AM1158" s="5"/>
      <c r="AN1158" s="5"/>
      <c r="AO1158" s="5"/>
      <c r="AP1158" s="5"/>
      <c r="AQ1158" s="5"/>
      <c r="AR1158" s="5"/>
      <c r="AS1158" s="142"/>
      <c r="AT1158" s="142"/>
      <c r="AU1158" s="142"/>
      <c r="AV1158" s="142"/>
      <c r="AW1158" s="142"/>
      <c r="AX1158" s="142"/>
      <c r="AY1158" s="142"/>
      <c r="AZ1158" s="174"/>
      <c r="BA1158" s="142"/>
      <c r="BB1158" s="142"/>
      <c r="BC1158" s="142"/>
      <c r="BD1158" s="142"/>
      <c r="BE1158" s="142"/>
      <c r="BF1158" s="142"/>
      <c r="BG1158" s="142"/>
    </row>
    <row r="1159">
      <c r="A1159" s="5"/>
      <c r="B1159" s="44"/>
      <c r="C1159" s="150"/>
      <c r="D1159" s="3"/>
      <c r="E1159" s="3"/>
      <c r="F1159" s="5"/>
      <c r="G1159" s="5"/>
      <c r="H1159" s="5"/>
      <c r="I1159" s="3"/>
      <c r="J1159" s="3"/>
      <c r="K1159" s="3"/>
      <c r="L1159" s="44"/>
      <c r="M1159" s="150"/>
      <c r="N1159" s="5"/>
      <c r="O1159" s="5"/>
      <c r="P1159" s="10"/>
      <c r="Q1159" s="10"/>
      <c r="R1159" s="144"/>
      <c r="S1159" s="144"/>
      <c r="T1159" s="10"/>
      <c r="U1159" s="5"/>
      <c r="V1159" s="3"/>
      <c r="W1159" s="5"/>
      <c r="X1159" s="144"/>
      <c r="Y1159" s="10"/>
      <c r="Z1159" s="3"/>
      <c r="AA1159" s="10"/>
      <c r="AB1159" s="10"/>
      <c r="AC1159" s="181"/>
      <c r="AD1159" s="144"/>
      <c r="AE1159" s="182"/>
      <c r="AF1159" s="10"/>
      <c r="AG1159" s="10"/>
      <c r="AH1159" s="144"/>
      <c r="AI1159" s="3"/>
      <c r="AJ1159" s="10"/>
      <c r="AK1159" s="3"/>
      <c r="AL1159" s="5"/>
      <c r="AM1159" s="5"/>
      <c r="AN1159" s="5"/>
      <c r="AO1159" s="5"/>
      <c r="AP1159" s="5"/>
      <c r="AQ1159" s="5"/>
      <c r="AR1159" s="5"/>
      <c r="AS1159" s="142"/>
      <c r="AT1159" s="142"/>
      <c r="AU1159" s="142"/>
      <c r="AV1159" s="142"/>
      <c r="AW1159" s="142"/>
      <c r="AX1159" s="142"/>
      <c r="AY1159" s="142"/>
      <c r="AZ1159" s="174"/>
      <c r="BA1159" s="142"/>
      <c r="BB1159" s="142"/>
      <c r="BC1159" s="142"/>
      <c r="BD1159" s="142"/>
      <c r="BE1159" s="142"/>
      <c r="BF1159" s="142"/>
      <c r="BG1159" s="142"/>
    </row>
    <row r="1160">
      <c r="A1160" s="5"/>
      <c r="B1160" s="44"/>
      <c r="C1160" s="150"/>
      <c r="D1160" s="3"/>
      <c r="E1160" s="3"/>
      <c r="F1160" s="5"/>
      <c r="G1160" s="5"/>
      <c r="H1160" s="5"/>
      <c r="I1160" s="3"/>
      <c r="J1160" s="3"/>
      <c r="K1160" s="3"/>
      <c r="L1160" s="44"/>
      <c r="M1160" s="150"/>
      <c r="N1160" s="5"/>
      <c r="O1160" s="5"/>
      <c r="P1160" s="10"/>
      <c r="Q1160" s="10"/>
      <c r="R1160" s="144"/>
      <c r="S1160" s="144"/>
      <c r="T1160" s="10"/>
      <c r="U1160" s="5"/>
      <c r="V1160" s="3"/>
      <c r="W1160" s="5"/>
      <c r="X1160" s="144"/>
      <c r="Y1160" s="10"/>
      <c r="Z1160" s="3"/>
      <c r="AA1160" s="10"/>
      <c r="AB1160" s="10"/>
      <c r="AC1160" s="181"/>
      <c r="AD1160" s="144"/>
      <c r="AE1160" s="182"/>
      <c r="AF1160" s="10"/>
      <c r="AG1160" s="10"/>
      <c r="AH1160" s="144"/>
      <c r="AI1160" s="3"/>
      <c r="AJ1160" s="10"/>
      <c r="AK1160" s="3"/>
      <c r="AL1160" s="5"/>
      <c r="AM1160" s="5"/>
      <c r="AN1160" s="5"/>
      <c r="AO1160" s="5"/>
      <c r="AP1160" s="5"/>
      <c r="AQ1160" s="5"/>
      <c r="AR1160" s="5"/>
      <c r="AS1160" s="142"/>
      <c r="AT1160" s="142"/>
      <c r="AU1160" s="142"/>
      <c r="AV1160" s="142"/>
      <c r="AW1160" s="142"/>
      <c r="AX1160" s="142"/>
      <c r="AY1160" s="142"/>
      <c r="AZ1160" s="174"/>
      <c r="BA1160" s="142"/>
      <c r="BB1160" s="142"/>
      <c r="BC1160" s="142"/>
      <c r="BD1160" s="142"/>
      <c r="BE1160" s="142"/>
      <c r="BF1160" s="142"/>
      <c r="BG1160" s="142"/>
    </row>
    <row r="1161">
      <c r="A1161" s="5"/>
      <c r="B1161" s="44"/>
      <c r="C1161" s="150"/>
      <c r="D1161" s="3"/>
      <c r="E1161" s="3"/>
      <c r="F1161" s="5"/>
      <c r="G1161" s="5"/>
      <c r="H1161" s="5"/>
      <c r="I1161" s="3"/>
      <c r="J1161" s="3"/>
      <c r="K1161" s="3"/>
      <c r="L1161" s="44"/>
      <c r="M1161" s="150"/>
      <c r="N1161" s="5"/>
      <c r="O1161" s="5"/>
      <c r="P1161" s="10"/>
      <c r="Q1161" s="10"/>
      <c r="R1161" s="144"/>
      <c r="S1161" s="144"/>
      <c r="T1161" s="10"/>
      <c r="U1161" s="5"/>
      <c r="V1161" s="3"/>
      <c r="W1161" s="5"/>
      <c r="X1161" s="144"/>
      <c r="Y1161" s="10"/>
      <c r="Z1161" s="3"/>
      <c r="AA1161" s="10"/>
      <c r="AB1161" s="10"/>
      <c r="AC1161" s="181"/>
      <c r="AD1161" s="144"/>
      <c r="AE1161" s="182"/>
      <c r="AF1161" s="10"/>
      <c r="AG1161" s="10"/>
      <c r="AH1161" s="144"/>
      <c r="AI1161" s="3"/>
      <c r="AJ1161" s="10"/>
      <c r="AK1161" s="3"/>
      <c r="AL1161" s="5"/>
      <c r="AM1161" s="5"/>
      <c r="AN1161" s="5"/>
      <c r="AO1161" s="5"/>
      <c r="AP1161" s="5"/>
      <c r="AQ1161" s="5"/>
      <c r="AR1161" s="5"/>
      <c r="AS1161" s="142"/>
      <c r="AT1161" s="142"/>
      <c r="AU1161" s="142"/>
      <c r="AV1161" s="142"/>
      <c r="AW1161" s="142"/>
      <c r="AX1161" s="142"/>
      <c r="AY1161" s="142"/>
      <c r="AZ1161" s="174"/>
      <c r="BA1161" s="142"/>
      <c r="BB1161" s="142"/>
      <c r="BC1161" s="142"/>
      <c r="BD1161" s="142"/>
      <c r="BE1161" s="142"/>
      <c r="BF1161" s="142"/>
      <c r="BG1161" s="142"/>
    </row>
    <row r="1162">
      <c r="A1162" s="5"/>
      <c r="B1162" s="44"/>
      <c r="C1162" s="150"/>
      <c r="D1162" s="3"/>
      <c r="E1162" s="3"/>
      <c r="F1162" s="5"/>
      <c r="G1162" s="5"/>
      <c r="H1162" s="5"/>
      <c r="I1162" s="3"/>
      <c r="J1162" s="3"/>
      <c r="K1162" s="3"/>
      <c r="L1162" s="44"/>
      <c r="M1162" s="150"/>
      <c r="N1162" s="5"/>
      <c r="O1162" s="5"/>
      <c r="P1162" s="10"/>
      <c r="Q1162" s="10"/>
      <c r="R1162" s="144"/>
      <c r="S1162" s="144"/>
      <c r="T1162" s="10"/>
      <c r="U1162" s="5"/>
      <c r="V1162" s="3"/>
      <c r="W1162" s="5"/>
      <c r="X1162" s="144"/>
      <c r="Y1162" s="10"/>
      <c r="Z1162" s="3"/>
      <c r="AA1162" s="10"/>
      <c r="AB1162" s="10"/>
      <c r="AC1162" s="181"/>
      <c r="AD1162" s="144"/>
      <c r="AE1162" s="182"/>
      <c r="AF1162" s="10"/>
      <c r="AG1162" s="10"/>
      <c r="AH1162" s="144"/>
      <c r="AI1162" s="3"/>
      <c r="AJ1162" s="10"/>
      <c r="AK1162" s="3"/>
      <c r="AL1162" s="5"/>
      <c r="AM1162" s="5"/>
      <c r="AN1162" s="5"/>
      <c r="AO1162" s="5"/>
      <c r="AP1162" s="5"/>
      <c r="AQ1162" s="5"/>
      <c r="AR1162" s="5"/>
      <c r="AS1162" s="142"/>
      <c r="AT1162" s="142"/>
      <c r="AU1162" s="142"/>
      <c r="AV1162" s="142"/>
      <c r="AW1162" s="142"/>
      <c r="AX1162" s="142"/>
      <c r="AY1162" s="142"/>
      <c r="AZ1162" s="174"/>
      <c r="BA1162" s="142"/>
      <c r="BB1162" s="142"/>
      <c r="BC1162" s="142"/>
      <c r="BD1162" s="142"/>
      <c r="BE1162" s="142"/>
      <c r="BF1162" s="142"/>
      <c r="BG1162" s="142"/>
    </row>
    <row r="1163">
      <c r="A1163" s="5"/>
      <c r="B1163" s="44"/>
      <c r="C1163" s="150"/>
      <c r="D1163" s="3"/>
      <c r="E1163" s="3"/>
      <c r="F1163" s="5"/>
      <c r="G1163" s="5"/>
      <c r="H1163" s="5"/>
      <c r="I1163" s="3"/>
      <c r="J1163" s="3"/>
      <c r="K1163" s="3"/>
      <c r="L1163" s="44"/>
      <c r="M1163" s="150"/>
      <c r="N1163" s="5"/>
      <c r="O1163" s="5"/>
      <c r="P1163" s="10"/>
      <c r="Q1163" s="10"/>
      <c r="R1163" s="144"/>
      <c r="S1163" s="144"/>
      <c r="T1163" s="10"/>
      <c r="U1163" s="5"/>
      <c r="V1163" s="3"/>
      <c r="W1163" s="5"/>
      <c r="X1163" s="144"/>
      <c r="Y1163" s="10"/>
      <c r="Z1163" s="3"/>
      <c r="AA1163" s="10"/>
      <c r="AB1163" s="10"/>
      <c r="AC1163" s="181"/>
      <c r="AD1163" s="144"/>
      <c r="AE1163" s="182"/>
      <c r="AF1163" s="10"/>
      <c r="AG1163" s="10"/>
      <c r="AH1163" s="144"/>
      <c r="AI1163" s="3"/>
      <c r="AJ1163" s="10"/>
      <c r="AK1163" s="3"/>
      <c r="AL1163" s="5"/>
      <c r="AM1163" s="5"/>
      <c r="AN1163" s="5"/>
      <c r="AO1163" s="5"/>
      <c r="AP1163" s="5"/>
      <c r="AQ1163" s="5"/>
      <c r="AR1163" s="5"/>
      <c r="AS1163" s="142"/>
      <c r="AT1163" s="142"/>
      <c r="AU1163" s="142"/>
      <c r="AV1163" s="142"/>
      <c r="AW1163" s="142"/>
      <c r="AX1163" s="142"/>
      <c r="AY1163" s="142"/>
      <c r="AZ1163" s="174"/>
      <c r="BA1163" s="142"/>
      <c r="BB1163" s="142"/>
      <c r="BC1163" s="142"/>
      <c r="BD1163" s="142"/>
      <c r="BE1163" s="142"/>
      <c r="BF1163" s="142"/>
      <c r="BG1163" s="142"/>
    </row>
    <row r="1164">
      <c r="A1164" s="5"/>
      <c r="B1164" s="44"/>
      <c r="C1164" s="150"/>
      <c r="D1164" s="3"/>
      <c r="E1164" s="3"/>
      <c r="F1164" s="5"/>
      <c r="G1164" s="5"/>
      <c r="H1164" s="5"/>
      <c r="I1164" s="3"/>
      <c r="J1164" s="3"/>
      <c r="K1164" s="3"/>
      <c r="L1164" s="44"/>
      <c r="M1164" s="150"/>
      <c r="N1164" s="5"/>
      <c r="O1164" s="5"/>
      <c r="P1164" s="10"/>
      <c r="Q1164" s="10"/>
      <c r="R1164" s="144"/>
      <c r="S1164" s="144"/>
      <c r="T1164" s="10"/>
      <c r="U1164" s="5"/>
      <c r="V1164" s="3"/>
      <c r="W1164" s="5"/>
      <c r="X1164" s="144"/>
      <c r="Y1164" s="10"/>
      <c r="Z1164" s="3"/>
      <c r="AA1164" s="10"/>
      <c r="AB1164" s="10"/>
      <c r="AC1164" s="181"/>
      <c r="AD1164" s="144"/>
      <c r="AE1164" s="182"/>
      <c r="AF1164" s="10"/>
      <c r="AG1164" s="10"/>
      <c r="AH1164" s="144"/>
      <c r="AI1164" s="3"/>
      <c r="AJ1164" s="10"/>
      <c r="AK1164" s="3"/>
      <c r="AL1164" s="5"/>
      <c r="AM1164" s="5"/>
      <c r="AN1164" s="5"/>
      <c r="AO1164" s="5"/>
      <c r="AP1164" s="5"/>
      <c r="AQ1164" s="5"/>
      <c r="AR1164" s="5"/>
      <c r="AS1164" s="142"/>
      <c r="AT1164" s="142"/>
      <c r="AU1164" s="142"/>
      <c r="AV1164" s="142"/>
      <c r="AW1164" s="142"/>
      <c r="AX1164" s="142"/>
      <c r="AY1164" s="142"/>
      <c r="AZ1164" s="174"/>
      <c r="BA1164" s="142"/>
      <c r="BB1164" s="142"/>
      <c r="BC1164" s="142"/>
      <c r="BD1164" s="142"/>
      <c r="BE1164" s="142"/>
      <c r="BF1164" s="142"/>
      <c r="BG1164" s="142"/>
    </row>
    <row r="1165">
      <c r="A1165" s="5"/>
      <c r="B1165" s="44"/>
      <c r="C1165" s="150"/>
      <c r="D1165" s="3"/>
      <c r="E1165" s="3"/>
      <c r="F1165" s="5"/>
      <c r="G1165" s="5"/>
      <c r="H1165" s="5"/>
      <c r="I1165" s="3"/>
      <c r="J1165" s="3"/>
      <c r="K1165" s="3"/>
      <c r="L1165" s="44"/>
      <c r="M1165" s="150"/>
      <c r="N1165" s="5"/>
      <c r="O1165" s="5"/>
      <c r="P1165" s="10"/>
      <c r="Q1165" s="10"/>
      <c r="R1165" s="144"/>
      <c r="S1165" s="144"/>
      <c r="T1165" s="10"/>
      <c r="U1165" s="5"/>
      <c r="V1165" s="3"/>
      <c r="W1165" s="5"/>
      <c r="X1165" s="144"/>
      <c r="Y1165" s="10"/>
      <c r="Z1165" s="3"/>
      <c r="AA1165" s="10"/>
      <c r="AB1165" s="10"/>
      <c r="AC1165" s="181"/>
      <c r="AD1165" s="144"/>
      <c r="AE1165" s="182"/>
      <c r="AF1165" s="10"/>
      <c r="AG1165" s="10"/>
      <c r="AH1165" s="144"/>
      <c r="AI1165" s="3"/>
      <c r="AJ1165" s="10"/>
      <c r="AK1165" s="3"/>
      <c r="AL1165" s="5"/>
      <c r="AM1165" s="5"/>
      <c r="AN1165" s="5"/>
      <c r="AO1165" s="5"/>
      <c r="AP1165" s="5"/>
      <c r="AQ1165" s="5"/>
      <c r="AR1165" s="5"/>
      <c r="AS1165" s="142"/>
      <c r="AT1165" s="142"/>
      <c r="AU1165" s="142"/>
      <c r="AV1165" s="142"/>
      <c r="AW1165" s="142"/>
      <c r="AX1165" s="142"/>
      <c r="AY1165" s="142"/>
      <c r="AZ1165" s="174"/>
      <c r="BA1165" s="142"/>
      <c r="BB1165" s="142"/>
      <c r="BC1165" s="142"/>
      <c r="BD1165" s="142"/>
      <c r="BE1165" s="142"/>
      <c r="BF1165" s="142"/>
      <c r="BG1165" s="142"/>
    </row>
    <row r="1166">
      <c r="A1166" s="5"/>
      <c r="B1166" s="44"/>
      <c r="C1166" s="150"/>
      <c r="D1166" s="3"/>
      <c r="E1166" s="3"/>
      <c r="F1166" s="5"/>
      <c r="G1166" s="5"/>
      <c r="H1166" s="5"/>
      <c r="I1166" s="3"/>
      <c r="J1166" s="3"/>
      <c r="K1166" s="3"/>
      <c r="L1166" s="44"/>
      <c r="M1166" s="150"/>
      <c r="N1166" s="5"/>
      <c r="O1166" s="5"/>
      <c r="P1166" s="10"/>
      <c r="Q1166" s="10"/>
      <c r="R1166" s="144"/>
      <c r="S1166" s="144"/>
      <c r="T1166" s="10"/>
      <c r="U1166" s="5"/>
      <c r="V1166" s="3"/>
      <c r="W1166" s="5"/>
      <c r="X1166" s="144"/>
      <c r="Y1166" s="10"/>
      <c r="Z1166" s="3"/>
      <c r="AA1166" s="10"/>
      <c r="AB1166" s="10"/>
      <c r="AC1166" s="181"/>
      <c r="AD1166" s="144"/>
      <c r="AE1166" s="182"/>
      <c r="AF1166" s="10"/>
      <c r="AG1166" s="10"/>
      <c r="AH1166" s="144"/>
      <c r="AI1166" s="3"/>
      <c r="AJ1166" s="10"/>
      <c r="AK1166" s="3"/>
      <c r="AL1166" s="5"/>
      <c r="AM1166" s="5"/>
      <c r="AN1166" s="5"/>
      <c r="AO1166" s="5"/>
      <c r="AP1166" s="5"/>
      <c r="AQ1166" s="5"/>
      <c r="AR1166" s="5"/>
      <c r="AS1166" s="142"/>
      <c r="AT1166" s="142"/>
      <c r="AU1166" s="142"/>
      <c r="AV1166" s="142"/>
      <c r="AW1166" s="142"/>
      <c r="AX1166" s="142"/>
      <c r="AY1166" s="142"/>
      <c r="AZ1166" s="174"/>
      <c r="BA1166" s="142"/>
      <c r="BB1166" s="142"/>
      <c r="BC1166" s="142"/>
      <c r="BD1166" s="142"/>
      <c r="BE1166" s="142"/>
      <c r="BF1166" s="142"/>
      <c r="BG1166" s="142"/>
    </row>
    <row r="1167">
      <c r="A1167" s="5"/>
      <c r="B1167" s="44"/>
      <c r="C1167" s="150"/>
      <c r="D1167" s="3"/>
      <c r="E1167" s="3"/>
      <c r="F1167" s="5"/>
      <c r="G1167" s="5"/>
      <c r="H1167" s="5"/>
      <c r="I1167" s="3"/>
      <c r="J1167" s="3"/>
      <c r="K1167" s="3"/>
      <c r="L1167" s="44"/>
      <c r="M1167" s="150"/>
      <c r="N1167" s="5"/>
      <c r="O1167" s="5"/>
      <c r="P1167" s="10"/>
      <c r="Q1167" s="10"/>
      <c r="R1167" s="144"/>
      <c r="S1167" s="144"/>
      <c r="T1167" s="10"/>
      <c r="U1167" s="5"/>
      <c r="V1167" s="3"/>
      <c r="W1167" s="5"/>
      <c r="X1167" s="144"/>
      <c r="Y1167" s="10"/>
      <c r="Z1167" s="3"/>
      <c r="AA1167" s="10"/>
      <c r="AB1167" s="10"/>
      <c r="AC1167" s="181"/>
      <c r="AD1167" s="144"/>
      <c r="AE1167" s="182"/>
      <c r="AF1167" s="10"/>
      <c r="AG1167" s="10"/>
      <c r="AH1167" s="144"/>
      <c r="AI1167" s="3"/>
      <c r="AJ1167" s="10"/>
      <c r="AK1167" s="3"/>
      <c r="AL1167" s="5"/>
      <c r="AM1167" s="5"/>
      <c r="AN1167" s="5"/>
      <c r="AO1167" s="5"/>
      <c r="AP1167" s="5"/>
      <c r="AQ1167" s="5"/>
      <c r="AR1167" s="5"/>
      <c r="AS1167" s="142"/>
      <c r="AT1167" s="142"/>
      <c r="AU1167" s="142"/>
      <c r="AV1167" s="142"/>
      <c r="AW1167" s="142"/>
      <c r="AX1167" s="142"/>
      <c r="AY1167" s="142"/>
      <c r="AZ1167" s="174"/>
      <c r="BA1167" s="142"/>
      <c r="BB1167" s="142"/>
      <c r="BC1167" s="142"/>
      <c r="BD1167" s="142"/>
      <c r="BE1167" s="142"/>
      <c r="BF1167" s="142"/>
      <c r="BG1167" s="142"/>
    </row>
    <row r="1168">
      <c r="A1168" s="5"/>
      <c r="B1168" s="44"/>
      <c r="C1168" s="150"/>
      <c r="D1168" s="3"/>
      <c r="E1168" s="3"/>
      <c r="F1168" s="5"/>
      <c r="G1168" s="5"/>
      <c r="H1168" s="5"/>
      <c r="I1168" s="3"/>
      <c r="J1168" s="3"/>
      <c r="K1168" s="3"/>
      <c r="L1168" s="44"/>
      <c r="M1168" s="150"/>
      <c r="N1168" s="5"/>
      <c r="O1168" s="5"/>
      <c r="P1168" s="10"/>
      <c r="Q1168" s="10"/>
      <c r="R1168" s="144"/>
      <c r="S1168" s="144"/>
      <c r="T1168" s="10"/>
      <c r="U1168" s="5"/>
      <c r="V1168" s="3"/>
      <c r="W1168" s="5"/>
      <c r="X1168" s="144"/>
      <c r="Y1168" s="10"/>
      <c r="Z1168" s="3"/>
      <c r="AA1168" s="10"/>
      <c r="AB1168" s="10"/>
      <c r="AC1168" s="181"/>
      <c r="AD1168" s="144"/>
      <c r="AE1168" s="182"/>
      <c r="AF1168" s="10"/>
      <c r="AG1168" s="10"/>
      <c r="AH1168" s="144"/>
      <c r="AI1168" s="3"/>
      <c r="AJ1168" s="10"/>
      <c r="AK1168" s="3"/>
      <c r="AL1168" s="5"/>
      <c r="AM1168" s="5"/>
      <c r="AN1168" s="5"/>
      <c r="AO1168" s="5"/>
      <c r="AP1168" s="5"/>
      <c r="AQ1168" s="5"/>
      <c r="AR1168" s="5"/>
      <c r="AS1168" s="142"/>
      <c r="AT1168" s="142"/>
      <c r="AU1168" s="142"/>
      <c r="AV1168" s="142"/>
      <c r="AW1168" s="142"/>
      <c r="AX1168" s="142"/>
      <c r="AY1168" s="142"/>
      <c r="AZ1168" s="174"/>
      <c r="BA1168" s="142"/>
      <c r="BB1168" s="142"/>
      <c r="BC1168" s="142"/>
      <c r="BD1168" s="142"/>
      <c r="BE1168" s="142"/>
      <c r="BF1168" s="142"/>
      <c r="BG1168" s="142"/>
    </row>
    <row r="1169">
      <c r="A1169" s="5"/>
      <c r="B1169" s="44"/>
      <c r="C1169" s="150"/>
      <c r="D1169" s="3"/>
      <c r="E1169" s="3"/>
      <c r="F1169" s="5"/>
      <c r="G1169" s="5"/>
      <c r="H1169" s="5"/>
      <c r="I1169" s="3"/>
      <c r="J1169" s="3"/>
      <c r="K1169" s="3"/>
      <c r="L1169" s="44"/>
      <c r="M1169" s="150"/>
      <c r="N1169" s="5"/>
      <c r="O1169" s="5"/>
      <c r="P1169" s="10"/>
      <c r="Q1169" s="10"/>
      <c r="R1169" s="144"/>
      <c r="S1169" s="144"/>
      <c r="T1169" s="10"/>
      <c r="U1169" s="5"/>
      <c r="V1169" s="3"/>
      <c r="W1169" s="5"/>
      <c r="X1169" s="144"/>
      <c r="Y1169" s="10"/>
      <c r="Z1169" s="3"/>
      <c r="AA1169" s="10"/>
      <c r="AB1169" s="10"/>
      <c r="AC1169" s="181"/>
      <c r="AD1169" s="144"/>
      <c r="AE1169" s="182"/>
      <c r="AF1169" s="10"/>
      <c r="AG1169" s="10"/>
      <c r="AH1169" s="144"/>
      <c r="AI1169" s="3"/>
      <c r="AJ1169" s="10"/>
      <c r="AK1169" s="3"/>
      <c r="AL1169" s="5"/>
      <c r="AM1169" s="5"/>
      <c r="AN1169" s="5"/>
      <c r="AO1169" s="5"/>
      <c r="AP1169" s="5"/>
      <c r="AQ1169" s="5"/>
      <c r="AR1169" s="5"/>
      <c r="AS1169" s="142"/>
      <c r="AT1169" s="142"/>
      <c r="AU1169" s="142"/>
      <c r="AV1169" s="142"/>
      <c r="AW1169" s="142"/>
      <c r="AX1169" s="142"/>
      <c r="AY1169" s="142"/>
      <c r="AZ1169" s="174"/>
      <c r="BA1169" s="142"/>
      <c r="BB1169" s="142"/>
      <c r="BC1169" s="142"/>
      <c r="BD1169" s="142"/>
      <c r="BE1169" s="142"/>
      <c r="BF1169" s="142"/>
      <c r="BG1169" s="142"/>
    </row>
    <row r="1170">
      <c r="A1170" s="5"/>
      <c r="B1170" s="44"/>
      <c r="C1170" s="150"/>
      <c r="D1170" s="3"/>
      <c r="E1170" s="3"/>
      <c r="F1170" s="5"/>
      <c r="G1170" s="5"/>
      <c r="H1170" s="5"/>
      <c r="I1170" s="3"/>
      <c r="J1170" s="3"/>
      <c r="K1170" s="3"/>
      <c r="L1170" s="44"/>
      <c r="M1170" s="150"/>
      <c r="N1170" s="5"/>
      <c r="O1170" s="5"/>
      <c r="P1170" s="10"/>
      <c r="Q1170" s="10"/>
      <c r="R1170" s="144"/>
      <c r="S1170" s="144"/>
      <c r="T1170" s="10"/>
      <c r="U1170" s="5"/>
      <c r="V1170" s="3"/>
      <c r="W1170" s="5"/>
      <c r="X1170" s="144"/>
      <c r="Y1170" s="10"/>
      <c r="Z1170" s="3"/>
      <c r="AA1170" s="10"/>
      <c r="AB1170" s="10"/>
      <c r="AC1170" s="181"/>
      <c r="AD1170" s="144"/>
      <c r="AE1170" s="182"/>
      <c r="AF1170" s="10"/>
      <c r="AG1170" s="10"/>
      <c r="AH1170" s="144"/>
      <c r="AI1170" s="3"/>
      <c r="AJ1170" s="10"/>
      <c r="AK1170" s="3"/>
      <c r="AL1170" s="5"/>
      <c r="AM1170" s="5"/>
      <c r="AN1170" s="5"/>
      <c r="AO1170" s="5"/>
      <c r="AP1170" s="5"/>
      <c r="AQ1170" s="5"/>
      <c r="AR1170" s="5"/>
      <c r="AS1170" s="142"/>
      <c r="AT1170" s="142"/>
      <c r="AU1170" s="142"/>
      <c r="AV1170" s="142"/>
      <c r="AW1170" s="142"/>
      <c r="AX1170" s="142"/>
      <c r="AY1170" s="142"/>
      <c r="AZ1170" s="174"/>
      <c r="BA1170" s="142"/>
      <c r="BB1170" s="142"/>
      <c r="BC1170" s="142"/>
      <c r="BD1170" s="142"/>
      <c r="BE1170" s="142"/>
      <c r="BF1170" s="142"/>
      <c r="BG1170" s="142"/>
    </row>
    <row r="1171">
      <c r="A1171" s="5"/>
      <c r="B1171" s="44"/>
      <c r="C1171" s="150"/>
      <c r="D1171" s="3"/>
      <c r="E1171" s="3"/>
      <c r="F1171" s="5"/>
      <c r="G1171" s="5"/>
      <c r="H1171" s="5"/>
      <c r="I1171" s="3"/>
      <c r="J1171" s="3"/>
      <c r="K1171" s="3"/>
      <c r="L1171" s="44"/>
      <c r="M1171" s="150"/>
      <c r="N1171" s="5"/>
      <c r="O1171" s="5"/>
      <c r="P1171" s="10"/>
      <c r="Q1171" s="10"/>
      <c r="R1171" s="144"/>
      <c r="S1171" s="144"/>
      <c r="T1171" s="10"/>
      <c r="U1171" s="5"/>
      <c r="V1171" s="3"/>
      <c r="W1171" s="5"/>
      <c r="X1171" s="144"/>
      <c r="Y1171" s="10"/>
      <c r="Z1171" s="3"/>
      <c r="AA1171" s="10"/>
      <c r="AB1171" s="10"/>
      <c r="AC1171" s="181"/>
      <c r="AD1171" s="144"/>
      <c r="AE1171" s="182"/>
      <c r="AF1171" s="10"/>
      <c r="AG1171" s="10"/>
      <c r="AH1171" s="144"/>
      <c r="AI1171" s="3"/>
      <c r="AJ1171" s="10"/>
      <c r="AK1171" s="3"/>
      <c r="AL1171" s="5"/>
      <c r="AM1171" s="5"/>
      <c r="AN1171" s="5"/>
      <c r="AO1171" s="5"/>
      <c r="AP1171" s="5"/>
      <c r="AQ1171" s="5"/>
      <c r="AR1171" s="5"/>
      <c r="AS1171" s="142"/>
      <c r="AT1171" s="142"/>
      <c r="AU1171" s="142"/>
      <c r="AV1171" s="142"/>
      <c r="AW1171" s="142"/>
      <c r="AX1171" s="142"/>
      <c r="AY1171" s="142"/>
      <c r="AZ1171" s="174"/>
      <c r="BA1171" s="142"/>
      <c r="BB1171" s="142"/>
      <c r="BC1171" s="142"/>
      <c r="BD1171" s="142"/>
      <c r="BE1171" s="142"/>
      <c r="BF1171" s="142"/>
      <c r="BG1171" s="142"/>
    </row>
    <row r="1172">
      <c r="A1172" s="5"/>
      <c r="B1172" s="44"/>
      <c r="C1172" s="150"/>
      <c r="D1172" s="3"/>
      <c r="E1172" s="3"/>
      <c r="F1172" s="5"/>
      <c r="G1172" s="5"/>
      <c r="H1172" s="5"/>
      <c r="I1172" s="3"/>
      <c r="J1172" s="3"/>
      <c r="K1172" s="3"/>
      <c r="L1172" s="44"/>
      <c r="M1172" s="150"/>
      <c r="N1172" s="5"/>
      <c r="O1172" s="5"/>
      <c r="P1172" s="10"/>
      <c r="Q1172" s="10"/>
      <c r="R1172" s="144"/>
      <c r="S1172" s="144"/>
      <c r="T1172" s="10"/>
      <c r="U1172" s="5"/>
      <c r="V1172" s="3"/>
      <c r="W1172" s="5"/>
      <c r="X1172" s="144"/>
      <c r="Y1172" s="10"/>
      <c r="Z1172" s="3"/>
      <c r="AA1172" s="10"/>
      <c r="AB1172" s="10"/>
      <c r="AC1172" s="181"/>
      <c r="AD1172" s="144"/>
      <c r="AE1172" s="182"/>
      <c r="AF1172" s="10"/>
      <c r="AG1172" s="10"/>
      <c r="AH1172" s="144"/>
      <c r="AI1172" s="3"/>
      <c r="AJ1172" s="10"/>
      <c r="AK1172" s="3"/>
      <c r="AL1172" s="5"/>
      <c r="AM1172" s="5"/>
      <c r="AN1172" s="5"/>
      <c r="AO1172" s="5"/>
      <c r="AP1172" s="5"/>
      <c r="AQ1172" s="5"/>
      <c r="AR1172" s="5"/>
      <c r="AS1172" s="142"/>
      <c r="AT1172" s="142"/>
      <c r="AU1172" s="142"/>
      <c r="AV1172" s="142"/>
      <c r="AW1172" s="142"/>
      <c r="AX1172" s="142"/>
      <c r="AY1172" s="142"/>
      <c r="AZ1172" s="174"/>
      <c r="BA1172" s="142"/>
      <c r="BB1172" s="142"/>
      <c r="BC1172" s="142"/>
      <c r="BD1172" s="142"/>
      <c r="BE1172" s="142"/>
      <c r="BF1172" s="142"/>
      <c r="BG1172" s="142"/>
    </row>
    <row r="1173">
      <c r="A1173" s="5"/>
      <c r="B1173" s="44"/>
      <c r="C1173" s="150"/>
      <c r="D1173" s="3"/>
      <c r="E1173" s="3"/>
      <c r="F1173" s="5"/>
      <c r="G1173" s="5"/>
      <c r="H1173" s="5"/>
      <c r="I1173" s="3"/>
      <c r="J1173" s="3"/>
      <c r="K1173" s="3"/>
      <c r="L1173" s="44"/>
      <c r="M1173" s="150"/>
      <c r="N1173" s="5"/>
      <c r="O1173" s="5"/>
      <c r="P1173" s="10"/>
      <c r="Q1173" s="10"/>
      <c r="R1173" s="144"/>
      <c r="S1173" s="144"/>
      <c r="T1173" s="10"/>
      <c r="U1173" s="5"/>
      <c r="V1173" s="3"/>
      <c r="W1173" s="5"/>
      <c r="X1173" s="144"/>
      <c r="Y1173" s="10"/>
      <c r="Z1173" s="3"/>
      <c r="AA1173" s="10"/>
      <c r="AB1173" s="10"/>
      <c r="AC1173" s="181"/>
      <c r="AD1173" s="144"/>
      <c r="AE1173" s="182"/>
      <c r="AF1173" s="10"/>
      <c r="AG1173" s="10"/>
      <c r="AH1173" s="144"/>
      <c r="AI1173" s="3"/>
      <c r="AJ1173" s="10"/>
      <c r="AK1173" s="3"/>
      <c r="AL1173" s="5"/>
      <c r="AM1173" s="5"/>
      <c r="AN1173" s="5"/>
      <c r="AO1173" s="5"/>
      <c r="AP1173" s="5"/>
      <c r="AQ1173" s="5"/>
      <c r="AR1173" s="5"/>
      <c r="AS1173" s="142"/>
      <c r="AT1173" s="142"/>
      <c r="AU1173" s="142"/>
      <c r="AV1173" s="142"/>
      <c r="AW1173" s="142"/>
      <c r="AX1173" s="142"/>
      <c r="AY1173" s="142"/>
      <c r="AZ1173" s="174"/>
      <c r="BA1173" s="142"/>
      <c r="BB1173" s="142"/>
      <c r="BC1173" s="142"/>
      <c r="BD1173" s="142"/>
      <c r="BE1173" s="142"/>
      <c r="BF1173" s="142"/>
      <c r="BG1173" s="142"/>
    </row>
    <row r="1174">
      <c r="A1174" s="5"/>
      <c r="B1174" s="44"/>
      <c r="C1174" s="150"/>
      <c r="D1174" s="3"/>
      <c r="E1174" s="3"/>
      <c r="F1174" s="5"/>
      <c r="G1174" s="5"/>
      <c r="H1174" s="5"/>
      <c r="I1174" s="3"/>
      <c r="J1174" s="3"/>
      <c r="K1174" s="3"/>
      <c r="L1174" s="44"/>
      <c r="M1174" s="150"/>
      <c r="N1174" s="5"/>
      <c r="O1174" s="5"/>
      <c r="P1174" s="10"/>
      <c r="Q1174" s="10"/>
      <c r="R1174" s="144"/>
      <c r="S1174" s="144"/>
      <c r="T1174" s="10"/>
      <c r="U1174" s="5"/>
      <c r="V1174" s="3"/>
      <c r="W1174" s="5"/>
      <c r="X1174" s="144"/>
      <c r="Y1174" s="10"/>
      <c r="Z1174" s="3"/>
      <c r="AA1174" s="10"/>
      <c r="AB1174" s="10"/>
      <c r="AC1174" s="181"/>
      <c r="AD1174" s="144"/>
      <c r="AE1174" s="182"/>
      <c r="AF1174" s="10"/>
      <c r="AG1174" s="10"/>
      <c r="AH1174" s="144"/>
      <c r="AI1174" s="3"/>
      <c r="AJ1174" s="10"/>
      <c r="AK1174" s="3"/>
      <c r="AL1174" s="5"/>
      <c r="AM1174" s="5"/>
      <c r="AN1174" s="5"/>
      <c r="AO1174" s="5"/>
      <c r="AP1174" s="5"/>
      <c r="AQ1174" s="5"/>
      <c r="AR1174" s="5"/>
      <c r="AS1174" s="142"/>
      <c r="AT1174" s="142"/>
      <c r="AU1174" s="142"/>
      <c r="AV1174" s="142"/>
      <c r="AW1174" s="142"/>
      <c r="AX1174" s="142"/>
      <c r="AY1174" s="142"/>
      <c r="AZ1174" s="174"/>
      <c r="BA1174" s="142"/>
      <c r="BB1174" s="142"/>
      <c r="BC1174" s="142"/>
      <c r="BD1174" s="142"/>
      <c r="BE1174" s="142"/>
      <c r="BF1174" s="142"/>
      <c r="BG1174" s="142"/>
    </row>
    <row r="1175">
      <c r="A1175" s="5"/>
      <c r="B1175" s="44"/>
      <c r="C1175" s="150"/>
      <c r="D1175" s="3"/>
      <c r="E1175" s="3"/>
      <c r="F1175" s="5"/>
      <c r="G1175" s="5"/>
      <c r="H1175" s="5"/>
      <c r="I1175" s="3"/>
      <c r="J1175" s="3"/>
      <c r="K1175" s="3"/>
      <c r="L1175" s="44"/>
      <c r="M1175" s="150"/>
      <c r="N1175" s="5"/>
      <c r="O1175" s="5"/>
      <c r="P1175" s="10"/>
      <c r="Q1175" s="10"/>
      <c r="R1175" s="144"/>
      <c r="S1175" s="144"/>
      <c r="T1175" s="10"/>
      <c r="U1175" s="5"/>
      <c r="V1175" s="3"/>
      <c r="W1175" s="5"/>
      <c r="X1175" s="144"/>
      <c r="Y1175" s="10"/>
      <c r="Z1175" s="3"/>
      <c r="AA1175" s="10"/>
      <c r="AB1175" s="10"/>
      <c r="AC1175" s="181"/>
      <c r="AD1175" s="144"/>
      <c r="AE1175" s="182"/>
      <c r="AF1175" s="10"/>
      <c r="AG1175" s="10"/>
      <c r="AH1175" s="144"/>
      <c r="AI1175" s="3"/>
      <c r="AJ1175" s="10"/>
      <c r="AK1175" s="3"/>
      <c r="AL1175" s="5"/>
      <c r="AM1175" s="5"/>
      <c r="AN1175" s="5"/>
      <c r="AO1175" s="5"/>
      <c r="AP1175" s="5"/>
      <c r="AQ1175" s="5"/>
      <c r="AR1175" s="5"/>
      <c r="AS1175" s="142"/>
      <c r="AT1175" s="142"/>
      <c r="AU1175" s="142"/>
      <c r="AV1175" s="142"/>
      <c r="AW1175" s="142"/>
      <c r="AX1175" s="142"/>
      <c r="AY1175" s="142"/>
      <c r="AZ1175" s="174"/>
      <c r="BA1175" s="142"/>
      <c r="BB1175" s="142"/>
      <c r="BC1175" s="142"/>
      <c r="BD1175" s="142"/>
      <c r="BE1175" s="142"/>
      <c r="BF1175" s="142"/>
      <c r="BG1175" s="142"/>
    </row>
    <row r="1176">
      <c r="A1176" s="5"/>
      <c r="B1176" s="44"/>
      <c r="C1176" s="150"/>
      <c r="D1176" s="3"/>
      <c r="E1176" s="3"/>
      <c r="F1176" s="5"/>
      <c r="G1176" s="5"/>
      <c r="H1176" s="5"/>
      <c r="I1176" s="3"/>
      <c r="J1176" s="3"/>
      <c r="K1176" s="3"/>
      <c r="L1176" s="44"/>
      <c r="M1176" s="150"/>
      <c r="N1176" s="5"/>
      <c r="O1176" s="5"/>
      <c r="P1176" s="10"/>
      <c r="Q1176" s="10"/>
      <c r="R1176" s="144"/>
      <c r="S1176" s="144"/>
      <c r="T1176" s="10"/>
      <c r="U1176" s="5"/>
      <c r="V1176" s="3"/>
      <c r="W1176" s="5"/>
      <c r="X1176" s="144"/>
      <c r="Y1176" s="10"/>
      <c r="Z1176" s="3"/>
      <c r="AA1176" s="10"/>
      <c r="AB1176" s="10"/>
      <c r="AC1176" s="181"/>
      <c r="AD1176" s="144"/>
      <c r="AE1176" s="182"/>
      <c r="AF1176" s="10"/>
      <c r="AG1176" s="10"/>
      <c r="AH1176" s="144"/>
      <c r="AI1176" s="3"/>
      <c r="AJ1176" s="10"/>
      <c r="AK1176" s="3"/>
      <c r="AL1176" s="5"/>
      <c r="AM1176" s="5"/>
      <c r="AN1176" s="5"/>
      <c r="AO1176" s="5"/>
      <c r="AP1176" s="5"/>
      <c r="AQ1176" s="5"/>
      <c r="AR1176" s="5"/>
      <c r="AS1176" s="142"/>
      <c r="AT1176" s="142"/>
      <c r="AU1176" s="142"/>
      <c r="AV1176" s="142"/>
      <c r="AW1176" s="142"/>
      <c r="AX1176" s="142"/>
      <c r="AY1176" s="142"/>
      <c r="AZ1176" s="174"/>
      <c r="BA1176" s="142"/>
      <c r="BB1176" s="142"/>
      <c r="BC1176" s="142"/>
      <c r="BD1176" s="142"/>
      <c r="BE1176" s="142"/>
      <c r="BF1176" s="142"/>
      <c r="BG1176" s="142"/>
    </row>
    <row r="1177">
      <c r="A1177" s="5"/>
      <c r="B1177" s="44"/>
      <c r="C1177" s="150"/>
      <c r="D1177" s="3"/>
      <c r="E1177" s="3"/>
      <c r="F1177" s="5"/>
      <c r="G1177" s="5"/>
      <c r="H1177" s="5"/>
      <c r="I1177" s="3"/>
      <c r="J1177" s="3"/>
      <c r="K1177" s="3"/>
      <c r="L1177" s="44"/>
      <c r="M1177" s="150"/>
      <c r="N1177" s="5"/>
      <c r="O1177" s="5"/>
      <c r="P1177" s="10"/>
      <c r="Q1177" s="10"/>
      <c r="R1177" s="144"/>
      <c r="S1177" s="144"/>
      <c r="T1177" s="10"/>
      <c r="U1177" s="5"/>
      <c r="V1177" s="3"/>
      <c r="W1177" s="5"/>
      <c r="X1177" s="144"/>
      <c r="Y1177" s="10"/>
      <c r="Z1177" s="3"/>
      <c r="AA1177" s="10"/>
      <c r="AB1177" s="10"/>
      <c r="AC1177" s="181"/>
      <c r="AD1177" s="144"/>
      <c r="AE1177" s="182"/>
      <c r="AF1177" s="10"/>
      <c r="AG1177" s="10"/>
      <c r="AH1177" s="144"/>
      <c r="AI1177" s="3"/>
      <c r="AJ1177" s="10"/>
      <c r="AK1177" s="3"/>
      <c r="AL1177" s="5"/>
      <c r="AM1177" s="5"/>
      <c r="AN1177" s="5"/>
      <c r="AO1177" s="5"/>
      <c r="AP1177" s="5"/>
      <c r="AQ1177" s="5"/>
      <c r="AR1177" s="5"/>
      <c r="AS1177" s="142"/>
      <c r="AT1177" s="142"/>
      <c r="AU1177" s="142"/>
      <c r="AV1177" s="142"/>
      <c r="AW1177" s="142"/>
      <c r="AX1177" s="142"/>
      <c r="AY1177" s="142"/>
      <c r="AZ1177" s="174"/>
      <c r="BA1177" s="142"/>
      <c r="BB1177" s="142"/>
      <c r="BC1177" s="142"/>
      <c r="BD1177" s="142"/>
      <c r="BE1177" s="142"/>
      <c r="BF1177" s="142"/>
      <c r="BG1177" s="142"/>
    </row>
    <row r="1178">
      <c r="A1178" s="5"/>
      <c r="B1178" s="44"/>
      <c r="C1178" s="150"/>
      <c r="D1178" s="3"/>
      <c r="E1178" s="3"/>
      <c r="F1178" s="5"/>
      <c r="G1178" s="5"/>
      <c r="H1178" s="5"/>
      <c r="I1178" s="3"/>
      <c r="J1178" s="3"/>
      <c r="K1178" s="3"/>
      <c r="L1178" s="44"/>
      <c r="M1178" s="150"/>
      <c r="N1178" s="5"/>
      <c r="O1178" s="5"/>
      <c r="P1178" s="10"/>
      <c r="Q1178" s="10"/>
      <c r="R1178" s="144"/>
      <c r="S1178" s="144"/>
      <c r="T1178" s="10"/>
      <c r="U1178" s="5"/>
      <c r="V1178" s="3"/>
      <c r="W1178" s="5"/>
      <c r="X1178" s="144"/>
      <c r="Y1178" s="10"/>
      <c r="Z1178" s="3"/>
      <c r="AA1178" s="10"/>
      <c r="AB1178" s="10"/>
      <c r="AC1178" s="181"/>
      <c r="AD1178" s="144"/>
      <c r="AE1178" s="182"/>
      <c r="AF1178" s="10"/>
      <c r="AG1178" s="10"/>
      <c r="AH1178" s="144"/>
      <c r="AI1178" s="3"/>
      <c r="AJ1178" s="10"/>
      <c r="AK1178" s="3"/>
      <c r="AL1178" s="5"/>
      <c r="AM1178" s="5"/>
      <c r="AN1178" s="5"/>
      <c r="AO1178" s="5"/>
      <c r="AP1178" s="5"/>
      <c r="AQ1178" s="5"/>
      <c r="AR1178" s="5"/>
      <c r="AS1178" s="142"/>
      <c r="AT1178" s="142"/>
      <c r="AU1178" s="142"/>
      <c r="AV1178" s="142"/>
      <c r="AW1178" s="142"/>
      <c r="AX1178" s="142"/>
      <c r="AY1178" s="142"/>
      <c r="AZ1178" s="174"/>
      <c r="BA1178" s="142"/>
      <c r="BB1178" s="142"/>
      <c r="BC1178" s="142"/>
      <c r="BD1178" s="142"/>
      <c r="BE1178" s="142"/>
      <c r="BF1178" s="142"/>
      <c r="BG1178" s="142"/>
    </row>
    <row r="1179">
      <c r="A1179" s="5"/>
      <c r="B1179" s="44"/>
      <c r="C1179" s="150"/>
      <c r="D1179" s="3"/>
      <c r="E1179" s="3"/>
      <c r="F1179" s="5"/>
      <c r="G1179" s="5"/>
      <c r="H1179" s="5"/>
      <c r="I1179" s="3"/>
      <c r="J1179" s="3"/>
      <c r="K1179" s="3"/>
      <c r="L1179" s="44"/>
      <c r="M1179" s="150"/>
      <c r="N1179" s="5"/>
      <c r="O1179" s="5"/>
      <c r="P1179" s="10"/>
      <c r="Q1179" s="10"/>
      <c r="R1179" s="144"/>
      <c r="S1179" s="144"/>
      <c r="T1179" s="10"/>
      <c r="U1179" s="5"/>
      <c r="V1179" s="3"/>
      <c r="W1179" s="5"/>
      <c r="X1179" s="144"/>
      <c r="Y1179" s="10"/>
      <c r="Z1179" s="3"/>
      <c r="AA1179" s="10"/>
      <c r="AB1179" s="10"/>
      <c r="AC1179" s="181"/>
      <c r="AD1179" s="144"/>
      <c r="AE1179" s="182"/>
      <c r="AF1179" s="10"/>
      <c r="AG1179" s="10"/>
      <c r="AH1179" s="144"/>
      <c r="AI1179" s="3"/>
      <c r="AJ1179" s="10"/>
      <c r="AK1179" s="3"/>
      <c r="AL1179" s="5"/>
      <c r="AM1179" s="5"/>
      <c r="AN1179" s="5"/>
      <c r="AO1179" s="5"/>
      <c r="AP1179" s="5"/>
      <c r="AQ1179" s="5"/>
      <c r="AR1179" s="5"/>
      <c r="AS1179" s="142"/>
      <c r="AT1179" s="142"/>
      <c r="AU1179" s="142"/>
      <c r="AV1179" s="142"/>
      <c r="AW1179" s="142"/>
      <c r="AX1179" s="142"/>
      <c r="AY1179" s="142"/>
      <c r="AZ1179" s="174"/>
      <c r="BA1179" s="142"/>
      <c r="BB1179" s="142"/>
      <c r="BC1179" s="142"/>
      <c r="BD1179" s="142"/>
      <c r="BE1179" s="142"/>
      <c r="BF1179" s="142"/>
      <c r="BG1179" s="142"/>
    </row>
    <row r="1180">
      <c r="A1180" s="5"/>
      <c r="B1180" s="44"/>
      <c r="C1180" s="150"/>
      <c r="D1180" s="3"/>
      <c r="E1180" s="3"/>
      <c r="F1180" s="5"/>
      <c r="G1180" s="5"/>
      <c r="H1180" s="5"/>
      <c r="I1180" s="3"/>
      <c r="J1180" s="3"/>
      <c r="K1180" s="3"/>
      <c r="L1180" s="44"/>
      <c r="M1180" s="150"/>
      <c r="N1180" s="5"/>
      <c r="O1180" s="5"/>
      <c r="P1180" s="10"/>
      <c r="Q1180" s="10"/>
      <c r="R1180" s="144"/>
      <c r="S1180" s="144"/>
      <c r="T1180" s="10"/>
      <c r="U1180" s="5"/>
      <c r="V1180" s="3"/>
      <c r="W1180" s="5"/>
      <c r="X1180" s="144"/>
      <c r="Y1180" s="10"/>
      <c r="Z1180" s="3"/>
      <c r="AA1180" s="10"/>
      <c r="AB1180" s="10"/>
      <c r="AC1180" s="181"/>
      <c r="AD1180" s="144"/>
      <c r="AE1180" s="182"/>
      <c r="AF1180" s="10"/>
      <c r="AG1180" s="10"/>
      <c r="AH1180" s="144"/>
      <c r="AI1180" s="3"/>
      <c r="AJ1180" s="10"/>
      <c r="AK1180" s="3"/>
      <c r="AL1180" s="5"/>
      <c r="AM1180" s="5"/>
      <c r="AN1180" s="5"/>
      <c r="AO1180" s="5"/>
      <c r="AP1180" s="5"/>
      <c r="AQ1180" s="5"/>
      <c r="AR1180" s="5"/>
      <c r="AS1180" s="142"/>
      <c r="AT1180" s="142"/>
      <c r="AU1180" s="142"/>
      <c r="AV1180" s="142"/>
      <c r="AW1180" s="142"/>
      <c r="AX1180" s="142"/>
      <c r="AY1180" s="142"/>
      <c r="AZ1180" s="174"/>
      <c r="BA1180" s="142"/>
      <c r="BB1180" s="142"/>
      <c r="BC1180" s="142"/>
      <c r="BD1180" s="142"/>
      <c r="BE1180" s="142"/>
      <c r="BF1180" s="142"/>
      <c r="BG1180" s="142"/>
    </row>
    <row r="1181">
      <c r="A1181" s="5"/>
      <c r="B1181" s="44"/>
      <c r="C1181" s="150"/>
      <c r="D1181" s="3"/>
      <c r="E1181" s="3"/>
      <c r="F1181" s="5"/>
      <c r="G1181" s="5"/>
      <c r="H1181" s="5"/>
      <c r="I1181" s="3"/>
      <c r="J1181" s="3"/>
      <c r="K1181" s="3"/>
      <c r="L1181" s="44"/>
      <c r="M1181" s="150"/>
      <c r="N1181" s="5"/>
      <c r="O1181" s="5"/>
      <c r="P1181" s="10"/>
      <c r="Q1181" s="10"/>
      <c r="R1181" s="144"/>
      <c r="S1181" s="144"/>
      <c r="T1181" s="10"/>
      <c r="U1181" s="5"/>
      <c r="V1181" s="3"/>
      <c r="W1181" s="5"/>
      <c r="X1181" s="144"/>
      <c r="Y1181" s="10"/>
      <c r="Z1181" s="3"/>
      <c r="AA1181" s="10"/>
      <c r="AB1181" s="10"/>
      <c r="AC1181" s="181"/>
      <c r="AD1181" s="144"/>
      <c r="AE1181" s="182"/>
      <c r="AF1181" s="10"/>
      <c r="AG1181" s="10"/>
      <c r="AH1181" s="144"/>
      <c r="AI1181" s="3"/>
      <c r="AJ1181" s="10"/>
      <c r="AK1181" s="3"/>
      <c r="AL1181" s="5"/>
      <c r="AM1181" s="5"/>
      <c r="AN1181" s="5"/>
      <c r="AO1181" s="5"/>
      <c r="AP1181" s="5"/>
      <c r="AQ1181" s="5"/>
      <c r="AR1181" s="5"/>
      <c r="AS1181" s="142"/>
      <c r="AT1181" s="142"/>
      <c r="AU1181" s="142"/>
      <c r="AV1181" s="142"/>
      <c r="AW1181" s="142"/>
      <c r="AX1181" s="142"/>
      <c r="AY1181" s="142"/>
      <c r="AZ1181" s="174"/>
      <c r="BA1181" s="142"/>
      <c r="BB1181" s="142"/>
      <c r="BC1181" s="142"/>
      <c r="BD1181" s="142"/>
      <c r="BE1181" s="142"/>
      <c r="BF1181" s="142"/>
      <c r="BG1181" s="142"/>
    </row>
    <row r="1182">
      <c r="A1182" s="5"/>
      <c r="B1182" s="44"/>
      <c r="C1182" s="150"/>
      <c r="D1182" s="3"/>
      <c r="E1182" s="3"/>
      <c r="F1182" s="5"/>
      <c r="G1182" s="5"/>
      <c r="H1182" s="5"/>
      <c r="I1182" s="3"/>
      <c r="J1182" s="3"/>
      <c r="K1182" s="3"/>
      <c r="L1182" s="44"/>
      <c r="M1182" s="150"/>
      <c r="N1182" s="5"/>
      <c r="O1182" s="5"/>
      <c r="P1182" s="10"/>
      <c r="Q1182" s="10"/>
      <c r="R1182" s="144"/>
      <c r="S1182" s="144"/>
      <c r="T1182" s="10"/>
      <c r="U1182" s="5"/>
      <c r="V1182" s="3"/>
      <c r="W1182" s="5"/>
      <c r="X1182" s="144"/>
      <c r="Y1182" s="10"/>
      <c r="Z1182" s="3"/>
      <c r="AA1182" s="10"/>
      <c r="AB1182" s="10"/>
      <c r="AC1182" s="181"/>
      <c r="AD1182" s="144"/>
      <c r="AE1182" s="182"/>
      <c r="AF1182" s="10"/>
      <c r="AG1182" s="10"/>
      <c r="AH1182" s="144"/>
      <c r="AI1182" s="3"/>
      <c r="AJ1182" s="10"/>
      <c r="AK1182" s="3"/>
      <c r="AL1182" s="5"/>
      <c r="AM1182" s="5"/>
      <c r="AN1182" s="5"/>
      <c r="AO1182" s="5"/>
      <c r="AP1182" s="5"/>
      <c r="AQ1182" s="5"/>
      <c r="AR1182" s="5"/>
      <c r="AS1182" s="142"/>
      <c r="AT1182" s="142"/>
      <c r="AU1182" s="142"/>
      <c r="AV1182" s="142"/>
      <c r="AW1182" s="142"/>
      <c r="AX1182" s="142"/>
      <c r="AY1182" s="142"/>
      <c r="AZ1182" s="174"/>
      <c r="BA1182" s="142"/>
      <c r="BB1182" s="142"/>
      <c r="BC1182" s="142"/>
      <c r="BD1182" s="142"/>
      <c r="BE1182" s="142"/>
      <c r="BF1182" s="142"/>
      <c r="BG1182" s="142"/>
    </row>
    <row r="1183">
      <c r="A1183" s="5"/>
      <c r="B1183" s="44"/>
      <c r="C1183" s="150"/>
      <c r="D1183" s="3"/>
      <c r="E1183" s="3"/>
      <c r="F1183" s="5"/>
      <c r="G1183" s="5"/>
      <c r="H1183" s="5"/>
      <c r="I1183" s="3"/>
      <c r="J1183" s="3"/>
      <c r="K1183" s="3"/>
      <c r="L1183" s="44"/>
      <c r="M1183" s="150"/>
      <c r="N1183" s="5"/>
      <c r="O1183" s="5"/>
      <c r="P1183" s="10"/>
      <c r="Q1183" s="10"/>
      <c r="R1183" s="144"/>
      <c r="S1183" s="144"/>
      <c r="T1183" s="10"/>
      <c r="U1183" s="5"/>
      <c r="V1183" s="3"/>
      <c r="W1183" s="5"/>
      <c r="X1183" s="144"/>
      <c r="Y1183" s="10"/>
      <c r="Z1183" s="3"/>
      <c r="AA1183" s="10"/>
      <c r="AB1183" s="10"/>
      <c r="AC1183" s="181"/>
      <c r="AD1183" s="144"/>
      <c r="AE1183" s="182"/>
      <c r="AF1183" s="10"/>
      <c r="AG1183" s="10"/>
      <c r="AH1183" s="144"/>
      <c r="AI1183" s="3"/>
      <c r="AJ1183" s="10"/>
      <c r="AK1183" s="3"/>
      <c r="AL1183" s="5"/>
      <c r="AM1183" s="5"/>
      <c r="AN1183" s="5"/>
      <c r="AO1183" s="5"/>
      <c r="AP1183" s="5"/>
      <c r="AQ1183" s="5"/>
      <c r="AR1183" s="5"/>
      <c r="AS1183" s="142"/>
      <c r="AT1183" s="142"/>
      <c r="AU1183" s="142"/>
      <c r="AV1183" s="142"/>
      <c r="AW1183" s="142"/>
      <c r="AX1183" s="142"/>
      <c r="AY1183" s="142"/>
      <c r="AZ1183" s="174"/>
      <c r="BA1183" s="142"/>
      <c r="BB1183" s="142"/>
      <c r="BC1183" s="142"/>
      <c r="BD1183" s="142"/>
      <c r="BE1183" s="142"/>
      <c r="BF1183" s="142"/>
      <c r="BG1183" s="142"/>
    </row>
    <row r="1184">
      <c r="A1184" s="5"/>
      <c r="B1184" s="44"/>
      <c r="C1184" s="150"/>
      <c r="D1184" s="3"/>
      <c r="E1184" s="3"/>
      <c r="F1184" s="5"/>
      <c r="G1184" s="5"/>
      <c r="H1184" s="5"/>
      <c r="I1184" s="3"/>
      <c r="J1184" s="3"/>
      <c r="K1184" s="3"/>
      <c r="L1184" s="44"/>
      <c r="M1184" s="150"/>
      <c r="N1184" s="5"/>
      <c r="O1184" s="5"/>
      <c r="P1184" s="10"/>
      <c r="Q1184" s="10"/>
      <c r="R1184" s="144"/>
      <c r="S1184" s="144"/>
      <c r="T1184" s="10"/>
      <c r="U1184" s="5"/>
      <c r="V1184" s="3"/>
      <c r="W1184" s="5"/>
      <c r="X1184" s="144"/>
      <c r="Y1184" s="10"/>
      <c r="Z1184" s="3"/>
      <c r="AA1184" s="10"/>
      <c r="AB1184" s="10"/>
      <c r="AC1184" s="181"/>
      <c r="AD1184" s="144"/>
      <c r="AE1184" s="182"/>
      <c r="AF1184" s="10"/>
      <c r="AG1184" s="10"/>
      <c r="AH1184" s="144"/>
      <c r="AI1184" s="3"/>
      <c r="AJ1184" s="10"/>
      <c r="AK1184" s="3"/>
      <c r="AL1184" s="5"/>
      <c r="AM1184" s="5"/>
      <c r="AN1184" s="5"/>
      <c r="AO1184" s="5"/>
      <c r="AP1184" s="5"/>
      <c r="AQ1184" s="5"/>
      <c r="AR1184" s="5"/>
      <c r="AS1184" s="142"/>
      <c r="AT1184" s="142"/>
      <c r="AU1184" s="142"/>
      <c r="AV1184" s="142"/>
      <c r="AW1184" s="142"/>
      <c r="AX1184" s="142"/>
      <c r="AY1184" s="142"/>
      <c r="AZ1184" s="174"/>
      <c r="BA1184" s="142"/>
      <c r="BB1184" s="142"/>
      <c r="BC1184" s="142"/>
      <c r="BD1184" s="142"/>
      <c r="BE1184" s="142"/>
      <c r="BF1184" s="142"/>
      <c r="BG1184" s="142"/>
    </row>
    <row r="1185">
      <c r="A1185" s="5"/>
      <c r="B1185" s="44"/>
      <c r="C1185" s="150"/>
      <c r="D1185" s="3"/>
      <c r="E1185" s="3"/>
      <c r="F1185" s="5"/>
      <c r="G1185" s="5"/>
      <c r="H1185" s="5"/>
      <c r="I1185" s="3"/>
      <c r="J1185" s="3"/>
      <c r="K1185" s="3"/>
      <c r="L1185" s="44"/>
      <c r="M1185" s="150"/>
      <c r="N1185" s="5"/>
      <c r="O1185" s="5"/>
      <c r="P1185" s="10"/>
      <c r="Q1185" s="10"/>
      <c r="R1185" s="144"/>
      <c r="S1185" s="144"/>
      <c r="T1185" s="10"/>
      <c r="U1185" s="5"/>
      <c r="V1185" s="3"/>
      <c r="W1185" s="5"/>
      <c r="X1185" s="144"/>
      <c r="Y1185" s="10"/>
      <c r="Z1185" s="3"/>
      <c r="AA1185" s="10"/>
      <c r="AB1185" s="10"/>
      <c r="AC1185" s="181"/>
      <c r="AD1185" s="144"/>
      <c r="AE1185" s="182"/>
      <c r="AF1185" s="10"/>
      <c r="AG1185" s="10"/>
      <c r="AH1185" s="144"/>
      <c r="AI1185" s="3"/>
      <c r="AJ1185" s="10"/>
      <c r="AK1185" s="3"/>
      <c r="AL1185" s="5"/>
      <c r="AM1185" s="5"/>
      <c r="AN1185" s="5"/>
      <c r="AO1185" s="5"/>
      <c r="AP1185" s="5"/>
      <c r="AQ1185" s="5"/>
      <c r="AR1185" s="5"/>
      <c r="AS1185" s="142"/>
      <c r="AT1185" s="142"/>
      <c r="AU1185" s="142"/>
      <c r="AV1185" s="142"/>
      <c r="AW1185" s="142"/>
      <c r="AX1185" s="142"/>
      <c r="AY1185" s="142"/>
      <c r="AZ1185" s="174"/>
      <c r="BA1185" s="142"/>
      <c r="BB1185" s="142"/>
      <c r="BC1185" s="142"/>
      <c r="BD1185" s="142"/>
      <c r="BE1185" s="142"/>
      <c r="BF1185" s="142"/>
      <c r="BG1185" s="142"/>
    </row>
    <row r="1186">
      <c r="A1186" s="5"/>
      <c r="B1186" s="44"/>
      <c r="C1186" s="150"/>
      <c r="D1186" s="3"/>
      <c r="E1186" s="3"/>
      <c r="F1186" s="5"/>
      <c r="G1186" s="5"/>
      <c r="H1186" s="5"/>
      <c r="I1186" s="3"/>
      <c r="J1186" s="3"/>
      <c r="K1186" s="3"/>
      <c r="L1186" s="44"/>
      <c r="M1186" s="150"/>
      <c r="N1186" s="5"/>
      <c r="O1186" s="5"/>
      <c r="P1186" s="10"/>
      <c r="Q1186" s="10"/>
      <c r="R1186" s="144"/>
      <c r="S1186" s="144"/>
      <c r="T1186" s="10"/>
      <c r="U1186" s="5"/>
      <c r="V1186" s="3"/>
      <c r="W1186" s="5"/>
      <c r="X1186" s="144"/>
      <c r="Y1186" s="10"/>
      <c r="Z1186" s="3"/>
      <c r="AA1186" s="10"/>
      <c r="AB1186" s="10"/>
      <c r="AC1186" s="181"/>
      <c r="AD1186" s="144"/>
      <c r="AE1186" s="182"/>
      <c r="AF1186" s="10"/>
      <c r="AG1186" s="10"/>
      <c r="AH1186" s="144"/>
      <c r="AI1186" s="3"/>
      <c r="AJ1186" s="10"/>
      <c r="AK1186" s="3"/>
      <c r="AL1186" s="5"/>
      <c r="AM1186" s="5"/>
      <c r="AN1186" s="5"/>
      <c r="AO1186" s="5"/>
      <c r="AP1186" s="5"/>
      <c r="AQ1186" s="5"/>
      <c r="AR1186" s="5"/>
      <c r="AS1186" s="142"/>
      <c r="AT1186" s="142"/>
      <c r="AU1186" s="142"/>
      <c r="AV1186" s="142"/>
      <c r="AW1186" s="142"/>
      <c r="AX1186" s="142"/>
      <c r="AY1186" s="142"/>
      <c r="AZ1186" s="174"/>
      <c r="BA1186" s="142"/>
      <c r="BB1186" s="142"/>
      <c r="BC1186" s="142"/>
      <c r="BD1186" s="142"/>
      <c r="BE1186" s="142"/>
      <c r="BF1186" s="142"/>
      <c r="BG1186" s="142"/>
    </row>
    <row r="1187">
      <c r="A1187" s="5"/>
      <c r="B1187" s="44"/>
      <c r="C1187" s="150"/>
      <c r="D1187" s="3"/>
      <c r="E1187" s="3"/>
      <c r="F1187" s="5"/>
      <c r="G1187" s="5"/>
      <c r="H1187" s="5"/>
      <c r="I1187" s="3"/>
      <c r="J1187" s="3"/>
      <c r="K1187" s="3"/>
      <c r="L1187" s="44"/>
      <c r="M1187" s="150"/>
      <c r="N1187" s="5"/>
      <c r="O1187" s="5"/>
      <c r="P1187" s="10"/>
      <c r="Q1187" s="10"/>
      <c r="R1187" s="144"/>
      <c r="S1187" s="144"/>
      <c r="T1187" s="10"/>
      <c r="U1187" s="5"/>
      <c r="V1187" s="3"/>
      <c r="W1187" s="5"/>
      <c r="X1187" s="144"/>
      <c r="Y1187" s="10"/>
      <c r="Z1187" s="3"/>
      <c r="AA1187" s="10"/>
      <c r="AB1187" s="10"/>
      <c r="AC1187" s="181"/>
      <c r="AD1187" s="144"/>
      <c r="AE1187" s="182"/>
      <c r="AF1187" s="10"/>
      <c r="AG1187" s="10"/>
      <c r="AH1187" s="144"/>
      <c r="AI1187" s="3"/>
      <c r="AJ1187" s="10"/>
      <c r="AK1187" s="3"/>
      <c r="AL1187" s="5"/>
      <c r="AM1187" s="5"/>
      <c r="AN1187" s="5"/>
      <c r="AO1187" s="5"/>
      <c r="AP1187" s="5"/>
      <c r="AQ1187" s="5"/>
      <c r="AR1187" s="5"/>
      <c r="AS1187" s="142"/>
      <c r="AT1187" s="142"/>
      <c r="AU1187" s="142"/>
      <c r="AV1187" s="142"/>
      <c r="AW1187" s="142"/>
      <c r="AX1187" s="142"/>
      <c r="AY1187" s="142"/>
      <c r="AZ1187" s="174"/>
      <c r="BA1187" s="142"/>
      <c r="BB1187" s="142"/>
      <c r="BC1187" s="142"/>
      <c r="BD1187" s="142"/>
      <c r="BE1187" s="142"/>
      <c r="BF1187" s="142"/>
      <c r="BG1187" s="142"/>
    </row>
    <row r="1188">
      <c r="A1188" s="5"/>
      <c r="B1188" s="44"/>
      <c r="C1188" s="150"/>
      <c r="D1188" s="3"/>
      <c r="E1188" s="3"/>
      <c r="F1188" s="5"/>
      <c r="G1188" s="5"/>
      <c r="H1188" s="5"/>
      <c r="I1188" s="3"/>
      <c r="J1188" s="3"/>
      <c r="K1188" s="3"/>
      <c r="L1188" s="44"/>
      <c r="M1188" s="150"/>
      <c r="N1188" s="5"/>
      <c r="O1188" s="5"/>
      <c r="P1188" s="10"/>
      <c r="Q1188" s="10"/>
      <c r="R1188" s="144"/>
      <c r="S1188" s="144"/>
      <c r="T1188" s="10"/>
      <c r="U1188" s="5"/>
      <c r="V1188" s="3"/>
      <c r="W1188" s="5"/>
      <c r="X1188" s="144"/>
      <c r="Y1188" s="10"/>
      <c r="Z1188" s="3"/>
      <c r="AA1188" s="10"/>
      <c r="AB1188" s="10"/>
      <c r="AC1188" s="181"/>
      <c r="AD1188" s="144"/>
      <c r="AE1188" s="182"/>
      <c r="AF1188" s="10"/>
      <c r="AG1188" s="10"/>
      <c r="AH1188" s="144"/>
      <c r="AI1188" s="3"/>
      <c r="AJ1188" s="10"/>
      <c r="AK1188" s="3"/>
      <c r="AL1188" s="5"/>
      <c r="AM1188" s="5"/>
      <c r="AN1188" s="5"/>
      <c r="AO1188" s="5"/>
      <c r="AP1188" s="5"/>
      <c r="AQ1188" s="5"/>
      <c r="AR1188" s="5"/>
      <c r="AS1188" s="142"/>
      <c r="AT1188" s="142"/>
      <c r="AU1188" s="142"/>
      <c r="AV1188" s="142"/>
      <c r="AW1188" s="142"/>
      <c r="AX1188" s="142"/>
      <c r="AY1188" s="142"/>
      <c r="AZ1188" s="174"/>
      <c r="BA1188" s="142"/>
      <c r="BB1188" s="142"/>
      <c r="BC1188" s="142"/>
      <c r="BD1188" s="142"/>
      <c r="BE1188" s="142"/>
      <c r="BF1188" s="142"/>
      <c r="BG1188" s="142"/>
    </row>
    <row r="1189">
      <c r="A1189" s="5"/>
      <c r="B1189" s="44"/>
      <c r="C1189" s="150"/>
      <c r="D1189" s="3"/>
      <c r="E1189" s="3"/>
      <c r="F1189" s="5"/>
      <c r="G1189" s="5"/>
      <c r="H1189" s="5"/>
      <c r="I1189" s="3"/>
      <c r="J1189" s="3"/>
      <c r="K1189" s="3"/>
      <c r="L1189" s="44"/>
      <c r="M1189" s="150"/>
      <c r="N1189" s="5"/>
      <c r="O1189" s="5"/>
      <c r="P1189" s="10"/>
      <c r="Q1189" s="10"/>
      <c r="R1189" s="144"/>
      <c r="S1189" s="144"/>
      <c r="T1189" s="10"/>
      <c r="U1189" s="5"/>
      <c r="V1189" s="3"/>
      <c r="W1189" s="5"/>
      <c r="X1189" s="144"/>
      <c r="Y1189" s="10"/>
      <c r="Z1189" s="3"/>
      <c r="AA1189" s="10"/>
      <c r="AB1189" s="10"/>
      <c r="AC1189" s="181"/>
      <c r="AD1189" s="144"/>
      <c r="AE1189" s="182"/>
      <c r="AF1189" s="10"/>
      <c r="AG1189" s="10"/>
      <c r="AH1189" s="144"/>
      <c r="AI1189" s="3"/>
      <c r="AJ1189" s="10"/>
      <c r="AK1189" s="3"/>
      <c r="AL1189" s="5"/>
      <c r="AM1189" s="5"/>
      <c r="AN1189" s="5"/>
      <c r="AO1189" s="5"/>
      <c r="AP1189" s="5"/>
      <c r="AQ1189" s="5"/>
      <c r="AR1189" s="5"/>
      <c r="AS1189" s="142"/>
      <c r="AT1189" s="142"/>
      <c r="AU1189" s="142"/>
      <c r="AV1189" s="142"/>
      <c r="AW1189" s="142"/>
      <c r="AX1189" s="142"/>
      <c r="AY1189" s="142"/>
      <c r="AZ1189" s="174"/>
      <c r="BA1189" s="142"/>
      <c r="BB1189" s="142"/>
      <c r="BC1189" s="142"/>
      <c r="BD1189" s="142"/>
      <c r="BE1189" s="142"/>
      <c r="BF1189" s="142"/>
      <c r="BG1189" s="142"/>
    </row>
    <row r="1190">
      <c r="A1190" s="5"/>
      <c r="B1190" s="44"/>
      <c r="C1190" s="150"/>
      <c r="D1190" s="3"/>
      <c r="E1190" s="3"/>
      <c r="F1190" s="5"/>
      <c r="G1190" s="5"/>
      <c r="H1190" s="5"/>
      <c r="I1190" s="3"/>
      <c r="J1190" s="3"/>
      <c r="K1190" s="3"/>
      <c r="L1190" s="44"/>
      <c r="M1190" s="150"/>
      <c r="N1190" s="5"/>
      <c r="O1190" s="5"/>
      <c r="P1190" s="10"/>
      <c r="Q1190" s="10"/>
      <c r="R1190" s="144"/>
      <c r="S1190" s="144"/>
      <c r="T1190" s="10"/>
      <c r="U1190" s="5"/>
      <c r="V1190" s="3"/>
      <c r="W1190" s="5"/>
      <c r="X1190" s="144"/>
      <c r="Y1190" s="10"/>
      <c r="Z1190" s="3"/>
      <c r="AA1190" s="10"/>
      <c r="AB1190" s="10"/>
      <c r="AC1190" s="181"/>
      <c r="AD1190" s="144"/>
      <c r="AE1190" s="182"/>
      <c r="AF1190" s="10"/>
      <c r="AG1190" s="10"/>
      <c r="AH1190" s="144"/>
      <c r="AI1190" s="3"/>
      <c r="AJ1190" s="10"/>
      <c r="AK1190" s="3"/>
      <c r="AL1190" s="5"/>
      <c r="AM1190" s="5"/>
      <c r="AN1190" s="5"/>
      <c r="AO1190" s="5"/>
      <c r="AP1190" s="5"/>
      <c r="AQ1190" s="5"/>
      <c r="AR1190" s="5"/>
      <c r="AS1190" s="142"/>
      <c r="AT1190" s="142"/>
      <c r="AU1190" s="142"/>
      <c r="AV1190" s="142"/>
      <c r="AW1190" s="142"/>
      <c r="AX1190" s="142"/>
      <c r="AY1190" s="142"/>
      <c r="AZ1190" s="174"/>
      <c r="BA1190" s="142"/>
      <c r="BB1190" s="142"/>
      <c r="BC1190" s="142"/>
      <c r="BD1190" s="142"/>
      <c r="BE1190" s="142"/>
      <c r="BF1190" s="142"/>
      <c r="BG1190" s="142"/>
    </row>
    <row r="1191">
      <c r="A1191" s="5"/>
      <c r="B1191" s="44"/>
      <c r="C1191" s="150"/>
      <c r="D1191" s="3"/>
      <c r="E1191" s="3"/>
      <c r="F1191" s="5"/>
      <c r="G1191" s="5"/>
      <c r="H1191" s="5"/>
      <c r="I1191" s="3"/>
      <c r="J1191" s="3"/>
      <c r="K1191" s="3"/>
      <c r="L1191" s="44"/>
      <c r="M1191" s="150"/>
      <c r="N1191" s="5"/>
      <c r="O1191" s="5"/>
      <c r="P1191" s="10"/>
      <c r="Q1191" s="10"/>
      <c r="R1191" s="144"/>
      <c r="S1191" s="144"/>
      <c r="T1191" s="10"/>
      <c r="U1191" s="5"/>
      <c r="V1191" s="3"/>
      <c r="W1191" s="5"/>
      <c r="X1191" s="144"/>
      <c r="Y1191" s="10"/>
      <c r="Z1191" s="3"/>
      <c r="AA1191" s="10"/>
      <c r="AB1191" s="10"/>
      <c r="AC1191" s="181"/>
      <c r="AD1191" s="144"/>
      <c r="AE1191" s="182"/>
      <c r="AF1191" s="10"/>
      <c r="AG1191" s="10"/>
      <c r="AH1191" s="144"/>
      <c r="AI1191" s="3"/>
      <c r="AJ1191" s="10"/>
      <c r="AK1191" s="3"/>
      <c r="AL1191" s="5"/>
      <c r="AM1191" s="5"/>
      <c r="AN1191" s="5"/>
      <c r="AO1191" s="5"/>
      <c r="AP1191" s="5"/>
      <c r="AQ1191" s="5"/>
      <c r="AR1191" s="5"/>
      <c r="AS1191" s="142"/>
      <c r="AT1191" s="142"/>
      <c r="AU1191" s="142"/>
      <c r="AV1191" s="142"/>
      <c r="AW1191" s="142"/>
      <c r="AX1191" s="142"/>
      <c r="AY1191" s="142"/>
      <c r="AZ1191" s="174"/>
      <c r="BA1191" s="142"/>
      <c r="BB1191" s="142"/>
      <c r="BC1191" s="142"/>
      <c r="BD1191" s="142"/>
      <c r="BE1191" s="142"/>
      <c r="BF1191" s="142"/>
      <c r="BG1191" s="142"/>
    </row>
    <row r="1192">
      <c r="A1192" s="5"/>
      <c r="B1192" s="44"/>
      <c r="C1192" s="150"/>
      <c r="D1192" s="3"/>
      <c r="E1192" s="3"/>
      <c r="F1192" s="5"/>
      <c r="G1192" s="5"/>
      <c r="H1192" s="5"/>
      <c r="I1192" s="3"/>
      <c r="J1192" s="3"/>
      <c r="K1192" s="3"/>
      <c r="L1192" s="44"/>
      <c r="M1192" s="150"/>
      <c r="N1192" s="5"/>
      <c r="O1192" s="5"/>
      <c r="P1192" s="10"/>
      <c r="Q1192" s="10"/>
      <c r="R1192" s="144"/>
      <c r="S1192" s="144"/>
      <c r="T1192" s="10"/>
      <c r="U1192" s="5"/>
      <c r="V1192" s="3"/>
      <c r="W1192" s="5"/>
      <c r="X1192" s="144"/>
      <c r="Y1192" s="10"/>
      <c r="Z1192" s="3"/>
      <c r="AA1192" s="10"/>
      <c r="AB1192" s="10"/>
      <c r="AC1192" s="181"/>
      <c r="AD1192" s="144"/>
      <c r="AE1192" s="182"/>
      <c r="AF1192" s="10"/>
      <c r="AG1192" s="10"/>
      <c r="AH1192" s="144"/>
      <c r="AI1192" s="3"/>
      <c r="AJ1192" s="10"/>
      <c r="AK1192" s="3"/>
      <c r="AL1192" s="5"/>
      <c r="AM1192" s="5"/>
      <c r="AN1192" s="5"/>
      <c r="AO1192" s="5"/>
      <c r="AP1192" s="5"/>
      <c r="AQ1192" s="5"/>
      <c r="AR1192" s="5"/>
      <c r="AS1192" s="142"/>
      <c r="AT1192" s="142"/>
      <c r="AU1192" s="142"/>
      <c r="AV1192" s="142"/>
      <c r="AW1192" s="142"/>
      <c r="AX1192" s="142"/>
      <c r="AY1192" s="142"/>
      <c r="AZ1192" s="174"/>
      <c r="BA1192" s="142"/>
      <c r="BB1192" s="142"/>
      <c r="BC1192" s="142"/>
      <c r="BD1192" s="142"/>
      <c r="BE1192" s="142"/>
      <c r="BF1192" s="142"/>
      <c r="BG1192" s="142"/>
    </row>
    <row r="1193">
      <c r="A1193" s="5"/>
      <c r="B1193" s="44"/>
      <c r="C1193" s="150"/>
      <c r="D1193" s="3"/>
      <c r="E1193" s="3"/>
      <c r="F1193" s="5"/>
      <c r="G1193" s="5"/>
      <c r="H1193" s="5"/>
      <c r="I1193" s="3"/>
      <c r="J1193" s="3"/>
      <c r="K1193" s="3"/>
      <c r="L1193" s="44"/>
      <c r="M1193" s="150"/>
      <c r="N1193" s="5"/>
      <c r="O1193" s="5"/>
      <c r="P1193" s="10"/>
      <c r="Q1193" s="10"/>
      <c r="R1193" s="144"/>
      <c r="S1193" s="144"/>
      <c r="T1193" s="10"/>
      <c r="U1193" s="5"/>
      <c r="V1193" s="3"/>
      <c r="W1193" s="5"/>
      <c r="X1193" s="144"/>
      <c r="Y1193" s="10"/>
      <c r="Z1193" s="3"/>
      <c r="AA1193" s="10"/>
      <c r="AB1193" s="10"/>
      <c r="AC1193" s="181"/>
      <c r="AD1193" s="144"/>
      <c r="AE1193" s="182"/>
      <c r="AF1193" s="10"/>
      <c r="AG1193" s="10"/>
      <c r="AH1193" s="144"/>
      <c r="AI1193" s="3"/>
      <c r="AJ1193" s="10"/>
      <c r="AK1193" s="3"/>
      <c r="AL1193" s="5"/>
      <c r="AM1193" s="5"/>
      <c r="AN1193" s="5"/>
      <c r="AO1193" s="5"/>
      <c r="AP1193" s="5"/>
      <c r="AQ1193" s="5"/>
      <c r="AR1193" s="5"/>
      <c r="AS1193" s="142"/>
      <c r="AT1193" s="142"/>
      <c r="AU1193" s="142"/>
      <c r="AV1193" s="142"/>
      <c r="AW1193" s="142"/>
      <c r="AX1193" s="142"/>
      <c r="AY1193" s="142"/>
      <c r="AZ1193" s="174"/>
      <c r="BA1193" s="142"/>
      <c r="BB1193" s="142"/>
      <c r="BC1193" s="142"/>
      <c r="BD1193" s="142"/>
      <c r="BE1193" s="142"/>
      <c r="BF1193" s="142"/>
      <c r="BG1193" s="142"/>
    </row>
    <row r="1194">
      <c r="A1194" s="5"/>
      <c r="B1194" s="44"/>
      <c r="C1194" s="150"/>
      <c r="D1194" s="3"/>
      <c r="E1194" s="3"/>
      <c r="F1194" s="5"/>
      <c r="G1194" s="5"/>
      <c r="H1194" s="5"/>
      <c r="I1194" s="3"/>
      <c r="J1194" s="3"/>
      <c r="K1194" s="3"/>
      <c r="L1194" s="44"/>
      <c r="M1194" s="150"/>
      <c r="N1194" s="5"/>
      <c r="O1194" s="5"/>
      <c r="P1194" s="10"/>
      <c r="Q1194" s="10"/>
      <c r="R1194" s="144"/>
      <c r="S1194" s="144"/>
      <c r="T1194" s="10"/>
      <c r="U1194" s="5"/>
      <c r="V1194" s="3"/>
      <c r="W1194" s="5"/>
      <c r="X1194" s="144"/>
      <c r="Y1194" s="10"/>
      <c r="Z1194" s="3"/>
      <c r="AA1194" s="10"/>
      <c r="AB1194" s="10"/>
      <c r="AC1194" s="181"/>
      <c r="AD1194" s="144"/>
      <c r="AE1194" s="182"/>
      <c r="AF1194" s="10"/>
      <c r="AG1194" s="10"/>
      <c r="AH1194" s="144"/>
      <c r="AI1194" s="3"/>
      <c r="AJ1194" s="10"/>
      <c r="AK1194" s="3"/>
      <c r="AL1194" s="5"/>
      <c r="AM1194" s="5"/>
      <c r="AN1194" s="5"/>
      <c r="AO1194" s="5"/>
      <c r="AP1194" s="5"/>
      <c r="AQ1194" s="5"/>
      <c r="AR1194" s="5"/>
      <c r="AS1194" s="142"/>
      <c r="AT1194" s="142"/>
      <c r="AU1194" s="142"/>
      <c r="AV1194" s="142"/>
      <c r="AW1194" s="142"/>
      <c r="AX1194" s="142"/>
      <c r="AY1194" s="142"/>
      <c r="AZ1194" s="174"/>
      <c r="BA1194" s="142"/>
      <c r="BB1194" s="142"/>
      <c r="BC1194" s="142"/>
      <c r="BD1194" s="142"/>
      <c r="BE1194" s="142"/>
      <c r="BF1194" s="142"/>
      <c r="BG1194" s="142"/>
    </row>
    <row r="1195">
      <c r="A1195" s="5"/>
      <c r="B1195" s="44"/>
      <c r="C1195" s="150"/>
      <c r="D1195" s="3"/>
      <c r="E1195" s="3"/>
      <c r="F1195" s="5"/>
      <c r="G1195" s="5"/>
      <c r="H1195" s="5"/>
      <c r="I1195" s="3"/>
      <c r="J1195" s="3"/>
      <c r="K1195" s="3"/>
      <c r="L1195" s="44"/>
      <c r="M1195" s="150"/>
      <c r="N1195" s="5"/>
      <c r="O1195" s="5"/>
      <c r="P1195" s="10"/>
      <c r="Q1195" s="10"/>
      <c r="R1195" s="144"/>
      <c r="S1195" s="144"/>
      <c r="T1195" s="10"/>
      <c r="U1195" s="5"/>
      <c r="V1195" s="3"/>
      <c r="W1195" s="5"/>
      <c r="X1195" s="144"/>
      <c r="Y1195" s="10"/>
      <c r="Z1195" s="3"/>
      <c r="AA1195" s="10"/>
      <c r="AB1195" s="10"/>
      <c r="AC1195" s="181"/>
      <c r="AD1195" s="144"/>
      <c r="AE1195" s="182"/>
      <c r="AF1195" s="10"/>
      <c r="AG1195" s="10"/>
      <c r="AH1195" s="144"/>
      <c r="AI1195" s="3"/>
      <c r="AJ1195" s="10"/>
      <c r="AK1195" s="3"/>
      <c r="AL1195" s="5"/>
      <c r="AM1195" s="5"/>
      <c r="AN1195" s="5"/>
      <c r="AO1195" s="5"/>
      <c r="AP1195" s="5"/>
      <c r="AQ1195" s="5"/>
      <c r="AR1195" s="5"/>
      <c r="AS1195" s="142"/>
      <c r="AT1195" s="142"/>
      <c r="AU1195" s="142"/>
      <c r="AV1195" s="142"/>
      <c r="AW1195" s="142"/>
      <c r="AX1195" s="142"/>
      <c r="AY1195" s="142"/>
      <c r="AZ1195" s="174"/>
      <c r="BA1195" s="142"/>
      <c r="BB1195" s="142"/>
      <c r="BC1195" s="142"/>
      <c r="BD1195" s="142"/>
      <c r="BE1195" s="142"/>
      <c r="BF1195" s="142"/>
      <c r="BG1195" s="142"/>
    </row>
    <row r="1196">
      <c r="A1196" s="5"/>
      <c r="B1196" s="44"/>
      <c r="C1196" s="150"/>
      <c r="D1196" s="3"/>
      <c r="E1196" s="3"/>
      <c r="F1196" s="5"/>
      <c r="G1196" s="5"/>
      <c r="H1196" s="5"/>
      <c r="I1196" s="3"/>
      <c r="J1196" s="3"/>
      <c r="K1196" s="3"/>
      <c r="L1196" s="44"/>
      <c r="M1196" s="150"/>
      <c r="N1196" s="5"/>
      <c r="O1196" s="5"/>
      <c r="P1196" s="10"/>
      <c r="Q1196" s="10"/>
      <c r="R1196" s="144"/>
      <c r="S1196" s="144"/>
      <c r="T1196" s="10"/>
      <c r="U1196" s="5"/>
      <c r="V1196" s="3"/>
      <c r="W1196" s="5"/>
      <c r="X1196" s="144"/>
      <c r="Y1196" s="10"/>
      <c r="Z1196" s="3"/>
      <c r="AA1196" s="10"/>
      <c r="AB1196" s="10"/>
      <c r="AC1196" s="181"/>
      <c r="AD1196" s="144"/>
      <c r="AE1196" s="182"/>
      <c r="AF1196" s="10"/>
      <c r="AG1196" s="10"/>
      <c r="AH1196" s="144"/>
      <c r="AI1196" s="3"/>
      <c r="AJ1196" s="10"/>
      <c r="AK1196" s="3"/>
      <c r="AL1196" s="5"/>
      <c r="AM1196" s="5"/>
      <c r="AN1196" s="5"/>
      <c r="AO1196" s="5"/>
      <c r="AP1196" s="5"/>
      <c r="AQ1196" s="5"/>
      <c r="AR1196" s="5"/>
      <c r="AS1196" s="142"/>
      <c r="AT1196" s="142"/>
      <c r="AU1196" s="142"/>
      <c r="AV1196" s="142"/>
      <c r="AW1196" s="142"/>
      <c r="AX1196" s="142"/>
      <c r="AY1196" s="142"/>
      <c r="AZ1196" s="174"/>
      <c r="BA1196" s="142"/>
      <c r="BB1196" s="142"/>
      <c r="BC1196" s="142"/>
      <c r="BD1196" s="142"/>
      <c r="BE1196" s="142"/>
      <c r="BF1196" s="142"/>
      <c r="BG1196" s="142"/>
    </row>
    <row r="1197">
      <c r="A1197" s="5"/>
      <c r="B1197" s="44"/>
      <c r="C1197" s="150"/>
      <c r="D1197" s="3"/>
      <c r="E1197" s="3"/>
      <c r="F1197" s="5"/>
      <c r="G1197" s="5"/>
      <c r="H1197" s="5"/>
      <c r="I1197" s="3"/>
      <c r="J1197" s="3"/>
      <c r="K1197" s="3"/>
      <c r="L1197" s="44"/>
      <c r="M1197" s="150"/>
      <c r="N1197" s="5"/>
      <c r="O1197" s="5"/>
      <c r="P1197" s="10"/>
      <c r="Q1197" s="10"/>
      <c r="R1197" s="144"/>
      <c r="S1197" s="144"/>
      <c r="T1197" s="10"/>
      <c r="U1197" s="5"/>
      <c r="V1197" s="3"/>
      <c r="W1197" s="5"/>
      <c r="X1197" s="144"/>
      <c r="Y1197" s="10"/>
      <c r="Z1197" s="3"/>
      <c r="AA1197" s="10"/>
      <c r="AB1197" s="10"/>
      <c r="AC1197" s="181"/>
      <c r="AD1197" s="144"/>
      <c r="AE1197" s="182"/>
      <c r="AF1197" s="10"/>
      <c r="AG1197" s="10"/>
      <c r="AH1197" s="144"/>
      <c r="AI1197" s="3"/>
      <c r="AJ1197" s="10"/>
      <c r="AK1197" s="3"/>
      <c r="AL1197" s="5"/>
      <c r="AM1197" s="5"/>
      <c r="AN1197" s="5"/>
      <c r="AO1197" s="5"/>
      <c r="AP1197" s="5"/>
      <c r="AQ1197" s="5"/>
      <c r="AR1197" s="5"/>
      <c r="AS1197" s="142"/>
      <c r="AT1197" s="142"/>
      <c r="AU1197" s="142"/>
      <c r="AV1197" s="142"/>
      <c r="AW1197" s="142"/>
      <c r="AX1197" s="142"/>
      <c r="AY1197" s="142"/>
      <c r="AZ1197" s="174"/>
      <c r="BA1197" s="142"/>
      <c r="BB1197" s="142"/>
      <c r="BC1197" s="142"/>
      <c r="BD1197" s="142"/>
      <c r="BE1197" s="142"/>
      <c r="BF1197" s="142"/>
      <c r="BG1197" s="142"/>
    </row>
    <row r="1198">
      <c r="A1198" s="5"/>
      <c r="B1198" s="44"/>
      <c r="C1198" s="150"/>
      <c r="D1198" s="3"/>
      <c r="E1198" s="3"/>
      <c r="F1198" s="5"/>
      <c r="G1198" s="5"/>
      <c r="H1198" s="5"/>
      <c r="I1198" s="3"/>
      <c r="J1198" s="3"/>
      <c r="K1198" s="3"/>
      <c r="L1198" s="44"/>
      <c r="M1198" s="150"/>
      <c r="N1198" s="5"/>
      <c r="O1198" s="5"/>
      <c r="P1198" s="10"/>
      <c r="Q1198" s="10"/>
      <c r="R1198" s="144"/>
      <c r="S1198" s="144"/>
      <c r="T1198" s="10"/>
      <c r="U1198" s="5"/>
      <c r="V1198" s="3"/>
      <c r="W1198" s="5"/>
      <c r="X1198" s="144"/>
      <c r="Y1198" s="10"/>
      <c r="Z1198" s="3"/>
      <c r="AA1198" s="10"/>
      <c r="AB1198" s="10"/>
      <c r="AC1198" s="181"/>
      <c r="AD1198" s="144"/>
      <c r="AE1198" s="182"/>
      <c r="AF1198" s="10"/>
      <c r="AG1198" s="10"/>
      <c r="AH1198" s="144"/>
      <c r="AI1198" s="3"/>
      <c r="AJ1198" s="10"/>
      <c r="AK1198" s="3"/>
      <c r="AL1198" s="5"/>
      <c r="AM1198" s="5"/>
      <c r="AN1198" s="5"/>
      <c r="AO1198" s="5"/>
      <c r="AP1198" s="5"/>
      <c r="AQ1198" s="5"/>
      <c r="AR1198" s="5"/>
      <c r="AS1198" s="142"/>
      <c r="AT1198" s="142"/>
      <c r="AU1198" s="142"/>
      <c r="AV1198" s="142"/>
      <c r="AW1198" s="142"/>
      <c r="AX1198" s="142"/>
      <c r="AY1198" s="142"/>
      <c r="AZ1198" s="174"/>
      <c r="BA1198" s="142"/>
      <c r="BB1198" s="142"/>
      <c r="BC1198" s="142"/>
      <c r="BD1198" s="142"/>
      <c r="BE1198" s="142"/>
      <c r="BF1198" s="142"/>
      <c r="BG1198" s="142"/>
    </row>
    <row r="1199">
      <c r="A1199" s="5"/>
      <c r="B1199" s="44"/>
      <c r="C1199" s="150"/>
      <c r="D1199" s="3"/>
      <c r="E1199" s="3"/>
      <c r="F1199" s="5"/>
      <c r="G1199" s="5"/>
      <c r="H1199" s="5"/>
      <c r="I1199" s="3"/>
      <c r="J1199" s="3"/>
      <c r="K1199" s="3"/>
      <c r="L1199" s="44"/>
      <c r="M1199" s="150"/>
      <c r="N1199" s="5"/>
      <c r="O1199" s="5"/>
      <c r="P1199" s="10"/>
      <c r="Q1199" s="10"/>
      <c r="R1199" s="144"/>
      <c r="S1199" s="144"/>
      <c r="T1199" s="10"/>
      <c r="U1199" s="5"/>
      <c r="V1199" s="3"/>
      <c r="W1199" s="5"/>
      <c r="X1199" s="144"/>
      <c r="Y1199" s="10"/>
      <c r="Z1199" s="3"/>
      <c r="AA1199" s="10"/>
      <c r="AB1199" s="10"/>
      <c r="AC1199" s="181"/>
      <c r="AD1199" s="144"/>
      <c r="AE1199" s="182"/>
      <c r="AF1199" s="10"/>
      <c r="AG1199" s="10"/>
      <c r="AH1199" s="144"/>
      <c r="AI1199" s="3"/>
      <c r="AJ1199" s="10"/>
      <c r="AK1199" s="3"/>
      <c r="AL1199" s="5"/>
      <c r="AM1199" s="5"/>
      <c r="AN1199" s="5"/>
      <c r="AO1199" s="5"/>
      <c r="AP1199" s="5"/>
      <c r="AQ1199" s="5"/>
      <c r="AR1199" s="5"/>
      <c r="AS1199" s="142"/>
      <c r="AT1199" s="142"/>
      <c r="AU1199" s="142"/>
      <c r="AV1199" s="142"/>
      <c r="AW1199" s="142"/>
      <c r="AX1199" s="142"/>
      <c r="AY1199" s="142"/>
      <c r="AZ1199" s="174"/>
      <c r="BA1199" s="142"/>
      <c r="BB1199" s="142"/>
      <c r="BC1199" s="142"/>
      <c r="BD1199" s="142"/>
      <c r="BE1199" s="142"/>
      <c r="BF1199" s="142"/>
      <c r="BG1199" s="142"/>
    </row>
    <row r="1200">
      <c r="A1200" s="5"/>
      <c r="B1200" s="44"/>
      <c r="C1200" s="150"/>
      <c r="D1200" s="3"/>
      <c r="E1200" s="3"/>
      <c r="F1200" s="5"/>
      <c r="G1200" s="5"/>
      <c r="H1200" s="5"/>
      <c r="I1200" s="3"/>
      <c r="J1200" s="3"/>
      <c r="K1200" s="3"/>
      <c r="L1200" s="44"/>
      <c r="M1200" s="150"/>
      <c r="N1200" s="5"/>
      <c r="O1200" s="5"/>
      <c r="P1200" s="10"/>
      <c r="Q1200" s="10"/>
      <c r="R1200" s="144"/>
      <c r="S1200" s="144"/>
      <c r="T1200" s="10"/>
      <c r="U1200" s="5"/>
      <c r="V1200" s="3"/>
      <c r="W1200" s="5"/>
      <c r="X1200" s="144"/>
      <c r="Y1200" s="10"/>
      <c r="Z1200" s="3"/>
      <c r="AA1200" s="10"/>
      <c r="AB1200" s="10"/>
      <c r="AC1200" s="181"/>
      <c r="AD1200" s="144"/>
      <c r="AE1200" s="182"/>
      <c r="AF1200" s="10"/>
      <c r="AG1200" s="10"/>
      <c r="AH1200" s="144"/>
      <c r="AI1200" s="3"/>
      <c r="AJ1200" s="10"/>
      <c r="AK1200" s="3"/>
      <c r="AL1200" s="5"/>
      <c r="AM1200" s="5"/>
      <c r="AN1200" s="5"/>
      <c r="AO1200" s="5"/>
      <c r="AP1200" s="5"/>
      <c r="AQ1200" s="5"/>
      <c r="AR1200" s="5"/>
      <c r="AS1200" s="142"/>
      <c r="AT1200" s="142"/>
      <c r="AU1200" s="142"/>
      <c r="AV1200" s="142"/>
      <c r="AW1200" s="142"/>
      <c r="AX1200" s="142"/>
      <c r="AY1200" s="142"/>
      <c r="AZ1200" s="174"/>
      <c r="BA1200" s="142"/>
      <c r="BB1200" s="142"/>
      <c r="BC1200" s="142"/>
      <c r="BD1200" s="142"/>
      <c r="BE1200" s="142"/>
      <c r="BF1200" s="142"/>
      <c r="BG1200" s="142"/>
    </row>
    <row r="1201">
      <c r="A1201" s="5"/>
      <c r="B1201" s="44"/>
      <c r="C1201" s="150"/>
      <c r="D1201" s="3"/>
      <c r="E1201" s="3"/>
      <c r="F1201" s="5"/>
      <c r="G1201" s="5"/>
      <c r="H1201" s="5"/>
      <c r="I1201" s="3"/>
      <c r="J1201" s="3"/>
      <c r="K1201" s="3"/>
      <c r="L1201" s="44"/>
      <c r="M1201" s="150"/>
      <c r="N1201" s="5"/>
      <c r="O1201" s="5"/>
      <c r="P1201" s="10"/>
      <c r="Q1201" s="10"/>
      <c r="R1201" s="144"/>
      <c r="S1201" s="144"/>
      <c r="T1201" s="10"/>
      <c r="U1201" s="5"/>
      <c r="V1201" s="3"/>
      <c r="W1201" s="5"/>
      <c r="X1201" s="144"/>
      <c r="Y1201" s="10"/>
      <c r="Z1201" s="3"/>
      <c r="AA1201" s="10"/>
      <c r="AB1201" s="10"/>
      <c r="AC1201" s="181"/>
      <c r="AD1201" s="144"/>
      <c r="AE1201" s="182"/>
      <c r="AF1201" s="10"/>
      <c r="AG1201" s="10"/>
      <c r="AH1201" s="144"/>
      <c r="AI1201" s="3"/>
      <c r="AJ1201" s="10"/>
      <c r="AK1201" s="3"/>
      <c r="AL1201" s="5"/>
      <c r="AM1201" s="5"/>
      <c r="AN1201" s="5"/>
      <c r="AO1201" s="5"/>
      <c r="AP1201" s="5"/>
      <c r="AQ1201" s="5"/>
      <c r="AR1201" s="5"/>
      <c r="AS1201" s="142"/>
      <c r="AT1201" s="142"/>
      <c r="AU1201" s="142"/>
      <c r="AV1201" s="142"/>
      <c r="AW1201" s="142"/>
      <c r="AX1201" s="142"/>
      <c r="AY1201" s="142"/>
      <c r="AZ1201" s="174"/>
      <c r="BA1201" s="142"/>
      <c r="BB1201" s="142"/>
      <c r="BC1201" s="142"/>
      <c r="BD1201" s="142"/>
      <c r="BE1201" s="142"/>
      <c r="BF1201" s="142"/>
      <c r="BG1201" s="142"/>
    </row>
    <row r="1202">
      <c r="A1202" s="5"/>
      <c r="B1202" s="44"/>
      <c r="C1202" s="150"/>
      <c r="D1202" s="3"/>
      <c r="E1202" s="3"/>
      <c r="F1202" s="5"/>
      <c r="G1202" s="5"/>
      <c r="H1202" s="5"/>
      <c r="I1202" s="3"/>
      <c r="J1202" s="3"/>
      <c r="K1202" s="3"/>
      <c r="L1202" s="44"/>
      <c r="M1202" s="150"/>
      <c r="N1202" s="5"/>
      <c r="O1202" s="5"/>
      <c r="P1202" s="10"/>
      <c r="Q1202" s="10"/>
      <c r="R1202" s="144"/>
      <c r="S1202" s="144"/>
      <c r="T1202" s="10"/>
      <c r="U1202" s="5"/>
      <c r="V1202" s="3"/>
      <c r="W1202" s="5"/>
      <c r="X1202" s="144"/>
      <c r="Y1202" s="10"/>
      <c r="Z1202" s="3"/>
      <c r="AA1202" s="10"/>
      <c r="AB1202" s="10"/>
      <c r="AC1202" s="181"/>
      <c r="AD1202" s="144"/>
      <c r="AE1202" s="182"/>
      <c r="AF1202" s="10"/>
      <c r="AG1202" s="10"/>
      <c r="AH1202" s="144"/>
      <c r="AI1202" s="3"/>
      <c r="AJ1202" s="10"/>
      <c r="AK1202" s="3"/>
      <c r="AL1202" s="5"/>
      <c r="AM1202" s="5"/>
      <c r="AN1202" s="5"/>
      <c r="AO1202" s="5"/>
      <c r="AP1202" s="5"/>
      <c r="AQ1202" s="5"/>
      <c r="AR1202" s="5"/>
      <c r="AS1202" s="142"/>
      <c r="AT1202" s="142"/>
      <c r="AU1202" s="142"/>
      <c r="AV1202" s="142"/>
      <c r="AW1202" s="142"/>
      <c r="AX1202" s="142"/>
      <c r="AY1202" s="142"/>
      <c r="AZ1202" s="174"/>
      <c r="BA1202" s="142"/>
      <c r="BB1202" s="142"/>
      <c r="BC1202" s="142"/>
      <c r="BD1202" s="142"/>
      <c r="BE1202" s="142"/>
      <c r="BF1202" s="142"/>
      <c r="BG1202" s="142"/>
    </row>
    <row r="1203">
      <c r="A1203" s="5"/>
      <c r="B1203" s="44"/>
      <c r="C1203" s="150"/>
      <c r="D1203" s="3"/>
      <c r="E1203" s="3"/>
      <c r="F1203" s="5"/>
      <c r="G1203" s="5"/>
      <c r="H1203" s="5"/>
      <c r="I1203" s="3"/>
      <c r="J1203" s="3"/>
      <c r="K1203" s="3"/>
      <c r="L1203" s="44"/>
      <c r="M1203" s="150"/>
      <c r="N1203" s="5"/>
      <c r="O1203" s="5"/>
      <c r="P1203" s="10"/>
      <c r="Q1203" s="10"/>
      <c r="R1203" s="144"/>
      <c r="S1203" s="144"/>
      <c r="T1203" s="10"/>
      <c r="U1203" s="5"/>
      <c r="V1203" s="3"/>
      <c r="W1203" s="5"/>
      <c r="X1203" s="144"/>
      <c r="Y1203" s="10"/>
      <c r="Z1203" s="3"/>
      <c r="AA1203" s="10"/>
      <c r="AB1203" s="10"/>
      <c r="AC1203" s="181"/>
      <c r="AD1203" s="144"/>
      <c r="AE1203" s="182"/>
      <c r="AF1203" s="10"/>
      <c r="AG1203" s="10"/>
      <c r="AH1203" s="144"/>
      <c r="AI1203" s="3"/>
      <c r="AJ1203" s="10"/>
      <c r="AK1203" s="3"/>
      <c r="AL1203" s="5"/>
      <c r="AM1203" s="5"/>
      <c r="AN1203" s="5"/>
      <c r="AO1203" s="5"/>
      <c r="AP1203" s="5"/>
      <c r="AQ1203" s="5"/>
      <c r="AR1203" s="5"/>
      <c r="AS1203" s="142"/>
      <c r="AT1203" s="142"/>
      <c r="AU1203" s="142"/>
      <c r="AV1203" s="142"/>
      <c r="AW1203" s="142"/>
      <c r="AX1203" s="142"/>
      <c r="AY1203" s="142"/>
      <c r="AZ1203" s="174"/>
      <c r="BA1203" s="142"/>
      <c r="BB1203" s="142"/>
      <c r="BC1203" s="142"/>
      <c r="BD1203" s="142"/>
      <c r="BE1203" s="142"/>
      <c r="BF1203" s="142"/>
      <c r="BG1203" s="142"/>
    </row>
    <row r="1204">
      <c r="A1204" s="5"/>
      <c r="B1204" s="44"/>
      <c r="C1204" s="150"/>
      <c r="D1204" s="3"/>
      <c r="E1204" s="3"/>
      <c r="F1204" s="5"/>
      <c r="G1204" s="5"/>
      <c r="H1204" s="5"/>
      <c r="I1204" s="3"/>
      <c r="J1204" s="3"/>
      <c r="K1204" s="3"/>
      <c r="L1204" s="44"/>
      <c r="M1204" s="150"/>
      <c r="N1204" s="5"/>
      <c r="O1204" s="5"/>
      <c r="P1204" s="10"/>
      <c r="Q1204" s="10"/>
      <c r="R1204" s="144"/>
      <c r="S1204" s="144"/>
      <c r="T1204" s="10"/>
      <c r="U1204" s="5"/>
      <c r="V1204" s="3"/>
      <c r="W1204" s="5"/>
      <c r="X1204" s="144"/>
      <c r="Y1204" s="10"/>
      <c r="Z1204" s="3"/>
      <c r="AA1204" s="10"/>
      <c r="AB1204" s="10"/>
      <c r="AC1204" s="181"/>
      <c r="AD1204" s="144"/>
      <c r="AE1204" s="182"/>
      <c r="AF1204" s="10"/>
      <c r="AG1204" s="10"/>
      <c r="AH1204" s="144"/>
      <c r="AI1204" s="3"/>
      <c r="AJ1204" s="10"/>
      <c r="AK1204" s="3"/>
      <c r="AL1204" s="5"/>
      <c r="AM1204" s="5"/>
      <c r="AN1204" s="5"/>
      <c r="AO1204" s="5"/>
      <c r="AP1204" s="5"/>
      <c r="AQ1204" s="5"/>
      <c r="AR1204" s="5"/>
      <c r="AS1204" s="142"/>
      <c r="AT1204" s="142"/>
      <c r="AU1204" s="142"/>
      <c r="AV1204" s="142"/>
      <c r="AW1204" s="142"/>
      <c r="AX1204" s="142"/>
      <c r="AY1204" s="142"/>
      <c r="AZ1204" s="174"/>
      <c r="BA1204" s="142"/>
      <c r="BB1204" s="142"/>
      <c r="BC1204" s="142"/>
      <c r="BD1204" s="142"/>
      <c r="BE1204" s="142"/>
      <c r="BF1204" s="142"/>
      <c r="BG1204" s="142"/>
    </row>
    <row r="1205">
      <c r="A1205" s="5"/>
      <c r="B1205" s="44"/>
      <c r="C1205" s="150"/>
      <c r="D1205" s="3"/>
      <c r="E1205" s="3"/>
      <c r="F1205" s="5"/>
      <c r="G1205" s="5"/>
      <c r="H1205" s="5"/>
      <c r="I1205" s="3"/>
      <c r="J1205" s="3"/>
      <c r="K1205" s="3"/>
      <c r="L1205" s="44"/>
      <c r="M1205" s="150"/>
      <c r="N1205" s="5"/>
      <c r="O1205" s="5"/>
      <c r="P1205" s="10"/>
      <c r="Q1205" s="10"/>
      <c r="R1205" s="144"/>
      <c r="S1205" s="144"/>
      <c r="T1205" s="10"/>
      <c r="U1205" s="5"/>
      <c r="V1205" s="3"/>
      <c r="W1205" s="5"/>
      <c r="X1205" s="144"/>
      <c r="Y1205" s="10"/>
      <c r="Z1205" s="3"/>
      <c r="AA1205" s="10"/>
      <c r="AB1205" s="10"/>
      <c r="AC1205" s="181"/>
      <c r="AD1205" s="144"/>
      <c r="AE1205" s="182"/>
      <c r="AF1205" s="10"/>
      <c r="AG1205" s="10"/>
      <c r="AH1205" s="144"/>
      <c r="AI1205" s="3"/>
      <c r="AJ1205" s="10"/>
      <c r="AK1205" s="3"/>
      <c r="AL1205" s="5"/>
      <c r="AM1205" s="5"/>
      <c r="AN1205" s="5"/>
      <c r="AO1205" s="5"/>
      <c r="AP1205" s="5"/>
      <c r="AQ1205" s="5"/>
      <c r="AR1205" s="5"/>
      <c r="AS1205" s="142"/>
      <c r="AT1205" s="142"/>
      <c r="AU1205" s="142"/>
      <c r="AV1205" s="142"/>
      <c r="AW1205" s="142"/>
      <c r="AX1205" s="142"/>
      <c r="AY1205" s="142"/>
      <c r="AZ1205" s="174"/>
      <c r="BA1205" s="142"/>
      <c r="BB1205" s="142"/>
      <c r="BC1205" s="142"/>
      <c r="BD1205" s="142"/>
      <c r="BE1205" s="142"/>
      <c r="BF1205" s="142"/>
      <c r="BG1205" s="142"/>
    </row>
    <row r="1206">
      <c r="A1206" s="5"/>
      <c r="B1206" s="44"/>
      <c r="C1206" s="150"/>
      <c r="D1206" s="3"/>
      <c r="E1206" s="3"/>
      <c r="F1206" s="5"/>
      <c r="G1206" s="5"/>
      <c r="H1206" s="5"/>
      <c r="I1206" s="3"/>
      <c r="J1206" s="3"/>
      <c r="K1206" s="3"/>
      <c r="L1206" s="44"/>
      <c r="M1206" s="150"/>
      <c r="N1206" s="5"/>
      <c r="O1206" s="5"/>
      <c r="P1206" s="10"/>
      <c r="Q1206" s="10"/>
      <c r="R1206" s="144"/>
      <c r="S1206" s="144"/>
      <c r="T1206" s="10"/>
      <c r="U1206" s="5"/>
      <c r="V1206" s="3"/>
      <c r="W1206" s="5"/>
      <c r="X1206" s="144"/>
      <c r="Y1206" s="10"/>
      <c r="Z1206" s="3"/>
      <c r="AA1206" s="10"/>
      <c r="AB1206" s="10"/>
      <c r="AC1206" s="181"/>
      <c r="AD1206" s="144"/>
      <c r="AE1206" s="182"/>
      <c r="AF1206" s="10"/>
      <c r="AG1206" s="10"/>
      <c r="AH1206" s="144"/>
      <c r="AI1206" s="3"/>
      <c r="AJ1206" s="10"/>
      <c r="AK1206" s="3"/>
      <c r="AL1206" s="5"/>
      <c r="AM1206" s="5"/>
      <c r="AN1206" s="5"/>
      <c r="AO1206" s="5"/>
      <c r="AP1206" s="5"/>
      <c r="AQ1206" s="5"/>
      <c r="AR1206" s="5"/>
      <c r="AS1206" s="142"/>
      <c r="AT1206" s="142"/>
      <c r="AU1206" s="142"/>
      <c r="AV1206" s="142"/>
      <c r="AW1206" s="142"/>
      <c r="AX1206" s="142"/>
      <c r="AY1206" s="142"/>
      <c r="AZ1206" s="174"/>
      <c r="BA1206" s="142"/>
      <c r="BB1206" s="142"/>
      <c r="BC1206" s="142"/>
      <c r="BD1206" s="142"/>
      <c r="BE1206" s="142"/>
      <c r="BF1206" s="142"/>
      <c r="BG1206" s="142"/>
    </row>
    <row r="1207">
      <c r="A1207" s="5"/>
      <c r="B1207" s="44"/>
      <c r="C1207" s="150"/>
      <c r="D1207" s="3"/>
      <c r="E1207" s="3"/>
      <c r="F1207" s="5"/>
      <c r="G1207" s="5"/>
      <c r="H1207" s="5"/>
      <c r="I1207" s="3"/>
      <c r="J1207" s="3"/>
      <c r="K1207" s="3"/>
      <c r="L1207" s="44"/>
      <c r="M1207" s="150"/>
      <c r="N1207" s="5"/>
      <c r="O1207" s="5"/>
      <c r="P1207" s="10"/>
      <c r="Q1207" s="10"/>
      <c r="R1207" s="144"/>
      <c r="S1207" s="144"/>
      <c r="T1207" s="10"/>
      <c r="U1207" s="5"/>
      <c r="V1207" s="3"/>
      <c r="W1207" s="5"/>
      <c r="X1207" s="144"/>
      <c r="Y1207" s="10"/>
      <c r="Z1207" s="3"/>
      <c r="AA1207" s="10"/>
      <c r="AB1207" s="10"/>
      <c r="AC1207" s="181"/>
      <c r="AD1207" s="144"/>
      <c r="AE1207" s="182"/>
      <c r="AF1207" s="10"/>
      <c r="AG1207" s="10"/>
      <c r="AH1207" s="144"/>
      <c r="AI1207" s="3"/>
      <c r="AJ1207" s="10"/>
      <c r="AK1207" s="3"/>
      <c r="AL1207" s="5"/>
      <c r="AM1207" s="5"/>
      <c r="AN1207" s="5"/>
      <c r="AO1207" s="5"/>
      <c r="AP1207" s="5"/>
      <c r="AQ1207" s="5"/>
      <c r="AR1207" s="5"/>
      <c r="AS1207" s="142"/>
      <c r="AT1207" s="142"/>
      <c r="AU1207" s="142"/>
      <c r="AV1207" s="142"/>
      <c r="AW1207" s="142"/>
      <c r="AX1207" s="142"/>
      <c r="AY1207" s="142"/>
      <c r="AZ1207" s="174"/>
      <c r="BA1207" s="142"/>
      <c r="BB1207" s="142"/>
      <c r="BC1207" s="142"/>
      <c r="BD1207" s="142"/>
      <c r="BE1207" s="142"/>
      <c r="BF1207" s="142"/>
      <c r="BG1207" s="142"/>
    </row>
    <row r="1208">
      <c r="A1208" s="5"/>
      <c r="B1208" s="44"/>
      <c r="C1208" s="150"/>
      <c r="D1208" s="3"/>
      <c r="E1208" s="3"/>
      <c r="F1208" s="5"/>
      <c r="G1208" s="5"/>
      <c r="H1208" s="5"/>
      <c r="I1208" s="3"/>
      <c r="J1208" s="3"/>
      <c r="K1208" s="3"/>
      <c r="L1208" s="44"/>
      <c r="M1208" s="150"/>
      <c r="N1208" s="5"/>
      <c r="O1208" s="5"/>
      <c r="P1208" s="10"/>
      <c r="Q1208" s="10"/>
      <c r="R1208" s="144"/>
      <c r="S1208" s="144"/>
      <c r="T1208" s="10"/>
      <c r="U1208" s="5"/>
      <c r="V1208" s="3"/>
      <c r="W1208" s="5"/>
      <c r="X1208" s="144"/>
      <c r="Y1208" s="10"/>
      <c r="Z1208" s="3"/>
      <c r="AA1208" s="10"/>
      <c r="AB1208" s="10"/>
      <c r="AC1208" s="181"/>
      <c r="AD1208" s="144"/>
      <c r="AE1208" s="182"/>
      <c r="AF1208" s="10"/>
      <c r="AG1208" s="10"/>
      <c r="AH1208" s="144"/>
      <c r="AI1208" s="3"/>
      <c r="AJ1208" s="10"/>
      <c r="AK1208" s="3"/>
      <c r="AL1208" s="5"/>
      <c r="AM1208" s="5"/>
      <c r="AN1208" s="5"/>
      <c r="AO1208" s="5"/>
      <c r="AP1208" s="5"/>
      <c r="AQ1208" s="5"/>
      <c r="AR1208" s="5"/>
      <c r="AS1208" s="142"/>
      <c r="AT1208" s="142"/>
      <c r="AU1208" s="142"/>
      <c r="AV1208" s="142"/>
      <c r="AW1208" s="142"/>
      <c r="AX1208" s="142"/>
      <c r="AY1208" s="142"/>
      <c r="AZ1208" s="174"/>
      <c r="BA1208" s="142"/>
      <c r="BB1208" s="142"/>
      <c r="BC1208" s="142"/>
      <c r="BD1208" s="142"/>
      <c r="BE1208" s="142"/>
      <c r="BF1208" s="142"/>
      <c r="BG1208" s="142"/>
    </row>
    <row r="1209">
      <c r="A1209" s="5"/>
      <c r="B1209" s="44"/>
      <c r="C1209" s="150"/>
      <c r="D1209" s="3"/>
      <c r="E1209" s="3"/>
      <c r="F1209" s="5"/>
      <c r="G1209" s="5"/>
      <c r="H1209" s="5"/>
      <c r="I1209" s="3"/>
      <c r="J1209" s="3"/>
      <c r="K1209" s="3"/>
      <c r="L1209" s="44"/>
      <c r="M1209" s="150"/>
      <c r="N1209" s="5"/>
      <c r="O1209" s="5"/>
      <c r="P1209" s="10"/>
      <c r="Q1209" s="10"/>
      <c r="R1209" s="144"/>
      <c r="S1209" s="144"/>
      <c r="T1209" s="10"/>
      <c r="U1209" s="5"/>
      <c r="V1209" s="3"/>
      <c r="W1209" s="5"/>
      <c r="X1209" s="144"/>
      <c r="Y1209" s="10"/>
      <c r="Z1209" s="3"/>
      <c r="AA1209" s="10"/>
      <c r="AB1209" s="10"/>
      <c r="AC1209" s="181"/>
      <c r="AD1209" s="144"/>
      <c r="AE1209" s="182"/>
      <c r="AF1209" s="10"/>
      <c r="AG1209" s="10"/>
      <c r="AH1209" s="144"/>
      <c r="AI1209" s="3"/>
      <c r="AJ1209" s="10"/>
      <c r="AK1209" s="3"/>
      <c r="AL1209" s="5"/>
      <c r="AM1209" s="5"/>
      <c r="AN1209" s="5"/>
      <c r="AO1209" s="5"/>
      <c r="AP1209" s="5"/>
      <c r="AQ1209" s="5"/>
      <c r="AR1209" s="5"/>
      <c r="AS1209" s="142"/>
      <c r="AT1209" s="142"/>
      <c r="AU1209" s="142"/>
      <c r="AV1209" s="142"/>
      <c r="AW1209" s="142"/>
      <c r="AX1209" s="142"/>
      <c r="AY1209" s="142"/>
      <c r="AZ1209" s="174"/>
      <c r="BA1209" s="142"/>
      <c r="BB1209" s="142"/>
      <c r="BC1209" s="142"/>
      <c r="BD1209" s="142"/>
      <c r="BE1209" s="142"/>
      <c r="BF1209" s="142"/>
      <c r="BG1209" s="142"/>
    </row>
    <row r="1210">
      <c r="A1210" s="5"/>
      <c r="B1210" s="44"/>
      <c r="C1210" s="150"/>
      <c r="D1210" s="3"/>
      <c r="E1210" s="3"/>
      <c r="F1210" s="5"/>
      <c r="G1210" s="5"/>
      <c r="H1210" s="5"/>
      <c r="I1210" s="3"/>
      <c r="J1210" s="3"/>
      <c r="K1210" s="3"/>
      <c r="L1210" s="44"/>
      <c r="M1210" s="150"/>
      <c r="N1210" s="5"/>
      <c r="O1210" s="5"/>
      <c r="P1210" s="10"/>
      <c r="Q1210" s="10"/>
      <c r="R1210" s="144"/>
      <c r="S1210" s="144"/>
      <c r="T1210" s="10"/>
      <c r="U1210" s="5"/>
      <c r="V1210" s="3"/>
      <c r="W1210" s="5"/>
      <c r="X1210" s="144"/>
      <c r="Y1210" s="10"/>
      <c r="Z1210" s="3"/>
      <c r="AA1210" s="10"/>
      <c r="AB1210" s="10"/>
      <c r="AC1210" s="181"/>
      <c r="AD1210" s="144"/>
      <c r="AE1210" s="182"/>
      <c r="AF1210" s="10"/>
      <c r="AG1210" s="10"/>
      <c r="AH1210" s="144"/>
      <c r="AI1210" s="3"/>
      <c r="AJ1210" s="10"/>
      <c r="AK1210" s="3"/>
      <c r="AL1210" s="5"/>
      <c r="AM1210" s="5"/>
      <c r="AN1210" s="5"/>
      <c r="AO1210" s="5"/>
      <c r="AP1210" s="5"/>
      <c r="AQ1210" s="5"/>
      <c r="AR1210" s="5"/>
      <c r="AS1210" s="142"/>
      <c r="AT1210" s="142"/>
      <c r="AU1210" s="142"/>
      <c r="AV1210" s="142"/>
      <c r="AW1210" s="142"/>
      <c r="AX1210" s="142"/>
      <c r="AY1210" s="142"/>
      <c r="AZ1210" s="174"/>
      <c r="BA1210" s="142"/>
      <c r="BB1210" s="142"/>
      <c r="BC1210" s="142"/>
      <c r="BD1210" s="142"/>
      <c r="BE1210" s="142"/>
      <c r="BF1210" s="142"/>
      <c r="BG1210" s="142"/>
    </row>
    <row r="1211">
      <c r="A1211" s="5"/>
      <c r="B1211" s="44"/>
      <c r="C1211" s="150"/>
      <c r="D1211" s="3"/>
      <c r="E1211" s="3"/>
      <c r="F1211" s="5"/>
      <c r="G1211" s="5"/>
      <c r="H1211" s="5"/>
      <c r="I1211" s="3"/>
      <c r="J1211" s="3"/>
      <c r="K1211" s="3"/>
      <c r="L1211" s="44"/>
      <c r="M1211" s="150"/>
      <c r="N1211" s="5"/>
      <c r="O1211" s="5"/>
      <c r="P1211" s="10"/>
      <c r="Q1211" s="10"/>
      <c r="R1211" s="144"/>
      <c r="S1211" s="144"/>
      <c r="T1211" s="10"/>
      <c r="U1211" s="5"/>
      <c r="V1211" s="3"/>
      <c r="W1211" s="5"/>
      <c r="X1211" s="144"/>
      <c r="Y1211" s="10"/>
      <c r="Z1211" s="3"/>
      <c r="AA1211" s="10"/>
      <c r="AB1211" s="10"/>
      <c r="AC1211" s="181"/>
      <c r="AD1211" s="144"/>
      <c r="AE1211" s="182"/>
      <c r="AF1211" s="10"/>
      <c r="AG1211" s="10"/>
      <c r="AH1211" s="144"/>
      <c r="AI1211" s="3"/>
      <c r="AJ1211" s="10"/>
      <c r="AK1211" s="3"/>
      <c r="AL1211" s="5"/>
      <c r="AM1211" s="5"/>
      <c r="AN1211" s="5"/>
      <c r="AO1211" s="5"/>
      <c r="AP1211" s="5"/>
      <c r="AQ1211" s="5"/>
      <c r="AR1211" s="5"/>
      <c r="AS1211" s="142"/>
      <c r="AT1211" s="142"/>
      <c r="AU1211" s="142"/>
      <c r="AV1211" s="142"/>
      <c r="AW1211" s="142"/>
      <c r="AX1211" s="142"/>
      <c r="AY1211" s="142"/>
      <c r="AZ1211" s="174"/>
      <c r="BA1211" s="142"/>
      <c r="BB1211" s="142"/>
      <c r="BC1211" s="142"/>
      <c r="BD1211" s="142"/>
      <c r="BE1211" s="142"/>
      <c r="BF1211" s="142"/>
      <c r="BG1211" s="142"/>
    </row>
    <row r="1212">
      <c r="A1212" s="5"/>
      <c r="B1212" s="44"/>
      <c r="C1212" s="150"/>
      <c r="D1212" s="3"/>
      <c r="E1212" s="3"/>
      <c r="F1212" s="5"/>
      <c r="G1212" s="5"/>
      <c r="H1212" s="5"/>
      <c r="I1212" s="3"/>
      <c r="J1212" s="3"/>
      <c r="K1212" s="3"/>
      <c r="L1212" s="44"/>
      <c r="M1212" s="150"/>
      <c r="N1212" s="5"/>
      <c r="O1212" s="5"/>
      <c r="P1212" s="10"/>
      <c r="Q1212" s="10"/>
      <c r="R1212" s="144"/>
      <c r="S1212" s="144"/>
      <c r="T1212" s="10"/>
      <c r="U1212" s="5"/>
      <c r="V1212" s="3"/>
      <c r="W1212" s="5"/>
      <c r="X1212" s="144"/>
      <c r="Y1212" s="10"/>
      <c r="Z1212" s="3"/>
      <c r="AA1212" s="10"/>
      <c r="AB1212" s="10"/>
      <c r="AC1212" s="181"/>
      <c r="AD1212" s="144"/>
      <c r="AE1212" s="182"/>
      <c r="AF1212" s="10"/>
      <c r="AG1212" s="10"/>
      <c r="AH1212" s="144"/>
      <c r="AI1212" s="3"/>
      <c r="AJ1212" s="10"/>
      <c r="AK1212" s="3"/>
      <c r="AL1212" s="5"/>
      <c r="AM1212" s="5"/>
      <c r="AN1212" s="5"/>
      <c r="AO1212" s="5"/>
      <c r="AP1212" s="5"/>
      <c r="AQ1212" s="5"/>
      <c r="AR1212" s="5"/>
      <c r="AS1212" s="142"/>
      <c r="AT1212" s="142"/>
      <c r="AU1212" s="142"/>
      <c r="AV1212" s="142"/>
      <c r="AW1212" s="142"/>
      <c r="AX1212" s="142"/>
      <c r="AY1212" s="142"/>
      <c r="AZ1212" s="174"/>
      <c r="BA1212" s="142"/>
      <c r="BB1212" s="142"/>
      <c r="BC1212" s="142"/>
      <c r="BD1212" s="142"/>
      <c r="BE1212" s="142"/>
      <c r="BF1212" s="142"/>
      <c r="BG1212" s="142"/>
    </row>
    <row r="1213">
      <c r="A1213" s="5"/>
      <c r="B1213" s="44"/>
      <c r="C1213" s="150"/>
      <c r="D1213" s="3"/>
      <c r="E1213" s="3"/>
      <c r="F1213" s="5"/>
      <c r="G1213" s="5"/>
      <c r="H1213" s="5"/>
      <c r="I1213" s="3"/>
      <c r="J1213" s="3"/>
      <c r="K1213" s="3"/>
      <c r="L1213" s="44"/>
      <c r="M1213" s="150"/>
      <c r="N1213" s="5"/>
      <c r="O1213" s="5"/>
      <c r="P1213" s="10"/>
      <c r="Q1213" s="10"/>
      <c r="R1213" s="144"/>
      <c r="S1213" s="144"/>
      <c r="T1213" s="10"/>
      <c r="U1213" s="5"/>
      <c r="V1213" s="3"/>
      <c r="W1213" s="5"/>
      <c r="X1213" s="144"/>
      <c r="Y1213" s="10"/>
      <c r="Z1213" s="3"/>
      <c r="AA1213" s="10"/>
      <c r="AB1213" s="10"/>
      <c r="AC1213" s="181"/>
      <c r="AD1213" s="144"/>
      <c r="AE1213" s="182"/>
      <c r="AF1213" s="10"/>
      <c r="AG1213" s="10"/>
      <c r="AH1213" s="144"/>
      <c r="AI1213" s="3"/>
      <c r="AJ1213" s="10"/>
      <c r="AK1213" s="3"/>
      <c r="AL1213" s="5"/>
      <c r="AM1213" s="5"/>
      <c r="AN1213" s="5"/>
      <c r="AO1213" s="5"/>
      <c r="AP1213" s="5"/>
      <c r="AQ1213" s="5"/>
      <c r="AR1213" s="5"/>
      <c r="AS1213" s="142"/>
      <c r="AT1213" s="142"/>
      <c r="AU1213" s="142"/>
      <c r="AV1213" s="142"/>
      <c r="AW1213" s="142"/>
      <c r="AX1213" s="142"/>
      <c r="AY1213" s="142"/>
      <c r="AZ1213" s="174"/>
      <c r="BA1213" s="142"/>
      <c r="BB1213" s="142"/>
      <c r="BC1213" s="142"/>
      <c r="BD1213" s="142"/>
      <c r="BE1213" s="142"/>
      <c r="BF1213" s="142"/>
      <c r="BG1213" s="142"/>
    </row>
    <row r="1214">
      <c r="A1214" s="5"/>
      <c r="B1214" s="44"/>
      <c r="C1214" s="150"/>
      <c r="D1214" s="3"/>
      <c r="E1214" s="3"/>
      <c r="F1214" s="5"/>
      <c r="G1214" s="5"/>
      <c r="H1214" s="5"/>
      <c r="I1214" s="3"/>
      <c r="J1214" s="3"/>
      <c r="K1214" s="3"/>
      <c r="L1214" s="44"/>
      <c r="M1214" s="150"/>
      <c r="N1214" s="5"/>
      <c r="O1214" s="5"/>
      <c r="P1214" s="10"/>
      <c r="Q1214" s="10"/>
      <c r="R1214" s="144"/>
      <c r="S1214" s="144"/>
      <c r="T1214" s="10"/>
      <c r="U1214" s="5"/>
      <c r="V1214" s="3"/>
      <c r="W1214" s="5"/>
      <c r="X1214" s="144"/>
      <c r="Y1214" s="10"/>
      <c r="Z1214" s="3"/>
      <c r="AA1214" s="10"/>
      <c r="AB1214" s="10"/>
      <c r="AC1214" s="181"/>
      <c r="AD1214" s="144"/>
      <c r="AE1214" s="182"/>
      <c r="AF1214" s="10"/>
      <c r="AG1214" s="10"/>
      <c r="AH1214" s="144"/>
      <c r="AI1214" s="3"/>
      <c r="AJ1214" s="10"/>
      <c r="AK1214" s="3"/>
      <c r="AL1214" s="5"/>
      <c r="AM1214" s="5"/>
      <c r="AN1214" s="5"/>
      <c r="AO1214" s="5"/>
      <c r="AP1214" s="5"/>
      <c r="AQ1214" s="5"/>
      <c r="AR1214" s="5"/>
      <c r="AS1214" s="142"/>
      <c r="AT1214" s="142"/>
      <c r="AU1214" s="142"/>
      <c r="AV1214" s="142"/>
      <c r="AW1214" s="142"/>
      <c r="AX1214" s="142"/>
      <c r="AY1214" s="142"/>
      <c r="AZ1214" s="174"/>
      <c r="BA1214" s="142"/>
      <c r="BB1214" s="142"/>
      <c r="BC1214" s="142"/>
      <c r="BD1214" s="142"/>
      <c r="BE1214" s="142"/>
      <c r="BF1214" s="142"/>
      <c r="BG1214" s="142"/>
    </row>
    <row r="1215">
      <c r="A1215" s="5"/>
      <c r="B1215" s="44"/>
      <c r="C1215" s="150"/>
      <c r="D1215" s="3"/>
      <c r="E1215" s="3"/>
      <c r="F1215" s="5"/>
      <c r="G1215" s="5"/>
      <c r="H1215" s="5"/>
      <c r="I1215" s="3"/>
      <c r="J1215" s="3"/>
      <c r="K1215" s="3"/>
      <c r="L1215" s="44"/>
      <c r="M1215" s="150"/>
      <c r="N1215" s="5"/>
      <c r="O1215" s="5"/>
      <c r="P1215" s="10"/>
      <c r="Q1215" s="10"/>
      <c r="R1215" s="144"/>
      <c r="S1215" s="144"/>
      <c r="T1215" s="10"/>
      <c r="U1215" s="5"/>
      <c r="V1215" s="3"/>
      <c r="W1215" s="5"/>
      <c r="X1215" s="144"/>
      <c r="Y1215" s="10"/>
      <c r="Z1215" s="3"/>
      <c r="AA1215" s="10"/>
      <c r="AB1215" s="10"/>
      <c r="AC1215" s="181"/>
      <c r="AD1215" s="144"/>
      <c r="AE1215" s="182"/>
      <c r="AF1215" s="10"/>
      <c r="AG1215" s="10"/>
      <c r="AH1215" s="144"/>
      <c r="AI1215" s="3"/>
      <c r="AJ1215" s="10"/>
      <c r="AK1215" s="3"/>
      <c r="AL1215" s="5"/>
      <c r="AM1215" s="5"/>
      <c r="AN1215" s="5"/>
      <c r="AO1215" s="5"/>
      <c r="AP1215" s="5"/>
      <c r="AQ1215" s="5"/>
      <c r="AR1215" s="5"/>
      <c r="AS1215" s="142"/>
      <c r="AT1215" s="142"/>
      <c r="AU1215" s="142"/>
      <c r="AV1215" s="142"/>
      <c r="AW1215" s="142"/>
      <c r="AX1215" s="142"/>
      <c r="AY1215" s="142"/>
      <c r="AZ1215" s="174"/>
      <c r="BA1215" s="142"/>
      <c r="BB1215" s="142"/>
      <c r="BC1215" s="142"/>
      <c r="BD1215" s="142"/>
      <c r="BE1215" s="142"/>
      <c r="BF1215" s="142"/>
      <c r="BG1215" s="142"/>
    </row>
    <row r="1216">
      <c r="A1216" s="5"/>
      <c r="B1216" s="44"/>
      <c r="C1216" s="150"/>
      <c r="D1216" s="3"/>
      <c r="E1216" s="3"/>
      <c r="F1216" s="5"/>
      <c r="G1216" s="5"/>
      <c r="H1216" s="5"/>
      <c r="I1216" s="3"/>
      <c r="J1216" s="3"/>
      <c r="K1216" s="3"/>
      <c r="L1216" s="44"/>
      <c r="M1216" s="150"/>
      <c r="N1216" s="5"/>
      <c r="O1216" s="5"/>
      <c r="P1216" s="10"/>
      <c r="Q1216" s="10"/>
      <c r="R1216" s="144"/>
      <c r="S1216" s="144"/>
      <c r="T1216" s="10"/>
      <c r="U1216" s="5"/>
      <c r="V1216" s="3"/>
      <c r="W1216" s="5"/>
      <c r="X1216" s="144"/>
      <c r="Y1216" s="10"/>
      <c r="Z1216" s="3"/>
      <c r="AA1216" s="10"/>
      <c r="AB1216" s="10"/>
      <c r="AC1216" s="181"/>
      <c r="AD1216" s="144"/>
      <c r="AE1216" s="182"/>
      <c r="AF1216" s="10"/>
      <c r="AG1216" s="10"/>
      <c r="AH1216" s="144"/>
      <c r="AI1216" s="3"/>
      <c r="AJ1216" s="10"/>
      <c r="AK1216" s="3"/>
      <c r="AL1216" s="5"/>
      <c r="AM1216" s="5"/>
      <c r="AN1216" s="5"/>
      <c r="AO1216" s="5"/>
      <c r="AP1216" s="5"/>
      <c r="AQ1216" s="5"/>
      <c r="AR1216" s="5"/>
      <c r="AS1216" s="142"/>
      <c r="AT1216" s="142"/>
      <c r="AU1216" s="142"/>
      <c r="AV1216" s="142"/>
      <c r="AW1216" s="142"/>
      <c r="AX1216" s="142"/>
      <c r="AY1216" s="142"/>
      <c r="AZ1216" s="174"/>
      <c r="BA1216" s="142"/>
      <c r="BB1216" s="142"/>
      <c r="BC1216" s="142"/>
      <c r="BD1216" s="142"/>
      <c r="BE1216" s="142"/>
      <c r="BF1216" s="142"/>
      <c r="BG1216" s="142"/>
    </row>
    <row r="1217">
      <c r="A1217" s="5"/>
      <c r="B1217" s="44"/>
      <c r="C1217" s="150"/>
      <c r="D1217" s="3"/>
      <c r="E1217" s="3"/>
      <c r="F1217" s="5"/>
      <c r="G1217" s="5"/>
      <c r="H1217" s="5"/>
      <c r="I1217" s="3"/>
      <c r="J1217" s="3"/>
      <c r="K1217" s="3"/>
      <c r="L1217" s="44"/>
      <c r="M1217" s="150"/>
      <c r="N1217" s="5"/>
      <c r="O1217" s="5"/>
      <c r="P1217" s="10"/>
      <c r="Q1217" s="10"/>
      <c r="R1217" s="144"/>
      <c r="S1217" s="144"/>
      <c r="T1217" s="10"/>
      <c r="U1217" s="5"/>
      <c r="V1217" s="3"/>
      <c r="W1217" s="5"/>
      <c r="X1217" s="144"/>
      <c r="Y1217" s="10"/>
      <c r="Z1217" s="3"/>
      <c r="AA1217" s="10"/>
      <c r="AB1217" s="10"/>
      <c r="AC1217" s="181"/>
      <c r="AD1217" s="144"/>
      <c r="AE1217" s="182"/>
      <c r="AF1217" s="10"/>
      <c r="AG1217" s="10"/>
      <c r="AH1217" s="144"/>
      <c r="AI1217" s="3"/>
      <c r="AJ1217" s="10"/>
      <c r="AK1217" s="3"/>
      <c r="AL1217" s="5"/>
      <c r="AM1217" s="5"/>
      <c r="AN1217" s="5"/>
      <c r="AO1217" s="5"/>
      <c r="AP1217" s="5"/>
      <c r="AQ1217" s="5"/>
      <c r="AR1217" s="5"/>
      <c r="AS1217" s="142"/>
      <c r="AT1217" s="142"/>
      <c r="AU1217" s="142"/>
      <c r="AV1217" s="142"/>
      <c r="AW1217" s="142"/>
      <c r="AX1217" s="142"/>
      <c r="AY1217" s="142"/>
      <c r="AZ1217" s="174"/>
      <c r="BA1217" s="142"/>
      <c r="BB1217" s="142"/>
      <c r="BC1217" s="142"/>
      <c r="BD1217" s="142"/>
      <c r="BE1217" s="142"/>
      <c r="BF1217" s="142"/>
      <c r="BG1217" s="142"/>
    </row>
    <row r="1218">
      <c r="A1218" s="5"/>
      <c r="B1218" s="44"/>
      <c r="C1218" s="150"/>
      <c r="D1218" s="3"/>
      <c r="E1218" s="3"/>
      <c r="F1218" s="5"/>
      <c r="G1218" s="5"/>
      <c r="H1218" s="5"/>
      <c r="I1218" s="3"/>
      <c r="J1218" s="3"/>
      <c r="K1218" s="3"/>
      <c r="L1218" s="44"/>
      <c r="M1218" s="150"/>
      <c r="N1218" s="5"/>
      <c r="O1218" s="5"/>
      <c r="P1218" s="10"/>
      <c r="Q1218" s="10"/>
      <c r="R1218" s="144"/>
      <c r="S1218" s="144"/>
      <c r="T1218" s="10"/>
      <c r="U1218" s="5"/>
      <c r="V1218" s="3"/>
      <c r="W1218" s="5"/>
      <c r="X1218" s="144"/>
      <c r="Y1218" s="10"/>
      <c r="Z1218" s="3"/>
      <c r="AA1218" s="10"/>
      <c r="AB1218" s="10"/>
      <c r="AC1218" s="181"/>
      <c r="AD1218" s="144"/>
      <c r="AE1218" s="182"/>
      <c r="AF1218" s="10"/>
      <c r="AG1218" s="10"/>
      <c r="AH1218" s="144"/>
      <c r="AI1218" s="3"/>
      <c r="AJ1218" s="10"/>
      <c r="AK1218" s="3"/>
      <c r="AL1218" s="5"/>
      <c r="AM1218" s="5"/>
      <c r="AN1218" s="5"/>
      <c r="AO1218" s="5"/>
      <c r="AP1218" s="5"/>
      <c r="AQ1218" s="5"/>
      <c r="AR1218" s="5"/>
      <c r="AS1218" s="142"/>
      <c r="AT1218" s="142"/>
      <c r="AU1218" s="142"/>
      <c r="AV1218" s="142"/>
      <c r="AW1218" s="142"/>
      <c r="AX1218" s="142"/>
      <c r="AY1218" s="142"/>
      <c r="AZ1218" s="174"/>
      <c r="BA1218" s="142"/>
      <c r="BB1218" s="142"/>
      <c r="BC1218" s="142"/>
      <c r="BD1218" s="142"/>
      <c r="BE1218" s="142"/>
      <c r="BF1218" s="142"/>
      <c r="BG1218" s="142"/>
    </row>
    <row r="1219">
      <c r="A1219" s="5"/>
      <c r="B1219" s="44"/>
      <c r="C1219" s="150"/>
      <c r="D1219" s="3"/>
      <c r="E1219" s="3"/>
      <c r="F1219" s="5"/>
      <c r="G1219" s="5"/>
      <c r="H1219" s="5"/>
      <c r="I1219" s="3"/>
      <c r="J1219" s="3"/>
      <c r="K1219" s="3"/>
      <c r="L1219" s="44"/>
      <c r="M1219" s="150"/>
      <c r="N1219" s="5"/>
      <c r="O1219" s="5"/>
      <c r="P1219" s="10"/>
      <c r="Q1219" s="10"/>
      <c r="R1219" s="144"/>
      <c r="S1219" s="144"/>
      <c r="T1219" s="10"/>
      <c r="U1219" s="5"/>
      <c r="V1219" s="3"/>
      <c r="W1219" s="5"/>
      <c r="X1219" s="144"/>
      <c r="Y1219" s="10"/>
      <c r="Z1219" s="3"/>
      <c r="AA1219" s="10"/>
      <c r="AB1219" s="10"/>
      <c r="AC1219" s="181"/>
      <c r="AD1219" s="144"/>
      <c r="AE1219" s="182"/>
      <c r="AF1219" s="10"/>
      <c r="AG1219" s="10"/>
      <c r="AH1219" s="144"/>
      <c r="AI1219" s="3"/>
      <c r="AJ1219" s="10"/>
      <c r="AK1219" s="3"/>
      <c r="AL1219" s="5"/>
      <c r="AM1219" s="5"/>
      <c r="AN1219" s="5"/>
      <c r="AO1219" s="5"/>
      <c r="AP1219" s="5"/>
      <c r="AQ1219" s="5"/>
      <c r="AR1219" s="5"/>
      <c r="AS1219" s="142"/>
      <c r="AT1219" s="142"/>
      <c r="AU1219" s="142"/>
      <c r="AV1219" s="142"/>
      <c r="AW1219" s="142"/>
      <c r="AX1219" s="142"/>
      <c r="AY1219" s="142"/>
      <c r="AZ1219" s="174"/>
      <c r="BA1219" s="142"/>
      <c r="BB1219" s="142"/>
      <c r="BC1219" s="142"/>
      <c r="BD1219" s="142"/>
      <c r="BE1219" s="142"/>
      <c r="BF1219" s="142"/>
      <c r="BG1219" s="142"/>
    </row>
    <row r="1220">
      <c r="A1220" s="5"/>
      <c r="B1220" s="44"/>
      <c r="C1220" s="150"/>
      <c r="D1220" s="3"/>
      <c r="E1220" s="3"/>
      <c r="F1220" s="5"/>
      <c r="G1220" s="5"/>
      <c r="H1220" s="5"/>
      <c r="I1220" s="3"/>
      <c r="J1220" s="3"/>
      <c r="K1220" s="3"/>
      <c r="L1220" s="44"/>
      <c r="M1220" s="150"/>
      <c r="N1220" s="5"/>
      <c r="O1220" s="5"/>
      <c r="P1220" s="10"/>
      <c r="Q1220" s="10"/>
      <c r="R1220" s="144"/>
      <c r="S1220" s="144"/>
      <c r="T1220" s="10"/>
      <c r="U1220" s="5"/>
      <c r="V1220" s="3"/>
      <c r="W1220" s="5"/>
      <c r="X1220" s="144"/>
      <c r="Y1220" s="10"/>
      <c r="Z1220" s="3"/>
      <c r="AA1220" s="10"/>
      <c r="AB1220" s="10"/>
      <c r="AC1220" s="181"/>
      <c r="AD1220" s="144"/>
      <c r="AE1220" s="182"/>
      <c r="AF1220" s="10"/>
      <c r="AG1220" s="10"/>
      <c r="AH1220" s="144"/>
      <c r="AI1220" s="3"/>
      <c r="AJ1220" s="10"/>
      <c r="AK1220" s="3"/>
      <c r="AL1220" s="5"/>
      <c r="AM1220" s="5"/>
      <c r="AN1220" s="5"/>
      <c r="AO1220" s="5"/>
      <c r="AP1220" s="5"/>
      <c r="AQ1220" s="5"/>
      <c r="AR1220" s="5"/>
      <c r="AS1220" s="142"/>
      <c r="AT1220" s="142"/>
      <c r="AU1220" s="142"/>
      <c r="AV1220" s="142"/>
      <c r="AW1220" s="142"/>
      <c r="AX1220" s="142"/>
      <c r="AY1220" s="142"/>
      <c r="AZ1220" s="174"/>
      <c r="BA1220" s="142"/>
      <c r="BB1220" s="142"/>
      <c r="BC1220" s="142"/>
      <c r="BD1220" s="142"/>
      <c r="BE1220" s="142"/>
      <c r="BF1220" s="142"/>
      <c r="BG1220" s="142"/>
    </row>
    <row r="1221">
      <c r="A1221" s="5"/>
      <c r="B1221" s="44"/>
      <c r="C1221" s="150"/>
      <c r="D1221" s="3"/>
      <c r="E1221" s="3"/>
      <c r="F1221" s="5"/>
      <c r="G1221" s="5"/>
      <c r="H1221" s="5"/>
      <c r="I1221" s="3"/>
      <c r="J1221" s="3"/>
      <c r="K1221" s="3"/>
      <c r="L1221" s="44"/>
      <c r="M1221" s="150"/>
      <c r="N1221" s="5"/>
      <c r="O1221" s="5"/>
      <c r="P1221" s="10"/>
      <c r="Q1221" s="10"/>
      <c r="R1221" s="144"/>
      <c r="S1221" s="144"/>
      <c r="T1221" s="10"/>
      <c r="U1221" s="5"/>
      <c r="V1221" s="3"/>
      <c r="W1221" s="5"/>
      <c r="X1221" s="144"/>
      <c r="Y1221" s="10"/>
      <c r="Z1221" s="3"/>
      <c r="AA1221" s="10"/>
      <c r="AB1221" s="10"/>
      <c r="AC1221" s="181"/>
      <c r="AD1221" s="144"/>
      <c r="AE1221" s="182"/>
      <c r="AF1221" s="10"/>
      <c r="AG1221" s="10"/>
      <c r="AH1221" s="144"/>
      <c r="AI1221" s="3"/>
      <c r="AJ1221" s="10"/>
      <c r="AK1221" s="3"/>
      <c r="AL1221" s="5"/>
      <c r="AM1221" s="5"/>
      <c r="AN1221" s="5"/>
      <c r="AO1221" s="5"/>
      <c r="AP1221" s="5"/>
      <c r="AQ1221" s="5"/>
      <c r="AR1221" s="5"/>
      <c r="AS1221" s="142"/>
      <c r="AT1221" s="142"/>
      <c r="AU1221" s="142"/>
      <c r="AV1221" s="142"/>
      <c r="AW1221" s="142"/>
      <c r="AX1221" s="142"/>
      <c r="AY1221" s="142"/>
      <c r="AZ1221" s="174"/>
      <c r="BA1221" s="142"/>
      <c r="BB1221" s="142"/>
      <c r="BC1221" s="142"/>
      <c r="BD1221" s="142"/>
      <c r="BE1221" s="142"/>
      <c r="BF1221" s="142"/>
      <c r="BG1221" s="142"/>
    </row>
    <row r="1222">
      <c r="A1222" s="5"/>
      <c r="B1222" s="44"/>
      <c r="C1222" s="150"/>
      <c r="D1222" s="3"/>
      <c r="E1222" s="3"/>
      <c r="F1222" s="5"/>
      <c r="G1222" s="5"/>
      <c r="H1222" s="5"/>
      <c r="I1222" s="3"/>
      <c r="J1222" s="3"/>
      <c r="K1222" s="3"/>
      <c r="L1222" s="44"/>
      <c r="M1222" s="150"/>
      <c r="N1222" s="5"/>
      <c r="O1222" s="5"/>
      <c r="P1222" s="10"/>
      <c r="Q1222" s="10"/>
      <c r="R1222" s="144"/>
      <c r="S1222" s="144"/>
      <c r="T1222" s="10"/>
      <c r="U1222" s="5"/>
      <c r="V1222" s="3"/>
      <c r="W1222" s="5"/>
      <c r="X1222" s="144"/>
      <c r="Y1222" s="10"/>
      <c r="Z1222" s="3"/>
      <c r="AA1222" s="10"/>
      <c r="AB1222" s="10"/>
      <c r="AC1222" s="181"/>
      <c r="AD1222" s="144"/>
      <c r="AE1222" s="182"/>
      <c r="AF1222" s="10"/>
      <c r="AG1222" s="10"/>
      <c r="AH1222" s="144"/>
      <c r="AI1222" s="3"/>
      <c r="AJ1222" s="10"/>
      <c r="AK1222" s="3"/>
      <c r="AL1222" s="5"/>
      <c r="AM1222" s="5"/>
      <c r="AN1222" s="5"/>
      <c r="AO1222" s="5"/>
      <c r="AP1222" s="5"/>
      <c r="AQ1222" s="5"/>
      <c r="AR1222" s="5"/>
      <c r="AS1222" s="142"/>
      <c r="AT1222" s="142"/>
      <c r="AU1222" s="142"/>
      <c r="AV1222" s="142"/>
      <c r="AW1222" s="142"/>
      <c r="AX1222" s="142"/>
      <c r="AY1222" s="142"/>
      <c r="AZ1222" s="174"/>
      <c r="BA1222" s="142"/>
      <c r="BB1222" s="142"/>
      <c r="BC1222" s="142"/>
      <c r="BD1222" s="142"/>
      <c r="BE1222" s="142"/>
      <c r="BF1222" s="142"/>
      <c r="BG1222" s="142"/>
    </row>
    <row r="1223">
      <c r="A1223" s="5"/>
      <c r="B1223" s="44"/>
      <c r="C1223" s="150"/>
      <c r="D1223" s="3"/>
      <c r="E1223" s="3"/>
      <c r="F1223" s="5"/>
      <c r="G1223" s="5"/>
      <c r="H1223" s="5"/>
      <c r="I1223" s="3"/>
      <c r="J1223" s="3"/>
      <c r="K1223" s="3"/>
      <c r="L1223" s="44"/>
      <c r="M1223" s="150"/>
      <c r="N1223" s="5"/>
      <c r="O1223" s="5"/>
      <c r="P1223" s="10"/>
      <c r="Q1223" s="10"/>
      <c r="R1223" s="144"/>
      <c r="S1223" s="144"/>
      <c r="T1223" s="10"/>
      <c r="U1223" s="5"/>
      <c r="V1223" s="3"/>
      <c r="W1223" s="5"/>
      <c r="X1223" s="144"/>
      <c r="Y1223" s="10"/>
      <c r="Z1223" s="3"/>
      <c r="AA1223" s="10"/>
      <c r="AB1223" s="10"/>
      <c r="AC1223" s="181"/>
      <c r="AD1223" s="144"/>
      <c r="AE1223" s="182"/>
      <c r="AF1223" s="10"/>
      <c r="AG1223" s="10"/>
      <c r="AH1223" s="144"/>
      <c r="AI1223" s="3"/>
      <c r="AJ1223" s="10"/>
      <c r="AK1223" s="3"/>
      <c r="AL1223" s="5"/>
      <c r="AM1223" s="5"/>
      <c r="AN1223" s="5"/>
      <c r="AO1223" s="5"/>
      <c r="AP1223" s="5"/>
      <c r="AQ1223" s="5"/>
      <c r="AR1223" s="5"/>
      <c r="AS1223" s="142"/>
      <c r="AT1223" s="142"/>
      <c r="AU1223" s="142"/>
      <c r="AV1223" s="142"/>
      <c r="AW1223" s="142"/>
      <c r="AX1223" s="142"/>
      <c r="AY1223" s="142"/>
      <c r="AZ1223" s="174"/>
      <c r="BA1223" s="142"/>
      <c r="BB1223" s="142"/>
      <c r="BC1223" s="142"/>
      <c r="BD1223" s="142"/>
      <c r="BE1223" s="142"/>
      <c r="BF1223" s="142"/>
      <c r="BG1223" s="142"/>
    </row>
    <row r="1224">
      <c r="A1224" s="5"/>
      <c r="B1224" s="44"/>
      <c r="C1224" s="150"/>
      <c r="D1224" s="3"/>
      <c r="E1224" s="3"/>
      <c r="F1224" s="5"/>
      <c r="G1224" s="5"/>
      <c r="H1224" s="5"/>
      <c r="I1224" s="3"/>
      <c r="J1224" s="3"/>
      <c r="K1224" s="3"/>
      <c r="L1224" s="44"/>
      <c r="M1224" s="150"/>
      <c r="N1224" s="5"/>
      <c r="O1224" s="5"/>
      <c r="P1224" s="10"/>
      <c r="Q1224" s="10"/>
      <c r="R1224" s="144"/>
      <c r="S1224" s="144"/>
      <c r="T1224" s="10"/>
      <c r="U1224" s="5"/>
      <c r="V1224" s="3"/>
      <c r="W1224" s="5"/>
      <c r="X1224" s="144"/>
      <c r="Y1224" s="10"/>
      <c r="Z1224" s="3"/>
      <c r="AA1224" s="10"/>
      <c r="AB1224" s="10"/>
      <c r="AC1224" s="181"/>
      <c r="AD1224" s="144"/>
      <c r="AE1224" s="182"/>
      <c r="AF1224" s="10"/>
      <c r="AG1224" s="10"/>
      <c r="AH1224" s="144"/>
      <c r="AI1224" s="3"/>
      <c r="AJ1224" s="10"/>
      <c r="AK1224" s="3"/>
      <c r="AL1224" s="5"/>
      <c r="AM1224" s="5"/>
      <c r="AN1224" s="5"/>
      <c r="AO1224" s="5"/>
      <c r="AP1224" s="5"/>
      <c r="AQ1224" s="5"/>
      <c r="AR1224" s="5"/>
      <c r="AS1224" s="142"/>
      <c r="AT1224" s="142"/>
      <c r="AU1224" s="142"/>
      <c r="AV1224" s="142"/>
      <c r="AW1224" s="142"/>
      <c r="AX1224" s="142"/>
      <c r="AY1224" s="142"/>
      <c r="AZ1224" s="174"/>
      <c r="BA1224" s="142"/>
      <c r="BB1224" s="142"/>
      <c r="BC1224" s="142"/>
      <c r="BD1224" s="142"/>
      <c r="BE1224" s="142"/>
      <c r="BF1224" s="142"/>
      <c r="BG1224" s="142"/>
    </row>
    <row r="1225">
      <c r="A1225" s="5"/>
      <c r="B1225" s="44"/>
      <c r="C1225" s="150"/>
      <c r="D1225" s="3"/>
      <c r="E1225" s="3"/>
      <c r="F1225" s="5"/>
      <c r="G1225" s="5"/>
      <c r="H1225" s="5"/>
      <c r="I1225" s="3"/>
      <c r="J1225" s="3"/>
      <c r="K1225" s="3"/>
      <c r="L1225" s="44"/>
      <c r="M1225" s="150"/>
      <c r="N1225" s="5"/>
      <c r="O1225" s="5"/>
      <c r="P1225" s="10"/>
      <c r="Q1225" s="10"/>
      <c r="R1225" s="144"/>
      <c r="S1225" s="144"/>
      <c r="T1225" s="10"/>
      <c r="U1225" s="5"/>
      <c r="V1225" s="3"/>
      <c r="W1225" s="5"/>
      <c r="X1225" s="144"/>
      <c r="Y1225" s="10"/>
      <c r="Z1225" s="3"/>
      <c r="AA1225" s="10"/>
      <c r="AB1225" s="10"/>
      <c r="AC1225" s="181"/>
      <c r="AD1225" s="144"/>
      <c r="AE1225" s="182"/>
      <c r="AF1225" s="10"/>
      <c r="AG1225" s="10"/>
      <c r="AH1225" s="144"/>
      <c r="AI1225" s="3"/>
      <c r="AJ1225" s="10"/>
      <c r="AK1225" s="3"/>
      <c r="AL1225" s="5"/>
      <c r="AM1225" s="5"/>
      <c r="AN1225" s="5"/>
      <c r="AO1225" s="5"/>
      <c r="AP1225" s="5"/>
      <c r="AQ1225" s="5"/>
      <c r="AR1225" s="5"/>
      <c r="AS1225" s="142"/>
      <c r="AT1225" s="142"/>
      <c r="AU1225" s="142"/>
      <c r="AV1225" s="142"/>
      <c r="AW1225" s="142"/>
      <c r="AX1225" s="142"/>
      <c r="AY1225" s="142"/>
      <c r="AZ1225" s="174"/>
      <c r="BA1225" s="142"/>
      <c r="BB1225" s="142"/>
      <c r="BC1225" s="142"/>
      <c r="BD1225" s="142"/>
      <c r="BE1225" s="142"/>
      <c r="BF1225" s="142"/>
      <c r="BG1225" s="142"/>
    </row>
    <row r="1226">
      <c r="A1226" s="5"/>
      <c r="B1226" s="44"/>
      <c r="C1226" s="150"/>
      <c r="D1226" s="3"/>
      <c r="E1226" s="3"/>
      <c r="F1226" s="5"/>
      <c r="G1226" s="5"/>
      <c r="H1226" s="5"/>
      <c r="I1226" s="3"/>
      <c r="J1226" s="3"/>
      <c r="K1226" s="3"/>
      <c r="L1226" s="44"/>
      <c r="M1226" s="150"/>
      <c r="N1226" s="5"/>
      <c r="O1226" s="5"/>
      <c r="P1226" s="10"/>
      <c r="Q1226" s="10"/>
      <c r="R1226" s="144"/>
      <c r="S1226" s="144"/>
      <c r="T1226" s="10"/>
      <c r="U1226" s="5"/>
      <c r="V1226" s="3"/>
      <c r="W1226" s="5"/>
      <c r="X1226" s="144"/>
      <c r="Y1226" s="10"/>
      <c r="Z1226" s="3"/>
      <c r="AA1226" s="10"/>
      <c r="AB1226" s="10"/>
      <c r="AC1226" s="181"/>
      <c r="AD1226" s="144"/>
      <c r="AE1226" s="182"/>
      <c r="AF1226" s="10"/>
      <c r="AG1226" s="10"/>
      <c r="AH1226" s="144"/>
      <c r="AI1226" s="3"/>
      <c r="AJ1226" s="10"/>
      <c r="AK1226" s="3"/>
      <c r="AL1226" s="5"/>
      <c r="AM1226" s="5"/>
      <c r="AN1226" s="5"/>
      <c r="AO1226" s="5"/>
      <c r="AP1226" s="5"/>
      <c r="AQ1226" s="5"/>
      <c r="AR1226" s="5"/>
      <c r="AS1226" s="142"/>
      <c r="AT1226" s="142"/>
      <c r="AU1226" s="142"/>
      <c r="AV1226" s="142"/>
      <c r="AW1226" s="142"/>
      <c r="AX1226" s="142"/>
      <c r="AY1226" s="142"/>
      <c r="AZ1226" s="174"/>
      <c r="BA1226" s="142"/>
      <c r="BB1226" s="142"/>
      <c r="BC1226" s="142"/>
      <c r="BD1226" s="142"/>
      <c r="BE1226" s="142"/>
      <c r="BF1226" s="142"/>
      <c r="BG1226" s="142"/>
    </row>
    <row r="1227">
      <c r="A1227" s="5"/>
      <c r="B1227" s="44"/>
      <c r="C1227" s="150"/>
      <c r="D1227" s="3"/>
      <c r="E1227" s="3"/>
      <c r="F1227" s="5"/>
      <c r="G1227" s="5"/>
      <c r="H1227" s="5"/>
      <c r="I1227" s="3"/>
      <c r="J1227" s="3"/>
      <c r="K1227" s="3"/>
      <c r="L1227" s="44"/>
      <c r="M1227" s="150"/>
      <c r="N1227" s="5"/>
      <c r="O1227" s="5"/>
      <c r="P1227" s="10"/>
      <c r="Q1227" s="10"/>
      <c r="R1227" s="144"/>
      <c r="S1227" s="144"/>
      <c r="T1227" s="10"/>
      <c r="U1227" s="5"/>
      <c r="V1227" s="3"/>
      <c r="W1227" s="5"/>
      <c r="X1227" s="144"/>
      <c r="Y1227" s="10"/>
      <c r="Z1227" s="3"/>
      <c r="AA1227" s="10"/>
      <c r="AB1227" s="10"/>
      <c r="AC1227" s="181"/>
      <c r="AD1227" s="144"/>
      <c r="AE1227" s="182"/>
      <c r="AF1227" s="10"/>
      <c r="AG1227" s="10"/>
      <c r="AH1227" s="144"/>
      <c r="AI1227" s="3"/>
      <c r="AJ1227" s="10"/>
      <c r="AK1227" s="3"/>
      <c r="AL1227" s="5"/>
      <c r="AM1227" s="5"/>
      <c r="AN1227" s="5"/>
      <c r="AO1227" s="5"/>
      <c r="AP1227" s="5"/>
      <c r="AQ1227" s="5"/>
      <c r="AR1227" s="5"/>
      <c r="AS1227" s="142"/>
      <c r="AT1227" s="142"/>
      <c r="AU1227" s="142"/>
      <c r="AV1227" s="142"/>
      <c r="AW1227" s="142"/>
      <c r="AX1227" s="142"/>
      <c r="AY1227" s="142"/>
      <c r="AZ1227" s="174"/>
      <c r="BA1227" s="142"/>
      <c r="BB1227" s="142"/>
      <c r="BC1227" s="142"/>
      <c r="BD1227" s="142"/>
      <c r="BE1227" s="142"/>
      <c r="BF1227" s="142"/>
      <c r="BG1227" s="142"/>
    </row>
    <row r="1228">
      <c r="A1228" s="5"/>
      <c r="B1228" s="44"/>
      <c r="C1228" s="150"/>
      <c r="D1228" s="3"/>
      <c r="E1228" s="3"/>
      <c r="F1228" s="5"/>
      <c r="G1228" s="5"/>
      <c r="H1228" s="5"/>
      <c r="I1228" s="3"/>
      <c r="J1228" s="3"/>
      <c r="K1228" s="3"/>
      <c r="L1228" s="44"/>
      <c r="M1228" s="150"/>
      <c r="N1228" s="5"/>
      <c r="O1228" s="5"/>
      <c r="P1228" s="10"/>
      <c r="Q1228" s="10"/>
      <c r="R1228" s="144"/>
      <c r="S1228" s="144"/>
      <c r="T1228" s="10"/>
      <c r="U1228" s="5"/>
      <c r="V1228" s="3"/>
      <c r="W1228" s="5"/>
      <c r="X1228" s="144"/>
      <c r="Y1228" s="10"/>
      <c r="Z1228" s="3"/>
      <c r="AA1228" s="10"/>
      <c r="AB1228" s="10"/>
      <c r="AC1228" s="181"/>
      <c r="AD1228" s="144"/>
      <c r="AE1228" s="182"/>
      <c r="AF1228" s="10"/>
      <c r="AG1228" s="10"/>
      <c r="AH1228" s="144"/>
      <c r="AI1228" s="3"/>
      <c r="AJ1228" s="10"/>
      <c r="AK1228" s="3"/>
      <c r="AL1228" s="5"/>
      <c r="AM1228" s="5"/>
      <c r="AN1228" s="5"/>
      <c r="AO1228" s="5"/>
      <c r="AP1228" s="5"/>
      <c r="AQ1228" s="5"/>
      <c r="AR1228" s="5"/>
      <c r="AS1228" s="142"/>
      <c r="AT1228" s="142"/>
      <c r="AU1228" s="142"/>
      <c r="AV1228" s="142"/>
      <c r="AW1228" s="142"/>
      <c r="AX1228" s="142"/>
      <c r="AY1228" s="142"/>
      <c r="AZ1228" s="174"/>
      <c r="BA1228" s="142"/>
      <c r="BB1228" s="142"/>
      <c r="BC1228" s="142"/>
      <c r="BD1228" s="142"/>
      <c r="BE1228" s="142"/>
      <c r="BF1228" s="142"/>
      <c r="BG1228" s="142"/>
    </row>
    <row r="1229">
      <c r="A1229" s="5"/>
      <c r="B1229" s="44"/>
      <c r="C1229" s="150"/>
      <c r="D1229" s="3"/>
      <c r="E1229" s="3"/>
      <c r="F1229" s="5"/>
      <c r="G1229" s="5"/>
      <c r="H1229" s="5"/>
      <c r="I1229" s="3"/>
      <c r="J1229" s="3"/>
      <c r="K1229" s="3"/>
      <c r="L1229" s="44"/>
      <c r="M1229" s="150"/>
      <c r="N1229" s="5"/>
      <c r="O1229" s="5"/>
      <c r="P1229" s="10"/>
      <c r="Q1229" s="10"/>
      <c r="R1229" s="144"/>
      <c r="S1229" s="144"/>
      <c r="T1229" s="10"/>
      <c r="U1229" s="5"/>
      <c r="V1229" s="3"/>
      <c r="W1229" s="5"/>
      <c r="X1229" s="144"/>
      <c r="Y1229" s="10"/>
      <c r="Z1229" s="3"/>
      <c r="AA1229" s="10"/>
      <c r="AB1229" s="10"/>
      <c r="AC1229" s="181"/>
      <c r="AD1229" s="144"/>
      <c r="AE1229" s="182"/>
      <c r="AF1229" s="10"/>
      <c r="AG1229" s="10"/>
      <c r="AH1229" s="144"/>
      <c r="AI1229" s="3"/>
      <c r="AJ1229" s="10"/>
      <c r="AK1229" s="3"/>
      <c r="AL1229" s="5"/>
      <c r="AM1229" s="5"/>
      <c r="AN1229" s="5"/>
      <c r="AO1229" s="5"/>
      <c r="AP1229" s="5"/>
      <c r="AQ1229" s="5"/>
      <c r="AR1229" s="5"/>
      <c r="AS1229" s="142"/>
      <c r="AT1229" s="142"/>
      <c r="AU1229" s="142"/>
      <c r="AV1229" s="142"/>
      <c r="AW1229" s="142"/>
      <c r="AX1229" s="142"/>
      <c r="AY1229" s="142"/>
      <c r="AZ1229" s="174"/>
      <c r="BA1229" s="142"/>
      <c r="BB1229" s="142"/>
      <c r="BC1229" s="142"/>
      <c r="BD1229" s="142"/>
      <c r="BE1229" s="142"/>
      <c r="BF1229" s="142"/>
      <c r="BG1229" s="142"/>
    </row>
    <row r="1230">
      <c r="A1230" s="5"/>
      <c r="B1230" s="44"/>
      <c r="C1230" s="150"/>
      <c r="D1230" s="3"/>
      <c r="E1230" s="3"/>
      <c r="F1230" s="5"/>
      <c r="G1230" s="5"/>
      <c r="H1230" s="5"/>
      <c r="I1230" s="3"/>
      <c r="J1230" s="3"/>
      <c r="K1230" s="3"/>
      <c r="L1230" s="44"/>
      <c r="M1230" s="150"/>
      <c r="N1230" s="5"/>
      <c r="O1230" s="5"/>
      <c r="P1230" s="10"/>
      <c r="Q1230" s="10"/>
      <c r="R1230" s="144"/>
      <c r="S1230" s="144"/>
      <c r="T1230" s="10"/>
      <c r="U1230" s="5"/>
      <c r="V1230" s="3"/>
      <c r="W1230" s="5"/>
      <c r="X1230" s="144"/>
      <c r="Y1230" s="10"/>
      <c r="Z1230" s="3"/>
      <c r="AA1230" s="10"/>
      <c r="AB1230" s="10"/>
      <c r="AC1230" s="181"/>
      <c r="AD1230" s="144"/>
      <c r="AE1230" s="182"/>
      <c r="AF1230" s="10"/>
      <c r="AG1230" s="10"/>
      <c r="AH1230" s="144"/>
      <c r="AI1230" s="3"/>
      <c r="AJ1230" s="10"/>
      <c r="AK1230" s="3"/>
      <c r="AL1230" s="5"/>
      <c r="AM1230" s="5"/>
      <c r="AN1230" s="5"/>
      <c r="AO1230" s="5"/>
      <c r="AP1230" s="5"/>
      <c r="AQ1230" s="5"/>
      <c r="AR1230" s="5"/>
      <c r="AS1230" s="142"/>
      <c r="AT1230" s="142"/>
      <c r="AU1230" s="142"/>
      <c r="AV1230" s="142"/>
      <c r="AW1230" s="142"/>
      <c r="AX1230" s="142"/>
      <c r="AY1230" s="142"/>
      <c r="AZ1230" s="174"/>
      <c r="BA1230" s="142"/>
      <c r="BB1230" s="142"/>
      <c r="BC1230" s="142"/>
      <c r="BD1230" s="142"/>
      <c r="BE1230" s="142"/>
      <c r="BF1230" s="142"/>
      <c r="BG1230" s="142"/>
    </row>
    <row r="1231">
      <c r="A1231" s="5"/>
      <c r="B1231" s="44"/>
      <c r="C1231" s="150"/>
      <c r="D1231" s="3"/>
      <c r="E1231" s="3"/>
      <c r="F1231" s="5"/>
      <c r="G1231" s="5"/>
      <c r="H1231" s="5"/>
      <c r="I1231" s="3"/>
      <c r="J1231" s="3"/>
      <c r="K1231" s="3"/>
      <c r="L1231" s="44"/>
      <c r="M1231" s="150"/>
      <c r="N1231" s="5"/>
      <c r="O1231" s="5"/>
      <c r="P1231" s="10"/>
      <c r="Q1231" s="10"/>
      <c r="R1231" s="144"/>
      <c r="S1231" s="144"/>
      <c r="T1231" s="10"/>
      <c r="U1231" s="5"/>
      <c r="V1231" s="3"/>
      <c r="W1231" s="5"/>
      <c r="X1231" s="144"/>
      <c r="Y1231" s="10"/>
      <c r="Z1231" s="3"/>
      <c r="AA1231" s="10"/>
      <c r="AB1231" s="10"/>
      <c r="AC1231" s="181"/>
      <c r="AD1231" s="144"/>
      <c r="AE1231" s="182"/>
      <c r="AF1231" s="10"/>
      <c r="AG1231" s="10"/>
      <c r="AH1231" s="144"/>
      <c r="AI1231" s="3"/>
      <c r="AJ1231" s="10"/>
      <c r="AK1231" s="3"/>
      <c r="AL1231" s="5"/>
      <c r="AM1231" s="5"/>
      <c r="AN1231" s="5"/>
      <c r="AO1231" s="5"/>
      <c r="AP1231" s="5"/>
      <c r="AQ1231" s="5"/>
      <c r="AR1231" s="5"/>
      <c r="AS1231" s="142"/>
      <c r="AT1231" s="142"/>
      <c r="AU1231" s="142"/>
      <c r="AV1231" s="142"/>
      <c r="AW1231" s="142"/>
      <c r="AX1231" s="142"/>
      <c r="AY1231" s="142"/>
      <c r="AZ1231" s="174"/>
      <c r="BA1231" s="142"/>
      <c r="BB1231" s="142"/>
      <c r="BC1231" s="142"/>
      <c r="BD1231" s="142"/>
      <c r="BE1231" s="142"/>
      <c r="BF1231" s="142"/>
      <c r="BG1231" s="142"/>
    </row>
    <row r="1232">
      <c r="A1232" s="5"/>
      <c r="B1232" s="44"/>
      <c r="C1232" s="150"/>
      <c r="D1232" s="3"/>
      <c r="E1232" s="3"/>
      <c r="F1232" s="5"/>
      <c r="G1232" s="5"/>
      <c r="H1232" s="5"/>
      <c r="I1232" s="3"/>
      <c r="J1232" s="3"/>
      <c r="K1232" s="3"/>
      <c r="L1232" s="44"/>
      <c r="M1232" s="150"/>
      <c r="N1232" s="5"/>
      <c r="O1232" s="5"/>
      <c r="P1232" s="10"/>
      <c r="Q1232" s="10"/>
      <c r="R1232" s="144"/>
      <c r="S1232" s="144"/>
      <c r="T1232" s="10"/>
      <c r="U1232" s="5"/>
      <c r="V1232" s="3"/>
      <c r="W1232" s="5"/>
      <c r="X1232" s="144"/>
      <c r="Y1232" s="10"/>
      <c r="Z1232" s="3"/>
      <c r="AA1232" s="10"/>
      <c r="AB1232" s="10"/>
      <c r="AC1232" s="181"/>
      <c r="AD1232" s="144"/>
      <c r="AE1232" s="182"/>
      <c r="AF1232" s="10"/>
      <c r="AG1232" s="10"/>
      <c r="AH1232" s="144"/>
      <c r="AI1232" s="3"/>
      <c r="AJ1232" s="10"/>
      <c r="AK1232" s="3"/>
      <c r="AL1232" s="5"/>
      <c r="AM1232" s="5"/>
      <c r="AN1232" s="5"/>
      <c r="AO1232" s="5"/>
      <c r="AP1232" s="5"/>
      <c r="AQ1232" s="5"/>
      <c r="AR1232" s="5"/>
      <c r="AS1232" s="142"/>
      <c r="AT1232" s="142"/>
      <c r="AU1232" s="142"/>
      <c r="AV1232" s="142"/>
      <c r="AW1232" s="142"/>
      <c r="AX1232" s="142"/>
      <c r="AY1232" s="142"/>
      <c r="AZ1232" s="174"/>
      <c r="BA1232" s="142"/>
      <c r="BB1232" s="142"/>
      <c r="BC1232" s="142"/>
      <c r="BD1232" s="142"/>
      <c r="BE1232" s="142"/>
      <c r="BF1232" s="142"/>
      <c r="BG1232" s="142"/>
    </row>
    <row r="1233">
      <c r="A1233" s="5"/>
      <c r="B1233" s="44"/>
      <c r="C1233" s="150"/>
      <c r="D1233" s="3"/>
      <c r="E1233" s="3"/>
      <c r="F1233" s="5"/>
      <c r="G1233" s="5"/>
      <c r="H1233" s="5"/>
      <c r="I1233" s="3"/>
      <c r="J1233" s="3"/>
      <c r="K1233" s="3"/>
      <c r="L1233" s="44"/>
      <c r="M1233" s="150"/>
      <c r="N1233" s="5"/>
      <c r="O1233" s="5"/>
      <c r="P1233" s="10"/>
      <c r="Q1233" s="10"/>
      <c r="R1233" s="144"/>
      <c r="S1233" s="144"/>
      <c r="T1233" s="10"/>
      <c r="U1233" s="5"/>
      <c r="V1233" s="3"/>
      <c r="W1233" s="5"/>
      <c r="X1233" s="144"/>
      <c r="Y1233" s="10"/>
      <c r="Z1233" s="3"/>
      <c r="AA1233" s="10"/>
      <c r="AB1233" s="10"/>
      <c r="AC1233" s="181"/>
      <c r="AD1233" s="144"/>
      <c r="AE1233" s="182"/>
      <c r="AF1233" s="10"/>
      <c r="AG1233" s="10"/>
      <c r="AH1233" s="144"/>
      <c r="AI1233" s="3"/>
      <c r="AJ1233" s="10"/>
      <c r="AK1233" s="3"/>
      <c r="AL1233" s="5"/>
      <c r="AM1233" s="5"/>
      <c r="AN1233" s="5"/>
      <c r="AO1233" s="5"/>
      <c r="AP1233" s="5"/>
      <c r="AQ1233" s="5"/>
      <c r="AR1233" s="5"/>
      <c r="AS1233" s="142"/>
      <c r="AT1233" s="142"/>
      <c r="AU1233" s="142"/>
      <c r="AV1233" s="142"/>
      <c r="AW1233" s="142"/>
      <c r="AX1233" s="142"/>
      <c r="AY1233" s="142"/>
      <c r="AZ1233" s="174"/>
      <c r="BA1233" s="142"/>
      <c r="BB1233" s="142"/>
      <c r="BC1233" s="142"/>
      <c r="BD1233" s="142"/>
      <c r="BE1233" s="142"/>
      <c r="BF1233" s="142"/>
      <c r="BG1233" s="142"/>
    </row>
    <row r="1234">
      <c r="A1234" s="5"/>
      <c r="B1234" s="44"/>
      <c r="C1234" s="150"/>
      <c r="D1234" s="3"/>
      <c r="E1234" s="3"/>
      <c r="F1234" s="5"/>
      <c r="G1234" s="5"/>
      <c r="H1234" s="5"/>
      <c r="I1234" s="3"/>
      <c r="J1234" s="3"/>
      <c r="K1234" s="3"/>
      <c r="L1234" s="44"/>
      <c r="M1234" s="150"/>
      <c r="N1234" s="5"/>
      <c r="O1234" s="5"/>
      <c r="P1234" s="10"/>
      <c r="Q1234" s="10"/>
      <c r="R1234" s="144"/>
      <c r="S1234" s="144"/>
      <c r="T1234" s="10"/>
      <c r="U1234" s="5"/>
      <c r="V1234" s="3"/>
      <c r="W1234" s="5"/>
      <c r="X1234" s="144"/>
      <c r="Y1234" s="10"/>
      <c r="Z1234" s="3"/>
      <c r="AA1234" s="10"/>
      <c r="AB1234" s="10"/>
      <c r="AC1234" s="181"/>
      <c r="AD1234" s="144"/>
      <c r="AE1234" s="182"/>
      <c r="AF1234" s="10"/>
      <c r="AG1234" s="10"/>
      <c r="AH1234" s="144"/>
      <c r="AI1234" s="3"/>
      <c r="AJ1234" s="10"/>
      <c r="AK1234" s="3"/>
      <c r="AL1234" s="5"/>
      <c r="AM1234" s="5"/>
      <c r="AN1234" s="5"/>
      <c r="AO1234" s="5"/>
      <c r="AP1234" s="5"/>
      <c r="AQ1234" s="5"/>
      <c r="AR1234" s="5"/>
      <c r="AS1234" s="142"/>
      <c r="AT1234" s="142"/>
      <c r="AU1234" s="142"/>
      <c r="AV1234" s="142"/>
      <c r="AW1234" s="142"/>
      <c r="AX1234" s="142"/>
      <c r="AY1234" s="142"/>
      <c r="AZ1234" s="174"/>
      <c r="BA1234" s="142"/>
      <c r="BB1234" s="142"/>
      <c r="BC1234" s="142"/>
      <c r="BD1234" s="142"/>
      <c r="BE1234" s="142"/>
      <c r="BF1234" s="142"/>
      <c r="BG1234" s="142"/>
    </row>
    <row r="1235">
      <c r="A1235" s="5"/>
      <c r="B1235" s="44"/>
      <c r="C1235" s="150"/>
      <c r="D1235" s="3"/>
      <c r="E1235" s="3"/>
      <c r="F1235" s="5"/>
      <c r="G1235" s="5"/>
      <c r="H1235" s="5"/>
      <c r="I1235" s="3"/>
      <c r="J1235" s="3"/>
      <c r="K1235" s="3"/>
      <c r="L1235" s="44"/>
      <c r="M1235" s="150"/>
      <c r="N1235" s="5"/>
      <c r="O1235" s="5"/>
      <c r="P1235" s="10"/>
      <c r="Q1235" s="10"/>
      <c r="R1235" s="144"/>
      <c r="S1235" s="144"/>
      <c r="T1235" s="10"/>
      <c r="U1235" s="5"/>
      <c r="V1235" s="3"/>
      <c r="W1235" s="5"/>
      <c r="X1235" s="144"/>
      <c r="Y1235" s="10"/>
      <c r="Z1235" s="3"/>
      <c r="AA1235" s="10"/>
      <c r="AB1235" s="10"/>
      <c r="AC1235" s="181"/>
      <c r="AD1235" s="144"/>
      <c r="AE1235" s="182"/>
      <c r="AF1235" s="10"/>
      <c r="AG1235" s="10"/>
      <c r="AH1235" s="144"/>
      <c r="AI1235" s="3"/>
      <c r="AJ1235" s="10"/>
      <c r="AK1235" s="3"/>
      <c r="AL1235" s="5"/>
      <c r="AM1235" s="5"/>
      <c r="AN1235" s="5"/>
      <c r="AO1235" s="5"/>
      <c r="AP1235" s="5"/>
      <c r="AQ1235" s="5"/>
      <c r="AR1235" s="5"/>
      <c r="AS1235" s="142"/>
      <c r="AT1235" s="142"/>
      <c r="AU1235" s="142"/>
      <c r="AV1235" s="142"/>
      <c r="AW1235" s="142"/>
      <c r="AX1235" s="142"/>
      <c r="AY1235" s="142"/>
      <c r="AZ1235" s="174"/>
      <c r="BA1235" s="142"/>
      <c r="BB1235" s="142"/>
      <c r="BC1235" s="142"/>
      <c r="BD1235" s="142"/>
      <c r="BE1235" s="142"/>
      <c r="BF1235" s="142"/>
      <c r="BG1235" s="142"/>
    </row>
    <row r="1236">
      <c r="A1236" s="5"/>
      <c r="B1236" s="44"/>
      <c r="C1236" s="150"/>
      <c r="D1236" s="3"/>
      <c r="E1236" s="3"/>
      <c r="F1236" s="5"/>
      <c r="G1236" s="5"/>
      <c r="H1236" s="5"/>
      <c r="I1236" s="3"/>
      <c r="J1236" s="3"/>
      <c r="K1236" s="3"/>
      <c r="L1236" s="44"/>
      <c r="M1236" s="150"/>
      <c r="N1236" s="5"/>
      <c r="O1236" s="5"/>
      <c r="P1236" s="10"/>
      <c r="Q1236" s="10"/>
      <c r="R1236" s="144"/>
      <c r="S1236" s="144"/>
      <c r="T1236" s="10"/>
      <c r="U1236" s="5"/>
      <c r="V1236" s="3"/>
      <c r="W1236" s="5"/>
      <c r="X1236" s="144"/>
      <c r="Y1236" s="10"/>
      <c r="Z1236" s="3"/>
      <c r="AA1236" s="10"/>
      <c r="AB1236" s="10"/>
      <c r="AC1236" s="181"/>
      <c r="AD1236" s="144"/>
      <c r="AE1236" s="182"/>
      <c r="AF1236" s="10"/>
      <c r="AG1236" s="10"/>
      <c r="AH1236" s="144"/>
      <c r="AI1236" s="3"/>
      <c r="AJ1236" s="10"/>
      <c r="AK1236" s="3"/>
      <c r="AL1236" s="5"/>
      <c r="AM1236" s="5"/>
      <c r="AN1236" s="5"/>
      <c r="AO1236" s="5"/>
      <c r="AP1236" s="5"/>
      <c r="AQ1236" s="5"/>
      <c r="AR1236" s="5"/>
      <c r="AS1236" s="142"/>
      <c r="AT1236" s="142"/>
      <c r="AU1236" s="142"/>
      <c r="AV1236" s="142"/>
      <c r="AW1236" s="142"/>
      <c r="AX1236" s="142"/>
      <c r="AY1236" s="142"/>
      <c r="AZ1236" s="174"/>
      <c r="BA1236" s="142"/>
      <c r="BB1236" s="142"/>
      <c r="BC1236" s="142"/>
      <c r="BD1236" s="142"/>
      <c r="BE1236" s="142"/>
      <c r="BF1236" s="142"/>
      <c r="BG1236" s="142"/>
    </row>
    <row r="1237">
      <c r="A1237" s="5"/>
      <c r="B1237" s="44"/>
      <c r="C1237" s="150"/>
      <c r="D1237" s="3"/>
      <c r="E1237" s="3"/>
      <c r="F1237" s="5"/>
      <c r="G1237" s="5"/>
      <c r="H1237" s="5"/>
      <c r="I1237" s="3"/>
      <c r="J1237" s="3"/>
      <c r="K1237" s="3"/>
      <c r="L1237" s="44"/>
      <c r="M1237" s="150"/>
      <c r="N1237" s="5"/>
      <c r="O1237" s="5"/>
      <c r="P1237" s="10"/>
      <c r="Q1237" s="10"/>
      <c r="R1237" s="144"/>
      <c r="S1237" s="144"/>
      <c r="T1237" s="10"/>
      <c r="U1237" s="5"/>
      <c r="V1237" s="3"/>
      <c r="W1237" s="5"/>
      <c r="X1237" s="144"/>
      <c r="Y1237" s="10"/>
      <c r="Z1237" s="3"/>
      <c r="AA1237" s="10"/>
      <c r="AB1237" s="10"/>
      <c r="AC1237" s="181"/>
      <c r="AD1237" s="144"/>
      <c r="AE1237" s="182"/>
      <c r="AF1237" s="10"/>
      <c r="AG1237" s="10"/>
      <c r="AH1237" s="144"/>
      <c r="AI1237" s="3"/>
      <c r="AJ1237" s="10"/>
      <c r="AK1237" s="3"/>
      <c r="AL1237" s="5"/>
      <c r="AM1237" s="5"/>
      <c r="AN1237" s="5"/>
      <c r="AO1237" s="5"/>
      <c r="AP1237" s="5"/>
      <c r="AQ1237" s="5"/>
      <c r="AR1237" s="5"/>
      <c r="AS1237" s="142"/>
      <c r="AT1237" s="142"/>
      <c r="AU1237" s="142"/>
      <c r="AV1237" s="142"/>
      <c r="AW1237" s="142"/>
      <c r="AX1237" s="142"/>
      <c r="AY1237" s="142"/>
      <c r="AZ1237" s="174"/>
      <c r="BA1237" s="142"/>
      <c r="BB1237" s="142"/>
      <c r="BC1237" s="142"/>
      <c r="BD1237" s="142"/>
      <c r="BE1237" s="142"/>
      <c r="BF1237" s="142"/>
      <c r="BG1237" s="142"/>
    </row>
    <row r="1238">
      <c r="A1238" s="5"/>
      <c r="B1238" s="44"/>
      <c r="C1238" s="150"/>
      <c r="D1238" s="3"/>
      <c r="E1238" s="3"/>
      <c r="F1238" s="5"/>
      <c r="G1238" s="5"/>
      <c r="H1238" s="5"/>
      <c r="I1238" s="3"/>
      <c r="J1238" s="3"/>
      <c r="K1238" s="3"/>
      <c r="L1238" s="44"/>
      <c r="M1238" s="150"/>
      <c r="N1238" s="5"/>
      <c r="O1238" s="5"/>
      <c r="P1238" s="10"/>
      <c r="Q1238" s="10"/>
      <c r="R1238" s="144"/>
      <c r="S1238" s="144"/>
      <c r="T1238" s="10"/>
      <c r="U1238" s="5"/>
      <c r="V1238" s="3"/>
      <c r="W1238" s="5"/>
      <c r="X1238" s="144"/>
      <c r="Y1238" s="10"/>
      <c r="Z1238" s="3"/>
      <c r="AA1238" s="10"/>
      <c r="AB1238" s="10"/>
      <c r="AC1238" s="181"/>
      <c r="AD1238" s="144"/>
      <c r="AE1238" s="182"/>
      <c r="AF1238" s="10"/>
      <c r="AG1238" s="10"/>
      <c r="AH1238" s="144"/>
      <c r="AI1238" s="3"/>
      <c r="AJ1238" s="10"/>
      <c r="AK1238" s="3"/>
      <c r="AL1238" s="5"/>
      <c r="AM1238" s="5"/>
      <c r="AN1238" s="5"/>
      <c r="AO1238" s="5"/>
      <c r="AP1238" s="5"/>
      <c r="AQ1238" s="5"/>
      <c r="AR1238" s="5"/>
      <c r="AS1238" s="142"/>
      <c r="AT1238" s="142"/>
      <c r="AU1238" s="142"/>
      <c r="AV1238" s="142"/>
      <c r="AW1238" s="142"/>
      <c r="AX1238" s="142"/>
      <c r="AY1238" s="142"/>
      <c r="AZ1238" s="174"/>
      <c r="BA1238" s="142"/>
      <c r="BB1238" s="142"/>
      <c r="BC1238" s="142"/>
      <c r="BD1238" s="142"/>
      <c r="BE1238" s="142"/>
      <c r="BF1238" s="142"/>
      <c r="BG1238" s="142"/>
    </row>
    <row r="1239">
      <c r="A1239" s="5"/>
      <c r="B1239" s="44"/>
      <c r="C1239" s="150"/>
      <c r="D1239" s="3"/>
      <c r="E1239" s="3"/>
      <c r="F1239" s="5"/>
      <c r="G1239" s="5"/>
      <c r="H1239" s="5"/>
      <c r="I1239" s="3"/>
      <c r="J1239" s="3"/>
      <c r="K1239" s="3"/>
      <c r="L1239" s="44"/>
      <c r="M1239" s="150"/>
      <c r="N1239" s="5"/>
      <c r="O1239" s="5"/>
      <c r="P1239" s="10"/>
      <c r="Q1239" s="10"/>
      <c r="R1239" s="144"/>
      <c r="S1239" s="144"/>
      <c r="T1239" s="10"/>
      <c r="U1239" s="5"/>
      <c r="V1239" s="3"/>
      <c r="W1239" s="5"/>
      <c r="X1239" s="144"/>
      <c r="Y1239" s="10"/>
      <c r="Z1239" s="3"/>
      <c r="AA1239" s="10"/>
      <c r="AB1239" s="10"/>
      <c r="AC1239" s="181"/>
      <c r="AD1239" s="144"/>
      <c r="AE1239" s="182"/>
      <c r="AF1239" s="10"/>
      <c r="AG1239" s="10"/>
      <c r="AH1239" s="144"/>
      <c r="AI1239" s="3"/>
      <c r="AJ1239" s="10"/>
      <c r="AK1239" s="3"/>
      <c r="AL1239" s="5"/>
      <c r="AM1239" s="5"/>
      <c r="AN1239" s="5"/>
      <c r="AO1239" s="5"/>
      <c r="AP1239" s="5"/>
      <c r="AQ1239" s="5"/>
      <c r="AR1239" s="5"/>
      <c r="AS1239" s="142"/>
      <c r="AT1239" s="142"/>
      <c r="AU1239" s="142"/>
      <c r="AV1239" s="142"/>
      <c r="AW1239" s="142"/>
      <c r="AX1239" s="142"/>
      <c r="AY1239" s="142"/>
      <c r="AZ1239" s="174"/>
      <c r="BA1239" s="142"/>
      <c r="BB1239" s="142"/>
      <c r="BC1239" s="142"/>
      <c r="BD1239" s="142"/>
      <c r="BE1239" s="142"/>
      <c r="BF1239" s="142"/>
      <c r="BG1239" s="142"/>
    </row>
    <row r="1240">
      <c r="A1240" s="5"/>
      <c r="B1240" s="44"/>
      <c r="C1240" s="150"/>
      <c r="D1240" s="3"/>
      <c r="E1240" s="3"/>
      <c r="F1240" s="5"/>
      <c r="G1240" s="5"/>
      <c r="H1240" s="5"/>
      <c r="I1240" s="3"/>
      <c r="J1240" s="3"/>
      <c r="K1240" s="3"/>
      <c r="L1240" s="44"/>
      <c r="M1240" s="150"/>
      <c r="N1240" s="5"/>
      <c r="O1240" s="5"/>
      <c r="P1240" s="10"/>
      <c r="Q1240" s="10"/>
      <c r="R1240" s="144"/>
      <c r="S1240" s="144"/>
      <c r="T1240" s="10"/>
      <c r="U1240" s="5"/>
      <c r="V1240" s="3"/>
      <c r="W1240" s="5"/>
      <c r="X1240" s="144"/>
      <c r="Y1240" s="10"/>
      <c r="Z1240" s="3"/>
      <c r="AA1240" s="10"/>
      <c r="AB1240" s="10"/>
      <c r="AC1240" s="181"/>
      <c r="AD1240" s="144"/>
      <c r="AE1240" s="182"/>
      <c r="AF1240" s="10"/>
      <c r="AG1240" s="10"/>
      <c r="AH1240" s="144"/>
      <c r="AI1240" s="3"/>
      <c r="AJ1240" s="10"/>
      <c r="AK1240" s="3"/>
      <c r="AL1240" s="5"/>
      <c r="AM1240" s="5"/>
      <c r="AN1240" s="5"/>
      <c r="AO1240" s="5"/>
      <c r="AP1240" s="5"/>
      <c r="AQ1240" s="5"/>
      <c r="AR1240" s="5"/>
      <c r="AS1240" s="142"/>
      <c r="AT1240" s="142"/>
      <c r="AU1240" s="142"/>
      <c r="AV1240" s="142"/>
      <c r="AW1240" s="142"/>
      <c r="AX1240" s="142"/>
      <c r="AY1240" s="142"/>
      <c r="AZ1240" s="174"/>
      <c r="BA1240" s="142"/>
      <c r="BB1240" s="142"/>
      <c r="BC1240" s="142"/>
      <c r="BD1240" s="142"/>
      <c r="BE1240" s="142"/>
      <c r="BF1240" s="142"/>
      <c r="BG1240" s="142"/>
    </row>
    <row r="1241">
      <c r="A1241" s="5"/>
      <c r="B1241" s="44"/>
      <c r="C1241" s="150"/>
      <c r="D1241" s="3"/>
      <c r="E1241" s="3"/>
      <c r="F1241" s="5"/>
      <c r="G1241" s="5"/>
      <c r="H1241" s="5"/>
      <c r="I1241" s="3"/>
      <c r="J1241" s="3"/>
      <c r="K1241" s="3"/>
      <c r="L1241" s="44"/>
      <c r="M1241" s="150"/>
      <c r="N1241" s="5"/>
      <c r="O1241" s="5"/>
      <c r="P1241" s="10"/>
      <c r="Q1241" s="10"/>
      <c r="R1241" s="144"/>
      <c r="S1241" s="144"/>
      <c r="T1241" s="10"/>
      <c r="U1241" s="5"/>
      <c r="V1241" s="3"/>
      <c r="W1241" s="5"/>
      <c r="X1241" s="144"/>
      <c r="Y1241" s="10"/>
      <c r="Z1241" s="3"/>
      <c r="AA1241" s="10"/>
      <c r="AB1241" s="10"/>
      <c r="AC1241" s="181"/>
      <c r="AD1241" s="144"/>
      <c r="AE1241" s="182"/>
      <c r="AF1241" s="10"/>
      <c r="AG1241" s="10"/>
      <c r="AH1241" s="144"/>
      <c r="AI1241" s="3"/>
      <c r="AJ1241" s="10"/>
      <c r="AK1241" s="3"/>
      <c r="AL1241" s="5"/>
      <c r="AM1241" s="5"/>
      <c r="AN1241" s="5"/>
      <c r="AO1241" s="5"/>
      <c r="AP1241" s="5"/>
      <c r="AQ1241" s="5"/>
      <c r="AR1241" s="5"/>
      <c r="AS1241" s="142"/>
      <c r="AT1241" s="142"/>
      <c r="AU1241" s="142"/>
      <c r="AV1241" s="142"/>
      <c r="AW1241" s="142"/>
      <c r="AX1241" s="142"/>
      <c r="AY1241" s="142"/>
      <c r="AZ1241" s="174"/>
      <c r="BA1241" s="142"/>
      <c r="BB1241" s="142"/>
      <c r="BC1241" s="142"/>
      <c r="BD1241" s="142"/>
      <c r="BE1241" s="142"/>
      <c r="BF1241" s="142"/>
      <c r="BG1241" s="142"/>
    </row>
    <row r="1242">
      <c r="A1242" s="5"/>
      <c r="B1242" s="44"/>
      <c r="C1242" s="150"/>
      <c r="D1242" s="3"/>
      <c r="E1242" s="3"/>
      <c r="F1242" s="5"/>
      <c r="G1242" s="5"/>
      <c r="H1242" s="5"/>
      <c r="I1242" s="3"/>
      <c r="J1242" s="3"/>
      <c r="K1242" s="3"/>
      <c r="L1242" s="44"/>
      <c r="M1242" s="150"/>
      <c r="N1242" s="5"/>
      <c r="O1242" s="5"/>
      <c r="P1242" s="10"/>
      <c r="Q1242" s="10"/>
      <c r="R1242" s="144"/>
      <c r="S1242" s="144"/>
      <c r="T1242" s="10"/>
      <c r="U1242" s="5"/>
      <c r="V1242" s="3"/>
      <c r="W1242" s="5"/>
      <c r="X1242" s="144"/>
      <c r="Y1242" s="10"/>
      <c r="Z1242" s="3"/>
      <c r="AA1242" s="10"/>
      <c r="AB1242" s="10"/>
      <c r="AC1242" s="181"/>
      <c r="AD1242" s="144"/>
      <c r="AE1242" s="182"/>
      <c r="AF1242" s="10"/>
      <c r="AG1242" s="10"/>
      <c r="AH1242" s="144"/>
      <c r="AI1242" s="3"/>
      <c r="AJ1242" s="10"/>
      <c r="AK1242" s="3"/>
      <c r="AL1242" s="5"/>
      <c r="AM1242" s="5"/>
      <c r="AN1242" s="5"/>
      <c r="AO1242" s="5"/>
      <c r="AP1242" s="5"/>
      <c r="AQ1242" s="5"/>
      <c r="AR1242" s="5"/>
      <c r="AS1242" s="142"/>
      <c r="AT1242" s="142"/>
      <c r="AU1242" s="142"/>
      <c r="AV1242" s="142"/>
      <c r="AW1242" s="142"/>
      <c r="AX1242" s="142"/>
      <c r="AY1242" s="142"/>
      <c r="AZ1242" s="174"/>
      <c r="BA1242" s="142"/>
      <c r="BB1242" s="142"/>
      <c r="BC1242" s="142"/>
      <c r="BD1242" s="142"/>
      <c r="BE1242" s="142"/>
      <c r="BF1242" s="142"/>
      <c r="BG1242" s="142"/>
    </row>
    <row r="1243">
      <c r="A1243" s="5"/>
      <c r="B1243" s="44"/>
      <c r="C1243" s="150"/>
      <c r="D1243" s="3"/>
      <c r="E1243" s="3"/>
      <c r="F1243" s="5"/>
      <c r="G1243" s="5"/>
      <c r="H1243" s="5"/>
      <c r="I1243" s="3"/>
      <c r="J1243" s="3"/>
      <c r="K1243" s="3"/>
      <c r="L1243" s="44"/>
      <c r="M1243" s="150"/>
      <c r="N1243" s="5"/>
      <c r="O1243" s="5"/>
      <c r="P1243" s="10"/>
      <c r="Q1243" s="10"/>
      <c r="R1243" s="144"/>
      <c r="S1243" s="144"/>
      <c r="T1243" s="10"/>
      <c r="U1243" s="5"/>
      <c r="V1243" s="3"/>
      <c r="W1243" s="5"/>
      <c r="X1243" s="144"/>
      <c r="Y1243" s="10"/>
      <c r="Z1243" s="3"/>
      <c r="AA1243" s="10"/>
      <c r="AB1243" s="10"/>
      <c r="AC1243" s="181"/>
      <c r="AD1243" s="144"/>
      <c r="AE1243" s="182"/>
      <c r="AF1243" s="10"/>
      <c r="AG1243" s="10"/>
      <c r="AH1243" s="144"/>
      <c r="AI1243" s="3"/>
      <c r="AJ1243" s="10"/>
      <c r="AK1243" s="3"/>
      <c r="AL1243" s="5"/>
      <c r="AM1243" s="5"/>
      <c r="AN1243" s="5"/>
      <c r="AO1243" s="5"/>
      <c r="AP1243" s="5"/>
      <c r="AQ1243" s="5"/>
      <c r="AR1243" s="5"/>
      <c r="AS1243" s="142"/>
      <c r="AT1243" s="142"/>
      <c r="AU1243" s="142"/>
      <c r="AV1243" s="142"/>
      <c r="AW1243" s="142"/>
      <c r="AX1243" s="142"/>
      <c r="AY1243" s="142"/>
      <c r="AZ1243" s="174"/>
      <c r="BA1243" s="142"/>
      <c r="BB1243" s="142"/>
      <c r="BC1243" s="142"/>
      <c r="BD1243" s="142"/>
      <c r="BE1243" s="142"/>
      <c r="BF1243" s="142"/>
      <c r="BG1243" s="142"/>
    </row>
    <row r="1244">
      <c r="A1244" s="5"/>
      <c r="B1244" s="44"/>
      <c r="C1244" s="150"/>
      <c r="D1244" s="3"/>
      <c r="E1244" s="3"/>
      <c r="F1244" s="5"/>
      <c r="G1244" s="5"/>
      <c r="H1244" s="5"/>
      <c r="I1244" s="3"/>
      <c r="J1244" s="3"/>
      <c r="K1244" s="3"/>
      <c r="L1244" s="44"/>
      <c r="M1244" s="150"/>
      <c r="N1244" s="5"/>
      <c r="O1244" s="5"/>
      <c r="P1244" s="10"/>
      <c r="Q1244" s="10"/>
      <c r="R1244" s="144"/>
      <c r="S1244" s="144"/>
      <c r="T1244" s="10"/>
      <c r="U1244" s="5"/>
      <c r="V1244" s="3"/>
      <c r="W1244" s="5"/>
      <c r="X1244" s="144"/>
      <c r="Y1244" s="10"/>
      <c r="Z1244" s="3"/>
      <c r="AA1244" s="10"/>
      <c r="AB1244" s="10"/>
      <c r="AC1244" s="181"/>
      <c r="AD1244" s="144"/>
      <c r="AE1244" s="182"/>
      <c r="AF1244" s="10"/>
      <c r="AG1244" s="10"/>
      <c r="AH1244" s="144"/>
      <c r="AI1244" s="3"/>
      <c r="AJ1244" s="10"/>
      <c r="AK1244" s="3"/>
      <c r="AL1244" s="5"/>
      <c r="AM1244" s="5"/>
      <c r="AN1244" s="5"/>
      <c r="AO1244" s="5"/>
      <c r="AP1244" s="5"/>
      <c r="AQ1244" s="5"/>
      <c r="AR1244" s="5"/>
      <c r="AS1244" s="142"/>
      <c r="AT1244" s="142"/>
      <c r="AU1244" s="142"/>
      <c r="AV1244" s="142"/>
      <c r="AW1244" s="142"/>
      <c r="AX1244" s="142"/>
      <c r="AY1244" s="142"/>
      <c r="AZ1244" s="174"/>
      <c r="BA1244" s="142"/>
      <c r="BB1244" s="142"/>
      <c r="BC1244" s="142"/>
      <c r="BD1244" s="142"/>
      <c r="BE1244" s="142"/>
      <c r="BF1244" s="142"/>
      <c r="BG1244" s="142"/>
    </row>
    <row r="1245">
      <c r="A1245" s="5"/>
      <c r="B1245" s="44"/>
      <c r="C1245" s="150"/>
      <c r="D1245" s="3"/>
      <c r="E1245" s="3"/>
      <c r="F1245" s="5"/>
      <c r="G1245" s="5"/>
      <c r="H1245" s="5"/>
      <c r="I1245" s="3"/>
      <c r="J1245" s="3"/>
      <c r="K1245" s="3"/>
      <c r="L1245" s="44"/>
      <c r="M1245" s="150"/>
      <c r="N1245" s="5"/>
      <c r="O1245" s="5"/>
      <c r="P1245" s="10"/>
      <c r="Q1245" s="10"/>
      <c r="R1245" s="144"/>
      <c r="S1245" s="144"/>
      <c r="T1245" s="10"/>
      <c r="U1245" s="5"/>
      <c r="V1245" s="3"/>
      <c r="W1245" s="5"/>
      <c r="X1245" s="144"/>
      <c r="Y1245" s="10"/>
      <c r="Z1245" s="3"/>
      <c r="AA1245" s="10"/>
      <c r="AB1245" s="10"/>
      <c r="AC1245" s="181"/>
      <c r="AD1245" s="144"/>
      <c r="AE1245" s="182"/>
      <c r="AF1245" s="10"/>
      <c r="AG1245" s="10"/>
      <c r="AH1245" s="144"/>
      <c r="AI1245" s="3"/>
      <c r="AJ1245" s="10"/>
      <c r="AK1245" s="3"/>
      <c r="AL1245" s="5"/>
      <c r="AM1245" s="5"/>
      <c r="AN1245" s="5"/>
      <c r="AO1245" s="5"/>
      <c r="AP1245" s="5"/>
      <c r="AQ1245" s="5"/>
      <c r="AR1245" s="5"/>
      <c r="AS1245" s="142"/>
      <c r="AT1245" s="142"/>
      <c r="AU1245" s="142"/>
      <c r="AV1245" s="142"/>
      <c r="AW1245" s="142"/>
      <c r="AX1245" s="142"/>
      <c r="AY1245" s="142"/>
      <c r="AZ1245" s="174"/>
      <c r="BA1245" s="142"/>
      <c r="BB1245" s="142"/>
      <c r="BC1245" s="142"/>
      <c r="BD1245" s="142"/>
      <c r="BE1245" s="142"/>
      <c r="BF1245" s="142"/>
      <c r="BG1245" s="142"/>
    </row>
    <row r="1246">
      <c r="A1246" s="5"/>
      <c r="B1246" s="44"/>
      <c r="C1246" s="150"/>
      <c r="D1246" s="3"/>
      <c r="E1246" s="3"/>
      <c r="F1246" s="5"/>
      <c r="G1246" s="5"/>
      <c r="H1246" s="5"/>
      <c r="I1246" s="3"/>
      <c r="J1246" s="3"/>
      <c r="K1246" s="3"/>
      <c r="L1246" s="44"/>
      <c r="M1246" s="150"/>
      <c r="N1246" s="5"/>
      <c r="O1246" s="5"/>
      <c r="P1246" s="10"/>
      <c r="Q1246" s="10"/>
      <c r="R1246" s="144"/>
      <c r="S1246" s="144"/>
      <c r="T1246" s="10"/>
      <c r="U1246" s="5"/>
      <c r="V1246" s="3"/>
      <c r="W1246" s="5"/>
      <c r="X1246" s="144"/>
      <c r="Y1246" s="10"/>
      <c r="Z1246" s="3"/>
      <c r="AA1246" s="10"/>
      <c r="AB1246" s="10"/>
      <c r="AC1246" s="181"/>
      <c r="AD1246" s="144"/>
      <c r="AE1246" s="182"/>
      <c r="AF1246" s="10"/>
      <c r="AG1246" s="10"/>
      <c r="AH1246" s="144"/>
      <c r="AI1246" s="3"/>
      <c r="AJ1246" s="10"/>
      <c r="AK1246" s="3"/>
      <c r="AL1246" s="5"/>
      <c r="AM1246" s="5"/>
      <c r="AN1246" s="5"/>
      <c r="AO1246" s="5"/>
      <c r="AP1246" s="5"/>
      <c r="AQ1246" s="5"/>
      <c r="AR1246" s="5"/>
      <c r="AS1246" s="142"/>
      <c r="AT1246" s="142"/>
      <c r="AU1246" s="142"/>
      <c r="AV1246" s="142"/>
      <c r="AW1246" s="142"/>
      <c r="AX1246" s="142"/>
      <c r="AY1246" s="142"/>
      <c r="AZ1246" s="174"/>
      <c r="BA1246" s="142"/>
      <c r="BB1246" s="142"/>
      <c r="BC1246" s="142"/>
      <c r="BD1246" s="142"/>
      <c r="BE1246" s="142"/>
      <c r="BF1246" s="142"/>
      <c r="BG1246" s="142"/>
    </row>
    <row r="1247">
      <c r="A1247" s="5"/>
      <c r="B1247" s="44"/>
      <c r="C1247" s="150"/>
      <c r="D1247" s="3"/>
      <c r="E1247" s="3"/>
      <c r="F1247" s="5"/>
      <c r="G1247" s="5"/>
      <c r="H1247" s="5"/>
      <c r="I1247" s="3"/>
      <c r="J1247" s="3"/>
      <c r="K1247" s="3"/>
      <c r="L1247" s="44"/>
      <c r="M1247" s="150"/>
      <c r="N1247" s="5"/>
      <c r="O1247" s="5"/>
      <c r="P1247" s="10"/>
      <c r="Q1247" s="10"/>
      <c r="R1247" s="144"/>
      <c r="S1247" s="144"/>
      <c r="T1247" s="10"/>
      <c r="U1247" s="5"/>
      <c r="V1247" s="3"/>
      <c r="W1247" s="5"/>
      <c r="X1247" s="144"/>
      <c r="Y1247" s="10"/>
      <c r="Z1247" s="3"/>
      <c r="AA1247" s="10"/>
      <c r="AB1247" s="10"/>
      <c r="AC1247" s="181"/>
      <c r="AD1247" s="144"/>
      <c r="AE1247" s="182"/>
      <c r="AF1247" s="10"/>
      <c r="AG1247" s="10"/>
      <c r="AH1247" s="144"/>
      <c r="AI1247" s="3"/>
      <c r="AJ1247" s="10"/>
      <c r="AK1247" s="3"/>
      <c r="AL1247" s="5"/>
      <c r="AM1247" s="5"/>
      <c r="AN1247" s="5"/>
      <c r="AO1247" s="5"/>
      <c r="AP1247" s="5"/>
      <c r="AQ1247" s="5"/>
      <c r="AR1247" s="5"/>
      <c r="AS1247" s="142"/>
      <c r="AT1247" s="142"/>
      <c r="AU1247" s="142"/>
      <c r="AV1247" s="142"/>
      <c r="AW1247" s="142"/>
      <c r="AX1247" s="142"/>
      <c r="AY1247" s="142"/>
      <c r="AZ1247" s="174"/>
      <c r="BA1247" s="142"/>
      <c r="BB1247" s="142"/>
      <c r="BC1247" s="142"/>
      <c r="BD1247" s="142"/>
      <c r="BE1247" s="142"/>
      <c r="BF1247" s="142"/>
      <c r="BG1247" s="142"/>
    </row>
    <row r="1248">
      <c r="A1248" s="5"/>
      <c r="B1248" s="44"/>
      <c r="C1248" s="150"/>
      <c r="D1248" s="3"/>
      <c r="E1248" s="3"/>
      <c r="F1248" s="5"/>
      <c r="G1248" s="5"/>
      <c r="H1248" s="5"/>
      <c r="I1248" s="3"/>
      <c r="J1248" s="3"/>
      <c r="K1248" s="3"/>
      <c r="L1248" s="44"/>
      <c r="M1248" s="150"/>
      <c r="N1248" s="5"/>
      <c r="O1248" s="5"/>
      <c r="P1248" s="10"/>
      <c r="Q1248" s="10"/>
      <c r="R1248" s="144"/>
      <c r="S1248" s="144"/>
      <c r="T1248" s="10"/>
      <c r="U1248" s="5"/>
      <c r="V1248" s="3"/>
      <c r="W1248" s="5"/>
      <c r="X1248" s="144"/>
      <c r="Y1248" s="10"/>
      <c r="Z1248" s="3"/>
      <c r="AA1248" s="10"/>
      <c r="AB1248" s="10"/>
      <c r="AC1248" s="181"/>
      <c r="AD1248" s="144"/>
      <c r="AE1248" s="182"/>
      <c r="AF1248" s="10"/>
      <c r="AG1248" s="10"/>
      <c r="AH1248" s="144"/>
      <c r="AI1248" s="3"/>
      <c r="AJ1248" s="10"/>
      <c r="AK1248" s="3"/>
      <c r="AL1248" s="5"/>
      <c r="AM1248" s="5"/>
      <c r="AN1248" s="5"/>
      <c r="AO1248" s="5"/>
      <c r="AP1248" s="5"/>
      <c r="AQ1248" s="5"/>
      <c r="AR1248" s="5"/>
      <c r="AS1248" s="142"/>
      <c r="AT1248" s="142"/>
      <c r="AU1248" s="142"/>
      <c r="AV1248" s="142"/>
      <c r="AW1248" s="142"/>
      <c r="AX1248" s="142"/>
      <c r="AY1248" s="142"/>
      <c r="AZ1248" s="174"/>
      <c r="BA1248" s="142"/>
      <c r="BB1248" s="142"/>
      <c r="BC1248" s="142"/>
      <c r="BD1248" s="142"/>
      <c r="BE1248" s="142"/>
      <c r="BF1248" s="142"/>
      <c r="BG1248" s="142"/>
    </row>
    <row r="1249">
      <c r="A1249" s="5"/>
      <c r="B1249" s="44"/>
      <c r="C1249" s="150"/>
      <c r="D1249" s="3"/>
      <c r="E1249" s="3"/>
      <c r="F1249" s="5"/>
      <c r="G1249" s="5"/>
      <c r="H1249" s="5"/>
      <c r="I1249" s="3"/>
      <c r="J1249" s="3"/>
      <c r="K1249" s="3"/>
      <c r="L1249" s="44"/>
      <c r="M1249" s="150"/>
      <c r="N1249" s="5"/>
      <c r="O1249" s="5"/>
      <c r="P1249" s="10"/>
      <c r="Q1249" s="10"/>
      <c r="R1249" s="144"/>
      <c r="S1249" s="144"/>
      <c r="T1249" s="10"/>
      <c r="U1249" s="5"/>
      <c r="V1249" s="3"/>
      <c r="W1249" s="5"/>
      <c r="X1249" s="144"/>
      <c r="Y1249" s="10"/>
      <c r="Z1249" s="3"/>
      <c r="AA1249" s="10"/>
      <c r="AB1249" s="10"/>
      <c r="AC1249" s="181"/>
      <c r="AD1249" s="144"/>
      <c r="AE1249" s="182"/>
      <c r="AF1249" s="10"/>
      <c r="AG1249" s="10"/>
      <c r="AH1249" s="144"/>
      <c r="AI1249" s="3"/>
      <c r="AJ1249" s="10"/>
      <c r="AK1249" s="3"/>
      <c r="AL1249" s="5"/>
      <c r="AM1249" s="5"/>
      <c r="AN1249" s="5"/>
      <c r="AO1249" s="5"/>
      <c r="AP1249" s="5"/>
      <c r="AQ1249" s="5"/>
      <c r="AR1249" s="5"/>
      <c r="AS1249" s="142"/>
      <c r="AT1249" s="142"/>
      <c r="AU1249" s="142"/>
      <c r="AV1249" s="142"/>
      <c r="AW1249" s="142"/>
      <c r="AX1249" s="142"/>
      <c r="AY1249" s="142"/>
      <c r="AZ1249" s="174"/>
      <c r="BA1249" s="142"/>
      <c r="BB1249" s="142"/>
      <c r="BC1249" s="142"/>
      <c r="BD1249" s="142"/>
      <c r="BE1249" s="142"/>
      <c r="BF1249" s="142"/>
      <c r="BG1249" s="142"/>
    </row>
    <row r="1250">
      <c r="A1250" s="5"/>
      <c r="B1250" s="44"/>
      <c r="C1250" s="150"/>
      <c r="D1250" s="3"/>
      <c r="E1250" s="3"/>
      <c r="F1250" s="5"/>
      <c r="G1250" s="5"/>
      <c r="H1250" s="5"/>
      <c r="I1250" s="3"/>
      <c r="J1250" s="3"/>
      <c r="K1250" s="3"/>
      <c r="L1250" s="44"/>
      <c r="M1250" s="150"/>
      <c r="N1250" s="5"/>
      <c r="O1250" s="5"/>
      <c r="P1250" s="10"/>
      <c r="Q1250" s="10"/>
      <c r="R1250" s="144"/>
      <c r="S1250" s="144"/>
      <c r="T1250" s="10"/>
      <c r="U1250" s="5"/>
      <c r="V1250" s="3"/>
      <c r="W1250" s="5"/>
      <c r="X1250" s="144"/>
      <c r="Y1250" s="10"/>
      <c r="Z1250" s="3"/>
      <c r="AA1250" s="10"/>
      <c r="AB1250" s="10"/>
      <c r="AC1250" s="181"/>
      <c r="AD1250" s="144"/>
      <c r="AE1250" s="182"/>
      <c r="AF1250" s="10"/>
      <c r="AG1250" s="10"/>
      <c r="AH1250" s="144"/>
      <c r="AI1250" s="3"/>
      <c r="AJ1250" s="10"/>
      <c r="AK1250" s="3"/>
      <c r="AL1250" s="5"/>
      <c r="AM1250" s="5"/>
      <c r="AN1250" s="5"/>
      <c r="AO1250" s="5"/>
      <c r="AP1250" s="5"/>
      <c r="AQ1250" s="5"/>
      <c r="AR1250" s="5"/>
      <c r="AS1250" s="142"/>
      <c r="AT1250" s="142"/>
      <c r="AU1250" s="142"/>
      <c r="AV1250" s="142"/>
      <c r="AW1250" s="142"/>
      <c r="AX1250" s="142"/>
      <c r="AY1250" s="142"/>
      <c r="AZ1250" s="174"/>
      <c r="BA1250" s="142"/>
      <c r="BB1250" s="142"/>
      <c r="BC1250" s="142"/>
      <c r="BD1250" s="142"/>
      <c r="BE1250" s="142"/>
      <c r="BF1250" s="142"/>
      <c r="BG1250" s="142"/>
    </row>
    <row r="1251">
      <c r="A1251" s="5"/>
      <c r="B1251" s="44"/>
      <c r="C1251" s="150"/>
      <c r="D1251" s="3"/>
      <c r="E1251" s="3"/>
      <c r="F1251" s="5"/>
      <c r="G1251" s="5"/>
      <c r="H1251" s="5"/>
      <c r="I1251" s="3"/>
      <c r="J1251" s="3"/>
      <c r="K1251" s="3"/>
      <c r="L1251" s="44"/>
      <c r="M1251" s="150"/>
      <c r="N1251" s="5"/>
      <c r="O1251" s="5"/>
      <c r="P1251" s="10"/>
      <c r="Q1251" s="10"/>
      <c r="R1251" s="144"/>
      <c r="S1251" s="144"/>
      <c r="T1251" s="10"/>
      <c r="U1251" s="5"/>
      <c r="V1251" s="3"/>
      <c r="W1251" s="5"/>
      <c r="X1251" s="144"/>
      <c r="Y1251" s="10"/>
      <c r="Z1251" s="3"/>
      <c r="AA1251" s="10"/>
      <c r="AB1251" s="10"/>
      <c r="AC1251" s="181"/>
      <c r="AD1251" s="144"/>
      <c r="AE1251" s="182"/>
      <c r="AF1251" s="10"/>
      <c r="AG1251" s="10"/>
      <c r="AH1251" s="144"/>
      <c r="AI1251" s="3"/>
      <c r="AJ1251" s="10"/>
      <c r="AK1251" s="3"/>
      <c r="AL1251" s="5"/>
      <c r="AM1251" s="5"/>
      <c r="AN1251" s="5"/>
      <c r="AO1251" s="5"/>
      <c r="AP1251" s="5"/>
      <c r="AQ1251" s="5"/>
      <c r="AR1251" s="5"/>
      <c r="AS1251" s="142"/>
      <c r="AT1251" s="142"/>
      <c r="AU1251" s="142"/>
      <c r="AV1251" s="142"/>
      <c r="AW1251" s="142"/>
      <c r="AX1251" s="142"/>
      <c r="AY1251" s="142"/>
      <c r="AZ1251" s="174"/>
      <c r="BA1251" s="142"/>
      <c r="BB1251" s="142"/>
      <c r="BC1251" s="142"/>
      <c r="BD1251" s="142"/>
      <c r="BE1251" s="142"/>
      <c r="BF1251" s="142"/>
      <c r="BG1251" s="142"/>
    </row>
    <row r="1252">
      <c r="A1252" s="5"/>
      <c r="B1252" s="44"/>
      <c r="C1252" s="150"/>
      <c r="D1252" s="3"/>
      <c r="E1252" s="3"/>
      <c r="F1252" s="5"/>
      <c r="G1252" s="5"/>
      <c r="H1252" s="5"/>
      <c r="I1252" s="3"/>
      <c r="J1252" s="3"/>
      <c r="K1252" s="3"/>
      <c r="L1252" s="44"/>
      <c r="M1252" s="150"/>
      <c r="N1252" s="5"/>
      <c r="O1252" s="5"/>
      <c r="P1252" s="10"/>
      <c r="Q1252" s="10"/>
      <c r="R1252" s="144"/>
      <c r="S1252" s="144"/>
      <c r="T1252" s="10"/>
      <c r="U1252" s="5"/>
      <c r="V1252" s="3"/>
      <c r="W1252" s="5"/>
      <c r="X1252" s="144"/>
      <c r="Y1252" s="10"/>
      <c r="Z1252" s="3"/>
      <c r="AA1252" s="10"/>
      <c r="AB1252" s="10"/>
      <c r="AC1252" s="181"/>
      <c r="AD1252" s="144"/>
      <c r="AE1252" s="182"/>
      <c r="AF1252" s="10"/>
      <c r="AG1252" s="10"/>
      <c r="AH1252" s="144"/>
      <c r="AI1252" s="3"/>
      <c r="AJ1252" s="10"/>
      <c r="AK1252" s="3"/>
      <c r="AL1252" s="5"/>
      <c r="AM1252" s="5"/>
      <c r="AN1252" s="5"/>
      <c r="AO1252" s="5"/>
      <c r="AP1252" s="5"/>
      <c r="AQ1252" s="5"/>
      <c r="AR1252" s="5"/>
      <c r="AS1252" s="142"/>
      <c r="AT1252" s="142"/>
      <c r="AU1252" s="142"/>
      <c r="AV1252" s="142"/>
      <c r="AW1252" s="142"/>
      <c r="AX1252" s="142"/>
      <c r="AY1252" s="142"/>
      <c r="AZ1252" s="174"/>
      <c r="BA1252" s="142"/>
      <c r="BB1252" s="142"/>
      <c r="BC1252" s="142"/>
      <c r="BD1252" s="142"/>
      <c r="BE1252" s="142"/>
      <c r="BF1252" s="142"/>
      <c r="BG1252" s="142"/>
    </row>
    <row r="1253">
      <c r="A1253" s="5"/>
      <c r="B1253" s="44"/>
      <c r="C1253" s="150"/>
      <c r="D1253" s="3"/>
      <c r="E1253" s="3"/>
      <c r="F1253" s="5"/>
      <c r="G1253" s="5"/>
      <c r="H1253" s="5"/>
      <c r="I1253" s="3"/>
      <c r="J1253" s="3"/>
      <c r="K1253" s="3"/>
      <c r="L1253" s="44"/>
      <c r="M1253" s="150"/>
      <c r="N1253" s="5"/>
      <c r="O1253" s="5"/>
      <c r="P1253" s="10"/>
      <c r="Q1253" s="10"/>
      <c r="R1253" s="144"/>
      <c r="S1253" s="144"/>
      <c r="T1253" s="10"/>
      <c r="U1253" s="5"/>
      <c r="V1253" s="3"/>
      <c r="W1253" s="5"/>
      <c r="X1253" s="144"/>
      <c r="Y1253" s="10"/>
      <c r="Z1253" s="3"/>
      <c r="AA1253" s="10"/>
      <c r="AB1253" s="10"/>
      <c r="AC1253" s="181"/>
      <c r="AD1253" s="144"/>
      <c r="AE1253" s="182"/>
      <c r="AF1253" s="10"/>
      <c r="AG1253" s="10"/>
      <c r="AH1253" s="144"/>
      <c r="AI1253" s="3"/>
      <c r="AJ1253" s="10"/>
      <c r="AK1253" s="3"/>
      <c r="AL1253" s="5"/>
      <c r="AM1253" s="5"/>
      <c r="AN1253" s="5"/>
      <c r="AO1253" s="5"/>
      <c r="AP1253" s="5"/>
      <c r="AQ1253" s="5"/>
      <c r="AR1253" s="5"/>
      <c r="AS1253" s="142"/>
      <c r="AT1253" s="142"/>
      <c r="AU1253" s="142"/>
      <c r="AV1253" s="142"/>
      <c r="AW1253" s="142"/>
      <c r="AX1253" s="142"/>
      <c r="AY1253" s="142"/>
      <c r="AZ1253" s="174"/>
      <c r="BA1253" s="142"/>
      <c r="BB1253" s="142"/>
      <c r="BC1253" s="142"/>
      <c r="BD1253" s="142"/>
      <c r="BE1253" s="142"/>
      <c r="BF1253" s="142"/>
      <c r="BG1253" s="142"/>
    </row>
    <row r="1254">
      <c r="A1254" s="5"/>
      <c r="B1254" s="44"/>
      <c r="C1254" s="150"/>
      <c r="D1254" s="3"/>
      <c r="E1254" s="3"/>
      <c r="F1254" s="5"/>
      <c r="G1254" s="5"/>
      <c r="H1254" s="5"/>
      <c r="I1254" s="3"/>
      <c r="J1254" s="3"/>
      <c r="K1254" s="3"/>
      <c r="L1254" s="44"/>
      <c r="M1254" s="150"/>
      <c r="N1254" s="5"/>
      <c r="O1254" s="5"/>
      <c r="P1254" s="10"/>
      <c r="Q1254" s="10"/>
      <c r="R1254" s="144"/>
      <c r="S1254" s="144"/>
      <c r="T1254" s="10"/>
      <c r="U1254" s="5"/>
      <c r="V1254" s="3"/>
      <c r="W1254" s="5"/>
      <c r="X1254" s="144"/>
      <c r="Y1254" s="10"/>
      <c r="Z1254" s="3"/>
      <c r="AA1254" s="10"/>
      <c r="AB1254" s="10"/>
      <c r="AC1254" s="181"/>
      <c r="AD1254" s="144"/>
      <c r="AE1254" s="182"/>
      <c r="AF1254" s="10"/>
      <c r="AG1254" s="10"/>
      <c r="AH1254" s="144"/>
      <c r="AI1254" s="3"/>
      <c r="AJ1254" s="10"/>
      <c r="AK1254" s="3"/>
      <c r="AL1254" s="5"/>
      <c r="AM1254" s="5"/>
      <c r="AN1254" s="5"/>
      <c r="AO1254" s="5"/>
      <c r="AP1254" s="5"/>
      <c r="AQ1254" s="5"/>
      <c r="AR1254" s="5"/>
      <c r="AS1254" s="142"/>
      <c r="AT1254" s="142"/>
      <c r="AU1254" s="142"/>
      <c r="AV1254" s="142"/>
      <c r="AW1254" s="142"/>
      <c r="AX1254" s="142"/>
      <c r="AY1254" s="142"/>
      <c r="AZ1254" s="174"/>
      <c r="BA1254" s="142"/>
      <c r="BB1254" s="142"/>
      <c r="BC1254" s="142"/>
      <c r="BD1254" s="142"/>
      <c r="BE1254" s="142"/>
      <c r="BF1254" s="142"/>
      <c r="BG1254" s="142"/>
    </row>
    <row r="1255">
      <c r="A1255" s="5"/>
      <c r="B1255" s="44"/>
      <c r="C1255" s="150"/>
      <c r="D1255" s="3"/>
      <c r="E1255" s="3"/>
      <c r="F1255" s="5"/>
      <c r="G1255" s="5"/>
      <c r="H1255" s="5"/>
      <c r="I1255" s="3"/>
      <c r="J1255" s="3"/>
      <c r="K1255" s="3"/>
      <c r="L1255" s="44"/>
      <c r="M1255" s="150"/>
      <c r="N1255" s="5"/>
      <c r="O1255" s="5"/>
      <c r="P1255" s="10"/>
      <c r="Q1255" s="10"/>
      <c r="R1255" s="144"/>
      <c r="S1255" s="144"/>
      <c r="T1255" s="10"/>
      <c r="U1255" s="5"/>
      <c r="V1255" s="3"/>
      <c r="W1255" s="5"/>
      <c r="X1255" s="144"/>
      <c r="Y1255" s="10"/>
      <c r="Z1255" s="3"/>
      <c r="AA1255" s="10"/>
      <c r="AB1255" s="10"/>
      <c r="AC1255" s="181"/>
      <c r="AD1255" s="144"/>
      <c r="AE1255" s="182"/>
      <c r="AF1255" s="10"/>
      <c r="AG1255" s="10"/>
      <c r="AH1255" s="144"/>
      <c r="AI1255" s="3"/>
      <c r="AJ1255" s="10"/>
      <c r="AK1255" s="3"/>
      <c r="AL1255" s="5"/>
      <c r="AM1255" s="5"/>
      <c r="AN1255" s="5"/>
      <c r="AO1255" s="5"/>
      <c r="AP1255" s="5"/>
      <c r="AQ1255" s="5"/>
      <c r="AR1255" s="5"/>
      <c r="AS1255" s="142"/>
      <c r="AT1255" s="142"/>
      <c r="AU1255" s="142"/>
      <c r="AV1255" s="142"/>
      <c r="AW1255" s="142"/>
      <c r="AX1255" s="142"/>
      <c r="AY1255" s="142"/>
      <c r="AZ1255" s="174"/>
      <c r="BA1255" s="142"/>
      <c r="BB1255" s="142"/>
      <c r="BC1255" s="142"/>
      <c r="BD1255" s="142"/>
      <c r="BE1255" s="142"/>
      <c r="BF1255" s="142"/>
      <c r="BG1255" s="142"/>
    </row>
    <row r="1256">
      <c r="A1256" s="5"/>
      <c r="B1256" s="44"/>
      <c r="C1256" s="150"/>
      <c r="D1256" s="3"/>
      <c r="E1256" s="3"/>
      <c r="F1256" s="5"/>
      <c r="G1256" s="5"/>
      <c r="H1256" s="5"/>
      <c r="I1256" s="3"/>
      <c r="J1256" s="3"/>
      <c r="K1256" s="3"/>
      <c r="L1256" s="44"/>
      <c r="M1256" s="150"/>
      <c r="N1256" s="5"/>
      <c r="O1256" s="5"/>
      <c r="P1256" s="10"/>
      <c r="Q1256" s="10"/>
      <c r="R1256" s="144"/>
      <c r="S1256" s="144"/>
      <c r="T1256" s="10"/>
      <c r="U1256" s="5"/>
      <c r="V1256" s="3"/>
      <c r="W1256" s="5"/>
      <c r="X1256" s="144"/>
      <c r="Y1256" s="10"/>
      <c r="Z1256" s="3"/>
      <c r="AA1256" s="10"/>
      <c r="AB1256" s="10"/>
      <c r="AC1256" s="181"/>
      <c r="AD1256" s="144"/>
      <c r="AE1256" s="182"/>
      <c r="AF1256" s="10"/>
      <c r="AG1256" s="10"/>
      <c r="AH1256" s="144"/>
      <c r="AI1256" s="3"/>
      <c r="AJ1256" s="10"/>
      <c r="AK1256" s="3"/>
      <c r="AL1256" s="5"/>
      <c r="AM1256" s="5"/>
      <c r="AN1256" s="5"/>
      <c r="AO1256" s="5"/>
      <c r="AP1256" s="5"/>
      <c r="AQ1256" s="5"/>
      <c r="AR1256" s="5"/>
      <c r="AS1256" s="142"/>
      <c r="AT1256" s="142"/>
      <c r="AU1256" s="142"/>
      <c r="AV1256" s="142"/>
      <c r="AW1256" s="142"/>
      <c r="AX1256" s="142"/>
      <c r="AY1256" s="142"/>
      <c r="AZ1256" s="174"/>
      <c r="BA1256" s="142"/>
      <c r="BB1256" s="142"/>
      <c r="BC1256" s="142"/>
      <c r="BD1256" s="142"/>
      <c r="BE1256" s="142"/>
      <c r="BF1256" s="142"/>
      <c r="BG1256" s="142"/>
    </row>
    <row r="1257">
      <c r="A1257" s="5"/>
      <c r="B1257" s="44"/>
      <c r="C1257" s="150"/>
      <c r="D1257" s="3"/>
      <c r="E1257" s="3"/>
      <c r="F1257" s="5"/>
      <c r="G1257" s="5"/>
      <c r="H1257" s="5"/>
      <c r="I1257" s="3"/>
      <c r="J1257" s="3"/>
      <c r="K1257" s="3"/>
      <c r="L1257" s="44"/>
      <c r="M1257" s="150"/>
      <c r="N1257" s="5"/>
      <c r="O1257" s="5"/>
      <c r="P1257" s="10"/>
      <c r="Q1257" s="10"/>
      <c r="R1257" s="144"/>
      <c r="S1257" s="144"/>
      <c r="T1257" s="10"/>
      <c r="U1257" s="5"/>
      <c r="V1257" s="3"/>
      <c r="W1257" s="5"/>
      <c r="X1257" s="144"/>
      <c r="Y1257" s="10"/>
      <c r="Z1257" s="3"/>
      <c r="AA1257" s="10"/>
      <c r="AB1257" s="10"/>
      <c r="AC1257" s="181"/>
      <c r="AD1257" s="144"/>
      <c r="AE1257" s="182"/>
      <c r="AF1257" s="10"/>
      <c r="AG1257" s="10"/>
      <c r="AH1257" s="144"/>
      <c r="AI1257" s="3"/>
      <c r="AJ1257" s="10"/>
      <c r="AK1257" s="3"/>
      <c r="AL1257" s="5"/>
      <c r="AM1257" s="5"/>
      <c r="AN1257" s="5"/>
      <c r="AO1257" s="5"/>
      <c r="AP1257" s="5"/>
      <c r="AQ1257" s="5"/>
      <c r="AR1257" s="5"/>
      <c r="AS1257" s="142"/>
      <c r="AT1257" s="142"/>
      <c r="AU1257" s="142"/>
      <c r="AV1257" s="142"/>
      <c r="AW1257" s="142"/>
      <c r="AX1257" s="142"/>
      <c r="AY1257" s="142"/>
      <c r="AZ1257" s="174"/>
      <c r="BA1257" s="142"/>
      <c r="BB1257" s="142"/>
      <c r="BC1257" s="142"/>
      <c r="BD1257" s="142"/>
      <c r="BE1257" s="142"/>
      <c r="BF1257" s="142"/>
      <c r="BG1257" s="142"/>
    </row>
    <row r="1258">
      <c r="A1258" s="5"/>
      <c r="B1258" s="44"/>
      <c r="C1258" s="150"/>
      <c r="D1258" s="3"/>
      <c r="E1258" s="3"/>
      <c r="F1258" s="5"/>
      <c r="G1258" s="5"/>
      <c r="H1258" s="5"/>
      <c r="I1258" s="3"/>
      <c r="J1258" s="3"/>
      <c r="K1258" s="3"/>
      <c r="L1258" s="44"/>
      <c r="M1258" s="150"/>
      <c r="N1258" s="5"/>
      <c r="O1258" s="5"/>
      <c r="P1258" s="10"/>
      <c r="Q1258" s="10"/>
      <c r="R1258" s="144"/>
      <c r="S1258" s="144"/>
      <c r="T1258" s="10"/>
      <c r="U1258" s="5"/>
      <c r="V1258" s="3"/>
      <c r="W1258" s="5"/>
      <c r="X1258" s="144"/>
      <c r="Y1258" s="10"/>
      <c r="Z1258" s="3"/>
      <c r="AA1258" s="10"/>
      <c r="AB1258" s="10"/>
      <c r="AC1258" s="181"/>
      <c r="AD1258" s="144"/>
      <c r="AE1258" s="182"/>
      <c r="AF1258" s="10"/>
      <c r="AG1258" s="10"/>
      <c r="AH1258" s="144"/>
      <c r="AI1258" s="3"/>
      <c r="AJ1258" s="10"/>
      <c r="AK1258" s="3"/>
      <c r="AL1258" s="5"/>
      <c r="AM1258" s="5"/>
      <c r="AN1258" s="5"/>
      <c r="AO1258" s="5"/>
      <c r="AP1258" s="5"/>
      <c r="AQ1258" s="5"/>
      <c r="AR1258" s="5"/>
      <c r="AS1258" s="142"/>
      <c r="AT1258" s="142"/>
      <c r="AU1258" s="142"/>
      <c r="AV1258" s="142"/>
      <c r="AW1258" s="142"/>
      <c r="AX1258" s="142"/>
      <c r="AY1258" s="142"/>
      <c r="AZ1258" s="174"/>
      <c r="BA1258" s="142"/>
      <c r="BB1258" s="142"/>
      <c r="BC1258" s="142"/>
      <c r="BD1258" s="142"/>
      <c r="BE1258" s="142"/>
      <c r="BF1258" s="142"/>
      <c r="BG1258" s="142"/>
    </row>
    <row r="1259">
      <c r="A1259" s="5"/>
      <c r="B1259" s="44"/>
      <c r="C1259" s="150"/>
      <c r="D1259" s="3"/>
      <c r="E1259" s="3"/>
      <c r="F1259" s="5"/>
      <c r="G1259" s="5"/>
      <c r="H1259" s="5"/>
      <c r="I1259" s="3"/>
      <c r="J1259" s="3"/>
      <c r="K1259" s="3"/>
      <c r="L1259" s="44"/>
      <c r="M1259" s="150"/>
      <c r="N1259" s="5"/>
      <c r="O1259" s="5"/>
      <c r="P1259" s="10"/>
      <c r="Q1259" s="10"/>
      <c r="R1259" s="144"/>
      <c r="S1259" s="144"/>
      <c r="T1259" s="10"/>
      <c r="U1259" s="5"/>
      <c r="V1259" s="3"/>
      <c r="W1259" s="5"/>
      <c r="X1259" s="144"/>
      <c r="Y1259" s="10"/>
      <c r="Z1259" s="3"/>
      <c r="AA1259" s="10"/>
      <c r="AB1259" s="10"/>
      <c r="AC1259" s="181"/>
      <c r="AD1259" s="144"/>
      <c r="AE1259" s="182"/>
      <c r="AF1259" s="10"/>
      <c r="AG1259" s="10"/>
      <c r="AH1259" s="144"/>
      <c r="AI1259" s="3"/>
      <c r="AJ1259" s="10"/>
      <c r="AK1259" s="3"/>
      <c r="AL1259" s="5"/>
      <c r="AM1259" s="5"/>
      <c r="AN1259" s="5"/>
      <c r="AO1259" s="5"/>
      <c r="AP1259" s="5"/>
      <c r="AQ1259" s="5"/>
      <c r="AR1259" s="5"/>
      <c r="AS1259" s="142"/>
      <c r="AT1259" s="142"/>
      <c r="AU1259" s="142"/>
      <c r="AV1259" s="142"/>
      <c r="AW1259" s="142"/>
      <c r="AX1259" s="142"/>
      <c r="AY1259" s="142"/>
      <c r="AZ1259" s="174"/>
      <c r="BA1259" s="142"/>
      <c r="BB1259" s="142"/>
      <c r="BC1259" s="142"/>
      <c r="BD1259" s="142"/>
      <c r="BE1259" s="142"/>
      <c r="BF1259" s="142"/>
      <c r="BG1259" s="142"/>
    </row>
    <row r="1260">
      <c r="A1260" s="5"/>
      <c r="B1260" s="44"/>
      <c r="C1260" s="150"/>
      <c r="D1260" s="3"/>
      <c r="E1260" s="3"/>
      <c r="F1260" s="5"/>
      <c r="G1260" s="5"/>
      <c r="H1260" s="5"/>
      <c r="I1260" s="3"/>
      <c r="J1260" s="3"/>
      <c r="K1260" s="3"/>
      <c r="L1260" s="44"/>
      <c r="M1260" s="150"/>
      <c r="N1260" s="5"/>
      <c r="O1260" s="5"/>
      <c r="P1260" s="10"/>
      <c r="Q1260" s="10"/>
      <c r="R1260" s="144"/>
      <c r="S1260" s="144"/>
      <c r="T1260" s="10"/>
      <c r="U1260" s="5"/>
      <c r="V1260" s="3"/>
      <c r="W1260" s="5"/>
      <c r="X1260" s="144"/>
      <c r="Y1260" s="10"/>
      <c r="Z1260" s="3"/>
      <c r="AA1260" s="10"/>
      <c r="AB1260" s="10"/>
      <c r="AC1260" s="181"/>
      <c r="AD1260" s="144"/>
      <c r="AE1260" s="182"/>
      <c r="AF1260" s="10"/>
      <c r="AG1260" s="10"/>
      <c r="AH1260" s="144"/>
      <c r="AI1260" s="3"/>
      <c r="AJ1260" s="10"/>
      <c r="AK1260" s="3"/>
      <c r="AL1260" s="5"/>
      <c r="AM1260" s="5"/>
      <c r="AN1260" s="5"/>
      <c r="AO1260" s="5"/>
      <c r="AP1260" s="5"/>
      <c r="AQ1260" s="5"/>
      <c r="AR1260" s="5"/>
      <c r="AS1260" s="142"/>
      <c r="AT1260" s="142"/>
      <c r="AU1260" s="142"/>
      <c r="AV1260" s="142"/>
      <c r="AW1260" s="142"/>
      <c r="AX1260" s="142"/>
      <c r="AY1260" s="142"/>
      <c r="AZ1260" s="174"/>
      <c r="BA1260" s="142"/>
      <c r="BB1260" s="142"/>
      <c r="BC1260" s="142"/>
      <c r="BD1260" s="142"/>
      <c r="BE1260" s="142"/>
      <c r="BF1260" s="142"/>
      <c r="BG1260" s="142"/>
    </row>
    <row r="1261">
      <c r="A1261" s="5"/>
      <c r="B1261" s="44"/>
      <c r="C1261" s="150"/>
      <c r="D1261" s="3"/>
      <c r="E1261" s="3"/>
      <c r="F1261" s="5"/>
      <c r="G1261" s="5"/>
      <c r="H1261" s="5"/>
      <c r="I1261" s="3"/>
      <c r="J1261" s="3"/>
      <c r="K1261" s="3"/>
      <c r="L1261" s="44"/>
      <c r="M1261" s="150"/>
      <c r="N1261" s="5"/>
      <c r="O1261" s="5"/>
      <c r="P1261" s="10"/>
      <c r="Q1261" s="10"/>
      <c r="R1261" s="144"/>
      <c r="S1261" s="144"/>
      <c r="T1261" s="10"/>
      <c r="U1261" s="5"/>
      <c r="V1261" s="3"/>
      <c r="W1261" s="5"/>
      <c r="X1261" s="144"/>
      <c r="Y1261" s="10"/>
      <c r="Z1261" s="3"/>
      <c r="AA1261" s="10"/>
      <c r="AB1261" s="10"/>
      <c r="AC1261" s="181"/>
      <c r="AD1261" s="144"/>
      <c r="AE1261" s="182"/>
      <c r="AF1261" s="10"/>
      <c r="AG1261" s="10"/>
      <c r="AH1261" s="144"/>
      <c r="AI1261" s="3"/>
      <c r="AJ1261" s="10"/>
      <c r="AK1261" s="3"/>
      <c r="AL1261" s="5"/>
      <c r="AM1261" s="5"/>
      <c r="AN1261" s="5"/>
      <c r="AO1261" s="5"/>
      <c r="AP1261" s="5"/>
      <c r="AQ1261" s="5"/>
      <c r="AR1261" s="5"/>
      <c r="AS1261" s="142"/>
      <c r="AT1261" s="142"/>
      <c r="AU1261" s="142"/>
      <c r="AV1261" s="142"/>
      <c r="AW1261" s="142"/>
      <c r="AX1261" s="142"/>
      <c r="AY1261" s="142"/>
      <c r="AZ1261" s="174"/>
      <c r="BA1261" s="142"/>
      <c r="BB1261" s="142"/>
      <c r="BC1261" s="142"/>
      <c r="BD1261" s="142"/>
      <c r="BE1261" s="142"/>
      <c r="BF1261" s="142"/>
      <c r="BG1261" s="142"/>
    </row>
    <row r="1262">
      <c r="A1262" s="5"/>
      <c r="B1262" s="44"/>
      <c r="C1262" s="150"/>
      <c r="D1262" s="3"/>
      <c r="E1262" s="3"/>
      <c r="F1262" s="5"/>
      <c r="G1262" s="5"/>
      <c r="H1262" s="5"/>
      <c r="I1262" s="3"/>
      <c r="J1262" s="3"/>
      <c r="K1262" s="3"/>
      <c r="L1262" s="44"/>
      <c r="M1262" s="150"/>
      <c r="N1262" s="5"/>
      <c r="O1262" s="5"/>
      <c r="P1262" s="10"/>
      <c r="Q1262" s="10"/>
      <c r="R1262" s="144"/>
      <c r="S1262" s="144"/>
      <c r="T1262" s="10"/>
      <c r="U1262" s="5"/>
      <c r="V1262" s="3"/>
      <c r="W1262" s="5"/>
      <c r="X1262" s="144"/>
      <c r="Y1262" s="10"/>
      <c r="Z1262" s="3"/>
      <c r="AA1262" s="10"/>
      <c r="AB1262" s="10"/>
      <c r="AC1262" s="181"/>
      <c r="AD1262" s="144"/>
      <c r="AE1262" s="182"/>
      <c r="AF1262" s="10"/>
      <c r="AG1262" s="10"/>
      <c r="AH1262" s="144"/>
      <c r="AI1262" s="3"/>
      <c r="AJ1262" s="10"/>
      <c r="AK1262" s="3"/>
      <c r="AL1262" s="5"/>
      <c r="AM1262" s="5"/>
      <c r="AN1262" s="5"/>
      <c r="AO1262" s="5"/>
      <c r="AP1262" s="5"/>
      <c r="AQ1262" s="5"/>
      <c r="AR1262" s="5"/>
      <c r="AS1262" s="142"/>
      <c r="AT1262" s="142"/>
      <c r="AU1262" s="142"/>
      <c r="AV1262" s="142"/>
      <c r="AW1262" s="142"/>
      <c r="AX1262" s="142"/>
      <c r="AY1262" s="142"/>
      <c r="AZ1262" s="174"/>
      <c r="BA1262" s="142"/>
      <c r="BB1262" s="142"/>
      <c r="BC1262" s="142"/>
      <c r="BD1262" s="142"/>
      <c r="BE1262" s="142"/>
      <c r="BF1262" s="142"/>
      <c r="BG1262" s="142"/>
    </row>
    <row r="1263">
      <c r="A1263" s="5"/>
      <c r="B1263" s="44"/>
      <c r="C1263" s="150"/>
      <c r="D1263" s="3"/>
      <c r="E1263" s="3"/>
      <c r="F1263" s="5"/>
      <c r="G1263" s="5"/>
      <c r="H1263" s="5"/>
      <c r="I1263" s="3"/>
      <c r="J1263" s="3"/>
      <c r="K1263" s="3"/>
      <c r="L1263" s="44"/>
      <c r="M1263" s="150"/>
      <c r="N1263" s="5"/>
      <c r="O1263" s="5"/>
      <c r="P1263" s="10"/>
      <c r="Q1263" s="10"/>
      <c r="R1263" s="144"/>
      <c r="S1263" s="144"/>
      <c r="T1263" s="10"/>
      <c r="U1263" s="5"/>
      <c r="V1263" s="3"/>
      <c r="W1263" s="5"/>
      <c r="X1263" s="144"/>
      <c r="Y1263" s="10"/>
      <c r="Z1263" s="3"/>
      <c r="AA1263" s="10"/>
      <c r="AB1263" s="10"/>
      <c r="AC1263" s="181"/>
      <c r="AD1263" s="144"/>
      <c r="AE1263" s="182"/>
      <c r="AF1263" s="10"/>
      <c r="AG1263" s="10"/>
      <c r="AH1263" s="144"/>
      <c r="AI1263" s="3"/>
      <c r="AJ1263" s="10"/>
      <c r="AK1263" s="3"/>
      <c r="AL1263" s="5"/>
      <c r="AM1263" s="5"/>
      <c r="AN1263" s="5"/>
      <c r="AO1263" s="5"/>
      <c r="AP1263" s="5"/>
      <c r="AQ1263" s="5"/>
      <c r="AR1263" s="5"/>
      <c r="AS1263" s="142"/>
      <c r="AT1263" s="142"/>
      <c r="AU1263" s="142"/>
      <c r="AV1263" s="142"/>
      <c r="AW1263" s="142"/>
      <c r="AX1263" s="142"/>
      <c r="AY1263" s="142"/>
      <c r="AZ1263" s="174"/>
      <c r="BA1263" s="142"/>
      <c r="BB1263" s="142"/>
      <c r="BC1263" s="142"/>
      <c r="BD1263" s="142"/>
      <c r="BE1263" s="142"/>
      <c r="BF1263" s="142"/>
      <c r="BG1263" s="142"/>
    </row>
    <row r="1264">
      <c r="A1264" s="5"/>
      <c r="B1264" s="44"/>
      <c r="C1264" s="150"/>
      <c r="D1264" s="3"/>
      <c r="E1264" s="3"/>
      <c r="F1264" s="5"/>
      <c r="G1264" s="5"/>
      <c r="H1264" s="5"/>
      <c r="I1264" s="3"/>
      <c r="J1264" s="3"/>
      <c r="K1264" s="3"/>
      <c r="L1264" s="44"/>
      <c r="M1264" s="150"/>
      <c r="N1264" s="5"/>
      <c r="O1264" s="5"/>
      <c r="P1264" s="10"/>
      <c r="Q1264" s="10"/>
      <c r="R1264" s="144"/>
      <c r="S1264" s="144"/>
      <c r="T1264" s="10"/>
      <c r="U1264" s="5"/>
      <c r="V1264" s="3"/>
      <c r="W1264" s="5"/>
      <c r="X1264" s="144"/>
      <c r="Y1264" s="10"/>
      <c r="Z1264" s="3"/>
      <c r="AA1264" s="10"/>
      <c r="AB1264" s="10"/>
      <c r="AC1264" s="181"/>
      <c r="AD1264" s="144"/>
      <c r="AE1264" s="182"/>
      <c r="AF1264" s="10"/>
      <c r="AG1264" s="10"/>
      <c r="AH1264" s="144"/>
      <c r="AI1264" s="3"/>
      <c r="AJ1264" s="10"/>
      <c r="AK1264" s="3"/>
      <c r="AL1264" s="5"/>
      <c r="AM1264" s="5"/>
      <c r="AN1264" s="5"/>
      <c r="AO1264" s="5"/>
      <c r="AP1264" s="5"/>
      <c r="AQ1264" s="5"/>
      <c r="AR1264" s="5"/>
      <c r="AS1264" s="142"/>
      <c r="AT1264" s="142"/>
      <c r="AU1264" s="142"/>
      <c r="AV1264" s="142"/>
      <c r="AW1264" s="142"/>
      <c r="AX1264" s="142"/>
      <c r="AY1264" s="142"/>
      <c r="AZ1264" s="174"/>
      <c r="BA1264" s="142"/>
      <c r="BB1264" s="142"/>
      <c r="BC1264" s="142"/>
      <c r="BD1264" s="142"/>
      <c r="BE1264" s="142"/>
      <c r="BF1264" s="142"/>
      <c r="BG1264" s="142"/>
    </row>
    <row r="1265">
      <c r="A1265" s="5"/>
      <c r="B1265" s="44"/>
      <c r="C1265" s="150"/>
      <c r="D1265" s="3"/>
      <c r="E1265" s="3"/>
      <c r="F1265" s="5"/>
      <c r="G1265" s="5"/>
      <c r="H1265" s="5"/>
      <c r="I1265" s="3"/>
      <c r="J1265" s="3"/>
      <c r="K1265" s="3"/>
      <c r="L1265" s="44"/>
      <c r="M1265" s="150"/>
      <c r="N1265" s="5"/>
      <c r="O1265" s="5"/>
      <c r="P1265" s="10"/>
      <c r="Q1265" s="10"/>
      <c r="R1265" s="144"/>
      <c r="S1265" s="144"/>
      <c r="T1265" s="10"/>
      <c r="U1265" s="5"/>
      <c r="V1265" s="3"/>
      <c r="W1265" s="5"/>
      <c r="X1265" s="144"/>
      <c r="Y1265" s="10"/>
      <c r="Z1265" s="3"/>
      <c r="AA1265" s="10"/>
      <c r="AB1265" s="10"/>
      <c r="AC1265" s="181"/>
      <c r="AD1265" s="144"/>
      <c r="AE1265" s="182"/>
      <c r="AF1265" s="10"/>
      <c r="AG1265" s="10"/>
      <c r="AH1265" s="144"/>
      <c r="AI1265" s="3"/>
      <c r="AJ1265" s="10"/>
      <c r="AK1265" s="3"/>
      <c r="AL1265" s="5"/>
      <c r="AM1265" s="5"/>
      <c r="AN1265" s="5"/>
      <c r="AO1265" s="5"/>
      <c r="AP1265" s="5"/>
      <c r="AQ1265" s="5"/>
      <c r="AR1265" s="5"/>
      <c r="AS1265" s="142"/>
      <c r="AT1265" s="142"/>
      <c r="AU1265" s="142"/>
      <c r="AV1265" s="142"/>
      <c r="AW1265" s="142"/>
      <c r="AX1265" s="142"/>
      <c r="AY1265" s="142"/>
      <c r="AZ1265" s="174"/>
      <c r="BA1265" s="142"/>
      <c r="BB1265" s="142"/>
      <c r="BC1265" s="142"/>
      <c r="BD1265" s="142"/>
      <c r="BE1265" s="142"/>
      <c r="BF1265" s="142"/>
      <c r="BG1265" s="142"/>
    </row>
    <row r="1266">
      <c r="A1266" s="5"/>
      <c r="B1266" s="44"/>
      <c r="C1266" s="150"/>
      <c r="D1266" s="3"/>
      <c r="E1266" s="3"/>
      <c r="F1266" s="5"/>
      <c r="G1266" s="5"/>
      <c r="H1266" s="5"/>
      <c r="I1266" s="3"/>
      <c r="J1266" s="3"/>
      <c r="K1266" s="3"/>
      <c r="L1266" s="44"/>
      <c r="M1266" s="150"/>
      <c r="N1266" s="5"/>
      <c r="O1266" s="5"/>
      <c r="P1266" s="10"/>
      <c r="Q1266" s="10"/>
      <c r="R1266" s="144"/>
      <c r="S1266" s="144"/>
      <c r="T1266" s="10"/>
      <c r="U1266" s="5"/>
      <c r="V1266" s="3"/>
      <c r="W1266" s="5"/>
      <c r="X1266" s="144"/>
      <c r="Y1266" s="10"/>
      <c r="Z1266" s="3"/>
      <c r="AA1266" s="10"/>
      <c r="AB1266" s="10"/>
      <c r="AC1266" s="181"/>
      <c r="AD1266" s="144"/>
      <c r="AE1266" s="182"/>
      <c r="AF1266" s="10"/>
      <c r="AG1266" s="10"/>
      <c r="AH1266" s="144"/>
      <c r="AI1266" s="3"/>
      <c r="AJ1266" s="10"/>
      <c r="AK1266" s="3"/>
      <c r="AL1266" s="5"/>
      <c r="AM1266" s="5"/>
      <c r="AN1266" s="5"/>
      <c r="AO1266" s="5"/>
      <c r="AP1266" s="5"/>
      <c r="AQ1266" s="5"/>
      <c r="AR1266" s="5"/>
      <c r="AS1266" s="142"/>
      <c r="AT1266" s="142"/>
      <c r="AU1266" s="142"/>
      <c r="AV1266" s="142"/>
      <c r="AW1266" s="142"/>
      <c r="AX1266" s="142"/>
      <c r="AY1266" s="142"/>
      <c r="AZ1266" s="174"/>
      <c r="BA1266" s="142"/>
      <c r="BB1266" s="142"/>
      <c r="BC1266" s="142"/>
      <c r="BD1266" s="142"/>
      <c r="BE1266" s="142"/>
      <c r="BF1266" s="142"/>
      <c r="BG1266" s="142"/>
    </row>
    <row r="1267">
      <c r="A1267" s="5"/>
      <c r="B1267" s="44"/>
      <c r="C1267" s="150"/>
      <c r="D1267" s="3"/>
      <c r="E1267" s="3"/>
      <c r="F1267" s="5"/>
      <c r="G1267" s="5"/>
      <c r="H1267" s="5"/>
      <c r="I1267" s="3"/>
      <c r="J1267" s="3"/>
      <c r="K1267" s="3"/>
      <c r="L1267" s="44"/>
      <c r="M1267" s="150"/>
      <c r="N1267" s="5"/>
      <c r="O1267" s="5"/>
      <c r="P1267" s="10"/>
      <c r="Q1267" s="10"/>
      <c r="R1267" s="144"/>
      <c r="S1267" s="144"/>
      <c r="T1267" s="10"/>
      <c r="U1267" s="5"/>
      <c r="V1267" s="3"/>
      <c r="W1267" s="5"/>
      <c r="X1267" s="144"/>
      <c r="Y1267" s="10"/>
      <c r="Z1267" s="3"/>
      <c r="AA1267" s="10"/>
      <c r="AB1267" s="10"/>
      <c r="AC1267" s="181"/>
      <c r="AD1267" s="144"/>
      <c r="AE1267" s="182"/>
      <c r="AF1267" s="10"/>
      <c r="AG1267" s="10"/>
      <c r="AH1267" s="144"/>
      <c r="AI1267" s="3"/>
      <c r="AJ1267" s="10"/>
      <c r="AK1267" s="3"/>
      <c r="AL1267" s="5"/>
      <c r="AM1267" s="5"/>
      <c r="AN1267" s="5"/>
      <c r="AO1267" s="5"/>
      <c r="AP1267" s="5"/>
      <c r="AQ1267" s="5"/>
      <c r="AR1267" s="5"/>
      <c r="AS1267" s="142"/>
      <c r="AT1267" s="142"/>
      <c r="AU1267" s="142"/>
      <c r="AV1267" s="142"/>
      <c r="AW1267" s="142"/>
      <c r="AX1267" s="142"/>
      <c r="AY1267" s="142"/>
      <c r="AZ1267" s="174"/>
      <c r="BA1267" s="142"/>
      <c r="BB1267" s="142"/>
      <c r="BC1267" s="142"/>
      <c r="BD1267" s="142"/>
      <c r="BE1267" s="142"/>
      <c r="BF1267" s="142"/>
      <c r="BG1267" s="142"/>
    </row>
    <row r="1268">
      <c r="A1268" s="5"/>
      <c r="B1268" s="44"/>
      <c r="C1268" s="150"/>
      <c r="D1268" s="3"/>
      <c r="E1268" s="3"/>
      <c r="F1268" s="5"/>
      <c r="G1268" s="5"/>
      <c r="H1268" s="5"/>
      <c r="I1268" s="3"/>
      <c r="J1268" s="3"/>
      <c r="K1268" s="3"/>
      <c r="L1268" s="44"/>
      <c r="M1268" s="150"/>
      <c r="N1268" s="5"/>
      <c r="O1268" s="5"/>
      <c r="P1268" s="10"/>
      <c r="Q1268" s="10"/>
      <c r="R1268" s="144"/>
      <c r="S1268" s="144"/>
      <c r="T1268" s="10"/>
      <c r="U1268" s="5"/>
      <c r="V1268" s="3"/>
      <c r="W1268" s="5"/>
      <c r="X1268" s="144"/>
      <c r="Y1268" s="10"/>
      <c r="Z1268" s="3"/>
      <c r="AA1268" s="10"/>
      <c r="AB1268" s="10"/>
      <c r="AC1268" s="181"/>
      <c r="AD1268" s="144"/>
      <c r="AE1268" s="182"/>
      <c r="AF1268" s="10"/>
      <c r="AG1268" s="10"/>
      <c r="AH1268" s="144"/>
      <c r="AI1268" s="3"/>
      <c r="AJ1268" s="10"/>
      <c r="AK1268" s="3"/>
      <c r="AL1268" s="5"/>
      <c r="AM1268" s="5"/>
      <c r="AN1268" s="5"/>
      <c r="AO1268" s="5"/>
      <c r="AP1268" s="5"/>
      <c r="AQ1268" s="5"/>
      <c r="AR1268" s="5"/>
      <c r="AS1268" s="142"/>
      <c r="AT1268" s="142"/>
      <c r="AU1268" s="142"/>
      <c r="AV1268" s="142"/>
      <c r="AW1268" s="142"/>
      <c r="AX1268" s="142"/>
      <c r="AY1268" s="142"/>
      <c r="AZ1268" s="174"/>
      <c r="BA1268" s="142"/>
      <c r="BB1268" s="142"/>
      <c r="BC1268" s="142"/>
      <c r="BD1268" s="142"/>
      <c r="BE1268" s="142"/>
      <c r="BF1268" s="142"/>
      <c r="BG1268" s="142"/>
    </row>
    <row r="1269">
      <c r="A1269" s="5"/>
      <c r="B1269" s="44"/>
      <c r="C1269" s="150"/>
      <c r="D1269" s="3"/>
      <c r="E1269" s="3"/>
      <c r="F1269" s="5"/>
      <c r="G1269" s="5"/>
      <c r="H1269" s="5"/>
      <c r="I1269" s="3"/>
      <c r="J1269" s="3"/>
      <c r="K1269" s="3"/>
      <c r="L1269" s="44"/>
      <c r="M1269" s="150"/>
      <c r="N1269" s="5"/>
      <c r="O1269" s="5"/>
      <c r="P1269" s="10"/>
      <c r="Q1269" s="10"/>
      <c r="R1269" s="144"/>
      <c r="S1269" s="144"/>
      <c r="T1269" s="10"/>
      <c r="U1269" s="5"/>
      <c r="V1269" s="3"/>
      <c r="W1269" s="5"/>
      <c r="X1269" s="144"/>
      <c r="Y1269" s="10"/>
      <c r="Z1269" s="3"/>
      <c r="AA1269" s="10"/>
      <c r="AB1269" s="10"/>
      <c r="AC1269" s="181"/>
      <c r="AD1269" s="144"/>
      <c r="AE1269" s="182"/>
      <c r="AF1269" s="10"/>
      <c r="AG1269" s="10"/>
      <c r="AH1269" s="144"/>
      <c r="AI1269" s="3"/>
      <c r="AJ1269" s="10"/>
      <c r="AK1269" s="3"/>
      <c r="AL1269" s="5"/>
      <c r="AM1269" s="5"/>
      <c r="AN1269" s="5"/>
      <c r="AO1269" s="5"/>
      <c r="AP1269" s="5"/>
      <c r="AQ1269" s="5"/>
      <c r="AR1269" s="5"/>
      <c r="AS1269" s="142"/>
      <c r="AT1269" s="142"/>
      <c r="AU1269" s="142"/>
      <c r="AV1269" s="142"/>
      <c r="AW1269" s="142"/>
      <c r="AX1269" s="142"/>
      <c r="AY1269" s="142"/>
      <c r="AZ1269" s="174"/>
      <c r="BA1269" s="142"/>
      <c r="BB1269" s="142"/>
      <c r="BC1269" s="142"/>
      <c r="BD1269" s="142"/>
      <c r="BE1269" s="142"/>
      <c r="BF1269" s="142"/>
      <c r="BG1269" s="142"/>
    </row>
    <row r="1270">
      <c r="A1270" s="5"/>
      <c r="B1270" s="44"/>
      <c r="C1270" s="150"/>
      <c r="D1270" s="3"/>
      <c r="E1270" s="3"/>
      <c r="F1270" s="5"/>
      <c r="G1270" s="5"/>
      <c r="H1270" s="5"/>
      <c r="I1270" s="3"/>
      <c r="J1270" s="3"/>
      <c r="K1270" s="3"/>
      <c r="L1270" s="44"/>
      <c r="M1270" s="150"/>
      <c r="N1270" s="5"/>
      <c r="O1270" s="5"/>
      <c r="P1270" s="10"/>
      <c r="Q1270" s="10"/>
      <c r="R1270" s="144"/>
      <c r="S1270" s="144"/>
      <c r="T1270" s="10"/>
      <c r="U1270" s="5"/>
      <c r="V1270" s="3"/>
      <c r="W1270" s="5"/>
      <c r="X1270" s="144"/>
      <c r="Y1270" s="10"/>
      <c r="Z1270" s="3"/>
      <c r="AA1270" s="10"/>
      <c r="AB1270" s="10"/>
      <c r="AC1270" s="181"/>
      <c r="AD1270" s="144"/>
      <c r="AE1270" s="182"/>
      <c r="AF1270" s="10"/>
      <c r="AG1270" s="10"/>
      <c r="AH1270" s="144"/>
      <c r="AI1270" s="3"/>
      <c r="AJ1270" s="10"/>
      <c r="AK1270" s="3"/>
      <c r="AL1270" s="5"/>
      <c r="AM1270" s="5"/>
      <c r="AN1270" s="5"/>
      <c r="AO1270" s="5"/>
      <c r="AP1270" s="5"/>
      <c r="AQ1270" s="5"/>
      <c r="AR1270" s="5"/>
      <c r="AS1270" s="142"/>
      <c r="AT1270" s="142"/>
      <c r="AU1270" s="142"/>
      <c r="AV1270" s="142"/>
      <c r="AW1270" s="142"/>
      <c r="AX1270" s="142"/>
      <c r="AY1270" s="142"/>
      <c r="AZ1270" s="174"/>
      <c r="BA1270" s="142"/>
      <c r="BB1270" s="142"/>
      <c r="BC1270" s="142"/>
      <c r="BD1270" s="142"/>
      <c r="BE1270" s="142"/>
      <c r="BF1270" s="142"/>
      <c r="BG1270" s="142"/>
    </row>
    <row r="1271">
      <c r="A1271" s="5"/>
      <c r="B1271" s="44"/>
      <c r="C1271" s="150"/>
      <c r="D1271" s="3"/>
      <c r="E1271" s="3"/>
      <c r="F1271" s="5"/>
      <c r="G1271" s="5"/>
      <c r="H1271" s="5"/>
      <c r="I1271" s="3"/>
      <c r="J1271" s="3"/>
      <c r="K1271" s="3"/>
      <c r="L1271" s="44"/>
      <c r="M1271" s="150"/>
      <c r="N1271" s="5"/>
      <c r="O1271" s="5"/>
      <c r="P1271" s="10"/>
      <c r="Q1271" s="10"/>
      <c r="R1271" s="144"/>
      <c r="S1271" s="144"/>
      <c r="T1271" s="10"/>
      <c r="U1271" s="5"/>
      <c r="V1271" s="3"/>
      <c r="W1271" s="5"/>
      <c r="X1271" s="144"/>
      <c r="Y1271" s="10"/>
      <c r="Z1271" s="3"/>
      <c r="AA1271" s="10"/>
      <c r="AB1271" s="10"/>
      <c r="AC1271" s="181"/>
      <c r="AD1271" s="144"/>
      <c r="AE1271" s="182"/>
      <c r="AF1271" s="10"/>
      <c r="AG1271" s="10"/>
      <c r="AH1271" s="144"/>
      <c r="AI1271" s="3"/>
      <c r="AJ1271" s="10"/>
      <c r="AK1271" s="3"/>
      <c r="AL1271" s="5"/>
      <c r="AM1271" s="5"/>
      <c r="AN1271" s="5"/>
      <c r="AO1271" s="5"/>
      <c r="AP1271" s="5"/>
      <c r="AQ1271" s="5"/>
      <c r="AR1271" s="5"/>
      <c r="AS1271" s="142"/>
      <c r="AT1271" s="142"/>
      <c r="AU1271" s="142"/>
      <c r="AV1271" s="142"/>
      <c r="AW1271" s="142"/>
      <c r="AX1271" s="142"/>
      <c r="AY1271" s="142"/>
      <c r="AZ1271" s="174"/>
      <c r="BA1271" s="142"/>
      <c r="BB1271" s="142"/>
      <c r="BC1271" s="142"/>
      <c r="BD1271" s="142"/>
      <c r="BE1271" s="142"/>
      <c r="BF1271" s="142"/>
      <c r="BG1271" s="142"/>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3" max="3" width="23.13"/>
    <col customWidth="1" min="4" max="4" width="14.63"/>
    <col customWidth="1" min="9" max="9" width="10.63"/>
    <col collapsed="1" customWidth="1" min="10" max="10" width="10.63"/>
    <col customWidth="1" hidden="1" min="11" max="11" width="14.0" outlineLevel="1"/>
    <col customWidth="1" hidden="1" min="12" max="12" width="10.5" outlineLevel="1"/>
    <col hidden="1" min="13" max="13" width="12.63" outlineLevel="1"/>
    <col customWidth="1" hidden="1" min="14" max="14" width="10.13" outlineLevel="1"/>
    <col hidden="1" min="15" max="16" width="12.63" outlineLevel="1"/>
    <col customWidth="1" hidden="1" min="17" max="18" width="12.38" outlineLevel="1"/>
    <col hidden="1" min="19" max="23" width="12.63" outlineLevel="1"/>
    <col customWidth="1" min="24" max="24" width="37.38"/>
    <col customWidth="1" min="25" max="25" width="10.5"/>
    <col customWidth="1" min="26" max="26" width="3.5"/>
    <col customWidth="1" min="27" max="27" width="15.38"/>
    <col customWidth="1" min="28" max="28" width="9.75"/>
    <col customWidth="1" min="29" max="29" width="5.0"/>
    <col customWidth="1" min="30" max="30" width="10.88"/>
    <col customWidth="1" min="31" max="31" width="24.13"/>
    <col customWidth="1" min="32" max="32" width="23.13"/>
    <col customWidth="1" min="33" max="33" width="25.38"/>
    <col customWidth="1" min="34" max="34" width="12.75"/>
    <col customWidth="1" min="35" max="35" width="8.25"/>
    <col customWidth="1" min="36" max="36" width="29.38"/>
    <col customWidth="1" min="37" max="37" width="3.13"/>
    <col customWidth="1" min="38" max="39" width="24.25"/>
    <col customWidth="1" min="40" max="40" width="11.63"/>
    <col customWidth="1" min="41" max="41" width="11.5"/>
    <col customWidth="1" min="42" max="42" width="20.13"/>
    <col customWidth="1" min="43" max="43" width="17.13"/>
    <col customWidth="1" min="44" max="44" width="15.13"/>
    <col customWidth="1" min="45" max="45" width="5.25"/>
    <col customWidth="1" min="46" max="46" width="7.13"/>
    <col customWidth="1" min="47" max="47" width="10.88"/>
    <col customWidth="1" min="48" max="48" width="24.13"/>
    <col customWidth="1" min="49" max="49" width="23.13"/>
    <col customWidth="1" min="50" max="50" width="25.38"/>
    <col customWidth="1" min="51" max="51" width="12.75"/>
    <col customWidth="1" min="52" max="52" width="8.25"/>
    <col customWidth="1" min="53" max="53" width="29.38"/>
    <col customWidth="1" min="54" max="54" width="24.25"/>
    <col customWidth="1" min="55" max="55" width="11.63"/>
    <col customWidth="1" min="56" max="56" width="11.5"/>
    <col customWidth="1" min="57" max="57" width="20.13"/>
    <col customWidth="1" min="58" max="58" width="3.5"/>
  </cols>
  <sheetData>
    <row r="1">
      <c r="A1" s="50" t="s">
        <v>2189</v>
      </c>
      <c r="B1" s="50" t="s">
        <v>2190</v>
      </c>
      <c r="C1" s="50" t="s">
        <v>2191</v>
      </c>
      <c r="D1" s="59" t="str">
        <f>IF(SUM($D$2:$D694)=ROWS(postDEL!$A$2:$A694)-COUNTBLANK(postDEL!$A$2:$A694),CONCATENATE("Num Person Samples = ",SUM($D$2:$D694)),CONCATENATE("ERROR!! Num Person Samples = ",SUM($D$2:$D694)))</f>
        <v>ERROR!! Num Person Samples = 0</v>
      </c>
      <c r="E1" s="187" t="s">
        <v>222</v>
      </c>
      <c r="F1" s="187" t="str">
        <f t="array" ref="F1">CONCATENATE(IF(COUNTA(UNIQUE(F2:F694))=COUNTA(F2:F694),"OK UNIQUE - ","ERROR! REPEATS - "), "Participant ID Number")</f>
        <v>OK UNIQUE - Participant ID Number</v>
      </c>
      <c r="G1" s="59"/>
      <c r="H1" s="59" t="s">
        <v>2192</v>
      </c>
      <c r="I1" s="59" t="s">
        <v>2193</v>
      </c>
      <c r="J1" s="60" t="s">
        <v>2194</v>
      </c>
      <c r="K1" s="84" t="str">
        <f>IF(SUM(D2:D694)=ROWS(postDEL!$A$2:$A694)-COUNTBLANK(postDEL!$A$2:$A694),"Num Sponsored Tubes",CONCATENATE("ERROR!! Num Sponsored Tubes = ",SUM(D2:D694)))</f>
        <v>ERROR!! Num Sponsored Tubes = 0</v>
      </c>
      <c r="L1" s="59" t="s">
        <v>2195</v>
      </c>
      <c r="M1" s="60" t="s">
        <v>2196</v>
      </c>
      <c r="N1" s="75" t="s">
        <v>2197</v>
      </c>
      <c r="O1" s="188" t="s">
        <v>2198</v>
      </c>
      <c r="P1" s="59" t="s">
        <v>202</v>
      </c>
      <c r="Q1" s="59" t="s">
        <v>227</v>
      </c>
      <c r="R1" s="187" t="s">
        <v>2199</v>
      </c>
      <c r="S1" s="60" t="s">
        <v>2200</v>
      </c>
      <c r="T1" s="60" t="s">
        <v>2201</v>
      </c>
      <c r="U1" s="60" t="s">
        <v>2202</v>
      </c>
      <c r="V1" s="60" t="s">
        <v>2203</v>
      </c>
      <c r="W1" s="60" t="s">
        <v>2204</v>
      </c>
      <c r="X1" s="59" t="s">
        <v>2205</v>
      </c>
      <c r="Y1" s="84" t="str">
        <f>IF(COUNTBLANK(Y2:Y694)=ROWS(Y2:Y694),"Values in Live","ERROR!! Values in Live")</f>
        <v>Values in Live</v>
      </c>
      <c r="Z1" s="189"/>
      <c r="AA1" s="75" t="s">
        <v>2206</v>
      </c>
      <c r="AB1" s="190" t="str">
        <f>IF(SUM(AB2:AB694)=COUNTA(C2:C694), "Num Persons in Household", "ERROR!! Num Persons in Household")</f>
        <v>ERROR!! Num Persons in Household</v>
      </c>
      <c r="AC1" s="189" t="s">
        <v>2207</v>
      </c>
      <c r="AD1" s="84" t="str">
        <f>IF(COUNTBLANK(AD2:AD694)=ROWS(AD2:AD694),"Live in Values","ERROR!! Live in Values")</f>
        <v>ERROR!! Live in Values</v>
      </c>
      <c r="AE1" s="75" t="s">
        <v>2208</v>
      </c>
      <c r="AF1" s="75" t="s">
        <v>2209</v>
      </c>
      <c r="AG1" s="75" t="s">
        <v>2210</v>
      </c>
      <c r="AH1" s="191" t="str">
        <f>IF(SUM(AH2:AH694)=Rollup!$D$5,CONCATENATE("Num Person Samples = ",SUM(AH2:AH694)),CONCATENATE("ERROR!! Num Person Samples = ",SUM(AH2:AH694)))</f>
        <v>ERROR!! Num Person Samples = 1270</v>
      </c>
      <c r="AI1" s="59" t="s">
        <v>2211</v>
      </c>
      <c r="AJ1" s="59" t="s">
        <v>2212</v>
      </c>
      <c r="AK1" s="192"/>
      <c r="AL1" s="187" t="str">
        <f>IFERROR(__xludf.DUMMYFUNCTION("IF(COUNTIF(ARRAYFORMULA(FILTER(AL2:AL694, AL2:AL694&lt;&gt;"""")=FILTER(AM2:AM694, AM2:AM694&lt;&gt;"""")), FALSE)=0, ""Sponsor Fullnames - All Match Live CHECK LENGTH SAME"", ""Sponsor Fullnames - ERROR Mismatch in Live Found"")
"),"Sponsor Fullnames - All Match Live CHECK LENGTH SAME")</f>
        <v>Sponsor Fullnames - All Match Live CHECK LENGTH SAME</v>
      </c>
      <c r="AM1" s="59" t="s">
        <v>2213</v>
      </c>
      <c r="AN1" s="193" t="str">
        <f>IFS(ISERR(AND(AN2:AN694)),"ERROR!! Sponsors in Live?",AND(AN2:AN694),"Sponsors in Participants Live?",TRUE,"ERROR!! Sponsors in Participants Live?")</f>
        <v>ERROR!! Sponsors in Participants Live?</v>
      </c>
      <c r="AO1" s="191" t="str">
        <f>IFS(ISERR(AND(AO2:AO694)),"ERROR!! Sponsors in Values?",AND(AO2:AO694),"Sponsors in Participants Values?",TRUE,"ERROR!! Sponsors in Participants Values?")</f>
        <v>ERROR!! Sponsors in Participants Values?</v>
      </c>
      <c r="AP1" s="59" t="s">
        <v>2214</v>
      </c>
      <c r="AQ1" s="59" t="s">
        <v>2215</v>
      </c>
      <c r="AR1" s="187" t="str">
        <f t="array" ref="AR1">CONCATENATE(IF(COUNTA(UNIQUE(AR2:AR694))=COUNTA(AR2:AR694),"OK UNIQUE - ","ERROR! REPEATS - "), "Participant ID Number")</f>
        <v>OK UNIQUE - Participant ID Number</v>
      </c>
      <c r="AS1" s="194" t="s">
        <v>232</v>
      </c>
      <c r="AT1" s="94" t="s">
        <v>2216</v>
      </c>
      <c r="AU1" s="195" t="s">
        <v>2217</v>
      </c>
      <c r="AV1" s="196" t="s">
        <v>2208</v>
      </c>
      <c r="AW1" s="196" t="s">
        <v>2209</v>
      </c>
      <c r="AX1" s="196" t="s">
        <v>2210</v>
      </c>
      <c r="AY1" s="196"/>
      <c r="AZ1" s="187" t="s">
        <v>2211</v>
      </c>
      <c r="BA1" s="187" t="s">
        <v>2212</v>
      </c>
      <c r="BB1" s="196" t="s">
        <v>2213</v>
      </c>
      <c r="BC1" s="197" t="s">
        <v>2218</v>
      </c>
      <c r="BD1" s="95" t="s">
        <v>2219</v>
      </c>
      <c r="BE1" s="187" t="s">
        <v>2214</v>
      </c>
      <c r="BF1" s="198"/>
    </row>
    <row r="2" ht="17.25" customHeight="1">
      <c r="A2" s="11"/>
      <c r="B2" s="11"/>
      <c r="C2" s="11"/>
      <c r="D2" s="110">
        <f>COUNTIF(postDEL!$AR$2:$AR694,$C2)</f>
        <v>0</v>
      </c>
      <c r="E2" s="5" t="str">
        <f>CONCATENATE(Process!$A$1,F2)</f>
        <v>BEND939689</v>
      </c>
      <c r="F2" s="3">
        <v>939689.0</v>
      </c>
      <c r="G2" s="3"/>
      <c r="H2" s="3" t="s">
        <v>2220</v>
      </c>
      <c r="I2" s="13">
        <v>0.0</v>
      </c>
      <c r="J2" s="5"/>
      <c r="K2" s="199">
        <f>COUNTIF(postDEL!$AO$2:$AO694,$C2)</f>
        <v>0</v>
      </c>
      <c r="L2" s="68"/>
      <c r="M2" s="11" t="s">
        <v>2221</v>
      </c>
      <c r="N2" s="104" t="b">
        <f t="shared" ref="N2:N188" si="1">IF($D2=0,TRUE,IFERROR(0/0,""))</f>
        <v>1</v>
      </c>
      <c r="O2" s="5" t="s">
        <v>2222</v>
      </c>
      <c r="P2" s="5" t="s">
        <v>2223</v>
      </c>
      <c r="R2" s="5"/>
      <c r="S2" s="5" t="s">
        <v>2224</v>
      </c>
      <c r="T2" s="184">
        <v>44615.0</v>
      </c>
      <c r="U2" s="5"/>
      <c r="V2" s="5"/>
      <c r="W2" s="5"/>
      <c r="Y2" s="180" t="str">
        <f t="shared" ref="Y2:Y188" si="2">IF(OR(COUNTIF($AG$2:$AG694,$C2)=1,$N2),IFERROR(0/0,""),"NOT")</f>
        <v/>
      </c>
      <c r="Z2" s="200"/>
      <c r="AA2" s="201" t="str">
        <f t="array" ref="AA2:AA189">SORT(UNIQUE(H2:H694),1,TRUE)</f>
        <v>H_BEND_0001</v>
      </c>
      <c r="AB2" s="68">
        <f t="shared" ref="AB2:AB188" si="3">COUNTIF(H$2:H694,AA2)</f>
        <v>1</v>
      </c>
      <c r="AC2" s="202"/>
      <c r="AD2" s="68" t="str">
        <f t="shared" ref="AD2:AD186" si="4">IF(COUNTIF(C$2:C694,AG2)=1,IFERROR(0/0,""),"NOT")</f>
        <v>NOT</v>
      </c>
      <c r="AE2" s="203" t="str">
        <f t="array" ref="AE2:AG3">SORT(UNIQUE(postDEL!$AP$2:$AR694),2,TRUE,1,TRUE)</f>
        <v/>
      </c>
      <c r="AF2" s="11" t="s">
        <v>2185</v>
      </c>
      <c r="AG2" s="11" t="s">
        <v>2185</v>
      </c>
      <c r="AH2" s="110">
        <f>COUNTIF(postDEL!$AR$2:$AR694,AG2)</f>
        <v>1270</v>
      </c>
      <c r="AI2" s="204"/>
      <c r="AK2" s="200"/>
      <c r="AM2" s="205" t="str">
        <f t="array" ref="AM2:AM3">SORT(UNIQUE(postDEL!$AO$2:$AO694),1,TRUE)</f>
        <v/>
      </c>
      <c r="AN2" s="68" t="b">
        <f t="shared" ref="AN2:AN192" si="5">IF(NOT(ISBLANK(AM2)), IF(COUNTIF(AG$2:AG694,AM2)=1,TRUE,FALSE),IFERROR(0/0,""))</f>
        <v>0</v>
      </c>
      <c r="AO2" s="206" t="b">
        <f>IF(NOT(ISBLANK(AM2)), IF(COUNTIF(C$2:C694,AM2)=1,TRUE,FALSE),IFERROR(0/0,""))</f>
        <v>0</v>
      </c>
      <c r="AQ2" s="5" t="str">
        <f>CONCATENATE("Sp",Process!$A$1,AR2)</f>
        <v>SpBEND264858</v>
      </c>
      <c r="AR2" s="19">
        <v>264858.0</v>
      </c>
      <c r="AS2" s="207"/>
      <c r="AT2" s="207"/>
      <c r="AU2" s="68"/>
      <c r="AV2" s="64"/>
      <c r="AW2" s="11"/>
      <c r="AX2" s="11"/>
      <c r="AY2" s="67"/>
      <c r="AZ2" s="204"/>
      <c r="BB2" s="64"/>
      <c r="BC2" s="68"/>
      <c r="BD2" s="68"/>
      <c r="BF2" s="208"/>
    </row>
    <row r="3">
      <c r="A3" s="11"/>
      <c r="B3" s="11"/>
      <c r="C3" s="11"/>
      <c r="D3" s="110">
        <f>COUNTIF(postDEL!$AR$2:$AR694,$C3)</f>
        <v>0</v>
      </c>
      <c r="E3" s="5" t="str">
        <f>CONCATENATE(Process!$A$1,F3)</f>
        <v>BEND202183</v>
      </c>
      <c r="F3" s="3">
        <v>202183.0</v>
      </c>
      <c r="G3" s="3"/>
      <c r="H3" s="3" t="s">
        <v>2225</v>
      </c>
      <c r="I3" s="13">
        <v>0.0</v>
      </c>
      <c r="J3" s="5"/>
      <c r="K3" s="199">
        <f>COUNTIF(postDEL!$AO$2:$AO694,$C3)</f>
        <v>0</v>
      </c>
      <c r="L3" s="68"/>
      <c r="M3" s="11" t="s">
        <v>2221</v>
      </c>
      <c r="N3" s="104" t="b">
        <f t="shared" si="1"/>
        <v>1</v>
      </c>
      <c r="O3" s="5" t="s">
        <v>2222</v>
      </c>
      <c r="P3" s="5" t="s">
        <v>2223</v>
      </c>
      <c r="R3" s="5"/>
      <c r="S3" s="5" t="s">
        <v>2224</v>
      </c>
      <c r="T3" s="184">
        <v>44564.0</v>
      </c>
      <c r="U3" s="5"/>
      <c r="V3" s="5"/>
      <c r="W3" s="5"/>
      <c r="Y3" s="201" t="str">
        <f t="shared" si="2"/>
        <v/>
      </c>
      <c r="Z3" s="200"/>
      <c r="AA3" s="201" t="s">
        <v>2225</v>
      </c>
      <c r="AB3" s="68">
        <f t="shared" si="3"/>
        <v>1</v>
      </c>
      <c r="AC3" s="202"/>
      <c r="AD3" s="68" t="str">
        <f t="shared" si="4"/>
        <v>NOT</v>
      </c>
      <c r="AE3" s="11"/>
      <c r="AF3" s="11"/>
      <c r="AG3" s="11"/>
      <c r="AH3" s="110">
        <f>COUNTIF(postDEL!$AR$2:$AR694,AG3)</f>
        <v>0</v>
      </c>
      <c r="AI3" s="204"/>
      <c r="AJ3" s="11" t="b">
        <f>AND(AO2:AO694)</f>
        <v>0</v>
      </c>
      <c r="AK3" s="200"/>
      <c r="AM3" s="54"/>
      <c r="AN3" s="68" t="str">
        <f t="shared" si="5"/>
        <v/>
      </c>
      <c r="AO3" s="206" t="b">
        <f t="shared" ref="AO3:AO104" si="6">IF(NOT(ISBLANK(AM2)), IF(COUNTIF(C$2:C694,AM2)=1,TRUE,FALSE),IFERROR(0/0,""))</f>
        <v>0</v>
      </c>
      <c r="AQ3" s="5" t="str">
        <f>CONCATENATE("Sp",Process!$A$1,AR3)</f>
        <v>SpBEND617677</v>
      </c>
      <c r="AR3" s="19">
        <v>617677.0</v>
      </c>
      <c r="AS3" s="207"/>
      <c r="AT3" s="207"/>
      <c r="AU3" s="68"/>
      <c r="AV3" s="11"/>
      <c r="AW3" s="11"/>
      <c r="AX3" s="11"/>
      <c r="AY3" s="67"/>
      <c r="AZ3" s="204"/>
      <c r="BC3" s="68"/>
      <c r="BD3" s="68"/>
      <c r="BF3" s="208"/>
    </row>
    <row r="4">
      <c r="A4" s="11"/>
      <c r="B4" s="11"/>
      <c r="C4" s="11"/>
      <c r="D4" s="110">
        <f>COUNTIF(postDEL!$AR$2:$AR694,$C4)</f>
        <v>0</v>
      </c>
      <c r="E4" s="5" t="str">
        <f>CONCATENATE(Process!$A$1,F4)</f>
        <v>BEND786181</v>
      </c>
      <c r="F4" s="3">
        <v>786181.0</v>
      </c>
      <c r="G4" s="3"/>
      <c r="H4" s="3" t="s">
        <v>2226</v>
      </c>
      <c r="I4" s="13">
        <v>0.0</v>
      </c>
      <c r="J4" s="5"/>
      <c r="K4" s="199">
        <f>COUNTIF(postDEL!$AO$2:$AO694,$C4)</f>
        <v>0</v>
      </c>
      <c r="L4" s="68"/>
      <c r="M4" s="11" t="s">
        <v>2221</v>
      </c>
      <c r="N4" s="104" t="b">
        <f t="shared" si="1"/>
        <v>1</v>
      </c>
      <c r="O4" s="5" t="s">
        <v>2227</v>
      </c>
      <c r="P4" s="5" t="s">
        <v>2185</v>
      </c>
      <c r="R4" s="5"/>
      <c r="S4" s="5"/>
      <c r="T4" s="184"/>
      <c r="U4" s="5"/>
      <c r="V4" s="5"/>
      <c r="W4" s="5"/>
      <c r="Y4" s="201" t="str">
        <f t="shared" si="2"/>
        <v/>
      </c>
      <c r="Z4" s="200"/>
      <c r="AA4" s="201" t="s">
        <v>2226</v>
      </c>
      <c r="AB4" s="68">
        <f t="shared" si="3"/>
        <v>1</v>
      </c>
      <c r="AC4" s="202"/>
      <c r="AD4" s="68" t="str">
        <f t="shared" si="4"/>
        <v>NOT</v>
      </c>
      <c r="AE4" s="11"/>
      <c r="AF4" s="11"/>
      <c r="AG4" s="11"/>
      <c r="AH4" s="110">
        <f>COUNTIF(postDEL!$AR$2:$AR694,AG4)</f>
        <v>0</v>
      </c>
      <c r="AI4" s="204"/>
      <c r="AK4" s="200"/>
      <c r="AM4" s="54"/>
      <c r="AN4" s="68" t="str">
        <f t="shared" si="5"/>
        <v/>
      </c>
      <c r="AO4" s="206" t="str">
        <f t="shared" si="6"/>
        <v/>
      </c>
      <c r="AQ4" s="5" t="str">
        <f>CONCATENATE("Sp",Process!$A$1,AR4)</f>
        <v>SpBEND425753</v>
      </c>
      <c r="AR4" s="19">
        <v>425753.0</v>
      </c>
      <c r="AS4" s="207"/>
      <c r="AT4" s="207"/>
      <c r="AU4" s="68"/>
      <c r="AV4" s="11"/>
      <c r="AW4" s="11"/>
      <c r="AX4" s="11"/>
      <c r="AY4" s="67"/>
      <c r="AZ4" s="204"/>
      <c r="BC4" s="68"/>
      <c r="BD4" s="68"/>
      <c r="BF4" s="208"/>
    </row>
    <row r="5">
      <c r="A5" s="11"/>
      <c r="B5" s="11"/>
      <c r="C5" s="11"/>
      <c r="D5" s="110">
        <f>COUNTIF(postDEL!$AR$2:$AR694,$C5)</f>
        <v>0</v>
      </c>
      <c r="E5" s="5" t="str">
        <f>CONCATENATE(Process!$A$1,F5)</f>
        <v>BEND777226</v>
      </c>
      <c r="F5" s="3">
        <v>777226.0</v>
      </c>
      <c r="G5" s="3"/>
      <c r="H5" s="3" t="s">
        <v>2228</v>
      </c>
      <c r="I5" s="13">
        <v>0.0</v>
      </c>
      <c r="J5" s="5"/>
      <c r="K5" s="199">
        <f>COUNTIF(postDEL!$AO$2:$AO694,$C5)</f>
        <v>0</v>
      </c>
      <c r="L5" s="68"/>
      <c r="M5" s="11" t="s">
        <v>2221</v>
      </c>
      <c r="N5" s="104" t="b">
        <f t="shared" si="1"/>
        <v>1</v>
      </c>
      <c r="O5" s="5" t="s">
        <v>2227</v>
      </c>
      <c r="P5" s="5" t="s">
        <v>2185</v>
      </c>
      <c r="R5" s="5"/>
      <c r="S5" s="5"/>
      <c r="T5" s="184"/>
      <c r="U5" s="5"/>
      <c r="V5" s="5"/>
      <c r="W5" s="5"/>
      <c r="Y5" s="201" t="str">
        <f t="shared" si="2"/>
        <v/>
      </c>
      <c r="Z5" s="200"/>
      <c r="AA5" s="201" t="s">
        <v>2228</v>
      </c>
      <c r="AB5" s="68">
        <f t="shared" si="3"/>
        <v>1</v>
      </c>
      <c r="AC5" s="202"/>
      <c r="AD5" s="68" t="str">
        <f t="shared" si="4"/>
        <v>NOT</v>
      </c>
      <c r="AE5" s="11"/>
      <c r="AF5" s="11"/>
      <c r="AG5" s="11"/>
      <c r="AH5" s="110">
        <f>COUNTIF(postDEL!$AR$2:$AR694,AG5)</f>
        <v>0</v>
      </c>
      <c r="AI5" s="204"/>
      <c r="AK5" s="200"/>
      <c r="AM5" s="54"/>
      <c r="AN5" s="68" t="str">
        <f t="shared" si="5"/>
        <v/>
      </c>
      <c r="AO5" s="206" t="str">
        <f t="shared" si="6"/>
        <v/>
      </c>
      <c r="AQ5" s="5" t="str">
        <f>CONCATENATE("Sp",Process!$A$1,AR5)</f>
        <v>SpBEND522465</v>
      </c>
      <c r="AR5" s="19">
        <v>522465.0</v>
      </c>
      <c r="AS5" s="207"/>
      <c r="AT5" s="207"/>
      <c r="AU5" s="68"/>
      <c r="AV5" s="11"/>
      <c r="AW5" s="11"/>
      <c r="AX5" s="11"/>
      <c r="AY5" s="67"/>
      <c r="AZ5" s="204"/>
      <c r="BC5" s="68"/>
      <c r="BD5" s="68"/>
      <c r="BF5" s="208"/>
    </row>
    <row r="6">
      <c r="A6" s="11"/>
      <c r="B6" s="11"/>
      <c r="C6" s="11"/>
      <c r="D6" s="110">
        <f>COUNTIF(postDEL!$AR$2:$AR694,$C6)</f>
        <v>0</v>
      </c>
      <c r="E6" s="5" t="str">
        <f>CONCATENATE(Process!$A$1,F6)</f>
        <v>BEND249568</v>
      </c>
      <c r="F6" s="3">
        <v>249568.0</v>
      </c>
      <c r="G6" s="3"/>
      <c r="H6" s="3" t="s">
        <v>2229</v>
      </c>
      <c r="I6" s="13">
        <v>0.0</v>
      </c>
      <c r="J6" s="5"/>
      <c r="K6" s="199">
        <f>COUNTIF(postDEL!$AO$2:$AO694,$C6)</f>
        <v>0</v>
      </c>
      <c r="L6" s="68"/>
      <c r="M6" s="11" t="s">
        <v>2221</v>
      </c>
      <c r="N6" s="104" t="b">
        <f t="shared" si="1"/>
        <v>1</v>
      </c>
      <c r="O6" s="5" t="s">
        <v>2227</v>
      </c>
      <c r="P6" s="5" t="s">
        <v>2185</v>
      </c>
      <c r="R6" s="5"/>
      <c r="S6" s="5"/>
      <c r="T6" s="184"/>
      <c r="U6" s="5"/>
      <c r="V6" s="5"/>
      <c r="W6" s="5"/>
      <c r="Y6" s="201" t="str">
        <f t="shared" si="2"/>
        <v/>
      </c>
      <c r="Z6" s="200"/>
      <c r="AA6" s="201" t="s">
        <v>2229</v>
      </c>
      <c r="AB6" s="68">
        <f t="shared" si="3"/>
        <v>1</v>
      </c>
      <c r="AC6" s="209"/>
      <c r="AD6" s="68" t="str">
        <f t="shared" si="4"/>
        <v>NOT</v>
      </c>
      <c r="AE6" s="11"/>
      <c r="AF6" s="11"/>
      <c r="AG6" s="11"/>
      <c r="AH6" s="110">
        <f>COUNTIF(postDEL!$AR$2:$AR694,AG6)</f>
        <v>0</v>
      </c>
      <c r="AI6" s="204"/>
      <c r="AK6" s="200"/>
      <c r="AM6" s="54"/>
      <c r="AN6" s="68" t="str">
        <f t="shared" si="5"/>
        <v/>
      </c>
      <c r="AO6" s="206" t="str">
        <f t="shared" si="6"/>
        <v/>
      </c>
      <c r="AQ6" s="5" t="str">
        <f>CONCATENATE("Sp",Process!$A$1,AR6)</f>
        <v>SpBEND708976</v>
      </c>
      <c r="AR6" s="19">
        <v>708976.0</v>
      </c>
      <c r="AS6" s="207"/>
      <c r="AT6" s="207"/>
      <c r="AU6" s="68"/>
      <c r="AV6" s="11"/>
      <c r="AW6" s="11"/>
      <c r="AX6" s="11"/>
      <c r="AY6" s="67"/>
      <c r="AZ6" s="204"/>
      <c r="BC6" s="68"/>
      <c r="BD6" s="68"/>
      <c r="BF6" s="208"/>
    </row>
    <row r="7">
      <c r="A7" s="11"/>
      <c r="B7" s="11"/>
      <c r="C7" s="11"/>
      <c r="D7" s="110">
        <f>COUNTIF(postDEL!$AR$2:$AR694,$C7)</f>
        <v>0</v>
      </c>
      <c r="E7" s="5" t="str">
        <f>CONCATENATE(Process!$A$1,F7)</f>
        <v>BEND982858</v>
      </c>
      <c r="F7" s="3">
        <v>982858.0</v>
      </c>
      <c r="G7" s="3"/>
      <c r="H7" s="3" t="s">
        <v>2230</v>
      </c>
      <c r="I7" s="13">
        <v>0.0</v>
      </c>
      <c r="J7" s="5"/>
      <c r="K7" s="199">
        <f>COUNTIF(postDEL!$AO$2:$AO694,$C7)</f>
        <v>0</v>
      </c>
      <c r="L7" s="68"/>
      <c r="M7" s="11" t="s">
        <v>2221</v>
      </c>
      <c r="N7" s="104" t="b">
        <f t="shared" si="1"/>
        <v>1</v>
      </c>
      <c r="O7" s="5" t="s">
        <v>2222</v>
      </c>
      <c r="P7" s="5" t="s">
        <v>2223</v>
      </c>
      <c r="R7" s="5"/>
      <c r="S7" s="5" t="s">
        <v>2224</v>
      </c>
      <c r="T7" s="184"/>
      <c r="U7" s="5"/>
      <c r="V7" s="5"/>
      <c r="W7" s="5"/>
      <c r="Y7" s="201" t="str">
        <f t="shared" si="2"/>
        <v/>
      </c>
      <c r="Z7" s="200"/>
      <c r="AA7" s="201" t="s">
        <v>2230</v>
      </c>
      <c r="AB7" s="68">
        <f t="shared" si="3"/>
        <v>1</v>
      </c>
      <c r="AC7" s="202"/>
      <c r="AD7" s="68" t="str">
        <f t="shared" si="4"/>
        <v>NOT</v>
      </c>
      <c r="AE7" s="11"/>
      <c r="AF7" s="11"/>
      <c r="AG7" s="11"/>
      <c r="AH7" s="110">
        <f>COUNTIF(postDEL!$AR$2:$AR694,AG7)</f>
        <v>0</v>
      </c>
      <c r="AI7" s="204"/>
      <c r="AK7" s="200"/>
      <c r="AM7" s="54"/>
      <c r="AN7" s="68" t="str">
        <f t="shared" si="5"/>
        <v/>
      </c>
      <c r="AO7" s="206" t="str">
        <f t="shared" si="6"/>
        <v/>
      </c>
      <c r="AQ7" s="5" t="str">
        <f>CONCATENATE("Sp",Process!$A$1,AR7)</f>
        <v>SpBEND734943</v>
      </c>
      <c r="AR7" s="19">
        <v>734943.0</v>
      </c>
      <c r="AS7" s="207"/>
      <c r="AT7" s="207"/>
      <c r="AU7" s="68"/>
      <c r="AV7" s="11"/>
      <c r="AW7" s="11"/>
      <c r="AX7" s="11"/>
      <c r="AY7" s="67"/>
      <c r="AZ7" s="204"/>
      <c r="BC7" s="68"/>
      <c r="BD7" s="68"/>
      <c r="BF7" s="208"/>
    </row>
    <row r="8">
      <c r="A8" s="11"/>
      <c r="B8" s="11"/>
      <c r="C8" s="11"/>
      <c r="D8" s="110">
        <f>COUNTIF(postDEL!$AR$2:$AR694,$C8)</f>
        <v>0</v>
      </c>
      <c r="E8" s="5" t="str">
        <f>CONCATENATE(Process!$A$1,F8)</f>
        <v>BEND934970</v>
      </c>
      <c r="F8" s="3">
        <v>934970.0</v>
      </c>
      <c r="G8" s="3"/>
      <c r="H8" s="3" t="s">
        <v>2231</v>
      </c>
      <c r="I8" s="13">
        <v>0.0</v>
      </c>
      <c r="J8" s="5"/>
      <c r="K8" s="199">
        <f>COUNTIF(postDEL!$AO$2:$AO694,$C8)</f>
        <v>0</v>
      </c>
      <c r="L8" s="68"/>
      <c r="M8" s="11" t="s">
        <v>2221</v>
      </c>
      <c r="N8" s="104" t="b">
        <f t="shared" si="1"/>
        <v>1</v>
      </c>
      <c r="O8" s="5" t="s">
        <v>2222</v>
      </c>
      <c r="P8" s="5" t="s">
        <v>2223</v>
      </c>
      <c r="R8" s="5"/>
      <c r="S8" s="5" t="s">
        <v>2224</v>
      </c>
      <c r="T8" s="184"/>
      <c r="U8" s="5"/>
      <c r="V8" s="5"/>
      <c r="W8" s="5"/>
      <c r="Y8" s="201" t="str">
        <f t="shared" si="2"/>
        <v/>
      </c>
      <c r="Z8" s="200"/>
      <c r="AA8" s="201" t="s">
        <v>2231</v>
      </c>
      <c r="AB8" s="68">
        <f t="shared" si="3"/>
        <v>1</v>
      </c>
      <c r="AC8" s="202"/>
      <c r="AD8" s="68" t="str">
        <f t="shared" si="4"/>
        <v>NOT</v>
      </c>
      <c r="AE8" s="11"/>
      <c r="AF8" s="11"/>
      <c r="AG8" s="11"/>
      <c r="AH8" s="110">
        <f>COUNTIF(postDEL!$AR$2:$AR694,AG8)</f>
        <v>0</v>
      </c>
      <c r="AI8" s="204"/>
      <c r="AK8" s="200"/>
      <c r="AM8" s="54"/>
      <c r="AN8" s="68" t="str">
        <f t="shared" si="5"/>
        <v/>
      </c>
      <c r="AO8" s="206" t="str">
        <f t="shared" si="6"/>
        <v/>
      </c>
      <c r="AQ8" s="5" t="str">
        <f>CONCATENATE("Sp",Process!$A$1,AR8)</f>
        <v>SpBEND387532</v>
      </c>
      <c r="AR8" s="19">
        <v>387532.0</v>
      </c>
      <c r="AS8" s="207"/>
      <c r="AT8" s="207"/>
      <c r="AU8" s="68"/>
      <c r="AV8" s="11"/>
      <c r="AW8" s="11"/>
      <c r="AX8" s="11"/>
      <c r="AY8" s="67"/>
      <c r="AZ8" s="204"/>
      <c r="BC8" s="68"/>
      <c r="BD8" s="68"/>
      <c r="BF8" s="208"/>
    </row>
    <row r="9">
      <c r="A9" s="11"/>
      <c r="B9" s="11"/>
      <c r="C9" s="11"/>
      <c r="D9" s="110">
        <f>COUNTIF(postDEL!$AR$2:$AR694,$C9)</f>
        <v>0</v>
      </c>
      <c r="E9" s="5" t="str">
        <f>CONCATENATE(Process!$A$1,F9)</f>
        <v>BEND591680</v>
      </c>
      <c r="F9" s="3">
        <v>591680.0</v>
      </c>
      <c r="G9" s="3"/>
      <c r="H9" s="3" t="s">
        <v>2232</v>
      </c>
      <c r="I9" s="13">
        <v>0.0</v>
      </c>
      <c r="J9" s="5"/>
      <c r="K9" s="199">
        <f>COUNTIF(postDEL!$AO$2:$AO694,$C9)</f>
        <v>0</v>
      </c>
      <c r="L9" s="68"/>
      <c r="M9" s="11" t="s">
        <v>2221</v>
      </c>
      <c r="N9" s="104" t="b">
        <f t="shared" si="1"/>
        <v>1</v>
      </c>
      <c r="O9" s="5" t="s">
        <v>2227</v>
      </c>
      <c r="P9" s="5" t="s">
        <v>2185</v>
      </c>
      <c r="R9" s="5"/>
      <c r="S9" s="5"/>
      <c r="T9" s="184"/>
      <c r="U9" s="5"/>
      <c r="V9" s="5"/>
      <c r="W9" s="5"/>
      <c r="Y9" s="201" t="str">
        <f t="shared" si="2"/>
        <v/>
      </c>
      <c r="Z9" s="200"/>
      <c r="AA9" s="201" t="s">
        <v>2232</v>
      </c>
      <c r="AB9" s="68">
        <f t="shared" si="3"/>
        <v>1</v>
      </c>
      <c r="AC9" s="210"/>
      <c r="AD9" s="68" t="str">
        <f t="shared" si="4"/>
        <v>NOT</v>
      </c>
      <c r="AE9" s="11"/>
      <c r="AF9" s="11"/>
      <c r="AG9" s="11"/>
      <c r="AH9" s="110">
        <f>COUNTIF(postDEL!$AR$2:$AR694,AG9)</f>
        <v>0</v>
      </c>
      <c r="AI9" s="204"/>
      <c r="AK9" s="200"/>
      <c r="AM9" s="54"/>
      <c r="AN9" s="68" t="str">
        <f t="shared" si="5"/>
        <v/>
      </c>
      <c r="AO9" s="206" t="str">
        <f t="shared" si="6"/>
        <v/>
      </c>
      <c r="AQ9" s="5" t="str">
        <f>CONCATENATE("Sp",Process!$A$1,AR9)</f>
        <v>SpBEND559802</v>
      </c>
      <c r="AR9" s="19">
        <v>559802.0</v>
      </c>
      <c r="AS9" s="207"/>
      <c r="AT9" s="207"/>
      <c r="AU9" s="68"/>
      <c r="AV9" s="11"/>
      <c r="AW9" s="11"/>
      <c r="AX9" s="11"/>
      <c r="AY9" s="67"/>
      <c r="AZ9" s="204"/>
      <c r="BC9" s="68"/>
      <c r="BD9" s="68"/>
      <c r="BF9" s="208"/>
    </row>
    <row r="10">
      <c r="A10" s="11"/>
      <c r="B10" s="11"/>
      <c r="C10" s="11"/>
      <c r="D10" s="110">
        <f>COUNTIF(postDEL!$AR$2:$AR694,$C10)</f>
        <v>0</v>
      </c>
      <c r="E10" s="5" t="str">
        <f>CONCATENATE(Process!$A$1,F10)</f>
        <v>BEND901889</v>
      </c>
      <c r="F10" s="3">
        <v>901889.0</v>
      </c>
      <c r="G10" s="3"/>
      <c r="H10" s="3" t="s">
        <v>2233</v>
      </c>
      <c r="I10" s="13">
        <v>0.0</v>
      </c>
      <c r="J10" s="5"/>
      <c r="K10" s="199">
        <f>COUNTIF(postDEL!$AO$2:$AO694,$C10)</f>
        <v>0</v>
      </c>
      <c r="L10" s="68"/>
      <c r="M10" s="11" t="s">
        <v>2221</v>
      </c>
      <c r="N10" s="104" t="b">
        <f t="shared" si="1"/>
        <v>1</v>
      </c>
      <c r="O10" s="5" t="s">
        <v>2227</v>
      </c>
      <c r="P10" s="5" t="s">
        <v>2185</v>
      </c>
      <c r="R10" s="5"/>
      <c r="S10" s="5"/>
      <c r="T10" s="184"/>
      <c r="U10" s="5"/>
      <c r="V10" s="5"/>
      <c r="W10" s="5"/>
      <c r="Y10" s="201" t="str">
        <f t="shared" si="2"/>
        <v/>
      </c>
      <c r="Z10" s="200"/>
      <c r="AA10" s="201" t="s">
        <v>2233</v>
      </c>
      <c r="AB10" s="68">
        <f t="shared" si="3"/>
        <v>1</v>
      </c>
      <c r="AC10" s="210"/>
      <c r="AD10" s="68" t="str">
        <f t="shared" si="4"/>
        <v>NOT</v>
      </c>
      <c r="AE10" s="11"/>
      <c r="AF10" s="11"/>
      <c r="AG10" s="11"/>
      <c r="AH10" s="110">
        <f>COUNTIF(postDEL!$AR$2:$AR694,AG10)</f>
        <v>0</v>
      </c>
      <c r="AI10" s="204"/>
      <c r="AK10" s="200"/>
      <c r="AM10" s="54"/>
      <c r="AN10" s="68" t="str">
        <f t="shared" si="5"/>
        <v/>
      </c>
      <c r="AO10" s="206" t="str">
        <f t="shared" si="6"/>
        <v/>
      </c>
      <c r="AQ10" s="5" t="str">
        <f>CONCATENATE("Sp",Process!$A$1,AR10)</f>
        <v>SpBEND584950</v>
      </c>
      <c r="AR10" s="19">
        <v>584950.0</v>
      </c>
      <c r="AS10" s="207"/>
      <c r="AT10" s="207"/>
      <c r="AU10" s="68"/>
      <c r="AV10" s="11"/>
      <c r="AW10" s="11"/>
      <c r="AX10" s="11"/>
      <c r="AY10" s="67"/>
      <c r="AZ10" s="204"/>
      <c r="BC10" s="68"/>
      <c r="BD10" s="68"/>
      <c r="BF10" s="208"/>
    </row>
    <row r="11">
      <c r="A11" s="11"/>
      <c r="B11" s="11"/>
      <c r="C11" s="11"/>
      <c r="D11" s="110">
        <f>COUNTIF(postDEL!$AR$2:$AR694,$C11)</f>
        <v>0</v>
      </c>
      <c r="E11" s="5" t="str">
        <f>CONCATENATE(Process!$A$1,F11)</f>
        <v>BEND525784</v>
      </c>
      <c r="F11" s="3">
        <v>525784.0</v>
      </c>
      <c r="G11" s="3"/>
      <c r="H11" s="3" t="s">
        <v>2234</v>
      </c>
      <c r="I11" s="13">
        <v>0.0</v>
      </c>
      <c r="J11" s="5"/>
      <c r="K11" s="199">
        <f>COUNTIF(postDEL!$AO$2:$AO694,$C11)</f>
        <v>0</v>
      </c>
      <c r="L11" s="68"/>
      <c r="M11" s="11" t="s">
        <v>2221</v>
      </c>
      <c r="N11" s="104" t="b">
        <f t="shared" si="1"/>
        <v>1</v>
      </c>
      <c r="O11" s="5" t="s">
        <v>2235</v>
      </c>
      <c r="P11" s="5" t="s">
        <v>2223</v>
      </c>
      <c r="R11" s="5"/>
      <c r="S11" s="5" t="s">
        <v>2224</v>
      </c>
      <c r="T11" s="184">
        <v>44564.0</v>
      </c>
      <c r="U11" s="5"/>
      <c r="V11" s="5"/>
      <c r="W11" s="5"/>
      <c r="Y11" s="201" t="str">
        <f t="shared" si="2"/>
        <v/>
      </c>
      <c r="Z11" s="200"/>
      <c r="AA11" s="201" t="s">
        <v>2234</v>
      </c>
      <c r="AB11" s="68">
        <f t="shared" si="3"/>
        <v>1</v>
      </c>
      <c r="AC11" s="210"/>
      <c r="AD11" s="68" t="str">
        <f t="shared" si="4"/>
        <v>NOT</v>
      </c>
      <c r="AE11" s="11"/>
      <c r="AF11" s="11"/>
      <c r="AG11" s="11"/>
      <c r="AH11" s="110">
        <f>COUNTIF(postDEL!$AR$2:$AR694,AG11)</f>
        <v>0</v>
      </c>
      <c r="AI11" s="204"/>
      <c r="AK11" s="200"/>
      <c r="AM11" s="54"/>
      <c r="AN11" s="68" t="str">
        <f t="shared" si="5"/>
        <v/>
      </c>
      <c r="AO11" s="206" t="str">
        <f t="shared" si="6"/>
        <v/>
      </c>
      <c r="AQ11" s="5" t="str">
        <f>CONCATENATE("Sp",Process!$A$1,AR11)</f>
        <v>SpBEND967817</v>
      </c>
      <c r="AR11" s="19">
        <v>967817.0</v>
      </c>
      <c r="AS11" s="207"/>
      <c r="AT11" s="207"/>
      <c r="AU11" s="68"/>
      <c r="AV11" s="11"/>
      <c r="AW11" s="11"/>
      <c r="AX11" s="11"/>
      <c r="AY11" s="67"/>
      <c r="AZ11" s="204"/>
      <c r="BC11" s="68"/>
      <c r="BD11" s="68"/>
      <c r="BF11" s="208"/>
    </row>
    <row r="12">
      <c r="A12" s="11"/>
      <c r="B12" s="11"/>
      <c r="C12" s="11"/>
      <c r="D12" s="110">
        <f>COUNTIF(postDEL!$AR$2:$AR694,$C12)</f>
        <v>0</v>
      </c>
      <c r="E12" s="5" t="str">
        <f>CONCATENATE(Process!$A$1,F12)</f>
        <v>BEND710690</v>
      </c>
      <c r="F12" s="3">
        <v>710690.0</v>
      </c>
      <c r="G12" s="3"/>
      <c r="H12" s="3" t="s">
        <v>2236</v>
      </c>
      <c r="I12" s="13">
        <v>0.0</v>
      </c>
      <c r="J12" s="5"/>
      <c r="K12" s="199">
        <f>COUNTIF(postDEL!$AO$2:$AO694,$C12)</f>
        <v>0</v>
      </c>
      <c r="L12" s="68"/>
      <c r="M12" s="11" t="s">
        <v>2221</v>
      </c>
      <c r="N12" s="104" t="b">
        <f t="shared" si="1"/>
        <v>1</v>
      </c>
      <c r="O12" s="5" t="s">
        <v>2222</v>
      </c>
      <c r="P12" s="5" t="s">
        <v>2223</v>
      </c>
      <c r="R12" s="5"/>
      <c r="S12" s="5" t="s">
        <v>2224</v>
      </c>
      <c r="T12" s="184">
        <v>44568.0</v>
      </c>
      <c r="U12" s="5"/>
      <c r="V12" s="5"/>
      <c r="W12" s="5"/>
      <c r="X12" s="2" t="s">
        <v>2237</v>
      </c>
      <c r="Y12" s="201" t="str">
        <f t="shared" si="2"/>
        <v/>
      </c>
      <c r="Z12" s="200"/>
      <c r="AA12" s="201" t="s">
        <v>2236</v>
      </c>
      <c r="AB12" s="68">
        <f t="shared" si="3"/>
        <v>1</v>
      </c>
      <c r="AC12" s="210"/>
      <c r="AD12" s="68" t="str">
        <f t="shared" si="4"/>
        <v>NOT</v>
      </c>
      <c r="AE12" s="11"/>
      <c r="AF12" s="11"/>
      <c r="AG12" s="11"/>
      <c r="AH12" s="110">
        <f>COUNTIF(postDEL!$AR$2:$AR694,AG12)</f>
        <v>0</v>
      </c>
      <c r="AI12" s="211">
        <v>1.1</v>
      </c>
      <c r="AJ12" s="2" t="s">
        <v>2238</v>
      </c>
      <c r="AK12" s="200"/>
      <c r="AM12" s="54"/>
      <c r="AN12" s="68" t="str">
        <f t="shared" si="5"/>
        <v/>
      </c>
      <c r="AO12" s="206" t="str">
        <f t="shared" si="6"/>
        <v/>
      </c>
      <c r="AQ12" s="5" t="str">
        <f>CONCATENATE("Sp",Process!$A$1,AR12)</f>
        <v>SpBEND139600</v>
      </c>
      <c r="AR12" s="19">
        <v>139600.0</v>
      </c>
      <c r="AS12" s="207"/>
      <c r="AT12" s="207"/>
      <c r="AU12" s="68" t="s">
        <v>2239</v>
      </c>
      <c r="AV12" s="11"/>
      <c r="AW12" s="11"/>
      <c r="AX12" s="11"/>
      <c r="AY12" s="67"/>
      <c r="AZ12" s="204"/>
      <c r="BC12" s="68"/>
      <c r="BD12" s="68"/>
      <c r="BF12" s="208"/>
    </row>
    <row r="13">
      <c r="A13" s="11"/>
      <c r="B13" s="11"/>
      <c r="C13" s="11"/>
      <c r="D13" s="110">
        <f>COUNTIF(postDEL!$AR$2:$AR694,$C13)</f>
        <v>0</v>
      </c>
      <c r="E13" s="5" t="str">
        <f>CONCATENATE(Process!$A$1,F13)</f>
        <v>BEND915976</v>
      </c>
      <c r="F13" s="3">
        <v>915976.0</v>
      </c>
      <c r="G13" s="3"/>
      <c r="H13" s="3" t="s">
        <v>2240</v>
      </c>
      <c r="I13" s="13">
        <v>0.0</v>
      </c>
      <c r="J13" s="5"/>
      <c r="K13" s="199">
        <f>COUNTIF(postDEL!$AO$2:$AO694,$C13)</f>
        <v>0</v>
      </c>
      <c r="L13" s="68"/>
      <c r="M13" s="11" t="s">
        <v>2221</v>
      </c>
      <c r="N13" s="104" t="b">
        <f t="shared" si="1"/>
        <v>1</v>
      </c>
      <c r="O13" s="5" t="s">
        <v>2227</v>
      </c>
      <c r="P13" s="5" t="s">
        <v>2185</v>
      </c>
      <c r="R13" s="5"/>
      <c r="S13" s="5"/>
      <c r="T13" s="184"/>
      <c r="U13" s="5"/>
      <c r="V13" s="5"/>
      <c r="W13" s="5"/>
      <c r="Y13" s="201" t="str">
        <f t="shared" si="2"/>
        <v/>
      </c>
      <c r="Z13" s="200"/>
      <c r="AA13" s="201" t="s">
        <v>2240</v>
      </c>
      <c r="AB13" s="68">
        <f t="shared" si="3"/>
        <v>1</v>
      </c>
      <c r="AC13" s="210"/>
      <c r="AD13" s="68" t="str">
        <f t="shared" si="4"/>
        <v>NOT</v>
      </c>
      <c r="AE13" s="11"/>
      <c r="AF13" s="11"/>
      <c r="AG13" s="11"/>
      <c r="AH13" s="110">
        <f>COUNTIF(postDEL!$AR$2:$AR694,AG13)</f>
        <v>0</v>
      </c>
      <c r="AI13" s="204"/>
      <c r="AK13" s="200"/>
      <c r="AM13" s="54"/>
      <c r="AN13" s="68" t="str">
        <f t="shared" si="5"/>
        <v/>
      </c>
      <c r="AO13" s="206" t="str">
        <f t="shared" si="6"/>
        <v/>
      </c>
      <c r="AQ13" s="5" t="str">
        <f>CONCATENATE("Sp",Process!$A$1,AR13)</f>
        <v>SpBEND541174</v>
      </c>
      <c r="AR13" s="19">
        <v>541174.0</v>
      </c>
      <c r="AS13" s="207"/>
      <c r="AT13" s="207"/>
      <c r="AU13" s="68"/>
      <c r="AV13" s="11"/>
      <c r="AW13" s="11"/>
      <c r="AX13" s="11"/>
      <c r="AY13" s="67"/>
      <c r="AZ13" s="204"/>
      <c r="BC13" s="68"/>
      <c r="BD13" s="68"/>
      <c r="BF13" s="208"/>
    </row>
    <row r="14">
      <c r="A14" s="11"/>
      <c r="B14" s="11"/>
      <c r="C14" s="11"/>
      <c r="D14" s="110">
        <f>COUNTIF(postDEL!$AR$2:$AR694,$C14)</f>
        <v>0</v>
      </c>
      <c r="E14" s="5" t="str">
        <f>CONCATENATE(Process!$A$1,F14)</f>
        <v>BEND885969</v>
      </c>
      <c r="F14" s="3">
        <v>885969.0</v>
      </c>
      <c r="G14" s="3"/>
      <c r="H14" s="3" t="s">
        <v>2241</v>
      </c>
      <c r="I14" s="13">
        <v>0.0</v>
      </c>
      <c r="J14" s="5"/>
      <c r="K14" s="199">
        <f>COUNTIF(postDEL!$AO$2:$AO694,$C14)</f>
        <v>0</v>
      </c>
      <c r="L14" s="212"/>
      <c r="M14" s="11" t="s">
        <v>2221</v>
      </c>
      <c r="N14" s="104" t="b">
        <f t="shared" si="1"/>
        <v>1</v>
      </c>
      <c r="O14" s="5" t="s">
        <v>2227</v>
      </c>
      <c r="P14" s="5" t="s">
        <v>2185</v>
      </c>
      <c r="R14" s="5"/>
      <c r="S14" s="5"/>
      <c r="T14" s="184"/>
      <c r="U14" s="5"/>
      <c r="V14" s="5"/>
      <c r="W14" s="5"/>
      <c r="Y14" s="201" t="str">
        <f t="shared" si="2"/>
        <v/>
      </c>
      <c r="Z14" s="200"/>
      <c r="AA14" s="201" t="s">
        <v>2241</v>
      </c>
      <c r="AB14" s="68">
        <f t="shared" si="3"/>
        <v>1</v>
      </c>
      <c r="AC14" s="210"/>
      <c r="AD14" s="68" t="str">
        <f t="shared" si="4"/>
        <v>NOT</v>
      </c>
      <c r="AE14" s="11"/>
      <c r="AF14" s="11"/>
      <c r="AG14" s="11"/>
      <c r="AH14" s="110">
        <f>COUNTIF(postDEL!$AR$2:$AR694,AG14)</f>
        <v>0</v>
      </c>
      <c r="AI14" s="204"/>
      <c r="AK14" s="200"/>
      <c r="AM14" s="54"/>
      <c r="AN14" s="68" t="str">
        <f t="shared" si="5"/>
        <v/>
      </c>
      <c r="AO14" s="206" t="str">
        <f t="shared" si="6"/>
        <v/>
      </c>
      <c r="AQ14" s="5" t="str">
        <f>CONCATENATE("Sp",Process!$A$1,AR14)</f>
        <v>SpBEND768497</v>
      </c>
      <c r="AR14" s="19">
        <v>768497.0</v>
      </c>
      <c r="AS14" s="207"/>
      <c r="AT14" s="207"/>
      <c r="AU14" s="68"/>
      <c r="AV14" s="11"/>
      <c r="AW14" s="11"/>
      <c r="AX14" s="11"/>
      <c r="AY14" s="67"/>
      <c r="AZ14" s="204"/>
      <c r="BC14" s="68"/>
      <c r="BD14" s="68"/>
      <c r="BF14" s="208"/>
    </row>
    <row r="15">
      <c r="A15" s="11"/>
      <c r="B15" s="11"/>
      <c r="C15" s="11"/>
      <c r="D15" s="110">
        <f>COUNTIF(postDEL!$AR$2:$AR694,$C15)</f>
        <v>0</v>
      </c>
      <c r="E15" s="5" t="str">
        <f>CONCATENATE(Process!$A$1,F15)</f>
        <v>BEND796718</v>
      </c>
      <c r="F15" s="3">
        <v>796718.0</v>
      </c>
      <c r="G15" s="3"/>
      <c r="H15" s="3" t="s">
        <v>2242</v>
      </c>
      <c r="I15" s="13">
        <v>0.0</v>
      </c>
      <c r="J15" s="5"/>
      <c r="K15" s="199">
        <f>COUNTIF(postDEL!$AO$2:$AO694,$C15)</f>
        <v>0</v>
      </c>
      <c r="L15" s="212"/>
      <c r="M15" s="11" t="s">
        <v>2221</v>
      </c>
      <c r="N15" s="104" t="b">
        <f t="shared" si="1"/>
        <v>1</v>
      </c>
      <c r="O15" s="5" t="s">
        <v>2222</v>
      </c>
      <c r="P15" s="5" t="s">
        <v>2223</v>
      </c>
      <c r="R15" s="5"/>
      <c r="S15" s="5" t="s">
        <v>2224</v>
      </c>
      <c r="T15" s="184">
        <v>44561.0</v>
      </c>
      <c r="U15" s="5"/>
      <c r="V15" s="5"/>
      <c r="W15" s="5"/>
      <c r="Y15" s="201" t="str">
        <f t="shared" si="2"/>
        <v/>
      </c>
      <c r="Z15" s="200"/>
      <c r="AA15" s="201" t="s">
        <v>2242</v>
      </c>
      <c r="AB15" s="68">
        <f t="shared" si="3"/>
        <v>1</v>
      </c>
      <c r="AC15" s="210"/>
      <c r="AD15" s="68" t="str">
        <f t="shared" si="4"/>
        <v>NOT</v>
      </c>
      <c r="AE15" s="11"/>
      <c r="AF15" s="11"/>
      <c r="AG15" s="11"/>
      <c r="AH15" s="110">
        <f>COUNTIF(postDEL!$AR$2:$AR694,AG15)</f>
        <v>0</v>
      </c>
      <c r="AI15" s="204"/>
      <c r="AK15" s="200"/>
      <c r="AM15" s="54"/>
      <c r="AN15" s="68" t="str">
        <f t="shared" si="5"/>
        <v/>
      </c>
      <c r="AO15" s="206" t="str">
        <f t="shared" si="6"/>
        <v/>
      </c>
      <c r="AQ15" s="5" t="str">
        <f>CONCATENATE("Sp",Process!$A$1,AR15)</f>
        <v>SpBEND363177</v>
      </c>
      <c r="AR15" s="19">
        <v>363177.0</v>
      </c>
      <c r="AS15" s="207"/>
      <c r="AT15" s="207"/>
      <c r="AU15" s="68"/>
      <c r="AV15" s="11"/>
      <c r="AW15" s="11"/>
      <c r="AX15" s="11"/>
      <c r="AY15" s="67"/>
      <c r="AZ15" s="204"/>
      <c r="BC15" s="68"/>
      <c r="BD15" s="68"/>
      <c r="BF15" s="208"/>
    </row>
    <row r="16">
      <c r="A16" s="11"/>
      <c r="B16" s="11"/>
      <c r="C16" s="11"/>
      <c r="D16" s="110">
        <f>COUNTIF(postDEL!$AR$2:$AR694,$C16)</f>
        <v>0</v>
      </c>
      <c r="E16" s="5" t="str">
        <f>CONCATENATE(Process!$A$1,F16)</f>
        <v>BEND856015</v>
      </c>
      <c r="F16" s="3">
        <v>856015.0</v>
      </c>
      <c r="G16" s="3"/>
      <c r="H16" s="3" t="s">
        <v>2243</v>
      </c>
      <c r="I16" s="13">
        <v>0.0</v>
      </c>
      <c r="J16" s="5"/>
      <c r="K16" s="199">
        <f>COUNTIF(postDEL!$AO$2:$AO694,$C16)</f>
        <v>0</v>
      </c>
      <c r="L16" s="212"/>
      <c r="M16" s="11" t="s">
        <v>2221</v>
      </c>
      <c r="N16" s="104" t="b">
        <f t="shared" si="1"/>
        <v>1</v>
      </c>
      <c r="O16" s="5" t="s">
        <v>2227</v>
      </c>
      <c r="P16" s="5" t="s">
        <v>2185</v>
      </c>
      <c r="R16" s="5"/>
      <c r="S16" s="5"/>
      <c r="T16" s="184"/>
      <c r="U16" s="5"/>
      <c r="V16" s="5"/>
      <c r="W16" s="5"/>
      <c r="Y16" s="201" t="str">
        <f t="shared" si="2"/>
        <v/>
      </c>
      <c r="Z16" s="200"/>
      <c r="AA16" s="201" t="s">
        <v>2243</v>
      </c>
      <c r="AB16" s="68">
        <f t="shared" si="3"/>
        <v>1</v>
      </c>
      <c r="AC16" s="210"/>
      <c r="AD16" s="68" t="str">
        <f t="shared" si="4"/>
        <v>NOT</v>
      </c>
      <c r="AE16" s="11"/>
      <c r="AF16" s="11"/>
      <c r="AG16" s="11"/>
      <c r="AH16" s="110">
        <f>COUNTIF(postDEL!$AR$2:$AR694,AG16)</f>
        <v>0</v>
      </c>
      <c r="AI16" s="204"/>
      <c r="AK16" s="200"/>
      <c r="AM16" s="54"/>
      <c r="AN16" s="68" t="str">
        <f t="shared" si="5"/>
        <v/>
      </c>
      <c r="AO16" s="206" t="str">
        <f t="shared" si="6"/>
        <v/>
      </c>
      <c r="AQ16" s="5" t="str">
        <f>CONCATENATE("Sp",Process!$A$1,AR16)</f>
        <v>SpBEND670368</v>
      </c>
      <c r="AR16" s="19">
        <v>670368.0</v>
      </c>
      <c r="AS16" s="207"/>
      <c r="AT16" s="207"/>
      <c r="AU16" s="68"/>
      <c r="AV16" s="11"/>
      <c r="AW16" s="11"/>
      <c r="AX16" s="11"/>
      <c r="AY16" s="67"/>
      <c r="AZ16" s="204"/>
      <c r="BC16" s="68"/>
      <c r="BD16" s="68"/>
      <c r="BF16" s="208"/>
    </row>
    <row r="17">
      <c r="A17" s="11"/>
      <c r="B17" s="11"/>
      <c r="C17" s="11"/>
      <c r="D17" s="110">
        <f>COUNTIF(postDEL!$AR$2:$AR694,$C17)</f>
        <v>0</v>
      </c>
      <c r="E17" s="5" t="str">
        <f>CONCATENATE(Process!$A$1,F17)</f>
        <v>BEND238338</v>
      </c>
      <c r="F17" s="3">
        <v>238338.0</v>
      </c>
      <c r="G17" s="3"/>
      <c r="H17" s="3" t="s">
        <v>2244</v>
      </c>
      <c r="I17" s="13">
        <v>0.0</v>
      </c>
      <c r="J17" s="5"/>
      <c r="K17" s="199">
        <f>COUNTIF(postDEL!$AO$2:$AO694,$C17)</f>
        <v>0</v>
      </c>
      <c r="L17" s="212"/>
      <c r="M17" s="11" t="s">
        <v>2221</v>
      </c>
      <c r="N17" s="104" t="b">
        <f t="shared" si="1"/>
        <v>1</v>
      </c>
      <c r="O17" s="5" t="s">
        <v>2227</v>
      </c>
      <c r="P17" s="5" t="s">
        <v>2185</v>
      </c>
      <c r="R17" s="5"/>
      <c r="S17" s="5"/>
      <c r="T17" s="184"/>
      <c r="U17" s="5"/>
      <c r="V17" s="5"/>
      <c r="W17" s="5"/>
      <c r="Y17" s="201" t="str">
        <f t="shared" si="2"/>
        <v/>
      </c>
      <c r="Z17" s="200"/>
      <c r="AA17" s="201" t="s">
        <v>2244</v>
      </c>
      <c r="AB17" s="68">
        <f t="shared" si="3"/>
        <v>1</v>
      </c>
      <c r="AC17" s="210"/>
      <c r="AD17" s="68" t="str">
        <f t="shared" si="4"/>
        <v>NOT</v>
      </c>
      <c r="AE17" s="11"/>
      <c r="AF17" s="11"/>
      <c r="AG17" s="11"/>
      <c r="AH17" s="110">
        <f>COUNTIF(postDEL!$AR$2:$AR694,AG17)</f>
        <v>0</v>
      </c>
      <c r="AI17" s="204"/>
      <c r="AK17" s="200"/>
      <c r="AM17" s="54"/>
      <c r="AN17" s="68" t="str">
        <f t="shared" si="5"/>
        <v/>
      </c>
      <c r="AO17" s="206" t="str">
        <f t="shared" si="6"/>
        <v/>
      </c>
      <c r="AQ17" s="5" t="str">
        <f>CONCATENATE("Sp",Process!$A$1,AR17)</f>
        <v>SpBEND747592</v>
      </c>
      <c r="AR17" s="19">
        <v>747592.0</v>
      </c>
      <c r="AS17" s="200"/>
      <c r="AT17" s="200"/>
      <c r="AU17" s="68"/>
      <c r="AV17" s="11"/>
      <c r="AW17" s="11"/>
      <c r="AX17" s="11"/>
      <c r="AY17" s="67"/>
      <c r="AZ17" s="204"/>
      <c r="BC17" s="68"/>
      <c r="BD17" s="68"/>
      <c r="BF17" s="200"/>
    </row>
    <row r="18">
      <c r="A18" s="11"/>
      <c r="B18" s="11"/>
      <c r="C18" s="11"/>
      <c r="D18" s="110">
        <f>COUNTIF(postDEL!$AR$2:$AR694,$C18)</f>
        <v>0</v>
      </c>
      <c r="E18" s="5" t="str">
        <f>CONCATENATE(Process!$A$1,F18)</f>
        <v>BEND237252</v>
      </c>
      <c r="F18" s="3">
        <v>237252.0</v>
      </c>
      <c r="G18" s="3"/>
      <c r="H18" s="3" t="s">
        <v>2245</v>
      </c>
      <c r="I18" s="13">
        <v>0.0</v>
      </c>
      <c r="J18" s="5"/>
      <c r="K18" s="199">
        <f>COUNTIF(postDEL!$AO$2:$AO694,$C18)</f>
        <v>0</v>
      </c>
      <c r="L18" s="68"/>
      <c r="M18" s="11" t="s">
        <v>2221</v>
      </c>
      <c r="N18" s="104" t="b">
        <f t="shared" si="1"/>
        <v>1</v>
      </c>
      <c r="O18" s="5" t="s">
        <v>2222</v>
      </c>
      <c r="P18" s="5" t="s">
        <v>2223</v>
      </c>
      <c r="R18" s="5"/>
      <c r="S18" s="5" t="s">
        <v>2224</v>
      </c>
      <c r="T18" s="184"/>
      <c r="U18" s="5"/>
      <c r="V18" s="5"/>
      <c r="W18" s="5"/>
      <c r="Y18" s="201" t="str">
        <f t="shared" si="2"/>
        <v/>
      </c>
      <c r="Z18" s="200"/>
      <c r="AA18" s="201" t="s">
        <v>2245</v>
      </c>
      <c r="AB18" s="68">
        <f t="shared" si="3"/>
        <v>1</v>
      </c>
      <c r="AC18" s="210"/>
      <c r="AD18" s="68" t="str">
        <f t="shared" si="4"/>
        <v>NOT</v>
      </c>
      <c r="AE18" s="11"/>
      <c r="AF18" s="11"/>
      <c r="AG18" s="11"/>
      <c r="AH18" s="110">
        <f>COUNTIF(postDEL!$AR$2:$AR694,AG18)</f>
        <v>0</v>
      </c>
      <c r="AI18" s="204"/>
      <c r="AK18" s="200"/>
      <c r="AM18" s="54"/>
      <c r="AN18" s="68" t="str">
        <f t="shared" si="5"/>
        <v/>
      </c>
      <c r="AO18" s="206" t="str">
        <f t="shared" si="6"/>
        <v/>
      </c>
      <c r="AQ18" s="5" t="str">
        <f>CONCATENATE("Sp",Process!$A$1,AR18)</f>
        <v>SpBEND387578</v>
      </c>
      <c r="AR18" s="19">
        <v>387578.0</v>
      </c>
      <c r="AS18" s="200"/>
      <c r="AT18" s="200"/>
      <c r="AU18" s="68"/>
      <c r="AV18" s="11"/>
      <c r="AW18" s="11"/>
      <c r="AX18" s="11"/>
      <c r="AY18" s="67"/>
      <c r="AZ18" s="204"/>
      <c r="BC18" s="68"/>
      <c r="BD18" s="68"/>
      <c r="BF18" s="200"/>
    </row>
    <row r="19">
      <c r="A19" s="11"/>
      <c r="B19" s="11"/>
      <c r="C19" s="11"/>
      <c r="D19" s="110">
        <f>COUNTIF(postDEL!$AR$2:$AR694,$C19)</f>
        <v>0</v>
      </c>
      <c r="E19" s="5" t="str">
        <f>CONCATENATE(Process!$A$1,F19)</f>
        <v>BEND749260</v>
      </c>
      <c r="F19" s="3">
        <v>749260.0</v>
      </c>
      <c r="G19" s="3"/>
      <c r="H19" s="3" t="s">
        <v>2246</v>
      </c>
      <c r="I19" s="13">
        <v>0.0</v>
      </c>
      <c r="J19" s="5"/>
      <c r="K19" s="199">
        <f>COUNTIF(postDEL!$AO$2:$AO694,$C19)</f>
        <v>0</v>
      </c>
      <c r="L19" s="212"/>
      <c r="M19" s="11" t="s">
        <v>2221</v>
      </c>
      <c r="N19" s="104" t="b">
        <f t="shared" si="1"/>
        <v>1</v>
      </c>
      <c r="O19" s="3" t="s">
        <v>2222</v>
      </c>
      <c r="P19" s="5" t="s">
        <v>2223</v>
      </c>
      <c r="R19" s="5"/>
      <c r="S19" s="5" t="s">
        <v>2224</v>
      </c>
      <c r="T19" s="184"/>
      <c r="U19" s="5"/>
      <c r="V19" s="10"/>
      <c r="W19" s="5"/>
      <c r="Y19" s="201" t="str">
        <f t="shared" si="2"/>
        <v/>
      </c>
      <c r="Z19" s="200"/>
      <c r="AA19" s="201" t="s">
        <v>2246</v>
      </c>
      <c r="AB19" s="68">
        <f t="shared" si="3"/>
        <v>1</v>
      </c>
      <c r="AC19" s="210"/>
      <c r="AD19" s="68" t="str">
        <f t="shared" si="4"/>
        <v>NOT</v>
      </c>
      <c r="AE19" s="11"/>
      <c r="AF19" s="11"/>
      <c r="AG19" s="11"/>
      <c r="AH19" s="110">
        <f>COUNTIF(postDEL!$AR$2:$AR694,AG19)</f>
        <v>0</v>
      </c>
      <c r="AI19" s="204"/>
      <c r="AK19" s="200"/>
      <c r="AM19" s="54"/>
      <c r="AN19" s="68" t="str">
        <f t="shared" si="5"/>
        <v/>
      </c>
      <c r="AO19" s="206" t="str">
        <f t="shared" si="6"/>
        <v/>
      </c>
      <c r="AQ19" s="5" t="str">
        <f>CONCATENATE("Sp",Process!$A$1,AR19)</f>
        <v>SpBEND634692</v>
      </c>
      <c r="AR19" s="19">
        <v>634692.0</v>
      </c>
      <c r="AS19" s="200"/>
      <c r="AT19" s="200"/>
      <c r="AU19" s="68"/>
      <c r="AV19" s="11"/>
      <c r="AW19" s="11"/>
      <c r="AX19" s="11"/>
      <c r="AY19" s="67"/>
      <c r="AZ19" s="204"/>
      <c r="BC19" s="68"/>
      <c r="BD19" s="68"/>
      <c r="BF19" s="200"/>
    </row>
    <row r="20">
      <c r="A20" s="11"/>
      <c r="B20" s="11"/>
      <c r="C20" s="11"/>
      <c r="D20" s="110">
        <f>COUNTIF(postDEL!$AR$2:$AR694,$C20)</f>
        <v>0</v>
      </c>
      <c r="E20" s="5" t="str">
        <f>CONCATENATE(Process!$A$1,F20)</f>
        <v>BEND525341</v>
      </c>
      <c r="F20" s="3">
        <v>525341.0</v>
      </c>
      <c r="G20" s="3"/>
      <c r="H20" s="3" t="s">
        <v>2247</v>
      </c>
      <c r="I20" s="13">
        <v>0.0</v>
      </c>
      <c r="J20" s="5"/>
      <c r="K20" s="199">
        <f>COUNTIF(postDEL!$AO$2:$AO694,$C20)</f>
        <v>0</v>
      </c>
      <c r="L20" s="212"/>
      <c r="M20" s="11" t="s">
        <v>2221</v>
      </c>
      <c r="N20" s="104" t="b">
        <f t="shared" si="1"/>
        <v>1</v>
      </c>
      <c r="O20" s="5" t="s">
        <v>2222</v>
      </c>
      <c r="P20" s="5" t="s">
        <v>2223</v>
      </c>
      <c r="R20" s="5"/>
      <c r="S20" s="5" t="s">
        <v>2224</v>
      </c>
      <c r="T20" s="184">
        <v>44579.0</v>
      </c>
      <c r="U20" s="5"/>
      <c r="V20" s="5"/>
      <c r="W20" s="5"/>
      <c r="Y20" s="201" t="str">
        <f t="shared" si="2"/>
        <v/>
      </c>
      <c r="Z20" s="200"/>
      <c r="AA20" s="201" t="s">
        <v>2247</v>
      </c>
      <c r="AB20" s="68">
        <f t="shared" si="3"/>
        <v>1</v>
      </c>
      <c r="AC20" s="210"/>
      <c r="AD20" s="68" t="str">
        <f t="shared" si="4"/>
        <v>NOT</v>
      </c>
      <c r="AE20" s="11"/>
      <c r="AF20" s="11"/>
      <c r="AG20" s="11"/>
      <c r="AH20" s="110">
        <f>COUNTIF(postDEL!$AR$2:$AR694,AG20)</f>
        <v>0</v>
      </c>
      <c r="AI20" s="204"/>
      <c r="AK20" s="200"/>
      <c r="AM20" s="54"/>
      <c r="AN20" s="68" t="str">
        <f t="shared" si="5"/>
        <v/>
      </c>
      <c r="AO20" s="206" t="str">
        <f t="shared" si="6"/>
        <v/>
      </c>
      <c r="AQ20" s="5" t="str">
        <f>CONCATENATE("Sp",Process!$A$1,AR20)</f>
        <v>SpBEND743940</v>
      </c>
      <c r="AR20" s="19">
        <v>743940.0</v>
      </c>
      <c r="AS20" s="200"/>
      <c r="AT20" s="200"/>
      <c r="AU20" s="68" t="s">
        <v>2239</v>
      </c>
      <c r="AV20" s="11"/>
      <c r="AW20" s="11"/>
      <c r="AX20" s="11"/>
      <c r="AY20" s="67"/>
      <c r="AZ20" s="204"/>
      <c r="BC20" s="68"/>
      <c r="BD20" s="68"/>
      <c r="BF20" s="200"/>
    </row>
    <row r="21">
      <c r="A21" s="11"/>
      <c r="B21" s="11"/>
      <c r="C21" s="11"/>
      <c r="D21" s="110">
        <f>COUNTIF(postDEL!$AR$2:$AR694,$C21)</f>
        <v>0</v>
      </c>
      <c r="E21" s="5" t="str">
        <f>CONCATENATE(Process!$A$1,F21)</f>
        <v>BEND304589</v>
      </c>
      <c r="F21" s="3">
        <v>304589.0</v>
      </c>
      <c r="G21" s="3"/>
      <c r="H21" s="3" t="s">
        <v>2248</v>
      </c>
      <c r="I21" s="13">
        <v>0.0</v>
      </c>
      <c r="J21" s="5"/>
      <c r="K21" s="199">
        <f>COUNTIF(postDEL!$AO$2:$AO694,$C21)</f>
        <v>0</v>
      </c>
      <c r="L21" s="68"/>
      <c r="M21" s="11" t="s">
        <v>2221</v>
      </c>
      <c r="N21" s="104" t="b">
        <f t="shared" si="1"/>
        <v>1</v>
      </c>
      <c r="O21" s="5" t="s">
        <v>2222</v>
      </c>
      <c r="P21" s="5" t="s">
        <v>2223</v>
      </c>
      <c r="R21" s="5"/>
      <c r="S21" s="5" t="s">
        <v>2249</v>
      </c>
      <c r="T21" s="184">
        <v>44615.0</v>
      </c>
      <c r="U21" s="5"/>
      <c r="V21" s="5"/>
      <c r="W21" s="5"/>
      <c r="Y21" s="201" t="str">
        <f t="shared" si="2"/>
        <v/>
      </c>
      <c r="Z21" s="200"/>
      <c r="AA21" s="201" t="s">
        <v>2248</v>
      </c>
      <c r="AB21" s="68">
        <f t="shared" si="3"/>
        <v>1</v>
      </c>
      <c r="AC21" s="210"/>
      <c r="AD21" s="68" t="str">
        <f t="shared" si="4"/>
        <v>NOT</v>
      </c>
      <c r="AE21" s="11"/>
      <c r="AF21" s="11"/>
      <c r="AG21" s="11"/>
      <c r="AH21" s="110">
        <f>COUNTIF(postDEL!$AR$2:$AR694,AG21)</f>
        <v>0</v>
      </c>
      <c r="AI21" s="204"/>
      <c r="AK21" s="200"/>
      <c r="AM21" s="54"/>
      <c r="AN21" s="68" t="str">
        <f t="shared" si="5"/>
        <v/>
      </c>
      <c r="AO21" s="206" t="str">
        <f t="shared" si="6"/>
        <v/>
      </c>
      <c r="AQ21" s="5" t="str">
        <f>CONCATENATE("Sp",Process!$A$1,AR21)</f>
        <v>SpBEND944634</v>
      </c>
      <c r="AR21" s="19">
        <v>944634.0</v>
      </c>
      <c r="AS21" s="200"/>
      <c r="AT21" s="200"/>
      <c r="AU21" s="68"/>
      <c r="AV21" s="11"/>
      <c r="AW21" s="11"/>
      <c r="AX21" s="11"/>
      <c r="AY21" s="67"/>
      <c r="AZ21" s="204"/>
      <c r="BC21" s="68"/>
      <c r="BD21" s="68"/>
      <c r="BF21" s="200"/>
    </row>
    <row r="22">
      <c r="A22" s="11"/>
      <c r="B22" s="213"/>
      <c r="C22" s="11"/>
      <c r="D22" s="110">
        <f>COUNTIF(postDEL!$AR$2:$AR694,$C22)</f>
        <v>0</v>
      </c>
      <c r="E22" s="5" t="str">
        <f>CONCATENATE(Process!$A$1,F22)</f>
        <v>BEND133778</v>
      </c>
      <c r="F22" s="3">
        <v>133778.0</v>
      </c>
      <c r="G22" s="3"/>
      <c r="H22" s="3" t="s">
        <v>2250</v>
      </c>
      <c r="I22" s="13">
        <v>0.0</v>
      </c>
      <c r="J22" s="5"/>
      <c r="K22" s="199">
        <f>COUNTIF(postDEL!$AO$2:$AO694,$C22)</f>
        <v>0</v>
      </c>
      <c r="L22" s="212"/>
      <c r="M22" s="11" t="s">
        <v>2221</v>
      </c>
      <c r="N22" s="104" t="b">
        <f t="shared" si="1"/>
        <v>1</v>
      </c>
      <c r="O22" s="5" t="s">
        <v>2222</v>
      </c>
      <c r="P22" s="5" t="s">
        <v>2223</v>
      </c>
      <c r="R22" s="5"/>
      <c r="S22" s="5" t="s">
        <v>2224</v>
      </c>
      <c r="T22" s="184">
        <v>44582.0</v>
      </c>
      <c r="U22" s="5"/>
      <c r="V22" s="5"/>
      <c r="W22" s="5"/>
      <c r="X22" s="2"/>
      <c r="Y22" s="201" t="str">
        <f t="shared" si="2"/>
        <v/>
      </c>
      <c r="Z22" s="200"/>
      <c r="AA22" s="201" t="s">
        <v>2250</v>
      </c>
      <c r="AB22" s="68">
        <f t="shared" si="3"/>
        <v>1</v>
      </c>
      <c r="AC22" s="210"/>
      <c r="AD22" s="68" t="str">
        <f t="shared" si="4"/>
        <v>NOT</v>
      </c>
      <c r="AE22" s="11"/>
      <c r="AF22" s="11"/>
      <c r="AG22" s="11"/>
      <c r="AH22" s="110">
        <f>COUNTIF(postDEL!$AR$2:$AR694,AG22)</f>
        <v>0</v>
      </c>
      <c r="AI22" s="204"/>
      <c r="AK22" s="200"/>
      <c r="AM22" s="54"/>
      <c r="AN22" s="68" t="str">
        <f t="shared" si="5"/>
        <v/>
      </c>
      <c r="AO22" s="206" t="str">
        <f t="shared" si="6"/>
        <v/>
      </c>
      <c r="AQ22" s="5" t="str">
        <f>CONCATENATE("Sp",Process!$A$1,AR22)</f>
        <v>SpBEND331858</v>
      </c>
      <c r="AR22" s="19">
        <v>331858.0</v>
      </c>
      <c r="AS22" s="200"/>
      <c r="AT22" s="200"/>
      <c r="AU22" s="68"/>
      <c r="AV22" s="11"/>
      <c r="AW22" s="11"/>
      <c r="AX22" s="11"/>
      <c r="AY22" s="67"/>
      <c r="AZ22" s="204"/>
      <c r="BC22" s="68"/>
      <c r="BD22" s="68"/>
      <c r="BF22" s="200"/>
    </row>
    <row r="23">
      <c r="A23" s="11"/>
      <c r="B23" s="11"/>
      <c r="C23" s="11"/>
      <c r="D23" s="110">
        <f>COUNTIF(postDEL!$AR$2:$AR694,$C23)</f>
        <v>0</v>
      </c>
      <c r="E23" s="5" t="str">
        <f>CONCATENATE(Process!$A$1,F23)</f>
        <v>BEND561629</v>
      </c>
      <c r="F23" s="3">
        <v>561629.0</v>
      </c>
      <c r="G23" s="3"/>
      <c r="H23" s="3" t="s">
        <v>2251</v>
      </c>
      <c r="I23" s="13">
        <v>0.0</v>
      </c>
      <c r="J23" s="5"/>
      <c r="K23" s="199">
        <f>COUNTIF(postDEL!$AO$2:$AO694,$C23)</f>
        <v>0</v>
      </c>
      <c r="L23" s="212"/>
      <c r="M23" s="11" t="s">
        <v>2221</v>
      </c>
      <c r="N23" s="104" t="b">
        <f t="shared" si="1"/>
        <v>1</v>
      </c>
      <c r="O23" s="5" t="s">
        <v>2227</v>
      </c>
      <c r="P23" s="5" t="s">
        <v>2185</v>
      </c>
      <c r="R23" s="5"/>
      <c r="S23" s="5"/>
      <c r="T23" s="184"/>
      <c r="U23" s="5"/>
      <c r="V23" s="5"/>
      <c r="W23" s="5"/>
      <c r="Y23" s="201" t="str">
        <f t="shared" si="2"/>
        <v/>
      </c>
      <c r="Z23" s="200"/>
      <c r="AA23" s="201" t="s">
        <v>2251</v>
      </c>
      <c r="AB23" s="68">
        <f t="shared" si="3"/>
        <v>1</v>
      </c>
      <c r="AC23" s="210"/>
      <c r="AD23" s="68" t="str">
        <f t="shared" si="4"/>
        <v>NOT</v>
      </c>
      <c r="AE23" s="11"/>
      <c r="AF23" s="11"/>
      <c r="AG23" s="11"/>
      <c r="AH23" s="110">
        <f>COUNTIF(postDEL!$AR$2:$AR694,AG23)</f>
        <v>0</v>
      </c>
      <c r="AI23" s="204"/>
      <c r="AK23" s="200"/>
      <c r="AM23" s="54"/>
      <c r="AN23" s="68" t="str">
        <f t="shared" si="5"/>
        <v/>
      </c>
      <c r="AO23" s="206" t="str">
        <f t="shared" si="6"/>
        <v/>
      </c>
      <c r="AQ23" s="5" t="str">
        <f>CONCATENATE("Sp",Process!$A$1,AR23)</f>
        <v>SpBEND382241</v>
      </c>
      <c r="AR23" s="19">
        <v>382241.0</v>
      </c>
      <c r="AS23" s="200"/>
      <c r="AT23" s="200"/>
      <c r="AU23" s="68"/>
      <c r="AV23" s="11"/>
      <c r="AW23" s="11"/>
      <c r="AX23" s="11"/>
      <c r="AY23" s="67"/>
      <c r="AZ23" s="204"/>
      <c r="BC23" s="68"/>
      <c r="BD23" s="68"/>
      <c r="BF23" s="200"/>
    </row>
    <row r="24">
      <c r="A24" s="11"/>
      <c r="B24" s="11"/>
      <c r="C24" s="11"/>
      <c r="D24" s="110">
        <f>COUNTIF(postDEL!$AR$2:$AR694,$C24)</f>
        <v>0</v>
      </c>
      <c r="E24" s="5" t="str">
        <f>CONCATENATE(Process!$A$1,F24)</f>
        <v>BEND216083</v>
      </c>
      <c r="F24" s="3">
        <v>216083.0</v>
      </c>
      <c r="G24" s="3"/>
      <c r="H24" s="3" t="s">
        <v>2252</v>
      </c>
      <c r="I24" s="13">
        <v>0.0</v>
      </c>
      <c r="J24" s="5"/>
      <c r="K24" s="199">
        <f>COUNTIF(postDEL!$AO$2:$AO694,$C24)</f>
        <v>0</v>
      </c>
      <c r="L24" s="212"/>
      <c r="M24" s="11" t="s">
        <v>2221</v>
      </c>
      <c r="N24" s="104" t="b">
        <f t="shared" si="1"/>
        <v>1</v>
      </c>
      <c r="O24" s="5" t="s">
        <v>2227</v>
      </c>
      <c r="P24" s="5" t="s">
        <v>2185</v>
      </c>
      <c r="R24" s="5"/>
      <c r="S24" s="5"/>
      <c r="T24" s="184"/>
      <c r="U24" s="5"/>
      <c r="V24" s="5"/>
      <c r="W24" s="5"/>
      <c r="Y24" s="201" t="str">
        <f t="shared" si="2"/>
        <v/>
      </c>
      <c r="Z24" s="200"/>
      <c r="AA24" s="201" t="s">
        <v>2252</v>
      </c>
      <c r="AB24" s="68">
        <f t="shared" si="3"/>
        <v>1</v>
      </c>
      <c r="AC24" s="210"/>
      <c r="AD24" s="68" t="str">
        <f t="shared" si="4"/>
        <v>NOT</v>
      </c>
      <c r="AE24" s="11"/>
      <c r="AF24" s="11"/>
      <c r="AG24" s="11"/>
      <c r="AH24" s="110">
        <f>COUNTIF(postDEL!$AR$2:$AR694,AG24)</f>
        <v>0</v>
      </c>
      <c r="AI24" s="204"/>
      <c r="AK24" s="200"/>
      <c r="AM24" s="54"/>
      <c r="AN24" s="68" t="str">
        <f t="shared" si="5"/>
        <v/>
      </c>
      <c r="AO24" s="206" t="str">
        <f t="shared" si="6"/>
        <v/>
      </c>
      <c r="AQ24" s="5" t="str">
        <f>CONCATENATE("Sp",Process!$A$1,AR24)</f>
        <v>SpBEND718288</v>
      </c>
      <c r="AR24" s="19">
        <v>718288.0</v>
      </c>
      <c r="AS24" s="200"/>
      <c r="AT24" s="200"/>
      <c r="AU24" s="68"/>
      <c r="AV24" s="11"/>
      <c r="AW24" s="11"/>
      <c r="AX24" s="11"/>
      <c r="AY24" s="67"/>
      <c r="AZ24" s="204"/>
      <c r="BC24" s="68"/>
      <c r="BD24" s="68"/>
      <c r="BF24" s="200"/>
    </row>
    <row r="25">
      <c r="A25" s="11"/>
      <c r="B25" s="11"/>
      <c r="C25" s="11"/>
      <c r="D25" s="110">
        <f>COUNTIF(postDEL!$AR$2:$AR694,$C25)</f>
        <v>0</v>
      </c>
      <c r="E25" s="5" t="str">
        <f>CONCATENATE(Process!$A$1,F25)</f>
        <v>BEND785384</v>
      </c>
      <c r="F25" s="3">
        <v>785384.0</v>
      </c>
      <c r="G25" s="3"/>
      <c r="H25" s="3" t="s">
        <v>2253</v>
      </c>
      <c r="I25" s="13">
        <v>0.0</v>
      </c>
      <c r="J25" s="5"/>
      <c r="K25" s="199">
        <f>COUNTIF(postDEL!$AO$2:$AO694,$C25)</f>
        <v>0</v>
      </c>
      <c r="L25" s="212"/>
      <c r="M25" s="11" t="s">
        <v>2221</v>
      </c>
      <c r="N25" s="104" t="b">
        <f t="shared" si="1"/>
        <v>1</v>
      </c>
      <c r="O25" s="5" t="s">
        <v>2222</v>
      </c>
      <c r="P25" s="5" t="s">
        <v>2223</v>
      </c>
      <c r="R25" s="5"/>
      <c r="S25" s="5" t="s">
        <v>2224</v>
      </c>
      <c r="T25" s="184">
        <v>44615.0</v>
      </c>
      <c r="U25" s="5"/>
      <c r="V25" s="5"/>
      <c r="W25" s="5"/>
      <c r="Y25" s="201" t="str">
        <f t="shared" si="2"/>
        <v/>
      </c>
      <c r="Z25" s="200"/>
      <c r="AA25" s="201" t="s">
        <v>2253</v>
      </c>
      <c r="AB25" s="68">
        <f t="shared" si="3"/>
        <v>1</v>
      </c>
      <c r="AC25" s="210"/>
      <c r="AD25" s="68" t="str">
        <f t="shared" si="4"/>
        <v>NOT</v>
      </c>
      <c r="AE25" s="11"/>
      <c r="AF25" s="11"/>
      <c r="AG25" s="11"/>
      <c r="AH25" s="110">
        <f>COUNTIF(postDEL!$AR$2:$AR694,AG25)</f>
        <v>0</v>
      </c>
      <c r="AI25" s="204"/>
      <c r="AK25" s="200"/>
      <c r="AM25" s="54"/>
      <c r="AN25" s="68" t="str">
        <f t="shared" si="5"/>
        <v/>
      </c>
      <c r="AO25" s="206" t="str">
        <f t="shared" si="6"/>
        <v/>
      </c>
      <c r="AQ25" s="5" t="str">
        <f>CONCATENATE("Sp",Process!$A$1,AR25)</f>
        <v>SpBEND139816</v>
      </c>
      <c r="AR25" s="19">
        <v>139816.0</v>
      </c>
      <c r="AS25" s="200"/>
      <c r="AT25" s="200"/>
      <c r="AU25" s="68"/>
      <c r="AV25" s="11"/>
      <c r="AW25" s="11"/>
      <c r="AX25" s="11"/>
      <c r="AY25" s="67"/>
      <c r="AZ25" s="204"/>
      <c r="BC25" s="68"/>
      <c r="BD25" s="68"/>
      <c r="BF25" s="200"/>
    </row>
    <row r="26">
      <c r="A26" s="11"/>
      <c r="B26" s="11"/>
      <c r="C26" s="11"/>
      <c r="D26" s="110">
        <f>COUNTIF(postDEL!$AR$2:$AR694,$C26)</f>
        <v>0</v>
      </c>
      <c r="E26" s="5" t="str">
        <f>CONCATENATE(Process!$A$1,F26)</f>
        <v>BEND900381</v>
      </c>
      <c r="F26" s="3">
        <v>900381.0</v>
      </c>
      <c r="G26" s="3"/>
      <c r="H26" s="3" t="s">
        <v>2254</v>
      </c>
      <c r="I26" s="13">
        <v>0.0</v>
      </c>
      <c r="J26" s="5"/>
      <c r="K26" s="199">
        <f>COUNTIF(postDEL!$AO$2:$AO694,$C26)</f>
        <v>0</v>
      </c>
      <c r="L26" s="212"/>
      <c r="M26" s="11" t="s">
        <v>2221</v>
      </c>
      <c r="N26" s="104" t="b">
        <f t="shared" si="1"/>
        <v>1</v>
      </c>
      <c r="O26" s="5" t="s">
        <v>2222</v>
      </c>
      <c r="P26" s="5" t="s">
        <v>2223</v>
      </c>
      <c r="R26" s="5"/>
      <c r="S26" s="5" t="s">
        <v>2224</v>
      </c>
      <c r="T26" s="184">
        <v>44582.0</v>
      </c>
      <c r="U26" s="5"/>
      <c r="V26" s="5"/>
      <c r="W26" s="5"/>
      <c r="Y26" s="201" t="str">
        <f t="shared" si="2"/>
        <v/>
      </c>
      <c r="Z26" s="200"/>
      <c r="AA26" s="201" t="s">
        <v>2254</v>
      </c>
      <c r="AB26" s="68">
        <f t="shared" si="3"/>
        <v>1</v>
      </c>
      <c r="AC26" s="210"/>
      <c r="AD26" s="68" t="str">
        <f t="shared" si="4"/>
        <v>NOT</v>
      </c>
      <c r="AE26" s="11"/>
      <c r="AF26" s="11"/>
      <c r="AG26" s="11"/>
      <c r="AH26" s="110">
        <f>COUNTIF(postDEL!$AR$2:$AR694,AG26)</f>
        <v>0</v>
      </c>
      <c r="AI26" s="204"/>
      <c r="AK26" s="200"/>
      <c r="AM26" s="54"/>
      <c r="AN26" s="68" t="str">
        <f t="shared" si="5"/>
        <v/>
      </c>
      <c r="AO26" s="206" t="str">
        <f t="shared" si="6"/>
        <v/>
      </c>
      <c r="AQ26" s="5" t="str">
        <f>CONCATENATE("Sp",Process!$A$1,AR26)</f>
        <v>SpBEND319298</v>
      </c>
      <c r="AR26" s="19">
        <v>319298.0</v>
      </c>
      <c r="AS26" s="200"/>
      <c r="AT26" s="200"/>
      <c r="AU26" s="68"/>
      <c r="AV26" s="11"/>
      <c r="AW26" s="11"/>
      <c r="AX26" s="11"/>
      <c r="AY26" s="67"/>
      <c r="AZ26" s="204"/>
      <c r="BC26" s="68"/>
      <c r="BD26" s="68"/>
      <c r="BF26" s="200"/>
    </row>
    <row r="27">
      <c r="A27" s="11"/>
      <c r="B27" s="11"/>
      <c r="C27" s="11"/>
      <c r="D27" s="110">
        <f>COUNTIF(postDEL!$AR$2:$AR694,$C27)</f>
        <v>0</v>
      </c>
      <c r="E27" s="5" t="str">
        <f>CONCATENATE(Process!$A$1,F27)</f>
        <v>BEND219153</v>
      </c>
      <c r="F27" s="3">
        <v>219153.0</v>
      </c>
      <c r="G27" s="3"/>
      <c r="H27" s="3" t="s">
        <v>2255</v>
      </c>
      <c r="I27" s="13">
        <v>0.0</v>
      </c>
      <c r="J27" s="5"/>
      <c r="K27" s="199">
        <f>COUNTIF(postDEL!$AO$2:$AO694,$C27)</f>
        <v>0</v>
      </c>
      <c r="L27" s="212"/>
      <c r="M27" s="11" t="s">
        <v>2221</v>
      </c>
      <c r="N27" s="104" t="b">
        <f t="shared" si="1"/>
        <v>1</v>
      </c>
      <c r="O27" s="5" t="s">
        <v>2222</v>
      </c>
      <c r="P27" s="5" t="s">
        <v>2223</v>
      </c>
      <c r="R27" s="5"/>
      <c r="S27" s="5" t="s">
        <v>2224</v>
      </c>
      <c r="T27" s="184">
        <v>44579.0</v>
      </c>
      <c r="U27" s="5"/>
      <c r="V27" s="5"/>
      <c r="W27" s="5"/>
      <c r="Y27" s="201" t="str">
        <f t="shared" si="2"/>
        <v/>
      </c>
      <c r="Z27" s="200"/>
      <c r="AA27" s="201" t="s">
        <v>2255</v>
      </c>
      <c r="AB27" s="68">
        <f t="shared" si="3"/>
        <v>1</v>
      </c>
      <c r="AC27" s="210"/>
      <c r="AD27" s="68" t="str">
        <f t="shared" si="4"/>
        <v>NOT</v>
      </c>
      <c r="AE27" s="11"/>
      <c r="AF27" s="11"/>
      <c r="AG27" s="11"/>
      <c r="AH27" s="110">
        <f>COUNTIF(postDEL!$AR$2:$AR694,AG27)</f>
        <v>0</v>
      </c>
      <c r="AI27" s="204"/>
      <c r="AK27" s="200"/>
      <c r="AM27" s="54"/>
      <c r="AN27" s="68" t="str">
        <f t="shared" si="5"/>
        <v/>
      </c>
      <c r="AO27" s="206" t="str">
        <f t="shared" si="6"/>
        <v/>
      </c>
      <c r="AQ27" s="5" t="str">
        <f>CONCATENATE("Sp",Process!$A$1,AR27)</f>
        <v>SpBEND982485</v>
      </c>
      <c r="AR27" s="19">
        <v>982485.0</v>
      </c>
      <c r="AS27" s="200"/>
      <c r="AT27" s="200"/>
      <c r="AU27" s="68"/>
      <c r="AV27" s="11"/>
      <c r="AW27" s="11"/>
      <c r="AX27" s="11"/>
      <c r="AY27" s="67"/>
      <c r="AZ27" s="204"/>
      <c r="BC27" s="68"/>
      <c r="BD27" s="68"/>
      <c r="BF27" s="200"/>
    </row>
    <row r="28">
      <c r="A28" s="11"/>
      <c r="B28" s="11"/>
      <c r="C28" s="11"/>
      <c r="D28" s="110">
        <f>COUNTIF(postDEL!$AR$2:$AR694,$C28)</f>
        <v>0</v>
      </c>
      <c r="E28" s="5" t="str">
        <f>CONCATENATE(Process!$A$1,F28)</f>
        <v>BEND213287</v>
      </c>
      <c r="F28" s="3">
        <v>213287.0</v>
      </c>
      <c r="G28" s="3"/>
      <c r="H28" s="3" t="s">
        <v>2256</v>
      </c>
      <c r="I28" s="13">
        <v>0.0</v>
      </c>
      <c r="J28" s="5"/>
      <c r="K28" s="199">
        <f>COUNTIF(postDEL!$AO$2:$AO694,$C28)</f>
        <v>0</v>
      </c>
      <c r="L28" s="212"/>
      <c r="M28" s="11" t="s">
        <v>2221</v>
      </c>
      <c r="N28" s="104" t="b">
        <f t="shared" si="1"/>
        <v>1</v>
      </c>
      <c r="O28" s="5" t="s">
        <v>2222</v>
      </c>
      <c r="P28" s="5" t="s">
        <v>2223</v>
      </c>
      <c r="R28" s="5"/>
      <c r="S28" s="5" t="s">
        <v>2224</v>
      </c>
      <c r="T28" s="184">
        <v>44615.0</v>
      </c>
      <c r="U28" s="5"/>
      <c r="V28" s="5"/>
      <c r="W28" s="5"/>
      <c r="Y28" s="201" t="str">
        <f t="shared" si="2"/>
        <v/>
      </c>
      <c r="Z28" s="200"/>
      <c r="AA28" s="201" t="s">
        <v>2256</v>
      </c>
      <c r="AB28" s="68">
        <f t="shared" si="3"/>
        <v>1</v>
      </c>
      <c r="AC28" s="210"/>
      <c r="AD28" s="68" t="str">
        <f t="shared" si="4"/>
        <v>NOT</v>
      </c>
      <c r="AE28" s="11"/>
      <c r="AF28" s="11"/>
      <c r="AG28" s="11"/>
      <c r="AH28" s="110">
        <f>COUNTIF(postDEL!$AR$2:$AR694,AG28)</f>
        <v>0</v>
      </c>
      <c r="AI28" s="204"/>
      <c r="AK28" s="200"/>
      <c r="AM28" s="54"/>
      <c r="AN28" s="68" t="str">
        <f t="shared" si="5"/>
        <v/>
      </c>
      <c r="AO28" s="206" t="str">
        <f t="shared" si="6"/>
        <v/>
      </c>
      <c r="AQ28" s="5" t="str">
        <f>CONCATENATE("Sp",Process!$A$1,AR28)</f>
        <v>SpBEND591184</v>
      </c>
      <c r="AR28" s="19">
        <v>591184.0</v>
      </c>
      <c r="AS28" s="200"/>
      <c r="AT28" s="200"/>
      <c r="AU28" s="68"/>
      <c r="AV28" s="11"/>
      <c r="AW28" s="11"/>
      <c r="AX28" s="11"/>
      <c r="AY28" s="67"/>
      <c r="AZ28" s="204"/>
      <c r="BC28" s="68"/>
      <c r="BD28" s="68"/>
      <c r="BF28" s="200"/>
    </row>
    <row r="29">
      <c r="A29" s="11"/>
      <c r="B29" s="11"/>
      <c r="C29" s="11"/>
      <c r="D29" s="110">
        <f>COUNTIF(postDEL!$AR$2:$AR694,$C29)</f>
        <v>0</v>
      </c>
      <c r="E29" s="5" t="str">
        <f>CONCATENATE(Process!$A$1,F29)</f>
        <v>BEND627699</v>
      </c>
      <c r="F29" s="3">
        <v>627699.0</v>
      </c>
      <c r="G29" s="3"/>
      <c r="H29" s="3" t="s">
        <v>2257</v>
      </c>
      <c r="I29" s="13">
        <v>0.0</v>
      </c>
      <c r="J29" s="5"/>
      <c r="K29" s="199">
        <f>COUNTIF(postDEL!$AO$2:$AO694,$C29)</f>
        <v>0</v>
      </c>
      <c r="L29" s="212"/>
      <c r="M29" s="11" t="s">
        <v>2221</v>
      </c>
      <c r="N29" s="104" t="b">
        <f t="shared" si="1"/>
        <v>1</v>
      </c>
      <c r="O29" s="5" t="s">
        <v>2222</v>
      </c>
      <c r="P29" s="5" t="s">
        <v>2223</v>
      </c>
      <c r="R29" s="5"/>
      <c r="S29" s="5" t="s">
        <v>2224</v>
      </c>
      <c r="T29" s="184"/>
      <c r="U29" s="5"/>
      <c r="V29" s="5"/>
      <c r="W29" s="5"/>
      <c r="Y29" s="201" t="str">
        <f t="shared" si="2"/>
        <v/>
      </c>
      <c r="Z29" s="200"/>
      <c r="AA29" s="201" t="s">
        <v>2257</v>
      </c>
      <c r="AB29" s="68">
        <f t="shared" si="3"/>
        <v>1</v>
      </c>
      <c r="AC29" s="210"/>
      <c r="AD29" s="68" t="str">
        <f t="shared" si="4"/>
        <v>NOT</v>
      </c>
      <c r="AE29" s="11"/>
      <c r="AF29" s="11"/>
      <c r="AG29" s="11"/>
      <c r="AH29" s="110">
        <f>COUNTIF(postDEL!$AR$2:$AR694,AG29)</f>
        <v>0</v>
      </c>
      <c r="AI29" s="204"/>
      <c r="AK29" s="200"/>
      <c r="AM29" s="54"/>
      <c r="AN29" s="68" t="str">
        <f t="shared" si="5"/>
        <v/>
      </c>
      <c r="AO29" s="206" t="str">
        <f t="shared" si="6"/>
        <v/>
      </c>
      <c r="AQ29" s="5" t="str">
        <f>CONCATENATE("Sp",Process!$A$1,AR29)</f>
        <v>SpBEND611299</v>
      </c>
      <c r="AR29" s="19">
        <v>611299.0</v>
      </c>
      <c r="AS29" s="200"/>
      <c r="AT29" s="200"/>
      <c r="AU29" s="68"/>
      <c r="AV29" s="11"/>
      <c r="AW29" s="11"/>
      <c r="AX29" s="11"/>
      <c r="AY29" s="67"/>
      <c r="AZ29" s="204"/>
      <c r="BC29" s="68"/>
      <c r="BD29" s="68"/>
      <c r="BF29" s="200"/>
    </row>
    <row r="30">
      <c r="A30" s="11"/>
      <c r="B30" s="11"/>
      <c r="C30" s="11"/>
      <c r="D30" s="110">
        <f>COUNTIF(postDEL!$AR$2:$AR694,$C30)</f>
        <v>0</v>
      </c>
      <c r="E30" s="5" t="str">
        <f>CONCATENATE(Process!$A$1,F30)</f>
        <v>BEND732984</v>
      </c>
      <c r="F30" s="3">
        <v>732984.0</v>
      </c>
      <c r="G30" s="3"/>
      <c r="H30" s="3" t="s">
        <v>2258</v>
      </c>
      <c r="I30" s="13">
        <v>0.0</v>
      </c>
      <c r="J30" s="5"/>
      <c r="K30" s="199">
        <f>COUNTIF(postDEL!$AO$2:$AO694,$C30)</f>
        <v>0</v>
      </c>
      <c r="L30" s="212"/>
      <c r="M30" s="11" t="s">
        <v>2221</v>
      </c>
      <c r="N30" s="104" t="b">
        <f t="shared" si="1"/>
        <v>1</v>
      </c>
      <c r="O30" s="5" t="s">
        <v>2222</v>
      </c>
      <c r="P30" s="5" t="s">
        <v>2223</v>
      </c>
      <c r="R30" s="5"/>
      <c r="S30" s="5" t="s">
        <v>2224</v>
      </c>
      <c r="T30" s="184">
        <v>44579.0</v>
      </c>
      <c r="U30" s="5"/>
      <c r="V30" s="5"/>
      <c r="W30" s="5"/>
      <c r="Y30" s="201" t="str">
        <f t="shared" si="2"/>
        <v/>
      </c>
      <c r="Z30" s="200"/>
      <c r="AA30" s="201" t="s">
        <v>2258</v>
      </c>
      <c r="AB30" s="68">
        <f t="shared" si="3"/>
        <v>1</v>
      </c>
      <c r="AC30" s="210"/>
      <c r="AD30" s="68" t="str">
        <f t="shared" si="4"/>
        <v>NOT</v>
      </c>
      <c r="AE30" s="11"/>
      <c r="AF30" s="11"/>
      <c r="AG30" s="11"/>
      <c r="AH30" s="110">
        <f>COUNTIF(postDEL!$AR$2:$AR694,AG30)</f>
        <v>0</v>
      </c>
      <c r="AI30" s="204"/>
      <c r="AK30" s="200"/>
      <c r="AM30" s="54"/>
      <c r="AN30" s="68" t="str">
        <f t="shared" si="5"/>
        <v/>
      </c>
      <c r="AO30" s="206" t="str">
        <f t="shared" si="6"/>
        <v/>
      </c>
      <c r="AQ30" s="5" t="str">
        <f>CONCATENATE("Sp",Process!$A$1,AR30)</f>
        <v>SpBEND350015</v>
      </c>
      <c r="AR30" s="19">
        <v>350015.0</v>
      </c>
      <c r="AS30" s="200"/>
      <c r="AT30" s="200"/>
      <c r="AU30" s="68"/>
      <c r="AV30" s="11"/>
      <c r="AW30" s="11"/>
      <c r="AX30" s="11"/>
      <c r="AY30" s="67"/>
      <c r="AZ30" s="204"/>
      <c r="BC30" s="68"/>
      <c r="BD30" s="68"/>
      <c r="BF30" s="200"/>
    </row>
    <row r="31">
      <c r="A31" s="11"/>
      <c r="B31" s="11"/>
      <c r="C31" s="11"/>
      <c r="D31" s="110">
        <f>COUNTIF(postDEL!$AR$2:$AR694,$C31)</f>
        <v>0</v>
      </c>
      <c r="E31" s="5" t="str">
        <f>CONCATENATE(Process!$A$1,F31)</f>
        <v>BEND107646</v>
      </c>
      <c r="F31" s="3">
        <v>107646.0</v>
      </c>
      <c r="G31" s="3"/>
      <c r="H31" s="3" t="s">
        <v>2259</v>
      </c>
      <c r="I31" s="13">
        <v>0.0</v>
      </c>
      <c r="J31" s="5"/>
      <c r="K31" s="199">
        <f>COUNTIF(postDEL!$AO$2:$AO694,$C31)</f>
        <v>0</v>
      </c>
      <c r="L31" s="212"/>
      <c r="M31" s="11" t="s">
        <v>2221</v>
      </c>
      <c r="N31" s="104" t="b">
        <f t="shared" si="1"/>
        <v>1</v>
      </c>
      <c r="O31" s="5" t="s">
        <v>2227</v>
      </c>
      <c r="P31" s="5" t="s">
        <v>2185</v>
      </c>
      <c r="R31" s="5"/>
      <c r="S31" s="5"/>
      <c r="T31" s="184"/>
      <c r="U31" s="5"/>
      <c r="V31" s="5"/>
      <c r="W31" s="5"/>
      <c r="Y31" s="201" t="str">
        <f t="shared" si="2"/>
        <v/>
      </c>
      <c r="Z31" s="200"/>
      <c r="AA31" s="201" t="s">
        <v>2259</v>
      </c>
      <c r="AB31" s="68">
        <f t="shared" si="3"/>
        <v>1</v>
      </c>
      <c r="AC31" s="210"/>
      <c r="AD31" s="68" t="str">
        <f t="shared" si="4"/>
        <v>NOT</v>
      </c>
      <c r="AE31" s="11"/>
      <c r="AF31" s="11"/>
      <c r="AG31" s="11"/>
      <c r="AH31" s="110">
        <f>COUNTIF(postDEL!$AR$2:$AR694,AG31)</f>
        <v>0</v>
      </c>
      <c r="AI31" s="204"/>
      <c r="AK31" s="200"/>
      <c r="AM31" s="54"/>
      <c r="AN31" s="68" t="str">
        <f t="shared" si="5"/>
        <v/>
      </c>
      <c r="AO31" s="206" t="str">
        <f t="shared" si="6"/>
        <v/>
      </c>
      <c r="AP31" s="2"/>
      <c r="AQ31" s="5" t="str">
        <f>CONCATENATE("Sp",Process!$A$1,AR31)</f>
        <v>SpBEND947055</v>
      </c>
      <c r="AR31" s="19">
        <v>947055.0</v>
      </c>
      <c r="AS31" s="200"/>
      <c r="AT31" s="200"/>
      <c r="AU31" s="68"/>
      <c r="AV31" s="11"/>
      <c r="AW31" s="11"/>
      <c r="AX31" s="11"/>
      <c r="AY31" s="67"/>
      <c r="AZ31" s="204"/>
      <c r="BC31" s="68"/>
      <c r="BD31" s="68"/>
      <c r="BF31" s="200"/>
    </row>
    <row r="32">
      <c r="A32" s="11"/>
      <c r="B32" s="11"/>
      <c r="C32" s="11"/>
      <c r="D32" s="110">
        <f>COUNTIF(postDEL!$AR$2:$AR694,$C32)</f>
        <v>0</v>
      </c>
      <c r="E32" s="5" t="str">
        <f>CONCATENATE(Process!$A$1,F32)</f>
        <v>BEND375164</v>
      </c>
      <c r="F32" s="3">
        <v>375164.0</v>
      </c>
      <c r="G32" s="3"/>
      <c r="H32" s="3" t="s">
        <v>2260</v>
      </c>
      <c r="I32" s="13">
        <v>0.0</v>
      </c>
      <c r="J32" s="5"/>
      <c r="K32" s="199">
        <f>COUNTIF(postDEL!$AO$2:$AO694,$C32)</f>
        <v>0</v>
      </c>
      <c r="L32" s="212"/>
      <c r="M32" s="11" t="s">
        <v>2221</v>
      </c>
      <c r="N32" s="104" t="b">
        <f t="shared" si="1"/>
        <v>1</v>
      </c>
      <c r="O32" s="5" t="s">
        <v>2222</v>
      </c>
      <c r="P32" s="5" t="s">
        <v>2223</v>
      </c>
      <c r="R32" s="5"/>
      <c r="S32" s="5" t="s">
        <v>2224</v>
      </c>
      <c r="T32" s="184"/>
      <c r="U32" s="5"/>
      <c r="V32" s="5"/>
      <c r="W32" s="5"/>
      <c r="Y32" s="201" t="str">
        <f t="shared" si="2"/>
        <v/>
      </c>
      <c r="Z32" s="200"/>
      <c r="AA32" s="201" t="s">
        <v>2260</v>
      </c>
      <c r="AB32" s="68">
        <f t="shared" si="3"/>
        <v>1</v>
      </c>
      <c r="AC32" s="210"/>
      <c r="AD32" s="68" t="str">
        <f t="shared" si="4"/>
        <v>NOT</v>
      </c>
      <c r="AE32" s="11"/>
      <c r="AF32" s="11"/>
      <c r="AG32" s="11"/>
      <c r="AH32" s="110">
        <f>COUNTIF(postDEL!$AR$2:$AR694,AG32)</f>
        <v>0</v>
      </c>
      <c r="AI32" s="204"/>
      <c r="AK32" s="200"/>
      <c r="AM32" s="54"/>
      <c r="AN32" s="68" t="str">
        <f t="shared" si="5"/>
        <v/>
      </c>
      <c r="AO32" s="206" t="str">
        <f t="shared" si="6"/>
        <v/>
      </c>
      <c r="AP32" s="2"/>
      <c r="AQ32" s="5" t="str">
        <f>CONCATENATE("Sp",Process!$A$1,AR32)</f>
        <v>SpBEND147819</v>
      </c>
      <c r="AR32" s="19">
        <v>147819.0</v>
      </c>
      <c r="AS32" s="200"/>
      <c r="AT32" s="200"/>
      <c r="AU32" s="68" t="s">
        <v>2239</v>
      </c>
      <c r="AV32" s="11"/>
      <c r="AW32" s="11"/>
      <c r="AX32" s="11"/>
      <c r="AY32" s="67"/>
      <c r="AZ32" s="204"/>
      <c r="BC32" s="68"/>
      <c r="BD32" s="68"/>
      <c r="BF32" s="200"/>
    </row>
    <row r="33">
      <c r="A33" s="11"/>
      <c r="B33" s="11"/>
      <c r="C33" s="11"/>
      <c r="D33" s="110">
        <f>COUNTIF(postDEL!$AR$2:$AR694,$C33)</f>
        <v>0</v>
      </c>
      <c r="E33" s="5" t="str">
        <f>CONCATENATE(Process!$A$1,F33)</f>
        <v>BEND885483</v>
      </c>
      <c r="F33" s="3">
        <v>885483.0</v>
      </c>
      <c r="G33" s="3"/>
      <c r="H33" s="3" t="s">
        <v>2261</v>
      </c>
      <c r="I33" s="13">
        <v>0.0</v>
      </c>
      <c r="J33" s="5"/>
      <c r="K33" s="199">
        <f>COUNTIF(postDEL!$AO$2:$AO694,$C33)</f>
        <v>0</v>
      </c>
      <c r="L33" s="212"/>
      <c r="M33" s="11" t="s">
        <v>2221</v>
      </c>
      <c r="N33" s="104" t="b">
        <f t="shared" si="1"/>
        <v>1</v>
      </c>
      <c r="O33" s="5" t="s">
        <v>2222</v>
      </c>
      <c r="P33" s="5" t="s">
        <v>2223</v>
      </c>
      <c r="R33" s="5"/>
      <c r="S33" s="5" t="s">
        <v>2224</v>
      </c>
      <c r="T33" s="184"/>
      <c r="U33" s="5"/>
      <c r="V33" s="5"/>
      <c r="W33" s="5"/>
      <c r="Y33" s="201" t="str">
        <f t="shared" si="2"/>
        <v/>
      </c>
      <c r="Z33" s="200"/>
      <c r="AA33" s="201" t="s">
        <v>2261</v>
      </c>
      <c r="AB33" s="68">
        <f t="shared" si="3"/>
        <v>1</v>
      </c>
      <c r="AC33" s="210"/>
      <c r="AD33" s="68" t="str">
        <f t="shared" si="4"/>
        <v>NOT</v>
      </c>
      <c r="AE33" s="11"/>
      <c r="AF33" s="11"/>
      <c r="AG33" s="11"/>
      <c r="AH33" s="110">
        <f>COUNTIF(postDEL!$AR$2:$AR694,AG33)</f>
        <v>0</v>
      </c>
      <c r="AI33" s="204"/>
      <c r="AK33" s="200"/>
      <c r="AM33" s="54"/>
      <c r="AN33" s="68" t="str">
        <f t="shared" si="5"/>
        <v/>
      </c>
      <c r="AO33" s="206" t="str">
        <f t="shared" si="6"/>
        <v/>
      </c>
      <c r="AQ33" s="5" t="str">
        <f>CONCATENATE("Sp",Process!$A$1,AR33)</f>
        <v>SpBEND528248</v>
      </c>
      <c r="AR33" s="19">
        <v>528248.0</v>
      </c>
      <c r="AS33" s="200"/>
      <c r="AT33" s="200"/>
      <c r="AU33" s="68" t="s">
        <v>2239</v>
      </c>
      <c r="AV33" s="11"/>
      <c r="AW33" s="11"/>
      <c r="AX33" s="11"/>
      <c r="AY33" s="67"/>
      <c r="AZ33" s="204"/>
      <c r="BC33" s="68"/>
      <c r="BD33" s="68"/>
      <c r="BF33" s="200"/>
    </row>
    <row r="34">
      <c r="A34" s="11"/>
      <c r="B34" s="11"/>
      <c r="C34" s="11"/>
      <c r="D34" s="110">
        <f>COUNTIF(postDEL!$AR$2:$AR694,$C34)</f>
        <v>0</v>
      </c>
      <c r="E34" s="5" t="str">
        <f>CONCATENATE(Process!$A$1,F34)</f>
        <v>BEND717891</v>
      </c>
      <c r="F34" s="3">
        <v>717891.0</v>
      </c>
      <c r="G34" s="3"/>
      <c r="H34" s="3" t="s">
        <v>2262</v>
      </c>
      <c r="I34" s="13">
        <v>0.0</v>
      </c>
      <c r="J34" s="5"/>
      <c r="K34" s="199">
        <f>COUNTIF(postDEL!$AO$2:$AO694,$C34)</f>
        <v>0</v>
      </c>
      <c r="L34" s="212"/>
      <c r="M34" s="11" t="s">
        <v>2221</v>
      </c>
      <c r="N34" s="104" t="b">
        <f t="shared" si="1"/>
        <v>1</v>
      </c>
      <c r="O34" s="5" t="s">
        <v>2227</v>
      </c>
      <c r="P34" s="5" t="s">
        <v>2185</v>
      </c>
      <c r="R34" s="5"/>
      <c r="S34" s="5"/>
      <c r="T34" s="184"/>
      <c r="U34" s="5"/>
      <c r="V34" s="5"/>
      <c r="W34" s="5"/>
      <c r="Y34" s="201" t="str">
        <f t="shared" si="2"/>
        <v/>
      </c>
      <c r="Z34" s="200"/>
      <c r="AA34" s="201" t="s">
        <v>2262</v>
      </c>
      <c r="AB34" s="68">
        <f t="shared" si="3"/>
        <v>1</v>
      </c>
      <c r="AC34" s="210"/>
      <c r="AD34" s="68" t="str">
        <f t="shared" si="4"/>
        <v>NOT</v>
      </c>
      <c r="AE34" s="11"/>
      <c r="AF34" s="11"/>
      <c r="AG34" s="11"/>
      <c r="AH34" s="110">
        <f>COUNTIF(postDEL!$AR$2:$AR694,AG34)</f>
        <v>0</v>
      </c>
      <c r="AI34" s="204"/>
      <c r="AK34" s="200"/>
      <c r="AM34" s="54"/>
      <c r="AN34" s="68" t="str">
        <f t="shared" si="5"/>
        <v/>
      </c>
      <c r="AO34" s="206" t="str">
        <f t="shared" si="6"/>
        <v/>
      </c>
      <c r="AQ34" s="5" t="str">
        <f>CONCATENATE("Sp",Process!$A$1,AR34)</f>
        <v>SpBEND953422</v>
      </c>
      <c r="AR34" s="19">
        <v>953422.0</v>
      </c>
      <c r="AS34" s="200"/>
      <c r="AT34" s="200"/>
      <c r="AU34" s="68"/>
      <c r="AV34" s="11"/>
      <c r="AW34" s="11"/>
      <c r="AX34" s="11"/>
      <c r="AY34" s="67"/>
      <c r="AZ34" s="204"/>
      <c r="BC34" s="68"/>
      <c r="BD34" s="68"/>
      <c r="BF34" s="200"/>
    </row>
    <row r="35">
      <c r="A35" s="11"/>
      <c r="B35" s="11"/>
      <c r="C35" s="11"/>
      <c r="D35" s="110">
        <f>COUNTIF(postDEL!$AR$2:$AR694,$C35)</f>
        <v>0</v>
      </c>
      <c r="E35" s="5" t="str">
        <f>CONCATENATE(Process!$A$1,F35)</f>
        <v>BEND905639</v>
      </c>
      <c r="F35" s="3">
        <v>905639.0</v>
      </c>
      <c r="G35" s="3"/>
      <c r="H35" s="3" t="s">
        <v>2263</v>
      </c>
      <c r="I35" s="13">
        <v>0.0</v>
      </c>
      <c r="J35" s="5"/>
      <c r="K35" s="199">
        <f>COUNTIF(postDEL!$AO$2:$AO694,$C35)</f>
        <v>0</v>
      </c>
      <c r="L35" s="212"/>
      <c r="M35" s="11" t="s">
        <v>2221</v>
      </c>
      <c r="N35" s="104" t="b">
        <f t="shared" si="1"/>
        <v>1</v>
      </c>
      <c r="O35" s="5" t="s">
        <v>2222</v>
      </c>
      <c r="P35" s="5" t="s">
        <v>2223</v>
      </c>
      <c r="R35" s="5"/>
      <c r="S35" s="5" t="s">
        <v>2224</v>
      </c>
      <c r="T35" s="184"/>
      <c r="U35" s="5"/>
      <c r="V35" s="5"/>
      <c r="W35" s="5"/>
      <c r="Y35" s="201" t="str">
        <f t="shared" si="2"/>
        <v/>
      </c>
      <c r="Z35" s="200"/>
      <c r="AA35" s="201" t="s">
        <v>2263</v>
      </c>
      <c r="AB35" s="68">
        <f t="shared" si="3"/>
        <v>1</v>
      </c>
      <c r="AC35" s="210"/>
      <c r="AD35" s="68" t="str">
        <f t="shared" si="4"/>
        <v>NOT</v>
      </c>
      <c r="AE35" s="11"/>
      <c r="AF35" s="11"/>
      <c r="AG35" s="11"/>
      <c r="AH35" s="110">
        <f>COUNTIF(postDEL!$AR$2:$AR694,AG35)</f>
        <v>0</v>
      </c>
      <c r="AI35" s="204"/>
      <c r="AK35" s="200"/>
      <c r="AM35" s="54"/>
      <c r="AN35" s="68" t="str">
        <f t="shared" si="5"/>
        <v/>
      </c>
      <c r="AO35" s="206" t="str">
        <f t="shared" si="6"/>
        <v/>
      </c>
      <c r="AQ35" s="5" t="str">
        <f>CONCATENATE("Sp",Process!$A$1,AR35)</f>
        <v>SpBEND862115</v>
      </c>
      <c r="AR35" s="19">
        <v>862115.0</v>
      </c>
      <c r="AS35" s="200"/>
      <c r="AT35" s="200"/>
      <c r="AU35" s="68" t="s">
        <v>2239</v>
      </c>
      <c r="AV35" s="11"/>
      <c r="AW35" s="11"/>
      <c r="AX35" s="11"/>
      <c r="AY35" s="67"/>
      <c r="AZ35" s="204"/>
      <c r="BC35" s="68"/>
      <c r="BD35" s="68"/>
      <c r="BF35" s="200"/>
    </row>
    <row r="36">
      <c r="A36" s="11"/>
      <c r="B36" s="11"/>
      <c r="C36" s="11"/>
      <c r="D36" s="110">
        <f>COUNTIF(postDEL!$AR$2:$AR694,$C36)</f>
        <v>0</v>
      </c>
      <c r="E36" s="5" t="str">
        <f>CONCATENATE(Process!$A$1,F36)</f>
        <v>BEND626338</v>
      </c>
      <c r="F36" s="3">
        <v>626338.0</v>
      </c>
      <c r="G36" s="3"/>
      <c r="H36" s="3" t="s">
        <v>2264</v>
      </c>
      <c r="I36" s="13">
        <v>0.0</v>
      </c>
      <c r="J36" s="5"/>
      <c r="K36" s="199">
        <f>COUNTIF(postDEL!$AO$2:$AO694,$C36)</f>
        <v>0</v>
      </c>
      <c r="L36" s="212"/>
      <c r="M36" s="11" t="s">
        <v>2221</v>
      </c>
      <c r="N36" s="104" t="b">
        <f t="shared" si="1"/>
        <v>1</v>
      </c>
      <c r="O36" s="5" t="s">
        <v>2222</v>
      </c>
      <c r="P36" s="5" t="s">
        <v>2223</v>
      </c>
      <c r="R36" s="5"/>
      <c r="S36" s="5" t="s">
        <v>2224</v>
      </c>
      <c r="T36" s="184">
        <v>44615.0</v>
      </c>
      <c r="U36" s="5"/>
      <c r="V36" s="10"/>
      <c r="W36" s="5"/>
      <c r="Y36" s="201" t="str">
        <f t="shared" si="2"/>
        <v/>
      </c>
      <c r="Z36" s="200"/>
      <c r="AA36" s="201" t="s">
        <v>2264</v>
      </c>
      <c r="AB36" s="68">
        <f t="shared" si="3"/>
        <v>1</v>
      </c>
      <c r="AC36" s="210"/>
      <c r="AD36" s="68" t="str">
        <f t="shared" si="4"/>
        <v>NOT</v>
      </c>
      <c r="AE36" s="11"/>
      <c r="AF36" s="11"/>
      <c r="AG36" s="11"/>
      <c r="AH36" s="110">
        <f>COUNTIF(postDEL!$AR$2:$AR694,AG36)</f>
        <v>0</v>
      </c>
      <c r="AI36" s="204"/>
      <c r="AK36" s="200"/>
      <c r="AM36" s="54"/>
      <c r="AN36" s="68" t="str">
        <f t="shared" si="5"/>
        <v/>
      </c>
      <c r="AO36" s="206" t="str">
        <f t="shared" si="6"/>
        <v/>
      </c>
      <c r="AQ36" s="5" t="str">
        <f>CONCATENATE("Sp",Process!$A$1,AR36)</f>
        <v>SpBEND548976</v>
      </c>
      <c r="AR36" s="19">
        <v>548976.0</v>
      </c>
      <c r="AS36" s="200"/>
      <c r="AT36" s="200"/>
      <c r="AU36" s="68"/>
      <c r="AV36" s="11"/>
      <c r="AW36" s="11"/>
      <c r="AX36" s="11"/>
      <c r="AY36" s="67"/>
      <c r="AZ36" s="204"/>
      <c r="BC36" s="68"/>
      <c r="BD36" s="68"/>
      <c r="BF36" s="200"/>
    </row>
    <row r="37">
      <c r="A37" s="11"/>
      <c r="B37" s="11"/>
      <c r="C37" s="11"/>
      <c r="D37" s="110">
        <f>COUNTIF(postDEL!$AR$2:$AR694,$C37)</f>
        <v>0</v>
      </c>
      <c r="E37" s="5" t="str">
        <f>CONCATENATE(Process!$A$1,F37)</f>
        <v>BEND886229</v>
      </c>
      <c r="F37" s="3">
        <v>886229.0</v>
      </c>
      <c r="G37" s="3"/>
      <c r="H37" s="3" t="s">
        <v>2265</v>
      </c>
      <c r="I37" s="13">
        <v>0.0</v>
      </c>
      <c r="J37" s="5"/>
      <c r="K37" s="199">
        <f>COUNTIF(postDEL!$AO$2:$AO694,$C37)</f>
        <v>0</v>
      </c>
      <c r="L37" s="212"/>
      <c r="M37" s="11" t="s">
        <v>2221</v>
      </c>
      <c r="N37" s="104" t="b">
        <f t="shared" si="1"/>
        <v>1</v>
      </c>
      <c r="O37" s="5" t="s">
        <v>2222</v>
      </c>
      <c r="P37" s="5" t="s">
        <v>2223</v>
      </c>
      <c r="R37" s="5"/>
      <c r="S37" s="5" t="s">
        <v>2224</v>
      </c>
      <c r="T37" s="184">
        <v>44614.0</v>
      </c>
      <c r="U37" s="5"/>
      <c r="V37" s="10"/>
      <c r="W37" s="5"/>
      <c r="Y37" s="201" t="str">
        <f t="shared" si="2"/>
        <v/>
      </c>
      <c r="Z37" s="200"/>
      <c r="AA37" s="201" t="s">
        <v>2265</v>
      </c>
      <c r="AB37" s="68">
        <f t="shared" si="3"/>
        <v>1</v>
      </c>
      <c r="AC37" s="210"/>
      <c r="AD37" s="68" t="str">
        <f t="shared" si="4"/>
        <v>NOT</v>
      </c>
      <c r="AE37" s="11"/>
      <c r="AF37" s="11"/>
      <c r="AG37" s="11"/>
      <c r="AH37" s="110">
        <f>COUNTIF(postDEL!$AR$2:$AR694,AG37)</f>
        <v>0</v>
      </c>
      <c r="AI37" s="204"/>
      <c r="AK37" s="200"/>
      <c r="AM37" s="54"/>
      <c r="AN37" s="68" t="str">
        <f t="shared" si="5"/>
        <v/>
      </c>
      <c r="AO37" s="206" t="str">
        <f t="shared" si="6"/>
        <v/>
      </c>
      <c r="AQ37" s="5" t="str">
        <f>CONCATENATE("Sp",Process!$A$1,AR37)</f>
        <v>SpBEND652059</v>
      </c>
      <c r="AR37" s="19">
        <v>652059.0</v>
      </c>
      <c r="AS37" s="200"/>
      <c r="AT37" s="200"/>
      <c r="AU37" s="68"/>
      <c r="AV37" s="11"/>
      <c r="AW37" s="11"/>
      <c r="AX37" s="11"/>
      <c r="AY37" s="67"/>
      <c r="AZ37" s="204"/>
      <c r="BC37" s="68"/>
      <c r="BD37" s="68"/>
      <c r="BF37" s="200"/>
    </row>
    <row r="38">
      <c r="A38" s="11"/>
      <c r="B38" s="11"/>
      <c r="C38" s="11"/>
      <c r="D38" s="110">
        <f>COUNTIF(postDEL!$AR$2:$AR694,$C38)</f>
        <v>0</v>
      </c>
      <c r="E38" s="5" t="str">
        <f>CONCATENATE(Process!$A$1,F38)</f>
        <v>BEND761743</v>
      </c>
      <c r="F38" s="3">
        <v>761743.0</v>
      </c>
      <c r="G38" s="3"/>
      <c r="H38" s="3" t="s">
        <v>2266</v>
      </c>
      <c r="I38" s="13">
        <v>0.0</v>
      </c>
      <c r="J38" s="5"/>
      <c r="K38" s="199">
        <f>COUNTIF(postDEL!$AO$2:$AO694,$C38)</f>
        <v>0</v>
      </c>
      <c r="L38" s="212"/>
      <c r="M38" s="11" t="s">
        <v>2221</v>
      </c>
      <c r="N38" s="104" t="b">
        <f t="shared" si="1"/>
        <v>1</v>
      </c>
      <c r="O38" s="5" t="s">
        <v>2222</v>
      </c>
      <c r="P38" s="5" t="s">
        <v>2223</v>
      </c>
      <c r="R38" s="5"/>
      <c r="S38" s="5" t="s">
        <v>2224</v>
      </c>
      <c r="T38" s="184"/>
      <c r="U38" s="5"/>
      <c r="V38" s="5"/>
      <c r="W38" s="5"/>
      <c r="Y38" s="201" t="str">
        <f t="shared" si="2"/>
        <v/>
      </c>
      <c r="Z38" s="200"/>
      <c r="AA38" s="201" t="s">
        <v>2266</v>
      </c>
      <c r="AB38" s="68">
        <f t="shared" si="3"/>
        <v>1</v>
      </c>
      <c r="AC38" s="210"/>
      <c r="AD38" s="68" t="str">
        <f t="shared" si="4"/>
        <v>NOT</v>
      </c>
      <c r="AE38" s="11"/>
      <c r="AF38" s="11"/>
      <c r="AG38" s="11"/>
      <c r="AH38" s="110">
        <f>COUNTIF(postDEL!$AR$2:$AR694,AG38)</f>
        <v>0</v>
      </c>
      <c r="AI38" s="204"/>
      <c r="AK38" s="200"/>
      <c r="AM38" s="54"/>
      <c r="AN38" s="68" t="str">
        <f t="shared" si="5"/>
        <v/>
      </c>
      <c r="AO38" s="206" t="str">
        <f t="shared" si="6"/>
        <v/>
      </c>
      <c r="AQ38" s="5" t="str">
        <f>CONCATENATE("Sp",Process!$A$1,AR38)</f>
        <v>SpBEND713650</v>
      </c>
      <c r="AR38" s="19">
        <v>713650.0</v>
      </c>
      <c r="AS38" s="200"/>
      <c r="AT38" s="200"/>
      <c r="AU38" s="68"/>
      <c r="AV38" s="11"/>
      <c r="AW38" s="11"/>
      <c r="AX38" s="11"/>
      <c r="AY38" s="67"/>
      <c r="AZ38" s="204"/>
      <c r="BC38" s="68"/>
      <c r="BD38" s="68"/>
      <c r="BF38" s="200"/>
    </row>
    <row r="39">
      <c r="A39" s="11"/>
      <c r="B39" s="11"/>
      <c r="C39" s="11"/>
      <c r="D39" s="110">
        <f>COUNTIF(postDEL!$AR$2:$AR694,$C39)</f>
        <v>0</v>
      </c>
      <c r="E39" s="5" t="str">
        <f>CONCATENATE(Process!$A$1,F39)</f>
        <v>BEND289256</v>
      </c>
      <c r="F39" s="3">
        <v>289256.0</v>
      </c>
      <c r="G39" s="3"/>
      <c r="H39" s="3" t="s">
        <v>2267</v>
      </c>
      <c r="I39" s="13">
        <v>0.0</v>
      </c>
      <c r="J39" s="5"/>
      <c r="K39" s="199">
        <f>COUNTIF(postDEL!$AO$2:$AO694,$C39)</f>
        <v>0</v>
      </c>
      <c r="L39" s="68"/>
      <c r="M39" s="11" t="s">
        <v>2221</v>
      </c>
      <c r="N39" s="104" t="b">
        <f t="shared" si="1"/>
        <v>1</v>
      </c>
      <c r="O39" s="5" t="s">
        <v>2222</v>
      </c>
      <c r="P39" s="5" t="s">
        <v>2223</v>
      </c>
      <c r="R39" s="5"/>
      <c r="S39" s="5" t="s">
        <v>2224</v>
      </c>
      <c r="T39" s="184">
        <v>44627.0</v>
      </c>
      <c r="U39" s="5"/>
      <c r="V39" s="5"/>
      <c r="W39" s="5"/>
      <c r="Y39" s="201" t="str">
        <f t="shared" si="2"/>
        <v/>
      </c>
      <c r="Z39" s="200"/>
      <c r="AA39" s="201" t="s">
        <v>2267</v>
      </c>
      <c r="AB39" s="68">
        <f t="shared" si="3"/>
        <v>1</v>
      </c>
      <c r="AC39" s="210"/>
      <c r="AD39" s="68" t="str">
        <f t="shared" si="4"/>
        <v>NOT</v>
      </c>
      <c r="AE39" s="11"/>
      <c r="AF39" s="11"/>
      <c r="AG39" s="11"/>
      <c r="AH39" s="110">
        <f>COUNTIF(postDEL!$AR$2:$AR694,AG39)</f>
        <v>0</v>
      </c>
      <c r="AI39" s="204"/>
      <c r="AK39" s="200"/>
      <c r="AM39" s="54"/>
      <c r="AN39" s="68" t="str">
        <f t="shared" si="5"/>
        <v/>
      </c>
      <c r="AO39" s="206" t="str">
        <f t="shared" si="6"/>
        <v/>
      </c>
      <c r="AQ39" s="5" t="str">
        <f>CONCATENATE("Sp",Process!$A$1,AR39)</f>
        <v>SpBEND868438</v>
      </c>
      <c r="AR39" s="19">
        <v>868438.0</v>
      </c>
      <c r="AS39" s="200"/>
      <c r="AT39" s="200"/>
      <c r="AU39" s="68"/>
      <c r="AV39" s="11"/>
      <c r="AW39" s="11"/>
      <c r="AX39" s="11"/>
      <c r="AY39" s="67"/>
      <c r="AZ39" s="204"/>
      <c r="BC39" s="68"/>
      <c r="BD39" s="68"/>
      <c r="BF39" s="200"/>
    </row>
    <row r="40">
      <c r="A40" s="11"/>
      <c r="B40" s="11"/>
      <c r="C40" s="11"/>
      <c r="D40" s="110">
        <f>COUNTIF(postDEL!$AR$2:$AR694,$C40)</f>
        <v>0</v>
      </c>
      <c r="E40" s="5" t="str">
        <f>CONCATENATE(Process!$A$1,F40)</f>
        <v>BEND492855</v>
      </c>
      <c r="F40" s="3">
        <v>492855.0</v>
      </c>
      <c r="G40" s="3"/>
      <c r="H40" s="3" t="s">
        <v>2268</v>
      </c>
      <c r="I40" s="13">
        <v>0.0</v>
      </c>
      <c r="J40" s="5"/>
      <c r="K40" s="199">
        <f>COUNTIF(postDEL!$AO$2:$AO694,$C40)</f>
        <v>0</v>
      </c>
      <c r="L40" s="212"/>
      <c r="M40" s="11" t="s">
        <v>2221</v>
      </c>
      <c r="N40" s="104" t="b">
        <f t="shared" si="1"/>
        <v>1</v>
      </c>
      <c r="O40" s="5" t="s">
        <v>2222</v>
      </c>
      <c r="P40" s="5" t="s">
        <v>2223</v>
      </c>
      <c r="R40" s="5"/>
      <c r="S40" s="5" t="s">
        <v>2224</v>
      </c>
      <c r="T40" s="184"/>
      <c r="U40" s="5"/>
      <c r="V40" s="5"/>
      <c r="W40" s="5"/>
      <c r="Y40" s="201" t="str">
        <f t="shared" si="2"/>
        <v/>
      </c>
      <c r="Z40" s="200"/>
      <c r="AA40" s="201" t="s">
        <v>2268</v>
      </c>
      <c r="AB40" s="68">
        <f t="shared" si="3"/>
        <v>1</v>
      </c>
      <c r="AC40" s="210"/>
      <c r="AD40" s="68" t="str">
        <f t="shared" si="4"/>
        <v>NOT</v>
      </c>
      <c r="AE40" s="11"/>
      <c r="AF40" s="11"/>
      <c r="AG40" s="11"/>
      <c r="AH40" s="110">
        <f>COUNTIF(postDEL!$AR$2:$AR694,AG40)</f>
        <v>0</v>
      </c>
      <c r="AI40" s="204"/>
      <c r="AK40" s="200"/>
      <c r="AM40" s="54"/>
      <c r="AN40" s="68" t="str">
        <f t="shared" si="5"/>
        <v/>
      </c>
      <c r="AO40" s="206" t="str">
        <f t="shared" si="6"/>
        <v/>
      </c>
      <c r="AQ40" s="5" t="str">
        <f>CONCATENATE("Sp",Process!$A$1,AR40)</f>
        <v>SpBEND216695</v>
      </c>
      <c r="AR40" s="19">
        <v>216695.0</v>
      </c>
      <c r="AS40" s="200"/>
      <c r="AT40" s="200"/>
      <c r="AU40" s="68"/>
      <c r="AV40" s="11"/>
      <c r="AW40" s="11"/>
      <c r="AX40" s="11"/>
      <c r="AY40" s="67"/>
      <c r="AZ40" s="204"/>
      <c r="BC40" s="68"/>
      <c r="BD40" s="68"/>
      <c r="BF40" s="200"/>
    </row>
    <row r="41">
      <c r="A41" s="11"/>
      <c r="B41" s="11"/>
      <c r="C41" s="11"/>
      <c r="D41" s="110">
        <f>COUNTIF(postDEL!$AR$2:$AR694,$C41)</f>
        <v>0</v>
      </c>
      <c r="E41" s="5" t="str">
        <f>CONCATENATE(Process!$A$1,F41)</f>
        <v>BEND305148</v>
      </c>
      <c r="F41" s="3">
        <v>305148.0</v>
      </c>
      <c r="G41" s="5"/>
      <c r="H41" s="5" t="s">
        <v>2269</v>
      </c>
      <c r="I41" s="13">
        <v>0.0</v>
      </c>
      <c r="J41" s="5"/>
      <c r="K41" s="199">
        <f>COUNTIF(postDEL!$AO$2:$AO694,$C41)</f>
        <v>0</v>
      </c>
      <c r="L41" s="68"/>
      <c r="M41" s="11" t="s">
        <v>2221</v>
      </c>
      <c r="N41" s="104" t="b">
        <f t="shared" si="1"/>
        <v>1</v>
      </c>
      <c r="O41" s="5" t="s">
        <v>2227</v>
      </c>
      <c r="P41" s="5" t="s">
        <v>2185</v>
      </c>
      <c r="R41" s="5"/>
      <c r="S41" s="5"/>
      <c r="T41" s="184">
        <v>44615.0</v>
      </c>
      <c r="U41" s="5"/>
      <c r="V41" s="5"/>
      <c r="W41" s="5"/>
      <c r="Y41" s="201" t="str">
        <f t="shared" si="2"/>
        <v/>
      </c>
      <c r="Z41" s="200"/>
      <c r="AA41" s="201" t="s">
        <v>2269</v>
      </c>
      <c r="AB41" s="68">
        <f t="shared" si="3"/>
        <v>1</v>
      </c>
      <c r="AC41" s="210"/>
      <c r="AD41" s="68" t="str">
        <f t="shared" si="4"/>
        <v>NOT</v>
      </c>
      <c r="AE41" s="11"/>
      <c r="AF41" s="11"/>
      <c r="AG41" s="11"/>
      <c r="AH41" s="110">
        <f>COUNTIF(postDEL!$AR$2:$AR694,AG41)</f>
        <v>0</v>
      </c>
      <c r="AI41" s="204"/>
      <c r="AK41" s="200"/>
      <c r="AM41" s="54"/>
      <c r="AN41" s="68" t="str">
        <f t="shared" si="5"/>
        <v/>
      </c>
      <c r="AO41" s="206" t="str">
        <f t="shared" si="6"/>
        <v/>
      </c>
      <c r="AQ41" s="5" t="str">
        <f>CONCATENATE("Sp",Process!$A$1,AR41)</f>
        <v>SpBEND454594</v>
      </c>
      <c r="AR41" s="19">
        <v>454594.0</v>
      </c>
      <c r="AS41" s="200"/>
      <c r="AT41" s="200"/>
      <c r="AU41" s="68"/>
      <c r="AV41" s="11"/>
      <c r="AW41" s="11"/>
      <c r="AX41" s="11"/>
      <c r="AY41" s="67"/>
      <c r="AZ41" s="204"/>
      <c r="BC41" s="68"/>
      <c r="BD41" s="68"/>
      <c r="BF41" s="200"/>
    </row>
    <row r="42">
      <c r="A42" s="11"/>
      <c r="B42" s="11"/>
      <c r="C42" s="11"/>
      <c r="D42" s="110">
        <f>COUNTIF(postDEL!$AR$2:$AR694,$C42)</f>
        <v>0</v>
      </c>
      <c r="E42" s="5" t="str">
        <f>CONCATENATE(Process!$A$1,F42)</f>
        <v>BEND966643</v>
      </c>
      <c r="F42" s="3">
        <v>966643.0</v>
      </c>
      <c r="G42" s="3"/>
      <c r="H42" s="3" t="s">
        <v>2270</v>
      </c>
      <c r="I42" s="13">
        <v>0.0</v>
      </c>
      <c r="J42" s="5"/>
      <c r="K42" s="199">
        <f>COUNTIF(postDEL!$AO$2:$AO694,$C42)</f>
        <v>0</v>
      </c>
      <c r="L42" s="212"/>
      <c r="M42" s="11" t="s">
        <v>2221</v>
      </c>
      <c r="N42" s="104" t="b">
        <f t="shared" si="1"/>
        <v>1</v>
      </c>
      <c r="O42" s="5" t="s">
        <v>2222</v>
      </c>
      <c r="P42" s="5" t="s">
        <v>2223</v>
      </c>
      <c r="R42" s="5"/>
      <c r="S42" s="5" t="s">
        <v>2224</v>
      </c>
      <c r="T42" s="184"/>
      <c r="U42" s="5"/>
      <c r="V42" s="5"/>
      <c r="W42" s="5"/>
      <c r="Y42" s="201" t="str">
        <f t="shared" si="2"/>
        <v/>
      </c>
      <c r="Z42" s="200"/>
      <c r="AA42" s="201" t="s">
        <v>2270</v>
      </c>
      <c r="AB42" s="68">
        <f t="shared" si="3"/>
        <v>1</v>
      </c>
      <c r="AC42" s="210"/>
      <c r="AD42" s="68" t="str">
        <f t="shared" si="4"/>
        <v>NOT</v>
      </c>
      <c r="AE42" s="11"/>
      <c r="AF42" s="11"/>
      <c r="AG42" s="11"/>
      <c r="AH42" s="110">
        <f>COUNTIF(postDEL!$AR$2:$AR694,AG42)</f>
        <v>0</v>
      </c>
      <c r="AI42" s="204"/>
      <c r="AK42" s="200"/>
      <c r="AM42" s="54"/>
      <c r="AN42" s="68" t="str">
        <f t="shared" si="5"/>
        <v/>
      </c>
      <c r="AO42" s="206" t="str">
        <f t="shared" si="6"/>
        <v/>
      </c>
      <c r="AQ42" s="5" t="str">
        <f>CONCATENATE("Sp",Process!$A$1,AR42)</f>
        <v>SpBEND640412</v>
      </c>
      <c r="AR42" s="19">
        <v>640412.0</v>
      </c>
      <c r="AS42" s="200"/>
      <c r="AT42" s="200"/>
      <c r="AU42" s="68"/>
      <c r="AV42" s="11"/>
      <c r="AW42" s="11"/>
      <c r="AX42" s="11"/>
      <c r="AY42" s="67"/>
      <c r="AZ42" s="204"/>
      <c r="BC42" s="68"/>
      <c r="BD42" s="68"/>
      <c r="BF42" s="200"/>
    </row>
    <row r="43">
      <c r="A43" s="11"/>
      <c r="B43" s="11"/>
      <c r="C43" s="11"/>
      <c r="D43" s="110">
        <f>COUNTIF(postDEL!$AR$2:$AR694,$C43)</f>
        <v>0</v>
      </c>
      <c r="E43" s="5" t="str">
        <f>CONCATENATE(Process!$A$1,F43)</f>
        <v>BEND192592</v>
      </c>
      <c r="F43" s="3">
        <v>192592.0</v>
      </c>
      <c r="G43" s="3"/>
      <c r="H43" s="3" t="s">
        <v>2271</v>
      </c>
      <c r="I43" s="13">
        <v>0.0</v>
      </c>
      <c r="J43" s="5"/>
      <c r="K43" s="199">
        <f>COUNTIF(postDEL!$AO$2:$AO694,$C43)</f>
        <v>0</v>
      </c>
      <c r="L43" s="212"/>
      <c r="M43" s="11" t="s">
        <v>2221</v>
      </c>
      <c r="N43" s="104" t="b">
        <f t="shared" si="1"/>
        <v>1</v>
      </c>
      <c r="O43" s="5" t="s">
        <v>2222</v>
      </c>
      <c r="P43" s="5" t="s">
        <v>2223</v>
      </c>
      <c r="R43" s="5"/>
      <c r="S43" s="5" t="s">
        <v>2224</v>
      </c>
      <c r="T43" s="184">
        <v>44579.0</v>
      </c>
      <c r="U43" s="5"/>
      <c r="V43" s="5"/>
      <c r="W43" s="5"/>
      <c r="Y43" s="201" t="str">
        <f t="shared" si="2"/>
        <v/>
      </c>
      <c r="Z43" s="200"/>
      <c r="AA43" s="201" t="s">
        <v>2271</v>
      </c>
      <c r="AB43" s="68">
        <f t="shared" si="3"/>
        <v>1</v>
      </c>
      <c r="AC43" s="210"/>
      <c r="AD43" s="68" t="str">
        <f t="shared" si="4"/>
        <v>NOT</v>
      </c>
      <c r="AE43" s="11"/>
      <c r="AF43" s="11"/>
      <c r="AG43" s="11"/>
      <c r="AH43" s="110">
        <f>COUNTIF(postDEL!$AR$2:$AR694,AG43)</f>
        <v>0</v>
      </c>
      <c r="AI43" s="204"/>
      <c r="AK43" s="200"/>
      <c r="AM43" s="54"/>
      <c r="AN43" s="68" t="str">
        <f t="shared" si="5"/>
        <v/>
      </c>
      <c r="AO43" s="206" t="str">
        <f t="shared" si="6"/>
        <v/>
      </c>
      <c r="AQ43" s="5" t="str">
        <f>CONCATENATE("Sp",Process!$A$1,AR43)</f>
        <v>SpBEND914710</v>
      </c>
      <c r="AR43" s="19">
        <v>914710.0</v>
      </c>
      <c r="AS43" s="200"/>
      <c r="AT43" s="200"/>
      <c r="AU43" s="68"/>
      <c r="AV43" s="11"/>
      <c r="AW43" s="11"/>
      <c r="AX43" s="11"/>
      <c r="AY43" s="67"/>
      <c r="AZ43" s="204"/>
      <c r="BC43" s="68"/>
      <c r="BD43" s="68"/>
      <c r="BF43" s="200"/>
    </row>
    <row r="44">
      <c r="A44" s="11"/>
      <c r="B44" s="11"/>
      <c r="C44" s="11"/>
      <c r="D44" s="110">
        <f>COUNTIF(postDEL!$AR$2:$AR694,$C44)</f>
        <v>0</v>
      </c>
      <c r="E44" s="5" t="str">
        <f>CONCATENATE(Process!$A$1,F44)</f>
        <v>BEND408435</v>
      </c>
      <c r="F44" s="3">
        <v>408435.0</v>
      </c>
      <c r="G44" s="3"/>
      <c r="H44" s="3" t="s">
        <v>2272</v>
      </c>
      <c r="I44" s="13">
        <v>0.0</v>
      </c>
      <c r="J44" s="5"/>
      <c r="K44" s="199">
        <f>COUNTIF(postDEL!$AO$2:$AO694,$C44)</f>
        <v>0</v>
      </c>
      <c r="L44" s="212"/>
      <c r="M44" s="11" t="s">
        <v>2221</v>
      </c>
      <c r="N44" s="104" t="b">
        <f t="shared" si="1"/>
        <v>1</v>
      </c>
      <c r="O44" s="5" t="s">
        <v>2222</v>
      </c>
      <c r="P44" s="5" t="s">
        <v>2223</v>
      </c>
      <c r="R44" s="5"/>
      <c r="S44" s="5" t="s">
        <v>2224</v>
      </c>
      <c r="T44" s="184"/>
      <c r="U44" s="5"/>
      <c r="V44" s="5"/>
      <c r="W44" s="5"/>
      <c r="Y44" s="201" t="str">
        <f t="shared" si="2"/>
        <v/>
      </c>
      <c r="Z44" s="200"/>
      <c r="AA44" s="201" t="s">
        <v>2272</v>
      </c>
      <c r="AB44" s="68">
        <f t="shared" si="3"/>
        <v>1</v>
      </c>
      <c r="AC44" s="210"/>
      <c r="AD44" s="68" t="str">
        <f t="shared" si="4"/>
        <v>NOT</v>
      </c>
      <c r="AE44" s="11"/>
      <c r="AF44" s="11"/>
      <c r="AG44" s="11"/>
      <c r="AH44" s="110">
        <f>COUNTIF(postDEL!$AR$2:$AR694,AG44)</f>
        <v>0</v>
      </c>
      <c r="AI44" s="204"/>
      <c r="AK44" s="200"/>
      <c r="AM44" s="54"/>
      <c r="AN44" s="68" t="str">
        <f t="shared" si="5"/>
        <v/>
      </c>
      <c r="AO44" s="206" t="str">
        <f t="shared" si="6"/>
        <v/>
      </c>
      <c r="AQ44" s="5" t="str">
        <f>CONCATENATE("Sp",Process!$A$1,AR44)</f>
        <v>SpBEND445560</v>
      </c>
      <c r="AR44" s="19">
        <v>445560.0</v>
      </c>
      <c r="AS44" s="200"/>
      <c r="AT44" s="200"/>
      <c r="AU44" s="68"/>
      <c r="AV44" s="11"/>
      <c r="AW44" s="11"/>
      <c r="AX44" s="11"/>
      <c r="AY44" s="67"/>
      <c r="AZ44" s="204"/>
      <c r="BC44" s="68"/>
      <c r="BD44" s="68"/>
      <c r="BF44" s="200"/>
    </row>
    <row r="45">
      <c r="A45" s="11"/>
      <c r="B45" s="11"/>
      <c r="C45" s="11"/>
      <c r="D45" s="110">
        <f>COUNTIF(postDEL!$AR$2:$AR694,$C45)</f>
        <v>0</v>
      </c>
      <c r="E45" s="5" t="str">
        <f>CONCATENATE(Process!$A$1,F45)</f>
        <v>BEND186672</v>
      </c>
      <c r="F45" s="3">
        <v>186672.0</v>
      </c>
      <c r="G45" s="3"/>
      <c r="H45" s="3" t="s">
        <v>2273</v>
      </c>
      <c r="I45" s="13">
        <v>0.0</v>
      </c>
      <c r="J45" s="5"/>
      <c r="K45" s="199">
        <f>COUNTIF(postDEL!$AO$2:$AO694,$C45)</f>
        <v>0</v>
      </c>
      <c r="L45" s="212"/>
      <c r="M45" s="11" t="s">
        <v>2221</v>
      </c>
      <c r="N45" s="104" t="b">
        <f t="shared" si="1"/>
        <v>1</v>
      </c>
      <c r="O45" s="5" t="s">
        <v>2222</v>
      </c>
      <c r="P45" s="5" t="s">
        <v>2223</v>
      </c>
      <c r="R45" s="5"/>
      <c r="S45" s="5" t="s">
        <v>2249</v>
      </c>
      <c r="T45" s="184"/>
      <c r="U45" s="5"/>
      <c r="V45" s="5"/>
      <c r="W45" s="5"/>
      <c r="Y45" s="201" t="str">
        <f t="shared" si="2"/>
        <v/>
      </c>
      <c r="Z45" s="200"/>
      <c r="AA45" s="201" t="s">
        <v>2273</v>
      </c>
      <c r="AB45" s="68">
        <f t="shared" si="3"/>
        <v>1</v>
      </c>
      <c r="AC45" s="210"/>
      <c r="AD45" s="68" t="str">
        <f t="shared" si="4"/>
        <v>NOT</v>
      </c>
      <c r="AE45" s="11"/>
      <c r="AF45" s="11"/>
      <c r="AG45" s="11"/>
      <c r="AH45" s="110">
        <f>COUNTIF(postDEL!$AR$2:$AR694,AG45)</f>
        <v>0</v>
      </c>
      <c r="AI45" s="204"/>
      <c r="AK45" s="200"/>
      <c r="AM45" s="54"/>
      <c r="AN45" s="68" t="str">
        <f t="shared" si="5"/>
        <v/>
      </c>
      <c r="AO45" s="206" t="str">
        <f t="shared" si="6"/>
        <v/>
      </c>
      <c r="AQ45" s="5" t="str">
        <f>CONCATENATE("Sp",Process!$A$1,AR45)</f>
        <v>SpBEND214692</v>
      </c>
      <c r="AR45" s="19">
        <v>214692.0</v>
      </c>
      <c r="AS45" s="200"/>
      <c r="AT45" s="200"/>
      <c r="AU45" s="68"/>
      <c r="AV45" s="11"/>
      <c r="AW45" s="11"/>
      <c r="AX45" s="11"/>
      <c r="AY45" s="67"/>
      <c r="AZ45" s="204"/>
      <c r="BC45" s="68"/>
      <c r="BD45" s="68"/>
      <c r="BF45" s="200"/>
    </row>
    <row r="46">
      <c r="A46" s="11"/>
      <c r="B46" s="11"/>
      <c r="C46" s="11"/>
      <c r="D46" s="110">
        <f>COUNTIF(postDEL!$AR$2:$AR694,$C46)</f>
        <v>0</v>
      </c>
      <c r="E46" s="5" t="str">
        <f>CONCATENATE(Process!$A$1,F46)</f>
        <v>BEND281899</v>
      </c>
      <c r="F46" s="3">
        <v>281899.0</v>
      </c>
      <c r="G46" s="3"/>
      <c r="H46" s="3" t="s">
        <v>2274</v>
      </c>
      <c r="I46" s="13">
        <v>0.0</v>
      </c>
      <c r="J46" s="5"/>
      <c r="K46" s="199">
        <f>COUNTIF(postDEL!$AO$2:$AO694,$C46)</f>
        <v>0</v>
      </c>
      <c r="L46" s="68"/>
      <c r="M46" s="11" t="s">
        <v>2221</v>
      </c>
      <c r="N46" s="104" t="b">
        <f t="shared" si="1"/>
        <v>1</v>
      </c>
      <c r="O46" s="5" t="s">
        <v>2227</v>
      </c>
      <c r="P46" s="5" t="s">
        <v>2185</v>
      </c>
      <c r="R46" s="5"/>
      <c r="S46" s="5"/>
      <c r="T46" s="184">
        <v>44579.0</v>
      </c>
      <c r="U46" s="5"/>
      <c r="V46" s="5"/>
      <c r="W46" s="5"/>
      <c r="Y46" s="201" t="str">
        <f t="shared" si="2"/>
        <v/>
      </c>
      <c r="Z46" s="200"/>
      <c r="AA46" s="201" t="s">
        <v>2274</v>
      </c>
      <c r="AB46" s="68">
        <f t="shared" si="3"/>
        <v>1</v>
      </c>
      <c r="AC46" s="210"/>
      <c r="AD46" s="68" t="str">
        <f t="shared" si="4"/>
        <v>NOT</v>
      </c>
      <c r="AE46" s="11"/>
      <c r="AF46" s="11"/>
      <c r="AG46" s="11"/>
      <c r="AH46" s="110">
        <f>COUNTIF(postDEL!$AR$2:$AR694,AG46)</f>
        <v>0</v>
      </c>
      <c r="AI46" s="204"/>
      <c r="AK46" s="200"/>
      <c r="AM46" s="54"/>
      <c r="AN46" s="68" t="str">
        <f t="shared" si="5"/>
        <v/>
      </c>
      <c r="AO46" s="206" t="str">
        <f t="shared" si="6"/>
        <v/>
      </c>
      <c r="AQ46" s="5" t="str">
        <f>CONCATENATE("Sp",Process!$A$1,AR46)</f>
        <v>SpBEND737678</v>
      </c>
      <c r="AR46" s="19">
        <v>737678.0</v>
      </c>
      <c r="AS46" s="200"/>
      <c r="AT46" s="200"/>
      <c r="AU46" s="68"/>
      <c r="AV46" s="11"/>
      <c r="AW46" s="11"/>
      <c r="AX46" s="11"/>
      <c r="AY46" s="67"/>
      <c r="AZ46" s="204"/>
      <c r="BC46" s="68"/>
      <c r="BD46" s="68"/>
      <c r="BF46" s="200"/>
    </row>
    <row r="47">
      <c r="A47" s="11"/>
      <c r="B47" s="11"/>
      <c r="C47" s="11"/>
      <c r="D47" s="110">
        <f>COUNTIF(postDEL!$AR$2:$AR694,$C47)</f>
        <v>0</v>
      </c>
      <c r="E47" s="5" t="str">
        <f>CONCATENATE(Process!$A$1,F47)</f>
        <v>BEND398520</v>
      </c>
      <c r="F47" s="3">
        <v>398520.0</v>
      </c>
      <c r="G47" s="3"/>
      <c r="H47" s="3" t="s">
        <v>2275</v>
      </c>
      <c r="I47" s="13">
        <v>0.0</v>
      </c>
      <c r="J47" s="5"/>
      <c r="K47" s="199">
        <f>COUNTIF(postDEL!$AO$2:$AO694,$C47)</f>
        <v>0</v>
      </c>
      <c r="L47" s="68"/>
      <c r="M47" s="11" t="s">
        <v>2221</v>
      </c>
      <c r="N47" s="104" t="b">
        <f t="shared" si="1"/>
        <v>1</v>
      </c>
      <c r="O47" s="5" t="s">
        <v>2227</v>
      </c>
      <c r="P47" s="5" t="s">
        <v>2185</v>
      </c>
      <c r="R47" s="5"/>
      <c r="S47" s="5"/>
      <c r="T47" s="184"/>
      <c r="U47" s="5"/>
      <c r="V47" s="5"/>
      <c r="W47" s="5"/>
      <c r="Y47" s="201" t="str">
        <f t="shared" si="2"/>
        <v/>
      </c>
      <c r="Z47" s="200"/>
      <c r="AA47" s="201" t="s">
        <v>2275</v>
      </c>
      <c r="AB47" s="68">
        <f t="shared" si="3"/>
        <v>1</v>
      </c>
      <c r="AC47" s="210"/>
      <c r="AD47" s="68" t="str">
        <f t="shared" si="4"/>
        <v>NOT</v>
      </c>
      <c r="AE47" s="11"/>
      <c r="AF47" s="11"/>
      <c r="AG47" s="11"/>
      <c r="AH47" s="110">
        <f>COUNTIF(postDEL!$AR$2:$AR694,AG47)</f>
        <v>0</v>
      </c>
      <c r="AI47" s="204"/>
      <c r="AK47" s="200"/>
      <c r="AM47" s="54"/>
      <c r="AN47" s="68" t="str">
        <f t="shared" si="5"/>
        <v/>
      </c>
      <c r="AO47" s="206" t="str">
        <f t="shared" si="6"/>
        <v/>
      </c>
      <c r="AQ47" s="5" t="str">
        <f>CONCATENATE("Sp",Process!$A$1,AR47)</f>
        <v>SpBEND918395</v>
      </c>
      <c r="AR47" s="19">
        <v>918395.0</v>
      </c>
      <c r="AS47" s="200"/>
      <c r="AT47" s="200"/>
      <c r="AU47" s="68"/>
      <c r="AV47" s="11"/>
      <c r="AW47" s="11"/>
      <c r="AX47" s="11"/>
      <c r="AY47" s="67"/>
      <c r="AZ47" s="204"/>
      <c r="BC47" s="68"/>
      <c r="BD47" s="68"/>
      <c r="BF47" s="200"/>
    </row>
    <row r="48">
      <c r="A48" s="11"/>
      <c r="B48" s="11"/>
      <c r="C48" s="11"/>
      <c r="D48" s="110">
        <f>COUNTIF(postDEL!$AR$2:$AR694,$C48)</f>
        <v>0</v>
      </c>
      <c r="E48" s="5" t="str">
        <f>CONCATENATE(Process!$A$1,F48)</f>
        <v>BEND244963</v>
      </c>
      <c r="F48" s="3">
        <v>244963.0</v>
      </c>
      <c r="G48" s="3"/>
      <c r="H48" s="3" t="s">
        <v>2276</v>
      </c>
      <c r="I48" s="13">
        <v>0.0</v>
      </c>
      <c r="J48" s="5"/>
      <c r="K48" s="199">
        <f>COUNTIF(postDEL!$AO$2:$AO694,$C48)</f>
        <v>0</v>
      </c>
      <c r="L48" s="68"/>
      <c r="M48" s="11" t="s">
        <v>2221</v>
      </c>
      <c r="N48" s="104" t="b">
        <f t="shared" si="1"/>
        <v>1</v>
      </c>
      <c r="O48" s="5" t="s">
        <v>2222</v>
      </c>
      <c r="P48" s="5" t="s">
        <v>2223</v>
      </c>
      <c r="R48" s="5"/>
      <c r="S48" s="5" t="s">
        <v>2224</v>
      </c>
      <c r="T48" s="184">
        <v>44579.0</v>
      </c>
      <c r="U48" s="5"/>
      <c r="V48" s="5"/>
      <c r="W48" s="5"/>
      <c r="Y48" s="201" t="str">
        <f t="shared" si="2"/>
        <v/>
      </c>
      <c r="Z48" s="200"/>
      <c r="AA48" s="201" t="s">
        <v>2276</v>
      </c>
      <c r="AB48" s="68">
        <f t="shared" si="3"/>
        <v>1</v>
      </c>
      <c r="AC48" s="210"/>
      <c r="AD48" s="68" t="str">
        <f t="shared" si="4"/>
        <v>NOT</v>
      </c>
      <c r="AE48" s="11"/>
      <c r="AF48" s="11"/>
      <c r="AG48" s="11"/>
      <c r="AH48" s="110">
        <f>COUNTIF(postDEL!$AR$2:$AR694,AG48)</f>
        <v>0</v>
      </c>
      <c r="AI48" s="204"/>
      <c r="AK48" s="200"/>
      <c r="AM48" s="54"/>
      <c r="AN48" s="68" t="str">
        <f t="shared" si="5"/>
        <v/>
      </c>
      <c r="AO48" s="206" t="str">
        <f t="shared" si="6"/>
        <v/>
      </c>
      <c r="AQ48" s="5" t="str">
        <f>CONCATENATE("Sp",Process!$A$1,AR48)</f>
        <v>SpBEND492052</v>
      </c>
      <c r="AR48" s="19">
        <v>492052.0</v>
      </c>
      <c r="AS48" s="200"/>
      <c r="AT48" s="200"/>
      <c r="AU48" s="68"/>
      <c r="AV48" s="11"/>
      <c r="AW48" s="11"/>
      <c r="AX48" s="11"/>
      <c r="AY48" s="67"/>
      <c r="AZ48" s="204"/>
      <c r="BC48" s="68"/>
      <c r="BD48" s="68"/>
      <c r="BF48" s="200"/>
    </row>
    <row r="49">
      <c r="A49" s="11"/>
      <c r="B49" s="11"/>
      <c r="C49" s="11"/>
      <c r="D49" s="110">
        <f>COUNTIF(postDEL!$AR$2:$AR694,$C49)</f>
        <v>0</v>
      </c>
      <c r="E49" s="5" t="str">
        <f>CONCATENATE(Process!$A$1,F49)</f>
        <v>BEND974264</v>
      </c>
      <c r="F49" s="3">
        <v>974264.0</v>
      </c>
      <c r="G49" s="3"/>
      <c r="H49" s="3" t="s">
        <v>2277</v>
      </c>
      <c r="I49" s="13">
        <v>0.0</v>
      </c>
      <c r="J49" s="5"/>
      <c r="K49" s="199">
        <f>COUNTIF(postDEL!$AO$2:$AO694,$C49)</f>
        <v>0</v>
      </c>
      <c r="L49" s="68"/>
      <c r="M49" s="11" t="s">
        <v>2221</v>
      </c>
      <c r="N49" s="104" t="b">
        <f t="shared" si="1"/>
        <v>1</v>
      </c>
      <c r="O49" s="5" t="s">
        <v>2227</v>
      </c>
      <c r="P49" s="5" t="s">
        <v>2185</v>
      </c>
      <c r="R49" s="5"/>
      <c r="S49" s="5"/>
      <c r="T49" s="184"/>
      <c r="U49" s="5"/>
      <c r="V49" s="5"/>
      <c r="W49" s="5"/>
      <c r="Y49" s="201" t="str">
        <f t="shared" si="2"/>
        <v/>
      </c>
      <c r="Z49" s="200"/>
      <c r="AA49" s="201" t="s">
        <v>2277</v>
      </c>
      <c r="AB49" s="68">
        <f t="shared" si="3"/>
        <v>1</v>
      </c>
      <c r="AC49" s="210"/>
      <c r="AD49" s="68" t="str">
        <f t="shared" si="4"/>
        <v>NOT</v>
      </c>
      <c r="AE49" s="11"/>
      <c r="AF49" s="11"/>
      <c r="AG49" s="11"/>
      <c r="AH49" s="110">
        <f>COUNTIF(postDEL!$AR$2:$AR694,AG49)</f>
        <v>0</v>
      </c>
      <c r="AI49" s="204"/>
      <c r="AK49" s="200"/>
      <c r="AM49" s="54"/>
      <c r="AN49" s="68" t="str">
        <f t="shared" si="5"/>
        <v/>
      </c>
      <c r="AO49" s="206" t="str">
        <f t="shared" si="6"/>
        <v/>
      </c>
      <c r="AQ49" s="5" t="str">
        <f>CONCATENATE("Sp",Process!$A$1,AR49)</f>
        <v>SpBEND757435</v>
      </c>
      <c r="AR49" s="19">
        <v>757435.0</v>
      </c>
      <c r="AS49" s="200"/>
      <c r="AT49" s="200"/>
      <c r="AU49" s="68"/>
      <c r="AV49" s="11"/>
      <c r="AW49" s="11"/>
      <c r="AX49" s="11"/>
      <c r="AY49" s="67"/>
      <c r="AZ49" s="204"/>
      <c r="BC49" s="68"/>
      <c r="BD49" s="68"/>
      <c r="BF49" s="200"/>
    </row>
    <row r="50">
      <c r="A50" s="11"/>
      <c r="B50" s="11"/>
      <c r="C50" s="11"/>
      <c r="D50" s="110">
        <f>COUNTIF(postDEL!$AR$2:$AR694,$C50)</f>
        <v>0</v>
      </c>
      <c r="E50" s="5" t="str">
        <f>CONCATENATE(Process!$A$1,F50)</f>
        <v>BEND738994</v>
      </c>
      <c r="F50" s="3">
        <v>738994.0</v>
      </c>
      <c r="G50" s="3"/>
      <c r="H50" s="3" t="s">
        <v>2278</v>
      </c>
      <c r="I50" s="13">
        <v>0.0</v>
      </c>
      <c r="J50" s="5"/>
      <c r="K50" s="199">
        <f>COUNTIF(postDEL!$AO$2:$AO694,$C50)</f>
        <v>0</v>
      </c>
      <c r="L50" s="212"/>
      <c r="M50" s="11" t="s">
        <v>2221</v>
      </c>
      <c r="N50" s="104" t="b">
        <f t="shared" si="1"/>
        <v>1</v>
      </c>
      <c r="O50" s="5" t="s">
        <v>2227</v>
      </c>
      <c r="P50" s="5" t="s">
        <v>2185</v>
      </c>
      <c r="R50" s="5"/>
      <c r="S50" s="5"/>
      <c r="T50" s="184"/>
      <c r="U50" s="5"/>
      <c r="V50" s="5"/>
      <c r="W50" s="5"/>
      <c r="Y50" s="201" t="str">
        <f t="shared" si="2"/>
        <v/>
      </c>
      <c r="Z50" s="200"/>
      <c r="AA50" s="201" t="s">
        <v>2278</v>
      </c>
      <c r="AB50" s="68">
        <f t="shared" si="3"/>
        <v>1</v>
      </c>
      <c r="AC50" s="210"/>
      <c r="AD50" s="68" t="str">
        <f t="shared" si="4"/>
        <v>NOT</v>
      </c>
      <c r="AE50" s="11"/>
      <c r="AF50" s="11"/>
      <c r="AG50" s="11"/>
      <c r="AH50" s="110">
        <f>COUNTIF(postDEL!$AR$2:$AR694,AG50)</f>
        <v>0</v>
      </c>
      <c r="AI50" s="204"/>
      <c r="AK50" s="200"/>
      <c r="AM50" s="54"/>
      <c r="AN50" s="68" t="str">
        <f t="shared" si="5"/>
        <v/>
      </c>
      <c r="AO50" s="206" t="str">
        <f t="shared" si="6"/>
        <v/>
      </c>
      <c r="AQ50" s="5" t="str">
        <f>CONCATENATE("Sp",Process!$A$1,AR50)</f>
        <v>SpBEND110967</v>
      </c>
      <c r="AR50" s="19">
        <v>110967.0</v>
      </c>
      <c r="AS50" s="200"/>
      <c r="AT50" s="200"/>
      <c r="AU50" s="68"/>
      <c r="AV50" s="11"/>
      <c r="AW50" s="11"/>
      <c r="AX50" s="11"/>
      <c r="AY50" s="67"/>
      <c r="AZ50" s="204"/>
      <c r="BC50" s="68"/>
      <c r="BD50" s="68"/>
      <c r="BF50" s="200"/>
    </row>
    <row r="51">
      <c r="A51" s="11"/>
      <c r="B51" s="11"/>
      <c r="C51" s="11"/>
      <c r="D51" s="110">
        <f>COUNTIF(postDEL!$AR$2:$AR694,$C51)</f>
        <v>0</v>
      </c>
      <c r="E51" s="5" t="str">
        <f>CONCATENATE(Process!$A$1,F51)</f>
        <v>BEND670149</v>
      </c>
      <c r="F51" s="3">
        <v>670149.0</v>
      </c>
      <c r="G51" s="3"/>
      <c r="H51" s="3" t="s">
        <v>2279</v>
      </c>
      <c r="I51" s="13">
        <v>0.0</v>
      </c>
      <c r="J51" s="5"/>
      <c r="K51" s="199">
        <f>COUNTIF(postDEL!$AO$2:$AO694,$C51)</f>
        <v>0</v>
      </c>
      <c r="L51" s="212"/>
      <c r="M51" s="11" t="s">
        <v>2221</v>
      </c>
      <c r="N51" s="104" t="b">
        <f t="shared" si="1"/>
        <v>1</v>
      </c>
      <c r="O51" s="5" t="s">
        <v>2235</v>
      </c>
      <c r="P51" s="5" t="s">
        <v>2223</v>
      </c>
      <c r="R51" s="5"/>
      <c r="S51" s="5" t="s">
        <v>2224</v>
      </c>
      <c r="T51" s="184">
        <v>44615.0</v>
      </c>
      <c r="U51" s="5"/>
      <c r="V51" s="5"/>
      <c r="W51" s="5"/>
      <c r="Y51" s="201" t="str">
        <f t="shared" si="2"/>
        <v/>
      </c>
      <c r="Z51" s="200"/>
      <c r="AA51" s="201" t="s">
        <v>2279</v>
      </c>
      <c r="AB51" s="68">
        <f t="shared" si="3"/>
        <v>1</v>
      </c>
      <c r="AC51" s="210"/>
      <c r="AD51" s="68" t="str">
        <f t="shared" si="4"/>
        <v>NOT</v>
      </c>
      <c r="AE51" s="11"/>
      <c r="AF51" s="11"/>
      <c r="AG51" s="11"/>
      <c r="AH51" s="110">
        <f>COUNTIF(postDEL!$AR$2:$AR694,AG51)</f>
        <v>0</v>
      </c>
      <c r="AI51" s="204"/>
      <c r="AK51" s="200"/>
      <c r="AM51" s="54"/>
      <c r="AN51" s="68" t="str">
        <f t="shared" si="5"/>
        <v/>
      </c>
      <c r="AO51" s="206" t="str">
        <f t="shared" si="6"/>
        <v/>
      </c>
      <c r="AQ51" s="5" t="str">
        <f>CONCATENATE("Sp",Process!$A$1,AR51)</f>
        <v>SpBEND198321</v>
      </c>
      <c r="AR51" s="19">
        <v>198321.0</v>
      </c>
      <c r="AS51" s="200"/>
      <c r="AT51" s="200"/>
      <c r="AU51" s="68"/>
      <c r="AV51" s="11"/>
      <c r="AW51" s="11"/>
      <c r="AX51" s="11"/>
      <c r="AY51" s="67"/>
      <c r="AZ51" s="204"/>
      <c r="BC51" s="68"/>
      <c r="BD51" s="68"/>
      <c r="BF51" s="200"/>
    </row>
    <row r="52">
      <c r="A52" s="11"/>
      <c r="B52" s="11"/>
      <c r="C52" s="11"/>
      <c r="D52" s="110">
        <f>COUNTIF(postDEL!$AR$2:$AR694,$C52)</f>
        <v>0</v>
      </c>
      <c r="E52" s="5" t="str">
        <f>CONCATENATE(Process!$A$1,F52)</f>
        <v>BEND371889</v>
      </c>
      <c r="F52" s="3">
        <v>371889.0</v>
      </c>
      <c r="G52" s="3"/>
      <c r="H52" s="3" t="s">
        <v>2280</v>
      </c>
      <c r="I52" s="13">
        <v>0.0</v>
      </c>
      <c r="J52" s="5"/>
      <c r="K52" s="199">
        <f>COUNTIF(postDEL!$AO$2:$AO694,$C52)</f>
        <v>0</v>
      </c>
      <c r="L52" s="212"/>
      <c r="M52" s="11" t="s">
        <v>2221</v>
      </c>
      <c r="N52" s="104" t="b">
        <f t="shared" si="1"/>
        <v>1</v>
      </c>
      <c r="O52" s="5" t="s">
        <v>2222</v>
      </c>
      <c r="P52" s="5" t="s">
        <v>2223</v>
      </c>
      <c r="R52" s="5"/>
      <c r="S52" s="5" t="s">
        <v>2224</v>
      </c>
      <c r="T52" s="184"/>
      <c r="U52" s="5"/>
      <c r="V52" s="5"/>
      <c r="W52" s="5"/>
      <c r="Y52" s="201" t="str">
        <f t="shared" si="2"/>
        <v/>
      </c>
      <c r="Z52" s="200"/>
      <c r="AA52" s="201" t="s">
        <v>2280</v>
      </c>
      <c r="AB52" s="68">
        <f t="shared" si="3"/>
        <v>1</v>
      </c>
      <c r="AC52" s="210"/>
      <c r="AD52" s="68" t="str">
        <f t="shared" si="4"/>
        <v>NOT</v>
      </c>
      <c r="AE52" s="11"/>
      <c r="AF52" s="11"/>
      <c r="AG52" s="11"/>
      <c r="AH52" s="110">
        <f>COUNTIF(postDEL!$AR$2:$AR694,AG52)</f>
        <v>0</v>
      </c>
      <c r="AI52" s="204"/>
      <c r="AK52" s="200"/>
      <c r="AM52" s="54"/>
      <c r="AN52" s="68" t="str">
        <f t="shared" si="5"/>
        <v/>
      </c>
      <c r="AO52" s="206" t="str">
        <f t="shared" si="6"/>
        <v/>
      </c>
      <c r="AQ52" s="5" t="str">
        <f>CONCATENATE("Sp",Process!$A$1,AR52)</f>
        <v>SpBEND271847</v>
      </c>
      <c r="AR52" s="19">
        <v>271847.0</v>
      </c>
      <c r="AS52" s="200"/>
      <c r="AT52" s="200"/>
      <c r="AU52" s="68"/>
      <c r="AV52" s="11"/>
      <c r="AW52" s="11"/>
      <c r="AX52" s="11"/>
      <c r="AY52" s="67"/>
      <c r="AZ52" s="204"/>
      <c r="BC52" s="68"/>
      <c r="BD52" s="68"/>
      <c r="BF52" s="200"/>
    </row>
    <row r="53">
      <c r="A53" s="11"/>
      <c r="B53" s="11"/>
      <c r="C53" s="11"/>
      <c r="D53" s="110">
        <f>COUNTIF(postDEL!$AR$2:$AR694,$C53)</f>
        <v>0</v>
      </c>
      <c r="E53" s="5" t="str">
        <f>CONCATENATE(Process!$A$1,F53)</f>
        <v>BEND883753</v>
      </c>
      <c r="F53" s="3">
        <v>883753.0</v>
      </c>
      <c r="G53" s="3"/>
      <c r="H53" s="3" t="s">
        <v>2281</v>
      </c>
      <c r="I53" s="13">
        <v>0.0</v>
      </c>
      <c r="J53" s="5"/>
      <c r="K53" s="199">
        <f>COUNTIF(postDEL!$AO$2:$AO694,$C53)</f>
        <v>0</v>
      </c>
      <c r="L53" s="212"/>
      <c r="M53" s="11" t="s">
        <v>2221</v>
      </c>
      <c r="N53" s="104" t="b">
        <f t="shared" si="1"/>
        <v>1</v>
      </c>
      <c r="O53" s="5" t="s">
        <v>2222</v>
      </c>
      <c r="P53" s="5" t="s">
        <v>2223</v>
      </c>
      <c r="R53" s="5"/>
      <c r="S53" s="5" t="s">
        <v>2224</v>
      </c>
      <c r="T53" s="184"/>
      <c r="U53" s="5"/>
      <c r="V53" s="5"/>
      <c r="W53" s="5"/>
      <c r="Y53" s="201" t="str">
        <f t="shared" si="2"/>
        <v/>
      </c>
      <c r="Z53" s="200"/>
      <c r="AA53" s="201" t="s">
        <v>2281</v>
      </c>
      <c r="AB53" s="68">
        <f t="shared" si="3"/>
        <v>1</v>
      </c>
      <c r="AC53" s="210"/>
      <c r="AD53" s="68" t="str">
        <f t="shared" si="4"/>
        <v>NOT</v>
      </c>
      <c r="AE53" s="11"/>
      <c r="AF53" s="11"/>
      <c r="AG53" s="11"/>
      <c r="AH53" s="110">
        <f>COUNTIF(postDEL!$AR$2:$AR694,AG53)</f>
        <v>0</v>
      </c>
      <c r="AI53" s="204"/>
      <c r="AK53" s="200"/>
      <c r="AM53" s="54"/>
      <c r="AN53" s="68" t="str">
        <f t="shared" si="5"/>
        <v/>
      </c>
      <c r="AO53" s="206" t="str">
        <f t="shared" si="6"/>
        <v/>
      </c>
      <c r="AQ53" s="5" t="str">
        <f>CONCATENATE("Sp",Process!$A$1,AR53)</f>
        <v>SpBEND481988</v>
      </c>
      <c r="AR53" s="19">
        <v>481988.0</v>
      </c>
      <c r="AS53" s="200"/>
      <c r="AT53" s="200"/>
      <c r="AU53" s="68"/>
      <c r="AV53" s="11"/>
      <c r="AW53" s="11"/>
      <c r="AX53" s="11"/>
      <c r="AY53" s="67"/>
      <c r="AZ53" s="204"/>
      <c r="BC53" s="68"/>
      <c r="BD53" s="68"/>
      <c r="BF53" s="200"/>
    </row>
    <row r="54">
      <c r="A54" s="11"/>
      <c r="B54" s="11"/>
      <c r="C54" s="11"/>
      <c r="D54" s="110">
        <f>COUNTIF(postDEL!$AR$2:$AR694,$C54)</f>
        <v>0</v>
      </c>
      <c r="E54" s="5" t="str">
        <f>CONCATENATE(Process!$A$1,F54)</f>
        <v>BEND229530</v>
      </c>
      <c r="F54" s="3">
        <v>229530.0</v>
      </c>
      <c r="G54" s="3"/>
      <c r="H54" s="3" t="s">
        <v>2282</v>
      </c>
      <c r="I54" s="13">
        <v>0.0</v>
      </c>
      <c r="J54" s="5"/>
      <c r="K54" s="199">
        <f>COUNTIF(postDEL!$AO$2:$AO694,$C54)</f>
        <v>0</v>
      </c>
      <c r="L54" s="212"/>
      <c r="M54" s="11" t="s">
        <v>2221</v>
      </c>
      <c r="N54" s="104" t="b">
        <f t="shared" si="1"/>
        <v>1</v>
      </c>
      <c r="O54" s="5" t="s">
        <v>2222</v>
      </c>
      <c r="P54" s="5" t="s">
        <v>2223</v>
      </c>
      <c r="R54" s="5"/>
      <c r="S54" s="5" t="s">
        <v>2224</v>
      </c>
      <c r="T54" s="184">
        <v>44579.0</v>
      </c>
      <c r="U54" s="5"/>
      <c r="V54" s="5"/>
      <c r="W54" s="5"/>
      <c r="Y54" s="201" t="str">
        <f t="shared" si="2"/>
        <v/>
      </c>
      <c r="Z54" s="200"/>
      <c r="AA54" s="201" t="s">
        <v>2282</v>
      </c>
      <c r="AB54" s="68">
        <f t="shared" si="3"/>
        <v>1</v>
      </c>
      <c r="AC54" s="210"/>
      <c r="AD54" s="68" t="str">
        <f t="shared" si="4"/>
        <v>NOT</v>
      </c>
      <c r="AE54" s="11"/>
      <c r="AF54" s="11"/>
      <c r="AG54" s="11"/>
      <c r="AH54" s="110">
        <f>COUNTIF(postDEL!$AR$2:$AR694,AG54)</f>
        <v>0</v>
      </c>
      <c r="AI54" s="204"/>
      <c r="AK54" s="200"/>
      <c r="AM54" s="54"/>
      <c r="AN54" s="68" t="str">
        <f t="shared" si="5"/>
        <v/>
      </c>
      <c r="AO54" s="206" t="str">
        <f t="shared" si="6"/>
        <v/>
      </c>
      <c r="AQ54" s="5" t="str">
        <f>CONCATENATE("Sp",Process!$A$1,AR54)</f>
        <v>SpBEND845509</v>
      </c>
      <c r="AR54" s="19">
        <v>845509.0</v>
      </c>
      <c r="AS54" s="200"/>
      <c r="AT54" s="200"/>
      <c r="AU54" s="68"/>
      <c r="AV54" s="11"/>
      <c r="AW54" s="11"/>
      <c r="AX54" s="11"/>
      <c r="AY54" s="67"/>
      <c r="AZ54" s="204"/>
      <c r="BC54" s="68"/>
      <c r="BD54" s="68"/>
      <c r="BF54" s="200"/>
    </row>
    <row r="55">
      <c r="A55" s="11"/>
      <c r="B55" s="11"/>
      <c r="C55" s="11"/>
      <c r="D55" s="110">
        <f>COUNTIF(postDEL!$AR$2:$AR694,$C55)</f>
        <v>0</v>
      </c>
      <c r="E55" s="5" t="str">
        <f>CONCATENATE(Process!$A$1,F55)</f>
        <v>BEND671526</v>
      </c>
      <c r="F55" s="3">
        <v>671526.0</v>
      </c>
      <c r="G55" s="3"/>
      <c r="H55" s="3" t="s">
        <v>2283</v>
      </c>
      <c r="I55" s="13">
        <v>0.0</v>
      </c>
      <c r="J55" s="5"/>
      <c r="K55" s="199">
        <f>COUNTIF(postDEL!$AO$2:$AO694,$C55)</f>
        <v>0</v>
      </c>
      <c r="L55" s="212"/>
      <c r="M55" s="11" t="s">
        <v>2221</v>
      </c>
      <c r="N55" s="104" t="b">
        <f t="shared" si="1"/>
        <v>1</v>
      </c>
      <c r="O55" s="5" t="s">
        <v>2227</v>
      </c>
      <c r="P55" s="5" t="s">
        <v>2185</v>
      </c>
      <c r="R55" s="5"/>
      <c r="S55" s="5"/>
      <c r="T55" s="184"/>
      <c r="U55" s="5"/>
      <c r="V55" s="5"/>
      <c r="W55" s="5"/>
      <c r="Y55" s="201" t="str">
        <f t="shared" si="2"/>
        <v/>
      </c>
      <c r="Z55" s="200"/>
      <c r="AA55" s="201" t="s">
        <v>2283</v>
      </c>
      <c r="AB55" s="68">
        <f t="shared" si="3"/>
        <v>1</v>
      </c>
      <c r="AC55" s="210"/>
      <c r="AD55" s="68" t="str">
        <f t="shared" si="4"/>
        <v>NOT</v>
      </c>
      <c r="AE55" s="11"/>
      <c r="AF55" s="11"/>
      <c r="AG55" s="11"/>
      <c r="AH55" s="110">
        <f>COUNTIF(postDEL!$AR$2:$AR694,AG55)</f>
        <v>0</v>
      </c>
      <c r="AI55" s="204"/>
      <c r="AK55" s="200"/>
      <c r="AM55" s="54"/>
      <c r="AN55" s="68" t="str">
        <f t="shared" si="5"/>
        <v/>
      </c>
      <c r="AO55" s="206" t="str">
        <f t="shared" si="6"/>
        <v/>
      </c>
      <c r="AQ55" s="5" t="str">
        <f>CONCATENATE("Sp",Process!$A$1,AR55)</f>
        <v>SpBEND501019</v>
      </c>
      <c r="AR55" s="19">
        <v>501019.0</v>
      </c>
      <c r="AS55" s="200"/>
      <c r="AT55" s="200"/>
      <c r="AU55" s="68"/>
      <c r="AV55" s="11"/>
      <c r="AW55" s="11"/>
      <c r="AX55" s="11"/>
      <c r="AY55" s="67"/>
      <c r="AZ55" s="204"/>
      <c r="BC55" s="68"/>
      <c r="BD55" s="68"/>
      <c r="BF55" s="200"/>
    </row>
    <row r="56">
      <c r="A56" s="11"/>
      <c r="B56" s="11"/>
      <c r="C56" s="11"/>
      <c r="D56" s="110">
        <f>COUNTIF(postDEL!$AR$2:$AR694,$C56)</f>
        <v>0</v>
      </c>
      <c r="E56" s="5" t="str">
        <f>CONCATENATE(Process!$A$1,F56)</f>
        <v>BEND628988</v>
      </c>
      <c r="F56" s="3">
        <v>628988.0</v>
      </c>
      <c r="G56" s="3"/>
      <c r="H56" s="3" t="s">
        <v>2284</v>
      </c>
      <c r="I56" s="13">
        <v>0.0</v>
      </c>
      <c r="J56" s="5"/>
      <c r="K56" s="199">
        <f>COUNTIF(postDEL!$AO$2:$AO694,$C56)</f>
        <v>0</v>
      </c>
      <c r="L56" s="68"/>
      <c r="M56" s="11" t="s">
        <v>2221</v>
      </c>
      <c r="N56" s="104" t="b">
        <f t="shared" si="1"/>
        <v>1</v>
      </c>
      <c r="O56" s="5" t="s">
        <v>2227</v>
      </c>
      <c r="P56" s="5" t="s">
        <v>2185</v>
      </c>
      <c r="R56" s="5"/>
      <c r="S56" s="5"/>
      <c r="T56" s="184"/>
      <c r="U56" s="5"/>
      <c r="V56" s="5"/>
      <c r="W56" s="5"/>
      <c r="Y56" s="201" t="str">
        <f t="shared" si="2"/>
        <v/>
      </c>
      <c r="Z56" s="200"/>
      <c r="AA56" s="201" t="s">
        <v>2284</v>
      </c>
      <c r="AB56" s="68">
        <f t="shared" si="3"/>
        <v>1</v>
      </c>
      <c r="AC56" s="210"/>
      <c r="AD56" s="68" t="str">
        <f t="shared" si="4"/>
        <v>NOT</v>
      </c>
      <c r="AE56" s="11"/>
      <c r="AF56" s="11"/>
      <c r="AG56" s="11"/>
      <c r="AH56" s="110">
        <f>COUNTIF(postDEL!$AR$2:$AR694,AG56)</f>
        <v>0</v>
      </c>
      <c r="AI56" s="204"/>
      <c r="AK56" s="200"/>
      <c r="AM56" s="54"/>
      <c r="AN56" s="68" t="str">
        <f t="shared" si="5"/>
        <v/>
      </c>
      <c r="AO56" s="206" t="str">
        <f t="shared" si="6"/>
        <v/>
      </c>
      <c r="AQ56" s="5" t="str">
        <f>CONCATENATE("Sp",Process!$A$1,AR56)</f>
        <v>SpBEND825522</v>
      </c>
      <c r="AR56" s="19">
        <v>825522.0</v>
      </c>
      <c r="AS56" s="200"/>
      <c r="AT56" s="200"/>
      <c r="AU56" s="68"/>
      <c r="AV56" s="11"/>
      <c r="AW56" s="11"/>
      <c r="AX56" s="11"/>
      <c r="AY56" s="67"/>
      <c r="AZ56" s="204"/>
      <c r="BC56" s="68"/>
      <c r="BD56" s="68"/>
      <c r="BF56" s="200"/>
    </row>
    <row r="57">
      <c r="A57" s="11"/>
      <c r="B57" s="11"/>
      <c r="C57" s="11"/>
      <c r="D57" s="110">
        <f>COUNTIF(postDEL!$AR$2:$AR694,$C57)</f>
        <v>0</v>
      </c>
      <c r="E57" s="5" t="str">
        <f>CONCATENATE(Process!$A$1,F57)</f>
        <v>BEND782925</v>
      </c>
      <c r="F57" s="3">
        <v>782925.0</v>
      </c>
      <c r="G57" s="3"/>
      <c r="H57" s="3" t="s">
        <v>2285</v>
      </c>
      <c r="I57" s="13">
        <v>0.0</v>
      </c>
      <c r="J57" s="5"/>
      <c r="K57" s="199">
        <f>COUNTIF(postDEL!$AO$2:$AO694,$C57)</f>
        <v>0</v>
      </c>
      <c r="L57" s="212"/>
      <c r="M57" s="11" t="s">
        <v>2221</v>
      </c>
      <c r="N57" s="104" t="b">
        <f t="shared" si="1"/>
        <v>1</v>
      </c>
      <c r="O57" s="5" t="s">
        <v>2222</v>
      </c>
      <c r="P57" s="5" t="s">
        <v>2223</v>
      </c>
      <c r="R57" s="5"/>
      <c r="S57" s="5" t="s">
        <v>2224</v>
      </c>
      <c r="T57" s="184">
        <v>44579.0</v>
      </c>
      <c r="U57" s="5"/>
      <c r="V57" s="5"/>
      <c r="W57" s="5"/>
      <c r="Y57" s="201" t="str">
        <f t="shared" si="2"/>
        <v/>
      </c>
      <c r="Z57" s="200"/>
      <c r="AA57" s="201" t="s">
        <v>2285</v>
      </c>
      <c r="AB57" s="68">
        <f t="shared" si="3"/>
        <v>1</v>
      </c>
      <c r="AC57" s="210"/>
      <c r="AD57" s="68" t="str">
        <f t="shared" si="4"/>
        <v>NOT</v>
      </c>
      <c r="AE57" s="11"/>
      <c r="AF57" s="11"/>
      <c r="AG57" s="11"/>
      <c r="AH57" s="110">
        <f>COUNTIF(postDEL!$AR$2:$AR694,AG57)</f>
        <v>0</v>
      </c>
      <c r="AI57" s="204"/>
      <c r="AK57" s="200"/>
      <c r="AM57" s="54"/>
      <c r="AN57" s="68" t="str">
        <f t="shared" si="5"/>
        <v/>
      </c>
      <c r="AO57" s="206" t="str">
        <f t="shared" si="6"/>
        <v/>
      </c>
      <c r="AQ57" s="5" t="str">
        <f>CONCATENATE("Sp",Process!$A$1,AR57)</f>
        <v>SpBEND483335</v>
      </c>
      <c r="AR57" s="19">
        <v>483335.0</v>
      </c>
      <c r="AS57" s="200"/>
      <c r="AT57" s="200"/>
      <c r="AU57" s="68"/>
      <c r="AV57" s="11"/>
      <c r="AW57" s="11"/>
      <c r="AX57" s="11"/>
      <c r="AY57" s="67"/>
      <c r="AZ57" s="204"/>
      <c r="BC57" s="68"/>
      <c r="BD57" s="68"/>
      <c r="BF57" s="200"/>
    </row>
    <row r="58">
      <c r="A58" s="11"/>
      <c r="B58" s="11"/>
      <c r="C58" s="11"/>
      <c r="D58" s="110">
        <f>COUNTIF(postDEL!$AR$2:$AR694,$C58)</f>
        <v>0</v>
      </c>
      <c r="E58" s="5" t="str">
        <f>CONCATENATE(Process!$A$1,F58)</f>
        <v>BEND317332</v>
      </c>
      <c r="F58" s="3">
        <v>317332.0</v>
      </c>
      <c r="G58" s="3"/>
      <c r="H58" s="3" t="s">
        <v>2286</v>
      </c>
      <c r="I58" s="13">
        <v>0.0</v>
      </c>
      <c r="J58" s="5"/>
      <c r="K58" s="199">
        <f>COUNTIF(postDEL!$AO$2:$AO694,$C58)</f>
        <v>0</v>
      </c>
      <c r="L58" s="212"/>
      <c r="M58" s="11" t="s">
        <v>2221</v>
      </c>
      <c r="N58" s="104" t="b">
        <f t="shared" si="1"/>
        <v>1</v>
      </c>
      <c r="O58" s="5" t="s">
        <v>2222</v>
      </c>
      <c r="P58" s="5" t="s">
        <v>2223</v>
      </c>
      <c r="R58" s="5"/>
      <c r="S58" s="5" t="s">
        <v>2224</v>
      </c>
      <c r="T58" s="184"/>
      <c r="U58" s="5"/>
      <c r="V58" s="5"/>
      <c r="W58" s="5"/>
      <c r="Y58" s="201" t="str">
        <f t="shared" si="2"/>
        <v/>
      </c>
      <c r="Z58" s="200"/>
      <c r="AA58" s="201" t="s">
        <v>2286</v>
      </c>
      <c r="AB58" s="68">
        <f t="shared" si="3"/>
        <v>1</v>
      </c>
      <c r="AC58" s="210"/>
      <c r="AD58" s="68" t="str">
        <f t="shared" si="4"/>
        <v>NOT</v>
      </c>
      <c r="AE58" s="11"/>
      <c r="AF58" s="11"/>
      <c r="AG58" s="11"/>
      <c r="AH58" s="110">
        <f>COUNTIF(postDEL!$AR$2:$AR694,AG58)</f>
        <v>0</v>
      </c>
      <c r="AI58" s="204"/>
      <c r="AK58" s="200"/>
      <c r="AM58" s="54"/>
      <c r="AN58" s="68" t="str">
        <f t="shared" si="5"/>
        <v/>
      </c>
      <c r="AO58" s="206" t="str">
        <f t="shared" si="6"/>
        <v/>
      </c>
      <c r="AQ58" s="5" t="str">
        <f>CONCATENATE("Sp",Process!$A$1,AR58)</f>
        <v>SpBEND982195</v>
      </c>
      <c r="AR58" s="19">
        <v>982195.0</v>
      </c>
      <c r="AS58" s="200"/>
      <c r="AT58" s="200"/>
      <c r="AU58" s="68"/>
      <c r="AV58" s="11"/>
      <c r="AW58" s="11"/>
      <c r="AX58" s="11"/>
      <c r="AY58" s="67"/>
      <c r="AZ58" s="204"/>
      <c r="BC58" s="68"/>
      <c r="BD58" s="68"/>
      <c r="BF58" s="200"/>
    </row>
    <row r="59">
      <c r="A59" s="11"/>
      <c r="B59" s="11"/>
      <c r="C59" s="11"/>
      <c r="D59" s="110">
        <f>COUNTIF(postDEL!$AR$2:$AR694,$C59)</f>
        <v>0</v>
      </c>
      <c r="E59" s="5" t="str">
        <f>CONCATENATE(Process!$A$1,F59)</f>
        <v>BEND567653</v>
      </c>
      <c r="F59" s="3">
        <v>567653.0</v>
      </c>
      <c r="G59" s="3"/>
      <c r="H59" s="3" t="s">
        <v>2287</v>
      </c>
      <c r="I59" s="13">
        <v>0.0</v>
      </c>
      <c r="J59" s="5"/>
      <c r="K59" s="199">
        <f>COUNTIF(postDEL!$AO$2:$AO694,$C59)</f>
        <v>0</v>
      </c>
      <c r="L59" s="212"/>
      <c r="M59" s="11" t="s">
        <v>2221</v>
      </c>
      <c r="N59" s="104" t="b">
        <f t="shared" si="1"/>
        <v>1</v>
      </c>
      <c r="O59" s="5" t="s">
        <v>2227</v>
      </c>
      <c r="P59" s="5" t="s">
        <v>2185</v>
      </c>
      <c r="R59" s="5"/>
      <c r="S59" s="5"/>
      <c r="T59" s="184">
        <v>44615.0</v>
      </c>
      <c r="U59" s="5"/>
      <c r="V59" s="5"/>
      <c r="W59" s="5"/>
      <c r="Y59" s="201" t="str">
        <f t="shared" si="2"/>
        <v/>
      </c>
      <c r="Z59" s="200"/>
      <c r="AA59" s="201" t="s">
        <v>2287</v>
      </c>
      <c r="AB59" s="68">
        <f t="shared" si="3"/>
        <v>1</v>
      </c>
      <c r="AC59" s="210"/>
      <c r="AD59" s="68" t="str">
        <f t="shared" si="4"/>
        <v>NOT</v>
      </c>
      <c r="AE59" s="11"/>
      <c r="AF59" s="11"/>
      <c r="AG59" s="11"/>
      <c r="AH59" s="110">
        <f>COUNTIF(postDEL!$AR$2:$AR694,AG59)</f>
        <v>0</v>
      </c>
      <c r="AI59" s="204"/>
      <c r="AK59" s="200"/>
      <c r="AM59" s="54"/>
      <c r="AN59" s="68" t="str">
        <f t="shared" si="5"/>
        <v/>
      </c>
      <c r="AO59" s="206" t="str">
        <f t="shared" si="6"/>
        <v/>
      </c>
      <c r="AQ59" s="5" t="str">
        <f>CONCATENATE("Sp",Process!$A$1,AR59)</f>
        <v>SpBEND328905</v>
      </c>
      <c r="AR59" s="19">
        <v>328905.0</v>
      </c>
      <c r="AS59" s="200"/>
      <c r="AT59" s="200"/>
      <c r="AU59" s="68"/>
      <c r="AV59" s="11"/>
      <c r="AW59" s="11"/>
      <c r="AX59" s="11"/>
      <c r="AY59" s="67"/>
      <c r="AZ59" s="204"/>
      <c r="BC59" s="68"/>
      <c r="BD59" s="68"/>
      <c r="BF59" s="200"/>
    </row>
    <row r="60">
      <c r="A60" s="11"/>
      <c r="B60" s="11"/>
      <c r="C60" s="11"/>
      <c r="D60" s="110">
        <f>COUNTIF(postDEL!$AR$2:$AR694,$C60)</f>
        <v>0</v>
      </c>
      <c r="E60" s="5" t="str">
        <f>CONCATENATE(Process!$A$1,F60)</f>
        <v>BEND704851</v>
      </c>
      <c r="F60" s="3">
        <v>704851.0</v>
      </c>
      <c r="G60" s="3"/>
      <c r="H60" s="3" t="s">
        <v>2288</v>
      </c>
      <c r="I60" s="13">
        <v>0.0</v>
      </c>
      <c r="J60" s="5"/>
      <c r="K60" s="199">
        <f>COUNTIF(postDEL!$AO$2:$AO694,$C60)</f>
        <v>0</v>
      </c>
      <c r="L60" s="212"/>
      <c r="M60" s="11" t="s">
        <v>2221</v>
      </c>
      <c r="N60" s="104" t="b">
        <f t="shared" si="1"/>
        <v>1</v>
      </c>
      <c r="O60" s="5" t="s">
        <v>2222</v>
      </c>
      <c r="P60" s="5" t="s">
        <v>2223</v>
      </c>
      <c r="R60" s="5"/>
      <c r="S60" s="5" t="s">
        <v>2224</v>
      </c>
      <c r="T60" s="184">
        <v>44603.0</v>
      </c>
      <c r="U60" s="5"/>
      <c r="V60" s="5"/>
      <c r="W60" s="5"/>
      <c r="Y60" s="201" t="str">
        <f t="shared" si="2"/>
        <v/>
      </c>
      <c r="Z60" s="200"/>
      <c r="AA60" s="201" t="s">
        <v>2288</v>
      </c>
      <c r="AB60" s="68">
        <f t="shared" si="3"/>
        <v>1</v>
      </c>
      <c r="AC60" s="210"/>
      <c r="AD60" s="68" t="str">
        <f t="shared" si="4"/>
        <v>NOT</v>
      </c>
      <c r="AE60" s="11"/>
      <c r="AF60" s="11"/>
      <c r="AG60" s="11"/>
      <c r="AH60" s="110">
        <f>COUNTIF(postDEL!$AR$2:$AR694,AG60)</f>
        <v>0</v>
      </c>
      <c r="AI60" s="204"/>
      <c r="AK60" s="200"/>
      <c r="AM60" s="54"/>
      <c r="AN60" s="68" t="str">
        <f t="shared" si="5"/>
        <v/>
      </c>
      <c r="AO60" s="206" t="str">
        <f t="shared" si="6"/>
        <v/>
      </c>
      <c r="AQ60" s="5" t="str">
        <f>CONCATENATE("Sp",Process!$A$1,AR60)</f>
        <v>SpBEND996809</v>
      </c>
      <c r="AR60" s="19">
        <v>996809.0</v>
      </c>
      <c r="AS60" s="200"/>
      <c r="AT60" s="200"/>
      <c r="AU60" s="68"/>
      <c r="AV60" s="11"/>
      <c r="AW60" s="11"/>
      <c r="AX60" s="11"/>
      <c r="AY60" s="67"/>
      <c r="AZ60" s="204"/>
      <c r="BC60" s="68"/>
      <c r="BD60" s="68"/>
      <c r="BF60" s="200"/>
    </row>
    <row r="61">
      <c r="A61" s="11"/>
      <c r="B61" s="11"/>
      <c r="C61" s="11"/>
      <c r="D61" s="110">
        <f>COUNTIF(postDEL!$AR$2:$AR694,$C61)</f>
        <v>0</v>
      </c>
      <c r="E61" s="5" t="str">
        <f>CONCATENATE(Process!$A$1,F61)</f>
        <v>BEND520608</v>
      </c>
      <c r="F61" s="3">
        <v>520608.0</v>
      </c>
      <c r="G61" s="3"/>
      <c r="H61" s="3" t="s">
        <v>2289</v>
      </c>
      <c r="I61" s="13">
        <v>0.0</v>
      </c>
      <c r="J61" s="5"/>
      <c r="K61" s="199">
        <f>COUNTIF(postDEL!$AO$2:$AO694,$C61)</f>
        <v>0</v>
      </c>
      <c r="L61" s="212"/>
      <c r="M61" s="11" t="s">
        <v>2221</v>
      </c>
      <c r="N61" s="104" t="b">
        <f t="shared" si="1"/>
        <v>1</v>
      </c>
      <c r="O61" s="5" t="s">
        <v>2222</v>
      </c>
      <c r="P61" s="5" t="s">
        <v>2223</v>
      </c>
      <c r="R61" s="5"/>
      <c r="S61" s="5" t="s">
        <v>2224</v>
      </c>
      <c r="T61" s="184">
        <v>44580.0</v>
      </c>
      <c r="U61" s="5"/>
      <c r="V61" s="5"/>
      <c r="W61" s="5"/>
      <c r="Y61" s="201" t="str">
        <f t="shared" si="2"/>
        <v/>
      </c>
      <c r="Z61" s="200"/>
      <c r="AA61" s="201" t="s">
        <v>2289</v>
      </c>
      <c r="AB61" s="68">
        <f t="shared" si="3"/>
        <v>1</v>
      </c>
      <c r="AC61" s="210"/>
      <c r="AD61" s="68" t="str">
        <f t="shared" si="4"/>
        <v>NOT</v>
      </c>
      <c r="AE61" s="11"/>
      <c r="AF61" s="11"/>
      <c r="AG61" s="11"/>
      <c r="AH61" s="110">
        <f>COUNTIF(postDEL!$AR$2:$AR694,AG61)</f>
        <v>0</v>
      </c>
      <c r="AI61" s="204"/>
      <c r="AK61" s="200"/>
      <c r="AM61" s="54"/>
      <c r="AN61" s="68" t="str">
        <f t="shared" si="5"/>
        <v/>
      </c>
      <c r="AO61" s="206" t="str">
        <f t="shared" si="6"/>
        <v/>
      </c>
      <c r="AQ61" s="5" t="str">
        <f>CONCATENATE("Sp",Process!$A$1,AR61)</f>
        <v>SpBEND610784</v>
      </c>
      <c r="AR61" s="19">
        <v>610784.0</v>
      </c>
      <c r="AS61" s="200"/>
      <c r="AT61" s="200"/>
      <c r="AU61" s="68"/>
      <c r="AV61" s="11"/>
      <c r="AW61" s="11"/>
      <c r="AX61" s="11"/>
      <c r="AY61" s="67"/>
      <c r="AZ61" s="204"/>
      <c r="BC61" s="68"/>
      <c r="BD61" s="68"/>
      <c r="BF61" s="200"/>
    </row>
    <row r="62">
      <c r="A62" s="11"/>
      <c r="B62" s="11"/>
      <c r="C62" s="11"/>
      <c r="D62" s="110">
        <f>COUNTIF(postDEL!$AR$2:$AR694,$C62)</f>
        <v>0</v>
      </c>
      <c r="E62" s="5" t="str">
        <f>CONCATENATE(Process!$A$1,F62)</f>
        <v>BEND585286</v>
      </c>
      <c r="F62" s="3">
        <v>585286.0</v>
      </c>
      <c r="G62" s="3"/>
      <c r="H62" s="3" t="s">
        <v>2290</v>
      </c>
      <c r="I62" s="13">
        <v>0.0</v>
      </c>
      <c r="J62" s="5"/>
      <c r="K62" s="199">
        <f>COUNTIF(postDEL!$AO$2:$AO694,$C62)</f>
        <v>0</v>
      </c>
      <c r="L62" s="212"/>
      <c r="M62" s="11" t="s">
        <v>2221</v>
      </c>
      <c r="N62" s="104" t="b">
        <f t="shared" si="1"/>
        <v>1</v>
      </c>
      <c r="O62" s="5" t="s">
        <v>2227</v>
      </c>
      <c r="P62" s="5" t="s">
        <v>2185</v>
      </c>
      <c r="R62" s="5"/>
      <c r="S62" s="5"/>
      <c r="T62" s="184"/>
      <c r="U62" s="5"/>
      <c r="V62" s="5"/>
      <c r="W62" s="5"/>
      <c r="Y62" s="201" t="str">
        <f t="shared" si="2"/>
        <v/>
      </c>
      <c r="Z62" s="200"/>
      <c r="AA62" s="201" t="s">
        <v>2290</v>
      </c>
      <c r="AB62" s="68">
        <f t="shared" si="3"/>
        <v>1</v>
      </c>
      <c r="AC62" s="210"/>
      <c r="AD62" s="68" t="str">
        <f t="shared" si="4"/>
        <v>NOT</v>
      </c>
      <c r="AE62" s="11"/>
      <c r="AF62" s="11"/>
      <c r="AG62" s="11"/>
      <c r="AH62" s="110">
        <f>COUNTIF(postDEL!$AR$2:$AR694,AG62)</f>
        <v>0</v>
      </c>
      <c r="AI62" s="204"/>
      <c r="AK62" s="200"/>
      <c r="AM62" s="54"/>
      <c r="AN62" s="68" t="str">
        <f t="shared" si="5"/>
        <v/>
      </c>
      <c r="AO62" s="206" t="str">
        <f t="shared" si="6"/>
        <v/>
      </c>
      <c r="AQ62" s="5" t="str">
        <f>CONCATENATE("Sp",Process!$A$1,AR62)</f>
        <v>SpBEND815974</v>
      </c>
      <c r="AR62" s="19">
        <v>815974.0</v>
      </c>
      <c r="AS62" s="200"/>
      <c r="AT62" s="200"/>
      <c r="AU62" s="68"/>
      <c r="AV62" s="11"/>
      <c r="AW62" s="11"/>
      <c r="AX62" s="11"/>
      <c r="AY62" s="67"/>
      <c r="AZ62" s="204"/>
      <c r="BC62" s="68"/>
      <c r="BD62" s="68"/>
      <c r="BF62" s="200"/>
    </row>
    <row r="63">
      <c r="A63" s="11"/>
      <c r="B63" s="11"/>
      <c r="C63" s="11"/>
      <c r="D63" s="110">
        <f>COUNTIF(postDEL!$AR$2:$AR694,$C63)</f>
        <v>0</v>
      </c>
      <c r="E63" s="5" t="str">
        <f>CONCATENATE(Process!$A$1,F63)</f>
        <v>BEND638558</v>
      </c>
      <c r="F63" s="3">
        <v>638558.0</v>
      </c>
      <c r="G63" s="3"/>
      <c r="H63" s="3" t="s">
        <v>2291</v>
      </c>
      <c r="I63" s="13">
        <v>0.0</v>
      </c>
      <c r="J63" s="5"/>
      <c r="K63" s="199">
        <f>COUNTIF(postDEL!$AO$2:$AO694,$C63)</f>
        <v>0</v>
      </c>
      <c r="L63" s="212"/>
      <c r="M63" s="11" t="s">
        <v>2221</v>
      </c>
      <c r="N63" s="104" t="b">
        <f t="shared" si="1"/>
        <v>1</v>
      </c>
      <c r="O63" s="5" t="s">
        <v>2222</v>
      </c>
      <c r="P63" s="5" t="s">
        <v>2223</v>
      </c>
      <c r="R63" s="5"/>
      <c r="S63" s="5" t="s">
        <v>2224</v>
      </c>
      <c r="T63" s="184"/>
      <c r="U63" s="5"/>
      <c r="V63" s="5"/>
      <c r="W63" s="5"/>
      <c r="Y63" s="201" t="str">
        <f t="shared" si="2"/>
        <v/>
      </c>
      <c r="Z63" s="200"/>
      <c r="AA63" s="201" t="s">
        <v>2291</v>
      </c>
      <c r="AB63" s="68">
        <f t="shared" si="3"/>
        <v>1</v>
      </c>
      <c r="AC63" s="210"/>
      <c r="AD63" s="68" t="str">
        <f t="shared" si="4"/>
        <v>NOT</v>
      </c>
      <c r="AE63" s="11"/>
      <c r="AF63" s="11"/>
      <c r="AG63" s="11"/>
      <c r="AH63" s="110">
        <f>COUNTIF(postDEL!$AR$2:$AR694,AG63)</f>
        <v>0</v>
      </c>
      <c r="AI63" s="204"/>
      <c r="AK63" s="200"/>
      <c r="AM63" s="54"/>
      <c r="AN63" s="68" t="str">
        <f t="shared" si="5"/>
        <v/>
      </c>
      <c r="AO63" s="206" t="str">
        <f t="shared" si="6"/>
        <v/>
      </c>
      <c r="AQ63" s="5" t="str">
        <f>CONCATENATE("Sp",Process!$A$1,AR63)</f>
        <v>SpBEND292554</v>
      </c>
      <c r="AR63" s="19">
        <v>292554.0</v>
      </c>
      <c r="AS63" s="200"/>
      <c r="AT63" s="200"/>
      <c r="AU63" s="68"/>
      <c r="AV63" s="11"/>
      <c r="AW63" s="11"/>
      <c r="AX63" s="11"/>
      <c r="AY63" s="67"/>
      <c r="AZ63" s="204"/>
      <c r="BC63" s="68"/>
      <c r="BD63" s="68"/>
      <c r="BF63" s="200"/>
    </row>
    <row r="64">
      <c r="A64" s="11"/>
      <c r="B64" s="11"/>
      <c r="C64" s="11"/>
      <c r="D64" s="110">
        <f>COUNTIF(postDEL!$AR$2:$AR694,$C64)</f>
        <v>0</v>
      </c>
      <c r="E64" s="5" t="str">
        <f>CONCATENATE(Process!$A$1,F64)</f>
        <v>BEND949481</v>
      </c>
      <c r="F64" s="3">
        <v>949481.0</v>
      </c>
      <c r="G64" s="3"/>
      <c r="H64" s="3" t="s">
        <v>2292</v>
      </c>
      <c r="I64" s="13">
        <v>0.0</v>
      </c>
      <c r="J64" s="5"/>
      <c r="K64" s="199">
        <f>COUNTIF(postDEL!$AO$2:$AO694,$C64)</f>
        <v>0</v>
      </c>
      <c r="L64" s="212"/>
      <c r="M64" s="11" t="s">
        <v>2221</v>
      </c>
      <c r="N64" s="104" t="b">
        <f t="shared" si="1"/>
        <v>1</v>
      </c>
      <c r="O64" s="5" t="s">
        <v>2222</v>
      </c>
      <c r="P64" s="5" t="s">
        <v>2223</v>
      </c>
      <c r="R64" s="5"/>
      <c r="S64" s="5" t="s">
        <v>2224</v>
      </c>
      <c r="T64" s="184"/>
      <c r="U64" s="5"/>
      <c r="V64" s="5"/>
      <c r="W64" s="5"/>
      <c r="Y64" s="201" t="str">
        <f t="shared" si="2"/>
        <v/>
      </c>
      <c r="Z64" s="200"/>
      <c r="AA64" s="201" t="s">
        <v>2292</v>
      </c>
      <c r="AB64" s="68">
        <f t="shared" si="3"/>
        <v>1</v>
      </c>
      <c r="AC64" s="210"/>
      <c r="AD64" s="68" t="str">
        <f t="shared" si="4"/>
        <v>NOT</v>
      </c>
      <c r="AE64" s="11"/>
      <c r="AF64" s="11"/>
      <c r="AG64" s="11"/>
      <c r="AH64" s="110">
        <f>COUNTIF(postDEL!$AR$2:$AR694,AG64)</f>
        <v>0</v>
      </c>
      <c r="AI64" s="204"/>
      <c r="AK64" s="200"/>
      <c r="AM64" s="54"/>
      <c r="AN64" s="68" t="str">
        <f t="shared" si="5"/>
        <v/>
      </c>
      <c r="AO64" s="206" t="str">
        <f t="shared" si="6"/>
        <v/>
      </c>
      <c r="AQ64" s="5" t="str">
        <f>CONCATENATE("Sp",Process!$A$1,AR64)</f>
        <v>SpBEND904348</v>
      </c>
      <c r="AR64" s="19">
        <v>904348.0</v>
      </c>
      <c r="AS64" s="200"/>
      <c r="AT64" s="200"/>
      <c r="AU64" s="68"/>
      <c r="AV64" s="11"/>
      <c r="AW64" s="11"/>
      <c r="AX64" s="11"/>
      <c r="AY64" s="67"/>
      <c r="AZ64" s="204"/>
      <c r="BC64" s="68"/>
      <c r="BD64" s="68"/>
      <c r="BF64" s="200"/>
    </row>
    <row r="65">
      <c r="A65" s="11"/>
      <c r="B65" s="11"/>
      <c r="C65" s="11"/>
      <c r="D65" s="110">
        <f>COUNTIF(postDEL!$AR$2:$AR694,$C65)</f>
        <v>0</v>
      </c>
      <c r="E65" s="5" t="str">
        <f>CONCATENATE(Process!$A$1,F65)</f>
        <v>BEND182231</v>
      </c>
      <c r="F65" s="3">
        <v>182231.0</v>
      </c>
      <c r="G65" s="3"/>
      <c r="H65" s="3" t="s">
        <v>2293</v>
      </c>
      <c r="I65" s="13">
        <v>0.0</v>
      </c>
      <c r="J65" s="5"/>
      <c r="K65" s="199">
        <f>COUNTIF(postDEL!$AO$2:$AO694,$C65)</f>
        <v>0</v>
      </c>
      <c r="L65" s="212"/>
      <c r="M65" s="11" t="s">
        <v>2221</v>
      </c>
      <c r="N65" s="104" t="b">
        <f t="shared" si="1"/>
        <v>1</v>
      </c>
      <c r="O65" s="5" t="s">
        <v>2227</v>
      </c>
      <c r="P65" s="5" t="s">
        <v>2185</v>
      </c>
      <c r="R65" s="5"/>
      <c r="S65" s="5"/>
      <c r="T65" s="184"/>
      <c r="U65" s="5"/>
      <c r="V65" s="5"/>
      <c r="W65" s="5"/>
      <c r="Y65" s="201" t="str">
        <f t="shared" si="2"/>
        <v/>
      </c>
      <c r="Z65" s="200"/>
      <c r="AA65" s="201" t="s">
        <v>2293</v>
      </c>
      <c r="AB65" s="68">
        <f t="shared" si="3"/>
        <v>1</v>
      </c>
      <c r="AC65" s="210"/>
      <c r="AD65" s="68" t="str">
        <f t="shared" si="4"/>
        <v>NOT</v>
      </c>
      <c r="AE65" s="11"/>
      <c r="AF65" s="11"/>
      <c r="AG65" s="11"/>
      <c r="AH65" s="110">
        <f>COUNTIF(postDEL!$AR$2:$AR694,AG65)</f>
        <v>0</v>
      </c>
      <c r="AI65" s="204"/>
      <c r="AK65" s="200"/>
      <c r="AM65" s="54"/>
      <c r="AN65" s="68" t="str">
        <f t="shared" si="5"/>
        <v/>
      </c>
      <c r="AO65" s="206" t="str">
        <f t="shared" si="6"/>
        <v/>
      </c>
      <c r="AQ65" s="5" t="str">
        <f>CONCATENATE("Sp",Process!$A$1,AR65)</f>
        <v>SpBEND321883</v>
      </c>
      <c r="AR65" s="19">
        <v>321883.0</v>
      </c>
      <c r="AS65" s="200"/>
      <c r="AT65" s="200"/>
      <c r="AU65" s="68"/>
      <c r="AV65" s="11"/>
      <c r="AW65" s="11"/>
      <c r="AX65" s="11"/>
      <c r="AY65" s="67"/>
      <c r="AZ65" s="204"/>
      <c r="BC65" s="68"/>
      <c r="BD65" s="68"/>
      <c r="BF65" s="200"/>
    </row>
    <row r="66">
      <c r="A66" s="11"/>
      <c r="B66" s="11"/>
      <c r="C66" s="11"/>
      <c r="D66" s="110">
        <f>COUNTIF(postDEL!$AR$2:$AR694,$C66)</f>
        <v>0</v>
      </c>
      <c r="E66" s="5" t="str">
        <f>CONCATENATE(Process!$A$1,F66)</f>
        <v>BEND905156</v>
      </c>
      <c r="F66" s="3">
        <v>905156.0</v>
      </c>
      <c r="G66" s="3"/>
      <c r="H66" s="3" t="s">
        <v>2294</v>
      </c>
      <c r="I66" s="13">
        <v>0.0</v>
      </c>
      <c r="J66" s="5"/>
      <c r="K66" s="199">
        <f>COUNTIF(postDEL!$AO$2:$AO694,$C66)</f>
        <v>0</v>
      </c>
      <c r="L66" s="212"/>
      <c r="M66" s="11" t="s">
        <v>2221</v>
      </c>
      <c r="N66" s="104" t="b">
        <f t="shared" si="1"/>
        <v>1</v>
      </c>
      <c r="O66" s="5" t="s">
        <v>2227</v>
      </c>
      <c r="P66" s="5" t="s">
        <v>2185</v>
      </c>
      <c r="R66" s="5"/>
      <c r="S66" s="5"/>
      <c r="T66" s="184">
        <v>44587.0</v>
      </c>
      <c r="U66" s="5"/>
      <c r="V66" s="5"/>
      <c r="W66" s="5"/>
      <c r="Y66" s="201" t="str">
        <f t="shared" si="2"/>
        <v/>
      </c>
      <c r="Z66" s="200"/>
      <c r="AA66" s="201" t="s">
        <v>2294</v>
      </c>
      <c r="AB66" s="68">
        <f t="shared" si="3"/>
        <v>1</v>
      </c>
      <c r="AC66" s="210"/>
      <c r="AD66" s="68" t="str">
        <f t="shared" si="4"/>
        <v>NOT</v>
      </c>
      <c r="AE66" s="11"/>
      <c r="AF66" s="11"/>
      <c r="AG66" s="11"/>
      <c r="AH66" s="110">
        <f>COUNTIF(postDEL!$AR$2:$AR694,AG66)</f>
        <v>0</v>
      </c>
      <c r="AI66" s="204"/>
      <c r="AK66" s="200"/>
      <c r="AM66" s="54"/>
      <c r="AN66" s="68" t="str">
        <f t="shared" si="5"/>
        <v/>
      </c>
      <c r="AO66" s="206" t="str">
        <f t="shared" si="6"/>
        <v/>
      </c>
      <c r="AQ66" s="5" t="str">
        <f>CONCATENATE("Sp",Process!$A$1,AR66)</f>
        <v>SpBEND842248</v>
      </c>
      <c r="AR66" s="19">
        <v>842248.0</v>
      </c>
      <c r="AS66" s="200"/>
      <c r="AT66" s="200"/>
      <c r="AU66" s="68"/>
      <c r="AV66" s="11"/>
      <c r="AW66" s="11"/>
      <c r="AX66" s="11"/>
      <c r="AY66" s="67"/>
      <c r="AZ66" s="204"/>
      <c r="BC66" s="68"/>
      <c r="BD66" s="68"/>
      <c r="BF66" s="200"/>
    </row>
    <row r="67">
      <c r="A67" s="11"/>
      <c r="B67" s="11"/>
      <c r="C67" s="11"/>
      <c r="D67" s="110">
        <f>COUNTIF(postDEL!$AR$2:$AR694,$C67)</f>
        <v>0</v>
      </c>
      <c r="E67" s="5" t="str">
        <f>CONCATENATE(Process!$A$1,F67)</f>
        <v>BEND689884</v>
      </c>
      <c r="F67" s="3">
        <v>689884.0</v>
      </c>
      <c r="G67" s="3"/>
      <c r="H67" s="3" t="s">
        <v>2295</v>
      </c>
      <c r="I67" s="13">
        <v>0.0</v>
      </c>
      <c r="J67" s="5"/>
      <c r="K67" s="199">
        <f>COUNTIF(postDEL!$AO$2:$AO694,$C67)</f>
        <v>0</v>
      </c>
      <c r="L67" s="212"/>
      <c r="M67" s="11" t="s">
        <v>2221</v>
      </c>
      <c r="N67" s="104" t="b">
        <f t="shared" si="1"/>
        <v>1</v>
      </c>
      <c r="O67" s="5" t="s">
        <v>2227</v>
      </c>
      <c r="P67" s="5" t="s">
        <v>2185</v>
      </c>
      <c r="R67" s="5"/>
      <c r="S67" s="5"/>
      <c r="T67" s="184"/>
      <c r="U67" s="5"/>
      <c r="V67" s="5"/>
      <c r="W67" s="5"/>
      <c r="Y67" s="201" t="str">
        <f t="shared" si="2"/>
        <v/>
      </c>
      <c r="Z67" s="200"/>
      <c r="AA67" s="201" t="s">
        <v>2295</v>
      </c>
      <c r="AB67" s="68">
        <f t="shared" si="3"/>
        <v>1</v>
      </c>
      <c r="AC67" s="210"/>
      <c r="AD67" s="68" t="str">
        <f t="shared" si="4"/>
        <v>NOT</v>
      </c>
      <c r="AE67" s="11"/>
      <c r="AF67" s="11"/>
      <c r="AG67" s="11"/>
      <c r="AH67" s="110">
        <f>COUNTIF(postDEL!$AR$2:$AR694,AG67)</f>
        <v>0</v>
      </c>
      <c r="AI67" s="204"/>
      <c r="AK67" s="200"/>
      <c r="AM67" s="54"/>
      <c r="AN67" s="68" t="str">
        <f t="shared" si="5"/>
        <v/>
      </c>
      <c r="AO67" s="206" t="str">
        <f t="shared" si="6"/>
        <v/>
      </c>
      <c r="AQ67" s="5" t="str">
        <f>CONCATENATE("Sp",Process!$A$1,AR67)</f>
        <v>SpBEND151586</v>
      </c>
      <c r="AR67" s="19">
        <v>151586.0</v>
      </c>
      <c r="AS67" s="200"/>
      <c r="AT67" s="200"/>
      <c r="AU67" s="68"/>
      <c r="AV67" s="11"/>
      <c r="AW67" s="11"/>
      <c r="AX67" s="11"/>
      <c r="AY67" s="67"/>
      <c r="AZ67" s="204"/>
      <c r="BC67" s="68"/>
      <c r="BD67" s="68"/>
      <c r="BF67" s="200"/>
    </row>
    <row r="68">
      <c r="A68" s="11"/>
      <c r="B68" s="11"/>
      <c r="C68" s="11"/>
      <c r="D68" s="110">
        <f>COUNTIF(postDEL!$AR$2:$AR694,$C68)</f>
        <v>0</v>
      </c>
      <c r="E68" s="5" t="str">
        <f>CONCATENATE(Process!$A$1,F68)</f>
        <v>BEND913575</v>
      </c>
      <c r="F68" s="3">
        <v>913575.0</v>
      </c>
      <c r="G68" s="3"/>
      <c r="H68" s="3" t="s">
        <v>2296</v>
      </c>
      <c r="I68" s="13">
        <v>0.0</v>
      </c>
      <c r="J68" s="5"/>
      <c r="K68" s="199">
        <f>COUNTIF(postDEL!$AO$2:$AO694,$C68)</f>
        <v>0</v>
      </c>
      <c r="L68" s="212"/>
      <c r="M68" s="11" t="s">
        <v>2221</v>
      </c>
      <c r="N68" s="104" t="b">
        <f t="shared" si="1"/>
        <v>1</v>
      </c>
      <c r="O68" s="5" t="s">
        <v>2227</v>
      </c>
      <c r="P68" s="5" t="s">
        <v>2185</v>
      </c>
      <c r="R68" s="5"/>
      <c r="S68" s="5"/>
      <c r="T68" s="184"/>
      <c r="U68" s="5"/>
      <c r="V68" s="5"/>
      <c r="W68" s="5"/>
      <c r="Y68" s="201" t="str">
        <f t="shared" si="2"/>
        <v/>
      </c>
      <c r="Z68" s="200"/>
      <c r="AA68" s="201" t="s">
        <v>2296</v>
      </c>
      <c r="AB68" s="68">
        <f t="shared" si="3"/>
        <v>1</v>
      </c>
      <c r="AC68" s="210"/>
      <c r="AD68" s="68" t="str">
        <f t="shared" si="4"/>
        <v>NOT</v>
      </c>
      <c r="AE68" s="11"/>
      <c r="AF68" s="11"/>
      <c r="AG68" s="11"/>
      <c r="AH68" s="110">
        <f>COUNTIF(postDEL!$AR$2:$AR694,AG68)</f>
        <v>0</v>
      </c>
      <c r="AI68" s="204"/>
      <c r="AK68" s="200"/>
      <c r="AM68" s="54"/>
      <c r="AN68" s="68" t="str">
        <f t="shared" si="5"/>
        <v/>
      </c>
      <c r="AO68" s="206" t="str">
        <f t="shared" si="6"/>
        <v/>
      </c>
      <c r="AQ68" s="5" t="str">
        <f>CONCATENATE("Sp",Process!$A$1,AR68)</f>
        <v>SpBEND977859</v>
      </c>
      <c r="AR68" s="19">
        <v>977859.0</v>
      </c>
      <c r="AS68" s="200"/>
      <c r="AT68" s="200"/>
      <c r="AU68" s="68"/>
      <c r="AV68" s="11"/>
      <c r="AW68" s="11"/>
      <c r="AX68" s="11"/>
      <c r="AY68" s="67"/>
      <c r="AZ68" s="204"/>
      <c r="BC68" s="68"/>
      <c r="BD68" s="68"/>
      <c r="BF68" s="200"/>
    </row>
    <row r="69">
      <c r="A69" s="11"/>
      <c r="B69" s="11"/>
      <c r="C69" s="11"/>
      <c r="D69" s="110">
        <f>COUNTIF(postDEL!$AR$2:$AR694,$C69)</f>
        <v>0</v>
      </c>
      <c r="E69" s="5" t="str">
        <f>CONCATENATE(Process!$A$1,F69)</f>
        <v>BEND835613</v>
      </c>
      <c r="F69" s="3">
        <v>835613.0</v>
      </c>
      <c r="G69" s="3"/>
      <c r="H69" s="3" t="s">
        <v>2297</v>
      </c>
      <c r="I69" s="13">
        <v>0.0</v>
      </c>
      <c r="J69" s="5"/>
      <c r="K69" s="199">
        <f>COUNTIF(postDEL!$AO$2:$AO694,$C69)</f>
        <v>0</v>
      </c>
      <c r="L69" s="212"/>
      <c r="M69" s="11" t="s">
        <v>2221</v>
      </c>
      <c r="N69" s="104" t="b">
        <f t="shared" si="1"/>
        <v>1</v>
      </c>
      <c r="O69" s="5" t="s">
        <v>2222</v>
      </c>
      <c r="P69" s="5" t="s">
        <v>2223</v>
      </c>
      <c r="R69" s="5"/>
      <c r="S69" s="5" t="s">
        <v>2224</v>
      </c>
      <c r="T69" s="184">
        <v>44579.0</v>
      </c>
      <c r="U69" s="5"/>
      <c r="V69" s="5"/>
      <c r="W69" s="5"/>
      <c r="Y69" s="201" t="str">
        <f t="shared" si="2"/>
        <v/>
      </c>
      <c r="Z69" s="200"/>
      <c r="AA69" s="201" t="s">
        <v>2297</v>
      </c>
      <c r="AB69" s="68">
        <f t="shared" si="3"/>
        <v>1</v>
      </c>
      <c r="AC69" s="210"/>
      <c r="AD69" s="68" t="str">
        <f t="shared" si="4"/>
        <v>NOT</v>
      </c>
      <c r="AE69" s="11"/>
      <c r="AF69" s="11"/>
      <c r="AG69" s="11"/>
      <c r="AH69" s="110">
        <f>COUNTIF(postDEL!$AR$2:$AR694,AG69)</f>
        <v>0</v>
      </c>
      <c r="AI69" s="204"/>
      <c r="AK69" s="200"/>
      <c r="AM69" s="54"/>
      <c r="AN69" s="68" t="str">
        <f t="shared" si="5"/>
        <v/>
      </c>
      <c r="AO69" s="206" t="str">
        <f t="shared" si="6"/>
        <v/>
      </c>
      <c r="AQ69" s="5" t="str">
        <f>CONCATENATE("Sp",Process!$A$1,AR69)</f>
        <v>SpBEND184203</v>
      </c>
      <c r="AR69" s="19">
        <v>184203.0</v>
      </c>
      <c r="AS69" s="200"/>
      <c r="AT69" s="200"/>
      <c r="AU69" s="68"/>
      <c r="AV69" s="11"/>
      <c r="AW69" s="11"/>
      <c r="AX69" s="11"/>
      <c r="AY69" s="67"/>
      <c r="AZ69" s="204"/>
      <c r="BC69" s="68"/>
      <c r="BD69" s="68"/>
      <c r="BF69" s="200"/>
    </row>
    <row r="70">
      <c r="A70" s="11"/>
      <c r="B70" s="11"/>
      <c r="C70" s="11"/>
      <c r="D70" s="110">
        <f>COUNTIF(postDEL!$AR$2:$AR694,$C70)</f>
        <v>0</v>
      </c>
      <c r="E70" s="5" t="str">
        <f>CONCATENATE(Process!$A$1,F70)</f>
        <v>BEND584284</v>
      </c>
      <c r="F70" s="3">
        <v>584284.0</v>
      </c>
      <c r="G70" s="3"/>
      <c r="H70" s="3" t="s">
        <v>2298</v>
      </c>
      <c r="I70" s="13">
        <v>0.0</v>
      </c>
      <c r="J70" s="5"/>
      <c r="K70" s="199">
        <f>COUNTIF(postDEL!$AO$2:$AO694,$C70)</f>
        <v>0</v>
      </c>
      <c r="L70" s="212"/>
      <c r="M70" s="11" t="s">
        <v>2221</v>
      </c>
      <c r="N70" s="104" t="b">
        <f t="shared" si="1"/>
        <v>1</v>
      </c>
      <c r="O70" s="5" t="s">
        <v>2222</v>
      </c>
      <c r="P70" s="5" t="s">
        <v>2223</v>
      </c>
      <c r="R70" s="5"/>
      <c r="S70" s="5" t="s">
        <v>2224</v>
      </c>
      <c r="T70" s="184"/>
      <c r="U70" s="5"/>
      <c r="V70" s="5"/>
      <c r="W70" s="5"/>
      <c r="Y70" s="201" t="str">
        <f t="shared" si="2"/>
        <v/>
      </c>
      <c r="Z70" s="200"/>
      <c r="AA70" s="201" t="s">
        <v>2298</v>
      </c>
      <c r="AB70" s="68">
        <f t="shared" si="3"/>
        <v>1</v>
      </c>
      <c r="AC70" s="210"/>
      <c r="AD70" s="68" t="str">
        <f t="shared" si="4"/>
        <v>NOT</v>
      </c>
      <c r="AE70" s="11"/>
      <c r="AF70" s="11"/>
      <c r="AG70" s="11"/>
      <c r="AH70" s="110">
        <f>COUNTIF(postDEL!$AR$2:$AR694,AG70)</f>
        <v>0</v>
      </c>
      <c r="AI70" s="204"/>
      <c r="AK70" s="200"/>
      <c r="AM70" s="54"/>
      <c r="AN70" s="68" t="str">
        <f t="shared" si="5"/>
        <v/>
      </c>
      <c r="AO70" s="206" t="str">
        <f t="shared" si="6"/>
        <v/>
      </c>
      <c r="AQ70" s="5" t="str">
        <f>CONCATENATE("Sp",Process!$A$1,AR70)</f>
        <v>SpBEND980783</v>
      </c>
      <c r="AR70" s="19">
        <v>980783.0</v>
      </c>
      <c r="AS70" s="200"/>
      <c r="AT70" s="200"/>
      <c r="AU70" s="68"/>
      <c r="AV70" s="11"/>
      <c r="AW70" s="11"/>
      <c r="AX70" s="11"/>
      <c r="AY70" s="67"/>
      <c r="AZ70" s="204"/>
      <c r="BC70" s="68"/>
      <c r="BD70" s="68"/>
      <c r="BF70" s="200"/>
    </row>
    <row r="71">
      <c r="A71" s="11"/>
      <c r="B71" s="11"/>
      <c r="C71" s="11"/>
      <c r="D71" s="110">
        <f>COUNTIF(postDEL!$AR$2:$AR694,$C71)</f>
        <v>0</v>
      </c>
      <c r="E71" s="5" t="str">
        <f>CONCATENATE(Process!$A$1,F71)</f>
        <v>BEND493351</v>
      </c>
      <c r="F71" s="3">
        <v>493351.0</v>
      </c>
      <c r="G71" s="3"/>
      <c r="H71" s="3" t="s">
        <v>2299</v>
      </c>
      <c r="I71" s="13">
        <v>0.0</v>
      </c>
      <c r="J71" s="5"/>
      <c r="K71" s="199">
        <f>COUNTIF(postDEL!$AO$2:$AO694,$C71)</f>
        <v>0</v>
      </c>
      <c r="L71" s="212"/>
      <c r="M71" s="11" t="s">
        <v>2221</v>
      </c>
      <c r="N71" s="104" t="b">
        <f t="shared" si="1"/>
        <v>1</v>
      </c>
      <c r="O71" s="5" t="s">
        <v>2222</v>
      </c>
      <c r="P71" s="5" t="s">
        <v>2223</v>
      </c>
      <c r="R71" s="5"/>
      <c r="S71" s="5" t="s">
        <v>2224</v>
      </c>
      <c r="T71" s="184"/>
      <c r="U71" s="5"/>
      <c r="V71" s="5"/>
      <c r="W71" s="5"/>
      <c r="Y71" s="201" t="str">
        <f t="shared" si="2"/>
        <v/>
      </c>
      <c r="Z71" s="200"/>
      <c r="AA71" s="201" t="s">
        <v>2299</v>
      </c>
      <c r="AB71" s="68">
        <f t="shared" si="3"/>
        <v>1</v>
      </c>
      <c r="AC71" s="210"/>
      <c r="AD71" s="68" t="str">
        <f t="shared" si="4"/>
        <v>NOT</v>
      </c>
      <c r="AE71" s="11"/>
      <c r="AF71" s="11"/>
      <c r="AG71" s="11"/>
      <c r="AH71" s="110">
        <f>COUNTIF(postDEL!$AR$2:$AR694,AG71)</f>
        <v>0</v>
      </c>
      <c r="AI71" s="204"/>
      <c r="AK71" s="200"/>
      <c r="AM71" s="54"/>
      <c r="AN71" s="68" t="str">
        <f t="shared" si="5"/>
        <v/>
      </c>
      <c r="AO71" s="206" t="str">
        <f t="shared" si="6"/>
        <v/>
      </c>
      <c r="AQ71" s="5" t="str">
        <f>CONCATENATE("Sp",Process!$A$1,AR71)</f>
        <v>SpBEND279112</v>
      </c>
      <c r="AR71" s="19">
        <v>279112.0</v>
      </c>
      <c r="AS71" s="200"/>
      <c r="AT71" s="200"/>
      <c r="AU71" s="68"/>
      <c r="AV71" s="11"/>
      <c r="AW71" s="11"/>
      <c r="AX71" s="11"/>
      <c r="AY71" s="67"/>
      <c r="AZ71" s="204"/>
      <c r="BC71" s="68"/>
      <c r="BD71" s="68"/>
      <c r="BF71" s="200"/>
    </row>
    <row r="72">
      <c r="A72" s="11"/>
      <c r="B72" s="11"/>
      <c r="C72" s="11"/>
      <c r="D72" s="110">
        <f>COUNTIF(postDEL!$AR$2:$AR694,$C72)</f>
        <v>0</v>
      </c>
      <c r="E72" s="5" t="str">
        <f>CONCATENATE(Process!$A$1,F72)</f>
        <v>BEND199320</v>
      </c>
      <c r="F72" s="3">
        <v>199320.0</v>
      </c>
      <c r="G72" s="3"/>
      <c r="H72" s="3" t="s">
        <v>2300</v>
      </c>
      <c r="I72" s="13">
        <v>0.0</v>
      </c>
      <c r="J72" s="5"/>
      <c r="K72" s="199">
        <f>COUNTIF(postDEL!$AO$2:$AO694,$C72)</f>
        <v>0</v>
      </c>
      <c r="L72" s="212"/>
      <c r="M72" s="11" t="s">
        <v>2221</v>
      </c>
      <c r="N72" s="104" t="b">
        <f t="shared" si="1"/>
        <v>1</v>
      </c>
      <c r="O72" s="5" t="s">
        <v>2222</v>
      </c>
      <c r="P72" s="5" t="s">
        <v>2223</v>
      </c>
      <c r="R72" s="5"/>
      <c r="S72" s="5" t="s">
        <v>2224</v>
      </c>
      <c r="T72" s="184">
        <v>44579.0</v>
      </c>
      <c r="U72" s="5"/>
      <c r="V72" s="5"/>
      <c r="W72" s="5"/>
      <c r="Y72" s="201" t="str">
        <f t="shared" si="2"/>
        <v/>
      </c>
      <c r="Z72" s="200"/>
      <c r="AA72" s="201" t="s">
        <v>2300</v>
      </c>
      <c r="AB72" s="68">
        <f t="shared" si="3"/>
        <v>1</v>
      </c>
      <c r="AC72" s="210"/>
      <c r="AD72" s="68" t="str">
        <f t="shared" si="4"/>
        <v>NOT</v>
      </c>
      <c r="AE72" s="11"/>
      <c r="AF72" s="11"/>
      <c r="AG72" s="11"/>
      <c r="AH72" s="110">
        <f>COUNTIF(postDEL!$AR$2:$AR694,AG72)</f>
        <v>0</v>
      </c>
      <c r="AI72" s="204"/>
      <c r="AK72" s="200"/>
      <c r="AM72" s="54"/>
      <c r="AN72" s="68" t="str">
        <f t="shared" si="5"/>
        <v/>
      </c>
      <c r="AO72" s="206" t="str">
        <f t="shared" si="6"/>
        <v/>
      </c>
      <c r="AQ72" s="5" t="str">
        <f>CONCATENATE("Sp",Process!$A$1,AR72)</f>
        <v>SpBEND672680</v>
      </c>
      <c r="AR72" s="19">
        <v>672680.0</v>
      </c>
      <c r="AS72" s="200"/>
      <c r="AT72" s="200"/>
      <c r="AU72" s="68"/>
      <c r="AV72" s="11"/>
      <c r="AW72" s="11"/>
      <c r="AX72" s="11"/>
      <c r="AY72" s="67"/>
      <c r="AZ72" s="204"/>
      <c r="BC72" s="68"/>
      <c r="BD72" s="68"/>
      <c r="BF72" s="200"/>
    </row>
    <row r="73">
      <c r="A73" s="11"/>
      <c r="B73" s="11"/>
      <c r="C73" s="11"/>
      <c r="D73" s="110">
        <f>COUNTIF(postDEL!$AR$2:$AR694,$C73)</f>
        <v>0</v>
      </c>
      <c r="E73" s="5" t="str">
        <f>CONCATENATE(Process!$A$1,F73)</f>
        <v>BEND470695</v>
      </c>
      <c r="F73" s="3">
        <v>470695.0</v>
      </c>
      <c r="G73" s="3"/>
      <c r="H73" s="3" t="s">
        <v>2301</v>
      </c>
      <c r="I73" s="13">
        <v>0.0</v>
      </c>
      <c r="J73" s="5"/>
      <c r="K73" s="199">
        <f>COUNTIF(postDEL!$AO$2:$AO694,$C73)</f>
        <v>0</v>
      </c>
      <c r="L73" s="212"/>
      <c r="M73" s="11" t="s">
        <v>2221</v>
      </c>
      <c r="N73" s="104" t="b">
        <f t="shared" si="1"/>
        <v>1</v>
      </c>
      <c r="O73" s="5" t="s">
        <v>2222</v>
      </c>
      <c r="P73" s="5" t="s">
        <v>2223</v>
      </c>
      <c r="R73" s="5"/>
      <c r="S73" s="5" t="s">
        <v>2224</v>
      </c>
      <c r="T73" s="184">
        <v>44568.0</v>
      </c>
      <c r="U73" s="5"/>
      <c r="V73" s="5"/>
      <c r="W73" s="5"/>
      <c r="Y73" s="201" t="str">
        <f t="shared" si="2"/>
        <v/>
      </c>
      <c r="Z73" s="200"/>
      <c r="AA73" s="201" t="s">
        <v>2301</v>
      </c>
      <c r="AB73" s="68">
        <f t="shared" si="3"/>
        <v>1</v>
      </c>
      <c r="AC73" s="210"/>
      <c r="AD73" s="68" t="str">
        <f t="shared" si="4"/>
        <v>NOT</v>
      </c>
      <c r="AE73" s="11"/>
      <c r="AF73" s="11"/>
      <c r="AG73" s="11"/>
      <c r="AH73" s="110">
        <f>COUNTIF(postDEL!$AR$2:$AR694,AG73)</f>
        <v>0</v>
      </c>
      <c r="AI73" s="204"/>
      <c r="AK73" s="200"/>
      <c r="AM73" s="54"/>
      <c r="AN73" s="68" t="str">
        <f t="shared" si="5"/>
        <v/>
      </c>
      <c r="AO73" s="206" t="str">
        <f t="shared" si="6"/>
        <v/>
      </c>
      <c r="AQ73" s="5" t="str">
        <f>CONCATENATE("Sp",Process!$A$1,AR73)</f>
        <v>SpBEND349435</v>
      </c>
      <c r="AR73" s="19">
        <v>349435.0</v>
      </c>
      <c r="AS73" s="200"/>
      <c r="AT73" s="200"/>
      <c r="AU73" s="68"/>
      <c r="AV73" s="11"/>
      <c r="AW73" s="11"/>
      <c r="AX73" s="11"/>
      <c r="AY73" s="67"/>
      <c r="AZ73" s="204"/>
      <c r="BC73" s="68"/>
      <c r="BD73" s="68"/>
      <c r="BF73" s="200"/>
    </row>
    <row r="74">
      <c r="A74" s="11"/>
      <c r="B74" s="11"/>
      <c r="C74" s="11"/>
      <c r="D74" s="110">
        <f>COUNTIF(postDEL!$AR$2:$AR694,$C74)</f>
        <v>0</v>
      </c>
      <c r="E74" s="5" t="str">
        <f>CONCATENATE(Process!$A$1,F74)</f>
        <v>BEND886978</v>
      </c>
      <c r="F74" s="3">
        <v>886978.0</v>
      </c>
      <c r="G74" s="3"/>
      <c r="H74" s="3" t="s">
        <v>2302</v>
      </c>
      <c r="I74" s="13">
        <v>0.0</v>
      </c>
      <c r="J74" s="5"/>
      <c r="K74" s="199">
        <f>COUNTIF(postDEL!$AO$2:$AO694,$C74)</f>
        <v>0</v>
      </c>
      <c r="L74" s="212"/>
      <c r="M74" s="11" t="s">
        <v>2221</v>
      </c>
      <c r="N74" s="104" t="b">
        <f t="shared" si="1"/>
        <v>1</v>
      </c>
      <c r="O74" s="5" t="s">
        <v>2222</v>
      </c>
      <c r="P74" s="5" t="s">
        <v>2223</v>
      </c>
      <c r="R74" s="5"/>
      <c r="S74" s="5" t="s">
        <v>2224</v>
      </c>
      <c r="T74" s="184">
        <v>44582.0</v>
      </c>
      <c r="U74" s="5"/>
      <c r="V74" s="5"/>
      <c r="W74" s="5"/>
      <c r="Y74" s="201" t="str">
        <f t="shared" si="2"/>
        <v/>
      </c>
      <c r="Z74" s="200"/>
      <c r="AA74" s="201" t="s">
        <v>2302</v>
      </c>
      <c r="AB74" s="68">
        <f t="shared" si="3"/>
        <v>1</v>
      </c>
      <c r="AC74" s="210"/>
      <c r="AD74" s="68" t="str">
        <f t="shared" si="4"/>
        <v>NOT</v>
      </c>
      <c r="AE74" s="11"/>
      <c r="AF74" s="11"/>
      <c r="AG74" s="11"/>
      <c r="AH74" s="110">
        <f>COUNTIF(postDEL!$AR$2:$AR694,AG74)</f>
        <v>0</v>
      </c>
      <c r="AI74" s="204"/>
      <c r="AK74" s="200"/>
      <c r="AM74" s="54"/>
      <c r="AN74" s="68" t="str">
        <f t="shared" si="5"/>
        <v/>
      </c>
      <c r="AO74" s="206" t="str">
        <f t="shared" si="6"/>
        <v/>
      </c>
      <c r="AQ74" s="5" t="str">
        <f>CONCATENATE("Sp",Process!$A$1,AR74)</f>
        <v>SpBEND413838</v>
      </c>
      <c r="AR74" s="19">
        <v>413838.0</v>
      </c>
      <c r="AS74" s="200"/>
      <c r="AT74" s="200"/>
      <c r="AU74" s="68"/>
      <c r="AV74" s="11"/>
      <c r="AW74" s="11"/>
      <c r="AX74" s="11"/>
      <c r="AY74" s="67"/>
      <c r="AZ74" s="204"/>
      <c r="BC74" s="68"/>
      <c r="BD74" s="68"/>
      <c r="BF74" s="200"/>
    </row>
    <row r="75">
      <c r="A75" s="11"/>
      <c r="B75" s="11"/>
      <c r="C75" s="11"/>
      <c r="D75" s="110">
        <f>COUNTIF(postDEL!$AR$2:$AR694,$C75)</f>
        <v>0</v>
      </c>
      <c r="E75" s="5" t="str">
        <f>CONCATENATE(Process!$A$1,F75)</f>
        <v>BEND944448</v>
      </c>
      <c r="F75" s="3">
        <v>944448.0</v>
      </c>
      <c r="G75" s="3"/>
      <c r="H75" s="3" t="s">
        <v>2303</v>
      </c>
      <c r="I75" s="13">
        <v>0.0</v>
      </c>
      <c r="J75" s="5"/>
      <c r="K75" s="199">
        <f>COUNTIF(postDEL!$AO$2:$AO694,$C75)</f>
        <v>0</v>
      </c>
      <c r="L75" s="212"/>
      <c r="M75" s="11" t="s">
        <v>2221</v>
      </c>
      <c r="N75" s="104" t="b">
        <f t="shared" si="1"/>
        <v>1</v>
      </c>
      <c r="O75" s="5" t="s">
        <v>2222</v>
      </c>
      <c r="P75" s="5" t="s">
        <v>2223</v>
      </c>
      <c r="R75" s="5"/>
      <c r="S75" s="5" t="s">
        <v>2224</v>
      </c>
      <c r="T75" s="184"/>
      <c r="U75" s="5"/>
      <c r="V75" s="5"/>
      <c r="W75" s="5"/>
      <c r="Y75" s="201" t="str">
        <f t="shared" si="2"/>
        <v/>
      </c>
      <c r="Z75" s="200"/>
      <c r="AA75" s="201" t="s">
        <v>2303</v>
      </c>
      <c r="AB75" s="68">
        <f t="shared" si="3"/>
        <v>1</v>
      </c>
      <c r="AC75" s="210"/>
      <c r="AD75" s="68" t="str">
        <f t="shared" si="4"/>
        <v>NOT</v>
      </c>
      <c r="AE75" s="11"/>
      <c r="AF75" s="11"/>
      <c r="AG75" s="11"/>
      <c r="AH75" s="110">
        <f>COUNTIF(postDEL!$AR$2:$AR694,AG75)</f>
        <v>0</v>
      </c>
      <c r="AI75" s="204"/>
      <c r="AK75" s="200"/>
      <c r="AM75" s="54"/>
      <c r="AN75" s="68" t="str">
        <f t="shared" si="5"/>
        <v/>
      </c>
      <c r="AO75" s="206" t="str">
        <f t="shared" si="6"/>
        <v/>
      </c>
      <c r="AQ75" s="5" t="str">
        <f>CONCATENATE("Sp",Process!$A$1,AR75)</f>
        <v>SpBEND183210</v>
      </c>
      <c r="AR75" s="19">
        <v>183210.0</v>
      </c>
      <c r="AS75" s="200"/>
      <c r="AT75" s="200"/>
      <c r="AU75" s="68"/>
      <c r="AV75" s="11"/>
      <c r="AW75" s="11"/>
      <c r="AX75" s="11"/>
      <c r="AY75" s="67"/>
      <c r="AZ75" s="204"/>
      <c r="BC75" s="68"/>
      <c r="BD75" s="68"/>
      <c r="BF75" s="200"/>
    </row>
    <row r="76">
      <c r="A76" s="11"/>
      <c r="B76" s="11"/>
      <c r="C76" s="11"/>
      <c r="D76" s="110">
        <f>COUNTIF(postDEL!$AR$2:$AR694,$C76)</f>
        <v>0</v>
      </c>
      <c r="E76" s="5" t="str">
        <f>CONCATENATE(Process!$A$1,F76)</f>
        <v>BEND927956</v>
      </c>
      <c r="F76" s="3">
        <v>927956.0</v>
      </c>
      <c r="G76" s="3"/>
      <c r="H76" s="3" t="s">
        <v>2304</v>
      </c>
      <c r="I76" s="13">
        <v>0.0</v>
      </c>
      <c r="J76" s="5"/>
      <c r="K76" s="199">
        <f>COUNTIF(postDEL!$AO$2:$AO694,$C76)</f>
        <v>0</v>
      </c>
      <c r="L76" s="212"/>
      <c r="M76" s="11" t="s">
        <v>2221</v>
      </c>
      <c r="N76" s="104" t="b">
        <f t="shared" si="1"/>
        <v>1</v>
      </c>
      <c r="O76" s="5" t="s">
        <v>2222</v>
      </c>
      <c r="P76" s="5" t="s">
        <v>2223</v>
      </c>
      <c r="R76" s="5"/>
      <c r="S76" s="5" t="s">
        <v>2224</v>
      </c>
      <c r="T76" s="184">
        <v>44561.0</v>
      </c>
      <c r="U76" s="5"/>
      <c r="V76" s="5"/>
      <c r="W76" s="5"/>
      <c r="Y76" s="201" t="str">
        <f t="shared" si="2"/>
        <v/>
      </c>
      <c r="Z76" s="200"/>
      <c r="AA76" s="201" t="s">
        <v>2304</v>
      </c>
      <c r="AB76" s="68">
        <f t="shared" si="3"/>
        <v>1</v>
      </c>
      <c r="AC76" s="210"/>
      <c r="AD76" s="68" t="str">
        <f t="shared" si="4"/>
        <v>NOT</v>
      </c>
      <c r="AE76" s="11"/>
      <c r="AF76" s="11"/>
      <c r="AG76" s="11"/>
      <c r="AH76" s="110">
        <f>COUNTIF(postDEL!$AR$2:$AR694,AG76)</f>
        <v>0</v>
      </c>
      <c r="AI76" s="204"/>
      <c r="AK76" s="200"/>
      <c r="AM76" s="54"/>
      <c r="AN76" s="68" t="str">
        <f t="shared" si="5"/>
        <v/>
      </c>
      <c r="AO76" s="206" t="str">
        <f t="shared" si="6"/>
        <v/>
      </c>
      <c r="AQ76" s="5" t="str">
        <f>CONCATENATE("Sp",Process!$A$1,AR76)</f>
        <v>SpBEND372845</v>
      </c>
      <c r="AR76" s="19">
        <v>372845.0</v>
      </c>
      <c r="AS76" s="200"/>
      <c r="AT76" s="200"/>
      <c r="AU76" s="68"/>
      <c r="AV76" s="11"/>
      <c r="AW76" s="11"/>
      <c r="AX76" s="11"/>
      <c r="AY76" s="67"/>
      <c r="AZ76" s="204"/>
      <c r="BC76" s="68"/>
      <c r="BD76" s="68"/>
      <c r="BF76" s="200"/>
    </row>
    <row r="77">
      <c r="A77" s="11"/>
      <c r="B77" s="11"/>
      <c r="C77" s="11"/>
      <c r="D77" s="110">
        <f>COUNTIF(postDEL!$AR$2:$AR694,$C77)</f>
        <v>0</v>
      </c>
      <c r="E77" s="5" t="str">
        <f>CONCATENATE(Process!$A$1,F77)</f>
        <v>BEND230018</v>
      </c>
      <c r="F77" s="3">
        <v>230018.0</v>
      </c>
      <c r="G77" s="3"/>
      <c r="H77" s="3" t="s">
        <v>2305</v>
      </c>
      <c r="I77" s="13">
        <v>0.0</v>
      </c>
      <c r="J77" s="5"/>
      <c r="K77" s="199">
        <f>COUNTIF(postDEL!$AO$2:$AO694,$C77)</f>
        <v>0</v>
      </c>
      <c r="L77" s="212"/>
      <c r="M77" s="11" t="s">
        <v>2221</v>
      </c>
      <c r="N77" s="104" t="b">
        <f t="shared" si="1"/>
        <v>1</v>
      </c>
      <c r="O77" s="5" t="s">
        <v>2222</v>
      </c>
      <c r="P77" s="5" t="s">
        <v>2223</v>
      </c>
      <c r="R77" s="5"/>
      <c r="S77" s="5" t="s">
        <v>2224</v>
      </c>
      <c r="T77" s="184"/>
      <c r="U77" s="5"/>
      <c r="V77" s="5"/>
      <c r="W77" s="5"/>
      <c r="Y77" s="201" t="str">
        <f t="shared" si="2"/>
        <v/>
      </c>
      <c r="Z77" s="200"/>
      <c r="AA77" s="201" t="s">
        <v>2305</v>
      </c>
      <c r="AB77" s="68">
        <f t="shared" si="3"/>
        <v>1</v>
      </c>
      <c r="AC77" s="210"/>
      <c r="AD77" s="68" t="str">
        <f t="shared" si="4"/>
        <v>NOT</v>
      </c>
      <c r="AE77" s="11"/>
      <c r="AF77" s="11"/>
      <c r="AG77" s="11"/>
      <c r="AH77" s="110">
        <f>COUNTIF(postDEL!$AR$2:$AR694,AG77)</f>
        <v>0</v>
      </c>
      <c r="AI77" s="204"/>
      <c r="AK77" s="200"/>
      <c r="AM77" s="54"/>
      <c r="AN77" s="68" t="str">
        <f t="shared" si="5"/>
        <v/>
      </c>
      <c r="AO77" s="206" t="str">
        <f t="shared" si="6"/>
        <v/>
      </c>
      <c r="AQ77" s="5" t="str">
        <f>CONCATENATE("Sp",Process!$A$1,AR77)</f>
        <v>SpBEND474338</v>
      </c>
      <c r="AR77" s="19">
        <v>474338.0</v>
      </c>
      <c r="AS77" s="200"/>
      <c r="AT77" s="200"/>
      <c r="AU77" s="68"/>
      <c r="AV77" s="11"/>
      <c r="AW77" s="11"/>
      <c r="AX77" s="11"/>
      <c r="AY77" s="67"/>
      <c r="AZ77" s="204"/>
      <c r="BC77" s="68"/>
      <c r="BD77" s="68"/>
      <c r="BF77" s="200"/>
    </row>
    <row r="78">
      <c r="A78" s="11"/>
      <c r="B78" s="11"/>
      <c r="C78" s="11"/>
      <c r="D78" s="110">
        <f>COUNTIF(postDEL!$AR$2:$AR694,$C78)</f>
        <v>0</v>
      </c>
      <c r="E78" s="5" t="str">
        <f>CONCATENATE(Process!$A$1,F78)</f>
        <v>BEND350325</v>
      </c>
      <c r="F78" s="3">
        <v>350325.0</v>
      </c>
      <c r="G78" s="3"/>
      <c r="H78" s="3" t="s">
        <v>2306</v>
      </c>
      <c r="I78" s="13">
        <v>0.0</v>
      </c>
      <c r="J78" s="5"/>
      <c r="K78" s="199">
        <f>COUNTIF(postDEL!$AO$2:$AO694,$C78)</f>
        <v>0</v>
      </c>
      <c r="L78" s="212"/>
      <c r="M78" s="11" t="s">
        <v>2221</v>
      </c>
      <c r="N78" s="104" t="b">
        <f t="shared" si="1"/>
        <v>1</v>
      </c>
      <c r="O78" s="5" t="s">
        <v>2222</v>
      </c>
      <c r="P78" s="5" t="s">
        <v>2223</v>
      </c>
      <c r="R78" s="5"/>
      <c r="S78" s="5" t="s">
        <v>2224</v>
      </c>
      <c r="T78" s="184">
        <v>44582.0</v>
      </c>
      <c r="U78" s="5"/>
      <c r="V78" s="5"/>
      <c r="W78" s="5"/>
      <c r="Y78" s="201" t="str">
        <f t="shared" si="2"/>
        <v/>
      </c>
      <c r="Z78" s="200"/>
      <c r="AA78" s="201" t="s">
        <v>2306</v>
      </c>
      <c r="AB78" s="68">
        <f t="shared" si="3"/>
        <v>1</v>
      </c>
      <c r="AC78" s="210"/>
      <c r="AD78" s="68" t="str">
        <f t="shared" si="4"/>
        <v>NOT</v>
      </c>
      <c r="AE78" s="11"/>
      <c r="AF78" s="11"/>
      <c r="AG78" s="11"/>
      <c r="AH78" s="110">
        <f>COUNTIF(postDEL!$AR$2:$AR694,AG78)</f>
        <v>0</v>
      </c>
      <c r="AI78" s="204"/>
      <c r="AK78" s="200"/>
      <c r="AM78" s="54"/>
      <c r="AN78" s="68" t="str">
        <f t="shared" si="5"/>
        <v/>
      </c>
      <c r="AO78" s="206" t="str">
        <f t="shared" si="6"/>
        <v/>
      </c>
      <c r="AQ78" s="5" t="str">
        <f>CONCATENATE("Sp",Process!$A$1,AR78)</f>
        <v>SpBEND385421</v>
      </c>
      <c r="AR78" s="19">
        <v>385421.0</v>
      </c>
      <c r="AS78" s="200"/>
      <c r="AT78" s="200"/>
      <c r="AU78" s="68"/>
      <c r="AV78" s="11"/>
      <c r="AW78" s="11"/>
      <c r="AX78" s="11"/>
      <c r="AY78" s="67"/>
      <c r="AZ78" s="204"/>
      <c r="BC78" s="68"/>
      <c r="BD78" s="68"/>
      <c r="BF78" s="200"/>
    </row>
    <row r="79">
      <c r="A79" s="11"/>
      <c r="B79" s="11"/>
      <c r="C79" s="11"/>
      <c r="D79" s="110">
        <f>COUNTIF(postDEL!$AR$2:$AR694,$C79)</f>
        <v>0</v>
      </c>
      <c r="E79" s="5" t="str">
        <f>CONCATENATE(Process!$A$1,F79)</f>
        <v>BEND281843</v>
      </c>
      <c r="F79" s="3">
        <v>281843.0</v>
      </c>
      <c r="G79" s="3"/>
      <c r="H79" s="3" t="s">
        <v>2307</v>
      </c>
      <c r="I79" s="13">
        <v>0.0</v>
      </c>
      <c r="J79" s="5"/>
      <c r="K79" s="199">
        <f>COUNTIF(postDEL!$AO$2:$AO694,$C79)</f>
        <v>0</v>
      </c>
      <c r="L79" s="212"/>
      <c r="M79" s="11" t="s">
        <v>2221</v>
      </c>
      <c r="N79" s="104" t="b">
        <f t="shared" si="1"/>
        <v>1</v>
      </c>
      <c r="O79" s="5" t="s">
        <v>2222</v>
      </c>
      <c r="P79" s="5" t="s">
        <v>2223</v>
      </c>
      <c r="R79" s="5"/>
      <c r="S79" s="5" t="s">
        <v>2224</v>
      </c>
      <c r="T79" s="184">
        <v>44603.0</v>
      </c>
      <c r="U79" s="5"/>
      <c r="V79" s="5"/>
      <c r="W79" s="5"/>
      <c r="Y79" s="201" t="str">
        <f t="shared" si="2"/>
        <v/>
      </c>
      <c r="Z79" s="200"/>
      <c r="AA79" s="201" t="s">
        <v>2307</v>
      </c>
      <c r="AB79" s="68">
        <f t="shared" si="3"/>
        <v>1</v>
      </c>
      <c r="AC79" s="210"/>
      <c r="AD79" s="68" t="str">
        <f t="shared" si="4"/>
        <v>NOT</v>
      </c>
      <c r="AE79" s="11"/>
      <c r="AF79" s="11"/>
      <c r="AG79" s="11"/>
      <c r="AH79" s="110">
        <f>COUNTIF(postDEL!$AR$2:$AR694,AG79)</f>
        <v>0</v>
      </c>
      <c r="AI79" s="204"/>
      <c r="AK79" s="200"/>
      <c r="AM79" s="54"/>
      <c r="AN79" s="68" t="str">
        <f t="shared" si="5"/>
        <v/>
      </c>
      <c r="AO79" s="206" t="str">
        <f t="shared" si="6"/>
        <v/>
      </c>
      <c r="AQ79" s="5" t="str">
        <f>CONCATENATE("Sp",Process!$A$1,AR79)</f>
        <v>SpBEND845568</v>
      </c>
      <c r="AR79" s="19">
        <v>845568.0</v>
      </c>
      <c r="AS79" s="200"/>
      <c r="AT79" s="200"/>
      <c r="AU79" s="68"/>
      <c r="AV79" s="11"/>
      <c r="AW79" s="11"/>
      <c r="AX79" s="11"/>
      <c r="AY79" s="67"/>
      <c r="AZ79" s="204"/>
      <c r="BC79" s="68"/>
      <c r="BD79" s="68"/>
      <c r="BF79" s="200"/>
    </row>
    <row r="80">
      <c r="A80" s="11"/>
      <c r="B80" s="11"/>
      <c r="C80" s="11"/>
      <c r="D80" s="110">
        <f>COUNTIF(postDEL!$AR$2:$AR694,$C80)</f>
        <v>0</v>
      </c>
      <c r="E80" s="5" t="str">
        <f>CONCATENATE(Process!$A$1,F80)</f>
        <v>BEND477901</v>
      </c>
      <c r="F80" s="3">
        <v>477901.0</v>
      </c>
      <c r="G80" s="3"/>
      <c r="H80" s="3" t="s">
        <v>2308</v>
      </c>
      <c r="I80" s="13">
        <v>0.0</v>
      </c>
      <c r="J80" s="5"/>
      <c r="K80" s="199">
        <f>COUNTIF(postDEL!$AO$2:$AO694,$C80)</f>
        <v>0</v>
      </c>
      <c r="L80" s="212"/>
      <c r="M80" s="11" t="s">
        <v>2221</v>
      </c>
      <c r="N80" s="104" t="b">
        <f t="shared" si="1"/>
        <v>1</v>
      </c>
      <c r="O80" s="5" t="s">
        <v>2235</v>
      </c>
      <c r="P80" s="5" t="s">
        <v>2223</v>
      </c>
      <c r="R80" s="5"/>
      <c r="S80" s="5" t="s">
        <v>2224</v>
      </c>
      <c r="T80" s="184">
        <v>44615.0</v>
      </c>
      <c r="U80" s="5"/>
      <c r="V80" s="5"/>
      <c r="W80" s="5"/>
      <c r="Y80" s="201" t="str">
        <f t="shared" si="2"/>
        <v/>
      </c>
      <c r="Z80" s="200"/>
      <c r="AA80" s="201" t="s">
        <v>2308</v>
      </c>
      <c r="AB80" s="68">
        <f t="shared" si="3"/>
        <v>1</v>
      </c>
      <c r="AC80" s="210"/>
      <c r="AD80" s="68" t="str">
        <f t="shared" si="4"/>
        <v>NOT</v>
      </c>
      <c r="AE80" s="11"/>
      <c r="AF80" s="11"/>
      <c r="AG80" s="11"/>
      <c r="AH80" s="110">
        <f>COUNTIF(postDEL!$AR$2:$AR694,AG80)</f>
        <v>0</v>
      </c>
      <c r="AI80" s="204"/>
      <c r="AK80" s="200"/>
      <c r="AM80" s="54"/>
      <c r="AN80" s="68" t="str">
        <f t="shared" si="5"/>
        <v/>
      </c>
      <c r="AO80" s="206" t="str">
        <f t="shared" si="6"/>
        <v/>
      </c>
      <c r="AQ80" s="5" t="str">
        <f>CONCATENATE("Sp",Process!$A$1,AR80)</f>
        <v>SpBEND642175</v>
      </c>
      <c r="AR80" s="19">
        <v>642175.0</v>
      </c>
      <c r="AS80" s="200"/>
      <c r="AT80" s="200"/>
      <c r="AU80" s="68"/>
      <c r="AV80" s="11"/>
      <c r="AW80" s="11"/>
      <c r="AX80" s="11"/>
      <c r="AY80" s="67"/>
      <c r="AZ80" s="204"/>
      <c r="BC80" s="68"/>
      <c r="BD80" s="68"/>
      <c r="BF80" s="200"/>
    </row>
    <row r="81">
      <c r="A81" s="11"/>
      <c r="B81" s="11"/>
      <c r="C81" s="11"/>
      <c r="D81" s="110">
        <f>COUNTIF(postDEL!$AR$2:$AR694,$C81)</f>
        <v>0</v>
      </c>
      <c r="E81" s="5" t="str">
        <f>CONCATENATE(Process!$A$1,F81)</f>
        <v>BEND772881</v>
      </c>
      <c r="F81" s="3">
        <v>772881.0</v>
      </c>
      <c r="G81" s="3"/>
      <c r="H81" s="3" t="s">
        <v>2309</v>
      </c>
      <c r="I81" s="13">
        <v>0.0</v>
      </c>
      <c r="J81" s="5"/>
      <c r="K81" s="199">
        <f>COUNTIF(postDEL!$AO$2:$AO694,$C81)</f>
        <v>0</v>
      </c>
      <c r="L81" s="212"/>
      <c r="M81" s="11" t="s">
        <v>2221</v>
      </c>
      <c r="N81" s="104" t="b">
        <f t="shared" si="1"/>
        <v>1</v>
      </c>
      <c r="O81" s="5" t="s">
        <v>2222</v>
      </c>
      <c r="P81" s="5" t="s">
        <v>2223</v>
      </c>
      <c r="R81" s="5"/>
      <c r="S81" s="5" t="s">
        <v>2224</v>
      </c>
      <c r="T81" s="184">
        <v>44579.0</v>
      </c>
      <c r="U81" s="5"/>
      <c r="V81" s="5"/>
      <c r="W81" s="5"/>
      <c r="Y81" s="201" t="str">
        <f t="shared" si="2"/>
        <v/>
      </c>
      <c r="Z81" s="200"/>
      <c r="AA81" s="201" t="s">
        <v>2309</v>
      </c>
      <c r="AB81" s="68">
        <f t="shared" si="3"/>
        <v>1</v>
      </c>
      <c r="AC81" s="210"/>
      <c r="AD81" s="68" t="str">
        <f t="shared" si="4"/>
        <v>NOT</v>
      </c>
      <c r="AE81" s="11"/>
      <c r="AF81" s="11"/>
      <c r="AG81" s="11"/>
      <c r="AH81" s="110">
        <f>COUNTIF(postDEL!$AR$2:$AR694,AG81)</f>
        <v>0</v>
      </c>
      <c r="AI81" s="204"/>
      <c r="AK81" s="200"/>
      <c r="AM81" s="54"/>
      <c r="AN81" s="68" t="str">
        <f t="shared" si="5"/>
        <v/>
      </c>
      <c r="AO81" s="206" t="str">
        <f t="shared" si="6"/>
        <v/>
      </c>
      <c r="AQ81" s="5" t="str">
        <f>CONCATENATE("Sp",Process!$A$1,AR81)</f>
        <v>SpBEND691307</v>
      </c>
      <c r="AR81" s="19">
        <v>691307.0</v>
      </c>
      <c r="AS81" s="200"/>
      <c r="AT81" s="200"/>
      <c r="AU81" s="68"/>
      <c r="AV81" s="11"/>
      <c r="AW81" s="11"/>
      <c r="AX81" s="11"/>
      <c r="AY81" s="67"/>
      <c r="AZ81" s="204"/>
      <c r="BC81" s="68"/>
      <c r="BD81" s="68"/>
      <c r="BF81" s="200"/>
    </row>
    <row r="82">
      <c r="A82" s="11"/>
      <c r="B82" s="11"/>
      <c r="C82" s="11"/>
      <c r="D82" s="110">
        <f>COUNTIF(postDEL!$AR$2:$AR694,$C82)</f>
        <v>0</v>
      </c>
      <c r="E82" s="5" t="str">
        <f>CONCATENATE(Process!$A$1,F82)</f>
        <v>BEND714296</v>
      </c>
      <c r="F82" s="3">
        <v>714296.0</v>
      </c>
      <c r="G82" s="3"/>
      <c r="H82" s="3" t="s">
        <v>2310</v>
      </c>
      <c r="I82" s="13">
        <v>0.0</v>
      </c>
      <c r="J82" s="5"/>
      <c r="K82" s="199">
        <f>COUNTIF(postDEL!$AO$2:$AO694,$C82)</f>
        <v>0</v>
      </c>
      <c r="L82" s="212"/>
      <c r="M82" s="11" t="s">
        <v>2221</v>
      </c>
      <c r="N82" s="104" t="b">
        <f t="shared" si="1"/>
        <v>1</v>
      </c>
      <c r="O82" s="5" t="s">
        <v>2222</v>
      </c>
      <c r="P82" s="5" t="s">
        <v>2223</v>
      </c>
      <c r="R82" s="5"/>
      <c r="S82" s="5" t="s">
        <v>2249</v>
      </c>
      <c r="T82" s="184">
        <v>44604.0</v>
      </c>
      <c r="U82" s="5"/>
      <c r="V82" s="5"/>
      <c r="W82" s="5"/>
      <c r="Y82" s="201" t="str">
        <f t="shared" si="2"/>
        <v/>
      </c>
      <c r="Z82" s="200"/>
      <c r="AA82" s="201" t="s">
        <v>2310</v>
      </c>
      <c r="AB82" s="68">
        <f t="shared" si="3"/>
        <v>1</v>
      </c>
      <c r="AC82" s="210"/>
      <c r="AD82" s="68" t="str">
        <f t="shared" si="4"/>
        <v>NOT</v>
      </c>
      <c r="AE82" s="11"/>
      <c r="AF82" s="11"/>
      <c r="AG82" s="11"/>
      <c r="AH82" s="110">
        <f>COUNTIF(postDEL!$AR$2:$AR694,AG82)</f>
        <v>0</v>
      </c>
      <c r="AI82" s="204"/>
      <c r="AK82" s="200"/>
      <c r="AM82" s="54"/>
      <c r="AN82" s="68" t="str">
        <f t="shared" si="5"/>
        <v/>
      </c>
      <c r="AO82" s="206" t="str">
        <f t="shared" si="6"/>
        <v/>
      </c>
      <c r="AQ82" s="5" t="str">
        <f>CONCATENATE("Sp",Process!$A$1,AR82)</f>
        <v>SpBEND721986</v>
      </c>
      <c r="AR82" s="19">
        <v>721986.0</v>
      </c>
      <c r="AS82" s="200"/>
      <c r="AT82" s="200"/>
      <c r="AU82" s="68"/>
      <c r="AV82" s="11"/>
      <c r="AW82" s="11"/>
      <c r="AX82" s="11"/>
      <c r="AY82" s="67"/>
      <c r="AZ82" s="204"/>
      <c r="BC82" s="68"/>
      <c r="BD82" s="68"/>
      <c r="BF82" s="200"/>
    </row>
    <row r="83">
      <c r="A83" s="11"/>
      <c r="B83" s="11"/>
      <c r="C83" s="11"/>
      <c r="D83" s="110">
        <f>COUNTIF(postDEL!$AR$2:$AR694,$C83)</f>
        <v>0</v>
      </c>
      <c r="E83" s="5" t="str">
        <f>CONCATENATE(Process!$A$1,F83)</f>
        <v>BEND273237</v>
      </c>
      <c r="F83" s="3">
        <v>273237.0</v>
      </c>
      <c r="G83" s="3"/>
      <c r="H83" s="3" t="s">
        <v>2311</v>
      </c>
      <c r="I83" s="13">
        <v>0.0</v>
      </c>
      <c r="J83" s="5"/>
      <c r="K83" s="199">
        <f>COUNTIF(postDEL!$AO$2:$AO694,$C83)</f>
        <v>0</v>
      </c>
      <c r="L83" s="212"/>
      <c r="M83" s="11" t="s">
        <v>2221</v>
      </c>
      <c r="N83" s="104" t="b">
        <f t="shared" si="1"/>
        <v>1</v>
      </c>
      <c r="O83" s="5" t="s">
        <v>2222</v>
      </c>
      <c r="P83" s="5" t="s">
        <v>2223</v>
      </c>
      <c r="R83" s="5"/>
      <c r="S83" s="5" t="s">
        <v>2224</v>
      </c>
      <c r="T83" s="184"/>
      <c r="U83" s="5"/>
      <c r="V83" s="5"/>
      <c r="W83" s="5"/>
      <c r="Y83" s="201" t="str">
        <f t="shared" si="2"/>
        <v/>
      </c>
      <c r="Z83" s="200"/>
      <c r="AA83" s="201" t="s">
        <v>2311</v>
      </c>
      <c r="AB83" s="68">
        <f t="shared" si="3"/>
        <v>1</v>
      </c>
      <c r="AC83" s="210"/>
      <c r="AD83" s="68" t="str">
        <f t="shared" si="4"/>
        <v>NOT</v>
      </c>
      <c r="AE83" s="11"/>
      <c r="AF83" s="11"/>
      <c r="AG83" s="11"/>
      <c r="AH83" s="110">
        <f>COUNTIF(postDEL!$AR$2:$AR694,AG83)</f>
        <v>0</v>
      </c>
      <c r="AI83" s="211">
        <v>1.0</v>
      </c>
      <c r="AK83" s="200"/>
      <c r="AM83" s="54"/>
      <c r="AN83" s="68" t="str">
        <f t="shared" si="5"/>
        <v/>
      </c>
      <c r="AO83" s="206" t="str">
        <f t="shared" si="6"/>
        <v/>
      </c>
      <c r="AQ83" s="5" t="str">
        <f>CONCATENATE("Sp",Process!$A$1,AR83)</f>
        <v>SpBEND292213</v>
      </c>
      <c r="AR83" s="19">
        <v>292213.0</v>
      </c>
      <c r="AS83" s="200"/>
      <c r="AT83" s="200"/>
      <c r="AU83" s="68"/>
      <c r="AV83" s="11"/>
      <c r="AW83" s="11"/>
      <c r="AX83" s="11"/>
      <c r="AY83" s="67"/>
      <c r="AZ83" s="204"/>
      <c r="BC83" s="68"/>
      <c r="BD83" s="68"/>
      <c r="BF83" s="200"/>
    </row>
    <row r="84">
      <c r="A84" s="11"/>
      <c r="B84" s="11"/>
      <c r="C84" s="11"/>
      <c r="D84" s="110">
        <f>COUNTIF(postDEL!$AR$2:$AR694,$C84)</f>
        <v>0</v>
      </c>
      <c r="E84" s="5" t="str">
        <f>CONCATENATE(Process!$A$1,F84)</f>
        <v>BEND223874</v>
      </c>
      <c r="F84" s="3">
        <v>223874.0</v>
      </c>
      <c r="G84" s="3"/>
      <c r="H84" s="3" t="s">
        <v>2312</v>
      </c>
      <c r="I84" s="13">
        <v>0.0</v>
      </c>
      <c r="J84" s="5"/>
      <c r="K84" s="199">
        <f>COUNTIF(postDEL!$AO$2:$AO694,$C84)</f>
        <v>0</v>
      </c>
      <c r="L84" s="212"/>
      <c r="M84" s="11" t="s">
        <v>2221</v>
      </c>
      <c r="N84" s="104" t="b">
        <f t="shared" si="1"/>
        <v>1</v>
      </c>
      <c r="O84" s="5" t="s">
        <v>2222</v>
      </c>
      <c r="P84" s="5" t="s">
        <v>2223</v>
      </c>
      <c r="R84" s="5"/>
      <c r="S84" s="5" t="s">
        <v>2224</v>
      </c>
      <c r="T84" s="184">
        <v>44615.0</v>
      </c>
      <c r="U84" s="5"/>
      <c r="V84" s="5"/>
      <c r="W84" s="5"/>
      <c r="Y84" s="201" t="str">
        <f t="shared" si="2"/>
        <v/>
      </c>
      <c r="Z84" s="200"/>
      <c r="AA84" s="201" t="s">
        <v>2312</v>
      </c>
      <c r="AB84" s="68">
        <f t="shared" si="3"/>
        <v>1</v>
      </c>
      <c r="AC84" s="210"/>
      <c r="AD84" s="68" t="str">
        <f t="shared" si="4"/>
        <v>NOT</v>
      </c>
      <c r="AE84" s="11"/>
      <c r="AF84" s="11"/>
      <c r="AG84" s="11"/>
      <c r="AH84" s="110">
        <f>COUNTIF(postDEL!$AR$2:$AR694,AG84)</f>
        <v>0</v>
      </c>
      <c r="AI84" s="204"/>
      <c r="AK84" s="200"/>
      <c r="AM84" s="54"/>
      <c r="AN84" s="68" t="str">
        <f t="shared" si="5"/>
        <v/>
      </c>
      <c r="AO84" s="206" t="str">
        <f t="shared" si="6"/>
        <v/>
      </c>
      <c r="AQ84" s="5" t="str">
        <f>CONCATENATE("Sp",Process!$A$1,AR84)</f>
        <v>SpBEND985296</v>
      </c>
      <c r="AR84" s="19">
        <v>985296.0</v>
      </c>
      <c r="AS84" s="200"/>
      <c r="AT84" s="200"/>
      <c r="AU84" s="68"/>
      <c r="AV84" s="11"/>
      <c r="AW84" s="11"/>
      <c r="AX84" s="11"/>
      <c r="AY84" s="67"/>
      <c r="AZ84" s="204"/>
      <c r="BC84" s="68"/>
      <c r="BD84" s="68"/>
      <c r="BF84" s="200"/>
    </row>
    <row r="85">
      <c r="A85" s="11"/>
      <c r="B85" s="11"/>
      <c r="C85" s="11"/>
      <c r="D85" s="110">
        <f>COUNTIF(postDEL!$AR$2:$AR694,$C85)</f>
        <v>0</v>
      </c>
      <c r="E85" s="5" t="str">
        <f>CONCATENATE(Process!$A$1,F85)</f>
        <v>BEND215511</v>
      </c>
      <c r="F85" s="3">
        <v>215511.0</v>
      </c>
      <c r="G85" s="3"/>
      <c r="H85" s="3" t="s">
        <v>2313</v>
      </c>
      <c r="I85" s="13">
        <v>0.0</v>
      </c>
      <c r="J85" s="5"/>
      <c r="K85" s="199">
        <f>COUNTIF(postDEL!$AO$2:$AO694,$C85)</f>
        <v>0</v>
      </c>
      <c r="L85" s="212"/>
      <c r="M85" s="11" t="s">
        <v>2221</v>
      </c>
      <c r="N85" s="104" t="b">
        <f t="shared" si="1"/>
        <v>1</v>
      </c>
      <c r="O85" s="5" t="s">
        <v>2227</v>
      </c>
      <c r="P85" s="5" t="s">
        <v>2185</v>
      </c>
      <c r="R85" s="5"/>
      <c r="S85" s="5"/>
      <c r="T85" s="184">
        <v>44615.0</v>
      </c>
      <c r="U85" s="5"/>
      <c r="V85" s="5"/>
      <c r="W85" s="5"/>
      <c r="Y85" s="201" t="str">
        <f t="shared" si="2"/>
        <v/>
      </c>
      <c r="Z85" s="200"/>
      <c r="AA85" s="201" t="s">
        <v>2313</v>
      </c>
      <c r="AB85" s="68">
        <f t="shared" si="3"/>
        <v>1</v>
      </c>
      <c r="AC85" s="210"/>
      <c r="AD85" s="68" t="str">
        <f t="shared" si="4"/>
        <v>NOT</v>
      </c>
      <c r="AE85" s="11"/>
      <c r="AF85" s="11"/>
      <c r="AG85" s="11"/>
      <c r="AH85" s="110">
        <f>COUNTIF(postDEL!$AR$2:$AR694,AG85)</f>
        <v>0</v>
      </c>
      <c r="AI85" s="204"/>
      <c r="AK85" s="200"/>
      <c r="AM85" s="54"/>
      <c r="AN85" s="68" t="str">
        <f t="shared" si="5"/>
        <v/>
      </c>
      <c r="AO85" s="206" t="str">
        <f t="shared" si="6"/>
        <v/>
      </c>
      <c r="AQ85" s="5" t="str">
        <f>CONCATENATE("Sp",Process!$A$1,AR85)</f>
        <v>SpBEND637657</v>
      </c>
      <c r="AR85" s="19">
        <v>637657.0</v>
      </c>
      <c r="AS85" s="200"/>
      <c r="AT85" s="200"/>
      <c r="AU85" s="68"/>
      <c r="AV85" s="11"/>
      <c r="AW85" s="11"/>
      <c r="AX85" s="11"/>
      <c r="AY85" s="67"/>
      <c r="AZ85" s="204"/>
      <c r="BC85" s="68"/>
      <c r="BD85" s="68"/>
      <c r="BF85" s="200"/>
    </row>
    <row r="86">
      <c r="A86" s="11"/>
      <c r="B86" s="11"/>
      <c r="C86" s="11"/>
      <c r="D86" s="110">
        <f>COUNTIF(postDEL!$AR$2:$AR694,$C86)</f>
        <v>0</v>
      </c>
      <c r="E86" s="5" t="str">
        <f>CONCATENATE(Process!$A$1,F86)</f>
        <v>BEND864200</v>
      </c>
      <c r="F86" s="3">
        <v>864200.0</v>
      </c>
      <c r="G86" s="3"/>
      <c r="H86" s="3" t="s">
        <v>2314</v>
      </c>
      <c r="I86" s="13">
        <v>0.0</v>
      </c>
      <c r="J86" s="5"/>
      <c r="K86" s="199">
        <f>COUNTIF(postDEL!$AO$2:$AO694,$C86)</f>
        <v>0</v>
      </c>
      <c r="L86" s="212"/>
      <c r="M86" s="11" t="s">
        <v>2221</v>
      </c>
      <c r="N86" s="104" t="b">
        <f t="shared" si="1"/>
        <v>1</v>
      </c>
      <c r="O86" s="5" t="s">
        <v>2227</v>
      </c>
      <c r="P86" s="5" t="s">
        <v>2185</v>
      </c>
      <c r="R86" s="5"/>
      <c r="S86" s="5"/>
      <c r="T86" s="184"/>
      <c r="U86" s="5"/>
      <c r="V86" s="5"/>
      <c r="W86" s="5"/>
      <c r="Y86" s="201" t="str">
        <f t="shared" si="2"/>
        <v/>
      </c>
      <c r="Z86" s="200"/>
      <c r="AA86" s="201" t="s">
        <v>2314</v>
      </c>
      <c r="AB86" s="68">
        <f t="shared" si="3"/>
        <v>1</v>
      </c>
      <c r="AC86" s="210"/>
      <c r="AD86" s="68" t="str">
        <f t="shared" si="4"/>
        <v>NOT</v>
      </c>
      <c r="AE86" s="11"/>
      <c r="AF86" s="11"/>
      <c r="AG86" s="11"/>
      <c r="AH86" s="110">
        <f>COUNTIF(postDEL!$AR$2:$AR694,AG86)</f>
        <v>0</v>
      </c>
      <c r="AI86" s="204"/>
      <c r="AK86" s="200"/>
      <c r="AM86" s="54"/>
      <c r="AN86" s="68" t="str">
        <f t="shared" si="5"/>
        <v/>
      </c>
      <c r="AO86" s="206" t="str">
        <f t="shared" si="6"/>
        <v/>
      </c>
      <c r="AQ86" s="5" t="str">
        <f>CONCATENATE("Sp",Process!$A$1,AR86)</f>
        <v>SpBEND551372</v>
      </c>
      <c r="AR86" s="19">
        <v>551372.0</v>
      </c>
      <c r="AS86" s="200"/>
      <c r="AT86" s="200"/>
      <c r="AU86" s="68"/>
      <c r="AV86" s="11"/>
      <c r="AW86" s="11"/>
      <c r="AX86" s="11"/>
      <c r="AY86" s="67"/>
      <c r="AZ86" s="204"/>
      <c r="BC86" s="68"/>
      <c r="BD86" s="68"/>
      <c r="BF86" s="200"/>
    </row>
    <row r="87">
      <c r="A87" s="11"/>
      <c r="B87" s="11"/>
      <c r="C87" s="11"/>
      <c r="D87" s="110">
        <f>COUNTIF(postDEL!$AR$2:$AR694,$C87)</f>
        <v>0</v>
      </c>
      <c r="E87" s="5" t="str">
        <f>CONCATENATE(Process!$A$1,F87)</f>
        <v>BEND935806</v>
      </c>
      <c r="F87" s="3">
        <v>935806.0</v>
      </c>
      <c r="G87" s="3"/>
      <c r="H87" s="3" t="s">
        <v>2315</v>
      </c>
      <c r="I87" s="13">
        <v>0.0</v>
      </c>
      <c r="J87" s="5"/>
      <c r="K87" s="199">
        <f>COUNTIF(postDEL!$AO$2:$AO694,$C87)</f>
        <v>0</v>
      </c>
      <c r="L87" s="212"/>
      <c r="M87" s="11" t="s">
        <v>2221</v>
      </c>
      <c r="N87" s="104" t="b">
        <f t="shared" si="1"/>
        <v>1</v>
      </c>
      <c r="O87" s="5" t="s">
        <v>2222</v>
      </c>
      <c r="P87" s="5" t="s">
        <v>2223</v>
      </c>
      <c r="R87" s="5"/>
      <c r="S87" s="5" t="s">
        <v>2224</v>
      </c>
      <c r="T87" s="184">
        <v>44580.0</v>
      </c>
      <c r="U87" s="5"/>
      <c r="V87" s="5"/>
      <c r="W87" s="5"/>
      <c r="Y87" s="201" t="str">
        <f t="shared" si="2"/>
        <v/>
      </c>
      <c r="Z87" s="200"/>
      <c r="AA87" s="201" t="s">
        <v>2315</v>
      </c>
      <c r="AB87" s="68">
        <f t="shared" si="3"/>
        <v>1</v>
      </c>
      <c r="AC87" s="210"/>
      <c r="AD87" s="68" t="str">
        <f t="shared" si="4"/>
        <v>NOT</v>
      </c>
      <c r="AE87" s="11"/>
      <c r="AF87" s="11"/>
      <c r="AG87" s="11"/>
      <c r="AH87" s="110">
        <f>COUNTIF(postDEL!$AR$2:$AR694,AG87)</f>
        <v>0</v>
      </c>
      <c r="AI87" s="204"/>
      <c r="AK87" s="200"/>
      <c r="AM87" s="54"/>
      <c r="AN87" s="68" t="str">
        <f t="shared" si="5"/>
        <v/>
      </c>
      <c r="AO87" s="206" t="str">
        <f t="shared" si="6"/>
        <v/>
      </c>
      <c r="AQ87" s="5" t="str">
        <f>CONCATENATE("Sp",Process!$A$1,AR87)</f>
        <v>SpBEND394154</v>
      </c>
      <c r="AR87" s="19">
        <v>394154.0</v>
      </c>
      <c r="AS87" s="200"/>
      <c r="AT87" s="200"/>
      <c r="AU87" s="68"/>
      <c r="AV87" s="11"/>
      <c r="AW87" s="11"/>
      <c r="AX87" s="11"/>
      <c r="AY87" s="67"/>
      <c r="AZ87" s="204"/>
      <c r="BC87" s="68"/>
      <c r="BD87" s="68"/>
      <c r="BF87" s="200"/>
    </row>
    <row r="88">
      <c r="A88" s="11"/>
      <c r="B88" s="11"/>
      <c r="C88" s="11"/>
      <c r="D88" s="110">
        <f>COUNTIF(postDEL!$AR$2:$AR694,$C88)</f>
        <v>0</v>
      </c>
      <c r="E88" s="5" t="str">
        <f>CONCATENATE(Process!$A$1,F88)</f>
        <v>BEND412261</v>
      </c>
      <c r="F88" s="3">
        <v>412261.0</v>
      </c>
      <c r="G88" s="3"/>
      <c r="H88" s="3" t="s">
        <v>2316</v>
      </c>
      <c r="I88" s="13">
        <v>0.0</v>
      </c>
      <c r="J88" s="5"/>
      <c r="K88" s="199">
        <f>COUNTIF(postDEL!$AO$2:$AO694,$C88)</f>
        <v>0</v>
      </c>
      <c r="L88" s="212"/>
      <c r="M88" s="11" t="s">
        <v>2221</v>
      </c>
      <c r="N88" s="104" t="b">
        <f t="shared" si="1"/>
        <v>1</v>
      </c>
      <c r="O88" s="5" t="s">
        <v>2227</v>
      </c>
      <c r="P88" s="5" t="s">
        <v>2185</v>
      </c>
      <c r="R88" s="5"/>
      <c r="S88" s="5"/>
      <c r="T88" s="184"/>
      <c r="U88" s="5"/>
      <c r="V88" s="5"/>
      <c r="W88" s="5"/>
      <c r="Y88" s="201" t="str">
        <f t="shared" si="2"/>
        <v/>
      </c>
      <c r="Z88" s="200"/>
      <c r="AA88" s="201" t="s">
        <v>2316</v>
      </c>
      <c r="AB88" s="68">
        <f t="shared" si="3"/>
        <v>1</v>
      </c>
      <c r="AC88" s="210"/>
      <c r="AD88" s="68" t="str">
        <f t="shared" si="4"/>
        <v>NOT</v>
      </c>
      <c r="AE88" s="11"/>
      <c r="AF88" s="11"/>
      <c r="AG88" s="11"/>
      <c r="AH88" s="110">
        <f>COUNTIF(postDEL!$AR$2:$AR694,AG88)</f>
        <v>0</v>
      </c>
      <c r="AI88" s="204"/>
      <c r="AK88" s="200"/>
      <c r="AM88" s="54"/>
      <c r="AN88" s="68" t="str">
        <f t="shared" si="5"/>
        <v/>
      </c>
      <c r="AO88" s="206" t="str">
        <f t="shared" si="6"/>
        <v/>
      </c>
      <c r="AQ88" s="5" t="str">
        <f>CONCATENATE("Sp",Process!$A$1,AR88)</f>
        <v>SpBEND436062</v>
      </c>
      <c r="AR88" s="19">
        <v>436062.0</v>
      </c>
      <c r="AS88" s="200"/>
      <c r="AT88" s="200"/>
      <c r="AU88" s="68"/>
      <c r="AV88" s="11"/>
      <c r="AW88" s="11"/>
      <c r="AX88" s="11"/>
      <c r="AY88" s="67"/>
      <c r="AZ88" s="204"/>
      <c r="BC88" s="68"/>
      <c r="BD88" s="68"/>
      <c r="BF88" s="200"/>
    </row>
    <row r="89">
      <c r="A89" s="11"/>
      <c r="B89" s="11"/>
      <c r="C89" s="11"/>
      <c r="D89" s="110">
        <f>COUNTIF(postDEL!$AR$2:$AR694,$C89)</f>
        <v>0</v>
      </c>
      <c r="E89" s="5" t="str">
        <f>CONCATENATE(Process!$A$1,F89)</f>
        <v>BEND941934</v>
      </c>
      <c r="F89" s="3">
        <v>941934.0</v>
      </c>
      <c r="G89" s="3"/>
      <c r="H89" s="3" t="s">
        <v>2317</v>
      </c>
      <c r="I89" s="13">
        <v>0.0</v>
      </c>
      <c r="J89" s="5"/>
      <c r="K89" s="199">
        <f>COUNTIF(postDEL!$AO$2:$AO694,$C89)</f>
        <v>0</v>
      </c>
      <c r="L89" s="212"/>
      <c r="M89" s="11" t="s">
        <v>2221</v>
      </c>
      <c r="N89" s="104" t="b">
        <f t="shared" si="1"/>
        <v>1</v>
      </c>
      <c r="O89" s="5" t="s">
        <v>2222</v>
      </c>
      <c r="P89" s="5" t="s">
        <v>2223</v>
      </c>
      <c r="R89" s="5"/>
      <c r="S89" s="5" t="s">
        <v>2224</v>
      </c>
      <c r="T89" s="184"/>
      <c r="U89" s="5"/>
      <c r="V89" s="5"/>
      <c r="W89" s="5"/>
      <c r="Y89" s="201" t="str">
        <f t="shared" si="2"/>
        <v/>
      </c>
      <c r="Z89" s="200"/>
      <c r="AA89" s="201" t="s">
        <v>2317</v>
      </c>
      <c r="AB89" s="68">
        <f t="shared" si="3"/>
        <v>1</v>
      </c>
      <c r="AC89" s="210"/>
      <c r="AD89" s="68" t="str">
        <f t="shared" si="4"/>
        <v>NOT</v>
      </c>
      <c r="AE89" s="11"/>
      <c r="AF89" s="11"/>
      <c r="AG89" s="11"/>
      <c r="AH89" s="110">
        <f>COUNTIF(postDEL!$AR$2:$AR694,AG89)</f>
        <v>0</v>
      </c>
      <c r="AI89" s="204"/>
      <c r="AK89" s="200"/>
      <c r="AM89" s="54"/>
      <c r="AN89" s="68" t="str">
        <f t="shared" si="5"/>
        <v/>
      </c>
      <c r="AO89" s="206" t="str">
        <f t="shared" si="6"/>
        <v/>
      </c>
      <c r="AQ89" s="5" t="str">
        <f>CONCATENATE("Sp",Process!$A$1,AR89)</f>
        <v>SpBEND437215</v>
      </c>
      <c r="AR89" s="19">
        <v>437215.0</v>
      </c>
      <c r="AS89" s="200"/>
      <c r="AT89" s="200"/>
      <c r="AU89" s="68"/>
      <c r="AV89" s="11"/>
      <c r="AW89" s="11"/>
      <c r="AX89" s="11"/>
      <c r="AY89" s="67"/>
      <c r="AZ89" s="204"/>
      <c r="BC89" s="68"/>
      <c r="BD89" s="68"/>
      <c r="BF89" s="200"/>
    </row>
    <row r="90">
      <c r="A90" s="11"/>
      <c r="B90" s="11"/>
      <c r="C90" s="11"/>
      <c r="D90" s="110">
        <f>COUNTIF(postDEL!$AR$2:$AR694,$C90)</f>
        <v>0</v>
      </c>
      <c r="E90" s="5" t="str">
        <f>CONCATENATE(Process!$A$1,F90)</f>
        <v>BEND839924</v>
      </c>
      <c r="F90" s="3">
        <v>839924.0</v>
      </c>
      <c r="G90" s="3"/>
      <c r="H90" s="3" t="s">
        <v>2318</v>
      </c>
      <c r="I90" s="13">
        <v>0.0</v>
      </c>
      <c r="J90" s="5"/>
      <c r="K90" s="199">
        <f>COUNTIF(postDEL!$AO$2:$AO694,$C90)</f>
        <v>0</v>
      </c>
      <c r="L90" s="212"/>
      <c r="M90" s="11" t="s">
        <v>2221</v>
      </c>
      <c r="N90" s="104" t="b">
        <f t="shared" si="1"/>
        <v>1</v>
      </c>
      <c r="O90" s="5" t="s">
        <v>2222</v>
      </c>
      <c r="P90" s="5" t="s">
        <v>2223</v>
      </c>
      <c r="R90" s="5"/>
      <c r="S90" s="5" t="s">
        <v>2224</v>
      </c>
      <c r="T90" s="184">
        <v>44579.0</v>
      </c>
      <c r="U90" s="5"/>
      <c r="V90" s="5"/>
      <c r="W90" s="5"/>
      <c r="Y90" s="201" t="str">
        <f t="shared" si="2"/>
        <v/>
      </c>
      <c r="Z90" s="200"/>
      <c r="AA90" s="201" t="s">
        <v>2318</v>
      </c>
      <c r="AB90" s="68">
        <f t="shared" si="3"/>
        <v>1</v>
      </c>
      <c r="AC90" s="210"/>
      <c r="AD90" s="68" t="str">
        <f t="shared" si="4"/>
        <v>NOT</v>
      </c>
      <c r="AE90" s="11"/>
      <c r="AF90" s="11"/>
      <c r="AG90" s="11"/>
      <c r="AH90" s="110">
        <f>COUNTIF(postDEL!$AR$2:$AR694,AG90)</f>
        <v>0</v>
      </c>
      <c r="AI90" s="204"/>
      <c r="AK90" s="200"/>
      <c r="AM90" s="54"/>
      <c r="AN90" s="68" t="str">
        <f t="shared" si="5"/>
        <v/>
      </c>
      <c r="AO90" s="206" t="str">
        <f t="shared" si="6"/>
        <v/>
      </c>
      <c r="AQ90" s="5" t="str">
        <f>CONCATENATE("Sp",Process!$A$1,AR90)</f>
        <v>SpBEND816435</v>
      </c>
      <c r="AR90" s="19">
        <v>816435.0</v>
      </c>
      <c r="AS90" s="200"/>
      <c r="AT90" s="200"/>
      <c r="AU90" s="68"/>
      <c r="AV90" s="11"/>
      <c r="AW90" s="11"/>
      <c r="AX90" s="11"/>
      <c r="AY90" s="67"/>
      <c r="AZ90" s="204"/>
      <c r="BC90" s="68"/>
      <c r="BD90" s="68"/>
      <c r="BF90" s="200"/>
    </row>
    <row r="91">
      <c r="A91" s="11"/>
      <c r="B91" s="11"/>
      <c r="C91" s="11"/>
      <c r="D91" s="110">
        <f>COUNTIF(postDEL!$AR$2:$AR694,$C91)</f>
        <v>0</v>
      </c>
      <c r="E91" s="5" t="str">
        <f>CONCATENATE(Process!$A$1,F91)</f>
        <v>BEND525824</v>
      </c>
      <c r="F91" s="3">
        <v>525824.0</v>
      </c>
      <c r="G91" s="3"/>
      <c r="H91" s="3" t="s">
        <v>2319</v>
      </c>
      <c r="I91" s="13">
        <v>0.0</v>
      </c>
      <c r="J91" s="5"/>
      <c r="K91" s="199">
        <f>COUNTIF(postDEL!$AO$2:$AO694,$C91)</f>
        <v>0</v>
      </c>
      <c r="L91" s="212"/>
      <c r="M91" s="11" t="s">
        <v>2221</v>
      </c>
      <c r="N91" s="104" t="b">
        <f t="shared" si="1"/>
        <v>1</v>
      </c>
      <c r="O91" s="5" t="s">
        <v>2227</v>
      </c>
      <c r="P91" s="5" t="s">
        <v>2185</v>
      </c>
      <c r="R91" s="5"/>
      <c r="S91" s="5"/>
      <c r="T91" s="184"/>
      <c r="U91" s="5"/>
      <c r="V91" s="5"/>
      <c r="W91" s="5"/>
      <c r="Y91" s="201" t="str">
        <f t="shared" si="2"/>
        <v/>
      </c>
      <c r="Z91" s="200"/>
      <c r="AA91" s="201" t="s">
        <v>2319</v>
      </c>
      <c r="AB91" s="68">
        <f t="shared" si="3"/>
        <v>1</v>
      </c>
      <c r="AC91" s="210"/>
      <c r="AD91" s="68" t="str">
        <f t="shared" si="4"/>
        <v>NOT</v>
      </c>
      <c r="AE91" s="11"/>
      <c r="AF91" s="11"/>
      <c r="AG91" s="11"/>
      <c r="AH91" s="110">
        <f>COUNTIF(postDEL!$AR$2:$AR694,AG91)</f>
        <v>0</v>
      </c>
      <c r="AI91" s="204"/>
      <c r="AK91" s="200"/>
      <c r="AM91" s="54"/>
      <c r="AN91" s="68" t="str">
        <f t="shared" si="5"/>
        <v/>
      </c>
      <c r="AO91" s="206" t="str">
        <f t="shared" si="6"/>
        <v/>
      </c>
      <c r="AQ91" s="5" t="str">
        <f>CONCATENATE("Sp",Process!$A$1,AR91)</f>
        <v>SpBEND406814</v>
      </c>
      <c r="AR91" s="19">
        <v>406814.0</v>
      </c>
      <c r="AS91" s="200"/>
      <c r="AT91" s="200"/>
      <c r="AU91" s="68"/>
      <c r="AV91" s="11"/>
      <c r="AW91" s="11"/>
      <c r="AX91" s="11"/>
      <c r="AY91" s="67"/>
      <c r="AZ91" s="204"/>
      <c r="BC91" s="68"/>
      <c r="BD91" s="68"/>
      <c r="BF91" s="200"/>
    </row>
    <row r="92">
      <c r="A92" s="11"/>
      <c r="B92" s="11"/>
      <c r="C92" s="11"/>
      <c r="D92" s="110">
        <f>COUNTIF(postDEL!$AR$2:$AR694,$C92)</f>
        <v>0</v>
      </c>
      <c r="E92" s="5" t="str">
        <f>CONCATENATE(Process!$A$1,F92)</f>
        <v>BEND140857</v>
      </c>
      <c r="F92" s="3">
        <v>140857.0</v>
      </c>
      <c r="G92" s="3"/>
      <c r="H92" s="3" t="s">
        <v>2320</v>
      </c>
      <c r="I92" s="13">
        <v>0.0</v>
      </c>
      <c r="J92" s="5"/>
      <c r="K92" s="199">
        <f>COUNTIF(postDEL!$AO$2:$AO694,$C92)</f>
        <v>0</v>
      </c>
      <c r="L92" s="212"/>
      <c r="M92" s="11" t="s">
        <v>2221</v>
      </c>
      <c r="N92" s="104" t="b">
        <f t="shared" si="1"/>
        <v>1</v>
      </c>
      <c r="O92" s="5" t="s">
        <v>2222</v>
      </c>
      <c r="P92" s="5" t="s">
        <v>2223</v>
      </c>
      <c r="R92" s="5"/>
      <c r="S92" s="5" t="s">
        <v>2224</v>
      </c>
      <c r="T92" s="184">
        <v>44587.0</v>
      </c>
      <c r="U92" s="5"/>
      <c r="V92" s="5"/>
      <c r="W92" s="5"/>
      <c r="Y92" s="201" t="str">
        <f t="shared" si="2"/>
        <v/>
      </c>
      <c r="Z92" s="200"/>
      <c r="AA92" s="201" t="s">
        <v>2320</v>
      </c>
      <c r="AB92" s="68">
        <f t="shared" si="3"/>
        <v>1</v>
      </c>
      <c r="AC92" s="210"/>
      <c r="AD92" s="68" t="str">
        <f t="shared" si="4"/>
        <v>NOT</v>
      </c>
      <c r="AE92" s="11"/>
      <c r="AF92" s="11"/>
      <c r="AG92" s="11"/>
      <c r="AH92" s="110">
        <f>COUNTIF(postDEL!$AR$2:$AR694,AG92)</f>
        <v>0</v>
      </c>
      <c r="AI92" s="204"/>
      <c r="AK92" s="200"/>
      <c r="AM92" s="54"/>
      <c r="AN92" s="68" t="str">
        <f t="shared" si="5"/>
        <v/>
      </c>
      <c r="AO92" s="206" t="str">
        <f t="shared" si="6"/>
        <v/>
      </c>
      <c r="AQ92" s="5" t="str">
        <f>CONCATENATE("Sp",Process!$A$1,AR92)</f>
        <v>SpBEND899578</v>
      </c>
      <c r="AR92" s="19">
        <v>899578.0</v>
      </c>
      <c r="AS92" s="200"/>
      <c r="AT92" s="200"/>
      <c r="AU92" s="68"/>
      <c r="AV92" s="11"/>
      <c r="AW92" s="11"/>
      <c r="AX92" s="11"/>
      <c r="AY92" s="67"/>
      <c r="AZ92" s="204"/>
      <c r="BC92" s="68"/>
      <c r="BD92" s="68"/>
      <c r="BF92" s="200"/>
    </row>
    <row r="93">
      <c r="A93" s="11"/>
      <c r="B93" s="11"/>
      <c r="C93" s="11"/>
      <c r="D93" s="110">
        <f>COUNTIF(postDEL!$AR$2:$AR694,$C93)</f>
        <v>0</v>
      </c>
      <c r="E93" s="5" t="str">
        <f>CONCATENATE(Process!$A$1,F93)</f>
        <v>BEND785869</v>
      </c>
      <c r="F93" s="3">
        <v>785869.0</v>
      </c>
      <c r="G93" s="3"/>
      <c r="H93" s="3" t="s">
        <v>2321</v>
      </c>
      <c r="I93" s="13">
        <v>0.0</v>
      </c>
      <c r="J93" s="5"/>
      <c r="K93" s="199">
        <f>COUNTIF(postDEL!$AO$2:$AO694,$C93)</f>
        <v>0</v>
      </c>
      <c r="L93" s="212"/>
      <c r="M93" s="11" t="s">
        <v>2221</v>
      </c>
      <c r="N93" s="104" t="b">
        <f t="shared" si="1"/>
        <v>1</v>
      </c>
      <c r="O93" s="5" t="s">
        <v>2222</v>
      </c>
      <c r="P93" s="5" t="s">
        <v>2223</v>
      </c>
      <c r="R93" s="5"/>
      <c r="S93" s="5" t="s">
        <v>2224</v>
      </c>
      <c r="T93" s="184">
        <v>44579.0</v>
      </c>
      <c r="U93" s="5"/>
      <c r="V93" s="5"/>
      <c r="W93" s="5"/>
      <c r="Y93" s="201" t="str">
        <f t="shared" si="2"/>
        <v/>
      </c>
      <c r="Z93" s="200"/>
      <c r="AA93" s="201" t="s">
        <v>2321</v>
      </c>
      <c r="AB93" s="68">
        <f t="shared" si="3"/>
        <v>1</v>
      </c>
      <c r="AC93" s="210"/>
      <c r="AD93" s="68" t="str">
        <f t="shared" si="4"/>
        <v>NOT</v>
      </c>
      <c r="AE93" s="11"/>
      <c r="AF93" s="11"/>
      <c r="AG93" s="11"/>
      <c r="AH93" s="110">
        <f>COUNTIF(postDEL!$AR$2:$AR694,AG93)</f>
        <v>0</v>
      </c>
      <c r="AI93" s="204"/>
      <c r="AK93" s="200"/>
      <c r="AM93" s="54"/>
      <c r="AN93" s="68" t="str">
        <f t="shared" si="5"/>
        <v/>
      </c>
      <c r="AO93" s="206" t="str">
        <f t="shared" si="6"/>
        <v/>
      </c>
      <c r="AQ93" s="5" t="str">
        <f>CONCATENATE("Sp",Process!$A$1,AR93)</f>
        <v>SpBEND490402</v>
      </c>
      <c r="AR93" s="19">
        <v>490402.0</v>
      </c>
      <c r="AS93" s="200"/>
      <c r="AT93" s="200"/>
      <c r="AU93" s="68"/>
      <c r="AV93" s="11"/>
      <c r="AW93" s="11"/>
      <c r="AX93" s="11"/>
      <c r="AY93" s="67"/>
      <c r="AZ93" s="204"/>
      <c r="BC93" s="68"/>
      <c r="BD93" s="68"/>
      <c r="BF93" s="200"/>
    </row>
    <row r="94">
      <c r="A94" s="11"/>
      <c r="B94" s="11"/>
      <c r="C94" s="11"/>
      <c r="D94" s="110">
        <f>COUNTIF(postDEL!$AR$2:$AR694,$C94)</f>
        <v>0</v>
      </c>
      <c r="E94" s="5" t="str">
        <f>CONCATENATE(Process!$A$1,F94)</f>
        <v>BEND300847</v>
      </c>
      <c r="F94" s="3">
        <v>300847.0</v>
      </c>
      <c r="G94" s="3"/>
      <c r="H94" s="3" t="s">
        <v>2322</v>
      </c>
      <c r="I94" s="13">
        <v>0.0</v>
      </c>
      <c r="J94" s="5"/>
      <c r="K94" s="199">
        <f>COUNTIF(postDEL!$AO$2:$AO694,$C94)</f>
        <v>0</v>
      </c>
      <c r="L94" s="212"/>
      <c r="M94" s="11" t="s">
        <v>2221</v>
      </c>
      <c r="N94" s="104" t="b">
        <f t="shared" si="1"/>
        <v>1</v>
      </c>
      <c r="O94" s="5" t="s">
        <v>2222</v>
      </c>
      <c r="P94" s="5" t="s">
        <v>2223</v>
      </c>
      <c r="R94" s="5"/>
      <c r="S94" s="5" t="s">
        <v>2224</v>
      </c>
      <c r="T94" s="184"/>
      <c r="U94" s="5"/>
      <c r="V94" s="5"/>
      <c r="W94" s="5"/>
      <c r="Y94" s="201" t="str">
        <f t="shared" si="2"/>
        <v/>
      </c>
      <c r="Z94" s="200"/>
      <c r="AA94" s="201" t="s">
        <v>2322</v>
      </c>
      <c r="AB94" s="68">
        <f t="shared" si="3"/>
        <v>1</v>
      </c>
      <c r="AC94" s="210"/>
      <c r="AD94" s="68" t="str">
        <f t="shared" si="4"/>
        <v>NOT</v>
      </c>
      <c r="AE94" s="11"/>
      <c r="AF94" s="11"/>
      <c r="AG94" s="11"/>
      <c r="AH94" s="110">
        <f>COUNTIF(postDEL!$AR$2:$AR694,AG94)</f>
        <v>0</v>
      </c>
      <c r="AI94" s="204"/>
      <c r="AK94" s="200"/>
      <c r="AM94" s="54"/>
      <c r="AN94" s="68" t="str">
        <f t="shared" si="5"/>
        <v/>
      </c>
      <c r="AO94" s="206" t="str">
        <f t="shared" si="6"/>
        <v/>
      </c>
      <c r="AQ94" s="5" t="str">
        <f>CONCATENATE("Sp",Process!$A$1,AR94)</f>
        <v>SpBEND302553</v>
      </c>
      <c r="AR94" s="19">
        <v>302553.0</v>
      </c>
      <c r="AS94" s="200"/>
      <c r="AT94" s="200"/>
      <c r="AU94" s="68"/>
      <c r="AV94" s="11"/>
      <c r="AW94" s="11"/>
      <c r="AX94" s="11"/>
      <c r="AY94" s="67"/>
      <c r="AZ94" s="204"/>
      <c r="BC94" s="68"/>
      <c r="BD94" s="68"/>
      <c r="BF94" s="200"/>
    </row>
    <row r="95">
      <c r="A95" s="11"/>
      <c r="B95" s="11"/>
      <c r="C95" s="11"/>
      <c r="D95" s="110">
        <f>COUNTIF(postDEL!$AR$2:$AR694,$C95)</f>
        <v>0</v>
      </c>
      <c r="E95" s="5" t="str">
        <f>CONCATENATE(Process!$A$1,F95)</f>
        <v>BEND601742</v>
      </c>
      <c r="F95" s="3">
        <v>601742.0</v>
      </c>
      <c r="G95" s="3"/>
      <c r="H95" s="3" t="s">
        <v>2323</v>
      </c>
      <c r="I95" s="13">
        <v>0.0</v>
      </c>
      <c r="J95" s="5"/>
      <c r="K95" s="199">
        <f>COUNTIF(postDEL!$AO$2:$AO694,$C95)</f>
        <v>0</v>
      </c>
      <c r="L95" s="212"/>
      <c r="M95" s="11" t="s">
        <v>2221</v>
      </c>
      <c r="N95" s="104" t="b">
        <f t="shared" si="1"/>
        <v>1</v>
      </c>
      <c r="O95" s="5" t="s">
        <v>2222</v>
      </c>
      <c r="P95" s="5" t="s">
        <v>2223</v>
      </c>
      <c r="R95" s="5"/>
      <c r="S95" s="5" t="s">
        <v>2224</v>
      </c>
      <c r="T95" s="184">
        <v>44615.0</v>
      </c>
      <c r="U95" s="5"/>
      <c r="V95" s="5"/>
      <c r="W95" s="5"/>
      <c r="Y95" s="201" t="str">
        <f t="shared" si="2"/>
        <v/>
      </c>
      <c r="Z95" s="200"/>
      <c r="AA95" s="201" t="s">
        <v>2323</v>
      </c>
      <c r="AB95" s="68">
        <f t="shared" si="3"/>
        <v>1</v>
      </c>
      <c r="AC95" s="210"/>
      <c r="AD95" s="68" t="str">
        <f t="shared" si="4"/>
        <v>NOT</v>
      </c>
      <c r="AE95" s="11"/>
      <c r="AF95" s="11"/>
      <c r="AG95" s="11"/>
      <c r="AH95" s="110">
        <f>COUNTIF(postDEL!$AR$2:$AR694,AG95)</f>
        <v>0</v>
      </c>
      <c r="AI95" s="204"/>
      <c r="AK95" s="200"/>
      <c r="AM95" s="54"/>
      <c r="AN95" s="68" t="str">
        <f t="shared" si="5"/>
        <v/>
      </c>
      <c r="AO95" s="206" t="str">
        <f t="shared" si="6"/>
        <v/>
      </c>
      <c r="AQ95" s="5" t="str">
        <f>CONCATENATE("Sp",Process!$A$1,AR95)</f>
        <v>SpBEND296258</v>
      </c>
      <c r="AR95" s="19">
        <v>296258.0</v>
      </c>
      <c r="AS95" s="200"/>
      <c r="AT95" s="200"/>
      <c r="AU95" s="68"/>
      <c r="AV95" s="11"/>
      <c r="AW95" s="11"/>
      <c r="AX95" s="11"/>
      <c r="AY95" s="67"/>
      <c r="AZ95" s="204"/>
      <c r="BC95" s="68"/>
      <c r="BD95" s="68"/>
      <c r="BF95" s="200"/>
    </row>
    <row r="96">
      <c r="A96" s="11"/>
      <c r="B96" s="11"/>
      <c r="C96" s="11"/>
      <c r="D96" s="110">
        <f>COUNTIF(postDEL!$AR$2:$AR694,$C96)</f>
        <v>0</v>
      </c>
      <c r="E96" s="5" t="str">
        <f>CONCATENATE(Process!$A$1,F96)</f>
        <v>BEND972161</v>
      </c>
      <c r="F96" s="3">
        <v>972161.0</v>
      </c>
      <c r="G96" s="3"/>
      <c r="H96" s="3" t="s">
        <v>2324</v>
      </c>
      <c r="I96" s="13">
        <v>0.0</v>
      </c>
      <c r="J96" s="5"/>
      <c r="K96" s="199">
        <f>COUNTIF(postDEL!$AO$2:$AO694,$C96)</f>
        <v>0</v>
      </c>
      <c r="L96" s="212"/>
      <c r="M96" s="11" t="s">
        <v>2221</v>
      </c>
      <c r="N96" s="104" t="b">
        <f t="shared" si="1"/>
        <v>1</v>
      </c>
      <c r="O96" s="5" t="s">
        <v>2222</v>
      </c>
      <c r="P96" s="5" t="s">
        <v>2223</v>
      </c>
      <c r="R96" s="5"/>
      <c r="S96" s="5" t="s">
        <v>2224</v>
      </c>
      <c r="T96" s="184">
        <v>44568.0</v>
      </c>
      <c r="U96" s="5"/>
      <c r="V96" s="5"/>
      <c r="W96" s="5"/>
      <c r="Y96" s="201" t="str">
        <f t="shared" si="2"/>
        <v/>
      </c>
      <c r="Z96" s="200"/>
      <c r="AA96" s="201" t="s">
        <v>2324</v>
      </c>
      <c r="AB96" s="68">
        <f t="shared" si="3"/>
        <v>1</v>
      </c>
      <c r="AC96" s="210"/>
      <c r="AD96" s="68" t="str">
        <f t="shared" si="4"/>
        <v>NOT</v>
      </c>
      <c r="AE96" s="11"/>
      <c r="AF96" s="11"/>
      <c r="AG96" s="11"/>
      <c r="AH96" s="110">
        <f>COUNTIF(postDEL!$AR$2:$AR694,AG96)</f>
        <v>0</v>
      </c>
      <c r="AI96" s="204"/>
      <c r="AK96" s="200"/>
      <c r="AM96" s="54"/>
      <c r="AN96" s="68" t="str">
        <f t="shared" si="5"/>
        <v/>
      </c>
      <c r="AO96" s="206" t="str">
        <f t="shared" si="6"/>
        <v/>
      </c>
      <c r="AQ96" s="5" t="str">
        <f>CONCATENATE("Sp",Process!$A$1,AR96)</f>
        <v>SpBEND435789</v>
      </c>
      <c r="AR96" s="19">
        <v>435789.0</v>
      </c>
      <c r="AS96" s="200"/>
      <c r="AT96" s="200"/>
      <c r="AU96" s="68"/>
      <c r="AV96" s="11"/>
      <c r="AW96" s="11"/>
      <c r="AX96" s="11"/>
      <c r="AY96" s="67"/>
      <c r="AZ96" s="204"/>
      <c r="BC96" s="68"/>
      <c r="BD96" s="68"/>
      <c r="BF96" s="200"/>
    </row>
    <row r="97">
      <c r="A97" s="11"/>
      <c r="B97" s="11"/>
      <c r="C97" s="11"/>
      <c r="D97" s="110">
        <f>COUNTIF(postDEL!$AR$2:$AR694,$C97)</f>
        <v>0</v>
      </c>
      <c r="E97" s="5" t="str">
        <f>CONCATENATE(Process!$A$1,F97)</f>
        <v>BEND742629</v>
      </c>
      <c r="F97" s="3">
        <v>742629.0</v>
      </c>
      <c r="G97" s="3"/>
      <c r="H97" s="3" t="s">
        <v>2325</v>
      </c>
      <c r="I97" s="13">
        <v>0.0</v>
      </c>
      <c r="J97" s="5"/>
      <c r="K97" s="199">
        <f>COUNTIF(postDEL!$AO$2:$AO694,$C97)</f>
        <v>0</v>
      </c>
      <c r="L97" s="212"/>
      <c r="M97" s="11" t="s">
        <v>2221</v>
      </c>
      <c r="N97" s="104" t="b">
        <f t="shared" si="1"/>
        <v>1</v>
      </c>
      <c r="O97" s="5" t="s">
        <v>2227</v>
      </c>
      <c r="P97" s="5" t="s">
        <v>2185</v>
      </c>
      <c r="R97" s="5"/>
      <c r="S97" s="5"/>
      <c r="T97" s="184"/>
      <c r="U97" s="5"/>
      <c r="V97" s="5"/>
      <c r="W97" s="5"/>
      <c r="Y97" s="201" t="str">
        <f t="shared" si="2"/>
        <v/>
      </c>
      <c r="Z97" s="200"/>
      <c r="AA97" s="201" t="s">
        <v>2325</v>
      </c>
      <c r="AB97" s="68">
        <f t="shared" si="3"/>
        <v>1</v>
      </c>
      <c r="AC97" s="210"/>
      <c r="AD97" s="68" t="str">
        <f t="shared" si="4"/>
        <v>NOT</v>
      </c>
      <c r="AE97" s="11"/>
      <c r="AF97" s="11"/>
      <c r="AG97" s="11"/>
      <c r="AH97" s="110">
        <f>COUNTIF(postDEL!$AR$2:$AR694,AG97)</f>
        <v>0</v>
      </c>
      <c r="AI97" s="204"/>
      <c r="AK97" s="200"/>
      <c r="AM97" s="54"/>
      <c r="AN97" s="68" t="str">
        <f t="shared" si="5"/>
        <v/>
      </c>
      <c r="AO97" s="206" t="str">
        <f t="shared" si="6"/>
        <v/>
      </c>
      <c r="AQ97" s="5" t="str">
        <f>CONCATENATE("Sp",Process!$A$1,AR97)</f>
        <v>SpBEND269695</v>
      </c>
      <c r="AR97" s="19">
        <v>269695.0</v>
      </c>
      <c r="AS97" s="200"/>
      <c r="AT97" s="200"/>
      <c r="AU97" s="68"/>
      <c r="AV97" s="11"/>
      <c r="AW97" s="11"/>
      <c r="AX97" s="11"/>
      <c r="AY97" s="67"/>
      <c r="AZ97" s="204"/>
      <c r="BC97" s="68"/>
      <c r="BD97" s="68"/>
      <c r="BF97" s="200"/>
    </row>
    <row r="98">
      <c r="A98" s="11"/>
      <c r="B98" s="11"/>
      <c r="C98" s="11"/>
      <c r="D98" s="110">
        <f>COUNTIF(postDEL!$AR$2:$AR694,$C98)</f>
        <v>0</v>
      </c>
      <c r="E98" s="5" t="str">
        <f>CONCATENATE(Process!$A$1,F98)</f>
        <v>BEND747921</v>
      </c>
      <c r="F98" s="3">
        <v>747921.0</v>
      </c>
      <c r="G98" s="3"/>
      <c r="H98" s="3" t="s">
        <v>2326</v>
      </c>
      <c r="I98" s="13">
        <v>0.0</v>
      </c>
      <c r="J98" s="5"/>
      <c r="K98" s="199">
        <f>COUNTIF(postDEL!$AO$2:$AO694,$C98)</f>
        <v>0</v>
      </c>
      <c r="L98" s="212"/>
      <c r="M98" s="11" t="s">
        <v>2221</v>
      </c>
      <c r="N98" s="104" t="b">
        <f t="shared" si="1"/>
        <v>1</v>
      </c>
      <c r="O98" s="5" t="s">
        <v>2227</v>
      </c>
      <c r="P98" s="5" t="s">
        <v>2185</v>
      </c>
      <c r="R98" s="5"/>
      <c r="S98" s="5"/>
      <c r="T98" s="184"/>
      <c r="U98" s="5"/>
      <c r="V98" s="5"/>
      <c r="W98" s="5"/>
      <c r="Y98" s="201" t="str">
        <f t="shared" si="2"/>
        <v/>
      </c>
      <c r="Z98" s="200"/>
      <c r="AA98" s="201" t="s">
        <v>2326</v>
      </c>
      <c r="AB98" s="68">
        <f t="shared" si="3"/>
        <v>1</v>
      </c>
      <c r="AC98" s="210"/>
      <c r="AD98" s="68" t="str">
        <f t="shared" si="4"/>
        <v>NOT</v>
      </c>
      <c r="AE98" s="11"/>
      <c r="AF98" s="11"/>
      <c r="AG98" s="11"/>
      <c r="AH98" s="110">
        <f>COUNTIF(postDEL!$AR$2:$AR694,AG98)</f>
        <v>0</v>
      </c>
      <c r="AI98" s="204"/>
      <c r="AK98" s="200"/>
      <c r="AM98" s="54"/>
      <c r="AN98" s="68" t="str">
        <f t="shared" si="5"/>
        <v/>
      </c>
      <c r="AO98" s="206" t="str">
        <f t="shared" si="6"/>
        <v/>
      </c>
      <c r="AQ98" s="5" t="str">
        <f>CONCATENATE("Sp",Process!$A$1,AR98)</f>
        <v>SpBEND524085</v>
      </c>
      <c r="AR98" s="19">
        <v>524085.0</v>
      </c>
      <c r="AS98" s="200"/>
      <c r="AT98" s="200"/>
      <c r="AU98" s="68"/>
      <c r="AV98" s="11"/>
      <c r="AW98" s="11"/>
      <c r="AX98" s="11"/>
      <c r="AY98" s="67"/>
      <c r="AZ98" s="204"/>
      <c r="BC98" s="68"/>
      <c r="BD98" s="68"/>
      <c r="BF98" s="200"/>
    </row>
    <row r="99">
      <c r="A99" s="11"/>
      <c r="B99" s="11"/>
      <c r="C99" s="11"/>
      <c r="D99" s="110">
        <f>COUNTIF(postDEL!$AR$2:$AR694,$C99)</f>
        <v>0</v>
      </c>
      <c r="E99" s="5" t="str">
        <f>CONCATENATE(Process!$A$1,F99)</f>
        <v>BEND637711</v>
      </c>
      <c r="F99" s="3">
        <v>637711.0</v>
      </c>
      <c r="G99" s="3"/>
      <c r="H99" s="3" t="s">
        <v>2327</v>
      </c>
      <c r="I99" s="13">
        <v>0.0</v>
      </c>
      <c r="J99" s="5"/>
      <c r="K99" s="199">
        <f>COUNTIF(postDEL!$AO$2:$AO694,$C99)</f>
        <v>0</v>
      </c>
      <c r="L99" s="212"/>
      <c r="M99" s="11" t="s">
        <v>2221</v>
      </c>
      <c r="N99" s="104" t="b">
        <f t="shared" si="1"/>
        <v>1</v>
      </c>
      <c r="O99" s="5" t="s">
        <v>2222</v>
      </c>
      <c r="P99" s="5" t="s">
        <v>2223</v>
      </c>
      <c r="R99" s="5"/>
      <c r="S99" s="5" t="s">
        <v>2224</v>
      </c>
      <c r="T99" s="184"/>
      <c r="U99" s="5"/>
      <c r="V99" s="5"/>
      <c r="W99" s="5"/>
      <c r="Y99" s="201" t="str">
        <f t="shared" si="2"/>
        <v/>
      </c>
      <c r="Z99" s="200"/>
      <c r="AA99" s="201" t="s">
        <v>2327</v>
      </c>
      <c r="AB99" s="68">
        <f t="shared" si="3"/>
        <v>1</v>
      </c>
      <c r="AC99" s="210"/>
      <c r="AD99" s="68" t="str">
        <f t="shared" si="4"/>
        <v>NOT</v>
      </c>
      <c r="AE99" s="11"/>
      <c r="AF99" s="11"/>
      <c r="AG99" s="11"/>
      <c r="AH99" s="110">
        <f>COUNTIF(postDEL!$AR$2:$AR694,AG99)</f>
        <v>0</v>
      </c>
      <c r="AI99" s="204"/>
      <c r="AK99" s="200"/>
      <c r="AM99" s="54"/>
      <c r="AN99" s="68" t="str">
        <f t="shared" si="5"/>
        <v/>
      </c>
      <c r="AO99" s="206" t="str">
        <f t="shared" si="6"/>
        <v/>
      </c>
      <c r="AQ99" s="5" t="str">
        <f>CONCATENATE("Sp",Process!$A$1,AR99)</f>
        <v>SpBEND767550</v>
      </c>
      <c r="AR99" s="19">
        <v>767550.0</v>
      </c>
      <c r="AS99" s="200"/>
      <c r="AT99" s="200"/>
      <c r="AU99" s="68"/>
      <c r="AV99" s="11"/>
      <c r="AW99" s="11"/>
      <c r="AX99" s="11"/>
      <c r="AY99" s="67"/>
      <c r="AZ99" s="204"/>
      <c r="BC99" s="68"/>
      <c r="BD99" s="68"/>
      <c r="BF99" s="200"/>
    </row>
    <row r="100">
      <c r="A100" s="11"/>
      <c r="B100" s="11"/>
      <c r="C100" s="11"/>
      <c r="D100" s="110">
        <f>COUNTIF(postDEL!$AR$2:$AR694,$C100)</f>
        <v>0</v>
      </c>
      <c r="E100" s="5" t="str">
        <f>CONCATENATE(Process!$A$1,F100)</f>
        <v>BEND398577</v>
      </c>
      <c r="F100" s="3">
        <v>398577.0</v>
      </c>
      <c r="G100" s="3"/>
      <c r="H100" s="3" t="s">
        <v>2328</v>
      </c>
      <c r="I100" s="13">
        <v>0.0</v>
      </c>
      <c r="J100" s="5"/>
      <c r="K100" s="199">
        <f>COUNTIF(postDEL!$AO$2:$AO694,$C100)</f>
        <v>0</v>
      </c>
      <c r="L100" s="212"/>
      <c r="M100" s="11" t="s">
        <v>2221</v>
      </c>
      <c r="N100" s="104" t="b">
        <f t="shared" si="1"/>
        <v>1</v>
      </c>
      <c r="O100" s="5" t="s">
        <v>2222</v>
      </c>
      <c r="P100" s="5" t="s">
        <v>2223</v>
      </c>
      <c r="R100" s="5"/>
      <c r="S100" s="5" t="s">
        <v>2224</v>
      </c>
      <c r="T100" s="184">
        <v>44579.0</v>
      </c>
      <c r="U100" s="5"/>
      <c r="V100" s="5"/>
      <c r="W100" s="5"/>
      <c r="Y100" s="201" t="str">
        <f t="shared" si="2"/>
        <v/>
      </c>
      <c r="Z100" s="200"/>
      <c r="AA100" s="201" t="s">
        <v>2328</v>
      </c>
      <c r="AB100" s="68">
        <f t="shared" si="3"/>
        <v>1</v>
      </c>
      <c r="AC100" s="210"/>
      <c r="AD100" s="68" t="str">
        <f t="shared" si="4"/>
        <v>NOT</v>
      </c>
      <c r="AE100" s="11"/>
      <c r="AF100" s="11"/>
      <c r="AG100" s="11"/>
      <c r="AH100" s="110">
        <f>COUNTIF(postDEL!$AR$2:$AR694,AG100)</f>
        <v>0</v>
      </c>
      <c r="AI100" s="204"/>
      <c r="AK100" s="200"/>
      <c r="AM100" s="54"/>
      <c r="AN100" s="68" t="str">
        <f t="shared" si="5"/>
        <v/>
      </c>
      <c r="AO100" s="206" t="str">
        <f t="shared" si="6"/>
        <v/>
      </c>
      <c r="AQ100" s="5" t="str">
        <f>CONCATENATE("Sp",Process!$A$1,AR100)</f>
        <v>SpBEND587584</v>
      </c>
      <c r="AR100" s="19">
        <v>587584.0</v>
      </c>
      <c r="AS100" s="200"/>
      <c r="AT100" s="200"/>
      <c r="AU100" s="68"/>
      <c r="AV100" s="11"/>
      <c r="AW100" s="11"/>
      <c r="AX100" s="11"/>
      <c r="AY100" s="67"/>
      <c r="AZ100" s="204"/>
      <c r="BC100" s="68"/>
      <c r="BD100" s="68"/>
      <c r="BF100" s="200"/>
    </row>
    <row r="101">
      <c r="A101" s="11"/>
      <c r="B101" s="11"/>
      <c r="C101" s="11"/>
      <c r="D101" s="110">
        <f>COUNTIF(postDEL!$AR$2:$AR694,$C101)</f>
        <v>0</v>
      </c>
      <c r="E101" s="5" t="str">
        <f>CONCATENATE(Process!$A$1,F101)</f>
        <v>BEND381818</v>
      </c>
      <c r="F101" s="3">
        <v>381818.0</v>
      </c>
      <c r="G101" s="3"/>
      <c r="H101" s="3" t="s">
        <v>2329</v>
      </c>
      <c r="I101" s="13">
        <v>0.0</v>
      </c>
      <c r="J101" s="5"/>
      <c r="K101" s="199">
        <f>COUNTIF(postDEL!$AO$2:$AO694,$C101)</f>
        <v>0</v>
      </c>
      <c r="L101" s="212"/>
      <c r="M101" s="11" t="s">
        <v>2221</v>
      </c>
      <c r="N101" s="104" t="b">
        <f t="shared" si="1"/>
        <v>1</v>
      </c>
      <c r="O101" s="5" t="s">
        <v>2222</v>
      </c>
      <c r="P101" s="5" t="s">
        <v>2223</v>
      </c>
      <c r="R101" s="5"/>
      <c r="S101" s="5" t="s">
        <v>2224</v>
      </c>
      <c r="T101" s="184"/>
      <c r="U101" s="5"/>
      <c r="V101" s="5"/>
      <c r="W101" s="5"/>
      <c r="Y101" s="201" t="str">
        <f t="shared" si="2"/>
        <v/>
      </c>
      <c r="Z101" s="200"/>
      <c r="AA101" s="201" t="s">
        <v>2329</v>
      </c>
      <c r="AB101" s="68">
        <f t="shared" si="3"/>
        <v>1</v>
      </c>
      <c r="AC101" s="210"/>
      <c r="AD101" s="68" t="str">
        <f t="shared" si="4"/>
        <v>NOT</v>
      </c>
      <c r="AE101" s="11"/>
      <c r="AF101" s="11"/>
      <c r="AG101" s="11"/>
      <c r="AH101" s="110">
        <f>COUNTIF(postDEL!$AR$2:$AR694,AG101)</f>
        <v>0</v>
      </c>
      <c r="AI101" s="204"/>
      <c r="AK101" s="200"/>
      <c r="AM101" s="54"/>
      <c r="AN101" s="68" t="str">
        <f t="shared" si="5"/>
        <v/>
      </c>
      <c r="AO101" s="206" t="str">
        <f t="shared" si="6"/>
        <v/>
      </c>
      <c r="AQ101" s="5" t="str">
        <f>CONCATENATE("Sp",Process!$A$1,AR101)</f>
        <v>SpBEND136234</v>
      </c>
      <c r="AR101" s="19">
        <v>136234.0</v>
      </c>
      <c r="AS101" s="200"/>
      <c r="AT101" s="200"/>
      <c r="AU101" s="68"/>
      <c r="AV101" s="11"/>
      <c r="AW101" s="11"/>
      <c r="AX101" s="11"/>
      <c r="AY101" s="67"/>
      <c r="AZ101" s="204"/>
      <c r="BC101" s="68"/>
      <c r="BD101" s="68"/>
      <c r="BF101" s="200"/>
    </row>
    <row r="102">
      <c r="A102" s="11"/>
      <c r="B102" s="11"/>
      <c r="C102" s="11"/>
      <c r="D102" s="110">
        <f>COUNTIF(postDEL!$AR$2:$AR694,$C102)</f>
        <v>0</v>
      </c>
      <c r="E102" s="5" t="str">
        <f>CONCATENATE(Process!$A$1,F102)</f>
        <v>BEND295131</v>
      </c>
      <c r="F102" s="3">
        <v>295131.0</v>
      </c>
      <c r="G102" s="3"/>
      <c r="H102" s="3" t="s">
        <v>2330</v>
      </c>
      <c r="I102" s="13">
        <v>0.0</v>
      </c>
      <c r="J102" s="5"/>
      <c r="K102" s="199">
        <f>COUNTIF(postDEL!$AO$2:$AO694,$C102)</f>
        <v>0</v>
      </c>
      <c r="L102" s="212"/>
      <c r="M102" s="11" t="s">
        <v>2221</v>
      </c>
      <c r="N102" s="104" t="b">
        <f t="shared" si="1"/>
        <v>1</v>
      </c>
      <c r="O102" s="5" t="s">
        <v>2222</v>
      </c>
      <c r="P102" s="5" t="s">
        <v>2223</v>
      </c>
      <c r="R102" s="5"/>
      <c r="S102" s="5" t="s">
        <v>2224</v>
      </c>
      <c r="T102" s="184"/>
      <c r="U102" s="5"/>
      <c r="V102" s="5"/>
      <c r="W102" s="5"/>
      <c r="Y102" s="201" t="str">
        <f t="shared" si="2"/>
        <v/>
      </c>
      <c r="Z102" s="200"/>
      <c r="AA102" s="201" t="s">
        <v>2330</v>
      </c>
      <c r="AB102" s="68">
        <f t="shared" si="3"/>
        <v>1</v>
      </c>
      <c r="AC102" s="210"/>
      <c r="AD102" s="68" t="str">
        <f t="shared" si="4"/>
        <v>NOT</v>
      </c>
      <c r="AE102" s="11"/>
      <c r="AF102" s="11"/>
      <c r="AG102" s="11"/>
      <c r="AH102" s="110">
        <f>COUNTIF(postDEL!$AR$2:$AR694,AG102)</f>
        <v>0</v>
      </c>
      <c r="AI102" s="204"/>
      <c r="AK102" s="200"/>
      <c r="AM102" s="54"/>
      <c r="AN102" s="68" t="str">
        <f t="shared" si="5"/>
        <v/>
      </c>
      <c r="AO102" s="206" t="str">
        <f t="shared" si="6"/>
        <v/>
      </c>
      <c r="AQ102" s="5" t="str">
        <f>CONCATENATE("Sp",Process!$A$1,AR102)</f>
        <v>SpBEND643855</v>
      </c>
      <c r="AR102" s="19">
        <v>643855.0</v>
      </c>
      <c r="AS102" s="200"/>
      <c r="AT102" s="200"/>
      <c r="AU102" s="68"/>
      <c r="AV102" s="11"/>
      <c r="AW102" s="11"/>
      <c r="AX102" s="11"/>
      <c r="AY102" s="67"/>
      <c r="AZ102" s="204"/>
      <c r="BC102" s="68"/>
      <c r="BD102" s="68"/>
      <c r="BF102" s="200"/>
    </row>
    <row r="103">
      <c r="A103" s="11"/>
      <c r="B103" s="11"/>
      <c r="C103" s="11"/>
      <c r="D103" s="110">
        <f>COUNTIF(postDEL!$AR$2:$AR694,$C103)</f>
        <v>0</v>
      </c>
      <c r="E103" s="5" t="str">
        <f>CONCATENATE(Process!$A$1,F103)</f>
        <v>BEND640444</v>
      </c>
      <c r="F103" s="3">
        <v>640444.0</v>
      </c>
      <c r="G103" s="3"/>
      <c r="H103" s="3" t="s">
        <v>2331</v>
      </c>
      <c r="I103" s="13">
        <v>0.0</v>
      </c>
      <c r="J103" s="5"/>
      <c r="K103" s="199">
        <f>COUNTIF(postDEL!$AO$2:$AO694,$C103)</f>
        <v>0</v>
      </c>
      <c r="L103" s="212"/>
      <c r="M103" s="11" t="s">
        <v>2221</v>
      </c>
      <c r="N103" s="104" t="b">
        <f t="shared" si="1"/>
        <v>1</v>
      </c>
      <c r="O103" s="5" t="s">
        <v>2222</v>
      </c>
      <c r="P103" s="5" t="s">
        <v>2223</v>
      </c>
      <c r="R103" s="5"/>
      <c r="S103" s="5" t="s">
        <v>2224</v>
      </c>
      <c r="T103" s="184"/>
      <c r="U103" s="5"/>
      <c r="V103" s="5"/>
      <c r="W103" s="5"/>
      <c r="Y103" s="201" t="str">
        <f t="shared" si="2"/>
        <v/>
      </c>
      <c r="Z103" s="200"/>
      <c r="AA103" s="201" t="s">
        <v>2331</v>
      </c>
      <c r="AB103" s="68">
        <f t="shared" si="3"/>
        <v>1</v>
      </c>
      <c r="AC103" s="210"/>
      <c r="AD103" s="68" t="str">
        <f t="shared" si="4"/>
        <v>NOT</v>
      </c>
      <c r="AE103" s="11"/>
      <c r="AF103" s="11"/>
      <c r="AG103" s="11"/>
      <c r="AH103" s="110">
        <f>COUNTIF(postDEL!$AR$2:$AR694,AG103)</f>
        <v>0</v>
      </c>
      <c r="AI103" s="204"/>
      <c r="AK103" s="200"/>
      <c r="AM103" s="54"/>
      <c r="AN103" s="68" t="str">
        <f t="shared" si="5"/>
        <v/>
      </c>
      <c r="AO103" s="206" t="str">
        <f t="shared" si="6"/>
        <v/>
      </c>
      <c r="AQ103" s="5" t="str">
        <f>CONCATENATE("Sp",Process!$A$1,AR103)</f>
        <v>SpBEND305944</v>
      </c>
      <c r="AR103" s="19">
        <v>305944.0</v>
      </c>
      <c r="AS103" s="200"/>
      <c r="AT103" s="200"/>
      <c r="AU103" s="68"/>
      <c r="AV103" s="11"/>
      <c r="AW103" s="11"/>
      <c r="AX103" s="11"/>
      <c r="AY103" s="67"/>
      <c r="AZ103" s="204"/>
      <c r="BC103" s="68"/>
      <c r="BD103" s="68"/>
      <c r="BF103" s="200"/>
    </row>
    <row r="104">
      <c r="A104" s="11"/>
      <c r="B104" s="11"/>
      <c r="C104" s="11"/>
      <c r="D104" s="110">
        <f>COUNTIF(postDEL!$AR$2:$AR694,$C104)</f>
        <v>0</v>
      </c>
      <c r="E104" s="5" t="str">
        <f>CONCATENATE(Process!$A$1,F104)</f>
        <v>BEND395125</v>
      </c>
      <c r="F104" s="3">
        <v>395125.0</v>
      </c>
      <c r="G104" s="3"/>
      <c r="H104" s="3" t="s">
        <v>2332</v>
      </c>
      <c r="I104" s="13">
        <v>0.0</v>
      </c>
      <c r="J104" s="5"/>
      <c r="K104" s="199">
        <f>COUNTIF(postDEL!$AO$2:$AO694,$C104)</f>
        <v>0</v>
      </c>
      <c r="L104" s="212"/>
      <c r="M104" s="11" t="s">
        <v>2221</v>
      </c>
      <c r="N104" s="104" t="b">
        <f t="shared" si="1"/>
        <v>1</v>
      </c>
      <c r="O104" s="5" t="s">
        <v>2222</v>
      </c>
      <c r="P104" s="5" t="s">
        <v>2223</v>
      </c>
      <c r="R104" s="5"/>
      <c r="S104" s="5" t="s">
        <v>2224</v>
      </c>
      <c r="T104" s="184"/>
      <c r="U104" s="5"/>
      <c r="V104" s="5"/>
      <c r="W104" s="5"/>
      <c r="Y104" s="201" t="str">
        <f t="shared" si="2"/>
        <v/>
      </c>
      <c r="Z104" s="200"/>
      <c r="AA104" s="201" t="s">
        <v>2332</v>
      </c>
      <c r="AB104" s="68">
        <f t="shared" si="3"/>
        <v>1</v>
      </c>
      <c r="AC104" s="210"/>
      <c r="AD104" s="68" t="str">
        <f t="shared" si="4"/>
        <v>NOT</v>
      </c>
      <c r="AE104" s="11"/>
      <c r="AF104" s="11"/>
      <c r="AG104" s="11"/>
      <c r="AH104" s="110">
        <f>COUNTIF(postDEL!$AR$2:$AR694,AG104)</f>
        <v>0</v>
      </c>
      <c r="AI104" s="204"/>
      <c r="AK104" s="200"/>
      <c r="AM104" s="54"/>
      <c r="AN104" s="68" t="str">
        <f t="shared" si="5"/>
        <v/>
      </c>
      <c r="AO104" s="206" t="str">
        <f t="shared" si="6"/>
        <v/>
      </c>
      <c r="AQ104" s="5" t="str">
        <f>CONCATENATE("Sp",Process!$A$1,AR104)</f>
        <v>SpBEND824412</v>
      </c>
      <c r="AR104" s="19">
        <v>824412.0</v>
      </c>
      <c r="AS104" s="200"/>
      <c r="AT104" s="200"/>
      <c r="AU104" s="68"/>
      <c r="AV104" s="11"/>
      <c r="AW104" s="11"/>
      <c r="AX104" s="11"/>
      <c r="AY104" s="67"/>
      <c r="AZ104" s="204"/>
      <c r="BC104" s="68"/>
      <c r="BD104" s="68"/>
      <c r="BF104" s="200"/>
    </row>
    <row r="105">
      <c r="A105" s="11"/>
      <c r="B105" s="11"/>
      <c r="C105" s="11"/>
      <c r="D105" s="110">
        <f>COUNTIF(postDEL!$AR$2:$AR694,$C105)</f>
        <v>0</v>
      </c>
      <c r="E105" s="5" t="str">
        <f>CONCATENATE(Process!$A$1,F105)</f>
        <v>BEND296589</v>
      </c>
      <c r="F105" s="3">
        <v>296589.0</v>
      </c>
      <c r="G105" s="3"/>
      <c r="H105" s="3" t="s">
        <v>2333</v>
      </c>
      <c r="I105" s="13">
        <v>0.0</v>
      </c>
      <c r="J105" s="5"/>
      <c r="K105" s="199">
        <f>COUNTIF(postDEL!$AO$2:$AO694,$C105)</f>
        <v>0</v>
      </c>
      <c r="L105" s="212"/>
      <c r="M105" s="11" t="s">
        <v>2221</v>
      </c>
      <c r="N105" s="104" t="b">
        <f t="shared" si="1"/>
        <v>1</v>
      </c>
      <c r="O105" s="5" t="s">
        <v>2222</v>
      </c>
      <c r="P105" s="5" t="s">
        <v>2223</v>
      </c>
      <c r="R105" s="5"/>
      <c r="S105" s="5" t="s">
        <v>2224</v>
      </c>
      <c r="T105" s="184"/>
      <c r="U105" s="5"/>
      <c r="V105" s="5"/>
      <c r="W105" s="5"/>
      <c r="Y105" s="201" t="str">
        <f t="shared" si="2"/>
        <v/>
      </c>
      <c r="Z105" s="200"/>
      <c r="AA105" s="201" t="s">
        <v>2333</v>
      </c>
      <c r="AB105" s="68">
        <f t="shared" si="3"/>
        <v>1</v>
      </c>
      <c r="AC105" s="210"/>
      <c r="AD105" s="68" t="str">
        <f t="shared" si="4"/>
        <v>NOT</v>
      </c>
      <c r="AE105" s="11"/>
      <c r="AF105" s="11"/>
      <c r="AG105" s="11"/>
      <c r="AH105" s="110">
        <f>COUNTIF(postDEL!$AR$2:$AR694,AG105)</f>
        <v>0</v>
      </c>
      <c r="AI105" s="204"/>
      <c r="AK105" s="200"/>
      <c r="AN105" s="68" t="str">
        <f t="shared" si="5"/>
        <v/>
      </c>
      <c r="AO105" s="206"/>
      <c r="AS105" s="200"/>
      <c r="AT105" s="200"/>
      <c r="AU105" s="68"/>
      <c r="AV105" s="11"/>
      <c r="AW105" s="11"/>
      <c r="AX105" s="11"/>
      <c r="AY105" s="67"/>
      <c r="AZ105" s="204"/>
      <c r="BC105" s="68"/>
      <c r="BD105" s="68"/>
      <c r="BF105" s="200"/>
    </row>
    <row r="106">
      <c r="A106" s="11"/>
      <c r="B106" s="11"/>
      <c r="C106" s="11"/>
      <c r="D106" s="110">
        <f>COUNTIF(postDEL!$AR$2:$AR694,$C106)</f>
        <v>0</v>
      </c>
      <c r="E106" s="5" t="str">
        <f>CONCATENATE(Process!$A$1,F106)</f>
        <v>BEND151408</v>
      </c>
      <c r="F106" s="3">
        <v>151408.0</v>
      </c>
      <c r="G106" s="3"/>
      <c r="H106" s="3" t="s">
        <v>2334</v>
      </c>
      <c r="I106" s="13">
        <v>0.0</v>
      </c>
      <c r="J106" s="5"/>
      <c r="K106" s="199">
        <f>COUNTIF(postDEL!$AO$2:$AO694,$C106)</f>
        <v>0</v>
      </c>
      <c r="L106" s="212"/>
      <c r="M106" s="11" t="s">
        <v>2221</v>
      </c>
      <c r="N106" s="104" t="b">
        <f t="shared" si="1"/>
        <v>1</v>
      </c>
      <c r="O106" s="5" t="s">
        <v>2227</v>
      </c>
      <c r="P106" s="5" t="s">
        <v>2185</v>
      </c>
      <c r="R106" s="5"/>
      <c r="S106" s="5"/>
      <c r="T106" s="184"/>
      <c r="U106" s="5"/>
      <c r="V106" s="5"/>
      <c r="W106" s="5"/>
      <c r="Y106" s="201" t="str">
        <f t="shared" si="2"/>
        <v/>
      </c>
      <c r="Z106" s="200"/>
      <c r="AA106" s="201" t="s">
        <v>2334</v>
      </c>
      <c r="AB106" s="68">
        <f t="shared" si="3"/>
        <v>1</v>
      </c>
      <c r="AC106" s="210"/>
      <c r="AD106" s="68" t="str">
        <f t="shared" si="4"/>
        <v>NOT</v>
      </c>
      <c r="AE106" s="11"/>
      <c r="AF106" s="11"/>
      <c r="AG106" s="11"/>
      <c r="AH106" s="110">
        <f>COUNTIF(postDEL!$AR$2:$AR694,AG106)</f>
        <v>0</v>
      </c>
      <c r="AI106" s="204"/>
      <c r="AK106" s="200"/>
      <c r="AN106" s="68" t="str">
        <f t="shared" si="5"/>
        <v/>
      </c>
      <c r="AO106" s="206" t="str">
        <f t="shared" ref="AO106:AO192" si="7">IF(NOT(ISBLANK(AM105)), IF(COUNTIF(C$2:C694,AM105)=1,TRUE,FALSE),IFERROR(0/0,""))</f>
        <v/>
      </c>
      <c r="AS106" s="200"/>
      <c r="AT106" s="200"/>
      <c r="AU106" s="68"/>
      <c r="AV106" s="11"/>
      <c r="AW106" s="11"/>
      <c r="AX106" s="11"/>
      <c r="AY106" s="67"/>
      <c r="AZ106" s="204"/>
      <c r="BC106" s="68"/>
      <c r="BD106" s="68"/>
      <c r="BF106" s="200"/>
    </row>
    <row r="107">
      <c r="A107" s="11"/>
      <c r="B107" s="11"/>
      <c r="C107" s="11"/>
      <c r="D107" s="110">
        <f>COUNTIF(postDEL!$AR$2:$AR694,$C107)</f>
        <v>0</v>
      </c>
      <c r="E107" s="5" t="str">
        <f>CONCATENATE(Process!$A$1,F107)</f>
        <v>BEND101300</v>
      </c>
      <c r="F107" s="3">
        <v>101300.0</v>
      </c>
      <c r="G107" s="3"/>
      <c r="H107" s="3" t="s">
        <v>2335</v>
      </c>
      <c r="I107" s="13">
        <v>0.0</v>
      </c>
      <c r="J107" s="5"/>
      <c r="K107" s="199">
        <f>COUNTIF(postDEL!$AO$2:$AO694,$C107)</f>
        <v>0</v>
      </c>
      <c r="L107" s="212"/>
      <c r="M107" s="11" t="s">
        <v>2221</v>
      </c>
      <c r="N107" s="104" t="b">
        <f t="shared" si="1"/>
        <v>1</v>
      </c>
      <c r="O107" s="5" t="s">
        <v>2227</v>
      </c>
      <c r="P107" s="5" t="s">
        <v>2185</v>
      </c>
      <c r="R107" s="5"/>
      <c r="S107" s="5"/>
      <c r="T107" s="184">
        <v>44623.0</v>
      </c>
      <c r="U107" s="5"/>
      <c r="V107" s="5"/>
      <c r="W107" s="5"/>
      <c r="Y107" s="201" t="str">
        <f t="shared" si="2"/>
        <v/>
      </c>
      <c r="Z107" s="200"/>
      <c r="AA107" s="201" t="s">
        <v>2335</v>
      </c>
      <c r="AB107" s="68">
        <f t="shared" si="3"/>
        <v>1</v>
      </c>
      <c r="AC107" s="210"/>
      <c r="AD107" s="68" t="str">
        <f t="shared" si="4"/>
        <v>NOT</v>
      </c>
      <c r="AE107" s="11"/>
      <c r="AF107" s="11"/>
      <c r="AG107" s="11"/>
      <c r="AH107" s="110">
        <f>COUNTIF(postDEL!$AR$2:$AR694,AG107)</f>
        <v>0</v>
      </c>
      <c r="AI107" s="204"/>
      <c r="AK107" s="200"/>
      <c r="AN107" s="68" t="str">
        <f t="shared" si="5"/>
        <v/>
      </c>
      <c r="AO107" s="206" t="str">
        <f t="shared" si="7"/>
        <v/>
      </c>
      <c r="AS107" s="200"/>
      <c r="AT107" s="200"/>
      <c r="AU107" s="68"/>
      <c r="AV107" s="11"/>
      <c r="AW107" s="11"/>
      <c r="AX107" s="11"/>
      <c r="AY107" s="67"/>
      <c r="AZ107" s="204"/>
      <c r="BC107" s="68"/>
      <c r="BD107" s="68"/>
      <c r="BF107" s="200"/>
    </row>
    <row r="108">
      <c r="A108" s="214"/>
      <c r="B108" s="214"/>
      <c r="C108" s="11"/>
      <c r="D108" s="110">
        <f>COUNTIF(postDEL!$AR$2:$AR694,$C108)</f>
        <v>0</v>
      </c>
      <c r="E108" s="5" t="str">
        <f>CONCATENATE(Process!$A$1,F108)</f>
        <v>BEND840702</v>
      </c>
      <c r="F108" s="3">
        <v>840702.0</v>
      </c>
      <c r="G108" s="3"/>
      <c r="H108" s="3" t="s">
        <v>2336</v>
      </c>
      <c r="I108" s="13">
        <v>0.0</v>
      </c>
      <c r="J108" s="5"/>
      <c r="K108" s="199">
        <f>COUNTIF(postDEL!$AO$2:$AO694,$C108)</f>
        <v>0</v>
      </c>
      <c r="L108" s="212"/>
      <c r="M108" s="11" t="s">
        <v>2221</v>
      </c>
      <c r="N108" s="104" t="b">
        <f t="shared" si="1"/>
        <v>1</v>
      </c>
      <c r="O108" s="5" t="s">
        <v>2222</v>
      </c>
      <c r="P108" s="5" t="s">
        <v>2223</v>
      </c>
      <c r="R108" s="5"/>
      <c r="S108" s="5" t="s">
        <v>2224</v>
      </c>
      <c r="T108" s="184"/>
      <c r="U108" s="5"/>
      <c r="V108" s="5"/>
      <c r="W108" s="5"/>
      <c r="Y108" s="201" t="str">
        <f t="shared" si="2"/>
        <v/>
      </c>
      <c r="Z108" s="200"/>
      <c r="AA108" s="201" t="s">
        <v>2336</v>
      </c>
      <c r="AB108" s="68">
        <f t="shared" si="3"/>
        <v>1</v>
      </c>
      <c r="AC108" s="210"/>
      <c r="AD108" s="68" t="str">
        <f t="shared" si="4"/>
        <v>NOT</v>
      </c>
      <c r="AE108" s="11"/>
      <c r="AF108" s="11"/>
      <c r="AG108" s="11"/>
      <c r="AH108" s="110">
        <f>COUNTIF(postDEL!$AR$2:$AR694,AG108)</f>
        <v>0</v>
      </c>
      <c r="AI108" s="204"/>
      <c r="AK108" s="200"/>
      <c r="AN108" s="68" t="str">
        <f t="shared" si="5"/>
        <v/>
      </c>
      <c r="AO108" s="206" t="str">
        <f t="shared" si="7"/>
        <v/>
      </c>
      <c r="AS108" s="200"/>
      <c r="AT108" s="200"/>
      <c r="AU108" s="68"/>
      <c r="AV108" s="11"/>
      <c r="AW108" s="11"/>
      <c r="AX108" s="11"/>
      <c r="AY108" s="67"/>
      <c r="AZ108" s="204"/>
      <c r="BC108" s="68"/>
      <c r="BD108" s="68"/>
      <c r="BF108" s="200"/>
    </row>
    <row r="109">
      <c r="A109" s="11"/>
      <c r="B109" s="11"/>
      <c r="C109" s="11"/>
      <c r="D109" s="110">
        <f>COUNTIF(postDEL!$AR$2:$AR694,$C109)</f>
        <v>0</v>
      </c>
      <c r="E109" s="5" t="str">
        <f>CONCATENATE(Process!$A$1,F109)</f>
        <v>BEND143262</v>
      </c>
      <c r="F109" s="3">
        <v>143262.0</v>
      </c>
      <c r="G109" s="3"/>
      <c r="H109" s="3" t="s">
        <v>2337</v>
      </c>
      <c r="I109" s="13">
        <v>0.0</v>
      </c>
      <c r="J109" s="5"/>
      <c r="K109" s="199">
        <f>COUNTIF(postDEL!$AO$2:$AO694,$C109)</f>
        <v>0</v>
      </c>
      <c r="L109" s="212"/>
      <c r="M109" s="11" t="s">
        <v>2221</v>
      </c>
      <c r="N109" s="104" t="b">
        <f t="shared" si="1"/>
        <v>1</v>
      </c>
      <c r="O109" s="5" t="s">
        <v>2222</v>
      </c>
      <c r="P109" s="5" t="s">
        <v>2223</v>
      </c>
      <c r="R109" s="5"/>
      <c r="S109" s="5" t="s">
        <v>2224</v>
      </c>
      <c r="T109" s="184">
        <v>44564.0</v>
      </c>
      <c r="U109" s="5"/>
      <c r="V109" s="5"/>
      <c r="W109" s="5"/>
      <c r="Y109" s="201" t="str">
        <f t="shared" si="2"/>
        <v/>
      </c>
      <c r="Z109" s="200"/>
      <c r="AA109" s="201" t="s">
        <v>2337</v>
      </c>
      <c r="AB109" s="68">
        <f t="shared" si="3"/>
        <v>1</v>
      </c>
      <c r="AC109" s="210"/>
      <c r="AD109" s="68" t="str">
        <f t="shared" si="4"/>
        <v>NOT</v>
      </c>
      <c r="AE109" s="11"/>
      <c r="AF109" s="11"/>
      <c r="AG109" s="11"/>
      <c r="AH109" s="110">
        <f>COUNTIF(postDEL!$AR$2:$AR694,AG109)</f>
        <v>0</v>
      </c>
      <c r="AI109" s="204"/>
      <c r="AK109" s="200"/>
      <c r="AN109" s="68" t="str">
        <f t="shared" si="5"/>
        <v/>
      </c>
      <c r="AO109" s="206" t="str">
        <f t="shared" si="7"/>
        <v/>
      </c>
      <c r="AS109" s="200"/>
      <c r="AT109" s="200"/>
      <c r="AU109" s="68"/>
      <c r="AV109" s="11"/>
      <c r="AW109" s="11"/>
      <c r="AX109" s="11"/>
      <c r="AY109" s="67"/>
      <c r="AZ109" s="204"/>
      <c r="BC109" s="68"/>
      <c r="BD109" s="68"/>
      <c r="BF109" s="200"/>
    </row>
    <row r="110">
      <c r="A110" s="11"/>
      <c r="B110" s="11"/>
      <c r="C110" s="11"/>
      <c r="D110" s="110">
        <f>COUNTIF(postDEL!$AR$2:$AR694,$C110)</f>
        <v>0</v>
      </c>
      <c r="E110" s="5" t="str">
        <f>CONCATENATE(Process!$A$1,F110)</f>
        <v>BEND821009</v>
      </c>
      <c r="F110" s="3">
        <v>821009.0</v>
      </c>
      <c r="G110" s="3"/>
      <c r="H110" s="3" t="s">
        <v>2338</v>
      </c>
      <c r="I110" s="13">
        <v>0.0</v>
      </c>
      <c r="J110" s="5"/>
      <c r="K110" s="199">
        <f>COUNTIF(postDEL!$AO$2:$AO694,$C110)</f>
        <v>0</v>
      </c>
      <c r="L110" s="212"/>
      <c r="M110" s="11" t="s">
        <v>2221</v>
      </c>
      <c r="N110" s="104" t="b">
        <f t="shared" si="1"/>
        <v>1</v>
      </c>
      <c r="O110" s="5" t="s">
        <v>2222</v>
      </c>
      <c r="P110" s="5" t="s">
        <v>2223</v>
      </c>
      <c r="R110" s="5"/>
      <c r="S110" s="5" t="s">
        <v>2224</v>
      </c>
      <c r="T110" s="184">
        <v>44579.0</v>
      </c>
      <c r="U110" s="5"/>
      <c r="V110" s="5"/>
      <c r="W110" s="5"/>
      <c r="Y110" s="201" t="str">
        <f t="shared" si="2"/>
        <v/>
      </c>
      <c r="Z110" s="200"/>
      <c r="AA110" s="201" t="s">
        <v>2338</v>
      </c>
      <c r="AB110" s="68">
        <f t="shared" si="3"/>
        <v>1</v>
      </c>
      <c r="AC110" s="210"/>
      <c r="AD110" s="68" t="str">
        <f t="shared" si="4"/>
        <v>NOT</v>
      </c>
      <c r="AE110" s="11"/>
      <c r="AF110" s="11"/>
      <c r="AG110" s="11"/>
      <c r="AH110" s="110">
        <f>COUNTIF(postDEL!$AR$2:$AR694,AG110)</f>
        <v>0</v>
      </c>
      <c r="AI110" s="204"/>
      <c r="AK110" s="200"/>
      <c r="AN110" s="68" t="str">
        <f t="shared" si="5"/>
        <v/>
      </c>
      <c r="AO110" s="206" t="str">
        <f t="shared" si="7"/>
        <v/>
      </c>
      <c r="AS110" s="200"/>
      <c r="AT110" s="200"/>
      <c r="AU110" s="68"/>
      <c r="AV110" s="11"/>
      <c r="AW110" s="11"/>
      <c r="AX110" s="11"/>
      <c r="AY110" s="67"/>
      <c r="AZ110" s="204"/>
      <c r="BC110" s="68"/>
      <c r="BD110" s="68"/>
      <c r="BF110" s="200"/>
    </row>
    <row r="111">
      <c r="A111" s="11"/>
      <c r="B111" s="11"/>
      <c r="C111" s="11"/>
      <c r="D111" s="110">
        <f>COUNTIF(postDEL!$AR$2:$AR694,$C111)</f>
        <v>0</v>
      </c>
      <c r="E111" s="5" t="str">
        <f>CONCATENATE(Process!$A$1,F111)</f>
        <v>BEND797605</v>
      </c>
      <c r="F111" s="3">
        <v>797605.0</v>
      </c>
      <c r="G111" s="3"/>
      <c r="H111" s="3" t="s">
        <v>2339</v>
      </c>
      <c r="I111" s="13">
        <v>0.0</v>
      </c>
      <c r="J111" s="5"/>
      <c r="K111" s="199">
        <f>COUNTIF(postDEL!$AO$2:$AO694,$C111)</f>
        <v>0</v>
      </c>
      <c r="L111" s="212"/>
      <c r="M111" s="11" t="s">
        <v>2221</v>
      </c>
      <c r="N111" s="104" t="b">
        <f t="shared" si="1"/>
        <v>1</v>
      </c>
      <c r="O111" s="5" t="s">
        <v>2222</v>
      </c>
      <c r="P111" s="5" t="s">
        <v>2223</v>
      </c>
      <c r="R111" s="5"/>
      <c r="S111" s="5" t="s">
        <v>2340</v>
      </c>
      <c r="T111" s="184"/>
      <c r="U111" s="5"/>
      <c r="V111" s="5"/>
      <c r="W111" s="5"/>
      <c r="Y111" s="201" t="str">
        <f t="shared" si="2"/>
        <v/>
      </c>
      <c r="Z111" s="200"/>
      <c r="AA111" s="201" t="s">
        <v>2339</v>
      </c>
      <c r="AB111" s="68">
        <f t="shared" si="3"/>
        <v>1</v>
      </c>
      <c r="AC111" s="210"/>
      <c r="AD111" s="68" t="str">
        <f t="shared" si="4"/>
        <v>NOT</v>
      </c>
      <c r="AE111" s="11"/>
      <c r="AF111" s="11"/>
      <c r="AG111" s="11"/>
      <c r="AH111" s="110">
        <f>COUNTIF(postDEL!$AR$2:$AR694,AG111)</f>
        <v>0</v>
      </c>
      <c r="AI111" s="204"/>
      <c r="AK111" s="200"/>
      <c r="AN111" s="68" t="str">
        <f t="shared" si="5"/>
        <v/>
      </c>
      <c r="AO111" s="206" t="str">
        <f t="shared" si="7"/>
        <v/>
      </c>
      <c r="AS111" s="200"/>
      <c r="AT111" s="200"/>
      <c r="AU111" s="68"/>
      <c r="AV111" s="11"/>
      <c r="AW111" s="11"/>
      <c r="AX111" s="11"/>
      <c r="AY111" s="67"/>
      <c r="AZ111" s="204"/>
      <c r="BC111" s="68"/>
      <c r="BD111" s="68"/>
      <c r="BF111" s="200"/>
    </row>
    <row r="112">
      <c r="A112" s="11"/>
      <c r="B112" s="11"/>
      <c r="C112" s="11"/>
      <c r="D112" s="110">
        <f>COUNTIF(postDEL!$AR$2:$AR694,$C112)</f>
        <v>0</v>
      </c>
      <c r="E112" s="5" t="str">
        <f>CONCATENATE(Process!$A$1,F112)</f>
        <v>BEND162474</v>
      </c>
      <c r="F112" s="3">
        <v>162474.0</v>
      </c>
      <c r="G112" s="3"/>
      <c r="H112" s="3" t="s">
        <v>2341</v>
      </c>
      <c r="I112" s="13">
        <v>0.0</v>
      </c>
      <c r="J112" s="5"/>
      <c r="K112" s="199">
        <f>COUNTIF(postDEL!$AO$2:$AO694,$C112)</f>
        <v>0</v>
      </c>
      <c r="L112" s="212"/>
      <c r="M112" s="11" t="s">
        <v>2221</v>
      </c>
      <c r="N112" s="104" t="b">
        <f t="shared" si="1"/>
        <v>1</v>
      </c>
      <c r="O112" s="5" t="s">
        <v>2222</v>
      </c>
      <c r="P112" s="5" t="s">
        <v>2223</v>
      </c>
      <c r="R112" s="5"/>
      <c r="S112" s="5" t="s">
        <v>2224</v>
      </c>
      <c r="T112" s="184">
        <v>44599.0</v>
      </c>
      <c r="U112" s="5"/>
      <c r="V112" s="5"/>
      <c r="W112" s="5"/>
      <c r="Y112" s="201" t="str">
        <f t="shared" si="2"/>
        <v/>
      </c>
      <c r="Z112" s="200"/>
      <c r="AA112" s="201" t="s">
        <v>2341</v>
      </c>
      <c r="AB112" s="68">
        <f t="shared" si="3"/>
        <v>1</v>
      </c>
      <c r="AC112" s="210"/>
      <c r="AD112" s="68" t="str">
        <f t="shared" si="4"/>
        <v>NOT</v>
      </c>
      <c r="AE112" s="11"/>
      <c r="AF112" s="11"/>
      <c r="AG112" s="11"/>
      <c r="AH112" s="110">
        <f>COUNTIF(postDEL!$AR$2:$AR694,AG112)</f>
        <v>0</v>
      </c>
      <c r="AI112" s="204"/>
      <c r="AK112" s="200"/>
      <c r="AN112" s="68" t="str">
        <f t="shared" si="5"/>
        <v/>
      </c>
      <c r="AO112" s="206" t="str">
        <f t="shared" si="7"/>
        <v/>
      </c>
      <c r="AS112" s="200"/>
      <c r="AT112" s="200"/>
      <c r="AU112" s="68"/>
      <c r="AV112" s="11"/>
      <c r="AW112" s="11"/>
      <c r="AX112" s="11"/>
      <c r="AY112" s="67"/>
      <c r="AZ112" s="204"/>
      <c r="BC112" s="68"/>
      <c r="BD112" s="68"/>
      <c r="BF112" s="200"/>
    </row>
    <row r="113">
      <c r="A113" s="11"/>
      <c r="B113" s="11"/>
      <c r="C113" s="11"/>
      <c r="D113" s="110">
        <f>COUNTIF(postDEL!$AR$2:$AR694,$C113)</f>
        <v>0</v>
      </c>
      <c r="E113" s="5" t="str">
        <f>CONCATENATE(Process!$A$1,F113)</f>
        <v>BEND696303</v>
      </c>
      <c r="F113" s="3">
        <v>696303.0</v>
      </c>
      <c r="G113" s="3"/>
      <c r="H113" s="3" t="s">
        <v>2342</v>
      </c>
      <c r="I113" s="13">
        <v>0.0</v>
      </c>
      <c r="J113" s="5"/>
      <c r="K113" s="199">
        <f>COUNTIF(postDEL!$AO$2:$AO694,$C113)</f>
        <v>0</v>
      </c>
      <c r="L113" s="212"/>
      <c r="M113" s="11" t="s">
        <v>2221</v>
      </c>
      <c r="N113" s="104" t="b">
        <f t="shared" si="1"/>
        <v>1</v>
      </c>
      <c r="O113" s="5" t="s">
        <v>2222</v>
      </c>
      <c r="P113" s="5" t="s">
        <v>2223</v>
      </c>
      <c r="R113" s="5"/>
      <c r="S113" s="5" t="s">
        <v>2224</v>
      </c>
      <c r="T113" s="184"/>
      <c r="U113" s="5"/>
      <c r="V113" s="5"/>
      <c r="W113" s="5"/>
      <c r="Y113" s="201" t="str">
        <f t="shared" si="2"/>
        <v/>
      </c>
      <c r="Z113" s="200"/>
      <c r="AA113" s="201" t="s">
        <v>2342</v>
      </c>
      <c r="AB113" s="68">
        <f t="shared" si="3"/>
        <v>1</v>
      </c>
      <c r="AC113" s="210"/>
      <c r="AD113" s="68" t="str">
        <f t="shared" si="4"/>
        <v>NOT</v>
      </c>
      <c r="AE113" s="11"/>
      <c r="AF113" s="11"/>
      <c r="AG113" s="11"/>
      <c r="AH113" s="110">
        <f>COUNTIF(postDEL!$AR$2:$AR694,AG113)</f>
        <v>0</v>
      </c>
      <c r="AI113" s="204"/>
      <c r="AK113" s="200"/>
      <c r="AN113" s="68" t="str">
        <f t="shared" si="5"/>
        <v/>
      </c>
      <c r="AO113" s="206" t="str">
        <f t="shared" si="7"/>
        <v/>
      </c>
      <c r="AS113" s="200"/>
      <c r="AT113" s="200"/>
      <c r="AU113" s="68"/>
      <c r="AV113" s="11"/>
      <c r="AW113" s="11"/>
      <c r="AX113" s="11"/>
      <c r="AY113" s="67"/>
      <c r="AZ113" s="204"/>
      <c r="BC113" s="68"/>
      <c r="BD113" s="68"/>
      <c r="BF113" s="200"/>
    </row>
    <row r="114">
      <c r="A114" s="11"/>
      <c r="B114" s="11"/>
      <c r="C114" s="11"/>
      <c r="D114" s="110">
        <f>COUNTIF(postDEL!$AR$2:$AR694,$C114)</f>
        <v>0</v>
      </c>
      <c r="E114" s="5" t="str">
        <f>CONCATENATE(Process!$A$1,F114)</f>
        <v>BEND955524</v>
      </c>
      <c r="F114" s="3">
        <v>955524.0</v>
      </c>
      <c r="G114" s="3"/>
      <c r="H114" s="3" t="s">
        <v>2343</v>
      </c>
      <c r="I114" s="13">
        <v>0.0</v>
      </c>
      <c r="J114" s="5"/>
      <c r="K114" s="199">
        <f>COUNTIF(postDEL!$AO$2:$AO694,$C114)</f>
        <v>0</v>
      </c>
      <c r="L114" s="212"/>
      <c r="M114" s="11" t="s">
        <v>2221</v>
      </c>
      <c r="N114" s="104" t="b">
        <f t="shared" si="1"/>
        <v>1</v>
      </c>
      <c r="O114" s="5" t="s">
        <v>2222</v>
      </c>
      <c r="P114" s="5" t="s">
        <v>2223</v>
      </c>
      <c r="R114" s="5"/>
      <c r="S114" s="5" t="s">
        <v>2224</v>
      </c>
      <c r="T114" s="184"/>
      <c r="U114" s="5"/>
      <c r="V114" s="5"/>
      <c r="W114" s="5"/>
      <c r="Y114" s="201" t="str">
        <f t="shared" si="2"/>
        <v/>
      </c>
      <c r="Z114" s="200"/>
      <c r="AA114" s="201" t="s">
        <v>2343</v>
      </c>
      <c r="AB114" s="68">
        <f t="shared" si="3"/>
        <v>1</v>
      </c>
      <c r="AC114" s="210"/>
      <c r="AD114" s="68" t="str">
        <f t="shared" si="4"/>
        <v>NOT</v>
      </c>
      <c r="AE114" s="11"/>
      <c r="AF114" s="11"/>
      <c r="AG114" s="11"/>
      <c r="AH114" s="110">
        <f>COUNTIF(postDEL!$AR$2:$AR694,AG114)</f>
        <v>0</v>
      </c>
      <c r="AI114" s="204"/>
      <c r="AK114" s="200"/>
      <c r="AN114" s="68" t="str">
        <f t="shared" si="5"/>
        <v/>
      </c>
      <c r="AO114" s="206" t="str">
        <f t="shared" si="7"/>
        <v/>
      </c>
      <c r="AS114" s="200"/>
      <c r="AT114" s="200"/>
      <c r="AU114" s="68"/>
      <c r="AV114" s="11"/>
      <c r="AW114" s="11"/>
      <c r="AX114" s="11"/>
      <c r="AY114" s="67"/>
      <c r="AZ114" s="204"/>
      <c r="BC114" s="68"/>
      <c r="BD114" s="68"/>
      <c r="BF114" s="200"/>
    </row>
    <row r="115">
      <c r="A115" s="11"/>
      <c r="B115" s="11"/>
      <c r="C115" s="11"/>
      <c r="D115" s="110">
        <f>COUNTIF(postDEL!$AR$2:$AR694,$C115)</f>
        <v>0</v>
      </c>
      <c r="E115" s="5" t="str">
        <f>CONCATENATE(Process!$A$1,F115)</f>
        <v>BEND342488</v>
      </c>
      <c r="F115" s="3">
        <v>342488.0</v>
      </c>
      <c r="G115" s="3"/>
      <c r="H115" s="3" t="s">
        <v>2344</v>
      </c>
      <c r="I115" s="13">
        <v>0.0</v>
      </c>
      <c r="J115" s="5"/>
      <c r="K115" s="199">
        <f>COUNTIF(postDEL!$AO$2:$AO694,$C115)</f>
        <v>0</v>
      </c>
      <c r="L115" s="212"/>
      <c r="M115" s="11" t="s">
        <v>2221</v>
      </c>
      <c r="N115" s="104" t="b">
        <f t="shared" si="1"/>
        <v>1</v>
      </c>
      <c r="O115" s="5" t="s">
        <v>2227</v>
      </c>
      <c r="P115" s="5" t="s">
        <v>2185</v>
      </c>
      <c r="R115" s="5"/>
      <c r="S115" s="5"/>
      <c r="T115" s="184"/>
      <c r="U115" s="5"/>
      <c r="V115" s="5"/>
      <c r="W115" s="5"/>
      <c r="Y115" s="201" t="str">
        <f t="shared" si="2"/>
        <v/>
      </c>
      <c r="Z115" s="200"/>
      <c r="AA115" s="201" t="s">
        <v>2344</v>
      </c>
      <c r="AB115" s="68">
        <f t="shared" si="3"/>
        <v>1</v>
      </c>
      <c r="AC115" s="210"/>
      <c r="AD115" s="68" t="str">
        <f t="shared" si="4"/>
        <v>NOT</v>
      </c>
      <c r="AE115" s="11"/>
      <c r="AF115" s="11"/>
      <c r="AG115" s="11"/>
      <c r="AH115" s="110">
        <f>COUNTIF(postDEL!$AR$2:$AR694,AG115)</f>
        <v>0</v>
      </c>
      <c r="AI115" s="204"/>
      <c r="AK115" s="200"/>
      <c r="AN115" s="68" t="str">
        <f t="shared" si="5"/>
        <v/>
      </c>
      <c r="AO115" s="206" t="str">
        <f t="shared" si="7"/>
        <v/>
      </c>
      <c r="AS115" s="200"/>
      <c r="AT115" s="200"/>
      <c r="AU115" s="68"/>
      <c r="AV115" s="11"/>
      <c r="AW115" s="11"/>
      <c r="AX115" s="11"/>
      <c r="AY115" s="67"/>
      <c r="AZ115" s="204"/>
      <c r="BC115" s="68"/>
      <c r="BD115" s="68"/>
      <c r="BF115" s="200"/>
    </row>
    <row r="116">
      <c r="A116" s="11"/>
      <c r="B116" s="11"/>
      <c r="C116" s="11"/>
      <c r="D116" s="110">
        <f>COUNTIF(postDEL!$AR$2:$AR694,$C116)</f>
        <v>0</v>
      </c>
      <c r="E116" s="5" t="str">
        <f>CONCATENATE(Process!$A$1,F116)</f>
        <v>BEND759602</v>
      </c>
      <c r="F116" s="3">
        <v>759602.0</v>
      </c>
      <c r="G116" s="3"/>
      <c r="H116" s="3" t="s">
        <v>2345</v>
      </c>
      <c r="I116" s="13">
        <v>0.0</v>
      </c>
      <c r="J116" s="5"/>
      <c r="K116" s="199">
        <f>COUNTIF(postDEL!$AO$2:$AO694,$C116)</f>
        <v>0</v>
      </c>
      <c r="L116" s="212"/>
      <c r="M116" s="11" t="s">
        <v>2221</v>
      </c>
      <c r="N116" s="104" t="b">
        <f t="shared" si="1"/>
        <v>1</v>
      </c>
      <c r="O116" s="5" t="s">
        <v>2222</v>
      </c>
      <c r="P116" s="5" t="s">
        <v>2223</v>
      </c>
      <c r="R116" s="5"/>
      <c r="S116" s="5" t="s">
        <v>2224</v>
      </c>
      <c r="T116" s="184">
        <v>44579.0</v>
      </c>
      <c r="U116" s="5"/>
      <c r="V116" s="5"/>
      <c r="W116" s="5"/>
      <c r="Y116" s="201" t="str">
        <f t="shared" si="2"/>
        <v/>
      </c>
      <c r="Z116" s="200"/>
      <c r="AA116" s="201" t="s">
        <v>2345</v>
      </c>
      <c r="AB116" s="68">
        <f t="shared" si="3"/>
        <v>1</v>
      </c>
      <c r="AC116" s="210"/>
      <c r="AD116" s="68" t="str">
        <f t="shared" si="4"/>
        <v>NOT</v>
      </c>
      <c r="AE116" s="11"/>
      <c r="AF116" s="11"/>
      <c r="AG116" s="11"/>
      <c r="AH116" s="110">
        <f>COUNTIF(postDEL!$AR$2:$AR694,AG116)</f>
        <v>0</v>
      </c>
      <c r="AI116" s="204"/>
      <c r="AK116" s="200"/>
      <c r="AN116" s="68" t="str">
        <f t="shared" si="5"/>
        <v/>
      </c>
      <c r="AO116" s="206" t="str">
        <f t="shared" si="7"/>
        <v/>
      </c>
      <c r="AS116" s="200"/>
      <c r="AT116" s="200"/>
      <c r="AU116" s="68"/>
      <c r="AV116" s="11"/>
      <c r="AW116" s="11"/>
      <c r="AX116" s="11"/>
      <c r="AY116" s="67"/>
      <c r="AZ116" s="204"/>
      <c r="BC116" s="68"/>
      <c r="BD116" s="68"/>
      <c r="BF116" s="200"/>
    </row>
    <row r="117">
      <c r="A117" s="11"/>
      <c r="B117" s="11"/>
      <c r="C117" s="11"/>
      <c r="D117" s="110">
        <f>COUNTIF(postDEL!$AR$2:$AR694,$C117)</f>
        <v>0</v>
      </c>
      <c r="E117" s="5" t="str">
        <f>CONCATENATE(Process!$A$1,F117)</f>
        <v>BEND668004</v>
      </c>
      <c r="F117" s="3">
        <v>668004.0</v>
      </c>
      <c r="G117" s="3"/>
      <c r="H117" s="3" t="s">
        <v>2346</v>
      </c>
      <c r="I117" s="13">
        <v>0.0</v>
      </c>
      <c r="J117" s="5"/>
      <c r="K117" s="199">
        <f>COUNTIF(postDEL!$AO$2:$AO694,$C117)</f>
        <v>0</v>
      </c>
      <c r="L117" s="212"/>
      <c r="M117" s="11" t="s">
        <v>2221</v>
      </c>
      <c r="N117" s="104" t="b">
        <f t="shared" si="1"/>
        <v>1</v>
      </c>
      <c r="O117" s="5" t="s">
        <v>2227</v>
      </c>
      <c r="P117" s="5" t="s">
        <v>2185</v>
      </c>
      <c r="R117" s="5"/>
      <c r="S117" s="5"/>
      <c r="T117" s="184"/>
      <c r="U117" s="5"/>
      <c r="V117" s="5"/>
      <c r="W117" s="5"/>
      <c r="Y117" s="201" t="str">
        <f t="shared" si="2"/>
        <v/>
      </c>
      <c r="Z117" s="200"/>
      <c r="AA117" s="201" t="s">
        <v>2346</v>
      </c>
      <c r="AB117" s="68">
        <f t="shared" si="3"/>
        <v>1</v>
      </c>
      <c r="AC117" s="210"/>
      <c r="AD117" s="68" t="str">
        <f t="shared" si="4"/>
        <v>NOT</v>
      </c>
      <c r="AE117" s="11"/>
      <c r="AF117" s="11"/>
      <c r="AG117" s="11"/>
      <c r="AH117" s="110">
        <f>COUNTIF(postDEL!$AR$2:$AR694,AG117)</f>
        <v>0</v>
      </c>
      <c r="AI117" s="204"/>
      <c r="AK117" s="200"/>
      <c r="AN117" s="68" t="str">
        <f t="shared" si="5"/>
        <v/>
      </c>
      <c r="AO117" s="206" t="str">
        <f t="shared" si="7"/>
        <v/>
      </c>
      <c r="AS117" s="200"/>
      <c r="AT117" s="200"/>
      <c r="AU117" s="68"/>
      <c r="AV117" s="11"/>
      <c r="AW117" s="11"/>
      <c r="AX117" s="11"/>
      <c r="AY117" s="67"/>
      <c r="AZ117" s="204"/>
      <c r="BC117" s="68"/>
      <c r="BD117" s="68"/>
      <c r="BF117" s="200"/>
    </row>
    <row r="118">
      <c r="A118" s="11"/>
      <c r="B118" s="11"/>
      <c r="C118" s="11"/>
      <c r="D118" s="110">
        <f>COUNTIF(postDEL!$AR$2:$AR694,$C118)</f>
        <v>0</v>
      </c>
      <c r="E118" s="5" t="str">
        <f>CONCATENATE(Process!$A$1,F118)</f>
        <v>BEND393840</v>
      </c>
      <c r="F118" s="3">
        <v>393840.0</v>
      </c>
      <c r="G118" s="3"/>
      <c r="H118" s="3" t="s">
        <v>2347</v>
      </c>
      <c r="I118" s="13">
        <v>0.0</v>
      </c>
      <c r="J118" s="5"/>
      <c r="K118" s="199">
        <f>COUNTIF(postDEL!$AO$2:$AO694,$C118)</f>
        <v>0</v>
      </c>
      <c r="L118" s="212"/>
      <c r="M118" s="11" t="s">
        <v>2221</v>
      </c>
      <c r="N118" s="104" t="b">
        <f t="shared" si="1"/>
        <v>1</v>
      </c>
      <c r="O118" s="5" t="s">
        <v>2227</v>
      </c>
      <c r="P118" s="5" t="s">
        <v>2185</v>
      </c>
      <c r="R118" s="5"/>
      <c r="S118" s="5"/>
      <c r="T118" s="184"/>
      <c r="U118" s="5"/>
      <c r="V118" s="5"/>
      <c r="W118" s="5"/>
      <c r="Y118" s="201" t="str">
        <f t="shared" si="2"/>
        <v/>
      </c>
      <c r="Z118" s="200"/>
      <c r="AA118" s="201" t="s">
        <v>2347</v>
      </c>
      <c r="AB118" s="68">
        <f t="shared" si="3"/>
        <v>1</v>
      </c>
      <c r="AC118" s="210"/>
      <c r="AD118" s="68" t="str">
        <f t="shared" si="4"/>
        <v>NOT</v>
      </c>
      <c r="AE118" s="11"/>
      <c r="AF118" s="11"/>
      <c r="AG118" s="11"/>
      <c r="AH118" s="110">
        <f>COUNTIF(postDEL!$AR$2:$AR694,AG118)</f>
        <v>0</v>
      </c>
      <c r="AI118" s="204"/>
      <c r="AK118" s="200"/>
      <c r="AN118" s="68" t="str">
        <f t="shared" si="5"/>
        <v/>
      </c>
      <c r="AO118" s="206" t="str">
        <f t="shared" si="7"/>
        <v/>
      </c>
      <c r="AS118" s="200"/>
      <c r="AT118" s="200"/>
      <c r="AU118" s="68"/>
      <c r="AV118" s="11"/>
      <c r="AW118" s="11"/>
      <c r="AX118" s="11"/>
      <c r="AY118" s="67"/>
      <c r="AZ118" s="204"/>
      <c r="BC118" s="68"/>
      <c r="BD118" s="68"/>
      <c r="BF118" s="200"/>
    </row>
    <row r="119">
      <c r="A119" s="11"/>
      <c r="B119" s="11"/>
      <c r="C119" s="11"/>
      <c r="D119" s="110">
        <f>COUNTIF(postDEL!$AR$2:$AR694,$C119)</f>
        <v>0</v>
      </c>
      <c r="E119" s="5" t="str">
        <f>CONCATENATE(Process!$A$1,F119)</f>
        <v>BEND170871</v>
      </c>
      <c r="F119" s="3">
        <v>170871.0</v>
      </c>
      <c r="G119" s="3"/>
      <c r="H119" s="3" t="s">
        <v>2348</v>
      </c>
      <c r="I119" s="13">
        <v>0.0</v>
      </c>
      <c r="J119" s="5"/>
      <c r="K119" s="199">
        <f>COUNTIF(postDEL!$AO$2:$AO694,$C119)</f>
        <v>0</v>
      </c>
      <c r="L119" s="212"/>
      <c r="M119" s="11" t="s">
        <v>2221</v>
      </c>
      <c r="N119" s="104" t="b">
        <f t="shared" si="1"/>
        <v>1</v>
      </c>
      <c r="O119" s="5" t="s">
        <v>2222</v>
      </c>
      <c r="P119" s="5" t="s">
        <v>2223</v>
      </c>
      <c r="R119" s="5"/>
      <c r="S119" s="5" t="s">
        <v>2224</v>
      </c>
      <c r="T119" s="184">
        <v>44579.0</v>
      </c>
      <c r="U119" s="5"/>
      <c r="V119" s="5"/>
      <c r="W119" s="5"/>
      <c r="Y119" s="201" t="str">
        <f t="shared" si="2"/>
        <v/>
      </c>
      <c r="Z119" s="200"/>
      <c r="AA119" s="201" t="s">
        <v>2348</v>
      </c>
      <c r="AB119" s="68">
        <f t="shared" si="3"/>
        <v>1</v>
      </c>
      <c r="AC119" s="210"/>
      <c r="AD119" s="68" t="str">
        <f t="shared" si="4"/>
        <v>NOT</v>
      </c>
      <c r="AE119" s="11"/>
      <c r="AF119" s="11"/>
      <c r="AG119" s="11"/>
      <c r="AH119" s="110">
        <f>COUNTIF(postDEL!$AR$2:$AR694,AG119)</f>
        <v>0</v>
      </c>
      <c r="AI119" s="204"/>
      <c r="AK119" s="200"/>
      <c r="AN119" s="68" t="str">
        <f t="shared" si="5"/>
        <v/>
      </c>
      <c r="AO119" s="206" t="str">
        <f t="shared" si="7"/>
        <v/>
      </c>
      <c r="AS119" s="200"/>
      <c r="AT119" s="200"/>
      <c r="AU119" s="68"/>
      <c r="AV119" s="11"/>
      <c r="AW119" s="11"/>
      <c r="AX119" s="11"/>
      <c r="AY119" s="67"/>
      <c r="AZ119" s="204"/>
      <c r="BC119" s="68"/>
      <c r="BD119" s="68"/>
      <c r="BF119" s="200"/>
    </row>
    <row r="120">
      <c r="A120" s="11"/>
      <c r="B120" s="11"/>
      <c r="C120" s="11"/>
      <c r="D120" s="110">
        <f>COUNTIF(postDEL!$AR$2:$AR694,$C120)</f>
        <v>0</v>
      </c>
      <c r="E120" s="5" t="str">
        <f>CONCATENATE(Process!$A$1,F120)</f>
        <v>BEND992347</v>
      </c>
      <c r="F120" s="3">
        <v>992347.0</v>
      </c>
      <c r="G120" s="3"/>
      <c r="H120" s="3" t="s">
        <v>2349</v>
      </c>
      <c r="I120" s="13">
        <v>0.0</v>
      </c>
      <c r="J120" s="5"/>
      <c r="K120" s="199">
        <f>COUNTIF(postDEL!$AO$2:$AO694,$C120)</f>
        <v>0</v>
      </c>
      <c r="L120" s="212"/>
      <c r="M120" s="11" t="s">
        <v>2221</v>
      </c>
      <c r="N120" s="104" t="b">
        <f t="shared" si="1"/>
        <v>1</v>
      </c>
      <c r="O120" s="5" t="s">
        <v>2222</v>
      </c>
      <c r="P120" s="5" t="s">
        <v>2223</v>
      </c>
      <c r="R120" s="5"/>
      <c r="S120" s="5" t="s">
        <v>2224</v>
      </c>
      <c r="T120" s="184">
        <v>44623.0</v>
      </c>
      <c r="U120" s="5"/>
      <c r="V120" s="5"/>
      <c r="W120" s="5"/>
      <c r="Y120" s="201" t="str">
        <f t="shared" si="2"/>
        <v/>
      </c>
      <c r="Z120" s="200"/>
      <c r="AA120" s="201" t="s">
        <v>2349</v>
      </c>
      <c r="AB120" s="68">
        <f t="shared" si="3"/>
        <v>1</v>
      </c>
      <c r="AC120" s="210"/>
      <c r="AD120" s="68" t="str">
        <f t="shared" si="4"/>
        <v>NOT</v>
      </c>
      <c r="AE120" s="11"/>
      <c r="AF120" s="11"/>
      <c r="AG120" s="11"/>
      <c r="AH120" s="110">
        <f>COUNTIF(postDEL!$AR$2:$AR694,AG120)</f>
        <v>0</v>
      </c>
      <c r="AI120" s="204"/>
      <c r="AK120" s="200"/>
      <c r="AN120" s="68" t="str">
        <f t="shared" si="5"/>
        <v/>
      </c>
      <c r="AO120" s="206" t="str">
        <f t="shared" si="7"/>
        <v/>
      </c>
      <c r="AS120" s="200"/>
      <c r="AT120" s="200"/>
      <c r="AU120" s="68"/>
      <c r="AV120" s="11"/>
      <c r="AW120" s="11"/>
      <c r="AX120" s="11"/>
      <c r="AY120" s="67"/>
      <c r="AZ120" s="204"/>
      <c r="BC120" s="68"/>
      <c r="BD120" s="68"/>
      <c r="BF120" s="200"/>
    </row>
    <row r="121">
      <c r="A121" s="11"/>
      <c r="B121" s="11"/>
      <c r="C121" s="11"/>
      <c r="D121" s="110">
        <f>COUNTIF(postDEL!$AR$2:$AR694,$C121)</f>
        <v>0</v>
      </c>
      <c r="E121" s="5" t="str">
        <f>CONCATENATE(Process!$A$1,F121)</f>
        <v>BEND319589</v>
      </c>
      <c r="F121" s="3">
        <v>319589.0</v>
      </c>
      <c r="G121" s="3"/>
      <c r="H121" s="3" t="s">
        <v>2350</v>
      </c>
      <c r="I121" s="13">
        <v>0.0</v>
      </c>
      <c r="J121" s="5"/>
      <c r="K121" s="199">
        <f>COUNTIF(postDEL!$AO$2:$AO694,$C121)</f>
        <v>0</v>
      </c>
      <c r="L121" s="212"/>
      <c r="M121" s="11" t="s">
        <v>2221</v>
      </c>
      <c r="N121" s="104" t="b">
        <f t="shared" si="1"/>
        <v>1</v>
      </c>
      <c r="O121" s="5" t="s">
        <v>2227</v>
      </c>
      <c r="P121" s="5" t="s">
        <v>2185</v>
      </c>
      <c r="R121" s="5"/>
      <c r="S121" s="5"/>
      <c r="T121" s="184">
        <v>44627.0</v>
      </c>
      <c r="U121" s="5"/>
      <c r="V121" s="5"/>
      <c r="W121" s="5"/>
      <c r="Y121" s="201" t="str">
        <f t="shared" si="2"/>
        <v/>
      </c>
      <c r="Z121" s="200"/>
      <c r="AA121" s="201" t="s">
        <v>2350</v>
      </c>
      <c r="AB121" s="68">
        <f t="shared" si="3"/>
        <v>1</v>
      </c>
      <c r="AC121" s="210"/>
      <c r="AD121" s="68" t="str">
        <f t="shared" si="4"/>
        <v>NOT</v>
      </c>
      <c r="AE121" s="11"/>
      <c r="AF121" s="11"/>
      <c r="AG121" s="11"/>
      <c r="AH121" s="110">
        <f>COUNTIF(postDEL!$AR$2:$AR694,AG121)</f>
        <v>0</v>
      </c>
      <c r="AI121" s="204"/>
      <c r="AK121" s="200"/>
      <c r="AN121" s="68" t="str">
        <f t="shared" si="5"/>
        <v/>
      </c>
      <c r="AO121" s="206" t="str">
        <f t="shared" si="7"/>
        <v/>
      </c>
      <c r="AS121" s="200"/>
      <c r="AT121" s="200"/>
      <c r="AU121" s="68"/>
      <c r="AV121" s="11"/>
      <c r="AW121" s="11"/>
      <c r="AX121" s="11"/>
      <c r="AY121" s="67"/>
      <c r="AZ121" s="204"/>
      <c r="BC121" s="68"/>
      <c r="BD121" s="68"/>
      <c r="BF121" s="200"/>
    </row>
    <row r="122">
      <c r="A122" s="11"/>
      <c r="B122" s="11"/>
      <c r="C122" s="11"/>
      <c r="D122" s="110">
        <f>COUNTIF(postDEL!$AR$2:$AR694,$C122)</f>
        <v>0</v>
      </c>
      <c r="E122" s="5" t="str">
        <f>CONCATENATE(Process!$A$1,F122)</f>
        <v>BEND707787</v>
      </c>
      <c r="F122" s="3">
        <v>707787.0</v>
      </c>
      <c r="G122" s="3"/>
      <c r="H122" s="3" t="s">
        <v>2351</v>
      </c>
      <c r="I122" s="13">
        <v>0.0</v>
      </c>
      <c r="J122" s="5"/>
      <c r="K122" s="199">
        <f>COUNTIF(postDEL!$AO$2:$AO694,$C122)</f>
        <v>0</v>
      </c>
      <c r="L122" s="212"/>
      <c r="M122" s="11" t="s">
        <v>2221</v>
      </c>
      <c r="N122" s="104" t="b">
        <f t="shared" si="1"/>
        <v>1</v>
      </c>
      <c r="O122" s="5" t="s">
        <v>2227</v>
      </c>
      <c r="P122" s="5" t="s">
        <v>2185</v>
      </c>
      <c r="R122" s="5"/>
      <c r="S122" s="5"/>
      <c r="T122" s="184"/>
      <c r="U122" s="5"/>
      <c r="V122" s="5"/>
      <c r="W122" s="5"/>
      <c r="Y122" s="201" t="str">
        <f t="shared" si="2"/>
        <v/>
      </c>
      <c r="Z122" s="200"/>
      <c r="AA122" s="201" t="s">
        <v>2351</v>
      </c>
      <c r="AB122" s="68">
        <f t="shared" si="3"/>
        <v>1</v>
      </c>
      <c r="AC122" s="210"/>
      <c r="AD122" s="68" t="str">
        <f t="shared" si="4"/>
        <v>NOT</v>
      </c>
      <c r="AE122" s="11"/>
      <c r="AF122" s="11"/>
      <c r="AG122" s="11"/>
      <c r="AH122" s="110">
        <f>COUNTIF(postDEL!$AR$2:$AR694,AG122)</f>
        <v>0</v>
      </c>
      <c r="AI122" s="204"/>
      <c r="AK122" s="200"/>
      <c r="AN122" s="68" t="str">
        <f t="shared" si="5"/>
        <v/>
      </c>
      <c r="AO122" s="206" t="str">
        <f t="shared" si="7"/>
        <v/>
      </c>
      <c r="AS122" s="200"/>
      <c r="AT122" s="200"/>
      <c r="AU122" s="68"/>
      <c r="AV122" s="11"/>
      <c r="AW122" s="11"/>
      <c r="AX122" s="11"/>
      <c r="AY122" s="67"/>
      <c r="AZ122" s="204"/>
      <c r="BC122" s="68"/>
      <c r="BD122" s="68"/>
      <c r="BF122" s="200"/>
    </row>
    <row r="123">
      <c r="A123" s="11"/>
      <c r="B123" s="11"/>
      <c r="C123" s="11"/>
      <c r="D123" s="110">
        <f>COUNTIF(postDEL!$AR$2:$AR694,$C123)</f>
        <v>0</v>
      </c>
      <c r="E123" s="5" t="str">
        <f>CONCATENATE(Process!$A$1,F123)</f>
        <v>BEND940774</v>
      </c>
      <c r="F123" s="3">
        <v>940774.0</v>
      </c>
      <c r="G123" s="3"/>
      <c r="H123" s="3" t="s">
        <v>2352</v>
      </c>
      <c r="I123" s="13">
        <v>0.0</v>
      </c>
      <c r="J123" s="5"/>
      <c r="K123" s="199">
        <f>COUNTIF(postDEL!$AO$2:$AO694,$C123)</f>
        <v>0</v>
      </c>
      <c r="L123" s="212"/>
      <c r="M123" s="11" t="s">
        <v>2221</v>
      </c>
      <c r="N123" s="104" t="b">
        <f t="shared" si="1"/>
        <v>1</v>
      </c>
      <c r="O123" s="5" t="s">
        <v>2222</v>
      </c>
      <c r="P123" s="5" t="s">
        <v>2223</v>
      </c>
      <c r="R123" s="5"/>
      <c r="S123" s="5" t="s">
        <v>2224</v>
      </c>
      <c r="T123" s="184"/>
      <c r="U123" s="5"/>
      <c r="V123" s="5"/>
      <c r="W123" s="5"/>
      <c r="Y123" s="201" t="str">
        <f t="shared" si="2"/>
        <v/>
      </c>
      <c r="Z123" s="200"/>
      <c r="AA123" s="201" t="s">
        <v>2352</v>
      </c>
      <c r="AB123" s="68">
        <f t="shared" si="3"/>
        <v>1</v>
      </c>
      <c r="AC123" s="210"/>
      <c r="AD123" s="68" t="str">
        <f t="shared" si="4"/>
        <v>NOT</v>
      </c>
      <c r="AE123" s="11"/>
      <c r="AF123" s="11"/>
      <c r="AG123" s="11"/>
      <c r="AH123" s="110">
        <f>COUNTIF(postDEL!$AR$2:$AR694,AG123)</f>
        <v>0</v>
      </c>
      <c r="AI123" s="204"/>
      <c r="AK123" s="200"/>
      <c r="AN123" s="68" t="str">
        <f t="shared" si="5"/>
        <v/>
      </c>
      <c r="AO123" s="206" t="str">
        <f t="shared" si="7"/>
        <v/>
      </c>
      <c r="AS123" s="200"/>
      <c r="AT123" s="200"/>
      <c r="AU123" s="68"/>
      <c r="AV123" s="11"/>
      <c r="AW123" s="11"/>
      <c r="AX123" s="11"/>
      <c r="AY123" s="67"/>
      <c r="AZ123" s="204"/>
      <c r="BC123" s="68"/>
      <c r="BD123" s="68"/>
      <c r="BF123" s="200"/>
    </row>
    <row r="124">
      <c r="A124" s="11"/>
      <c r="B124" s="11"/>
      <c r="C124" s="11"/>
      <c r="D124" s="110">
        <f>COUNTIF(postDEL!$AR$2:$AR694,$C124)</f>
        <v>0</v>
      </c>
      <c r="E124" s="5" t="str">
        <f>CONCATENATE(Process!$A$1,F124)</f>
        <v>BEND980447</v>
      </c>
      <c r="F124" s="3">
        <v>980447.0</v>
      </c>
      <c r="G124" s="3"/>
      <c r="H124" s="3" t="s">
        <v>2353</v>
      </c>
      <c r="I124" s="13">
        <v>0.0</v>
      </c>
      <c r="J124" s="5"/>
      <c r="K124" s="199">
        <f>COUNTIF(postDEL!$AO$2:$AO694,$C124)</f>
        <v>0</v>
      </c>
      <c r="L124" s="212"/>
      <c r="M124" s="11" t="s">
        <v>2221</v>
      </c>
      <c r="N124" s="104" t="b">
        <f t="shared" si="1"/>
        <v>1</v>
      </c>
      <c r="O124" s="5" t="s">
        <v>2222</v>
      </c>
      <c r="P124" s="5" t="s">
        <v>2223</v>
      </c>
      <c r="R124" s="5"/>
      <c r="S124" s="5" t="s">
        <v>2224</v>
      </c>
      <c r="T124" s="184"/>
      <c r="U124" s="5"/>
      <c r="V124" s="5"/>
      <c r="W124" s="5"/>
      <c r="Y124" s="201" t="str">
        <f t="shared" si="2"/>
        <v/>
      </c>
      <c r="Z124" s="200"/>
      <c r="AA124" s="201" t="s">
        <v>2353</v>
      </c>
      <c r="AB124" s="68">
        <f t="shared" si="3"/>
        <v>1</v>
      </c>
      <c r="AC124" s="210"/>
      <c r="AD124" s="68" t="str">
        <f t="shared" si="4"/>
        <v>NOT</v>
      </c>
      <c r="AE124" s="11"/>
      <c r="AF124" s="11"/>
      <c r="AG124" s="11"/>
      <c r="AH124" s="110">
        <f>COUNTIF(postDEL!$AR$2:$AR694,AG124)</f>
        <v>0</v>
      </c>
      <c r="AI124" s="204"/>
      <c r="AK124" s="200"/>
      <c r="AN124" s="68" t="str">
        <f t="shared" si="5"/>
        <v/>
      </c>
      <c r="AO124" s="206" t="str">
        <f t="shared" si="7"/>
        <v/>
      </c>
      <c r="AS124" s="200"/>
      <c r="AT124" s="200"/>
      <c r="AU124" s="68"/>
      <c r="AV124" s="11"/>
      <c r="AW124" s="11"/>
      <c r="AX124" s="11"/>
      <c r="AY124" s="67"/>
      <c r="AZ124" s="204"/>
      <c r="BC124" s="68"/>
      <c r="BD124" s="68"/>
      <c r="BF124" s="200"/>
    </row>
    <row r="125">
      <c r="A125" s="11"/>
      <c r="B125" s="11"/>
      <c r="C125" s="11"/>
      <c r="D125" s="110">
        <f>COUNTIF(postDEL!$AR$2:$AR694,$C125)</f>
        <v>0</v>
      </c>
      <c r="E125" s="5" t="str">
        <f>CONCATENATE(Process!$A$1,F125)</f>
        <v>BEND421116</v>
      </c>
      <c r="F125" s="3">
        <v>421116.0</v>
      </c>
      <c r="G125" s="3"/>
      <c r="H125" s="3" t="s">
        <v>2354</v>
      </c>
      <c r="I125" s="13">
        <v>0.0</v>
      </c>
      <c r="J125" s="5"/>
      <c r="K125" s="199">
        <f>COUNTIF(postDEL!$AO$2:$AO694,$C125)</f>
        <v>0</v>
      </c>
      <c r="L125" s="212"/>
      <c r="M125" s="11" t="s">
        <v>2221</v>
      </c>
      <c r="N125" s="104" t="b">
        <f t="shared" si="1"/>
        <v>1</v>
      </c>
      <c r="O125" s="5" t="s">
        <v>2227</v>
      </c>
      <c r="P125" s="5" t="s">
        <v>2185</v>
      </c>
      <c r="R125" s="5"/>
      <c r="S125" s="5"/>
      <c r="T125" s="184">
        <v>44615.0</v>
      </c>
      <c r="U125" s="5"/>
      <c r="V125" s="5"/>
      <c r="W125" s="5"/>
      <c r="Y125" s="201" t="str">
        <f t="shared" si="2"/>
        <v/>
      </c>
      <c r="Z125" s="200"/>
      <c r="AA125" s="201" t="s">
        <v>2354</v>
      </c>
      <c r="AB125" s="68">
        <f t="shared" si="3"/>
        <v>1</v>
      </c>
      <c r="AC125" s="210"/>
      <c r="AD125" s="68" t="str">
        <f t="shared" si="4"/>
        <v>NOT</v>
      </c>
      <c r="AE125" s="11"/>
      <c r="AF125" s="11"/>
      <c r="AG125" s="11"/>
      <c r="AH125" s="110">
        <f>COUNTIF(postDEL!$AR$2:$AR694,AG125)</f>
        <v>0</v>
      </c>
      <c r="AI125" s="204"/>
      <c r="AK125" s="200"/>
      <c r="AN125" s="68" t="str">
        <f t="shared" si="5"/>
        <v/>
      </c>
      <c r="AO125" s="206" t="str">
        <f t="shared" si="7"/>
        <v/>
      </c>
      <c r="AS125" s="200"/>
      <c r="AT125" s="200"/>
      <c r="AU125" s="68"/>
      <c r="AV125" s="11"/>
      <c r="AW125" s="11"/>
      <c r="AX125" s="11"/>
      <c r="AY125" s="67"/>
      <c r="AZ125" s="204"/>
      <c r="BC125" s="68"/>
      <c r="BD125" s="68"/>
      <c r="BF125" s="200"/>
    </row>
    <row r="126">
      <c r="A126" s="11"/>
      <c r="B126" s="11"/>
      <c r="C126" s="11"/>
      <c r="D126" s="110">
        <f>COUNTIF(postDEL!$AR$2:$AR694,$C126)</f>
        <v>0</v>
      </c>
      <c r="E126" s="5" t="str">
        <f>CONCATENATE(Process!$A$1,F126)</f>
        <v>BEND530620</v>
      </c>
      <c r="F126" s="3">
        <v>530620.0</v>
      </c>
      <c r="G126" s="3"/>
      <c r="H126" s="3" t="s">
        <v>2355</v>
      </c>
      <c r="I126" s="13">
        <v>0.0</v>
      </c>
      <c r="J126" s="5"/>
      <c r="K126" s="199">
        <f>COUNTIF(postDEL!$AO$2:$AO694,$C126)</f>
        <v>0</v>
      </c>
      <c r="L126" s="212"/>
      <c r="M126" s="11" t="s">
        <v>2221</v>
      </c>
      <c r="N126" s="104" t="b">
        <f t="shared" si="1"/>
        <v>1</v>
      </c>
      <c r="O126" s="5" t="s">
        <v>2227</v>
      </c>
      <c r="P126" s="5" t="s">
        <v>2185</v>
      </c>
      <c r="R126" s="5"/>
      <c r="S126" s="5"/>
      <c r="T126" s="184">
        <v>44587.0</v>
      </c>
      <c r="U126" s="5"/>
      <c r="V126" s="5"/>
      <c r="W126" s="5"/>
      <c r="Y126" s="201" t="str">
        <f t="shared" si="2"/>
        <v/>
      </c>
      <c r="Z126" s="200"/>
      <c r="AA126" s="201" t="s">
        <v>2355</v>
      </c>
      <c r="AB126" s="68">
        <f t="shared" si="3"/>
        <v>1</v>
      </c>
      <c r="AC126" s="210"/>
      <c r="AD126" s="68" t="str">
        <f t="shared" si="4"/>
        <v>NOT</v>
      </c>
      <c r="AE126" s="11"/>
      <c r="AF126" s="11"/>
      <c r="AG126" s="11"/>
      <c r="AH126" s="110">
        <f>COUNTIF(postDEL!$AR$2:$AR694,AG126)</f>
        <v>0</v>
      </c>
      <c r="AI126" s="204"/>
      <c r="AK126" s="200"/>
      <c r="AN126" s="68" t="str">
        <f t="shared" si="5"/>
        <v/>
      </c>
      <c r="AO126" s="206" t="str">
        <f t="shared" si="7"/>
        <v/>
      </c>
      <c r="AS126" s="200"/>
      <c r="AT126" s="200"/>
      <c r="AU126" s="68"/>
      <c r="AV126" s="11"/>
      <c r="AW126" s="11"/>
      <c r="AX126" s="11"/>
      <c r="AY126" s="67"/>
      <c r="AZ126" s="204"/>
      <c r="BC126" s="68"/>
      <c r="BD126" s="68"/>
      <c r="BF126" s="200"/>
    </row>
    <row r="127">
      <c r="A127" s="11"/>
      <c r="B127" s="11"/>
      <c r="C127" s="11"/>
      <c r="D127" s="110">
        <f>COUNTIF(postDEL!$AR$2:$AR694,$C127)</f>
        <v>0</v>
      </c>
      <c r="E127" s="5" t="str">
        <f>CONCATENATE(Process!$A$1,F127)</f>
        <v>BEND123721</v>
      </c>
      <c r="F127" s="3">
        <v>123721.0</v>
      </c>
      <c r="G127" s="3"/>
      <c r="H127" s="3" t="s">
        <v>2356</v>
      </c>
      <c r="I127" s="13">
        <v>0.0</v>
      </c>
      <c r="J127" s="5"/>
      <c r="K127" s="199">
        <f>COUNTIF(postDEL!$AO$2:$AO694,$C127)</f>
        <v>0</v>
      </c>
      <c r="L127" s="212"/>
      <c r="M127" s="11" t="s">
        <v>2221</v>
      </c>
      <c r="N127" s="104" t="b">
        <f t="shared" si="1"/>
        <v>1</v>
      </c>
      <c r="O127" s="5" t="s">
        <v>2227</v>
      </c>
      <c r="P127" s="5" t="s">
        <v>2185</v>
      </c>
      <c r="R127" s="5"/>
      <c r="S127" s="5"/>
      <c r="T127" s="184"/>
      <c r="U127" s="5"/>
      <c r="V127" s="5"/>
      <c r="W127" s="5"/>
      <c r="Y127" s="201" t="str">
        <f t="shared" si="2"/>
        <v/>
      </c>
      <c r="Z127" s="200"/>
      <c r="AA127" s="201" t="s">
        <v>2356</v>
      </c>
      <c r="AB127" s="68">
        <f t="shared" si="3"/>
        <v>1</v>
      </c>
      <c r="AC127" s="210"/>
      <c r="AD127" s="68" t="str">
        <f t="shared" si="4"/>
        <v>NOT</v>
      </c>
      <c r="AE127" s="11"/>
      <c r="AF127" s="11"/>
      <c r="AG127" s="11"/>
      <c r="AH127" s="110">
        <f>COUNTIF(postDEL!$AR$2:$AR694,AG127)</f>
        <v>0</v>
      </c>
      <c r="AI127" s="204"/>
      <c r="AK127" s="200"/>
      <c r="AN127" s="68" t="str">
        <f t="shared" si="5"/>
        <v/>
      </c>
      <c r="AO127" s="206" t="str">
        <f t="shared" si="7"/>
        <v/>
      </c>
      <c r="AS127" s="200"/>
      <c r="AT127" s="200"/>
      <c r="AU127" s="68"/>
      <c r="AV127" s="11"/>
      <c r="AW127" s="11"/>
      <c r="AX127" s="11"/>
      <c r="AY127" s="67"/>
      <c r="AZ127" s="204"/>
      <c r="BC127" s="68"/>
      <c r="BD127" s="68"/>
      <c r="BF127" s="200"/>
    </row>
    <row r="128">
      <c r="A128" s="11"/>
      <c r="B128" s="11"/>
      <c r="C128" s="11"/>
      <c r="D128" s="110">
        <f>COUNTIF(postDEL!$AR$2:$AR694,$C128)</f>
        <v>0</v>
      </c>
      <c r="E128" s="5" t="str">
        <f>CONCATENATE(Process!$A$1,F128)</f>
        <v>BEND440747</v>
      </c>
      <c r="F128" s="3">
        <v>440747.0</v>
      </c>
      <c r="G128" s="3"/>
      <c r="H128" s="3" t="s">
        <v>2357</v>
      </c>
      <c r="I128" s="13">
        <v>0.0</v>
      </c>
      <c r="J128" s="5"/>
      <c r="K128" s="199">
        <f>COUNTIF(postDEL!$AO$2:$AO694,$C128)</f>
        <v>0</v>
      </c>
      <c r="L128" s="212"/>
      <c r="M128" s="11" t="s">
        <v>2221</v>
      </c>
      <c r="N128" s="104" t="b">
        <f t="shared" si="1"/>
        <v>1</v>
      </c>
      <c r="O128" s="5" t="s">
        <v>2222</v>
      </c>
      <c r="P128" s="5" t="s">
        <v>2223</v>
      </c>
      <c r="R128" s="5"/>
      <c r="S128" s="5" t="s">
        <v>2224</v>
      </c>
      <c r="T128" s="184"/>
      <c r="U128" s="5"/>
      <c r="V128" s="5"/>
      <c r="W128" s="5"/>
      <c r="Y128" s="201" t="str">
        <f t="shared" si="2"/>
        <v/>
      </c>
      <c r="Z128" s="200"/>
      <c r="AA128" s="201" t="s">
        <v>2357</v>
      </c>
      <c r="AB128" s="68">
        <f t="shared" si="3"/>
        <v>1</v>
      </c>
      <c r="AC128" s="210"/>
      <c r="AD128" s="68" t="str">
        <f t="shared" si="4"/>
        <v>NOT</v>
      </c>
      <c r="AE128" s="11"/>
      <c r="AF128" s="11"/>
      <c r="AG128" s="11"/>
      <c r="AH128" s="110">
        <f>COUNTIF(postDEL!$AR$2:$AR694,AG128)</f>
        <v>0</v>
      </c>
      <c r="AI128" s="204"/>
      <c r="AK128" s="200"/>
      <c r="AN128" s="68" t="str">
        <f t="shared" si="5"/>
        <v/>
      </c>
      <c r="AO128" s="206" t="str">
        <f t="shared" si="7"/>
        <v/>
      </c>
      <c r="AS128" s="200"/>
      <c r="AT128" s="200"/>
      <c r="AU128" s="68"/>
      <c r="AV128" s="11"/>
      <c r="AW128" s="11"/>
      <c r="AX128" s="11"/>
      <c r="AY128" s="67"/>
      <c r="AZ128" s="204"/>
      <c r="BC128" s="68"/>
      <c r="BD128" s="68"/>
      <c r="BF128" s="200"/>
    </row>
    <row r="129">
      <c r="A129" s="11"/>
      <c r="B129" s="11"/>
      <c r="C129" s="11"/>
      <c r="D129" s="110">
        <f>COUNTIF(postDEL!$AR$2:$AR694,$C129)</f>
        <v>0</v>
      </c>
      <c r="E129" s="5" t="str">
        <f>CONCATENATE(Process!$A$1,F129)</f>
        <v>BEND601151</v>
      </c>
      <c r="F129" s="3">
        <v>601151.0</v>
      </c>
      <c r="G129" s="3"/>
      <c r="H129" s="3" t="s">
        <v>2358</v>
      </c>
      <c r="I129" s="13">
        <v>0.0</v>
      </c>
      <c r="J129" s="5"/>
      <c r="K129" s="199">
        <f>COUNTIF(postDEL!$AO$2:$AO694,$C129)</f>
        <v>0</v>
      </c>
      <c r="L129" s="212"/>
      <c r="M129" s="11" t="s">
        <v>2221</v>
      </c>
      <c r="N129" s="104" t="b">
        <f t="shared" si="1"/>
        <v>1</v>
      </c>
      <c r="O129" s="5" t="s">
        <v>2222</v>
      </c>
      <c r="P129" s="5" t="s">
        <v>2223</v>
      </c>
      <c r="R129" s="5"/>
      <c r="S129" s="5" t="s">
        <v>2224</v>
      </c>
      <c r="T129" s="184">
        <v>44615.0</v>
      </c>
      <c r="U129" s="5"/>
      <c r="V129" s="5"/>
      <c r="W129" s="5"/>
      <c r="Y129" s="201" t="str">
        <f t="shared" si="2"/>
        <v/>
      </c>
      <c r="Z129" s="200"/>
      <c r="AA129" s="201" t="s">
        <v>2358</v>
      </c>
      <c r="AB129" s="68">
        <f t="shared" si="3"/>
        <v>1</v>
      </c>
      <c r="AC129" s="210"/>
      <c r="AD129" s="68" t="str">
        <f t="shared" si="4"/>
        <v>NOT</v>
      </c>
      <c r="AE129" s="11"/>
      <c r="AF129" s="11"/>
      <c r="AG129" s="11"/>
      <c r="AH129" s="110">
        <f>COUNTIF(postDEL!$AR$2:$AR694,AG129)</f>
        <v>0</v>
      </c>
      <c r="AI129" s="204"/>
      <c r="AK129" s="200"/>
      <c r="AN129" s="68" t="str">
        <f t="shared" si="5"/>
        <v/>
      </c>
      <c r="AO129" s="206" t="str">
        <f t="shared" si="7"/>
        <v/>
      </c>
      <c r="AS129" s="200"/>
      <c r="AT129" s="200"/>
      <c r="AU129" s="68"/>
      <c r="AV129" s="11"/>
      <c r="AW129" s="11"/>
      <c r="AX129" s="11"/>
      <c r="AY129" s="67"/>
      <c r="AZ129" s="204"/>
      <c r="BC129" s="68"/>
      <c r="BD129" s="68"/>
      <c r="BF129" s="200"/>
    </row>
    <row r="130">
      <c r="A130" s="11"/>
      <c r="B130" s="11"/>
      <c r="C130" s="11"/>
      <c r="D130" s="110">
        <f>COUNTIF(postDEL!$AR$2:$AR694,$C130)</f>
        <v>0</v>
      </c>
      <c r="E130" s="5" t="str">
        <f>CONCATENATE(Process!$A$1,F130)</f>
        <v>BEND883134</v>
      </c>
      <c r="F130" s="3">
        <v>883134.0</v>
      </c>
      <c r="G130" s="3"/>
      <c r="H130" s="3" t="s">
        <v>2359</v>
      </c>
      <c r="I130" s="13">
        <v>0.0</v>
      </c>
      <c r="J130" s="5"/>
      <c r="K130" s="199">
        <f>COUNTIF(postDEL!$AO$2:$AO694,$C130)</f>
        <v>0</v>
      </c>
      <c r="L130" s="212"/>
      <c r="M130" s="11" t="s">
        <v>2221</v>
      </c>
      <c r="N130" s="104" t="b">
        <f t="shared" si="1"/>
        <v>1</v>
      </c>
      <c r="O130" s="5" t="s">
        <v>2222</v>
      </c>
      <c r="P130" s="5" t="s">
        <v>2223</v>
      </c>
      <c r="R130" s="5"/>
      <c r="S130" s="5" t="s">
        <v>2224</v>
      </c>
      <c r="T130" s="184">
        <v>44582.0</v>
      </c>
      <c r="U130" s="5"/>
      <c r="V130" s="5"/>
      <c r="W130" s="5"/>
      <c r="Y130" s="201" t="str">
        <f t="shared" si="2"/>
        <v/>
      </c>
      <c r="Z130" s="200"/>
      <c r="AA130" s="201" t="s">
        <v>2359</v>
      </c>
      <c r="AB130" s="68">
        <f t="shared" si="3"/>
        <v>1</v>
      </c>
      <c r="AC130" s="210"/>
      <c r="AD130" s="68" t="str">
        <f t="shared" si="4"/>
        <v>NOT</v>
      </c>
      <c r="AE130" s="11"/>
      <c r="AF130" s="11"/>
      <c r="AG130" s="11"/>
      <c r="AH130" s="110">
        <f>COUNTIF(postDEL!$AR$2:$AR694,AG130)</f>
        <v>0</v>
      </c>
      <c r="AI130" s="204"/>
      <c r="AK130" s="200"/>
      <c r="AN130" s="68" t="str">
        <f t="shared" si="5"/>
        <v/>
      </c>
      <c r="AO130" s="206" t="str">
        <f t="shared" si="7"/>
        <v/>
      </c>
      <c r="AS130" s="200"/>
      <c r="AT130" s="200"/>
      <c r="AU130" s="68"/>
      <c r="AV130" s="11"/>
      <c r="AW130" s="11"/>
      <c r="AX130" s="11"/>
      <c r="AY130" s="67"/>
      <c r="AZ130" s="204"/>
      <c r="BC130" s="68"/>
      <c r="BD130" s="68"/>
      <c r="BF130" s="200"/>
    </row>
    <row r="131">
      <c r="A131" s="11"/>
      <c r="B131" s="11"/>
      <c r="C131" s="11"/>
      <c r="D131" s="110">
        <f>COUNTIF(postDEL!$AR$2:$AR694,$C131)</f>
        <v>0</v>
      </c>
      <c r="E131" s="5" t="str">
        <f>CONCATENATE(Process!$A$1,F131)</f>
        <v>BEND455768</v>
      </c>
      <c r="F131" s="3">
        <v>455768.0</v>
      </c>
      <c r="G131" s="3"/>
      <c r="H131" s="3" t="s">
        <v>2360</v>
      </c>
      <c r="I131" s="13">
        <v>0.0</v>
      </c>
      <c r="J131" s="5"/>
      <c r="K131" s="199">
        <f>COUNTIF(postDEL!$AO$2:$AO694,$C131)</f>
        <v>0</v>
      </c>
      <c r="L131" s="212"/>
      <c r="M131" s="11" t="s">
        <v>2221</v>
      </c>
      <c r="N131" s="104" t="b">
        <f t="shared" si="1"/>
        <v>1</v>
      </c>
      <c r="O131" s="5" t="s">
        <v>2227</v>
      </c>
      <c r="P131" s="5" t="s">
        <v>2185</v>
      </c>
      <c r="R131" s="5"/>
      <c r="S131" s="5"/>
      <c r="T131" s="184">
        <v>44547.0</v>
      </c>
      <c r="U131" s="5"/>
      <c r="V131" s="5"/>
      <c r="W131" s="5"/>
      <c r="Y131" s="201" t="str">
        <f t="shared" si="2"/>
        <v/>
      </c>
      <c r="Z131" s="200"/>
      <c r="AA131" s="201" t="s">
        <v>2360</v>
      </c>
      <c r="AB131" s="68">
        <f t="shared" si="3"/>
        <v>1</v>
      </c>
      <c r="AC131" s="210"/>
      <c r="AD131" s="68" t="str">
        <f t="shared" si="4"/>
        <v>NOT</v>
      </c>
      <c r="AE131" s="11"/>
      <c r="AF131" s="11"/>
      <c r="AG131" s="11"/>
      <c r="AH131" s="110">
        <f>COUNTIF(postDEL!$AR$2:$AR694,AG131)</f>
        <v>0</v>
      </c>
      <c r="AI131" s="204"/>
      <c r="AK131" s="200"/>
      <c r="AN131" s="68" t="str">
        <f t="shared" si="5"/>
        <v/>
      </c>
      <c r="AO131" s="206" t="str">
        <f t="shared" si="7"/>
        <v/>
      </c>
      <c r="AS131" s="200"/>
      <c r="AT131" s="200"/>
      <c r="AU131" s="68"/>
      <c r="AV131" s="11"/>
      <c r="AW131" s="11"/>
      <c r="AX131" s="11"/>
      <c r="AY131" s="67"/>
      <c r="AZ131" s="204"/>
      <c r="BC131" s="68"/>
      <c r="BD131" s="68"/>
      <c r="BF131" s="200"/>
    </row>
    <row r="132">
      <c r="A132" s="11"/>
      <c r="B132" s="11"/>
      <c r="C132" s="11"/>
      <c r="D132" s="110">
        <f>COUNTIF(postDEL!$AR$2:$AR694,$C132)</f>
        <v>0</v>
      </c>
      <c r="E132" s="5" t="str">
        <f>CONCATENATE(Process!$A$1,F132)</f>
        <v>BEND608194</v>
      </c>
      <c r="F132" s="3">
        <v>608194.0</v>
      </c>
      <c r="G132" s="3"/>
      <c r="H132" s="3" t="s">
        <v>2361</v>
      </c>
      <c r="I132" s="13">
        <v>0.0</v>
      </c>
      <c r="J132" s="5"/>
      <c r="K132" s="199">
        <f>COUNTIF(postDEL!$AO$2:$AO694,$C132)</f>
        <v>0</v>
      </c>
      <c r="L132" s="212"/>
      <c r="M132" s="11" t="s">
        <v>2221</v>
      </c>
      <c r="N132" s="104" t="b">
        <f t="shared" si="1"/>
        <v>1</v>
      </c>
      <c r="O132" s="5" t="s">
        <v>2222</v>
      </c>
      <c r="P132" s="5" t="s">
        <v>2223</v>
      </c>
      <c r="R132" s="5"/>
      <c r="S132" s="5" t="s">
        <v>2224</v>
      </c>
      <c r="T132" s="184"/>
      <c r="U132" s="5"/>
      <c r="V132" s="5"/>
      <c r="W132" s="5"/>
      <c r="Y132" s="201" t="str">
        <f t="shared" si="2"/>
        <v/>
      </c>
      <c r="Z132" s="200"/>
      <c r="AA132" s="201" t="s">
        <v>2361</v>
      </c>
      <c r="AB132" s="68">
        <f t="shared" si="3"/>
        <v>1</v>
      </c>
      <c r="AC132" s="210"/>
      <c r="AD132" s="68" t="str">
        <f t="shared" si="4"/>
        <v>NOT</v>
      </c>
      <c r="AE132" s="11"/>
      <c r="AF132" s="11"/>
      <c r="AG132" s="11"/>
      <c r="AH132" s="110">
        <f>COUNTIF(postDEL!$AR$2:$AR694,AG132)</f>
        <v>0</v>
      </c>
      <c r="AI132" s="204"/>
      <c r="AK132" s="200"/>
      <c r="AN132" s="68" t="str">
        <f t="shared" si="5"/>
        <v/>
      </c>
      <c r="AO132" s="206" t="str">
        <f t="shared" si="7"/>
        <v/>
      </c>
      <c r="AS132" s="200"/>
      <c r="AT132" s="200"/>
      <c r="AU132" s="68"/>
      <c r="AV132" s="11"/>
      <c r="AW132" s="11"/>
      <c r="AX132" s="11"/>
      <c r="AY132" s="67"/>
      <c r="AZ132" s="204"/>
      <c r="BC132" s="68"/>
      <c r="BD132" s="68"/>
      <c r="BF132" s="200"/>
    </row>
    <row r="133">
      <c r="A133" s="11"/>
      <c r="B133" s="11"/>
      <c r="C133" s="11"/>
      <c r="D133" s="110">
        <f>COUNTIF(postDEL!$AR$2:$AR694,$C133)</f>
        <v>0</v>
      </c>
      <c r="E133" s="5" t="str">
        <f>CONCATENATE(Process!$A$1,F133)</f>
        <v>BEND664085</v>
      </c>
      <c r="F133" s="3">
        <v>664085.0</v>
      </c>
      <c r="G133" s="3"/>
      <c r="H133" s="3" t="s">
        <v>2362</v>
      </c>
      <c r="I133" s="13">
        <v>0.0</v>
      </c>
      <c r="J133" s="5"/>
      <c r="K133" s="199">
        <f>COUNTIF(postDEL!$AO$2:$AO694,$C133)</f>
        <v>0</v>
      </c>
      <c r="L133" s="212"/>
      <c r="M133" s="11" t="s">
        <v>2221</v>
      </c>
      <c r="N133" s="104" t="b">
        <f t="shared" si="1"/>
        <v>1</v>
      </c>
      <c r="O133" s="5" t="s">
        <v>2222</v>
      </c>
      <c r="P133" s="5" t="s">
        <v>2223</v>
      </c>
      <c r="R133" s="5"/>
      <c r="S133" s="5" t="s">
        <v>2224</v>
      </c>
      <c r="T133" s="184"/>
      <c r="U133" s="5"/>
      <c r="V133" s="5"/>
      <c r="W133" s="5"/>
      <c r="Y133" s="201" t="str">
        <f t="shared" si="2"/>
        <v/>
      </c>
      <c r="Z133" s="200"/>
      <c r="AA133" s="201" t="s">
        <v>2362</v>
      </c>
      <c r="AB133" s="68">
        <f t="shared" si="3"/>
        <v>1</v>
      </c>
      <c r="AC133" s="210"/>
      <c r="AD133" s="68" t="str">
        <f t="shared" si="4"/>
        <v>NOT</v>
      </c>
      <c r="AE133" s="11"/>
      <c r="AF133" s="11"/>
      <c r="AG133" s="11"/>
      <c r="AH133" s="110">
        <f>COUNTIF(postDEL!$AR$2:$AR694,AG133)</f>
        <v>0</v>
      </c>
      <c r="AI133" s="204"/>
      <c r="AK133" s="200"/>
      <c r="AN133" s="68" t="str">
        <f t="shared" si="5"/>
        <v/>
      </c>
      <c r="AO133" s="206" t="str">
        <f t="shared" si="7"/>
        <v/>
      </c>
      <c r="AS133" s="200"/>
      <c r="AT133" s="200"/>
      <c r="AU133" s="68"/>
      <c r="AV133" s="11"/>
      <c r="AW133" s="11"/>
      <c r="AX133" s="11"/>
      <c r="AY133" s="67"/>
      <c r="AZ133" s="204"/>
      <c r="BC133" s="68"/>
      <c r="BD133" s="68"/>
      <c r="BF133" s="200"/>
    </row>
    <row r="134">
      <c r="A134" s="11"/>
      <c r="B134" s="11"/>
      <c r="C134" s="11"/>
      <c r="D134" s="110">
        <f>COUNTIF(postDEL!$AR$2:$AR694,$C134)</f>
        <v>0</v>
      </c>
      <c r="E134" s="5" t="str">
        <f>CONCATENATE(Process!$A$1,F134)</f>
        <v>BEND127889</v>
      </c>
      <c r="F134" s="3">
        <v>127889.0</v>
      </c>
      <c r="G134" s="3"/>
      <c r="H134" s="3" t="s">
        <v>2363</v>
      </c>
      <c r="I134" s="13">
        <v>0.0</v>
      </c>
      <c r="J134" s="5"/>
      <c r="K134" s="199">
        <f>COUNTIF(postDEL!$AO$2:$AO694,$C134)</f>
        <v>0</v>
      </c>
      <c r="L134" s="212"/>
      <c r="M134" s="11" t="s">
        <v>2221</v>
      </c>
      <c r="N134" s="104" t="b">
        <f t="shared" si="1"/>
        <v>1</v>
      </c>
      <c r="O134" s="5" t="s">
        <v>2222</v>
      </c>
      <c r="P134" s="5" t="s">
        <v>2223</v>
      </c>
      <c r="R134" s="5"/>
      <c r="S134" s="5" t="s">
        <v>2224</v>
      </c>
      <c r="T134" s="184"/>
      <c r="U134" s="5"/>
      <c r="V134" s="5"/>
      <c r="W134" s="5"/>
      <c r="Y134" s="201" t="str">
        <f t="shared" si="2"/>
        <v/>
      </c>
      <c r="Z134" s="200"/>
      <c r="AA134" s="201" t="s">
        <v>2363</v>
      </c>
      <c r="AB134" s="68">
        <f t="shared" si="3"/>
        <v>1</v>
      </c>
      <c r="AC134" s="210"/>
      <c r="AD134" s="68" t="str">
        <f t="shared" si="4"/>
        <v>NOT</v>
      </c>
      <c r="AE134" s="11"/>
      <c r="AF134" s="11"/>
      <c r="AG134" s="11"/>
      <c r="AH134" s="110">
        <f>COUNTIF(postDEL!$AR$2:$AR694,AG134)</f>
        <v>0</v>
      </c>
      <c r="AI134" s="204"/>
      <c r="AK134" s="200"/>
      <c r="AN134" s="68" t="str">
        <f t="shared" si="5"/>
        <v/>
      </c>
      <c r="AO134" s="206" t="str">
        <f t="shared" si="7"/>
        <v/>
      </c>
      <c r="AS134" s="200"/>
      <c r="AT134" s="200"/>
      <c r="AU134" s="68"/>
      <c r="AV134" s="11"/>
      <c r="AW134" s="11"/>
      <c r="AX134" s="11"/>
      <c r="AY134" s="67"/>
      <c r="AZ134" s="204"/>
      <c r="BC134" s="68"/>
      <c r="BD134" s="68"/>
      <c r="BF134" s="200"/>
    </row>
    <row r="135">
      <c r="A135" s="11"/>
      <c r="B135" s="11"/>
      <c r="C135" s="11"/>
      <c r="D135" s="110">
        <f>COUNTIF(postDEL!$AR$2:$AR694,$C135)</f>
        <v>0</v>
      </c>
      <c r="E135" s="5" t="str">
        <f>CONCATENATE(Process!$A$1,F135)</f>
        <v>BEND121582</v>
      </c>
      <c r="F135" s="3">
        <v>121582.0</v>
      </c>
      <c r="G135" s="3"/>
      <c r="H135" s="3" t="s">
        <v>2364</v>
      </c>
      <c r="I135" s="13">
        <v>0.0</v>
      </c>
      <c r="J135" s="5"/>
      <c r="K135" s="199">
        <f>COUNTIF(postDEL!$AO$2:$AO694,$C135)</f>
        <v>0</v>
      </c>
      <c r="L135" s="212"/>
      <c r="M135" s="11" t="s">
        <v>2221</v>
      </c>
      <c r="N135" s="104" t="b">
        <f t="shared" si="1"/>
        <v>1</v>
      </c>
      <c r="O135" s="5" t="s">
        <v>2222</v>
      </c>
      <c r="P135" s="5" t="s">
        <v>2223</v>
      </c>
      <c r="R135" s="5"/>
      <c r="S135" s="5" t="s">
        <v>2224</v>
      </c>
      <c r="T135" s="184"/>
      <c r="U135" s="5"/>
      <c r="V135" s="5"/>
      <c r="W135" s="5"/>
      <c r="Y135" s="201" t="str">
        <f t="shared" si="2"/>
        <v/>
      </c>
      <c r="Z135" s="200"/>
      <c r="AA135" s="201" t="s">
        <v>2364</v>
      </c>
      <c r="AB135" s="68">
        <f t="shared" si="3"/>
        <v>1</v>
      </c>
      <c r="AC135" s="210"/>
      <c r="AD135" s="68" t="str">
        <f t="shared" si="4"/>
        <v>NOT</v>
      </c>
      <c r="AE135" s="11"/>
      <c r="AF135" s="11"/>
      <c r="AG135" s="11"/>
      <c r="AH135" s="110">
        <f>COUNTIF(postDEL!$AR$2:$AR694,AG135)</f>
        <v>0</v>
      </c>
      <c r="AI135" s="204"/>
      <c r="AK135" s="200"/>
      <c r="AN135" s="68" t="str">
        <f t="shared" si="5"/>
        <v/>
      </c>
      <c r="AO135" s="206" t="str">
        <f t="shared" si="7"/>
        <v/>
      </c>
      <c r="AS135" s="200"/>
      <c r="AT135" s="200"/>
      <c r="AU135" s="68"/>
      <c r="AV135" s="11"/>
      <c r="AW135" s="11"/>
      <c r="AX135" s="11"/>
      <c r="AY135" s="67"/>
      <c r="AZ135" s="204"/>
      <c r="BC135" s="68"/>
      <c r="BD135" s="68"/>
      <c r="BF135" s="200"/>
    </row>
    <row r="136">
      <c r="A136" s="11"/>
      <c r="B136" s="11"/>
      <c r="C136" s="11"/>
      <c r="D136" s="110">
        <f>COUNTIF(postDEL!$AR$2:$AR694,$C136)</f>
        <v>0</v>
      </c>
      <c r="E136" s="5" t="str">
        <f>CONCATENATE(Process!$A$1,F136)</f>
        <v>BEND326601</v>
      </c>
      <c r="F136" s="3">
        <v>326601.0</v>
      </c>
      <c r="G136" s="3"/>
      <c r="H136" s="3" t="s">
        <v>2365</v>
      </c>
      <c r="I136" s="13">
        <v>0.0</v>
      </c>
      <c r="J136" s="5"/>
      <c r="K136" s="199">
        <f>COUNTIF(postDEL!$AO$2:$AO694,$C136)</f>
        <v>0</v>
      </c>
      <c r="L136" s="212"/>
      <c r="M136" s="11" t="s">
        <v>2221</v>
      </c>
      <c r="N136" s="104" t="b">
        <f t="shared" si="1"/>
        <v>1</v>
      </c>
      <c r="O136" s="5" t="s">
        <v>2222</v>
      </c>
      <c r="P136" s="5" t="s">
        <v>2223</v>
      </c>
      <c r="R136" s="5"/>
      <c r="S136" s="5" t="s">
        <v>2224</v>
      </c>
      <c r="T136" s="184">
        <v>44582.0</v>
      </c>
      <c r="U136" s="5"/>
      <c r="V136" s="5"/>
      <c r="W136" s="5"/>
      <c r="Y136" s="201" t="str">
        <f t="shared" si="2"/>
        <v/>
      </c>
      <c r="Z136" s="200"/>
      <c r="AA136" s="201" t="s">
        <v>2365</v>
      </c>
      <c r="AB136" s="68">
        <f t="shared" si="3"/>
        <v>1</v>
      </c>
      <c r="AC136" s="210"/>
      <c r="AD136" s="68" t="str">
        <f t="shared" si="4"/>
        <v>NOT</v>
      </c>
      <c r="AE136" s="11"/>
      <c r="AF136" s="11"/>
      <c r="AG136" s="11"/>
      <c r="AH136" s="110">
        <f>COUNTIF(postDEL!$AR$2:$AR694,AG136)</f>
        <v>0</v>
      </c>
      <c r="AI136" s="204"/>
      <c r="AK136" s="200"/>
      <c r="AN136" s="68" t="str">
        <f t="shared" si="5"/>
        <v/>
      </c>
      <c r="AO136" s="206" t="str">
        <f t="shared" si="7"/>
        <v/>
      </c>
      <c r="AS136" s="200"/>
      <c r="AT136" s="200"/>
      <c r="AU136" s="68"/>
      <c r="AV136" s="11"/>
      <c r="AW136" s="11"/>
      <c r="AX136" s="11"/>
      <c r="AY136" s="67"/>
      <c r="AZ136" s="204"/>
      <c r="BC136" s="68"/>
      <c r="BD136" s="68"/>
      <c r="BF136" s="200"/>
    </row>
    <row r="137">
      <c r="A137" s="11"/>
      <c r="B137" s="11"/>
      <c r="C137" s="11"/>
      <c r="D137" s="110">
        <f>COUNTIF(postDEL!$AR$2:$AR694,$C137)</f>
        <v>0</v>
      </c>
      <c r="E137" s="5" t="str">
        <f>CONCATENATE(Process!$A$1,F137)</f>
        <v>BEND142851</v>
      </c>
      <c r="F137" s="3">
        <v>142851.0</v>
      </c>
      <c r="G137" s="3"/>
      <c r="H137" s="3" t="s">
        <v>2366</v>
      </c>
      <c r="I137" s="13">
        <v>0.0</v>
      </c>
      <c r="J137" s="5"/>
      <c r="K137" s="199">
        <f>COUNTIF(postDEL!$AO$2:$AO694,$C137)</f>
        <v>0</v>
      </c>
      <c r="L137" s="212"/>
      <c r="M137" s="11" t="s">
        <v>2221</v>
      </c>
      <c r="N137" s="104" t="b">
        <f t="shared" si="1"/>
        <v>1</v>
      </c>
      <c r="O137" s="5" t="s">
        <v>2222</v>
      </c>
      <c r="P137" s="5" t="s">
        <v>2223</v>
      </c>
      <c r="R137" s="5"/>
      <c r="S137" s="5" t="s">
        <v>2224</v>
      </c>
      <c r="T137" s="184"/>
      <c r="U137" s="5"/>
      <c r="V137" s="5"/>
      <c r="W137" s="5"/>
      <c r="Y137" s="201" t="str">
        <f t="shared" si="2"/>
        <v/>
      </c>
      <c r="Z137" s="200"/>
      <c r="AA137" s="201" t="s">
        <v>2366</v>
      </c>
      <c r="AB137" s="68">
        <f t="shared" si="3"/>
        <v>1</v>
      </c>
      <c r="AC137" s="210"/>
      <c r="AD137" s="68" t="str">
        <f t="shared" si="4"/>
        <v>NOT</v>
      </c>
      <c r="AE137" s="11"/>
      <c r="AF137" s="11"/>
      <c r="AG137" s="11"/>
      <c r="AH137" s="110">
        <f>COUNTIF(postDEL!$AR$2:$AR694,AG137)</f>
        <v>0</v>
      </c>
      <c r="AI137" s="204"/>
      <c r="AK137" s="200"/>
      <c r="AN137" s="68" t="str">
        <f t="shared" si="5"/>
        <v/>
      </c>
      <c r="AO137" s="206" t="str">
        <f t="shared" si="7"/>
        <v/>
      </c>
      <c r="AS137" s="200"/>
      <c r="AT137" s="200"/>
      <c r="AU137" s="68"/>
      <c r="AV137" s="11"/>
      <c r="AW137" s="11"/>
      <c r="AX137" s="11"/>
      <c r="AY137" s="67"/>
      <c r="AZ137" s="204"/>
      <c r="BC137" s="68"/>
      <c r="BD137" s="68"/>
      <c r="BF137" s="200"/>
    </row>
    <row r="138">
      <c r="A138" s="11"/>
      <c r="B138" s="11"/>
      <c r="C138" s="11"/>
      <c r="D138" s="110">
        <f>COUNTIF(postDEL!$AR$2:$AR694,$C138)</f>
        <v>0</v>
      </c>
      <c r="E138" s="5" t="str">
        <f>CONCATENATE(Process!$A$1,F138)</f>
        <v>BEND475899</v>
      </c>
      <c r="F138" s="3">
        <v>475899.0</v>
      </c>
      <c r="G138" s="3"/>
      <c r="H138" s="3" t="s">
        <v>2367</v>
      </c>
      <c r="I138" s="13">
        <v>0.0</v>
      </c>
      <c r="J138" s="5"/>
      <c r="K138" s="199">
        <f>COUNTIF(postDEL!$AO$2:$AO694,$C138)</f>
        <v>0</v>
      </c>
      <c r="L138" s="212"/>
      <c r="M138" s="11" t="s">
        <v>2221</v>
      </c>
      <c r="N138" s="104" t="b">
        <f t="shared" si="1"/>
        <v>1</v>
      </c>
      <c r="O138" s="5" t="s">
        <v>2222</v>
      </c>
      <c r="P138" s="5" t="s">
        <v>2223</v>
      </c>
      <c r="R138" s="5"/>
      <c r="S138" s="5" t="s">
        <v>2224</v>
      </c>
      <c r="T138" s="184"/>
      <c r="U138" s="5"/>
      <c r="V138" s="5"/>
      <c r="W138" s="5"/>
      <c r="Y138" s="201" t="str">
        <f t="shared" si="2"/>
        <v/>
      </c>
      <c r="Z138" s="200"/>
      <c r="AA138" s="201" t="s">
        <v>2367</v>
      </c>
      <c r="AB138" s="68">
        <f t="shared" si="3"/>
        <v>1</v>
      </c>
      <c r="AC138" s="210"/>
      <c r="AD138" s="68" t="str">
        <f t="shared" si="4"/>
        <v>NOT</v>
      </c>
      <c r="AE138" s="11"/>
      <c r="AF138" s="11"/>
      <c r="AG138" s="11"/>
      <c r="AH138" s="110">
        <f>COUNTIF(postDEL!$AR$2:$AR694,AG138)</f>
        <v>0</v>
      </c>
      <c r="AI138" s="204"/>
      <c r="AK138" s="200"/>
      <c r="AN138" s="68" t="str">
        <f t="shared" si="5"/>
        <v/>
      </c>
      <c r="AO138" s="206" t="str">
        <f t="shared" si="7"/>
        <v/>
      </c>
      <c r="AS138" s="200"/>
      <c r="AT138" s="200"/>
      <c r="AU138" s="68"/>
      <c r="AV138" s="11"/>
      <c r="AW138" s="11"/>
      <c r="AX138" s="11"/>
      <c r="AY138" s="67"/>
      <c r="AZ138" s="204"/>
      <c r="BC138" s="68"/>
      <c r="BD138" s="68"/>
      <c r="BF138" s="200"/>
    </row>
    <row r="139">
      <c r="A139" s="11"/>
      <c r="B139" s="11"/>
      <c r="C139" s="11"/>
      <c r="D139" s="110">
        <f>COUNTIF(postDEL!$AR$2:$AR694,$C139)</f>
        <v>0</v>
      </c>
      <c r="E139" s="5" t="str">
        <f>CONCATENATE(Process!$A$1,F139)</f>
        <v>BEND147991</v>
      </c>
      <c r="F139" s="3">
        <v>147991.0</v>
      </c>
      <c r="G139" s="3"/>
      <c r="H139" s="3" t="s">
        <v>2368</v>
      </c>
      <c r="I139" s="13">
        <v>0.0</v>
      </c>
      <c r="J139" s="5"/>
      <c r="K139" s="199">
        <f>COUNTIF(postDEL!$AO$2:$AO694,$C139)</f>
        <v>0</v>
      </c>
      <c r="L139" s="212"/>
      <c r="M139" s="11" t="s">
        <v>2221</v>
      </c>
      <c r="N139" s="104" t="b">
        <f t="shared" si="1"/>
        <v>1</v>
      </c>
      <c r="O139" s="5" t="s">
        <v>2222</v>
      </c>
      <c r="P139" s="5" t="s">
        <v>2223</v>
      </c>
      <c r="R139" s="5"/>
      <c r="S139" s="5" t="s">
        <v>2249</v>
      </c>
      <c r="T139" s="184"/>
      <c r="U139" s="5"/>
      <c r="V139" s="5"/>
      <c r="W139" s="5"/>
      <c r="Y139" s="201" t="str">
        <f t="shared" si="2"/>
        <v/>
      </c>
      <c r="Z139" s="200"/>
      <c r="AA139" s="201" t="s">
        <v>2368</v>
      </c>
      <c r="AB139" s="68">
        <f t="shared" si="3"/>
        <v>1</v>
      </c>
      <c r="AC139" s="210"/>
      <c r="AD139" s="68" t="str">
        <f t="shared" si="4"/>
        <v>NOT</v>
      </c>
      <c r="AE139" s="11"/>
      <c r="AF139" s="11"/>
      <c r="AG139" s="11"/>
      <c r="AH139" s="110">
        <f>COUNTIF(postDEL!$AR$2:$AR694,AG139)</f>
        <v>0</v>
      </c>
      <c r="AI139" s="204"/>
      <c r="AK139" s="200"/>
      <c r="AN139" s="68" t="str">
        <f t="shared" si="5"/>
        <v/>
      </c>
      <c r="AO139" s="206" t="str">
        <f t="shared" si="7"/>
        <v/>
      </c>
      <c r="AS139" s="200"/>
      <c r="AT139" s="200"/>
      <c r="AU139" s="68"/>
      <c r="AV139" s="11"/>
      <c r="AW139" s="11"/>
      <c r="AX139" s="11"/>
      <c r="AY139" s="67"/>
      <c r="AZ139" s="204"/>
      <c r="BC139" s="68"/>
      <c r="BD139" s="68"/>
      <c r="BF139" s="200"/>
    </row>
    <row r="140">
      <c r="A140" s="11"/>
      <c r="B140" s="11"/>
      <c r="C140" s="11"/>
      <c r="D140" s="110">
        <f>COUNTIF(postDEL!$AR$2:$AR694,$C140)</f>
        <v>0</v>
      </c>
      <c r="E140" s="5" t="str">
        <f>CONCATENATE(Process!$A$1,F140)</f>
        <v>BEND365993</v>
      </c>
      <c r="F140" s="3">
        <v>365993.0</v>
      </c>
      <c r="G140" s="3"/>
      <c r="H140" s="3" t="s">
        <v>2369</v>
      </c>
      <c r="I140" s="13">
        <v>0.0</v>
      </c>
      <c r="J140" s="5"/>
      <c r="K140" s="199">
        <f>COUNTIF(postDEL!$AO$2:$AO694,$C140)</f>
        <v>0</v>
      </c>
      <c r="L140" s="212"/>
      <c r="M140" s="11" t="s">
        <v>2221</v>
      </c>
      <c r="N140" s="104" t="b">
        <f t="shared" si="1"/>
        <v>1</v>
      </c>
      <c r="O140" s="5" t="s">
        <v>2235</v>
      </c>
      <c r="P140" s="5" t="s">
        <v>2223</v>
      </c>
      <c r="R140" s="5"/>
      <c r="S140" s="5" t="s">
        <v>2224</v>
      </c>
      <c r="T140" s="184">
        <v>44580.0</v>
      </c>
      <c r="U140" s="5"/>
      <c r="V140" s="5"/>
      <c r="W140" s="5"/>
      <c r="Y140" s="201" t="str">
        <f t="shared" si="2"/>
        <v/>
      </c>
      <c r="Z140" s="200"/>
      <c r="AA140" s="201" t="s">
        <v>2369</v>
      </c>
      <c r="AB140" s="68">
        <f t="shared" si="3"/>
        <v>1</v>
      </c>
      <c r="AC140" s="210"/>
      <c r="AD140" s="68" t="str">
        <f t="shared" si="4"/>
        <v>NOT</v>
      </c>
      <c r="AE140" s="11"/>
      <c r="AF140" s="11"/>
      <c r="AG140" s="11"/>
      <c r="AH140" s="110">
        <f>COUNTIF(postDEL!$AR$2:$AR694,AG140)</f>
        <v>0</v>
      </c>
      <c r="AI140" s="204"/>
      <c r="AK140" s="200"/>
      <c r="AN140" s="68" t="str">
        <f t="shared" si="5"/>
        <v/>
      </c>
      <c r="AO140" s="206" t="str">
        <f t="shared" si="7"/>
        <v/>
      </c>
      <c r="AS140" s="200"/>
      <c r="AT140" s="200"/>
      <c r="AU140" s="68"/>
      <c r="AV140" s="11"/>
      <c r="AW140" s="11"/>
      <c r="AX140" s="11"/>
      <c r="AY140" s="67"/>
      <c r="AZ140" s="204"/>
      <c r="BC140" s="68"/>
      <c r="BD140" s="68"/>
      <c r="BF140" s="200"/>
    </row>
    <row r="141">
      <c r="A141" s="11"/>
      <c r="B141" s="11"/>
      <c r="C141" s="11"/>
      <c r="D141" s="110">
        <f>COUNTIF(postDEL!$AR$2:$AR694,$C141)</f>
        <v>0</v>
      </c>
      <c r="E141" s="5" t="str">
        <f>CONCATENATE(Process!$A$1,F141)</f>
        <v>BEND397882</v>
      </c>
      <c r="F141" s="3">
        <v>397882.0</v>
      </c>
      <c r="G141" s="3"/>
      <c r="H141" s="3" t="s">
        <v>2370</v>
      </c>
      <c r="I141" s="13">
        <v>0.0</v>
      </c>
      <c r="J141" s="5"/>
      <c r="K141" s="199">
        <f>COUNTIF(postDEL!$AO$2:$AO694,$C141)</f>
        <v>0</v>
      </c>
      <c r="L141" s="212"/>
      <c r="M141" s="11" t="s">
        <v>2221</v>
      </c>
      <c r="N141" s="104" t="b">
        <f t="shared" si="1"/>
        <v>1</v>
      </c>
      <c r="O141" s="5" t="s">
        <v>2227</v>
      </c>
      <c r="P141" s="5" t="s">
        <v>2185</v>
      </c>
      <c r="R141" s="5"/>
      <c r="S141" s="5"/>
      <c r="T141" s="184"/>
      <c r="U141" s="5"/>
      <c r="V141" s="5"/>
      <c r="W141" s="5"/>
      <c r="Y141" s="201" t="str">
        <f t="shared" si="2"/>
        <v/>
      </c>
      <c r="Z141" s="200"/>
      <c r="AA141" s="201" t="s">
        <v>2370</v>
      </c>
      <c r="AB141" s="68">
        <f t="shared" si="3"/>
        <v>1</v>
      </c>
      <c r="AC141" s="210"/>
      <c r="AD141" s="68" t="str">
        <f t="shared" si="4"/>
        <v>NOT</v>
      </c>
      <c r="AE141" s="11"/>
      <c r="AF141" s="11"/>
      <c r="AG141" s="11"/>
      <c r="AH141" s="110">
        <f>COUNTIF(postDEL!$AR$2:$AR694,AG141)</f>
        <v>0</v>
      </c>
      <c r="AI141" s="204"/>
      <c r="AK141" s="200"/>
      <c r="AN141" s="68" t="str">
        <f t="shared" si="5"/>
        <v/>
      </c>
      <c r="AO141" s="206" t="str">
        <f t="shared" si="7"/>
        <v/>
      </c>
      <c r="AS141" s="200"/>
      <c r="AT141" s="200"/>
      <c r="AU141" s="68"/>
      <c r="AV141" s="11"/>
      <c r="AW141" s="11"/>
      <c r="AX141" s="11"/>
      <c r="AY141" s="67"/>
      <c r="AZ141" s="204"/>
      <c r="BC141" s="68"/>
      <c r="BD141" s="68"/>
      <c r="BF141" s="200"/>
    </row>
    <row r="142">
      <c r="A142" s="11"/>
      <c r="B142" s="11"/>
      <c r="C142" s="11"/>
      <c r="D142" s="110">
        <f>COUNTIF(postDEL!$AR$2:$AR694,$C142)</f>
        <v>0</v>
      </c>
      <c r="E142" s="5" t="str">
        <f>CONCATENATE(Process!$A$1,F142)</f>
        <v>BEND742097</v>
      </c>
      <c r="F142" s="3">
        <v>742097.0</v>
      </c>
      <c r="G142" s="3"/>
      <c r="H142" s="3" t="s">
        <v>2371</v>
      </c>
      <c r="I142" s="13">
        <v>0.0</v>
      </c>
      <c r="J142" s="5"/>
      <c r="K142" s="199">
        <f>COUNTIF(postDEL!$AO$2:$AO694,$C142)</f>
        <v>0</v>
      </c>
      <c r="L142" s="212"/>
      <c r="M142" s="11" t="s">
        <v>2221</v>
      </c>
      <c r="N142" s="104" t="b">
        <f t="shared" si="1"/>
        <v>1</v>
      </c>
      <c r="O142" s="5" t="s">
        <v>2227</v>
      </c>
      <c r="P142" s="5" t="s">
        <v>2185</v>
      </c>
      <c r="R142" s="5"/>
      <c r="S142" s="5"/>
      <c r="T142" s="184"/>
      <c r="U142" s="5"/>
      <c r="V142" s="5"/>
      <c r="W142" s="5"/>
      <c r="Y142" s="201" t="str">
        <f t="shared" si="2"/>
        <v/>
      </c>
      <c r="Z142" s="200"/>
      <c r="AA142" s="201" t="s">
        <v>2371</v>
      </c>
      <c r="AB142" s="68">
        <f t="shared" si="3"/>
        <v>1</v>
      </c>
      <c r="AC142" s="210"/>
      <c r="AD142" s="68" t="str">
        <f t="shared" si="4"/>
        <v>NOT</v>
      </c>
      <c r="AE142" s="11"/>
      <c r="AF142" s="11"/>
      <c r="AG142" s="11"/>
      <c r="AH142" s="110">
        <f>COUNTIF(postDEL!$AR$2:$AR694,AG142)</f>
        <v>0</v>
      </c>
      <c r="AI142" s="204"/>
      <c r="AK142" s="200"/>
      <c r="AN142" s="68" t="str">
        <f t="shared" si="5"/>
        <v/>
      </c>
      <c r="AO142" s="206" t="str">
        <f t="shared" si="7"/>
        <v/>
      </c>
      <c r="AS142" s="200"/>
      <c r="AT142" s="200"/>
      <c r="AU142" s="68"/>
      <c r="AV142" s="11"/>
      <c r="AW142" s="11"/>
      <c r="AX142" s="11"/>
      <c r="AY142" s="67"/>
      <c r="AZ142" s="204"/>
      <c r="BC142" s="68"/>
      <c r="BD142" s="68"/>
      <c r="BF142" s="200"/>
    </row>
    <row r="143">
      <c r="A143" s="11"/>
      <c r="B143" s="11"/>
      <c r="C143" s="11"/>
      <c r="D143" s="110">
        <f>COUNTIF(postDEL!$AR$2:$AR694,$C143)</f>
        <v>0</v>
      </c>
      <c r="E143" s="5" t="str">
        <f>CONCATENATE(Process!$A$1,F143)</f>
        <v>BEND190541</v>
      </c>
      <c r="F143" s="3">
        <v>190541.0</v>
      </c>
      <c r="G143" s="3"/>
      <c r="H143" s="3" t="s">
        <v>2372</v>
      </c>
      <c r="I143" s="13">
        <v>0.0</v>
      </c>
      <c r="J143" s="5"/>
      <c r="K143" s="199">
        <f>COUNTIF(postDEL!$AO$2:$AO694,$C143)</f>
        <v>0</v>
      </c>
      <c r="L143" s="212"/>
      <c r="M143" s="11" t="s">
        <v>2221</v>
      </c>
      <c r="N143" s="104" t="b">
        <f t="shared" si="1"/>
        <v>1</v>
      </c>
      <c r="O143" s="5" t="s">
        <v>2222</v>
      </c>
      <c r="P143" s="5" t="s">
        <v>2223</v>
      </c>
      <c r="R143" s="5"/>
      <c r="S143" s="5" t="s">
        <v>2224</v>
      </c>
      <c r="T143" s="184">
        <v>44579.0</v>
      </c>
      <c r="U143" s="5"/>
      <c r="V143" s="5"/>
      <c r="W143" s="5"/>
      <c r="Y143" s="201" t="str">
        <f t="shared" si="2"/>
        <v/>
      </c>
      <c r="Z143" s="200"/>
      <c r="AA143" s="201" t="s">
        <v>2372</v>
      </c>
      <c r="AB143" s="68">
        <f t="shared" si="3"/>
        <v>1</v>
      </c>
      <c r="AC143" s="210"/>
      <c r="AD143" s="68" t="str">
        <f t="shared" si="4"/>
        <v>NOT</v>
      </c>
      <c r="AE143" s="11"/>
      <c r="AF143" s="11"/>
      <c r="AG143" s="11"/>
      <c r="AH143" s="110">
        <f>COUNTIF(postDEL!$AR$2:$AR694,AG143)</f>
        <v>0</v>
      </c>
      <c r="AI143" s="204"/>
      <c r="AK143" s="200"/>
      <c r="AN143" s="68" t="str">
        <f t="shared" si="5"/>
        <v/>
      </c>
      <c r="AO143" s="206" t="str">
        <f t="shared" si="7"/>
        <v/>
      </c>
      <c r="AS143" s="200"/>
      <c r="AT143" s="200"/>
      <c r="AU143" s="68"/>
      <c r="AV143" s="11"/>
      <c r="AW143" s="11"/>
      <c r="AX143" s="11"/>
      <c r="AY143" s="67"/>
      <c r="AZ143" s="204"/>
      <c r="BC143" s="68"/>
      <c r="BD143" s="68"/>
      <c r="BF143" s="200"/>
    </row>
    <row r="144">
      <c r="A144" s="11"/>
      <c r="B144" s="11"/>
      <c r="C144" s="11"/>
      <c r="D144" s="110">
        <f>COUNTIF(postDEL!$AR$2:$AR694,$C144)</f>
        <v>0</v>
      </c>
      <c r="E144" s="5" t="str">
        <f>CONCATENATE(Process!$A$1,F144)</f>
        <v>BEND921886</v>
      </c>
      <c r="F144" s="3">
        <v>921886.0</v>
      </c>
      <c r="G144" s="3"/>
      <c r="H144" s="3" t="s">
        <v>2373</v>
      </c>
      <c r="I144" s="13">
        <v>0.0</v>
      </c>
      <c r="J144" s="5"/>
      <c r="K144" s="199">
        <f>COUNTIF(postDEL!$AO$2:$AO694,$C144)</f>
        <v>0</v>
      </c>
      <c r="L144" s="212"/>
      <c r="M144" s="11" t="s">
        <v>2221</v>
      </c>
      <c r="N144" s="104" t="b">
        <f t="shared" si="1"/>
        <v>1</v>
      </c>
      <c r="O144" s="5" t="s">
        <v>2227</v>
      </c>
      <c r="P144" s="5" t="s">
        <v>2185</v>
      </c>
      <c r="R144" s="5"/>
      <c r="S144" s="5"/>
      <c r="T144" s="184"/>
      <c r="U144" s="5"/>
      <c r="V144" s="5"/>
      <c r="W144" s="5"/>
      <c r="Y144" s="201" t="str">
        <f t="shared" si="2"/>
        <v/>
      </c>
      <c r="Z144" s="200"/>
      <c r="AA144" s="201" t="s">
        <v>2373</v>
      </c>
      <c r="AB144" s="68">
        <f t="shared" si="3"/>
        <v>1</v>
      </c>
      <c r="AC144" s="210"/>
      <c r="AD144" s="68" t="str">
        <f t="shared" si="4"/>
        <v>NOT</v>
      </c>
      <c r="AE144" s="11"/>
      <c r="AF144" s="11"/>
      <c r="AG144" s="11"/>
      <c r="AH144" s="110">
        <f>COUNTIF(postDEL!$AR$2:$AR694,AG144)</f>
        <v>0</v>
      </c>
      <c r="AI144" s="204"/>
      <c r="AK144" s="200"/>
      <c r="AN144" s="68" t="str">
        <f t="shared" si="5"/>
        <v/>
      </c>
      <c r="AO144" s="206" t="str">
        <f t="shared" si="7"/>
        <v/>
      </c>
      <c r="AS144" s="200"/>
      <c r="AT144" s="200"/>
      <c r="AU144" s="68" t="s">
        <v>2239</v>
      </c>
      <c r="AV144" s="11"/>
      <c r="AW144" s="11"/>
      <c r="AX144" s="11"/>
      <c r="AY144" s="67"/>
      <c r="AZ144" s="204"/>
      <c r="BC144" s="68"/>
      <c r="BD144" s="68"/>
      <c r="BF144" s="200"/>
    </row>
    <row r="145">
      <c r="A145" s="11"/>
      <c r="B145" s="11"/>
      <c r="C145" s="11"/>
      <c r="D145" s="110">
        <f>COUNTIF(postDEL!$AR$2:$AR694,$C145)</f>
        <v>0</v>
      </c>
      <c r="E145" s="5" t="str">
        <f>CONCATENATE(Process!$A$1,F145)</f>
        <v>BEND369361</v>
      </c>
      <c r="F145" s="3">
        <v>369361.0</v>
      </c>
      <c r="G145" s="3"/>
      <c r="H145" s="3" t="s">
        <v>2374</v>
      </c>
      <c r="I145" s="13">
        <v>0.0</v>
      </c>
      <c r="J145" s="5"/>
      <c r="K145" s="199">
        <f>COUNTIF(postDEL!$AO$2:$AO694,$C145)</f>
        <v>0</v>
      </c>
      <c r="L145" s="212"/>
      <c r="M145" s="11" t="s">
        <v>2221</v>
      </c>
      <c r="N145" s="104" t="b">
        <f t="shared" si="1"/>
        <v>1</v>
      </c>
      <c r="O145" s="5" t="s">
        <v>2227</v>
      </c>
      <c r="P145" s="5" t="s">
        <v>2185</v>
      </c>
      <c r="R145" s="5"/>
      <c r="S145" s="5"/>
      <c r="T145" s="184"/>
      <c r="U145" s="5"/>
      <c r="V145" s="5"/>
      <c r="W145" s="5"/>
      <c r="Y145" s="201" t="str">
        <f t="shared" si="2"/>
        <v/>
      </c>
      <c r="Z145" s="200"/>
      <c r="AA145" s="201" t="s">
        <v>2374</v>
      </c>
      <c r="AB145" s="68">
        <f t="shared" si="3"/>
        <v>1</v>
      </c>
      <c r="AC145" s="210"/>
      <c r="AD145" s="68" t="str">
        <f t="shared" si="4"/>
        <v>NOT</v>
      </c>
      <c r="AE145" s="11"/>
      <c r="AF145" s="11"/>
      <c r="AG145" s="11"/>
      <c r="AH145" s="110">
        <f>COUNTIF(postDEL!$AR$2:$AR694,AG145)</f>
        <v>0</v>
      </c>
      <c r="AI145" s="204"/>
      <c r="AK145" s="200"/>
      <c r="AN145" s="68" t="str">
        <f t="shared" si="5"/>
        <v/>
      </c>
      <c r="AO145" s="206" t="str">
        <f t="shared" si="7"/>
        <v/>
      </c>
      <c r="AS145" s="200"/>
      <c r="AT145" s="200"/>
      <c r="AU145" s="68" t="s">
        <v>2239</v>
      </c>
      <c r="AV145" s="11"/>
      <c r="AW145" s="11"/>
      <c r="AX145" s="11"/>
      <c r="AY145" s="67"/>
      <c r="AZ145" s="204"/>
      <c r="BC145" s="68"/>
      <c r="BD145" s="68"/>
      <c r="BF145" s="200"/>
    </row>
    <row r="146">
      <c r="A146" s="11"/>
      <c r="B146" s="11"/>
      <c r="C146" s="11"/>
      <c r="D146" s="110">
        <f>COUNTIF(postDEL!$AR$2:$AR694,$C146)</f>
        <v>0</v>
      </c>
      <c r="E146" s="5" t="str">
        <f>CONCATENATE(Process!$A$1,F146)</f>
        <v>BEND495995</v>
      </c>
      <c r="F146" s="3">
        <v>495995.0</v>
      </c>
      <c r="G146" s="3"/>
      <c r="H146" s="3" t="s">
        <v>2375</v>
      </c>
      <c r="I146" s="13">
        <v>0.0</v>
      </c>
      <c r="J146" s="5"/>
      <c r="K146" s="199">
        <f>COUNTIF(postDEL!$AO$2:$AO694,$C146)</f>
        <v>0</v>
      </c>
      <c r="L146" s="212"/>
      <c r="M146" s="11" t="s">
        <v>2221</v>
      </c>
      <c r="N146" s="104" t="b">
        <f t="shared" si="1"/>
        <v>1</v>
      </c>
      <c r="O146" s="5" t="s">
        <v>2227</v>
      </c>
      <c r="P146" s="5" t="s">
        <v>2185</v>
      </c>
      <c r="R146" s="5"/>
      <c r="S146" s="5"/>
      <c r="T146" s="184"/>
      <c r="U146" s="5"/>
      <c r="V146" s="5"/>
      <c r="W146" s="5"/>
      <c r="Y146" s="201" t="str">
        <f t="shared" si="2"/>
        <v/>
      </c>
      <c r="Z146" s="200"/>
      <c r="AA146" s="201" t="s">
        <v>2375</v>
      </c>
      <c r="AB146" s="68">
        <f t="shared" si="3"/>
        <v>1</v>
      </c>
      <c r="AC146" s="210"/>
      <c r="AD146" s="68" t="str">
        <f t="shared" si="4"/>
        <v>NOT</v>
      </c>
      <c r="AE146" s="11"/>
      <c r="AF146" s="11"/>
      <c r="AG146" s="11"/>
      <c r="AH146" s="110">
        <f>COUNTIF(postDEL!$AR$2:$AR694,AG146)</f>
        <v>0</v>
      </c>
      <c r="AI146" s="204"/>
      <c r="AK146" s="200"/>
      <c r="AN146" s="68" t="str">
        <f t="shared" si="5"/>
        <v/>
      </c>
      <c r="AO146" s="206" t="str">
        <f t="shared" si="7"/>
        <v/>
      </c>
      <c r="AS146" s="200"/>
      <c r="AT146" s="200"/>
      <c r="AU146" s="68"/>
      <c r="AV146" s="11"/>
      <c r="AW146" s="11"/>
      <c r="AX146" s="11"/>
      <c r="AY146" s="67"/>
      <c r="AZ146" s="204"/>
      <c r="BC146" s="68"/>
      <c r="BD146" s="68"/>
      <c r="BF146" s="200"/>
    </row>
    <row r="147">
      <c r="A147" s="11"/>
      <c r="B147" s="11"/>
      <c r="C147" s="11"/>
      <c r="D147" s="110">
        <f>COUNTIF(postDEL!$AR$2:$AR694,$C147)</f>
        <v>0</v>
      </c>
      <c r="E147" s="5" t="str">
        <f>CONCATENATE(Process!$A$1,F147)</f>
        <v>BEND106868</v>
      </c>
      <c r="F147" s="3">
        <v>106868.0</v>
      </c>
      <c r="G147" s="3"/>
      <c r="H147" s="3" t="s">
        <v>2376</v>
      </c>
      <c r="I147" s="13">
        <v>0.0</v>
      </c>
      <c r="J147" s="5"/>
      <c r="K147" s="199">
        <f>COUNTIF(postDEL!$AO$2:$AO694,$C147)</f>
        <v>0</v>
      </c>
      <c r="L147" s="212"/>
      <c r="M147" s="11" t="s">
        <v>2221</v>
      </c>
      <c r="N147" s="104" t="b">
        <f t="shared" si="1"/>
        <v>1</v>
      </c>
      <c r="O147" s="5" t="s">
        <v>2227</v>
      </c>
      <c r="P147" s="5" t="s">
        <v>2185</v>
      </c>
      <c r="R147" s="5"/>
      <c r="S147" s="5"/>
      <c r="T147" s="184"/>
      <c r="U147" s="5"/>
      <c r="V147" s="5"/>
      <c r="W147" s="5"/>
      <c r="Y147" s="201" t="str">
        <f t="shared" si="2"/>
        <v/>
      </c>
      <c r="Z147" s="200"/>
      <c r="AA147" s="201" t="s">
        <v>2376</v>
      </c>
      <c r="AB147" s="68">
        <f t="shared" si="3"/>
        <v>1</v>
      </c>
      <c r="AC147" s="210"/>
      <c r="AD147" s="68" t="str">
        <f t="shared" si="4"/>
        <v>NOT</v>
      </c>
      <c r="AE147" s="11"/>
      <c r="AF147" s="11"/>
      <c r="AG147" s="11"/>
      <c r="AH147" s="110">
        <f>COUNTIF(postDEL!$AR$2:$AR694,AG147)</f>
        <v>0</v>
      </c>
      <c r="AI147" s="204"/>
      <c r="AK147" s="200"/>
      <c r="AN147" s="68" t="str">
        <f t="shared" si="5"/>
        <v/>
      </c>
      <c r="AO147" s="206" t="str">
        <f t="shared" si="7"/>
        <v/>
      </c>
      <c r="AS147" s="200"/>
      <c r="AT147" s="200"/>
      <c r="AU147" s="68"/>
      <c r="AV147" s="11"/>
      <c r="AW147" s="11"/>
      <c r="AX147" s="11"/>
      <c r="AY147" s="67"/>
      <c r="AZ147" s="204"/>
      <c r="BC147" s="68"/>
      <c r="BD147" s="68"/>
      <c r="BF147" s="200"/>
    </row>
    <row r="148">
      <c r="A148" s="11"/>
      <c r="B148" s="11"/>
      <c r="C148" s="11"/>
      <c r="D148" s="110">
        <f>COUNTIF(postDEL!$AR$2:$AR694,$C148)</f>
        <v>0</v>
      </c>
      <c r="E148" s="5" t="str">
        <f>CONCATENATE(Process!$A$1,F148)</f>
        <v>BEND378516</v>
      </c>
      <c r="F148" s="3">
        <v>378516.0</v>
      </c>
      <c r="G148" s="3"/>
      <c r="H148" s="3" t="s">
        <v>2377</v>
      </c>
      <c r="I148" s="13">
        <v>0.0</v>
      </c>
      <c r="J148" s="5"/>
      <c r="K148" s="199">
        <f>COUNTIF(postDEL!$AO$2:$AO694,$C148)</f>
        <v>0</v>
      </c>
      <c r="L148" s="212"/>
      <c r="M148" s="11" t="s">
        <v>2221</v>
      </c>
      <c r="N148" s="104" t="b">
        <f t="shared" si="1"/>
        <v>1</v>
      </c>
      <c r="O148" s="5" t="s">
        <v>2222</v>
      </c>
      <c r="P148" s="5" t="s">
        <v>2223</v>
      </c>
      <c r="R148" s="5"/>
      <c r="S148" s="5" t="s">
        <v>2224</v>
      </c>
      <c r="T148" s="184"/>
      <c r="U148" s="5"/>
      <c r="V148" s="5"/>
      <c r="W148" s="5"/>
      <c r="Y148" s="201" t="str">
        <f t="shared" si="2"/>
        <v/>
      </c>
      <c r="Z148" s="200"/>
      <c r="AA148" s="201" t="s">
        <v>2377</v>
      </c>
      <c r="AB148" s="68">
        <f t="shared" si="3"/>
        <v>1</v>
      </c>
      <c r="AC148" s="210"/>
      <c r="AD148" s="68" t="str">
        <f t="shared" si="4"/>
        <v>NOT</v>
      </c>
      <c r="AE148" s="11"/>
      <c r="AF148" s="11"/>
      <c r="AG148" s="11"/>
      <c r="AH148" s="110">
        <f>COUNTIF(postDEL!$AR$2:$AR694,AG148)</f>
        <v>0</v>
      </c>
      <c r="AI148" s="204"/>
      <c r="AK148" s="200"/>
      <c r="AN148" s="68" t="str">
        <f t="shared" si="5"/>
        <v/>
      </c>
      <c r="AO148" s="206" t="str">
        <f t="shared" si="7"/>
        <v/>
      </c>
      <c r="AS148" s="200"/>
      <c r="AT148" s="200"/>
      <c r="AU148" s="68"/>
      <c r="AV148" s="11"/>
      <c r="AW148" s="11"/>
      <c r="AX148" s="11"/>
      <c r="AY148" s="67"/>
      <c r="AZ148" s="204"/>
      <c r="BC148" s="68"/>
      <c r="BD148" s="68"/>
      <c r="BF148" s="200"/>
    </row>
    <row r="149">
      <c r="A149" s="11"/>
      <c r="B149" s="11"/>
      <c r="C149" s="11"/>
      <c r="D149" s="110">
        <f>COUNTIF(postDEL!$AR$2:$AR694,$C149)</f>
        <v>0</v>
      </c>
      <c r="E149" s="5" t="str">
        <f>CONCATENATE(Process!$A$1,F149)</f>
        <v>BEND139093</v>
      </c>
      <c r="F149" s="3">
        <v>139093.0</v>
      </c>
      <c r="G149" s="3"/>
      <c r="H149" s="3" t="s">
        <v>2378</v>
      </c>
      <c r="I149" s="13">
        <v>0.0</v>
      </c>
      <c r="J149" s="5"/>
      <c r="K149" s="199">
        <f>COUNTIF(postDEL!$AO$2:$AO694,$C149)</f>
        <v>0</v>
      </c>
      <c r="L149" s="212"/>
      <c r="M149" s="11" t="s">
        <v>2221</v>
      </c>
      <c r="N149" s="104" t="b">
        <f t="shared" si="1"/>
        <v>1</v>
      </c>
      <c r="O149" s="5" t="s">
        <v>2222</v>
      </c>
      <c r="P149" s="5" t="s">
        <v>2223</v>
      </c>
      <c r="R149" s="5"/>
      <c r="S149" s="5" t="s">
        <v>2224</v>
      </c>
      <c r="T149" s="184">
        <v>44579.0</v>
      </c>
      <c r="U149" s="5"/>
      <c r="V149" s="5"/>
      <c r="W149" s="5"/>
      <c r="Y149" s="201" t="str">
        <f t="shared" si="2"/>
        <v/>
      </c>
      <c r="Z149" s="200"/>
      <c r="AA149" s="201" t="s">
        <v>2378</v>
      </c>
      <c r="AB149" s="68">
        <f t="shared" si="3"/>
        <v>1</v>
      </c>
      <c r="AC149" s="210"/>
      <c r="AD149" s="68" t="str">
        <f t="shared" si="4"/>
        <v>NOT</v>
      </c>
      <c r="AE149" s="11"/>
      <c r="AF149" s="11"/>
      <c r="AG149" s="11"/>
      <c r="AH149" s="110">
        <f>COUNTIF(postDEL!$AR$2:$AR694,AG149)</f>
        <v>0</v>
      </c>
      <c r="AI149" s="204"/>
      <c r="AK149" s="200"/>
      <c r="AN149" s="68" t="str">
        <f t="shared" si="5"/>
        <v/>
      </c>
      <c r="AO149" s="206" t="str">
        <f t="shared" si="7"/>
        <v/>
      </c>
      <c r="AS149" s="200"/>
      <c r="AT149" s="200"/>
      <c r="AU149" s="68"/>
      <c r="AV149" s="11"/>
      <c r="AW149" s="11"/>
      <c r="AX149" s="11"/>
      <c r="AY149" s="67"/>
      <c r="AZ149" s="204"/>
      <c r="BC149" s="68"/>
      <c r="BD149" s="68"/>
      <c r="BF149" s="200"/>
    </row>
    <row r="150">
      <c r="A150" s="11"/>
      <c r="B150" s="11"/>
      <c r="C150" s="11"/>
      <c r="D150" s="110">
        <f>COUNTIF(postDEL!$AR$2:$AR694,$C150)</f>
        <v>0</v>
      </c>
      <c r="E150" s="5" t="str">
        <f>CONCATENATE(Process!$A$1,F150)</f>
        <v>BEND782170</v>
      </c>
      <c r="F150" s="3">
        <v>782170.0</v>
      </c>
      <c r="G150" s="3"/>
      <c r="H150" s="3" t="s">
        <v>2379</v>
      </c>
      <c r="I150" s="13">
        <v>0.0</v>
      </c>
      <c r="J150" s="5"/>
      <c r="K150" s="199">
        <f>COUNTIF(postDEL!$AO$2:$AO694,$C150)</f>
        <v>0</v>
      </c>
      <c r="L150" s="212"/>
      <c r="M150" s="11" t="s">
        <v>2221</v>
      </c>
      <c r="N150" s="104" t="b">
        <f t="shared" si="1"/>
        <v>1</v>
      </c>
      <c r="O150" s="5" t="s">
        <v>2222</v>
      </c>
      <c r="P150" s="5" t="s">
        <v>2223</v>
      </c>
      <c r="R150" s="5"/>
      <c r="S150" s="5" t="s">
        <v>2249</v>
      </c>
      <c r="T150" s="184"/>
      <c r="U150" s="5"/>
      <c r="V150" s="5"/>
      <c r="W150" s="5"/>
      <c r="Y150" s="201" t="str">
        <f t="shared" si="2"/>
        <v/>
      </c>
      <c r="Z150" s="200"/>
      <c r="AA150" s="201" t="s">
        <v>2379</v>
      </c>
      <c r="AB150" s="68">
        <f t="shared" si="3"/>
        <v>1</v>
      </c>
      <c r="AC150" s="210"/>
      <c r="AD150" s="68" t="str">
        <f t="shared" si="4"/>
        <v>NOT</v>
      </c>
      <c r="AE150" s="11"/>
      <c r="AF150" s="11"/>
      <c r="AG150" s="11"/>
      <c r="AH150" s="110">
        <f>COUNTIF(postDEL!$AR$2:$AR694,AG150)</f>
        <v>0</v>
      </c>
      <c r="AI150" s="204"/>
      <c r="AK150" s="200"/>
      <c r="AN150" s="68" t="str">
        <f t="shared" si="5"/>
        <v/>
      </c>
      <c r="AO150" s="206" t="str">
        <f t="shared" si="7"/>
        <v/>
      </c>
      <c r="AS150" s="200"/>
      <c r="AT150" s="200"/>
      <c r="AU150" s="68"/>
      <c r="AV150" s="11"/>
      <c r="AW150" s="11"/>
      <c r="AX150" s="11"/>
      <c r="AY150" s="67"/>
      <c r="AZ150" s="204"/>
      <c r="BC150" s="68"/>
      <c r="BD150" s="68"/>
      <c r="BF150" s="200"/>
    </row>
    <row r="151">
      <c r="A151" s="11"/>
      <c r="B151" s="11"/>
      <c r="C151" s="11"/>
      <c r="D151" s="110">
        <f>COUNTIF(postDEL!$AR$2:$AR694,$C151)</f>
        <v>0</v>
      </c>
      <c r="E151" s="5" t="str">
        <f>CONCATENATE(Process!$A$1,F151)</f>
        <v>BEND524074</v>
      </c>
      <c r="F151" s="3">
        <v>524074.0</v>
      </c>
      <c r="G151" s="3"/>
      <c r="H151" s="3" t="s">
        <v>2380</v>
      </c>
      <c r="I151" s="13">
        <v>0.0</v>
      </c>
      <c r="J151" s="5"/>
      <c r="K151" s="199">
        <f>COUNTIF(postDEL!$AO$2:$AO694,$C151)</f>
        <v>0</v>
      </c>
      <c r="L151" s="212"/>
      <c r="M151" s="11" t="s">
        <v>2221</v>
      </c>
      <c r="N151" s="104" t="b">
        <f t="shared" si="1"/>
        <v>1</v>
      </c>
      <c r="O151" s="5" t="s">
        <v>2227</v>
      </c>
      <c r="P151" s="5" t="s">
        <v>2185</v>
      </c>
      <c r="R151" s="5"/>
      <c r="S151" s="5"/>
      <c r="T151" s="184">
        <v>44568.0</v>
      </c>
      <c r="U151" s="5"/>
      <c r="V151" s="5"/>
      <c r="W151" s="5"/>
      <c r="Y151" s="201" t="str">
        <f t="shared" si="2"/>
        <v/>
      </c>
      <c r="Z151" s="200"/>
      <c r="AA151" s="201" t="s">
        <v>2380</v>
      </c>
      <c r="AB151" s="68">
        <f t="shared" si="3"/>
        <v>1</v>
      </c>
      <c r="AC151" s="210"/>
      <c r="AD151" s="68" t="str">
        <f t="shared" si="4"/>
        <v>NOT</v>
      </c>
      <c r="AE151" s="11"/>
      <c r="AF151" s="11"/>
      <c r="AG151" s="11"/>
      <c r="AH151" s="110">
        <f>COUNTIF(postDEL!$AR$2:$AR694,AG151)</f>
        <v>0</v>
      </c>
      <c r="AI151" s="204"/>
      <c r="AK151" s="200"/>
      <c r="AN151" s="68" t="str">
        <f t="shared" si="5"/>
        <v/>
      </c>
      <c r="AO151" s="206" t="str">
        <f t="shared" si="7"/>
        <v/>
      </c>
      <c r="AS151" s="200"/>
      <c r="AT151" s="200"/>
      <c r="AU151" s="68"/>
      <c r="AV151" s="11"/>
      <c r="AW151" s="11"/>
      <c r="AX151" s="11"/>
      <c r="AY151" s="67"/>
      <c r="AZ151" s="204"/>
      <c r="BC151" s="68"/>
      <c r="BD151" s="68"/>
      <c r="BF151" s="200"/>
    </row>
    <row r="152">
      <c r="A152" s="11"/>
      <c r="B152" s="11"/>
      <c r="C152" s="11"/>
      <c r="D152" s="110">
        <f>COUNTIF(postDEL!$AR$2:$AR694,$C152)</f>
        <v>0</v>
      </c>
      <c r="E152" s="5" t="str">
        <f>CONCATENATE(Process!$A$1,F152)</f>
        <v>BEND472796</v>
      </c>
      <c r="F152" s="3">
        <v>472796.0</v>
      </c>
      <c r="G152" s="3"/>
      <c r="H152" s="3" t="s">
        <v>2381</v>
      </c>
      <c r="I152" s="13">
        <v>0.0</v>
      </c>
      <c r="J152" s="5"/>
      <c r="K152" s="199">
        <f>COUNTIF(postDEL!$AO$2:$AO694,$C152)</f>
        <v>0</v>
      </c>
      <c r="L152" s="212"/>
      <c r="M152" s="11" t="s">
        <v>2221</v>
      </c>
      <c r="N152" s="104" t="b">
        <f t="shared" si="1"/>
        <v>1</v>
      </c>
      <c r="O152" s="5" t="s">
        <v>2227</v>
      </c>
      <c r="P152" s="5" t="s">
        <v>2185</v>
      </c>
      <c r="R152" s="5"/>
      <c r="S152" s="5"/>
      <c r="T152" s="184"/>
      <c r="U152" s="5"/>
      <c r="V152" s="5"/>
      <c r="W152" s="5"/>
      <c r="Y152" s="201" t="str">
        <f t="shared" si="2"/>
        <v/>
      </c>
      <c r="Z152" s="200"/>
      <c r="AA152" s="201" t="s">
        <v>2381</v>
      </c>
      <c r="AB152" s="68">
        <f t="shared" si="3"/>
        <v>1</v>
      </c>
      <c r="AC152" s="210"/>
      <c r="AD152" s="68" t="str">
        <f t="shared" si="4"/>
        <v>NOT</v>
      </c>
      <c r="AE152" s="11"/>
      <c r="AF152" s="11"/>
      <c r="AG152" s="11"/>
      <c r="AH152" s="110">
        <f>COUNTIF(postDEL!$AR$2:$AR694,AG152)</f>
        <v>0</v>
      </c>
      <c r="AI152" s="204"/>
      <c r="AK152" s="200"/>
      <c r="AN152" s="68" t="str">
        <f t="shared" si="5"/>
        <v/>
      </c>
      <c r="AO152" s="206" t="str">
        <f t="shared" si="7"/>
        <v/>
      </c>
      <c r="AS152" s="200"/>
      <c r="AT152" s="200"/>
      <c r="AU152" s="68"/>
      <c r="AV152" s="11"/>
      <c r="AW152" s="11"/>
      <c r="AX152" s="11"/>
      <c r="AY152" s="67"/>
      <c r="AZ152" s="204"/>
      <c r="BC152" s="68"/>
      <c r="BD152" s="68"/>
      <c r="BF152" s="200"/>
    </row>
    <row r="153">
      <c r="A153" s="11"/>
      <c r="B153" s="11"/>
      <c r="C153" s="11"/>
      <c r="D153" s="110">
        <f>COUNTIF(postDEL!$AR$2:$AR694,$C153)</f>
        <v>0</v>
      </c>
      <c r="E153" s="5" t="str">
        <f>CONCATENATE(Process!$A$1,F153)</f>
        <v>BEND260812</v>
      </c>
      <c r="F153" s="3">
        <v>260812.0</v>
      </c>
      <c r="G153" s="3"/>
      <c r="H153" s="3" t="s">
        <v>2382</v>
      </c>
      <c r="I153" s="13">
        <v>0.0</v>
      </c>
      <c r="J153" s="5"/>
      <c r="K153" s="199">
        <f>COUNTIF(postDEL!$AO$2:$AO694,$C153)</f>
        <v>0</v>
      </c>
      <c r="L153" s="212"/>
      <c r="M153" s="11" t="s">
        <v>2221</v>
      </c>
      <c r="N153" s="104" t="b">
        <f t="shared" si="1"/>
        <v>1</v>
      </c>
      <c r="O153" s="5" t="s">
        <v>2227</v>
      </c>
      <c r="P153" s="5" t="s">
        <v>2185</v>
      </c>
      <c r="R153" s="5"/>
      <c r="S153" s="5"/>
      <c r="T153" s="184"/>
      <c r="U153" s="5"/>
      <c r="V153" s="5"/>
      <c r="W153" s="5"/>
      <c r="Y153" s="201" t="str">
        <f t="shared" si="2"/>
        <v/>
      </c>
      <c r="Z153" s="200"/>
      <c r="AA153" s="201" t="s">
        <v>2382</v>
      </c>
      <c r="AB153" s="68">
        <f t="shared" si="3"/>
        <v>1</v>
      </c>
      <c r="AC153" s="210"/>
      <c r="AD153" s="68" t="str">
        <f t="shared" si="4"/>
        <v>NOT</v>
      </c>
      <c r="AE153" s="11"/>
      <c r="AF153" s="11"/>
      <c r="AG153" s="11"/>
      <c r="AH153" s="110">
        <f>COUNTIF(postDEL!$AR$2:$AR694,AG153)</f>
        <v>0</v>
      </c>
      <c r="AI153" s="204"/>
      <c r="AK153" s="200"/>
      <c r="AN153" s="68" t="str">
        <f t="shared" si="5"/>
        <v/>
      </c>
      <c r="AO153" s="206" t="str">
        <f t="shared" si="7"/>
        <v/>
      </c>
      <c r="AS153" s="200"/>
      <c r="AT153" s="200"/>
      <c r="AU153" s="68"/>
      <c r="AV153" s="11"/>
      <c r="AW153" s="11"/>
      <c r="AX153" s="11"/>
      <c r="AY153" s="67"/>
      <c r="AZ153" s="204"/>
      <c r="BC153" s="68"/>
      <c r="BD153" s="68"/>
      <c r="BF153" s="200"/>
    </row>
    <row r="154">
      <c r="A154" s="11"/>
      <c r="B154" s="11"/>
      <c r="C154" s="11"/>
      <c r="D154" s="110">
        <f>COUNTIF(postDEL!$AR$2:$AR694,$C154)</f>
        <v>0</v>
      </c>
      <c r="E154" s="5" t="str">
        <f>CONCATENATE(Process!$A$1,F154)</f>
        <v>BEND191568</v>
      </c>
      <c r="F154" s="3">
        <v>191568.0</v>
      </c>
      <c r="G154" s="3"/>
      <c r="H154" s="3" t="s">
        <v>2383</v>
      </c>
      <c r="I154" s="13">
        <v>0.0</v>
      </c>
      <c r="J154" s="5"/>
      <c r="K154" s="199">
        <f>COUNTIF(postDEL!$AO$2:$AO694,$C154)</f>
        <v>0</v>
      </c>
      <c r="L154" s="212"/>
      <c r="M154" s="11" t="s">
        <v>2221</v>
      </c>
      <c r="N154" s="104" t="b">
        <f t="shared" si="1"/>
        <v>1</v>
      </c>
      <c r="O154" s="5" t="s">
        <v>2227</v>
      </c>
      <c r="P154" s="5" t="s">
        <v>2185</v>
      </c>
      <c r="R154" s="5"/>
      <c r="S154" s="5"/>
      <c r="T154" s="184"/>
      <c r="U154" s="5"/>
      <c r="V154" s="5"/>
      <c r="W154" s="5"/>
      <c r="Y154" s="201" t="str">
        <f t="shared" si="2"/>
        <v/>
      </c>
      <c r="Z154" s="200"/>
      <c r="AA154" s="201" t="s">
        <v>2383</v>
      </c>
      <c r="AB154" s="68">
        <f t="shared" si="3"/>
        <v>1</v>
      </c>
      <c r="AC154" s="210"/>
      <c r="AD154" s="68" t="str">
        <f t="shared" si="4"/>
        <v>NOT</v>
      </c>
      <c r="AE154" s="11"/>
      <c r="AF154" s="11"/>
      <c r="AG154" s="11"/>
      <c r="AH154" s="110">
        <f>COUNTIF(postDEL!$AR$2:$AR694,AG154)</f>
        <v>0</v>
      </c>
      <c r="AI154" s="204"/>
      <c r="AK154" s="200"/>
      <c r="AN154" s="68" t="str">
        <f t="shared" si="5"/>
        <v/>
      </c>
      <c r="AO154" s="206" t="str">
        <f t="shared" si="7"/>
        <v/>
      </c>
      <c r="AS154" s="200"/>
      <c r="AT154" s="200"/>
      <c r="AU154" s="68"/>
      <c r="AV154" s="11"/>
      <c r="AW154" s="11"/>
      <c r="AX154" s="11"/>
      <c r="AY154" s="67"/>
      <c r="AZ154" s="204"/>
      <c r="BC154" s="68"/>
      <c r="BD154" s="68"/>
      <c r="BF154" s="200"/>
    </row>
    <row r="155">
      <c r="A155" s="11"/>
      <c r="B155" s="11"/>
      <c r="C155" s="11"/>
      <c r="D155" s="110">
        <f>COUNTIF(postDEL!$AR$2:$AR694,$C155)</f>
        <v>0</v>
      </c>
      <c r="E155" s="5" t="str">
        <f>CONCATENATE(Process!$A$1,F155)</f>
        <v>BEND923779</v>
      </c>
      <c r="F155" s="3">
        <v>923779.0</v>
      </c>
      <c r="G155" s="3"/>
      <c r="H155" s="3" t="s">
        <v>2384</v>
      </c>
      <c r="I155" s="13">
        <v>0.0</v>
      </c>
      <c r="J155" s="5"/>
      <c r="K155" s="199">
        <f>COUNTIF(postDEL!$AO$2:$AO694,$C155)</f>
        <v>0</v>
      </c>
      <c r="L155" s="212"/>
      <c r="M155" s="11" t="s">
        <v>2221</v>
      </c>
      <c r="N155" s="104" t="b">
        <f t="shared" si="1"/>
        <v>1</v>
      </c>
      <c r="O155" s="5" t="s">
        <v>2227</v>
      </c>
      <c r="P155" s="5" t="s">
        <v>2185</v>
      </c>
      <c r="R155" s="5"/>
      <c r="S155" s="5"/>
      <c r="T155" s="184"/>
      <c r="U155" s="5"/>
      <c r="V155" s="5"/>
      <c r="W155" s="5"/>
      <c r="Y155" s="201" t="str">
        <f t="shared" si="2"/>
        <v/>
      </c>
      <c r="Z155" s="200"/>
      <c r="AA155" s="201" t="s">
        <v>2384</v>
      </c>
      <c r="AB155" s="68">
        <f t="shared" si="3"/>
        <v>1</v>
      </c>
      <c r="AC155" s="210"/>
      <c r="AD155" s="68" t="str">
        <f t="shared" si="4"/>
        <v>NOT</v>
      </c>
      <c r="AE155" s="11"/>
      <c r="AF155" s="11"/>
      <c r="AG155" s="11"/>
      <c r="AH155" s="110">
        <f>COUNTIF(postDEL!$AR$2:$AR694,AG155)</f>
        <v>0</v>
      </c>
      <c r="AI155" s="204"/>
      <c r="AK155" s="200"/>
      <c r="AN155" s="68" t="str">
        <f t="shared" si="5"/>
        <v/>
      </c>
      <c r="AO155" s="206" t="str">
        <f t="shared" si="7"/>
        <v/>
      </c>
      <c r="AS155" s="200"/>
      <c r="AT155" s="200"/>
      <c r="AU155" s="68"/>
      <c r="AV155" s="11"/>
      <c r="AW155" s="11"/>
      <c r="AX155" s="11"/>
      <c r="AY155" s="67"/>
      <c r="AZ155" s="204"/>
      <c r="BC155" s="68"/>
      <c r="BD155" s="68"/>
      <c r="BF155" s="200"/>
    </row>
    <row r="156">
      <c r="A156" s="11"/>
      <c r="B156" s="11"/>
      <c r="C156" s="11"/>
      <c r="D156" s="110">
        <f>COUNTIF(postDEL!$AR$2:$AR694,$C156)</f>
        <v>0</v>
      </c>
      <c r="E156" s="5" t="str">
        <f>CONCATENATE(Process!$A$1,F156)</f>
        <v>BEND278730</v>
      </c>
      <c r="F156" s="3">
        <v>278730.0</v>
      </c>
      <c r="G156" s="3"/>
      <c r="H156" s="3" t="s">
        <v>2385</v>
      </c>
      <c r="I156" s="13">
        <v>0.0</v>
      </c>
      <c r="J156" s="5"/>
      <c r="K156" s="199">
        <f>COUNTIF(postDEL!$AO$2:$AO694,$C156)</f>
        <v>0</v>
      </c>
      <c r="L156" s="212"/>
      <c r="M156" s="11" t="s">
        <v>2221</v>
      </c>
      <c r="N156" s="104" t="b">
        <f t="shared" si="1"/>
        <v>1</v>
      </c>
      <c r="O156" s="5" t="s">
        <v>2227</v>
      </c>
      <c r="P156" s="5" t="s">
        <v>2185</v>
      </c>
      <c r="R156" s="5"/>
      <c r="S156" s="5"/>
      <c r="T156" s="184"/>
      <c r="U156" s="5"/>
      <c r="V156" s="5"/>
      <c r="W156" s="5"/>
      <c r="Y156" s="201" t="str">
        <f t="shared" si="2"/>
        <v/>
      </c>
      <c r="Z156" s="200"/>
      <c r="AA156" s="201" t="s">
        <v>2385</v>
      </c>
      <c r="AB156" s="68">
        <f t="shared" si="3"/>
        <v>1</v>
      </c>
      <c r="AC156" s="210"/>
      <c r="AD156" s="68" t="str">
        <f t="shared" si="4"/>
        <v>NOT</v>
      </c>
      <c r="AE156" s="11"/>
      <c r="AF156" s="11"/>
      <c r="AG156" s="11"/>
      <c r="AH156" s="110">
        <f>COUNTIF(postDEL!$AR$2:$AR694,AG156)</f>
        <v>0</v>
      </c>
      <c r="AI156" s="204"/>
      <c r="AK156" s="200"/>
      <c r="AN156" s="68" t="str">
        <f t="shared" si="5"/>
        <v/>
      </c>
      <c r="AO156" s="206" t="str">
        <f t="shared" si="7"/>
        <v/>
      </c>
      <c r="AS156" s="200"/>
      <c r="AT156" s="200"/>
      <c r="AU156" s="68"/>
      <c r="AV156" s="11"/>
      <c r="AW156" s="11"/>
      <c r="AX156" s="11"/>
      <c r="AY156" s="67"/>
      <c r="AZ156" s="204"/>
      <c r="BC156" s="68"/>
      <c r="BD156" s="68"/>
      <c r="BF156" s="200"/>
    </row>
    <row r="157">
      <c r="A157" s="11"/>
      <c r="B157" s="11"/>
      <c r="C157" s="11"/>
      <c r="D157" s="110">
        <f>COUNTIF(postDEL!$AR$2:$AR694,$C157)</f>
        <v>0</v>
      </c>
      <c r="E157" s="5" t="str">
        <f>CONCATENATE(Process!$A$1,F157)</f>
        <v>BEND273259</v>
      </c>
      <c r="F157" s="3">
        <v>273259.0</v>
      </c>
      <c r="G157" s="3"/>
      <c r="H157" s="3" t="s">
        <v>2386</v>
      </c>
      <c r="I157" s="13">
        <v>0.0</v>
      </c>
      <c r="J157" s="5"/>
      <c r="K157" s="199">
        <f>COUNTIF(postDEL!$AO$2:$AO694,$C157)</f>
        <v>0</v>
      </c>
      <c r="L157" s="212"/>
      <c r="M157" s="11" t="s">
        <v>2221</v>
      </c>
      <c r="N157" s="104" t="b">
        <f t="shared" si="1"/>
        <v>1</v>
      </c>
      <c r="O157" s="5" t="s">
        <v>2222</v>
      </c>
      <c r="P157" s="5" t="s">
        <v>2223</v>
      </c>
      <c r="R157" s="5"/>
      <c r="S157" s="5" t="s">
        <v>2224</v>
      </c>
      <c r="T157" s="184"/>
      <c r="U157" s="5"/>
      <c r="V157" s="5"/>
      <c r="W157" s="5"/>
      <c r="Y157" s="201" t="str">
        <f t="shared" si="2"/>
        <v/>
      </c>
      <c r="Z157" s="200"/>
      <c r="AA157" s="201" t="s">
        <v>2386</v>
      </c>
      <c r="AB157" s="68">
        <f t="shared" si="3"/>
        <v>1</v>
      </c>
      <c r="AC157" s="210"/>
      <c r="AD157" s="68" t="str">
        <f t="shared" si="4"/>
        <v>NOT</v>
      </c>
      <c r="AE157" s="11"/>
      <c r="AF157" s="11"/>
      <c r="AG157" s="11"/>
      <c r="AH157" s="110">
        <f>COUNTIF(postDEL!$AR$2:$AR694,AG157)</f>
        <v>0</v>
      </c>
      <c r="AI157" s="204"/>
      <c r="AK157" s="200"/>
      <c r="AN157" s="68" t="str">
        <f t="shared" si="5"/>
        <v/>
      </c>
      <c r="AO157" s="206" t="str">
        <f t="shared" si="7"/>
        <v/>
      </c>
      <c r="AS157" s="200"/>
      <c r="AT157" s="200"/>
      <c r="AU157" s="68"/>
      <c r="AV157" s="11"/>
      <c r="AW157" s="11"/>
      <c r="AX157" s="11"/>
      <c r="AY157" s="67"/>
      <c r="AZ157" s="204"/>
      <c r="BC157" s="68"/>
      <c r="BD157" s="68"/>
      <c r="BF157" s="200"/>
    </row>
    <row r="158">
      <c r="A158" s="11"/>
      <c r="B158" s="11"/>
      <c r="C158" s="11"/>
      <c r="D158" s="110">
        <f>COUNTIF(postDEL!$AR$2:$AR694,$C158)</f>
        <v>0</v>
      </c>
      <c r="E158" s="5" t="str">
        <f>CONCATENATE(Process!$A$1,F158)</f>
        <v>BEND949070</v>
      </c>
      <c r="F158" s="3">
        <v>949070.0</v>
      </c>
      <c r="G158" s="3"/>
      <c r="H158" s="3" t="s">
        <v>2387</v>
      </c>
      <c r="I158" s="13">
        <v>0.0</v>
      </c>
      <c r="J158" s="5"/>
      <c r="K158" s="199">
        <f>COUNTIF(postDEL!$AO$2:$AO694,$C158)</f>
        <v>0</v>
      </c>
      <c r="L158" s="212"/>
      <c r="M158" s="11" t="s">
        <v>2221</v>
      </c>
      <c r="N158" s="104" t="b">
        <f t="shared" si="1"/>
        <v>1</v>
      </c>
      <c r="O158" s="5" t="s">
        <v>2222</v>
      </c>
      <c r="P158" s="5" t="s">
        <v>2223</v>
      </c>
      <c r="R158" s="5"/>
      <c r="S158" s="5" t="s">
        <v>2224</v>
      </c>
      <c r="T158" s="184">
        <v>44564.0</v>
      </c>
      <c r="U158" s="5"/>
      <c r="V158" s="5"/>
      <c r="W158" s="5"/>
      <c r="Y158" s="201" t="str">
        <f t="shared" si="2"/>
        <v/>
      </c>
      <c r="Z158" s="200"/>
      <c r="AA158" s="201" t="s">
        <v>2387</v>
      </c>
      <c r="AB158" s="68">
        <f t="shared" si="3"/>
        <v>1</v>
      </c>
      <c r="AC158" s="210"/>
      <c r="AD158" s="68" t="str">
        <f t="shared" si="4"/>
        <v>NOT</v>
      </c>
      <c r="AE158" s="11"/>
      <c r="AF158" s="11"/>
      <c r="AG158" s="11"/>
      <c r="AH158" s="110">
        <f>COUNTIF(postDEL!$AR$2:$AR694,AG158)</f>
        <v>0</v>
      </c>
      <c r="AI158" s="204"/>
      <c r="AK158" s="200"/>
      <c r="AN158" s="68" t="str">
        <f t="shared" si="5"/>
        <v/>
      </c>
      <c r="AO158" s="206" t="str">
        <f t="shared" si="7"/>
        <v/>
      </c>
      <c r="AS158" s="200"/>
      <c r="AT158" s="200"/>
      <c r="AU158" s="68"/>
      <c r="AV158" s="11"/>
      <c r="AW158" s="11"/>
      <c r="AX158" s="11"/>
      <c r="AY158" s="67"/>
      <c r="AZ158" s="204"/>
      <c r="BC158" s="68"/>
      <c r="BD158" s="68"/>
      <c r="BF158" s="200"/>
    </row>
    <row r="159">
      <c r="A159" s="11"/>
      <c r="B159" s="11"/>
      <c r="C159" s="11"/>
      <c r="D159" s="110">
        <f>COUNTIF(postDEL!$AR$2:$AR694,$C159)</f>
        <v>0</v>
      </c>
      <c r="E159" s="5" t="str">
        <f>CONCATENATE(Process!$A$1,F159)</f>
        <v>BEND688166</v>
      </c>
      <c r="F159" s="3">
        <v>688166.0</v>
      </c>
      <c r="G159" s="3"/>
      <c r="H159" s="3" t="s">
        <v>2388</v>
      </c>
      <c r="I159" s="13">
        <v>0.0</v>
      </c>
      <c r="J159" s="5"/>
      <c r="K159" s="199">
        <f>COUNTIF(postDEL!$AO$2:$AO694,$C159)</f>
        <v>0</v>
      </c>
      <c r="L159" s="212"/>
      <c r="M159" s="11" t="s">
        <v>2221</v>
      </c>
      <c r="N159" s="104" t="b">
        <f t="shared" si="1"/>
        <v>1</v>
      </c>
      <c r="O159" s="5" t="s">
        <v>2227</v>
      </c>
      <c r="P159" s="5" t="s">
        <v>2185</v>
      </c>
      <c r="R159" s="5"/>
      <c r="S159" s="5"/>
      <c r="T159" s="184">
        <v>44587.0</v>
      </c>
      <c r="U159" s="5"/>
      <c r="V159" s="5"/>
      <c r="W159" s="5"/>
      <c r="Y159" s="201" t="str">
        <f t="shared" si="2"/>
        <v/>
      </c>
      <c r="Z159" s="200"/>
      <c r="AA159" s="201" t="s">
        <v>2388</v>
      </c>
      <c r="AB159" s="68">
        <f t="shared" si="3"/>
        <v>1</v>
      </c>
      <c r="AC159" s="210"/>
      <c r="AD159" s="68" t="str">
        <f t="shared" si="4"/>
        <v>NOT</v>
      </c>
      <c r="AE159" s="11"/>
      <c r="AF159" s="11"/>
      <c r="AG159" s="11"/>
      <c r="AH159" s="110">
        <f>COUNTIF(postDEL!$AR$2:$AR694,AG159)</f>
        <v>0</v>
      </c>
      <c r="AI159" s="204"/>
      <c r="AK159" s="200"/>
      <c r="AN159" s="68" t="str">
        <f t="shared" si="5"/>
        <v/>
      </c>
      <c r="AO159" s="206" t="str">
        <f t="shared" si="7"/>
        <v/>
      </c>
      <c r="AS159" s="200"/>
      <c r="AT159" s="200"/>
      <c r="AU159" s="68"/>
      <c r="AV159" s="11"/>
      <c r="AW159" s="11"/>
      <c r="AX159" s="11"/>
      <c r="AY159" s="67"/>
      <c r="AZ159" s="204"/>
      <c r="BC159" s="68"/>
      <c r="BD159" s="68"/>
      <c r="BF159" s="200"/>
    </row>
    <row r="160">
      <c r="A160" s="11"/>
      <c r="B160" s="11"/>
      <c r="C160" s="11"/>
      <c r="D160" s="110">
        <f>COUNTIF(postDEL!$AR$2:$AR694,$C160)</f>
        <v>0</v>
      </c>
      <c r="E160" s="5" t="str">
        <f>CONCATENATE(Process!$A$1,F160)</f>
        <v>BEND842997</v>
      </c>
      <c r="F160" s="3">
        <v>842997.0</v>
      </c>
      <c r="G160" s="3"/>
      <c r="H160" s="3" t="s">
        <v>2389</v>
      </c>
      <c r="I160" s="13">
        <v>0.0</v>
      </c>
      <c r="J160" s="5"/>
      <c r="K160" s="199">
        <f>COUNTIF(postDEL!$AO$2:$AO694,$C160)</f>
        <v>0</v>
      </c>
      <c r="L160" s="212"/>
      <c r="M160" s="11" t="s">
        <v>2221</v>
      </c>
      <c r="N160" s="104" t="b">
        <f t="shared" si="1"/>
        <v>1</v>
      </c>
      <c r="O160" s="5" t="s">
        <v>2222</v>
      </c>
      <c r="P160" s="5" t="s">
        <v>2223</v>
      </c>
      <c r="R160" s="5"/>
      <c r="S160" s="5" t="s">
        <v>2224</v>
      </c>
      <c r="T160" s="184"/>
      <c r="U160" s="5"/>
      <c r="V160" s="5"/>
      <c r="W160" s="5"/>
      <c r="Y160" s="201" t="str">
        <f t="shared" si="2"/>
        <v/>
      </c>
      <c r="Z160" s="200"/>
      <c r="AA160" s="201" t="s">
        <v>2389</v>
      </c>
      <c r="AB160" s="68">
        <f t="shared" si="3"/>
        <v>1</v>
      </c>
      <c r="AC160" s="210"/>
      <c r="AD160" s="68" t="str">
        <f t="shared" si="4"/>
        <v>NOT</v>
      </c>
      <c r="AE160" s="11"/>
      <c r="AF160" s="11"/>
      <c r="AG160" s="11"/>
      <c r="AH160" s="110">
        <f>COUNTIF(postDEL!$AR$2:$AR694,AG160)</f>
        <v>0</v>
      </c>
      <c r="AI160" s="204"/>
      <c r="AK160" s="200"/>
      <c r="AN160" s="68" t="str">
        <f t="shared" si="5"/>
        <v/>
      </c>
      <c r="AO160" s="206" t="str">
        <f t="shared" si="7"/>
        <v/>
      </c>
      <c r="AS160" s="200"/>
      <c r="AT160" s="200"/>
      <c r="AU160" s="68"/>
      <c r="AV160" s="11"/>
      <c r="AW160" s="11"/>
      <c r="AX160" s="11"/>
      <c r="AY160" s="67"/>
      <c r="AZ160" s="204"/>
      <c r="BC160" s="68"/>
      <c r="BD160" s="68"/>
      <c r="BF160" s="200"/>
    </row>
    <row r="161">
      <c r="A161" s="11"/>
      <c r="B161" s="11"/>
      <c r="C161" s="11"/>
      <c r="D161" s="110">
        <f>COUNTIF(postDEL!$AR$2:$AR694,$C161)</f>
        <v>0</v>
      </c>
      <c r="E161" s="5" t="str">
        <f>CONCATENATE(Process!$A$1,F161)</f>
        <v>BEND219101</v>
      </c>
      <c r="F161" s="3">
        <v>219101.0</v>
      </c>
      <c r="G161" s="3"/>
      <c r="H161" s="3" t="s">
        <v>2390</v>
      </c>
      <c r="I161" s="13">
        <v>0.0</v>
      </c>
      <c r="J161" s="5"/>
      <c r="K161" s="199">
        <f>COUNTIF(postDEL!$AO$2:$AO694,$C161)</f>
        <v>0</v>
      </c>
      <c r="L161" s="212"/>
      <c r="M161" s="11" t="s">
        <v>2221</v>
      </c>
      <c r="N161" s="104" t="b">
        <f t="shared" si="1"/>
        <v>1</v>
      </c>
      <c r="O161" s="5" t="s">
        <v>2222</v>
      </c>
      <c r="P161" s="5" t="s">
        <v>2223</v>
      </c>
      <c r="R161" s="5"/>
      <c r="S161" s="5" t="s">
        <v>2224</v>
      </c>
      <c r="T161" s="184"/>
      <c r="U161" s="5"/>
      <c r="V161" s="5"/>
      <c r="W161" s="5"/>
      <c r="Y161" s="201" t="str">
        <f t="shared" si="2"/>
        <v/>
      </c>
      <c r="Z161" s="200"/>
      <c r="AA161" s="201" t="s">
        <v>2390</v>
      </c>
      <c r="AB161" s="68">
        <f t="shared" si="3"/>
        <v>1</v>
      </c>
      <c r="AC161" s="210"/>
      <c r="AD161" s="68" t="str">
        <f t="shared" si="4"/>
        <v>NOT</v>
      </c>
      <c r="AE161" s="11"/>
      <c r="AF161" s="11"/>
      <c r="AG161" s="11"/>
      <c r="AH161" s="110">
        <f>COUNTIF(postDEL!$AR$2:$AR694,AG161)</f>
        <v>0</v>
      </c>
      <c r="AI161" s="204"/>
      <c r="AK161" s="200"/>
      <c r="AN161" s="68" t="str">
        <f t="shared" si="5"/>
        <v/>
      </c>
      <c r="AO161" s="206" t="str">
        <f t="shared" si="7"/>
        <v/>
      </c>
      <c r="AS161" s="200"/>
      <c r="AT161" s="200"/>
      <c r="AU161" s="68"/>
      <c r="AV161" s="11"/>
      <c r="AW161" s="11"/>
      <c r="AX161" s="11"/>
      <c r="AY161" s="67"/>
      <c r="AZ161" s="204"/>
      <c r="BC161" s="68"/>
      <c r="BD161" s="68"/>
      <c r="BF161" s="200"/>
    </row>
    <row r="162">
      <c r="A162" s="11"/>
      <c r="B162" s="11"/>
      <c r="C162" s="11"/>
      <c r="D162" s="110">
        <f>COUNTIF(postDEL!$AR$2:$AR694,$C162)</f>
        <v>0</v>
      </c>
      <c r="E162" s="5" t="str">
        <f>CONCATENATE(Process!$A$1,F162)</f>
        <v>BEND245390</v>
      </c>
      <c r="F162" s="3">
        <v>245390.0</v>
      </c>
      <c r="G162" s="3"/>
      <c r="H162" s="3" t="s">
        <v>2391</v>
      </c>
      <c r="I162" s="13">
        <v>0.0</v>
      </c>
      <c r="J162" s="5"/>
      <c r="K162" s="199">
        <f>COUNTIF(postDEL!$AO$2:$AO694,$C162)</f>
        <v>0</v>
      </c>
      <c r="L162" s="212"/>
      <c r="M162" s="11" t="s">
        <v>2221</v>
      </c>
      <c r="N162" s="104" t="b">
        <f t="shared" si="1"/>
        <v>1</v>
      </c>
      <c r="O162" s="5" t="s">
        <v>2227</v>
      </c>
      <c r="P162" s="5" t="s">
        <v>2185</v>
      </c>
      <c r="R162" s="5"/>
      <c r="S162" s="5"/>
      <c r="T162" s="184"/>
      <c r="U162" s="5"/>
      <c r="V162" s="5"/>
      <c r="W162" s="5"/>
      <c r="Y162" s="201" t="str">
        <f t="shared" si="2"/>
        <v/>
      </c>
      <c r="Z162" s="200"/>
      <c r="AA162" s="201" t="s">
        <v>2391</v>
      </c>
      <c r="AB162" s="68">
        <f t="shared" si="3"/>
        <v>1</v>
      </c>
      <c r="AC162" s="210"/>
      <c r="AD162" s="68" t="str">
        <f t="shared" si="4"/>
        <v>NOT</v>
      </c>
      <c r="AE162" s="11"/>
      <c r="AF162" s="11"/>
      <c r="AG162" s="11"/>
      <c r="AH162" s="110">
        <f>COUNTIF(postDEL!$AR$2:$AR694,AG162)</f>
        <v>0</v>
      </c>
      <c r="AI162" s="204"/>
      <c r="AK162" s="200"/>
      <c r="AN162" s="68" t="str">
        <f t="shared" si="5"/>
        <v/>
      </c>
      <c r="AO162" s="206" t="str">
        <f t="shared" si="7"/>
        <v/>
      </c>
      <c r="AS162" s="200"/>
      <c r="AT162" s="200"/>
      <c r="AU162" s="68"/>
      <c r="AV162" s="11"/>
      <c r="AW162" s="11"/>
      <c r="AX162" s="11"/>
      <c r="AY162" s="67"/>
      <c r="AZ162" s="204"/>
      <c r="BC162" s="68"/>
      <c r="BD162" s="68"/>
      <c r="BF162" s="200"/>
    </row>
    <row r="163">
      <c r="A163" s="11"/>
      <c r="B163" s="11"/>
      <c r="C163" s="11"/>
      <c r="D163" s="110">
        <f>COUNTIF(postDEL!$AR$2:$AR694,$C163)</f>
        <v>0</v>
      </c>
      <c r="E163" s="5" t="str">
        <f>CONCATENATE(Process!$A$1,F163)</f>
        <v>BEND873094</v>
      </c>
      <c r="F163" s="3">
        <v>873094.0</v>
      </c>
      <c r="G163" s="3"/>
      <c r="H163" s="3" t="s">
        <v>2392</v>
      </c>
      <c r="I163" s="13">
        <v>0.0</v>
      </c>
      <c r="J163" s="5"/>
      <c r="K163" s="199">
        <f>COUNTIF(postDEL!$AO$2:$AO694,$C163)</f>
        <v>0</v>
      </c>
      <c r="L163" s="212"/>
      <c r="M163" s="11" t="s">
        <v>2221</v>
      </c>
      <c r="N163" s="104" t="b">
        <f t="shared" si="1"/>
        <v>1</v>
      </c>
      <c r="O163" s="5" t="s">
        <v>2222</v>
      </c>
      <c r="P163" s="5" t="s">
        <v>2223</v>
      </c>
      <c r="R163" s="5"/>
      <c r="S163" s="5" t="s">
        <v>2224</v>
      </c>
      <c r="T163" s="184"/>
      <c r="U163" s="5"/>
      <c r="V163" s="5"/>
      <c r="W163" s="5"/>
      <c r="Y163" s="201" t="str">
        <f t="shared" si="2"/>
        <v/>
      </c>
      <c r="Z163" s="200"/>
      <c r="AA163" s="201" t="s">
        <v>2392</v>
      </c>
      <c r="AB163" s="68">
        <f t="shared" si="3"/>
        <v>1</v>
      </c>
      <c r="AC163" s="210"/>
      <c r="AD163" s="68" t="str">
        <f t="shared" si="4"/>
        <v>NOT</v>
      </c>
      <c r="AE163" s="11"/>
      <c r="AF163" s="11"/>
      <c r="AG163" s="11"/>
      <c r="AH163" s="110">
        <f>COUNTIF(postDEL!$AR$2:$AR694,AG163)</f>
        <v>0</v>
      </c>
      <c r="AI163" s="204"/>
      <c r="AK163" s="200"/>
      <c r="AN163" s="68" t="str">
        <f t="shared" si="5"/>
        <v/>
      </c>
      <c r="AO163" s="206" t="str">
        <f t="shared" si="7"/>
        <v/>
      </c>
      <c r="AS163" s="200"/>
      <c r="AT163" s="200"/>
      <c r="AU163" s="68"/>
      <c r="AV163" s="11"/>
      <c r="AW163" s="11"/>
      <c r="AX163" s="11"/>
      <c r="AY163" s="67"/>
      <c r="AZ163" s="204"/>
      <c r="BC163" s="68"/>
      <c r="BD163" s="68"/>
      <c r="BF163" s="200"/>
    </row>
    <row r="164">
      <c r="A164" s="11"/>
      <c r="B164" s="11"/>
      <c r="C164" s="11"/>
      <c r="D164" s="110">
        <f>COUNTIF(postDEL!$AR$2:$AR694,$C164)</f>
        <v>0</v>
      </c>
      <c r="E164" s="5" t="str">
        <f>CONCATENATE(Process!$A$1,F164)</f>
        <v>BEND741633</v>
      </c>
      <c r="F164" s="3">
        <v>741633.0</v>
      </c>
      <c r="G164" s="3"/>
      <c r="H164" s="3" t="s">
        <v>2393</v>
      </c>
      <c r="I164" s="13">
        <v>0.0</v>
      </c>
      <c r="J164" s="5"/>
      <c r="K164" s="199">
        <f>COUNTIF(postDEL!$AO$2:$AO694,$C164)</f>
        <v>0</v>
      </c>
      <c r="L164" s="212"/>
      <c r="M164" s="11" t="s">
        <v>2221</v>
      </c>
      <c r="N164" s="104" t="b">
        <f t="shared" si="1"/>
        <v>1</v>
      </c>
      <c r="O164" s="5" t="s">
        <v>2222</v>
      </c>
      <c r="P164" s="5" t="s">
        <v>2223</v>
      </c>
      <c r="R164" s="5"/>
      <c r="S164" s="5" t="s">
        <v>2224</v>
      </c>
      <c r="T164" s="184"/>
      <c r="U164" s="5"/>
      <c r="V164" s="5"/>
      <c r="W164" s="5"/>
      <c r="Y164" s="201" t="str">
        <f t="shared" si="2"/>
        <v/>
      </c>
      <c r="Z164" s="200"/>
      <c r="AA164" s="201" t="s">
        <v>2393</v>
      </c>
      <c r="AB164" s="68">
        <f t="shared" si="3"/>
        <v>1</v>
      </c>
      <c r="AC164" s="210"/>
      <c r="AD164" s="68" t="str">
        <f t="shared" si="4"/>
        <v>NOT</v>
      </c>
      <c r="AE164" s="11"/>
      <c r="AF164" s="11"/>
      <c r="AG164" s="11"/>
      <c r="AH164" s="110">
        <f>COUNTIF(postDEL!$AR$2:$AR694,AG164)</f>
        <v>0</v>
      </c>
      <c r="AI164" s="204"/>
      <c r="AK164" s="200"/>
      <c r="AN164" s="68" t="str">
        <f t="shared" si="5"/>
        <v/>
      </c>
      <c r="AO164" s="206" t="str">
        <f t="shared" si="7"/>
        <v/>
      </c>
      <c r="AS164" s="200"/>
      <c r="AT164" s="200"/>
      <c r="AU164" s="68"/>
      <c r="AV164" s="11"/>
      <c r="AW164" s="11"/>
      <c r="AX164" s="11"/>
      <c r="AY164" s="67"/>
      <c r="AZ164" s="204"/>
      <c r="BC164" s="68"/>
      <c r="BD164" s="68"/>
      <c r="BF164" s="200"/>
    </row>
    <row r="165">
      <c r="A165" s="11"/>
      <c r="B165" s="11"/>
      <c r="C165" s="11"/>
      <c r="D165" s="110">
        <f>COUNTIF(postDEL!$AR$2:$AR694,$C165)</f>
        <v>0</v>
      </c>
      <c r="E165" s="5" t="str">
        <f>CONCATENATE(Process!$A$1,F165)</f>
        <v>BEND654549</v>
      </c>
      <c r="F165" s="3">
        <v>654549.0</v>
      </c>
      <c r="G165" s="3"/>
      <c r="H165" s="3" t="s">
        <v>2394</v>
      </c>
      <c r="I165" s="13">
        <v>0.0</v>
      </c>
      <c r="J165" s="5"/>
      <c r="K165" s="199">
        <f>COUNTIF(postDEL!$AO$2:$AO694,$C165)</f>
        <v>0</v>
      </c>
      <c r="L165" s="212"/>
      <c r="M165" s="11" t="s">
        <v>2221</v>
      </c>
      <c r="N165" s="104" t="b">
        <f t="shared" si="1"/>
        <v>1</v>
      </c>
      <c r="O165" s="5" t="s">
        <v>2227</v>
      </c>
      <c r="P165" s="5" t="s">
        <v>2185</v>
      </c>
      <c r="R165" s="5"/>
      <c r="S165" s="5"/>
      <c r="T165" s="184"/>
      <c r="U165" s="5"/>
      <c r="V165" s="5"/>
      <c r="W165" s="5"/>
      <c r="Y165" s="201" t="str">
        <f t="shared" si="2"/>
        <v/>
      </c>
      <c r="Z165" s="200"/>
      <c r="AA165" s="201" t="s">
        <v>2394</v>
      </c>
      <c r="AB165" s="68">
        <f t="shared" si="3"/>
        <v>1</v>
      </c>
      <c r="AC165" s="210"/>
      <c r="AD165" s="68" t="str">
        <f t="shared" si="4"/>
        <v>NOT</v>
      </c>
      <c r="AE165" s="11"/>
      <c r="AF165" s="11"/>
      <c r="AG165" s="11"/>
      <c r="AH165" s="110">
        <f>COUNTIF(postDEL!$AR$2:$AR694,AG165)</f>
        <v>0</v>
      </c>
      <c r="AI165" s="204"/>
      <c r="AK165" s="200"/>
      <c r="AN165" s="68" t="str">
        <f t="shared" si="5"/>
        <v/>
      </c>
      <c r="AO165" s="206" t="str">
        <f t="shared" si="7"/>
        <v/>
      </c>
      <c r="AS165" s="200"/>
      <c r="AT165" s="200"/>
      <c r="AU165" s="68"/>
      <c r="AV165" s="11"/>
      <c r="AW165" s="11"/>
      <c r="AX165" s="11"/>
      <c r="AY165" s="67"/>
      <c r="AZ165" s="204"/>
      <c r="BC165" s="68"/>
      <c r="BD165" s="68"/>
      <c r="BF165" s="200"/>
    </row>
    <row r="166">
      <c r="A166" s="11"/>
      <c r="B166" s="11"/>
      <c r="C166" s="11"/>
      <c r="D166" s="110">
        <f>COUNTIF(postDEL!$AR$2:$AR694,$C166)</f>
        <v>0</v>
      </c>
      <c r="E166" s="5" t="str">
        <f>CONCATENATE(Process!$A$1,F166)</f>
        <v>BEND282080</v>
      </c>
      <c r="F166" s="3">
        <v>282080.0</v>
      </c>
      <c r="G166" s="3"/>
      <c r="H166" s="3" t="s">
        <v>2395</v>
      </c>
      <c r="I166" s="13">
        <v>0.0</v>
      </c>
      <c r="J166" s="5"/>
      <c r="K166" s="199">
        <f>COUNTIF(postDEL!$AO$2:$AO694,$C166)</f>
        <v>0</v>
      </c>
      <c r="L166" s="212"/>
      <c r="M166" s="11" t="s">
        <v>2221</v>
      </c>
      <c r="N166" s="104" t="b">
        <f t="shared" si="1"/>
        <v>1</v>
      </c>
      <c r="O166" s="5" t="s">
        <v>2227</v>
      </c>
      <c r="P166" s="5" t="s">
        <v>2185</v>
      </c>
      <c r="R166" s="5"/>
      <c r="S166" s="5"/>
      <c r="T166" s="184"/>
      <c r="U166" s="5"/>
      <c r="V166" s="5"/>
      <c r="W166" s="5"/>
      <c r="Y166" s="201" t="str">
        <f t="shared" si="2"/>
        <v/>
      </c>
      <c r="Z166" s="200"/>
      <c r="AA166" s="201" t="s">
        <v>2395</v>
      </c>
      <c r="AB166" s="68">
        <f t="shared" si="3"/>
        <v>1</v>
      </c>
      <c r="AC166" s="210"/>
      <c r="AD166" s="68" t="str">
        <f t="shared" si="4"/>
        <v>NOT</v>
      </c>
      <c r="AE166" s="11"/>
      <c r="AF166" s="11"/>
      <c r="AG166" s="11"/>
      <c r="AH166" s="110">
        <f>COUNTIF(postDEL!$AR$2:$AR694,AG166)</f>
        <v>0</v>
      </c>
      <c r="AI166" s="204"/>
      <c r="AK166" s="200"/>
      <c r="AN166" s="68" t="str">
        <f t="shared" si="5"/>
        <v/>
      </c>
      <c r="AO166" s="206" t="str">
        <f t="shared" si="7"/>
        <v/>
      </c>
      <c r="AS166" s="200"/>
      <c r="AT166" s="200"/>
      <c r="AU166" s="68"/>
      <c r="AV166" s="11"/>
      <c r="AW166" s="11"/>
      <c r="AX166" s="11"/>
      <c r="AY166" s="67"/>
      <c r="AZ166" s="204"/>
      <c r="BC166" s="68"/>
      <c r="BD166" s="68"/>
      <c r="BF166" s="200"/>
    </row>
    <row r="167">
      <c r="A167" s="11"/>
      <c r="B167" s="11"/>
      <c r="C167" s="11"/>
      <c r="D167" s="110">
        <f>COUNTIF(postDEL!$AR$2:$AR694,$C167)</f>
        <v>0</v>
      </c>
      <c r="E167" s="5" t="str">
        <f>CONCATENATE(Process!$A$1,F167)</f>
        <v>BEND200214</v>
      </c>
      <c r="F167" s="3">
        <v>200214.0</v>
      </c>
      <c r="G167" s="3"/>
      <c r="H167" s="3" t="s">
        <v>2396</v>
      </c>
      <c r="I167" s="13">
        <v>0.0</v>
      </c>
      <c r="J167" s="5"/>
      <c r="K167" s="199">
        <f>COUNTIF(postDEL!$AO$2:$AO694,$C167)</f>
        <v>0</v>
      </c>
      <c r="L167" s="212"/>
      <c r="M167" s="11" t="s">
        <v>2221</v>
      </c>
      <c r="N167" s="104" t="b">
        <f t="shared" si="1"/>
        <v>1</v>
      </c>
      <c r="O167" s="5" t="s">
        <v>2222</v>
      </c>
      <c r="P167" s="5" t="s">
        <v>2223</v>
      </c>
      <c r="R167" s="5"/>
      <c r="S167" s="5" t="s">
        <v>2224</v>
      </c>
      <c r="T167" s="184"/>
      <c r="U167" s="5"/>
      <c r="V167" s="5"/>
      <c r="W167" s="5"/>
      <c r="Y167" s="201" t="str">
        <f t="shared" si="2"/>
        <v/>
      </c>
      <c r="Z167" s="200"/>
      <c r="AA167" s="201" t="s">
        <v>2396</v>
      </c>
      <c r="AB167" s="68">
        <f t="shared" si="3"/>
        <v>1</v>
      </c>
      <c r="AC167" s="210"/>
      <c r="AD167" s="68" t="str">
        <f t="shared" si="4"/>
        <v>NOT</v>
      </c>
      <c r="AE167" s="11"/>
      <c r="AF167" s="11"/>
      <c r="AG167" s="11"/>
      <c r="AH167" s="110">
        <f>COUNTIF(postDEL!$AR$2:$AR694,AG167)</f>
        <v>0</v>
      </c>
      <c r="AI167" s="204"/>
      <c r="AK167" s="200"/>
      <c r="AN167" s="68" t="str">
        <f t="shared" si="5"/>
        <v/>
      </c>
      <c r="AO167" s="206" t="str">
        <f t="shared" si="7"/>
        <v/>
      </c>
      <c r="AS167" s="200"/>
      <c r="AT167" s="200"/>
      <c r="AU167" s="68"/>
      <c r="AV167" s="11"/>
      <c r="AW167" s="11"/>
      <c r="AX167" s="11"/>
      <c r="AY167" s="67"/>
      <c r="AZ167" s="204"/>
      <c r="BC167" s="68"/>
      <c r="BD167" s="68"/>
      <c r="BF167" s="200"/>
    </row>
    <row r="168">
      <c r="A168" s="11"/>
      <c r="B168" s="11"/>
      <c r="C168" s="11"/>
      <c r="D168" s="110">
        <f>COUNTIF(postDEL!$AR$2:$AR694,$C168)</f>
        <v>0</v>
      </c>
      <c r="E168" s="5" t="str">
        <f>CONCATENATE(Process!$A$1,F168)</f>
        <v>BEND494971</v>
      </c>
      <c r="F168" s="3">
        <v>494971.0</v>
      </c>
      <c r="G168" s="3"/>
      <c r="H168" s="3" t="s">
        <v>2397</v>
      </c>
      <c r="I168" s="13">
        <v>0.0</v>
      </c>
      <c r="J168" s="5"/>
      <c r="K168" s="199">
        <f>COUNTIF(postDEL!$AO$2:$AO694,$C168)</f>
        <v>0</v>
      </c>
      <c r="L168" s="212"/>
      <c r="M168" s="11" t="s">
        <v>2221</v>
      </c>
      <c r="N168" s="104" t="b">
        <f t="shared" si="1"/>
        <v>1</v>
      </c>
      <c r="O168" s="5" t="s">
        <v>2222</v>
      </c>
      <c r="P168" s="5" t="s">
        <v>2223</v>
      </c>
      <c r="R168" s="5"/>
      <c r="S168" s="5" t="s">
        <v>2249</v>
      </c>
      <c r="T168" s="184"/>
      <c r="U168" s="5"/>
      <c r="V168" s="5"/>
      <c r="W168" s="5"/>
      <c r="Y168" s="201" t="str">
        <f t="shared" si="2"/>
        <v/>
      </c>
      <c r="Z168" s="200"/>
      <c r="AA168" s="201" t="s">
        <v>2397</v>
      </c>
      <c r="AB168" s="68">
        <f t="shared" si="3"/>
        <v>1</v>
      </c>
      <c r="AC168" s="210"/>
      <c r="AD168" s="68" t="str">
        <f t="shared" si="4"/>
        <v>NOT</v>
      </c>
      <c r="AE168" s="11"/>
      <c r="AF168" s="11"/>
      <c r="AG168" s="11"/>
      <c r="AH168" s="110">
        <f>COUNTIF(postDEL!$AR$2:$AR694,AG168)</f>
        <v>0</v>
      </c>
      <c r="AI168" s="204"/>
      <c r="AK168" s="200"/>
      <c r="AN168" s="68" t="str">
        <f t="shared" si="5"/>
        <v/>
      </c>
      <c r="AO168" s="206" t="str">
        <f t="shared" si="7"/>
        <v/>
      </c>
      <c r="AS168" s="200"/>
      <c r="AT168" s="200"/>
      <c r="AU168" s="68"/>
      <c r="AV168" s="11"/>
      <c r="AW168" s="11"/>
      <c r="AX168" s="11"/>
      <c r="AY168" s="67"/>
      <c r="AZ168" s="204"/>
      <c r="BC168" s="68"/>
      <c r="BD168" s="68"/>
      <c r="BF168" s="200"/>
    </row>
    <row r="169">
      <c r="A169" s="11"/>
      <c r="B169" s="11"/>
      <c r="C169" s="11"/>
      <c r="D169" s="110">
        <f>COUNTIF(postDEL!$AR$2:$AR694,$C169)</f>
        <v>0</v>
      </c>
      <c r="E169" s="5" t="str">
        <f>CONCATENATE(Process!$A$1,F169)</f>
        <v>BEND249479</v>
      </c>
      <c r="F169" s="3">
        <v>249479.0</v>
      </c>
      <c r="G169" s="3"/>
      <c r="H169" s="3" t="s">
        <v>2398</v>
      </c>
      <c r="I169" s="13">
        <v>0.0</v>
      </c>
      <c r="J169" s="5"/>
      <c r="K169" s="199">
        <f>COUNTIF(postDEL!$AO$2:$AO694,$C169)</f>
        <v>0</v>
      </c>
      <c r="L169" s="212"/>
      <c r="M169" s="11" t="s">
        <v>2221</v>
      </c>
      <c r="N169" s="104" t="b">
        <f t="shared" si="1"/>
        <v>1</v>
      </c>
      <c r="O169" s="5" t="s">
        <v>2222</v>
      </c>
      <c r="P169" s="5" t="s">
        <v>2223</v>
      </c>
      <c r="R169" s="5"/>
      <c r="S169" s="5" t="s">
        <v>2224</v>
      </c>
      <c r="T169" s="184"/>
      <c r="U169" s="5"/>
      <c r="V169" s="5"/>
      <c r="W169" s="5"/>
      <c r="Y169" s="201" t="str">
        <f t="shared" si="2"/>
        <v/>
      </c>
      <c r="Z169" s="200"/>
      <c r="AA169" s="201" t="s">
        <v>2398</v>
      </c>
      <c r="AB169" s="68">
        <f t="shared" si="3"/>
        <v>1</v>
      </c>
      <c r="AC169" s="210"/>
      <c r="AD169" s="68" t="str">
        <f t="shared" si="4"/>
        <v>NOT</v>
      </c>
      <c r="AE169" s="11"/>
      <c r="AF169" s="11"/>
      <c r="AG169" s="11"/>
      <c r="AH169" s="110">
        <f>COUNTIF(postDEL!$AR$2:$AR694,AG169)</f>
        <v>0</v>
      </c>
      <c r="AI169" s="204"/>
      <c r="AK169" s="200"/>
      <c r="AN169" s="68" t="str">
        <f t="shared" si="5"/>
        <v/>
      </c>
      <c r="AO169" s="206" t="str">
        <f t="shared" si="7"/>
        <v/>
      </c>
      <c r="AS169" s="200"/>
      <c r="AT169" s="200"/>
      <c r="AU169" s="68"/>
      <c r="AV169" s="11"/>
      <c r="AW169" s="11"/>
      <c r="AX169" s="11"/>
      <c r="AY169" s="67"/>
      <c r="AZ169" s="204"/>
      <c r="BC169" s="68"/>
      <c r="BD169" s="68"/>
      <c r="BF169" s="200"/>
    </row>
    <row r="170">
      <c r="A170" s="11"/>
      <c r="B170" s="11"/>
      <c r="C170" s="11"/>
      <c r="D170" s="110">
        <f>COUNTIF(postDEL!$AR$2:$AR694,$C170)</f>
        <v>0</v>
      </c>
      <c r="E170" s="5" t="str">
        <f>CONCATENATE(Process!$A$1,F170)</f>
        <v>BEND517250</v>
      </c>
      <c r="F170" s="3">
        <v>517250.0</v>
      </c>
      <c r="G170" s="3"/>
      <c r="H170" s="3" t="s">
        <v>2399</v>
      </c>
      <c r="I170" s="13">
        <v>0.0</v>
      </c>
      <c r="J170" s="5"/>
      <c r="K170" s="199">
        <f>COUNTIF(postDEL!$AO$2:$AO694,$C170)</f>
        <v>0</v>
      </c>
      <c r="L170" s="212"/>
      <c r="M170" s="11" t="s">
        <v>2221</v>
      </c>
      <c r="N170" s="104" t="b">
        <f t="shared" si="1"/>
        <v>1</v>
      </c>
      <c r="O170" s="5" t="s">
        <v>2222</v>
      </c>
      <c r="P170" s="5" t="s">
        <v>2223</v>
      </c>
      <c r="R170" s="5"/>
      <c r="S170" s="5" t="s">
        <v>2249</v>
      </c>
      <c r="T170" s="184">
        <v>44615.0</v>
      </c>
      <c r="U170" s="5"/>
      <c r="V170" s="5"/>
      <c r="W170" s="5"/>
      <c r="Y170" s="201" t="str">
        <f t="shared" si="2"/>
        <v/>
      </c>
      <c r="Z170" s="200"/>
      <c r="AA170" s="201" t="s">
        <v>2399</v>
      </c>
      <c r="AB170" s="68">
        <f t="shared" si="3"/>
        <v>1</v>
      </c>
      <c r="AC170" s="210"/>
      <c r="AD170" s="68" t="str">
        <f t="shared" si="4"/>
        <v>NOT</v>
      </c>
      <c r="AE170" s="11"/>
      <c r="AF170" s="11"/>
      <c r="AG170" s="11"/>
      <c r="AH170" s="110">
        <f>COUNTIF(postDEL!$AR$2:$AR694,AG170)</f>
        <v>0</v>
      </c>
      <c r="AI170" s="204"/>
      <c r="AK170" s="200"/>
      <c r="AN170" s="68" t="str">
        <f t="shared" si="5"/>
        <v/>
      </c>
      <c r="AO170" s="206" t="str">
        <f t="shared" si="7"/>
        <v/>
      </c>
      <c r="AS170" s="200"/>
      <c r="AT170" s="200"/>
      <c r="AU170" s="68"/>
      <c r="AV170" s="11"/>
      <c r="AW170" s="11"/>
      <c r="AX170" s="11"/>
      <c r="AY170" s="67"/>
      <c r="AZ170" s="204"/>
      <c r="BC170" s="68"/>
      <c r="BD170" s="68"/>
      <c r="BF170" s="200"/>
    </row>
    <row r="171">
      <c r="A171" s="11"/>
      <c r="B171" s="11"/>
      <c r="C171" s="11"/>
      <c r="D171" s="110">
        <f>COUNTIF(postDEL!$AR$2:$AR694,$C171)</f>
        <v>0</v>
      </c>
      <c r="E171" s="5" t="str">
        <f>CONCATENATE(Process!$A$1,F171)</f>
        <v>BEND389048</v>
      </c>
      <c r="F171" s="3">
        <v>389048.0</v>
      </c>
      <c r="G171" s="3"/>
      <c r="H171" s="3" t="s">
        <v>2400</v>
      </c>
      <c r="I171" s="13">
        <v>0.0</v>
      </c>
      <c r="J171" s="5"/>
      <c r="K171" s="199">
        <f>COUNTIF(postDEL!$AO$2:$AO694,$C171)</f>
        <v>0</v>
      </c>
      <c r="L171" s="212"/>
      <c r="M171" s="11" t="s">
        <v>2221</v>
      </c>
      <c r="N171" s="105" t="b">
        <f t="shared" si="1"/>
        <v>1</v>
      </c>
      <c r="O171" s="5" t="s">
        <v>2227</v>
      </c>
      <c r="P171" s="5" t="s">
        <v>2185</v>
      </c>
      <c r="R171" s="5"/>
      <c r="S171" s="5"/>
      <c r="T171" s="184">
        <v>44615.0</v>
      </c>
      <c r="U171" s="5"/>
      <c r="V171" s="5"/>
      <c r="W171" s="5"/>
      <c r="Y171" s="201" t="str">
        <f t="shared" si="2"/>
        <v/>
      </c>
      <c r="Z171" s="200"/>
      <c r="AA171" s="201" t="s">
        <v>2400</v>
      </c>
      <c r="AB171" s="68">
        <f t="shared" si="3"/>
        <v>1</v>
      </c>
      <c r="AC171" s="210"/>
      <c r="AD171" s="68" t="str">
        <f t="shared" si="4"/>
        <v>NOT</v>
      </c>
      <c r="AE171" s="11"/>
      <c r="AF171" s="11"/>
      <c r="AG171" s="11"/>
      <c r="AH171" s="110">
        <f>COUNTIF(postDEL!$AR$2:$AR694,AG171)</f>
        <v>0</v>
      </c>
      <c r="AI171" s="204"/>
      <c r="AK171" s="200"/>
      <c r="AN171" s="68" t="str">
        <f t="shared" si="5"/>
        <v/>
      </c>
      <c r="AO171" s="206" t="str">
        <f t="shared" si="7"/>
        <v/>
      </c>
      <c r="AS171" s="200"/>
      <c r="AT171" s="200"/>
      <c r="AU171" s="68"/>
      <c r="AV171" s="11"/>
      <c r="AW171" s="11"/>
      <c r="AX171" s="11"/>
      <c r="AY171" s="67"/>
      <c r="AZ171" s="204"/>
      <c r="BC171" s="68"/>
      <c r="BD171" s="68"/>
      <c r="BF171" s="200"/>
    </row>
    <row r="172">
      <c r="A172" s="11"/>
      <c r="B172" s="11"/>
      <c r="C172" s="11"/>
      <c r="D172" s="110">
        <f>COUNTIF(postDEL!$AR$2:$AR694,$C172)</f>
        <v>0</v>
      </c>
      <c r="E172" s="5" t="str">
        <f>CONCATENATE(Process!$A$1,F172)</f>
        <v>BEND373460</v>
      </c>
      <c r="F172" s="3">
        <v>373460.0</v>
      </c>
      <c r="G172" s="3"/>
      <c r="H172" s="3" t="s">
        <v>2401</v>
      </c>
      <c r="I172" s="13">
        <v>0.0</v>
      </c>
      <c r="J172" s="5"/>
      <c r="K172" s="199">
        <f>COUNTIF(postDEL!$AO$2:$AO694,$C172)</f>
        <v>0</v>
      </c>
      <c r="L172" s="212"/>
      <c r="M172" s="11" t="s">
        <v>2221</v>
      </c>
      <c r="N172" s="105" t="b">
        <f t="shared" si="1"/>
        <v>1</v>
      </c>
      <c r="O172" s="5" t="s">
        <v>2222</v>
      </c>
      <c r="P172" s="5" t="s">
        <v>2223</v>
      </c>
      <c r="R172" s="5"/>
      <c r="S172" s="5" t="s">
        <v>2224</v>
      </c>
      <c r="T172" s="184">
        <v>44582.0</v>
      </c>
      <c r="U172" s="5"/>
      <c r="V172" s="5"/>
      <c r="W172" s="5"/>
      <c r="Y172" s="201" t="str">
        <f t="shared" si="2"/>
        <v/>
      </c>
      <c r="Z172" s="200"/>
      <c r="AA172" s="201" t="s">
        <v>2401</v>
      </c>
      <c r="AB172" s="68">
        <f t="shared" si="3"/>
        <v>1</v>
      </c>
      <c r="AC172" s="210"/>
      <c r="AD172" s="68" t="str">
        <f t="shared" si="4"/>
        <v>NOT</v>
      </c>
      <c r="AE172" s="11"/>
      <c r="AF172" s="11"/>
      <c r="AG172" s="11"/>
      <c r="AH172" s="110">
        <f>COUNTIF(postDEL!$AR$2:$AR694,AG172)</f>
        <v>0</v>
      </c>
      <c r="AI172" s="204"/>
      <c r="AK172" s="200"/>
      <c r="AN172" s="68" t="str">
        <f t="shared" si="5"/>
        <v/>
      </c>
      <c r="AO172" s="206" t="str">
        <f t="shared" si="7"/>
        <v/>
      </c>
      <c r="AS172" s="200"/>
      <c r="AT172" s="200"/>
      <c r="AU172" s="68"/>
      <c r="AV172" s="11"/>
      <c r="AW172" s="11"/>
      <c r="AX172" s="11"/>
      <c r="AY172" s="67"/>
      <c r="AZ172" s="204"/>
      <c r="BC172" s="68"/>
      <c r="BD172" s="68"/>
      <c r="BF172" s="200"/>
    </row>
    <row r="173">
      <c r="A173" s="11"/>
      <c r="B173" s="11"/>
      <c r="C173" s="11"/>
      <c r="D173" s="110">
        <f>COUNTIF(postDEL!$AR$2:$AR694,$C173)</f>
        <v>0</v>
      </c>
      <c r="E173" s="5" t="str">
        <f>CONCATENATE(Process!$A$1,F173)</f>
        <v>BEND245933</v>
      </c>
      <c r="F173" s="3">
        <v>245933.0</v>
      </c>
      <c r="G173" s="3"/>
      <c r="H173" s="3" t="s">
        <v>2402</v>
      </c>
      <c r="I173" s="13">
        <v>0.0</v>
      </c>
      <c r="J173" s="5"/>
      <c r="K173" s="199">
        <f>COUNTIF(postDEL!$AO$2:$AO694,$C173)</f>
        <v>0</v>
      </c>
      <c r="L173" s="212"/>
      <c r="M173" s="11" t="s">
        <v>2221</v>
      </c>
      <c r="N173" s="105" t="b">
        <f t="shared" si="1"/>
        <v>1</v>
      </c>
      <c r="O173" s="5" t="s">
        <v>2222</v>
      </c>
      <c r="P173" s="5" t="s">
        <v>2223</v>
      </c>
      <c r="R173" s="5"/>
      <c r="S173" s="5" t="s">
        <v>2249</v>
      </c>
      <c r="T173" s="184">
        <v>44579.0</v>
      </c>
      <c r="U173" s="5"/>
      <c r="V173" s="5"/>
      <c r="W173" s="5"/>
      <c r="Y173" s="201" t="str">
        <f t="shared" si="2"/>
        <v/>
      </c>
      <c r="Z173" s="200"/>
      <c r="AA173" s="201" t="s">
        <v>2402</v>
      </c>
      <c r="AB173" s="68">
        <f t="shared" si="3"/>
        <v>1</v>
      </c>
      <c r="AC173" s="210"/>
      <c r="AD173" s="68" t="str">
        <f t="shared" si="4"/>
        <v>NOT</v>
      </c>
      <c r="AE173" s="11"/>
      <c r="AF173" s="11"/>
      <c r="AG173" s="11"/>
      <c r="AH173" s="110">
        <f>COUNTIF(postDEL!$AR$2:$AR694,AG173)</f>
        <v>0</v>
      </c>
      <c r="AI173" s="204"/>
      <c r="AK173" s="200"/>
      <c r="AN173" s="68" t="str">
        <f t="shared" si="5"/>
        <v/>
      </c>
      <c r="AO173" s="206" t="str">
        <f t="shared" si="7"/>
        <v/>
      </c>
      <c r="AS173" s="200"/>
      <c r="AT173" s="200"/>
      <c r="AU173" s="68"/>
      <c r="AV173" s="11"/>
      <c r="AW173" s="11"/>
      <c r="AX173" s="11"/>
      <c r="AY173" s="67"/>
      <c r="AZ173" s="204"/>
      <c r="BC173" s="68"/>
      <c r="BD173" s="68"/>
      <c r="BF173" s="200"/>
    </row>
    <row r="174">
      <c r="A174" s="11"/>
      <c r="B174" s="11"/>
      <c r="C174" s="11"/>
      <c r="D174" s="110">
        <f>COUNTIF(postDEL!$AR$2:$AR694,$C174)</f>
        <v>0</v>
      </c>
      <c r="E174" s="5" t="str">
        <f>CONCATENATE(Process!$A$1,F174)</f>
        <v>BEND196623</v>
      </c>
      <c r="F174" s="3">
        <v>196623.0</v>
      </c>
      <c r="G174" s="3"/>
      <c r="H174" s="3" t="s">
        <v>2403</v>
      </c>
      <c r="I174" s="13">
        <v>0.0</v>
      </c>
      <c r="J174" s="5"/>
      <c r="K174" s="199">
        <f>COUNTIF(postDEL!$AO$2:$AO694,$C174)</f>
        <v>0</v>
      </c>
      <c r="L174" s="212"/>
      <c r="M174" s="11" t="s">
        <v>2221</v>
      </c>
      <c r="N174" s="105" t="b">
        <f t="shared" si="1"/>
        <v>1</v>
      </c>
      <c r="O174" s="5" t="s">
        <v>2222</v>
      </c>
      <c r="P174" s="5" t="s">
        <v>2223</v>
      </c>
      <c r="R174" s="5"/>
      <c r="S174" s="5" t="s">
        <v>2224</v>
      </c>
      <c r="T174" s="184"/>
      <c r="U174" s="5"/>
      <c r="V174" s="5"/>
      <c r="W174" s="5"/>
      <c r="Y174" s="201" t="str">
        <f t="shared" si="2"/>
        <v/>
      </c>
      <c r="Z174" s="200"/>
      <c r="AA174" s="201" t="s">
        <v>2403</v>
      </c>
      <c r="AB174" s="68">
        <f t="shared" si="3"/>
        <v>1</v>
      </c>
      <c r="AC174" s="210"/>
      <c r="AD174" s="68" t="str">
        <f t="shared" si="4"/>
        <v>NOT</v>
      </c>
      <c r="AE174" s="11"/>
      <c r="AF174" s="11"/>
      <c r="AG174" s="11"/>
      <c r="AH174" s="110">
        <f>COUNTIF(postDEL!$AR$2:$AR694,AG174)</f>
        <v>0</v>
      </c>
      <c r="AI174" s="204"/>
      <c r="AK174" s="200"/>
      <c r="AN174" s="68" t="str">
        <f t="shared" si="5"/>
        <v/>
      </c>
      <c r="AO174" s="206" t="str">
        <f t="shared" si="7"/>
        <v/>
      </c>
      <c r="AS174" s="200"/>
      <c r="AT174" s="200"/>
      <c r="AU174" s="68"/>
      <c r="AV174" s="11"/>
      <c r="AW174" s="11"/>
      <c r="AX174" s="11"/>
      <c r="AY174" s="67"/>
      <c r="AZ174" s="204"/>
      <c r="BC174" s="68"/>
      <c r="BD174" s="68"/>
      <c r="BF174" s="200"/>
    </row>
    <row r="175">
      <c r="A175" s="11"/>
      <c r="B175" s="11"/>
      <c r="C175" s="11"/>
      <c r="D175" s="110">
        <f>COUNTIF(postDEL!$AR$2:$AR694,$C175)</f>
        <v>0</v>
      </c>
      <c r="E175" s="5" t="str">
        <f>CONCATENATE(Process!$A$1,F175)</f>
        <v>BEND682107</v>
      </c>
      <c r="F175" s="3">
        <v>682107.0</v>
      </c>
      <c r="G175" s="3"/>
      <c r="H175" s="3" t="s">
        <v>2404</v>
      </c>
      <c r="I175" s="13">
        <v>0.0</v>
      </c>
      <c r="J175" s="5"/>
      <c r="K175" s="199">
        <f>COUNTIF(postDEL!$AO$2:$AO694,$C175)</f>
        <v>0</v>
      </c>
      <c r="L175" s="212"/>
      <c r="M175" s="11" t="s">
        <v>2221</v>
      </c>
      <c r="N175" s="105" t="b">
        <f t="shared" si="1"/>
        <v>1</v>
      </c>
      <c r="O175" s="5" t="s">
        <v>2227</v>
      </c>
      <c r="P175" s="5" t="s">
        <v>2185</v>
      </c>
      <c r="R175" s="5"/>
      <c r="S175" s="5"/>
      <c r="T175" s="184">
        <v>44604.0</v>
      </c>
      <c r="U175" s="5"/>
      <c r="V175" s="5"/>
      <c r="W175" s="5"/>
      <c r="Y175" s="201" t="str">
        <f t="shared" si="2"/>
        <v/>
      </c>
      <c r="Z175" s="200"/>
      <c r="AA175" s="201" t="s">
        <v>2404</v>
      </c>
      <c r="AB175" s="68">
        <f t="shared" si="3"/>
        <v>1</v>
      </c>
      <c r="AC175" s="210"/>
      <c r="AD175" s="68" t="str">
        <f t="shared" si="4"/>
        <v>NOT</v>
      </c>
      <c r="AE175" s="11"/>
      <c r="AF175" s="11"/>
      <c r="AG175" s="11"/>
      <c r="AH175" s="110">
        <f>COUNTIF(postDEL!$AR$2:$AR694,AG175)</f>
        <v>0</v>
      </c>
      <c r="AI175" s="204"/>
      <c r="AK175" s="200"/>
      <c r="AN175" s="68" t="str">
        <f t="shared" si="5"/>
        <v/>
      </c>
      <c r="AO175" s="206" t="str">
        <f t="shared" si="7"/>
        <v/>
      </c>
      <c r="AS175" s="200"/>
      <c r="AT175" s="200"/>
      <c r="AU175" s="68"/>
      <c r="AV175" s="11"/>
      <c r="AW175" s="11"/>
      <c r="AX175" s="11"/>
      <c r="AY175" s="67"/>
      <c r="AZ175" s="204"/>
      <c r="BC175" s="68"/>
      <c r="BD175" s="68"/>
      <c r="BF175" s="200"/>
    </row>
    <row r="176">
      <c r="A176" s="11"/>
      <c r="B176" s="11"/>
      <c r="C176" s="11"/>
      <c r="D176" s="110">
        <f>COUNTIF(postDEL!$AR$2:$AR694,$C176)</f>
        <v>0</v>
      </c>
      <c r="E176" s="5" t="str">
        <f>CONCATENATE(Process!$A$1,F176)</f>
        <v>BEND350468</v>
      </c>
      <c r="F176" s="3">
        <v>350468.0</v>
      </c>
      <c r="G176" s="3"/>
      <c r="H176" s="3" t="s">
        <v>2405</v>
      </c>
      <c r="I176" s="13">
        <v>0.0</v>
      </c>
      <c r="J176" s="5"/>
      <c r="K176" s="199">
        <f>COUNTIF(postDEL!$AO$2:$AO694,$C176)</f>
        <v>0</v>
      </c>
      <c r="L176" s="212"/>
      <c r="M176" s="11" t="s">
        <v>2221</v>
      </c>
      <c r="N176" s="105" t="b">
        <f t="shared" si="1"/>
        <v>1</v>
      </c>
      <c r="O176" s="5" t="s">
        <v>2222</v>
      </c>
      <c r="P176" s="5" t="s">
        <v>2223</v>
      </c>
      <c r="R176" s="5"/>
      <c r="S176" s="5" t="s">
        <v>2224</v>
      </c>
      <c r="T176" s="184"/>
      <c r="U176" s="5"/>
      <c r="V176" s="5"/>
      <c r="W176" s="5"/>
      <c r="Y176" s="201" t="str">
        <f t="shared" si="2"/>
        <v/>
      </c>
      <c r="Z176" s="200"/>
      <c r="AA176" s="201" t="s">
        <v>2405</v>
      </c>
      <c r="AB176" s="68">
        <f t="shared" si="3"/>
        <v>1</v>
      </c>
      <c r="AC176" s="210"/>
      <c r="AD176" s="68" t="str">
        <f t="shared" si="4"/>
        <v>NOT</v>
      </c>
      <c r="AE176" s="11"/>
      <c r="AF176" s="11"/>
      <c r="AG176" s="11"/>
      <c r="AH176" s="110">
        <f>COUNTIF(postDEL!$AR$2:$AR694,AG176)</f>
        <v>0</v>
      </c>
      <c r="AI176" s="204"/>
      <c r="AK176" s="200"/>
      <c r="AN176" s="68" t="str">
        <f t="shared" si="5"/>
        <v/>
      </c>
      <c r="AO176" s="206" t="str">
        <f t="shared" si="7"/>
        <v/>
      </c>
      <c r="AS176" s="200"/>
      <c r="AT176" s="200"/>
      <c r="AU176" s="68"/>
      <c r="AV176" s="11"/>
      <c r="AW176" s="11"/>
      <c r="AX176" s="11"/>
      <c r="AY176" s="67"/>
      <c r="AZ176" s="204"/>
      <c r="BC176" s="68"/>
      <c r="BD176" s="68"/>
      <c r="BF176" s="200"/>
    </row>
    <row r="177">
      <c r="A177" s="11"/>
      <c r="B177" s="11"/>
      <c r="C177" s="11"/>
      <c r="D177" s="110">
        <f>COUNTIF(postDEL!$AR$2:$AR694,$C177)</f>
        <v>0</v>
      </c>
      <c r="E177" s="5" t="str">
        <f>CONCATENATE(Process!$A$1,F177)</f>
        <v>BEND364074</v>
      </c>
      <c r="F177" s="3">
        <v>364074.0</v>
      </c>
      <c r="G177" s="3"/>
      <c r="H177" s="3" t="s">
        <v>2406</v>
      </c>
      <c r="I177" s="13">
        <v>0.0</v>
      </c>
      <c r="J177" s="5"/>
      <c r="K177" s="199">
        <f>COUNTIF(postDEL!$AO$2:$AO694,$C177)</f>
        <v>0</v>
      </c>
      <c r="L177" s="212"/>
      <c r="M177" s="11" t="s">
        <v>2221</v>
      </c>
      <c r="N177" s="105" t="b">
        <f t="shared" si="1"/>
        <v>1</v>
      </c>
      <c r="O177" s="5" t="s">
        <v>2222</v>
      </c>
      <c r="P177" s="5" t="s">
        <v>2223</v>
      </c>
      <c r="R177" s="5"/>
      <c r="S177" s="5" t="s">
        <v>2224</v>
      </c>
      <c r="T177" s="184">
        <v>44579.0</v>
      </c>
      <c r="U177" s="5"/>
      <c r="V177" s="5"/>
      <c r="W177" s="5"/>
      <c r="Y177" s="201" t="str">
        <f t="shared" si="2"/>
        <v/>
      </c>
      <c r="Z177" s="200"/>
      <c r="AA177" s="201" t="s">
        <v>2406</v>
      </c>
      <c r="AB177" s="68">
        <f t="shared" si="3"/>
        <v>1</v>
      </c>
      <c r="AC177" s="210"/>
      <c r="AD177" s="68" t="str">
        <f t="shared" si="4"/>
        <v>NOT</v>
      </c>
      <c r="AE177" s="11"/>
      <c r="AF177" s="11"/>
      <c r="AG177" s="11"/>
      <c r="AH177" s="110">
        <f>COUNTIF(postDEL!$AR$2:$AR694,AG177)</f>
        <v>0</v>
      </c>
      <c r="AI177" s="204"/>
      <c r="AK177" s="200"/>
      <c r="AN177" s="68" t="str">
        <f t="shared" si="5"/>
        <v/>
      </c>
      <c r="AO177" s="206" t="str">
        <f t="shared" si="7"/>
        <v/>
      </c>
      <c r="AS177" s="200"/>
      <c r="AT177" s="200"/>
      <c r="AU177" s="68"/>
      <c r="AV177" s="11"/>
      <c r="AW177" s="11"/>
      <c r="AX177" s="11"/>
      <c r="AY177" s="67"/>
      <c r="AZ177" s="204"/>
      <c r="BC177" s="68"/>
      <c r="BD177" s="68"/>
      <c r="BF177" s="200"/>
    </row>
    <row r="178">
      <c r="A178" s="11"/>
      <c r="B178" s="11"/>
      <c r="C178" s="11"/>
      <c r="D178" s="110">
        <f>COUNTIF(postDEL!$AR$2:$AR694,$C178)</f>
        <v>0</v>
      </c>
      <c r="E178" s="5" t="str">
        <f>CONCATENATE(Process!$A$1,F178)</f>
        <v>BEND829611</v>
      </c>
      <c r="F178" s="3">
        <v>829611.0</v>
      </c>
      <c r="G178" s="3"/>
      <c r="H178" s="3" t="s">
        <v>2407</v>
      </c>
      <c r="I178" s="13">
        <v>0.0</v>
      </c>
      <c r="J178" s="5"/>
      <c r="K178" s="199">
        <f>COUNTIF(postDEL!$AO$2:$AO694,$C178)</f>
        <v>0</v>
      </c>
      <c r="L178" s="212"/>
      <c r="M178" s="11" t="s">
        <v>2221</v>
      </c>
      <c r="N178" s="105" t="b">
        <f t="shared" si="1"/>
        <v>1</v>
      </c>
      <c r="O178" s="5" t="s">
        <v>2227</v>
      </c>
      <c r="P178" s="5"/>
      <c r="R178" s="5"/>
      <c r="S178" s="5"/>
      <c r="T178" s="184"/>
      <c r="U178" s="5"/>
      <c r="V178" s="5"/>
      <c r="W178" s="5"/>
      <c r="Y178" s="201" t="str">
        <f t="shared" si="2"/>
        <v/>
      </c>
      <c r="Z178" s="200"/>
      <c r="AA178" s="201" t="s">
        <v>2407</v>
      </c>
      <c r="AB178" s="68">
        <f t="shared" si="3"/>
        <v>1</v>
      </c>
      <c r="AC178" s="210"/>
      <c r="AD178" s="68" t="str">
        <f t="shared" si="4"/>
        <v>NOT</v>
      </c>
      <c r="AE178" s="11"/>
      <c r="AF178" s="11"/>
      <c r="AG178" s="11"/>
      <c r="AH178" s="110">
        <f>COUNTIF(postDEL!$AR$2:$AR694,AG178)</f>
        <v>0</v>
      </c>
      <c r="AI178" s="204"/>
      <c r="AK178" s="200"/>
      <c r="AN178" s="68" t="str">
        <f t="shared" si="5"/>
        <v/>
      </c>
      <c r="AO178" s="206" t="str">
        <f t="shared" si="7"/>
        <v/>
      </c>
      <c r="AS178" s="200"/>
      <c r="AT178" s="200"/>
      <c r="AU178" s="68"/>
      <c r="AV178" s="11"/>
      <c r="AW178" s="11"/>
      <c r="AX178" s="11"/>
      <c r="AY178" s="67"/>
      <c r="AZ178" s="204"/>
      <c r="BC178" s="68"/>
      <c r="BD178" s="68"/>
      <c r="BF178" s="200"/>
    </row>
    <row r="179">
      <c r="A179" s="11"/>
      <c r="B179" s="11"/>
      <c r="C179" s="11"/>
      <c r="D179" s="110">
        <f>COUNTIF(postDEL!$AR$2:$AR694,$C179)</f>
        <v>0</v>
      </c>
      <c r="E179" s="5" t="str">
        <f>CONCATENATE(Process!$A$1,F179)</f>
        <v>BEND651373</v>
      </c>
      <c r="F179" s="3">
        <v>651373.0</v>
      </c>
      <c r="G179" s="3"/>
      <c r="H179" s="3" t="s">
        <v>2408</v>
      </c>
      <c r="I179" s="13">
        <v>0.0</v>
      </c>
      <c r="J179" s="5"/>
      <c r="K179" s="199">
        <f>COUNTIF(postDEL!$AO$2:$AO694,$C179)</f>
        <v>0</v>
      </c>
      <c r="L179" s="212"/>
      <c r="M179" s="11" t="s">
        <v>2221</v>
      </c>
      <c r="N179" s="105" t="b">
        <f t="shared" si="1"/>
        <v>1</v>
      </c>
      <c r="O179" s="5" t="s">
        <v>2227</v>
      </c>
      <c r="P179" s="5"/>
      <c r="R179" s="5"/>
      <c r="S179" s="5"/>
      <c r="T179" s="184"/>
      <c r="U179" s="5"/>
      <c r="V179" s="5"/>
      <c r="W179" s="5"/>
      <c r="Y179" s="201" t="str">
        <f t="shared" si="2"/>
        <v/>
      </c>
      <c r="Z179" s="200"/>
      <c r="AA179" s="201" t="s">
        <v>2408</v>
      </c>
      <c r="AB179" s="68">
        <f t="shared" si="3"/>
        <v>1</v>
      </c>
      <c r="AC179" s="210"/>
      <c r="AD179" s="68" t="str">
        <f t="shared" si="4"/>
        <v>NOT</v>
      </c>
      <c r="AE179" s="11"/>
      <c r="AF179" s="11"/>
      <c r="AG179" s="11"/>
      <c r="AH179" s="110">
        <f>COUNTIF(postDEL!$AR$2:$AR694,AG179)</f>
        <v>0</v>
      </c>
      <c r="AI179" s="204"/>
      <c r="AK179" s="200"/>
      <c r="AN179" s="68" t="str">
        <f t="shared" si="5"/>
        <v/>
      </c>
      <c r="AO179" s="206" t="str">
        <f t="shared" si="7"/>
        <v/>
      </c>
      <c r="AS179" s="200"/>
      <c r="AT179" s="200"/>
      <c r="AU179" s="68"/>
      <c r="AV179" s="11"/>
      <c r="AW179" s="11"/>
      <c r="AX179" s="11"/>
      <c r="AY179" s="67"/>
      <c r="AZ179" s="204"/>
      <c r="BC179" s="68"/>
      <c r="BD179" s="68"/>
      <c r="BF179" s="200"/>
    </row>
    <row r="180">
      <c r="A180" s="11"/>
      <c r="B180" s="11"/>
      <c r="C180" s="11"/>
      <c r="D180" s="110">
        <f>COUNTIF(postDEL!$AR$2:$AR694,$C180)</f>
        <v>0</v>
      </c>
      <c r="E180" s="5" t="str">
        <f>CONCATENATE(Process!$A$1,F180)</f>
        <v>BEND109884</v>
      </c>
      <c r="F180" s="3">
        <v>109884.0</v>
      </c>
      <c r="G180" s="3"/>
      <c r="H180" s="3" t="s">
        <v>2409</v>
      </c>
      <c r="I180" s="13">
        <v>0.0</v>
      </c>
      <c r="J180" s="5"/>
      <c r="K180" s="199">
        <f>COUNTIF(postDEL!$AO$2:$AO694,$C180)</f>
        <v>0</v>
      </c>
      <c r="L180" s="212"/>
      <c r="M180" s="11" t="s">
        <v>2221</v>
      </c>
      <c r="N180" s="105" t="b">
        <f t="shared" si="1"/>
        <v>1</v>
      </c>
      <c r="O180" s="5" t="s">
        <v>2227</v>
      </c>
      <c r="P180" s="5"/>
      <c r="R180" s="5"/>
      <c r="S180" s="5"/>
      <c r="T180" s="184"/>
      <c r="U180" s="5"/>
      <c r="V180" s="5"/>
      <c r="W180" s="5"/>
      <c r="Y180" s="201" t="str">
        <f t="shared" si="2"/>
        <v/>
      </c>
      <c r="Z180" s="200"/>
      <c r="AA180" s="201" t="s">
        <v>2409</v>
      </c>
      <c r="AB180" s="68">
        <f t="shared" si="3"/>
        <v>1</v>
      </c>
      <c r="AC180" s="210"/>
      <c r="AD180" s="68" t="str">
        <f t="shared" si="4"/>
        <v>NOT</v>
      </c>
      <c r="AE180" s="11"/>
      <c r="AF180" s="11"/>
      <c r="AG180" s="11"/>
      <c r="AH180" s="110">
        <f>COUNTIF(postDEL!$AR$2:$AR694,AG180)</f>
        <v>0</v>
      </c>
      <c r="AI180" s="204"/>
      <c r="AK180" s="200"/>
      <c r="AN180" s="68" t="str">
        <f t="shared" si="5"/>
        <v/>
      </c>
      <c r="AO180" s="206" t="str">
        <f t="shared" si="7"/>
        <v/>
      </c>
      <c r="AS180" s="200"/>
      <c r="AT180" s="200"/>
      <c r="AU180" s="68"/>
      <c r="AV180" s="11"/>
      <c r="AW180" s="11"/>
      <c r="AX180" s="11"/>
      <c r="AY180" s="67"/>
      <c r="AZ180" s="204"/>
      <c r="BC180" s="68"/>
      <c r="BD180" s="68"/>
      <c r="BF180" s="200"/>
    </row>
    <row r="181">
      <c r="A181" s="11"/>
      <c r="B181" s="11"/>
      <c r="C181" s="11"/>
      <c r="D181" s="110">
        <f>COUNTIF(postDEL!$AR$2:$AR694,$C181)</f>
        <v>0</v>
      </c>
      <c r="E181" s="5" t="str">
        <f>CONCATENATE(Process!$A$1,F181)</f>
        <v>BEND318962</v>
      </c>
      <c r="F181" s="3">
        <v>318962.0</v>
      </c>
      <c r="G181" s="3"/>
      <c r="H181" s="3" t="s">
        <v>2410</v>
      </c>
      <c r="I181" s="13">
        <v>0.0</v>
      </c>
      <c r="J181" s="5"/>
      <c r="K181" s="199">
        <f>COUNTIF(postDEL!$AO$2:$AO694,$C181)</f>
        <v>0</v>
      </c>
      <c r="L181" s="212"/>
      <c r="M181" s="11" t="s">
        <v>2221</v>
      </c>
      <c r="N181" s="105" t="b">
        <f t="shared" si="1"/>
        <v>1</v>
      </c>
      <c r="O181" s="5" t="s">
        <v>2227</v>
      </c>
      <c r="P181" s="5"/>
      <c r="R181" s="5"/>
      <c r="S181" s="5"/>
      <c r="T181" s="184">
        <v>44582.0</v>
      </c>
      <c r="U181" s="5"/>
      <c r="V181" s="5"/>
      <c r="W181" s="5"/>
      <c r="Y181" s="201" t="str">
        <f t="shared" si="2"/>
        <v/>
      </c>
      <c r="Z181" s="200"/>
      <c r="AA181" s="201" t="s">
        <v>2410</v>
      </c>
      <c r="AB181" s="68">
        <f t="shared" si="3"/>
        <v>1</v>
      </c>
      <c r="AC181" s="210"/>
      <c r="AD181" s="68" t="str">
        <f t="shared" si="4"/>
        <v>NOT</v>
      </c>
      <c r="AE181" s="11"/>
      <c r="AF181" s="11"/>
      <c r="AG181" s="11"/>
      <c r="AH181" s="110">
        <f>COUNTIF(postDEL!$AR$2:$AR694,AG181)</f>
        <v>0</v>
      </c>
      <c r="AI181" s="204"/>
      <c r="AK181" s="200"/>
      <c r="AN181" s="68" t="str">
        <f t="shared" si="5"/>
        <v/>
      </c>
      <c r="AO181" s="206" t="str">
        <f t="shared" si="7"/>
        <v/>
      </c>
      <c r="AS181" s="200"/>
      <c r="AT181" s="200"/>
      <c r="AU181" s="68"/>
      <c r="AV181" s="11"/>
      <c r="AW181" s="11"/>
      <c r="AX181" s="11"/>
      <c r="AY181" s="67"/>
      <c r="AZ181" s="204"/>
      <c r="BC181" s="68"/>
      <c r="BD181" s="68"/>
      <c r="BF181" s="200"/>
    </row>
    <row r="182">
      <c r="A182" s="11"/>
      <c r="B182" s="11"/>
      <c r="C182" s="11"/>
      <c r="D182" s="110">
        <f>COUNTIF(postDEL!$AR$2:$AR694,$C182)</f>
        <v>0</v>
      </c>
      <c r="E182" s="5" t="str">
        <f>CONCATENATE(Process!$A$1,F182)</f>
        <v>BEND823331</v>
      </c>
      <c r="F182" s="3">
        <v>823331.0</v>
      </c>
      <c r="G182" s="3"/>
      <c r="H182" s="3" t="s">
        <v>2411</v>
      </c>
      <c r="I182" s="13">
        <v>0.0</v>
      </c>
      <c r="J182" s="5"/>
      <c r="K182" s="199">
        <f>COUNTIF(postDEL!$AO$2:$AO694,$C182)</f>
        <v>0</v>
      </c>
      <c r="L182" s="212"/>
      <c r="M182" s="11" t="s">
        <v>2221</v>
      </c>
      <c r="N182" s="105" t="b">
        <f t="shared" si="1"/>
        <v>1</v>
      </c>
      <c r="O182" s="5" t="s">
        <v>2227</v>
      </c>
      <c r="P182" s="5"/>
      <c r="R182" s="5"/>
      <c r="S182" s="5"/>
      <c r="T182" s="184"/>
      <c r="U182" s="5"/>
      <c r="V182" s="5"/>
      <c r="W182" s="5"/>
      <c r="Y182" s="201" t="str">
        <f t="shared" si="2"/>
        <v/>
      </c>
      <c r="Z182" s="200"/>
      <c r="AA182" s="201" t="s">
        <v>2411</v>
      </c>
      <c r="AB182" s="68">
        <f t="shared" si="3"/>
        <v>1</v>
      </c>
      <c r="AC182" s="210"/>
      <c r="AD182" s="68" t="str">
        <f t="shared" si="4"/>
        <v>NOT</v>
      </c>
      <c r="AE182" s="11"/>
      <c r="AF182" s="11"/>
      <c r="AG182" s="11"/>
      <c r="AH182" s="110">
        <f>COUNTIF(postDEL!$AR$2:$AR694,AG182)</f>
        <v>0</v>
      </c>
      <c r="AI182" s="204"/>
      <c r="AK182" s="200"/>
      <c r="AN182" s="68" t="str">
        <f t="shared" si="5"/>
        <v/>
      </c>
      <c r="AO182" s="206" t="str">
        <f t="shared" si="7"/>
        <v/>
      </c>
      <c r="AS182" s="200"/>
      <c r="AT182" s="200"/>
      <c r="AU182" s="68"/>
      <c r="AV182" s="11"/>
      <c r="AW182" s="11"/>
      <c r="AX182" s="11"/>
      <c r="AY182" s="67"/>
      <c r="AZ182" s="204"/>
      <c r="BC182" s="68"/>
      <c r="BD182" s="68"/>
      <c r="BF182" s="200"/>
    </row>
    <row r="183">
      <c r="A183" s="11"/>
      <c r="B183" s="11"/>
      <c r="C183" s="11"/>
      <c r="D183" s="110">
        <f>COUNTIF(postDEL!$AR$2:$AR694,$C183)</f>
        <v>0</v>
      </c>
      <c r="E183" s="5" t="str">
        <f>CONCATENATE(Process!$A$1,F183)</f>
        <v>BEND112877</v>
      </c>
      <c r="F183" s="3">
        <v>112877.0</v>
      </c>
      <c r="G183" s="3"/>
      <c r="H183" s="3" t="s">
        <v>2412</v>
      </c>
      <c r="I183" s="13">
        <v>0.0</v>
      </c>
      <c r="J183" s="5"/>
      <c r="K183" s="199">
        <f>COUNTIF(postDEL!$AO$2:$AO694,$C183)</f>
        <v>0</v>
      </c>
      <c r="L183" s="212"/>
      <c r="M183" s="11" t="s">
        <v>2221</v>
      </c>
      <c r="N183" s="105" t="b">
        <f t="shared" si="1"/>
        <v>1</v>
      </c>
      <c r="O183" s="5" t="s">
        <v>2227</v>
      </c>
      <c r="P183" s="5"/>
      <c r="R183" s="5"/>
      <c r="S183" s="5"/>
      <c r="T183" s="184">
        <v>44601.0</v>
      </c>
      <c r="U183" s="5"/>
      <c r="V183" s="5"/>
      <c r="W183" s="5"/>
      <c r="Y183" s="201" t="str">
        <f t="shared" si="2"/>
        <v/>
      </c>
      <c r="Z183" s="200"/>
      <c r="AA183" s="201" t="s">
        <v>2412</v>
      </c>
      <c r="AB183" s="68">
        <f t="shared" si="3"/>
        <v>1</v>
      </c>
      <c r="AC183" s="210"/>
      <c r="AD183" s="68" t="str">
        <f t="shared" si="4"/>
        <v>NOT</v>
      </c>
      <c r="AE183" s="11"/>
      <c r="AF183" s="11"/>
      <c r="AG183" s="11"/>
      <c r="AH183" s="110">
        <f>COUNTIF(postDEL!$AR$2:$AR694,AG183)</f>
        <v>0</v>
      </c>
      <c r="AI183" s="204"/>
      <c r="AK183" s="200"/>
      <c r="AN183" s="68" t="str">
        <f t="shared" si="5"/>
        <v/>
      </c>
      <c r="AO183" s="206" t="str">
        <f t="shared" si="7"/>
        <v/>
      </c>
      <c r="AS183" s="200"/>
      <c r="AT183" s="200"/>
      <c r="AU183" s="68"/>
      <c r="AV183" s="11"/>
      <c r="AW183" s="11"/>
      <c r="AX183" s="11"/>
      <c r="AY183" s="67"/>
      <c r="AZ183" s="204"/>
      <c r="BC183" s="68"/>
      <c r="BD183" s="68"/>
      <c r="BF183" s="200"/>
    </row>
    <row r="184">
      <c r="A184" s="11"/>
      <c r="B184" s="11"/>
      <c r="C184" s="11"/>
      <c r="D184" s="110">
        <f>COUNTIF(postDEL!$AR$2:$AR694,$C184)</f>
        <v>0</v>
      </c>
      <c r="E184" s="5" t="str">
        <f>CONCATENATE(Process!$A$1,F184)</f>
        <v>BEND596080</v>
      </c>
      <c r="F184" s="3">
        <v>596080.0</v>
      </c>
      <c r="G184" s="3"/>
      <c r="H184" s="3" t="s">
        <v>2413</v>
      </c>
      <c r="I184" s="13">
        <v>0.0</v>
      </c>
      <c r="J184" s="5"/>
      <c r="K184" s="199">
        <f>COUNTIF(postDEL!$AO$2:$AO694,$C184)</f>
        <v>0</v>
      </c>
      <c r="L184" s="212"/>
      <c r="M184" s="11" t="s">
        <v>2221</v>
      </c>
      <c r="N184" s="105" t="b">
        <f t="shared" si="1"/>
        <v>1</v>
      </c>
      <c r="O184" s="5" t="s">
        <v>2227</v>
      </c>
      <c r="P184" s="5" t="s">
        <v>2185</v>
      </c>
      <c r="R184" s="5"/>
      <c r="S184" s="5"/>
      <c r="T184" s="184"/>
      <c r="U184" s="5"/>
      <c r="V184" s="5"/>
      <c r="W184" s="5"/>
      <c r="Y184" s="201" t="str">
        <f t="shared" si="2"/>
        <v/>
      </c>
      <c r="Z184" s="200"/>
      <c r="AA184" s="201" t="s">
        <v>2413</v>
      </c>
      <c r="AB184" s="68">
        <f t="shared" si="3"/>
        <v>1</v>
      </c>
      <c r="AC184" s="210"/>
      <c r="AD184" s="68" t="str">
        <f t="shared" si="4"/>
        <v>NOT</v>
      </c>
      <c r="AE184" s="11"/>
      <c r="AF184" s="11"/>
      <c r="AG184" s="11"/>
      <c r="AH184" s="110">
        <f>COUNTIF(postDEL!$AR$2:$AR694,AG184)</f>
        <v>0</v>
      </c>
      <c r="AI184" s="204"/>
      <c r="AK184" s="200"/>
      <c r="AN184" s="68" t="str">
        <f t="shared" si="5"/>
        <v/>
      </c>
      <c r="AO184" s="206" t="str">
        <f t="shared" si="7"/>
        <v/>
      </c>
      <c r="AS184" s="200"/>
      <c r="AT184" s="200"/>
      <c r="AU184" s="68"/>
      <c r="AV184" s="11"/>
      <c r="AW184" s="11"/>
      <c r="AX184" s="11"/>
      <c r="AY184" s="67"/>
      <c r="AZ184" s="204"/>
      <c r="BC184" s="68"/>
      <c r="BD184" s="68"/>
      <c r="BF184" s="200"/>
    </row>
    <row r="185">
      <c r="A185" s="11"/>
      <c r="B185" s="11"/>
      <c r="C185" s="11"/>
      <c r="D185" s="110">
        <f>COUNTIF(postDEL!$AR$2:$AR694,$C185)</f>
        <v>0</v>
      </c>
      <c r="E185" s="5" t="str">
        <f>CONCATENATE(Process!$A$1,F185)</f>
        <v>BEND538986</v>
      </c>
      <c r="F185" s="3">
        <v>538986.0</v>
      </c>
      <c r="G185" s="3"/>
      <c r="H185" s="3" t="s">
        <v>2414</v>
      </c>
      <c r="I185" s="13">
        <v>0.0</v>
      </c>
      <c r="J185" s="5"/>
      <c r="K185" s="199">
        <f>COUNTIF(postDEL!$AO$2:$AO694,$C185)</f>
        <v>0</v>
      </c>
      <c r="L185" s="212"/>
      <c r="M185" s="11" t="s">
        <v>2221</v>
      </c>
      <c r="N185" s="105" t="b">
        <f t="shared" si="1"/>
        <v>1</v>
      </c>
      <c r="O185" s="5" t="s">
        <v>2222</v>
      </c>
      <c r="P185" s="5" t="s">
        <v>2223</v>
      </c>
      <c r="R185" s="5"/>
      <c r="S185" s="5" t="s">
        <v>2224</v>
      </c>
      <c r="T185" s="184"/>
      <c r="U185" s="5"/>
      <c r="V185" s="5"/>
      <c r="W185" s="5"/>
      <c r="Y185" s="201" t="str">
        <f t="shared" si="2"/>
        <v/>
      </c>
      <c r="Z185" s="200"/>
      <c r="AA185" s="201" t="s">
        <v>2414</v>
      </c>
      <c r="AB185" s="68">
        <f t="shared" si="3"/>
        <v>1</v>
      </c>
      <c r="AC185" s="210"/>
      <c r="AD185" s="68" t="str">
        <f t="shared" si="4"/>
        <v>NOT</v>
      </c>
      <c r="AE185" s="11"/>
      <c r="AF185" s="11"/>
      <c r="AG185" s="11"/>
      <c r="AH185" s="110">
        <f>COUNTIF(postDEL!$AR$2:$AR694,AG185)</f>
        <v>0</v>
      </c>
      <c r="AI185" s="204"/>
      <c r="AK185" s="200"/>
      <c r="AN185" s="68" t="str">
        <f t="shared" si="5"/>
        <v/>
      </c>
      <c r="AO185" s="206" t="str">
        <f t="shared" si="7"/>
        <v/>
      </c>
      <c r="AS185" s="200"/>
      <c r="AT185" s="200"/>
      <c r="AU185" s="68"/>
      <c r="AV185" s="11"/>
      <c r="AW185" s="11"/>
      <c r="AX185" s="11"/>
      <c r="AY185" s="67"/>
      <c r="AZ185" s="204"/>
      <c r="BC185" s="68"/>
      <c r="BD185" s="68"/>
      <c r="BF185" s="200"/>
    </row>
    <row r="186">
      <c r="A186" s="11"/>
      <c r="B186" s="11"/>
      <c r="C186" s="11"/>
      <c r="D186" s="110">
        <f>COUNTIF(postDEL!$AR$2:$AR694,$C186)</f>
        <v>0</v>
      </c>
      <c r="E186" s="5" t="str">
        <f>CONCATENATE(Process!$A$1,F186)</f>
        <v>BEND918814</v>
      </c>
      <c r="F186" s="3">
        <v>918814.0</v>
      </c>
      <c r="G186" s="3"/>
      <c r="H186" s="3" t="s">
        <v>2415</v>
      </c>
      <c r="I186" s="13">
        <v>0.0</v>
      </c>
      <c r="J186" s="5"/>
      <c r="K186" s="199">
        <f>COUNTIF(postDEL!$AO$2:$AO694,$C186)</f>
        <v>0</v>
      </c>
      <c r="L186" s="212"/>
      <c r="M186" s="11" t="s">
        <v>2221</v>
      </c>
      <c r="N186" s="105" t="b">
        <f t="shared" si="1"/>
        <v>1</v>
      </c>
      <c r="O186" s="5" t="s">
        <v>2222</v>
      </c>
      <c r="P186" s="5" t="s">
        <v>2223</v>
      </c>
      <c r="R186" s="5"/>
      <c r="S186" s="5" t="s">
        <v>2224</v>
      </c>
      <c r="T186" s="184"/>
      <c r="U186" s="5"/>
      <c r="V186" s="5"/>
      <c r="W186" s="5"/>
      <c r="Y186" s="201" t="str">
        <f t="shared" si="2"/>
        <v/>
      </c>
      <c r="Z186" s="200"/>
      <c r="AA186" s="201" t="s">
        <v>2415</v>
      </c>
      <c r="AB186" s="68">
        <f t="shared" si="3"/>
        <v>1</v>
      </c>
      <c r="AC186" s="210"/>
      <c r="AD186" s="68" t="str">
        <f t="shared" si="4"/>
        <v>NOT</v>
      </c>
      <c r="AE186" s="11"/>
      <c r="AF186" s="11"/>
      <c r="AG186" s="11"/>
      <c r="AH186" s="110">
        <f>COUNTIF(postDEL!$AR$2:$AR694,AG186)</f>
        <v>0</v>
      </c>
      <c r="AI186" s="204"/>
      <c r="AK186" s="200"/>
      <c r="AN186" s="68" t="str">
        <f t="shared" si="5"/>
        <v/>
      </c>
      <c r="AO186" s="206" t="str">
        <f t="shared" si="7"/>
        <v/>
      </c>
      <c r="AS186" s="200"/>
      <c r="AT186" s="200"/>
      <c r="AU186" s="68"/>
      <c r="AV186" s="11"/>
      <c r="AW186" s="11"/>
      <c r="AX186" s="11"/>
      <c r="AY186" s="67"/>
      <c r="AZ186" s="204"/>
      <c r="BC186" s="68"/>
      <c r="BD186" s="68"/>
      <c r="BF186" s="200"/>
    </row>
    <row r="187">
      <c r="A187" s="11"/>
      <c r="B187" s="11"/>
      <c r="C187" s="11"/>
      <c r="D187" s="110">
        <f>COUNTIF(postDEL!$AR$2:$AR694,$C187)</f>
        <v>0</v>
      </c>
      <c r="E187" s="5" t="str">
        <f>CONCATENATE(Process!$A$1,F187)</f>
        <v>BEND417561</v>
      </c>
      <c r="F187" s="3">
        <v>417561.0</v>
      </c>
      <c r="G187" s="3"/>
      <c r="H187" s="3" t="s">
        <v>2416</v>
      </c>
      <c r="I187" s="13">
        <v>0.0</v>
      </c>
      <c r="K187" s="199">
        <f>COUNTIF(postDEL!$AO$2:$AO694,$C187)</f>
        <v>0</v>
      </c>
      <c r="L187" s="65"/>
      <c r="N187" s="105" t="b">
        <f t="shared" si="1"/>
        <v>1</v>
      </c>
      <c r="T187" s="184"/>
      <c r="Y187" s="201" t="str">
        <f t="shared" si="2"/>
        <v/>
      </c>
      <c r="Z187" s="200"/>
      <c r="AA187" s="201" t="s">
        <v>2416</v>
      </c>
      <c r="AB187" s="68">
        <f t="shared" si="3"/>
        <v>1</v>
      </c>
      <c r="AC187" s="210"/>
      <c r="AD187" s="68"/>
      <c r="AH187" s="110">
        <f>COUNTIF(postDEL!$AR$2:$AR694,AG187)</f>
        <v>0</v>
      </c>
      <c r="AI187" s="204"/>
      <c r="AK187" s="200"/>
      <c r="AN187" s="68" t="str">
        <f t="shared" si="5"/>
        <v/>
      </c>
      <c r="AO187" s="206" t="str">
        <f t="shared" si="7"/>
        <v/>
      </c>
      <c r="AS187" s="200"/>
      <c r="AT187" s="200"/>
      <c r="AU187" s="68"/>
      <c r="AY187" s="67"/>
      <c r="AZ187" s="204"/>
      <c r="BC187" s="68"/>
      <c r="BD187" s="68"/>
      <c r="BF187" s="200"/>
    </row>
    <row r="188">
      <c r="A188" s="11"/>
      <c r="B188" s="11"/>
      <c r="C188" s="11"/>
      <c r="D188" s="110">
        <f>COUNTIF(postDEL!$AR$2:$AR694,$C188)</f>
        <v>0</v>
      </c>
      <c r="E188" s="5" t="str">
        <f>CONCATENATE(Process!$A$1,F188)</f>
        <v>BEND501720</v>
      </c>
      <c r="F188" s="3">
        <v>501720.0</v>
      </c>
      <c r="G188" s="3"/>
      <c r="H188" s="3" t="s">
        <v>2417</v>
      </c>
      <c r="I188" s="13">
        <v>0.0</v>
      </c>
      <c r="K188" s="199">
        <f>COUNTIF(postDEL!$AO$2:$AO694,$C188)</f>
        <v>0</v>
      </c>
      <c r="L188" s="65"/>
      <c r="N188" s="105" t="b">
        <f t="shared" si="1"/>
        <v>1</v>
      </c>
      <c r="T188" s="184"/>
      <c r="Y188" s="201" t="str">
        <f t="shared" si="2"/>
        <v/>
      </c>
      <c r="Z188" s="200"/>
      <c r="AA188" s="201" t="s">
        <v>2417</v>
      </c>
      <c r="AB188" s="68">
        <f t="shared" si="3"/>
        <v>1</v>
      </c>
      <c r="AC188" s="210"/>
      <c r="AD188" s="68"/>
      <c r="AH188" s="67"/>
      <c r="AI188" s="204"/>
      <c r="AK188" s="200"/>
      <c r="AN188" s="68" t="str">
        <f t="shared" si="5"/>
        <v/>
      </c>
      <c r="AO188" s="206" t="str">
        <f t="shared" si="7"/>
        <v/>
      </c>
      <c r="AS188" s="200"/>
      <c r="AT188" s="200"/>
      <c r="AU188" s="68"/>
      <c r="AY188" s="67"/>
      <c r="AZ188" s="204"/>
      <c r="BC188" s="68"/>
      <c r="BD188" s="68"/>
      <c r="BF188" s="200"/>
    </row>
    <row r="189">
      <c r="D189" s="110"/>
      <c r="F189" s="3"/>
      <c r="G189" s="3"/>
      <c r="H189" s="3"/>
      <c r="I189" s="65"/>
      <c r="K189" s="199"/>
      <c r="L189" s="65"/>
      <c r="N189" s="105"/>
      <c r="T189" s="184"/>
      <c r="Y189" s="201"/>
      <c r="Z189" s="200"/>
      <c r="AA189" s="201"/>
      <c r="AB189" s="68"/>
      <c r="AC189" s="210"/>
      <c r="AD189" s="68"/>
      <c r="AH189" s="67"/>
      <c r="AI189" s="204"/>
      <c r="AK189" s="200"/>
      <c r="AN189" s="68" t="str">
        <f t="shared" si="5"/>
        <v/>
      </c>
      <c r="AO189" s="206" t="str">
        <f t="shared" si="7"/>
        <v/>
      </c>
      <c r="AS189" s="200"/>
      <c r="AT189" s="200"/>
      <c r="AU189" s="68"/>
      <c r="AY189" s="67"/>
      <c r="AZ189" s="204"/>
      <c r="BC189" s="68"/>
      <c r="BD189" s="68"/>
      <c r="BF189" s="200"/>
    </row>
    <row r="190">
      <c r="D190" s="110"/>
      <c r="F190" s="4"/>
      <c r="G190" s="4"/>
      <c r="H190" s="4"/>
      <c r="I190" s="65"/>
      <c r="K190" s="199"/>
      <c r="L190" s="65"/>
      <c r="N190" s="105"/>
      <c r="T190" s="184"/>
      <c r="Y190" s="201"/>
      <c r="Z190" s="200"/>
      <c r="AA190" s="201"/>
      <c r="AB190" s="68"/>
      <c r="AC190" s="210"/>
      <c r="AD190" s="68"/>
      <c r="AH190" s="67"/>
      <c r="AI190" s="204"/>
      <c r="AK190" s="200"/>
      <c r="AN190" s="68" t="str">
        <f t="shared" si="5"/>
        <v/>
      </c>
      <c r="AO190" s="206" t="str">
        <f t="shared" si="7"/>
        <v/>
      </c>
      <c r="AS190" s="200"/>
      <c r="AT190" s="200"/>
      <c r="AU190" s="68"/>
      <c r="AY190" s="67"/>
      <c r="AZ190" s="204"/>
      <c r="BC190" s="68"/>
      <c r="BD190" s="68"/>
      <c r="BF190" s="200"/>
    </row>
    <row r="191">
      <c r="D191" s="110"/>
      <c r="F191" s="4"/>
      <c r="G191" s="4"/>
      <c r="H191" s="4"/>
      <c r="I191" s="65"/>
      <c r="K191" s="199"/>
      <c r="L191" s="65"/>
      <c r="N191" s="105"/>
      <c r="T191" s="184"/>
      <c r="Y191" s="201"/>
      <c r="Z191" s="200"/>
      <c r="AA191" s="201"/>
      <c r="AB191" s="68"/>
      <c r="AC191" s="210"/>
      <c r="AD191" s="68"/>
      <c r="AH191" s="67"/>
      <c r="AI191" s="204"/>
      <c r="AK191" s="200"/>
      <c r="AN191" s="68" t="str">
        <f t="shared" si="5"/>
        <v/>
      </c>
      <c r="AO191" s="206" t="str">
        <f t="shared" si="7"/>
        <v/>
      </c>
      <c r="AS191" s="200"/>
      <c r="AT191" s="200"/>
      <c r="AU191" s="68"/>
      <c r="AY191" s="67"/>
      <c r="AZ191" s="204"/>
      <c r="BC191" s="68"/>
      <c r="BD191" s="68"/>
      <c r="BF191" s="200"/>
    </row>
    <row r="192">
      <c r="D192" s="110"/>
      <c r="F192" s="4"/>
      <c r="G192" s="4"/>
      <c r="H192" s="4"/>
      <c r="I192" s="65"/>
      <c r="K192" s="199"/>
      <c r="L192" s="65"/>
      <c r="N192" s="105"/>
      <c r="T192" s="184"/>
      <c r="Y192" s="201"/>
      <c r="Z192" s="200"/>
      <c r="AA192" s="201"/>
      <c r="AB192" s="68"/>
      <c r="AC192" s="210"/>
      <c r="AD192" s="68"/>
      <c r="AH192" s="67"/>
      <c r="AI192" s="204"/>
      <c r="AK192" s="200"/>
      <c r="AN192" s="68" t="str">
        <f t="shared" si="5"/>
        <v/>
      </c>
      <c r="AO192" s="206" t="str">
        <f t="shared" si="7"/>
        <v/>
      </c>
      <c r="AS192" s="200"/>
      <c r="AT192" s="200"/>
      <c r="AU192" s="68"/>
      <c r="AY192" s="67"/>
      <c r="AZ192" s="204"/>
      <c r="BC192" s="68"/>
      <c r="BD192" s="68"/>
      <c r="BF192" s="200"/>
    </row>
    <row r="193">
      <c r="D193" s="110"/>
      <c r="F193" s="4"/>
      <c r="G193" s="4"/>
      <c r="H193" s="4"/>
      <c r="I193" s="65"/>
      <c r="K193" s="199"/>
      <c r="L193" s="65"/>
      <c r="N193" s="105"/>
      <c r="T193" s="184"/>
      <c r="Y193" s="201"/>
      <c r="Z193" s="200"/>
      <c r="AA193" s="201"/>
      <c r="AB193" s="68"/>
      <c r="AC193" s="210"/>
      <c r="AD193" s="68"/>
      <c r="AH193" s="67"/>
      <c r="AI193" s="204"/>
      <c r="AK193" s="200"/>
      <c r="AN193" s="68"/>
      <c r="AO193" s="206"/>
      <c r="AS193" s="200"/>
      <c r="AT193" s="200"/>
      <c r="AU193" s="68"/>
      <c r="AY193" s="67"/>
      <c r="AZ193" s="204"/>
      <c r="BC193" s="68"/>
      <c r="BD193" s="68"/>
      <c r="BF193" s="200"/>
    </row>
    <row r="194">
      <c r="D194" s="110"/>
      <c r="F194" s="4"/>
      <c r="G194" s="4"/>
      <c r="H194" s="4"/>
      <c r="I194" s="65"/>
      <c r="K194" s="199"/>
      <c r="L194" s="65"/>
      <c r="N194" s="105"/>
      <c r="T194" s="184"/>
      <c r="Y194" s="201"/>
      <c r="Z194" s="200"/>
      <c r="AA194" s="201"/>
      <c r="AB194" s="68"/>
      <c r="AC194" s="210"/>
      <c r="AD194" s="68"/>
      <c r="AH194" s="67"/>
      <c r="AI194" s="204"/>
      <c r="AK194" s="200"/>
      <c r="AN194" s="68"/>
      <c r="AO194" s="206"/>
      <c r="AS194" s="200"/>
      <c r="AT194" s="200"/>
      <c r="AU194" s="68"/>
      <c r="AY194" s="67"/>
      <c r="AZ194" s="204"/>
      <c r="BC194" s="68"/>
      <c r="BD194" s="68"/>
      <c r="BF194" s="200"/>
    </row>
    <row r="195">
      <c r="D195" s="110"/>
      <c r="F195" s="4"/>
      <c r="G195" s="4"/>
      <c r="H195" s="4"/>
      <c r="I195" s="65"/>
      <c r="K195" s="199"/>
      <c r="L195" s="65"/>
      <c r="N195" s="105"/>
      <c r="T195" s="184"/>
      <c r="Y195" s="201"/>
      <c r="Z195" s="200"/>
      <c r="AA195" s="201"/>
      <c r="AB195" s="68"/>
      <c r="AC195" s="210"/>
      <c r="AD195" s="68"/>
      <c r="AH195" s="67"/>
      <c r="AI195" s="204"/>
      <c r="AK195" s="200"/>
      <c r="AN195" s="68"/>
      <c r="AO195" s="206"/>
      <c r="AS195" s="200"/>
      <c r="AT195" s="200"/>
      <c r="AU195" s="68"/>
      <c r="AY195" s="67"/>
      <c r="AZ195" s="204"/>
      <c r="BC195" s="68"/>
      <c r="BD195" s="68"/>
      <c r="BF195" s="200"/>
    </row>
    <row r="196">
      <c r="D196" s="110"/>
      <c r="F196" s="4"/>
      <c r="G196" s="4"/>
      <c r="H196" s="4"/>
      <c r="I196" s="65"/>
      <c r="K196" s="199"/>
      <c r="L196" s="65"/>
      <c r="N196" s="105"/>
      <c r="T196" s="184"/>
      <c r="Y196" s="201"/>
      <c r="Z196" s="200"/>
      <c r="AA196" s="201"/>
      <c r="AB196" s="68"/>
      <c r="AC196" s="210"/>
      <c r="AD196" s="68"/>
      <c r="AH196" s="67"/>
      <c r="AI196" s="204"/>
      <c r="AK196" s="200"/>
      <c r="AN196" s="68"/>
      <c r="AO196" s="206"/>
      <c r="AS196" s="200"/>
      <c r="AT196" s="200"/>
      <c r="AU196" s="68"/>
      <c r="AY196" s="67"/>
      <c r="AZ196" s="204"/>
      <c r="BC196" s="68"/>
      <c r="BD196" s="68"/>
      <c r="BF196" s="200"/>
    </row>
    <row r="197">
      <c r="D197" s="110"/>
      <c r="F197" s="4"/>
      <c r="G197" s="4"/>
      <c r="H197" s="4"/>
      <c r="I197" s="65"/>
      <c r="K197" s="199"/>
      <c r="L197" s="65"/>
      <c r="N197" s="105"/>
      <c r="T197" s="184"/>
      <c r="Y197" s="201"/>
      <c r="Z197" s="200"/>
      <c r="AA197" s="201"/>
      <c r="AB197" s="68"/>
      <c r="AC197" s="210"/>
      <c r="AD197" s="68"/>
      <c r="AH197" s="67"/>
      <c r="AI197" s="204"/>
      <c r="AK197" s="200"/>
      <c r="AN197" s="68"/>
      <c r="AO197" s="206"/>
      <c r="AS197" s="200"/>
      <c r="AT197" s="200"/>
      <c r="AU197" s="68"/>
      <c r="AY197" s="67"/>
      <c r="AZ197" s="204"/>
      <c r="BC197" s="68"/>
      <c r="BD197" s="68"/>
      <c r="BF197" s="200"/>
    </row>
    <row r="198">
      <c r="D198" s="110"/>
      <c r="F198" s="4"/>
      <c r="G198" s="4"/>
      <c r="H198" s="4"/>
      <c r="I198" s="65"/>
      <c r="K198" s="199"/>
      <c r="L198" s="65"/>
      <c r="N198" s="105"/>
      <c r="T198" s="184"/>
      <c r="Y198" s="201"/>
      <c r="Z198" s="200"/>
      <c r="AA198" s="201"/>
      <c r="AB198" s="68"/>
      <c r="AC198" s="210"/>
      <c r="AD198" s="68"/>
      <c r="AH198" s="67"/>
      <c r="AI198" s="204"/>
      <c r="AK198" s="200"/>
      <c r="AN198" s="68"/>
      <c r="AO198" s="206"/>
      <c r="AS198" s="200"/>
      <c r="AT198" s="200"/>
      <c r="AU198" s="68"/>
      <c r="AY198" s="67"/>
      <c r="AZ198" s="204"/>
      <c r="BC198" s="68"/>
      <c r="BD198" s="68"/>
      <c r="BF198" s="200"/>
    </row>
    <row r="199">
      <c r="D199" s="110"/>
      <c r="F199" s="4"/>
      <c r="G199" s="4"/>
      <c r="H199" s="4"/>
      <c r="I199" s="65"/>
      <c r="K199" s="199"/>
      <c r="L199" s="65"/>
      <c r="N199" s="105"/>
      <c r="T199" s="184"/>
      <c r="Y199" s="201"/>
      <c r="Z199" s="200"/>
      <c r="AA199" s="201"/>
      <c r="AB199" s="68"/>
      <c r="AC199" s="210"/>
      <c r="AD199" s="68"/>
      <c r="AH199" s="67"/>
      <c r="AI199" s="204"/>
      <c r="AK199" s="200"/>
      <c r="AN199" s="68"/>
      <c r="AO199" s="206"/>
      <c r="AS199" s="200"/>
      <c r="AT199" s="200"/>
      <c r="AU199" s="68"/>
      <c r="AY199" s="67"/>
      <c r="AZ199" s="204"/>
      <c r="BC199" s="68"/>
      <c r="BD199" s="68"/>
      <c r="BF199" s="200"/>
    </row>
    <row r="200">
      <c r="D200" s="110"/>
      <c r="F200" s="4"/>
      <c r="G200" s="4"/>
      <c r="H200" s="4"/>
      <c r="I200" s="65"/>
      <c r="K200" s="199"/>
      <c r="L200" s="65"/>
      <c r="N200" s="105"/>
      <c r="T200" s="184"/>
      <c r="Y200" s="201"/>
      <c r="Z200" s="200"/>
      <c r="AA200" s="201"/>
      <c r="AB200" s="68"/>
      <c r="AC200" s="210"/>
      <c r="AD200" s="68"/>
      <c r="AH200" s="67"/>
      <c r="AI200" s="204"/>
      <c r="AK200" s="200"/>
      <c r="AN200" s="68"/>
      <c r="AO200" s="206"/>
      <c r="AS200" s="200"/>
      <c r="AT200" s="200"/>
      <c r="AU200" s="68"/>
      <c r="AY200" s="67"/>
      <c r="AZ200" s="204"/>
      <c r="BC200" s="68"/>
      <c r="BD200" s="68"/>
      <c r="BF200" s="200"/>
    </row>
    <row r="201">
      <c r="D201" s="110"/>
      <c r="F201" s="4"/>
      <c r="G201" s="4"/>
      <c r="H201" s="4"/>
      <c r="I201" s="65"/>
      <c r="K201" s="199"/>
      <c r="L201" s="65"/>
      <c r="N201" s="105"/>
      <c r="T201" s="184"/>
      <c r="Y201" s="201"/>
      <c r="Z201" s="200"/>
      <c r="AA201" s="201"/>
      <c r="AB201" s="68"/>
      <c r="AC201" s="210"/>
      <c r="AD201" s="68"/>
      <c r="AH201" s="67"/>
      <c r="AI201" s="204"/>
      <c r="AK201" s="200"/>
      <c r="AN201" s="68"/>
      <c r="AO201" s="206"/>
      <c r="AS201" s="200"/>
      <c r="AT201" s="200"/>
      <c r="AU201" s="68"/>
      <c r="AY201" s="67"/>
      <c r="AZ201" s="204"/>
      <c r="BC201" s="68"/>
      <c r="BD201" s="68"/>
      <c r="BF201" s="200"/>
    </row>
    <row r="202">
      <c r="D202" s="110"/>
      <c r="F202" s="4"/>
      <c r="G202" s="4"/>
      <c r="H202" s="4"/>
      <c r="I202" s="65"/>
      <c r="K202" s="199"/>
      <c r="L202" s="65"/>
      <c r="N202" s="105"/>
      <c r="T202" s="184"/>
      <c r="Y202" s="201"/>
      <c r="Z202" s="200"/>
      <c r="AA202" s="201"/>
      <c r="AB202" s="68"/>
      <c r="AC202" s="210"/>
      <c r="AD202" s="68"/>
      <c r="AH202" s="67"/>
      <c r="AI202" s="204"/>
      <c r="AK202" s="200"/>
      <c r="AN202" s="68"/>
      <c r="AO202" s="206"/>
      <c r="AS202" s="200"/>
      <c r="AT202" s="200"/>
      <c r="AU202" s="68"/>
      <c r="AY202" s="67"/>
      <c r="AZ202" s="204"/>
      <c r="BC202" s="68"/>
      <c r="BD202" s="68"/>
      <c r="BF202" s="200"/>
    </row>
    <row r="203">
      <c r="D203" s="110"/>
      <c r="F203" s="4"/>
      <c r="G203" s="4"/>
      <c r="H203" s="4"/>
      <c r="I203" s="65"/>
      <c r="K203" s="199"/>
      <c r="L203" s="65"/>
      <c r="N203" s="105"/>
      <c r="T203" s="184"/>
      <c r="Y203" s="201"/>
      <c r="Z203" s="200"/>
      <c r="AA203" s="201"/>
      <c r="AB203" s="68"/>
      <c r="AC203" s="210"/>
      <c r="AD203" s="68"/>
      <c r="AH203" s="67"/>
      <c r="AI203" s="204"/>
      <c r="AK203" s="200"/>
      <c r="AN203" s="68"/>
      <c r="AO203" s="206"/>
      <c r="AS203" s="200"/>
      <c r="AT203" s="200"/>
      <c r="AU203" s="68"/>
      <c r="AY203" s="67"/>
      <c r="AZ203" s="204"/>
      <c r="BC203" s="68"/>
      <c r="BD203" s="68"/>
      <c r="BF203" s="200"/>
    </row>
    <row r="204">
      <c r="D204" s="110"/>
      <c r="F204" s="4"/>
      <c r="G204" s="4"/>
      <c r="H204" s="4"/>
      <c r="I204" s="65"/>
      <c r="K204" s="199"/>
      <c r="L204" s="65"/>
      <c r="N204" s="105"/>
      <c r="T204" s="184"/>
      <c r="Y204" s="201"/>
      <c r="Z204" s="200"/>
      <c r="AA204" s="201"/>
      <c r="AB204" s="68"/>
      <c r="AC204" s="210"/>
      <c r="AD204" s="68"/>
      <c r="AH204" s="67"/>
      <c r="AI204" s="204"/>
      <c r="AK204" s="200"/>
      <c r="AN204" s="68"/>
      <c r="AO204" s="206"/>
      <c r="AS204" s="200"/>
      <c r="AT204" s="200"/>
      <c r="AU204" s="68"/>
      <c r="AY204" s="67"/>
      <c r="AZ204" s="204"/>
      <c r="BC204" s="68"/>
      <c r="BD204" s="68"/>
      <c r="BF204" s="200"/>
    </row>
    <row r="205">
      <c r="D205" s="110"/>
      <c r="F205" s="4"/>
      <c r="G205" s="4"/>
      <c r="H205" s="4"/>
      <c r="I205" s="65"/>
      <c r="K205" s="199"/>
      <c r="L205" s="65"/>
      <c r="N205" s="105"/>
      <c r="T205" s="184"/>
      <c r="Y205" s="201"/>
      <c r="Z205" s="200"/>
      <c r="AA205" s="201"/>
      <c r="AB205" s="68"/>
      <c r="AC205" s="210"/>
      <c r="AD205" s="68"/>
      <c r="AH205" s="67"/>
      <c r="AI205" s="204"/>
      <c r="AK205" s="200"/>
      <c r="AN205" s="68"/>
      <c r="AO205" s="206"/>
      <c r="AS205" s="200"/>
      <c r="AT205" s="200"/>
      <c r="AU205" s="68"/>
      <c r="AY205" s="67"/>
      <c r="AZ205" s="204"/>
      <c r="BC205" s="68"/>
      <c r="BD205" s="68"/>
      <c r="BF205" s="200"/>
    </row>
    <row r="206">
      <c r="D206" s="110"/>
      <c r="F206" s="4"/>
      <c r="G206" s="4"/>
      <c r="H206" s="4"/>
      <c r="I206" s="65"/>
      <c r="K206" s="199"/>
      <c r="L206" s="65"/>
      <c r="N206" s="105"/>
      <c r="T206" s="184"/>
      <c r="Y206" s="201"/>
      <c r="Z206" s="200"/>
      <c r="AA206" s="201"/>
      <c r="AB206" s="68"/>
      <c r="AC206" s="210"/>
      <c r="AD206" s="68"/>
      <c r="AH206" s="67"/>
      <c r="AI206" s="204"/>
      <c r="AK206" s="200"/>
      <c r="AN206" s="68"/>
      <c r="AO206" s="206"/>
      <c r="AS206" s="200"/>
      <c r="AT206" s="200"/>
      <c r="AU206" s="68"/>
      <c r="AY206" s="67"/>
      <c r="AZ206" s="204"/>
      <c r="BC206" s="68"/>
      <c r="BD206" s="68"/>
      <c r="BF206" s="200"/>
    </row>
    <row r="207">
      <c r="D207" s="110"/>
      <c r="F207" s="4"/>
      <c r="G207" s="4"/>
      <c r="H207" s="4"/>
      <c r="I207" s="65"/>
      <c r="K207" s="199"/>
      <c r="L207" s="65"/>
      <c r="N207" s="105"/>
      <c r="T207" s="184"/>
      <c r="Y207" s="201"/>
      <c r="Z207" s="200"/>
      <c r="AA207" s="201"/>
      <c r="AB207" s="68"/>
      <c r="AC207" s="210"/>
      <c r="AD207" s="68"/>
      <c r="AH207" s="67"/>
      <c r="AI207" s="204"/>
      <c r="AK207" s="200"/>
      <c r="AN207" s="68"/>
      <c r="AO207" s="206"/>
      <c r="AS207" s="200"/>
      <c r="AT207" s="200"/>
      <c r="AU207" s="68"/>
      <c r="AY207" s="67"/>
      <c r="AZ207" s="204"/>
      <c r="BC207" s="68"/>
      <c r="BD207" s="68"/>
      <c r="BF207" s="200"/>
    </row>
    <row r="208">
      <c r="D208" s="110"/>
      <c r="F208" s="4"/>
      <c r="G208" s="4"/>
      <c r="H208" s="4"/>
      <c r="I208" s="65"/>
      <c r="K208" s="199"/>
      <c r="L208" s="65"/>
      <c r="N208" s="105"/>
      <c r="T208" s="184"/>
      <c r="Y208" s="201"/>
      <c r="Z208" s="200"/>
      <c r="AA208" s="201"/>
      <c r="AB208" s="68"/>
      <c r="AC208" s="210"/>
      <c r="AD208" s="68"/>
      <c r="AH208" s="67"/>
      <c r="AI208" s="204"/>
      <c r="AK208" s="200"/>
      <c r="AN208" s="68"/>
      <c r="AO208" s="206"/>
      <c r="AS208" s="200"/>
      <c r="AT208" s="200"/>
      <c r="AU208" s="68"/>
      <c r="AY208" s="67"/>
      <c r="AZ208" s="204"/>
      <c r="BC208" s="68"/>
      <c r="BD208" s="68"/>
      <c r="BF208" s="200"/>
    </row>
    <row r="209">
      <c r="D209" s="110"/>
      <c r="F209" s="4"/>
      <c r="G209" s="4"/>
      <c r="H209" s="4"/>
      <c r="I209" s="65"/>
      <c r="K209" s="199"/>
      <c r="L209" s="65"/>
      <c r="N209" s="105"/>
      <c r="T209" s="184"/>
      <c r="Y209" s="201"/>
      <c r="Z209" s="200"/>
      <c r="AA209" s="201"/>
      <c r="AB209" s="68"/>
      <c r="AC209" s="210"/>
      <c r="AD209" s="68"/>
      <c r="AH209" s="67"/>
      <c r="AI209" s="204"/>
      <c r="AK209" s="200"/>
      <c r="AN209" s="68"/>
      <c r="AO209" s="206"/>
      <c r="AS209" s="200"/>
      <c r="AT209" s="200"/>
      <c r="AU209" s="68"/>
      <c r="AY209" s="67"/>
      <c r="AZ209" s="204"/>
      <c r="BC209" s="68"/>
      <c r="BD209" s="68"/>
      <c r="BF209" s="200"/>
    </row>
    <row r="210">
      <c r="D210" s="110"/>
      <c r="F210" s="4"/>
      <c r="G210" s="4"/>
      <c r="H210" s="4"/>
      <c r="I210" s="65"/>
      <c r="K210" s="199"/>
      <c r="L210" s="65"/>
      <c r="N210" s="105"/>
      <c r="T210" s="184"/>
      <c r="Y210" s="201"/>
      <c r="Z210" s="200"/>
      <c r="AA210" s="201"/>
      <c r="AB210" s="68"/>
      <c r="AC210" s="210"/>
      <c r="AD210" s="68"/>
      <c r="AH210" s="67"/>
      <c r="AI210" s="204"/>
      <c r="AK210" s="200"/>
      <c r="AN210" s="68"/>
      <c r="AO210" s="206"/>
      <c r="AS210" s="200"/>
      <c r="AT210" s="200"/>
      <c r="AU210" s="68"/>
      <c r="AY210" s="67"/>
      <c r="AZ210" s="204"/>
      <c r="BC210" s="68"/>
      <c r="BD210" s="68"/>
      <c r="BF210" s="200"/>
    </row>
    <row r="211">
      <c r="D211" s="110"/>
      <c r="F211" s="4"/>
      <c r="G211" s="4"/>
      <c r="H211" s="4"/>
      <c r="I211" s="65"/>
      <c r="K211" s="199"/>
      <c r="L211" s="65"/>
      <c r="N211" s="105"/>
      <c r="T211" s="184"/>
      <c r="Y211" s="201"/>
      <c r="Z211" s="200"/>
      <c r="AA211" s="201"/>
      <c r="AB211" s="68"/>
      <c r="AC211" s="210"/>
      <c r="AD211" s="68"/>
      <c r="AH211" s="67"/>
      <c r="AI211" s="204"/>
      <c r="AK211" s="200"/>
      <c r="AN211" s="68"/>
      <c r="AO211" s="206"/>
      <c r="AS211" s="200"/>
      <c r="AT211" s="200"/>
      <c r="AU211" s="68"/>
      <c r="AY211" s="67"/>
      <c r="AZ211" s="204"/>
      <c r="BC211" s="68"/>
      <c r="BD211" s="68"/>
      <c r="BF211" s="200"/>
    </row>
    <row r="212">
      <c r="D212" s="110"/>
      <c r="F212" s="4"/>
      <c r="G212" s="4"/>
      <c r="H212" s="4"/>
      <c r="I212" s="65"/>
      <c r="K212" s="199"/>
      <c r="L212" s="65"/>
      <c r="N212" s="105"/>
      <c r="T212" s="184"/>
      <c r="Y212" s="201"/>
      <c r="Z212" s="200"/>
      <c r="AA212" s="201"/>
      <c r="AB212" s="68"/>
      <c r="AC212" s="210"/>
      <c r="AD212" s="68"/>
      <c r="AH212" s="67"/>
      <c r="AI212" s="204"/>
      <c r="AK212" s="200"/>
      <c r="AN212" s="68"/>
      <c r="AO212" s="206"/>
      <c r="AS212" s="200"/>
      <c r="AT212" s="200"/>
      <c r="AU212" s="68"/>
      <c r="AY212" s="67"/>
      <c r="AZ212" s="204"/>
      <c r="BC212" s="68"/>
      <c r="BD212" s="68"/>
      <c r="BF212" s="200"/>
    </row>
    <row r="213">
      <c r="D213" s="110"/>
      <c r="F213" s="4"/>
      <c r="G213" s="4"/>
      <c r="H213" s="4"/>
      <c r="I213" s="65"/>
      <c r="K213" s="199"/>
      <c r="L213" s="65"/>
      <c r="N213" s="105"/>
      <c r="T213" s="184"/>
      <c r="Y213" s="201"/>
      <c r="Z213" s="200"/>
      <c r="AA213" s="201"/>
      <c r="AB213" s="68"/>
      <c r="AC213" s="210"/>
      <c r="AD213" s="68"/>
      <c r="AH213" s="67"/>
      <c r="AI213" s="204"/>
      <c r="AK213" s="200"/>
      <c r="AN213" s="68"/>
      <c r="AO213" s="206"/>
      <c r="AS213" s="200"/>
      <c r="AT213" s="200"/>
      <c r="AU213" s="68"/>
      <c r="AY213" s="67"/>
      <c r="AZ213" s="204"/>
      <c r="BC213" s="68"/>
      <c r="BD213" s="68"/>
      <c r="BF213" s="200"/>
    </row>
    <row r="214">
      <c r="D214" s="110"/>
      <c r="F214" s="4"/>
      <c r="G214" s="4"/>
      <c r="H214" s="4"/>
      <c r="I214" s="65"/>
      <c r="K214" s="199"/>
      <c r="L214" s="65"/>
      <c r="N214" s="105"/>
      <c r="T214" s="184"/>
      <c r="Y214" s="201"/>
      <c r="Z214" s="200"/>
      <c r="AA214" s="201"/>
      <c r="AB214" s="68"/>
      <c r="AC214" s="210"/>
      <c r="AD214" s="68"/>
      <c r="AH214" s="67"/>
      <c r="AI214" s="204"/>
      <c r="AK214" s="200"/>
      <c r="AN214" s="68"/>
      <c r="AO214" s="206"/>
      <c r="AS214" s="200"/>
      <c r="AT214" s="200"/>
      <c r="AU214" s="68"/>
      <c r="AY214" s="67"/>
      <c r="AZ214" s="204"/>
      <c r="BC214" s="68"/>
      <c r="BD214" s="68"/>
      <c r="BF214" s="200"/>
    </row>
    <row r="215">
      <c r="D215" s="110"/>
      <c r="F215" s="4"/>
      <c r="G215" s="4"/>
      <c r="H215" s="4"/>
      <c r="I215" s="65"/>
      <c r="K215" s="199"/>
      <c r="L215" s="65"/>
      <c r="N215" s="105"/>
      <c r="T215" s="184"/>
      <c r="Y215" s="201"/>
      <c r="Z215" s="200"/>
      <c r="AA215" s="201"/>
      <c r="AB215" s="68"/>
      <c r="AC215" s="210"/>
      <c r="AD215" s="68"/>
      <c r="AH215" s="67"/>
      <c r="AI215" s="204"/>
      <c r="AK215" s="200"/>
      <c r="AN215" s="68"/>
      <c r="AO215" s="206"/>
      <c r="AS215" s="200"/>
      <c r="AT215" s="200"/>
      <c r="AU215" s="68"/>
      <c r="AY215" s="67"/>
      <c r="AZ215" s="204"/>
      <c r="BC215" s="68"/>
      <c r="BD215" s="68"/>
      <c r="BF215" s="200"/>
    </row>
    <row r="216">
      <c r="D216" s="110"/>
      <c r="F216" s="4"/>
      <c r="G216" s="4"/>
      <c r="H216" s="4"/>
      <c r="I216" s="65"/>
      <c r="K216" s="199"/>
      <c r="L216" s="65"/>
      <c r="N216" s="105"/>
      <c r="T216" s="184"/>
      <c r="Y216" s="201"/>
      <c r="Z216" s="200"/>
      <c r="AA216" s="201"/>
      <c r="AB216" s="68"/>
      <c r="AC216" s="210"/>
      <c r="AD216" s="68"/>
      <c r="AH216" s="67"/>
      <c r="AI216" s="204"/>
      <c r="AK216" s="200"/>
      <c r="AN216" s="68"/>
      <c r="AO216" s="206"/>
      <c r="AS216" s="200"/>
      <c r="AT216" s="200"/>
      <c r="AU216" s="68"/>
      <c r="AY216" s="67"/>
      <c r="AZ216" s="204"/>
      <c r="BC216" s="68"/>
      <c r="BD216" s="68"/>
      <c r="BF216" s="200"/>
    </row>
    <row r="217">
      <c r="D217" s="110"/>
      <c r="F217" s="4"/>
      <c r="G217" s="4"/>
      <c r="H217" s="4"/>
      <c r="I217" s="65"/>
      <c r="K217" s="199"/>
      <c r="L217" s="65"/>
      <c r="N217" s="105"/>
      <c r="T217" s="184"/>
      <c r="Y217" s="201"/>
      <c r="Z217" s="200"/>
      <c r="AA217" s="201"/>
      <c r="AB217" s="68"/>
      <c r="AC217" s="210"/>
      <c r="AD217" s="68"/>
      <c r="AH217" s="67"/>
      <c r="AI217" s="204"/>
      <c r="AK217" s="200"/>
      <c r="AN217" s="68"/>
      <c r="AO217" s="206"/>
      <c r="AS217" s="200"/>
      <c r="AT217" s="200"/>
      <c r="AU217" s="68"/>
      <c r="AY217" s="67"/>
      <c r="AZ217" s="204"/>
      <c r="BC217" s="68"/>
      <c r="BD217" s="68"/>
      <c r="BF217" s="200"/>
    </row>
    <row r="218">
      <c r="D218" s="110"/>
      <c r="F218" s="4"/>
      <c r="G218" s="4"/>
      <c r="H218" s="4"/>
      <c r="I218" s="65"/>
      <c r="K218" s="199"/>
      <c r="L218" s="65"/>
      <c r="N218" s="105"/>
      <c r="T218" s="184"/>
      <c r="Y218" s="201"/>
      <c r="Z218" s="200"/>
      <c r="AA218" s="201"/>
      <c r="AB218" s="68"/>
      <c r="AC218" s="210"/>
      <c r="AD218" s="68"/>
      <c r="AH218" s="67"/>
      <c r="AI218" s="204"/>
      <c r="AK218" s="200"/>
      <c r="AN218" s="68"/>
      <c r="AO218" s="206"/>
      <c r="AS218" s="200"/>
      <c r="AT218" s="200"/>
      <c r="AU218" s="68"/>
      <c r="AY218" s="67"/>
      <c r="AZ218" s="204"/>
      <c r="BC218" s="68"/>
      <c r="BD218" s="68"/>
      <c r="BF218" s="200"/>
    </row>
    <row r="219">
      <c r="D219" s="110"/>
      <c r="F219" s="4"/>
      <c r="G219" s="4"/>
      <c r="H219" s="4"/>
      <c r="I219" s="65"/>
      <c r="K219" s="199"/>
      <c r="L219" s="65"/>
      <c r="N219" s="105"/>
      <c r="T219" s="184"/>
      <c r="Y219" s="201"/>
      <c r="Z219" s="200"/>
      <c r="AA219" s="201"/>
      <c r="AB219" s="68"/>
      <c r="AC219" s="210"/>
      <c r="AD219" s="68"/>
      <c r="AH219" s="67"/>
      <c r="AI219" s="204"/>
      <c r="AK219" s="200"/>
      <c r="AN219" s="68"/>
      <c r="AO219" s="206"/>
      <c r="AS219" s="200"/>
      <c r="AT219" s="200"/>
      <c r="AU219" s="68"/>
      <c r="AY219" s="67"/>
      <c r="AZ219" s="204"/>
      <c r="BC219" s="68"/>
      <c r="BD219" s="68"/>
      <c r="BF219" s="200"/>
    </row>
    <row r="220">
      <c r="D220" s="110"/>
      <c r="F220" s="4"/>
      <c r="G220" s="4"/>
      <c r="H220" s="4"/>
      <c r="I220" s="65"/>
      <c r="K220" s="199"/>
      <c r="L220" s="65"/>
      <c r="N220" s="105"/>
      <c r="T220" s="184"/>
      <c r="Y220" s="201"/>
      <c r="Z220" s="200"/>
      <c r="AA220" s="201"/>
      <c r="AB220" s="68"/>
      <c r="AC220" s="210"/>
      <c r="AD220" s="68"/>
      <c r="AH220" s="67"/>
      <c r="AI220" s="204"/>
      <c r="AK220" s="200"/>
      <c r="AN220" s="68"/>
      <c r="AO220" s="206"/>
      <c r="AS220" s="200"/>
      <c r="AT220" s="200"/>
      <c r="AU220" s="68"/>
      <c r="AY220" s="67"/>
      <c r="AZ220" s="204"/>
      <c r="BC220" s="68"/>
      <c r="BD220" s="68"/>
      <c r="BF220" s="200"/>
    </row>
    <row r="221">
      <c r="D221" s="110"/>
      <c r="F221" s="4"/>
      <c r="G221" s="4"/>
      <c r="H221" s="4"/>
      <c r="I221" s="65"/>
      <c r="K221" s="199"/>
      <c r="L221" s="65"/>
      <c r="N221" s="105"/>
      <c r="T221" s="184"/>
      <c r="Y221" s="201"/>
      <c r="Z221" s="200"/>
      <c r="AA221" s="201"/>
      <c r="AB221" s="68"/>
      <c r="AC221" s="210"/>
      <c r="AD221" s="68"/>
      <c r="AH221" s="67"/>
      <c r="AI221" s="204"/>
      <c r="AK221" s="200"/>
      <c r="AN221" s="68"/>
      <c r="AO221" s="206"/>
      <c r="AS221" s="200"/>
      <c r="AT221" s="200"/>
      <c r="AU221" s="68"/>
      <c r="AY221" s="67"/>
      <c r="AZ221" s="204"/>
      <c r="BC221" s="68"/>
      <c r="BD221" s="68"/>
      <c r="BF221" s="200"/>
    </row>
    <row r="222">
      <c r="D222" s="110"/>
      <c r="F222" s="4"/>
      <c r="G222" s="4"/>
      <c r="H222" s="4"/>
      <c r="I222" s="65"/>
      <c r="K222" s="199"/>
      <c r="L222" s="65"/>
      <c r="N222" s="105"/>
      <c r="T222" s="184"/>
      <c r="Y222" s="201"/>
      <c r="Z222" s="200"/>
      <c r="AA222" s="201"/>
      <c r="AB222" s="68"/>
      <c r="AC222" s="210"/>
      <c r="AD222" s="68"/>
      <c r="AH222" s="67"/>
      <c r="AI222" s="204"/>
      <c r="AK222" s="200"/>
      <c r="AN222" s="68"/>
      <c r="AO222" s="206"/>
      <c r="AS222" s="200"/>
      <c r="AT222" s="200"/>
      <c r="AU222" s="68"/>
      <c r="AY222" s="67"/>
      <c r="AZ222" s="204"/>
      <c r="BC222" s="68"/>
      <c r="BD222" s="68"/>
      <c r="BF222" s="200"/>
    </row>
    <row r="223">
      <c r="D223" s="110"/>
      <c r="F223" s="4"/>
      <c r="G223" s="4"/>
      <c r="H223" s="4"/>
      <c r="I223" s="65"/>
      <c r="K223" s="199"/>
      <c r="L223" s="65"/>
      <c r="N223" s="105"/>
      <c r="T223" s="184"/>
      <c r="Y223" s="201"/>
      <c r="Z223" s="200"/>
      <c r="AA223" s="201"/>
      <c r="AB223" s="68"/>
      <c r="AC223" s="210"/>
      <c r="AD223" s="68"/>
      <c r="AH223" s="67"/>
      <c r="AI223" s="204"/>
      <c r="AK223" s="200"/>
      <c r="AN223" s="68"/>
      <c r="AO223" s="206"/>
      <c r="AS223" s="200"/>
      <c r="AT223" s="200"/>
      <c r="AU223" s="68"/>
      <c r="AY223" s="67"/>
      <c r="AZ223" s="204"/>
      <c r="BC223" s="68"/>
      <c r="BD223" s="68"/>
      <c r="BF223" s="200"/>
    </row>
    <row r="224">
      <c r="D224" s="110"/>
      <c r="F224" s="4"/>
      <c r="G224" s="4"/>
      <c r="H224" s="4"/>
      <c r="I224" s="65"/>
      <c r="K224" s="199"/>
      <c r="L224" s="65"/>
      <c r="N224" s="105"/>
      <c r="T224" s="184"/>
      <c r="Y224" s="201"/>
      <c r="Z224" s="200"/>
      <c r="AA224" s="201"/>
      <c r="AB224" s="68"/>
      <c r="AC224" s="210"/>
      <c r="AD224" s="68"/>
      <c r="AH224" s="67"/>
      <c r="AI224" s="204"/>
      <c r="AK224" s="200"/>
      <c r="AN224" s="68"/>
      <c r="AO224" s="206"/>
      <c r="AS224" s="200"/>
      <c r="AT224" s="200"/>
      <c r="AU224" s="68"/>
      <c r="AY224" s="67"/>
      <c r="AZ224" s="204"/>
      <c r="BC224" s="68"/>
      <c r="BD224" s="68"/>
      <c r="BF224" s="200"/>
    </row>
    <row r="225">
      <c r="D225" s="110"/>
      <c r="F225" s="4"/>
      <c r="G225" s="4"/>
      <c r="H225" s="4"/>
      <c r="I225" s="65"/>
      <c r="K225" s="199"/>
      <c r="L225" s="65"/>
      <c r="N225" s="105"/>
      <c r="T225" s="184"/>
      <c r="Y225" s="201"/>
      <c r="Z225" s="200"/>
      <c r="AA225" s="201"/>
      <c r="AB225" s="68"/>
      <c r="AC225" s="210"/>
      <c r="AD225" s="68"/>
      <c r="AH225" s="67"/>
      <c r="AI225" s="204"/>
      <c r="AK225" s="200"/>
      <c r="AN225" s="68"/>
      <c r="AO225" s="206"/>
      <c r="AS225" s="200"/>
      <c r="AT225" s="200"/>
      <c r="AU225" s="68"/>
      <c r="AY225" s="67"/>
      <c r="AZ225" s="204"/>
      <c r="BC225" s="68"/>
      <c r="BD225" s="68"/>
      <c r="BF225" s="200"/>
    </row>
    <row r="226">
      <c r="D226" s="110"/>
      <c r="F226" s="4"/>
      <c r="G226" s="4"/>
      <c r="H226" s="4"/>
      <c r="I226" s="65"/>
      <c r="K226" s="199"/>
      <c r="L226" s="65"/>
      <c r="N226" s="105"/>
      <c r="T226" s="184"/>
      <c r="Y226" s="201"/>
      <c r="Z226" s="200"/>
      <c r="AA226" s="201"/>
      <c r="AB226" s="68"/>
      <c r="AC226" s="210"/>
      <c r="AD226" s="68"/>
      <c r="AH226" s="67"/>
      <c r="AI226" s="204"/>
      <c r="AK226" s="200"/>
      <c r="AN226" s="68"/>
      <c r="AO226" s="206"/>
      <c r="AS226" s="200"/>
      <c r="AT226" s="200"/>
      <c r="AU226" s="68"/>
      <c r="AY226" s="67"/>
      <c r="AZ226" s="204"/>
      <c r="BC226" s="68"/>
      <c r="BD226" s="68"/>
      <c r="BF226" s="200"/>
    </row>
    <row r="227">
      <c r="D227" s="110"/>
      <c r="F227" s="4"/>
      <c r="G227" s="4"/>
      <c r="H227" s="4"/>
      <c r="I227" s="65"/>
      <c r="K227" s="199"/>
      <c r="L227" s="65"/>
      <c r="N227" s="105"/>
      <c r="T227" s="184"/>
      <c r="Y227" s="201"/>
      <c r="Z227" s="200"/>
      <c r="AA227" s="201"/>
      <c r="AB227" s="68"/>
      <c r="AC227" s="210"/>
      <c r="AD227" s="68"/>
      <c r="AH227" s="67"/>
      <c r="AI227" s="204"/>
      <c r="AK227" s="200"/>
      <c r="AN227" s="68"/>
      <c r="AO227" s="206"/>
      <c r="AS227" s="200"/>
      <c r="AT227" s="200"/>
      <c r="AU227" s="68"/>
      <c r="AY227" s="67"/>
      <c r="AZ227" s="204"/>
      <c r="BC227" s="68"/>
      <c r="BD227" s="68"/>
      <c r="BF227" s="200"/>
    </row>
    <row r="228">
      <c r="D228" s="110"/>
      <c r="F228" s="4"/>
      <c r="G228" s="4"/>
      <c r="H228" s="4"/>
      <c r="I228" s="65"/>
      <c r="K228" s="199"/>
      <c r="L228" s="65"/>
      <c r="N228" s="105"/>
      <c r="T228" s="184"/>
      <c r="Y228" s="201"/>
      <c r="Z228" s="200"/>
      <c r="AA228" s="201"/>
      <c r="AB228" s="68"/>
      <c r="AC228" s="210"/>
      <c r="AD228" s="68"/>
      <c r="AH228" s="67"/>
      <c r="AI228" s="204"/>
      <c r="AK228" s="200"/>
      <c r="AN228" s="68"/>
      <c r="AO228" s="206"/>
      <c r="AS228" s="200"/>
      <c r="AT228" s="200"/>
      <c r="AU228" s="68"/>
      <c r="AY228" s="67"/>
      <c r="AZ228" s="204"/>
      <c r="BC228" s="68"/>
      <c r="BD228" s="68"/>
      <c r="BF228" s="200"/>
    </row>
    <row r="229">
      <c r="D229" s="110"/>
      <c r="F229" s="4"/>
      <c r="G229" s="4"/>
      <c r="H229" s="4"/>
      <c r="I229" s="65"/>
      <c r="K229" s="199"/>
      <c r="L229" s="65"/>
      <c r="N229" s="105"/>
      <c r="T229" s="184"/>
      <c r="Y229" s="201"/>
      <c r="Z229" s="200"/>
      <c r="AA229" s="201"/>
      <c r="AB229" s="68"/>
      <c r="AC229" s="210"/>
      <c r="AD229" s="68"/>
      <c r="AH229" s="67"/>
      <c r="AI229" s="204"/>
      <c r="AK229" s="200"/>
      <c r="AN229" s="68"/>
      <c r="AO229" s="206"/>
      <c r="AS229" s="200"/>
      <c r="AT229" s="200"/>
      <c r="AU229" s="68"/>
      <c r="AY229" s="67"/>
      <c r="AZ229" s="204"/>
      <c r="BC229" s="68"/>
      <c r="BD229" s="68"/>
      <c r="BF229" s="200"/>
    </row>
    <row r="230">
      <c r="D230" s="110"/>
      <c r="F230" s="4"/>
      <c r="G230" s="4"/>
      <c r="H230" s="4"/>
      <c r="I230" s="65"/>
      <c r="K230" s="199"/>
      <c r="L230" s="65"/>
      <c r="N230" s="105"/>
      <c r="T230" s="184"/>
      <c r="Y230" s="201"/>
      <c r="Z230" s="200"/>
      <c r="AA230" s="201"/>
      <c r="AB230" s="68"/>
      <c r="AC230" s="210"/>
      <c r="AD230" s="68"/>
      <c r="AH230" s="67"/>
      <c r="AI230" s="204"/>
      <c r="AK230" s="200"/>
      <c r="AN230" s="68"/>
      <c r="AO230" s="206"/>
      <c r="AS230" s="200"/>
      <c r="AT230" s="200"/>
      <c r="AU230" s="68"/>
      <c r="AY230" s="67"/>
      <c r="AZ230" s="204"/>
      <c r="BC230" s="68"/>
      <c r="BD230" s="68"/>
      <c r="BF230" s="200"/>
    </row>
    <row r="231">
      <c r="D231" s="110"/>
      <c r="F231" s="4"/>
      <c r="G231" s="4"/>
      <c r="H231" s="4"/>
      <c r="I231" s="65"/>
      <c r="K231" s="199"/>
      <c r="L231" s="65"/>
      <c r="N231" s="105"/>
      <c r="T231" s="184"/>
      <c r="Y231" s="201"/>
      <c r="Z231" s="200"/>
      <c r="AA231" s="201"/>
      <c r="AB231" s="68"/>
      <c r="AC231" s="210"/>
      <c r="AD231" s="68"/>
      <c r="AH231" s="67"/>
      <c r="AI231" s="204"/>
      <c r="AK231" s="200"/>
      <c r="AN231" s="68"/>
      <c r="AO231" s="206"/>
      <c r="AS231" s="200"/>
      <c r="AT231" s="200"/>
      <c r="AU231" s="68"/>
      <c r="AY231" s="67"/>
      <c r="AZ231" s="204"/>
      <c r="BC231" s="68"/>
      <c r="BD231" s="68"/>
      <c r="BF231" s="200"/>
    </row>
    <row r="232">
      <c r="D232" s="110"/>
      <c r="F232" s="4"/>
      <c r="G232" s="4"/>
      <c r="H232" s="4"/>
      <c r="I232" s="65"/>
      <c r="K232" s="199"/>
      <c r="L232" s="65"/>
      <c r="N232" s="105"/>
      <c r="T232" s="184"/>
      <c r="Y232" s="201"/>
      <c r="Z232" s="200"/>
      <c r="AA232" s="201"/>
      <c r="AB232" s="68"/>
      <c r="AC232" s="210"/>
      <c r="AD232" s="68"/>
      <c r="AH232" s="67"/>
      <c r="AI232" s="204"/>
      <c r="AK232" s="200"/>
      <c r="AN232" s="68"/>
      <c r="AO232" s="206"/>
      <c r="AS232" s="200"/>
      <c r="AT232" s="200"/>
      <c r="AU232" s="68"/>
      <c r="AY232" s="67"/>
      <c r="AZ232" s="204"/>
      <c r="BC232" s="68"/>
      <c r="BD232" s="68"/>
      <c r="BF232" s="200"/>
    </row>
    <row r="233">
      <c r="D233" s="110"/>
      <c r="F233" s="4"/>
      <c r="G233" s="4"/>
      <c r="H233" s="4"/>
      <c r="I233" s="65"/>
      <c r="K233" s="199"/>
      <c r="L233" s="65"/>
      <c r="N233" s="105"/>
      <c r="T233" s="184"/>
      <c r="Y233" s="201"/>
      <c r="Z233" s="200"/>
      <c r="AA233" s="201"/>
      <c r="AB233" s="68"/>
      <c r="AC233" s="210"/>
      <c r="AD233" s="68"/>
      <c r="AH233" s="67"/>
      <c r="AI233" s="204"/>
      <c r="AK233" s="200"/>
      <c r="AN233" s="68"/>
      <c r="AO233" s="206"/>
      <c r="AS233" s="200"/>
      <c r="AT233" s="200"/>
      <c r="AU233" s="68"/>
      <c r="AY233" s="67"/>
      <c r="AZ233" s="204"/>
      <c r="BC233" s="68"/>
      <c r="BD233" s="68"/>
      <c r="BF233" s="200"/>
    </row>
    <row r="234">
      <c r="D234" s="110"/>
      <c r="F234" s="4"/>
      <c r="G234" s="4"/>
      <c r="H234" s="4"/>
      <c r="I234" s="65"/>
      <c r="K234" s="199"/>
      <c r="L234" s="65"/>
      <c r="N234" s="105"/>
      <c r="T234" s="184"/>
      <c r="Y234" s="201"/>
      <c r="Z234" s="200"/>
      <c r="AA234" s="201"/>
      <c r="AB234" s="68"/>
      <c r="AC234" s="210"/>
      <c r="AD234" s="68"/>
      <c r="AH234" s="67"/>
      <c r="AI234" s="204"/>
      <c r="AK234" s="200"/>
      <c r="AN234" s="68"/>
      <c r="AO234" s="206"/>
      <c r="AS234" s="200"/>
      <c r="AT234" s="200"/>
      <c r="AU234" s="68"/>
      <c r="AY234" s="67"/>
      <c r="AZ234" s="204"/>
      <c r="BC234" s="68"/>
      <c r="BD234" s="68"/>
      <c r="BF234" s="200"/>
    </row>
    <row r="235">
      <c r="D235" s="110"/>
      <c r="F235" s="4"/>
      <c r="G235" s="4"/>
      <c r="H235" s="4"/>
      <c r="I235" s="65"/>
      <c r="K235" s="199"/>
      <c r="L235" s="65"/>
      <c r="N235" s="105"/>
      <c r="T235" s="184"/>
      <c r="Y235" s="201"/>
      <c r="Z235" s="200"/>
      <c r="AA235" s="201"/>
      <c r="AB235" s="68"/>
      <c r="AC235" s="210"/>
      <c r="AD235" s="68"/>
      <c r="AH235" s="67"/>
      <c r="AI235" s="204"/>
      <c r="AK235" s="200"/>
      <c r="AN235" s="68"/>
      <c r="AO235" s="206"/>
      <c r="AS235" s="200"/>
      <c r="AT235" s="200"/>
      <c r="AU235" s="68"/>
      <c r="AY235" s="67"/>
      <c r="AZ235" s="204"/>
      <c r="BC235" s="68"/>
      <c r="BD235" s="68"/>
      <c r="BF235" s="200"/>
    </row>
    <row r="236">
      <c r="D236" s="110"/>
      <c r="F236" s="4"/>
      <c r="G236" s="4"/>
      <c r="H236" s="4"/>
      <c r="I236" s="65"/>
      <c r="K236" s="199"/>
      <c r="L236" s="65"/>
      <c r="N236" s="105"/>
      <c r="T236" s="184"/>
      <c r="Y236" s="201"/>
      <c r="Z236" s="200"/>
      <c r="AA236" s="201"/>
      <c r="AB236" s="68"/>
      <c r="AC236" s="210"/>
      <c r="AD236" s="68"/>
      <c r="AH236" s="67"/>
      <c r="AI236" s="204"/>
      <c r="AK236" s="200"/>
      <c r="AN236" s="68"/>
      <c r="AO236" s="206"/>
      <c r="AS236" s="200"/>
      <c r="AT236" s="200"/>
      <c r="AU236" s="68"/>
      <c r="AY236" s="67"/>
      <c r="AZ236" s="204"/>
      <c r="BC236" s="68"/>
      <c r="BD236" s="68"/>
      <c r="BF236" s="200"/>
    </row>
    <row r="237">
      <c r="D237" s="110"/>
      <c r="F237" s="4"/>
      <c r="G237" s="4"/>
      <c r="H237" s="4"/>
      <c r="I237" s="65"/>
      <c r="K237" s="199"/>
      <c r="L237" s="65"/>
      <c r="N237" s="105"/>
      <c r="T237" s="184"/>
      <c r="Y237" s="201"/>
      <c r="Z237" s="200"/>
      <c r="AA237" s="201"/>
      <c r="AB237" s="68"/>
      <c r="AC237" s="210"/>
      <c r="AD237" s="68"/>
      <c r="AH237" s="67"/>
      <c r="AI237" s="204"/>
      <c r="AK237" s="200"/>
      <c r="AN237" s="68"/>
      <c r="AO237" s="206"/>
      <c r="AS237" s="200"/>
      <c r="AT237" s="200"/>
      <c r="AU237" s="68"/>
      <c r="AY237" s="67"/>
      <c r="AZ237" s="204"/>
      <c r="BC237" s="68"/>
      <c r="BD237" s="68"/>
      <c r="BF237" s="200"/>
    </row>
    <row r="238">
      <c r="D238" s="110"/>
      <c r="F238" s="4"/>
      <c r="G238" s="4"/>
      <c r="H238" s="4"/>
      <c r="I238" s="65"/>
      <c r="K238" s="199"/>
      <c r="L238" s="65"/>
      <c r="N238" s="105"/>
      <c r="T238" s="184"/>
      <c r="Y238" s="201"/>
      <c r="Z238" s="200"/>
      <c r="AA238" s="201"/>
      <c r="AB238" s="68"/>
      <c r="AC238" s="210"/>
      <c r="AD238" s="68"/>
      <c r="AH238" s="67"/>
      <c r="AI238" s="204"/>
      <c r="AK238" s="200"/>
      <c r="AN238" s="68"/>
      <c r="AO238" s="206"/>
      <c r="AS238" s="200"/>
      <c r="AT238" s="200"/>
      <c r="AU238" s="68"/>
      <c r="AY238" s="67"/>
      <c r="AZ238" s="204"/>
      <c r="BC238" s="68"/>
      <c r="BD238" s="68"/>
      <c r="BF238" s="200"/>
    </row>
    <row r="239">
      <c r="D239" s="110"/>
      <c r="F239" s="4"/>
      <c r="G239" s="4"/>
      <c r="H239" s="4"/>
      <c r="I239" s="65"/>
      <c r="K239" s="199"/>
      <c r="L239" s="65"/>
      <c r="N239" s="105"/>
      <c r="T239" s="184"/>
      <c r="Y239" s="201"/>
      <c r="Z239" s="200"/>
      <c r="AA239" s="201"/>
      <c r="AB239" s="68"/>
      <c r="AC239" s="210"/>
      <c r="AD239" s="68"/>
      <c r="AH239" s="67"/>
      <c r="AI239" s="204"/>
      <c r="AK239" s="200"/>
      <c r="AN239" s="68"/>
      <c r="AO239" s="206"/>
      <c r="AS239" s="200"/>
      <c r="AT239" s="200"/>
      <c r="AU239" s="68"/>
      <c r="AY239" s="67"/>
      <c r="AZ239" s="204"/>
      <c r="BC239" s="68"/>
      <c r="BD239" s="68"/>
      <c r="BF239" s="200"/>
    </row>
    <row r="240">
      <c r="D240" s="110"/>
      <c r="F240" s="4"/>
      <c r="G240" s="4"/>
      <c r="H240" s="4"/>
      <c r="I240" s="65"/>
      <c r="K240" s="199"/>
      <c r="L240" s="65"/>
      <c r="N240" s="105"/>
      <c r="T240" s="184"/>
      <c r="Y240" s="201"/>
      <c r="Z240" s="200"/>
      <c r="AA240" s="201"/>
      <c r="AB240" s="68"/>
      <c r="AC240" s="210"/>
      <c r="AD240" s="68"/>
      <c r="AH240" s="67"/>
      <c r="AI240" s="204"/>
      <c r="AK240" s="200"/>
      <c r="AN240" s="68"/>
      <c r="AO240" s="206"/>
      <c r="AS240" s="200"/>
      <c r="AT240" s="200"/>
      <c r="AU240" s="68"/>
      <c r="AY240" s="67"/>
      <c r="AZ240" s="204"/>
      <c r="BC240" s="68"/>
      <c r="BD240" s="68"/>
      <c r="BF240" s="200"/>
    </row>
    <row r="241">
      <c r="D241" s="110"/>
      <c r="F241" s="4"/>
      <c r="G241" s="4"/>
      <c r="H241" s="4"/>
      <c r="I241" s="65"/>
      <c r="K241" s="199"/>
      <c r="L241" s="65"/>
      <c r="N241" s="105"/>
      <c r="T241" s="184"/>
      <c r="Y241" s="201"/>
      <c r="Z241" s="200"/>
      <c r="AA241" s="201"/>
      <c r="AB241" s="68"/>
      <c r="AC241" s="210"/>
      <c r="AD241" s="68"/>
      <c r="AH241" s="67"/>
      <c r="AI241" s="204"/>
      <c r="AK241" s="200"/>
      <c r="AN241" s="68"/>
      <c r="AO241" s="206"/>
      <c r="AS241" s="200"/>
      <c r="AT241" s="200"/>
      <c r="AU241" s="68"/>
      <c r="AY241" s="67"/>
      <c r="AZ241" s="204"/>
      <c r="BC241" s="68"/>
      <c r="BD241" s="68"/>
      <c r="BF241" s="200"/>
    </row>
    <row r="242">
      <c r="D242" s="110"/>
      <c r="F242" s="4"/>
      <c r="G242" s="4"/>
      <c r="H242" s="4"/>
      <c r="I242" s="65"/>
      <c r="K242" s="199"/>
      <c r="L242" s="65"/>
      <c r="N242" s="105"/>
      <c r="T242" s="184"/>
      <c r="Y242" s="201"/>
      <c r="Z242" s="200"/>
      <c r="AA242" s="201"/>
      <c r="AB242" s="68"/>
      <c r="AC242" s="210"/>
      <c r="AD242" s="68"/>
      <c r="AH242" s="67"/>
      <c r="AI242" s="204"/>
      <c r="AK242" s="200"/>
      <c r="AN242" s="68"/>
      <c r="AO242" s="206"/>
      <c r="AS242" s="200"/>
      <c r="AT242" s="200"/>
      <c r="AU242" s="68"/>
      <c r="AY242" s="67"/>
      <c r="AZ242" s="204"/>
      <c r="BC242" s="68"/>
      <c r="BD242" s="68"/>
      <c r="BF242" s="200"/>
    </row>
    <row r="243">
      <c r="D243" s="110"/>
      <c r="F243" s="4"/>
      <c r="G243" s="4"/>
      <c r="H243" s="4"/>
      <c r="I243" s="65"/>
      <c r="K243" s="199"/>
      <c r="L243" s="65"/>
      <c r="N243" s="105"/>
      <c r="T243" s="184"/>
      <c r="Y243" s="201"/>
      <c r="Z243" s="200"/>
      <c r="AA243" s="201"/>
      <c r="AB243" s="68"/>
      <c r="AC243" s="210"/>
      <c r="AD243" s="68"/>
      <c r="AH243" s="67"/>
      <c r="AI243" s="204"/>
      <c r="AK243" s="200"/>
      <c r="AN243" s="68"/>
      <c r="AO243" s="206"/>
      <c r="AS243" s="200"/>
      <c r="AT243" s="200"/>
      <c r="AU243" s="68"/>
      <c r="AY243" s="67"/>
      <c r="AZ243" s="204"/>
      <c r="BC243" s="68"/>
      <c r="BD243" s="68"/>
      <c r="BF243" s="200"/>
    </row>
    <row r="244">
      <c r="D244" s="110"/>
      <c r="F244" s="4"/>
      <c r="G244" s="4"/>
      <c r="H244" s="4"/>
      <c r="I244" s="65"/>
      <c r="K244" s="199"/>
      <c r="L244" s="65"/>
      <c r="N244" s="105"/>
      <c r="T244" s="184"/>
      <c r="Y244" s="201"/>
      <c r="Z244" s="200"/>
      <c r="AA244" s="201"/>
      <c r="AB244" s="68"/>
      <c r="AC244" s="210"/>
      <c r="AD244" s="68"/>
      <c r="AH244" s="67"/>
      <c r="AI244" s="204"/>
      <c r="AK244" s="200"/>
      <c r="AN244" s="68"/>
      <c r="AO244" s="206"/>
      <c r="AS244" s="200"/>
      <c r="AT244" s="200"/>
      <c r="AU244" s="68"/>
      <c r="AY244" s="67"/>
      <c r="AZ244" s="204"/>
      <c r="BC244" s="68"/>
      <c r="BD244" s="68"/>
      <c r="BF244" s="200"/>
    </row>
    <row r="245">
      <c r="D245" s="110"/>
      <c r="F245" s="4"/>
      <c r="G245" s="4"/>
      <c r="H245" s="4"/>
      <c r="I245" s="65"/>
      <c r="K245" s="199"/>
      <c r="L245" s="65"/>
      <c r="N245" s="105"/>
      <c r="T245" s="184"/>
      <c r="Y245" s="201"/>
      <c r="Z245" s="200"/>
      <c r="AA245" s="201"/>
      <c r="AB245" s="68"/>
      <c r="AC245" s="210"/>
      <c r="AD245" s="68"/>
      <c r="AH245" s="67"/>
      <c r="AI245" s="204"/>
      <c r="AK245" s="200"/>
      <c r="AN245" s="68"/>
      <c r="AO245" s="206"/>
      <c r="AS245" s="200"/>
      <c r="AT245" s="200"/>
      <c r="AU245" s="68"/>
      <c r="AY245" s="67"/>
      <c r="AZ245" s="204"/>
      <c r="BC245" s="68"/>
      <c r="BD245" s="68"/>
      <c r="BF245" s="200"/>
    </row>
    <row r="246">
      <c r="D246" s="110"/>
      <c r="F246" s="4"/>
      <c r="G246" s="4"/>
      <c r="H246" s="4"/>
      <c r="I246" s="65"/>
      <c r="K246" s="199"/>
      <c r="L246" s="65"/>
      <c r="N246" s="105"/>
      <c r="T246" s="184"/>
      <c r="Y246" s="201"/>
      <c r="Z246" s="200"/>
      <c r="AA246" s="201"/>
      <c r="AB246" s="68"/>
      <c r="AC246" s="210"/>
      <c r="AD246" s="68"/>
      <c r="AH246" s="67"/>
      <c r="AI246" s="204"/>
      <c r="AK246" s="200"/>
      <c r="AN246" s="68"/>
      <c r="AO246" s="206"/>
      <c r="AS246" s="200"/>
      <c r="AT246" s="200"/>
      <c r="AU246" s="68"/>
      <c r="AY246" s="67"/>
      <c r="AZ246" s="204"/>
      <c r="BC246" s="68"/>
      <c r="BD246" s="68"/>
      <c r="BF246" s="200"/>
    </row>
    <row r="247">
      <c r="D247" s="110"/>
      <c r="F247" s="4"/>
      <c r="G247" s="4"/>
      <c r="H247" s="4"/>
      <c r="I247" s="65"/>
      <c r="K247" s="199"/>
      <c r="L247" s="65"/>
      <c r="N247" s="105"/>
      <c r="T247" s="184"/>
      <c r="Y247" s="201"/>
      <c r="Z247" s="200"/>
      <c r="AA247" s="201"/>
      <c r="AB247" s="68"/>
      <c r="AC247" s="210"/>
      <c r="AD247" s="68"/>
      <c r="AH247" s="67"/>
      <c r="AI247" s="204"/>
      <c r="AK247" s="200"/>
      <c r="AN247" s="68"/>
      <c r="AO247" s="206"/>
      <c r="AS247" s="200"/>
      <c r="AT247" s="200"/>
      <c r="AU247" s="68"/>
      <c r="AY247" s="67"/>
      <c r="AZ247" s="204"/>
      <c r="BC247" s="68"/>
      <c r="BD247" s="68"/>
      <c r="BF247" s="200"/>
    </row>
    <row r="248">
      <c r="D248" s="110"/>
      <c r="F248" s="4"/>
      <c r="G248" s="4"/>
      <c r="H248" s="4"/>
      <c r="I248" s="65"/>
      <c r="K248" s="199"/>
      <c r="L248" s="65"/>
      <c r="N248" s="105"/>
      <c r="T248" s="184"/>
      <c r="Y248" s="201"/>
      <c r="Z248" s="200"/>
      <c r="AA248" s="201"/>
      <c r="AB248" s="68"/>
      <c r="AC248" s="210"/>
      <c r="AD248" s="68"/>
      <c r="AH248" s="67"/>
      <c r="AI248" s="204"/>
      <c r="AK248" s="200"/>
      <c r="AN248" s="68"/>
      <c r="AO248" s="206"/>
      <c r="AS248" s="200"/>
      <c r="AT248" s="200"/>
      <c r="AU248" s="68"/>
      <c r="AY248" s="67"/>
      <c r="AZ248" s="204"/>
      <c r="BC248" s="68"/>
      <c r="BD248" s="68"/>
      <c r="BF248" s="200"/>
    </row>
    <row r="249">
      <c r="D249" s="110"/>
      <c r="F249" s="4"/>
      <c r="G249" s="4"/>
      <c r="H249" s="4"/>
      <c r="I249" s="65"/>
      <c r="K249" s="199"/>
      <c r="L249" s="65"/>
      <c r="N249" s="105"/>
      <c r="T249" s="184"/>
      <c r="Y249" s="201"/>
      <c r="Z249" s="200"/>
      <c r="AA249" s="201"/>
      <c r="AB249" s="68"/>
      <c r="AC249" s="210"/>
      <c r="AD249" s="68"/>
      <c r="AH249" s="67"/>
      <c r="AI249" s="204"/>
      <c r="AK249" s="200"/>
      <c r="AN249" s="68"/>
      <c r="AO249" s="206"/>
      <c r="AS249" s="200"/>
      <c r="AT249" s="200"/>
      <c r="AU249" s="68"/>
      <c r="AY249" s="67"/>
      <c r="AZ249" s="204"/>
      <c r="BC249" s="68"/>
      <c r="BD249" s="68"/>
      <c r="BF249" s="200"/>
    </row>
    <row r="250">
      <c r="D250" s="110"/>
      <c r="F250" s="4"/>
      <c r="G250" s="4"/>
      <c r="H250" s="4"/>
      <c r="I250" s="65"/>
      <c r="K250" s="199"/>
      <c r="L250" s="65"/>
      <c r="N250" s="105"/>
      <c r="T250" s="184"/>
      <c r="Y250" s="201"/>
      <c r="Z250" s="200"/>
      <c r="AA250" s="201"/>
      <c r="AB250" s="68"/>
      <c r="AC250" s="210"/>
      <c r="AD250" s="68"/>
      <c r="AH250" s="67"/>
      <c r="AI250" s="204"/>
      <c r="AK250" s="200"/>
      <c r="AN250" s="68"/>
      <c r="AO250" s="206"/>
      <c r="AS250" s="200"/>
      <c r="AT250" s="200"/>
      <c r="AU250" s="68"/>
      <c r="AY250" s="67"/>
      <c r="AZ250" s="204"/>
      <c r="BC250" s="68"/>
      <c r="BD250" s="68"/>
      <c r="BF250" s="200"/>
    </row>
    <row r="251">
      <c r="D251" s="110"/>
      <c r="F251" s="4"/>
      <c r="G251" s="4"/>
      <c r="H251" s="4"/>
      <c r="I251" s="65"/>
      <c r="K251" s="199"/>
      <c r="L251" s="65"/>
      <c r="N251" s="105"/>
      <c r="T251" s="184"/>
      <c r="Y251" s="201"/>
      <c r="Z251" s="200"/>
      <c r="AA251" s="201"/>
      <c r="AB251" s="68"/>
      <c r="AC251" s="210"/>
      <c r="AD251" s="68"/>
      <c r="AH251" s="67"/>
      <c r="AI251" s="204"/>
      <c r="AK251" s="200"/>
      <c r="AN251" s="68"/>
      <c r="AO251" s="206"/>
      <c r="AS251" s="200"/>
      <c r="AT251" s="200"/>
      <c r="AU251" s="68"/>
      <c r="AY251" s="67"/>
      <c r="AZ251" s="204"/>
      <c r="BC251" s="68"/>
      <c r="BD251" s="68"/>
      <c r="BF251" s="200"/>
    </row>
    <row r="252">
      <c r="D252" s="110"/>
      <c r="F252" s="4"/>
      <c r="G252" s="4"/>
      <c r="H252" s="4"/>
      <c r="I252" s="65"/>
      <c r="K252" s="199"/>
      <c r="L252" s="65"/>
      <c r="N252" s="105"/>
      <c r="T252" s="184"/>
      <c r="Y252" s="201"/>
      <c r="Z252" s="200"/>
      <c r="AA252" s="201"/>
      <c r="AB252" s="68"/>
      <c r="AC252" s="210"/>
      <c r="AD252" s="68"/>
      <c r="AH252" s="67"/>
      <c r="AI252" s="204"/>
      <c r="AK252" s="200"/>
      <c r="AN252" s="68"/>
      <c r="AO252" s="206"/>
      <c r="AS252" s="200"/>
      <c r="AT252" s="200"/>
      <c r="AU252" s="68"/>
      <c r="AY252" s="67"/>
      <c r="AZ252" s="204"/>
      <c r="BC252" s="68"/>
      <c r="BD252" s="68"/>
      <c r="BF252" s="200"/>
    </row>
    <row r="253">
      <c r="D253" s="110"/>
      <c r="F253" s="4"/>
      <c r="G253" s="4"/>
      <c r="H253" s="4"/>
      <c r="I253" s="65"/>
      <c r="K253" s="199"/>
      <c r="L253" s="65"/>
      <c r="N253" s="105"/>
      <c r="T253" s="184"/>
      <c r="Y253" s="201"/>
      <c r="Z253" s="200"/>
      <c r="AA253" s="201"/>
      <c r="AB253" s="68"/>
      <c r="AC253" s="210"/>
      <c r="AD253" s="68"/>
      <c r="AH253" s="67"/>
      <c r="AI253" s="204"/>
      <c r="AK253" s="200"/>
      <c r="AN253" s="68"/>
      <c r="AO253" s="206"/>
      <c r="AS253" s="200"/>
      <c r="AT253" s="200"/>
      <c r="AU253" s="68"/>
      <c r="AY253" s="67"/>
      <c r="AZ253" s="204"/>
      <c r="BC253" s="68"/>
      <c r="BD253" s="68"/>
      <c r="BF253" s="200"/>
    </row>
    <row r="254">
      <c r="D254" s="110"/>
      <c r="F254" s="4"/>
      <c r="G254" s="4"/>
      <c r="H254" s="4"/>
      <c r="I254" s="65"/>
      <c r="K254" s="199"/>
      <c r="L254" s="65"/>
      <c r="N254" s="105"/>
      <c r="T254" s="184"/>
      <c r="Y254" s="201"/>
      <c r="Z254" s="200"/>
      <c r="AA254" s="201"/>
      <c r="AB254" s="68"/>
      <c r="AC254" s="210"/>
      <c r="AD254" s="68"/>
      <c r="AH254" s="67"/>
      <c r="AI254" s="204"/>
      <c r="AK254" s="200"/>
      <c r="AN254" s="68"/>
      <c r="AO254" s="206"/>
      <c r="AS254" s="200"/>
      <c r="AT254" s="200"/>
      <c r="AU254" s="68"/>
      <c r="AY254" s="67"/>
      <c r="AZ254" s="204"/>
      <c r="BC254" s="68"/>
      <c r="BD254" s="68"/>
      <c r="BF254" s="200"/>
    </row>
    <row r="255">
      <c r="D255" s="110"/>
      <c r="F255" s="4"/>
      <c r="G255" s="4"/>
      <c r="H255" s="4"/>
      <c r="I255" s="65"/>
      <c r="K255" s="199"/>
      <c r="L255" s="65"/>
      <c r="N255" s="105"/>
      <c r="T255" s="184"/>
      <c r="Y255" s="201"/>
      <c r="Z255" s="200"/>
      <c r="AA255" s="201"/>
      <c r="AB255" s="68"/>
      <c r="AC255" s="210"/>
      <c r="AD255" s="68"/>
      <c r="AH255" s="67"/>
      <c r="AI255" s="204"/>
      <c r="AK255" s="200"/>
      <c r="AN255" s="68"/>
      <c r="AO255" s="206"/>
      <c r="AS255" s="200"/>
      <c r="AT255" s="200"/>
      <c r="AU255" s="68"/>
      <c r="AY255" s="67"/>
      <c r="AZ255" s="204"/>
      <c r="BC255" s="68"/>
      <c r="BD255" s="68"/>
      <c r="BF255" s="200"/>
    </row>
    <row r="256">
      <c r="D256" s="110"/>
      <c r="F256" s="4"/>
      <c r="G256" s="4"/>
      <c r="H256" s="4"/>
      <c r="I256" s="65"/>
      <c r="K256" s="199"/>
      <c r="L256" s="65"/>
      <c r="N256" s="105"/>
      <c r="T256" s="184"/>
      <c r="Y256" s="201"/>
      <c r="Z256" s="200"/>
      <c r="AA256" s="201"/>
      <c r="AB256" s="68"/>
      <c r="AC256" s="210"/>
      <c r="AD256" s="68"/>
      <c r="AH256" s="67"/>
      <c r="AI256" s="204"/>
      <c r="AK256" s="200"/>
      <c r="AN256" s="68"/>
      <c r="AO256" s="206"/>
      <c r="AS256" s="200"/>
      <c r="AT256" s="200"/>
      <c r="AU256" s="68"/>
      <c r="AY256" s="67"/>
      <c r="AZ256" s="204"/>
      <c r="BC256" s="68"/>
      <c r="BD256" s="68"/>
      <c r="BF256" s="200"/>
    </row>
    <row r="257">
      <c r="D257" s="110"/>
      <c r="F257" s="4"/>
      <c r="G257" s="4"/>
      <c r="H257" s="4"/>
      <c r="I257" s="65"/>
      <c r="K257" s="199"/>
      <c r="L257" s="65"/>
      <c r="N257" s="105"/>
      <c r="T257" s="184"/>
      <c r="Y257" s="201"/>
      <c r="Z257" s="200"/>
      <c r="AA257" s="201"/>
      <c r="AB257" s="68"/>
      <c r="AC257" s="210"/>
      <c r="AD257" s="68"/>
      <c r="AH257" s="67"/>
      <c r="AI257" s="204"/>
      <c r="AK257" s="200"/>
      <c r="AN257" s="68"/>
      <c r="AO257" s="206"/>
      <c r="AS257" s="200"/>
      <c r="AT257" s="200"/>
      <c r="AU257" s="68"/>
      <c r="AY257" s="67"/>
      <c r="AZ257" s="204"/>
      <c r="BC257" s="68"/>
      <c r="BD257" s="68"/>
      <c r="BF257" s="200"/>
    </row>
    <row r="258">
      <c r="D258" s="110"/>
      <c r="F258" s="4"/>
      <c r="G258" s="4"/>
      <c r="H258" s="4"/>
      <c r="I258" s="65"/>
      <c r="K258" s="199"/>
      <c r="L258" s="65"/>
      <c r="N258" s="105"/>
      <c r="T258" s="184"/>
      <c r="Y258" s="201"/>
      <c r="Z258" s="200"/>
      <c r="AA258" s="201"/>
      <c r="AB258" s="68"/>
      <c r="AC258" s="210"/>
      <c r="AD258" s="68"/>
      <c r="AH258" s="67"/>
      <c r="AI258" s="204"/>
      <c r="AK258" s="200"/>
      <c r="AN258" s="68"/>
      <c r="AO258" s="206"/>
      <c r="AS258" s="200"/>
      <c r="AT258" s="200"/>
      <c r="AU258" s="68"/>
      <c r="AY258" s="67"/>
      <c r="AZ258" s="204"/>
      <c r="BC258" s="68"/>
      <c r="BD258" s="68"/>
      <c r="BF258" s="200"/>
    </row>
    <row r="259">
      <c r="D259" s="110"/>
      <c r="F259" s="4"/>
      <c r="G259" s="4"/>
      <c r="H259" s="4"/>
      <c r="I259" s="65"/>
      <c r="K259" s="199"/>
      <c r="L259" s="65"/>
      <c r="N259" s="105"/>
      <c r="T259" s="184"/>
      <c r="Y259" s="201"/>
      <c r="Z259" s="200"/>
      <c r="AA259" s="201"/>
      <c r="AB259" s="68"/>
      <c r="AC259" s="210"/>
      <c r="AD259" s="68"/>
      <c r="AH259" s="67"/>
      <c r="AI259" s="204"/>
      <c r="AK259" s="200"/>
      <c r="AN259" s="68"/>
      <c r="AO259" s="206"/>
      <c r="AS259" s="200"/>
      <c r="AT259" s="200"/>
      <c r="AU259" s="68"/>
      <c r="AY259" s="67"/>
      <c r="AZ259" s="204"/>
      <c r="BC259" s="68"/>
      <c r="BD259" s="68"/>
      <c r="BF259" s="200"/>
    </row>
    <row r="260">
      <c r="D260" s="110"/>
      <c r="F260" s="4"/>
      <c r="G260" s="4"/>
      <c r="H260" s="4"/>
      <c r="I260" s="65"/>
      <c r="K260" s="199"/>
      <c r="L260" s="65"/>
      <c r="N260" s="105"/>
      <c r="T260" s="184"/>
      <c r="Y260" s="201"/>
      <c r="Z260" s="200"/>
      <c r="AA260" s="201"/>
      <c r="AB260" s="68"/>
      <c r="AC260" s="210"/>
      <c r="AD260" s="68"/>
      <c r="AH260" s="67"/>
      <c r="AI260" s="204"/>
      <c r="AK260" s="200"/>
      <c r="AN260" s="68"/>
      <c r="AO260" s="206"/>
      <c r="AS260" s="200"/>
      <c r="AT260" s="200"/>
      <c r="AU260" s="68"/>
      <c r="AY260" s="67"/>
      <c r="AZ260" s="204"/>
      <c r="BC260" s="68"/>
      <c r="BD260" s="68"/>
      <c r="BF260" s="200"/>
    </row>
    <row r="261">
      <c r="D261" s="110"/>
      <c r="F261" s="4"/>
      <c r="G261" s="4"/>
      <c r="H261" s="4"/>
      <c r="I261" s="65"/>
      <c r="K261" s="199"/>
      <c r="L261" s="65"/>
      <c r="N261" s="105"/>
      <c r="T261" s="184"/>
      <c r="Y261" s="201"/>
      <c r="Z261" s="200"/>
      <c r="AA261" s="201"/>
      <c r="AB261" s="68"/>
      <c r="AC261" s="210"/>
      <c r="AD261" s="68"/>
      <c r="AH261" s="67"/>
      <c r="AI261" s="204"/>
      <c r="AK261" s="200"/>
      <c r="AN261" s="68"/>
      <c r="AO261" s="206"/>
      <c r="AS261" s="200"/>
      <c r="AT261" s="200"/>
      <c r="AU261" s="68"/>
      <c r="AY261" s="67"/>
      <c r="AZ261" s="204"/>
      <c r="BC261" s="68"/>
      <c r="BD261" s="68"/>
      <c r="BF261" s="200"/>
    </row>
    <row r="262">
      <c r="D262" s="110"/>
      <c r="F262" s="4"/>
      <c r="G262" s="4"/>
      <c r="H262" s="4"/>
      <c r="I262" s="65"/>
      <c r="K262" s="199"/>
      <c r="L262" s="65"/>
      <c r="N262" s="105"/>
      <c r="T262" s="184"/>
      <c r="Y262" s="201"/>
      <c r="Z262" s="200"/>
      <c r="AA262" s="201"/>
      <c r="AB262" s="68"/>
      <c r="AC262" s="210"/>
      <c r="AD262" s="68"/>
      <c r="AH262" s="67"/>
      <c r="AI262" s="204"/>
      <c r="AK262" s="200"/>
      <c r="AN262" s="68"/>
      <c r="AO262" s="206"/>
      <c r="AS262" s="200"/>
      <c r="AT262" s="200"/>
      <c r="AU262" s="68"/>
      <c r="AY262" s="67"/>
      <c r="AZ262" s="204"/>
      <c r="BC262" s="68"/>
      <c r="BD262" s="68"/>
      <c r="BF262" s="200"/>
    </row>
    <row r="263">
      <c r="D263" s="110"/>
      <c r="F263" s="4"/>
      <c r="G263" s="4"/>
      <c r="H263" s="4"/>
      <c r="I263" s="65"/>
      <c r="K263" s="199"/>
      <c r="L263" s="65"/>
      <c r="N263" s="105"/>
      <c r="T263" s="184"/>
      <c r="Y263" s="201"/>
      <c r="Z263" s="200"/>
      <c r="AA263" s="201"/>
      <c r="AB263" s="68"/>
      <c r="AC263" s="210"/>
      <c r="AD263" s="68"/>
      <c r="AH263" s="67"/>
      <c r="AI263" s="204"/>
      <c r="AK263" s="200"/>
      <c r="AN263" s="68"/>
      <c r="AO263" s="206"/>
      <c r="AS263" s="200"/>
      <c r="AT263" s="200"/>
      <c r="AU263" s="68"/>
      <c r="AY263" s="67"/>
      <c r="AZ263" s="204"/>
      <c r="BC263" s="68"/>
      <c r="BD263" s="68"/>
      <c r="BF263" s="200"/>
    </row>
    <row r="264">
      <c r="D264" s="110"/>
      <c r="F264" s="4"/>
      <c r="G264" s="4"/>
      <c r="H264" s="4"/>
      <c r="I264" s="65"/>
      <c r="K264" s="199"/>
      <c r="L264" s="65"/>
      <c r="N264" s="105"/>
      <c r="T264" s="184"/>
      <c r="Y264" s="201"/>
      <c r="Z264" s="200"/>
      <c r="AA264" s="201"/>
      <c r="AB264" s="68"/>
      <c r="AC264" s="210"/>
      <c r="AD264" s="68"/>
      <c r="AH264" s="67"/>
      <c r="AI264" s="204"/>
      <c r="AK264" s="200"/>
      <c r="AN264" s="68"/>
      <c r="AO264" s="206"/>
      <c r="AS264" s="200"/>
      <c r="AT264" s="200"/>
      <c r="AU264" s="68"/>
      <c r="AY264" s="67"/>
      <c r="AZ264" s="204"/>
      <c r="BC264" s="68"/>
      <c r="BD264" s="68"/>
      <c r="BF264" s="200"/>
    </row>
    <row r="265">
      <c r="D265" s="110"/>
      <c r="F265" s="4"/>
      <c r="G265" s="4"/>
      <c r="H265" s="4"/>
      <c r="I265" s="65"/>
      <c r="K265" s="199"/>
      <c r="L265" s="65"/>
      <c r="N265" s="105"/>
      <c r="T265" s="184"/>
      <c r="Y265" s="201"/>
      <c r="Z265" s="200"/>
      <c r="AA265" s="201"/>
      <c r="AB265" s="68"/>
      <c r="AC265" s="210"/>
      <c r="AD265" s="68"/>
      <c r="AH265" s="67"/>
      <c r="AI265" s="204"/>
      <c r="AK265" s="200"/>
      <c r="AN265" s="68"/>
      <c r="AO265" s="206"/>
      <c r="AS265" s="200"/>
      <c r="AT265" s="200"/>
      <c r="AU265" s="68"/>
      <c r="AY265" s="67"/>
      <c r="AZ265" s="204"/>
      <c r="BC265" s="68"/>
      <c r="BD265" s="68"/>
      <c r="BF265" s="200"/>
    </row>
    <row r="266">
      <c r="D266" s="110"/>
      <c r="F266" s="4"/>
      <c r="G266" s="4"/>
      <c r="H266" s="4"/>
      <c r="I266" s="65"/>
      <c r="K266" s="199"/>
      <c r="L266" s="65"/>
      <c r="N266" s="105"/>
      <c r="T266" s="184"/>
      <c r="Y266" s="201"/>
      <c r="Z266" s="200"/>
      <c r="AA266" s="201"/>
      <c r="AB266" s="68"/>
      <c r="AC266" s="210"/>
      <c r="AD266" s="68"/>
      <c r="AH266" s="67"/>
      <c r="AI266" s="204"/>
      <c r="AK266" s="200"/>
      <c r="AN266" s="68"/>
      <c r="AO266" s="206"/>
      <c r="AS266" s="200"/>
      <c r="AT266" s="200"/>
      <c r="AU266" s="68"/>
      <c r="AY266" s="67"/>
      <c r="AZ266" s="204"/>
      <c r="BC266" s="68"/>
      <c r="BD266" s="68"/>
      <c r="BF266" s="200"/>
    </row>
    <row r="267">
      <c r="D267" s="110"/>
      <c r="F267" s="4"/>
      <c r="G267" s="4"/>
      <c r="H267" s="4"/>
      <c r="I267" s="65"/>
      <c r="K267" s="199"/>
      <c r="L267" s="65"/>
      <c r="N267" s="105"/>
      <c r="T267" s="184"/>
      <c r="Y267" s="201"/>
      <c r="Z267" s="200"/>
      <c r="AA267" s="201"/>
      <c r="AB267" s="68"/>
      <c r="AC267" s="210"/>
      <c r="AD267" s="68"/>
      <c r="AH267" s="67"/>
      <c r="AI267" s="204"/>
      <c r="AK267" s="200"/>
      <c r="AN267" s="68"/>
      <c r="AO267" s="206"/>
      <c r="AS267" s="200"/>
      <c r="AT267" s="200"/>
      <c r="AU267" s="68"/>
      <c r="AY267" s="67"/>
      <c r="AZ267" s="204"/>
      <c r="BC267" s="68"/>
      <c r="BD267" s="68"/>
      <c r="BF267" s="200"/>
    </row>
    <row r="268">
      <c r="D268" s="110"/>
      <c r="F268" s="4"/>
      <c r="G268" s="4"/>
      <c r="H268" s="4"/>
      <c r="I268" s="65"/>
      <c r="K268" s="199"/>
      <c r="L268" s="65"/>
      <c r="N268" s="105"/>
      <c r="T268" s="184"/>
      <c r="Y268" s="201"/>
      <c r="Z268" s="200"/>
      <c r="AA268" s="201"/>
      <c r="AB268" s="68"/>
      <c r="AC268" s="210"/>
      <c r="AD268" s="68"/>
      <c r="AH268" s="67"/>
      <c r="AI268" s="204"/>
      <c r="AK268" s="200"/>
      <c r="AN268" s="68"/>
      <c r="AO268" s="206"/>
      <c r="AS268" s="200"/>
      <c r="AT268" s="200"/>
      <c r="AU268" s="68"/>
      <c r="AY268" s="67"/>
      <c r="AZ268" s="204"/>
      <c r="BC268" s="68"/>
      <c r="BD268" s="68"/>
      <c r="BF268" s="200"/>
    </row>
    <row r="269">
      <c r="D269" s="110"/>
      <c r="F269" s="4"/>
      <c r="G269" s="4"/>
      <c r="H269" s="4"/>
      <c r="I269" s="65"/>
      <c r="K269" s="199"/>
      <c r="L269" s="65"/>
      <c r="N269" s="105"/>
      <c r="T269" s="184"/>
      <c r="Y269" s="201"/>
      <c r="Z269" s="200"/>
      <c r="AA269" s="201"/>
      <c r="AB269" s="68"/>
      <c r="AC269" s="210"/>
      <c r="AD269" s="68"/>
      <c r="AH269" s="67"/>
      <c r="AI269" s="204"/>
      <c r="AK269" s="200"/>
      <c r="AN269" s="68"/>
      <c r="AO269" s="206"/>
      <c r="AS269" s="200"/>
      <c r="AT269" s="200"/>
      <c r="AU269" s="68"/>
      <c r="AY269" s="67"/>
      <c r="AZ269" s="204"/>
      <c r="BC269" s="68"/>
      <c r="BD269" s="68"/>
      <c r="BF269" s="200"/>
    </row>
    <row r="270">
      <c r="D270" s="110"/>
      <c r="F270" s="4"/>
      <c r="G270" s="4"/>
      <c r="H270" s="4"/>
      <c r="I270" s="65"/>
      <c r="K270" s="199"/>
      <c r="L270" s="65"/>
      <c r="N270" s="105"/>
      <c r="T270" s="184"/>
      <c r="Y270" s="201"/>
      <c r="Z270" s="200"/>
      <c r="AA270" s="201"/>
      <c r="AB270" s="68"/>
      <c r="AC270" s="210"/>
      <c r="AD270" s="68"/>
      <c r="AH270" s="67"/>
      <c r="AI270" s="204"/>
      <c r="AK270" s="200"/>
      <c r="AN270" s="68"/>
      <c r="AO270" s="206"/>
      <c r="AS270" s="200"/>
      <c r="AT270" s="200"/>
      <c r="AU270" s="68"/>
      <c r="AY270" s="67"/>
      <c r="AZ270" s="204"/>
      <c r="BC270" s="68"/>
      <c r="BD270" s="68"/>
      <c r="BF270" s="200"/>
    </row>
    <row r="271">
      <c r="D271" s="110"/>
      <c r="F271" s="4"/>
      <c r="G271" s="4"/>
      <c r="H271" s="4"/>
      <c r="I271" s="65"/>
      <c r="K271" s="199"/>
      <c r="L271" s="65"/>
      <c r="N271" s="105"/>
      <c r="T271" s="184"/>
      <c r="Y271" s="201"/>
      <c r="Z271" s="200"/>
      <c r="AA271" s="201"/>
      <c r="AB271" s="68"/>
      <c r="AC271" s="210"/>
      <c r="AD271" s="68"/>
      <c r="AH271" s="67"/>
      <c r="AI271" s="204"/>
      <c r="AK271" s="200"/>
      <c r="AN271" s="68"/>
      <c r="AO271" s="206"/>
      <c r="AS271" s="200"/>
      <c r="AT271" s="200"/>
      <c r="AU271" s="68"/>
      <c r="AY271" s="67"/>
      <c r="AZ271" s="204"/>
      <c r="BC271" s="68"/>
      <c r="BD271" s="68"/>
      <c r="BF271" s="200"/>
    </row>
    <row r="272">
      <c r="D272" s="110"/>
      <c r="F272" s="4"/>
      <c r="G272" s="4"/>
      <c r="H272" s="4"/>
      <c r="I272" s="65"/>
      <c r="K272" s="199"/>
      <c r="L272" s="65"/>
      <c r="N272" s="105"/>
      <c r="T272" s="184"/>
      <c r="Y272" s="201"/>
      <c r="Z272" s="200"/>
      <c r="AA272" s="201"/>
      <c r="AB272" s="68"/>
      <c r="AC272" s="210"/>
      <c r="AD272" s="68"/>
      <c r="AH272" s="67"/>
      <c r="AI272" s="204"/>
      <c r="AK272" s="200"/>
      <c r="AN272" s="68"/>
      <c r="AO272" s="206"/>
      <c r="AS272" s="200"/>
      <c r="AT272" s="200"/>
      <c r="AU272" s="68"/>
      <c r="AY272" s="67"/>
      <c r="AZ272" s="204"/>
      <c r="BC272" s="68"/>
      <c r="BD272" s="68"/>
      <c r="BF272" s="200"/>
    </row>
    <row r="273">
      <c r="D273" s="110"/>
      <c r="F273" s="4"/>
      <c r="G273" s="4"/>
      <c r="H273" s="4"/>
      <c r="I273" s="65"/>
      <c r="K273" s="199"/>
      <c r="L273" s="65"/>
      <c r="N273" s="105"/>
      <c r="T273" s="184"/>
      <c r="Y273" s="201"/>
      <c r="Z273" s="200"/>
      <c r="AA273" s="201"/>
      <c r="AB273" s="68"/>
      <c r="AC273" s="210"/>
      <c r="AD273" s="68"/>
      <c r="AH273" s="67"/>
      <c r="AI273" s="204"/>
      <c r="AK273" s="200"/>
      <c r="AN273" s="68"/>
      <c r="AO273" s="206"/>
      <c r="AS273" s="200"/>
      <c r="AT273" s="200"/>
      <c r="AU273" s="68"/>
      <c r="AY273" s="67"/>
      <c r="AZ273" s="204"/>
      <c r="BC273" s="68"/>
      <c r="BD273" s="68"/>
      <c r="BF273" s="200"/>
    </row>
    <row r="274">
      <c r="D274" s="110"/>
      <c r="F274" s="4"/>
      <c r="G274" s="4"/>
      <c r="H274" s="4"/>
      <c r="I274" s="65"/>
      <c r="K274" s="199"/>
      <c r="L274" s="65"/>
      <c r="N274" s="105"/>
      <c r="T274" s="184"/>
      <c r="Y274" s="201"/>
      <c r="Z274" s="200"/>
      <c r="AA274" s="201"/>
      <c r="AB274" s="68"/>
      <c r="AC274" s="210"/>
      <c r="AD274" s="68"/>
      <c r="AH274" s="67"/>
      <c r="AI274" s="204"/>
      <c r="AK274" s="200"/>
      <c r="AN274" s="68"/>
      <c r="AO274" s="206"/>
      <c r="AS274" s="200"/>
      <c r="AT274" s="200"/>
      <c r="AU274" s="68"/>
      <c r="AY274" s="67"/>
      <c r="AZ274" s="204"/>
      <c r="BC274" s="68"/>
      <c r="BD274" s="68"/>
      <c r="BF274" s="200"/>
    </row>
    <row r="275">
      <c r="D275" s="110"/>
      <c r="F275" s="4"/>
      <c r="G275" s="4"/>
      <c r="H275" s="4"/>
      <c r="I275" s="65"/>
      <c r="K275" s="199"/>
      <c r="L275" s="65"/>
      <c r="N275" s="105"/>
      <c r="T275" s="184"/>
      <c r="Y275" s="201"/>
      <c r="Z275" s="200"/>
      <c r="AA275" s="201"/>
      <c r="AB275" s="68"/>
      <c r="AC275" s="210"/>
      <c r="AD275" s="68"/>
      <c r="AH275" s="67"/>
      <c r="AI275" s="204"/>
      <c r="AK275" s="200"/>
      <c r="AN275" s="68"/>
      <c r="AO275" s="206"/>
      <c r="AS275" s="200"/>
      <c r="AT275" s="200"/>
      <c r="AU275" s="68"/>
      <c r="AY275" s="67"/>
      <c r="AZ275" s="204"/>
      <c r="BC275" s="68"/>
      <c r="BD275" s="68"/>
      <c r="BF275" s="200"/>
    </row>
    <row r="276">
      <c r="D276" s="110"/>
      <c r="F276" s="4"/>
      <c r="G276" s="4"/>
      <c r="H276" s="4"/>
      <c r="I276" s="65"/>
      <c r="K276" s="199"/>
      <c r="L276" s="65"/>
      <c r="N276" s="105"/>
      <c r="T276" s="184"/>
      <c r="Y276" s="201"/>
      <c r="Z276" s="200"/>
      <c r="AA276" s="201"/>
      <c r="AB276" s="68"/>
      <c r="AC276" s="210"/>
      <c r="AD276" s="68"/>
      <c r="AH276" s="67"/>
      <c r="AI276" s="204"/>
      <c r="AK276" s="200"/>
      <c r="AN276" s="68"/>
      <c r="AO276" s="206"/>
      <c r="AS276" s="200"/>
      <c r="AT276" s="200"/>
      <c r="AU276" s="68"/>
      <c r="AY276" s="67"/>
      <c r="AZ276" s="204"/>
      <c r="BC276" s="68"/>
      <c r="BD276" s="68"/>
      <c r="BF276" s="200"/>
    </row>
    <row r="277">
      <c r="D277" s="110"/>
      <c r="F277" s="4"/>
      <c r="G277" s="4"/>
      <c r="H277" s="4"/>
      <c r="I277" s="65"/>
      <c r="K277" s="199"/>
      <c r="L277" s="65"/>
      <c r="N277" s="105"/>
      <c r="T277" s="184"/>
      <c r="Y277" s="201"/>
      <c r="Z277" s="200"/>
      <c r="AA277" s="201"/>
      <c r="AB277" s="68"/>
      <c r="AC277" s="210"/>
      <c r="AD277" s="68"/>
      <c r="AH277" s="67"/>
      <c r="AI277" s="204"/>
      <c r="AK277" s="200"/>
      <c r="AN277" s="68"/>
      <c r="AO277" s="206"/>
      <c r="AS277" s="200"/>
      <c r="AT277" s="200"/>
      <c r="AU277" s="68"/>
      <c r="AY277" s="67"/>
      <c r="AZ277" s="204"/>
      <c r="BC277" s="68"/>
      <c r="BD277" s="68"/>
      <c r="BF277" s="200"/>
    </row>
    <row r="278">
      <c r="D278" s="110"/>
      <c r="F278" s="4"/>
      <c r="G278" s="4"/>
      <c r="H278" s="4"/>
      <c r="I278" s="65"/>
      <c r="K278" s="199"/>
      <c r="L278" s="65"/>
      <c r="N278" s="105"/>
      <c r="T278" s="184"/>
      <c r="Y278" s="201"/>
      <c r="Z278" s="200"/>
      <c r="AA278" s="201"/>
      <c r="AB278" s="68"/>
      <c r="AC278" s="210"/>
      <c r="AD278" s="68"/>
      <c r="AH278" s="67"/>
      <c r="AI278" s="204"/>
      <c r="AK278" s="200"/>
      <c r="AN278" s="68"/>
      <c r="AO278" s="206"/>
      <c r="AS278" s="200"/>
      <c r="AT278" s="200"/>
      <c r="AU278" s="68"/>
      <c r="AY278" s="67"/>
      <c r="AZ278" s="204"/>
      <c r="BC278" s="68"/>
      <c r="BD278" s="68"/>
      <c r="BF278" s="200"/>
    </row>
    <row r="279">
      <c r="D279" s="110"/>
      <c r="F279" s="4"/>
      <c r="G279" s="4"/>
      <c r="H279" s="4"/>
      <c r="I279" s="65"/>
      <c r="K279" s="199"/>
      <c r="L279" s="65"/>
      <c r="N279" s="105"/>
      <c r="T279" s="184"/>
      <c r="Y279" s="201"/>
      <c r="Z279" s="200"/>
      <c r="AA279" s="201"/>
      <c r="AB279" s="68"/>
      <c r="AC279" s="210"/>
      <c r="AD279" s="68"/>
      <c r="AH279" s="67"/>
      <c r="AI279" s="204"/>
      <c r="AK279" s="200"/>
      <c r="AN279" s="68"/>
      <c r="AO279" s="206"/>
      <c r="AS279" s="200"/>
      <c r="AT279" s="200"/>
      <c r="AU279" s="68"/>
      <c r="AY279" s="67"/>
      <c r="AZ279" s="204"/>
      <c r="BC279" s="68"/>
      <c r="BD279" s="68"/>
      <c r="BF279" s="200"/>
    </row>
    <row r="280">
      <c r="D280" s="110"/>
      <c r="F280" s="4"/>
      <c r="G280" s="4"/>
      <c r="H280" s="4"/>
      <c r="I280" s="65"/>
      <c r="K280" s="199"/>
      <c r="L280" s="65"/>
      <c r="N280" s="105"/>
      <c r="T280" s="184"/>
      <c r="Y280" s="201"/>
      <c r="Z280" s="200"/>
      <c r="AA280" s="201"/>
      <c r="AB280" s="68"/>
      <c r="AC280" s="210"/>
      <c r="AD280" s="68"/>
      <c r="AH280" s="67"/>
      <c r="AI280" s="204"/>
      <c r="AK280" s="200"/>
      <c r="AN280" s="68"/>
      <c r="AO280" s="206"/>
      <c r="AS280" s="200"/>
      <c r="AT280" s="200"/>
      <c r="AU280" s="68"/>
      <c r="AY280" s="67"/>
      <c r="AZ280" s="204"/>
      <c r="BC280" s="68"/>
      <c r="BD280" s="68"/>
      <c r="BF280" s="200"/>
    </row>
    <row r="281">
      <c r="D281" s="110"/>
      <c r="F281" s="4"/>
      <c r="G281" s="4"/>
      <c r="H281" s="4"/>
      <c r="I281" s="65"/>
      <c r="K281" s="199"/>
      <c r="L281" s="65"/>
      <c r="N281" s="105"/>
      <c r="T281" s="184"/>
      <c r="Y281" s="201"/>
      <c r="Z281" s="200"/>
      <c r="AA281" s="201"/>
      <c r="AB281" s="68"/>
      <c r="AC281" s="210"/>
      <c r="AD281" s="68"/>
      <c r="AH281" s="67"/>
      <c r="AI281" s="204"/>
      <c r="AK281" s="200"/>
      <c r="AN281" s="68"/>
      <c r="AO281" s="206"/>
      <c r="AS281" s="200"/>
      <c r="AT281" s="200"/>
      <c r="AU281" s="68"/>
      <c r="AY281" s="67"/>
      <c r="AZ281" s="204"/>
      <c r="BC281" s="68"/>
      <c r="BD281" s="68"/>
      <c r="BF281" s="200"/>
    </row>
    <row r="282">
      <c r="D282" s="110"/>
      <c r="F282" s="4"/>
      <c r="G282" s="4"/>
      <c r="H282" s="4"/>
      <c r="I282" s="65"/>
      <c r="K282" s="199"/>
      <c r="L282" s="65"/>
      <c r="N282" s="105"/>
      <c r="T282" s="184"/>
      <c r="Y282" s="201"/>
      <c r="Z282" s="200"/>
      <c r="AA282" s="201"/>
      <c r="AB282" s="68"/>
      <c r="AC282" s="210"/>
      <c r="AD282" s="68"/>
      <c r="AH282" s="67"/>
      <c r="AI282" s="204"/>
      <c r="AK282" s="200"/>
      <c r="AN282" s="68"/>
      <c r="AO282" s="206"/>
      <c r="AS282" s="200"/>
      <c r="AT282" s="200"/>
      <c r="AU282" s="68"/>
      <c r="AY282" s="67"/>
      <c r="AZ282" s="204"/>
      <c r="BC282" s="68"/>
      <c r="BD282" s="68"/>
      <c r="BF282" s="200"/>
    </row>
    <row r="283">
      <c r="D283" s="110"/>
      <c r="F283" s="4"/>
      <c r="G283" s="4"/>
      <c r="H283" s="4"/>
      <c r="I283" s="65"/>
      <c r="K283" s="199"/>
      <c r="L283" s="65"/>
      <c r="N283" s="105"/>
      <c r="T283" s="184"/>
      <c r="Y283" s="201"/>
      <c r="Z283" s="200"/>
      <c r="AA283" s="201"/>
      <c r="AB283" s="68"/>
      <c r="AC283" s="210"/>
      <c r="AD283" s="68"/>
      <c r="AH283" s="67"/>
      <c r="AI283" s="204"/>
      <c r="AK283" s="200"/>
      <c r="AN283" s="68"/>
      <c r="AO283" s="206"/>
      <c r="AS283" s="200"/>
      <c r="AT283" s="200"/>
      <c r="AU283" s="68"/>
      <c r="AY283" s="67"/>
      <c r="AZ283" s="204"/>
      <c r="BC283" s="68"/>
      <c r="BD283" s="68"/>
      <c r="BF283" s="200"/>
    </row>
    <row r="284">
      <c r="D284" s="110"/>
      <c r="F284" s="4"/>
      <c r="G284" s="4"/>
      <c r="H284" s="4"/>
      <c r="I284" s="65"/>
      <c r="K284" s="199"/>
      <c r="L284" s="65"/>
      <c r="N284" s="105"/>
      <c r="T284" s="184"/>
      <c r="Y284" s="201"/>
      <c r="Z284" s="200"/>
      <c r="AA284" s="201"/>
      <c r="AB284" s="68"/>
      <c r="AC284" s="210"/>
      <c r="AD284" s="68"/>
      <c r="AH284" s="67"/>
      <c r="AI284" s="204"/>
      <c r="AK284" s="200"/>
      <c r="AN284" s="68"/>
      <c r="AO284" s="206"/>
      <c r="AS284" s="200"/>
      <c r="AT284" s="200"/>
      <c r="AU284" s="68"/>
      <c r="AY284" s="67"/>
      <c r="AZ284" s="204"/>
      <c r="BC284" s="68"/>
      <c r="BD284" s="68"/>
      <c r="BF284" s="200"/>
    </row>
    <row r="285">
      <c r="D285" s="110"/>
      <c r="F285" s="4"/>
      <c r="G285" s="4"/>
      <c r="H285" s="4"/>
      <c r="I285" s="65"/>
      <c r="K285" s="199"/>
      <c r="L285" s="65"/>
      <c r="N285" s="105"/>
      <c r="T285" s="184"/>
      <c r="Y285" s="201"/>
      <c r="Z285" s="200"/>
      <c r="AA285" s="201"/>
      <c r="AB285" s="68"/>
      <c r="AC285" s="210"/>
      <c r="AD285" s="68"/>
      <c r="AH285" s="67"/>
      <c r="AI285" s="204"/>
      <c r="AK285" s="200"/>
      <c r="AN285" s="68"/>
      <c r="AO285" s="206"/>
      <c r="AS285" s="200"/>
      <c r="AT285" s="200"/>
      <c r="AU285" s="68"/>
      <c r="AY285" s="67"/>
      <c r="AZ285" s="204"/>
      <c r="BC285" s="68"/>
      <c r="BD285" s="68"/>
      <c r="BF285" s="200"/>
    </row>
    <row r="286">
      <c r="D286" s="110"/>
      <c r="F286" s="4"/>
      <c r="G286" s="4"/>
      <c r="H286" s="4"/>
      <c r="I286" s="65"/>
      <c r="K286" s="199"/>
      <c r="L286" s="65"/>
      <c r="N286" s="105"/>
      <c r="T286" s="184"/>
      <c r="Y286" s="201"/>
      <c r="Z286" s="200"/>
      <c r="AA286" s="201"/>
      <c r="AB286" s="68"/>
      <c r="AC286" s="210"/>
      <c r="AD286" s="68"/>
      <c r="AH286" s="67"/>
      <c r="AI286" s="204"/>
      <c r="AK286" s="200"/>
      <c r="AN286" s="68"/>
      <c r="AO286" s="206"/>
      <c r="AS286" s="200"/>
      <c r="AT286" s="200"/>
      <c r="AU286" s="68"/>
      <c r="AY286" s="67"/>
      <c r="AZ286" s="204"/>
      <c r="BC286" s="68"/>
      <c r="BD286" s="68"/>
      <c r="BF286" s="200"/>
    </row>
    <row r="287">
      <c r="D287" s="110"/>
      <c r="F287" s="4"/>
      <c r="G287" s="4"/>
      <c r="H287" s="4"/>
      <c r="I287" s="65"/>
      <c r="K287" s="199"/>
      <c r="L287" s="65"/>
      <c r="N287" s="105"/>
      <c r="T287" s="184"/>
      <c r="Y287" s="201"/>
      <c r="Z287" s="200"/>
      <c r="AA287" s="201"/>
      <c r="AB287" s="68"/>
      <c r="AC287" s="210"/>
      <c r="AD287" s="68"/>
      <c r="AH287" s="67"/>
      <c r="AI287" s="204"/>
      <c r="AK287" s="200"/>
      <c r="AN287" s="68"/>
      <c r="AO287" s="206"/>
      <c r="AS287" s="200"/>
      <c r="AT287" s="200"/>
      <c r="AU287" s="68"/>
      <c r="AY287" s="67"/>
      <c r="AZ287" s="204"/>
      <c r="BC287" s="68"/>
      <c r="BD287" s="68"/>
      <c r="BF287" s="200"/>
    </row>
    <row r="288">
      <c r="D288" s="110"/>
      <c r="F288" s="4"/>
      <c r="G288" s="4"/>
      <c r="H288" s="4"/>
      <c r="I288" s="65"/>
      <c r="K288" s="199"/>
      <c r="L288" s="65"/>
      <c r="N288" s="105"/>
      <c r="T288" s="184"/>
      <c r="Y288" s="201"/>
      <c r="Z288" s="200"/>
      <c r="AA288" s="201"/>
      <c r="AB288" s="68"/>
      <c r="AC288" s="210"/>
      <c r="AD288" s="68"/>
      <c r="AH288" s="67"/>
      <c r="AI288" s="204"/>
      <c r="AK288" s="200"/>
      <c r="AN288" s="68"/>
      <c r="AO288" s="206"/>
      <c r="AS288" s="200"/>
      <c r="AT288" s="200"/>
      <c r="AU288" s="68"/>
      <c r="AY288" s="67"/>
      <c r="AZ288" s="204"/>
      <c r="BC288" s="68"/>
      <c r="BD288" s="68"/>
      <c r="BF288" s="200"/>
    </row>
    <row r="289">
      <c r="D289" s="110"/>
      <c r="F289" s="4"/>
      <c r="G289" s="4"/>
      <c r="H289" s="4"/>
      <c r="I289" s="65"/>
      <c r="K289" s="199"/>
      <c r="L289" s="65"/>
      <c r="N289" s="105"/>
      <c r="T289" s="184"/>
      <c r="Y289" s="201"/>
      <c r="Z289" s="200"/>
      <c r="AA289" s="201"/>
      <c r="AB289" s="68"/>
      <c r="AC289" s="210"/>
      <c r="AD289" s="68"/>
      <c r="AH289" s="67"/>
      <c r="AI289" s="204"/>
      <c r="AK289" s="200"/>
      <c r="AN289" s="68"/>
      <c r="AO289" s="206"/>
      <c r="AS289" s="200"/>
      <c r="AT289" s="200"/>
      <c r="AU289" s="68"/>
      <c r="AY289" s="67"/>
      <c r="AZ289" s="204"/>
      <c r="BC289" s="68"/>
      <c r="BD289" s="68"/>
      <c r="BF289" s="200"/>
    </row>
    <row r="290">
      <c r="D290" s="110"/>
      <c r="F290" s="4"/>
      <c r="G290" s="4"/>
      <c r="H290" s="4"/>
      <c r="I290" s="65"/>
      <c r="K290" s="199"/>
      <c r="L290" s="65"/>
      <c r="N290" s="105"/>
      <c r="T290" s="184"/>
      <c r="Y290" s="201"/>
      <c r="Z290" s="200"/>
      <c r="AA290" s="201"/>
      <c r="AB290" s="68"/>
      <c r="AC290" s="210"/>
      <c r="AD290" s="68"/>
      <c r="AH290" s="67"/>
      <c r="AI290" s="204"/>
      <c r="AK290" s="200"/>
      <c r="AN290" s="68"/>
      <c r="AO290" s="206"/>
      <c r="AS290" s="200"/>
      <c r="AT290" s="200"/>
      <c r="AU290" s="68"/>
      <c r="AY290" s="67"/>
      <c r="AZ290" s="204"/>
      <c r="BC290" s="68"/>
      <c r="BD290" s="68"/>
      <c r="BF290" s="200"/>
    </row>
    <row r="291">
      <c r="D291" s="110"/>
      <c r="F291" s="4"/>
      <c r="G291" s="4"/>
      <c r="H291" s="4"/>
      <c r="I291" s="65"/>
      <c r="K291" s="199"/>
      <c r="L291" s="65"/>
      <c r="N291" s="105"/>
      <c r="T291" s="184"/>
      <c r="Y291" s="201"/>
      <c r="Z291" s="200"/>
      <c r="AA291" s="201"/>
      <c r="AB291" s="68"/>
      <c r="AC291" s="210"/>
      <c r="AD291" s="68"/>
      <c r="AH291" s="67"/>
      <c r="AI291" s="204"/>
      <c r="AK291" s="200"/>
      <c r="AN291" s="68"/>
      <c r="AO291" s="206"/>
      <c r="AS291" s="200"/>
      <c r="AT291" s="200"/>
      <c r="AU291" s="68"/>
      <c r="AY291" s="67"/>
      <c r="AZ291" s="204"/>
      <c r="BC291" s="68"/>
      <c r="BD291" s="68"/>
      <c r="BF291" s="200"/>
    </row>
    <row r="292">
      <c r="D292" s="110"/>
      <c r="F292" s="4"/>
      <c r="G292" s="4"/>
      <c r="H292" s="4"/>
      <c r="I292" s="65"/>
      <c r="K292" s="199"/>
      <c r="L292" s="65"/>
      <c r="N292" s="105"/>
      <c r="T292" s="184"/>
      <c r="Y292" s="201"/>
      <c r="Z292" s="200"/>
      <c r="AA292" s="201"/>
      <c r="AB292" s="68"/>
      <c r="AC292" s="210"/>
      <c r="AD292" s="68"/>
      <c r="AH292" s="67"/>
      <c r="AI292" s="204"/>
      <c r="AK292" s="200"/>
      <c r="AN292" s="68"/>
      <c r="AO292" s="206"/>
      <c r="AS292" s="200"/>
      <c r="AT292" s="200"/>
      <c r="AU292" s="68"/>
      <c r="AY292" s="67"/>
      <c r="AZ292" s="204"/>
      <c r="BC292" s="68"/>
      <c r="BD292" s="68"/>
      <c r="BF292" s="200"/>
    </row>
    <row r="293">
      <c r="D293" s="110"/>
      <c r="F293" s="4"/>
      <c r="G293" s="4"/>
      <c r="H293" s="4"/>
      <c r="I293" s="65"/>
      <c r="K293" s="199"/>
      <c r="L293" s="65"/>
      <c r="N293" s="105"/>
      <c r="T293" s="184"/>
      <c r="Y293" s="201"/>
      <c r="Z293" s="200"/>
      <c r="AA293" s="201"/>
      <c r="AB293" s="68"/>
      <c r="AC293" s="210"/>
      <c r="AD293" s="68"/>
      <c r="AH293" s="67"/>
      <c r="AI293" s="204"/>
      <c r="AK293" s="200"/>
      <c r="AN293" s="68"/>
      <c r="AO293" s="206"/>
      <c r="AS293" s="200"/>
      <c r="AT293" s="200"/>
      <c r="AU293" s="68"/>
      <c r="AY293" s="67"/>
      <c r="AZ293" s="204"/>
      <c r="BC293" s="68"/>
      <c r="BD293" s="68"/>
      <c r="BF293" s="200"/>
    </row>
    <row r="294">
      <c r="D294" s="110"/>
      <c r="F294" s="4"/>
      <c r="G294" s="4"/>
      <c r="H294" s="4"/>
      <c r="I294" s="65"/>
      <c r="K294" s="199"/>
      <c r="L294" s="65"/>
      <c r="N294" s="105"/>
      <c r="T294" s="184"/>
      <c r="Y294" s="201"/>
      <c r="Z294" s="200"/>
      <c r="AA294" s="201"/>
      <c r="AB294" s="68"/>
      <c r="AC294" s="210"/>
      <c r="AD294" s="68"/>
      <c r="AH294" s="67"/>
      <c r="AI294" s="204"/>
      <c r="AK294" s="200"/>
      <c r="AN294" s="68"/>
      <c r="AO294" s="206"/>
      <c r="AS294" s="200"/>
      <c r="AT294" s="200"/>
      <c r="AU294" s="68"/>
      <c r="AY294" s="67"/>
      <c r="AZ294" s="204"/>
      <c r="BC294" s="68"/>
      <c r="BD294" s="68"/>
      <c r="BF294" s="200"/>
    </row>
    <row r="295">
      <c r="D295" s="110"/>
      <c r="F295" s="4"/>
      <c r="G295" s="4"/>
      <c r="H295" s="4"/>
      <c r="I295" s="65"/>
      <c r="K295" s="199"/>
      <c r="L295" s="65"/>
      <c r="N295" s="105"/>
      <c r="T295" s="184"/>
      <c r="Y295" s="201"/>
      <c r="Z295" s="200"/>
      <c r="AA295" s="201"/>
      <c r="AB295" s="68"/>
      <c r="AC295" s="210"/>
      <c r="AD295" s="68"/>
      <c r="AH295" s="67"/>
      <c r="AI295" s="204"/>
      <c r="AK295" s="200"/>
      <c r="AN295" s="68"/>
      <c r="AO295" s="206"/>
      <c r="AS295" s="200"/>
      <c r="AT295" s="200"/>
      <c r="AU295" s="68"/>
      <c r="AY295" s="67"/>
      <c r="AZ295" s="204"/>
      <c r="BC295" s="68"/>
      <c r="BD295" s="68"/>
      <c r="BF295" s="200"/>
    </row>
    <row r="296">
      <c r="D296" s="110"/>
      <c r="F296" s="4"/>
      <c r="G296" s="4"/>
      <c r="H296" s="4"/>
      <c r="I296" s="65"/>
      <c r="K296" s="199"/>
      <c r="L296" s="65"/>
      <c r="N296" s="105"/>
      <c r="T296" s="184"/>
      <c r="Y296" s="201"/>
      <c r="Z296" s="200"/>
      <c r="AA296" s="201"/>
      <c r="AB296" s="68"/>
      <c r="AC296" s="210"/>
      <c r="AD296" s="68"/>
      <c r="AH296" s="67"/>
      <c r="AI296" s="204"/>
      <c r="AK296" s="200"/>
      <c r="AN296" s="68"/>
      <c r="AO296" s="206"/>
      <c r="AS296" s="200"/>
      <c r="AT296" s="200"/>
      <c r="AU296" s="68"/>
      <c r="AY296" s="67"/>
      <c r="AZ296" s="204"/>
      <c r="BC296" s="68"/>
      <c r="BD296" s="68"/>
      <c r="BF296" s="200"/>
    </row>
    <row r="297">
      <c r="D297" s="110"/>
      <c r="F297" s="4"/>
      <c r="G297" s="4"/>
      <c r="H297" s="4"/>
      <c r="I297" s="65"/>
      <c r="K297" s="199"/>
      <c r="L297" s="65"/>
      <c r="N297" s="105"/>
      <c r="T297" s="184"/>
      <c r="Y297" s="201"/>
      <c r="Z297" s="200"/>
      <c r="AA297" s="201"/>
      <c r="AB297" s="68"/>
      <c r="AC297" s="210"/>
      <c r="AD297" s="68"/>
      <c r="AH297" s="67"/>
      <c r="AI297" s="204"/>
      <c r="AK297" s="200"/>
      <c r="AN297" s="68"/>
      <c r="AO297" s="206"/>
      <c r="AS297" s="200"/>
      <c r="AT297" s="200"/>
      <c r="AU297" s="68"/>
      <c r="AY297" s="67"/>
      <c r="AZ297" s="204"/>
      <c r="BC297" s="68"/>
      <c r="BD297" s="68"/>
      <c r="BF297" s="200"/>
    </row>
    <row r="298">
      <c r="D298" s="110"/>
      <c r="F298" s="4"/>
      <c r="G298" s="4"/>
      <c r="H298" s="4"/>
      <c r="I298" s="65"/>
      <c r="K298" s="199"/>
      <c r="L298" s="65"/>
      <c r="N298" s="105"/>
      <c r="T298" s="184"/>
      <c r="Y298" s="201"/>
      <c r="Z298" s="200"/>
      <c r="AA298" s="201"/>
      <c r="AB298" s="68"/>
      <c r="AC298" s="210"/>
      <c r="AD298" s="68"/>
      <c r="AH298" s="67"/>
      <c r="AI298" s="204"/>
      <c r="AK298" s="200"/>
      <c r="AN298" s="68"/>
      <c r="AO298" s="206"/>
      <c r="AS298" s="200"/>
      <c r="AT298" s="200"/>
      <c r="AU298" s="68"/>
      <c r="AY298" s="67"/>
      <c r="AZ298" s="204"/>
      <c r="BC298" s="68"/>
      <c r="BD298" s="68"/>
      <c r="BF298" s="200"/>
    </row>
    <row r="299">
      <c r="D299" s="110"/>
      <c r="F299" s="4"/>
      <c r="G299" s="4"/>
      <c r="H299" s="4"/>
      <c r="I299" s="65"/>
      <c r="K299" s="199"/>
      <c r="L299" s="65"/>
      <c r="N299" s="105"/>
      <c r="T299" s="184"/>
      <c r="Y299" s="201"/>
      <c r="Z299" s="200"/>
      <c r="AA299" s="201"/>
      <c r="AB299" s="68"/>
      <c r="AC299" s="210"/>
      <c r="AD299" s="68"/>
      <c r="AH299" s="67"/>
      <c r="AI299" s="204"/>
      <c r="AK299" s="200"/>
      <c r="AN299" s="68"/>
      <c r="AO299" s="206"/>
      <c r="AS299" s="200"/>
      <c r="AT299" s="200"/>
      <c r="AU299" s="68"/>
      <c r="AY299" s="67"/>
      <c r="AZ299" s="204"/>
      <c r="BC299" s="68"/>
      <c r="BD299" s="68"/>
      <c r="BF299" s="200"/>
    </row>
    <row r="300">
      <c r="D300" s="110"/>
      <c r="F300" s="4"/>
      <c r="G300" s="4"/>
      <c r="H300" s="4"/>
      <c r="I300" s="65"/>
      <c r="K300" s="199"/>
      <c r="L300" s="65"/>
      <c r="N300" s="105"/>
      <c r="T300" s="184"/>
      <c r="Y300" s="201"/>
      <c r="Z300" s="200"/>
      <c r="AA300" s="201"/>
      <c r="AB300" s="68"/>
      <c r="AC300" s="210"/>
      <c r="AD300" s="68"/>
      <c r="AH300" s="67"/>
      <c r="AI300" s="204"/>
      <c r="AK300" s="200"/>
      <c r="AN300" s="68"/>
      <c r="AO300" s="206"/>
      <c r="AS300" s="200"/>
      <c r="AT300" s="200"/>
      <c r="AU300" s="68"/>
      <c r="AY300" s="67"/>
      <c r="AZ300" s="204"/>
      <c r="BC300" s="68"/>
      <c r="BD300" s="68"/>
      <c r="BF300" s="200"/>
    </row>
    <row r="301">
      <c r="D301" s="110"/>
      <c r="F301" s="4"/>
      <c r="G301" s="4"/>
      <c r="H301" s="4"/>
      <c r="I301" s="65"/>
      <c r="K301" s="199"/>
      <c r="L301" s="65"/>
      <c r="N301" s="105"/>
      <c r="T301" s="184"/>
      <c r="Y301" s="201"/>
      <c r="Z301" s="200"/>
      <c r="AA301" s="201"/>
      <c r="AB301" s="68"/>
      <c r="AC301" s="210"/>
      <c r="AD301" s="68"/>
      <c r="AH301" s="67"/>
      <c r="AI301" s="204"/>
      <c r="AK301" s="200"/>
      <c r="AN301" s="68"/>
      <c r="AO301" s="206"/>
      <c r="AS301" s="200"/>
      <c r="AT301" s="200"/>
      <c r="AU301" s="68"/>
      <c r="AY301" s="67"/>
      <c r="AZ301" s="204"/>
      <c r="BC301" s="68"/>
      <c r="BD301" s="68"/>
      <c r="BF301" s="200"/>
    </row>
    <row r="302">
      <c r="D302" s="110"/>
      <c r="F302" s="4"/>
      <c r="G302" s="4"/>
      <c r="H302" s="4"/>
      <c r="I302" s="65"/>
      <c r="K302" s="199"/>
      <c r="L302" s="65"/>
      <c r="N302" s="105"/>
      <c r="T302" s="184"/>
      <c r="Y302" s="201"/>
      <c r="Z302" s="200"/>
      <c r="AA302" s="201"/>
      <c r="AB302" s="68"/>
      <c r="AC302" s="210"/>
      <c r="AD302" s="68"/>
      <c r="AH302" s="67"/>
      <c r="AI302" s="204"/>
      <c r="AK302" s="200"/>
      <c r="AN302" s="68"/>
      <c r="AO302" s="206"/>
      <c r="AS302" s="200"/>
      <c r="AT302" s="200"/>
      <c r="AU302" s="68"/>
      <c r="AY302" s="67"/>
      <c r="AZ302" s="204"/>
      <c r="BC302" s="68"/>
      <c r="BD302" s="68"/>
      <c r="BF302" s="200"/>
    </row>
    <row r="303">
      <c r="D303" s="110"/>
      <c r="F303" s="4"/>
      <c r="G303" s="4"/>
      <c r="H303" s="4"/>
      <c r="I303" s="65"/>
      <c r="K303" s="199"/>
      <c r="L303" s="65"/>
      <c r="N303" s="105"/>
      <c r="T303" s="184"/>
      <c r="Y303" s="201"/>
      <c r="Z303" s="200"/>
      <c r="AA303" s="201"/>
      <c r="AB303" s="68"/>
      <c r="AC303" s="210"/>
      <c r="AD303" s="68"/>
      <c r="AH303" s="67"/>
      <c r="AI303" s="204"/>
      <c r="AK303" s="200"/>
      <c r="AN303" s="68"/>
      <c r="AO303" s="206"/>
      <c r="AS303" s="200"/>
      <c r="AT303" s="200"/>
      <c r="AU303" s="68"/>
      <c r="AY303" s="67"/>
      <c r="AZ303" s="204"/>
      <c r="BC303" s="68"/>
      <c r="BD303" s="68"/>
      <c r="BF303" s="200"/>
    </row>
    <row r="304">
      <c r="D304" s="110"/>
      <c r="F304" s="4"/>
      <c r="G304" s="4"/>
      <c r="H304" s="4"/>
      <c r="I304" s="65"/>
      <c r="K304" s="199"/>
      <c r="L304" s="65"/>
      <c r="N304" s="105"/>
      <c r="T304" s="184"/>
      <c r="Y304" s="201"/>
      <c r="Z304" s="200"/>
      <c r="AA304" s="201"/>
      <c r="AB304" s="68"/>
      <c r="AC304" s="210"/>
      <c r="AD304" s="68"/>
      <c r="AH304" s="67"/>
      <c r="AI304" s="204"/>
      <c r="AK304" s="200"/>
      <c r="AN304" s="68"/>
      <c r="AO304" s="206"/>
      <c r="AS304" s="200"/>
      <c r="AT304" s="200"/>
      <c r="AU304" s="68"/>
      <c r="AY304" s="67"/>
      <c r="AZ304" s="204"/>
      <c r="BC304" s="68"/>
      <c r="BD304" s="68"/>
      <c r="BF304" s="200"/>
    </row>
    <row r="305">
      <c r="D305" s="110"/>
      <c r="F305" s="4"/>
      <c r="G305" s="4"/>
      <c r="H305" s="4"/>
      <c r="I305" s="65"/>
      <c r="K305" s="199"/>
      <c r="L305" s="65"/>
      <c r="N305" s="105"/>
      <c r="T305" s="184"/>
      <c r="Y305" s="201"/>
      <c r="Z305" s="200"/>
      <c r="AA305" s="201"/>
      <c r="AB305" s="68"/>
      <c r="AC305" s="210"/>
      <c r="AD305" s="68"/>
      <c r="AH305" s="67"/>
      <c r="AI305" s="204"/>
      <c r="AK305" s="200"/>
      <c r="AN305" s="68"/>
      <c r="AO305" s="206"/>
      <c r="AS305" s="200"/>
      <c r="AT305" s="200"/>
      <c r="AU305" s="68"/>
      <c r="AY305" s="67"/>
      <c r="AZ305" s="204"/>
      <c r="BC305" s="68"/>
      <c r="BD305" s="68"/>
      <c r="BF305" s="200"/>
    </row>
    <row r="306">
      <c r="D306" s="110"/>
      <c r="F306" s="4"/>
      <c r="G306" s="4"/>
      <c r="H306" s="4"/>
      <c r="I306" s="65"/>
      <c r="K306" s="199"/>
      <c r="L306" s="65"/>
      <c r="N306" s="105"/>
      <c r="T306" s="184"/>
      <c r="Y306" s="201"/>
      <c r="Z306" s="200"/>
      <c r="AA306" s="201"/>
      <c r="AB306" s="68"/>
      <c r="AC306" s="210"/>
      <c r="AD306" s="68"/>
      <c r="AH306" s="67"/>
      <c r="AI306" s="204"/>
      <c r="AK306" s="200"/>
      <c r="AN306" s="68"/>
      <c r="AO306" s="206"/>
      <c r="AS306" s="200"/>
      <c r="AT306" s="200"/>
      <c r="AU306" s="68"/>
      <c r="AY306" s="67"/>
      <c r="AZ306" s="204"/>
      <c r="BC306" s="68"/>
      <c r="BD306" s="68"/>
      <c r="BF306" s="200"/>
    </row>
    <row r="307">
      <c r="D307" s="110"/>
      <c r="F307" s="4"/>
      <c r="G307" s="4"/>
      <c r="H307" s="4"/>
      <c r="I307" s="65"/>
      <c r="K307" s="199"/>
      <c r="L307" s="65"/>
      <c r="N307" s="105"/>
      <c r="T307" s="184"/>
      <c r="Y307" s="201"/>
      <c r="Z307" s="200"/>
      <c r="AA307" s="201"/>
      <c r="AB307" s="68"/>
      <c r="AC307" s="210"/>
      <c r="AD307" s="68"/>
      <c r="AH307" s="67"/>
      <c r="AI307" s="204"/>
      <c r="AK307" s="200"/>
      <c r="AN307" s="68"/>
      <c r="AO307" s="206"/>
      <c r="AS307" s="200"/>
      <c r="AT307" s="200"/>
      <c r="AU307" s="68"/>
      <c r="AY307" s="67"/>
      <c r="AZ307" s="204"/>
      <c r="BC307" s="68"/>
      <c r="BD307" s="68"/>
      <c r="BF307" s="200"/>
    </row>
    <row r="308">
      <c r="D308" s="110"/>
      <c r="F308" s="4"/>
      <c r="G308" s="4"/>
      <c r="H308" s="4"/>
      <c r="I308" s="65"/>
      <c r="K308" s="199"/>
      <c r="L308" s="65"/>
      <c r="N308" s="105"/>
      <c r="T308" s="184"/>
      <c r="Y308" s="201"/>
      <c r="Z308" s="200"/>
      <c r="AA308" s="201"/>
      <c r="AB308" s="68"/>
      <c r="AC308" s="210"/>
      <c r="AD308" s="68"/>
      <c r="AH308" s="67"/>
      <c r="AI308" s="204"/>
      <c r="AK308" s="200"/>
      <c r="AN308" s="68"/>
      <c r="AO308" s="206"/>
      <c r="AS308" s="200"/>
      <c r="AT308" s="200"/>
      <c r="AU308" s="68"/>
      <c r="AY308" s="67"/>
      <c r="AZ308" s="204"/>
      <c r="BC308" s="68"/>
      <c r="BD308" s="68"/>
      <c r="BF308" s="200"/>
    </row>
    <row r="309">
      <c r="D309" s="110"/>
      <c r="F309" s="4"/>
      <c r="G309" s="4"/>
      <c r="H309" s="4"/>
      <c r="I309" s="65"/>
      <c r="K309" s="199"/>
      <c r="L309" s="65"/>
      <c r="N309" s="105"/>
      <c r="T309" s="184"/>
      <c r="Y309" s="201"/>
      <c r="Z309" s="200"/>
      <c r="AA309" s="201"/>
      <c r="AB309" s="68"/>
      <c r="AC309" s="210"/>
      <c r="AD309" s="68"/>
      <c r="AH309" s="67"/>
      <c r="AI309" s="204"/>
      <c r="AK309" s="200"/>
      <c r="AN309" s="68"/>
      <c r="AO309" s="206"/>
      <c r="AS309" s="200"/>
      <c r="AT309" s="200"/>
      <c r="AU309" s="68"/>
      <c r="AY309" s="67"/>
      <c r="AZ309" s="204"/>
      <c r="BC309" s="68"/>
      <c r="BD309" s="68"/>
      <c r="BF309" s="200"/>
    </row>
    <row r="310">
      <c r="D310" s="110"/>
      <c r="F310" s="4"/>
      <c r="G310" s="4"/>
      <c r="H310" s="4"/>
      <c r="I310" s="65"/>
      <c r="K310" s="199"/>
      <c r="L310" s="65"/>
      <c r="N310" s="105"/>
      <c r="T310" s="184"/>
      <c r="Y310" s="201"/>
      <c r="Z310" s="200"/>
      <c r="AA310" s="201"/>
      <c r="AB310" s="68"/>
      <c r="AC310" s="210"/>
      <c r="AD310" s="68"/>
      <c r="AH310" s="67"/>
      <c r="AI310" s="204"/>
      <c r="AK310" s="200"/>
      <c r="AN310" s="68"/>
      <c r="AO310" s="206"/>
      <c r="AS310" s="200"/>
      <c r="AT310" s="200"/>
      <c r="AU310" s="68"/>
      <c r="AY310" s="67"/>
      <c r="AZ310" s="204"/>
      <c r="BC310" s="68"/>
      <c r="BD310" s="68"/>
      <c r="BF310" s="200"/>
    </row>
    <row r="311">
      <c r="D311" s="110"/>
      <c r="F311" s="4"/>
      <c r="G311" s="4"/>
      <c r="H311" s="4"/>
      <c r="I311" s="65"/>
      <c r="K311" s="199"/>
      <c r="L311" s="65"/>
      <c r="N311" s="105"/>
      <c r="T311" s="184"/>
      <c r="Y311" s="201"/>
      <c r="Z311" s="200"/>
      <c r="AA311" s="201"/>
      <c r="AB311" s="68"/>
      <c r="AC311" s="210"/>
      <c r="AD311" s="68"/>
      <c r="AH311" s="67"/>
      <c r="AI311" s="204"/>
      <c r="AK311" s="200"/>
      <c r="AN311" s="68"/>
      <c r="AO311" s="206"/>
      <c r="AS311" s="200"/>
      <c r="AT311" s="200"/>
      <c r="AU311" s="68"/>
      <c r="AY311" s="67"/>
      <c r="AZ311" s="204"/>
      <c r="BC311" s="68"/>
      <c r="BD311" s="68"/>
      <c r="BF311" s="200"/>
    </row>
    <row r="312">
      <c r="D312" s="110"/>
      <c r="F312" s="4"/>
      <c r="G312" s="4"/>
      <c r="H312" s="4"/>
      <c r="I312" s="65"/>
      <c r="K312" s="199"/>
      <c r="L312" s="65"/>
      <c r="N312" s="105"/>
      <c r="T312" s="184"/>
      <c r="Y312" s="201"/>
      <c r="Z312" s="200"/>
      <c r="AA312" s="201"/>
      <c r="AB312" s="68"/>
      <c r="AC312" s="210"/>
      <c r="AD312" s="68"/>
      <c r="AH312" s="67"/>
      <c r="AI312" s="204"/>
      <c r="AK312" s="200"/>
      <c r="AN312" s="68"/>
      <c r="AO312" s="206"/>
      <c r="AS312" s="200"/>
      <c r="AT312" s="200"/>
      <c r="AU312" s="68"/>
      <c r="AY312" s="67"/>
      <c r="AZ312" s="204"/>
      <c r="BC312" s="68"/>
      <c r="BD312" s="68"/>
      <c r="BF312" s="200"/>
    </row>
    <row r="313">
      <c r="D313" s="110"/>
      <c r="F313" s="4"/>
      <c r="G313" s="4"/>
      <c r="H313" s="4"/>
      <c r="I313" s="65"/>
      <c r="K313" s="199"/>
      <c r="L313" s="65"/>
      <c r="N313" s="105"/>
      <c r="T313" s="184"/>
      <c r="Y313" s="201"/>
      <c r="Z313" s="200"/>
      <c r="AA313" s="201"/>
      <c r="AB313" s="68"/>
      <c r="AC313" s="210"/>
      <c r="AD313" s="68"/>
      <c r="AH313" s="67"/>
      <c r="AI313" s="204"/>
      <c r="AK313" s="200"/>
      <c r="AN313" s="68"/>
      <c r="AO313" s="206"/>
      <c r="AS313" s="200"/>
      <c r="AT313" s="200"/>
      <c r="AU313" s="68"/>
      <c r="AY313" s="67"/>
      <c r="AZ313" s="204"/>
      <c r="BC313" s="68"/>
      <c r="BD313" s="68"/>
      <c r="BF313" s="200"/>
    </row>
    <row r="314">
      <c r="D314" s="110"/>
      <c r="F314" s="4"/>
      <c r="G314" s="4"/>
      <c r="H314" s="4"/>
      <c r="I314" s="65"/>
      <c r="K314" s="199"/>
      <c r="L314" s="65"/>
      <c r="N314" s="105"/>
      <c r="T314" s="184"/>
      <c r="Y314" s="201"/>
      <c r="Z314" s="200"/>
      <c r="AA314" s="201"/>
      <c r="AB314" s="68"/>
      <c r="AC314" s="210"/>
      <c r="AD314" s="68"/>
      <c r="AH314" s="67"/>
      <c r="AI314" s="204"/>
      <c r="AK314" s="200"/>
      <c r="AN314" s="68"/>
      <c r="AO314" s="206"/>
      <c r="AS314" s="200"/>
      <c r="AT314" s="200"/>
      <c r="AU314" s="68"/>
      <c r="AY314" s="67"/>
      <c r="AZ314" s="204"/>
      <c r="BC314" s="68"/>
      <c r="BD314" s="68"/>
      <c r="BF314" s="200"/>
    </row>
    <row r="315">
      <c r="D315" s="110"/>
      <c r="F315" s="4"/>
      <c r="G315" s="4"/>
      <c r="H315" s="4"/>
      <c r="I315" s="65"/>
      <c r="K315" s="199"/>
      <c r="L315" s="65"/>
      <c r="N315" s="105"/>
      <c r="T315" s="184"/>
      <c r="Y315" s="201"/>
      <c r="Z315" s="200"/>
      <c r="AA315" s="201"/>
      <c r="AB315" s="68"/>
      <c r="AC315" s="210"/>
      <c r="AD315" s="68"/>
      <c r="AH315" s="67"/>
      <c r="AI315" s="204"/>
      <c r="AK315" s="200"/>
      <c r="AN315" s="68"/>
      <c r="AO315" s="206"/>
      <c r="AS315" s="200"/>
      <c r="AT315" s="200"/>
      <c r="AU315" s="68"/>
      <c r="AY315" s="67"/>
      <c r="AZ315" s="204"/>
      <c r="BC315" s="68"/>
      <c r="BD315" s="68"/>
      <c r="BF315" s="200"/>
    </row>
    <row r="316">
      <c r="D316" s="110"/>
      <c r="F316" s="4"/>
      <c r="G316" s="4"/>
      <c r="H316" s="4"/>
      <c r="I316" s="65"/>
      <c r="K316" s="199"/>
      <c r="L316" s="65"/>
      <c r="N316" s="105"/>
      <c r="T316" s="184"/>
      <c r="Y316" s="201"/>
      <c r="Z316" s="200"/>
      <c r="AA316" s="201"/>
      <c r="AB316" s="68"/>
      <c r="AC316" s="210"/>
      <c r="AD316" s="68"/>
      <c r="AH316" s="67"/>
      <c r="AI316" s="204"/>
      <c r="AK316" s="200"/>
      <c r="AN316" s="68"/>
      <c r="AO316" s="206"/>
      <c r="AS316" s="200"/>
      <c r="AT316" s="200"/>
      <c r="AU316" s="68"/>
      <c r="AY316" s="67"/>
      <c r="AZ316" s="204"/>
      <c r="BC316" s="68"/>
      <c r="BD316" s="68"/>
      <c r="BF316" s="200"/>
    </row>
    <row r="317">
      <c r="D317" s="110"/>
      <c r="F317" s="4"/>
      <c r="G317" s="4"/>
      <c r="H317" s="4"/>
      <c r="I317" s="65"/>
      <c r="K317" s="199"/>
      <c r="L317" s="65"/>
      <c r="N317" s="105"/>
      <c r="T317" s="184"/>
      <c r="Y317" s="201"/>
      <c r="Z317" s="200"/>
      <c r="AA317" s="201"/>
      <c r="AB317" s="68"/>
      <c r="AC317" s="210"/>
      <c r="AD317" s="68"/>
      <c r="AH317" s="67"/>
      <c r="AI317" s="204"/>
      <c r="AK317" s="200"/>
      <c r="AN317" s="68"/>
      <c r="AO317" s="206"/>
      <c r="AS317" s="200"/>
      <c r="AT317" s="200"/>
      <c r="AU317" s="68"/>
      <c r="AY317" s="67"/>
      <c r="AZ317" s="204"/>
      <c r="BC317" s="68"/>
      <c r="BD317" s="68"/>
      <c r="BF317" s="200"/>
    </row>
    <row r="318">
      <c r="D318" s="110"/>
      <c r="F318" s="4"/>
      <c r="G318" s="4"/>
      <c r="H318" s="4"/>
      <c r="I318" s="65"/>
      <c r="K318" s="199"/>
      <c r="L318" s="65"/>
      <c r="N318" s="105"/>
      <c r="T318" s="184"/>
      <c r="Y318" s="201"/>
      <c r="Z318" s="200"/>
      <c r="AA318" s="201"/>
      <c r="AB318" s="68"/>
      <c r="AC318" s="210"/>
      <c r="AD318" s="68"/>
      <c r="AH318" s="67"/>
      <c r="AI318" s="204"/>
      <c r="AK318" s="200"/>
      <c r="AN318" s="68"/>
      <c r="AO318" s="206"/>
      <c r="AS318" s="200"/>
      <c r="AT318" s="200"/>
      <c r="AU318" s="68"/>
      <c r="AY318" s="67"/>
      <c r="AZ318" s="204"/>
      <c r="BC318" s="68"/>
      <c r="BD318" s="68"/>
      <c r="BF318" s="200"/>
    </row>
    <row r="319">
      <c r="D319" s="110"/>
      <c r="F319" s="4"/>
      <c r="G319" s="4"/>
      <c r="H319" s="4"/>
      <c r="I319" s="65"/>
      <c r="K319" s="199"/>
      <c r="L319" s="65"/>
      <c r="N319" s="105"/>
      <c r="T319" s="184"/>
      <c r="Y319" s="201"/>
      <c r="Z319" s="200"/>
      <c r="AA319" s="201"/>
      <c r="AB319" s="68"/>
      <c r="AC319" s="210"/>
      <c r="AD319" s="68"/>
      <c r="AH319" s="67"/>
      <c r="AI319" s="204"/>
      <c r="AK319" s="200"/>
      <c r="AN319" s="68"/>
      <c r="AO319" s="206"/>
      <c r="AS319" s="200"/>
      <c r="AT319" s="200"/>
      <c r="AU319" s="68"/>
      <c r="AY319" s="67"/>
      <c r="AZ319" s="204"/>
      <c r="BC319" s="68"/>
      <c r="BD319" s="68"/>
      <c r="BF319" s="200"/>
    </row>
    <row r="320">
      <c r="D320" s="110"/>
      <c r="F320" s="4"/>
      <c r="G320" s="4"/>
      <c r="H320" s="4"/>
      <c r="I320" s="65"/>
      <c r="K320" s="199"/>
      <c r="L320" s="65"/>
      <c r="N320" s="105"/>
      <c r="T320" s="184"/>
      <c r="Y320" s="201"/>
      <c r="Z320" s="200"/>
      <c r="AA320" s="201"/>
      <c r="AB320" s="68"/>
      <c r="AC320" s="210"/>
      <c r="AD320" s="68"/>
      <c r="AH320" s="67"/>
      <c r="AI320" s="204"/>
      <c r="AK320" s="200"/>
      <c r="AN320" s="68"/>
      <c r="AO320" s="206"/>
      <c r="AS320" s="200"/>
      <c r="AT320" s="200"/>
      <c r="AU320" s="68"/>
      <c r="AY320" s="67"/>
      <c r="AZ320" s="204"/>
      <c r="BC320" s="68"/>
      <c r="BD320" s="68"/>
      <c r="BF320" s="200"/>
    </row>
    <row r="321">
      <c r="D321" s="110"/>
      <c r="F321" s="4"/>
      <c r="G321" s="4"/>
      <c r="H321" s="4"/>
      <c r="I321" s="65"/>
      <c r="K321" s="199"/>
      <c r="L321" s="65"/>
      <c r="N321" s="105"/>
      <c r="T321" s="184"/>
      <c r="Y321" s="201"/>
      <c r="Z321" s="200"/>
      <c r="AA321" s="201"/>
      <c r="AB321" s="68"/>
      <c r="AC321" s="210"/>
      <c r="AD321" s="68"/>
      <c r="AH321" s="67"/>
      <c r="AI321" s="204"/>
      <c r="AK321" s="200"/>
      <c r="AN321" s="68"/>
      <c r="AO321" s="206"/>
      <c r="AS321" s="200"/>
      <c r="AT321" s="200"/>
      <c r="AU321" s="68"/>
      <c r="AY321" s="67"/>
      <c r="AZ321" s="204"/>
      <c r="BC321" s="68"/>
      <c r="BD321" s="68"/>
      <c r="BF321" s="200"/>
    </row>
    <row r="322">
      <c r="D322" s="110"/>
      <c r="F322" s="4"/>
      <c r="G322" s="4"/>
      <c r="H322" s="4"/>
      <c r="I322" s="65"/>
      <c r="K322" s="199"/>
      <c r="L322" s="65"/>
      <c r="N322" s="105"/>
      <c r="T322" s="184"/>
      <c r="Y322" s="201"/>
      <c r="Z322" s="200"/>
      <c r="AA322" s="201"/>
      <c r="AB322" s="68"/>
      <c r="AC322" s="210"/>
      <c r="AD322" s="68"/>
      <c r="AH322" s="67"/>
      <c r="AI322" s="204"/>
      <c r="AK322" s="200"/>
      <c r="AN322" s="68"/>
      <c r="AO322" s="206"/>
      <c r="AS322" s="200"/>
      <c r="AT322" s="200"/>
      <c r="AU322" s="68"/>
      <c r="AY322" s="67"/>
      <c r="AZ322" s="204"/>
      <c r="BC322" s="68"/>
      <c r="BD322" s="68"/>
      <c r="BF322" s="200"/>
    </row>
    <row r="323">
      <c r="D323" s="110"/>
      <c r="F323" s="4"/>
      <c r="G323" s="4"/>
      <c r="H323" s="4"/>
      <c r="I323" s="65"/>
      <c r="K323" s="199"/>
      <c r="L323" s="65"/>
      <c r="N323" s="105"/>
      <c r="T323" s="184"/>
      <c r="Y323" s="201"/>
      <c r="Z323" s="200"/>
      <c r="AA323" s="201"/>
      <c r="AB323" s="68"/>
      <c r="AC323" s="210"/>
      <c r="AD323" s="68"/>
      <c r="AH323" s="67"/>
      <c r="AI323" s="204"/>
      <c r="AK323" s="200"/>
      <c r="AN323" s="68"/>
      <c r="AO323" s="206"/>
      <c r="AS323" s="200"/>
      <c r="AT323" s="200"/>
      <c r="AU323" s="68"/>
      <c r="AY323" s="67"/>
      <c r="AZ323" s="204"/>
      <c r="BC323" s="68"/>
      <c r="BD323" s="68"/>
      <c r="BF323" s="200"/>
    </row>
    <row r="324">
      <c r="D324" s="110"/>
      <c r="F324" s="4"/>
      <c r="G324" s="4"/>
      <c r="H324" s="4"/>
      <c r="I324" s="65"/>
      <c r="K324" s="199"/>
      <c r="L324" s="65"/>
      <c r="N324" s="105"/>
      <c r="T324" s="184"/>
      <c r="Y324" s="201"/>
      <c r="Z324" s="200"/>
      <c r="AA324" s="201"/>
      <c r="AB324" s="68"/>
      <c r="AC324" s="210"/>
      <c r="AD324" s="68"/>
      <c r="AH324" s="67"/>
      <c r="AI324" s="204"/>
      <c r="AK324" s="200"/>
      <c r="AN324" s="68"/>
      <c r="AO324" s="206"/>
      <c r="AS324" s="200"/>
      <c r="AT324" s="200"/>
      <c r="AU324" s="68"/>
      <c r="AY324" s="67"/>
      <c r="AZ324" s="204"/>
      <c r="BC324" s="68"/>
      <c r="BD324" s="68"/>
      <c r="BF324" s="200"/>
    </row>
    <row r="325">
      <c r="D325" s="110"/>
      <c r="F325" s="4"/>
      <c r="G325" s="4"/>
      <c r="H325" s="4"/>
      <c r="I325" s="65"/>
      <c r="K325" s="199"/>
      <c r="L325" s="65"/>
      <c r="N325" s="105"/>
      <c r="T325" s="184"/>
      <c r="Y325" s="201"/>
      <c r="Z325" s="200"/>
      <c r="AA325" s="201"/>
      <c r="AB325" s="68"/>
      <c r="AC325" s="210"/>
      <c r="AD325" s="68"/>
      <c r="AH325" s="67"/>
      <c r="AI325" s="204"/>
      <c r="AK325" s="200"/>
      <c r="AN325" s="68"/>
      <c r="AO325" s="206"/>
      <c r="AS325" s="200"/>
      <c r="AT325" s="200"/>
      <c r="AU325" s="68"/>
      <c r="AY325" s="67"/>
      <c r="AZ325" s="204"/>
      <c r="BC325" s="68"/>
      <c r="BD325" s="68"/>
      <c r="BF325" s="200"/>
    </row>
    <row r="326">
      <c r="D326" s="110"/>
      <c r="F326" s="4"/>
      <c r="G326" s="4"/>
      <c r="H326" s="4"/>
      <c r="I326" s="65"/>
      <c r="K326" s="199"/>
      <c r="L326" s="65"/>
      <c r="N326" s="105"/>
      <c r="T326" s="184"/>
      <c r="Y326" s="201"/>
      <c r="Z326" s="200"/>
      <c r="AA326" s="201"/>
      <c r="AB326" s="68"/>
      <c r="AC326" s="210"/>
      <c r="AD326" s="68"/>
      <c r="AH326" s="67"/>
      <c r="AI326" s="204"/>
      <c r="AK326" s="200"/>
      <c r="AN326" s="68"/>
      <c r="AO326" s="206"/>
      <c r="AS326" s="200"/>
      <c r="AT326" s="200"/>
      <c r="AU326" s="68"/>
      <c r="AY326" s="67"/>
      <c r="AZ326" s="204"/>
      <c r="BC326" s="68"/>
      <c r="BD326" s="68"/>
      <c r="BF326" s="200"/>
    </row>
    <row r="327">
      <c r="D327" s="110"/>
      <c r="F327" s="4"/>
      <c r="G327" s="4"/>
      <c r="H327" s="4"/>
      <c r="I327" s="65"/>
      <c r="K327" s="199"/>
      <c r="L327" s="65"/>
      <c r="N327" s="105"/>
      <c r="T327" s="184"/>
      <c r="Y327" s="201"/>
      <c r="Z327" s="200"/>
      <c r="AA327" s="201"/>
      <c r="AB327" s="68"/>
      <c r="AC327" s="210"/>
      <c r="AD327" s="68"/>
      <c r="AH327" s="67"/>
      <c r="AI327" s="204"/>
      <c r="AK327" s="200"/>
      <c r="AN327" s="68"/>
      <c r="AO327" s="206"/>
      <c r="AS327" s="200"/>
      <c r="AT327" s="200"/>
      <c r="AU327" s="68"/>
      <c r="AY327" s="67"/>
      <c r="AZ327" s="204"/>
      <c r="BC327" s="68"/>
      <c r="BD327" s="68"/>
      <c r="BF327" s="200"/>
    </row>
    <row r="328">
      <c r="D328" s="110"/>
      <c r="F328" s="4"/>
      <c r="G328" s="4"/>
      <c r="H328" s="4"/>
      <c r="I328" s="65"/>
      <c r="K328" s="199"/>
      <c r="L328" s="65"/>
      <c r="N328" s="105"/>
      <c r="T328" s="184"/>
      <c r="Y328" s="201"/>
      <c r="Z328" s="200"/>
      <c r="AA328" s="201"/>
      <c r="AB328" s="68"/>
      <c r="AC328" s="210"/>
      <c r="AD328" s="68"/>
      <c r="AH328" s="67"/>
      <c r="AI328" s="204"/>
      <c r="AK328" s="200"/>
      <c r="AN328" s="68"/>
      <c r="AO328" s="206"/>
      <c r="AS328" s="200"/>
      <c r="AT328" s="200"/>
      <c r="AU328" s="68"/>
      <c r="AY328" s="67"/>
      <c r="AZ328" s="204"/>
      <c r="BC328" s="68"/>
      <c r="BD328" s="68"/>
      <c r="BF328" s="200"/>
    </row>
    <row r="329">
      <c r="D329" s="110"/>
      <c r="F329" s="4"/>
      <c r="G329" s="4"/>
      <c r="H329" s="4"/>
      <c r="I329" s="65"/>
      <c r="K329" s="199"/>
      <c r="L329" s="65"/>
      <c r="N329" s="105"/>
      <c r="T329" s="184"/>
      <c r="Y329" s="201"/>
      <c r="Z329" s="200"/>
      <c r="AA329" s="201"/>
      <c r="AB329" s="68"/>
      <c r="AC329" s="210"/>
      <c r="AD329" s="68"/>
      <c r="AH329" s="67"/>
      <c r="AI329" s="204"/>
      <c r="AK329" s="200"/>
      <c r="AN329" s="68"/>
      <c r="AO329" s="206"/>
      <c r="AS329" s="200"/>
      <c r="AT329" s="200"/>
      <c r="AU329" s="68"/>
      <c r="AY329" s="67"/>
      <c r="AZ329" s="204"/>
      <c r="BC329" s="68"/>
      <c r="BD329" s="68"/>
      <c r="BF329" s="200"/>
    </row>
    <row r="330">
      <c r="D330" s="110"/>
      <c r="F330" s="4"/>
      <c r="G330" s="4"/>
      <c r="H330" s="4"/>
      <c r="I330" s="65"/>
      <c r="K330" s="199"/>
      <c r="L330" s="65"/>
      <c r="N330" s="105"/>
      <c r="T330" s="184"/>
      <c r="Y330" s="201"/>
      <c r="Z330" s="200"/>
      <c r="AA330" s="201"/>
      <c r="AB330" s="68"/>
      <c r="AC330" s="210"/>
      <c r="AD330" s="68"/>
      <c r="AH330" s="67"/>
      <c r="AI330" s="204"/>
      <c r="AK330" s="200"/>
      <c r="AN330" s="68"/>
      <c r="AO330" s="206"/>
      <c r="AS330" s="200"/>
      <c r="AT330" s="200"/>
      <c r="AU330" s="68"/>
      <c r="AY330" s="67"/>
      <c r="AZ330" s="204"/>
      <c r="BC330" s="68"/>
      <c r="BD330" s="68"/>
      <c r="BF330" s="200"/>
    </row>
    <row r="331">
      <c r="D331" s="110"/>
      <c r="F331" s="4"/>
      <c r="G331" s="4"/>
      <c r="H331" s="4"/>
      <c r="I331" s="65"/>
      <c r="K331" s="199"/>
      <c r="L331" s="65"/>
      <c r="N331" s="105"/>
      <c r="T331" s="184"/>
      <c r="Y331" s="201"/>
      <c r="Z331" s="200"/>
      <c r="AA331" s="201"/>
      <c r="AB331" s="68"/>
      <c r="AC331" s="210"/>
      <c r="AD331" s="68"/>
      <c r="AH331" s="67"/>
      <c r="AI331" s="204"/>
      <c r="AK331" s="200"/>
      <c r="AN331" s="68"/>
      <c r="AO331" s="206"/>
      <c r="AS331" s="200"/>
      <c r="AT331" s="200"/>
      <c r="AU331" s="68"/>
      <c r="AY331" s="67"/>
      <c r="AZ331" s="204"/>
      <c r="BC331" s="68"/>
      <c r="BD331" s="68"/>
      <c r="BF331" s="200"/>
    </row>
    <row r="332">
      <c r="D332" s="110"/>
      <c r="F332" s="4"/>
      <c r="G332" s="4"/>
      <c r="H332" s="4"/>
      <c r="I332" s="65"/>
      <c r="K332" s="199"/>
      <c r="L332" s="65"/>
      <c r="N332" s="105"/>
      <c r="T332" s="184"/>
      <c r="Y332" s="201"/>
      <c r="Z332" s="200"/>
      <c r="AA332" s="201"/>
      <c r="AB332" s="68"/>
      <c r="AC332" s="210"/>
      <c r="AD332" s="68"/>
      <c r="AH332" s="67"/>
      <c r="AI332" s="204"/>
      <c r="AK332" s="200"/>
      <c r="AN332" s="68"/>
      <c r="AO332" s="206"/>
      <c r="AS332" s="200"/>
      <c r="AT332" s="200"/>
      <c r="AU332" s="68"/>
      <c r="AY332" s="67"/>
      <c r="AZ332" s="204"/>
      <c r="BC332" s="68"/>
      <c r="BD332" s="68"/>
      <c r="BF332" s="200"/>
    </row>
    <row r="333">
      <c r="D333" s="110"/>
      <c r="F333" s="4"/>
      <c r="G333" s="4"/>
      <c r="H333" s="4"/>
      <c r="I333" s="65"/>
      <c r="K333" s="199"/>
      <c r="L333" s="65"/>
      <c r="N333" s="105"/>
      <c r="T333" s="184"/>
      <c r="Y333" s="201"/>
      <c r="Z333" s="200"/>
      <c r="AA333" s="201"/>
      <c r="AB333" s="68"/>
      <c r="AC333" s="210"/>
      <c r="AD333" s="68"/>
      <c r="AH333" s="67"/>
      <c r="AI333" s="204"/>
      <c r="AK333" s="200"/>
      <c r="AN333" s="68"/>
      <c r="AO333" s="206"/>
      <c r="AS333" s="200"/>
      <c r="AT333" s="200"/>
      <c r="AU333" s="68"/>
      <c r="AY333" s="67"/>
      <c r="AZ333" s="204"/>
      <c r="BC333" s="68"/>
      <c r="BD333" s="68"/>
      <c r="BF333" s="200"/>
    </row>
    <row r="334">
      <c r="D334" s="110"/>
      <c r="F334" s="4"/>
      <c r="G334" s="4"/>
      <c r="H334" s="4"/>
      <c r="I334" s="65"/>
      <c r="K334" s="199"/>
      <c r="L334" s="65"/>
      <c r="N334" s="105"/>
      <c r="T334" s="184"/>
      <c r="Y334" s="201"/>
      <c r="Z334" s="200"/>
      <c r="AA334" s="201"/>
      <c r="AB334" s="68"/>
      <c r="AC334" s="210"/>
      <c r="AD334" s="68"/>
      <c r="AH334" s="67"/>
      <c r="AI334" s="204"/>
      <c r="AK334" s="200"/>
      <c r="AN334" s="68"/>
      <c r="AO334" s="206"/>
      <c r="AS334" s="200"/>
      <c r="AT334" s="200"/>
      <c r="AU334" s="68"/>
      <c r="AY334" s="67"/>
      <c r="AZ334" s="204"/>
      <c r="BC334" s="68"/>
      <c r="BD334" s="68"/>
      <c r="BF334" s="200"/>
    </row>
    <row r="335">
      <c r="D335" s="110"/>
      <c r="F335" s="4"/>
      <c r="G335" s="4"/>
      <c r="H335" s="4"/>
      <c r="I335" s="65"/>
      <c r="K335" s="199"/>
      <c r="L335" s="65"/>
      <c r="N335" s="105"/>
      <c r="T335" s="184"/>
      <c r="Y335" s="201"/>
      <c r="Z335" s="200"/>
      <c r="AA335" s="201"/>
      <c r="AB335" s="68"/>
      <c r="AC335" s="210"/>
      <c r="AD335" s="68"/>
      <c r="AH335" s="67"/>
      <c r="AI335" s="204"/>
      <c r="AK335" s="200"/>
      <c r="AN335" s="68"/>
      <c r="AO335" s="206"/>
      <c r="AS335" s="200"/>
      <c r="AT335" s="200"/>
      <c r="AU335" s="68"/>
      <c r="AY335" s="67"/>
      <c r="AZ335" s="204"/>
      <c r="BC335" s="68"/>
      <c r="BD335" s="68"/>
      <c r="BF335" s="200"/>
    </row>
    <row r="336">
      <c r="D336" s="110"/>
      <c r="F336" s="4"/>
      <c r="G336" s="4"/>
      <c r="H336" s="4"/>
      <c r="I336" s="65"/>
      <c r="K336" s="199"/>
      <c r="L336" s="65"/>
      <c r="N336" s="105"/>
      <c r="T336" s="184"/>
      <c r="Y336" s="201"/>
      <c r="Z336" s="200"/>
      <c r="AA336" s="201"/>
      <c r="AB336" s="68"/>
      <c r="AC336" s="210"/>
      <c r="AD336" s="68"/>
      <c r="AH336" s="67"/>
      <c r="AI336" s="204"/>
      <c r="AK336" s="200"/>
      <c r="AN336" s="68"/>
      <c r="AO336" s="206"/>
      <c r="AS336" s="200"/>
      <c r="AT336" s="200"/>
      <c r="AU336" s="68"/>
      <c r="AY336" s="67"/>
      <c r="AZ336" s="204"/>
      <c r="BC336" s="68"/>
      <c r="BD336" s="68"/>
      <c r="BF336" s="200"/>
    </row>
    <row r="337">
      <c r="D337" s="110"/>
      <c r="F337" s="4"/>
      <c r="G337" s="4"/>
      <c r="H337" s="4"/>
      <c r="I337" s="65"/>
      <c r="K337" s="199"/>
      <c r="L337" s="65"/>
      <c r="N337" s="105"/>
      <c r="T337" s="184"/>
      <c r="Y337" s="201"/>
      <c r="Z337" s="200"/>
      <c r="AA337" s="201"/>
      <c r="AB337" s="68"/>
      <c r="AC337" s="210"/>
      <c r="AD337" s="68"/>
      <c r="AH337" s="67"/>
      <c r="AI337" s="204"/>
      <c r="AK337" s="200"/>
      <c r="AN337" s="68"/>
      <c r="AO337" s="206"/>
      <c r="AS337" s="200"/>
      <c r="AT337" s="200"/>
      <c r="AU337" s="68"/>
      <c r="AY337" s="67"/>
      <c r="AZ337" s="204"/>
      <c r="BC337" s="68"/>
      <c r="BD337" s="68"/>
      <c r="BF337" s="200"/>
    </row>
    <row r="338">
      <c r="D338" s="110"/>
      <c r="F338" s="4"/>
      <c r="G338" s="4"/>
      <c r="H338" s="4"/>
      <c r="I338" s="65"/>
      <c r="K338" s="199"/>
      <c r="L338" s="65"/>
      <c r="N338" s="105"/>
      <c r="T338" s="184"/>
      <c r="Y338" s="201"/>
      <c r="Z338" s="200"/>
      <c r="AA338" s="201"/>
      <c r="AB338" s="68"/>
      <c r="AC338" s="210"/>
      <c r="AD338" s="68"/>
      <c r="AH338" s="67"/>
      <c r="AI338" s="204"/>
      <c r="AK338" s="200"/>
      <c r="AN338" s="68"/>
      <c r="AO338" s="206"/>
      <c r="AS338" s="200"/>
      <c r="AT338" s="200"/>
      <c r="AU338" s="68"/>
      <c r="AY338" s="67"/>
      <c r="AZ338" s="204"/>
      <c r="BC338" s="68"/>
      <c r="BD338" s="68"/>
      <c r="BF338" s="200"/>
    </row>
    <row r="339">
      <c r="D339" s="110"/>
      <c r="F339" s="4"/>
      <c r="G339" s="4"/>
      <c r="H339" s="4"/>
      <c r="I339" s="65"/>
      <c r="K339" s="199"/>
      <c r="L339" s="65"/>
      <c r="N339" s="105"/>
      <c r="T339" s="184"/>
      <c r="Y339" s="201"/>
      <c r="Z339" s="200"/>
      <c r="AA339" s="201"/>
      <c r="AB339" s="68"/>
      <c r="AC339" s="210"/>
      <c r="AD339" s="68"/>
      <c r="AH339" s="67"/>
      <c r="AI339" s="204"/>
      <c r="AK339" s="200"/>
      <c r="AN339" s="68"/>
      <c r="AO339" s="206"/>
      <c r="AS339" s="200"/>
      <c r="AT339" s="200"/>
      <c r="AU339" s="68"/>
      <c r="AY339" s="67"/>
      <c r="AZ339" s="204"/>
      <c r="BC339" s="68"/>
      <c r="BD339" s="68"/>
      <c r="BF339" s="200"/>
    </row>
    <row r="340">
      <c r="D340" s="110"/>
      <c r="F340" s="4"/>
      <c r="G340" s="4"/>
      <c r="H340" s="4"/>
      <c r="I340" s="65"/>
      <c r="K340" s="199"/>
      <c r="L340" s="65"/>
      <c r="N340" s="105"/>
      <c r="T340" s="184"/>
      <c r="Y340" s="201"/>
      <c r="Z340" s="200"/>
      <c r="AA340" s="201"/>
      <c r="AB340" s="68"/>
      <c r="AC340" s="210"/>
      <c r="AD340" s="68"/>
      <c r="AH340" s="67"/>
      <c r="AI340" s="204"/>
      <c r="AK340" s="200"/>
      <c r="AN340" s="68"/>
      <c r="AO340" s="206"/>
      <c r="AS340" s="200"/>
      <c r="AT340" s="200"/>
      <c r="AU340" s="68"/>
      <c r="AY340" s="67"/>
      <c r="AZ340" s="204"/>
      <c r="BC340" s="68"/>
      <c r="BD340" s="68"/>
      <c r="BF340" s="200"/>
    </row>
    <row r="341">
      <c r="D341" s="110"/>
      <c r="F341" s="4"/>
      <c r="G341" s="4"/>
      <c r="H341" s="4"/>
      <c r="I341" s="65"/>
      <c r="K341" s="199"/>
      <c r="L341" s="65"/>
      <c r="N341" s="105"/>
      <c r="T341" s="184"/>
      <c r="Y341" s="201"/>
      <c r="Z341" s="200"/>
      <c r="AA341" s="201"/>
      <c r="AB341" s="68"/>
      <c r="AC341" s="210"/>
      <c r="AD341" s="68"/>
      <c r="AH341" s="67"/>
      <c r="AI341" s="204"/>
      <c r="AK341" s="200"/>
      <c r="AN341" s="68"/>
      <c r="AO341" s="206"/>
      <c r="AS341" s="200"/>
      <c r="AT341" s="200"/>
      <c r="AU341" s="68"/>
      <c r="AY341" s="67"/>
      <c r="AZ341" s="204"/>
      <c r="BC341" s="68"/>
      <c r="BD341" s="68"/>
      <c r="BF341" s="200"/>
    </row>
    <row r="342">
      <c r="D342" s="110"/>
      <c r="F342" s="4"/>
      <c r="G342" s="4"/>
      <c r="H342" s="4"/>
      <c r="I342" s="65"/>
      <c r="K342" s="199"/>
      <c r="L342" s="65"/>
      <c r="N342" s="105"/>
      <c r="T342" s="184"/>
      <c r="Y342" s="201"/>
      <c r="Z342" s="200"/>
      <c r="AA342" s="201"/>
      <c r="AB342" s="68"/>
      <c r="AC342" s="210"/>
      <c r="AD342" s="68"/>
      <c r="AH342" s="67"/>
      <c r="AI342" s="204"/>
      <c r="AK342" s="200"/>
      <c r="AN342" s="68"/>
      <c r="AO342" s="206"/>
      <c r="AS342" s="200"/>
      <c r="AT342" s="200"/>
      <c r="AU342" s="68"/>
      <c r="AY342" s="67"/>
      <c r="AZ342" s="204"/>
      <c r="BC342" s="68"/>
      <c r="BD342" s="68"/>
      <c r="BF342" s="200"/>
    </row>
    <row r="343">
      <c r="D343" s="110"/>
      <c r="F343" s="4"/>
      <c r="G343" s="4"/>
      <c r="H343" s="4"/>
      <c r="I343" s="65"/>
      <c r="K343" s="199"/>
      <c r="L343" s="65"/>
      <c r="N343" s="105"/>
      <c r="T343" s="184"/>
      <c r="Y343" s="201"/>
      <c r="Z343" s="200"/>
      <c r="AA343" s="201"/>
      <c r="AB343" s="68"/>
      <c r="AC343" s="210"/>
      <c r="AD343" s="68"/>
      <c r="AH343" s="67"/>
      <c r="AI343" s="204"/>
      <c r="AK343" s="200"/>
      <c r="AN343" s="68"/>
      <c r="AO343" s="206"/>
      <c r="AS343" s="200"/>
      <c r="AT343" s="200"/>
      <c r="AU343" s="68"/>
      <c r="AY343" s="67"/>
      <c r="AZ343" s="204"/>
      <c r="BC343" s="68"/>
      <c r="BD343" s="68"/>
      <c r="BF343" s="200"/>
    </row>
    <row r="344">
      <c r="D344" s="110"/>
      <c r="F344" s="4"/>
      <c r="G344" s="4"/>
      <c r="H344" s="4"/>
      <c r="I344" s="65"/>
      <c r="K344" s="199"/>
      <c r="L344" s="65"/>
      <c r="N344" s="105"/>
      <c r="T344" s="184"/>
      <c r="Y344" s="201"/>
      <c r="Z344" s="200"/>
      <c r="AA344" s="201"/>
      <c r="AB344" s="68"/>
      <c r="AC344" s="210"/>
      <c r="AD344" s="68"/>
      <c r="AH344" s="67"/>
      <c r="AI344" s="204"/>
      <c r="AK344" s="200"/>
      <c r="AN344" s="68"/>
      <c r="AO344" s="206"/>
      <c r="AS344" s="200"/>
      <c r="AT344" s="200"/>
      <c r="AU344" s="68"/>
      <c r="AY344" s="67"/>
      <c r="AZ344" s="204"/>
      <c r="BC344" s="68"/>
      <c r="BD344" s="68"/>
      <c r="BF344" s="200"/>
    </row>
    <row r="345">
      <c r="D345" s="110"/>
      <c r="F345" s="4"/>
      <c r="G345" s="4"/>
      <c r="H345" s="4"/>
      <c r="I345" s="65"/>
      <c r="K345" s="199"/>
      <c r="L345" s="65"/>
      <c r="N345" s="105"/>
      <c r="T345" s="184"/>
      <c r="Y345" s="201"/>
      <c r="Z345" s="200"/>
      <c r="AA345" s="201"/>
      <c r="AB345" s="68"/>
      <c r="AC345" s="210"/>
      <c r="AD345" s="68"/>
      <c r="AH345" s="67"/>
      <c r="AI345" s="204"/>
      <c r="AK345" s="200"/>
      <c r="AN345" s="68"/>
      <c r="AO345" s="206"/>
      <c r="AS345" s="200"/>
      <c r="AT345" s="200"/>
      <c r="AU345" s="68"/>
      <c r="AY345" s="67"/>
      <c r="AZ345" s="204"/>
      <c r="BC345" s="68"/>
      <c r="BD345" s="68"/>
      <c r="BF345" s="200"/>
    </row>
    <row r="346">
      <c r="D346" s="110"/>
      <c r="F346" s="4"/>
      <c r="G346" s="4"/>
      <c r="H346" s="4"/>
      <c r="I346" s="65"/>
      <c r="K346" s="199"/>
      <c r="L346" s="65"/>
      <c r="N346" s="105"/>
      <c r="T346" s="184"/>
      <c r="Y346" s="201"/>
      <c r="Z346" s="200"/>
      <c r="AA346" s="201"/>
      <c r="AB346" s="68"/>
      <c r="AC346" s="210"/>
      <c r="AD346" s="68"/>
      <c r="AH346" s="67"/>
      <c r="AI346" s="204"/>
      <c r="AK346" s="200"/>
      <c r="AN346" s="68"/>
      <c r="AO346" s="206"/>
      <c r="AS346" s="200"/>
      <c r="AT346" s="200"/>
      <c r="AU346" s="68"/>
      <c r="AY346" s="67"/>
      <c r="AZ346" s="204"/>
      <c r="BC346" s="68"/>
      <c r="BD346" s="68"/>
      <c r="BF346" s="200"/>
    </row>
    <row r="347">
      <c r="D347" s="110"/>
      <c r="F347" s="4"/>
      <c r="G347" s="4"/>
      <c r="H347" s="4"/>
      <c r="I347" s="65"/>
      <c r="K347" s="199"/>
      <c r="L347" s="65"/>
      <c r="N347" s="105"/>
      <c r="T347" s="184"/>
      <c r="Y347" s="201"/>
      <c r="Z347" s="200"/>
      <c r="AA347" s="201"/>
      <c r="AB347" s="68"/>
      <c r="AC347" s="210"/>
      <c r="AD347" s="68"/>
      <c r="AH347" s="67"/>
      <c r="AI347" s="204"/>
      <c r="AK347" s="200"/>
      <c r="AN347" s="68"/>
      <c r="AO347" s="206"/>
      <c r="AS347" s="200"/>
      <c r="AT347" s="200"/>
      <c r="AU347" s="68"/>
      <c r="AY347" s="67"/>
      <c r="AZ347" s="204"/>
      <c r="BC347" s="68"/>
      <c r="BD347" s="68"/>
      <c r="BF347" s="200"/>
    </row>
    <row r="348">
      <c r="D348" s="110"/>
      <c r="F348" s="4"/>
      <c r="G348" s="4"/>
      <c r="H348" s="4"/>
      <c r="I348" s="65"/>
      <c r="K348" s="199"/>
      <c r="L348" s="65"/>
      <c r="N348" s="105"/>
      <c r="T348" s="184"/>
      <c r="Y348" s="201"/>
      <c r="Z348" s="200"/>
      <c r="AA348" s="201"/>
      <c r="AB348" s="68"/>
      <c r="AC348" s="210"/>
      <c r="AD348" s="68"/>
      <c r="AH348" s="67"/>
      <c r="AI348" s="204"/>
      <c r="AK348" s="200"/>
      <c r="AN348" s="68"/>
      <c r="AO348" s="206"/>
      <c r="AS348" s="200"/>
      <c r="AT348" s="200"/>
      <c r="AU348" s="68"/>
      <c r="AY348" s="67"/>
      <c r="AZ348" s="204"/>
      <c r="BC348" s="68"/>
      <c r="BD348" s="68"/>
      <c r="BF348" s="200"/>
    </row>
    <row r="349">
      <c r="D349" s="110"/>
      <c r="F349" s="4"/>
      <c r="G349" s="4"/>
      <c r="H349" s="4"/>
      <c r="I349" s="65"/>
      <c r="K349" s="199"/>
      <c r="L349" s="65"/>
      <c r="N349" s="105"/>
      <c r="T349" s="184"/>
      <c r="Y349" s="201"/>
      <c r="Z349" s="200"/>
      <c r="AA349" s="201"/>
      <c r="AB349" s="68"/>
      <c r="AC349" s="210"/>
      <c r="AD349" s="68"/>
      <c r="AH349" s="67"/>
      <c r="AI349" s="204"/>
      <c r="AK349" s="200"/>
      <c r="AN349" s="68"/>
      <c r="AO349" s="206"/>
      <c r="AS349" s="200"/>
      <c r="AT349" s="200"/>
      <c r="AU349" s="68"/>
      <c r="AY349" s="67"/>
      <c r="AZ349" s="204"/>
      <c r="BC349" s="68"/>
      <c r="BD349" s="68"/>
      <c r="BF349" s="200"/>
    </row>
    <row r="350">
      <c r="D350" s="110"/>
      <c r="F350" s="4"/>
      <c r="G350" s="4"/>
      <c r="H350" s="4"/>
      <c r="I350" s="65"/>
      <c r="K350" s="199"/>
      <c r="L350" s="65"/>
      <c r="N350" s="105"/>
      <c r="T350" s="184"/>
      <c r="Y350" s="201"/>
      <c r="Z350" s="200"/>
      <c r="AA350" s="201"/>
      <c r="AB350" s="68"/>
      <c r="AC350" s="210"/>
      <c r="AD350" s="68"/>
      <c r="AH350" s="67"/>
      <c r="AI350" s="204"/>
      <c r="AK350" s="200"/>
      <c r="AN350" s="68"/>
      <c r="AO350" s="206"/>
      <c r="AS350" s="200"/>
      <c r="AT350" s="200"/>
      <c r="AU350" s="68"/>
      <c r="AY350" s="67"/>
      <c r="AZ350" s="204"/>
      <c r="BC350" s="68"/>
      <c r="BD350" s="68"/>
      <c r="BF350" s="200"/>
    </row>
    <row r="351">
      <c r="D351" s="110"/>
      <c r="F351" s="4"/>
      <c r="G351" s="4"/>
      <c r="H351" s="4"/>
      <c r="I351" s="65"/>
      <c r="K351" s="199"/>
      <c r="L351" s="65"/>
      <c r="N351" s="105"/>
      <c r="T351" s="184"/>
      <c r="Y351" s="201"/>
      <c r="Z351" s="200"/>
      <c r="AA351" s="201"/>
      <c r="AB351" s="68"/>
      <c r="AC351" s="210"/>
      <c r="AD351" s="68"/>
      <c r="AH351" s="67"/>
      <c r="AI351" s="204"/>
      <c r="AK351" s="200"/>
      <c r="AN351" s="68"/>
      <c r="AO351" s="206"/>
      <c r="AS351" s="200"/>
      <c r="AT351" s="200"/>
      <c r="AU351" s="68"/>
      <c r="AY351" s="67"/>
      <c r="AZ351" s="204"/>
      <c r="BC351" s="68"/>
      <c r="BD351" s="68"/>
      <c r="BF351" s="200"/>
    </row>
    <row r="352">
      <c r="D352" s="110"/>
      <c r="F352" s="4"/>
      <c r="G352" s="4"/>
      <c r="H352" s="4"/>
      <c r="I352" s="65"/>
      <c r="K352" s="199"/>
      <c r="L352" s="65"/>
      <c r="N352" s="105"/>
      <c r="T352" s="184"/>
      <c r="Y352" s="201"/>
      <c r="Z352" s="200"/>
      <c r="AA352" s="201"/>
      <c r="AB352" s="68"/>
      <c r="AC352" s="210"/>
      <c r="AD352" s="68"/>
      <c r="AH352" s="67"/>
      <c r="AI352" s="204"/>
      <c r="AK352" s="200"/>
      <c r="AN352" s="68"/>
      <c r="AO352" s="206"/>
      <c r="AS352" s="200"/>
      <c r="AT352" s="200"/>
      <c r="AU352" s="68"/>
      <c r="AY352" s="67"/>
      <c r="AZ352" s="204"/>
      <c r="BC352" s="68"/>
      <c r="BD352" s="68"/>
      <c r="BF352" s="200"/>
    </row>
    <row r="353">
      <c r="D353" s="110"/>
      <c r="F353" s="4"/>
      <c r="G353" s="4"/>
      <c r="H353" s="4"/>
      <c r="I353" s="65"/>
      <c r="K353" s="199"/>
      <c r="L353" s="65"/>
      <c r="N353" s="105"/>
      <c r="T353" s="184"/>
      <c r="Y353" s="201"/>
      <c r="Z353" s="200"/>
      <c r="AA353" s="201"/>
      <c r="AB353" s="68"/>
      <c r="AC353" s="210"/>
      <c r="AD353" s="68"/>
      <c r="AH353" s="67"/>
      <c r="AI353" s="204"/>
      <c r="AK353" s="200"/>
      <c r="AN353" s="68"/>
      <c r="AO353" s="206"/>
      <c r="AS353" s="200"/>
      <c r="AT353" s="200"/>
      <c r="AU353" s="68"/>
      <c r="AY353" s="67"/>
      <c r="AZ353" s="204"/>
      <c r="BC353" s="68"/>
      <c r="BD353" s="68"/>
      <c r="BF353" s="200"/>
    </row>
    <row r="354">
      <c r="D354" s="110"/>
      <c r="F354" s="4"/>
      <c r="G354" s="4"/>
      <c r="H354" s="4"/>
      <c r="I354" s="65"/>
      <c r="K354" s="199"/>
      <c r="L354" s="65"/>
      <c r="N354" s="105"/>
      <c r="T354" s="184"/>
      <c r="Y354" s="201"/>
      <c r="Z354" s="200"/>
      <c r="AA354" s="201"/>
      <c r="AB354" s="68"/>
      <c r="AC354" s="210"/>
      <c r="AD354" s="68"/>
      <c r="AH354" s="67"/>
      <c r="AI354" s="204"/>
      <c r="AK354" s="200"/>
      <c r="AN354" s="68"/>
      <c r="AO354" s="206"/>
      <c r="AS354" s="200"/>
      <c r="AT354" s="200"/>
      <c r="AU354" s="68"/>
      <c r="AY354" s="67"/>
      <c r="AZ354" s="204"/>
      <c r="BC354" s="68"/>
      <c r="BD354" s="68"/>
      <c r="BF354" s="200"/>
    </row>
    <row r="355">
      <c r="D355" s="110"/>
      <c r="F355" s="4"/>
      <c r="G355" s="4"/>
      <c r="H355" s="4"/>
      <c r="I355" s="65"/>
      <c r="K355" s="199"/>
      <c r="L355" s="65"/>
      <c r="N355" s="105"/>
      <c r="T355" s="184"/>
      <c r="Y355" s="201"/>
      <c r="Z355" s="200"/>
      <c r="AA355" s="201"/>
      <c r="AB355" s="68"/>
      <c r="AC355" s="210"/>
      <c r="AD355" s="68"/>
      <c r="AH355" s="67"/>
      <c r="AI355" s="204"/>
      <c r="AK355" s="200"/>
      <c r="AN355" s="68"/>
      <c r="AO355" s="206"/>
      <c r="AS355" s="200"/>
      <c r="AT355" s="200"/>
      <c r="AU355" s="68"/>
      <c r="AY355" s="67"/>
      <c r="AZ355" s="204"/>
      <c r="BC355" s="68"/>
      <c r="BD355" s="68"/>
      <c r="BF355" s="200"/>
    </row>
    <row r="356">
      <c r="D356" s="110"/>
      <c r="F356" s="4"/>
      <c r="G356" s="4"/>
      <c r="H356" s="4"/>
      <c r="I356" s="65"/>
      <c r="K356" s="199"/>
      <c r="L356" s="65"/>
      <c r="N356" s="105"/>
      <c r="T356" s="184"/>
      <c r="Y356" s="201"/>
      <c r="Z356" s="200"/>
      <c r="AA356" s="201"/>
      <c r="AB356" s="68"/>
      <c r="AC356" s="210"/>
      <c r="AD356" s="68"/>
      <c r="AH356" s="67"/>
      <c r="AI356" s="204"/>
      <c r="AK356" s="200"/>
      <c r="AN356" s="68"/>
      <c r="AO356" s="206"/>
      <c r="AS356" s="200"/>
      <c r="AT356" s="200"/>
      <c r="AU356" s="68"/>
      <c r="AY356" s="67"/>
      <c r="AZ356" s="204"/>
      <c r="BC356" s="68"/>
      <c r="BD356" s="68"/>
      <c r="BF356" s="200"/>
    </row>
    <row r="357">
      <c r="D357" s="110"/>
      <c r="F357" s="4"/>
      <c r="G357" s="4"/>
      <c r="H357" s="4"/>
      <c r="I357" s="65"/>
      <c r="K357" s="199"/>
      <c r="L357" s="65"/>
      <c r="N357" s="105"/>
      <c r="T357" s="184"/>
      <c r="Y357" s="201"/>
      <c r="Z357" s="200"/>
      <c r="AA357" s="201"/>
      <c r="AB357" s="68"/>
      <c r="AC357" s="210"/>
      <c r="AD357" s="68"/>
      <c r="AH357" s="67"/>
      <c r="AI357" s="204"/>
      <c r="AK357" s="200"/>
      <c r="AN357" s="68"/>
      <c r="AO357" s="206"/>
      <c r="AS357" s="200"/>
      <c r="AT357" s="200"/>
      <c r="AU357" s="68"/>
      <c r="AY357" s="67"/>
      <c r="AZ357" s="204"/>
      <c r="BC357" s="68"/>
      <c r="BD357" s="68"/>
      <c r="BF357" s="200"/>
    </row>
    <row r="358">
      <c r="D358" s="110"/>
      <c r="F358" s="4"/>
      <c r="G358" s="4"/>
      <c r="H358" s="4"/>
      <c r="I358" s="65"/>
      <c r="K358" s="199"/>
      <c r="L358" s="65"/>
      <c r="N358" s="105"/>
      <c r="T358" s="184"/>
      <c r="Y358" s="201"/>
      <c r="Z358" s="200"/>
      <c r="AA358" s="201"/>
      <c r="AB358" s="68"/>
      <c r="AC358" s="210"/>
      <c r="AD358" s="68"/>
      <c r="AH358" s="67"/>
      <c r="AI358" s="204"/>
      <c r="AK358" s="200"/>
      <c r="AN358" s="68"/>
      <c r="AO358" s="206"/>
      <c r="AS358" s="200"/>
      <c r="AT358" s="200"/>
      <c r="AU358" s="68"/>
      <c r="AY358" s="67"/>
      <c r="AZ358" s="204"/>
      <c r="BC358" s="68"/>
      <c r="BD358" s="68"/>
      <c r="BF358" s="200"/>
    </row>
    <row r="359">
      <c r="D359" s="110"/>
      <c r="F359" s="4"/>
      <c r="G359" s="4"/>
      <c r="H359" s="4"/>
      <c r="I359" s="65"/>
      <c r="K359" s="199"/>
      <c r="L359" s="65"/>
      <c r="N359" s="105"/>
      <c r="T359" s="184"/>
      <c r="Y359" s="201"/>
      <c r="Z359" s="200"/>
      <c r="AA359" s="201"/>
      <c r="AB359" s="68"/>
      <c r="AC359" s="210"/>
      <c r="AD359" s="68"/>
      <c r="AH359" s="67"/>
      <c r="AI359" s="204"/>
      <c r="AK359" s="200"/>
      <c r="AN359" s="68"/>
      <c r="AO359" s="206"/>
      <c r="AS359" s="200"/>
      <c r="AT359" s="200"/>
      <c r="AU359" s="68"/>
      <c r="AY359" s="67"/>
      <c r="AZ359" s="204"/>
      <c r="BC359" s="68"/>
      <c r="BD359" s="68"/>
      <c r="BF359" s="200"/>
    </row>
    <row r="360">
      <c r="D360" s="110"/>
      <c r="F360" s="4"/>
      <c r="G360" s="4"/>
      <c r="H360" s="4"/>
      <c r="I360" s="65"/>
      <c r="K360" s="199"/>
      <c r="L360" s="65"/>
      <c r="N360" s="105"/>
      <c r="T360" s="184"/>
      <c r="Y360" s="201"/>
      <c r="Z360" s="200"/>
      <c r="AA360" s="201"/>
      <c r="AB360" s="68"/>
      <c r="AC360" s="210"/>
      <c r="AD360" s="68"/>
      <c r="AH360" s="67"/>
      <c r="AI360" s="204"/>
      <c r="AK360" s="200"/>
      <c r="AN360" s="68"/>
      <c r="AO360" s="206"/>
      <c r="AS360" s="200"/>
      <c r="AT360" s="200"/>
      <c r="AU360" s="68"/>
      <c r="AY360" s="67"/>
      <c r="AZ360" s="204"/>
      <c r="BC360" s="68"/>
      <c r="BD360" s="68"/>
      <c r="BF360" s="200"/>
    </row>
    <row r="361">
      <c r="D361" s="110"/>
      <c r="F361" s="4"/>
      <c r="G361" s="4"/>
      <c r="H361" s="4"/>
      <c r="I361" s="65"/>
      <c r="K361" s="199"/>
      <c r="L361" s="65"/>
      <c r="N361" s="105"/>
      <c r="T361" s="184"/>
      <c r="Y361" s="201"/>
      <c r="Z361" s="200"/>
      <c r="AA361" s="201"/>
      <c r="AB361" s="68"/>
      <c r="AC361" s="210"/>
      <c r="AD361" s="68"/>
      <c r="AH361" s="67"/>
      <c r="AI361" s="204"/>
      <c r="AK361" s="200"/>
      <c r="AN361" s="68"/>
      <c r="AO361" s="206"/>
      <c r="AS361" s="200"/>
      <c r="AT361" s="200"/>
      <c r="AU361" s="68"/>
      <c r="AY361" s="67"/>
      <c r="AZ361" s="204"/>
      <c r="BC361" s="68"/>
      <c r="BD361" s="68"/>
      <c r="BF361" s="200"/>
    </row>
    <row r="362">
      <c r="D362" s="110"/>
      <c r="F362" s="4"/>
      <c r="G362" s="4"/>
      <c r="H362" s="4"/>
      <c r="I362" s="65"/>
      <c r="K362" s="199"/>
      <c r="L362" s="65"/>
      <c r="N362" s="105"/>
      <c r="T362" s="184"/>
      <c r="Y362" s="201"/>
      <c r="Z362" s="200"/>
      <c r="AA362" s="201"/>
      <c r="AB362" s="68"/>
      <c r="AC362" s="210"/>
      <c r="AD362" s="68"/>
      <c r="AH362" s="67"/>
      <c r="AI362" s="204"/>
      <c r="AK362" s="200"/>
      <c r="AN362" s="68"/>
      <c r="AO362" s="206"/>
      <c r="AS362" s="200"/>
      <c r="AT362" s="200"/>
      <c r="AU362" s="68"/>
      <c r="AY362" s="67"/>
      <c r="AZ362" s="204"/>
      <c r="BC362" s="68"/>
      <c r="BD362" s="68"/>
      <c r="BF362" s="200"/>
    </row>
    <row r="363">
      <c r="D363" s="110"/>
      <c r="F363" s="4"/>
      <c r="G363" s="4"/>
      <c r="H363" s="4"/>
      <c r="I363" s="65"/>
      <c r="K363" s="199"/>
      <c r="L363" s="65"/>
      <c r="N363" s="105"/>
      <c r="T363" s="184"/>
      <c r="Y363" s="201"/>
      <c r="Z363" s="200"/>
      <c r="AA363" s="201"/>
      <c r="AB363" s="68"/>
      <c r="AC363" s="210"/>
      <c r="AD363" s="68"/>
      <c r="AH363" s="67"/>
      <c r="AI363" s="204"/>
      <c r="AK363" s="200"/>
      <c r="AN363" s="68"/>
      <c r="AO363" s="206"/>
      <c r="AS363" s="200"/>
      <c r="AT363" s="200"/>
      <c r="AU363" s="68"/>
      <c r="AY363" s="67"/>
      <c r="AZ363" s="204"/>
      <c r="BC363" s="68"/>
      <c r="BD363" s="68"/>
      <c r="BF363" s="200"/>
    </row>
    <row r="364">
      <c r="D364" s="110"/>
      <c r="F364" s="4"/>
      <c r="G364" s="4"/>
      <c r="H364" s="4"/>
      <c r="I364" s="65"/>
      <c r="K364" s="199"/>
      <c r="L364" s="65"/>
      <c r="N364" s="105"/>
      <c r="T364" s="184"/>
      <c r="Y364" s="201"/>
      <c r="Z364" s="200"/>
      <c r="AA364" s="201"/>
      <c r="AB364" s="68"/>
      <c r="AC364" s="210"/>
      <c r="AD364" s="68"/>
      <c r="AH364" s="67"/>
      <c r="AI364" s="204"/>
      <c r="AK364" s="200"/>
      <c r="AN364" s="68"/>
      <c r="AO364" s="206"/>
      <c r="AS364" s="200"/>
      <c r="AT364" s="200"/>
      <c r="AU364" s="68"/>
      <c r="AY364" s="67"/>
      <c r="AZ364" s="204"/>
      <c r="BC364" s="68"/>
      <c r="BD364" s="68"/>
      <c r="BF364" s="200"/>
    </row>
    <row r="365">
      <c r="D365" s="110"/>
      <c r="F365" s="4"/>
      <c r="G365" s="4"/>
      <c r="H365" s="4"/>
      <c r="I365" s="65"/>
      <c r="K365" s="199"/>
      <c r="L365" s="65"/>
      <c r="N365" s="105"/>
      <c r="T365" s="184"/>
      <c r="Y365" s="201"/>
      <c r="Z365" s="200"/>
      <c r="AA365" s="201"/>
      <c r="AB365" s="68"/>
      <c r="AC365" s="210"/>
      <c r="AD365" s="68"/>
      <c r="AH365" s="67"/>
      <c r="AI365" s="204"/>
      <c r="AK365" s="200"/>
      <c r="AN365" s="68"/>
      <c r="AO365" s="206"/>
      <c r="AS365" s="200"/>
      <c r="AT365" s="200"/>
      <c r="AU365" s="68"/>
      <c r="AY365" s="67"/>
      <c r="AZ365" s="204"/>
      <c r="BC365" s="68"/>
      <c r="BD365" s="68"/>
      <c r="BF365" s="200"/>
    </row>
    <row r="366">
      <c r="D366" s="110"/>
      <c r="F366" s="4"/>
      <c r="G366" s="4"/>
      <c r="H366" s="4"/>
      <c r="I366" s="65"/>
      <c r="K366" s="199"/>
      <c r="L366" s="65"/>
      <c r="N366" s="105"/>
      <c r="T366" s="184"/>
      <c r="Y366" s="201"/>
      <c r="Z366" s="200"/>
      <c r="AA366" s="201"/>
      <c r="AB366" s="68"/>
      <c r="AC366" s="210"/>
      <c r="AD366" s="68"/>
      <c r="AH366" s="67"/>
      <c r="AI366" s="204"/>
      <c r="AK366" s="200"/>
      <c r="AN366" s="68"/>
      <c r="AO366" s="206"/>
      <c r="AS366" s="200"/>
      <c r="AT366" s="200"/>
      <c r="AU366" s="68"/>
      <c r="AY366" s="67"/>
      <c r="AZ366" s="204"/>
      <c r="BC366" s="68"/>
      <c r="BD366" s="68"/>
      <c r="BF366" s="200"/>
    </row>
    <row r="367">
      <c r="D367" s="110"/>
      <c r="F367" s="4"/>
      <c r="G367" s="4"/>
      <c r="H367" s="4"/>
      <c r="I367" s="65"/>
      <c r="K367" s="199"/>
      <c r="L367" s="65"/>
      <c r="N367" s="105"/>
      <c r="T367" s="184"/>
      <c r="Y367" s="201"/>
      <c r="Z367" s="200"/>
      <c r="AA367" s="201"/>
      <c r="AB367" s="68"/>
      <c r="AC367" s="210"/>
      <c r="AD367" s="68"/>
      <c r="AH367" s="67"/>
      <c r="AI367" s="204"/>
      <c r="AK367" s="200"/>
      <c r="AN367" s="68"/>
      <c r="AO367" s="206"/>
      <c r="AS367" s="200"/>
      <c r="AT367" s="200"/>
      <c r="AU367" s="68"/>
      <c r="AY367" s="67"/>
      <c r="AZ367" s="204"/>
      <c r="BC367" s="68"/>
      <c r="BD367" s="68"/>
      <c r="BF367" s="200"/>
    </row>
    <row r="368">
      <c r="D368" s="110"/>
      <c r="F368" s="4"/>
      <c r="G368" s="4"/>
      <c r="H368" s="4"/>
      <c r="I368" s="65"/>
      <c r="K368" s="199"/>
      <c r="L368" s="65"/>
      <c r="N368" s="105"/>
      <c r="T368" s="184"/>
      <c r="Y368" s="201"/>
      <c r="Z368" s="200"/>
      <c r="AA368" s="201"/>
      <c r="AB368" s="68"/>
      <c r="AC368" s="210"/>
      <c r="AD368" s="68"/>
      <c r="AH368" s="67"/>
      <c r="AI368" s="204"/>
      <c r="AK368" s="200"/>
      <c r="AN368" s="68"/>
      <c r="AO368" s="206"/>
      <c r="AS368" s="200"/>
      <c r="AT368" s="200"/>
      <c r="AU368" s="68"/>
      <c r="AY368" s="67"/>
      <c r="AZ368" s="204"/>
      <c r="BC368" s="68"/>
      <c r="BD368" s="68"/>
      <c r="BF368" s="200"/>
    </row>
    <row r="369">
      <c r="D369" s="110"/>
      <c r="F369" s="4"/>
      <c r="G369" s="4"/>
      <c r="H369" s="4"/>
      <c r="I369" s="65"/>
      <c r="K369" s="199"/>
      <c r="L369" s="65"/>
      <c r="N369" s="105"/>
      <c r="T369" s="184"/>
      <c r="Y369" s="201"/>
      <c r="Z369" s="200"/>
      <c r="AA369" s="201"/>
      <c r="AB369" s="68"/>
      <c r="AC369" s="210"/>
      <c r="AD369" s="68"/>
      <c r="AH369" s="67"/>
      <c r="AI369" s="204"/>
      <c r="AK369" s="200"/>
      <c r="AN369" s="68"/>
      <c r="AO369" s="206"/>
      <c r="AS369" s="200"/>
      <c r="AT369" s="200"/>
      <c r="AU369" s="68"/>
      <c r="AY369" s="67"/>
      <c r="AZ369" s="204"/>
      <c r="BC369" s="68"/>
      <c r="BD369" s="68"/>
      <c r="BF369" s="200"/>
    </row>
    <row r="370">
      <c r="D370" s="110"/>
      <c r="F370" s="4"/>
      <c r="G370" s="4"/>
      <c r="H370" s="4"/>
      <c r="I370" s="65"/>
      <c r="K370" s="199"/>
      <c r="L370" s="65"/>
      <c r="N370" s="105"/>
      <c r="T370" s="184"/>
      <c r="Y370" s="201"/>
      <c r="Z370" s="200"/>
      <c r="AA370" s="201"/>
      <c r="AB370" s="68"/>
      <c r="AC370" s="210"/>
      <c r="AD370" s="68"/>
      <c r="AH370" s="67"/>
      <c r="AI370" s="204"/>
      <c r="AK370" s="200"/>
      <c r="AN370" s="68"/>
      <c r="AO370" s="206"/>
      <c r="AS370" s="200"/>
      <c r="AT370" s="200"/>
      <c r="AU370" s="68"/>
      <c r="AY370" s="67"/>
      <c r="AZ370" s="204"/>
      <c r="BC370" s="68"/>
      <c r="BD370" s="68"/>
      <c r="BF370" s="200"/>
    </row>
    <row r="371">
      <c r="D371" s="110"/>
      <c r="F371" s="4"/>
      <c r="G371" s="4"/>
      <c r="H371" s="4"/>
      <c r="I371" s="65"/>
      <c r="K371" s="199"/>
      <c r="L371" s="65"/>
      <c r="N371" s="105"/>
      <c r="T371" s="184"/>
      <c r="Y371" s="201"/>
      <c r="Z371" s="200"/>
      <c r="AA371" s="201"/>
      <c r="AB371" s="68"/>
      <c r="AC371" s="210"/>
      <c r="AD371" s="68"/>
      <c r="AH371" s="67"/>
      <c r="AI371" s="204"/>
      <c r="AK371" s="200"/>
      <c r="AN371" s="68"/>
      <c r="AO371" s="206"/>
      <c r="AS371" s="200"/>
      <c r="AT371" s="200"/>
      <c r="AU371" s="68"/>
      <c r="AY371" s="67"/>
      <c r="AZ371" s="204"/>
      <c r="BC371" s="68"/>
      <c r="BD371" s="68"/>
      <c r="BF371" s="200"/>
    </row>
    <row r="372">
      <c r="D372" s="110"/>
      <c r="F372" s="4"/>
      <c r="G372" s="4"/>
      <c r="H372" s="4"/>
      <c r="I372" s="65"/>
      <c r="K372" s="199"/>
      <c r="L372" s="65"/>
      <c r="N372" s="105"/>
      <c r="T372" s="184"/>
      <c r="Y372" s="201"/>
      <c r="Z372" s="200"/>
      <c r="AA372" s="201"/>
      <c r="AB372" s="68"/>
      <c r="AC372" s="210"/>
      <c r="AD372" s="68"/>
      <c r="AH372" s="67"/>
      <c r="AI372" s="204"/>
      <c r="AK372" s="200"/>
      <c r="AN372" s="68"/>
      <c r="AO372" s="206"/>
      <c r="AS372" s="200"/>
      <c r="AT372" s="200"/>
      <c r="AU372" s="68"/>
      <c r="AY372" s="67"/>
      <c r="AZ372" s="204"/>
      <c r="BC372" s="68"/>
      <c r="BD372" s="68"/>
      <c r="BF372" s="200"/>
    </row>
    <row r="373">
      <c r="D373" s="110"/>
      <c r="F373" s="4"/>
      <c r="G373" s="4"/>
      <c r="H373" s="4"/>
      <c r="I373" s="65"/>
      <c r="K373" s="199"/>
      <c r="L373" s="65"/>
      <c r="N373" s="105"/>
      <c r="T373" s="184"/>
      <c r="Y373" s="201"/>
      <c r="Z373" s="200"/>
      <c r="AA373" s="201"/>
      <c r="AB373" s="68"/>
      <c r="AC373" s="210"/>
      <c r="AD373" s="68"/>
      <c r="AH373" s="67"/>
      <c r="AI373" s="204"/>
      <c r="AK373" s="200"/>
      <c r="AN373" s="68"/>
      <c r="AO373" s="206"/>
      <c r="AS373" s="200"/>
      <c r="AT373" s="200"/>
      <c r="AU373" s="68"/>
      <c r="AY373" s="67"/>
      <c r="AZ373" s="204"/>
      <c r="BC373" s="68"/>
      <c r="BD373" s="68"/>
      <c r="BF373" s="200"/>
    </row>
    <row r="374">
      <c r="D374" s="110"/>
      <c r="F374" s="4"/>
      <c r="G374" s="4"/>
      <c r="H374" s="4"/>
      <c r="I374" s="65"/>
      <c r="K374" s="199"/>
      <c r="L374" s="65"/>
      <c r="N374" s="105"/>
      <c r="T374" s="184"/>
      <c r="Y374" s="201"/>
      <c r="Z374" s="200"/>
      <c r="AA374" s="201"/>
      <c r="AB374" s="68"/>
      <c r="AC374" s="210"/>
      <c r="AD374" s="68"/>
      <c r="AH374" s="67"/>
      <c r="AI374" s="204"/>
      <c r="AK374" s="200"/>
      <c r="AN374" s="68"/>
      <c r="AO374" s="206"/>
      <c r="AS374" s="200"/>
      <c r="AT374" s="200"/>
      <c r="AU374" s="68"/>
      <c r="AY374" s="67"/>
      <c r="AZ374" s="204"/>
      <c r="BC374" s="68"/>
      <c r="BD374" s="68"/>
      <c r="BF374" s="200"/>
    </row>
    <row r="375">
      <c r="D375" s="110"/>
      <c r="F375" s="4"/>
      <c r="G375" s="4"/>
      <c r="H375" s="4"/>
      <c r="I375" s="65"/>
      <c r="K375" s="199"/>
      <c r="L375" s="65"/>
      <c r="N375" s="105"/>
      <c r="T375" s="184"/>
      <c r="Y375" s="201"/>
      <c r="Z375" s="200"/>
      <c r="AA375" s="201"/>
      <c r="AB375" s="68"/>
      <c r="AC375" s="210"/>
      <c r="AD375" s="68"/>
      <c r="AH375" s="67"/>
      <c r="AI375" s="204"/>
      <c r="AK375" s="200"/>
      <c r="AN375" s="68"/>
      <c r="AO375" s="206"/>
      <c r="AS375" s="200"/>
      <c r="AT375" s="200"/>
      <c r="AU375" s="68"/>
      <c r="AY375" s="67"/>
      <c r="AZ375" s="204"/>
      <c r="BC375" s="68"/>
      <c r="BD375" s="68"/>
      <c r="BF375" s="200"/>
    </row>
    <row r="376">
      <c r="D376" s="110"/>
      <c r="F376" s="4"/>
      <c r="G376" s="4"/>
      <c r="H376" s="4"/>
      <c r="I376" s="65"/>
      <c r="K376" s="199"/>
      <c r="L376" s="65"/>
      <c r="N376" s="105"/>
      <c r="T376" s="184"/>
      <c r="Y376" s="201"/>
      <c r="Z376" s="200"/>
      <c r="AA376" s="201"/>
      <c r="AB376" s="68"/>
      <c r="AC376" s="210"/>
      <c r="AD376" s="68"/>
      <c r="AH376" s="67"/>
      <c r="AI376" s="204"/>
      <c r="AK376" s="200"/>
      <c r="AN376" s="68"/>
      <c r="AO376" s="206"/>
      <c r="AS376" s="200"/>
      <c r="AT376" s="200"/>
      <c r="AU376" s="68"/>
      <c r="AY376" s="67"/>
      <c r="AZ376" s="204"/>
      <c r="BC376" s="68"/>
      <c r="BD376" s="68"/>
      <c r="BF376" s="200"/>
    </row>
    <row r="377">
      <c r="D377" s="110"/>
      <c r="F377" s="4"/>
      <c r="G377" s="4"/>
      <c r="H377" s="4"/>
      <c r="I377" s="65"/>
      <c r="K377" s="199"/>
      <c r="L377" s="65"/>
      <c r="N377" s="105"/>
      <c r="T377" s="184"/>
      <c r="Y377" s="201"/>
      <c r="Z377" s="200"/>
      <c r="AA377" s="201"/>
      <c r="AB377" s="68"/>
      <c r="AC377" s="210"/>
      <c r="AD377" s="68"/>
      <c r="AH377" s="67"/>
      <c r="AI377" s="204"/>
      <c r="AK377" s="200"/>
      <c r="AN377" s="68"/>
      <c r="AO377" s="206"/>
      <c r="AS377" s="200"/>
      <c r="AT377" s="200"/>
      <c r="AU377" s="68"/>
      <c r="AY377" s="67"/>
      <c r="AZ377" s="204"/>
      <c r="BC377" s="68"/>
      <c r="BD377" s="68"/>
      <c r="BF377" s="200"/>
    </row>
    <row r="378">
      <c r="D378" s="110"/>
      <c r="F378" s="4"/>
      <c r="G378" s="4"/>
      <c r="H378" s="4"/>
      <c r="I378" s="65"/>
      <c r="K378" s="199"/>
      <c r="L378" s="65"/>
      <c r="N378" s="105"/>
      <c r="T378" s="184"/>
      <c r="Y378" s="201"/>
      <c r="Z378" s="200"/>
      <c r="AA378" s="201"/>
      <c r="AB378" s="68"/>
      <c r="AC378" s="210"/>
      <c r="AD378" s="68"/>
      <c r="AH378" s="67"/>
      <c r="AI378" s="204"/>
      <c r="AK378" s="200"/>
      <c r="AN378" s="68"/>
      <c r="AO378" s="206"/>
      <c r="AS378" s="200"/>
      <c r="AT378" s="200"/>
      <c r="AU378" s="68"/>
      <c r="AY378" s="67"/>
      <c r="AZ378" s="204"/>
      <c r="BC378" s="68"/>
      <c r="BD378" s="68"/>
      <c r="BF378" s="200"/>
    </row>
    <row r="379">
      <c r="D379" s="110"/>
      <c r="F379" s="4"/>
      <c r="G379" s="4"/>
      <c r="H379" s="4"/>
      <c r="I379" s="65"/>
      <c r="K379" s="199"/>
      <c r="L379" s="65"/>
      <c r="N379" s="105"/>
      <c r="T379" s="184"/>
      <c r="Y379" s="201"/>
      <c r="Z379" s="200"/>
      <c r="AA379" s="201"/>
      <c r="AB379" s="68"/>
      <c r="AC379" s="210"/>
      <c r="AD379" s="68"/>
      <c r="AH379" s="67"/>
      <c r="AI379" s="204"/>
      <c r="AK379" s="200"/>
      <c r="AN379" s="68"/>
      <c r="AO379" s="206"/>
      <c r="AS379" s="200"/>
      <c r="AT379" s="200"/>
      <c r="AU379" s="68"/>
      <c r="AY379" s="67"/>
      <c r="AZ379" s="204"/>
      <c r="BC379" s="68"/>
      <c r="BD379" s="68"/>
      <c r="BF379" s="200"/>
    </row>
    <row r="380">
      <c r="D380" s="110"/>
      <c r="F380" s="4"/>
      <c r="G380" s="4"/>
      <c r="H380" s="4"/>
      <c r="I380" s="65"/>
      <c r="K380" s="199"/>
      <c r="L380" s="65"/>
      <c r="N380" s="105"/>
      <c r="T380" s="184"/>
      <c r="Y380" s="201"/>
      <c r="Z380" s="200"/>
      <c r="AA380" s="201"/>
      <c r="AB380" s="68"/>
      <c r="AC380" s="210"/>
      <c r="AD380" s="68"/>
      <c r="AH380" s="67"/>
      <c r="AI380" s="204"/>
      <c r="AK380" s="200"/>
      <c r="AN380" s="68"/>
      <c r="AO380" s="206"/>
      <c r="AS380" s="200"/>
      <c r="AT380" s="200"/>
      <c r="AU380" s="68"/>
      <c r="AY380" s="67"/>
      <c r="AZ380" s="204"/>
      <c r="BC380" s="68"/>
      <c r="BD380" s="68"/>
      <c r="BF380" s="200"/>
    </row>
    <row r="381">
      <c r="D381" s="110"/>
      <c r="F381" s="4"/>
      <c r="G381" s="4"/>
      <c r="H381" s="4"/>
      <c r="I381" s="65"/>
      <c r="K381" s="199"/>
      <c r="L381" s="65"/>
      <c r="N381" s="105"/>
      <c r="T381" s="184"/>
      <c r="Y381" s="201"/>
      <c r="Z381" s="200"/>
      <c r="AA381" s="201"/>
      <c r="AB381" s="68"/>
      <c r="AC381" s="210"/>
      <c r="AD381" s="68"/>
      <c r="AH381" s="67"/>
      <c r="AI381" s="204"/>
      <c r="AK381" s="200"/>
      <c r="AN381" s="68"/>
      <c r="AO381" s="206"/>
      <c r="AS381" s="200"/>
      <c r="AT381" s="200"/>
      <c r="AU381" s="68"/>
      <c r="AY381" s="67"/>
      <c r="AZ381" s="204"/>
      <c r="BC381" s="68"/>
      <c r="BD381" s="68"/>
      <c r="BF381" s="200"/>
    </row>
    <row r="382">
      <c r="D382" s="110"/>
      <c r="F382" s="4"/>
      <c r="G382" s="4"/>
      <c r="H382" s="4"/>
      <c r="I382" s="65"/>
      <c r="K382" s="199"/>
      <c r="L382" s="65"/>
      <c r="N382" s="105"/>
      <c r="T382" s="184"/>
      <c r="Y382" s="201"/>
      <c r="Z382" s="200"/>
      <c r="AA382" s="201"/>
      <c r="AB382" s="68"/>
      <c r="AC382" s="210"/>
      <c r="AD382" s="68"/>
      <c r="AH382" s="67"/>
      <c r="AI382" s="204"/>
      <c r="AK382" s="200"/>
      <c r="AN382" s="68"/>
      <c r="AO382" s="206"/>
      <c r="AS382" s="200"/>
      <c r="AT382" s="200"/>
      <c r="AU382" s="68"/>
      <c r="AY382" s="67"/>
      <c r="AZ382" s="204"/>
      <c r="BC382" s="68"/>
      <c r="BD382" s="68"/>
      <c r="BF382" s="200"/>
    </row>
    <row r="383">
      <c r="D383" s="110"/>
      <c r="F383" s="4"/>
      <c r="G383" s="4"/>
      <c r="H383" s="4"/>
      <c r="I383" s="65"/>
      <c r="K383" s="199"/>
      <c r="L383" s="65"/>
      <c r="N383" s="105"/>
      <c r="T383" s="184"/>
      <c r="Y383" s="201"/>
      <c r="Z383" s="200"/>
      <c r="AA383" s="201"/>
      <c r="AB383" s="68"/>
      <c r="AC383" s="210"/>
      <c r="AD383" s="68"/>
      <c r="AH383" s="67"/>
      <c r="AI383" s="204"/>
      <c r="AK383" s="200"/>
      <c r="AN383" s="68"/>
      <c r="AO383" s="206"/>
      <c r="AS383" s="200"/>
      <c r="AT383" s="200"/>
      <c r="AU383" s="68"/>
      <c r="AY383" s="67"/>
      <c r="AZ383" s="204"/>
      <c r="BC383" s="68"/>
      <c r="BD383" s="68"/>
      <c r="BF383" s="200"/>
    </row>
    <row r="384">
      <c r="D384" s="110"/>
      <c r="F384" s="4"/>
      <c r="G384" s="4"/>
      <c r="H384" s="4"/>
      <c r="I384" s="65"/>
      <c r="K384" s="199"/>
      <c r="L384" s="65"/>
      <c r="N384" s="105"/>
      <c r="T384" s="184"/>
      <c r="Y384" s="201"/>
      <c r="Z384" s="200"/>
      <c r="AA384" s="201"/>
      <c r="AB384" s="68"/>
      <c r="AC384" s="210"/>
      <c r="AD384" s="68"/>
      <c r="AH384" s="67"/>
      <c r="AI384" s="204"/>
      <c r="AK384" s="200"/>
      <c r="AN384" s="68"/>
      <c r="AO384" s="206"/>
      <c r="AS384" s="200"/>
      <c r="AT384" s="200"/>
      <c r="AU384" s="68"/>
      <c r="AY384" s="67"/>
      <c r="AZ384" s="204"/>
      <c r="BC384" s="68"/>
      <c r="BD384" s="68"/>
      <c r="BF384" s="200"/>
    </row>
    <row r="385">
      <c r="D385" s="110"/>
      <c r="F385" s="4"/>
      <c r="G385" s="4"/>
      <c r="H385" s="4"/>
      <c r="I385" s="65"/>
      <c r="K385" s="199"/>
      <c r="L385" s="65"/>
      <c r="N385" s="105"/>
      <c r="T385" s="184"/>
      <c r="Y385" s="201"/>
      <c r="Z385" s="200"/>
      <c r="AA385" s="201"/>
      <c r="AB385" s="68"/>
      <c r="AC385" s="210"/>
      <c r="AD385" s="68"/>
      <c r="AH385" s="67"/>
      <c r="AI385" s="204"/>
      <c r="AK385" s="200"/>
      <c r="AN385" s="68"/>
      <c r="AO385" s="206"/>
      <c r="AS385" s="200"/>
      <c r="AT385" s="200"/>
      <c r="AU385" s="68"/>
      <c r="AY385" s="67"/>
      <c r="AZ385" s="204"/>
      <c r="BC385" s="68"/>
      <c r="BD385" s="68"/>
      <c r="BF385" s="200"/>
    </row>
    <row r="386">
      <c r="D386" s="110"/>
      <c r="F386" s="4"/>
      <c r="G386" s="4"/>
      <c r="H386" s="4"/>
      <c r="I386" s="65"/>
      <c r="K386" s="199"/>
      <c r="L386" s="65"/>
      <c r="N386" s="105"/>
      <c r="T386" s="184"/>
      <c r="Y386" s="201"/>
      <c r="Z386" s="200"/>
      <c r="AA386" s="201"/>
      <c r="AB386" s="68"/>
      <c r="AC386" s="210"/>
      <c r="AD386" s="68"/>
      <c r="AH386" s="67"/>
      <c r="AI386" s="204"/>
      <c r="AK386" s="200"/>
      <c r="AN386" s="68"/>
      <c r="AO386" s="206"/>
      <c r="AS386" s="200"/>
      <c r="AT386" s="200"/>
      <c r="AU386" s="68"/>
      <c r="AY386" s="67"/>
      <c r="AZ386" s="204"/>
      <c r="BC386" s="68"/>
      <c r="BD386" s="68"/>
      <c r="BF386" s="200"/>
    </row>
    <row r="387">
      <c r="D387" s="110"/>
      <c r="F387" s="4"/>
      <c r="G387" s="4"/>
      <c r="H387" s="4"/>
      <c r="I387" s="65"/>
      <c r="K387" s="199"/>
      <c r="L387" s="65"/>
      <c r="N387" s="105"/>
      <c r="T387" s="184"/>
      <c r="Y387" s="201"/>
      <c r="Z387" s="200"/>
      <c r="AA387" s="201"/>
      <c r="AB387" s="68"/>
      <c r="AC387" s="210"/>
      <c r="AD387" s="68"/>
      <c r="AH387" s="67"/>
      <c r="AI387" s="204"/>
      <c r="AK387" s="200"/>
      <c r="AN387" s="68"/>
      <c r="AO387" s="206"/>
      <c r="AS387" s="200"/>
      <c r="AT387" s="200"/>
      <c r="AU387" s="68"/>
      <c r="AY387" s="67"/>
      <c r="AZ387" s="204"/>
      <c r="BC387" s="68"/>
      <c r="BD387" s="68"/>
      <c r="BF387" s="200"/>
    </row>
    <row r="388">
      <c r="D388" s="110"/>
      <c r="F388" s="4"/>
      <c r="G388" s="4"/>
      <c r="H388" s="4"/>
      <c r="I388" s="65"/>
      <c r="K388" s="199"/>
      <c r="L388" s="65"/>
      <c r="N388" s="105"/>
      <c r="T388" s="184"/>
      <c r="Y388" s="201"/>
      <c r="Z388" s="200"/>
      <c r="AA388" s="201"/>
      <c r="AB388" s="68"/>
      <c r="AC388" s="210"/>
      <c r="AD388" s="68"/>
      <c r="AH388" s="67"/>
      <c r="AI388" s="204"/>
      <c r="AK388" s="200"/>
      <c r="AN388" s="68"/>
      <c r="AO388" s="206"/>
      <c r="AS388" s="200"/>
      <c r="AT388" s="200"/>
      <c r="AU388" s="68"/>
      <c r="AY388" s="67"/>
      <c r="AZ388" s="204"/>
      <c r="BC388" s="68"/>
      <c r="BD388" s="68"/>
      <c r="BF388" s="200"/>
    </row>
    <row r="389">
      <c r="D389" s="110"/>
      <c r="F389" s="4"/>
      <c r="G389" s="4"/>
      <c r="H389" s="4"/>
      <c r="I389" s="65"/>
      <c r="K389" s="199"/>
      <c r="L389" s="65"/>
      <c r="N389" s="105"/>
      <c r="T389" s="184"/>
      <c r="Y389" s="201"/>
      <c r="Z389" s="200"/>
      <c r="AA389" s="201"/>
      <c r="AB389" s="68"/>
      <c r="AC389" s="210"/>
      <c r="AD389" s="68"/>
      <c r="AH389" s="67"/>
      <c r="AI389" s="204"/>
      <c r="AK389" s="200"/>
      <c r="AN389" s="68"/>
      <c r="AO389" s="206"/>
      <c r="AS389" s="200"/>
      <c r="AT389" s="200"/>
      <c r="AU389" s="68"/>
      <c r="AY389" s="67"/>
      <c r="AZ389" s="204"/>
      <c r="BC389" s="68"/>
      <c r="BD389" s="68"/>
      <c r="BF389" s="200"/>
    </row>
    <row r="390">
      <c r="D390" s="110"/>
      <c r="F390" s="4"/>
      <c r="G390" s="4"/>
      <c r="H390" s="4"/>
      <c r="I390" s="65"/>
      <c r="K390" s="199"/>
      <c r="L390" s="65"/>
      <c r="N390" s="105"/>
      <c r="T390" s="184"/>
      <c r="Y390" s="201"/>
      <c r="Z390" s="200"/>
      <c r="AA390" s="201"/>
      <c r="AB390" s="68"/>
      <c r="AC390" s="210"/>
      <c r="AD390" s="68"/>
      <c r="AH390" s="67"/>
      <c r="AI390" s="204"/>
      <c r="AK390" s="200"/>
      <c r="AN390" s="68"/>
      <c r="AO390" s="206"/>
      <c r="AS390" s="200"/>
      <c r="AT390" s="200"/>
      <c r="AU390" s="68"/>
      <c r="AY390" s="67"/>
      <c r="AZ390" s="204"/>
      <c r="BC390" s="68"/>
      <c r="BD390" s="68"/>
      <c r="BF390" s="200"/>
    </row>
    <row r="391">
      <c r="D391" s="110"/>
      <c r="F391" s="4"/>
      <c r="G391" s="4"/>
      <c r="H391" s="4"/>
      <c r="I391" s="65"/>
      <c r="K391" s="199"/>
      <c r="L391" s="65"/>
      <c r="N391" s="105"/>
      <c r="T391" s="184"/>
      <c r="Y391" s="201"/>
      <c r="Z391" s="200"/>
      <c r="AA391" s="201"/>
      <c r="AB391" s="68"/>
      <c r="AC391" s="210"/>
      <c r="AD391" s="68"/>
      <c r="AH391" s="67"/>
      <c r="AI391" s="204"/>
      <c r="AK391" s="200"/>
      <c r="AN391" s="68"/>
      <c r="AO391" s="206"/>
      <c r="AS391" s="200"/>
      <c r="AT391" s="200"/>
      <c r="AU391" s="68"/>
      <c r="AY391" s="67"/>
      <c r="AZ391" s="204"/>
      <c r="BC391" s="68"/>
      <c r="BD391" s="68"/>
      <c r="BF391" s="200"/>
    </row>
    <row r="392">
      <c r="D392" s="110"/>
      <c r="F392" s="4"/>
      <c r="G392" s="4"/>
      <c r="H392" s="4"/>
      <c r="I392" s="65"/>
      <c r="K392" s="199"/>
      <c r="L392" s="65"/>
      <c r="N392" s="105"/>
      <c r="T392" s="184"/>
      <c r="Y392" s="201"/>
      <c r="Z392" s="200"/>
      <c r="AA392" s="201"/>
      <c r="AB392" s="68"/>
      <c r="AC392" s="210"/>
      <c r="AD392" s="68"/>
      <c r="AH392" s="67"/>
      <c r="AI392" s="204"/>
      <c r="AK392" s="200"/>
      <c r="AN392" s="68"/>
      <c r="AO392" s="206"/>
      <c r="AS392" s="200"/>
      <c r="AT392" s="200"/>
      <c r="AU392" s="68"/>
      <c r="AY392" s="67"/>
      <c r="AZ392" s="204"/>
      <c r="BC392" s="68"/>
      <c r="BD392" s="68"/>
      <c r="BF392" s="200"/>
    </row>
    <row r="393">
      <c r="D393" s="110"/>
      <c r="F393" s="4"/>
      <c r="G393" s="4"/>
      <c r="H393" s="4"/>
      <c r="I393" s="65"/>
      <c r="K393" s="199"/>
      <c r="L393" s="65"/>
      <c r="N393" s="105"/>
      <c r="T393" s="184"/>
      <c r="Y393" s="201"/>
      <c r="Z393" s="200"/>
      <c r="AA393" s="201"/>
      <c r="AB393" s="68"/>
      <c r="AC393" s="210"/>
      <c r="AD393" s="68"/>
      <c r="AH393" s="67"/>
      <c r="AI393" s="204"/>
      <c r="AK393" s="200"/>
      <c r="AN393" s="68"/>
      <c r="AO393" s="206"/>
      <c r="AS393" s="200"/>
      <c r="AT393" s="200"/>
      <c r="AU393" s="68"/>
      <c r="AY393" s="67"/>
      <c r="AZ393" s="204"/>
      <c r="BC393" s="68"/>
      <c r="BD393" s="68"/>
      <c r="BF393" s="200"/>
    </row>
    <row r="394">
      <c r="D394" s="110"/>
      <c r="F394" s="4"/>
      <c r="G394" s="4"/>
      <c r="H394" s="4"/>
      <c r="I394" s="65"/>
      <c r="K394" s="199"/>
      <c r="L394" s="65"/>
      <c r="N394" s="105"/>
      <c r="T394" s="184"/>
      <c r="Y394" s="201"/>
      <c r="Z394" s="200"/>
      <c r="AA394" s="201"/>
      <c r="AB394" s="68"/>
      <c r="AC394" s="210"/>
      <c r="AD394" s="68"/>
      <c r="AH394" s="67"/>
      <c r="AI394" s="204"/>
      <c r="AK394" s="200"/>
      <c r="AN394" s="68"/>
      <c r="AO394" s="206"/>
      <c r="AS394" s="200"/>
      <c r="AT394" s="200"/>
      <c r="AU394" s="68"/>
      <c r="AY394" s="67"/>
      <c r="AZ394" s="204"/>
      <c r="BC394" s="68"/>
      <c r="BD394" s="68"/>
      <c r="BF394" s="200"/>
    </row>
    <row r="395">
      <c r="D395" s="110"/>
      <c r="F395" s="4"/>
      <c r="G395" s="4"/>
      <c r="H395" s="4"/>
      <c r="I395" s="65"/>
      <c r="K395" s="199"/>
      <c r="L395" s="65"/>
      <c r="N395" s="105"/>
      <c r="T395" s="184"/>
      <c r="Y395" s="201"/>
      <c r="Z395" s="200"/>
      <c r="AA395" s="201"/>
      <c r="AB395" s="68"/>
      <c r="AC395" s="210"/>
      <c r="AD395" s="68"/>
      <c r="AH395" s="67"/>
      <c r="AI395" s="204"/>
      <c r="AK395" s="200"/>
      <c r="AN395" s="68"/>
      <c r="AO395" s="206"/>
      <c r="AS395" s="200"/>
      <c r="AT395" s="200"/>
      <c r="AU395" s="68"/>
      <c r="AY395" s="67"/>
      <c r="AZ395" s="204"/>
      <c r="BC395" s="68"/>
      <c r="BD395" s="68"/>
      <c r="BF395" s="200"/>
    </row>
    <row r="396">
      <c r="D396" s="110"/>
      <c r="F396" s="4"/>
      <c r="G396" s="4"/>
      <c r="H396" s="4"/>
      <c r="I396" s="65"/>
      <c r="K396" s="199"/>
      <c r="L396" s="65"/>
      <c r="N396" s="105"/>
      <c r="T396" s="184"/>
      <c r="Y396" s="201"/>
      <c r="Z396" s="200"/>
      <c r="AA396" s="201"/>
      <c r="AB396" s="68"/>
      <c r="AC396" s="210"/>
      <c r="AD396" s="68"/>
      <c r="AH396" s="67"/>
      <c r="AI396" s="204"/>
      <c r="AK396" s="200"/>
      <c r="AN396" s="68"/>
      <c r="AO396" s="206"/>
      <c r="AS396" s="200"/>
      <c r="AT396" s="200"/>
      <c r="AU396" s="68"/>
      <c r="AY396" s="67"/>
      <c r="AZ396" s="204"/>
      <c r="BC396" s="68"/>
      <c r="BD396" s="68"/>
      <c r="BF396" s="200"/>
    </row>
    <row r="397">
      <c r="D397" s="110"/>
      <c r="F397" s="4"/>
      <c r="G397" s="4"/>
      <c r="H397" s="4"/>
      <c r="I397" s="65"/>
      <c r="K397" s="199"/>
      <c r="L397" s="65"/>
      <c r="N397" s="105"/>
      <c r="T397" s="184"/>
      <c r="Y397" s="201"/>
      <c r="Z397" s="200"/>
      <c r="AA397" s="201"/>
      <c r="AB397" s="68"/>
      <c r="AC397" s="210"/>
      <c r="AD397" s="68"/>
      <c r="AH397" s="67"/>
      <c r="AI397" s="204"/>
      <c r="AK397" s="200"/>
      <c r="AN397" s="68"/>
      <c r="AO397" s="206"/>
      <c r="AS397" s="200"/>
      <c r="AT397" s="200"/>
      <c r="AU397" s="68"/>
      <c r="AY397" s="67"/>
      <c r="AZ397" s="204"/>
      <c r="BC397" s="68"/>
      <c r="BD397" s="68"/>
      <c r="BF397" s="200"/>
    </row>
    <row r="398">
      <c r="D398" s="110"/>
      <c r="F398" s="4"/>
      <c r="G398" s="4"/>
      <c r="H398" s="4"/>
      <c r="I398" s="65"/>
      <c r="K398" s="199"/>
      <c r="L398" s="65"/>
      <c r="N398" s="105"/>
      <c r="T398" s="184"/>
      <c r="Y398" s="201"/>
      <c r="Z398" s="200"/>
      <c r="AA398" s="201"/>
      <c r="AB398" s="68"/>
      <c r="AC398" s="210"/>
      <c r="AD398" s="68"/>
      <c r="AH398" s="67"/>
      <c r="AI398" s="204"/>
      <c r="AK398" s="200"/>
      <c r="AN398" s="68"/>
      <c r="AO398" s="206"/>
      <c r="AS398" s="200"/>
      <c r="AT398" s="200"/>
      <c r="AU398" s="68"/>
      <c r="AY398" s="67"/>
      <c r="AZ398" s="204"/>
      <c r="BC398" s="68"/>
      <c r="BD398" s="68"/>
      <c r="BF398" s="200"/>
    </row>
    <row r="399">
      <c r="D399" s="110"/>
      <c r="F399" s="4"/>
      <c r="G399" s="4"/>
      <c r="H399" s="4"/>
      <c r="I399" s="65"/>
      <c r="K399" s="199"/>
      <c r="L399" s="65"/>
      <c r="N399" s="105"/>
      <c r="T399" s="184"/>
      <c r="Y399" s="201"/>
      <c r="Z399" s="200"/>
      <c r="AA399" s="201"/>
      <c r="AB399" s="68"/>
      <c r="AC399" s="210"/>
      <c r="AD399" s="68"/>
      <c r="AH399" s="67"/>
      <c r="AI399" s="204"/>
      <c r="AK399" s="200"/>
      <c r="AN399" s="68"/>
      <c r="AO399" s="206"/>
      <c r="AS399" s="200"/>
      <c r="AT399" s="200"/>
      <c r="AU399" s="68"/>
      <c r="AY399" s="67"/>
      <c r="AZ399" s="204"/>
      <c r="BC399" s="68"/>
      <c r="BD399" s="68"/>
      <c r="BF399" s="200"/>
    </row>
    <row r="400">
      <c r="D400" s="110"/>
      <c r="F400" s="4"/>
      <c r="G400" s="4"/>
      <c r="H400" s="4"/>
      <c r="I400" s="65"/>
      <c r="K400" s="199"/>
      <c r="L400" s="65"/>
      <c r="N400" s="105"/>
      <c r="T400" s="184"/>
      <c r="Y400" s="201"/>
      <c r="Z400" s="200"/>
      <c r="AA400" s="201"/>
      <c r="AB400" s="68"/>
      <c r="AC400" s="210"/>
      <c r="AD400" s="68"/>
      <c r="AH400" s="67"/>
      <c r="AI400" s="204"/>
      <c r="AK400" s="200"/>
      <c r="AN400" s="68"/>
      <c r="AO400" s="206"/>
      <c r="AS400" s="200"/>
      <c r="AT400" s="200"/>
      <c r="AU400" s="68"/>
      <c r="AY400" s="67"/>
      <c r="AZ400" s="204"/>
      <c r="BC400" s="68"/>
      <c r="BD400" s="68"/>
      <c r="BF400" s="200"/>
    </row>
    <row r="401">
      <c r="D401" s="110"/>
      <c r="F401" s="4"/>
      <c r="G401" s="4"/>
      <c r="H401" s="4"/>
      <c r="I401" s="65"/>
      <c r="K401" s="199"/>
      <c r="L401" s="65"/>
      <c r="N401" s="105"/>
      <c r="T401" s="184"/>
      <c r="Y401" s="201"/>
      <c r="Z401" s="200"/>
      <c r="AA401" s="201"/>
      <c r="AB401" s="68"/>
      <c r="AC401" s="210"/>
      <c r="AD401" s="68"/>
      <c r="AH401" s="67"/>
      <c r="AI401" s="204"/>
      <c r="AK401" s="200"/>
      <c r="AN401" s="68"/>
      <c r="AO401" s="206"/>
      <c r="AS401" s="200"/>
      <c r="AT401" s="200"/>
      <c r="AU401" s="68"/>
      <c r="AY401" s="67"/>
      <c r="AZ401" s="204"/>
      <c r="BC401" s="68"/>
      <c r="BD401" s="68"/>
      <c r="BF401" s="200"/>
    </row>
    <row r="402">
      <c r="D402" s="110"/>
      <c r="F402" s="4"/>
      <c r="G402" s="4"/>
      <c r="H402" s="4"/>
      <c r="I402" s="65"/>
      <c r="K402" s="199"/>
      <c r="L402" s="65"/>
      <c r="N402" s="105"/>
      <c r="T402" s="184"/>
      <c r="Y402" s="201"/>
      <c r="Z402" s="200"/>
      <c r="AA402" s="201"/>
      <c r="AB402" s="68"/>
      <c r="AC402" s="210"/>
      <c r="AD402" s="68"/>
      <c r="AH402" s="67"/>
      <c r="AI402" s="204"/>
      <c r="AK402" s="200"/>
      <c r="AN402" s="68"/>
      <c r="AO402" s="206"/>
      <c r="AS402" s="200"/>
      <c r="AT402" s="200"/>
      <c r="AU402" s="68"/>
      <c r="AY402" s="67"/>
      <c r="AZ402" s="204"/>
      <c r="BC402" s="68"/>
      <c r="BD402" s="68"/>
      <c r="BF402" s="200"/>
    </row>
    <row r="403">
      <c r="D403" s="110"/>
      <c r="F403" s="4"/>
      <c r="G403" s="4"/>
      <c r="H403" s="4"/>
      <c r="I403" s="65"/>
      <c r="K403" s="199"/>
      <c r="L403" s="65"/>
      <c r="N403" s="105"/>
      <c r="T403" s="184"/>
      <c r="Y403" s="201"/>
      <c r="Z403" s="200"/>
      <c r="AA403" s="201"/>
      <c r="AB403" s="68"/>
      <c r="AC403" s="210"/>
      <c r="AD403" s="68"/>
      <c r="AH403" s="67"/>
      <c r="AI403" s="204"/>
      <c r="AK403" s="200"/>
      <c r="AN403" s="68"/>
      <c r="AO403" s="206"/>
      <c r="AS403" s="200"/>
      <c r="AT403" s="200"/>
      <c r="AU403" s="68"/>
      <c r="AY403" s="67"/>
      <c r="AZ403" s="204"/>
      <c r="BC403" s="68"/>
      <c r="BD403" s="68"/>
      <c r="BF403" s="200"/>
    </row>
    <row r="404">
      <c r="D404" s="110"/>
      <c r="F404" s="4"/>
      <c r="G404" s="4"/>
      <c r="H404" s="4"/>
      <c r="I404" s="65"/>
      <c r="K404" s="199"/>
      <c r="L404" s="65"/>
      <c r="N404" s="105"/>
      <c r="T404" s="184"/>
      <c r="Y404" s="201"/>
      <c r="Z404" s="200"/>
      <c r="AA404" s="201"/>
      <c r="AB404" s="68"/>
      <c r="AC404" s="210"/>
      <c r="AD404" s="68"/>
      <c r="AH404" s="67"/>
      <c r="AI404" s="204"/>
      <c r="AK404" s="200"/>
      <c r="AN404" s="68"/>
      <c r="AO404" s="206"/>
      <c r="AS404" s="200"/>
      <c r="AT404" s="200"/>
      <c r="AU404" s="68"/>
      <c r="AY404" s="67"/>
      <c r="AZ404" s="204"/>
      <c r="BC404" s="68"/>
      <c r="BD404" s="68"/>
      <c r="BF404" s="200"/>
    </row>
    <row r="405">
      <c r="D405" s="110"/>
      <c r="F405" s="4"/>
      <c r="G405" s="4"/>
      <c r="H405" s="4"/>
      <c r="I405" s="65"/>
      <c r="K405" s="199"/>
      <c r="L405" s="65"/>
      <c r="N405" s="105"/>
      <c r="T405" s="184"/>
      <c r="Y405" s="201"/>
      <c r="Z405" s="200"/>
      <c r="AA405" s="201"/>
      <c r="AB405" s="68"/>
      <c r="AC405" s="210"/>
      <c r="AD405" s="68"/>
      <c r="AH405" s="67"/>
      <c r="AI405" s="204"/>
      <c r="AK405" s="200"/>
      <c r="AN405" s="68"/>
      <c r="AO405" s="206"/>
      <c r="AS405" s="200"/>
      <c r="AT405" s="200"/>
      <c r="AU405" s="68"/>
      <c r="AY405" s="67"/>
      <c r="AZ405" s="204"/>
      <c r="BC405" s="68"/>
      <c r="BD405" s="68"/>
      <c r="BF405" s="200"/>
    </row>
    <row r="406">
      <c r="D406" s="110"/>
      <c r="F406" s="4"/>
      <c r="G406" s="4"/>
      <c r="H406" s="4"/>
      <c r="I406" s="65"/>
      <c r="K406" s="199"/>
      <c r="L406" s="65"/>
      <c r="N406" s="105"/>
      <c r="T406" s="184"/>
      <c r="Y406" s="201"/>
      <c r="Z406" s="200"/>
      <c r="AA406" s="201"/>
      <c r="AB406" s="68"/>
      <c r="AC406" s="210"/>
      <c r="AD406" s="68"/>
      <c r="AH406" s="67"/>
      <c r="AI406" s="204"/>
      <c r="AK406" s="200"/>
      <c r="AN406" s="68"/>
      <c r="AO406" s="206"/>
      <c r="AS406" s="200"/>
      <c r="AT406" s="200"/>
      <c r="AU406" s="68"/>
      <c r="AY406" s="67"/>
      <c r="AZ406" s="204"/>
      <c r="BC406" s="68"/>
      <c r="BD406" s="68"/>
      <c r="BF406" s="200"/>
    </row>
    <row r="407">
      <c r="D407" s="110"/>
      <c r="F407" s="4"/>
      <c r="G407" s="4"/>
      <c r="H407" s="4"/>
      <c r="I407" s="65"/>
      <c r="K407" s="199"/>
      <c r="L407" s="65"/>
      <c r="N407" s="105"/>
      <c r="T407" s="184"/>
      <c r="Y407" s="201"/>
      <c r="Z407" s="200"/>
      <c r="AA407" s="201"/>
      <c r="AB407" s="68"/>
      <c r="AC407" s="210"/>
      <c r="AD407" s="68"/>
      <c r="AH407" s="67"/>
      <c r="AI407" s="204"/>
      <c r="AK407" s="200"/>
      <c r="AN407" s="68"/>
      <c r="AO407" s="206"/>
      <c r="AS407" s="200"/>
      <c r="AT407" s="200"/>
      <c r="AU407" s="68"/>
      <c r="AY407" s="67"/>
      <c r="AZ407" s="204"/>
      <c r="BC407" s="68"/>
      <c r="BD407" s="68"/>
      <c r="BF407" s="200"/>
    </row>
    <row r="408">
      <c r="D408" s="110"/>
      <c r="F408" s="4"/>
      <c r="G408" s="4"/>
      <c r="H408" s="4"/>
      <c r="I408" s="65"/>
      <c r="K408" s="199"/>
      <c r="L408" s="65"/>
      <c r="N408" s="105"/>
      <c r="T408" s="184"/>
      <c r="Y408" s="201"/>
      <c r="Z408" s="200"/>
      <c r="AA408" s="201"/>
      <c r="AB408" s="68"/>
      <c r="AC408" s="210"/>
      <c r="AD408" s="68"/>
      <c r="AH408" s="67"/>
      <c r="AI408" s="204"/>
      <c r="AK408" s="200"/>
      <c r="AN408" s="68"/>
      <c r="AO408" s="206"/>
      <c r="AS408" s="200"/>
      <c r="AT408" s="200"/>
      <c r="AU408" s="68"/>
      <c r="AY408" s="67"/>
      <c r="AZ408" s="204"/>
      <c r="BC408" s="68"/>
      <c r="BD408" s="68"/>
      <c r="BF408" s="200"/>
    </row>
    <row r="409">
      <c r="D409" s="110"/>
      <c r="F409" s="4"/>
      <c r="G409" s="4"/>
      <c r="H409" s="4"/>
      <c r="I409" s="65"/>
      <c r="K409" s="199"/>
      <c r="L409" s="65"/>
      <c r="N409" s="105"/>
      <c r="T409" s="184"/>
      <c r="Y409" s="201"/>
      <c r="Z409" s="200"/>
      <c r="AA409" s="201"/>
      <c r="AB409" s="68"/>
      <c r="AC409" s="210"/>
      <c r="AD409" s="68"/>
      <c r="AH409" s="67"/>
      <c r="AI409" s="204"/>
      <c r="AK409" s="200"/>
      <c r="AN409" s="68"/>
      <c r="AO409" s="206"/>
      <c r="AS409" s="200"/>
      <c r="AT409" s="200"/>
      <c r="AU409" s="68"/>
      <c r="AY409" s="67"/>
      <c r="AZ409" s="204"/>
      <c r="BC409" s="68"/>
      <c r="BD409" s="68"/>
      <c r="BF409" s="200"/>
    </row>
    <row r="410">
      <c r="D410" s="110"/>
      <c r="F410" s="4"/>
      <c r="G410" s="4"/>
      <c r="H410" s="4"/>
      <c r="I410" s="65"/>
      <c r="K410" s="199"/>
      <c r="L410" s="65"/>
      <c r="N410" s="105"/>
      <c r="T410" s="184"/>
      <c r="Y410" s="201"/>
      <c r="Z410" s="200"/>
      <c r="AA410" s="201"/>
      <c r="AB410" s="68"/>
      <c r="AC410" s="210"/>
      <c r="AD410" s="68"/>
      <c r="AH410" s="67"/>
      <c r="AI410" s="204"/>
      <c r="AK410" s="200"/>
      <c r="AN410" s="68"/>
      <c r="AO410" s="206"/>
      <c r="AS410" s="200"/>
      <c r="AT410" s="200"/>
      <c r="AU410" s="68"/>
      <c r="AY410" s="67"/>
      <c r="AZ410" s="204"/>
      <c r="BC410" s="68"/>
      <c r="BD410" s="68"/>
      <c r="BF410" s="200"/>
    </row>
    <row r="411">
      <c r="D411" s="110"/>
      <c r="F411" s="4"/>
      <c r="G411" s="4"/>
      <c r="H411" s="4"/>
      <c r="I411" s="65"/>
      <c r="K411" s="199"/>
      <c r="L411" s="65"/>
      <c r="N411" s="105"/>
      <c r="T411" s="184"/>
      <c r="Y411" s="201"/>
      <c r="Z411" s="200"/>
      <c r="AA411" s="201"/>
      <c r="AB411" s="68"/>
      <c r="AC411" s="210"/>
      <c r="AD411" s="68"/>
      <c r="AH411" s="67"/>
      <c r="AI411" s="204"/>
      <c r="AK411" s="200"/>
      <c r="AN411" s="68"/>
      <c r="AO411" s="206"/>
      <c r="AS411" s="200"/>
      <c r="AT411" s="200"/>
      <c r="AU411" s="68"/>
      <c r="AY411" s="67"/>
      <c r="AZ411" s="204"/>
      <c r="BC411" s="68"/>
      <c r="BD411" s="68"/>
      <c r="BF411" s="200"/>
    </row>
    <row r="412">
      <c r="D412" s="110"/>
      <c r="F412" s="4"/>
      <c r="G412" s="4"/>
      <c r="H412" s="4"/>
      <c r="I412" s="65"/>
      <c r="K412" s="199"/>
      <c r="L412" s="65"/>
      <c r="N412" s="105"/>
      <c r="T412" s="184"/>
      <c r="Y412" s="201"/>
      <c r="Z412" s="200"/>
      <c r="AA412" s="201"/>
      <c r="AB412" s="68"/>
      <c r="AC412" s="210"/>
      <c r="AD412" s="68"/>
      <c r="AH412" s="67"/>
      <c r="AI412" s="204"/>
      <c r="AK412" s="200"/>
      <c r="AN412" s="68"/>
      <c r="AO412" s="206"/>
      <c r="AS412" s="200"/>
      <c r="AT412" s="200"/>
      <c r="AU412" s="68"/>
      <c r="AY412" s="67"/>
      <c r="AZ412" s="204"/>
      <c r="BC412" s="68"/>
      <c r="BD412" s="68"/>
      <c r="BF412" s="200"/>
    </row>
    <row r="413">
      <c r="D413" s="110"/>
      <c r="F413" s="4"/>
      <c r="G413" s="4"/>
      <c r="H413" s="4"/>
      <c r="I413" s="65"/>
      <c r="K413" s="199"/>
      <c r="L413" s="65"/>
      <c r="N413" s="105"/>
      <c r="T413" s="184"/>
      <c r="Y413" s="201"/>
      <c r="Z413" s="200"/>
      <c r="AA413" s="201"/>
      <c r="AB413" s="68"/>
      <c r="AC413" s="210"/>
      <c r="AD413" s="68"/>
      <c r="AH413" s="67"/>
      <c r="AI413" s="204"/>
      <c r="AK413" s="200"/>
      <c r="AN413" s="68"/>
      <c r="AO413" s="206"/>
      <c r="AS413" s="200"/>
      <c r="AT413" s="200"/>
      <c r="AU413" s="68"/>
      <c r="AY413" s="67"/>
      <c r="AZ413" s="204"/>
      <c r="BC413" s="68"/>
      <c r="BD413" s="68"/>
      <c r="BF413" s="200"/>
    </row>
    <row r="414">
      <c r="D414" s="110"/>
      <c r="F414" s="4"/>
      <c r="G414" s="4"/>
      <c r="H414" s="4"/>
      <c r="I414" s="65"/>
      <c r="K414" s="199"/>
      <c r="L414" s="65"/>
      <c r="N414" s="105"/>
      <c r="T414" s="184"/>
      <c r="Y414" s="201"/>
      <c r="Z414" s="200"/>
      <c r="AA414" s="201"/>
      <c r="AB414" s="68"/>
      <c r="AC414" s="210"/>
      <c r="AD414" s="68"/>
      <c r="AH414" s="67"/>
      <c r="AI414" s="204"/>
      <c r="AK414" s="200"/>
      <c r="AN414" s="68"/>
      <c r="AO414" s="206"/>
      <c r="AS414" s="200"/>
      <c r="AT414" s="200"/>
      <c r="AU414" s="68"/>
      <c r="AY414" s="67"/>
      <c r="AZ414" s="204"/>
      <c r="BC414" s="68"/>
      <c r="BD414" s="68"/>
      <c r="BF414" s="200"/>
    </row>
    <row r="415">
      <c r="D415" s="110"/>
      <c r="F415" s="4"/>
      <c r="G415" s="4"/>
      <c r="H415" s="4"/>
      <c r="I415" s="65"/>
      <c r="K415" s="199"/>
      <c r="L415" s="65"/>
      <c r="N415" s="105"/>
      <c r="T415" s="184"/>
      <c r="Y415" s="201"/>
      <c r="Z415" s="200"/>
      <c r="AA415" s="201"/>
      <c r="AB415" s="68"/>
      <c r="AC415" s="210"/>
      <c r="AD415" s="68"/>
      <c r="AH415" s="67"/>
      <c r="AI415" s="204"/>
      <c r="AK415" s="200"/>
      <c r="AN415" s="68"/>
      <c r="AO415" s="206"/>
      <c r="AS415" s="200"/>
      <c r="AT415" s="200"/>
      <c r="AU415" s="68"/>
      <c r="AY415" s="67"/>
      <c r="AZ415" s="204"/>
      <c r="BC415" s="68"/>
      <c r="BD415" s="68"/>
      <c r="BF415" s="200"/>
    </row>
    <row r="416">
      <c r="D416" s="110"/>
      <c r="F416" s="4"/>
      <c r="G416" s="4"/>
      <c r="H416" s="4"/>
      <c r="I416" s="65"/>
      <c r="K416" s="199"/>
      <c r="L416" s="65"/>
      <c r="N416" s="105"/>
      <c r="T416" s="184"/>
      <c r="Y416" s="201"/>
      <c r="Z416" s="200"/>
      <c r="AA416" s="201"/>
      <c r="AB416" s="68"/>
      <c r="AC416" s="210"/>
      <c r="AD416" s="68"/>
      <c r="AH416" s="67"/>
      <c r="AI416" s="204"/>
      <c r="AK416" s="200"/>
      <c r="AN416" s="68"/>
      <c r="AO416" s="206"/>
      <c r="AS416" s="200"/>
      <c r="AT416" s="200"/>
      <c r="AU416" s="68"/>
      <c r="AY416" s="67"/>
      <c r="AZ416" s="204"/>
      <c r="BC416" s="68"/>
      <c r="BD416" s="68"/>
      <c r="BF416" s="200"/>
    </row>
    <row r="417">
      <c r="D417" s="110"/>
      <c r="F417" s="4"/>
      <c r="G417" s="4"/>
      <c r="H417" s="4"/>
      <c r="I417" s="65"/>
      <c r="K417" s="199"/>
      <c r="L417" s="65"/>
      <c r="N417" s="105"/>
      <c r="T417" s="184"/>
      <c r="Y417" s="201"/>
      <c r="Z417" s="200"/>
      <c r="AA417" s="201"/>
      <c r="AB417" s="68"/>
      <c r="AC417" s="210"/>
      <c r="AD417" s="68"/>
      <c r="AH417" s="67"/>
      <c r="AI417" s="204"/>
      <c r="AK417" s="200"/>
      <c r="AN417" s="68"/>
      <c r="AO417" s="206"/>
      <c r="AS417" s="200"/>
      <c r="AT417" s="200"/>
      <c r="AU417" s="68"/>
      <c r="AY417" s="67"/>
      <c r="AZ417" s="204"/>
      <c r="BC417" s="68"/>
      <c r="BD417" s="68"/>
      <c r="BF417" s="200"/>
    </row>
    <row r="418">
      <c r="D418" s="110"/>
      <c r="F418" s="4"/>
      <c r="G418" s="4"/>
      <c r="H418" s="4"/>
      <c r="I418" s="65"/>
      <c r="K418" s="199"/>
      <c r="L418" s="65"/>
      <c r="N418" s="105"/>
      <c r="T418" s="184"/>
      <c r="Y418" s="201"/>
      <c r="Z418" s="200"/>
      <c r="AA418" s="201"/>
      <c r="AB418" s="68"/>
      <c r="AC418" s="210"/>
      <c r="AD418" s="68"/>
      <c r="AH418" s="67"/>
      <c r="AI418" s="204"/>
      <c r="AK418" s="200"/>
      <c r="AN418" s="68"/>
      <c r="AO418" s="206"/>
      <c r="AS418" s="200"/>
      <c r="AT418" s="200"/>
      <c r="AU418" s="68"/>
      <c r="AY418" s="67"/>
      <c r="AZ418" s="204"/>
      <c r="BC418" s="68"/>
      <c r="BD418" s="68"/>
      <c r="BF418" s="200"/>
    </row>
    <row r="419">
      <c r="D419" s="110"/>
      <c r="F419" s="4"/>
      <c r="G419" s="4"/>
      <c r="H419" s="4"/>
      <c r="I419" s="65"/>
      <c r="K419" s="199"/>
      <c r="L419" s="65"/>
      <c r="N419" s="105"/>
      <c r="T419" s="184"/>
      <c r="Y419" s="201"/>
      <c r="Z419" s="200"/>
      <c r="AA419" s="201"/>
      <c r="AB419" s="68"/>
      <c r="AC419" s="210"/>
      <c r="AD419" s="68"/>
      <c r="AH419" s="67"/>
      <c r="AI419" s="204"/>
      <c r="AK419" s="200"/>
      <c r="AN419" s="68"/>
      <c r="AO419" s="206"/>
      <c r="AS419" s="200"/>
      <c r="AT419" s="200"/>
      <c r="AU419" s="68"/>
      <c r="AY419" s="67"/>
      <c r="AZ419" s="204"/>
      <c r="BC419" s="68"/>
      <c r="BD419" s="68"/>
      <c r="BF419" s="200"/>
    </row>
    <row r="420">
      <c r="D420" s="110"/>
      <c r="F420" s="4"/>
      <c r="G420" s="4"/>
      <c r="H420" s="4"/>
      <c r="I420" s="65"/>
      <c r="K420" s="199"/>
      <c r="L420" s="65"/>
      <c r="N420" s="105"/>
      <c r="T420" s="184"/>
      <c r="Y420" s="201"/>
      <c r="Z420" s="200"/>
      <c r="AA420" s="201"/>
      <c r="AB420" s="68"/>
      <c r="AC420" s="210"/>
      <c r="AD420" s="68"/>
      <c r="AH420" s="67"/>
      <c r="AI420" s="204"/>
      <c r="AK420" s="200"/>
      <c r="AN420" s="68"/>
      <c r="AO420" s="206"/>
      <c r="AS420" s="200"/>
      <c r="AT420" s="200"/>
      <c r="AU420" s="68"/>
      <c r="AY420" s="67"/>
      <c r="AZ420" s="204"/>
      <c r="BC420" s="68"/>
      <c r="BD420" s="68"/>
      <c r="BF420" s="200"/>
    </row>
    <row r="421">
      <c r="D421" s="110"/>
      <c r="F421" s="4"/>
      <c r="G421" s="4"/>
      <c r="H421" s="4"/>
      <c r="I421" s="65"/>
      <c r="K421" s="199"/>
      <c r="L421" s="65"/>
      <c r="N421" s="105"/>
      <c r="T421" s="184"/>
      <c r="Y421" s="201"/>
      <c r="Z421" s="200"/>
      <c r="AA421" s="201"/>
      <c r="AB421" s="68"/>
      <c r="AC421" s="210"/>
      <c r="AD421" s="68"/>
      <c r="AH421" s="67"/>
      <c r="AI421" s="204"/>
      <c r="AK421" s="200"/>
      <c r="AN421" s="68"/>
      <c r="AO421" s="206"/>
      <c r="AS421" s="200"/>
      <c r="AT421" s="200"/>
      <c r="AU421" s="68"/>
      <c r="AY421" s="67"/>
      <c r="AZ421" s="204"/>
      <c r="BC421" s="68"/>
      <c r="BD421" s="68"/>
      <c r="BF421" s="200"/>
    </row>
    <row r="422">
      <c r="D422" s="110"/>
      <c r="F422" s="4"/>
      <c r="G422" s="4"/>
      <c r="H422" s="4"/>
      <c r="I422" s="65"/>
      <c r="K422" s="199"/>
      <c r="L422" s="65"/>
      <c r="N422" s="105"/>
      <c r="T422" s="184"/>
      <c r="Y422" s="201"/>
      <c r="Z422" s="200"/>
      <c r="AA422" s="201"/>
      <c r="AB422" s="68"/>
      <c r="AC422" s="210"/>
      <c r="AD422" s="68"/>
      <c r="AH422" s="67"/>
      <c r="AI422" s="204"/>
      <c r="AK422" s="200"/>
      <c r="AN422" s="68"/>
      <c r="AO422" s="206"/>
      <c r="AS422" s="200"/>
      <c r="AT422" s="200"/>
      <c r="AU422" s="68"/>
      <c r="AY422" s="67"/>
      <c r="AZ422" s="204"/>
      <c r="BC422" s="68"/>
      <c r="BD422" s="68"/>
      <c r="BF422" s="200"/>
    </row>
    <row r="423">
      <c r="D423" s="110"/>
      <c r="F423" s="4"/>
      <c r="G423" s="4"/>
      <c r="H423" s="4"/>
      <c r="I423" s="65"/>
      <c r="K423" s="199"/>
      <c r="L423" s="65"/>
      <c r="N423" s="105"/>
      <c r="T423" s="184"/>
      <c r="Y423" s="201"/>
      <c r="Z423" s="200"/>
      <c r="AA423" s="201"/>
      <c r="AB423" s="68"/>
      <c r="AC423" s="210"/>
      <c r="AD423" s="68"/>
      <c r="AH423" s="67"/>
      <c r="AI423" s="204"/>
      <c r="AK423" s="200"/>
      <c r="AN423" s="68"/>
      <c r="AO423" s="206"/>
      <c r="AS423" s="200"/>
      <c r="AT423" s="200"/>
      <c r="AU423" s="68"/>
      <c r="AY423" s="67"/>
      <c r="AZ423" s="204"/>
      <c r="BC423" s="68"/>
      <c r="BD423" s="68"/>
      <c r="BF423" s="200"/>
    </row>
    <row r="424">
      <c r="D424" s="110"/>
      <c r="F424" s="4"/>
      <c r="G424" s="4"/>
      <c r="H424" s="4"/>
      <c r="I424" s="65"/>
      <c r="K424" s="199"/>
      <c r="L424" s="65"/>
      <c r="N424" s="105"/>
      <c r="T424" s="184"/>
      <c r="Y424" s="201"/>
      <c r="Z424" s="200"/>
      <c r="AA424" s="201"/>
      <c r="AB424" s="68"/>
      <c r="AC424" s="210"/>
      <c r="AD424" s="68"/>
      <c r="AH424" s="67"/>
      <c r="AI424" s="204"/>
      <c r="AK424" s="200"/>
      <c r="AN424" s="68"/>
      <c r="AO424" s="206"/>
      <c r="AS424" s="200"/>
      <c r="AT424" s="200"/>
      <c r="AU424" s="68"/>
      <c r="AY424" s="67"/>
      <c r="AZ424" s="204"/>
      <c r="BC424" s="68"/>
      <c r="BD424" s="68"/>
      <c r="BF424" s="200"/>
    </row>
    <row r="425">
      <c r="D425" s="110"/>
      <c r="F425" s="4"/>
      <c r="G425" s="4"/>
      <c r="H425" s="4"/>
      <c r="I425" s="65"/>
      <c r="K425" s="199"/>
      <c r="L425" s="65"/>
      <c r="N425" s="105"/>
      <c r="T425" s="184"/>
      <c r="Y425" s="201"/>
      <c r="Z425" s="200"/>
      <c r="AA425" s="201"/>
      <c r="AB425" s="68"/>
      <c r="AC425" s="210"/>
      <c r="AD425" s="68"/>
      <c r="AH425" s="67"/>
      <c r="AI425" s="204"/>
      <c r="AK425" s="200"/>
      <c r="AN425" s="68"/>
      <c r="AO425" s="206"/>
      <c r="AS425" s="200"/>
      <c r="AT425" s="200"/>
      <c r="AU425" s="68"/>
      <c r="AY425" s="67"/>
      <c r="AZ425" s="204"/>
      <c r="BC425" s="68"/>
      <c r="BD425" s="68"/>
      <c r="BF425" s="200"/>
    </row>
    <row r="426">
      <c r="D426" s="110"/>
      <c r="F426" s="4"/>
      <c r="G426" s="4"/>
      <c r="H426" s="4"/>
      <c r="I426" s="65"/>
      <c r="K426" s="199"/>
      <c r="L426" s="65"/>
      <c r="N426" s="105"/>
      <c r="T426" s="184"/>
      <c r="Y426" s="201"/>
      <c r="Z426" s="200"/>
      <c r="AA426" s="201"/>
      <c r="AB426" s="68"/>
      <c r="AC426" s="210"/>
      <c r="AD426" s="68"/>
      <c r="AH426" s="67"/>
      <c r="AI426" s="204"/>
      <c r="AK426" s="200"/>
      <c r="AN426" s="68"/>
      <c r="AO426" s="206"/>
      <c r="AS426" s="200"/>
      <c r="AT426" s="200"/>
      <c r="AU426" s="68"/>
      <c r="AY426" s="67"/>
      <c r="AZ426" s="204"/>
      <c r="BC426" s="68"/>
      <c r="BD426" s="68"/>
      <c r="BF426" s="200"/>
    </row>
    <row r="427">
      <c r="D427" s="110"/>
      <c r="F427" s="4"/>
      <c r="G427" s="4"/>
      <c r="H427" s="4"/>
      <c r="I427" s="65"/>
      <c r="K427" s="199"/>
      <c r="L427" s="65"/>
      <c r="N427" s="105"/>
      <c r="T427" s="184"/>
      <c r="Y427" s="201"/>
      <c r="Z427" s="200"/>
      <c r="AA427" s="201"/>
      <c r="AB427" s="68"/>
      <c r="AC427" s="210"/>
      <c r="AD427" s="68"/>
      <c r="AH427" s="67"/>
      <c r="AI427" s="204"/>
      <c r="AK427" s="200"/>
      <c r="AN427" s="68"/>
      <c r="AO427" s="206"/>
      <c r="AS427" s="200"/>
      <c r="AT427" s="200"/>
      <c r="AU427" s="68"/>
      <c r="AY427" s="67"/>
      <c r="AZ427" s="204"/>
      <c r="BC427" s="68"/>
      <c r="BD427" s="68"/>
      <c r="BF427" s="200"/>
    </row>
    <row r="428">
      <c r="D428" s="110"/>
      <c r="F428" s="4"/>
      <c r="G428" s="4"/>
      <c r="H428" s="4"/>
      <c r="I428" s="65"/>
      <c r="K428" s="199"/>
      <c r="L428" s="65"/>
      <c r="N428" s="105"/>
      <c r="T428" s="184"/>
      <c r="Y428" s="201"/>
      <c r="Z428" s="200"/>
      <c r="AA428" s="201"/>
      <c r="AB428" s="68"/>
      <c r="AC428" s="210"/>
      <c r="AD428" s="68"/>
      <c r="AH428" s="67"/>
      <c r="AI428" s="204"/>
      <c r="AK428" s="200"/>
      <c r="AN428" s="68"/>
      <c r="AO428" s="206"/>
      <c r="AS428" s="200"/>
      <c r="AT428" s="200"/>
      <c r="AU428" s="68"/>
      <c r="AY428" s="67"/>
      <c r="AZ428" s="204"/>
      <c r="BC428" s="68"/>
      <c r="BD428" s="68"/>
      <c r="BF428" s="200"/>
    </row>
    <row r="429">
      <c r="D429" s="110"/>
      <c r="F429" s="4"/>
      <c r="G429" s="4"/>
      <c r="H429" s="4"/>
      <c r="I429" s="65"/>
      <c r="K429" s="199"/>
      <c r="L429" s="65"/>
      <c r="N429" s="105"/>
      <c r="T429" s="184"/>
      <c r="Y429" s="201"/>
      <c r="Z429" s="200"/>
      <c r="AA429" s="201"/>
      <c r="AB429" s="68"/>
      <c r="AC429" s="210"/>
      <c r="AD429" s="68"/>
      <c r="AH429" s="67"/>
      <c r="AI429" s="204"/>
      <c r="AK429" s="200"/>
      <c r="AN429" s="68"/>
      <c r="AO429" s="206"/>
      <c r="AS429" s="200"/>
      <c r="AT429" s="200"/>
      <c r="AU429" s="68"/>
      <c r="AY429" s="67"/>
      <c r="AZ429" s="204"/>
      <c r="BC429" s="68"/>
      <c r="BD429" s="68"/>
      <c r="BF429" s="200"/>
    </row>
    <row r="430">
      <c r="D430" s="110"/>
      <c r="F430" s="4"/>
      <c r="G430" s="4"/>
      <c r="H430" s="4"/>
      <c r="I430" s="65"/>
      <c r="K430" s="199"/>
      <c r="L430" s="65"/>
      <c r="N430" s="105"/>
      <c r="T430" s="184"/>
      <c r="Y430" s="201"/>
      <c r="Z430" s="200"/>
      <c r="AA430" s="201"/>
      <c r="AB430" s="68"/>
      <c r="AC430" s="210"/>
      <c r="AD430" s="68"/>
      <c r="AH430" s="67"/>
      <c r="AI430" s="204"/>
      <c r="AK430" s="200"/>
      <c r="AN430" s="68"/>
      <c r="AO430" s="206"/>
      <c r="AS430" s="200"/>
      <c r="AT430" s="200"/>
      <c r="AU430" s="68"/>
      <c r="AY430" s="67"/>
      <c r="AZ430" s="204"/>
      <c r="BC430" s="68"/>
      <c r="BD430" s="68"/>
      <c r="BF430" s="200"/>
    </row>
    <row r="431">
      <c r="D431" s="110"/>
      <c r="F431" s="4"/>
      <c r="G431" s="4"/>
      <c r="H431" s="4"/>
      <c r="I431" s="65"/>
      <c r="K431" s="199"/>
      <c r="L431" s="65"/>
      <c r="N431" s="105"/>
      <c r="T431" s="184"/>
      <c r="Y431" s="201"/>
      <c r="Z431" s="200"/>
      <c r="AA431" s="201"/>
      <c r="AB431" s="68"/>
      <c r="AC431" s="210"/>
      <c r="AD431" s="68"/>
      <c r="AH431" s="67"/>
      <c r="AI431" s="204"/>
      <c r="AK431" s="200"/>
      <c r="AN431" s="68"/>
      <c r="AO431" s="206"/>
      <c r="AS431" s="200"/>
      <c r="AT431" s="200"/>
      <c r="AU431" s="68"/>
      <c r="AY431" s="67"/>
      <c r="AZ431" s="204"/>
      <c r="BC431" s="68"/>
      <c r="BD431" s="68"/>
      <c r="BF431" s="200"/>
    </row>
    <row r="432">
      <c r="D432" s="110"/>
      <c r="F432" s="4"/>
      <c r="G432" s="4"/>
      <c r="H432" s="4"/>
      <c r="I432" s="65"/>
      <c r="K432" s="199"/>
      <c r="L432" s="65"/>
      <c r="N432" s="105"/>
      <c r="T432" s="184"/>
      <c r="Y432" s="201"/>
      <c r="Z432" s="200"/>
      <c r="AA432" s="201"/>
      <c r="AB432" s="68"/>
      <c r="AC432" s="210"/>
      <c r="AD432" s="68"/>
      <c r="AH432" s="67"/>
      <c r="AI432" s="204"/>
      <c r="AK432" s="200"/>
      <c r="AN432" s="68"/>
      <c r="AO432" s="206"/>
      <c r="AS432" s="200"/>
      <c r="AT432" s="200"/>
      <c r="AU432" s="68"/>
      <c r="AY432" s="67"/>
      <c r="AZ432" s="204"/>
      <c r="BC432" s="68"/>
      <c r="BD432" s="68"/>
      <c r="BF432" s="200"/>
    </row>
    <row r="433">
      <c r="D433" s="110"/>
      <c r="F433" s="4"/>
      <c r="G433" s="4"/>
      <c r="H433" s="4"/>
      <c r="I433" s="65"/>
      <c r="K433" s="199"/>
      <c r="L433" s="65"/>
      <c r="N433" s="105"/>
      <c r="T433" s="184"/>
      <c r="Y433" s="201"/>
      <c r="Z433" s="200"/>
      <c r="AA433" s="201"/>
      <c r="AB433" s="68"/>
      <c r="AC433" s="210"/>
      <c r="AD433" s="68"/>
      <c r="AH433" s="67"/>
      <c r="AI433" s="204"/>
      <c r="AK433" s="200"/>
      <c r="AN433" s="68"/>
      <c r="AO433" s="206"/>
      <c r="AS433" s="200"/>
      <c r="AT433" s="200"/>
      <c r="AU433" s="68"/>
      <c r="AY433" s="67"/>
      <c r="AZ433" s="204"/>
      <c r="BC433" s="68"/>
      <c r="BD433" s="68"/>
      <c r="BF433" s="200"/>
    </row>
    <row r="434">
      <c r="D434" s="110"/>
      <c r="F434" s="4"/>
      <c r="G434" s="4"/>
      <c r="H434" s="4"/>
      <c r="I434" s="65"/>
      <c r="K434" s="199"/>
      <c r="L434" s="65"/>
      <c r="N434" s="105"/>
      <c r="T434" s="184"/>
      <c r="Y434" s="201"/>
      <c r="Z434" s="200"/>
      <c r="AA434" s="201"/>
      <c r="AB434" s="68"/>
      <c r="AC434" s="210"/>
      <c r="AD434" s="68"/>
      <c r="AH434" s="67"/>
      <c r="AI434" s="204"/>
      <c r="AK434" s="200"/>
      <c r="AN434" s="68"/>
      <c r="AO434" s="206"/>
      <c r="AS434" s="200"/>
      <c r="AT434" s="200"/>
      <c r="AU434" s="68"/>
      <c r="AY434" s="67"/>
      <c r="AZ434" s="204"/>
      <c r="BC434" s="68"/>
      <c r="BD434" s="68"/>
      <c r="BF434" s="200"/>
    </row>
    <row r="435">
      <c r="D435" s="110"/>
      <c r="F435" s="4"/>
      <c r="G435" s="4"/>
      <c r="H435" s="4"/>
      <c r="I435" s="65"/>
      <c r="K435" s="199"/>
      <c r="L435" s="65"/>
      <c r="N435" s="105"/>
      <c r="T435" s="184"/>
      <c r="Y435" s="201"/>
      <c r="Z435" s="200"/>
      <c r="AA435" s="201"/>
      <c r="AB435" s="68"/>
      <c r="AC435" s="210"/>
      <c r="AD435" s="68"/>
      <c r="AH435" s="67"/>
      <c r="AI435" s="204"/>
      <c r="AK435" s="200"/>
      <c r="AN435" s="68"/>
      <c r="AO435" s="206"/>
      <c r="AS435" s="200"/>
      <c r="AT435" s="200"/>
      <c r="AU435" s="68"/>
      <c r="AY435" s="67"/>
      <c r="AZ435" s="204"/>
      <c r="BC435" s="68"/>
      <c r="BD435" s="68"/>
      <c r="BF435" s="200"/>
    </row>
    <row r="436">
      <c r="D436" s="110"/>
      <c r="F436" s="4"/>
      <c r="G436" s="4"/>
      <c r="H436" s="4"/>
      <c r="I436" s="65"/>
      <c r="K436" s="199"/>
      <c r="L436" s="65"/>
      <c r="N436" s="105"/>
      <c r="T436" s="184"/>
      <c r="Y436" s="201"/>
      <c r="Z436" s="200"/>
      <c r="AA436" s="201"/>
      <c r="AB436" s="68"/>
      <c r="AC436" s="210"/>
      <c r="AD436" s="68"/>
      <c r="AH436" s="67"/>
      <c r="AI436" s="204"/>
      <c r="AK436" s="200"/>
      <c r="AN436" s="68"/>
      <c r="AO436" s="206"/>
      <c r="AS436" s="200"/>
      <c r="AT436" s="200"/>
      <c r="AU436" s="68"/>
      <c r="AY436" s="67"/>
      <c r="AZ436" s="204"/>
      <c r="BC436" s="68"/>
      <c r="BD436" s="68"/>
      <c r="BF436" s="200"/>
    </row>
    <row r="437">
      <c r="D437" s="110"/>
      <c r="F437" s="4"/>
      <c r="G437" s="4"/>
      <c r="H437" s="4"/>
      <c r="I437" s="65"/>
      <c r="K437" s="199"/>
      <c r="L437" s="65"/>
      <c r="N437" s="105"/>
      <c r="T437" s="184"/>
      <c r="Y437" s="201"/>
      <c r="Z437" s="200"/>
      <c r="AA437" s="201"/>
      <c r="AB437" s="68"/>
      <c r="AC437" s="210"/>
      <c r="AD437" s="68"/>
      <c r="AH437" s="67"/>
      <c r="AI437" s="204"/>
      <c r="AK437" s="200"/>
      <c r="AN437" s="68"/>
      <c r="AO437" s="206"/>
      <c r="AS437" s="200"/>
      <c r="AT437" s="200"/>
      <c r="AU437" s="68"/>
      <c r="AY437" s="67"/>
      <c r="AZ437" s="204"/>
      <c r="BC437" s="68"/>
      <c r="BD437" s="68"/>
      <c r="BF437" s="200"/>
    </row>
    <row r="438">
      <c r="D438" s="110"/>
      <c r="F438" s="4"/>
      <c r="G438" s="4"/>
      <c r="H438" s="4"/>
      <c r="I438" s="65"/>
      <c r="K438" s="199"/>
      <c r="L438" s="65"/>
      <c r="N438" s="105"/>
      <c r="T438" s="184"/>
      <c r="Y438" s="201"/>
      <c r="Z438" s="200"/>
      <c r="AA438" s="201"/>
      <c r="AB438" s="68"/>
      <c r="AC438" s="210"/>
      <c r="AD438" s="68"/>
      <c r="AH438" s="67"/>
      <c r="AI438" s="204"/>
      <c r="AK438" s="200"/>
      <c r="AN438" s="68"/>
      <c r="AO438" s="206"/>
      <c r="AS438" s="200"/>
      <c r="AT438" s="200"/>
      <c r="AU438" s="68"/>
      <c r="AY438" s="67"/>
      <c r="AZ438" s="204"/>
      <c r="BC438" s="68"/>
      <c r="BD438" s="68"/>
      <c r="BF438" s="200"/>
    </row>
    <row r="439">
      <c r="D439" s="110"/>
      <c r="F439" s="4"/>
      <c r="G439" s="4"/>
      <c r="H439" s="4"/>
      <c r="I439" s="65"/>
      <c r="K439" s="199"/>
      <c r="L439" s="65"/>
      <c r="N439" s="105"/>
      <c r="T439" s="184"/>
      <c r="Y439" s="201"/>
      <c r="Z439" s="200"/>
      <c r="AA439" s="201"/>
      <c r="AB439" s="68"/>
      <c r="AC439" s="210"/>
      <c r="AD439" s="68"/>
      <c r="AH439" s="67"/>
      <c r="AI439" s="204"/>
      <c r="AK439" s="200"/>
      <c r="AN439" s="68"/>
      <c r="AO439" s="206"/>
      <c r="AS439" s="200"/>
      <c r="AT439" s="200"/>
      <c r="AU439" s="68"/>
      <c r="AY439" s="67"/>
      <c r="AZ439" s="204"/>
      <c r="BC439" s="68"/>
      <c r="BD439" s="68"/>
      <c r="BF439" s="200"/>
    </row>
    <row r="440">
      <c r="D440" s="110"/>
      <c r="F440" s="4"/>
      <c r="G440" s="4"/>
      <c r="H440" s="4"/>
      <c r="I440" s="65"/>
      <c r="K440" s="199"/>
      <c r="L440" s="65"/>
      <c r="N440" s="105"/>
      <c r="T440" s="184"/>
      <c r="Y440" s="201"/>
      <c r="Z440" s="200"/>
      <c r="AA440" s="201"/>
      <c r="AB440" s="68"/>
      <c r="AC440" s="210"/>
      <c r="AD440" s="68"/>
      <c r="AH440" s="67"/>
      <c r="AI440" s="204"/>
      <c r="AK440" s="200"/>
      <c r="AN440" s="68"/>
      <c r="AO440" s="206"/>
      <c r="AS440" s="200"/>
      <c r="AT440" s="200"/>
      <c r="AU440" s="68"/>
      <c r="AY440" s="67"/>
      <c r="AZ440" s="204"/>
      <c r="BC440" s="68"/>
      <c r="BD440" s="68"/>
      <c r="BF440" s="200"/>
    </row>
    <row r="441">
      <c r="D441" s="110"/>
      <c r="F441" s="4"/>
      <c r="G441" s="4"/>
      <c r="H441" s="4"/>
      <c r="I441" s="65"/>
      <c r="K441" s="199"/>
      <c r="L441" s="65"/>
      <c r="N441" s="105"/>
      <c r="T441" s="184"/>
      <c r="Y441" s="201"/>
      <c r="Z441" s="200"/>
      <c r="AA441" s="201"/>
      <c r="AB441" s="68"/>
      <c r="AC441" s="210"/>
      <c r="AD441" s="68"/>
      <c r="AH441" s="67"/>
      <c r="AI441" s="204"/>
      <c r="AK441" s="200"/>
      <c r="AN441" s="68"/>
      <c r="AO441" s="206"/>
      <c r="AS441" s="200"/>
      <c r="AT441" s="200"/>
      <c r="AU441" s="68"/>
      <c r="AY441" s="67"/>
      <c r="AZ441" s="204"/>
      <c r="BC441" s="68"/>
      <c r="BD441" s="68"/>
      <c r="BF441" s="200"/>
    </row>
    <row r="442">
      <c r="D442" s="110"/>
      <c r="F442" s="4"/>
      <c r="G442" s="4"/>
      <c r="H442" s="4"/>
      <c r="I442" s="65"/>
      <c r="K442" s="199"/>
      <c r="L442" s="65"/>
      <c r="N442" s="105"/>
      <c r="T442" s="184"/>
      <c r="Y442" s="201"/>
      <c r="Z442" s="200"/>
      <c r="AA442" s="201"/>
      <c r="AB442" s="68"/>
      <c r="AC442" s="210"/>
      <c r="AD442" s="68"/>
      <c r="AH442" s="67"/>
      <c r="AI442" s="204"/>
      <c r="AK442" s="200"/>
      <c r="AN442" s="68"/>
      <c r="AO442" s="206"/>
      <c r="AS442" s="200"/>
      <c r="AT442" s="200"/>
      <c r="AU442" s="68"/>
      <c r="AY442" s="67"/>
      <c r="AZ442" s="204"/>
      <c r="BC442" s="68"/>
      <c r="BD442" s="68"/>
      <c r="BF442" s="200"/>
    </row>
    <row r="443">
      <c r="D443" s="110"/>
      <c r="F443" s="4"/>
      <c r="G443" s="4"/>
      <c r="H443" s="4"/>
      <c r="I443" s="65"/>
      <c r="K443" s="199"/>
      <c r="L443" s="65"/>
      <c r="N443" s="105"/>
      <c r="T443" s="184"/>
      <c r="Y443" s="201"/>
      <c r="Z443" s="200"/>
      <c r="AA443" s="201"/>
      <c r="AB443" s="68"/>
      <c r="AC443" s="210"/>
      <c r="AD443" s="68"/>
      <c r="AH443" s="67"/>
      <c r="AI443" s="204"/>
      <c r="AK443" s="200"/>
      <c r="AN443" s="68"/>
      <c r="AO443" s="206"/>
      <c r="AS443" s="200"/>
      <c r="AT443" s="200"/>
      <c r="AU443" s="68"/>
      <c r="AY443" s="67"/>
      <c r="AZ443" s="204"/>
      <c r="BC443" s="68"/>
      <c r="BD443" s="68"/>
      <c r="BF443" s="200"/>
    </row>
    <row r="444">
      <c r="D444" s="110"/>
      <c r="F444" s="4"/>
      <c r="G444" s="4"/>
      <c r="H444" s="4"/>
      <c r="I444" s="65"/>
      <c r="K444" s="199"/>
      <c r="L444" s="65"/>
      <c r="N444" s="105"/>
      <c r="T444" s="184"/>
      <c r="Y444" s="201"/>
      <c r="Z444" s="200"/>
      <c r="AA444" s="201"/>
      <c r="AB444" s="68"/>
      <c r="AC444" s="210"/>
      <c r="AD444" s="68"/>
      <c r="AH444" s="67"/>
      <c r="AI444" s="204"/>
      <c r="AK444" s="200"/>
      <c r="AN444" s="68"/>
      <c r="AO444" s="206"/>
      <c r="AS444" s="200"/>
      <c r="AT444" s="200"/>
      <c r="AU444" s="68"/>
      <c r="AY444" s="67"/>
      <c r="AZ444" s="204"/>
      <c r="BC444" s="68"/>
      <c r="BD444" s="68"/>
      <c r="BF444" s="200"/>
    </row>
    <row r="445">
      <c r="D445" s="110"/>
      <c r="F445" s="4"/>
      <c r="G445" s="4"/>
      <c r="H445" s="4"/>
      <c r="I445" s="65"/>
      <c r="K445" s="199"/>
      <c r="L445" s="65"/>
      <c r="N445" s="105"/>
      <c r="T445" s="184"/>
      <c r="Y445" s="201"/>
      <c r="Z445" s="200"/>
      <c r="AA445" s="201"/>
      <c r="AB445" s="68"/>
      <c r="AC445" s="210"/>
      <c r="AD445" s="68"/>
      <c r="AH445" s="67"/>
      <c r="AI445" s="204"/>
      <c r="AK445" s="200"/>
      <c r="AN445" s="68"/>
      <c r="AO445" s="206"/>
      <c r="AS445" s="200"/>
      <c r="AT445" s="200"/>
      <c r="AU445" s="68"/>
      <c r="AY445" s="67"/>
      <c r="AZ445" s="204"/>
      <c r="BC445" s="68"/>
      <c r="BD445" s="68"/>
      <c r="BF445" s="200"/>
    </row>
    <row r="446">
      <c r="D446" s="110"/>
      <c r="F446" s="4"/>
      <c r="G446" s="4"/>
      <c r="H446" s="4"/>
      <c r="I446" s="65"/>
      <c r="K446" s="199"/>
      <c r="L446" s="65"/>
      <c r="N446" s="105"/>
      <c r="T446" s="184"/>
      <c r="Y446" s="201"/>
      <c r="Z446" s="200"/>
      <c r="AA446" s="201"/>
      <c r="AB446" s="68"/>
      <c r="AC446" s="210"/>
      <c r="AD446" s="68"/>
      <c r="AH446" s="67"/>
      <c r="AI446" s="204"/>
      <c r="AK446" s="200"/>
      <c r="AN446" s="68"/>
      <c r="AO446" s="206"/>
      <c r="AS446" s="200"/>
      <c r="AT446" s="200"/>
      <c r="AU446" s="68"/>
      <c r="AY446" s="67"/>
      <c r="AZ446" s="204"/>
      <c r="BC446" s="68"/>
      <c r="BD446" s="68"/>
      <c r="BF446" s="200"/>
    </row>
    <row r="447">
      <c r="D447" s="110"/>
      <c r="F447" s="4"/>
      <c r="G447" s="4"/>
      <c r="H447" s="4"/>
      <c r="I447" s="65"/>
      <c r="K447" s="199"/>
      <c r="L447" s="65"/>
      <c r="N447" s="105"/>
      <c r="T447" s="184"/>
      <c r="Y447" s="201"/>
      <c r="Z447" s="200"/>
      <c r="AA447" s="201"/>
      <c r="AB447" s="68"/>
      <c r="AC447" s="210"/>
      <c r="AD447" s="68"/>
      <c r="AH447" s="67"/>
      <c r="AI447" s="204"/>
      <c r="AK447" s="200"/>
      <c r="AN447" s="68"/>
      <c r="AO447" s="206"/>
      <c r="AS447" s="200"/>
      <c r="AT447" s="200"/>
      <c r="AU447" s="68"/>
      <c r="AY447" s="67"/>
      <c r="AZ447" s="204"/>
      <c r="BC447" s="68"/>
      <c r="BD447" s="68"/>
      <c r="BF447" s="200"/>
    </row>
    <row r="448">
      <c r="D448" s="110"/>
      <c r="F448" s="4"/>
      <c r="G448" s="4"/>
      <c r="H448" s="4"/>
      <c r="I448" s="65"/>
      <c r="K448" s="199"/>
      <c r="L448" s="65"/>
      <c r="N448" s="105"/>
      <c r="T448" s="184"/>
      <c r="Y448" s="201"/>
      <c r="Z448" s="200"/>
      <c r="AA448" s="201"/>
      <c r="AB448" s="68"/>
      <c r="AC448" s="210"/>
      <c r="AD448" s="68"/>
      <c r="AH448" s="67"/>
      <c r="AI448" s="204"/>
      <c r="AK448" s="200"/>
      <c r="AN448" s="68"/>
      <c r="AO448" s="206"/>
      <c r="AS448" s="200"/>
      <c r="AT448" s="200"/>
      <c r="AU448" s="68"/>
      <c r="AY448" s="67"/>
      <c r="AZ448" s="204"/>
      <c r="BC448" s="68"/>
      <c r="BD448" s="68"/>
      <c r="BF448" s="200"/>
    </row>
    <row r="449">
      <c r="D449" s="110"/>
      <c r="F449" s="4"/>
      <c r="G449" s="4"/>
      <c r="H449" s="4"/>
      <c r="I449" s="65"/>
      <c r="K449" s="199"/>
      <c r="L449" s="65"/>
      <c r="N449" s="105"/>
      <c r="T449" s="184"/>
      <c r="Y449" s="201"/>
      <c r="Z449" s="200"/>
      <c r="AA449" s="201"/>
      <c r="AB449" s="68"/>
      <c r="AC449" s="210"/>
      <c r="AD449" s="68"/>
      <c r="AH449" s="67"/>
      <c r="AI449" s="204"/>
      <c r="AK449" s="200"/>
      <c r="AN449" s="68"/>
      <c r="AO449" s="206"/>
      <c r="AS449" s="200"/>
      <c r="AT449" s="200"/>
      <c r="AU449" s="68"/>
      <c r="AY449" s="67"/>
      <c r="AZ449" s="204"/>
      <c r="BC449" s="68"/>
      <c r="BD449" s="68"/>
      <c r="BF449" s="200"/>
    </row>
    <row r="450">
      <c r="D450" s="110"/>
      <c r="F450" s="4"/>
      <c r="G450" s="4"/>
      <c r="H450" s="4"/>
      <c r="I450" s="65"/>
      <c r="K450" s="199"/>
      <c r="L450" s="65"/>
      <c r="N450" s="105"/>
      <c r="T450" s="184"/>
      <c r="Y450" s="201"/>
      <c r="Z450" s="200"/>
      <c r="AA450" s="201"/>
      <c r="AB450" s="68"/>
      <c r="AC450" s="210"/>
      <c r="AD450" s="68"/>
      <c r="AH450" s="67"/>
      <c r="AI450" s="204"/>
      <c r="AK450" s="200"/>
      <c r="AN450" s="68"/>
      <c r="AO450" s="206"/>
      <c r="AS450" s="200"/>
      <c r="AT450" s="200"/>
      <c r="AU450" s="68"/>
      <c r="AY450" s="67"/>
      <c r="AZ450" s="204"/>
      <c r="BC450" s="68"/>
      <c r="BD450" s="68"/>
      <c r="BF450" s="200"/>
    </row>
    <row r="451">
      <c r="D451" s="110"/>
      <c r="F451" s="4"/>
      <c r="G451" s="4"/>
      <c r="H451" s="4"/>
      <c r="I451" s="65"/>
      <c r="K451" s="199"/>
      <c r="L451" s="65"/>
      <c r="N451" s="105"/>
      <c r="T451" s="184"/>
      <c r="Y451" s="201"/>
      <c r="Z451" s="200"/>
      <c r="AA451" s="201"/>
      <c r="AB451" s="68"/>
      <c r="AC451" s="210"/>
      <c r="AD451" s="68"/>
      <c r="AH451" s="67"/>
      <c r="AI451" s="204"/>
      <c r="AK451" s="200"/>
      <c r="AN451" s="68"/>
      <c r="AO451" s="206"/>
      <c r="AS451" s="200"/>
      <c r="AT451" s="200"/>
      <c r="AU451" s="68"/>
      <c r="AY451" s="67"/>
      <c r="AZ451" s="204"/>
      <c r="BC451" s="68"/>
      <c r="BD451" s="68"/>
      <c r="BF451" s="200"/>
    </row>
    <row r="452">
      <c r="D452" s="110"/>
      <c r="F452" s="4"/>
      <c r="G452" s="4"/>
      <c r="H452" s="4"/>
      <c r="I452" s="65"/>
      <c r="K452" s="199"/>
      <c r="L452" s="65"/>
      <c r="N452" s="105"/>
      <c r="T452" s="184"/>
      <c r="Y452" s="201"/>
      <c r="Z452" s="200"/>
      <c r="AA452" s="201"/>
      <c r="AB452" s="68"/>
      <c r="AC452" s="210"/>
      <c r="AD452" s="68"/>
      <c r="AH452" s="67"/>
      <c r="AI452" s="204"/>
      <c r="AK452" s="200"/>
      <c r="AN452" s="68"/>
      <c r="AO452" s="206"/>
      <c r="AS452" s="200"/>
      <c r="AT452" s="200"/>
      <c r="AU452" s="68"/>
      <c r="AY452" s="67"/>
      <c r="AZ452" s="204"/>
      <c r="BC452" s="68"/>
      <c r="BD452" s="68"/>
      <c r="BF452" s="200"/>
    </row>
    <row r="453">
      <c r="D453" s="110"/>
      <c r="F453" s="4"/>
      <c r="G453" s="4"/>
      <c r="H453" s="4"/>
      <c r="I453" s="65"/>
      <c r="K453" s="199"/>
      <c r="L453" s="65"/>
      <c r="N453" s="105"/>
      <c r="T453" s="184"/>
      <c r="Y453" s="201"/>
      <c r="Z453" s="200"/>
      <c r="AA453" s="201"/>
      <c r="AB453" s="68"/>
      <c r="AC453" s="210"/>
      <c r="AD453" s="68"/>
      <c r="AH453" s="67"/>
      <c r="AI453" s="204"/>
      <c r="AK453" s="200"/>
      <c r="AN453" s="68"/>
      <c r="AO453" s="206"/>
      <c r="AS453" s="200"/>
      <c r="AT453" s="200"/>
      <c r="AU453" s="68"/>
      <c r="AY453" s="67"/>
      <c r="AZ453" s="204"/>
      <c r="BC453" s="68"/>
      <c r="BD453" s="68"/>
      <c r="BF453" s="200"/>
    </row>
    <row r="454">
      <c r="D454" s="110"/>
      <c r="F454" s="4"/>
      <c r="G454" s="4"/>
      <c r="H454" s="4"/>
      <c r="I454" s="65"/>
      <c r="K454" s="199"/>
      <c r="L454" s="65"/>
      <c r="N454" s="105"/>
      <c r="T454" s="184"/>
      <c r="Y454" s="201"/>
      <c r="Z454" s="200"/>
      <c r="AA454" s="201"/>
      <c r="AB454" s="68"/>
      <c r="AC454" s="210"/>
      <c r="AD454" s="68"/>
      <c r="AH454" s="67"/>
      <c r="AI454" s="204"/>
      <c r="AK454" s="200"/>
      <c r="AN454" s="68"/>
      <c r="AO454" s="206"/>
      <c r="AS454" s="200"/>
      <c r="AT454" s="200"/>
      <c r="AU454" s="68"/>
      <c r="AY454" s="67"/>
      <c r="AZ454" s="204"/>
      <c r="BC454" s="68"/>
      <c r="BD454" s="68"/>
      <c r="BF454" s="200"/>
    </row>
    <row r="455">
      <c r="D455" s="110"/>
      <c r="F455" s="4"/>
      <c r="G455" s="4"/>
      <c r="H455" s="4"/>
      <c r="I455" s="65"/>
      <c r="K455" s="199"/>
      <c r="L455" s="65"/>
      <c r="N455" s="105"/>
      <c r="T455" s="184"/>
      <c r="Y455" s="201"/>
      <c r="Z455" s="200"/>
      <c r="AA455" s="201"/>
      <c r="AB455" s="68"/>
      <c r="AC455" s="210"/>
      <c r="AD455" s="68"/>
      <c r="AH455" s="67"/>
      <c r="AI455" s="204"/>
      <c r="AK455" s="200"/>
      <c r="AN455" s="68"/>
      <c r="AO455" s="206"/>
      <c r="AS455" s="200"/>
      <c r="AT455" s="200"/>
      <c r="AU455" s="68"/>
      <c r="AY455" s="67"/>
      <c r="AZ455" s="204"/>
      <c r="BC455" s="68"/>
      <c r="BD455" s="68"/>
      <c r="BF455" s="200"/>
    </row>
    <row r="456">
      <c r="D456" s="110"/>
      <c r="F456" s="4"/>
      <c r="G456" s="4"/>
      <c r="H456" s="4"/>
      <c r="I456" s="65"/>
      <c r="K456" s="199"/>
      <c r="L456" s="65"/>
      <c r="N456" s="105"/>
      <c r="T456" s="184"/>
      <c r="Y456" s="201"/>
      <c r="Z456" s="200"/>
      <c r="AA456" s="201"/>
      <c r="AB456" s="68"/>
      <c r="AC456" s="210"/>
      <c r="AD456" s="68"/>
      <c r="AH456" s="67"/>
      <c r="AI456" s="204"/>
      <c r="AK456" s="200"/>
      <c r="AN456" s="68"/>
      <c r="AO456" s="206"/>
      <c r="AS456" s="200"/>
      <c r="AT456" s="200"/>
      <c r="AU456" s="68"/>
      <c r="AY456" s="67"/>
      <c r="AZ456" s="204"/>
      <c r="BC456" s="68"/>
      <c r="BD456" s="68"/>
      <c r="BF456" s="200"/>
    </row>
    <row r="457">
      <c r="D457" s="110"/>
      <c r="F457" s="4"/>
      <c r="G457" s="4"/>
      <c r="H457" s="4"/>
      <c r="I457" s="65"/>
      <c r="K457" s="199"/>
      <c r="L457" s="65"/>
      <c r="N457" s="105"/>
      <c r="T457" s="184"/>
      <c r="Y457" s="201"/>
      <c r="Z457" s="200"/>
      <c r="AA457" s="201"/>
      <c r="AB457" s="68"/>
      <c r="AC457" s="210"/>
      <c r="AD457" s="68"/>
      <c r="AH457" s="67"/>
      <c r="AI457" s="204"/>
      <c r="AK457" s="200"/>
      <c r="AN457" s="68"/>
      <c r="AO457" s="206"/>
      <c r="AS457" s="200"/>
      <c r="AT457" s="200"/>
      <c r="AU457" s="68"/>
      <c r="AY457" s="67"/>
      <c r="AZ457" s="204"/>
      <c r="BC457" s="68"/>
      <c r="BD457" s="68"/>
      <c r="BF457" s="200"/>
    </row>
    <row r="458">
      <c r="D458" s="110"/>
      <c r="F458" s="4"/>
      <c r="G458" s="4"/>
      <c r="H458" s="4"/>
      <c r="I458" s="65"/>
      <c r="K458" s="199"/>
      <c r="L458" s="65"/>
      <c r="N458" s="105"/>
      <c r="T458" s="184"/>
      <c r="Y458" s="201"/>
      <c r="Z458" s="200"/>
      <c r="AA458" s="201"/>
      <c r="AB458" s="68"/>
      <c r="AC458" s="210"/>
      <c r="AD458" s="68"/>
      <c r="AH458" s="67"/>
      <c r="AI458" s="204"/>
      <c r="AK458" s="200"/>
      <c r="AN458" s="68"/>
      <c r="AO458" s="206"/>
      <c r="AS458" s="200"/>
      <c r="AT458" s="200"/>
      <c r="AU458" s="68"/>
      <c r="AY458" s="67"/>
      <c r="AZ458" s="204"/>
      <c r="BC458" s="68"/>
      <c r="BD458" s="68"/>
      <c r="BF458" s="200"/>
    </row>
    <row r="459">
      <c r="D459" s="110"/>
      <c r="F459" s="4"/>
      <c r="G459" s="4"/>
      <c r="H459" s="4"/>
      <c r="I459" s="65"/>
      <c r="K459" s="199"/>
      <c r="L459" s="65"/>
      <c r="N459" s="105"/>
      <c r="T459" s="184"/>
      <c r="Y459" s="201"/>
      <c r="Z459" s="200"/>
      <c r="AA459" s="201"/>
      <c r="AB459" s="68"/>
      <c r="AC459" s="210"/>
      <c r="AD459" s="68"/>
      <c r="AH459" s="67"/>
      <c r="AI459" s="204"/>
      <c r="AK459" s="200"/>
      <c r="AN459" s="68"/>
      <c r="AO459" s="206"/>
      <c r="AS459" s="200"/>
      <c r="AT459" s="200"/>
      <c r="AU459" s="68"/>
      <c r="AY459" s="67"/>
      <c r="AZ459" s="204"/>
      <c r="BC459" s="68"/>
      <c r="BD459" s="68"/>
      <c r="BF459" s="200"/>
    </row>
    <row r="460">
      <c r="D460" s="110"/>
      <c r="F460" s="4"/>
      <c r="G460" s="4"/>
      <c r="H460" s="4"/>
      <c r="I460" s="65"/>
      <c r="K460" s="199"/>
      <c r="L460" s="65"/>
      <c r="N460" s="105"/>
      <c r="T460" s="184"/>
      <c r="Y460" s="201"/>
      <c r="Z460" s="200"/>
      <c r="AA460" s="201"/>
      <c r="AB460" s="68"/>
      <c r="AC460" s="210"/>
      <c r="AD460" s="68"/>
      <c r="AH460" s="67"/>
      <c r="AI460" s="204"/>
      <c r="AK460" s="200"/>
      <c r="AN460" s="68"/>
      <c r="AO460" s="206"/>
      <c r="AS460" s="200"/>
      <c r="AT460" s="200"/>
      <c r="AU460" s="68"/>
      <c r="AY460" s="67"/>
      <c r="AZ460" s="204"/>
      <c r="BC460" s="68"/>
      <c r="BD460" s="68"/>
      <c r="BF460" s="200"/>
    </row>
    <row r="461">
      <c r="D461" s="110"/>
      <c r="F461" s="4"/>
      <c r="G461" s="4"/>
      <c r="H461" s="4"/>
      <c r="I461" s="65"/>
      <c r="K461" s="199"/>
      <c r="L461" s="65"/>
      <c r="N461" s="105"/>
      <c r="T461" s="184"/>
      <c r="Y461" s="201"/>
      <c r="Z461" s="200"/>
      <c r="AA461" s="201"/>
      <c r="AB461" s="68"/>
      <c r="AC461" s="210"/>
      <c r="AD461" s="68"/>
      <c r="AH461" s="67"/>
      <c r="AI461" s="204"/>
      <c r="AK461" s="200"/>
      <c r="AN461" s="68"/>
      <c r="AO461" s="206"/>
      <c r="AS461" s="200"/>
      <c r="AT461" s="200"/>
      <c r="AU461" s="68"/>
      <c r="AY461" s="67"/>
      <c r="AZ461" s="204"/>
      <c r="BC461" s="68"/>
      <c r="BD461" s="68"/>
      <c r="BF461" s="200"/>
    </row>
    <row r="462">
      <c r="D462" s="110"/>
      <c r="F462" s="4"/>
      <c r="G462" s="4"/>
      <c r="H462" s="4"/>
      <c r="I462" s="65"/>
      <c r="K462" s="199"/>
      <c r="L462" s="65"/>
      <c r="N462" s="105"/>
      <c r="T462" s="184"/>
      <c r="Y462" s="201"/>
      <c r="Z462" s="200"/>
      <c r="AA462" s="201"/>
      <c r="AB462" s="68"/>
      <c r="AC462" s="210"/>
      <c r="AD462" s="68"/>
      <c r="AH462" s="67"/>
      <c r="AI462" s="204"/>
      <c r="AK462" s="200"/>
      <c r="AN462" s="68"/>
      <c r="AO462" s="206"/>
      <c r="AS462" s="200"/>
      <c r="AT462" s="200"/>
      <c r="AU462" s="68"/>
      <c r="AY462" s="67"/>
      <c r="AZ462" s="204"/>
      <c r="BC462" s="68"/>
      <c r="BD462" s="68"/>
      <c r="BF462" s="200"/>
    </row>
    <row r="463">
      <c r="D463" s="110"/>
      <c r="F463" s="4"/>
      <c r="G463" s="4"/>
      <c r="H463" s="4"/>
      <c r="I463" s="65"/>
      <c r="K463" s="199"/>
      <c r="L463" s="65"/>
      <c r="N463" s="105"/>
      <c r="T463" s="184"/>
      <c r="Y463" s="201"/>
      <c r="Z463" s="200"/>
      <c r="AA463" s="201"/>
      <c r="AB463" s="68"/>
      <c r="AC463" s="210"/>
      <c r="AD463" s="68"/>
      <c r="AH463" s="67"/>
      <c r="AI463" s="204"/>
      <c r="AK463" s="200"/>
      <c r="AN463" s="68"/>
      <c r="AO463" s="206"/>
      <c r="AS463" s="200"/>
      <c r="AT463" s="200"/>
      <c r="AU463" s="68"/>
      <c r="AY463" s="67"/>
      <c r="AZ463" s="204"/>
      <c r="BC463" s="68"/>
      <c r="BD463" s="68"/>
      <c r="BF463" s="200"/>
    </row>
    <row r="464">
      <c r="D464" s="110"/>
      <c r="F464" s="4"/>
      <c r="G464" s="4"/>
      <c r="H464" s="4"/>
      <c r="I464" s="65"/>
      <c r="K464" s="199"/>
      <c r="L464" s="65"/>
      <c r="N464" s="105"/>
      <c r="T464" s="184"/>
      <c r="Y464" s="201"/>
      <c r="Z464" s="200"/>
      <c r="AA464" s="201"/>
      <c r="AB464" s="68"/>
      <c r="AC464" s="210"/>
      <c r="AD464" s="68"/>
      <c r="AH464" s="67"/>
      <c r="AI464" s="204"/>
      <c r="AK464" s="200"/>
      <c r="AN464" s="68"/>
      <c r="AO464" s="206"/>
      <c r="AS464" s="200"/>
      <c r="AT464" s="200"/>
      <c r="AU464" s="68"/>
      <c r="AY464" s="67"/>
      <c r="AZ464" s="204"/>
      <c r="BC464" s="68"/>
      <c r="BD464" s="68"/>
      <c r="BF464" s="200"/>
    </row>
    <row r="465">
      <c r="D465" s="110"/>
      <c r="F465" s="4"/>
      <c r="G465" s="4"/>
      <c r="H465" s="4"/>
      <c r="I465" s="65"/>
      <c r="K465" s="199"/>
      <c r="L465" s="65"/>
      <c r="N465" s="105"/>
      <c r="T465" s="184"/>
      <c r="Y465" s="201"/>
      <c r="Z465" s="200"/>
      <c r="AA465" s="201"/>
      <c r="AB465" s="68"/>
      <c r="AC465" s="210"/>
      <c r="AD465" s="68"/>
      <c r="AH465" s="67"/>
      <c r="AI465" s="204"/>
      <c r="AK465" s="200"/>
      <c r="AN465" s="68"/>
      <c r="AO465" s="206"/>
      <c r="AS465" s="200"/>
      <c r="AT465" s="200"/>
      <c r="AU465" s="68"/>
      <c r="AY465" s="67"/>
      <c r="AZ465" s="204"/>
      <c r="BC465" s="68"/>
      <c r="BD465" s="68"/>
      <c r="BF465" s="200"/>
    </row>
    <row r="466">
      <c r="D466" s="110"/>
      <c r="F466" s="4"/>
      <c r="G466" s="4"/>
      <c r="H466" s="4"/>
      <c r="I466" s="65"/>
      <c r="K466" s="199"/>
      <c r="L466" s="65"/>
      <c r="N466" s="105"/>
      <c r="T466" s="184"/>
      <c r="Y466" s="201"/>
      <c r="Z466" s="200"/>
      <c r="AA466" s="201"/>
      <c r="AB466" s="68"/>
      <c r="AC466" s="210"/>
      <c r="AD466" s="68"/>
      <c r="AH466" s="67"/>
      <c r="AI466" s="204"/>
      <c r="AK466" s="200"/>
      <c r="AN466" s="68"/>
      <c r="AO466" s="206"/>
      <c r="AS466" s="200"/>
      <c r="AT466" s="200"/>
      <c r="AU466" s="68"/>
      <c r="AY466" s="67"/>
      <c r="AZ466" s="204"/>
      <c r="BC466" s="68"/>
      <c r="BD466" s="68"/>
      <c r="BF466" s="200"/>
    </row>
    <row r="467">
      <c r="D467" s="110"/>
      <c r="F467" s="4"/>
      <c r="G467" s="4"/>
      <c r="H467" s="4"/>
      <c r="I467" s="65"/>
      <c r="K467" s="199"/>
      <c r="L467" s="65"/>
      <c r="N467" s="105"/>
      <c r="T467" s="184"/>
      <c r="Y467" s="201"/>
      <c r="Z467" s="200"/>
      <c r="AA467" s="201"/>
      <c r="AB467" s="68"/>
      <c r="AC467" s="210"/>
      <c r="AD467" s="68"/>
      <c r="AH467" s="67"/>
      <c r="AI467" s="204"/>
      <c r="AK467" s="200"/>
      <c r="AN467" s="68"/>
      <c r="AO467" s="206"/>
      <c r="AS467" s="200"/>
      <c r="AT467" s="200"/>
      <c r="AU467" s="68"/>
      <c r="AY467" s="67"/>
      <c r="AZ467" s="204"/>
      <c r="BC467" s="68"/>
      <c r="BD467" s="68"/>
      <c r="BF467" s="200"/>
    </row>
    <row r="468">
      <c r="D468" s="110"/>
      <c r="F468" s="4"/>
      <c r="G468" s="4"/>
      <c r="H468" s="4"/>
      <c r="I468" s="65"/>
      <c r="K468" s="199"/>
      <c r="L468" s="65"/>
      <c r="N468" s="105"/>
      <c r="T468" s="184"/>
      <c r="Y468" s="201"/>
      <c r="Z468" s="200"/>
      <c r="AA468" s="201"/>
      <c r="AB468" s="68"/>
      <c r="AC468" s="210"/>
      <c r="AD468" s="68"/>
      <c r="AH468" s="67"/>
      <c r="AI468" s="204"/>
      <c r="AK468" s="200"/>
      <c r="AN468" s="68"/>
      <c r="AO468" s="206"/>
      <c r="AS468" s="200"/>
      <c r="AT468" s="200"/>
      <c r="AU468" s="68"/>
      <c r="AY468" s="67"/>
      <c r="AZ468" s="204"/>
      <c r="BC468" s="68"/>
      <c r="BD468" s="68"/>
      <c r="BF468" s="200"/>
    </row>
    <row r="469">
      <c r="D469" s="110"/>
      <c r="F469" s="4"/>
      <c r="G469" s="4"/>
      <c r="H469" s="4"/>
      <c r="I469" s="65"/>
      <c r="K469" s="199"/>
      <c r="L469" s="65"/>
      <c r="N469" s="105"/>
      <c r="T469" s="184"/>
      <c r="Y469" s="201"/>
      <c r="Z469" s="200"/>
      <c r="AA469" s="201"/>
      <c r="AB469" s="68"/>
      <c r="AC469" s="210"/>
      <c r="AD469" s="68"/>
      <c r="AH469" s="67"/>
      <c r="AI469" s="204"/>
      <c r="AK469" s="200"/>
      <c r="AN469" s="68"/>
      <c r="AO469" s="206"/>
      <c r="AS469" s="200"/>
      <c r="AT469" s="200"/>
      <c r="AU469" s="68"/>
      <c r="AY469" s="67"/>
      <c r="AZ469" s="204"/>
      <c r="BC469" s="68"/>
      <c r="BD469" s="68"/>
      <c r="BF469" s="200"/>
    </row>
    <row r="470">
      <c r="D470" s="110"/>
      <c r="F470" s="4"/>
      <c r="G470" s="4"/>
      <c r="H470" s="4"/>
      <c r="I470" s="65"/>
      <c r="K470" s="199"/>
      <c r="L470" s="65"/>
      <c r="N470" s="105"/>
      <c r="T470" s="184"/>
      <c r="Y470" s="201"/>
      <c r="Z470" s="200"/>
      <c r="AA470" s="201"/>
      <c r="AB470" s="68"/>
      <c r="AC470" s="210"/>
      <c r="AD470" s="68"/>
      <c r="AH470" s="67"/>
      <c r="AI470" s="204"/>
      <c r="AK470" s="200"/>
      <c r="AN470" s="68"/>
      <c r="AO470" s="206"/>
      <c r="AS470" s="200"/>
      <c r="AT470" s="200"/>
      <c r="AU470" s="68"/>
      <c r="AY470" s="67"/>
      <c r="AZ470" s="204"/>
      <c r="BC470" s="68"/>
      <c r="BD470" s="68"/>
      <c r="BF470" s="200"/>
    </row>
    <row r="471">
      <c r="D471" s="110"/>
      <c r="F471" s="4"/>
      <c r="G471" s="4"/>
      <c r="H471" s="4"/>
      <c r="I471" s="65"/>
      <c r="K471" s="199"/>
      <c r="L471" s="65"/>
      <c r="N471" s="105"/>
      <c r="T471" s="184"/>
      <c r="Y471" s="201"/>
      <c r="Z471" s="200"/>
      <c r="AA471" s="201"/>
      <c r="AB471" s="68"/>
      <c r="AC471" s="210"/>
      <c r="AD471" s="68"/>
      <c r="AH471" s="67"/>
      <c r="AI471" s="204"/>
      <c r="AK471" s="200"/>
      <c r="AN471" s="68"/>
      <c r="AO471" s="206"/>
      <c r="AS471" s="200"/>
      <c r="AT471" s="200"/>
      <c r="AU471" s="68"/>
      <c r="AY471" s="67"/>
      <c r="AZ471" s="204"/>
      <c r="BC471" s="68"/>
      <c r="BD471" s="68"/>
      <c r="BF471" s="200"/>
    </row>
    <row r="472">
      <c r="D472" s="110"/>
      <c r="F472" s="4"/>
      <c r="G472" s="4"/>
      <c r="H472" s="4"/>
      <c r="I472" s="65"/>
      <c r="K472" s="199"/>
      <c r="L472" s="65"/>
      <c r="N472" s="105"/>
      <c r="T472" s="184"/>
      <c r="Y472" s="201"/>
      <c r="Z472" s="200"/>
      <c r="AA472" s="201"/>
      <c r="AB472" s="68"/>
      <c r="AC472" s="210"/>
      <c r="AD472" s="68"/>
      <c r="AH472" s="67"/>
      <c r="AI472" s="204"/>
      <c r="AK472" s="200"/>
      <c r="AN472" s="68"/>
      <c r="AO472" s="206"/>
      <c r="AS472" s="200"/>
      <c r="AT472" s="200"/>
      <c r="AU472" s="68"/>
      <c r="AY472" s="67"/>
      <c r="AZ472" s="204"/>
      <c r="BC472" s="68"/>
      <c r="BD472" s="68"/>
      <c r="BF472" s="200"/>
    </row>
    <row r="473">
      <c r="D473" s="110"/>
      <c r="F473" s="4"/>
      <c r="G473" s="4"/>
      <c r="H473" s="4"/>
      <c r="I473" s="65"/>
      <c r="K473" s="199"/>
      <c r="L473" s="65"/>
      <c r="N473" s="105"/>
      <c r="T473" s="184"/>
      <c r="Y473" s="201"/>
      <c r="Z473" s="200"/>
      <c r="AA473" s="201"/>
      <c r="AB473" s="68"/>
      <c r="AC473" s="210"/>
      <c r="AD473" s="68"/>
      <c r="AH473" s="67"/>
      <c r="AI473" s="204"/>
      <c r="AK473" s="200"/>
      <c r="AN473" s="68"/>
      <c r="AO473" s="206"/>
      <c r="AS473" s="200"/>
      <c r="AT473" s="200"/>
      <c r="AU473" s="68"/>
      <c r="AY473" s="67"/>
      <c r="AZ473" s="204"/>
      <c r="BC473" s="68"/>
      <c r="BD473" s="68"/>
      <c r="BF473" s="200"/>
    </row>
    <row r="474">
      <c r="D474" s="110"/>
      <c r="F474" s="4"/>
      <c r="G474" s="4"/>
      <c r="H474" s="4"/>
      <c r="I474" s="65"/>
      <c r="K474" s="199"/>
      <c r="L474" s="65"/>
      <c r="N474" s="105"/>
      <c r="T474" s="184"/>
      <c r="Y474" s="201"/>
      <c r="Z474" s="200"/>
      <c r="AA474" s="201"/>
      <c r="AB474" s="68"/>
      <c r="AC474" s="210"/>
      <c r="AD474" s="68"/>
      <c r="AH474" s="67"/>
      <c r="AI474" s="204"/>
      <c r="AK474" s="200"/>
      <c r="AN474" s="68"/>
      <c r="AO474" s="206"/>
      <c r="AS474" s="200"/>
      <c r="AT474" s="200"/>
      <c r="AU474" s="68"/>
      <c r="AY474" s="67"/>
      <c r="AZ474" s="204"/>
      <c r="BC474" s="68"/>
      <c r="BD474" s="68"/>
      <c r="BF474" s="200"/>
    </row>
    <row r="475">
      <c r="D475" s="110"/>
      <c r="F475" s="4"/>
      <c r="G475" s="4"/>
      <c r="H475" s="4"/>
      <c r="I475" s="65"/>
      <c r="K475" s="199"/>
      <c r="L475" s="65"/>
      <c r="N475" s="105"/>
      <c r="T475" s="184"/>
      <c r="Y475" s="201"/>
      <c r="Z475" s="200"/>
      <c r="AA475" s="201"/>
      <c r="AB475" s="68"/>
      <c r="AC475" s="210"/>
      <c r="AD475" s="68"/>
      <c r="AH475" s="67"/>
      <c r="AI475" s="204"/>
      <c r="AK475" s="200"/>
      <c r="AN475" s="68"/>
      <c r="AO475" s="206"/>
      <c r="AS475" s="200"/>
      <c r="AT475" s="200"/>
      <c r="AU475" s="68"/>
      <c r="AY475" s="67"/>
      <c r="AZ475" s="204"/>
      <c r="BC475" s="68"/>
      <c r="BD475" s="68"/>
      <c r="BF475" s="200"/>
    </row>
    <row r="476">
      <c r="D476" s="110"/>
      <c r="F476" s="4"/>
      <c r="G476" s="4"/>
      <c r="H476" s="4"/>
      <c r="I476" s="65"/>
      <c r="K476" s="199"/>
      <c r="L476" s="65"/>
      <c r="N476" s="105"/>
      <c r="T476" s="184"/>
      <c r="Y476" s="201"/>
      <c r="Z476" s="200"/>
      <c r="AA476" s="201"/>
      <c r="AB476" s="68"/>
      <c r="AC476" s="210"/>
      <c r="AD476" s="68"/>
      <c r="AH476" s="67"/>
      <c r="AI476" s="204"/>
      <c r="AK476" s="200"/>
      <c r="AN476" s="68"/>
      <c r="AO476" s="206"/>
      <c r="AS476" s="200"/>
      <c r="AT476" s="200"/>
      <c r="AU476" s="68"/>
      <c r="AY476" s="67"/>
      <c r="AZ476" s="204"/>
      <c r="BC476" s="68"/>
      <c r="BD476" s="68"/>
      <c r="BF476" s="200"/>
    </row>
    <row r="477">
      <c r="D477" s="110"/>
      <c r="F477" s="4"/>
      <c r="G477" s="4"/>
      <c r="H477" s="4"/>
      <c r="I477" s="65"/>
      <c r="K477" s="199"/>
      <c r="L477" s="65"/>
      <c r="N477" s="105"/>
      <c r="T477" s="184"/>
      <c r="Y477" s="201"/>
      <c r="Z477" s="200"/>
      <c r="AA477" s="201"/>
      <c r="AB477" s="68"/>
      <c r="AC477" s="210"/>
      <c r="AD477" s="68"/>
      <c r="AH477" s="67"/>
      <c r="AI477" s="204"/>
      <c r="AK477" s="200"/>
      <c r="AN477" s="68"/>
      <c r="AO477" s="206"/>
      <c r="AS477" s="200"/>
      <c r="AT477" s="200"/>
      <c r="AU477" s="68"/>
      <c r="AY477" s="67"/>
      <c r="AZ477" s="204"/>
      <c r="BC477" s="68"/>
      <c r="BD477" s="68"/>
      <c r="BF477" s="200"/>
    </row>
    <row r="478">
      <c r="D478" s="110"/>
      <c r="F478" s="4"/>
      <c r="G478" s="4"/>
      <c r="H478" s="4"/>
      <c r="I478" s="65"/>
      <c r="K478" s="199"/>
      <c r="L478" s="65"/>
      <c r="N478" s="105"/>
      <c r="T478" s="184"/>
      <c r="Y478" s="201"/>
      <c r="Z478" s="200"/>
      <c r="AA478" s="201"/>
      <c r="AB478" s="68"/>
      <c r="AC478" s="210"/>
      <c r="AD478" s="68"/>
      <c r="AH478" s="67"/>
      <c r="AI478" s="204"/>
      <c r="AK478" s="200"/>
      <c r="AN478" s="68"/>
      <c r="AO478" s="206"/>
      <c r="AS478" s="200"/>
      <c r="AT478" s="200"/>
      <c r="AU478" s="68"/>
      <c r="AY478" s="67"/>
      <c r="AZ478" s="204"/>
      <c r="BC478" s="68"/>
      <c r="BD478" s="68"/>
      <c r="BF478" s="200"/>
    </row>
    <row r="479">
      <c r="D479" s="110"/>
      <c r="F479" s="4"/>
      <c r="G479" s="4"/>
      <c r="H479" s="4"/>
      <c r="I479" s="65"/>
      <c r="K479" s="199"/>
      <c r="L479" s="65"/>
      <c r="N479" s="105"/>
      <c r="T479" s="184"/>
      <c r="Y479" s="201"/>
      <c r="Z479" s="200"/>
      <c r="AA479" s="201"/>
      <c r="AB479" s="68"/>
      <c r="AC479" s="210"/>
      <c r="AD479" s="68"/>
      <c r="AH479" s="67"/>
      <c r="AI479" s="204"/>
      <c r="AK479" s="200"/>
      <c r="AN479" s="68"/>
      <c r="AO479" s="206"/>
      <c r="AS479" s="200"/>
      <c r="AT479" s="200"/>
      <c r="AU479" s="68"/>
      <c r="AY479" s="67"/>
      <c r="AZ479" s="204"/>
      <c r="BC479" s="68"/>
      <c r="BD479" s="68"/>
      <c r="BF479" s="200"/>
    </row>
    <row r="480">
      <c r="D480" s="110"/>
      <c r="F480" s="4"/>
      <c r="G480" s="4"/>
      <c r="H480" s="4"/>
      <c r="I480" s="65"/>
      <c r="K480" s="199"/>
      <c r="L480" s="65"/>
      <c r="N480" s="105"/>
      <c r="T480" s="184"/>
      <c r="Y480" s="201"/>
      <c r="Z480" s="200"/>
      <c r="AA480" s="201"/>
      <c r="AB480" s="68"/>
      <c r="AC480" s="210"/>
      <c r="AD480" s="68"/>
      <c r="AH480" s="67"/>
      <c r="AI480" s="204"/>
      <c r="AK480" s="200"/>
      <c r="AN480" s="68"/>
      <c r="AO480" s="206"/>
      <c r="AS480" s="200"/>
      <c r="AT480" s="200"/>
      <c r="AU480" s="68"/>
      <c r="AY480" s="67"/>
      <c r="AZ480" s="204"/>
      <c r="BC480" s="68"/>
      <c r="BD480" s="68"/>
      <c r="BF480" s="200"/>
    </row>
    <row r="481">
      <c r="D481" s="110"/>
      <c r="F481" s="4"/>
      <c r="G481" s="4"/>
      <c r="H481" s="4"/>
      <c r="I481" s="65"/>
      <c r="K481" s="199"/>
      <c r="L481" s="65"/>
      <c r="N481" s="105"/>
      <c r="T481" s="184"/>
      <c r="Y481" s="201"/>
      <c r="Z481" s="200"/>
      <c r="AA481" s="201"/>
      <c r="AB481" s="68"/>
      <c r="AC481" s="210"/>
      <c r="AD481" s="68"/>
      <c r="AH481" s="67"/>
      <c r="AI481" s="204"/>
      <c r="AK481" s="200"/>
      <c r="AN481" s="68"/>
      <c r="AO481" s="206"/>
      <c r="AS481" s="200"/>
      <c r="AT481" s="200"/>
      <c r="AU481" s="68"/>
      <c r="AY481" s="67"/>
      <c r="AZ481" s="204"/>
      <c r="BC481" s="68"/>
      <c r="BD481" s="68"/>
      <c r="BF481" s="200"/>
    </row>
    <row r="482">
      <c r="D482" s="110"/>
      <c r="F482" s="4"/>
      <c r="G482" s="4"/>
      <c r="H482" s="4"/>
      <c r="I482" s="65"/>
      <c r="K482" s="199"/>
      <c r="L482" s="65"/>
      <c r="N482" s="105"/>
      <c r="T482" s="184"/>
      <c r="Y482" s="201"/>
      <c r="Z482" s="200"/>
      <c r="AA482" s="201"/>
      <c r="AB482" s="68"/>
      <c r="AC482" s="210"/>
      <c r="AD482" s="68"/>
      <c r="AH482" s="67"/>
      <c r="AI482" s="204"/>
      <c r="AK482" s="200"/>
      <c r="AN482" s="68"/>
      <c r="AO482" s="206"/>
      <c r="AS482" s="200"/>
      <c r="AT482" s="200"/>
      <c r="AU482" s="68"/>
      <c r="AY482" s="67"/>
      <c r="AZ482" s="204"/>
      <c r="BC482" s="68"/>
      <c r="BD482" s="68"/>
      <c r="BF482" s="200"/>
    </row>
    <row r="483">
      <c r="D483" s="110"/>
      <c r="F483" s="4"/>
      <c r="G483" s="4"/>
      <c r="H483" s="4"/>
      <c r="I483" s="65"/>
      <c r="K483" s="199"/>
      <c r="L483" s="65"/>
      <c r="N483" s="105"/>
      <c r="T483" s="184"/>
      <c r="Y483" s="201"/>
      <c r="Z483" s="200"/>
      <c r="AA483" s="201"/>
      <c r="AB483" s="68"/>
      <c r="AC483" s="210"/>
      <c r="AD483" s="68"/>
      <c r="AH483" s="67"/>
      <c r="AI483" s="204"/>
      <c r="AK483" s="200"/>
      <c r="AN483" s="68"/>
      <c r="AO483" s="206"/>
      <c r="AS483" s="200"/>
      <c r="AT483" s="200"/>
      <c r="AU483" s="68"/>
      <c r="AY483" s="67"/>
      <c r="AZ483" s="204"/>
      <c r="BC483" s="68"/>
      <c r="BD483" s="68"/>
      <c r="BF483" s="200"/>
    </row>
    <row r="484">
      <c r="D484" s="110"/>
      <c r="F484" s="4"/>
      <c r="G484" s="4"/>
      <c r="H484" s="4"/>
      <c r="I484" s="65"/>
      <c r="K484" s="199"/>
      <c r="L484" s="65"/>
      <c r="N484" s="105"/>
      <c r="T484" s="184"/>
      <c r="Y484" s="201"/>
      <c r="Z484" s="200"/>
      <c r="AA484" s="201"/>
      <c r="AB484" s="68"/>
      <c r="AC484" s="210"/>
      <c r="AD484" s="68"/>
      <c r="AH484" s="67"/>
      <c r="AI484" s="204"/>
      <c r="AK484" s="200"/>
      <c r="AN484" s="68"/>
      <c r="AO484" s="206"/>
      <c r="AS484" s="200"/>
      <c r="AT484" s="200"/>
      <c r="AU484" s="68"/>
      <c r="AY484" s="67"/>
      <c r="AZ484" s="204"/>
      <c r="BC484" s="68"/>
      <c r="BD484" s="68"/>
      <c r="BF484" s="200"/>
    </row>
    <row r="485">
      <c r="D485" s="110"/>
      <c r="F485" s="4"/>
      <c r="G485" s="4"/>
      <c r="H485" s="4"/>
      <c r="I485" s="65"/>
      <c r="K485" s="199"/>
      <c r="L485" s="65"/>
      <c r="N485" s="105"/>
      <c r="T485" s="184"/>
      <c r="Y485" s="201"/>
      <c r="Z485" s="200"/>
      <c r="AA485" s="201"/>
      <c r="AB485" s="68"/>
      <c r="AC485" s="210"/>
      <c r="AD485" s="68"/>
      <c r="AH485" s="67"/>
      <c r="AI485" s="204"/>
      <c r="AK485" s="200"/>
      <c r="AN485" s="68"/>
      <c r="AO485" s="206"/>
      <c r="AS485" s="200"/>
      <c r="AT485" s="200"/>
      <c r="AU485" s="68"/>
      <c r="AY485" s="67"/>
      <c r="AZ485" s="204"/>
      <c r="BC485" s="68"/>
      <c r="BD485" s="68"/>
      <c r="BF485" s="200"/>
    </row>
    <row r="486">
      <c r="D486" s="110"/>
      <c r="F486" s="4"/>
      <c r="G486" s="4"/>
      <c r="H486" s="4"/>
      <c r="I486" s="65"/>
      <c r="K486" s="199"/>
      <c r="L486" s="65"/>
      <c r="N486" s="105"/>
      <c r="T486" s="184"/>
      <c r="Y486" s="201"/>
      <c r="Z486" s="200"/>
      <c r="AA486" s="201"/>
      <c r="AB486" s="68"/>
      <c r="AC486" s="210"/>
      <c r="AD486" s="68"/>
      <c r="AH486" s="67"/>
      <c r="AI486" s="204"/>
      <c r="AK486" s="200"/>
      <c r="AN486" s="68"/>
      <c r="AO486" s="206"/>
      <c r="AS486" s="200"/>
      <c r="AT486" s="200"/>
      <c r="AU486" s="68"/>
      <c r="AY486" s="67"/>
      <c r="AZ486" s="204"/>
      <c r="BC486" s="68"/>
      <c r="BD486" s="68"/>
      <c r="BF486" s="200"/>
    </row>
    <row r="487">
      <c r="D487" s="110"/>
      <c r="F487" s="4"/>
      <c r="G487" s="4"/>
      <c r="H487" s="4"/>
      <c r="I487" s="65"/>
      <c r="K487" s="199"/>
      <c r="L487" s="65"/>
      <c r="N487" s="105"/>
      <c r="T487" s="184"/>
      <c r="Y487" s="201"/>
      <c r="Z487" s="200"/>
      <c r="AA487" s="201"/>
      <c r="AB487" s="68"/>
      <c r="AC487" s="210"/>
      <c r="AD487" s="68"/>
      <c r="AH487" s="67"/>
      <c r="AI487" s="204"/>
      <c r="AK487" s="200"/>
      <c r="AN487" s="68"/>
      <c r="AO487" s="206"/>
      <c r="AS487" s="200"/>
      <c r="AT487" s="200"/>
      <c r="AU487" s="68"/>
      <c r="AY487" s="67"/>
      <c r="AZ487" s="204"/>
      <c r="BC487" s="68"/>
      <c r="BD487" s="68"/>
      <c r="BF487" s="200"/>
    </row>
    <row r="488">
      <c r="D488" s="110"/>
      <c r="F488" s="4"/>
      <c r="G488" s="4"/>
      <c r="H488" s="4"/>
      <c r="I488" s="65"/>
      <c r="K488" s="199"/>
      <c r="L488" s="65"/>
      <c r="N488" s="105"/>
      <c r="T488" s="184"/>
      <c r="Y488" s="201"/>
      <c r="Z488" s="200"/>
      <c r="AA488" s="201"/>
      <c r="AB488" s="68"/>
      <c r="AC488" s="210"/>
      <c r="AD488" s="68"/>
      <c r="AH488" s="67"/>
      <c r="AI488" s="204"/>
      <c r="AK488" s="200"/>
      <c r="AN488" s="68"/>
      <c r="AO488" s="206"/>
      <c r="AS488" s="200"/>
      <c r="AT488" s="200"/>
      <c r="AU488" s="68"/>
      <c r="AY488" s="67"/>
      <c r="AZ488" s="204"/>
      <c r="BC488" s="68"/>
      <c r="BD488" s="68"/>
      <c r="BF488" s="200"/>
    </row>
    <row r="489">
      <c r="D489" s="110"/>
      <c r="F489" s="4"/>
      <c r="G489" s="4"/>
      <c r="H489" s="4"/>
      <c r="I489" s="65"/>
      <c r="K489" s="199"/>
      <c r="L489" s="65"/>
      <c r="N489" s="105"/>
      <c r="T489" s="184"/>
      <c r="Y489" s="201"/>
      <c r="Z489" s="200"/>
      <c r="AA489" s="201"/>
      <c r="AB489" s="68"/>
      <c r="AC489" s="210"/>
      <c r="AD489" s="68"/>
      <c r="AH489" s="67"/>
      <c r="AI489" s="204"/>
      <c r="AK489" s="200"/>
      <c r="AN489" s="68"/>
      <c r="AO489" s="206"/>
      <c r="AS489" s="200"/>
      <c r="AT489" s="200"/>
      <c r="AU489" s="68"/>
      <c r="AY489" s="67"/>
      <c r="AZ489" s="204"/>
      <c r="BC489" s="68"/>
      <c r="BD489" s="68"/>
      <c r="BF489" s="200"/>
    </row>
    <row r="490">
      <c r="D490" s="110"/>
      <c r="F490" s="4"/>
      <c r="G490" s="4"/>
      <c r="H490" s="4"/>
      <c r="I490" s="65"/>
      <c r="K490" s="199"/>
      <c r="L490" s="65"/>
      <c r="N490" s="105"/>
      <c r="T490" s="184"/>
      <c r="Y490" s="201"/>
      <c r="Z490" s="200"/>
      <c r="AA490" s="201"/>
      <c r="AB490" s="68"/>
      <c r="AC490" s="210"/>
      <c r="AD490" s="68"/>
      <c r="AH490" s="67"/>
      <c r="AI490" s="204"/>
      <c r="AK490" s="200"/>
      <c r="AN490" s="68"/>
      <c r="AO490" s="206"/>
      <c r="AS490" s="200"/>
      <c r="AT490" s="200"/>
      <c r="AU490" s="68"/>
      <c r="AY490" s="67"/>
      <c r="AZ490" s="204"/>
      <c r="BC490" s="68"/>
      <c r="BD490" s="68"/>
      <c r="BF490" s="200"/>
    </row>
    <row r="491">
      <c r="D491" s="110"/>
      <c r="F491" s="4"/>
      <c r="G491" s="4"/>
      <c r="H491" s="4"/>
      <c r="I491" s="65"/>
      <c r="K491" s="199"/>
      <c r="L491" s="65"/>
      <c r="N491" s="105"/>
      <c r="T491" s="184"/>
      <c r="Y491" s="201"/>
      <c r="Z491" s="200"/>
      <c r="AA491" s="201"/>
      <c r="AB491" s="68"/>
      <c r="AC491" s="210"/>
      <c r="AD491" s="68"/>
      <c r="AH491" s="67"/>
      <c r="AI491" s="204"/>
      <c r="AK491" s="200"/>
      <c r="AN491" s="68"/>
      <c r="AO491" s="206"/>
      <c r="AS491" s="200"/>
      <c r="AT491" s="200"/>
      <c r="AU491" s="68"/>
      <c r="AY491" s="67"/>
      <c r="AZ491" s="204"/>
      <c r="BC491" s="68"/>
      <c r="BD491" s="68"/>
      <c r="BF491" s="200"/>
    </row>
    <row r="492">
      <c r="D492" s="110"/>
      <c r="F492" s="4"/>
      <c r="G492" s="4"/>
      <c r="H492" s="4"/>
      <c r="I492" s="65"/>
      <c r="K492" s="199"/>
      <c r="L492" s="65"/>
      <c r="N492" s="105"/>
      <c r="T492" s="184"/>
      <c r="Y492" s="201"/>
      <c r="Z492" s="200"/>
      <c r="AA492" s="201"/>
      <c r="AB492" s="68"/>
      <c r="AC492" s="210"/>
      <c r="AD492" s="68"/>
      <c r="AH492" s="67"/>
      <c r="AI492" s="204"/>
      <c r="AK492" s="200"/>
      <c r="AN492" s="68"/>
      <c r="AO492" s="206"/>
      <c r="AS492" s="200"/>
      <c r="AT492" s="200"/>
      <c r="AU492" s="68"/>
      <c r="AY492" s="67"/>
      <c r="AZ492" s="204"/>
      <c r="BC492" s="68"/>
      <c r="BD492" s="68"/>
      <c r="BF492" s="200"/>
    </row>
    <row r="493">
      <c r="D493" s="110"/>
      <c r="F493" s="4"/>
      <c r="G493" s="4"/>
      <c r="H493" s="4"/>
      <c r="I493" s="65"/>
      <c r="K493" s="199"/>
      <c r="L493" s="65"/>
      <c r="N493" s="105"/>
      <c r="T493" s="184"/>
      <c r="Y493" s="201"/>
      <c r="Z493" s="200"/>
      <c r="AA493" s="201"/>
      <c r="AB493" s="68"/>
      <c r="AC493" s="210"/>
      <c r="AD493" s="68"/>
      <c r="AH493" s="67"/>
      <c r="AI493" s="204"/>
      <c r="AK493" s="200"/>
      <c r="AN493" s="68"/>
      <c r="AO493" s="206"/>
      <c r="AS493" s="200"/>
      <c r="AT493" s="200"/>
      <c r="AU493" s="68"/>
      <c r="AY493" s="67"/>
      <c r="AZ493" s="204"/>
      <c r="BC493" s="68"/>
      <c r="BD493" s="68"/>
      <c r="BF493" s="200"/>
    </row>
    <row r="494">
      <c r="D494" s="110"/>
      <c r="F494" s="4"/>
      <c r="G494" s="4"/>
      <c r="H494" s="4"/>
      <c r="I494" s="65"/>
      <c r="K494" s="199"/>
      <c r="L494" s="65"/>
      <c r="N494" s="105"/>
      <c r="T494" s="184"/>
      <c r="Y494" s="201"/>
      <c r="Z494" s="200"/>
      <c r="AA494" s="201"/>
      <c r="AB494" s="68"/>
      <c r="AC494" s="210"/>
      <c r="AD494" s="68"/>
      <c r="AH494" s="67"/>
      <c r="AI494" s="204"/>
      <c r="AK494" s="200"/>
      <c r="AN494" s="68"/>
      <c r="AO494" s="206"/>
      <c r="AS494" s="200"/>
      <c r="AT494" s="200"/>
      <c r="AU494" s="68"/>
      <c r="AY494" s="67"/>
      <c r="AZ494" s="204"/>
      <c r="BC494" s="68"/>
      <c r="BD494" s="68"/>
      <c r="BF494" s="200"/>
    </row>
    <row r="495">
      <c r="D495" s="110"/>
      <c r="F495" s="4"/>
      <c r="G495" s="4"/>
      <c r="H495" s="4"/>
      <c r="I495" s="65"/>
      <c r="K495" s="199"/>
      <c r="L495" s="65"/>
      <c r="N495" s="105"/>
      <c r="T495" s="184"/>
      <c r="Y495" s="201"/>
      <c r="Z495" s="200"/>
      <c r="AA495" s="201"/>
      <c r="AB495" s="68"/>
      <c r="AC495" s="210"/>
      <c r="AD495" s="68"/>
      <c r="AH495" s="67"/>
      <c r="AI495" s="204"/>
      <c r="AK495" s="200"/>
      <c r="AN495" s="68"/>
      <c r="AO495" s="206"/>
      <c r="AS495" s="200"/>
      <c r="AT495" s="200"/>
      <c r="AU495" s="68"/>
      <c r="AY495" s="67"/>
      <c r="AZ495" s="204"/>
      <c r="BC495" s="68"/>
      <c r="BD495" s="68"/>
      <c r="BF495" s="200"/>
    </row>
    <row r="496">
      <c r="D496" s="110"/>
      <c r="F496" s="4"/>
      <c r="G496" s="4"/>
      <c r="H496" s="4"/>
      <c r="I496" s="65"/>
      <c r="K496" s="199"/>
      <c r="L496" s="65"/>
      <c r="N496" s="105"/>
      <c r="T496" s="184"/>
      <c r="Y496" s="201"/>
      <c r="Z496" s="200"/>
      <c r="AA496" s="201"/>
      <c r="AB496" s="68"/>
      <c r="AC496" s="210"/>
      <c r="AD496" s="68"/>
      <c r="AH496" s="67"/>
      <c r="AI496" s="204"/>
      <c r="AK496" s="200"/>
      <c r="AN496" s="68"/>
      <c r="AO496" s="206"/>
      <c r="AS496" s="200"/>
      <c r="AT496" s="200"/>
      <c r="AU496" s="68"/>
      <c r="AY496" s="67"/>
      <c r="AZ496" s="204"/>
      <c r="BC496" s="68"/>
      <c r="BD496" s="68"/>
      <c r="BF496" s="200"/>
    </row>
    <row r="497">
      <c r="D497" s="110"/>
      <c r="F497" s="4"/>
      <c r="G497" s="4"/>
      <c r="H497" s="4"/>
      <c r="I497" s="65"/>
      <c r="K497" s="199"/>
      <c r="L497" s="65"/>
      <c r="N497" s="105"/>
      <c r="T497" s="184"/>
      <c r="Y497" s="201"/>
      <c r="Z497" s="200"/>
      <c r="AA497" s="201"/>
      <c r="AB497" s="68"/>
      <c r="AC497" s="210"/>
      <c r="AD497" s="68"/>
      <c r="AH497" s="67"/>
      <c r="AI497" s="204"/>
      <c r="AK497" s="200"/>
      <c r="AN497" s="68"/>
      <c r="AO497" s="206"/>
      <c r="AS497" s="200"/>
      <c r="AT497" s="200"/>
      <c r="AU497" s="68"/>
      <c r="AY497" s="67"/>
      <c r="AZ497" s="204"/>
      <c r="BC497" s="68"/>
      <c r="BD497" s="68"/>
      <c r="BF497" s="200"/>
    </row>
    <row r="498">
      <c r="D498" s="110"/>
      <c r="F498" s="4"/>
      <c r="G498" s="4"/>
      <c r="H498" s="4"/>
      <c r="I498" s="65"/>
      <c r="K498" s="199"/>
      <c r="L498" s="65"/>
      <c r="N498" s="105"/>
      <c r="T498" s="184"/>
      <c r="Y498" s="201"/>
      <c r="Z498" s="200"/>
      <c r="AA498" s="201"/>
      <c r="AB498" s="68"/>
      <c r="AC498" s="210"/>
      <c r="AD498" s="68"/>
      <c r="AH498" s="67"/>
      <c r="AI498" s="204"/>
      <c r="AK498" s="200"/>
      <c r="AN498" s="68"/>
      <c r="AO498" s="206"/>
      <c r="AS498" s="200"/>
      <c r="AT498" s="200"/>
      <c r="AU498" s="68"/>
      <c r="AY498" s="67"/>
      <c r="AZ498" s="204"/>
      <c r="BC498" s="68"/>
      <c r="BD498" s="68"/>
      <c r="BF498" s="200"/>
    </row>
    <row r="499">
      <c r="D499" s="110"/>
      <c r="F499" s="4"/>
      <c r="G499" s="4"/>
      <c r="H499" s="4"/>
      <c r="I499" s="65"/>
      <c r="K499" s="199"/>
      <c r="L499" s="65"/>
      <c r="N499" s="105"/>
      <c r="T499" s="184"/>
      <c r="Y499" s="201"/>
      <c r="Z499" s="200"/>
      <c r="AA499" s="201"/>
      <c r="AB499" s="68"/>
      <c r="AC499" s="210"/>
      <c r="AD499" s="68"/>
      <c r="AH499" s="67"/>
      <c r="AI499" s="204"/>
      <c r="AK499" s="200"/>
      <c r="AN499" s="68"/>
      <c r="AO499" s="206"/>
      <c r="AS499" s="200"/>
      <c r="AT499" s="200"/>
      <c r="AU499" s="68"/>
      <c r="AY499" s="67"/>
      <c r="AZ499" s="204"/>
      <c r="BC499" s="68"/>
      <c r="BD499" s="68"/>
      <c r="BF499" s="200"/>
    </row>
    <row r="500">
      <c r="D500" s="110"/>
      <c r="F500" s="4"/>
      <c r="G500" s="4"/>
      <c r="H500" s="4"/>
      <c r="I500" s="65"/>
      <c r="K500" s="199"/>
      <c r="L500" s="65"/>
      <c r="N500" s="105"/>
      <c r="T500" s="184"/>
      <c r="Y500" s="201"/>
      <c r="Z500" s="200"/>
      <c r="AA500" s="201"/>
      <c r="AB500" s="68"/>
      <c r="AC500" s="210"/>
      <c r="AD500" s="68"/>
      <c r="AH500" s="67"/>
      <c r="AI500" s="204"/>
      <c r="AK500" s="200"/>
      <c r="AN500" s="68"/>
      <c r="AO500" s="206"/>
      <c r="AS500" s="200"/>
      <c r="AT500" s="200"/>
      <c r="AU500" s="68"/>
      <c r="AY500" s="67"/>
      <c r="AZ500" s="204"/>
      <c r="BC500" s="68"/>
      <c r="BD500" s="68"/>
      <c r="BF500" s="200"/>
    </row>
    <row r="501">
      <c r="D501" s="110"/>
      <c r="F501" s="4"/>
      <c r="G501" s="4"/>
      <c r="H501" s="4"/>
      <c r="I501" s="65"/>
      <c r="K501" s="199"/>
      <c r="L501" s="65"/>
      <c r="N501" s="105"/>
      <c r="T501" s="184"/>
      <c r="Y501" s="201"/>
      <c r="Z501" s="200"/>
      <c r="AA501" s="201"/>
      <c r="AB501" s="68"/>
      <c r="AC501" s="210"/>
      <c r="AD501" s="68"/>
      <c r="AH501" s="67"/>
      <c r="AI501" s="204"/>
      <c r="AK501" s="200"/>
      <c r="AN501" s="68"/>
      <c r="AO501" s="206"/>
      <c r="AS501" s="200"/>
      <c r="AT501" s="200"/>
      <c r="AU501" s="68"/>
      <c r="AY501" s="67"/>
      <c r="AZ501" s="204"/>
      <c r="BC501" s="68"/>
      <c r="BD501" s="68"/>
      <c r="BF501" s="200"/>
    </row>
    <row r="502">
      <c r="D502" s="110"/>
      <c r="F502" s="4"/>
      <c r="G502" s="4"/>
      <c r="H502" s="4"/>
      <c r="I502" s="65"/>
      <c r="K502" s="199"/>
      <c r="L502" s="65"/>
      <c r="N502" s="105"/>
      <c r="T502" s="184"/>
      <c r="Y502" s="201"/>
      <c r="Z502" s="200"/>
      <c r="AA502" s="201"/>
      <c r="AB502" s="68"/>
      <c r="AC502" s="210"/>
      <c r="AD502" s="68"/>
      <c r="AH502" s="67"/>
      <c r="AI502" s="204"/>
      <c r="AK502" s="200"/>
      <c r="AN502" s="68"/>
      <c r="AO502" s="206"/>
      <c r="AS502" s="200"/>
      <c r="AT502" s="200"/>
      <c r="AU502" s="68"/>
      <c r="AY502" s="67"/>
      <c r="AZ502" s="204"/>
      <c r="BC502" s="68"/>
      <c r="BD502" s="68"/>
      <c r="BF502" s="200"/>
    </row>
    <row r="503">
      <c r="D503" s="110"/>
      <c r="F503" s="4"/>
      <c r="G503" s="4"/>
      <c r="H503" s="4"/>
      <c r="I503" s="65"/>
      <c r="K503" s="199"/>
      <c r="L503" s="65"/>
      <c r="N503" s="105"/>
      <c r="T503" s="184"/>
      <c r="Y503" s="201"/>
      <c r="Z503" s="200"/>
      <c r="AA503" s="201"/>
      <c r="AB503" s="68"/>
      <c r="AC503" s="210"/>
      <c r="AD503" s="68"/>
      <c r="AH503" s="67"/>
      <c r="AI503" s="204"/>
      <c r="AK503" s="200"/>
      <c r="AN503" s="68"/>
      <c r="AO503" s="206"/>
      <c r="AS503" s="200"/>
      <c r="AT503" s="200"/>
      <c r="AU503" s="68"/>
      <c r="AY503" s="67"/>
      <c r="AZ503" s="204"/>
      <c r="BC503" s="68"/>
      <c r="BD503" s="68"/>
      <c r="BF503" s="200"/>
    </row>
    <row r="504">
      <c r="D504" s="110"/>
      <c r="F504" s="4"/>
      <c r="G504" s="4"/>
      <c r="H504" s="4"/>
      <c r="I504" s="65"/>
      <c r="K504" s="199"/>
      <c r="L504" s="65"/>
      <c r="N504" s="105"/>
      <c r="T504" s="184"/>
      <c r="Y504" s="201"/>
      <c r="Z504" s="200"/>
      <c r="AA504" s="201"/>
      <c r="AB504" s="68"/>
      <c r="AC504" s="210"/>
      <c r="AD504" s="68"/>
      <c r="AH504" s="67"/>
      <c r="AI504" s="204"/>
      <c r="AK504" s="200"/>
      <c r="AN504" s="68"/>
      <c r="AO504" s="206"/>
      <c r="AS504" s="200"/>
      <c r="AT504" s="200"/>
      <c r="AU504" s="68"/>
      <c r="AY504" s="67"/>
      <c r="AZ504" s="204"/>
      <c r="BC504" s="68"/>
      <c r="BD504" s="68"/>
      <c r="BF504" s="200"/>
    </row>
    <row r="505">
      <c r="D505" s="110"/>
      <c r="F505" s="4"/>
      <c r="G505" s="4"/>
      <c r="H505" s="4"/>
      <c r="I505" s="65"/>
      <c r="K505" s="199"/>
      <c r="L505" s="65"/>
      <c r="N505" s="105"/>
      <c r="T505" s="184"/>
      <c r="Y505" s="201"/>
      <c r="Z505" s="200"/>
      <c r="AA505" s="201"/>
      <c r="AB505" s="68"/>
      <c r="AC505" s="210"/>
      <c r="AD505" s="68"/>
      <c r="AH505" s="67"/>
      <c r="AI505" s="204"/>
      <c r="AK505" s="200"/>
      <c r="AN505" s="68"/>
      <c r="AO505" s="206"/>
      <c r="AS505" s="200"/>
      <c r="AT505" s="200"/>
      <c r="AU505" s="68"/>
      <c r="AY505" s="67"/>
      <c r="AZ505" s="204"/>
      <c r="BC505" s="68"/>
      <c r="BD505" s="68"/>
      <c r="BF505" s="200"/>
    </row>
    <row r="506">
      <c r="D506" s="110"/>
      <c r="F506" s="4"/>
      <c r="G506" s="4"/>
      <c r="H506" s="4"/>
      <c r="I506" s="65"/>
      <c r="K506" s="199"/>
      <c r="L506" s="65"/>
      <c r="N506" s="105"/>
      <c r="T506" s="184"/>
      <c r="Y506" s="201"/>
      <c r="Z506" s="200"/>
      <c r="AA506" s="201"/>
      <c r="AB506" s="68"/>
      <c r="AC506" s="210"/>
      <c r="AD506" s="68"/>
      <c r="AH506" s="67"/>
      <c r="AI506" s="204"/>
      <c r="AK506" s="200"/>
      <c r="AN506" s="68"/>
      <c r="AO506" s="206"/>
      <c r="AS506" s="200"/>
      <c r="AT506" s="200"/>
      <c r="AU506" s="68"/>
      <c r="AY506" s="67"/>
      <c r="AZ506" s="204"/>
      <c r="BC506" s="68"/>
      <c r="BD506" s="68"/>
      <c r="BF506" s="200"/>
    </row>
    <row r="507">
      <c r="D507" s="110"/>
      <c r="F507" s="4"/>
      <c r="G507" s="4"/>
      <c r="H507" s="4"/>
      <c r="I507" s="65"/>
      <c r="K507" s="199"/>
      <c r="L507" s="65"/>
      <c r="N507" s="105"/>
      <c r="T507" s="184"/>
      <c r="Y507" s="201"/>
      <c r="Z507" s="200"/>
      <c r="AA507" s="201"/>
      <c r="AB507" s="68"/>
      <c r="AC507" s="210"/>
      <c r="AD507" s="68"/>
      <c r="AH507" s="67"/>
      <c r="AI507" s="204"/>
      <c r="AK507" s="200"/>
      <c r="AN507" s="68"/>
      <c r="AO507" s="206"/>
      <c r="AS507" s="200"/>
      <c r="AT507" s="200"/>
      <c r="AU507" s="68"/>
      <c r="AY507" s="67"/>
      <c r="AZ507" s="204"/>
      <c r="BC507" s="68"/>
      <c r="BD507" s="68"/>
      <c r="BF507" s="200"/>
    </row>
    <row r="508">
      <c r="D508" s="110"/>
      <c r="F508" s="4"/>
      <c r="G508" s="4"/>
      <c r="H508" s="4"/>
      <c r="I508" s="65"/>
      <c r="K508" s="199"/>
      <c r="L508" s="65"/>
      <c r="N508" s="105"/>
      <c r="T508" s="184"/>
      <c r="Y508" s="201"/>
      <c r="Z508" s="200"/>
      <c r="AA508" s="201"/>
      <c r="AB508" s="68"/>
      <c r="AC508" s="210"/>
      <c r="AD508" s="68"/>
      <c r="AH508" s="67"/>
      <c r="AI508" s="204"/>
      <c r="AK508" s="200"/>
      <c r="AN508" s="68"/>
      <c r="AO508" s="206"/>
      <c r="AS508" s="200"/>
      <c r="AT508" s="200"/>
      <c r="AU508" s="68"/>
      <c r="AY508" s="67"/>
      <c r="AZ508" s="204"/>
      <c r="BC508" s="68"/>
      <c r="BD508" s="68"/>
      <c r="BF508" s="200"/>
    </row>
    <row r="509">
      <c r="D509" s="110"/>
      <c r="F509" s="4"/>
      <c r="G509" s="4"/>
      <c r="H509" s="4"/>
      <c r="I509" s="65"/>
      <c r="K509" s="199"/>
      <c r="L509" s="65"/>
      <c r="N509" s="105"/>
      <c r="T509" s="184"/>
      <c r="Y509" s="201"/>
      <c r="Z509" s="200"/>
      <c r="AA509" s="201"/>
      <c r="AB509" s="68"/>
      <c r="AC509" s="210"/>
      <c r="AD509" s="68"/>
      <c r="AH509" s="67"/>
      <c r="AI509" s="204"/>
      <c r="AK509" s="200"/>
      <c r="AN509" s="68"/>
      <c r="AO509" s="206"/>
      <c r="AS509" s="200"/>
      <c r="AT509" s="200"/>
      <c r="AU509" s="68"/>
      <c r="AY509" s="67"/>
      <c r="AZ509" s="204"/>
      <c r="BC509" s="68"/>
      <c r="BD509" s="68"/>
      <c r="BF509" s="200"/>
    </row>
    <row r="510">
      <c r="D510" s="110"/>
      <c r="F510" s="4"/>
      <c r="G510" s="4"/>
      <c r="H510" s="4"/>
      <c r="I510" s="65"/>
      <c r="K510" s="199"/>
      <c r="L510" s="65"/>
      <c r="N510" s="105"/>
      <c r="T510" s="184"/>
      <c r="Y510" s="201"/>
      <c r="Z510" s="200"/>
      <c r="AA510" s="201"/>
      <c r="AB510" s="68"/>
      <c r="AC510" s="210"/>
      <c r="AD510" s="68"/>
      <c r="AH510" s="67"/>
      <c r="AI510" s="204"/>
      <c r="AK510" s="200"/>
      <c r="AN510" s="68"/>
      <c r="AO510" s="206"/>
      <c r="AS510" s="200"/>
      <c r="AT510" s="200"/>
      <c r="AU510" s="68"/>
      <c r="AY510" s="67"/>
      <c r="AZ510" s="204"/>
      <c r="BC510" s="68"/>
      <c r="BD510" s="68"/>
      <c r="BF510" s="200"/>
    </row>
    <row r="511">
      <c r="D511" s="110"/>
      <c r="F511" s="4"/>
      <c r="G511" s="4"/>
      <c r="H511" s="4"/>
      <c r="I511" s="65"/>
      <c r="K511" s="199"/>
      <c r="L511" s="65"/>
      <c r="N511" s="105"/>
      <c r="T511" s="184"/>
      <c r="Y511" s="201"/>
      <c r="Z511" s="200"/>
      <c r="AA511" s="201"/>
      <c r="AB511" s="68"/>
      <c r="AC511" s="210"/>
      <c r="AD511" s="68"/>
      <c r="AH511" s="67"/>
      <c r="AI511" s="204"/>
      <c r="AK511" s="200"/>
      <c r="AN511" s="68"/>
      <c r="AO511" s="206"/>
      <c r="AS511" s="200"/>
      <c r="AT511" s="200"/>
      <c r="AU511" s="68"/>
      <c r="AY511" s="67"/>
      <c r="AZ511" s="204"/>
      <c r="BC511" s="68"/>
      <c r="BD511" s="68"/>
      <c r="BF511" s="200"/>
    </row>
    <row r="512">
      <c r="D512" s="110"/>
      <c r="F512" s="4"/>
      <c r="G512" s="4"/>
      <c r="H512" s="4"/>
      <c r="I512" s="65"/>
      <c r="K512" s="199"/>
      <c r="L512" s="65"/>
      <c r="N512" s="105"/>
      <c r="T512" s="184"/>
      <c r="Y512" s="201"/>
      <c r="Z512" s="200"/>
      <c r="AA512" s="201"/>
      <c r="AB512" s="68"/>
      <c r="AC512" s="210"/>
      <c r="AD512" s="68"/>
      <c r="AH512" s="67"/>
      <c r="AI512" s="204"/>
      <c r="AK512" s="200"/>
      <c r="AN512" s="68"/>
      <c r="AO512" s="206"/>
      <c r="AS512" s="200"/>
      <c r="AT512" s="200"/>
      <c r="AU512" s="68"/>
      <c r="AY512" s="67"/>
      <c r="AZ512" s="204"/>
      <c r="BC512" s="68"/>
      <c r="BD512" s="68"/>
      <c r="BF512" s="200"/>
    </row>
    <row r="513">
      <c r="D513" s="110"/>
      <c r="F513" s="4"/>
      <c r="G513" s="4"/>
      <c r="H513" s="4"/>
      <c r="I513" s="65"/>
      <c r="K513" s="199"/>
      <c r="L513" s="65"/>
      <c r="N513" s="105"/>
      <c r="T513" s="184"/>
      <c r="Y513" s="201"/>
      <c r="Z513" s="200"/>
      <c r="AA513" s="201"/>
      <c r="AB513" s="68"/>
      <c r="AC513" s="210"/>
      <c r="AD513" s="68"/>
      <c r="AH513" s="67"/>
      <c r="AI513" s="204"/>
      <c r="AK513" s="200"/>
      <c r="AN513" s="68"/>
      <c r="AO513" s="206"/>
      <c r="AS513" s="200"/>
      <c r="AT513" s="200"/>
      <c r="AU513" s="68"/>
      <c r="AY513" s="67"/>
      <c r="AZ513" s="204"/>
      <c r="BC513" s="68"/>
      <c r="BD513" s="68"/>
      <c r="BF513" s="200"/>
    </row>
    <row r="514">
      <c r="D514" s="110"/>
      <c r="F514" s="4"/>
      <c r="G514" s="4"/>
      <c r="H514" s="4"/>
      <c r="I514" s="65"/>
      <c r="K514" s="199"/>
      <c r="L514" s="65"/>
      <c r="N514" s="105"/>
      <c r="T514" s="184"/>
      <c r="Y514" s="201"/>
      <c r="Z514" s="200"/>
      <c r="AA514" s="201"/>
      <c r="AB514" s="68"/>
      <c r="AC514" s="210"/>
      <c r="AD514" s="68"/>
      <c r="AH514" s="67"/>
      <c r="AI514" s="204"/>
      <c r="AK514" s="200"/>
      <c r="AN514" s="68"/>
      <c r="AO514" s="206"/>
      <c r="AS514" s="200"/>
      <c r="AT514" s="200"/>
      <c r="AU514" s="68"/>
      <c r="AY514" s="67"/>
      <c r="AZ514" s="204"/>
      <c r="BC514" s="68"/>
      <c r="BD514" s="68"/>
      <c r="BF514" s="200"/>
    </row>
    <row r="515">
      <c r="D515" s="110"/>
      <c r="F515" s="4"/>
      <c r="G515" s="4"/>
      <c r="H515" s="4"/>
      <c r="I515" s="65"/>
      <c r="K515" s="199"/>
      <c r="L515" s="65"/>
      <c r="N515" s="105"/>
      <c r="T515" s="184"/>
      <c r="Y515" s="201"/>
      <c r="Z515" s="200"/>
      <c r="AA515" s="201"/>
      <c r="AB515" s="68"/>
      <c r="AC515" s="210"/>
      <c r="AD515" s="68"/>
      <c r="AH515" s="67"/>
      <c r="AI515" s="204"/>
      <c r="AK515" s="200"/>
      <c r="AN515" s="68"/>
      <c r="AO515" s="206"/>
      <c r="AS515" s="200"/>
      <c r="AT515" s="200"/>
      <c r="AU515" s="68"/>
      <c r="AY515" s="67"/>
      <c r="AZ515" s="204"/>
      <c r="BC515" s="68"/>
      <c r="BD515" s="68"/>
      <c r="BF515" s="200"/>
    </row>
    <row r="516">
      <c r="D516" s="110"/>
      <c r="F516" s="4"/>
      <c r="G516" s="4"/>
      <c r="H516" s="4"/>
      <c r="I516" s="65"/>
      <c r="K516" s="199"/>
      <c r="L516" s="65"/>
      <c r="N516" s="105"/>
      <c r="T516" s="184"/>
      <c r="Y516" s="201"/>
      <c r="Z516" s="200"/>
      <c r="AA516" s="201"/>
      <c r="AB516" s="68"/>
      <c r="AC516" s="210"/>
      <c r="AD516" s="68"/>
      <c r="AH516" s="67"/>
      <c r="AI516" s="204"/>
      <c r="AK516" s="200"/>
      <c r="AN516" s="68"/>
      <c r="AO516" s="206"/>
      <c r="AS516" s="200"/>
      <c r="AT516" s="200"/>
      <c r="AU516" s="68"/>
      <c r="AY516" s="67"/>
      <c r="AZ516" s="204"/>
      <c r="BC516" s="68"/>
      <c r="BD516" s="68"/>
      <c r="BF516" s="200"/>
    </row>
    <row r="517">
      <c r="D517" s="110"/>
      <c r="F517" s="4"/>
      <c r="G517" s="4"/>
      <c r="H517" s="4"/>
      <c r="I517" s="65"/>
      <c r="K517" s="199"/>
      <c r="L517" s="65"/>
      <c r="N517" s="105"/>
      <c r="T517" s="184"/>
      <c r="Y517" s="201"/>
      <c r="Z517" s="200"/>
      <c r="AA517" s="201"/>
      <c r="AB517" s="68"/>
      <c r="AC517" s="210"/>
      <c r="AD517" s="68"/>
      <c r="AH517" s="67"/>
      <c r="AI517" s="204"/>
      <c r="AK517" s="200"/>
      <c r="AN517" s="68"/>
      <c r="AO517" s="206"/>
      <c r="AS517" s="200"/>
      <c r="AT517" s="200"/>
      <c r="AU517" s="68"/>
      <c r="AY517" s="67"/>
      <c r="AZ517" s="204"/>
      <c r="BC517" s="68"/>
      <c r="BD517" s="68"/>
      <c r="BF517" s="200"/>
    </row>
    <row r="518">
      <c r="D518" s="110"/>
      <c r="F518" s="4"/>
      <c r="G518" s="4"/>
      <c r="H518" s="4"/>
      <c r="I518" s="65"/>
      <c r="K518" s="199"/>
      <c r="L518" s="65"/>
      <c r="N518" s="105"/>
      <c r="T518" s="184"/>
      <c r="Y518" s="201"/>
      <c r="Z518" s="200"/>
      <c r="AA518" s="201"/>
      <c r="AB518" s="68"/>
      <c r="AC518" s="210"/>
      <c r="AD518" s="68"/>
      <c r="AH518" s="67"/>
      <c r="AI518" s="204"/>
      <c r="AK518" s="200"/>
      <c r="AN518" s="68"/>
      <c r="AO518" s="206"/>
      <c r="AS518" s="200"/>
      <c r="AT518" s="200"/>
      <c r="AU518" s="68"/>
      <c r="AY518" s="67"/>
      <c r="AZ518" s="204"/>
      <c r="BC518" s="68"/>
      <c r="BD518" s="68"/>
      <c r="BF518" s="200"/>
    </row>
    <row r="519">
      <c r="D519" s="110"/>
      <c r="F519" s="4"/>
      <c r="G519" s="4"/>
      <c r="H519" s="4"/>
      <c r="I519" s="65"/>
      <c r="K519" s="199"/>
      <c r="L519" s="65"/>
      <c r="N519" s="105"/>
      <c r="T519" s="184"/>
      <c r="Y519" s="201"/>
      <c r="Z519" s="200"/>
      <c r="AA519" s="201"/>
      <c r="AB519" s="68"/>
      <c r="AC519" s="210"/>
      <c r="AD519" s="68"/>
      <c r="AH519" s="67"/>
      <c r="AI519" s="204"/>
      <c r="AK519" s="200"/>
      <c r="AN519" s="68"/>
      <c r="AO519" s="206"/>
      <c r="AS519" s="200"/>
      <c r="AT519" s="200"/>
      <c r="AU519" s="68"/>
      <c r="AY519" s="67"/>
      <c r="AZ519" s="204"/>
      <c r="BC519" s="68"/>
      <c r="BD519" s="68"/>
      <c r="BF519" s="200"/>
    </row>
    <row r="520">
      <c r="D520" s="110"/>
      <c r="F520" s="4"/>
      <c r="G520" s="4"/>
      <c r="H520" s="4"/>
      <c r="I520" s="65"/>
      <c r="K520" s="199"/>
      <c r="L520" s="65"/>
      <c r="N520" s="105"/>
      <c r="T520" s="184"/>
      <c r="Y520" s="201"/>
      <c r="Z520" s="200"/>
      <c r="AA520" s="201"/>
      <c r="AB520" s="68"/>
      <c r="AC520" s="210"/>
      <c r="AD520" s="68"/>
      <c r="AH520" s="67"/>
      <c r="AI520" s="204"/>
      <c r="AK520" s="200"/>
      <c r="AN520" s="68"/>
      <c r="AO520" s="206"/>
      <c r="AS520" s="200"/>
      <c r="AT520" s="200"/>
      <c r="AU520" s="68"/>
      <c r="AY520" s="67"/>
      <c r="AZ520" s="204"/>
      <c r="BC520" s="68"/>
      <c r="BD520" s="68"/>
      <c r="BF520" s="200"/>
    </row>
    <row r="521">
      <c r="D521" s="110"/>
      <c r="F521" s="4"/>
      <c r="G521" s="4"/>
      <c r="H521" s="4"/>
      <c r="I521" s="65"/>
      <c r="K521" s="199"/>
      <c r="L521" s="65"/>
      <c r="N521" s="105"/>
      <c r="T521" s="184"/>
      <c r="Y521" s="201"/>
      <c r="Z521" s="200"/>
      <c r="AA521" s="201"/>
      <c r="AB521" s="68"/>
      <c r="AC521" s="210"/>
      <c r="AD521" s="68"/>
      <c r="AH521" s="67"/>
      <c r="AI521" s="204"/>
      <c r="AK521" s="200"/>
      <c r="AN521" s="68"/>
      <c r="AO521" s="206"/>
      <c r="AS521" s="200"/>
      <c r="AT521" s="200"/>
      <c r="AU521" s="68"/>
      <c r="AY521" s="67"/>
      <c r="AZ521" s="204"/>
      <c r="BC521" s="68"/>
      <c r="BD521" s="68"/>
      <c r="BF521" s="200"/>
    </row>
    <row r="522">
      <c r="D522" s="110"/>
      <c r="F522" s="4"/>
      <c r="G522" s="4"/>
      <c r="H522" s="4"/>
      <c r="I522" s="65"/>
      <c r="K522" s="199"/>
      <c r="L522" s="65"/>
      <c r="N522" s="105"/>
      <c r="T522" s="184"/>
      <c r="Y522" s="201"/>
      <c r="Z522" s="200"/>
      <c r="AA522" s="201"/>
      <c r="AB522" s="68"/>
      <c r="AC522" s="210"/>
      <c r="AD522" s="68"/>
      <c r="AH522" s="67"/>
      <c r="AI522" s="204"/>
      <c r="AK522" s="200"/>
      <c r="AN522" s="68"/>
      <c r="AO522" s="206"/>
      <c r="AS522" s="200"/>
      <c r="AT522" s="200"/>
      <c r="AU522" s="68"/>
      <c r="AY522" s="67"/>
      <c r="AZ522" s="204"/>
      <c r="BC522" s="68"/>
      <c r="BD522" s="68"/>
      <c r="BF522" s="200"/>
    </row>
    <row r="523">
      <c r="D523" s="110"/>
      <c r="F523" s="4"/>
      <c r="G523" s="4"/>
      <c r="H523" s="4"/>
      <c r="I523" s="65"/>
      <c r="K523" s="199"/>
      <c r="L523" s="65"/>
      <c r="N523" s="105"/>
      <c r="T523" s="184"/>
      <c r="Y523" s="201"/>
      <c r="Z523" s="200"/>
      <c r="AA523" s="201"/>
      <c r="AB523" s="68"/>
      <c r="AC523" s="210"/>
      <c r="AD523" s="68"/>
      <c r="AH523" s="67"/>
      <c r="AI523" s="204"/>
      <c r="AK523" s="200"/>
      <c r="AN523" s="68"/>
      <c r="AO523" s="206"/>
      <c r="AS523" s="200"/>
      <c r="AT523" s="200"/>
      <c r="AU523" s="68"/>
      <c r="AY523" s="67"/>
      <c r="AZ523" s="204"/>
      <c r="BC523" s="68"/>
      <c r="BD523" s="68"/>
      <c r="BF523" s="200"/>
    </row>
    <row r="524">
      <c r="D524" s="110"/>
      <c r="F524" s="4"/>
      <c r="G524" s="4"/>
      <c r="H524" s="4"/>
      <c r="I524" s="65"/>
      <c r="K524" s="199"/>
      <c r="L524" s="65"/>
      <c r="N524" s="105"/>
      <c r="T524" s="184"/>
      <c r="Y524" s="201"/>
      <c r="Z524" s="200"/>
      <c r="AA524" s="201"/>
      <c r="AB524" s="68"/>
      <c r="AC524" s="210"/>
      <c r="AD524" s="68"/>
      <c r="AH524" s="67"/>
      <c r="AI524" s="204"/>
      <c r="AK524" s="200"/>
      <c r="AN524" s="68"/>
      <c r="AO524" s="206"/>
      <c r="AS524" s="200"/>
      <c r="AT524" s="200"/>
      <c r="AU524" s="68"/>
      <c r="AY524" s="67"/>
      <c r="AZ524" s="204"/>
      <c r="BC524" s="68"/>
      <c r="BD524" s="68"/>
      <c r="BF524" s="200"/>
    </row>
    <row r="525">
      <c r="D525" s="110"/>
      <c r="F525" s="4"/>
      <c r="G525" s="4"/>
      <c r="H525" s="4"/>
      <c r="I525" s="65"/>
      <c r="K525" s="199"/>
      <c r="L525" s="65"/>
      <c r="N525" s="105"/>
      <c r="T525" s="184"/>
      <c r="Y525" s="201"/>
      <c r="Z525" s="200"/>
      <c r="AA525" s="201"/>
      <c r="AB525" s="68"/>
      <c r="AC525" s="210"/>
      <c r="AD525" s="68"/>
      <c r="AH525" s="67"/>
      <c r="AI525" s="204"/>
      <c r="AK525" s="200"/>
      <c r="AN525" s="68"/>
      <c r="AO525" s="206"/>
      <c r="AS525" s="200"/>
      <c r="AT525" s="200"/>
      <c r="AU525" s="68"/>
      <c r="AY525" s="67"/>
      <c r="AZ525" s="204"/>
      <c r="BC525" s="68"/>
      <c r="BD525" s="68"/>
      <c r="BF525" s="200"/>
    </row>
    <row r="526">
      <c r="D526" s="110"/>
      <c r="F526" s="4"/>
      <c r="G526" s="4"/>
      <c r="H526" s="4"/>
      <c r="I526" s="65"/>
      <c r="K526" s="199"/>
      <c r="L526" s="65"/>
      <c r="N526" s="105"/>
      <c r="T526" s="184"/>
      <c r="Y526" s="201"/>
      <c r="Z526" s="200"/>
      <c r="AA526" s="201"/>
      <c r="AB526" s="68"/>
      <c r="AC526" s="210"/>
      <c r="AD526" s="68"/>
      <c r="AH526" s="67"/>
      <c r="AI526" s="204"/>
      <c r="AK526" s="200"/>
      <c r="AN526" s="68"/>
      <c r="AO526" s="206"/>
      <c r="AS526" s="200"/>
      <c r="AT526" s="200"/>
      <c r="AU526" s="68"/>
      <c r="AY526" s="67"/>
      <c r="AZ526" s="204"/>
      <c r="BC526" s="68"/>
      <c r="BD526" s="68"/>
      <c r="BF526" s="200"/>
    </row>
    <row r="527">
      <c r="D527" s="110"/>
      <c r="F527" s="4"/>
      <c r="G527" s="4"/>
      <c r="H527" s="4"/>
      <c r="I527" s="65"/>
      <c r="K527" s="199"/>
      <c r="L527" s="65"/>
      <c r="N527" s="105"/>
      <c r="T527" s="184"/>
      <c r="Y527" s="201"/>
      <c r="Z527" s="200"/>
      <c r="AA527" s="201"/>
      <c r="AB527" s="68"/>
      <c r="AC527" s="210"/>
      <c r="AD527" s="68"/>
      <c r="AH527" s="67"/>
      <c r="AI527" s="204"/>
      <c r="AK527" s="200"/>
      <c r="AN527" s="68"/>
      <c r="AO527" s="206"/>
      <c r="AS527" s="200"/>
      <c r="AT527" s="200"/>
      <c r="AU527" s="68"/>
      <c r="AY527" s="67"/>
      <c r="AZ527" s="204"/>
      <c r="BC527" s="68"/>
      <c r="BD527" s="68"/>
      <c r="BF527" s="200"/>
    </row>
    <row r="528">
      <c r="D528" s="110"/>
      <c r="F528" s="4"/>
      <c r="G528" s="4"/>
      <c r="H528" s="4"/>
      <c r="I528" s="65"/>
      <c r="K528" s="199"/>
      <c r="L528" s="65"/>
      <c r="N528" s="105"/>
      <c r="T528" s="184"/>
      <c r="Y528" s="201"/>
      <c r="Z528" s="200"/>
      <c r="AA528" s="201"/>
      <c r="AB528" s="68"/>
      <c r="AC528" s="210"/>
      <c r="AD528" s="68"/>
      <c r="AH528" s="67"/>
      <c r="AI528" s="204"/>
      <c r="AK528" s="200"/>
      <c r="AN528" s="68"/>
      <c r="AO528" s="206"/>
      <c r="AS528" s="200"/>
      <c r="AT528" s="200"/>
      <c r="AU528" s="68"/>
      <c r="AY528" s="67"/>
      <c r="AZ528" s="204"/>
      <c r="BC528" s="68"/>
      <c r="BD528" s="68"/>
      <c r="BF528" s="200"/>
    </row>
    <row r="529">
      <c r="D529" s="110"/>
      <c r="F529" s="4"/>
      <c r="G529" s="4"/>
      <c r="H529" s="4"/>
      <c r="I529" s="65"/>
      <c r="K529" s="199"/>
      <c r="L529" s="65"/>
      <c r="N529" s="105"/>
      <c r="T529" s="184"/>
      <c r="Y529" s="201"/>
      <c r="Z529" s="200"/>
      <c r="AA529" s="201"/>
      <c r="AB529" s="68"/>
      <c r="AC529" s="210"/>
      <c r="AD529" s="68"/>
      <c r="AH529" s="67"/>
      <c r="AI529" s="204"/>
      <c r="AK529" s="200"/>
      <c r="AN529" s="68"/>
      <c r="AO529" s="206"/>
      <c r="AS529" s="200"/>
      <c r="AT529" s="200"/>
      <c r="AU529" s="68"/>
      <c r="AY529" s="67"/>
      <c r="AZ529" s="204"/>
      <c r="BC529" s="68"/>
      <c r="BD529" s="68"/>
      <c r="BF529" s="200"/>
    </row>
    <row r="530">
      <c r="D530" s="110"/>
      <c r="F530" s="4"/>
      <c r="G530" s="4"/>
      <c r="H530" s="4"/>
      <c r="I530" s="65"/>
      <c r="K530" s="199"/>
      <c r="L530" s="65"/>
      <c r="N530" s="105"/>
      <c r="T530" s="184"/>
      <c r="Y530" s="201"/>
      <c r="Z530" s="200"/>
      <c r="AA530" s="201"/>
      <c r="AB530" s="68"/>
      <c r="AC530" s="210"/>
      <c r="AD530" s="68"/>
      <c r="AH530" s="67"/>
      <c r="AI530" s="204"/>
      <c r="AK530" s="200"/>
      <c r="AN530" s="68"/>
      <c r="AO530" s="206"/>
      <c r="AS530" s="200"/>
      <c r="AT530" s="200"/>
      <c r="AU530" s="68"/>
      <c r="AY530" s="67"/>
      <c r="AZ530" s="204"/>
      <c r="BC530" s="68"/>
      <c r="BD530" s="68"/>
      <c r="BF530" s="200"/>
    </row>
    <row r="531">
      <c r="D531" s="110"/>
      <c r="F531" s="4"/>
      <c r="G531" s="4"/>
      <c r="H531" s="4"/>
      <c r="I531" s="65"/>
      <c r="K531" s="199"/>
      <c r="L531" s="65"/>
      <c r="N531" s="105"/>
      <c r="T531" s="184"/>
      <c r="Y531" s="201"/>
      <c r="Z531" s="200"/>
      <c r="AA531" s="201"/>
      <c r="AB531" s="68"/>
      <c r="AC531" s="210"/>
      <c r="AD531" s="68"/>
      <c r="AH531" s="67"/>
      <c r="AI531" s="204"/>
      <c r="AK531" s="200"/>
      <c r="AN531" s="68"/>
      <c r="AO531" s="206"/>
      <c r="AS531" s="200"/>
      <c r="AT531" s="200"/>
      <c r="AU531" s="68"/>
      <c r="AY531" s="67"/>
      <c r="AZ531" s="204"/>
      <c r="BC531" s="68"/>
      <c r="BD531" s="68"/>
      <c r="BF531" s="200"/>
    </row>
    <row r="532">
      <c r="D532" s="110"/>
      <c r="F532" s="4"/>
      <c r="G532" s="4"/>
      <c r="H532" s="4"/>
      <c r="I532" s="65"/>
      <c r="K532" s="199"/>
      <c r="L532" s="65"/>
      <c r="N532" s="105"/>
      <c r="T532" s="184"/>
      <c r="Y532" s="201"/>
      <c r="Z532" s="200"/>
      <c r="AA532" s="201"/>
      <c r="AB532" s="68"/>
      <c r="AC532" s="210"/>
      <c r="AD532" s="68"/>
      <c r="AH532" s="67"/>
      <c r="AI532" s="204"/>
      <c r="AK532" s="200"/>
      <c r="AN532" s="68"/>
      <c r="AO532" s="206"/>
      <c r="AS532" s="200"/>
      <c r="AT532" s="200"/>
      <c r="AU532" s="68"/>
      <c r="AY532" s="67"/>
      <c r="AZ532" s="204"/>
      <c r="BC532" s="68"/>
      <c r="BD532" s="68"/>
      <c r="BF532" s="200"/>
    </row>
    <row r="533">
      <c r="D533" s="110"/>
      <c r="F533" s="4"/>
      <c r="G533" s="4"/>
      <c r="H533" s="4"/>
      <c r="I533" s="65"/>
      <c r="K533" s="199"/>
      <c r="L533" s="65"/>
      <c r="N533" s="105"/>
      <c r="T533" s="184"/>
      <c r="Y533" s="201"/>
      <c r="Z533" s="200"/>
      <c r="AA533" s="201"/>
      <c r="AB533" s="68"/>
      <c r="AC533" s="210"/>
      <c r="AD533" s="68"/>
      <c r="AH533" s="67"/>
      <c r="AI533" s="204"/>
      <c r="AK533" s="200"/>
      <c r="AN533" s="68"/>
      <c r="AO533" s="206"/>
      <c r="AS533" s="200"/>
      <c r="AT533" s="200"/>
      <c r="AU533" s="68"/>
      <c r="AY533" s="67"/>
      <c r="AZ533" s="204"/>
      <c r="BC533" s="68"/>
      <c r="BD533" s="68"/>
      <c r="BF533" s="200"/>
    </row>
    <row r="534">
      <c r="D534" s="110"/>
      <c r="F534" s="4"/>
      <c r="G534" s="4"/>
      <c r="H534" s="4"/>
      <c r="I534" s="65"/>
      <c r="K534" s="199"/>
      <c r="L534" s="65"/>
      <c r="N534" s="105"/>
      <c r="T534" s="184"/>
      <c r="Y534" s="201"/>
      <c r="Z534" s="200"/>
      <c r="AA534" s="201"/>
      <c r="AB534" s="68"/>
      <c r="AC534" s="210"/>
      <c r="AD534" s="68"/>
      <c r="AH534" s="67"/>
      <c r="AI534" s="204"/>
      <c r="AK534" s="200"/>
      <c r="AN534" s="68"/>
      <c r="AO534" s="206"/>
      <c r="AS534" s="200"/>
      <c r="AT534" s="200"/>
      <c r="AU534" s="68"/>
      <c r="AY534" s="67"/>
      <c r="AZ534" s="204"/>
      <c r="BC534" s="68"/>
      <c r="BD534" s="68"/>
      <c r="BF534" s="200"/>
    </row>
    <row r="535">
      <c r="D535" s="110"/>
      <c r="F535" s="4"/>
      <c r="G535" s="4"/>
      <c r="H535" s="4"/>
      <c r="I535" s="65"/>
      <c r="K535" s="199"/>
      <c r="L535" s="65"/>
      <c r="N535" s="105"/>
      <c r="T535" s="184"/>
      <c r="Y535" s="201"/>
      <c r="Z535" s="200"/>
      <c r="AA535" s="201"/>
      <c r="AB535" s="68"/>
      <c r="AC535" s="210"/>
      <c r="AD535" s="68"/>
      <c r="AH535" s="67"/>
      <c r="AI535" s="204"/>
      <c r="AK535" s="200"/>
      <c r="AN535" s="68"/>
      <c r="AO535" s="206"/>
      <c r="AS535" s="200"/>
      <c r="AT535" s="200"/>
      <c r="AU535" s="68"/>
      <c r="AY535" s="67"/>
      <c r="AZ535" s="204"/>
      <c r="BC535" s="68"/>
      <c r="BD535" s="68"/>
      <c r="BF535" s="200"/>
    </row>
    <row r="536">
      <c r="D536" s="110"/>
      <c r="F536" s="4"/>
      <c r="G536" s="4"/>
      <c r="H536" s="4"/>
      <c r="I536" s="65"/>
      <c r="K536" s="199"/>
      <c r="L536" s="65"/>
      <c r="N536" s="105"/>
      <c r="T536" s="184"/>
      <c r="Y536" s="201"/>
      <c r="Z536" s="200"/>
      <c r="AA536" s="201"/>
      <c r="AB536" s="68"/>
      <c r="AC536" s="210"/>
      <c r="AD536" s="68"/>
      <c r="AH536" s="67"/>
      <c r="AI536" s="204"/>
      <c r="AK536" s="200"/>
      <c r="AN536" s="68"/>
      <c r="AO536" s="206"/>
      <c r="AS536" s="200"/>
      <c r="AT536" s="200"/>
      <c r="AU536" s="68"/>
      <c r="AY536" s="67"/>
      <c r="AZ536" s="204"/>
      <c r="BC536" s="68"/>
      <c r="BD536" s="68"/>
      <c r="BF536" s="200"/>
    </row>
    <row r="537">
      <c r="D537" s="110"/>
      <c r="F537" s="4"/>
      <c r="G537" s="4"/>
      <c r="H537" s="4"/>
      <c r="I537" s="65"/>
      <c r="K537" s="199"/>
      <c r="L537" s="65"/>
      <c r="N537" s="105"/>
      <c r="T537" s="184"/>
      <c r="Y537" s="201"/>
      <c r="Z537" s="200"/>
      <c r="AA537" s="201"/>
      <c r="AB537" s="68"/>
      <c r="AC537" s="210"/>
      <c r="AD537" s="68"/>
      <c r="AH537" s="67"/>
      <c r="AI537" s="204"/>
      <c r="AK537" s="200"/>
      <c r="AN537" s="68"/>
      <c r="AO537" s="206"/>
      <c r="AS537" s="200"/>
      <c r="AT537" s="200"/>
      <c r="AU537" s="68"/>
      <c r="AY537" s="67"/>
      <c r="AZ537" s="204"/>
      <c r="BC537" s="68"/>
      <c r="BD537" s="68"/>
      <c r="BF537" s="200"/>
    </row>
    <row r="538">
      <c r="D538" s="110"/>
      <c r="F538" s="4"/>
      <c r="G538" s="4"/>
      <c r="H538" s="4"/>
      <c r="I538" s="65"/>
      <c r="K538" s="199"/>
      <c r="L538" s="65"/>
      <c r="N538" s="105"/>
      <c r="T538" s="184"/>
      <c r="Y538" s="201"/>
      <c r="Z538" s="200"/>
      <c r="AA538" s="201"/>
      <c r="AB538" s="68"/>
      <c r="AC538" s="210"/>
      <c r="AD538" s="68"/>
      <c r="AH538" s="67"/>
      <c r="AI538" s="204"/>
      <c r="AK538" s="200"/>
      <c r="AN538" s="68"/>
      <c r="AO538" s="206"/>
      <c r="AS538" s="200"/>
      <c r="AT538" s="200"/>
      <c r="AU538" s="68"/>
      <c r="AY538" s="67"/>
      <c r="AZ538" s="204"/>
      <c r="BC538" s="68"/>
      <c r="BD538" s="68"/>
      <c r="BF538" s="200"/>
    </row>
    <row r="539">
      <c r="D539" s="110"/>
      <c r="F539" s="4"/>
      <c r="G539" s="4"/>
      <c r="H539" s="4"/>
      <c r="I539" s="65"/>
      <c r="K539" s="199"/>
      <c r="L539" s="65"/>
      <c r="N539" s="105"/>
      <c r="T539" s="184"/>
      <c r="Y539" s="201"/>
      <c r="Z539" s="200"/>
      <c r="AA539" s="201"/>
      <c r="AB539" s="68"/>
      <c r="AC539" s="210"/>
      <c r="AD539" s="68"/>
      <c r="AH539" s="67"/>
      <c r="AI539" s="204"/>
      <c r="AK539" s="200"/>
      <c r="AN539" s="68"/>
      <c r="AO539" s="206"/>
      <c r="AS539" s="200"/>
      <c r="AT539" s="200"/>
      <c r="AU539" s="68"/>
      <c r="AY539" s="67"/>
      <c r="AZ539" s="204"/>
      <c r="BC539" s="68"/>
      <c r="BD539" s="68"/>
      <c r="BF539" s="200"/>
    </row>
    <row r="540">
      <c r="D540" s="110"/>
      <c r="F540" s="4"/>
      <c r="G540" s="4"/>
      <c r="H540" s="4"/>
      <c r="I540" s="65"/>
      <c r="K540" s="199"/>
      <c r="L540" s="65"/>
      <c r="N540" s="105"/>
      <c r="T540" s="184"/>
      <c r="Y540" s="201"/>
      <c r="Z540" s="200"/>
      <c r="AA540" s="201"/>
      <c r="AB540" s="68"/>
      <c r="AC540" s="210"/>
      <c r="AD540" s="68"/>
      <c r="AH540" s="67"/>
      <c r="AI540" s="204"/>
      <c r="AK540" s="200"/>
      <c r="AN540" s="68"/>
      <c r="AO540" s="206"/>
      <c r="AS540" s="200"/>
      <c r="AT540" s="200"/>
      <c r="AU540" s="68"/>
      <c r="AY540" s="67"/>
      <c r="AZ540" s="204"/>
      <c r="BC540" s="68"/>
      <c r="BD540" s="68"/>
      <c r="BF540" s="200"/>
    </row>
    <row r="541">
      <c r="D541" s="110"/>
      <c r="F541" s="4"/>
      <c r="G541" s="4"/>
      <c r="H541" s="4"/>
      <c r="I541" s="65"/>
      <c r="K541" s="199"/>
      <c r="L541" s="65"/>
      <c r="N541" s="105"/>
      <c r="T541" s="184"/>
      <c r="Y541" s="201"/>
      <c r="Z541" s="200"/>
      <c r="AA541" s="201"/>
      <c r="AB541" s="68"/>
      <c r="AC541" s="210"/>
      <c r="AD541" s="68"/>
      <c r="AH541" s="67"/>
      <c r="AI541" s="204"/>
      <c r="AK541" s="200"/>
      <c r="AN541" s="68"/>
      <c r="AO541" s="206"/>
      <c r="AS541" s="200"/>
      <c r="AT541" s="200"/>
      <c r="AU541" s="68"/>
      <c r="AY541" s="67"/>
      <c r="AZ541" s="204"/>
      <c r="BC541" s="68"/>
      <c r="BD541" s="68"/>
      <c r="BF541" s="200"/>
    </row>
    <row r="542">
      <c r="D542" s="110"/>
      <c r="F542" s="4"/>
      <c r="G542" s="4"/>
      <c r="H542" s="4"/>
      <c r="I542" s="65"/>
      <c r="K542" s="199"/>
      <c r="L542" s="65"/>
      <c r="N542" s="105"/>
      <c r="T542" s="184"/>
      <c r="Y542" s="201"/>
      <c r="Z542" s="200"/>
      <c r="AA542" s="201"/>
      <c r="AB542" s="68"/>
      <c r="AC542" s="210"/>
      <c r="AD542" s="68"/>
      <c r="AH542" s="67"/>
      <c r="AI542" s="204"/>
      <c r="AK542" s="200"/>
      <c r="AN542" s="68"/>
      <c r="AO542" s="206"/>
      <c r="AS542" s="200"/>
      <c r="AT542" s="200"/>
      <c r="AU542" s="68"/>
      <c r="AY542" s="67"/>
      <c r="AZ542" s="204"/>
      <c r="BC542" s="68"/>
      <c r="BD542" s="68"/>
      <c r="BF542" s="200"/>
    </row>
    <row r="543">
      <c r="D543" s="110"/>
      <c r="F543" s="4"/>
      <c r="G543" s="4"/>
      <c r="H543" s="4"/>
      <c r="I543" s="65"/>
      <c r="K543" s="199"/>
      <c r="L543" s="65"/>
      <c r="N543" s="105"/>
      <c r="T543" s="184"/>
      <c r="Y543" s="201"/>
      <c r="Z543" s="200"/>
      <c r="AA543" s="201"/>
      <c r="AB543" s="68"/>
      <c r="AC543" s="210"/>
      <c r="AD543" s="68"/>
      <c r="AH543" s="67"/>
      <c r="AI543" s="204"/>
      <c r="AK543" s="200"/>
      <c r="AN543" s="68"/>
      <c r="AO543" s="206"/>
      <c r="AS543" s="200"/>
      <c r="AT543" s="200"/>
      <c r="AU543" s="68"/>
      <c r="AY543" s="67"/>
      <c r="AZ543" s="204"/>
      <c r="BC543" s="68"/>
      <c r="BD543" s="68"/>
      <c r="BF543" s="200"/>
    </row>
    <row r="544">
      <c r="D544" s="110"/>
      <c r="F544" s="4"/>
      <c r="G544" s="4"/>
      <c r="H544" s="4"/>
      <c r="I544" s="65"/>
      <c r="K544" s="199"/>
      <c r="L544" s="65"/>
      <c r="N544" s="105"/>
      <c r="T544" s="184"/>
      <c r="Y544" s="201"/>
      <c r="Z544" s="200"/>
      <c r="AA544" s="201"/>
      <c r="AB544" s="68"/>
      <c r="AC544" s="210"/>
      <c r="AD544" s="68"/>
      <c r="AH544" s="67"/>
      <c r="AI544" s="204"/>
      <c r="AK544" s="200"/>
      <c r="AN544" s="68"/>
      <c r="AO544" s="206"/>
      <c r="AS544" s="200"/>
      <c r="AT544" s="200"/>
      <c r="AU544" s="68"/>
      <c r="AY544" s="67"/>
      <c r="AZ544" s="204"/>
      <c r="BC544" s="68"/>
      <c r="BD544" s="68"/>
      <c r="BF544" s="200"/>
    </row>
    <row r="545">
      <c r="D545" s="110"/>
      <c r="F545" s="4"/>
      <c r="G545" s="4"/>
      <c r="H545" s="4"/>
      <c r="I545" s="65"/>
      <c r="K545" s="199"/>
      <c r="L545" s="65"/>
      <c r="N545" s="105"/>
      <c r="T545" s="184"/>
      <c r="Y545" s="201"/>
      <c r="Z545" s="200"/>
      <c r="AA545" s="201"/>
      <c r="AB545" s="68"/>
      <c r="AC545" s="210"/>
      <c r="AD545" s="68"/>
      <c r="AH545" s="67"/>
      <c r="AI545" s="204"/>
      <c r="AK545" s="200"/>
      <c r="AN545" s="68"/>
      <c r="AO545" s="206"/>
      <c r="AS545" s="200"/>
      <c r="AT545" s="200"/>
      <c r="AU545" s="68"/>
      <c r="AY545" s="67"/>
      <c r="AZ545" s="204"/>
      <c r="BC545" s="68"/>
      <c r="BD545" s="68"/>
      <c r="BF545" s="200"/>
    </row>
    <row r="546">
      <c r="D546" s="110"/>
      <c r="F546" s="4"/>
      <c r="G546" s="4"/>
      <c r="H546" s="4"/>
      <c r="I546" s="65"/>
      <c r="K546" s="199"/>
      <c r="L546" s="65"/>
      <c r="N546" s="105"/>
      <c r="T546" s="184"/>
      <c r="Y546" s="201"/>
      <c r="Z546" s="200"/>
      <c r="AA546" s="201"/>
      <c r="AB546" s="68"/>
      <c r="AC546" s="210"/>
      <c r="AD546" s="68"/>
      <c r="AH546" s="67"/>
      <c r="AI546" s="204"/>
      <c r="AK546" s="200"/>
      <c r="AN546" s="68"/>
      <c r="AO546" s="206"/>
      <c r="AS546" s="200"/>
      <c r="AT546" s="200"/>
      <c r="AU546" s="68"/>
      <c r="AY546" s="67"/>
      <c r="AZ546" s="204"/>
      <c r="BC546" s="68"/>
      <c r="BD546" s="68"/>
      <c r="BF546" s="200"/>
    </row>
    <row r="547">
      <c r="D547" s="110"/>
      <c r="F547" s="4"/>
      <c r="G547" s="4"/>
      <c r="H547" s="4"/>
      <c r="I547" s="65"/>
      <c r="K547" s="199"/>
      <c r="L547" s="65"/>
      <c r="N547" s="105"/>
      <c r="T547" s="184"/>
      <c r="Y547" s="201"/>
      <c r="Z547" s="200"/>
      <c r="AA547" s="201"/>
      <c r="AB547" s="68"/>
      <c r="AC547" s="210"/>
      <c r="AD547" s="68"/>
      <c r="AH547" s="67"/>
      <c r="AI547" s="204"/>
      <c r="AK547" s="200"/>
      <c r="AN547" s="68"/>
      <c r="AO547" s="206"/>
      <c r="AS547" s="200"/>
      <c r="AT547" s="200"/>
      <c r="AU547" s="68"/>
      <c r="AY547" s="67"/>
      <c r="AZ547" s="204"/>
      <c r="BC547" s="68"/>
      <c r="BD547" s="68"/>
      <c r="BF547" s="200"/>
    </row>
    <row r="548">
      <c r="D548" s="110"/>
      <c r="F548" s="4"/>
      <c r="G548" s="4"/>
      <c r="H548" s="4"/>
      <c r="I548" s="65"/>
      <c r="K548" s="199"/>
      <c r="L548" s="65"/>
      <c r="N548" s="105"/>
      <c r="T548" s="184"/>
      <c r="Y548" s="201"/>
      <c r="Z548" s="200"/>
      <c r="AA548" s="201"/>
      <c r="AB548" s="68"/>
      <c r="AC548" s="210"/>
      <c r="AD548" s="68"/>
      <c r="AH548" s="67"/>
      <c r="AI548" s="204"/>
      <c r="AK548" s="200"/>
      <c r="AN548" s="68"/>
      <c r="AO548" s="206"/>
      <c r="AS548" s="200"/>
      <c r="AT548" s="200"/>
      <c r="AU548" s="68"/>
      <c r="AY548" s="67"/>
      <c r="AZ548" s="204"/>
      <c r="BC548" s="68"/>
      <c r="BD548" s="68"/>
      <c r="BF548" s="200"/>
    </row>
    <row r="549">
      <c r="D549" s="110"/>
      <c r="F549" s="4"/>
      <c r="G549" s="4"/>
      <c r="H549" s="4"/>
      <c r="I549" s="65"/>
      <c r="K549" s="199"/>
      <c r="L549" s="65"/>
      <c r="N549" s="105"/>
      <c r="T549" s="184"/>
      <c r="Y549" s="201"/>
      <c r="Z549" s="200"/>
      <c r="AA549" s="201"/>
      <c r="AB549" s="68"/>
      <c r="AC549" s="210"/>
      <c r="AD549" s="68"/>
      <c r="AH549" s="67"/>
      <c r="AI549" s="204"/>
      <c r="AK549" s="200"/>
      <c r="AN549" s="68"/>
      <c r="AO549" s="206"/>
      <c r="AS549" s="200"/>
      <c r="AT549" s="200"/>
      <c r="AU549" s="68"/>
      <c r="AY549" s="67"/>
      <c r="AZ549" s="204"/>
      <c r="BC549" s="68"/>
      <c r="BD549" s="68"/>
      <c r="BF549" s="200"/>
    </row>
    <row r="550">
      <c r="D550" s="110"/>
      <c r="F550" s="4"/>
      <c r="G550" s="4"/>
      <c r="H550" s="4"/>
      <c r="I550" s="65"/>
      <c r="K550" s="199"/>
      <c r="L550" s="65"/>
      <c r="N550" s="105"/>
      <c r="T550" s="184"/>
      <c r="Y550" s="201"/>
      <c r="Z550" s="200"/>
      <c r="AA550" s="201"/>
      <c r="AB550" s="68"/>
      <c r="AC550" s="210"/>
      <c r="AD550" s="68"/>
      <c r="AH550" s="67"/>
      <c r="AI550" s="204"/>
      <c r="AK550" s="200"/>
      <c r="AN550" s="68"/>
      <c r="AO550" s="206"/>
      <c r="AS550" s="200"/>
      <c r="AT550" s="200"/>
      <c r="AU550" s="68"/>
      <c r="AY550" s="67"/>
      <c r="AZ550" s="204"/>
      <c r="BC550" s="68"/>
      <c r="BD550" s="68"/>
      <c r="BF550" s="200"/>
    </row>
    <row r="551">
      <c r="D551" s="110"/>
      <c r="F551" s="4"/>
      <c r="G551" s="4"/>
      <c r="H551" s="4"/>
      <c r="I551" s="65"/>
      <c r="K551" s="199"/>
      <c r="L551" s="65"/>
      <c r="N551" s="105"/>
      <c r="T551" s="184"/>
      <c r="Y551" s="201"/>
      <c r="Z551" s="200"/>
      <c r="AA551" s="201"/>
      <c r="AB551" s="68"/>
      <c r="AC551" s="210"/>
      <c r="AD551" s="68"/>
      <c r="AH551" s="67"/>
      <c r="AI551" s="204"/>
      <c r="AK551" s="200"/>
      <c r="AN551" s="68"/>
      <c r="AO551" s="206"/>
      <c r="AS551" s="200"/>
      <c r="AT551" s="200"/>
      <c r="AU551" s="68"/>
      <c r="AY551" s="67"/>
      <c r="AZ551" s="204"/>
      <c r="BC551" s="68"/>
      <c r="BD551" s="68"/>
      <c r="BF551" s="200"/>
    </row>
    <row r="552">
      <c r="D552" s="110"/>
      <c r="F552" s="4"/>
      <c r="G552" s="4"/>
      <c r="H552" s="4"/>
      <c r="I552" s="65"/>
      <c r="K552" s="199"/>
      <c r="L552" s="65"/>
      <c r="N552" s="105"/>
      <c r="T552" s="184"/>
      <c r="Y552" s="201"/>
      <c r="Z552" s="200"/>
      <c r="AA552" s="201"/>
      <c r="AB552" s="68"/>
      <c r="AC552" s="210"/>
      <c r="AD552" s="68"/>
      <c r="AH552" s="67"/>
      <c r="AI552" s="204"/>
      <c r="AK552" s="200"/>
      <c r="AN552" s="68"/>
      <c r="AO552" s="206"/>
      <c r="AS552" s="200"/>
      <c r="AT552" s="200"/>
      <c r="AU552" s="68"/>
      <c r="AY552" s="67"/>
      <c r="AZ552" s="204"/>
      <c r="BC552" s="68"/>
      <c r="BD552" s="68"/>
      <c r="BF552" s="200"/>
    </row>
    <row r="553">
      <c r="D553" s="110"/>
      <c r="F553" s="4"/>
      <c r="G553" s="4"/>
      <c r="H553" s="4"/>
      <c r="I553" s="65"/>
      <c r="K553" s="199"/>
      <c r="L553" s="65"/>
      <c r="N553" s="105"/>
      <c r="T553" s="184"/>
      <c r="Y553" s="201"/>
      <c r="Z553" s="200"/>
      <c r="AA553" s="201"/>
      <c r="AB553" s="68"/>
      <c r="AC553" s="210"/>
      <c r="AD553" s="68"/>
      <c r="AH553" s="67"/>
      <c r="AI553" s="204"/>
      <c r="AK553" s="200"/>
      <c r="AN553" s="68"/>
      <c r="AO553" s="206"/>
      <c r="AS553" s="200"/>
      <c r="AT553" s="200"/>
      <c r="AU553" s="68"/>
      <c r="AY553" s="67"/>
      <c r="AZ553" s="204"/>
      <c r="BC553" s="68"/>
      <c r="BD553" s="68"/>
      <c r="BF553" s="200"/>
    </row>
    <row r="554">
      <c r="D554" s="110"/>
      <c r="F554" s="4"/>
      <c r="G554" s="4"/>
      <c r="H554" s="4"/>
      <c r="I554" s="65"/>
      <c r="K554" s="199"/>
      <c r="L554" s="65"/>
      <c r="N554" s="105"/>
      <c r="T554" s="184"/>
      <c r="Y554" s="201"/>
      <c r="Z554" s="200"/>
      <c r="AA554" s="201"/>
      <c r="AB554" s="68"/>
      <c r="AC554" s="210"/>
      <c r="AD554" s="68"/>
      <c r="AH554" s="67"/>
      <c r="AI554" s="204"/>
      <c r="AK554" s="200"/>
      <c r="AN554" s="68"/>
      <c r="AO554" s="206"/>
      <c r="AS554" s="200"/>
      <c r="AT554" s="200"/>
      <c r="AU554" s="68"/>
      <c r="AY554" s="67"/>
      <c r="AZ554" s="204"/>
      <c r="BC554" s="68"/>
      <c r="BD554" s="68"/>
      <c r="BF554" s="200"/>
    </row>
    <row r="555">
      <c r="D555" s="110"/>
      <c r="F555" s="4"/>
      <c r="G555" s="4"/>
      <c r="H555" s="4"/>
      <c r="I555" s="65"/>
      <c r="K555" s="199"/>
      <c r="L555" s="65"/>
      <c r="N555" s="105"/>
      <c r="T555" s="184"/>
      <c r="Y555" s="201"/>
      <c r="Z555" s="200"/>
      <c r="AA555" s="201"/>
      <c r="AB555" s="68"/>
      <c r="AC555" s="210"/>
      <c r="AD555" s="68"/>
      <c r="AH555" s="67"/>
      <c r="AI555" s="204"/>
      <c r="AK555" s="200"/>
      <c r="AN555" s="68"/>
      <c r="AO555" s="206"/>
      <c r="AS555" s="200"/>
      <c r="AT555" s="200"/>
      <c r="AU555" s="68"/>
      <c r="AY555" s="67"/>
      <c r="AZ555" s="204"/>
      <c r="BC555" s="68"/>
      <c r="BD555" s="68"/>
      <c r="BF555" s="200"/>
    </row>
    <row r="556">
      <c r="D556" s="110"/>
      <c r="F556" s="4"/>
      <c r="G556" s="4"/>
      <c r="H556" s="4"/>
      <c r="I556" s="65"/>
      <c r="K556" s="199"/>
      <c r="L556" s="65"/>
      <c r="N556" s="105"/>
      <c r="T556" s="184"/>
      <c r="Y556" s="201"/>
      <c r="Z556" s="200"/>
      <c r="AA556" s="201"/>
      <c r="AB556" s="68"/>
      <c r="AC556" s="210"/>
      <c r="AD556" s="68"/>
      <c r="AH556" s="67"/>
      <c r="AI556" s="204"/>
      <c r="AK556" s="200"/>
      <c r="AN556" s="68"/>
      <c r="AO556" s="206"/>
      <c r="AS556" s="200"/>
      <c r="AT556" s="200"/>
      <c r="AU556" s="68"/>
      <c r="AY556" s="67"/>
      <c r="AZ556" s="204"/>
      <c r="BC556" s="68"/>
      <c r="BD556" s="68"/>
      <c r="BF556" s="200"/>
    </row>
    <row r="557">
      <c r="D557" s="110"/>
      <c r="F557" s="4"/>
      <c r="G557" s="4"/>
      <c r="H557" s="4"/>
      <c r="I557" s="65"/>
      <c r="K557" s="199"/>
      <c r="L557" s="65"/>
      <c r="N557" s="105"/>
      <c r="T557" s="184"/>
      <c r="Y557" s="201"/>
      <c r="Z557" s="200"/>
      <c r="AA557" s="201"/>
      <c r="AB557" s="68"/>
      <c r="AC557" s="210"/>
      <c r="AD557" s="68"/>
      <c r="AH557" s="67"/>
      <c r="AI557" s="204"/>
      <c r="AK557" s="200"/>
      <c r="AN557" s="68"/>
      <c r="AO557" s="206"/>
      <c r="AS557" s="200"/>
      <c r="AT557" s="200"/>
      <c r="AU557" s="68"/>
      <c r="AY557" s="67"/>
      <c r="AZ557" s="204"/>
      <c r="BC557" s="68"/>
      <c r="BD557" s="68"/>
      <c r="BF557" s="200"/>
    </row>
    <row r="558">
      <c r="D558" s="110"/>
      <c r="F558" s="4"/>
      <c r="G558" s="4"/>
      <c r="H558" s="4"/>
      <c r="I558" s="65"/>
      <c r="K558" s="199"/>
      <c r="L558" s="65"/>
      <c r="N558" s="105"/>
      <c r="T558" s="184"/>
      <c r="Y558" s="201"/>
      <c r="Z558" s="200"/>
      <c r="AA558" s="201"/>
      <c r="AB558" s="68"/>
      <c r="AC558" s="210"/>
      <c r="AD558" s="68"/>
      <c r="AH558" s="67"/>
      <c r="AI558" s="204"/>
      <c r="AK558" s="200"/>
      <c r="AN558" s="68"/>
      <c r="AO558" s="206"/>
      <c r="AS558" s="200"/>
      <c r="AT558" s="200"/>
      <c r="AU558" s="68"/>
      <c r="AY558" s="67"/>
      <c r="AZ558" s="204"/>
      <c r="BC558" s="68"/>
      <c r="BD558" s="68"/>
      <c r="BF558" s="200"/>
    </row>
    <row r="559">
      <c r="D559" s="110"/>
      <c r="F559" s="4"/>
      <c r="G559" s="4"/>
      <c r="H559" s="4"/>
      <c r="I559" s="65"/>
      <c r="K559" s="199"/>
      <c r="L559" s="65"/>
      <c r="N559" s="105"/>
      <c r="T559" s="184"/>
      <c r="Y559" s="201"/>
      <c r="Z559" s="200"/>
      <c r="AA559" s="201"/>
      <c r="AB559" s="68"/>
      <c r="AC559" s="210"/>
      <c r="AD559" s="68"/>
      <c r="AH559" s="67"/>
      <c r="AI559" s="204"/>
      <c r="AK559" s="200"/>
      <c r="AN559" s="68"/>
      <c r="AO559" s="206"/>
      <c r="AS559" s="200"/>
      <c r="AT559" s="200"/>
      <c r="AU559" s="68"/>
      <c r="AY559" s="67"/>
      <c r="AZ559" s="204"/>
      <c r="BC559" s="68"/>
      <c r="BD559" s="68"/>
      <c r="BF559" s="200"/>
    </row>
    <row r="560">
      <c r="D560" s="110"/>
      <c r="F560" s="4"/>
      <c r="G560" s="4"/>
      <c r="H560" s="4"/>
      <c r="I560" s="65"/>
      <c r="K560" s="199"/>
      <c r="L560" s="65"/>
      <c r="N560" s="105"/>
      <c r="T560" s="184"/>
      <c r="Y560" s="201"/>
      <c r="Z560" s="200"/>
      <c r="AA560" s="201"/>
      <c r="AB560" s="68"/>
      <c r="AC560" s="210"/>
      <c r="AD560" s="68"/>
      <c r="AH560" s="67"/>
      <c r="AI560" s="204"/>
      <c r="AK560" s="200"/>
      <c r="AN560" s="68"/>
      <c r="AO560" s="206"/>
      <c r="AS560" s="200"/>
      <c r="AT560" s="200"/>
      <c r="AU560" s="68"/>
      <c r="AY560" s="67"/>
      <c r="AZ560" s="204"/>
      <c r="BC560" s="68"/>
      <c r="BD560" s="68"/>
      <c r="BF560" s="200"/>
    </row>
    <row r="561">
      <c r="D561" s="110"/>
      <c r="F561" s="4"/>
      <c r="G561" s="4"/>
      <c r="H561" s="4"/>
      <c r="I561" s="65"/>
      <c r="K561" s="199"/>
      <c r="L561" s="65"/>
      <c r="N561" s="105"/>
      <c r="T561" s="184"/>
      <c r="Y561" s="201"/>
      <c r="Z561" s="200"/>
      <c r="AA561" s="201"/>
      <c r="AB561" s="68"/>
      <c r="AC561" s="210"/>
      <c r="AD561" s="68"/>
      <c r="AH561" s="67"/>
      <c r="AI561" s="204"/>
      <c r="AK561" s="200"/>
      <c r="AN561" s="68"/>
      <c r="AO561" s="206"/>
      <c r="AS561" s="200"/>
      <c r="AT561" s="200"/>
      <c r="AU561" s="68"/>
      <c r="AY561" s="67"/>
      <c r="AZ561" s="204"/>
      <c r="BC561" s="68"/>
      <c r="BD561" s="68"/>
      <c r="BF561" s="200"/>
    </row>
    <row r="562">
      <c r="D562" s="110"/>
      <c r="F562" s="4"/>
      <c r="G562" s="4"/>
      <c r="H562" s="4"/>
      <c r="I562" s="65"/>
      <c r="K562" s="199"/>
      <c r="L562" s="65"/>
      <c r="N562" s="105"/>
      <c r="T562" s="184"/>
      <c r="Y562" s="201"/>
      <c r="Z562" s="200"/>
      <c r="AA562" s="201"/>
      <c r="AB562" s="68"/>
      <c r="AC562" s="210"/>
      <c r="AD562" s="68"/>
      <c r="AH562" s="67"/>
      <c r="AI562" s="204"/>
      <c r="AK562" s="200"/>
      <c r="AN562" s="68"/>
      <c r="AO562" s="206"/>
      <c r="AS562" s="200"/>
      <c r="AT562" s="200"/>
      <c r="AU562" s="68"/>
      <c r="AY562" s="67"/>
      <c r="AZ562" s="204"/>
      <c r="BC562" s="68"/>
      <c r="BD562" s="68"/>
      <c r="BF562" s="200"/>
    </row>
    <row r="563">
      <c r="D563" s="110"/>
      <c r="F563" s="4"/>
      <c r="G563" s="4"/>
      <c r="H563" s="4"/>
      <c r="I563" s="65"/>
      <c r="K563" s="199"/>
      <c r="L563" s="65"/>
      <c r="N563" s="105"/>
      <c r="T563" s="184"/>
      <c r="Y563" s="201"/>
      <c r="Z563" s="200"/>
      <c r="AA563" s="201"/>
      <c r="AB563" s="68"/>
      <c r="AC563" s="210"/>
      <c r="AD563" s="68"/>
      <c r="AH563" s="67"/>
      <c r="AI563" s="204"/>
      <c r="AK563" s="200"/>
      <c r="AN563" s="68"/>
      <c r="AO563" s="206"/>
      <c r="AS563" s="200"/>
      <c r="AT563" s="200"/>
      <c r="AU563" s="68"/>
      <c r="AY563" s="67"/>
      <c r="AZ563" s="204"/>
      <c r="BC563" s="68"/>
      <c r="BD563" s="68"/>
      <c r="BF563" s="200"/>
    </row>
    <row r="564">
      <c r="D564" s="110"/>
      <c r="F564" s="4"/>
      <c r="G564" s="4"/>
      <c r="H564" s="4"/>
      <c r="I564" s="65"/>
      <c r="K564" s="199"/>
      <c r="L564" s="65"/>
      <c r="N564" s="105"/>
      <c r="T564" s="184"/>
      <c r="Y564" s="201"/>
      <c r="Z564" s="200"/>
      <c r="AA564" s="201"/>
      <c r="AB564" s="68"/>
      <c r="AC564" s="210"/>
      <c r="AD564" s="68"/>
      <c r="AH564" s="67"/>
      <c r="AI564" s="204"/>
      <c r="AK564" s="200"/>
      <c r="AN564" s="68"/>
      <c r="AO564" s="206"/>
      <c r="AS564" s="200"/>
      <c r="AT564" s="200"/>
      <c r="AU564" s="68"/>
      <c r="AY564" s="67"/>
      <c r="AZ564" s="204"/>
      <c r="BC564" s="68"/>
      <c r="BD564" s="68"/>
      <c r="BF564" s="200"/>
    </row>
    <row r="565">
      <c r="D565" s="110"/>
      <c r="F565" s="4"/>
      <c r="G565" s="4"/>
      <c r="H565" s="4"/>
      <c r="I565" s="65"/>
      <c r="K565" s="199"/>
      <c r="L565" s="65"/>
      <c r="N565" s="105"/>
      <c r="T565" s="184"/>
      <c r="Y565" s="201"/>
      <c r="Z565" s="200"/>
      <c r="AA565" s="201"/>
      <c r="AB565" s="68"/>
      <c r="AC565" s="210"/>
      <c r="AD565" s="68"/>
      <c r="AH565" s="67"/>
      <c r="AI565" s="204"/>
      <c r="AK565" s="200"/>
      <c r="AN565" s="68"/>
      <c r="AO565" s="206"/>
      <c r="AS565" s="200"/>
      <c r="AT565" s="200"/>
      <c r="AU565" s="68"/>
      <c r="AY565" s="67"/>
      <c r="AZ565" s="204"/>
      <c r="BC565" s="68"/>
      <c r="BD565" s="68"/>
      <c r="BF565" s="200"/>
    </row>
    <row r="566">
      <c r="D566" s="110"/>
      <c r="F566" s="4"/>
      <c r="G566" s="4"/>
      <c r="H566" s="4"/>
      <c r="I566" s="65"/>
      <c r="K566" s="199"/>
      <c r="L566" s="65"/>
      <c r="N566" s="105"/>
      <c r="T566" s="184"/>
      <c r="Y566" s="201"/>
      <c r="Z566" s="200"/>
      <c r="AA566" s="201"/>
      <c r="AB566" s="68"/>
      <c r="AC566" s="210"/>
      <c r="AD566" s="68"/>
      <c r="AH566" s="67"/>
      <c r="AI566" s="204"/>
      <c r="AK566" s="200"/>
      <c r="AN566" s="68"/>
      <c r="AO566" s="206"/>
      <c r="AS566" s="200"/>
      <c r="AT566" s="200"/>
      <c r="AU566" s="68"/>
      <c r="AY566" s="67"/>
      <c r="AZ566" s="204"/>
      <c r="BC566" s="68"/>
      <c r="BD566" s="68"/>
      <c r="BF566" s="200"/>
    </row>
    <row r="567">
      <c r="D567" s="110"/>
      <c r="F567" s="4"/>
      <c r="G567" s="4"/>
      <c r="H567" s="4"/>
      <c r="I567" s="65"/>
      <c r="K567" s="199"/>
      <c r="L567" s="65"/>
      <c r="N567" s="105"/>
      <c r="T567" s="184"/>
      <c r="Y567" s="201"/>
      <c r="Z567" s="200"/>
      <c r="AA567" s="201"/>
      <c r="AB567" s="68"/>
      <c r="AC567" s="210"/>
      <c r="AD567" s="68"/>
      <c r="AH567" s="67"/>
      <c r="AI567" s="204"/>
      <c r="AK567" s="200"/>
      <c r="AN567" s="68"/>
      <c r="AO567" s="206"/>
      <c r="AS567" s="200"/>
      <c r="AT567" s="200"/>
      <c r="AU567" s="68"/>
      <c r="AY567" s="67"/>
      <c r="AZ567" s="204"/>
      <c r="BC567" s="68"/>
      <c r="BD567" s="68"/>
      <c r="BF567" s="200"/>
    </row>
    <row r="568">
      <c r="D568" s="110"/>
      <c r="F568" s="4"/>
      <c r="G568" s="4"/>
      <c r="H568" s="4"/>
      <c r="I568" s="65"/>
      <c r="K568" s="199"/>
      <c r="L568" s="65"/>
      <c r="N568" s="105"/>
      <c r="T568" s="184"/>
      <c r="Y568" s="201"/>
      <c r="Z568" s="200"/>
      <c r="AA568" s="201"/>
      <c r="AB568" s="68"/>
      <c r="AC568" s="210"/>
      <c r="AD568" s="68"/>
      <c r="AH568" s="67"/>
      <c r="AI568" s="204"/>
      <c r="AK568" s="200"/>
      <c r="AN568" s="68"/>
      <c r="AO568" s="206"/>
      <c r="AS568" s="200"/>
      <c r="AT568" s="200"/>
      <c r="AU568" s="68"/>
      <c r="AY568" s="67"/>
      <c r="AZ568" s="204"/>
      <c r="BC568" s="68"/>
      <c r="BD568" s="68"/>
      <c r="BF568" s="200"/>
    </row>
    <row r="569">
      <c r="D569" s="110"/>
      <c r="F569" s="4"/>
      <c r="G569" s="4"/>
      <c r="H569" s="4"/>
      <c r="I569" s="65"/>
      <c r="K569" s="199"/>
      <c r="L569" s="65"/>
      <c r="N569" s="105"/>
      <c r="T569" s="184"/>
      <c r="Y569" s="201"/>
      <c r="Z569" s="200"/>
      <c r="AA569" s="201"/>
      <c r="AB569" s="68"/>
      <c r="AC569" s="210"/>
      <c r="AD569" s="68"/>
      <c r="AH569" s="67"/>
      <c r="AI569" s="204"/>
      <c r="AK569" s="200"/>
      <c r="AN569" s="68"/>
      <c r="AO569" s="206"/>
      <c r="AS569" s="200"/>
      <c r="AT569" s="200"/>
      <c r="AU569" s="68"/>
      <c r="AY569" s="67"/>
      <c r="AZ569" s="204"/>
      <c r="BC569" s="68"/>
      <c r="BD569" s="68"/>
      <c r="BF569" s="200"/>
    </row>
    <row r="570">
      <c r="D570" s="110"/>
      <c r="F570" s="4"/>
      <c r="G570" s="4"/>
      <c r="H570" s="4"/>
      <c r="I570" s="65"/>
      <c r="K570" s="199"/>
      <c r="L570" s="65"/>
      <c r="N570" s="105"/>
      <c r="T570" s="184"/>
      <c r="Y570" s="201"/>
      <c r="Z570" s="200"/>
      <c r="AA570" s="201"/>
      <c r="AB570" s="68"/>
      <c r="AC570" s="210"/>
      <c r="AD570" s="68"/>
      <c r="AH570" s="67"/>
      <c r="AI570" s="204"/>
      <c r="AK570" s="200"/>
      <c r="AN570" s="68"/>
      <c r="AO570" s="206"/>
      <c r="AS570" s="200"/>
      <c r="AT570" s="200"/>
      <c r="AU570" s="68"/>
      <c r="AY570" s="67"/>
      <c r="AZ570" s="204"/>
      <c r="BC570" s="68"/>
      <c r="BD570" s="68"/>
      <c r="BF570" s="200"/>
    </row>
    <row r="571">
      <c r="D571" s="110"/>
      <c r="F571" s="4"/>
      <c r="G571" s="4"/>
      <c r="H571" s="4"/>
      <c r="I571" s="65"/>
      <c r="K571" s="199"/>
      <c r="L571" s="65"/>
      <c r="N571" s="105"/>
      <c r="T571" s="184"/>
      <c r="Y571" s="201"/>
      <c r="Z571" s="200"/>
      <c r="AA571" s="201"/>
      <c r="AB571" s="68"/>
      <c r="AC571" s="210"/>
      <c r="AD571" s="68"/>
      <c r="AH571" s="67"/>
      <c r="AI571" s="204"/>
      <c r="AK571" s="200"/>
      <c r="AN571" s="68"/>
      <c r="AO571" s="206"/>
      <c r="AS571" s="200"/>
      <c r="AT571" s="200"/>
      <c r="AU571" s="68"/>
      <c r="AY571" s="67"/>
      <c r="AZ571" s="204"/>
      <c r="BC571" s="68"/>
      <c r="BD571" s="68"/>
      <c r="BF571" s="200"/>
    </row>
    <row r="572">
      <c r="D572" s="110"/>
      <c r="F572" s="4"/>
      <c r="G572" s="4"/>
      <c r="H572" s="4"/>
      <c r="I572" s="65"/>
      <c r="K572" s="199"/>
      <c r="L572" s="65"/>
      <c r="N572" s="105"/>
      <c r="T572" s="184"/>
      <c r="Y572" s="201"/>
      <c r="Z572" s="200"/>
      <c r="AA572" s="201"/>
      <c r="AB572" s="68"/>
      <c r="AC572" s="210"/>
      <c r="AD572" s="68"/>
      <c r="AH572" s="67"/>
      <c r="AI572" s="204"/>
      <c r="AK572" s="200"/>
      <c r="AN572" s="68"/>
      <c r="AO572" s="206"/>
      <c r="AS572" s="200"/>
      <c r="AT572" s="200"/>
      <c r="AU572" s="68"/>
      <c r="AY572" s="67"/>
      <c r="AZ572" s="204"/>
      <c r="BC572" s="68"/>
      <c r="BD572" s="68"/>
      <c r="BF572" s="200"/>
    </row>
    <row r="573">
      <c r="D573" s="110"/>
      <c r="F573" s="4"/>
      <c r="G573" s="4"/>
      <c r="H573" s="4"/>
      <c r="I573" s="65"/>
      <c r="K573" s="199"/>
      <c r="L573" s="65"/>
      <c r="N573" s="105"/>
      <c r="T573" s="184"/>
      <c r="Y573" s="201"/>
      <c r="Z573" s="200"/>
      <c r="AA573" s="201"/>
      <c r="AB573" s="68"/>
      <c r="AC573" s="210"/>
      <c r="AD573" s="68"/>
      <c r="AH573" s="67"/>
      <c r="AI573" s="204"/>
      <c r="AK573" s="200"/>
      <c r="AN573" s="68"/>
      <c r="AO573" s="206"/>
      <c r="AS573" s="200"/>
      <c r="AT573" s="200"/>
      <c r="AU573" s="68"/>
      <c r="AY573" s="67"/>
      <c r="AZ573" s="204"/>
      <c r="BC573" s="68"/>
      <c r="BD573" s="68"/>
      <c r="BF573" s="200"/>
    </row>
    <row r="574">
      <c r="D574" s="110"/>
      <c r="F574" s="4"/>
      <c r="G574" s="4"/>
      <c r="H574" s="4"/>
      <c r="I574" s="65"/>
      <c r="K574" s="199"/>
      <c r="L574" s="65"/>
      <c r="N574" s="105"/>
      <c r="T574" s="184"/>
      <c r="Y574" s="201"/>
      <c r="Z574" s="200"/>
      <c r="AA574" s="201"/>
      <c r="AB574" s="68"/>
      <c r="AC574" s="210"/>
      <c r="AD574" s="68"/>
      <c r="AH574" s="67"/>
      <c r="AI574" s="204"/>
      <c r="AK574" s="200"/>
      <c r="AN574" s="68"/>
      <c r="AO574" s="206"/>
      <c r="AS574" s="200"/>
      <c r="AT574" s="200"/>
      <c r="AU574" s="68"/>
      <c r="AY574" s="67"/>
      <c r="AZ574" s="204"/>
      <c r="BC574" s="68"/>
      <c r="BD574" s="68"/>
      <c r="BF574" s="200"/>
    </row>
    <row r="575">
      <c r="D575" s="110"/>
      <c r="F575" s="4"/>
      <c r="G575" s="4"/>
      <c r="H575" s="4"/>
      <c r="I575" s="65"/>
      <c r="K575" s="199"/>
      <c r="L575" s="65"/>
      <c r="N575" s="105"/>
      <c r="T575" s="184"/>
      <c r="Y575" s="201"/>
      <c r="Z575" s="200"/>
      <c r="AA575" s="201"/>
      <c r="AB575" s="68"/>
      <c r="AC575" s="210"/>
      <c r="AD575" s="68"/>
      <c r="AH575" s="67"/>
      <c r="AI575" s="204"/>
      <c r="AK575" s="200"/>
      <c r="AN575" s="68"/>
      <c r="AO575" s="206"/>
      <c r="AS575" s="200"/>
      <c r="AT575" s="200"/>
      <c r="AU575" s="68"/>
      <c r="AY575" s="67"/>
      <c r="AZ575" s="204"/>
      <c r="BC575" s="68"/>
      <c r="BD575" s="68"/>
      <c r="BF575" s="200"/>
    </row>
    <row r="576">
      <c r="D576" s="110"/>
      <c r="F576" s="4"/>
      <c r="G576" s="4"/>
      <c r="H576" s="4"/>
      <c r="I576" s="65"/>
      <c r="K576" s="199"/>
      <c r="L576" s="65"/>
      <c r="N576" s="105"/>
      <c r="T576" s="184"/>
      <c r="Y576" s="201"/>
      <c r="Z576" s="200"/>
      <c r="AA576" s="201"/>
      <c r="AB576" s="68"/>
      <c r="AC576" s="210"/>
      <c r="AD576" s="68"/>
      <c r="AH576" s="67"/>
      <c r="AI576" s="204"/>
      <c r="AK576" s="200"/>
      <c r="AN576" s="68"/>
      <c r="AO576" s="206"/>
      <c r="AS576" s="200"/>
      <c r="AT576" s="200"/>
      <c r="AU576" s="68"/>
      <c r="AY576" s="67"/>
      <c r="AZ576" s="204"/>
      <c r="BC576" s="68"/>
      <c r="BD576" s="68"/>
      <c r="BF576" s="200"/>
    </row>
    <row r="577">
      <c r="D577" s="110"/>
      <c r="F577" s="4"/>
      <c r="G577" s="4"/>
      <c r="H577" s="4"/>
      <c r="I577" s="65"/>
      <c r="K577" s="199"/>
      <c r="L577" s="65"/>
      <c r="N577" s="105"/>
      <c r="T577" s="184"/>
      <c r="Y577" s="201"/>
      <c r="Z577" s="200"/>
      <c r="AA577" s="201"/>
      <c r="AB577" s="68"/>
      <c r="AC577" s="210"/>
      <c r="AD577" s="68"/>
      <c r="AH577" s="67"/>
      <c r="AI577" s="204"/>
      <c r="AK577" s="200"/>
      <c r="AN577" s="68"/>
      <c r="AO577" s="206"/>
      <c r="AS577" s="200"/>
      <c r="AT577" s="200"/>
      <c r="AU577" s="68"/>
      <c r="AY577" s="67"/>
      <c r="AZ577" s="204"/>
      <c r="BC577" s="68"/>
      <c r="BD577" s="68"/>
      <c r="BF577" s="200"/>
    </row>
    <row r="578">
      <c r="D578" s="110"/>
      <c r="F578" s="4"/>
      <c r="G578" s="4"/>
      <c r="H578" s="4"/>
      <c r="I578" s="65"/>
      <c r="K578" s="199"/>
      <c r="L578" s="65"/>
      <c r="N578" s="105"/>
      <c r="T578" s="184"/>
      <c r="Y578" s="201"/>
      <c r="Z578" s="200"/>
      <c r="AA578" s="201"/>
      <c r="AB578" s="68"/>
      <c r="AC578" s="210"/>
      <c r="AD578" s="68"/>
      <c r="AH578" s="67"/>
      <c r="AI578" s="204"/>
      <c r="AK578" s="200"/>
      <c r="AN578" s="68"/>
      <c r="AO578" s="206"/>
      <c r="AS578" s="200"/>
      <c r="AT578" s="200"/>
      <c r="AU578" s="68"/>
      <c r="AY578" s="67"/>
      <c r="AZ578" s="204"/>
      <c r="BC578" s="68"/>
      <c r="BD578" s="68"/>
      <c r="BF578" s="200"/>
    </row>
    <row r="579">
      <c r="D579" s="110"/>
      <c r="F579" s="4"/>
      <c r="G579" s="4"/>
      <c r="H579" s="4"/>
      <c r="I579" s="65"/>
      <c r="K579" s="199"/>
      <c r="L579" s="65"/>
      <c r="N579" s="105"/>
      <c r="T579" s="184"/>
      <c r="Y579" s="201"/>
      <c r="Z579" s="200"/>
      <c r="AA579" s="201"/>
      <c r="AB579" s="68"/>
      <c r="AC579" s="210"/>
      <c r="AD579" s="68"/>
      <c r="AH579" s="67"/>
      <c r="AI579" s="204"/>
      <c r="AK579" s="200"/>
      <c r="AN579" s="68"/>
      <c r="AO579" s="206"/>
      <c r="AS579" s="200"/>
      <c r="AT579" s="200"/>
      <c r="AU579" s="68"/>
      <c r="AY579" s="67"/>
      <c r="AZ579" s="204"/>
      <c r="BC579" s="68"/>
      <c r="BD579" s="68"/>
      <c r="BF579" s="200"/>
    </row>
    <row r="580">
      <c r="D580" s="110"/>
      <c r="F580" s="4"/>
      <c r="G580" s="4"/>
      <c r="H580" s="4"/>
      <c r="I580" s="65"/>
      <c r="K580" s="199"/>
      <c r="L580" s="65"/>
      <c r="N580" s="105"/>
      <c r="T580" s="184"/>
      <c r="Y580" s="201"/>
      <c r="Z580" s="200"/>
      <c r="AA580" s="201"/>
      <c r="AB580" s="68"/>
      <c r="AC580" s="210"/>
      <c r="AD580" s="68"/>
      <c r="AH580" s="67"/>
      <c r="AI580" s="204"/>
      <c r="AK580" s="200"/>
      <c r="AN580" s="68"/>
      <c r="AO580" s="206"/>
      <c r="AS580" s="200"/>
      <c r="AT580" s="200"/>
      <c r="AU580" s="68"/>
      <c r="AY580" s="67"/>
      <c r="AZ580" s="204"/>
      <c r="BC580" s="68"/>
      <c r="BD580" s="68"/>
      <c r="BF580" s="200"/>
    </row>
    <row r="581">
      <c r="D581" s="110"/>
      <c r="F581" s="4"/>
      <c r="G581" s="4"/>
      <c r="H581" s="4"/>
      <c r="I581" s="65"/>
      <c r="K581" s="199"/>
      <c r="L581" s="65"/>
      <c r="N581" s="105"/>
      <c r="T581" s="184"/>
      <c r="Y581" s="201"/>
      <c r="Z581" s="200"/>
      <c r="AA581" s="201"/>
      <c r="AB581" s="68"/>
      <c r="AC581" s="210"/>
      <c r="AD581" s="68"/>
      <c r="AH581" s="67"/>
      <c r="AI581" s="204"/>
      <c r="AK581" s="200"/>
      <c r="AN581" s="68"/>
      <c r="AO581" s="206"/>
      <c r="AS581" s="200"/>
      <c r="AT581" s="200"/>
      <c r="AU581" s="68"/>
      <c r="AY581" s="67"/>
      <c r="AZ581" s="204"/>
      <c r="BC581" s="68"/>
      <c r="BD581" s="68"/>
      <c r="BF581" s="200"/>
    </row>
    <row r="582">
      <c r="D582" s="110"/>
      <c r="F582" s="4"/>
      <c r="G582" s="4"/>
      <c r="H582" s="4"/>
      <c r="I582" s="65"/>
      <c r="K582" s="199"/>
      <c r="L582" s="65"/>
      <c r="N582" s="105"/>
      <c r="T582" s="184"/>
      <c r="Y582" s="201"/>
      <c r="Z582" s="200"/>
      <c r="AA582" s="201"/>
      <c r="AB582" s="68"/>
      <c r="AC582" s="210"/>
      <c r="AD582" s="68"/>
      <c r="AH582" s="67"/>
      <c r="AI582" s="204"/>
      <c r="AK582" s="200"/>
      <c r="AN582" s="68"/>
      <c r="AO582" s="206"/>
      <c r="AS582" s="200"/>
      <c r="AT582" s="200"/>
      <c r="AU582" s="68"/>
      <c r="AY582" s="67"/>
      <c r="AZ582" s="204"/>
      <c r="BC582" s="68"/>
      <c r="BD582" s="68"/>
      <c r="BF582" s="200"/>
    </row>
    <row r="583">
      <c r="D583" s="110"/>
      <c r="F583" s="4"/>
      <c r="G583" s="4"/>
      <c r="H583" s="4"/>
      <c r="I583" s="65"/>
      <c r="K583" s="199"/>
      <c r="L583" s="65"/>
      <c r="N583" s="105"/>
      <c r="T583" s="184"/>
      <c r="Y583" s="201"/>
      <c r="Z583" s="200"/>
      <c r="AA583" s="201"/>
      <c r="AB583" s="68"/>
      <c r="AC583" s="210"/>
      <c r="AD583" s="68"/>
      <c r="AH583" s="67"/>
      <c r="AI583" s="204"/>
      <c r="AK583" s="200"/>
      <c r="AN583" s="68"/>
      <c r="AO583" s="206"/>
      <c r="AS583" s="200"/>
      <c r="AT583" s="200"/>
      <c r="AU583" s="68"/>
      <c r="AY583" s="67"/>
      <c r="AZ583" s="204"/>
      <c r="BC583" s="68"/>
      <c r="BD583" s="68"/>
      <c r="BF583" s="200"/>
    </row>
    <row r="584">
      <c r="D584" s="110"/>
      <c r="F584" s="4"/>
      <c r="G584" s="4"/>
      <c r="H584" s="4"/>
      <c r="I584" s="65"/>
      <c r="K584" s="199"/>
      <c r="L584" s="65"/>
      <c r="N584" s="105"/>
      <c r="T584" s="184"/>
      <c r="Y584" s="201"/>
      <c r="Z584" s="200"/>
      <c r="AA584" s="201"/>
      <c r="AB584" s="68"/>
      <c r="AC584" s="210"/>
      <c r="AD584" s="68"/>
      <c r="AH584" s="67"/>
      <c r="AI584" s="204"/>
      <c r="AK584" s="200"/>
      <c r="AN584" s="68"/>
      <c r="AO584" s="206"/>
      <c r="AS584" s="200"/>
      <c r="AT584" s="200"/>
      <c r="AU584" s="68"/>
      <c r="AY584" s="67"/>
      <c r="AZ584" s="204"/>
      <c r="BC584" s="68"/>
      <c r="BD584" s="68"/>
      <c r="BF584" s="200"/>
    </row>
    <row r="585">
      <c r="D585" s="110"/>
      <c r="F585" s="4"/>
      <c r="G585" s="4"/>
      <c r="H585" s="4"/>
      <c r="I585" s="65"/>
      <c r="K585" s="199"/>
      <c r="L585" s="65"/>
      <c r="N585" s="105"/>
      <c r="T585" s="184"/>
      <c r="Y585" s="201"/>
      <c r="Z585" s="200"/>
      <c r="AA585" s="201"/>
      <c r="AB585" s="68"/>
      <c r="AC585" s="210"/>
      <c r="AD585" s="68"/>
      <c r="AH585" s="67"/>
      <c r="AI585" s="204"/>
      <c r="AK585" s="200"/>
      <c r="AN585" s="68"/>
      <c r="AO585" s="206"/>
      <c r="AS585" s="200"/>
      <c r="AT585" s="200"/>
      <c r="AU585" s="68"/>
      <c r="AY585" s="67"/>
      <c r="AZ585" s="204"/>
      <c r="BC585" s="68"/>
      <c r="BD585" s="68"/>
      <c r="BF585" s="200"/>
    </row>
    <row r="586">
      <c r="D586" s="110"/>
      <c r="F586" s="4"/>
      <c r="G586" s="4"/>
      <c r="H586" s="4"/>
      <c r="I586" s="65"/>
      <c r="K586" s="199"/>
      <c r="L586" s="65"/>
      <c r="N586" s="105"/>
      <c r="T586" s="184"/>
      <c r="Y586" s="201"/>
      <c r="Z586" s="200"/>
      <c r="AA586" s="201"/>
      <c r="AB586" s="68"/>
      <c r="AC586" s="210"/>
      <c r="AD586" s="68"/>
      <c r="AH586" s="67"/>
      <c r="AI586" s="204"/>
      <c r="AK586" s="200"/>
      <c r="AN586" s="68"/>
      <c r="AO586" s="206"/>
      <c r="AS586" s="200"/>
      <c r="AT586" s="200"/>
      <c r="AU586" s="68"/>
      <c r="AY586" s="67"/>
      <c r="AZ586" s="204"/>
      <c r="BC586" s="68"/>
      <c r="BD586" s="68"/>
      <c r="BF586" s="200"/>
    </row>
    <row r="587">
      <c r="D587" s="110"/>
      <c r="F587" s="4"/>
      <c r="G587" s="4"/>
      <c r="H587" s="4"/>
      <c r="I587" s="65"/>
      <c r="K587" s="199"/>
      <c r="L587" s="65"/>
      <c r="N587" s="105"/>
      <c r="T587" s="184"/>
      <c r="Y587" s="201"/>
      <c r="Z587" s="200"/>
      <c r="AA587" s="201"/>
      <c r="AB587" s="68"/>
      <c r="AC587" s="210"/>
      <c r="AD587" s="68"/>
      <c r="AH587" s="67"/>
      <c r="AI587" s="204"/>
      <c r="AK587" s="200"/>
      <c r="AN587" s="68"/>
      <c r="AO587" s="206"/>
      <c r="AS587" s="200"/>
      <c r="AT587" s="200"/>
      <c r="AU587" s="68"/>
      <c r="AY587" s="67"/>
      <c r="AZ587" s="204"/>
      <c r="BC587" s="68"/>
      <c r="BD587" s="68"/>
      <c r="BF587" s="200"/>
    </row>
    <row r="588">
      <c r="D588" s="110"/>
      <c r="F588" s="4"/>
      <c r="G588" s="4"/>
      <c r="H588" s="4"/>
      <c r="I588" s="65"/>
      <c r="K588" s="199"/>
      <c r="L588" s="65"/>
      <c r="N588" s="105"/>
      <c r="T588" s="184"/>
      <c r="Y588" s="201"/>
      <c r="Z588" s="200"/>
      <c r="AA588" s="201"/>
      <c r="AB588" s="68"/>
      <c r="AC588" s="210"/>
      <c r="AD588" s="68"/>
      <c r="AH588" s="67"/>
      <c r="AI588" s="204"/>
      <c r="AK588" s="200"/>
      <c r="AN588" s="68"/>
      <c r="AO588" s="206"/>
      <c r="AS588" s="200"/>
      <c r="AT588" s="200"/>
      <c r="AU588" s="68"/>
      <c r="AY588" s="67"/>
      <c r="AZ588" s="204"/>
      <c r="BC588" s="68"/>
      <c r="BD588" s="68"/>
      <c r="BF588" s="200"/>
    </row>
    <row r="589">
      <c r="D589" s="110"/>
      <c r="F589" s="4"/>
      <c r="G589" s="4"/>
      <c r="H589" s="4"/>
      <c r="I589" s="65"/>
      <c r="K589" s="199"/>
      <c r="L589" s="65"/>
      <c r="N589" s="105"/>
      <c r="T589" s="184"/>
      <c r="Y589" s="201"/>
      <c r="Z589" s="200"/>
      <c r="AA589" s="201"/>
      <c r="AB589" s="68"/>
      <c r="AC589" s="210"/>
      <c r="AD589" s="68"/>
      <c r="AH589" s="67"/>
      <c r="AI589" s="204"/>
      <c r="AK589" s="200"/>
      <c r="AN589" s="68"/>
      <c r="AO589" s="206"/>
      <c r="AS589" s="200"/>
      <c r="AT589" s="200"/>
      <c r="AU589" s="68"/>
      <c r="AY589" s="67"/>
      <c r="AZ589" s="204"/>
      <c r="BC589" s="68"/>
      <c r="BD589" s="68"/>
      <c r="BF589" s="200"/>
    </row>
    <row r="590">
      <c r="D590" s="110"/>
      <c r="F590" s="4"/>
      <c r="G590" s="4"/>
      <c r="H590" s="4"/>
      <c r="I590" s="65"/>
      <c r="K590" s="199"/>
      <c r="L590" s="65"/>
      <c r="N590" s="105"/>
      <c r="T590" s="184"/>
      <c r="Y590" s="201"/>
      <c r="Z590" s="200"/>
      <c r="AA590" s="201"/>
      <c r="AB590" s="68"/>
      <c r="AC590" s="210"/>
      <c r="AD590" s="68"/>
      <c r="AH590" s="67"/>
      <c r="AI590" s="204"/>
      <c r="AK590" s="200"/>
      <c r="AN590" s="68"/>
      <c r="AO590" s="206"/>
      <c r="AS590" s="200"/>
      <c r="AT590" s="200"/>
      <c r="AU590" s="68"/>
      <c r="AY590" s="67"/>
      <c r="AZ590" s="204"/>
      <c r="BC590" s="68"/>
      <c r="BD590" s="68"/>
      <c r="BF590" s="200"/>
    </row>
    <row r="591">
      <c r="D591" s="110"/>
      <c r="F591" s="4"/>
      <c r="G591" s="4"/>
      <c r="H591" s="4"/>
      <c r="I591" s="65"/>
      <c r="K591" s="199"/>
      <c r="L591" s="65"/>
      <c r="N591" s="105"/>
      <c r="T591" s="184"/>
      <c r="Y591" s="201"/>
      <c r="Z591" s="200"/>
      <c r="AA591" s="201"/>
      <c r="AB591" s="68"/>
      <c r="AC591" s="210"/>
      <c r="AD591" s="68"/>
      <c r="AH591" s="67"/>
      <c r="AI591" s="204"/>
      <c r="AK591" s="200"/>
      <c r="AN591" s="68"/>
      <c r="AO591" s="206"/>
      <c r="AS591" s="200"/>
      <c r="AT591" s="200"/>
      <c r="AU591" s="68"/>
      <c r="AY591" s="67"/>
      <c r="AZ591" s="204"/>
      <c r="BC591" s="68"/>
      <c r="BD591" s="68"/>
      <c r="BF591" s="200"/>
    </row>
    <row r="592">
      <c r="D592" s="110"/>
      <c r="F592" s="4"/>
      <c r="G592" s="4"/>
      <c r="H592" s="4"/>
      <c r="I592" s="65"/>
      <c r="K592" s="199"/>
      <c r="L592" s="65"/>
      <c r="N592" s="105"/>
      <c r="T592" s="184"/>
      <c r="Y592" s="201"/>
      <c r="Z592" s="200"/>
      <c r="AA592" s="201"/>
      <c r="AB592" s="68"/>
      <c r="AC592" s="210"/>
      <c r="AD592" s="68"/>
      <c r="AH592" s="67"/>
      <c r="AI592" s="204"/>
      <c r="AK592" s="200"/>
      <c r="AN592" s="68"/>
      <c r="AO592" s="206"/>
      <c r="AS592" s="200"/>
      <c r="AT592" s="200"/>
      <c r="AU592" s="68"/>
      <c r="AY592" s="67"/>
      <c r="AZ592" s="204"/>
      <c r="BC592" s="68"/>
      <c r="BD592" s="68"/>
      <c r="BF592" s="200"/>
    </row>
    <row r="593">
      <c r="D593" s="110"/>
      <c r="F593" s="4"/>
      <c r="G593" s="4"/>
      <c r="H593" s="4"/>
      <c r="I593" s="65"/>
      <c r="K593" s="199"/>
      <c r="L593" s="65"/>
      <c r="N593" s="105"/>
      <c r="T593" s="184"/>
      <c r="Y593" s="201"/>
      <c r="Z593" s="200"/>
      <c r="AA593" s="201"/>
      <c r="AB593" s="68"/>
      <c r="AC593" s="210"/>
      <c r="AD593" s="68"/>
      <c r="AH593" s="67"/>
      <c r="AI593" s="204"/>
      <c r="AK593" s="200"/>
      <c r="AN593" s="68"/>
      <c r="AO593" s="206"/>
      <c r="AS593" s="200"/>
      <c r="AT593" s="200"/>
      <c r="AU593" s="68"/>
      <c r="AY593" s="67"/>
      <c r="AZ593" s="204"/>
      <c r="BC593" s="68"/>
      <c r="BD593" s="68"/>
      <c r="BF593" s="200"/>
    </row>
    <row r="594">
      <c r="D594" s="110"/>
      <c r="F594" s="4"/>
      <c r="G594" s="4"/>
      <c r="H594" s="4"/>
      <c r="I594" s="65"/>
      <c r="K594" s="199"/>
      <c r="L594" s="65"/>
      <c r="N594" s="105"/>
      <c r="T594" s="184"/>
      <c r="Y594" s="201"/>
      <c r="Z594" s="200"/>
      <c r="AA594" s="201"/>
      <c r="AB594" s="68"/>
      <c r="AC594" s="210"/>
      <c r="AD594" s="68"/>
      <c r="AH594" s="67"/>
      <c r="AI594" s="204"/>
      <c r="AK594" s="200"/>
      <c r="AN594" s="68"/>
      <c r="AO594" s="206"/>
      <c r="AS594" s="200"/>
      <c r="AT594" s="200"/>
      <c r="AU594" s="68"/>
      <c r="AY594" s="67"/>
      <c r="AZ594" s="204"/>
      <c r="BC594" s="68"/>
      <c r="BD594" s="68"/>
      <c r="BF594" s="200"/>
    </row>
    <row r="595">
      <c r="D595" s="110"/>
      <c r="F595" s="4"/>
      <c r="G595" s="4"/>
      <c r="H595" s="4"/>
      <c r="I595" s="65"/>
      <c r="K595" s="199"/>
      <c r="L595" s="65"/>
      <c r="N595" s="105"/>
      <c r="T595" s="184"/>
      <c r="Y595" s="201"/>
      <c r="Z595" s="200"/>
      <c r="AA595" s="201"/>
      <c r="AB595" s="68"/>
      <c r="AC595" s="210"/>
      <c r="AD595" s="68"/>
      <c r="AH595" s="67"/>
      <c r="AI595" s="204"/>
      <c r="AK595" s="200"/>
      <c r="AN595" s="68"/>
      <c r="AO595" s="206"/>
      <c r="AS595" s="200"/>
      <c r="AT595" s="200"/>
      <c r="AU595" s="68"/>
      <c r="AY595" s="67"/>
      <c r="AZ595" s="204"/>
      <c r="BC595" s="68"/>
      <c r="BD595" s="68"/>
      <c r="BF595" s="200"/>
    </row>
    <row r="596">
      <c r="D596" s="110"/>
      <c r="F596" s="4"/>
      <c r="G596" s="4"/>
      <c r="H596" s="4"/>
      <c r="I596" s="65"/>
      <c r="K596" s="199"/>
      <c r="L596" s="65"/>
      <c r="N596" s="105"/>
      <c r="T596" s="184"/>
      <c r="Y596" s="201"/>
      <c r="Z596" s="200"/>
      <c r="AA596" s="201"/>
      <c r="AB596" s="68"/>
      <c r="AC596" s="210"/>
      <c r="AD596" s="68"/>
      <c r="AH596" s="67"/>
      <c r="AI596" s="204"/>
      <c r="AK596" s="200"/>
      <c r="AN596" s="68"/>
      <c r="AO596" s="206"/>
      <c r="AS596" s="200"/>
      <c r="AT596" s="200"/>
      <c r="AU596" s="68"/>
      <c r="AY596" s="67"/>
      <c r="AZ596" s="204"/>
      <c r="BC596" s="68"/>
      <c r="BD596" s="68"/>
      <c r="BF596" s="200"/>
    </row>
    <row r="597">
      <c r="D597" s="110"/>
      <c r="F597" s="4"/>
      <c r="G597" s="4"/>
      <c r="H597" s="4"/>
      <c r="I597" s="65"/>
      <c r="K597" s="199"/>
      <c r="L597" s="65"/>
      <c r="N597" s="105"/>
      <c r="T597" s="184"/>
      <c r="Y597" s="201"/>
      <c r="Z597" s="200"/>
      <c r="AA597" s="201"/>
      <c r="AB597" s="68"/>
      <c r="AC597" s="210"/>
      <c r="AD597" s="68"/>
      <c r="AH597" s="67"/>
      <c r="AI597" s="204"/>
      <c r="AK597" s="200"/>
      <c r="AN597" s="68"/>
      <c r="AO597" s="206"/>
      <c r="AS597" s="200"/>
      <c r="AT597" s="200"/>
      <c r="AU597" s="68"/>
      <c r="AY597" s="67"/>
      <c r="AZ597" s="204"/>
      <c r="BC597" s="68"/>
      <c r="BD597" s="68"/>
      <c r="BF597" s="200"/>
    </row>
    <row r="598">
      <c r="D598" s="110"/>
      <c r="F598" s="4"/>
      <c r="G598" s="4"/>
      <c r="H598" s="4"/>
      <c r="I598" s="65"/>
      <c r="K598" s="199"/>
      <c r="L598" s="65"/>
      <c r="N598" s="105"/>
      <c r="T598" s="184"/>
      <c r="Y598" s="201"/>
      <c r="Z598" s="200"/>
      <c r="AA598" s="201"/>
      <c r="AB598" s="68"/>
      <c r="AC598" s="210"/>
      <c r="AD598" s="68"/>
      <c r="AH598" s="67"/>
      <c r="AI598" s="204"/>
      <c r="AK598" s="200"/>
      <c r="AN598" s="68"/>
      <c r="AO598" s="206"/>
      <c r="AS598" s="200"/>
      <c r="AT598" s="200"/>
      <c r="AU598" s="68"/>
      <c r="AY598" s="67"/>
      <c r="AZ598" s="204"/>
      <c r="BC598" s="68"/>
      <c r="BD598" s="68"/>
      <c r="BF598" s="200"/>
    </row>
    <row r="599">
      <c r="D599" s="110"/>
      <c r="F599" s="4"/>
      <c r="G599" s="4"/>
      <c r="H599" s="4"/>
      <c r="I599" s="65"/>
      <c r="K599" s="199"/>
      <c r="L599" s="65"/>
      <c r="N599" s="105"/>
      <c r="T599" s="184"/>
      <c r="Y599" s="201"/>
      <c r="Z599" s="200"/>
      <c r="AA599" s="201"/>
      <c r="AB599" s="68"/>
      <c r="AC599" s="210"/>
      <c r="AD599" s="68"/>
      <c r="AH599" s="67"/>
      <c r="AI599" s="204"/>
      <c r="AK599" s="200"/>
      <c r="AN599" s="68"/>
      <c r="AO599" s="206"/>
      <c r="AS599" s="200"/>
      <c r="AT599" s="200"/>
      <c r="AU599" s="68"/>
      <c r="AY599" s="67"/>
      <c r="AZ599" s="204"/>
      <c r="BC599" s="68"/>
      <c r="BD599" s="68"/>
      <c r="BF599" s="200"/>
    </row>
    <row r="600">
      <c r="D600" s="110"/>
      <c r="F600" s="4"/>
      <c r="G600" s="4"/>
      <c r="H600" s="4"/>
      <c r="I600" s="65"/>
      <c r="K600" s="199"/>
      <c r="L600" s="65"/>
      <c r="N600" s="105"/>
      <c r="T600" s="184"/>
      <c r="Y600" s="201"/>
      <c r="Z600" s="200"/>
      <c r="AA600" s="201"/>
      <c r="AB600" s="68"/>
      <c r="AC600" s="210"/>
      <c r="AD600" s="68"/>
      <c r="AH600" s="67"/>
      <c r="AI600" s="204"/>
      <c r="AK600" s="200"/>
      <c r="AN600" s="68"/>
      <c r="AO600" s="206"/>
      <c r="AS600" s="200"/>
      <c r="AT600" s="200"/>
      <c r="AU600" s="68"/>
      <c r="AY600" s="67"/>
      <c r="AZ600" s="204"/>
      <c r="BC600" s="68"/>
      <c r="BD600" s="68"/>
      <c r="BF600" s="200"/>
    </row>
    <row r="601">
      <c r="D601" s="110"/>
      <c r="F601" s="4"/>
      <c r="G601" s="4"/>
      <c r="H601" s="4"/>
      <c r="I601" s="65"/>
      <c r="K601" s="199"/>
      <c r="L601" s="65"/>
      <c r="N601" s="105"/>
      <c r="T601" s="184"/>
      <c r="Y601" s="201"/>
      <c r="Z601" s="200"/>
      <c r="AA601" s="201"/>
      <c r="AB601" s="68"/>
      <c r="AC601" s="210"/>
      <c r="AD601" s="68"/>
      <c r="AH601" s="67"/>
      <c r="AI601" s="204"/>
      <c r="AK601" s="200"/>
      <c r="AN601" s="68"/>
      <c r="AO601" s="206"/>
      <c r="AS601" s="200"/>
      <c r="AT601" s="200"/>
      <c r="AU601" s="68"/>
      <c r="AY601" s="67"/>
      <c r="AZ601" s="204"/>
      <c r="BC601" s="68"/>
      <c r="BD601" s="68"/>
      <c r="BF601" s="200"/>
    </row>
    <row r="602">
      <c r="D602" s="110"/>
      <c r="F602" s="4"/>
      <c r="G602" s="4"/>
      <c r="H602" s="4"/>
      <c r="I602" s="65"/>
      <c r="K602" s="199"/>
      <c r="L602" s="65"/>
      <c r="N602" s="105"/>
      <c r="T602" s="184"/>
      <c r="Y602" s="201"/>
      <c r="Z602" s="200"/>
      <c r="AA602" s="201"/>
      <c r="AB602" s="68"/>
      <c r="AC602" s="210"/>
      <c r="AD602" s="68"/>
      <c r="AH602" s="67"/>
      <c r="AI602" s="204"/>
      <c r="AK602" s="200"/>
      <c r="AN602" s="68"/>
      <c r="AO602" s="206"/>
      <c r="AS602" s="200"/>
      <c r="AT602" s="200"/>
      <c r="AU602" s="68"/>
      <c r="AY602" s="67"/>
      <c r="AZ602" s="204"/>
      <c r="BC602" s="68"/>
      <c r="BD602" s="68"/>
      <c r="BF602" s="200"/>
    </row>
    <row r="603">
      <c r="D603" s="110"/>
      <c r="F603" s="4"/>
      <c r="G603" s="4"/>
      <c r="H603" s="4"/>
      <c r="I603" s="65"/>
      <c r="K603" s="199"/>
      <c r="L603" s="65"/>
      <c r="N603" s="105"/>
      <c r="T603" s="184"/>
      <c r="Y603" s="201"/>
      <c r="Z603" s="200"/>
      <c r="AA603" s="201"/>
      <c r="AB603" s="68"/>
      <c r="AC603" s="210"/>
      <c r="AD603" s="68"/>
      <c r="AH603" s="67"/>
      <c r="AI603" s="204"/>
      <c r="AK603" s="200"/>
      <c r="AN603" s="68"/>
      <c r="AO603" s="206"/>
      <c r="AS603" s="200"/>
      <c r="AT603" s="200"/>
      <c r="AU603" s="68"/>
      <c r="AY603" s="67"/>
      <c r="AZ603" s="204"/>
      <c r="BC603" s="68"/>
      <c r="BD603" s="68"/>
      <c r="BF603" s="200"/>
    </row>
    <row r="604">
      <c r="D604" s="110"/>
      <c r="F604" s="4"/>
      <c r="G604" s="4"/>
      <c r="H604" s="4"/>
      <c r="I604" s="65"/>
      <c r="K604" s="199"/>
      <c r="L604" s="65"/>
      <c r="N604" s="105"/>
      <c r="T604" s="184"/>
      <c r="Y604" s="201"/>
      <c r="Z604" s="200"/>
      <c r="AA604" s="201"/>
      <c r="AB604" s="68"/>
      <c r="AC604" s="210"/>
      <c r="AD604" s="68"/>
      <c r="AH604" s="67"/>
      <c r="AI604" s="204"/>
      <c r="AK604" s="200"/>
      <c r="AN604" s="68"/>
      <c r="AO604" s="206"/>
      <c r="AS604" s="200"/>
      <c r="AT604" s="200"/>
      <c r="AU604" s="68"/>
      <c r="AY604" s="67"/>
      <c r="AZ604" s="204"/>
      <c r="BC604" s="68"/>
      <c r="BD604" s="68"/>
      <c r="BF604" s="200"/>
    </row>
    <row r="605">
      <c r="D605" s="110"/>
      <c r="F605" s="4"/>
      <c r="G605" s="4"/>
      <c r="H605" s="4"/>
      <c r="I605" s="65"/>
      <c r="K605" s="199"/>
      <c r="L605" s="65"/>
      <c r="N605" s="105"/>
      <c r="T605" s="184"/>
      <c r="Y605" s="201"/>
      <c r="Z605" s="200"/>
      <c r="AA605" s="201"/>
      <c r="AB605" s="68"/>
      <c r="AC605" s="210"/>
      <c r="AD605" s="68"/>
      <c r="AH605" s="67"/>
      <c r="AI605" s="204"/>
      <c r="AK605" s="200"/>
      <c r="AN605" s="68"/>
      <c r="AO605" s="206"/>
      <c r="AS605" s="200"/>
      <c r="AT605" s="200"/>
      <c r="AU605" s="68"/>
      <c r="AY605" s="67"/>
      <c r="AZ605" s="204"/>
      <c r="BC605" s="68"/>
      <c r="BD605" s="68"/>
      <c r="BF605" s="200"/>
    </row>
    <row r="606">
      <c r="D606" s="110"/>
      <c r="F606" s="4"/>
      <c r="G606" s="4"/>
      <c r="H606" s="4"/>
      <c r="I606" s="65"/>
      <c r="K606" s="199"/>
      <c r="L606" s="65"/>
      <c r="N606" s="105"/>
      <c r="T606" s="184"/>
      <c r="Y606" s="201"/>
      <c r="Z606" s="200"/>
      <c r="AA606" s="201"/>
      <c r="AB606" s="68"/>
      <c r="AC606" s="210"/>
      <c r="AD606" s="68"/>
      <c r="AH606" s="67"/>
      <c r="AI606" s="204"/>
      <c r="AK606" s="200"/>
      <c r="AN606" s="68"/>
      <c r="AO606" s="206"/>
      <c r="AS606" s="200"/>
      <c r="AT606" s="200"/>
      <c r="AU606" s="68"/>
      <c r="AY606" s="67"/>
      <c r="AZ606" s="204"/>
      <c r="BC606" s="68"/>
      <c r="BD606" s="68"/>
      <c r="BF606" s="200"/>
    </row>
    <row r="607">
      <c r="D607" s="110"/>
      <c r="F607" s="4"/>
      <c r="G607" s="4"/>
      <c r="H607" s="4"/>
      <c r="I607" s="65"/>
      <c r="K607" s="199"/>
      <c r="L607" s="65"/>
      <c r="N607" s="105"/>
      <c r="T607" s="184"/>
      <c r="Y607" s="201"/>
      <c r="Z607" s="200"/>
      <c r="AA607" s="201"/>
      <c r="AB607" s="68"/>
      <c r="AC607" s="210"/>
      <c r="AD607" s="68"/>
      <c r="AH607" s="67"/>
      <c r="AI607" s="204"/>
      <c r="AK607" s="200"/>
      <c r="AN607" s="68"/>
      <c r="AO607" s="206"/>
      <c r="AS607" s="200"/>
      <c r="AT607" s="200"/>
      <c r="AU607" s="68"/>
      <c r="AY607" s="67"/>
      <c r="AZ607" s="204"/>
      <c r="BC607" s="68"/>
      <c r="BD607" s="68"/>
      <c r="BF607" s="200"/>
    </row>
    <row r="608">
      <c r="D608" s="110"/>
      <c r="F608" s="4"/>
      <c r="G608" s="4"/>
      <c r="H608" s="4"/>
      <c r="I608" s="65"/>
      <c r="K608" s="199"/>
      <c r="L608" s="65"/>
      <c r="N608" s="105"/>
      <c r="T608" s="184"/>
      <c r="Y608" s="201"/>
      <c r="Z608" s="200"/>
      <c r="AA608" s="201"/>
      <c r="AB608" s="68"/>
      <c r="AC608" s="210"/>
      <c r="AD608" s="68"/>
      <c r="AH608" s="67"/>
      <c r="AI608" s="204"/>
      <c r="AK608" s="200"/>
      <c r="AN608" s="68"/>
      <c r="AO608" s="206"/>
      <c r="AS608" s="200"/>
      <c r="AT608" s="200"/>
      <c r="AU608" s="68"/>
      <c r="AY608" s="67"/>
      <c r="AZ608" s="204"/>
      <c r="BC608" s="68"/>
      <c r="BD608" s="68"/>
      <c r="BF608" s="200"/>
    </row>
    <row r="609">
      <c r="D609" s="110"/>
      <c r="F609" s="4"/>
      <c r="G609" s="4"/>
      <c r="H609" s="4"/>
      <c r="I609" s="65"/>
      <c r="K609" s="199"/>
      <c r="L609" s="65"/>
      <c r="N609" s="105"/>
      <c r="T609" s="184"/>
      <c r="Y609" s="201"/>
      <c r="Z609" s="200"/>
      <c r="AA609" s="201"/>
      <c r="AB609" s="68"/>
      <c r="AC609" s="210"/>
      <c r="AD609" s="68"/>
      <c r="AH609" s="67"/>
      <c r="AI609" s="204"/>
      <c r="AK609" s="200"/>
      <c r="AN609" s="68"/>
      <c r="AO609" s="206"/>
      <c r="AS609" s="200"/>
      <c r="AT609" s="200"/>
      <c r="AU609" s="68"/>
      <c r="AY609" s="67"/>
      <c r="AZ609" s="204"/>
      <c r="BC609" s="68"/>
      <c r="BD609" s="68"/>
      <c r="BF609" s="200"/>
    </row>
    <row r="610">
      <c r="D610" s="110"/>
      <c r="F610" s="4"/>
      <c r="G610" s="4"/>
      <c r="H610" s="4"/>
      <c r="I610" s="65"/>
      <c r="K610" s="199"/>
      <c r="L610" s="65"/>
      <c r="N610" s="105"/>
      <c r="T610" s="184"/>
      <c r="Y610" s="201"/>
      <c r="Z610" s="200"/>
      <c r="AA610" s="201"/>
      <c r="AB610" s="68"/>
      <c r="AC610" s="210"/>
      <c r="AD610" s="68"/>
      <c r="AH610" s="67"/>
      <c r="AI610" s="204"/>
      <c r="AK610" s="200"/>
      <c r="AN610" s="68"/>
      <c r="AO610" s="206"/>
      <c r="AS610" s="200"/>
      <c r="AT610" s="200"/>
      <c r="AU610" s="68"/>
      <c r="AY610" s="67"/>
      <c r="AZ610" s="204"/>
      <c r="BC610" s="68"/>
      <c r="BD610" s="68"/>
      <c r="BF610" s="200"/>
    </row>
    <row r="611">
      <c r="D611" s="110"/>
      <c r="F611" s="4"/>
      <c r="G611" s="4"/>
      <c r="H611" s="4"/>
      <c r="I611" s="65"/>
      <c r="K611" s="199"/>
      <c r="L611" s="65"/>
      <c r="N611" s="105"/>
      <c r="T611" s="184"/>
      <c r="Y611" s="201"/>
      <c r="Z611" s="200"/>
      <c r="AA611" s="201"/>
      <c r="AB611" s="68"/>
      <c r="AC611" s="210"/>
      <c r="AD611" s="68"/>
      <c r="AH611" s="67"/>
      <c r="AI611" s="204"/>
      <c r="AK611" s="200"/>
      <c r="AN611" s="68"/>
      <c r="AO611" s="206"/>
      <c r="AS611" s="200"/>
      <c r="AT611" s="200"/>
      <c r="AU611" s="68"/>
      <c r="AY611" s="67"/>
      <c r="AZ611" s="204"/>
      <c r="BC611" s="68"/>
      <c r="BD611" s="68"/>
      <c r="BF611" s="200"/>
    </row>
    <row r="612">
      <c r="D612" s="110"/>
      <c r="F612" s="4"/>
      <c r="G612" s="4"/>
      <c r="H612" s="4"/>
      <c r="I612" s="65"/>
      <c r="K612" s="199"/>
      <c r="L612" s="65"/>
      <c r="N612" s="105"/>
      <c r="T612" s="184"/>
      <c r="Y612" s="201"/>
      <c r="Z612" s="200"/>
      <c r="AA612" s="201"/>
      <c r="AB612" s="68"/>
      <c r="AC612" s="210"/>
      <c r="AD612" s="68"/>
      <c r="AH612" s="67"/>
      <c r="AI612" s="204"/>
      <c r="AK612" s="200"/>
      <c r="AN612" s="68"/>
      <c r="AO612" s="206"/>
      <c r="AS612" s="200"/>
      <c r="AT612" s="200"/>
      <c r="AU612" s="68"/>
      <c r="AY612" s="67"/>
      <c r="AZ612" s="204"/>
      <c r="BC612" s="68"/>
      <c r="BD612" s="68"/>
      <c r="BF612" s="200"/>
    </row>
    <row r="613">
      <c r="D613" s="110"/>
      <c r="F613" s="4"/>
      <c r="G613" s="4"/>
      <c r="H613" s="4"/>
      <c r="I613" s="65"/>
      <c r="K613" s="199"/>
      <c r="L613" s="65"/>
      <c r="N613" s="105"/>
      <c r="T613" s="184"/>
      <c r="Y613" s="201"/>
      <c r="Z613" s="200"/>
      <c r="AA613" s="201"/>
      <c r="AB613" s="68"/>
      <c r="AC613" s="210"/>
      <c r="AD613" s="68"/>
      <c r="AH613" s="67"/>
      <c r="AI613" s="204"/>
      <c r="AK613" s="200"/>
      <c r="AN613" s="68"/>
      <c r="AO613" s="206"/>
      <c r="AS613" s="200"/>
      <c r="AT613" s="200"/>
      <c r="AU613" s="68"/>
      <c r="AY613" s="67"/>
      <c r="AZ613" s="204"/>
      <c r="BC613" s="68"/>
      <c r="BD613" s="68"/>
      <c r="BF613" s="200"/>
    </row>
    <row r="614">
      <c r="D614" s="110"/>
      <c r="F614" s="4"/>
      <c r="G614" s="4"/>
      <c r="H614" s="4"/>
      <c r="I614" s="65"/>
      <c r="K614" s="199"/>
      <c r="L614" s="65"/>
      <c r="N614" s="105"/>
      <c r="T614" s="184"/>
      <c r="Y614" s="201"/>
      <c r="Z614" s="200"/>
      <c r="AA614" s="201"/>
      <c r="AB614" s="68"/>
      <c r="AC614" s="210"/>
      <c r="AD614" s="68"/>
      <c r="AH614" s="67"/>
      <c r="AI614" s="204"/>
      <c r="AK614" s="200"/>
      <c r="AN614" s="68"/>
      <c r="AO614" s="206"/>
      <c r="AS614" s="200"/>
      <c r="AT614" s="200"/>
      <c r="AU614" s="68"/>
      <c r="AY614" s="67"/>
      <c r="AZ614" s="204"/>
      <c r="BC614" s="68"/>
      <c r="BD614" s="68"/>
      <c r="BF614" s="200"/>
    </row>
    <row r="615">
      <c r="D615" s="110"/>
      <c r="F615" s="4"/>
      <c r="G615" s="4"/>
      <c r="H615" s="4"/>
      <c r="I615" s="65"/>
      <c r="K615" s="199"/>
      <c r="L615" s="65"/>
      <c r="N615" s="105"/>
      <c r="T615" s="184"/>
      <c r="Y615" s="201"/>
      <c r="Z615" s="200"/>
      <c r="AA615" s="201"/>
      <c r="AB615" s="68"/>
      <c r="AC615" s="210"/>
      <c r="AD615" s="68"/>
      <c r="AH615" s="67"/>
      <c r="AI615" s="204"/>
      <c r="AK615" s="200"/>
      <c r="AN615" s="68"/>
      <c r="AO615" s="206"/>
      <c r="AS615" s="200"/>
      <c r="AT615" s="200"/>
      <c r="AU615" s="68"/>
      <c r="AY615" s="67"/>
      <c r="AZ615" s="204"/>
      <c r="BC615" s="68"/>
      <c r="BD615" s="68"/>
      <c r="BF615" s="200"/>
    </row>
    <row r="616">
      <c r="D616" s="110"/>
      <c r="F616" s="4"/>
      <c r="G616" s="4"/>
      <c r="H616" s="4"/>
      <c r="I616" s="65"/>
      <c r="K616" s="199"/>
      <c r="L616" s="65"/>
      <c r="N616" s="105"/>
      <c r="T616" s="184"/>
      <c r="Y616" s="201"/>
      <c r="Z616" s="200"/>
      <c r="AA616" s="201"/>
      <c r="AB616" s="68"/>
      <c r="AC616" s="210"/>
      <c r="AD616" s="68"/>
      <c r="AH616" s="67"/>
      <c r="AI616" s="204"/>
      <c r="AK616" s="200"/>
      <c r="AN616" s="68"/>
      <c r="AO616" s="206"/>
      <c r="AS616" s="200"/>
      <c r="AT616" s="200"/>
      <c r="AU616" s="68"/>
      <c r="AY616" s="67"/>
      <c r="AZ616" s="204"/>
      <c r="BC616" s="68"/>
      <c r="BD616" s="68"/>
      <c r="BF616" s="200"/>
    </row>
    <row r="617">
      <c r="D617" s="110"/>
      <c r="F617" s="4"/>
      <c r="G617" s="4"/>
      <c r="H617" s="4"/>
      <c r="I617" s="65"/>
      <c r="K617" s="199"/>
      <c r="L617" s="65"/>
      <c r="N617" s="105"/>
      <c r="T617" s="184"/>
      <c r="Y617" s="201"/>
      <c r="Z617" s="200"/>
      <c r="AA617" s="201"/>
      <c r="AB617" s="68"/>
      <c r="AC617" s="210"/>
      <c r="AD617" s="68"/>
      <c r="AH617" s="67"/>
      <c r="AI617" s="204"/>
      <c r="AK617" s="200"/>
      <c r="AN617" s="68"/>
      <c r="AO617" s="206"/>
      <c r="AS617" s="200"/>
      <c r="AT617" s="200"/>
      <c r="AU617" s="68"/>
      <c r="AY617" s="67"/>
      <c r="AZ617" s="204"/>
      <c r="BC617" s="68"/>
      <c r="BD617" s="68"/>
      <c r="BF617" s="200"/>
    </row>
    <row r="618">
      <c r="D618" s="110"/>
      <c r="F618" s="4"/>
      <c r="G618" s="4"/>
      <c r="H618" s="4"/>
      <c r="I618" s="65"/>
      <c r="K618" s="199"/>
      <c r="L618" s="65"/>
      <c r="N618" s="105"/>
      <c r="T618" s="184"/>
      <c r="Y618" s="201"/>
      <c r="Z618" s="200"/>
      <c r="AA618" s="201"/>
      <c r="AB618" s="68"/>
      <c r="AC618" s="210"/>
      <c r="AD618" s="68"/>
      <c r="AH618" s="67"/>
      <c r="AI618" s="204"/>
      <c r="AK618" s="200"/>
      <c r="AN618" s="68"/>
      <c r="AO618" s="206"/>
      <c r="AS618" s="200"/>
      <c r="AT618" s="200"/>
      <c r="AU618" s="68"/>
      <c r="AY618" s="67"/>
      <c r="AZ618" s="204"/>
      <c r="BC618" s="68"/>
      <c r="BD618" s="68"/>
      <c r="BF618" s="200"/>
    </row>
    <row r="619">
      <c r="D619" s="110"/>
      <c r="F619" s="4"/>
      <c r="G619" s="4"/>
      <c r="H619" s="4"/>
      <c r="I619" s="65"/>
      <c r="K619" s="199"/>
      <c r="L619" s="65"/>
      <c r="N619" s="105"/>
      <c r="T619" s="184"/>
      <c r="Y619" s="201"/>
      <c r="Z619" s="200"/>
      <c r="AA619" s="201"/>
      <c r="AB619" s="68"/>
      <c r="AC619" s="210"/>
      <c r="AD619" s="68"/>
      <c r="AH619" s="67"/>
      <c r="AI619" s="204"/>
      <c r="AK619" s="200"/>
      <c r="AN619" s="68"/>
      <c r="AO619" s="206"/>
      <c r="AS619" s="200"/>
      <c r="AT619" s="200"/>
      <c r="AU619" s="68"/>
      <c r="AY619" s="67"/>
      <c r="AZ619" s="204"/>
      <c r="BC619" s="68"/>
      <c r="BD619" s="68"/>
      <c r="BF619" s="200"/>
    </row>
    <row r="620">
      <c r="D620" s="110"/>
      <c r="F620" s="4"/>
      <c r="G620" s="4"/>
      <c r="H620" s="4"/>
      <c r="I620" s="65"/>
      <c r="K620" s="199"/>
      <c r="L620" s="65"/>
      <c r="N620" s="105"/>
      <c r="T620" s="184"/>
      <c r="Y620" s="201"/>
      <c r="Z620" s="200"/>
      <c r="AA620" s="201"/>
      <c r="AB620" s="68"/>
      <c r="AC620" s="210"/>
      <c r="AD620" s="68"/>
      <c r="AH620" s="67"/>
      <c r="AI620" s="204"/>
      <c r="AK620" s="200"/>
      <c r="AN620" s="68"/>
      <c r="AO620" s="206"/>
      <c r="AS620" s="200"/>
      <c r="AT620" s="200"/>
      <c r="AU620" s="68"/>
      <c r="AY620" s="67"/>
      <c r="AZ620" s="204"/>
      <c r="BC620" s="68"/>
      <c r="BD620" s="68"/>
      <c r="BF620" s="200"/>
    </row>
    <row r="621">
      <c r="D621" s="110"/>
      <c r="F621" s="4"/>
      <c r="G621" s="4"/>
      <c r="H621" s="4"/>
      <c r="I621" s="65"/>
      <c r="K621" s="199"/>
      <c r="L621" s="65"/>
      <c r="N621" s="105"/>
      <c r="T621" s="184"/>
      <c r="Y621" s="201"/>
      <c r="Z621" s="200"/>
      <c r="AA621" s="201"/>
      <c r="AB621" s="68"/>
      <c r="AC621" s="210"/>
      <c r="AD621" s="68"/>
      <c r="AH621" s="67"/>
      <c r="AI621" s="204"/>
      <c r="AK621" s="200"/>
      <c r="AN621" s="68"/>
      <c r="AO621" s="206"/>
      <c r="AS621" s="200"/>
      <c r="AT621" s="200"/>
      <c r="AU621" s="68"/>
      <c r="AY621" s="67"/>
      <c r="AZ621" s="204"/>
      <c r="BC621" s="68"/>
      <c r="BD621" s="68"/>
      <c r="BF621" s="200"/>
    </row>
    <row r="622">
      <c r="D622" s="110"/>
      <c r="F622" s="4"/>
      <c r="G622" s="4"/>
      <c r="H622" s="4"/>
      <c r="I622" s="65"/>
      <c r="K622" s="199"/>
      <c r="L622" s="65"/>
      <c r="N622" s="105"/>
      <c r="T622" s="184"/>
      <c r="Y622" s="201"/>
      <c r="Z622" s="200"/>
      <c r="AA622" s="201"/>
      <c r="AB622" s="68"/>
      <c r="AC622" s="210"/>
      <c r="AD622" s="68"/>
      <c r="AH622" s="67"/>
      <c r="AI622" s="204"/>
      <c r="AK622" s="200"/>
      <c r="AN622" s="68"/>
      <c r="AO622" s="206"/>
      <c r="AS622" s="200"/>
      <c r="AT622" s="200"/>
      <c r="AU622" s="68"/>
      <c r="AY622" s="67"/>
      <c r="AZ622" s="204"/>
      <c r="BC622" s="68"/>
      <c r="BD622" s="68"/>
      <c r="BF622" s="200"/>
    </row>
    <row r="623">
      <c r="D623" s="110"/>
      <c r="F623" s="4"/>
      <c r="G623" s="4"/>
      <c r="H623" s="4"/>
      <c r="I623" s="65"/>
      <c r="K623" s="199"/>
      <c r="L623" s="65"/>
      <c r="N623" s="105"/>
      <c r="T623" s="184"/>
      <c r="Y623" s="201"/>
      <c r="Z623" s="200"/>
      <c r="AA623" s="201"/>
      <c r="AB623" s="68"/>
      <c r="AC623" s="210"/>
      <c r="AD623" s="68"/>
      <c r="AH623" s="67"/>
      <c r="AI623" s="204"/>
      <c r="AK623" s="200"/>
      <c r="AN623" s="68"/>
      <c r="AO623" s="206"/>
      <c r="AS623" s="200"/>
      <c r="AT623" s="200"/>
      <c r="AU623" s="68"/>
      <c r="AY623" s="67"/>
      <c r="AZ623" s="204"/>
      <c r="BC623" s="68"/>
      <c r="BD623" s="68"/>
      <c r="BF623" s="200"/>
    </row>
    <row r="624">
      <c r="D624" s="110"/>
      <c r="F624" s="4"/>
      <c r="G624" s="4"/>
      <c r="H624" s="4"/>
      <c r="I624" s="65"/>
      <c r="K624" s="199"/>
      <c r="L624" s="65"/>
      <c r="N624" s="105"/>
      <c r="T624" s="184"/>
      <c r="Y624" s="201"/>
      <c r="Z624" s="200"/>
      <c r="AA624" s="201"/>
      <c r="AB624" s="68"/>
      <c r="AC624" s="210"/>
      <c r="AD624" s="68"/>
      <c r="AH624" s="67"/>
      <c r="AI624" s="204"/>
      <c r="AK624" s="200"/>
      <c r="AN624" s="68"/>
      <c r="AO624" s="206"/>
      <c r="AS624" s="200"/>
      <c r="AT624" s="200"/>
      <c r="AU624" s="68"/>
      <c r="AY624" s="67"/>
      <c r="AZ624" s="204"/>
      <c r="BC624" s="68"/>
      <c r="BD624" s="68"/>
      <c r="BF624" s="200"/>
    </row>
    <row r="625">
      <c r="D625" s="110"/>
      <c r="F625" s="4"/>
      <c r="G625" s="4"/>
      <c r="H625" s="4"/>
      <c r="I625" s="65"/>
      <c r="K625" s="199"/>
      <c r="L625" s="65"/>
      <c r="N625" s="105"/>
      <c r="T625" s="184"/>
      <c r="Y625" s="201"/>
      <c r="Z625" s="200"/>
      <c r="AA625" s="201"/>
      <c r="AB625" s="68"/>
      <c r="AC625" s="210"/>
      <c r="AD625" s="68"/>
      <c r="AH625" s="67"/>
      <c r="AI625" s="204"/>
      <c r="AK625" s="200"/>
      <c r="AN625" s="68"/>
      <c r="AO625" s="206"/>
      <c r="AS625" s="200"/>
      <c r="AT625" s="200"/>
      <c r="AU625" s="68"/>
      <c r="AY625" s="67"/>
      <c r="AZ625" s="204"/>
      <c r="BC625" s="68"/>
      <c r="BD625" s="68"/>
      <c r="BF625" s="200"/>
    </row>
    <row r="626">
      <c r="D626" s="110"/>
      <c r="F626" s="4"/>
      <c r="G626" s="4"/>
      <c r="H626" s="4"/>
      <c r="I626" s="65"/>
      <c r="K626" s="199"/>
      <c r="L626" s="65"/>
      <c r="N626" s="105"/>
      <c r="T626" s="184"/>
      <c r="Y626" s="201"/>
      <c r="Z626" s="200"/>
      <c r="AA626" s="201"/>
      <c r="AB626" s="68"/>
      <c r="AC626" s="210"/>
      <c r="AD626" s="68"/>
      <c r="AH626" s="67"/>
      <c r="AI626" s="204"/>
      <c r="AK626" s="200"/>
      <c r="AN626" s="68"/>
      <c r="AO626" s="206"/>
      <c r="AS626" s="200"/>
      <c r="AT626" s="200"/>
      <c r="AU626" s="68"/>
      <c r="AY626" s="67"/>
      <c r="AZ626" s="204"/>
      <c r="BC626" s="68"/>
      <c r="BD626" s="68"/>
      <c r="BF626" s="200"/>
    </row>
    <row r="627">
      <c r="D627" s="110"/>
      <c r="F627" s="4"/>
      <c r="G627" s="4"/>
      <c r="H627" s="4"/>
      <c r="I627" s="65"/>
      <c r="K627" s="199"/>
      <c r="L627" s="65"/>
      <c r="N627" s="105"/>
      <c r="T627" s="184"/>
      <c r="Y627" s="201"/>
      <c r="Z627" s="200"/>
      <c r="AA627" s="201"/>
      <c r="AB627" s="68"/>
      <c r="AC627" s="210"/>
      <c r="AD627" s="68"/>
      <c r="AH627" s="67"/>
      <c r="AI627" s="204"/>
      <c r="AK627" s="200"/>
      <c r="AN627" s="68"/>
      <c r="AO627" s="206"/>
      <c r="AS627" s="200"/>
      <c r="AT627" s="200"/>
      <c r="AU627" s="68"/>
      <c r="AY627" s="67"/>
      <c r="AZ627" s="204"/>
      <c r="BC627" s="68"/>
      <c r="BD627" s="68"/>
      <c r="BF627" s="200"/>
    </row>
    <row r="628">
      <c r="D628" s="110"/>
      <c r="F628" s="4"/>
      <c r="G628" s="4"/>
      <c r="H628" s="4"/>
      <c r="I628" s="65"/>
      <c r="K628" s="199"/>
      <c r="L628" s="65"/>
      <c r="N628" s="105"/>
      <c r="T628" s="184"/>
      <c r="Y628" s="201"/>
      <c r="Z628" s="200"/>
      <c r="AA628" s="201"/>
      <c r="AB628" s="68"/>
      <c r="AC628" s="210"/>
      <c r="AD628" s="68"/>
      <c r="AH628" s="67"/>
      <c r="AI628" s="204"/>
      <c r="AK628" s="200"/>
      <c r="AN628" s="68"/>
      <c r="AO628" s="206"/>
      <c r="AS628" s="200"/>
      <c r="AT628" s="200"/>
      <c r="AU628" s="68"/>
      <c r="AY628" s="67"/>
      <c r="AZ628" s="204"/>
      <c r="BC628" s="68"/>
      <c r="BD628" s="68"/>
      <c r="BF628" s="200"/>
    </row>
    <row r="629">
      <c r="D629" s="110"/>
      <c r="F629" s="4"/>
      <c r="G629" s="4"/>
      <c r="H629" s="4"/>
      <c r="I629" s="65"/>
      <c r="K629" s="199"/>
      <c r="L629" s="65"/>
      <c r="N629" s="105"/>
      <c r="T629" s="184"/>
      <c r="Y629" s="201"/>
      <c r="Z629" s="200"/>
      <c r="AA629" s="201"/>
      <c r="AB629" s="68"/>
      <c r="AC629" s="210"/>
      <c r="AD629" s="68"/>
      <c r="AH629" s="67"/>
      <c r="AI629" s="204"/>
      <c r="AK629" s="200"/>
      <c r="AN629" s="68"/>
      <c r="AO629" s="206"/>
      <c r="AS629" s="200"/>
      <c r="AT629" s="200"/>
      <c r="AU629" s="68"/>
      <c r="AY629" s="67"/>
      <c r="AZ629" s="204"/>
      <c r="BC629" s="68"/>
      <c r="BD629" s="68"/>
      <c r="BF629" s="200"/>
    </row>
    <row r="630">
      <c r="D630" s="110"/>
      <c r="F630" s="4"/>
      <c r="G630" s="4"/>
      <c r="H630" s="4"/>
      <c r="I630" s="65"/>
      <c r="K630" s="199"/>
      <c r="L630" s="65"/>
      <c r="N630" s="105"/>
      <c r="T630" s="184"/>
      <c r="Y630" s="201"/>
      <c r="Z630" s="200"/>
      <c r="AA630" s="201"/>
      <c r="AB630" s="68"/>
      <c r="AC630" s="210"/>
      <c r="AD630" s="68"/>
      <c r="AH630" s="67"/>
      <c r="AI630" s="204"/>
      <c r="AK630" s="200"/>
      <c r="AN630" s="68"/>
      <c r="AO630" s="206"/>
      <c r="AS630" s="200"/>
      <c r="AT630" s="200"/>
      <c r="AU630" s="68"/>
      <c r="AY630" s="67"/>
      <c r="AZ630" s="204"/>
      <c r="BC630" s="68"/>
      <c r="BD630" s="68"/>
      <c r="BF630" s="200"/>
    </row>
    <row r="631">
      <c r="D631" s="110"/>
      <c r="F631" s="4"/>
      <c r="G631" s="4"/>
      <c r="H631" s="4"/>
      <c r="I631" s="65"/>
      <c r="K631" s="199"/>
      <c r="L631" s="65"/>
      <c r="N631" s="105"/>
      <c r="T631" s="184"/>
      <c r="Y631" s="201"/>
      <c r="Z631" s="200"/>
      <c r="AA631" s="201"/>
      <c r="AB631" s="68"/>
      <c r="AC631" s="210"/>
      <c r="AD631" s="68"/>
      <c r="AH631" s="67"/>
      <c r="AI631" s="204"/>
      <c r="AK631" s="200"/>
      <c r="AN631" s="68"/>
      <c r="AO631" s="206"/>
      <c r="AS631" s="200"/>
      <c r="AT631" s="200"/>
      <c r="AU631" s="68"/>
      <c r="AY631" s="67"/>
      <c r="AZ631" s="204"/>
      <c r="BC631" s="68"/>
      <c r="BD631" s="68"/>
      <c r="BF631" s="200"/>
    </row>
    <row r="632">
      <c r="D632" s="110"/>
      <c r="F632" s="4"/>
      <c r="G632" s="4"/>
      <c r="H632" s="4"/>
      <c r="I632" s="65"/>
      <c r="K632" s="199"/>
      <c r="L632" s="65"/>
      <c r="N632" s="105"/>
      <c r="T632" s="184"/>
      <c r="Y632" s="201"/>
      <c r="Z632" s="200"/>
      <c r="AA632" s="201"/>
      <c r="AB632" s="68"/>
      <c r="AC632" s="210"/>
      <c r="AD632" s="68"/>
      <c r="AH632" s="67"/>
      <c r="AI632" s="204"/>
      <c r="AK632" s="200"/>
      <c r="AN632" s="68"/>
      <c r="AO632" s="206"/>
      <c r="AS632" s="200"/>
      <c r="AT632" s="200"/>
      <c r="AU632" s="68"/>
      <c r="AY632" s="67"/>
      <c r="AZ632" s="204"/>
      <c r="BC632" s="68"/>
      <c r="BD632" s="68"/>
      <c r="BF632" s="200"/>
    </row>
    <row r="633">
      <c r="D633" s="110"/>
      <c r="F633" s="4"/>
      <c r="G633" s="4"/>
      <c r="H633" s="4"/>
      <c r="I633" s="65"/>
      <c r="K633" s="199"/>
      <c r="L633" s="65"/>
      <c r="N633" s="105"/>
      <c r="T633" s="184"/>
      <c r="Y633" s="201"/>
      <c r="Z633" s="200"/>
      <c r="AA633" s="201"/>
      <c r="AB633" s="68"/>
      <c r="AC633" s="210"/>
      <c r="AD633" s="68"/>
      <c r="AH633" s="67"/>
      <c r="AI633" s="204"/>
      <c r="AK633" s="200"/>
      <c r="AN633" s="68"/>
      <c r="AO633" s="206"/>
      <c r="AS633" s="200"/>
      <c r="AT633" s="200"/>
      <c r="AU633" s="68"/>
      <c r="AY633" s="67"/>
      <c r="AZ633" s="204"/>
      <c r="BC633" s="68"/>
      <c r="BD633" s="68"/>
      <c r="BF633" s="200"/>
    </row>
    <row r="634">
      <c r="D634" s="110"/>
      <c r="F634" s="4"/>
      <c r="G634" s="4"/>
      <c r="H634" s="4"/>
      <c r="I634" s="65"/>
      <c r="K634" s="199"/>
      <c r="L634" s="65"/>
      <c r="N634" s="105"/>
      <c r="T634" s="184"/>
      <c r="Y634" s="201"/>
      <c r="Z634" s="200"/>
      <c r="AA634" s="201"/>
      <c r="AB634" s="68"/>
      <c r="AC634" s="210"/>
      <c r="AD634" s="68"/>
      <c r="AH634" s="67"/>
      <c r="AI634" s="204"/>
      <c r="AK634" s="200"/>
      <c r="AN634" s="68"/>
      <c r="AO634" s="206"/>
      <c r="AS634" s="200"/>
      <c r="AT634" s="200"/>
      <c r="AU634" s="68"/>
      <c r="AY634" s="67"/>
      <c r="AZ634" s="204"/>
      <c r="BC634" s="68"/>
      <c r="BD634" s="68"/>
      <c r="BF634" s="200"/>
    </row>
    <row r="635">
      <c r="D635" s="110"/>
      <c r="F635" s="4"/>
      <c r="G635" s="4"/>
      <c r="H635" s="4"/>
      <c r="I635" s="65"/>
      <c r="K635" s="199"/>
      <c r="L635" s="65"/>
      <c r="N635" s="105"/>
      <c r="T635" s="184"/>
      <c r="Y635" s="201"/>
      <c r="Z635" s="200"/>
      <c r="AA635" s="201"/>
      <c r="AB635" s="68"/>
      <c r="AC635" s="210"/>
      <c r="AD635" s="68"/>
      <c r="AH635" s="67"/>
      <c r="AI635" s="204"/>
      <c r="AK635" s="200"/>
      <c r="AN635" s="68"/>
      <c r="AO635" s="206"/>
      <c r="AS635" s="200"/>
      <c r="AT635" s="200"/>
      <c r="AU635" s="68"/>
      <c r="AY635" s="67"/>
      <c r="AZ635" s="204"/>
      <c r="BC635" s="68"/>
      <c r="BD635" s="68"/>
      <c r="BF635" s="200"/>
    </row>
    <row r="636">
      <c r="D636" s="110"/>
      <c r="F636" s="4"/>
      <c r="G636" s="4"/>
      <c r="H636" s="4"/>
      <c r="I636" s="65"/>
      <c r="K636" s="199"/>
      <c r="L636" s="65"/>
      <c r="N636" s="105"/>
      <c r="T636" s="184"/>
      <c r="Y636" s="201"/>
      <c r="Z636" s="200"/>
      <c r="AA636" s="201"/>
      <c r="AB636" s="68"/>
      <c r="AC636" s="210"/>
      <c r="AD636" s="68"/>
      <c r="AH636" s="67"/>
      <c r="AI636" s="204"/>
      <c r="AK636" s="200"/>
      <c r="AN636" s="68"/>
      <c r="AO636" s="206"/>
      <c r="AS636" s="200"/>
      <c r="AT636" s="200"/>
      <c r="AU636" s="68"/>
      <c r="AY636" s="67"/>
      <c r="AZ636" s="204"/>
      <c r="BC636" s="68"/>
      <c r="BD636" s="68"/>
      <c r="BF636" s="200"/>
    </row>
    <row r="637">
      <c r="D637" s="110"/>
      <c r="F637" s="4"/>
      <c r="G637" s="4"/>
      <c r="H637" s="4"/>
      <c r="I637" s="65"/>
      <c r="K637" s="199"/>
      <c r="L637" s="65"/>
      <c r="N637" s="105"/>
      <c r="T637" s="184"/>
      <c r="Y637" s="201"/>
      <c r="Z637" s="200"/>
      <c r="AA637" s="201"/>
      <c r="AB637" s="68"/>
      <c r="AC637" s="210"/>
      <c r="AD637" s="68"/>
      <c r="AH637" s="67"/>
      <c r="AI637" s="204"/>
      <c r="AK637" s="200"/>
      <c r="AN637" s="68"/>
      <c r="AO637" s="206"/>
      <c r="AS637" s="200"/>
      <c r="AT637" s="200"/>
      <c r="AU637" s="68"/>
      <c r="AY637" s="67"/>
      <c r="AZ637" s="204"/>
      <c r="BC637" s="68"/>
      <c r="BD637" s="68"/>
      <c r="BF637" s="200"/>
    </row>
    <row r="638">
      <c r="D638" s="110"/>
      <c r="F638" s="4"/>
      <c r="G638" s="4"/>
      <c r="H638" s="4"/>
      <c r="I638" s="65"/>
      <c r="K638" s="199"/>
      <c r="L638" s="65"/>
      <c r="N638" s="105"/>
      <c r="T638" s="184"/>
      <c r="Y638" s="201"/>
      <c r="Z638" s="200"/>
      <c r="AA638" s="201"/>
      <c r="AB638" s="68"/>
      <c r="AC638" s="210"/>
      <c r="AD638" s="68"/>
      <c r="AH638" s="67"/>
      <c r="AI638" s="204"/>
      <c r="AK638" s="200"/>
      <c r="AN638" s="68"/>
      <c r="AO638" s="206"/>
      <c r="AS638" s="200"/>
      <c r="AT638" s="200"/>
      <c r="AU638" s="68"/>
      <c r="AY638" s="67"/>
      <c r="AZ638" s="204"/>
      <c r="BC638" s="68"/>
      <c r="BD638" s="68"/>
      <c r="BF638" s="200"/>
    </row>
    <row r="639">
      <c r="D639" s="110"/>
      <c r="F639" s="4"/>
      <c r="G639" s="4"/>
      <c r="H639" s="4"/>
      <c r="I639" s="65"/>
      <c r="K639" s="199"/>
      <c r="L639" s="65"/>
      <c r="N639" s="105"/>
      <c r="T639" s="184"/>
      <c r="Y639" s="201"/>
      <c r="Z639" s="200"/>
      <c r="AA639" s="201"/>
      <c r="AB639" s="68"/>
      <c r="AC639" s="210"/>
      <c r="AD639" s="68"/>
      <c r="AH639" s="67"/>
      <c r="AI639" s="204"/>
      <c r="AK639" s="200"/>
      <c r="AN639" s="68"/>
      <c r="AO639" s="206"/>
      <c r="AS639" s="200"/>
      <c r="AT639" s="200"/>
      <c r="AU639" s="68"/>
      <c r="AY639" s="67"/>
      <c r="AZ639" s="204"/>
      <c r="BC639" s="68"/>
      <c r="BD639" s="68"/>
      <c r="BF639" s="200"/>
    </row>
    <row r="640">
      <c r="D640" s="110"/>
      <c r="F640" s="4"/>
      <c r="G640" s="4"/>
      <c r="H640" s="4"/>
      <c r="I640" s="65"/>
      <c r="K640" s="199"/>
      <c r="L640" s="65"/>
      <c r="N640" s="105"/>
      <c r="T640" s="184"/>
      <c r="Y640" s="201"/>
      <c r="Z640" s="200"/>
      <c r="AA640" s="201"/>
      <c r="AB640" s="68"/>
      <c r="AC640" s="210"/>
      <c r="AD640" s="68"/>
      <c r="AH640" s="67"/>
      <c r="AI640" s="204"/>
      <c r="AK640" s="200"/>
      <c r="AN640" s="68"/>
      <c r="AO640" s="206"/>
      <c r="AS640" s="200"/>
      <c r="AT640" s="200"/>
      <c r="AU640" s="68"/>
      <c r="AY640" s="67"/>
      <c r="AZ640" s="204"/>
      <c r="BC640" s="68"/>
      <c r="BD640" s="68"/>
      <c r="BF640" s="200"/>
    </row>
    <row r="641">
      <c r="D641" s="110"/>
      <c r="F641" s="4"/>
      <c r="G641" s="4"/>
      <c r="H641" s="4"/>
      <c r="I641" s="65"/>
      <c r="K641" s="199"/>
      <c r="L641" s="65"/>
      <c r="N641" s="105"/>
      <c r="T641" s="184"/>
      <c r="Y641" s="201"/>
      <c r="Z641" s="200"/>
      <c r="AA641" s="201"/>
      <c r="AB641" s="68"/>
      <c r="AC641" s="210"/>
      <c r="AD641" s="68"/>
      <c r="AH641" s="67"/>
      <c r="AI641" s="204"/>
      <c r="AK641" s="200"/>
      <c r="AN641" s="68"/>
      <c r="AO641" s="206"/>
      <c r="AS641" s="200"/>
      <c r="AT641" s="200"/>
      <c r="AU641" s="68"/>
      <c r="AY641" s="67"/>
      <c r="AZ641" s="204"/>
      <c r="BC641" s="68"/>
      <c r="BD641" s="68"/>
      <c r="BF641" s="200"/>
    </row>
    <row r="642">
      <c r="D642" s="110"/>
      <c r="F642" s="4"/>
      <c r="G642" s="4"/>
      <c r="H642" s="4"/>
      <c r="I642" s="65"/>
      <c r="K642" s="199"/>
      <c r="L642" s="65"/>
      <c r="N642" s="105"/>
      <c r="T642" s="184"/>
      <c r="Y642" s="201"/>
      <c r="Z642" s="200"/>
      <c r="AA642" s="201"/>
      <c r="AB642" s="68"/>
      <c r="AC642" s="210"/>
      <c r="AD642" s="68"/>
      <c r="AH642" s="67"/>
      <c r="AI642" s="204"/>
      <c r="AK642" s="200"/>
      <c r="AN642" s="68"/>
      <c r="AO642" s="206"/>
      <c r="AS642" s="200"/>
      <c r="AT642" s="200"/>
      <c r="AU642" s="68"/>
      <c r="AY642" s="67"/>
      <c r="AZ642" s="204"/>
      <c r="BC642" s="68"/>
      <c r="BD642" s="68"/>
      <c r="BF642" s="200"/>
    </row>
    <row r="643">
      <c r="D643" s="110"/>
      <c r="F643" s="4"/>
      <c r="G643" s="4"/>
      <c r="H643" s="4"/>
      <c r="I643" s="65"/>
      <c r="K643" s="199"/>
      <c r="L643" s="65"/>
      <c r="N643" s="105"/>
      <c r="T643" s="184"/>
      <c r="Y643" s="201"/>
      <c r="Z643" s="200"/>
      <c r="AA643" s="201"/>
      <c r="AB643" s="68"/>
      <c r="AC643" s="210"/>
      <c r="AD643" s="68"/>
      <c r="AH643" s="67"/>
      <c r="AI643" s="204"/>
      <c r="AK643" s="200"/>
      <c r="AN643" s="68"/>
      <c r="AO643" s="206"/>
      <c r="AS643" s="200"/>
      <c r="AT643" s="200"/>
      <c r="AU643" s="68"/>
      <c r="AY643" s="67"/>
      <c r="AZ643" s="204"/>
      <c r="BC643" s="68"/>
      <c r="BD643" s="68"/>
      <c r="BF643" s="200"/>
    </row>
    <row r="644">
      <c r="D644" s="110"/>
      <c r="F644" s="4"/>
      <c r="G644" s="4"/>
      <c r="H644" s="4"/>
      <c r="I644" s="65"/>
      <c r="K644" s="199"/>
      <c r="L644" s="65"/>
      <c r="N644" s="105"/>
      <c r="T644" s="184"/>
      <c r="Y644" s="201"/>
      <c r="Z644" s="200"/>
      <c r="AA644" s="201"/>
      <c r="AB644" s="68"/>
      <c r="AC644" s="210"/>
      <c r="AD644" s="68"/>
      <c r="AH644" s="67"/>
      <c r="AI644" s="204"/>
      <c r="AK644" s="200"/>
      <c r="AN644" s="68"/>
      <c r="AO644" s="206"/>
      <c r="AS644" s="200"/>
      <c r="AT644" s="200"/>
      <c r="AU644" s="68"/>
      <c r="AY644" s="67"/>
      <c r="AZ644" s="204"/>
      <c r="BC644" s="68"/>
      <c r="BD644" s="68"/>
      <c r="BF644" s="200"/>
    </row>
    <row r="645">
      <c r="D645" s="110"/>
      <c r="F645" s="4"/>
      <c r="G645" s="4"/>
      <c r="H645" s="4"/>
      <c r="I645" s="65"/>
      <c r="K645" s="199"/>
      <c r="L645" s="65"/>
      <c r="N645" s="105"/>
      <c r="T645" s="184"/>
      <c r="Y645" s="201"/>
      <c r="Z645" s="200"/>
      <c r="AA645" s="201"/>
      <c r="AB645" s="68"/>
      <c r="AC645" s="210"/>
      <c r="AD645" s="68"/>
      <c r="AH645" s="67"/>
      <c r="AI645" s="204"/>
      <c r="AK645" s="200"/>
      <c r="AN645" s="68"/>
      <c r="AO645" s="206"/>
      <c r="AS645" s="200"/>
      <c r="AT645" s="200"/>
      <c r="AU645" s="68"/>
      <c r="AY645" s="67"/>
      <c r="AZ645" s="204"/>
      <c r="BC645" s="68"/>
      <c r="BD645" s="68"/>
      <c r="BF645" s="200"/>
    </row>
    <row r="646">
      <c r="D646" s="110"/>
      <c r="F646" s="4"/>
      <c r="G646" s="4"/>
      <c r="H646" s="4"/>
      <c r="I646" s="65"/>
      <c r="K646" s="199"/>
      <c r="L646" s="65"/>
      <c r="N646" s="105"/>
      <c r="T646" s="184"/>
      <c r="Y646" s="201"/>
      <c r="Z646" s="200"/>
      <c r="AA646" s="201"/>
      <c r="AB646" s="68"/>
      <c r="AC646" s="210"/>
      <c r="AD646" s="68"/>
      <c r="AH646" s="67"/>
      <c r="AI646" s="204"/>
      <c r="AK646" s="200"/>
      <c r="AN646" s="68"/>
      <c r="AO646" s="206"/>
      <c r="AS646" s="200"/>
      <c r="AT646" s="200"/>
      <c r="AU646" s="68"/>
      <c r="AY646" s="67"/>
      <c r="AZ646" s="204"/>
      <c r="BC646" s="68"/>
      <c r="BD646" s="68"/>
      <c r="BF646" s="200"/>
    </row>
    <row r="647">
      <c r="D647" s="110"/>
      <c r="F647" s="4"/>
      <c r="G647" s="4"/>
      <c r="H647" s="4"/>
      <c r="I647" s="65"/>
      <c r="K647" s="199"/>
      <c r="L647" s="65"/>
      <c r="N647" s="105"/>
      <c r="T647" s="184"/>
      <c r="Y647" s="201"/>
      <c r="Z647" s="200"/>
      <c r="AA647" s="201"/>
      <c r="AB647" s="68"/>
      <c r="AC647" s="210"/>
      <c r="AD647" s="68"/>
      <c r="AH647" s="67"/>
      <c r="AI647" s="204"/>
      <c r="AK647" s="200"/>
      <c r="AN647" s="68"/>
      <c r="AO647" s="206"/>
      <c r="AS647" s="200"/>
      <c r="AT647" s="200"/>
      <c r="AU647" s="68"/>
      <c r="AY647" s="67"/>
      <c r="AZ647" s="204"/>
      <c r="BC647" s="68"/>
      <c r="BD647" s="68"/>
      <c r="BF647" s="200"/>
    </row>
    <row r="648">
      <c r="D648" s="110"/>
      <c r="F648" s="4"/>
      <c r="G648" s="4"/>
      <c r="H648" s="4"/>
      <c r="I648" s="65"/>
      <c r="K648" s="199"/>
      <c r="L648" s="65"/>
      <c r="N648" s="105"/>
      <c r="T648" s="184"/>
      <c r="Y648" s="201"/>
      <c r="Z648" s="200"/>
      <c r="AA648" s="201"/>
      <c r="AB648" s="68"/>
      <c r="AC648" s="210"/>
      <c r="AD648" s="68"/>
      <c r="AH648" s="67"/>
      <c r="AI648" s="204"/>
      <c r="AK648" s="200"/>
      <c r="AN648" s="68"/>
      <c r="AO648" s="206"/>
      <c r="AS648" s="200"/>
      <c r="AT648" s="200"/>
      <c r="AU648" s="68"/>
      <c r="AY648" s="67"/>
      <c r="AZ648" s="204"/>
      <c r="BC648" s="68"/>
      <c r="BD648" s="68"/>
      <c r="BF648" s="200"/>
    </row>
    <row r="649">
      <c r="D649" s="110"/>
      <c r="F649" s="4"/>
      <c r="G649" s="4"/>
      <c r="H649" s="4"/>
      <c r="I649" s="65"/>
      <c r="K649" s="199"/>
      <c r="L649" s="65"/>
      <c r="N649" s="105"/>
      <c r="T649" s="184"/>
      <c r="Y649" s="201"/>
      <c r="Z649" s="200"/>
      <c r="AA649" s="201"/>
      <c r="AB649" s="68"/>
      <c r="AC649" s="210"/>
      <c r="AD649" s="68"/>
      <c r="AH649" s="67"/>
      <c r="AI649" s="204"/>
      <c r="AK649" s="200"/>
      <c r="AN649" s="68"/>
      <c r="AO649" s="206"/>
      <c r="AS649" s="200"/>
      <c r="AT649" s="200"/>
      <c r="AU649" s="68"/>
      <c r="AY649" s="67"/>
      <c r="AZ649" s="204"/>
      <c r="BC649" s="68"/>
      <c r="BD649" s="68"/>
      <c r="BF649" s="200"/>
    </row>
    <row r="650">
      <c r="D650" s="110"/>
      <c r="F650" s="4"/>
      <c r="G650" s="4"/>
      <c r="H650" s="4"/>
      <c r="I650" s="65"/>
      <c r="K650" s="199"/>
      <c r="L650" s="65"/>
      <c r="N650" s="105"/>
      <c r="T650" s="184"/>
      <c r="Y650" s="201"/>
      <c r="Z650" s="200"/>
      <c r="AA650" s="201"/>
      <c r="AB650" s="68"/>
      <c r="AC650" s="210"/>
      <c r="AD650" s="68"/>
      <c r="AH650" s="67"/>
      <c r="AI650" s="204"/>
      <c r="AK650" s="200"/>
      <c r="AN650" s="68"/>
      <c r="AO650" s="206"/>
      <c r="AS650" s="200"/>
      <c r="AT650" s="200"/>
      <c r="AU650" s="68"/>
      <c r="AY650" s="67"/>
      <c r="AZ650" s="204"/>
      <c r="BC650" s="68"/>
      <c r="BD650" s="68"/>
      <c r="BF650" s="200"/>
    </row>
    <row r="651">
      <c r="D651" s="110"/>
      <c r="F651" s="4"/>
      <c r="G651" s="4"/>
      <c r="H651" s="4"/>
      <c r="I651" s="65"/>
      <c r="K651" s="199"/>
      <c r="L651" s="65"/>
      <c r="N651" s="105"/>
      <c r="T651" s="184"/>
      <c r="Y651" s="201"/>
      <c r="Z651" s="200"/>
      <c r="AA651" s="201"/>
      <c r="AB651" s="68"/>
      <c r="AC651" s="210"/>
      <c r="AD651" s="68"/>
      <c r="AH651" s="67"/>
      <c r="AI651" s="204"/>
      <c r="AK651" s="200"/>
      <c r="AN651" s="68"/>
      <c r="AO651" s="206"/>
      <c r="AS651" s="200"/>
      <c r="AT651" s="200"/>
      <c r="AU651" s="68"/>
      <c r="AY651" s="67"/>
      <c r="AZ651" s="204"/>
      <c r="BC651" s="68"/>
      <c r="BD651" s="68"/>
      <c r="BF651" s="200"/>
    </row>
    <row r="652">
      <c r="D652" s="110"/>
      <c r="F652" s="4"/>
      <c r="G652" s="4"/>
      <c r="H652" s="4"/>
      <c r="I652" s="65"/>
      <c r="K652" s="199"/>
      <c r="L652" s="65"/>
      <c r="N652" s="105"/>
      <c r="T652" s="184"/>
      <c r="Y652" s="201"/>
      <c r="Z652" s="200"/>
      <c r="AA652" s="201"/>
      <c r="AB652" s="68"/>
      <c r="AC652" s="210"/>
      <c r="AD652" s="68"/>
      <c r="AH652" s="67"/>
      <c r="AI652" s="204"/>
      <c r="AK652" s="200"/>
      <c r="AN652" s="68"/>
      <c r="AO652" s="206"/>
      <c r="AS652" s="200"/>
      <c r="AT652" s="200"/>
      <c r="AU652" s="68"/>
      <c r="AY652" s="67"/>
      <c r="AZ652" s="204"/>
      <c r="BC652" s="68"/>
      <c r="BD652" s="68"/>
      <c r="BF652" s="200"/>
    </row>
    <row r="653">
      <c r="D653" s="110"/>
      <c r="F653" s="4"/>
      <c r="G653" s="4"/>
      <c r="H653" s="4"/>
      <c r="I653" s="65"/>
      <c r="K653" s="199"/>
      <c r="L653" s="65"/>
      <c r="N653" s="105"/>
      <c r="T653" s="184"/>
      <c r="Y653" s="201"/>
      <c r="Z653" s="200"/>
      <c r="AA653" s="201"/>
      <c r="AB653" s="68"/>
      <c r="AC653" s="210"/>
      <c r="AD653" s="68"/>
      <c r="AH653" s="67"/>
      <c r="AI653" s="204"/>
      <c r="AK653" s="200"/>
      <c r="AN653" s="68"/>
      <c r="AO653" s="206"/>
      <c r="AS653" s="200"/>
      <c r="AT653" s="200"/>
      <c r="AU653" s="68"/>
      <c r="AY653" s="67"/>
      <c r="AZ653" s="204"/>
      <c r="BC653" s="68"/>
      <c r="BD653" s="68"/>
      <c r="BF653" s="200"/>
    </row>
    <row r="654">
      <c r="D654" s="110"/>
      <c r="F654" s="4"/>
      <c r="G654" s="4"/>
      <c r="H654" s="4"/>
      <c r="I654" s="65"/>
      <c r="K654" s="199"/>
      <c r="L654" s="65"/>
      <c r="N654" s="105"/>
      <c r="T654" s="184"/>
      <c r="Y654" s="201"/>
      <c r="Z654" s="200"/>
      <c r="AA654" s="201"/>
      <c r="AB654" s="68"/>
      <c r="AC654" s="210"/>
      <c r="AD654" s="68"/>
      <c r="AH654" s="67"/>
      <c r="AI654" s="204"/>
      <c r="AK654" s="200"/>
      <c r="AN654" s="68"/>
      <c r="AO654" s="206"/>
      <c r="AS654" s="200"/>
      <c r="AT654" s="200"/>
      <c r="AU654" s="68"/>
      <c r="AY654" s="67"/>
      <c r="AZ654" s="204"/>
      <c r="BC654" s="68"/>
      <c r="BD654" s="68"/>
      <c r="BF654" s="200"/>
    </row>
    <row r="655">
      <c r="D655" s="110"/>
      <c r="F655" s="4"/>
      <c r="G655" s="4"/>
      <c r="H655" s="4"/>
      <c r="I655" s="65"/>
      <c r="K655" s="199"/>
      <c r="L655" s="65"/>
      <c r="N655" s="105"/>
      <c r="T655" s="184"/>
      <c r="Y655" s="201"/>
      <c r="Z655" s="200"/>
      <c r="AA655" s="201"/>
      <c r="AB655" s="68"/>
      <c r="AC655" s="210"/>
      <c r="AD655" s="68"/>
      <c r="AH655" s="67"/>
      <c r="AI655" s="204"/>
      <c r="AK655" s="200"/>
      <c r="AN655" s="68"/>
      <c r="AO655" s="206"/>
      <c r="AS655" s="200"/>
      <c r="AT655" s="200"/>
      <c r="AU655" s="68"/>
      <c r="AY655" s="67"/>
      <c r="AZ655" s="204"/>
      <c r="BC655" s="68"/>
      <c r="BD655" s="68"/>
      <c r="BF655" s="200"/>
    </row>
    <row r="656">
      <c r="D656" s="110"/>
      <c r="F656" s="4"/>
      <c r="G656" s="4"/>
      <c r="H656" s="4"/>
      <c r="I656" s="65"/>
      <c r="K656" s="199"/>
      <c r="L656" s="65"/>
      <c r="N656" s="105"/>
      <c r="T656" s="184"/>
      <c r="Y656" s="201"/>
      <c r="Z656" s="200"/>
      <c r="AA656" s="201"/>
      <c r="AB656" s="68"/>
      <c r="AC656" s="210"/>
      <c r="AD656" s="68"/>
      <c r="AH656" s="67"/>
      <c r="AI656" s="204"/>
      <c r="AK656" s="200"/>
      <c r="AN656" s="68"/>
      <c r="AO656" s="206"/>
      <c r="AS656" s="200"/>
      <c r="AT656" s="200"/>
      <c r="AU656" s="68"/>
      <c r="AY656" s="67"/>
      <c r="AZ656" s="204"/>
      <c r="BC656" s="68"/>
      <c r="BD656" s="68"/>
      <c r="BF656" s="200"/>
    </row>
    <row r="657">
      <c r="D657" s="110"/>
      <c r="F657" s="4"/>
      <c r="G657" s="4"/>
      <c r="H657" s="4"/>
      <c r="I657" s="65"/>
      <c r="K657" s="199"/>
      <c r="L657" s="65"/>
      <c r="N657" s="105"/>
      <c r="T657" s="184"/>
      <c r="Y657" s="201"/>
      <c r="Z657" s="200"/>
      <c r="AA657" s="201"/>
      <c r="AB657" s="68"/>
      <c r="AC657" s="210"/>
      <c r="AD657" s="68"/>
      <c r="AH657" s="67"/>
      <c r="AI657" s="204"/>
      <c r="AK657" s="200"/>
      <c r="AN657" s="68"/>
      <c r="AO657" s="206"/>
      <c r="AS657" s="200"/>
      <c r="AT657" s="200"/>
      <c r="AU657" s="68"/>
      <c r="AY657" s="67"/>
      <c r="AZ657" s="204"/>
      <c r="BC657" s="68"/>
      <c r="BD657" s="68"/>
      <c r="BF657" s="200"/>
    </row>
    <row r="658">
      <c r="D658" s="110"/>
      <c r="F658" s="4"/>
      <c r="G658" s="4"/>
      <c r="H658" s="4"/>
      <c r="I658" s="65"/>
      <c r="K658" s="199"/>
      <c r="L658" s="65"/>
      <c r="N658" s="105"/>
      <c r="T658" s="184"/>
      <c r="Y658" s="201"/>
      <c r="Z658" s="200"/>
      <c r="AA658" s="201"/>
      <c r="AB658" s="68"/>
      <c r="AC658" s="210"/>
      <c r="AD658" s="68"/>
      <c r="AH658" s="67"/>
      <c r="AI658" s="204"/>
      <c r="AK658" s="200"/>
      <c r="AN658" s="68"/>
      <c r="AO658" s="206"/>
      <c r="AS658" s="200"/>
      <c r="AT658" s="200"/>
      <c r="AU658" s="68"/>
      <c r="AY658" s="67"/>
      <c r="AZ658" s="204"/>
      <c r="BC658" s="68"/>
      <c r="BD658" s="68"/>
      <c r="BF658" s="200"/>
    </row>
    <row r="659">
      <c r="D659" s="110"/>
      <c r="F659" s="4"/>
      <c r="G659" s="4"/>
      <c r="H659" s="4"/>
      <c r="I659" s="65"/>
      <c r="K659" s="199"/>
      <c r="L659" s="65"/>
      <c r="N659" s="105"/>
      <c r="T659" s="184"/>
      <c r="Y659" s="201"/>
      <c r="Z659" s="200"/>
      <c r="AA659" s="201"/>
      <c r="AB659" s="68"/>
      <c r="AC659" s="210"/>
      <c r="AD659" s="68"/>
      <c r="AH659" s="67"/>
      <c r="AI659" s="204"/>
      <c r="AK659" s="200"/>
      <c r="AN659" s="68"/>
      <c r="AO659" s="206"/>
      <c r="AS659" s="200"/>
      <c r="AT659" s="200"/>
      <c r="AU659" s="68"/>
      <c r="AY659" s="67"/>
      <c r="AZ659" s="204"/>
      <c r="BC659" s="68"/>
      <c r="BD659" s="68"/>
      <c r="BF659" s="200"/>
    </row>
    <row r="660">
      <c r="D660" s="110"/>
      <c r="F660" s="4"/>
      <c r="G660" s="4"/>
      <c r="H660" s="4"/>
      <c r="I660" s="65"/>
      <c r="K660" s="199"/>
      <c r="L660" s="65"/>
      <c r="N660" s="105"/>
      <c r="T660" s="184"/>
      <c r="Y660" s="201"/>
      <c r="Z660" s="200"/>
      <c r="AA660" s="201"/>
      <c r="AB660" s="68"/>
      <c r="AC660" s="210"/>
      <c r="AD660" s="68"/>
      <c r="AH660" s="67"/>
      <c r="AI660" s="204"/>
      <c r="AK660" s="200"/>
      <c r="AN660" s="68"/>
      <c r="AO660" s="206"/>
      <c r="AS660" s="200"/>
      <c r="AT660" s="200"/>
      <c r="AU660" s="68"/>
      <c r="AY660" s="67"/>
      <c r="AZ660" s="204"/>
      <c r="BC660" s="68"/>
      <c r="BD660" s="68"/>
      <c r="BF660" s="200"/>
    </row>
    <row r="661">
      <c r="D661" s="110"/>
      <c r="F661" s="4"/>
      <c r="G661" s="4"/>
      <c r="H661" s="4"/>
      <c r="I661" s="65"/>
      <c r="K661" s="199"/>
      <c r="L661" s="65"/>
      <c r="N661" s="105"/>
      <c r="T661" s="184"/>
      <c r="Y661" s="201"/>
      <c r="Z661" s="200"/>
      <c r="AA661" s="201"/>
      <c r="AB661" s="68"/>
      <c r="AC661" s="210"/>
      <c r="AD661" s="68"/>
      <c r="AH661" s="67"/>
      <c r="AI661" s="204"/>
      <c r="AK661" s="200"/>
      <c r="AN661" s="68"/>
      <c r="AO661" s="206"/>
      <c r="AS661" s="200"/>
      <c r="AT661" s="200"/>
      <c r="AU661" s="68"/>
      <c r="AY661" s="67"/>
      <c r="AZ661" s="204"/>
      <c r="BC661" s="68"/>
      <c r="BD661" s="68"/>
      <c r="BF661" s="200"/>
    </row>
    <row r="662">
      <c r="D662" s="110"/>
      <c r="F662" s="4"/>
      <c r="G662" s="4"/>
      <c r="H662" s="4"/>
      <c r="I662" s="65"/>
      <c r="K662" s="199"/>
      <c r="L662" s="65"/>
      <c r="N662" s="105"/>
      <c r="T662" s="184"/>
      <c r="Y662" s="201"/>
      <c r="Z662" s="200"/>
      <c r="AA662" s="201"/>
      <c r="AB662" s="68"/>
      <c r="AC662" s="210"/>
      <c r="AD662" s="68"/>
      <c r="AH662" s="67"/>
      <c r="AI662" s="204"/>
      <c r="AK662" s="200"/>
      <c r="AN662" s="68"/>
      <c r="AO662" s="206"/>
      <c r="AS662" s="200"/>
      <c r="AT662" s="200"/>
      <c r="AU662" s="68"/>
      <c r="AY662" s="67"/>
      <c r="AZ662" s="204"/>
      <c r="BC662" s="68"/>
      <c r="BD662" s="68"/>
      <c r="BF662" s="200"/>
    </row>
    <row r="663">
      <c r="D663" s="110"/>
      <c r="F663" s="4"/>
      <c r="G663" s="4"/>
      <c r="H663" s="4"/>
      <c r="I663" s="65"/>
      <c r="K663" s="199"/>
      <c r="L663" s="65"/>
      <c r="N663" s="105"/>
      <c r="T663" s="184"/>
      <c r="Y663" s="201"/>
      <c r="Z663" s="200"/>
      <c r="AA663" s="201"/>
      <c r="AB663" s="68"/>
      <c r="AC663" s="210"/>
      <c r="AD663" s="68"/>
      <c r="AH663" s="67"/>
      <c r="AI663" s="204"/>
      <c r="AK663" s="200"/>
      <c r="AN663" s="68"/>
      <c r="AO663" s="206"/>
      <c r="AS663" s="200"/>
      <c r="AT663" s="200"/>
      <c r="AU663" s="68"/>
      <c r="AY663" s="67"/>
      <c r="AZ663" s="204"/>
      <c r="BC663" s="68"/>
      <c r="BD663" s="68"/>
      <c r="BF663" s="200"/>
    </row>
    <row r="664">
      <c r="D664" s="110"/>
      <c r="F664" s="4"/>
      <c r="G664" s="4"/>
      <c r="H664" s="4"/>
      <c r="I664" s="65"/>
      <c r="K664" s="199"/>
      <c r="L664" s="65"/>
      <c r="N664" s="105"/>
      <c r="T664" s="184"/>
      <c r="Y664" s="201"/>
      <c r="Z664" s="200"/>
      <c r="AA664" s="201"/>
      <c r="AB664" s="68"/>
      <c r="AC664" s="210"/>
      <c r="AD664" s="68"/>
      <c r="AH664" s="67"/>
      <c r="AI664" s="204"/>
      <c r="AK664" s="200"/>
      <c r="AN664" s="68"/>
      <c r="AO664" s="206"/>
      <c r="AS664" s="200"/>
      <c r="AT664" s="200"/>
      <c r="AU664" s="68"/>
      <c r="AY664" s="67"/>
      <c r="AZ664" s="204"/>
      <c r="BC664" s="68"/>
      <c r="BD664" s="68"/>
      <c r="BF664" s="200"/>
    </row>
    <row r="665">
      <c r="D665" s="110"/>
      <c r="F665" s="4"/>
      <c r="G665" s="4"/>
      <c r="H665" s="4"/>
      <c r="I665" s="65"/>
      <c r="K665" s="199"/>
      <c r="L665" s="65"/>
      <c r="N665" s="105"/>
      <c r="T665" s="184"/>
      <c r="Y665" s="201"/>
      <c r="Z665" s="200"/>
      <c r="AA665" s="201"/>
      <c r="AB665" s="68"/>
      <c r="AC665" s="210"/>
      <c r="AD665" s="68"/>
      <c r="AH665" s="67"/>
      <c r="AI665" s="204"/>
      <c r="AK665" s="200"/>
      <c r="AN665" s="68"/>
      <c r="AO665" s="206"/>
      <c r="AS665" s="200"/>
      <c r="AT665" s="200"/>
      <c r="AU665" s="68"/>
      <c r="AY665" s="67"/>
      <c r="AZ665" s="204"/>
      <c r="BC665" s="68"/>
      <c r="BD665" s="68"/>
      <c r="BF665" s="200"/>
    </row>
    <row r="666">
      <c r="D666" s="110"/>
      <c r="F666" s="4"/>
      <c r="G666" s="4"/>
      <c r="H666" s="4"/>
      <c r="I666" s="65"/>
      <c r="K666" s="199"/>
      <c r="L666" s="65"/>
      <c r="N666" s="105"/>
      <c r="T666" s="184"/>
      <c r="Y666" s="201"/>
      <c r="Z666" s="200"/>
      <c r="AA666" s="201"/>
      <c r="AB666" s="68"/>
      <c r="AC666" s="210"/>
      <c r="AD666" s="68"/>
      <c r="AH666" s="67"/>
      <c r="AI666" s="204"/>
      <c r="AK666" s="200"/>
      <c r="AN666" s="68"/>
      <c r="AO666" s="206"/>
      <c r="AS666" s="200"/>
      <c r="AT666" s="200"/>
      <c r="AU666" s="68"/>
      <c r="AY666" s="67"/>
      <c r="AZ666" s="204"/>
      <c r="BC666" s="68"/>
      <c r="BD666" s="68"/>
      <c r="BF666" s="200"/>
    </row>
    <row r="667">
      <c r="D667" s="110"/>
      <c r="F667" s="4"/>
      <c r="G667" s="4"/>
      <c r="H667" s="4"/>
      <c r="I667" s="65"/>
      <c r="K667" s="199"/>
      <c r="L667" s="65"/>
      <c r="N667" s="105"/>
      <c r="T667" s="184"/>
      <c r="Y667" s="201"/>
      <c r="Z667" s="200"/>
      <c r="AA667" s="201"/>
      <c r="AB667" s="68"/>
      <c r="AC667" s="210"/>
      <c r="AD667" s="68"/>
      <c r="AH667" s="67"/>
      <c r="AI667" s="204"/>
      <c r="AK667" s="200"/>
      <c r="AN667" s="68"/>
      <c r="AO667" s="206"/>
      <c r="AS667" s="200"/>
      <c r="AT667" s="200"/>
      <c r="AU667" s="68"/>
      <c r="AY667" s="67"/>
      <c r="AZ667" s="204"/>
      <c r="BC667" s="68"/>
      <c r="BD667" s="68"/>
      <c r="BF667" s="200"/>
    </row>
    <row r="668">
      <c r="D668" s="110"/>
      <c r="F668" s="4"/>
      <c r="G668" s="4"/>
      <c r="H668" s="4"/>
      <c r="I668" s="65"/>
      <c r="K668" s="199"/>
      <c r="L668" s="65"/>
      <c r="N668" s="105"/>
      <c r="T668" s="184"/>
      <c r="Y668" s="201"/>
      <c r="Z668" s="200"/>
      <c r="AA668" s="201"/>
      <c r="AB668" s="68"/>
      <c r="AC668" s="210"/>
      <c r="AD668" s="68"/>
      <c r="AH668" s="67"/>
      <c r="AI668" s="204"/>
      <c r="AK668" s="200"/>
      <c r="AN668" s="68"/>
      <c r="AO668" s="206"/>
      <c r="AS668" s="200"/>
      <c r="AT668" s="200"/>
      <c r="AU668" s="68"/>
      <c r="AY668" s="67"/>
      <c r="AZ668" s="204"/>
      <c r="BC668" s="68"/>
      <c r="BD668" s="68"/>
      <c r="BF668" s="200"/>
    </row>
    <row r="669">
      <c r="D669" s="110"/>
      <c r="F669" s="4"/>
      <c r="G669" s="4"/>
      <c r="H669" s="4"/>
      <c r="I669" s="65"/>
      <c r="K669" s="199"/>
      <c r="L669" s="65"/>
      <c r="N669" s="105"/>
      <c r="T669" s="184"/>
      <c r="Y669" s="201"/>
      <c r="Z669" s="200"/>
      <c r="AA669" s="201"/>
      <c r="AB669" s="68"/>
      <c r="AC669" s="210"/>
      <c r="AD669" s="68"/>
      <c r="AH669" s="67"/>
      <c r="AI669" s="204"/>
      <c r="AK669" s="200"/>
      <c r="AN669" s="68"/>
      <c r="AO669" s="206"/>
      <c r="AS669" s="200"/>
      <c r="AT669" s="200"/>
      <c r="AU669" s="68"/>
      <c r="AY669" s="67"/>
      <c r="AZ669" s="204"/>
      <c r="BC669" s="68"/>
      <c r="BD669" s="68"/>
      <c r="BF669" s="200"/>
    </row>
    <row r="670">
      <c r="D670" s="110"/>
      <c r="F670" s="4"/>
      <c r="G670" s="4"/>
      <c r="H670" s="4"/>
      <c r="I670" s="65"/>
      <c r="K670" s="199"/>
      <c r="L670" s="65"/>
      <c r="N670" s="105"/>
      <c r="T670" s="184"/>
      <c r="Y670" s="201"/>
      <c r="Z670" s="200"/>
      <c r="AA670" s="201"/>
      <c r="AB670" s="68"/>
      <c r="AC670" s="210"/>
      <c r="AD670" s="68"/>
      <c r="AH670" s="67"/>
      <c r="AI670" s="204"/>
      <c r="AK670" s="200"/>
      <c r="AN670" s="68"/>
      <c r="AO670" s="206"/>
      <c r="AS670" s="200"/>
      <c r="AT670" s="200"/>
      <c r="AU670" s="68"/>
      <c r="AY670" s="67"/>
      <c r="AZ670" s="204"/>
      <c r="BC670" s="68"/>
      <c r="BD670" s="68"/>
      <c r="BF670" s="200"/>
    </row>
    <row r="671">
      <c r="D671" s="110"/>
      <c r="F671" s="4"/>
      <c r="G671" s="4"/>
      <c r="H671" s="4"/>
      <c r="I671" s="65"/>
      <c r="K671" s="199"/>
      <c r="L671" s="65"/>
      <c r="N671" s="105"/>
      <c r="T671" s="184"/>
      <c r="Y671" s="201"/>
      <c r="Z671" s="200"/>
      <c r="AA671" s="201"/>
      <c r="AB671" s="68"/>
      <c r="AC671" s="210"/>
      <c r="AD671" s="68"/>
      <c r="AH671" s="67"/>
      <c r="AI671" s="204"/>
      <c r="AK671" s="200"/>
      <c r="AN671" s="68"/>
      <c r="AO671" s="206"/>
      <c r="AS671" s="200"/>
      <c r="AT671" s="200"/>
      <c r="AU671" s="68"/>
      <c r="AY671" s="67"/>
      <c r="AZ671" s="204"/>
      <c r="BC671" s="68"/>
      <c r="BD671" s="68"/>
      <c r="BF671" s="200"/>
    </row>
    <row r="672">
      <c r="D672" s="110"/>
      <c r="F672" s="4"/>
      <c r="G672" s="4"/>
      <c r="H672" s="4"/>
      <c r="I672" s="65"/>
      <c r="K672" s="199"/>
      <c r="L672" s="65"/>
      <c r="N672" s="105"/>
      <c r="T672" s="184"/>
      <c r="Y672" s="201"/>
      <c r="Z672" s="200"/>
      <c r="AA672" s="201"/>
      <c r="AB672" s="68"/>
      <c r="AC672" s="210"/>
      <c r="AD672" s="68"/>
      <c r="AH672" s="67"/>
      <c r="AI672" s="204"/>
      <c r="AK672" s="200"/>
      <c r="AN672" s="68"/>
      <c r="AO672" s="206"/>
      <c r="AS672" s="200"/>
      <c r="AT672" s="200"/>
      <c r="AU672" s="68"/>
      <c r="AY672" s="67"/>
      <c r="AZ672" s="204"/>
      <c r="BC672" s="68"/>
      <c r="BD672" s="68"/>
      <c r="BF672" s="200"/>
    </row>
    <row r="673">
      <c r="D673" s="110"/>
      <c r="F673" s="4"/>
      <c r="G673" s="4"/>
      <c r="H673" s="4"/>
      <c r="I673" s="65"/>
      <c r="K673" s="199"/>
      <c r="L673" s="65"/>
      <c r="N673" s="105"/>
      <c r="T673" s="184"/>
      <c r="Y673" s="201"/>
      <c r="Z673" s="200"/>
      <c r="AA673" s="201"/>
      <c r="AB673" s="68"/>
      <c r="AC673" s="210"/>
      <c r="AD673" s="68"/>
      <c r="AH673" s="67"/>
      <c r="AI673" s="204"/>
      <c r="AK673" s="200"/>
      <c r="AN673" s="68"/>
      <c r="AO673" s="206"/>
      <c r="AS673" s="200"/>
      <c r="AT673" s="200"/>
      <c r="AU673" s="68"/>
      <c r="AY673" s="67"/>
      <c r="AZ673" s="204"/>
      <c r="BC673" s="68"/>
      <c r="BD673" s="68"/>
      <c r="BF673" s="200"/>
    </row>
    <row r="674">
      <c r="D674" s="110"/>
      <c r="F674" s="4"/>
      <c r="G674" s="4"/>
      <c r="H674" s="4"/>
      <c r="I674" s="65"/>
      <c r="K674" s="199"/>
      <c r="L674" s="65"/>
      <c r="N674" s="105"/>
      <c r="T674" s="184"/>
      <c r="Y674" s="201"/>
      <c r="Z674" s="200"/>
      <c r="AA674" s="201"/>
      <c r="AB674" s="68"/>
      <c r="AC674" s="210"/>
      <c r="AD674" s="68"/>
      <c r="AH674" s="67"/>
      <c r="AI674" s="204"/>
      <c r="AK674" s="200"/>
      <c r="AN674" s="68"/>
      <c r="AO674" s="206"/>
      <c r="AS674" s="200"/>
      <c r="AT674" s="200"/>
      <c r="AU674" s="68"/>
      <c r="AY674" s="67"/>
      <c r="AZ674" s="204"/>
      <c r="BC674" s="68"/>
      <c r="BD674" s="68"/>
      <c r="BF674" s="200"/>
    </row>
    <row r="675">
      <c r="D675" s="110"/>
      <c r="F675" s="4"/>
      <c r="G675" s="4"/>
      <c r="H675" s="4"/>
      <c r="I675" s="65"/>
      <c r="K675" s="199"/>
      <c r="L675" s="65"/>
      <c r="N675" s="105"/>
      <c r="T675" s="184"/>
      <c r="Y675" s="201"/>
      <c r="Z675" s="200"/>
      <c r="AA675" s="201"/>
      <c r="AB675" s="68"/>
      <c r="AC675" s="210"/>
      <c r="AD675" s="68"/>
      <c r="AH675" s="67"/>
      <c r="AI675" s="204"/>
      <c r="AK675" s="200"/>
      <c r="AN675" s="68"/>
      <c r="AO675" s="206"/>
      <c r="AS675" s="200"/>
      <c r="AT675" s="200"/>
      <c r="AU675" s="68"/>
      <c r="AY675" s="67"/>
      <c r="AZ675" s="204"/>
      <c r="BC675" s="68"/>
      <c r="BD675" s="68"/>
      <c r="BF675" s="200"/>
    </row>
    <row r="676">
      <c r="D676" s="110"/>
      <c r="F676" s="4"/>
      <c r="G676" s="4"/>
      <c r="H676" s="4"/>
      <c r="I676" s="65"/>
      <c r="K676" s="199"/>
      <c r="L676" s="65"/>
      <c r="N676" s="105"/>
      <c r="T676" s="184"/>
      <c r="Y676" s="201"/>
      <c r="Z676" s="200"/>
      <c r="AA676" s="201"/>
      <c r="AB676" s="68"/>
      <c r="AC676" s="210"/>
      <c r="AD676" s="68"/>
      <c r="AH676" s="67"/>
      <c r="AI676" s="204"/>
      <c r="AK676" s="200"/>
      <c r="AN676" s="68"/>
      <c r="AO676" s="206"/>
      <c r="AS676" s="200"/>
      <c r="AT676" s="200"/>
      <c r="AU676" s="68"/>
      <c r="AY676" s="67"/>
      <c r="AZ676" s="204"/>
      <c r="BC676" s="68"/>
      <c r="BD676" s="68"/>
      <c r="BF676" s="200"/>
    </row>
    <row r="677">
      <c r="D677" s="110"/>
      <c r="F677" s="4"/>
      <c r="G677" s="4"/>
      <c r="H677" s="4"/>
      <c r="I677" s="65"/>
      <c r="K677" s="199"/>
      <c r="L677" s="65"/>
      <c r="N677" s="105"/>
      <c r="T677" s="184"/>
      <c r="Y677" s="201"/>
      <c r="Z677" s="200"/>
      <c r="AA677" s="201"/>
      <c r="AB677" s="68"/>
      <c r="AC677" s="210"/>
      <c r="AD677" s="68"/>
      <c r="AH677" s="67"/>
      <c r="AI677" s="204"/>
      <c r="AK677" s="200"/>
      <c r="AN677" s="68"/>
      <c r="AO677" s="206"/>
      <c r="AS677" s="200"/>
      <c r="AT677" s="200"/>
      <c r="AU677" s="68"/>
      <c r="AY677" s="67"/>
      <c r="AZ677" s="204"/>
      <c r="BC677" s="68"/>
      <c r="BD677" s="68"/>
      <c r="BF677" s="200"/>
    </row>
    <row r="678">
      <c r="D678" s="110"/>
      <c r="F678" s="4"/>
      <c r="G678" s="4"/>
      <c r="H678" s="4"/>
      <c r="I678" s="65"/>
      <c r="K678" s="199"/>
      <c r="L678" s="65"/>
      <c r="N678" s="105"/>
      <c r="T678" s="184"/>
      <c r="Y678" s="201"/>
      <c r="Z678" s="200"/>
      <c r="AA678" s="201"/>
      <c r="AB678" s="68"/>
      <c r="AC678" s="210"/>
      <c r="AD678" s="68"/>
      <c r="AH678" s="67"/>
      <c r="AI678" s="204"/>
      <c r="AK678" s="200"/>
      <c r="AN678" s="68"/>
      <c r="AO678" s="206"/>
      <c r="AS678" s="200"/>
      <c r="AT678" s="200"/>
      <c r="AU678" s="68"/>
      <c r="AY678" s="67"/>
      <c r="AZ678" s="204"/>
      <c r="BC678" s="68"/>
      <c r="BD678" s="68"/>
      <c r="BF678" s="200"/>
    </row>
    <row r="679">
      <c r="D679" s="110"/>
      <c r="F679" s="4"/>
      <c r="G679" s="4"/>
      <c r="H679" s="4"/>
      <c r="I679" s="65"/>
      <c r="K679" s="199"/>
      <c r="L679" s="65"/>
      <c r="N679" s="105"/>
      <c r="T679" s="184"/>
      <c r="Y679" s="201"/>
      <c r="Z679" s="200"/>
      <c r="AA679" s="201"/>
      <c r="AB679" s="68"/>
      <c r="AC679" s="210"/>
      <c r="AD679" s="68"/>
      <c r="AH679" s="67"/>
      <c r="AI679" s="204"/>
      <c r="AK679" s="200"/>
      <c r="AN679" s="68"/>
      <c r="AO679" s="206"/>
      <c r="AS679" s="200"/>
      <c r="AT679" s="200"/>
      <c r="AU679" s="68"/>
      <c r="AY679" s="67"/>
      <c r="AZ679" s="204"/>
      <c r="BC679" s="68"/>
      <c r="BD679" s="68"/>
      <c r="BF679" s="200"/>
    </row>
    <row r="680">
      <c r="D680" s="110"/>
      <c r="F680" s="4"/>
      <c r="G680" s="4"/>
      <c r="H680" s="4"/>
      <c r="I680" s="65"/>
      <c r="K680" s="199"/>
      <c r="L680" s="65"/>
      <c r="N680" s="105"/>
      <c r="T680" s="184"/>
      <c r="Y680" s="201"/>
      <c r="Z680" s="200"/>
      <c r="AA680" s="201"/>
      <c r="AB680" s="68"/>
      <c r="AC680" s="210"/>
      <c r="AD680" s="68"/>
      <c r="AH680" s="67"/>
      <c r="AI680" s="204"/>
      <c r="AK680" s="200"/>
      <c r="AN680" s="68"/>
      <c r="AO680" s="206"/>
      <c r="AS680" s="200"/>
      <c r="AT680" s="200"/>
      <c r="AU680" s="68"/>
      <c r="AY680" s="67"/>
      <c r="AZ680" s="204"/>
      <c r="BC680" s="68"/>
      <c r="BD680" s="68"/>
      <c r="BF680" s="200"/>
    </row>
    <row r="681">
      <c r="D681" s="110"/>
      <c r="F681" s="4"/>
      <c r="G681" s="4"/>
      <c r="H681" s="4"/>
      <c r="I681" s="65"/>
      <c r="K681" s="199"/>
      <c r="L681" s="65"/>
      <c r="N681" s="105"/>
      <c r="T681" s="184"/>
      <c r="Y681" s="201"/>
      <c r="Z681" s="200"/>
      <c r="AA681" s="201"/>
      <c r="AB681" s="68"/>
      <c r="AC681" s="210"/>
      <c r="AD681" s="68"/>
      <c r="AH681" s="67"/>
      <c r="AI681" s="204"/>
      <c r="AK681" s="200"/>
      <c r="AN681" s="68"/>
      <c r="AO681" s="206"/>
      <c r="AS681" s="200"/>
      <c r="AT681" s="200"/>
      <c r="AU681" s="68"/>
      <c r="AY681" s="67"/>
      <c r="AZ681" s="204"/>
      <c r="BC681" s="68"/>
      <c r="BD681" s="68"/>
      <c r="BF681" s="200"/>
    </row>
    <row r="682">
      <c r="D682" s="110"/>
      <c r="F682" s="4"/>
      <c r="G682" s="4"/>
      <c r="H682" s="4"/>
      <c r="I682" s="65"/>
      <c r="K682" s="199"/>
      <c r="L682" s="65"/>
      <c r="N682" s="105"/>
      <c r="T682" s="184"/>
      <c r="Y682" s="201"/>
      <c r="Z682" s="200"/>
      <c r="AA682" s="201"/>
      <c r="AB682" s="68"/>
      <c r="AC682" s="210"/>
      <c r="AD682" s="68"/>
      <c r="AH682" s="67"/>
      <c r="AI682" s="204"/>
      <c r="AK682" s="200"/>
      <c r="AN682" s="68"/>
      <c r="AO682" s="206"/>
      <c r="AS682" s="200"/>
      <c r="AT682" s="200"/>
      <c r="AU682" s="68"/>
      <c r="AY682" s="67"/>
      <c r="AZ682" s="204"/>
      <c r="BC682" s="68"/>
      <c r="BD682" s="68"/>
      <c r="BF682" s="200"/>
    </row>
    <row r="683">
      <c r="D683" s="110"/>
      <c r="F683" s="4"/>
      <c r="G683" s="4"/>
      <c r="H683" s="4"/>
      <c r="I683" s="65"/>
      <c r="K683" s="199"/>
      <c r="L683" s="65"/>
      <c r="N683" s="105"/>
      <c r="T683" s="184"/>
      <c r="Y683" s="201"/>
      <c r="Z683" s="200"/>
      <c r="AA683" s="201"/>
      <c r="AB683" s="68"/>
      <c r="AC683" s="210"/>
      <c r="AD683" s="68"/>
      <c r="AH683" s="67"/>
      <c r="AI683" s="204"/>
      <c r="AK683" s="200"/>
      <c r="AN683" s="68"/>
      <c r="AO683" s="206"/>
      <c r="AS683" s="200"/>
      <c r="AT683" s="200"/>
      <c r="AU683" s="68"/>
      <c r="AY683" s="67"/>
      <c r="AZ683" s="204"/>
      <c r="BC683" s="68"/>
      <c r="BD683" s="68"/>
      <c r="BF683" s="200"/>
    </row>
    <row r="684">
      <c r="D684" s="110"/>
      <c r="F684" s="4"/>
      <c r="G684" s="4"/>
      <c r="H684" s="4"/>
      <c r="I684" s="65"/>
      <c r="K684" s="199"/>
      <c r="L684" s="65"/>
      <c r="N684" s="105"/>
      <c r="T684" s="184"/>
      <c r="Y684" s="201"/>
      <c r="Z684" s="200"/>
      <c r="AA684" s="201"/>
      <c r="AB684" s="68"/>
      <c r="AC684" s="210"/>
      <c r="AD684" s="68"/>
      <c r="AH684" s="67"/>
      <c r="AI684" s="204"/>
      <c r="AK684" s="200"/>
      <c r="AN684" s="68"/>
      <c r="AO684" s="206"/>
      <c r="AS684" s="200"/>
      <c r="AT684" s="200"/>
      <c r="AU684" s="68"/>
      <c r="AY684" s="67"/>
      <c r="AZ684" s="204"/>
      <c r="BC684" s="68"/>
      <c r="BD684" s="68"/>
      <c r="BF684" s="200"/>
    </row>
    <row r="685">
      <c r="D685" s="110"/>
      <c r="F685" s="4"/>
      <c r="G685" s="4"/>
      <c r="H685" s="4"/>
      <c r="I685" s="65"/>
      <c r="K685" s="199"/>
      <c r="L685" s="65"/>
      <c r="N685" s="105"/>
      <c r="T685" s="184"/>
      <c r="Y685" s="201"/>
      <c r="Z685" s="200"/>
      <c r="AA685" s="201"/>
      <c r="AB685" s="68"/>
      <c r="AC685" s="210"/>
      <c r="AD685" s="68"/>
      <c r="AH685" s="67"/>
      <c r="AI685" s="204"/>
      <c r="AK685" s="200"/>
      <c r="AN685" s="68"/>
      <c r="AO685" s="206"/>
      <c r="AS685" s="200"/>
      <c r="AT685" s="200"/>
      <c r="AU685" s="68"/>
      <c r="AY685" s="67"/>
      <c r="AZ685" s="204"/>
      <c r="BC685" s="68"/>
      <c r="BD685" s="68"/>
      <c r="BF685" s="200"/>
    </row>
    <row r="686">
      <c r="D686" s="110"/>
      <c r="F686" s="4"/>
      <c r="G686" s="4"/>
      <c r="H686" s="4"/>
      <c r="I686" s="65"/>
      <c r="K686" s="199"/>
      <c r="L686" s="65"/>
      <c r="N686" s="105"/>
      <c r="T686" s="184"/>
      <c r="Y686" s="201"/>
      <c r="Z686" s="200"/>
      <c r="AA686" s="201"/>
      <c r="AB686" s="68"/>
      <c r="AC686" s="210"/>
      <c r="AD686" s="68"/>
      <c r="AH686" s="67"/>
      <c r="AI686" s="204"/>
      <c r="AK686" s="200"/>
      <c r="AN686" s="68"/>
      <c r="AO686" s="206"/>
      <c r="AS686" s="200"/>
      <c r="AT686" s="200"/>
      <c r="AU686" s="68"/>
      <c r="AY686" s="67"/>
      <c r="AZ686" s="204"/>
      <c r="BC686" s="68"/>
      <c r="BD686" s="68"/>
      <c r="BF686" s="200"/>
    </row>
    <row r="687">
      <c r="D687" s="110"/>
      <c r="F687" s="4"/>
      <c r="G687" s="4"/>
      <c r="H687" s="4"/>
      <c r="I687" s="65"/>
      <c r="K687" s="199"/>
      <c r="L687" s="65"/>
      <c r="N687" s="105"/>
      <c r="T687" s="184"/>
      <c r="Y687" s="201"/>
      <c r="Z687" s="200"/>
      <c r="AA687" s="201"/>
      <c r="AB687" s="68"/>
      <c r="AC687" s="210"/>
      <c r="AD687" s="68"/>
      <c r="AH687" s="67"/>
      <c r="AI687" s="204"/>
      <c r="AK687" s="200"/>
      <c r="AN687" s="68"/>
      <c r="AO687" s="206"/>
      <c r="AS687" s="200"/>
      <c r="AT687" s="200"/>
      <c r="AU687" s="68"/>
      <c r="AY687" s="67"/>
      <c r="AZ687" s="204"/>
      <c r="BC687" s="68"/>
      <c r="BD687" s="68"/>
      <c r="BF687" s="200"/>
    </row>
    <row r="688">
      <c r="D688" s="110"/>
      <c r="F688" s="4"/>
      <c r="G688" s="4"/>
      <c r="H688" s="4"/>
      <c r="I688" s="65"/>
      <c r="K688" s="199"/>
      <c r="L688" s="65"/>
      <c r="N688" s="105"/>
      <c r="T688" s="184"/>
      <c r="Y688" s="201"/>
      <c r="Z688" s="200"/>
      <c r="AA688" s="201"/>
      <c r="AB688" s="68"/>
      <c r="AC688" s="210"/>
      <c r="AD688" s="68"/>
      <c r="AH688" s="67"/>
      <c r="AI688" s="204"/>
      <c r="AK688" s="200"/>
      <c r="AN688" s="68"/>
      <c r="AO688" s="206"/>
      <c r="AS688" s="200"/>
      <c r="AT688" s="200"/>
      <c r="AU688" s="68"/>
      <c r="AY688" s="67"/>
      <c r="AZ688" s="204"/>
      <c r="BC688" s="68"/>
      <c r="BD688" s="68"/>
      <c r="BF688" s="200"/>
    </row>
    <row r="689">
      <c r="D689" s="110"/>
      <c r="F689" s="4"/>
      <c r="G689" s="4"/>
      <c r="H689" s="4"/>
      <c r="I689" s="65"/>
      <c r="K689" s="199"/>
      <c r="L689" s="65"/>
      <c r="N689" s="105"/>
      <c r="T689" s="184"/>
      <c r="Y689" s="201"/>
      <c r="Z689" s="200"/>
      <c r="AA689" s="201"/>
      <c r="AB689" s="68"/>
      <c r="AC689" s="210"/>
      <c r="AD689" s="68"/>
      <c r="AH689" s="67"/>
      <c r="AI689" s="204"/>
      <c r="AK689" s="200"/>
      <c r="AN689" s="68"/>
      <c r="AO689" s="206"/>
      <c r="AS689" s="200"/>
      <c r="AT689" s="200"/>
      <c r="AU689" s="68"/>
      <c r="AY689" s="67"/>
      <c r="AZ689" s="204"/>
      <c r="BC689" s="68"/>
      <c r="BD689" s="68"/>
      <c r="BF689" s="200"/>
    </row>
    <row r="690">
      <c r="D690" s="110"/>
      <c r="F690" s="4"/>
      <c r="G690" s="4"/>
      <c r="H690" s="4"/>
      <c r="I690" s="65"/>
      <c r="K690" s="199"/>
      <c r="L690" s="65"/>
      <c r="N690" s="105"/>
      <c r="T690" s="184"/>
      <c r="Y690" s="201"/>
      <c r="Z690" s="200"/>
      <c r="AA690" s="201"/>
      <c r="AB690" s="68"/>
      <c r="AC690" s="210"/>
      <c r="AD690" s="68"/>
      <c r="AH690" s="67"/>
      <c r="AI690" s="204"/>
      <c r="AK690" s="200"/>
      <c r="AN690" s="68"/>
      <c r="AO690" s="206"/>
      <c r="AS690" s="200"/>
      <c r="AT690" s="200"/>
      <c r="AU690" s="68"/>
      <c r="AY690" s="67"/>
      <c r="AZ690" s="204"/>
      <c r="BC690" s="68"/>
      <c r="BD690" s="68"/>
      <c r="BF690" s="200"/>
    </row>
    <row r="691">
      <c r="D691" s="110"/>
      <c r="F691" s="4"/>
      <c r="G691" s="4"/>
      <c r="H691" s="4"/>
      <c r="I691" s="65"/>
      <c r="K691" s="199"/>
      <c r="L691" s="65"/>
      <c r="N691" s="105"/>
      <c r="T691" s="184"/>
      <c r="Y691" s="201"/>
      <c r="Z691" s="200"/>
      <c r="AA691" s="201"/>
      <c r="AB691" s="68"/>
      <c r="AC691" s="210"/>
      <c r="AD691" s="68"/>
      <c r="AH691" s="67"/>
      <c r="AI691" s="204"/>
      <c r="AK691" s="200"/>
      <c r="AN691" s="68"/>
      <c r="AO691" s="206"/>
      <c r="AS691" s="200"/>
      <c r="AT691" s="200"/>
      <c r="AU691" s="68"/>
      <c r="AY691" s="67"/>
      <c r="AZ691" s="204"/>
      <c r="BC691" s="68"/>
      <c r="BD691" s="68"/>
      <c r="BF691" s="200"/>
    </row>
    <row r="692">
      <c r="D692" s="110"/>
      <c r="F692" s="4"/>
      <c r="G692" s="4"/>
      <c r="H692" s="4"/>
      <c r="I692" s="65"/>
      <c r="K692" s="199"/>
      <c r="L692" s="65"/>
      <c r="N692" s="105"/>
      <c r="T692" s="184"/>
      <c r="Y692" s="201"/>
      <c r="Z692" s="200"/>
      <c r="AA692" s="201"/>
      <c r="AB692" s="68"/>
      <c r="AC692" s="210"/>
      <c r="AD692" s="68"/>
      <c r="AH692" s="67"/>
      <c r="AI692" s="204"/>
      <c r="AK692" s="200"/>
      <c r="AN692" s="68"/>
      <c r="AO692" s="206"/>
      <c r="AS692" s="200"/>
      <c r="AT692" s="200"/>
      <c r="AU692" s="68"/>
      <c r="AY692" s="67"/>
      <c r="AZ692" s="204"/>
      <c r="BC692" s="68"/>
      <c r="BD692" s="68"/>
      <c r="BF692" s="200"/>
    </row>
    <row r="693">
      <c r="D693" s="110"/>
      <c r="F693" s="4"/>
      <c r="G693" s="4"/>
      <c r="H693" s="4"/>
      <c r="I693" s="65"/>
      <c r="K693" s="199"/>
      <c r="L693" s="65"/>
      <c r="N693" s="105"/>
      <c r="T693" s="184"/>
      <c r="Y693" s="201"/>
      <c r="Z693" s="200"/>
      <c r="AA693" s="201"/>
      <c r="AB693" s="68"/>
      <c r="AC693" s="210"/>
      <c r="AD693" s="68"/>
      <c r="AH693" s="67"/>
      <c r="AI693" s="204"/>
      <c r="AK693" s="200"/>
      <c r="AN693" s="68"/>
      <c r="AO693" s="206"/>
      <c r="AS693" s="200"/>
      <c r="AT693" s="200"/>
      <c r="AU693" s="68"/>
      <c r="AY693" s="67"/>
      <c r="AZ693" s="204"/>
      <c r="BC693" s="68"/>
      <c r="BD693" s="68"/>
      <c r="BF693" s="200"/>
    </row>
    <row r="694">
      <c r="D694" s="110"/>
      <c r="F694" s="4"/>
      <c r="G694" s="4"/>
      <c r="H694" s="4"/>
      <c r="I694" s="65"/>
      <c r="K694" s="199"/>
      <c r="L694" s="65"/>
      <c r="N694" s="105"/>
      <c r="T694" s="184"/>
      <c r="Y694" s="201"/>
      <c r="Z694" s="200"/>
      <c r="AA694" s="201"/>
      <c r="AB694" s="68"/>
      <c r="AC694" s="210"/>
      <c r="AD694" s="68"/>
      <c r="AH694" s="67"/>
      <c r="AI694" s="204"/>
      <c r="AK694" s="200"/>
      <c r="AN694" s="68"/>
      <c r="AO694" s="206"/>
      <c r="AS694" s="200"/>
      <c r="AT694" s="200"/>
      <c r="AU694" s="68"/>
      <c r="AY694" s="67"/>
      <c r="AZ694" s="204"/>
      <c r="BC694" s="68"/>
      <c r="BD694" s="68"/>
      <c r="BF694" s="200"/>
    </row>
  </sheetData>
  <conditionalFormatting sqref="A1:C1">
    <cfRule type="expression" dxfId="1" priority="1">
      <formula>AND($Y1,$AD1)</formula>
    </cfRule>
  </conditionalFormatting>
  <conditionalFormatting sqref="A1:C1">
    <cfRule type="expression" dxfId="0" priority="2">
      <formula>NOT(AND($Y1,$AD1))</formula>
    </cfRule>
  </conditionalFormatting>
  <conditionalFormatting sqref="Y2:Y694 AD2:AD694 AU2:AU694 BD2:BD694">
    <cfRule type="notContainsBlanks" dxfId="0" priority="3">
      <formula>LEN(TRIM(Y2))&gt;0</formula>
    </cfRule>
  </conditionalFormatting>
  <conditionalFormatting sqref="D1 F1 K1 Y1 AD1 AH1 AL1 AN1:AO1 AR1 AU1 AY1 BC1:BD1">
    <cfRule type="notContainsText" dxfId="1" priority="4" operator="notContains" text="ERROR">
      <formula>ISERROR(SEARCH(("ERROR"),(D1)))</formula>
    </cfRule>
  </conditionalFormatting>
  <conditionalFormatting sqref="D1 F1 K1 Y1 AB1 AD1 AH1 AL1 AN1:AO1 AR1 AU1 AY1 BC1:BD1">
    <cfRule type="containsText" dxfId="0" priority="5" operator="containsText" text="ERROR">
      <formula>NOT(ISERROR(SEARCH(("ERROR"),(D1))))</formula>
    </cfRule>
  </conditionalFormatting>
  <conditionalFormatting sqref="A2:C694">
    <cfRule type="expression" dxfId="0" priority="6">
      <formula>$Y2="NOT"</formula>
    </cfRule>
  </conditionalFormatting>
  <conditionalFormatting sqref="AE2:AG694 AV2:AX694">
    <cfRule type="expression" dxfId="0" priority="7">
      <formula>$AD2="NOT"</formula>
    </cfRule>
  </conditionalFormatting>
  <conditionalFormatting sqref="A2:C694">
    <cfRule type="expression" dxfId="5" priority="8">
      <formula>$N2</formula>
    </cfRule>
  </conditionalFormatting>
  <conditionalFormatting sqref="AK2:AN694 BB2:BC694">
    <cfRule type="expression" dxfId="0" priority="9">
      <formula>$AO2="NOT"</formula>
    </cfRule>
  </conditionalFormatting>
  <conditionalFormatting sqref="AN2:AN694">
    <cfRule type="cellIs" dxfId="0" priority="10" operator="equal">
      <formula>"FALSE"</formula>
    </cfRule>
  </conditionalFormatting>
  <conditionalFormatting sqref="AO2:AO694">
    <cfRule type="cellIs" dxfId="0" priority="11" operator="equal">
      <formula>"FALSE"</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63"/>
    <col customWidth="1" min="2" max="2" width="12.38"/>
    <col customWidth="1" min="4" max="4" width="14.13"/>
    <col customWidth="1" min="10" max="10" width="11.88"/>
    <col customWidth="1" min="11" max="11" width="13.63"/>
    <col customWidth="1" min="12" max="12" width="11.88"/>
    <col customWidth="1" min="13" max="13" width="16.75"/>
    <col customWidth="1" min="14" max="14" width="11.0"/>
    <col customWidth="1" min="15" max="15" width="12.88"/>
  </cols>
  <sheetData>
    <row r="1">
      <c r="A1" s="60" t="s">
        <v>196</v>
      </c>
      <c r="B1" s="60" t="s">
        <v>156</v>
      </c>
      <c r="C1" s="60" t="s">
        <v>157</v>
      </c>
      <c r="D1" s="59" t="s">
        <v>158</v>
      </c>
      <c r="E1" s="60" t="s">
        <v>159</v>
      </c>
      <c r="F1" s="60" t="s">
        <v>160</v>
      </c>
      <c r="G1" s="59" t="s">
        <v>161</v>
      </c>
      <c r="H1" s="60" t="s">
        <v>162</v>
      </c>
      <c r="I1" s="60" t="s">
        <v>163</v>
      </c>
      <c r="J1" s="59" t="s">
        <v>164</v>
      </c>
      <c r="K1" s="60" t="s">
        <v>165</v>
      </c>
      <c r="L1" s="59" t="s">
        <v>166</v>
      </c>
      <c r="M1" s="59" t="s">
        <v>167</v>
      </c>
      <c r="N1" s="196" t="s">
        <v>168</v>
      </c>
      <c r="O1" s="187" t="s">
        <v>169</v>
      </c>
      <c r="P1" s="59" t="s">
        <v>2418</v>
      </c>
      <c r="Q1" s="215" t="s">
        <v>2419</v>
      </c>
      <c r="R1" s="187"/>
      <c r="S1" s="5"/>
      <c r="T1" s="5"/>
      <c r="U1" s="5"/>
      <c r="V1" s="5"/>
      <c r="W1" s="5"/>
      <c r="X1" s="5"/>
      <c r="Y1" s="5"/>
      <c r="Z1" s="5"/>
      <c r="AA1" s="5"/>
    </row>
    <row r="2">
      <c r="A2" s="216" t="str">
        <f t="array" ref="A2:A769">UNIQUE(postDEL!$A$2:$A799)</f>
        <v>MAX88</v>
      </c>
      <c r="B2" s="217">
        <f t="array" ref="B2">INDEX(postDEL!$A$2:$P799,$O2,2)</f>
        <v>44540</v>
      </c>
      <c r="C2" s="218">
        <f t="array" ref="C2">INDEX(postDEL!$A$2:$P799,$O2,3)</f>
        <v>0.2940162037</v>
      </c>
      <c r="D2" s="219" t="str">
        <f t="array" ref="D2">INDEX(postDEL!$A$2:$AN799,$O2,39)</f>
        <v>SpBEND708976</v>
      </c>
      <c r="E2" s="219" t="str">
        <f t="array" ref="E2">INDEX(postDEL!$A$2:$P799,$O2,4)</f>
        <v/>
      </c>
      <c r="F2" s="219" t="str">
        <f t="array" ref="F2">INDEX(postDEL!$A$2:$P799,$O2,5)</f>
        <v/>
      </c>
      <c r="G2" s="219" t="str">
        <f t="array" ref="G2">INDEX(postDEL!$A$2:$P799,$O2,11)</f>
        <v>Negative</v>
      </c>
      <c r="H2" s="219" t="str">
        <f t="array" ref="H2">INDEX(postDEL!$A$2:$AL799,$O2,37)</f>
        <v>Negative</v>
      </c>
      <c r="I2" s="217">
        <f t="array" ref="I2">INDEX(postDEL!$A$2:$AL799,$O2,12)</f>
        <v>44543</v>
      </c>
      <c r="J2" s="218">
        <f t="array" ref="J2">INDEX(postDEL!$A$2:$AL799,$O2,13)</f>
        <v>0.7857175926</v>
      </c>
      <c r="K2" s="219" t="str">
        <f t="array" ref="K2">INDEX(postDEL!$A$2:$AL799,$O2,36)</f>
        <v/>
      </c>
      <c r="L2" s="219" t="str">
        <f t="array" ref="L2">INDEX(postDEL!$A$2:$AL799,$O2,38)</f>
        <v/>
      </c>
      <c r="M2" s="219" t="str">
        <f t="array" ref="M2">INDEX(postDEL!$A$2:$AL799,$O2,15)</f>
        <v/>
      </c>
      <c r="N2" s="110">
        <f>COUNTIF(postDEL!$A$2:$A799,A2)</f>
        <v>1</v>
      </c>
      <c r="O2" s="19">
        <f>MATCH(A2,postDEL!A$2:A799,0)</f>
        <v>1</v>
      </c>
      <c r="P2" s="10" t="b">
        <f t="shared" ref="P2:P768" si="1">IF(B2&lt;&gt;B1,TRUE,IFERROR(0/0,""))</f>
        <v>1</v>
      </c>
      <c r="Q2" s="220">
        <f t="shared" ref="Q2:Q768" si="2">IF(ISBLANK(I2),-1,(I2-B2))</f>
        <v>3</v>
      </c>
      <c r="R2" s="5"/>
      <c r="S2" s="5"/>
      <c r="T2" s="5"/>
      <c r="U2" s="5"/>
      <c r="V2" s="5"/>
      <c r="W2" s="5"/>
      <c r="X2" s="5"/>
      <c r="Y2" s="5"/>
      <c r="Z2" s="5"/>
      <c r="AA2" s="5"/>
    </row>
    <row r="3">
      <c r="A3" s="221" t="s">
        <v>260</v>
      </c>
      <c r="B3" s="217">
        <f t="array" ref="B3">INDEX(postDEL!$A$2:$P799,$O3,2)</f>
        <v>44540</v>
      </c>
      <c r="C3" s="218">
        <f t="array" ref="C3">INDEX(postDEL!$A$2:$P799,$O3,3)</f>
        <v>0.2980092593</v>
      </c>
      <c r="D3" s="219" t="str">
        <f t="array" ref="D3">INDEX(postDEL!$A$2:$AN799,$O3,39)</f>
        <v>SpBEND394154</v>
      </c>
      <c r="E3" s="219" t="str">
        <f t="array" ref="E3">INDEX(postDEL!$A$2:$P799,$O3,4)</f>
        <v/>
      </c>
      <c r="F3" s="219" t="str">
        <f t="array" ref="F3">INDEX(postDEL!$A$2:$P799,$O3,5)</f>
        <v/>
      </c>
      <c r="G3" s="219" t="str">
        <f t="array" ref="G3">INDEX(postDEL!$A$2:$P799,$O3,11)</f>
        <v>Negative</v>
      </c>
      <c r="H3" s="219" t="str">
        <f t="array" ref="H3">INDEX(postDEL!$A$2:$AL799,$O3,37)</f>
        <v>Negative</v>
      </c>
      <c r="I3" s="217">
        <f t="array" ref="I3">INDEX(postDEL!$A$2:$AL799,$O3,12)</f>
        <v>44543</v>
      </c>
      <c r="J3" s="218">
        <f t="array" ref="J3">INDEX(postDEL!$A$2:$AL799,$O3,13)</f>
        <v>0.7857175926</v>
      </c>
      <c r="K3" s="219" t="str">
        <f t="array" ref="K3">INDEX(postDEL!$A$2:$AL799,$O3,36)</f>
        <v/>
      </c>
      <c r="L3" s="219" t="str">
        <f t="array" ref="L3">INDEX(postDEL!$A$2:$AL799,$O3,38)</f>
        <v/>
      </c>
      <c r="M3" s="219" t="str">
        <f t="array" ref="M3">INDEX(postDEL!$A$2:$AL799,$O3,15)</f>
        <v/>
      </c>
      <c r="N3" s="110">
        <f>COUNTIF(postDEL!$A$2:$A799,A3)</f>
        <v>1</v>
      </c>
      <c r="O3" s="19">
        <f>MATCH(A3,postDEL!A$2:A799,0)</f>
        <v>2</v>
      </c>
      <c r="P3" s="10" t="str">
        <f t="shared" si="1"/>
        <v/>
      </c>
      <c r="Q3" s="220">
        <f t="shared" si="2"/>
        <v>3</v>
      </c>
      <c r="R3" s="5"/>
    </row>
    <row r="4">
      <c r="A4" s="221" t="s">
        <v>264</v>
      </c>
      <c r="B4" s="217">
        <f t="array" ref="B4">INDEX(postDEL!$A$2:$P799,$O4,2)</f>
        <v>44540</v>
      </c>
      <c r="C4" s="218">
        <f t="array" ref="C4">INDEX(postDEL!$A$2:$P799,$O4,3)</f>
        <v>0.3005439815</v>
      </c>
      <c r="D4" s="219" t="str">
        <f t="array" ref="D4">INDEX(postDEL!$A$2:$AN799,$O4,39)</f>
        <v>SpBEND394154</v>
      </c>
      <c r="E4" s="219" t="str">
        <f t="array" ref="E4">INDEX(postDEL!$A$2:$P799,$O4,4)</f>
        <v/>
      </c>
      <c r="F4" s="219" t="str">
        <f t="array" ref="F4">INDEX(postDEL!$A$2:$P799,$O4,5)</f>
        <v/>
      </c>
      <c r="G4" s="219" t="str">
        <f t="array" ref="G4">INDEX(postDEL!$A$2:$P799,$O4,11)</f>
        <v>Negative</v>
      </c>
      <c r="H4" s="219" t="str">
        <f t="array" ref="H4">INDEX(postDEL!$A$2:$AL799,$O4,37)</f>
        <v>Negative</v>
      </c>
      <c r="I4" s="217">
        <f t="array" ref="I4">INDEX(postDEL!$A$2:$AL799,$O4,12)</f>
        <v>44543</v>
      </c>
      <c r="J4" s="218">
        <f t="array" ref="J4">INDEX(postDEL!$A$2:$AL799,$O4,13)</f>
        <v>0.7857175926</v>
      </c>
      <c r="K4" s="219" t="str">
        <f t="array" ref="K4">INDEX(postDEL!$A$2:$AL799,$O4,36)</f>
        <v/>
      </c>
      <c r="L4" s="219" t="str">
        <f t="array" ref="L4">INDEX(postDEL!$A$2:$AL799,$O4,38)</f>
        <v/>
      </c>
      <c r="M4" s="219" t="str">
        <f t="array" ref="M4">INDEX(postDEL!$A$2:$AL799,$O4,15)</f>
        <v/>
      </c>
      <c r="N4" s="110">
        <f>COUNTIF(postDEL!$A$2:$A799,A4)</f>
        <v>1</v>
      </c>
      <c r="O4" s="19">
        <f>MATCH(A4,postDEL!A$2:A799,0)</f>
        <v>3</v>
      </c>
      <c r="P4" s="10" t="str">
        <f t="shared" si="1"/>
        <v/>
      </c>
      <c r="Q4" s="220">
        <f t="shared" si="2"/>
        <v>3</v>
      </c>
      <c r="R4" s="5"/>
    </row>
    <row r="5">
      <c r="A5" s="221" t="s">
        <v>268</v>
      </c>
      <c r="B5" s="217">
        <f t="array" ref="B5">INDEX(postDEL!$A$2:$P799,$O5,2)</f>
        <v>44540</v>
      </c>
      <c r="C5" s="218">
        <f t="array" ref="C5">INDEX(postDEL!$A$2:$P799,$O5,3)</f>
        <v>0.3010532407</v>
      </c>
      <c r="D5" s="219" t="str">
        <f t="array" ref="D5">INDEX(postDEL!$A$2:$AN799,$O5,39)</f>
        <v>SpBEND350015</v>
      </c>
      <c r="E5" s="219" t="str">
        <f t="array" ref="E5">INDEX(postDEL!$A$2:$P799,$O5,4)</f>
        <v/>
      </c>
      <c r="F5" s="219" t="str">
        <f t="array" ref="F5">INDEX(postDEL!$A$2:$P799,$O5,5)</f>
        <v/>
      </c>
      <c r="G5" s="219" t="str">
        <f t="array" ref="G5">INDEX(postDEL!$A$2:$P799,$O5,11)</f>
        <v>Negative</v>
      </c>
      <c r="H5" s="219" t="str">
        <f t="array" ref="H5">INDEX(postDEL!$A$2:$AL799,$O5,37)</f>
        <v>Negative</v>
      </c>
      <c r="I5" s="217">
        <f t="array" ref="I5">INDEX(postDEL!$A$2:$AL799,$O5,12)</f>
        <v>44543</v>
      </c>
      <c r="J5" s="218">
        <f t="array" ref="J5">INDEX(postDEL!$A$2:$AL799,$O5,13)</f>
        <v>0.7857291667</v>
      </c>
      <c r="K5" s="219" t="str">
        <f t="array" ref="K5">INDEX(postDEL!$A$2:$AL799,$O5,36)</f>
        <v/>
      </c>
      <c r="L5" s="219" t="str">
        <f t="array" ref="L5">INDEX(postDEL!$A$2:$AL799,$O5,38)</f>
        <v/>
      </c>
      <c r="M5" s="219" t="str">
        <f t="array" ref="M5">INDEX(postDEL!$A$2:$AL799,$O5,15)</f>
        <v/>
      </c>
      <c r="N5" s="110">
        <f>COUNTIF(postDEL!$A$2:$A799,A5)</f>
        <v>1</v>
      </c>
      <c r="O5" s="19">
        <f>MATCH(A5,postDEL!A$2:A799,0)</f>
        <v>4</v>
      </c>
      <c r="P5" s="10" t="str">
        <f t="shared" si="1"/>
        <v/>
      </c>
      <c r="Q5" s="220">
        <f t="shared" si="2"/>
        <v>3</v>
      </c>
      <c r="R5" s="5"/>
    </row>
    <row r="6">
      <c r="A6" s="221" t="s">
        <v>272</v>
      </c>
      <c r="B6" s="217">
        <f t="array" ref="B6">INDEX(postDEL!$A$2:$P799,$O6,2)</f>
        <v>44540</v>
      </c>
      <c r="C6" s="218">
        <f t="array" ref="C6">INDEX(postDEL!$A$2:$P799,$O6,3)</f>
        <v>0.3112847222</v>
      </c>
      <c r="D6" s="219" t="str">
        <f t="array" ref="D6">INDEX(postDEL!$A$2:$AN799,$O6,39)</f>
        <v>SpBEND110967</v>
      </c>
      <c r="E6" s="219" t="str">
        <f t="array" ref="E6">INDEX(postDEL!$A$2:$P799,$O6,4)</f>
        <v/>
      </c>
      <c r="F6" s="219" t="str">
        <f t="array" ref="F6">INDEX(postDEL!$A$2:$P799,$O6,5)</f>
        <v/>
      </c>
      <c r="G6" s="219" t="str">
        <f t="array" ref="G6">INDEX(postDEL!$A$2:$P799,$O6,11)</f>
        <v>Negative</v>
      </c>
      <c r="H6" s="219" t="str">
        <f t="array" ref="H6">INDEX(postDEL!$A$2:$AL799,$O6,37)</f>
        <v>Negative</v>
      </c>
      <c r="I6" s="217">
        <f t="array" ref="I6">INDEX(postDEL!$A$2:$AL799,$O6,12)</f>
        <v>44543</v>
      </c>
      <c r="J6" s="218">
        <f t="array" ref="J6">INDEX(postDEL!$A$2:$AL799,$O6,13)</f>
        <v>0.7857291667</v>
      </c>
      <c r="K6" s="219" t="str">
        <f t="array" ref="K6">INDEX(postDEL!$A$2:$AL799,$O6,36)</f>
        <v/>
      </c>
      <c r="L6" s="219" t="str">
        <f t="array" ref="L6">INDEX(postDEL!$A$2:$AL799,$O6,38)</f>
        <v/>
      </c>
      <c r="M6" s="219" t="str">
        <f t="array" ref="M6">INDEX(postDEL!$A$2:$AL799,$O6,15)</f>
        <v/>
      </c>
      <c r="N6" s="110">
        <f>COUNTIF(postDEL!$A$2:$A799,A6)</f>
        <v>1</v>
      </c>
      <c r="O6" s="19">
        <f>MATCH(A6,postDEL!A$2:A799,0)</f>
        <v>5</v>
      </c>
      <c r="P6" s="10" t="str">
        <f t="shared" si="1"/>
        <v/>
      </c>
      <c r="Q6" s="220">
        <f t="shared" si="2"/>
        <v>3</v>
      </c>
      <c r="R6" s="5"/>
    </row>
    <row r="7">
      <c r="A7" s="221" t="s">
        <v>286</v>
      </c>
      <c r="B7" s="217">
        <f t="array" ref="B7">INDEX(postDEL!$A$2:$P799,$O7,2)</f>
        <v>44543</v>
      </c>
      <c r="C7" s="218">
        <f t="array" ref="C7">INDEX(postDEL!$A$2:$P799,$O7,3)</f>
        <v>0.4924074074</v>
      </c>
      <c r="D7" s="219" t="str">
        <f t="array" ref="D7">INDEX(postDEL!$A$2:$AN799,$O7,39)</f>
        <v>SpBEND825522</v>
      </c>
      <c r="E7" s="219" t="str">
        <f t="array" ref="E7">INDEX(postDEL!$A$2:$P799,$O7,4)</f>
        <v/>
      </c>
      <c r="F7" s="219" t="str">
        <f t="array" ref="F7">INDEX(postDEL!$A$2:$P799,$O7,5)</f>
        <v/>
      </c>
      <c r="G7" s="219" t="str">
        <f t="array" ref="G7">INDEX(postDEL!$A$2:$P799,$O7,11)</f>
        <v>Negative</v>
      </c>
      <c r="H7" s="219" t="str">
        <f t="array" ref="H7">INDEX(postDEL!$A$2:$AL799,$O7,37)</f>
        <v>Negative</v>
      </c>
      <c r="I7" s="217">
        <f t="array" ref="I7">INDEX(postDEL!$A$2:$AL799,$O7,12)</f>
        <v>44543</v>
      </c>
      <c r="J7" s="218">
        <f t="array" ref="J7">INDEX(postDEL!$A$2:$AL799,$O7,13)</f>
        <v>0.7849884259</v>
      </c>
      <c r="K7" s="219" t="str">
        <f t="array" ref="K7">INDEX(postDEL!$A$2:$AL799,$O7,36)</f>
        <v/>
      </c>
      <c r="L7" s="219" t="str">
        <f t="array" ref="L7">INDEX(postDEL!$A$2:$AL799,$O7,38)</f>
        <v/>
      </c>
      <c r="M7" s="219" t="str">
        <f t="array" ref="M7">INDEX(postDEL!$A$2:$AL799,$O7,15)</f>
        <v/>
      </c>
      <c r="N7" s="110">
        <f>COUNTIF(postDEL!$A$2:$A799,A7)</f>
        <v>1</v>
      </c>
      <c r="O7" s="19">
        <f>MATCH(A7,postDEL!A$2:A799,0)</f>
        <v>6</v>
      </c>
      <c r="P7" s="10" t="b">
        <f t="shared" si="1"/>
        <v>1</v>
      </c>
      <c r="Q7" s="220">
        <f t="shared" si="2"/>
        <v>0</v>
      </c>
      <c r="R7" s="5"/>
    </row>
    <row r="8">
      <c r="A8" s="221" t="s">
        <v>290</v>
      </c>
      <c r="B8" s="217">
        <f t="array" ref="B8">INDEX(postDEL!$A$2:$P799,$O8,2)</f>
        <v>44543</v>
      </c>
      <c r="C8" s="218">
        <f t="array" ref="C8">INDEX(postDEL!$A$2:$P799,$O8,3)</f>
        <v>0.5629166667</v>
      </c>
      <c r="D8" s="219" t="str">
        <f t="array" ref="D8">INDEX(postDEL!$A$2:$AN799,$O8,39)</f>
        <v>SpBEND541174</v>
      </c>
      <c r="E8" s="219" t="str">
        <f t="array" ref="E8">INDEX(postDEL!$A$2:$P799,$O8,4)</f>
        <v/>
      </c>
      <c r="F8" s="219" t="str">
        <f t="array" ref="F8">INDEX(postDEL!$A$2:$P799,$O8,5)</f>
        <v/>
      </c>
      <c r="G8" s="219" t="str">
        <f t="array" ref="G8">INDEX(postDEL!$A$2:$P799,$O8,11)</f>
        <v>Negative</v>
      </c>
      <c r="H8" s="219" t="str">
        <f t="array" ref="H8">INDEX(postDEL!$A$2:$AL799,$O8,37)</f>
        <v>Negative</v>
      </c>
      <c r="I8" s="217">
        <f t="array" ref="I8">INDEX(postDEL!$A$2:$AL799,$O8,12)</f>
        <v>44543</v>
      </c>
      <c r="J8" s="218">
        <f t="array" ref="J8">INDEX(postDEL!$A$2:$AL799,$O8,13)</f>
        <v>0.7849884259</v>
      </c>
      <c r="K8" s="219" t="str">
        <f t="array" ref="K8">INDEX(postDEL!$A$2:$AL799,$O8,36)</f>
        <v/>
      </c>
      <c r="L8" s="219" t="str">
        <f t="array" ref="L8">INDEX(postDEL!$A$2:$AL799,$O8,38)</f>
        <v/>
      </c>
      <c r="M8" s="219" t="str">
        <f t="array" ref="M8">INDEX(postDEL!$A$2:$AL799,$O8,15)</f>
        <v/>
      </c>
      <c r="N8" s="110">
        <f>COUNTIF(postDEL!$A$2:$A799,A8)</f>
        <v>1</v>
      </c>
      <c r="O8" s="19">
        <f>MATCH(A8,postDEL!A$2:A799,0)</f>
        <v>7</v>
      </c>
      <c r="P8" s="10" t="str">
        <f t="shared" si="1"/>
        <v/>
      </c>
      <c r="Q8" s="220">
        <f t="shared" si="2"/>
        <v>0</v>
      </c>
      <c r="R8" s="5"/>
    </row>
    <row r="9">
      <c r="A9" s="221" t="s">
        <v>294</v>
      </c>
      <c r="B9" s="217">
        <f t="array" ref="B9">INDEX(postDEL!$A$2:$P799,$O9,2)</f>
        <v>44543</v>
      </c>
      <c r="C9" s="218">
        <f t="array" ref="C9">INDEX(postDEL!$A$2:$P799,$O9,3)</f>
        <v>0.5630208333</v>
      </c>
      <c r="D9" s="219" t="str">
        <f t="array" ref="D9">INDEX(postDEL!$A$2:$AN799,$O9,39)</f>
        <v>SpBEND492052</v>
      </c>
      <c r="E9" s="219" t="str">
        <f t="array" ref="E9">INDEX(postDEL!$A$2:$P799,$O9,4)</f>
        <v/>
      </c>
      <c r="F9" s="219" t="str">
        <f t="array" ref="F9">INDEX(postDEL!$A$2:$P799,$O9,5)</f>
        <v/>
      </c>
      <c r="G9" s="219" t="str">
        <f t="array" ref="G9">INDEX(postDEL!$A$2:$P799,$O9,11)</f>
        <v>Negative</v>
      </c>
      <c r="H9" s="219" t="str">
        <f t="array" ref="H9">INDEX(postDEL!$A$2:$AL799,$O9,37)</f>
        <v>Negative</v>
      </c>
      <c r="I9" s="217">
        <f t="array" ref="I9">INDEX(postDEL!$A$2:$AL799,$O9,12)</f>
        <v>44543</v>
      </c>
      <c r="J9" s="218">
        <f t="array" ref="J9">INDEX(postDEL!$A$2:$AL799,$O9,13)</f>
        <v>0.7849884259</v>
      </c>
      <c r="K9" s="219" t="str">
        <f t="array" ref="K9">INDEX(postDEL!$A$2:$AL799,$O9,36)</f>
        <v/>
      </c>
      <c r="L9" s="219" t="str">
        <f t="array" ref="L9">INDEX(postDEL!$A$2:$AL799,$O9,38)</f>
        <v/>
      </c>
      <c r="M9" s="219" t="str">
        <f t="array" ref="M9">INDEX(postDEL!$A$2:$AL799,$O9,15)</f>
        <v/>
      </c>
      <c r="N9" s="110">
        <f>COUNTIF(postDEL!$A$2:$A799,A9)</f>
        <v>1</v>
      </c>
      <c r="O9" s="19">
        <f>MATCH(A9,postDEL!A$2:A799,0)</f>
        <v>8</v>
      </c>
      <c r="P9" s="10" t="str">
        <f t="shared" si="1"/>
        <v/>
      </c>
      <c r="Q9" s="220">
        <f t="shared" si="2"/>
        <v>0</v>
      </c>
      <c r="R9" s="5"/>
    </row>
    <row r="10">
      <c r="A10" s="221" t="s">
        <v>298</v>
      </c>
      <c r="B10" s="217">
        <f t="array" ref="B10">INDEX(postDEL!$A$2:$P799,$O10,2)</f>
        <v>44543</v>
      </c>
      <c r="C10" s="218">
        <f t="array" ref="C10">INDEX(postDEL!$A$2:$P799,$O10,3)</f>
        <v>0.5931712963</v>
      </c>
      <c r="D10" s="219" t="str">
        <f t="array" ref="D10">INDEX(postDEL!$A$2:$AN799,$O10,39)</f>
        <v>SpBEND349435</v>
      </c>
      <c r="E10" s="219" t="str">
        <f t="array" ref="E10">INDEX(postDEL!$A$2:$P799,$O10,4)</f>
        <v/>
      </c>
      <c r="F10" s="219" t="str">
        <f t="array" ref="F10">INDEX(postDEL!$A$2:$P799,$O10,5)</f>
        <v/>
      </c>
      <c r="G10" s="219" t="str">
        <f t="array" ref="G10">INDEX(postDEL!$A$2:$P799,$O10,11)</f>
        <v>Negative</v>
      </c>
      <c r="H10" s="219" t="str">
        <f t="array" ref="H10">INDEX(postDEL!$A$2:$AL799,$O10,37)</f>
        <v>Negative</v>
      </c>
      <c r="I10" s="217">
        <f t="array" ref="I10">INDEX(postDEL!$A$2:$AL799,$O10,12)</f>
        <v>44543</v>
      </c>
      <c r="J10" s="218">
        <f t="array" ref="J10">INDEX(postDEL!$A$2:$AL799,$O10,13)</f>
        <v>0.7849884259</v>
      </c>
      <c r="K10" s="219" t="str">
        <f t="array" ref="K10">INDEX(postDEL!$A$2:$AL799,$O10,36)</f>
        <v/>
      </c>
      <c r="L10" s="219" t="str">
        <f t="array" ref="L10">INDEX(postDEL!$A$2:$AL799,$O10,38)</f>
        <v/>
      </c>
      <c r="M10" s="219" t="str">
        <f t="array" ref="M10">INDEX(postDEL!$A$2:$AL799,$O10,15)</f>
        <v/>
      </c>
      <c r="N10" s="110">
        <f>COUNTIF(postDEL!$A$2:$A799,A10)</f>
        <v>1</v>
      </c>
      <c r="O10" s="19">
        <f>MATCH(A10,postDEL!A$2:A799,0)</f>
        <v>9</v>
      </c>
      <c r="P10" s="10" t="str">
        <f t="shared" si="1"/>
        <v/>
      </c>
      <c r="Q10" s="220">
        <f t="shared" si="2"/>
        <v>0</v>
      </c>
      <c r="R10" s="5"/>
    </row>
    <row r="11">
      <c r="A11" s="221" t="s">
        <v>302</v>
      </c>
      <c r="B11" s="217">
        <f t="array" ref="B11">INDEX(postDEL!$A$2:$P799,$O11,2)</f>
        <v>44543</v>
      </c>
      <c r="C11" s="218">
        <f t="array" ref="C11">INDEX(postDEL!$A$2:$P799,$O11,3)</f>
        <v>0.5967476852</v>
      </c>
      <c r="D11" s="219" t="str">
        <f t="array" ref="D11">INDEX(postDEL!$A$2:$AN799,$O11,39)</f>
        <v>SpBEND768497</v>
      </c>
      <c r="E11" s="219" t="str">
        <f t="array" ref="E11">INDEX(postDEL!$A$2:$P799,$O11,4)</f>
        <v/>
      </c>
      <c r="F11" s="219" t="str">
        <f t="array" ref="F11">INDEX(postDEL!$A$2:$P799,$O11,5)</f>
        <v/>
      </c>
      <c r="G11" s="219" t="str">
        <f t="array" ref="G11">INDEX(postDEL!$A$2:$P799,$O11,11)</f>
        <v>Negative</v>
      </c>
      <c r="H11" s="219" t="str">
        <f t="array" ref="H11">INDEX(postDEL!$A$2:$AL799,$O11,37)</f>
        <v>Negative</v>
      </c>
      <c r="I11" s="217">
        <f t="array" ref="I11">INDEX(postDEL!$A$2:$AL799,$O11,12)</f>
        <v>44543</v>
      </c>
      <c r="J11" s="218">
        <f t="array" ref="J11">INDEX(postDEL!$A$2:$AL799,$O11,13)</f>
        <v>0.7849884259</v>
      </c>
      <c r="K11" s="219" t="str">
        <f t="array" ref="K11">INDEX(postDEL!$A$2:$AL799,$O11,36)</f>
        <v/>
      </c>
      <c r="L11" s="219" t="str">
        <f t="array" ref="L11">INDEX(postDEL!$A$2:$AL799,$O11,38)</f>
        <v/>
      </c>
      <c r="M11" s="219" t="str">
        <f t="array" ref="M11">INDEX(postDEL!$A$2:$AL799,$O11,15)</f>
        <v/>
      </c>
      <c r="N11" s="110">
        <f>COUNTIF(postDEL!$A$2:$A799,A11)</f>
        <v>1</v>
      </c>
      <c r="O11" s="19">
        <f>MATCH(A11,postDEL!A$2:A799,0)</f>
        <v>10</v>
      </c>
      <c r="P11" s="10" t="str">
        <f t="shared" si="1"/>
        <v/>
      </c>
      <c r="Q11" s="220">
        <f t="shared" si="2"/>
        <v>0</v>
      </c>
      <c r="R11" s="5"/>
    </row>
    <row r="12">
      <c r="A12" s="221" t="s">
        <v>306</v>
      </c>
      <c r="B12" s="217">
        <f t="array" ref="B12">INDEX(postDEL!$A$2:$P799,$O12,2)</f>
        <v>44543</v>
      </c>
      <c r="C12" s="218">
        <f t="array" ref="C12">INDEX(postDEL!$A$2:$P799,$O12,3)</f>
        <v>0.5984027778</v>
      </c>
      <c r="D12" s="219" t="str">
        <f t="array" ref="D12">INDEX(postDEL!$A$2:$AN799,$O12,39)</f>
        <v>SpBEND643855</v>
      </c>
      <c r="E12" s="219" t="str">
        <f t="array" ref="E12">INDEX(postDEL!$A$2:$P799,$O12,4)</f>
        <v/>
      </c>
      <c r="F12" s="219" t="str">
        <f t="array" ref="F12">INDEX(postDEL!$A$2:$P799,$O12,5)</f>
        <v/>
      </c>
      <c r="G12" s="219" t="str">
        <f t="array" ref="G12">INDEX(postDEL!$A$2:$P799,$O12,11)</f>
        <v>Negative</v>
      </c>
      <c r="H12" s="219" t="str">
        <f t="array" ref="H12">INDEX(postDEL!$A$2:$AL799,$O12,37)</f>
        <v>Negative</v>
      </c>
      <c r="I12" s="217">
        <f t="array" ref="I12">INDEX(postDEL!$A$2:$AL799,$O12,12)</f>
        <v>44543</v>
      </c>
      <c r="J12" s="218">
        <f t="array" ref="J12">INDEX(postDEL!$A$2:$AL799,$O12,13)</f>
        <v>0.7849884259</v>
      </c>
      <c r="K12" s="219" t="str">
        <f t="array" ref="K12">INDEX(postDEL!$A$2:$AL799,$O12,36)</f>
        <v/>
      </c>
      <c r="L12" s="219" t="str">
        <f t="array" ref="L12">INDEX(postDEL!$A$2:$AL799,$O12,38)</f>
        <v/>
      </c>
      <c r="M12" s="219" t="str">
        <f t="array" ref="M12">INDEX(postDEL!$A$2:$AL799,$O12,15)</f>
        <v/>
      </c>
      <c r="N12" s="110">
        <f>COUNTIF(postDEL!$A$2:$A799,A12)</f>
        <v>1</v>
      </c>
      <c r="O12" s="19">
        <f>MATCH(A12,postDEL!A$2:A799,0)</f>
        <v>11</v>
      </c>
      <c r="P12" s="10" t="str">
        <f t="shared" si="1"/>
        <v/>
      </c>
      <c r="Q12" s="220">
        <f t="shared" si="2"/>
        <v>0</v>
      </c>
      <c r="R12" s="5"/>
    </row>
    <row r="13">
      <c r="A13" s="221" t="s">
        <v>309</v>
      </c>
      <c r="B13" s="217">
        <f t="array" ref="B13">INDEX(postDEL!$A$2:$P799,$O13,2)</f>
        <v>44543</v>
      </c>
      <c r="C13" s="218">
        <f t="array" ref="C13">INDEX(postDEL!$A$2:$P799,$O13,3)</f>
        <v>0.6040740741</v>
      </c>
      <c r="D13" s="219" t="str">
        <f t="array" ref="D13">INDEX(postDEL!$A$2:$AN799,$O13,39)</f>
        <v>SpBEND214692</v>
      </c>
      <c r="E13" s="219" t="str">
        <f t="array" ref="E13">INDEX(postDEL!$A$2:$P799,$O13,4)</f>
        <v/>
      </c>
      <c r="F13" s="219" t="str">
        <f t="array" ref="F13">INDEX(postDEL!$A$2:$P799,$O13,5)</f>
        <v/>
      </c>
      <c r="G13" s="219" t="str">
        <f t="array" ref="G13">INDEX(postDEL!$A$2:$P799,$O13,11)</f>
        <v>Negative</v>
      </c>
      <c r="H13" s="219" t="str">
        <f t="array" ref="H13">INDEX(postDEL!$A$2:$AL799,$O13,37)</f>
        <v>Negative</v>
      </c>
      <c r="I13" s="217">
        <f t="array" ref="I13">INDEX(postDEL!$A$2:$AL799,$O13,12)</f>
        <v>44543</v>
      </c>
      <c r="J13" s="218">
        <f t="array" ref="J13">INDEX(postDEL!$A$2:$AL799,$O13,13)</f>
        <v>0.7849884259</v>
      </c>
      <c r="K13" s="219" t="str">
        <f t="array" ref="K13">INDEX(postDEL!$A$2:$AL799,$O13,36)</f>
        <v/>
      </c>
      <c r="L13" s="219" t="str">
        <f t="array" ref="L13">INDEX(postDEL!$A$2:$AL799,$O13,38)</f>
        <v/>
      </c>
      <c r="M13" s="219" t="str">
        <f t="array" ref="M13">INDEX(postDEL!$A$2:$AL799,$O13,15)</f>
        <v/>
      </c>
      <c r="N13" s="110">
        <f>COUNTIF(postDEL!$A$2:$A799,A13)</f>
        <v>1</v>
      </c>
      <c r="O13" s="19">
        <f>MATCH(A13,postDEL!A$2:A799,0)</f>
        <v>12</v>
      </c>
      <c r="P13" s="10" t="str">
        <f t="shared" si="1"/>
        <v/>
      </c>
      <c r="Q13" s="220">
        <f t="shared" si="2"/>
        <v>0</v>
      </c>
      <c r="R13" s="5"/>
    </row>
    <row r="14">
      <c r="A14" s="221" t="s">
        <v>313</v>
      </c>
      <c r="B14" s="217">
        <f t="array" ref="B14">INDEX(postDEL!$A$2:$P799,$O14,2)</f>
        <v>44545</v>
      </c>
      <c r="C14" s="218">
        <f t="array" ref="C14">INDEX(postDEL!$A$2:$P799,$O14,3)</f>
        <v>0.5749768519</v>
      </c>
      <c r="D14" s="219" t="str">
        <f t="array" ref="D14">INDEX(postDEL!$A$2:$AN799,$O14,39)</f>
        <v>SpBEND767550</v>
      </c>
      <c r="E14" s="219" t="str">
        <f t="array" ref="E14">INDEX(postDEL!$A$2:$P799,$O14,4)</f>
        <v/>
      </c>
      <c r="F14" s="219" t="str">
        <f t="array" ref="F14">INDEX(postDEL!$A$2:$P799,$O14,5)</f>
        <v/>
      </c>
      <c r="G14" s="219" t="str">
        <f t="array" ref="G14">INDEX(postDEL!$A$2:$P799,$O14,11)</f>
        <v>Negative</v>
      </c>
      <c r="H14" s="219" t="str">
        <f t="array" ref="H14">INDEX(postDEL!$A$2:$AL799,$O14,37)</f>
        <v>Negative</v>
      </c>
      <c r="I14" s="217">
        <f t="array" ref="I14">INDEX(postDEL!$A$2:$AL799,$O14,12)</f>
        <v>44545</v>
      </c>
      <c r="J14" s="218">
        <f t="array" ref="J14">INDEX(postDEL!$A$2:$AL799,$O14,13)</f>
        <v>0.7641550926</v>
      </c>
      <c r="K14" s="219" t="str">
        <f t="array" ref="K14">INDEX(postDEL!$A$2:$AL799,$O14,36)</f>
        <v/>
      </c>
      <c r="L14" s="219" t="str">
        <f t="array" ref="L14">INDEX(postDEL!$A$2:$AL799,$O14,38)</f>
        <v/>
      </c>
      <c r="M14" s="219" t="str">
        <f t="array" ref="M14">INDEX(postDEL!$A$2:$AL799,$O14,15)</f>
        <v/>
      </c>
      <c r="N14" s="110">
        <f>COUNTIF(postDEL!$A$2:$A799,A14)</f>
        <v>1</v>
      </c>
      <c r="O14" s="19">
        <f>MATCH(A14,postDEL!A$2:A799,0)</f>
        <v>13</v>
      </c>
      <c r="P14" s="10" t="b">
        <f t="shared" si="1"/>
        <v>1</v>
      </c>
      <c r="Q14" s="220">
        <f t="shared" si="2"/>
        <v>0</v>
      </c>
      <c r="R14" s="5"/>
    </row>
    <row r="15">
      <c r="A15" s="221" t="s">
        <v>317</v>
      </c>
      <c r="B15" s="217">
        <f t="array" ref="B15">INDEX(postDEL!$A$2:$P799,$O15,2)</f>
        <v>44545</v>
      </c>
      <c r="C15" s="218">
        <f t="array" ref="C15">INDEX(postDEL!$A$2:$P799,$O15,3)</f>
        <v>0.5862152778</v>
      </c>
      <c r="D15" s="219" t="str">
        <f t="array" ref="D15">INDEX(postDEL!$A$2:$AN799,$O15,39)</f>
        <v>SpBEND721986</v>
      </c>
      <c r="E15" s="219" t="str">
        <f t="array" ref="E15">INDEX(postDEL!$A$2:$P799,$O15,4)</f>
        <v/>
      </c>
      <c r="F15" s="219" t="str">
        <f t="array" ref="F15">INDEX(postDEL!$A$2:$P799,$O15,5)</f>
        <v/>
      </c>
      <c r="G15" s="219" t="str">
        <f t="array" ref="G15">INDEX(postDEL!$A$2:$P799,$O15,11)</f>
        <v>Negative</v>
      </c>
      <c r="H15" s="219" t="str">
        <f t="array" ref="H15">INDEX(postDEL!$A$2:$AL799,$O15,37)</f>
        <v>Negative</v>
      </c>
      <c r="I15" s="217">
        <f t="array" ref="I15">INDEX(postDEL!$A$2:$AL799,$O15,12)</f>
        <v>44545</v>
      </c>
      <c r="J15" s="218">
        <f t="array" ref="J15">INDEX(postDEL!$A$2:$AL799,$O15,13)</f>
        <v>0.7641550926</v>
      </c>
      <c r="K15" s="219" t="str">
        <f t="array" ref="K15">INDEX(postDEL!$A$2:$AL799,$O15,36)</f>
        <v/>
      </c>
      <c r="L15" s="219" t="str">
        <f t="array" ref="L15">INDEX(postDEL!$A$2:$AL799,$O15,38)</f>
        <v/>
      </c>
      <c r="M15" s="219" t="str">
        <f t="array" ref="M15">INDEX(postDEL!$A$2:$AL799,$O15,15)</f>
        <v/>
      </c>
      <c r="N15" s="110">
        <f>COUNTIF(postDEL!$A$2:$A799,A15)</f>
        <v>1</v>
      </c>
      <c r="O15" s="19">
        <f>MATCH(A15,postDEL!A$2:A799,0)</f>
        <v>14</v>
      </c>
      <c r="P15" s="10" t="str">
        <f t="shared" si="1"/>
        <v/>
      </c>
      <c r="Q15" s="220">
        <f t="shared" si="2"/>
        <v>0</v>
      </c>
      <c r="R15" s="5"/>
    </row>
    <row r="16">
      <c r="A16" s="221" t="s">
        <v>321</v>
      </c>
      <c r="B16" s="217">
        <f t="array" ref="B16">INDEX(postDEL!$A$2:$P799,$O16,2)</f>
        <v>44545</v>
      </c>
      <c r="C16" s="218">
        <f t="array" ref="C16">INDEX(postDEL!$A$2:$P799,$O16,3)</f>
        <v>0.6131944444</v>
      </c>
      <c r="D16" s="219" t="str">
        <f t="array" ref="D16">INDEX(postDEL!$A$2:$AN799,$O16,39)</f>
        <v>SpBEND139600</v>
      </c>
      <c r="E16" s="219" t="str">
        <f t="array" ref="E16">INDEX(postDEL!$A$2:$P799,$O16,4)</f>
        <v/>
      </c>
      <c r="F16" s="219" t="str">
        <f t="array" ref="F16">INDEX(postDEL!$A$2:$P799,$O16,5)</f>
        <v/>
      </c>
      <c r="G16" s="219" t="str">
        <f t="array" ref="G16">INDEX(postDEL!$A$2:$P799,$O16,11)</f>
        <v>Negative</v>
      </c>
      <c r="H16" s="219" t="str">
        <f t="array" ref="H16">INDEX(postDEL!$A$2:$AL799,$O16,37)</f>
        <v>Negative</v>
      </c>
      <c r="I16" s="217">
        <f t="array" ref="I16">INDEX(postDEL!$A$2:$AL799,$O16,12)</f>
        <v>44545</v>
      </c>
      <c r="J16" s="218">
        <f t="array" ref="J16">INDEX(postDEL!$A$2:$AL799,$O16,13)</f>
        <v>0.7641550926</v>
      </c>
      <c r="K16" s="219" t="str">
        <f t="array" ref="K16">INDEX(postDEL!$A$2:$AL799,$O16,36)</f>
        <v/>
      </c>
      <c r="L16" s="219" t="str">
        <f t="array" ref="L16">INDEX(postDEL!$A$2:$AL799,$O16,38)</f>
        <v/>
      </c>
      <c r="M16" s="219" t="str">
        <f t="array" ref="M16">INDEX(postDEL!$A$2:$AL799,$O16,15)</f>
        <v/>
      </c>
      <c r="N16" s="110">
        <f>COUNTIF(postDEL!$A$2:$A799,A16)</f>
        <v>1</v>
      </c>
      <c r="O16" s="19">
        <f>MATCH(A16,postDEL!A$2:A799,0)</f>
        <v>15</v>
      </c>
      <c r="P16" s="10" t="str">
        <f t="shared" si="1"/>
        <v/>
      </c>
      <c r="Q16" s="220">
        <f t="shared" si="2"/>
        <v>0</v>
      </c>
      <c r="R16" s="5"/>
    </row>
    <row r="17">
      <c r="A17" s="221" t="s">
        <v>327</v>
      </c>
      <c r="B17" s="217">
        <f t="array" ref="B17">INDEX(postDEL!$A$2:$P799,$O17,2)</f>
        <v>44545</v>
      </c>
      <c r="C17" s="218">
        <f t="array" ref="C17">INDEX(postDEL!$A$2:$P799,$O17,3)</f>
        <v>0.6686805556</v>
      </c>
      <c r="D17" s="219" t="str">
        <f t="array" ref="D17">INDEX(postDEL!$A$2:$AN799,$O17,39)</f>
        <v>SpBEND548976</v>
      </c>
      <c r="E17" s="219" t="str">
        <f t="array" ref="E17">INDEX(postDEL!$A$2:$P799,$O17,4)</f>
        <v/>
      </c>
      <c r="F17" s="219" t="str">
        <f t="array" ref="F17">INDEX(postDEL!$A$2:$P799,$O17,5)</f>
        <v/>
      </c>
      <c r="G17" s="219" t="str">
        <f t="array" ref="G17">INDEX(postDEL!$A$2:$P799,$O17,11)</f>
        <v>Negative</v>
      </c>
      <c r="H17" s="219" t="str">
        <f t="array" ref="H17">INDEX(postDEL!$A$2:$AL799,$O17,37)</f>
        <v>Negative</v>
      </c>
      <c r="I17" s="217">
        <f t="array" ref="I17">INDEX(postDEL!$A$2:$AL799,$O17,12)</f>
        <v>44550</v>
      </c>
      <c r="J17" s="218">
        <f t="array" ref="J17">INDEX(postDEL!$A$2:$AL799,$O17,13)</f>
        <v>0.4883449074</v>
      </c>
      <c r="K17" s="219" t="str">
        <f t="array" ref="K17">INDEX(postDEL!$A$2:$AL799,$O17,36)</f>
        <v/>
      </c>
      <c r="L17" s="219" t="str">
        <f t="array" ref="L17">INDEX(postDEL!$A$2:$AL799,$O17,38)</f>
        <v/>
      </c>
      <c r="M17" s="219" t="str">
        <f t="array" ref="M17">INDEX(postDEL!$A$2:$AL799,$O17,15)</f>
        <v/>
      </c>
      <c r="N17" s="110">
        <f>COUNTIF(postDEL!$A$2:$A799,A17)</f>
        <v>1</v>
      </c>
      <c r="O17" s="19">
        <f>MATCH(A17,postDEL!A$2:A799,0)</f>
        <v>16</v>
      </c>
      <c r="P17" s="10" t="str">
        <f t="shared" si="1"/>
        <v/>
      </c>
      <c r="Q17" s="220">
        <f t="shared" si="2"/>
        <v>5</v>
      </c>
      <c r="R17" s="5"/>
    </row>
    <row r="18">
      <c r="A18" s="221" t="s">
        <v>331</v>
      </c>
      <c r="B18" s="217">
        <f t="array" ref="B18">INDEX(postDEL!$A$2:$P799,$O18,2)</f>
        <v>44547</v>
      </c>
      <c r="C18" s="218">
        <f t="array" ref="C18">INDEX(postDEL!$A$2:$P799,$O18,3)</f>
        <v>0.3417824074</v>
      </c>
      <c r="D18" s="219" t="str">
        <f t="array" ref="D18">INDEX(postDEL!$A$2:$AN799,$O18,39)</f>
        <v>SpBEND548976</v>
      </c>
      <c r="E18" s="219" t="str">
        <f t="array" ref="E18">INDEX(postDEL!$A$2:$P799,$O18,4)</f>
        <v/>
      </c>
      <c r="F18" s="219" t="str">
        <f t="array" ref="F18">INDEX(postDEL!$A$2:$P799,$O18,5)</f>
        <v/>
      </c>
      <c r="G18" s="219" t="str">
        <f t="array" ref="G18">INDEX(postDEL!$A$2:$P799,$O18,11)</f>
        <v>Positive</v>
      </c>
      <c r="H18" s="219" t="str">
        <f t="array" ref="H18">INDEX(postDEL!$A$2:$AL799,$O18,37)</f>
        <v>Positive</v>
      </c>
      <c r="I18" s="217">
        <f t="array" ref="I18">INDEX(postDEL!$A$2:$AL799,$O18,12)</f>
        <v>44547</v>
      </c>
      <c r="J18" s="218">
        <f t="array" ref="J18">INDEX(postDEL!$A$2:$AL799,$O18,13)</f>
        <v>0.5028472222</v>
      </c>
      <c r="K18" s="219" t="str">
        <f t="array" ref="K18">INDEX(postDEL!$A$2:$AL799,$O18,36)</f>
        <v/>
      </c>
      <c r="L18" s="219" t="str">
        <f t="array" ref="L18">INDEX(postDEL!$A$2:$AL799,$O18,38)</f>
        <v/>
      </c>
      <c r="M18" s="219" t="str">
        <f t="array" ref="M18">INDEX(postDEL!$A$2:$AL799,$O18,15)</f>
        <v/>
      </c>
      <c r="N18" s="110">
        <f>COUNTIF(postDEL!$A$2:$A799,A18)</f>
        <v>1</v>
      </c>
      <c r="O18" s="19">
        <f>MATCH(A18,postDEL!A$2:A799,0)</f>
        <v>17</v>
      </c>
      <c r="P18" s="10" t="b">
        <f t="shared" si="1"/>
        <v>1</v>
      </c>
      <c r="Q18" s="220">
        <f t="shared" si="2"/>
        <v>0</v>
      </c>
      <c r="R18" s="5"/>
    </row>
    <row r="19">
      <c r="A19" s="221" t="s">
        <v>335</v>
      </c>
      <c r="B19" s="217">
        <f t="array" ref="B19">INDEX(postDEL!$A$2:$P799,$O19,2)</f>
        <v>44547</v>
      </c>
      <c r="C19" s="218">
        <f t="array" ref="C19">INDEX(postDEL!$A$2:$P799,$O19,3)</f>
        <v>0.3711805556</v>
      </c>
      <c r="D19" s="219" t="str">
        <f t="array" ref="D19">INDEX(postDEL!$A$2:$AN799,$O19,39)</f>
        <v>SpBEND394154</v>
      </c>
      <c r="E19" s="219" t="str">
        <f t="array" ref="E19">INDEX(postDEL!$A$2:$P799,$O19,4)</f>
        <v/>
      </c>
      <c r="F19" s="219" t="str">
        <f t="array" ref="F19">INDEX(postDEL!$A$2:$P799,$O19,5)</f>
        <v/>
      </c>
      <c r="G19" s="219" t="str">
        <f t="array" ref="G19">INDEX(postDEL!$A$2:$P799,$O19,11)</f>
        <v>Negative</v>
      </c>
      <c r="H19" s="219" t="str">
        <f t="array" ref="H19">INDEX(postDEL!$A$2:$AL799,$O19,37)</f>
        <v>Negative</v>
      </c>
      <c r="I19" s="217">
        <f t="array" ref="I19">INDEX(postDEL!$A$2:$AL799,$O19,12)</f>
        <v>44547</v>
      </c>
      <c r="J19" s="218">
        <f t="array" ref="J19">INDEX(postDEL!$A$2:$AL799,$O19,13)</f>
        <v>0.4143402778</v>
      </c>
      <c r="K19" s="219" t="str">
        <f t="array" ref="K19">INDEX(postDEL!$A$2:$AL799,$O19,36)</f>
        <v/>
      </c>
      <c r="L19" s="219" t="str">
        <f t="array" ref="L19">INDEX(postDEL!$A$2:$AL799,$O19,38)</f>
        <v/>
      </c>
      <c r="M19" s="219" t="str">
        <f t="array" ref="M19">INDEX(postDEL!$A$2:$AL799,$O19,15)</f>
        <v/>
      </c>
      <c r="N19" s="110">
        <f>COUNTIF(postDEL!$A$2:$A799,A19)</f>
        <v>1</v>
      </c>
      <c r="O19" s="19">
        <f>MATCH(A19,postDEL!A$2:A799,0)</f>
        <v>18</v>
      </c>
      <c r="P19" s="10" t="str">
        <f t="shared" si="1"/>
        <v/>
      </c>
      <c r="Q19" s="220">
        <f t="shared" si="2"/>
        <v>0</v>
      </c>
      <c r="R19" s="5"/>
    </row>
    <row r="20">
      <c r="A20" s="221" t="s">
        <v>345</v>
      </c>
      <c r="B20" s="217">
        <f t="array" ref="B20">INDEX(postDEL!$A$2:$P799,$O20,2)</f>
        <v>44549</v>
      </c>
      <c r="C20" s="218">
        <f t="array" ref="C20">INDEX(postDEL!$A$2:$P799,$O20,3)</f>
        <v>0.8899537037</v>
      </c>
      <c r="D20" s="219" t="str">
        <f t="array" ref="D20">INDEX(postDEL!$A$2:$AN799,$O20,39)</f>
        <v>SpBEND541174</v>
      </c>
      <c r="E20" s="219" t="str">
        <f t="array" ref="E20">INDEX(postDEL!$A$2:$P799,$O20,4)</f>
        <v/>
      </c>
      <c r="F20" s="219" t="str">
        <f t="array" ref="F20">INDEX(postDEL!$A$2:$P799,$O20,5)</f>
        <v/>
      </c>
      <c r="G20" s="219" t="str">
        <f t="array" ref="G20">INDEX(postDEL!$A$2:$P799,$O20,11)</f>
        <v>Negative</v>
      </c>
      <c r="H20" s="219" t="str">
        <f t="array" ref="H20">INDEX(postDEL!$A$2:$AL799,$O20,37)</f>
        <v>Negative</v>
      </c>
      <c r="I20" s="217">
        <f t="array" ref="I20">INDEX(postDEL!$A$2:$AL799,$O20,12)</f>
        <v>44550</v>
      </c>
      <c r="J20" s="218">
        <f t="array" ref="J20">INDEX(postDEL!$A$2:$AL799,$O20,13)</f>
        <v>0.4883449074</v>
      </c>
      <c r="K20" s="219" t="str">
        <f t="array" ref="K20">INDEX(postDEL!$A$2:$AL799,$O20,36)</f>
        <v/>
      </c>
      <c r="L20" s="219" t="str">
        <f t="array" ref="L20">INDEX(postDEL!$A$2:$AL799,$O20,38)</f>
        <v/>
      </c>
      <c r="M20" s="219" t="str">
        <f t="array" ref="M20">INDEX(postDEL!$A$2:$AL799,$O20,15)</f>
        <v/>
      </c>
      <c r="N20" s="110">
        <f>COUNTIF(postDEL!$A$2:$A799,A20)</f>
        <v>1</v>
      </c>
      <c r="O20" s="19">
        <f>MATCH(A20,postDEL!A$2:A799,0)</f>
        <v>19</v>
      </c>
      <c r="P20" s="10" t="b">
        <f t="shared" si="1"/>
        <v>1</v>
      </c>
      <c r="Q20" s="220">
        <f t="shared" si="2"/>
        <v>1</v>
      </c>
      <c r="R20" s="5"/>
    </row>
    <row r="21">
      <c r="A21" s="221" t="s">
        <v>347</v>
      </c>
      <c r="B21" s="217">
        <f t="array" ref="B21">INDEX(postDEL!$A$2:$P799,$O21,2)</f>
        <v>44550</v>
      </c>
      <c r="C21" s="218">
        <f t="array" ref="C21">INDEX(postDEL!$A$2:$P799,$O21,3)</f>
        <v>0.317349537</v>
      </c>
      <c r="D21" s="219" t="str">
        <f t="array" ref="D21">INDEX(postDEL!$A$2:$AN799,$O21,39)</f>
        <v>SpBEND825522</v>
      </c>
      <c r="E21" s="219" t="str">
        <f t="array" ref="E21">INDEX(postDEL!$A$2:$P799,$O21,4)</f>
        <v/>
      </c>
      <c r="F21" s="219" t="str">
        <f t="array" ref="F21">INDEX(postDEL!$A$2:$P799,$O21,5)</f>
        <v/>
      </c>
      <c r="G21" s="219" t="str">
        <f t="array" ref="G21">INDEX(postDEL!$A$2:$P799,$O21,11)</f>
        <v>Negative</v>
      </c>
      <c r="H21" s="219" t="str">
        <f t="array" ref="H21">INDEX(postDEL!$A$2:$AL799,$O21,37)</f>
        <v>Negative</v>
      </c>
      <c r="I21" s="217">
        <f t="array" ref="I21">INDEX(postDEL!$A$2:$AL799,$O21,12)</f>
        <v>44550</v>
      </c>
      <c r="J21" s="218">
        <f t="array" ref="J21">INDEX(postDEL!$A$2:$AL799,$O21,13)</f>
        <v>0.4883449074</v>
      </c>
      <c r="K21" s="219" t="str">
        <f t="array" ref="K21">INDEX(postDEL!$A$2:$AL799,$O21,36)</f>
        <v/>
      </c>
      <c r="L21" s="219" t="str">
        <f t="array" ref="L21">INDEX(postDEL!$A$2:$AL799,$O21,38)</f>
        <v/>
      </c>
      <c r="M21" s="219" t="str">
        <f t="array" ref="M21">INDEX(postDEL!$A$2:$AL799,$O21,15)</f>
        <v/>
      </c>
      <c r="N21" s="110">
        <f>COUNTIF(postDEL!$A$2:$A799,A21)</f>
        <v>1</v>
      </c>
      <c r="O21" s="19">
        <f>MATCH(A21,postDEL!A$2:A799,0)</f>
        <v>20</v>
      </c>
      <c r="P21" s="10" t="b">
        <f t="shared" si="1"/>
        <v>1</v>
      </c>
      <c r="Q21" s="220">
        <f t="shared" si="2"/>
        <v>0</v>
      </c>
      <c r="R21" s="5"/>
    </row>
    <row r="22">
      <c r="A22" s="221" t="s">
        <v>349</v>
      </c>
      <c r="B22" s="217">
        <f t="array" ref="B22">INDEX(postDEL!$A$2:$P799,$O22,2)</f>
        <v>44550</v>
      </c>
      <c r="C22" s="218">
        <f t="array" ref="C22">INDEX(postDEL!$A$2:$P799,$O22,3)</f>
        <v>0.3354166667</v>
      </c>
      <c r="D22" s="219" t="str">
        <f t="array" ref="D22">INDEX(postDEL!$A$2:$AN799,$O22,39)</f>
        <v>SpBEND492052</v>
      </c>
      <c r="E22" s="219" t="str">
        <f t="array" ref="E22">INDEX(postDEL!$A$2:$P799,$O22,4)</f>
        <v/>
      </c>
      <c r="F22" s="219" t="str">
        <f t="array" ref="F22">INDEX(postDEL!$A$2:$P799,$O22,5)</f>
        <v/>
      </c>
      <c r="G22" s="219" t="str">
        <f t="array" ref="G22">INDEX(postDEL!$A$2:$P799,$O22,11)</f>
        <v>Negative</v>
      </c>
      <c r="H22" s="219" t="str">
        <f t="array" ref="H22">INDEX(postDEL!$A$2:$AL799,$O22,37)</f>
        <v>Negative</v>
      </c>
      <c r="I22" s="217">
        <f t="array" ref="I22">INDEX(postDEL!$A$2:$AL799,$O22,12)</f>
        <v>44550</v>
      </c>
      <c r="J22" s="218">
        <f t="array" ref="J22">INDEX(postDEL!$A$2:$AL799,$O22,13)</f>
        <v>0.4883449074</v>
      </c>
      <c r="K22" s="219" t="str">
        <f t="array" ref="K22">INDEX(postDEL!$A$2:$AL799,$O22,36)</f>
        <v/>
      </c>
      <c r="L22" s="219" t="str">
        <f t="array" ref="L22">INDEX(postDEL!$A$2:$AL799,$O22,38)</f>
        <v/>
      </c>
      <c r="M22" s="219" t="str">
        <f t="array" ref="M22">INDEX(postDEL!$A$2:$AL799,$O22,15)</f>
        <v/>
      </c>
      <c r="N22" s="110">
        <f>COUNTIF(postDEL!$A$2:$A799,A22)</f>
        <v>1</v>
      </c>
      <c r="O22" s="19">
        <f>MATCH(A22,postDEL!A$2:A799,0)</f>
        <v>21</v>
      </c>
      <c r="P22" s="10" t="str">
        <f t="shared" si="1"/>
        <v/>
      </c>
      <c r="Q22" s="220">
        <f t="shared" si="2"/>
        <v>0</v>
      </c>
      <c r="R22" s="5"/>
    </row>
    <row r="23">
      <c r="A23" s="221" t="s">
        <v>353</v>
      </c>
      <c r="B23" s="217">
        <f t="array" ref="B23">INDEX(postDEL!$A$2:$P799,$O23,2)</f>
        <v>44550</v>
      </c>
      <c r="C23" s="218">
        <f t="array" ref="C23">INDEX(postDEL!$A$2:$P799,$O23,3)</f>
        <v>0.3432986111</v>
      </c>
      <c r="D23" s="219" t="str">
        <f t="array" ref="D23">INDEX(postDEL!$A$2:$AN799,$O23,39)</f>
        <v>SpBEND214692</v>
      </c>
      <c r="E23" s="219" t="str">
        <f t="array" ref="E23">INDEX(postDEL!$A$2:$P799,$O23,4)</f>
        <v/>
      </c>
      <c r="F23" s="219" t="str">
        <f t="array" ref="F23">INDEX(postDEL!$A$2:$P799,$O23,5)</f>
        <v/>
      </c>
      <c r="G23" s="219" t="str">
        <f t="array" ref="G23">INDEX(postDEL!$A$2:$P799,$O23,11)</f>
        <v>Negative</v>
      </c>
      <c r="H23" s="219" t="str">
        <f t="array" ref="H23">INDEX(postDEL!$A$2:$AL799,$O23,37)</f>
        <v>Negative</v>
      </c>
      <c r="I23" s="217">
        <f t="array" ref="I23">INDEX(postDEL!$A$2:$AL799,$O23,12)</f>
        <v>44550</v>
      </c>
      <c r="J23" s="218">
        <f t="array" ref="J23">INDEX(postDEL!$A$2:$AL799,$O23,13)</f>
        <v>0.4883449074</v>
      </c>
      <c r="K23" s="219" t="str">
        <f t="array" ref="K23">INDEX(postDEL!$A$2:$AL799,$O23,36)</f>
        <v/>
      </c>
      <c r="L23" s="219" t="str">
        <f t="array" ref="L23">INDEX(postDEL!$A$2:$AL799,$O23,38)</f>
        <v/>
      </c>
      <c r="M23" s="219" t="str">
        <f t="array" ref="M23">INDEX(postDEL!$A$2:$AL799,$O23,15)</f>
        <v/>
      </c>
      <c r="N23" s="110">
        <f>COUNTIF(postDEL!$A$2:$A799,A23)</f>
        <v>1</v>
      </c>
      <c r="O23" s="19">
        <f>MATCH(A23,postDEL!A$2:A799,0)</f>
        <v>22</v>
      </c>
      <c r="P23" s="10" t="str">
        <f t="shared" si="1"/>
        <v/>
      </c>
      <c r="Q23" s="220">
        <f t="shared" si="2"/>
        <v>0</v>
      </c>
      <c r="R23" s="5"/>
    </row>
    <row r="24">
      <c r="A24" s="221" t="s">
        <v>355</v>
      </c>
      <c r="B24" s="217">
        <f t="array" ref="B24">INDEX(postDEL!$A$2:$P799,$O24,2)</f>
        <v>44550</v>
      </c>
      <c r="C24" s="218">
        <f t="array" ref="C24">INDEX(postDEL!$A$2:$P799,$O24,3)</f>
        <v>0.4013541667</v>
      </c>
      <c r="D24" s="219" t="str">
        <f t="array" ref="D24">INDEX(postDEL!$A$2:$AN799,$O24,39)</f>
        <v>SpBEND953422</v>
      </c>
      <c r="E24" s="219" t="str">
        <f t="array" ref="E24">INDEX(postDEL!$A$2:$P799,$O24,4)</f>
        <v/>
      </c>
      <c r="F24" s="219" t="str">
        <f t="array" ref="F24">INDEX(postDEL!$A$2:$P799,$O24,5)</f>
        <v/>
      </c>
      <c r="G24" s="219" t="str">
        <f t="array" ref="G24">INDEX(postDEL!$A$2:$P799,$O24,11)</f>
        <v>Negative</v>
      </c>
      <c r="H24" s="219" t="str">
        <f t="array" ref="H24">INDEX(postDEL!$A$2:$AL799,$O24,37)</f>
        <v>Negative</v>
      </c>
      <c r="I24" s="217">
        <f t="array" ref="I24">INDEX(postDEL!$A$2:$AL799,$O24,12)</f>
        <v>44550</v>
      </c>
      <c r="J24" s="218">
        <f t="array" ref="J24">INDEX(postDEL!$A$2:$AL799,$O24,13)</f>
        <v>0.4883449074</v>
      </c>
      <c r="K24" s="219" t="str">
        <f t="array" ref="K24">INDEX(postDEL!$A$2:$AL799,$O24,36)</f>
        <v/>
      </c>
      <c r="L24" s="219" t="str">
        <f t="array" ref="L24">INDEX(postDEL!$A$2:$AL799,$O24,38)</f>
        <v/>
      </c>
      <c r="M24" s="219" t="str">
        <f t="array" ref="M24">INDEX(postDEL!$A$2:$AL799,$O24,15)</f>
        <v/>
      </c>
      <c r="N24" s="110">
        <f>COUNTIF(postDEL!$A$2:$A799,A24)</f>
        <v>1</v>
      </c>
      <c r="O24" s="19">
        <f>MATCH(A24,postDEL!A$2:A799,0)</f>
        <v>23</v>
      </c>
      <c r="P24" s="10" t="str">
        <f t="shared" si="1"/>
        <v/>
      </c>
      <c r="Q24" s="220">
        <f t="shared" si="2"/>
        <v>0</v>
      </c>
      <c r="R24" s="5"/>
    </row>
    <row r="25">
      <c r="A25" s="221" t="s">
        <v>361</v>
      </c>
      <c r="B25" s="217">
        <f t="array" ref="B25">INDEX(postDEL!$A$2:$P799,$O25,2)</f>
        <v>44550</v>
      </c>
      <c r="C25" s="218">
        <f t="array" ref="C25">INDEX(postDEL!$A$2:$P799,$O25,3)</f>
        <v>0.401875</v>
      </c>
      <c r="D25" s="219" t="str">
        <f t="array" ref="D25">INDEX(postDEL!$A$2:$AN799,$O25,39)</f>
        <v>SpBEND305944</v>
      </c>
      <c r="E25" s="219" t="str">
        <f t="array" ref="E25">INDEX(postDEL!$A$2:$P799,$O25,4)</f>
        <v/>
      </c>
      <c r="F25" s="219" t="str">
        <f t="array" ref="F25">INDEX(postDEL!$A$2:$P799,$O25,5)</f>
        <v/>
      </c>
      <c r="G25" s="219" t="str">
        <f t="array" ref="G25">INDEX(postDEL!$A$2:$P799,$O25,11)</f>
        <v>Negative</v>
      </c>
      <c r="H25" s="219" t="str">
        <f t="array" ref="H25">INDEX(postDEL!$A$2:$AL799,$O25,37)</f>
        <v>Negative</v>
      </c>
      <c r="I25" s="217">
        <f t="array" ref="I25">INDEX(postDEL!$A$2:$AL799,$O25,12)</f>
        <v>44550</v>
      </c>
      <c r="J25" s="218">
        <f t="array" ref="J25">INDEX(postDEL!$A$2:$AL799,$O25,13)</f>
        <v>0.4883449074</v>
      </c>
      <c r="K25" s="219" t="str">
        <f t="array" ref="K25">INDEX(postDEL!$A$2:$AL799,$O25,36)</f>
        <v/>
      </c>
      <c r="L25" s="219" t="str">
        <f t="array" ref="L25">INDEX(postDEL!$A$2:$AL799,$O25,38)</f>
        <v/>
      </c>
      <c r="M25" s="219" t="str">
        <f t="array" ref="M25">INDEX(postDEL!$A$2:$AL799,$O25,15)</f>
        <v/>
      </c>
      <c r="N25" s="110">
        <f>COUNTIF(postDEL!$A$2:$A799,A25)</f>
        <v>1</v>
      </c>
      <c r="O25" s="19">
        <f>MATCH(A25,postDEL!A$2:A799,0)</f>
        <v>24</v>
      </c>
      <c r="P25" s="10" t="str">
        <f t="shared" si="1"/>
        <v/>
      </c>
      <c r="Q25" s="220">
        <f t="shared" si="2"/>
        <v>0</v>
      </c>
      <c r="R25" s="5"/>
    </row>
    <row r="26">
      <c r="A26" s="221" t="s">
        <v>367</v>
      </c>
      <c r="B26" s="217">
        <f t="array" ref="B26">INDEX(postDEL!$A$2:$P799,$O26,2)</f>
        <v>44550</v>
      </c>
      <c r="C26" s="218">
        <f t="array" ref="C26">INDEX(postDEL!$A$2:$P799,$O26,3)</f>
        <v>0.4363425926</v>
      </c>
      <c r="D26" s="219" t="str">
        <f t="array" ref="D26">INDEX(postDEL!$A$2:$AN799,$O26,39)</f>
        <v>SpBEND548976</v>
      </c>
      <c r="E26" s="219" t="str">
        <f t="array" ref="E26">INDEX(postDEL!$A$2:$P799,$O26,4)</f>
        <v/>
      </c>
      <c r="F26" s="219" t="str">
        <f t="array" ref="F26">INDEX(postDEL!$A$2:$P799,$O26,5)</f>
        <v/>
      </c>
      <c r="G26" s="219" t="str">
        <f t="array" ref="G26">INDEX(postDEL!$A$2:$P799,$O26,11)</f>
        <v>Negative</v>
      </c>
      <c r="H26" s="219" t="str">
        <f t="array" ref="H26">INDEX(postDEL!$A$2:$AL799,$O26,37)</f>
        <v>Negative</v>
      </c>
      <c r="I26" s="217">
        <f t="array" ref="I26">INDEX(postDEL!$A$2:$AL799,$O26,12)</f>
        <v>44550</v>
      </c>
      <c r="J26" s="218">
        <f t="array" ref="J26">INDEX(postDEL!$A$2:$AL799,$O26,13)</f>
        <v>0.4883449074</v>
      </c>
      <c r="K26" s="219" t="str">
        <f t="array" ref="K26">INDEX(postDEL!$A$2:$AL799,$O26,36)</f>
        <v/>
      </c>
      <c r="L26" s="219" t="str">
        <f t="array" ref="L26">INDEX(postDEL!$A$2:$AL799,$O26,38)</f>
        <v/>
      </c>
      <c r="M26" s="219" t="str">
        <f t="array" ref="M26">INDEX(postDEL!$A$2:$AL799,$O26,15)</f>
        <v/>
      </c>
      <c r="N26" s="110">
        <f>COUNTIF(postDEL!$A$2:$A799,A26)</f>
        <v>1</v>
      </c>
      <c r="O26" s="19">
        <f>MATCH(A26,postDEL!A$2:A799,0)</f>
        <v>25</v>
      </c>
      <c r="P26" s="10" t="str">
        <f t="shared" si="1"/>
        <v/>
      </c>
      <c r="Q26" s="220">
        <f t="shared" si="2"/>
        <v>0</v>
      </c>
      <c r="R26" s="5"/>
    </row>
    <row r="27">
      <c r="A27" s="221" t="s">
        <v>369</v>
      </c>
      <c r="B27" s="217">
        <f t="array" ref="B27">INDEX(postDEL!$A$2:$P799,$O27,2)</f>
        <v>44551</v>
      </c>
      <c r="C27" s="218">
        <f t="array" ref="C27">INDEX(postDEL!$A$2:$P799,$O27,3)</f>
        <v>0.1881018519</v>
      </c>
      <c r="D27" s="219" t="str">
        <f t="array" ref="D27">INDEX(postDEL!$A$2:$AN799,$O27,39)</f>
        <v>SpBEND825522</v>
      </c>
      <c r="E27" s="219" t="str">
        <f t="array" ref="E27">INDEX(postDEL!$A$2:$P799,$O27,4)</f>
        <v/>
      </c>
      <c r="F27" s="219" t="str">
        <f t="array" ref="F27">INDEX(postDEL!$A$2:$P799,$O27,5)</f>
        <v/>
      </c>
      <c r="G27" s="219" t="str">
        <f t="array" ref="G27">INDEX(postDEL!$A$2:$P799,$O27,11)</f>
        <v>Negative</v>
      </c>
      <c r="H27" s="219" t="str">
        <f t="array" ref="H27">INDEX(postDEL!$A$2:$AL799,$O27,37)</f>
        <v>Negative</v>
      </c>
      <c r="I27" s="217">
        <f t="array" ref="I27">INDEX(postDEL!$A$2:$AL799,$O27,12)</f>
        <v>44552</v>
      </c>
      <c r="J27" s="218">
        <f t="array" ref="J27">INDEX(postDEL!$A$2:$AL799,$O27,13)</f>
        <v>0.4200462963</v>
      </c>
      <c r="K27" s="219" t="str">
        <f t="array" ref="K27">INDEX(postDEL!$A$2:$AL799,$O27,36)</f>
        <v/>
      </c>
      <c r="L27" s="219" t="str">
        <f t="array" ref="L27">INDEX(postDEL!$A$2:$AL799,$O27,38)</f>
        <v/>
      </c>
      <c r="M27" s="219" t="str">
        <f t="array" ref="M27">INDEX(postDEL!$A$2:$AL799,$O27,15)</f>
        <v/>
      </c>
      <c r="N27" s="110">
        <f>COUNTIF(postDEL!$A$2:$A799,A27)</f>
        <v>1</v>
      </c>
      <c r="O27" s="19">
        <f>MATCH(A27,postDEL!A$2:A799,0)</f>
        <v>26</v>
      </c>
      <c r="P27" s="10" t="b">
        <f t="shared" si="1"/>
        <v>1</v>
      </c>
      <c r="Q27" s="220">
        <f t="shared" si="2"/>
        <v>1</v>
      </c>
      <c r="R27" s="5"/>
    </row>
    <row r="28">
      <c r="A28" s="221" t="s">
        <v>371</v>
      </c>
      <c r="B28" s="217">
        <f t="array" ref="B28">INDEX(postDEL!$A$2:$P799,$O28,2)</f>
        <v>44551</v>
      </c>
      <c r="C28" s="218">
        <f t="array" ref="C28">INDEX(postDEL!$A$2:$P799,$O28,3)</f>
        <v>0.4705439815</v>
      </c>
      <c r="D28" s="219" t="str">
        <f t="array" ref="D28">INDEX(postDEL!$A$2:$AN799,$O28,39)</f>
        <v>SpBEND767550</v>
      </c>
      <c r="E28" s="219" t="str">
        <f t="array" ref="E28">INDEX(postDEL!$A$2:$P799,$O28,4)</f>
        <v/>
      </c>
      <c r="F28" s="219" t="str">
        <f t="array" ref="F28">INDEX(postDEL!$A$2:$P799,$O28,5)</f>
        <v/>
      </c>
      <c r="G28" s="219" t="str">
        <f t="array" ref="G28">INDEX(postDEL!$A$2:$P799,$O28,11)</f>
        <v>Negative</v>
      </c>
      <c r="H28" s="219" t="str">
        <f t="array" ref="H28">INDEX(postDEL!$A$2:$AL799,$O28,37)</f>
        <v>Negative</v>
      </c>
      <c r="I28" s="217">
        <f t="array" ref="I28">INDEX(postDEL!$A$2:$AL799,$O28,12)</f>
        <v>44552</v>
      </c>
      <c r="J28" s="218">
        <f t="array" ref="J28">INDEX(postDEL!$A$2:$AL799,$O28,13)</f>
        <v>0.4200462963</v>
      </c>
      <c r="K28" s="219" t="str">
        <f t="array" ref="K28">INDEX(postDEL!$A$2:$AL799,$O28,36)</f>
        <v/>
      </c>
      <c r="L28" s="219" t="str">
        <f t="array" ref="L28">INDEX(postDEL!$A$2:$AL799,$O28,38)</f>
        <v/>
      </c>
      <c r="M28" s="219" t="str">
        <f t="array" ref="M28">INDEX(postDEL!$A$2:$AL799,$O28,15)</f>
        <v/>
      </c>
      <c r="N28" s="110">
        <f>COUNTIF(postDEL!$A$2:$A799,A28)</f>
        <v>1</v>
      </c>
      <c r="O28" s="19">
        <f>MATCH(A28,postDEL!A$2:A799,0)</f>
        <v>27</v>
      </c>
      <c r="P28" s="10" t="str">
        <f t="shared" si="1"/>
        <v/>
      </c>
      <c r="Q28" s="220">
        <f t="shared" si="2"/>
        <v>1</v>
      </c>
      <c r="R28" s="5"/>
    </row>
    <row r="29">
      <c r="A29" s="221" t="s">
        <v>373</v>
      </c>
      <c r="B29" s="217">
        <f t="array" ref="B29">INDEX(postDEL!$A$2:$P799,$O29,2)</f>
        <v>44552</v>
      </c>
      <c r="C29" s="218">
        <f t="array" ref="C29">INDEX(postDEL!$A$2:$P799,$O29,3)</f>
        <v>0.3487962963</v>
      </c>
      <c r="D29" s="219" t="str">
        <f t="array" ref="D29">INDEX(postDEL!$A$2:$AN799,$O29,39)</f>
        <v>SpBEND394154</v>
      </c>
      <c r="E29" s="219" t="str">
        <f t="array" ref="E29">INDEX(postDEL!$A$2:$P799,$O29,4)</f>
        <v/>
      </c>
      <c r="F29" s="219" t="str">
        <f t="array" ref="F29">INDEX(postDEL!$A$2:$P799,$O29,5)</f>
        <v/>
      </c>
      <c r="G29" s="219" t="str">
        <f t="array" ref="G29">INDEX(postDEL!$A$2:$P799,$O29,11)</f>
        <v>Null</v>
      </c>
      <c r="H29" s="219" t="str">
        <f t="array" ref="H29">INDEX(postDEL!$A$2:$AL799,$O29,37)</f>
        <v>Negative</v>
      </c>
      <c r="I29" s="217" t="str">
        <f t="array" ref="I29">INDEX(postDEL!$A$2:$AL799,$O29,12)</f>
        <v/>
      </c>
      <c r="J29" s="218" t="str">
        <f t="array" ref="J29">INDEX(postDEL!$A$2:$AL799,$O29,13)</f>
        <v/>
      </c>
      <c r="K29" s="219">
        <f t="array" ref="K29">INDEX(postDEL!$A$2:$AL799,$O29,36)</f>
        <v>2</v>
      </c>
      <c r="L29" s="219" t="str">
        <f t="array" ref="L29">INDEX(postDEL!$A$2:$AL799,$O29,38)</f>
        <v/>
      </c>
      <c r="M29" s="219" t="str">
        <f t="array" ref="M29">INDEX(postDEL!$A$2:$AL799,$O29,15)</f>
        <v/>
      </c>
      <c r="N29" s="110">
        <f>COUNTIF(postDEL!$A$2:$A799,A29)</f>
        <v>1</v>
      </c>
      <c r="O29" s="19">
        <f>MATCH(A29,postDEL!A$2:A799,0)</f>
        <v>28</v>
      </c>
      <c r="P29" s="10" t="b">
        <f t="shared" si="1"/>
        <v>1</v>
      </c>
      <c r="Q29" s="220">
        <f t="shared" si="2"/>
        <v>-1</v>
      </c>
      <c r="R29" s="5"/>
    </row>
    <row r="30">
      <c r="A30" s="221" t="s">
        <v>376</v>
      </c>
      <c r="B30" s="217">
        <f t="array" ref="B30">INDEX(postDEL!$A$2:$P799,$O30,2)</f>
        <v>44552</v>
      </c>
      <c r="C30" s="218">
        <f t="array" ref="C30">INDEX(postDEL!$A$2:$P799,$O30,3)</f>
        <v>0.3587731481</v>
      </c>
      <c r="D30" s="219" t="str">
        <f t="array" ref="D30">INDEX(postDEL!$A$2:$AN799,$O30,39)</f>
        <v>SpBEND394154</v>
      </c>
      <c r="E30" s="219" t="str">
        <f t="array" ref="E30">INDEX(postDEL!$A$2:$P799,$O30,4)</f>
        <v/>
      </c>
      <c r="F30" s="219" t="str">
        <f t="array" ref="F30">INDEX(postDEL!$A$2:$P799,$O30,5)</f>
        <v/>
      </c>
      <c r="G30" s="219" t="str">
        <f t="array" ref="G30">INDEX(postDEL!$A$2:$P799,$O30,11)</f>
        <v>Negative</v>
      </c>
      <c r="H30" s="219" t="str">
        <f t="array" ref="H30">INDEX(postDEL!$A$2:$AL799,$O30,37)</f>
        <v>Negative</v>
      </c>
      <c r="I30" s="217">
        <f t="array" ref="I30">INDEX(postDEL!$A$2:$AL799,$O30,12)</f>
        <v>44552</v>
      </c>
      <c r="J30" s="218">
        <f t="array" ref="J30">INDEX(postDEL!$A$2:$AL799,$O30,13)</f>
        <v>0.4200462963</v>
      </c>
      <c r="K30" s="219" t="str">
        <f t="array" ref="K30">INDEX(postDEL!$A$2:$AL799,$O30,36)</f>
        <v/>
      </c>
      <c r="L30" s="219" t="str">
        <f t="array" ref="L30">INDEX(postDEL!$A$2:$AL799,$O30,38)</f>
        <v/>
      </c>
      <c r="M30" s="219" t="str">
        <f t="array" ref="M30">INDEX(postDEL!$A$2:$AL799,$O30,15)</f>
        <v/>
      </c>
      <c r="N30" s="110">
        <f>COUNTIF(postDEL!$A$2:$A799,A30)</f>
        <v>1</v>
      </c>
      <c r="O30" s="19">
        <f>MATCH(A30,postDEL!A$2:A799,0)</f>
        <v>29</v>
      </c>
      <c r="P30" s="10" t="str">
        <f t="shared" si="1"/>
        <v/>
      </c>
      <c r="Q30" s="220">
        <f t="shared" si="2"/>
        <v>0</v>
      </c>
      <c r="R30" s="5"/>
    </row>
    <row r="31">
      <c r="A31" s="221" t="s">
        <v>379</v>
      </c>
      <c r="B31" s="217">
        <f t="array" ref="B31">INDEX(postDEL!$A$2:$P799,$O31,2)</f>
        <v>44552</v>
      </c>
      <c r="C31" s="218">
        <f t="array" ref="C31">INDEX(postDEL!$A$2:$P799,$O31,3)</f>
        <v>0.3660185185</v>
      </c>
      <c r="D31" s="219" t="str">
        <f t="array" ref="D31">INDEX(postDEL!$A$2:$AN799,$O31,39)</f>
        <v>SpBEND394154</v>
      </c>
      <c r="E31" s="219" t="str">
        <f t="array" ref="E31">INDEX(postDEL!$A$2:$P799,$O31,4)</f>
        <v/>
      </c>
      <c r="F31" s="219" t="str">
        <f t="array" ref="F31">INDEX(postDEL!$A$2:$P799,$O31,5)</f>
        <v/>
      </c>
      <c r="G31" s="219" t="str">
        <f t="array" ref="G31">INDEX(postDEL!$A$2:$P799,$O31,11)</f>
        <v>Negative</v>
      </c>
      <c r="H31" s="219" t="str">
        <f t="array" ref="H31">INDEX(postDEL!$A$2:$AL799,$O31,37)</f>
        <v>Negative</v>
      </c>
      <c r="I31" s="217">
        <f t="array" ref="I31">INDEX(postDEL!$A$2:$AL799,$O31,12)</f>
        <v>44552</v>
      </c>
      <c r="J31" s="218">
        <f t="array" ref="J31">INDEX(postDEL!$A$2:$AL799,$O31,13)</f>
        <v>0.4200462963</v>
      </c>
      <c r="K31" s="219" t="str">
        <f t="array" ref="K31">INDEX(postDEL!$A$2:$AL799,$O31,36)</f>
        <v/>
      </c>
      <c r="L31" s="219" t="str">
        <f t="array" ref="L31">INDEX(postDEL!$A$2:$AL799,$O31,38)</f>
        <v/>
      </c>
      <c r="M31" s="219" t="str">
        <f t="array" ref="M31">INDEX(postDEL!$A$2:$AL799,$O31,15)</f>
        <v/>
      </c>
      <c r="N31" s="110">
        <f>COUNTIF(postDEL!$A$2:$A799,A31)</f>
        <v>1</v>
      </c>
      <c r="O31" s="19">
        <f>MATCH(A31,postDEL!A$2:A799,0)</f>
        <v>30</v>
      </c>
      <c r="P31" s="10" t="str">
        <f t="shared" si="1"/>
        <v/>
      </c>
      <c r="Q31" s="220">
        <f t="shared" si="2"/>
        <v>0</v>
      </c>
      <c r="R31" s="5"/>
    </row>
    <row r="32">
      <c r="A32" s="221" t="s">
        <v>381</v>
      </c>
      <c r="B32" s="217">
        <f t="array" ref="B32">INDEX(postDEL!$A$2:$P799,$O32,2)</f>
        <v>44556</v>
      </c>
      <c r="C32" s="218">
        <f t="array" ref="C32">INDEX(postDEL!$A$2:$P799,$O32,3)</f>
        <v>0.6234837963</v>
      </c>
      <c r="D32" s="219" t="str">
        <f t="array" ref="D32">INDEX(postDEL!$A$2:$AN799,$O32,39)</f>
        <v>SpBEND768497</v>
      </c>
      <c r="E32" s="219" t="str">
        <f t="array" ref="E32">INDEX(postDEL!$A$2:$P799,$O32,4)</f>
        <v/>
      </c>
      <c r="F32" s="219" t="str">
        <f t="array" ref="F32">INDEX(postDEL!$A$2:$P799,$O32,5)</f>
        <v/>
      </c>
      <c r="G32" s="219" t="str">
        <f t="array" ref="G32">INDEX(postDEL!$A$2:$P799,$O32,11)</f>
        <v>Negative</v>
      </c>
      <c r="H32" s="219" t="str">
        <f t="array" ref="H32">INDEX(postDEL!$A$2:$AL799,$O32,37)</f>
        <v>Negative</v>
      </c>
      <c r="I32" s="217">
        <f t="array" ref="I32">INDEX(postDEL!$A$2:$AL799,$O32,12)</f>
        <v>44557</v>
      </c>
      <c r="J32" s="218">
        <f t="array" ref="J32">INDEX(postDEL!$A$2:$AL799,$O32,13)</f>
        <v>0.4870949074</v>
      </c>
      <c r="K32" s="219" t="str">
        <f t="array" ref="K32">INDEX(postDEL!$A$2:$AL799,$O32,36)</f>
        <v/>
      </c>
      <c r="L32" s="219" t="str">
        <f t="array" ref="L32">INDEX(postDEL!$A$2:$AL799,$O32,38)</f>
        <v/>
      </c>
      <c r="M32" s="219" t="str">
        <f t="array" ref="M32">INDEX(postDEL!$A$2:$AL799,$O32,15)</f>
        <v/>
      </c>
      <c r="N32" s="110">
        <f>COUNTIF(postDEL!$A$2:$A799,A32)</f>
        <v>1</v>
      </c>
      <c r="O32" s="19">
        <f>MATCH(A32,postDEL!A$2:A799,0)</f>
        <v>31</v>
      </c>
      <c r="P32" s="10" t="b">
        <f t="shared" si="1"/>
        <v>1</v>
      </c>
      <c r="Q32" s="220">
        <f t="shared" si="2"/>
        <v>1</v>
      </c>
      <c r="R32" s="5"/>
    </row>
    <row r="33">
      <c r="A33" s="221" t="s">
        <v>383</v>
      </c>
      <c r="B33" s="217">
        <f t="array" ref="B33">INDEX(postDEL!$A$2:$P799,$O33,2)</f>
        <v>44557</v>
      </c>
      <c r="C33" s="218">
        <f t="array" ref="C33">INDEX(postDEL!$A$2:$P799,$O33,3)</f>
        <v>0.3123148148</v>
      </c>
      <c r="D33" s="219" t="str">
        <f t="array" ref="D33">INDEX(postDEL!$A$2:$AN799,$O33,39)</f>
        <v>SpBEND541174</v>
      </c>
      <c r="E33" s="219" t="str">
        <f t="array" ref="E33">INDEX(postDEL!$A$2:$P799,$O33,4)</f>
        <v/>
      </c>
      <c r="F33" s="219" t="str">
        <f t="array" ref="F33">INDEX(postDEL!$A$2:$P799,$O33,5)</f>
        <v/>
      </c>
      <c r="G33" s="219" t="str">
        <f t="array" ref="G33">INDEX(postDEL!$A$2:$P799,$O33,11)</f>
        <v>Negative</v>
      </c>
      <c r="H33" s="219" t="str">
        <f t="array" ref="H33">INDEX(postDEL!$A$2:$AL799,$O33,37)</f>
        <v>Negative</v>
      </c>
      <c r="I33" s="217">
        <f t="array" ref="I33">INDEX(postDEL!$A$2:$AL799,$O33,12)</f>
        <v>44557</v>
      </c>
      <c r="J33" s="218">
        <f t="array" ref="J33">INDEX(postDEL!$A$2:$AL799,$O33,13)</f>
        <v>0.4870949074</v>
      </c>
      <c r="K33" s="219" t="str">
        <f t="array" ref="K33">INDEX(postDEL!$A$2:$AL799,$O33,36)</f>
        <v/>
      </c>
      <c r="L33" s="219" t="str">
        <f t="array" ref="L33">INDEX(postDEL!$A$2:$AL799,$O33,38)</f>
        <v/>
      </c>
      <c r="M33" s="219" t="str">
        <f t="array" ref="M33">INDEX(postDEL!$A$2:$AL799,$O33,15)</f>
        <v/>
      </c>
      <c r="N33" s="110">
        <f>COUNTIF(postDEL!$A$2:$A799,A33)</f>
        <v>1</v>
      </c>
      <c r="O33" s="19">
        <f>MATCH(A33,postDEL!A$2:A799,0)</f>
        <v>32</v>
      </c>
      <c r="P33" s="10" t="b">
        <f t="shared" si="1"/>
        <v>1</v>
      </c>
      <c r="Q33" s="220">
        <f t="shared" si="2"/>
        <v>0</v>
      </c>
      <c r="R33" s="5"/>
    </row>
    <row r="34">
      <c r="A34" s="221" t="s">
        <v>385</v>
      </c>
      <c r="B34" s="217">
        <f t="array" ref="B34">INDEX(postDEL!$A$2:$P799,$O34,2)</f>
        <v>44557</v>
      </c>
      <c r="C34" s="218">
        <f t="array" ref="C34">INDEX(postDEL!$A$2:$P799,$O34,3)</f>
        <v>0.312662037</v>
      </c>
      <c r="D34" s="219" t="str">
        <f t="array" ref="D34">INDEX(postDEL!$A$2:$AN799,$O34,39)</f>
        <v>SpBEND214692</v>
      </c>
      <c r="E34" s="219" t="str">
        <f t="array" ref="E34">INDEX(postDEL!$A$2:$P799,$O34,4)</f>
        <v/>
      </c>
      <c r="F34" s="219" t="str">
        <f t="array" ref="F34">INDEX(postDEL!$A$2:$P799,$O34,5)</f>
        <v/>
      </c>
      <c r="G34" s="219" t="str">
        <f t="array" ref="G34">INDEX(postDEL!$A$2:$P799,$O34,11)</f>
        <v>Negative</v>
      </c>
      <c r="H34" s="219" t="str">
        <f t="array" ref="H34">INDEX(postDEL!$A$2:$AL799,$O34,37)</f>
        <v>Negative</v>
      </c>
      <c r="I34" s="217">
        <f t="array" ref="I34">INDEX(postDEL!$A$2:$AL799,$O34,12)</f>
        <v>44557</v>
      </c>
      <c r="J34" s="218">
        <f t="array" ref="J34">INDEX(postDEL!$A$2:$AL799,$O34,13)</f>
        <v>0.4870949074</v>
      </c>
      <c r="K34" s="219" t="str">
        <f t="array" ref="K34">INDEX(postDEL!$A$2:$AL799,$O34,36)</f>
        <v/>
      </c>
      <c r="L34" s="219" t="str">
        <f t="array" ref="L34">INDEX(postDEL!$A$2:$AL799,$O34,38)</f>
        <v/>
      </c>
      <c r="M34" s="219" t="str">
        <f t="array" ref="M34">INDEX(postDEL!$A$2:$AL799,$O34,15)</f>
        <v/>
      </c>
      <c r="N34" s="110">
        <f>COUNTIF(postDEL!$A$2:$A799,A34)</f>
        <v>1</v>
      </c>
      <c r="O34" s="19">
        <f>MATCH(A34,postDEL!A$2:A799,0)</f>
        <v>33</v>
      </c>
      <c r="P34" s="10" t="str">
        <f t="shared" si="1"/>
        <v/>
      </c>
      <c r="Q34" s="220">
        <f t="shared" si="2"/>
        <v>0</v>
      </c>
      <c r="R34" s="5"/>
    </row>
    <row r="35">
      <c r="A35" s="221" t="s">
        <v>387</v>
      </c>
      <c r="B35" s="217">
        <f t="array" ref="B35">INDEX(postDEL!$A$2:$P799,$O35,2)</f>
        <v>44557</v>
      </c>
      <c r="C35" s="218">
        <f t="array" ref="C35">INDEX(postDEL!$A$2:$P799,$O35,3)</f>
        <v>0.3275462963</v>
      </c>
      <c r="D35" s="219" t="str">
        <f t="array" ref="D35">INDEX(postDEL!$A$2:$AN799,$O35,39)</f>
        <v>SpBEND767550</v>
      </c>
      <c r="E35" s="219" t="str">
        <f t="array" ref="E35">INDEX(postDEL!$A$2:$P799,$O35,4)</f>
        <v/>
      </c>
      <c r="F35" s="219" t="str">
        <f t="array" ref="F35">INDEX(postDEL!$A$2:$P799,$O35,5)</f>
        <v/>
      </c>
      <c r="G35" s="219" t="str">
        <f t="array" ref="G35">INDEX(postDEL!$A$2:$P799,$O35,11)</f>
        <v>Negative</v>
      </c>
      <c r="H35" s="219" t="str">
        <f t="array" ref="H35">INDEX(postDEL!$A$2:$AL799,$O35,37)</f>
        <v>Negative</v>
      </c>
      <c r="I35" s="217">
        <f t="array" ref="I35">INDEX(postDEL!$A$2:$AL799,$O35,12)</f>
        <v>44557</v>
      </c>
      <c r="J35" s="218">
        <f t="array" ref="J35">INDEX(postDEL!$A$2:$AL799,$O35,13)</f>
        <v>0.4870949074</v>
      </c>
      <c r="K35" s="219" t="str">
        <f t="array" ref="K35">INDEX(postDEL!$A$2:$AL799,$O35,36)</f>
        <v/>
      </c>
      <c r="L35" s="219" t="str">
        <f t="array" ref="L35">INDEX(postDEL!$A$2:$AL799,$O35,38)</f>
        <v/>
      </c>
      <c r="M35" s="219" t="str">
        <f t="array" ref="M35">INDEX(postDEL!$A$2:$AL799,$O35,15)</f>
        <v/>
      </c>
      <c r="N35" s="110">
        <f>COUNTIF(postDEL!$A$2:$A799,A35)</f>
        <v>1</v>
      </c>
      <c r="O35" s="19">
        <f>MATCH(A35,postDEL!A$2:A799,0)</f>
        <v>34</v>
      </c>
      <c r="P35" s="10" t="str">
        <f t="shared" si="1"/>
        <v/>
      </c>
      <c r="Q35" s="220">
        <f t="shared" si="2"/>
        <v>0</v>
      </c>
      <c r="R35" s="5"/>
    </row>
    <row r="36">
      <c r="A36" s="221" t="s">
        <v>389</v>
      </c>
      <c r="B36" s="217">
        <f t="array" ref="B36">INDEX(postDEL!$A$2:$P799,$O36,2)</f>
        <v>44557</v>
      </c>
      <c r="C36" s="218">
        <f t="array" ref="C36">INDEX(postDEL!$A$2:$P799,$O36,3)</f>
        <v>0.3289351852</v>
      </c>
      <c r="D36" s="219" t="str">
        <f t="array" ref="D36">INDEX(postDEL!$A$2:$AN799,$O36,39)</f>
        <v>SpBEND982195</v>
      </c>
      <c r="E36" s="219" t="str">
        <f t="array" ref="E36">INDEX(postDEL!$A$2:$P799,$O36,4)</f>
        <v/>
      </c>
      <c r="F36" s="219" t="str">
        <f t="array" ref="F36">INDEX(postDEL!$A$2:$P799,$O36,5)</f>
        <v/>
      </c>
      <c r="G36" s="219" t="str">
        <f t="array" ref="G36">INDEX(postDEL!$A$2:$P799,$O36,11)</f>
        <v>Negative</v>
      </c>
      <c r="H36" s="219" t="str">
        <f t="array" ref="H36">INDEX(postDEL!$A$2:$AL799,$O36,37)</f>
        <v>Negative</v>
      </c>
      <c r="I36" s="217">
        <f t="array" ref="I36">INDEX(postDEL!$A$2:$AL799,$O36,12)</f>
        <v>44557</v>
      </c>
      <c r="J36" s="218">
        <f t="array" ref="J36">INDEX(postDEL!$A$2:$AL799,$O36,13)</f>
        <v>0.4870949074</v>
      </c>
      <c r="K36" s="219" t="str">
        <f t="array" ref="K36">INDEX(postDEL!$A$2:$AL799,$O36,36)</f>
        <v/>
      </c>
      <c r="L36" s="219" t="str">
        <f t="array" ref="L36">INDEX(postDEL!$A$2:$AL799,$O36,38)</f>
        <v/>
      </c>
      <c r="M36" s="219" t="str">
        <f t="array" ref="M36">INDEX(postDEL!$A$2:$AL799,$O36,15)</f>
        <v/>
      </c>
      <c r="N36" s="110">
        <f>COUNTIF(postDEL!$A$2:$A799,A36)</f>
        <v>1</v>
      </c>
      <c r="O36" s="19">
        <f>MATCH(A36,postDEL!A$2:A799,0)</f>
        <v>35</v>
      </c>
      <c r="P36" s="10" t="str">
        <f t="shared" si="1"/>
        <v/>
      </c>
      <c r="Q36" s="220">
        <f t="shared" si="2"/>
        <v>0</v>
      </c>
      <c r="R36" s="5"/>
    </row>
    <row r="37">
      <c r="A37" s="221" t="s">
        <v>393</v>
      </c>
      <c r="B37" s="217">
        <f t="array" ref="B37">INDEX(postDEL!$A$2:$P799,$O37,2)</f>
        <v>44557</v>
      </c>
      <c r="C37" s="218">
        <f t="array" ref="C37">INDEX(postDEL!$A$2:$P799,$O37,3)</f>
        <v>0.3337037037</v>
      </c>
      <c r="D37" s="219" t="str">
        <f t="array" ref="D37">INDEX(postDEL!$A$2:$AN799,$O37,39)</f>
        <v>SpBEND643855</v>
      </c>
      <c r="E37" s="219" t="str">
        <f t="array" ref="E37">INDEX(postDEL!$A$2:$P799,$O37,4)</f>
        <v/>
      </c>
      <c r="F37" s="219" t="str">
        <f t="array" ref="F37">INDEX(postDEL!$A$2:$P799,$O37,5)</f>
        <v/>
      </c>
      <c r="G37" s="219" t="str">
        <f t="array" ref="G37">INDEX(postDEL!$A$2:$P799,$O37,11)</f>
        <v>Negative</v>
      </c>
      <c r="H37" s="219" t="str">
        <f t="array" ref="H37">INDEX(postDEL!$A$2:$AL799,$O37,37)</f>
        <v>Negative</v>
      </c>
      <c r="I37" s="217">
        <f t="array" ref="I37">INDEX(postDEL!$A$2:$AL799,$O37,12)</f>
        <v>44557</v>
      </c>
      <c r="J37" s="218">
        <f t="array" ref="J37">INDEX(postDEL!$A$2:$AL799,$O37,13)</f>
        <v>0.4870949074</v>
      </c>
      <c r="K37" s="219" t="str">
        <f t="array" ref="K37">INDEX(postDEL!$A$2:$AL799,$O37,36)</f>
        <v/>
      </c>
      <c r="L37" s="219" t="str">
        <f t="array" ref="L37">INDEX(postDEL!$A$2:$AL799,$O37,38)</f>
        <v/>
      </c>
      <c r="M37" s="219" t="str">
        <f t="array" ref="M37">INDEX(postDEL!$A$2:$AL799,$O37,15)</f>
        <v/>
      </c>
      <c r="N37" s="110">
        <f>COUNTIF(postDEL!$A$2:$A799,A37)</f>
        <v>1</v>
      </c>
      <c r="O37" s="19">
        <f>MATCH(A37,postDEL!A$2:A799,0)</f>
        <v>36</v>
      </c>
      <c r="P37" s="10" t="str">
        <f t="shared" si="1"/>
        <v/>
      </c>
      <c r="Q37" s="220">
        <f t="shared" si="2"/>
        <v>0</v>
      </c>
      <c r="R37" s="5"/>
    </row>
    <row r="38">
      <c r="A38" s="221" t="s">
        <v>395</v>
      </c>
      <c r="B38" s="217">
        <f t="array" ref="B38">INDEX(postDEL!$A$2:$P799,$O38,2)</f>
        <v>44557</v>
      </c>
      <c r="C38" s="218">
        <f t="array" ref="C38">INDEX(postDEL!$A$2:$P799,$O38,3)</f>
        <v>0.3368865741</v>
      </c>
      <c r="D38" s="219" t="str">
        <f t="array" ref="D38">INDEX(postDEL!$A$2:$AN799,$O38,39)</f>
        <v>SpBEND139600</v>
      </c>
      <c r="E38" s="219" t="str">
        <f t="array" ref="E38">INDEX(postDEL!$A$2:$P799,$O38,4)</f>
        <v/>
      </c>
      <c r="F38" s="219" t="str">
        <f t="array" ref="F38">INDEX(postDEL!$A$2:$P799,$O38,5)</f>
        <v/>
      </c>
      <c r="G38" s="219" t="str">
        <f t="array" ref="G38">INDEX(postDEL!$A$2:$P799,$O38,11)</f>
        <v>Negative</v>
      </c>
      <c r="H38" s="219" t="str">
        <f t="array" ref="H38">INDEX(postDEL!$A$2:$AL799,$O38,37)</f>
        <v>Negative</v>
      </c>
      <c r="I38" s="217">
        <f t="array" ref="I38">INDEX(postDEL!$A$2:$AL799,$O38,12)</f>
        <v>44557</v>
      </c>
      <c r="J38" s="218">
        <f t="array" ref="J38">INDEX(postDEL!$A$2:$AL799,$O38,13)</f>
        <v>0.4870949074</v>
      </c>
      <c r="K38" s="219" t="str">
        <f t="array" ref="K38">INDEX(postDEL!$A$2:$AL799,$O38,36)</f>
        <v/>
      </c>
      <c r="L38" s="219" t="str">
        <f t="array" ref="L38">INDEX(postDEL!$A$2:$AL799,$O38,38)</f>
        <v/>
      </c>
      <c r="M38" s="219" t="str">
        <f t="array" ref="M38">INDEX(postDEL!$A$2:$AL799,$O38,15)</f>
        <v/>
      </c>
      <c r="N38" s="110">
        <f>COUNTIF(postDEL!$A$2:$A799,A38)</f>
        <v>1</v>
      </c>
      <c r="O38" s="19">
        <f>MATCH(A38,postDEL!A$2:A799,0)</f>
        <v>37</v>
      </c>
      <c r="P38" s="10" t="str">
        <f t="shared" si="1"/>
        <v/>
      </c>
      <c r="Q38" s="220">
        <f t="shared" si="2"/>
        <v>0</v>
      </c>
      <c r="R38" s="5"/>
    </row>
    <row r="39">
      <c r="A39" s="221" t="s">
        <v>397</v>
      </c>
      <c r="B39" s="217">
        <f t="array" ref="B39">INDEX(postDEL!$A$2:$P799,$O39,2)</f>
        <v>44557</v>
      </c>
      <c r="C39" s="218">
        <f t="array" ref="C39">INDEX(postDEL!$A$2:$P799,$O39,3)</f>
        <v>0.3406828704</v>
      </c>
      <c r="D39" s="219" t="str">
        <f t="array" ref="D39">INDEX(postDEL!$A$2:$AN799,$O39,39)</f>
        <v>SpBEND642175</v>
      </c>
      <c r="E39" s="219" t="str">
        <f t="array" ref="E39">INDEX(postDEL!$A$2:$P799,$O39,4)</f>
        <v/>
      </c>
      <c r="F39" s="219" t="str">
        <f t="array" ref="F39">INDEX(postDEL!$A$2:$P799,$O39,5)</f>
        <v/>
      </c>
      <c r="G39" s="219" t="str">
        <f t="array" ref="G39">INDEX(postDEL!$A$2:$P799,$O39,11)</f>
        <v>Negative</v>
      </c>
      <c r="H39" s="219" t="str">
        <f t="array" ref="H39">INDEX(postDEL!$A$2:$AL799,$O39,37)</f>
        <v>Negative</v>
      </c>
      <c r="I39" s="217">
        <f t="array" ref="I39">INDEX(postDEL!$A$2:$AL799,$O39,12)</f>
        <v>44557</v>
      </c>
      <c r="J39" s="218">
        <f t="array" ref="J39">INDEX(postDEL!$A$2:$AL799,$O39,13)</f>
        <v>0.4870949074</v>
      </c>
      <c r="K39" s="219" t="str">
        <f t="array" ref="K39">INDEX(postDEL!$A$2:$AL799,$O39,36)</f>
        <v/>
      </c>
      <c r="L39" s="219" t="str">
        <f t="array" ref="L39">INDEX(postDEL!$A$2:$AL799,$O39,38)</f>
        <v/>
      </c>
      <c r="M39" s="219" t="str">
        <f t="array" ref="M39">INDEX(postDEL!$A$2:$AL799,$O39,15)</f>
        <v/>
      </c>
      <c r="N39" s="110">
        <f>COUNTIF(postDEL!$A$2:$A799,A39)</f>
        <v>1</v>
      </c>
      <c r="O39" s="19">
        <f>MATCH(A39,postDEL!A$2:A799,0)</f>
        <v>38</v>
      </c>
      <c r="P39" s="10" t="str">
        <f t="shared" si="1"/>
        <v/>
      </c>
      <c r="Q39" s="220">
        <f t="shared" si="2"/>
        <v>0</v>
      </c>
      <c r="R39" s="5"/>
    </row>
    <row r="40">
      <c r="A40" s="221" t="s">
        <v>401</v>
      </c>
      <c r="B40" s="217">
        <f t="array" ref="B40">INDEX(postDEL!$A$2:$P799,$O40,2)</f>
        <v>44557</v>
      </c>
      <c r="C40" s="218">
        <f t="array" ref="C40">INDEX(postDEL!$A$2:$P799,$O40,3)</f>
        <v>0.3411805556</v>
      </c>
      <c r="D40" s="219" t="str">
        <f t="array" ref="D40">INDEX(postDEL!$A$2:$AN799,$O40,39)</f>
        <v>SpBEND721986</v>
      </c>
      <c r="E40" s="219" t="str">
        <f t="array" ref="E40">INDEX(postDEL!$A$2:$P799,$O40,4)</f>
        <v/>
      </c>
      <c r="F40" s="219" t="str">
        <f t="array" ref="F40">INDEX(postDEL!$A$2:$P799,$O40,5)</f>
        <v/>
      </c>
      <c r="G40" s="219" t="str">
        <f t="array" ref="G40">INDEX(postDEL!$A$2:$P799,$O40,11)</f>
        <v>Negative</v>
      </c>
      <c r="H40" s="219" t="str">
        <f t="array" ref="H40">INDEX(postDEL!$A$2:$AL799,$O40,37)</f>
        <v>Negative</v>
      </c>
      <c r="I40" s="217">
        <f t="array" ref="I40">INDEX(postDEL!$A$2:$AL799,$O40,12)</f>
        <v>44557</v>
      </c>
      <c r="J40" s="218">
        <f t="array" ref="J40">INDEX(postDEL!$A$2:$AL799,$O40,13)</f>
        <v>0.4870949074</v>
      </c>
      <c r="K40" s="219" t="str">
        <f t="array" ref="K40">INDEX(postDEL!$A$2:$AL799,$O40,36)</f>
        <v/>
      </c>
      <c r="L40" s="219" t="str">
        <f t="array" ref="L40">INDEX(postDEL!$A$2:$AL799,$O40,38)</f>
        <v/>
      </c>
      <c r="M40" s="219" t="str">
        <f t="array" ref="M40">INDEX(postDEL!$A$2:$AL799,$O40,15)</f>
        <v/>
      </c>
      <c r="N40" s="110">
        <f>COUNTIF(postDEL!$A$2:$A799,A40)</f>
        <v>1</v>
      </c>
      <c r="O40" s="19">
        <f>MATCH(A40,postDEL!A$2:A799,0)</f>
        <v>39</v>
      </c>
      <c r="P40" s="10" t="str">
        <f t="shared" si="1"/>
        <v/>
      </c>
      <c r="Q40" s="220">
        <f t="shared" si="2"/>
        <v>0</v>
      </c>
      <c r="R40" s="5"/>
    </row>
    <row r="41">
      <c r="A41" s="221" t="s">
        <v>403</v>
      </c>
      <c r="B41" s="217">
        <f t="array" ref="B41">INDEX(postDEL!$A$2:$P799,$O41,2)</f>
        <v>44557</v>
      </c>
      <c r="C41" s="218">
        <f t="array" ref="C41">INDEX(postDEL!$A$2:$P799,$O41,3)</f>
        <v>0.3544560185</v>
      </c>
      <c r="D41" s="219" t="str">
        <f t="array" ref="D41">INDEX(postDEL!$A$2:$AN799,$O41,39)</f>
        <v>SpBEND953422</v>
      </c>
      <c r="E41" s="219" t="str">
        <f t="array" ref="E41">INDEX(postDEL!$A$2:$P799,$O41,4)</f>
        <v/>
      </c>
      <c r="F41" s="219" t="str">
        <f t="array" ref="F41">INDEX(postDEL!$A$2:$P799,$O41,5)</f>
        <v/>
      </c>
      <c r="G41" s="219" t="str">
        <f t="array" ref="G41">INDEX(postDEL!$A$2:$P799,$O41,11)</f>
        <v>Negative</v>
      </c>
      <c r="H41" s="219" t="str">
        <f t="array" ref="H41">INDEX(postDEL!$A$2:$AL799,$O41,37)</f>
        <v>Negative</v>
      </c>
      <c r="I41" s="217">
        <f t="array" ref="I41">INDEX(postDEL!$A$2:$AL799,$O41,12)</f>
        <v>44557</v>
      </c>
      <c r="J41" s="218">
        <f t="array" ref="J41">INDEX(postDEL!$A$2:$AL799,$O41,13)</f>
        <v>0.4870949074</v>
      </c>
      <c r="K41" s="219" t="str">
        <f t="array" ref="K41">INDEX(postDEL!$A$2:$AL799,$O41,36)</f>
        <v/>
      </c>
      <c r="L41" s="219" t="str">
        <f t="array" ref="L41">INDEX(postDEL!$A$2:$AL799,$O41,38)</f>
        <v/>
      </c>
      <c r="M41" s="219" t="str">
        <f t="array" ref="M41">INDEX(postDEL!$A$2:$AL799,$O41,15)</f>
        <v/>
      </c>
      <c r="N41" s="110">
        <f>COUNTIF(postDEL!$A$2:$A799,A41)</f>
        <v>1</v>
      </c>
      <c r="O41" s="19">
        <f>MATCH(A41,postDEL!A$2:A799,0)</f>
        <v>40</v>
      </c>
      <c r="P41" s="10" t="str">
        <f t="shared" si="1"/>
        <v/>
      </c>
      <c r="Q41" s="220">
        <f t="shared" si="2"/>
        <v>0</v>
      </c>
      <c r="R41" s="5"/>
    </row>
    <row r="42">
      <c r="A42" s="221" t="s">
        <v>405</v>
      </c>
      <c r="B42" s="217">
        <f t="array" ref="B42">INDEX(postDEL!$A$2:$P799,$O42,2)</f>
        <v>44557</v>
      </c>
      <c r="C42" s="218">
        <f t="array" ref="C42">INDEX(postDEL!$A$2:$P799,$O42,3)</f>
        <v>0.3607291667</v>
      </c>
      <c r="D42" s="219" t="str">
        <f t="array" ref="D42">INDEX(postDEL!$A$2:$AN799,$O42,39)</f>
        <v>SpBEND708976</v>
      </c>
      <c r="E42" s="219" t="str">
        <f t="array" ref="E42">INDEX(postDEL!$A$2:$P799,$O42,4)</f>
        <v/>
      </c>
      <c r="F42" s="219" t="str">
        <f t="array" ref="F42">INDEX(postDEL!$A$2:$P799,$O42,5)</f>
        <v/>
      </c>
      <c r="G42" s="219" t="str">
        <f t="array" ref="G42">INDEX(postDEL!$A$2:$P799,$O42,11)</f>
        <v>Negative</v>
      </c>
      <c r="H42" s="219" t="str">
        <f t="array" ref="H42">INDEX(postDEL!$A$2:$AL799,$O42,37)</f>
        <v>Negative</v>
      </c>
      <c r="I42" s="217">
        <f t="array" ref="I42">INDEX(postDEL!$A$2:$AL799,$O42,12)</f>
        <v>44557</v>
      </c>
      <c r="J42" s="218">
        <f t="array" ref="J42">INDEX(postDEL!$A$2:$AL799,$O42,13)</f>
        <v>0.4870949074</v>
      </c>
      <c r="K42" s="219" t="str">
        <f t="array" ref="K42">INDEX(postDEL!$A$2:$AL799,$O42,36)</f>
        <v/>
      </c>
      <c r="L42" s="219" t="str">
        <f t="array" ref="L42">INDEX(postDEL!$A$2:$AL799,$O42,38)</f>
        <v/>
      </c>
      <c r="M42" s="219" t="str">
        <f t="array" ref="M42">INDEX(postDEL!$A$2:$AL799,$O42,15)</f>
        <v/>
      </c>
      <c r="N42" s="110">
        <f>COUNTIF(postDEL!$A$2:$A799,A42)</f>
        <v>1</v>
      </c>
      <c r="O42" s="19">
        <f>MATCH(A42,postDEL!A$2:A799,0)</f>
        <v>41</v>
      </c>
      <c r="P42" s="10" t="str">
        <f t="shared" si="1"/>
        <v/>
      </c>
      <c r="Q42" s="220">
        <f t="shared" si="2"/>
        <v>0</v>
      </c>
      <c r="R42" s="5"/>
    </row>
    <row r="43">
      <c r="A43" s="221" t="s">
        <v>408</v>
      </c>
      <c r="B43" s="217">
        <f t="array" ref="B43">INDEX(postDEL!$A$2:$P799,$O43,2)</f>
        <v>44557</v>
      </c>
      <c r="C43" s="218">
        <f t="array" ref="C43">INDEX(postDEL!$A$2:$P799,$O43,3)</f>
        <v>0.3777546296</v>
      </c>
      <c r="D43" s="219" t="str">
        <f t="array" ref="D43">INDEX(postDEL!$A$2:$AN799,$O43,39)</f>
        <v>SpBEND319298</v>
      </c>
      <c r="E43" s="219" t="str">
        <f t="array" ref="E43">INDEX(postDEL!$A$2:$P799,$O43,4)</f>
        <v/>
      </c>
      <c r="F43" s="219" t="str">
        <f t="array" ref="F43">INDEX(postDEL!$A$2:$P799,$O43,5)</f>
        <v/>
      </c>
      <c r="G43" s="219" t="str">
        <f t="array" ref="G43">INDEX(postDEL!$A$2:$P799,$O43,11)</f>
        <v>Negative</v>
      </c>
      <c r="H43" s="219" t="str">
        <f t="array" ref="H43">INDEX(postDEL!$A$2:$AL799,$O43,37)</f>
        <v>Negative</v>
      </c>
      <c r="I43" s="217">
        <f t="array" ref="I43">INDEX(postDEL!$A$2:$AL799,$O43,12)</f>
        <v>44557</v>
      </c>
      <c r="J43" s="218">
        <f t="array" ref="J43">INDEX(postDEL!$A$2:$AL799,$O43,13)</f>
        <v>0.4870949074</v>
      </c>
      <c r="K43" s="219" t="str">
        <f t="array" ref="K43">INDEX(postDEL!$A$2:$AL799,$O43,36)</f>
        <v/>
      </c>
      <c r="L43" s="219" t="str">
        <f t="array" ref="L43">INDEX(postDEL!$A$2:$AL799,$O43,38)</f>
        <v/>
      </c>
      <c r="M43" s="219" t="str">
        <f t="array" ref="M43">INDEX(postDEL!$A$2:$AL799,$O43,15)</f>
        <v/>
      </c>
      <c r="N43" s="110">
        <f>COUNTIF(postDEL!$A$2:$A799,A43)</f>
        <v>1</v>
      </c>
      <c r="O43" s="19">
        <f>MATCH(A43,postDEL!A$2:A799,0)</f>
        <v>42</v>
      </c>
      <c r="P43" s="10" t="str">
        <f t="shared" si="1"/>
        <v/>
      </c>
      <c r="Q43" s="220">
        <f t="shared" si="2"/>
        <v>0</v>
      </c>
      <c r="R43" s="5"/>
    </row>
    <row r="44">
      <c r="A44" s="221" t="s">
        <v>412</v>
      </c>
      <c r="B44" s="217">
        <f t="array" ref="B44">INDEX(postDEL!$A$2:$P799,$O44,2)</f>
        <v>44557</v>
      </c>
      <c r="C44" s="218">
        <f t="array" ref="C44">INDEX(postDEL!$A$2:$P799,$O44,3)</f>
        <v>0.3893287037</v>
      </c>
      <c r="D44" s="219" t="str">
        <f t="array" ref="D44">INDEX(postDEL!$A$2:$AN799,$O44,39)</f>
        <v>SpBEND548976</v>
      </c>
      <c r="E44" s="219" t="str">
        <f t="array" ref="E44">INDEX(postDEL!$A$2:$P799,$O44,4)</f>
        <v/>
      </c>
      <c r="F44" s="219" t="str">
        <f t="array" ref="F44">INDEX(postDEL!$A$2:$P799,$O44,5)</f>
        <v/>
      </c>
      <c r="G44" s="219" t="str">
        <f t="array" ref="G44">INDEX(postDEL!$A$2:$P799,$O44,11)</f>
        <v>Negative</v>
      </c>
      <c r="H44" s="219" t="str">
        <f t="array" ref="H44">INDEX(postDEL!$A$2:$AL799,$O44,37)</f>
        <v>Negative</v>
      </c>
      <c r="I44" s="217">
        <f t="array" ref="I44">INDEX(postDEL!$A$2:$AL799,$O44,12)</f>
        <v>44557</v>
      </c>
      <c r="J44" s="218">
        <f t="array" ref="J44">INDEX(postDEL!$A$2:$AL799,$O44,13)</f>
        <v>0.4870949074</v>
      </c>
      <c r="K44" s="219" t="str">
        <f t="array" ref="K44">INDEX(postDEL!$A$2:$AL799,$O44,36)</f>
        <v/>
      </c>
      <c r="L44" s="219" t="str">
        <f t="array" ref="L44">INDEX(postDEL!$A$2:$AL799,$O44,38)</f>
        <v/>
      </c>
      <c r="M44" s="219" t="str">
        <f t="array" ref="M44">INDEX(postDEL!$A$2:$AL799,$O44,15)</f>
        <v/>
      </c>
      <c r="N44" s="110">
        <f>COUNTIF(postDEL!$A$2:$A799,A44)</f>
        <v>1</v>
      </c>
      <c r="O44" s="19">
        <f>MATCH(A44,postDEL!A$2:A799,0)</f>
        <v>43</v>
      </c>
      <c r="P44" s="10" t="str">
        <f t="shared" si="1"/>
        <v/>
      </c>
      <c r="Q44" s="220">
        <f t="shared" si="2"/>
        <v>0</v>
      </c>
      <c r="R44" s="5"/>
    </row>
    <row r="45">
      <c r="A45" s="221" t="s">
        <v>414</v>
      </c>
      <c r="B45" s="217">
        <f t="array" ref="B45">INDEX(postDEL!$A$2:$P799,$O45,2)</f>
        <v>44557</v>
      </c>
      <c r="C45" s="218">
        <f t="array" ref="C45">INDEX(postDEL!$A$2:$P799,$O45,3)</f>
        <v>0.4255902778</v>
      </c>
      <c r="D45" s="219" t="str">
        <f t="array" ref="D45">INDEX(postDEL!$A$2:$AN799,$O45,39)</f>
        <v>SpBEND350015</v>
      </c>
      <c r="E45" s="219" t="str">
        <f t="array" ref="E45">INDEX(postDEL!$A$2:$P799,$O45,4)</f>
        <v/>
      </c>
      <c r="F45" s="219" t="str">
        <f t="array" ref="F45">INDEX(postDEL!$A$2:$P799,$O45,5)</f>
        <v/>
      </c>
      <c r="G45" s="219" t="str">
        <f t="array" ref="G45">INDEX(postDEL!$A$2:$P799,$O45,11)</f>
        <v>Negative</v>
      </c>
      <c r="H45" s="219" t="str">
        <f t="array" ref="H45">INDEX(postDEL!$A$2:$AL799,$O45,37)</f>
        <v>Negative</v>
      </c>
      <c r="I45" s="217">
        <f t="array" ref="I45">INDEX(postDEL!$A$2:$AL799,$O45,12)</f>
        <v>44557</v>
      </c>
      <c r="J45" s="218">
        <f t="array" ref="J45">INDEX(postDEL!$A$2:$AL799,$O45,13)</f>
        <v>0.4871064815</v>
      </c>
      <c r="K45" s="219" t="str">
        <f t="array" ref="K45">INDEX(postDEL!$A$2:$AL799,$O45,36)</f>
        <v/>
      </c>
      <c r="L45" s="219" t="str">
        <f t="array" ref="L45">INDEX(postDEL!$A$2:$AL799,$O45,38)</f>
        <v/>
      </c>
      <c r="M45" s="219" t="str">
        <f t="array" ref="M45">INDEX(postDEL!$A$2:$AL799,$O45,15)</f>
        <v/>
      </c>
      <c r="N45" s="110">
        <f>COUNTIF(postDEL!$A$2:$A799,A45)</f>
        <v>1</v>
      </c>
      <c r="O45" s="19">
        <f>MATCH(A45,postDEL!A$2:A799,0)</f>
        <v>44</v>
      </c>
      <c r="P45" s="10" t="str">
        <f t="shared" si="1"/>
        <v/>
      </c>
      <c r="Q45" s="220">
        <f t="shared" si="2"/>
        <v>0</v>
      </c>
      <c r="R45" s="5"/>
    </row>
    <row r="46">
      <c r="A46" s="221" t="s">
        <v>416</v>
      </c>
      <c r="B46" s="217">
        <f t="array" ref="B46">INDEX(postDEL!$A$2:$P799,$O46,2)</f>
        <v>44557</v>
      </c>
      <c r="C46" s="218">
        <f t="array" ref="C46">INDEX(postDEL!$A$2:$P799,$O46,3)</f>
        <v>0.4258796296</v>
      </c>
      <c r="D46" s="219" t="str">
        <f t="array" ref="D46">INDEX(postDEL!$A$2:$AN799,$O46,39)</f>
        <v>SpBEND394154</v>
      </c>
      <c r="E46" s="219" t="str">
        <f t="array" ref="E46">INDEX(postDEL!$A$2:$P799,$O46,4)</f>
        <v/>
      </c>
      <c r="F46" s="219" t="str">
        <f t="array" ref="F46">INDEX(postDEL!$A$2:$P799,$O46,5)</f>
        <v/>
      </c>
      <c r="G46" s="219" t="str">
        <f t="array" ref="G46">INDEX(postDEL!$A$2:$P799,$O46,11)</f>
        <v>Negative</v>
      </c>
      <c r="H46" s="219" t="str">
        <f t="array" ref="H46">INDEX(postDEL!$A$2:$AL799,$O46,37)</f>
        <v>Negative</v>
      </c>
      <c r="I46" s="217">
        <f t="array" ref="I46">INDEX(postDEL!$A$2:$AL799,$O46,12)</f>
        <v>44557</v>
      </c>
      <c r="J46" s="218">
        <f t="array" ref="J46">INDEX(postDEL!$A$2:$AL799,$O46,13)</f>
        <v>0.4871064815</v>
      </c>
      <c r="K46" s="219" t="str">
        <f t="array" ref="K46">INDEX(postDEL!$A$2:$AL799,$O46,36)</f>
        <v/>
      </c>
      <c r="L46" s="219" t="str">
        <f t="array" ref="L46">INDEX(postDEL!$A$2:$AL799,$O46,38)</f>
        <v/>
      </c>
      <c r="M46" s="219" t="str">
        <f t="array" ref="M46">INDEX(postDEL!$A$2:$AL799,$O46,15)</f>
        <v/>
      </c>
      <c r="N46" s="110">
        <f>COUNTIF(postDEL!$A$2:$A799,A46)</f>
        <v>1</v>
      </c>
      <c r="O46" s="19">
        <f>MATCH(A46,postDEL!A$2:A799,0)</f>
        <v>45</v>
      </c>
      <c r="P46" s="10" t="str">
        <f t="shared" si="1"/>
        <v/>
      </c>
      <c r="Q46" s="220">
        <f t="shared" si="2"/>
        <v>0</v>
      </c>
      <c r="R46" s="5"/>
    </row>
    <row r="47">
      <c r="A47" s="221" t="s">
        <v>418</v>
      </c>
      <c r="B47" s="217">
        <f t="array" ref="B47">INDEX(postDEL!$A$2:$P799,$O47,2)</f>
        <v>44559</v>
      </c>
      <c r="C47" s="218">
        <f t="array" ref="C47">INDEX(postDEL!$A$2:$P799,$O47,3)</f>
        <v>0.2964467593</v>
      </c>
      <c r="D47" s="219" t="str">
        <f t="array" ref="D47">INDEX(postDEL!$A$2:$AN799,$O47,39)</f>
        <v>SpBEND610784</v>
      </c>
      <c r="E47" s="219" t="str">
        <f t="array" ref="E47">INDEX(postDEL!$A$2:$P799,$O47,4)</f>
        <v/>
      </c>
      <c r="F47" s="219" t="str">
        <f t="array" ref="F47">INDEX(postDEL!$A$2:$P799,$O47,5)</f>
        <v/>
      </c>
      <c r="G47" s="219" t="str">
        <f t="array" ref="G47">INDEX(postDEL!$A$2:$P799,$O47,11)</f>
        <v>Negative</v>
      </c>
      <c r="H47" s="219" t="str">
        <f t="array" ref="H47">INDEX(postDEL!$A$2:$AL799,$O47,37)</f>
        <v>Negative</v>
      </c>
      <c r="I47" s="217">
        <f t="array" ref="I47">INDEX(postDEL!$A$2:$AL799,$O47,12)</f>
        <v>44559</v>
      </c>
      <c r="J47" s="218">
        <f t="array" ref="J47">INDEX(postDEL!$A$2:$AL799,$O47,13)</f>
        <v>0.4366319444</v>
      </c>
      <c r="K47" s="219" t="str">
        <f t="array" ref="K47">INDEX(postDEL!$A$2:$AL799,$O47,36)</f>
        <v/>
      </c>
      <c r="L47" s="219" t="str">
        <f t="array" ref="L47">INDEX(postDEL!$A$2:$AL799,$O47,38)</f>
        <v/>
      </c>
      <c r="M47" s="219" t="str">
        <f t="array" ref="M47">INDEX(postDEL!$A$2:$AL799,$O47,15)</f>
        <v/>
      </c>
      <c r="N47" s="110">
        <f>COUNTIF(postDEL!$A$2:$A799,A47)</f>
        <v>1</v>
      </c>
      <c r="O47" s="19">
        <f>MATCH(A47,postDEL!A$2:A799,0)</f>
        <v>46</v>
      </c>
      <c r="P47" s="10" t="b">
        <f t="shared" si="1"/>
        <v>1</v>
      </c>
      <c r="Q47" s="220">
        <f t="shared" si="2"/>
        <v>0</v>
      </c>
      <c r="R47" s="5"/>
    </row>
    <row r="48">
      <c r="A48" s="221" t="s">
        <v>422</v>
      </c>
      <c r="B48" s="217">
        <f t="array" ref="B48">INDEX(postDEL!$A$2:$P799,$O48,2)</f>
        <v>44559</v>
      </c>
      <c r="C48" s="218">
        <f t="array" ref="C48">INDEX(postDEL!$A$2:$P799,$O48,3)</f>
        <v>0.3565856481</v>
      </c>
      <c r="D48" s="219" t="str">
        <f t="array" ref="D48">INDEX(postDEL!$A$2:$AN799,$O48,39)</f>
        <v>SpBEND708976</v>
      </c>
      <c r="E48" s="219" t="str">
        <f t="array" ref="E48">INDEX(postDEL!$A$2:$P799,$O48,4)</f>
        <v/>
      </c>
      <c r="F48" s="219" t="str">
        <f t="array" ref="F48">INDEX(postDEL!$A$2:$P799,$O48,5)</f>
        <v/>
      </c>
      <c r="G48" s="219" t="str">
        <f t="array" ref="G48">INDEX(postDEL!$A$2:$P799,$O48,11)</f>
        <v>Negative</v>
      </c>
      <c r="H48" s="219" t="str">
        <f t="array" ref="H48">INDEX(postDEL!$A$2:$AL799,$O48,37)</f>
        <v>Negative</v>
      </c>
      <c r="I48" s="217">
        <f t="array" ref="I48">INDEX(postDEL!$A$2:$AL799,$O48,12)</f>
        <v>44559</v>
      </c>
      <c r="J48" s="218">
        <f t="array" ref="J48">INDEX(postDEL!$A$2:$AL799,$O48,13)</f>
        <v>0.4366319444</v>
      </c>
      <c r="K48" s="219" t="str">
        <f t="array" ref="K48">INDEX(postDEL!$A$2:$AL799,$O48,36)</f>
        <v/>
      </c>
      <c r="L48" s="219" t="str">
        <f t="array" ref="L48">INDEX(postDEL!$A$2:$AL799,$O48,38)</f>
        <v/>
      </c>
      <c r="M48" s="219" t="str">
        <f t="array" ref="M48">INDEX(postDEL!$A$2:$AL799,$O48,15)</f>
        <v/>
      </c>
      <c r="N48" s="110">
        <f>COUNTIF(postDEL!$A$2:$A799,A48)</f>
        <v>1</v>
      </c>
      <c r="O48" s="19">
        <f>MATCH(A48,postDEL!A$2:A799,0)</f>
        <v>47</v>
      </c>
      <c r="P48" s="10" t="str">
        <f t="shared" si="1"/>
        <v/>
      </c>
      <c r="Q48" s="220">
        <f t="shared" si="2"/>
        <v>0</v>
      </c>
      <c r="R48" s="5"/>
    </row>
    <row r="49">
      <c r="A49" s="221" t="s">
        <v>424</v>
      </c>
      <c r="B49" s="217">
        <f t="array" ref="B49">INDEX(postDEL!$A$2:$P799,$O49,2)</f>
        <v>44559</v>
      </c>
      <c r="C49" s="218">
        <f t="array" ref="C49">INDEX(postDEL!$A$2:$P799,$O49,3)</f>
        <v>0.3973263889</v>
      </c>
      <c r="D49" s="219" t="str">
        <f t="array" ref="D49">INDEX(postDEL!$A$2:$AN799,$O49,39)</f>
        <v>SpBEND110967</v>
      </c>
      <c r="E49" s="219" t="str">
        <f t="array" ref="E49">INDEX(postDEL!$A$2:$P799,$O49,4)</f>
        <v/>
      </c>
      <c r="F49" s="219" t="str">
        <f t="array" ref="F49">INDEX(postDEL!$A$2:$P799,$O49,5)</f>
        <v/>
      </c>
      <c r="G49" s="219" t="str">
        <f t="array" ref="G49">INDEX(postDEL!$A$2:$P799,$O49,11)</f>
        <v>Negative</v>
      </c>
      <c r="H49" s="219" t="str">
        <f t="array" ref="H49">INDEX(postDEL!$A$2:$AL799,$O49,37)</f>
        <v>Negative</v>
      </c>
      <c r="I49" s="217">
        <f t="array" ref="I49">INDEX(postDEL!$A$2:$AL799,$O49,12)</f>
        <v>44559</v>
      </c>
      <c r="J49" s="218">
        <f t="array" ref="J49">INDEX(postDEL!$A$2:$AL799,$O49,13)</f>
        <v>0.4366319444</v>
      </c>
      <c r="K49" s="219" t="str">
        <f t="array" ref="K49">INDEX(postDEL!$A$2:$AL799,$O49,36)</f>
        <v/>
      </c>
      <c r="L49" s="219" t="str">
        <f t="array" ref="L49">INDEX(postDEL!$A$2:$AL799,$O49,38)</f>
        <v/>
      </c>
      <c r="M49" s="219" t="str">
        <f t="array" ref="M49">INDEX(postDEL!$A$2:$AL799,$O49,15)</f>
        <v/>
      </c>
      <c r="N49" s="110">
        <f>COUNTIF(postDEL!$A$2:$A799,A49)</f>
        <v>1</v>
      </c>
      <c r="O49" s="19">
        <f>MATCH(A49,postDEL!A$2:A799,0)</f>
        <v>48</v>
      </c>
      <c r="P49" s="10" t="str">
        <f t="shared" si="1"/>
        <v/>
      </c>
      <c r="Q49" s="220">
        <f t="shared" si="2"/>
        <v>0</v>
      </c>
      <c r="R49" s="5"/>
    </row>
    <row r="50">
      <c r="A50" s="221" t="s">
        <v>427</v>
      </c>
      <c r="B50" s="217">
        <f t="array" ref="B50">INDEX(postDEL!$A$2:$P799,$O50,2)</f>
        <v>44559</v>
      </c>
      <c r="C50" s="218">
        <f t="array" ref="C50">INDEX(postDEL!$A$2:$P799,$O50,3)</f>
        <v>0.3974421296</v>
      </c>
      <c r="D50" s="219" t="str">
        <f t="array" ref="D50">INDEX(postDEL!$A$2:$AN799,$O50,39)</f>
        <v>SpBEND350015</v>
      </c>
      <c r="E50" s="219" t="str">
        <f t="array" ref="E50">INDEX(postDEL!$A$2:$P799,$O50,4)</f>
        <v/>
      </c>
      <c r="F50" s="219" t="str">
        <f t="array" ref="F50">INDEX(postDEL!$A$2:$P799,$O50,5)</f>
        <v/>
      </c>
      <c r="G50" s="219" t="str">
        <f t="array" ref="G50">INDEX(postDEL!$A$2:$P799,$O50,11)</f>
        <v>Negative</v>
      </c>
      <c r="H50" s="219" t="str">
        <f t="array" ref="H50">INDEX(postDEL!$A$2:$AL799,$O50,37)</f>
        <v>Negative</v>
      </c>
      <c r="I50" s="217">
        <f t="array" ref="I50">INDEX(postDEL!$A$2:$AL799,$O50,12)</f>
        <v>44559</v>
      </c>
      <c r="J50" s="218">
        <f t="array" ref="J50">INDEX(postDEL!$A$2:$AL799,$O50,13)</f>
        <v>0.4366319444</v>
      </c>
      <c r="K50" s="219" t="str">
        <f t="array" ref="K50">INDEX(postDEL!$A$2:$AL799,$O50,36)</f>
        <v/>
      </c>
      <c r="L50" s="219" t="str">
        <f t="array" ref="L50">INDEX(postDEL!$A$2:$AL799,$O50,38)</f>
        <v/>
      </c>
      <c r="M50" s="219" t="str">
        <f t="array" ref="M50">INDEX(postDEL!$A$2:$AL799,$O50,15)</f>
        <v/>
      </c>
      <c r="N50" s="110">
        <f>COUNTIF(postDEL!$A$2:$A799,A50)</f>
        <v>1</v>
      </c>
      <c r="O50" s="19">
        <f>MATCH(A50,postDEL!A$2:A799,0)</f>
        <v>49</v>
      </c>
      <c r="P50" s="10" t="str">
        <f t="shared" si="1"/>
        <v/>
      </c>
      <c r="Q50" s="220">
        <f t="shared" si="2"/>
        <v>0</v>
      </c>
      <c r="R50" s="5"/>
    </row>
    <row r="51">
      <c r="A51" s="221" t="s">
        <v>429</v>
      </c>
      <c r="B51" s="217">
        <f t="array" ref="B51">INDEX(postDEL!$A$2:$P799,$O51,2)</f>
        <v>44561</v>
      </c>
      <c r="C51" s="218">
        <f t="array" ref="C51">INDEX(postDEL!$A$2:$P799,$O51,3)</f>
        <v>0.3053240741</v>
      </c>
      <c r="D51" s="219" t="str">
        <f t="array" ref="D51">INDEX(postDEL!$A$2:$AN799,$O51,39)</f>
        <v>SpBEND734943</v>
      </c>
      <c r="E51" s="219" t="str">
        <f t="array" ref="E51">INDEX(postDEL!$A$2:$P799,$O51,4)</f>
        <v/>
      </c>
      <c r="F51" s="219" t="str">
        <f t="array" ref="F51">INDEX(postDEL!$A$2:$P799,$O51,5)</f>
        <v/>
      </c>
      <c r="G51" s="219" t="str">
        <f t="array" ref="G51">INDEX(postDEL!$A$2:$P799,$O51,11)</f>
        <v>Positive</v>
      </c>
      <c r="H51" s="219" t="str">
        <f t="array" ref="H51">INDEX(postDEL!$A$2:$AL799,$O51,37)</f>
        <v>Positive</v>
      </c>
      <c r="I51" s="217">
        <f t="array" ref="I51">INDEX(postDEL!$A$2:$AL799,$O51,12)</f>
        <v>44561</v>
      </c>
      <c r="J51" s="218">
        <f t="array" ref="J51">INDEX(postDEL!$A$2:$AL799,$O51,13)</f>
        <v>0.4455902778</v>
      </c>
      <c r="K51" s="219" t="str">
        <f t="array" ref="K51">INDEX(postDEL!$A$2:$AL799,$O51,36)</f>
        <v/>
      </c>
      <c r="L51" s="219" t="str">
        <f t="array" ref="L51">INDEX(postDEL!$A$2:$AL799,$O51,38)</f>
        <v/>
      </c>
      <c r="M51" s="219" t="str">
        <f t="array" ref="M51">INDEX(postDEL!$A$2:$AL799,$O51,15)</f>
        <v/>
      </c>
      <c r="N51" s="110">
        <f>COUNTIF(postDEL!$A$2:$A799,A51)</f>
        <v>1</v>
      </c>
      <c r="O51" s="19">
        <f>MATCH(A51,postDEL!A$2:A799,0)</f>
        <v>50</v>
      </c>
      <c r="P51" s="10" t="b">
        <f t="shared" si="1"/>
        <v>1</v>
      </c>
      <c r="Q51" s="220">
        <f t="shared" si="2"/>
        <v>0</v>
      </c>
      <c r="R51" s="5"/>
    </row>
    <row r="52">
      <c r="A52" s="221" t="s">
        <v>433</v>
      </c>
      <c r="B52" s="217">
        <f t="array" ref="B52">INDEX(postDEL!$A$2:$P799,$O52,2)</f>
        <v>44561</v>
      </c>
      <c r="C52" s="218">
        <f t="array" ref="C52">INDEX(postDEL!$A$2:$P799,$O52,3)</f>
        <v>0.3167361111</v>
      </c>
      <c r="D52" s="219" t="str">
        <f t="array" ref="D52">INDEX(postDEL!$A$2:$AN799,$O52,39)</f>
        <v>SpBEND768497</v>
      </c>
      <c r="E52" s="219" t="str">
        <f t="array" ref="E52">INDEX(postDEL!$A$2:$P799,$O52,4)</f>
        <v/>
      </c>
      <c r="F52" s="219" t="str">
        <f t="array" ref="F52">INDEX(postDEL!$A$2:$P799,$O52,5)</f>
        <v/>
      </c>
      <c r="G52" s="219" t="str">
        <f t="array" ref="G52">INDEX(postDEL!$A$2:$P799,$O52,11)</f>
        <v>Negative</v>
      </c>
      <c r="H52" s="219" t="str">
        <f t="array" ref="H52">INDEX(postDEL!$A$2:$AL799,$O52,37)</f>
        <v>Negative</v>
      </c>
      <c r="I52" s="217">
        <f t="array" ref="I52">INDEX(postDEL!$A$2:$AL799,$O52,12)</f>
        <v>44561</v>
      </c>
      <c r="J52" s="218">
        <f t="array" ref="J52">INDEX(postDEL!$A$2:$AL799,$O52,13)</f>
        <v>0.4449305556</v>
      </c>
      <c r="K52" s="219" t="str">
        <f t="array" ref="K52">INDEX(postDEL!$A$2:$AL799,$O52,36)</f>
        <v/>
      </c>
      <c r="L52" s="219" t="str">
        <f t="array" ref="L52">INDEX(postDEL!$A$2:$AL799,$O52,38)</f>
        <v/>
      </c>
      <c r="M52" s="219" t="str">
        <f t="array" ref="M52">INDEX(postDEL!$A$2:$AL799,$O52,15)</f>
        <v/>
      </c>
      <c r="N52" s="110">
        <f>COUNTIF(postDEL!$A$2:$A799,A52)</f>
        <v>1</v>
      </c>
      <c r="O52" s="19">
        <f>MATCH(A52,postDEL!A$2:A799,0)</f>
        <v>51</v>
      </c>
      <c r="P52" s="10" t="str">
        <f t="shared" si="1"/>
        <v/>
      </c>
      <c r="Q52" s="220">
        <f t="shared" si="2"/>
        <v>0</v>
      </c>
      <c r="R52" s="5"/>
    </row>
    <row r="53">
      <c r="A53" s="221" t="s">
        <v>435</v>
      </c>
      <c r="B53" s="217">
        <f t="array" ref="B53">INDEX(postDEL!$A$2:$P799,$O53,2)</f>
        <v>44561</v>
      </c>
      <c r="C53" s="218">
        <f t="array" ref="C53">INDEX(postDEL!$A$2:$P799,$O53,3)</f>
        <v>0.32125</v>
      </c>
      <c r="D53" s="219" t="str">
        <f t="array" ref="D53">INDEX(postDEL!$A$2:$AN799,$O53,39)</f>
        <v>SpBEND372845</v>
      </c>
      <c r="E53" s="219" t="str">
        <f t="array" ref="E53">INDEX(postDEL!$A$2:$P799,$O53,4)</f>
        <v/>
      </c>
      <c r="F53" s="219" t="str">
        <f t="array" ref="F53">INDEX(postDEL!$A$2:$P799,$O53,5)</f>
        <v/>
      </c>
      <c r="G53" s="219" t="str">
        <f t="array" ref="G53">INDEX(postDEL!$A$2:$P799,$O53,11)</f>
        <v>Negative</v>
      </c>
      <c r="H53" s="219" t="str">
        <f t="array" ref="H53">INDEX(postDEL!$A$2:$AL799,$O53,37)</f>
        <v>Negative</v>
      </c>
      <c r="I53" s="217">
        <f t="array" ref="I53">INDEX(postDEL!$A$2:$AL799,$O53,12)</f>
        <v>44561</v>
      </c>
      <c r="J53" s="218">
        <f t="array" ref="J53">INDEX(postDEL!$A$2:$AL799,$O53,13)</f>
        <v>0.4449305556</v>
      </c>
      <c r="K53" s="219" t="str">
        <f t="array" ref="K53">INDEX(postDEL!$A$2:$AL799,$O53,36)</f>
        <v/>
      </c>
      <c r="L53" s="219" t="str">
        <f t="array" ref="L53">INDEX(postDEL!$A$2:$AL799,$O53,38)</f>
        <v/>
      </c>
      <c r="M53" s="219" t="str">
        <f t="array" ref="M53">INDEX(postDEL!$A$2:$AL799,$O53,15)</f>
        <v/>
      </c>
      <c r="N53" s="110">
        <f>COUNTIF(postDEL!$A$2:$A799,A53)</f>
        <v>1</v>
      </c>
      <c r="O53" s="19">
        <f>MATCH(A53,postDEL!A$2:A799,0)</f>
        <v>52</v>
      </c>
      <c r="P53" s="10" t="str">
        <f t="shared" si="1"/>
        <v/>
      </c>
      <c r="Q53" s="220">
        <f t="shared" si="2"/>
        <v>0</v>
      </c>
      <c r="R53" s="5"/>
    </row>
    <row r="54">
      <c r="A54" s="221" t="s">
        <v>439</v>
      </c>
      <c r="B54" s="217">
        <f t="array" ref="B54">INDEX(postDEL!$A$2:$P799,$O54,2)</f>
        <v>44561</v>
      </c>
      <c r="C54" s="218">
        <f t="array" ref="C54">INDEX(postDEL!$A$2:$P799,$O54,3)</f>
        <v>0.3271990741</v>
      </c>
      <c r="D54" s="219" t="str">
        <f t="array" ref="D54">INDEX(postDEL!$A$2:$AN799,$O54,39)</f>
        <v>SpBEND214692</v>
      </c>
      <c r="E54" s="219" t="str">
        <f t="array" ref="E54">INDEX(postDEL!$A$2:$P799,$O54,4)</f>
        <v/>
      </c>
      <c r="F54" s="219" t="str">
        <f t="array" ref="F54">INDEX(postDEL!$A$2:$P799,$O54,5)</f>
        <v/>
      </c>
      <c r="G54" s="219" t="str">
        <f t="array" ref="G54">INDEX(postDEL!$A$2:$P799,$O54,11)</f>
        <v>Negative</v>
      </c>
      <c r="H54" s="219" t="str">
        <f t="array" ref="H54">INDEX(postDEL!$A$2:$AL799,$O54,37)</f>
        <v>Negative</v>
      </c>
      <c r="I54" s="217">
        <f t="array" ref="I54">INDEX(postDEL!$A$2:$AL799,$O54,12)</f>
        <v>44561</v>
      </c>
      <c r="J54" s="218">
        <f t="array" ref="J54">INDEX(postDEL!$A$2:$AL799,$O54,13)</f>
        <v>0.4449305556</v>
      </c>
      <c r="K54" s="219" t="str">
        <f t="array" ref="K54">INDEX(postDEL!$A$2:$AL799,$O54,36)</f>
        <v/>
      </c>
      <c r="L54" s="219" t="str">
        <f t="array" ref="L54">INDEX(postDEL!$A$2:$AL799,$O54,38)</f>
        <v/>
      </c>
      <c r="M54" s="219" t="str">
        <f t="array" ref="M54">INDEX(postDEL!$A$2:$AL799,$O54,15)</f>
        <v/>
      </c>
      <c r="N54" s="110">
        <f>COUNTIF(postDEL!$A$2:$A799,A54)</f>
        <v>1</v>
      </c>
      <c r="O54" s="19">
        <f>MATCH(A54,postDEL!A$2:A799,0)</f>
        <v>53</v>
      </c>
      <c r="P54" s="10" t="str">
        <f t="shared" si="1"/>
        <v/>
      </c>
      <c r="Q54" s="220">
        <f t="shared" si="2"/>
        <v>0</v>
      </c>
      <c r="R54" s="5"/>
    </row>
    <row r="55">
      <c r="A55" s="221" t="s">
        <v>441</v>
      </c>
      <c r="B55" s="217">
        <f t="array" ref="B55">INDEX(postDEL!$A$2:$P799,$O55,2)</f>
        <v>44561</v>
      </c>
      <c r="C55" s="218">
        <f t="array" ref="C55">INDEX(postDEL!$A$2:$P799,$O55,3)</f>
        <v>0.3364467593</v>
      </c>
      <c r="D55" s="219" t="str">
        <f t="array" ref="D55">INDEX(postDEL!$A$2:$AN799,$O55,39)</f>
        <v>SpBEND825522</v>
      </c>
      <c r="E55" s="219" t="str">
        <f t="array" ref="E55">INDEX(postDEL!$A$2:$P799,$O55,4)</f>
        <v/>
      </c>
      <c r="F55" s="219" t="str">
        <f t="array" ref="F55">INDEX(postDEL!$A$2:$P799,$O55,5)</f>
        <v/>
      </c>
      <c r="G55" s="219" t="str">
        <f t="array" ref="G55">INDEX(postDEL!$A$2:$P799,$O55,11)</f>
        <v>Negative</v>
      </c>
      <c r="H55" s="219" t="str">
        <f t="array" ref="H55">INDEX(postDEL!$A$2:$AL799,$O55,37)</f>
        <v>Negative</v>
      </c>
      <c r="I55" s="217">
        <f t="array" ref="I55">INDEX(postDEL!$A$2:$AL799,$O55,12)</f>
        <v>44561</v>
      </c>
      <c r="J55" s="218">
        <f t="array" ref="J55">INDEX(postDEL!$A$2:$AL799,$O55,13)</f>
        <v>0.4449305556</v>
      </c>
      <c r="K55" s="219" t="str">
        <f t="array" ref="K55">INDEX(postDEL!$A$2:$AL799,$O55,36)</f>
        <v/>
      </c>
      <c r="L55" s="219" t="str">
        <f t="array" ref="L55">INDEX(postDEL!$A$2:$AL799,$O55,38)</f>
        <v/>
      </c>
      <c r="M55" s="219" t="str">
        <f t="array" ref="M55">INDEX(postDEL!$A$2:$AL799,$O55,15)</f>
        <v/>
      </c>
      <c r="N55" s="110">
        <f>COUNTIF(postDEL!$A$2:$A799,A55)</f>
        <v>1</v>
      </c>
      <c r="O55" s="19">
        <f>MATCH(A55,postDEL!A$2:A799,0)</f>
        <v>54</v>
      </c>
      <c r="P55" s="10" t="str">
        <f t="shared" si="1"/>
        <v/>
      </c>
      <c r="Q55" s="220">
        <f t="shared" si="2"/>
        <v>0</v>
      </c>
      <c r="R55" s="5"/>
    </row>
    <row r="56">
      <c r="A56" s="221" t="s">
        <v>443</v>
      </c>
      <c r="B56" s="217">
        <f t="array" ref="B56">INDEX(postDEL!$A$2:$P799,$O56,2)</f>
        <v>44561</v>
      </c>
      <c r="C56" s="218">
        <f t="array" ref="C56">INDEX(postDEL!$A$2:$P799,$O56,3)</f>
        <v>0.3366898148</v>
      </c>
      <c r="D56" s="219" t="str">
        <f t="array" ref="D56">INDEX(postDEL!$A$2:$AN799,$O56,39)</f>
        <v>SpBEND953422</v>
      </c>
      <c r="E56" s="219" t="str">
        <f t="array" ref="E56">INDEX(postDEL!$A$2:$P799,$O56,4)</f>
        <v/>
      </c>
      <c r="F56" s="219" t="str">
        <f t="array" ref="F56">INDEX(postDEL!$A$2:$P799,$O56,5)</f>
        <v/>
      </c>
      <c r="G56" s="219" t="str">
        <f t="array" ref="G56">INDEX(postDEL!$A$2:$P799,$O56,11)</f>
        <v>Negative</v>
      </c>
      <c r="H56" s="219" t="str">
        <f t="array" ref="H56">INDEX(postDEL!$A$2:$AL799,$O56,37)</f>
        <v>Negative</v>
      </c>
      <c r="I56" s="217">
        <f t="array" ref="I56">INDEX(postDEL!$A$2:$AL799,$O56,12)</f>
        <v>44561</v>
      </c>
      <c r="J56" s="218">
        <f t="array" ref="J56">INDEX(postDEL!$A$2:$AL799,$O56,13)</f>
        <v>0.4449305556</v>
      </c>
      <c r="K56" s="219" t="str">
        <f t="array" ref="K56">INDEX(postDEL!$A$2:$AL799,$O56,36)</f>
        <v/>
      </c>
      <c r="L56" s="219" t="str">
        <f t="array" ref="L56">INDEX(postDEL!$A$2:$AL799,$O56,38)</f>
        <v/>
      </c>
      <c r="M56" s="219" t="str">
        <f t="array" ref="M56">INDEX(postDEL!$A$2:$AL799,$O56,15)</f>
        <v/>
      </c>
      <c r="N56" s="110">
        <f>COUNTIF(postDEL!$A$2:$A799,A56)</f>
        <v>1</v>
      </c>
      <c r="O56" s="19">
        <f>MATCH(A56,postDEL!A$2:A799,0)</f>
        <v>55</v>
      </c>
      <c r="P56" s="10" t="str">
        <f t="shared" si="1"/>
        <v/>
      </c>
      <c r="Q56" s="220">
        <f t="shared" si="2"/>
        <v>0</v>
      </c>
      <c r="R56" s="5"/>
    </row>
    <row r="57">
      <c r="A57" s="221" t="s">
        <v>445</v>
      </c>
      <c r="B57" s="217">
        <f t="array" ref="B57">INDEX(postDEL!$A$2:$P799,$O57,2)</f>
        <v>44561</v>
      </c>
      <c r="C57" s="218">
        <f t="array" ref="C57">INDEX(postDEL!$A$2:$P799,$O57,3)</f>
        <v>0.3527777778</v>
      </c>
      <c r="D57" s="219" t="str">
        <f t="array" ref="D57">INDEX(postDEL!$A$2:$AN799,$O57,39)</f>
        <v>SpBEND708976</v>
      </c>
      <c r="E57" s="219" t="str">
        <f t="array" ref="E57">INDEX(postDEL!$A$2:$P799,$O57,4)</f>
        <v/>
      </c>
      <c r="F57" s="219" t="str">
        <f t="array" ref="F57">INDEX(postDEL!$A$2:$P799,$O57,5)</f>
        <v/>
      </c>
      <c r="G57" s="219" t="str">
        <f t="array" ref="G57">INDEX(postDEL!$A$2:$P799,$O57,11)</f>
        <v>Negative</v>
      </c>
      <c r="H57" s="219" t="str">
        <f t="array" ref="H57">INDEX(postDEL!$A$2:$AL799,$O57,37)</f>
        <v>Negative</v>
      </c>
      <c r="I57" s="217">
        <f t="array" ref="I57">INDEX(postDEL!$A$2:$AL799,$O57,12)</f>
        <v>44561</v>
      </c>
      <c r="J57" s="218">
        <f t="array" ref="J57">INDEX(postDEL!$A$2:$AL799,$O57,13)</f>
        <v>0.4449305556</v>
      </c>
      <c r="K57" s="219" t="str">
        <f t="array" ref="K57">INDEX(postDEL!$A$2:$AL799,$O57,36)</f>
        <v/>
      </c>
      <c r="L57" s="219" t="str">
        <f t="array" ref="L57">INDEX(postDEL!$A$2:$AL799,$O57,38)</f>
        <v/>
      </c>
      <c r="M57" s="219" t="str">
        <f t="array" ref="M57">INDEX(postDEL!$A$2:$AL799,$O57,15)</f>
        <v/>
      </c>
      <c r="N57" s="110">
        <f>COUNTIF(postDEL!$A$2:$A799,A57)</f>
        <v>1</v>
      </c>
      <c r="O57" s="19">
        <f>MATCH(A57,postDEL!A$2:A799,0)</f>
        <v>56</v>
      </c>
      <c r="P57" s="10" t="str">
        <f t="shared" si="1"/>
        <v/>
      </c>
      <c r="Q57" s="220">
        <f t="shared" si="2"/>
        <v>0</v>
      </c>
      <c r="R57" s="5"/>
    </row>
    <row r="58">
      <c r="A58" s="221" t="s">
        <v>449</v>
      </c>
      <c r="B58" s="217">
        <f t="array" ref="B58">INDEX(postDEL!$A$2:$P799,$O58,2)</f>
        <v>44561</v>
      </c>
      <c r="C58" s="218">
        <f t="array" ref="C58">INDEX(postDEL!$A$2:$P799,$O58,3)</f>
        <v>0.4004282407</v>
      </c>
      <c r="D58" s="219" t="str">
        <f t="array" ref="D58">INDEX(postDEL!$A$2:$AN799,$O58,39)</f>
        <v>SpBEND394154</v>
      </c>
      <c r="E58" s="219" t="str">
        <f t="array" ref="E58">INDEX(postDEL!$A$2:$P799,$O58,4)</f>
        <v/>
      </c>
      <c r="F58" s="219" t="str">
        <f t="array" ref="F58">INDEX(postDEL!$A$2:$P799,$O58,5)</f>
        <v/>
      </c>
      <c r="G58" s="219" t="str">
        <f t="array" ref="G58">INDEX(postDEL!$A$2:$P799,$O58,11)</f>
        <v>Positive</v>
      </c>
      <c r="H58" s="219" t="str">
        <f t="array" ref="H58">INDEX(postDEL!$A$2:$AL799,$O58,37)</f>
        <v>Positive</v>
      </c>
      <c r="I58" s="217">
        <f t="array" ref="I58">INDEX(postDEL!$A$2:$AL799,$O58,12)</f>
        <v>44561</v>
      </c>
      <c r="J58" s="218">
        <f t="array" ref="J58">INDEX(postDEL!$A$2:$AL799,$O58,13)</f>
        <v>0.4455902778</v>
      </c>
      <c r="K58" s="219" t="str">
        <f t="array" ref="K58">INDEX(postDEL!$A$2:$AL799,$O58,36)</f>
        <v/>
      </c>
      <c r="L58" s="219" t="str">
        <f t="array" ref="L58">INDEX(postDEL!$A$2:$AL799,$O58,38)</f>
        <v/>
      </c>
      <c r="M58" s="219" t="str">
        <f t="array" ref="M58">INDEX(postDEL!$A$2:$AL799,$O58,15)</f>
        <v/>
      </c>
      <c r="N58" s="110">
        <f>COUNTIF(postDEL!$A$2:$A799,A58)</f>
        <v>1</v>
      </c>
      <c r="O58" s="19">
        <f>MATCH(A58,postDEL!A$2:A799,0)</f>
        <v>57</v>
      </c>
      <c r="P58" s="10" t="str">
        <f t="shared" si="1"/>
        <v/>
      </c>
      <c r="Q58" s="220">
        <f t="shared" si="2"/>
        <v>0</v>
      </c>
      <c r="R58" s="5"/>
    </row>
    <row r="59">
      <c r="A59" s="221" t="s">
        <v>454</v>
      </c>
      <c r="B59" s="217">
        <f t="array" ref="B59">INDEX(postDEL!$A$2:$P799,$O59,2)</f>
        <v>44564</v>
      </c>
      <c r="C59" s="218">
        <f t="array" ref="C59">INDEX(postDEL!$A$2:$P799,$O59,3)</f>
        <v>0.2034837963</v>
      </c>
      <c r="D59" s="219" t="str">
        <f t="array" ref="D59">INDEX(postDEL!$A$2:$AN799,$O59,39)</f>
        <v>SpBEND767550</v>
      </c>
      <c r="E59" s="219" t="str">
        <f t="array" ref="E59">INDEX(postDEL!$A$2:$P799,$O59,4)</f>
        <v/>
      </c>
      <c r="F59" s="219" t="str">
        <f t="array" ref="F59">INDEX(postDEL!$A$2:$P799,$O59,5)</f>
        <v/>
      </c>
      <c r="G59" s="219" t="str">
        <f t="array" ref="G59">INDEX(postDEL!$A$2:$P799,$O59,11)</f>
        <v>Negative</v>
      </c>
      <c r="H59" s="219" t="str">
        <f t="array" ref="H59">INDEX(postDEL!$A$2:$AL799,$O59,37)</f>
        <v>Negative</v>
      </c>
      <c r="I59" s="217">
        <f t="array" ref="I59">INDEX(postDEL!$A$2:$AL799,$O59,12)</f>
        <v>44564</v>
      </c>
      <c r="J59" s="218">
        <f t="array" ref="J59">INDEX(postDEL!$A$2:$AL799,$O59,13)</f>
        <v>0.5280439815</v>
      </c>
      <c r="K59" s="219" t="str">
        <f t="array" ref="K59">INDEX(postDEL!$A$2:$AL799,$O59,36)</f>
        <v/>
      </c>
      <c r="L59" s="219" t="str">
        <f t="array" ref="L59">INDEX(postDEL!$A$2:$AL799,$O59,38)</f>
        <v/>
      </c>
      <c r="M59" s="219" t="str">
        <f t="array" ref="M59">INDEX(postDEL!$A$2:$AL799,$O59,15)</f>
        <v/>
      </c>
      <c r="N59" s="110">
        <f>COUNTIF(postDEL!$A$2:$A799,A59)</f>
        <v>1</v>
      </c>
      <c r="O59" s="19">
        <f>MATCH(A59,postDEL!A$2:A799,0)</f>
        <v>58</v>
      </c>
      <c r="P59" s="10" t="b">
        <f t="shared" si="1"/>
        <v>1</v>
      </c>
      <c r="Q59" s="220">
        <f t="shared" si="2"/>
        <v>0</v>
      </c>
      <c r="R59" s="5"/>
    </row>
    <row r="60">
      <c r="A60" s="221" t="s">
        <v>456</v>
      </c>
      <c r="B60" s="217">
        <f t="array" ref="B60">INDEX(postDEL!$A$2:$P799,$O60,2)</f>
        <v>44564</v>
      </c>
      <c r="C60" s="218">
        <f t="array" ref="C60">INDEX(postDEL!$A$2:$P799,$O60,3)</f>
        <v>0.3048032407</v>
      </c>
      <c r="D60" s="219" t="str">
        <f t="array" ref="D60">INDEX(postDEL!$A$2:$AN799,$O60,39)</f>
        <v>SpBEND899578</v>
      </c>
      <c r="E60" s="219" t="str">
        <f t="array" ref="E60">INDEX(postDEL!$A$2:$P799,$O60,4)</f>
        <v/>
      </c>
      <c r="F60" s="219" t="str">
        <f t="array" ref="F60">INDEX(postDEL!$A$2:$P799,$O60,5)</f>
        <v/>
      </c>
      <c r="G60" s="219" t="str">
        <f t="array" ref="G60">INDEX(postDEL!$A$2:$P799,$O60,11)</f>
        <v>Positive</v>
      </c>
      <c r="H60" s="219" t="str">
        <f t="array" ref="H60">INDEX(postDEL!$A$2:$AL799,$O60,37)</f>
        <v>Positive</v>
      </c>
      <c r="I60" s="217">
        <f t="array" ref="I60">INDEX(postDEL!$A$2:$AL799,$O60,12)</f>
        <v>44564</v>
      </c>
      <c r="J60" s="218">
        <f t="array" ref="J60">INDEX(postDEL!$A$2:$AL799,$O60,13)</f>
        <v>0.5280439815</v>
      </c>
      <c r="K60" s="219" t="str">
        <f t="array" ref="K60">INDEX(postDEL!$A$2:$AL799,$O60,36)</f>
        <v/>
      </c>
      <c r="L60" s="219" t="str">
        <f t="array" ref="L60">INDEX(postDEL!$A$2:$AL799,$O60,38)</f>
        <v/>
      </c>
      <c r="M60" s="219" t="str">
        <f t="array" ref="M60">INDEX(postDEL!$A$2:$AL799,$O60,15)</f>
        <v/>
      </c>
      <c r="N60" s="110">
        <f>COUNTIF(postDEL!$A$2:$A799,A60)</f>
        <v>1</v>
      </c>
      <c r="O60" s="19">
        <f>MATCH(A60,postDEL!A$2:A799,0)</f>
        <v>59</v>
      </c>
      <c r="P60" s="10" t="str">
        <f t="shared" si="1"/>
        <v/>
      </c>
      <c r="Q60" s="220">
        <f t="shared" si="2"/>
        <v>0</v>
      </c>
      <c r="R60" s="5"/>
    </row>
    <row r="61">
      <c r="A61" s="221" t="s">
        <v>460</v>
      </c>
      <c r="B61" s="217">
        <f t="array" ref="B61">INDEX(postDEL!$A$2:$P799,$O61,2)</f>
        <v>44564</v>
      </c>
      <c r="C61" s="218">
        <f t="array" ref="C61">INDEX(postDEL!$A$2:$P799,$O61,3)</f>
        <v>0.3175462963</v>
      </c>
      <c r="D61" s="219" t="str">
        <f t="array" ref="D61">INDEX(postDEL!$A$2:$AN799,$O61,39)</f>
        <v>SpBEND548976</v>
      </c>
      <c r="E61" s="219" t="str">
        <f t="array" ref="E61">INDEX(postDEL!$A$2:$P799,$O61,4)</f>
        <v/>
      </c>
      <c r="F61" s="219" t="str">
        <f t="array" ref="F61">INDEX(postDEL!$A$2:$P799,$O61,5)</f>
        <v/>
      </c>
      <c r="G61" s="219" t="str">
        <f t="array" ref="G61">INDEX(postDEL!$A$2:$P799,$O61,11)</f>
        <v>Negative</v>
      </c>
      <c r="H61" s="219" t="str">
        <f t="array" ref="H61">INDEX(postDEL!$A$2:$AL799,$O61,37)</f>
        <v>Negative</v>
      </c>
      <c r="I61" s="217">
        <f t="array" ref="I61">INDEX(postDEL!$A$2:$AL799,$O61,12)</f>
        <v>44564</v>
      </c>
      <c r="J61" s="218">
        <f t="array" ref="J61">INDEX(postDEL!$A$2:$AL799,$O61,13)</f>
        <v>0.5280439815</v>
      </c>
      <c r="K61" s="219" t="str">
        <f t="array" ref="K61">INDEX(postDEL!$A$2:$AL799,$O61,36)</f>
        <v/>
      </c>
      <c r="L61" s="219" t="str">
        <f t="array" ref="L61">INDEX(postDEL!$A$2:$AL799,$O61,38)</f>
        <v/>
      </c>
      <c r="M61" s="219" t="str">
        <f t="array" ref="M61">INDEX(postDEL!$A$2:$AL799,$O61,15)</f>
        <v/>
      </c>
      <c r="N61" s="110">
        <f>COUNTIF(postDEL!$A$2:$A799,A61)</f>
        <v>1</v>
      </c>
      <c r="O61" s="19">
        <f>MATCH(A61,postDEL!A$2:A799,0)</f>
        <v>60</v>
      </c>
      <c r="P61" s="10" t="str">
        <f t="shared" si="1"/>
        <v/>
      </c>
      <c r="Q61" s="220">
        <f t="shared" si="2"/>
        <v>0</v>
      </c>
      <c r="R61" s="5"/>
    </row>
    <row r="62">
      <c r="A62" s="221" t="s">
        <v>462</v>
      </c>
      <c r="B62" s="217">
        <f t="array" ref="B62">INDEX(postDEL!$A$2:$P799,$O62,2)</f>
        <v>44564</v>
      </c>
      <c r="C62" s="218">
        <f t="array" ref="C62">INDEX(postDEL!$A$2:$P799,$O62,3)</f>
        <v>0.3253819444</v>
      </c>
      <c r="D62" s="219" t="str">
        <f t="array" ref="D62">INDEX(postDEL!$A$2:$AN799,$O62,39)</f>
        <v>SpBEND721986</v>
      </c>
      <c r="E62" s="219" t="str">
        <f t="array" ref="E62">INDEX(postDEL!$A$2:$P799,$O62,4)</f>
        <v/>
      </c>
      <c r="F62" s="219" t="str">
        <f t="array" ref="F62">INDEX(postDEL!$A$2:$P799,$O62,5)</f>
        <v/>
      </c>
      <c r="G62" s="219" t="str">
        <f t="array" ref="G62">INDEX(postDEL!$A$2:$P799,$O62,11)</f>
        <v>Negative</v>
      </c>
      <c r="H62" s="219" t="str">
        <f t="array" ref="H62">INDEX(postDEL!$A$2:$AL799,$O62,37)</f>
        <v>Negative</v>
      </c>
      <c r="I62" s="217">
        <f t="array" ref="I62">INDEX(postDEL!$A$2:$AL799,$O62,12)</f>
        <v>44564</v>
      </c>
      <c r="J62" s="218">
        <f t="array" ref="J62">INDEX(postDEL!$A$2:$AL799,$O62,13)</f>
        <v>0.5280439815</v>
      </c>
      <c r="K62" s="219" t="str">
        <f t="array" ref="K62">INDEX(postDEL!$A$2:$AL799,$O62,36)</f>
        <v/>
      </c>
      <c r="L62" s="219" t="str">
        <f t="array" ref="L62">INDEX(postDEL!$A$2:$AL799,$O62,38)</f>
        <v/>
      </c>
      <c r="M62" s="219" t="str">
        <f t="array" ref="M62">INDEX(postDEL!$A$2:$AL799,$O62,15)</f>
        <v/>
      </c>
      <c r="N62" s="110">
        <f>COUNTIF(postDEL!$A$2:$A799,A62)</f>
        <v>1</v>
      </c>
      <c r="O62" s="19">
        <f>MATCH(A62,postDEL!A$2:A799,0)</f>
        <v>61</v>
      </c>
      <c r="P62" s="10" t="str">
        <f t="shared" si="1"/>
        <v/>
      </c>
      <c r="Q62" s="220">
        <f t="shared" si="2"/>
        <v>0</v>
      </c>
      <c r="R62" s="5"/>
    </row>
    <row r="63">
      <c r="A63" s="221" t="s">
        <v>464</v>
      </c>
      <c r="B63" s="217">
        <f t="array" ref="B63">INDEX(postDEL!$A$2:$P799,$O63,2)</f>
        <v>44564</v>
      </c>
      <c r="C63" s="218">
        <f t="array" ref="C63">INDEX(postDEL!$A$2:$P799,$O63,3)</f>
        <v>0.3261574074</v>
      </c>
      <c r="D63" s="219" t="str">
        <f t="array" ref="D63">INDEX(postDEL!$A$2:$AN799,$O63,39)</f>
        <v>SpBEND672680</v>
      </c>
      <c r="E63" s="219" t="str">
        <f t="array" ref="E63">INDEX(postDEL!$A$2:$P799,$O63,4)</f>
        <v/>
      </c>
      <c r="F63" s="219" t="str">
        <f t="array" ref="F63">INDEX(postDEL!$A$2:$P799,$O63,5)</f>
        <v/>
      </c>
      <c r="G63" s="219" t="str">
        <f t="array" ref="G63">INDEX(postDEL!$A$2:$P799,$O63,11)</f>
        <v>Negative</v>
      </c>
      <c r="H63" s="219" t="str">
        <f t="array" ref="H63">INDEX(postDEL!$A$2:$AL799,$O63,37)</f>
        <v>Negative</v>
      </c>
      <c r="I63" s="217">
        <f t="array" ref="I63">INDEX(postDEL!$A$2:$AL799,$O63,12)</f>
        <v>44564</v>
      </c>
      <c r="J63" s="218">
        <f t="array" ref="J63">INDEX(postDEL!$A$2:$AL799,$O63,13)</f>
        <v>0.5280439815</v>
      </c>
      <c r="K63" s="219" t="str">
        <f t="array" ref="K63">INDEX(postDEL!$A$2:$AL799,$O63,36)</f>
        <v/>
      </c>
      <c r="L63" s="219" t="str">
        <f t="array" ref="L63">INDEX(postDEL!$A$2:$AL799,$O63,38)</f>
        <v/>
      </c>
      <c r="M63" s="219" t="str">
        <f t="array" ref="M63">INDEX(postDEL!$A$2:$AL799,$O63,15)</f>
        <v/>
      </c>
      <c r="N63" s="110">
        <f>COUNTIF(postDEL!$A$2:$A799,A63)</f>
        <v>1</v>
      </c>
      <c r="O63" s="19">
        <f>MATCH(A63,postDEL!A$2:A799,0)</f>
        <v>62</v>
      </c>
      <c r="P63" s="10" t="str">
        <f t="shared" si="1"/>
        <v/>
      </c>
      <c r="Q63" s="220">
        <f t="shared" si="2"/>
        <v>0</v>
      </c>
      <c r="R63" s="5"/>
    </row>
    <row r="64">
      <c r="A64" s="221" t="s">
        <v>468</v>
      </c>
      <c r="B64" s="217">
        <f t="array" ref="B64">INDEX(postDEL!$A$2:$P799,$O64,2)</f>
        <v>44564</v>
      </c>
      <c r="C64" s="218">
        <f t="array" ref="C64">INDEX(postDEL!$A$2:$P799,$O64,3)</f>
        <v>0.3377546296</v>
      </c>
      <c r="D64" s="219" t="str">
        <f t="array" ref="D64">INDEX(postDEL!$A$2:$AN799,$O64,39)</f>
        <v>SpBEND139600</v>
      </c>
      <c r="E64" s="219" t="str">
        <f t="array" ref="E64">INDEX(postDEL!$A$2:$P799,$O64,4)</f>
        <v/>
      </c>
      <c r="F64" s="219" t="str">
        <f t="array" ref="F64">INDEX(postDEL!$A$2:$P799,$O64,5)</f>
        <v/>
      </c>
      <c r="G64" s="219" t="str">
        <f t="array" ref="G64">INDEX(postDEL!$A$2:$P799,$O64,11)</f>
        <v>Positive</v>
      </c>
      <c r="H64" s="219" t="str">
        <f t="array" ref="H64">INDEX(postDEL!$A$2:$AL799,$O64,37)</f>
        <v>Positive</v>
      </c>
      <c r="I64" s="217">
        <f t="array" ref="I64">INDEX(postDEL!$A$2:$AL799,$O64,12)</f>
        <v>44564</v>
      </c>
      <c r="J64" s="218">
        <f t="array" ref="J64">INDEX(postDEL!$A$2:$AL799,$O64,13)</f>
        <v>0.5280439815</v>
      </c>
      <c r="K64" s="219" t="str">
        <f t="array" ref="K64">INDEX(postDEL!$A$2:$AL799,$O64,36)</f>
        <v/>
      </c>
      <c r="L64" s="219" t="str">
        <f t="array" ref="L64">INDEX(postDEL!$A$2:$AL799,$O64,38)</f>
        <v/>
      </c>
      <c r="M64" s="219" t="str">
        <f t="array" ref="M64">INDEX(postDEL!$A$2:$AL799,$O64,15)</f>
        <v/>
      </c>
      <c r="N64" s="110">
        <f>COUNTIF(postDEL!$A$2:$A799,A64)</f>
        <v>1</v>
      </c>
      <c r="O64" s="19">
        <f>MATCH(A64,postDEL!A$2:A799,0)</f>
        <v>63</v>
      </c>
      <c r="P64" s="10" t="str">
        <f t="shared" si="1"/>
        <v/>
      </c>
      <c r="Q64" s="220">
        <f t="shared" si="2"/>
        <v>0</v>
      </c>
      <c r="R64" s="5"/>
    </row>
    <row r="65">
      <c r="A65" s="221" t="s">
        <v>470</v>
      </c>
      <c r="B65" s="217">
        <f t="array" ref="B65">INDEX(postDEL!$A$2:$P799,$O65,2)</f>
        <v>44564</v>
      </c>
      <c r="C65" s="218">
        <f t="array" ref="C65">INDEX(postDEL!$A$2:$P799,$O65,3)</f>
        <v>0.3424074074</v>
      </c>
      <c r="D65" s="219" t="str">
        <f t="array" ref="D65">INDEX(postDEL!$A$2:$AN799,$O65,39)</f>
        <v>SpBEND139816</v>
      </c>
      <c r="E65" s="219" t="str">
        <f t="array" ref="E65">INDEX(postDEL!$A$2:$P799,$O65,4)</f>
        <v/>
      </c>
      <c r="F65" s="219" t="str">
        <f t="array" ref="F65">INDEX(postDEL!$A$2:$P799,$O65,5)</f>
        <v/>
      </c>
      <c r="G65" s="219" t="str">
        <f t="array" ref="G65">INDEX(postDEL!$A$2:$P799,$O65,11)</f>
        <v>Negative</v>
      </c>
      <c r="H65" s="219" t="str">
        <f t="array" ref="H65">INDEX(postDEL!$A$2:$AL799,$O65,37)</f>
        <v>Negative</v>
      </c>
      <c r="I65" s="217">
        <f t="array" ref="I65">INDEX(postDEL!$A$2:$AL799,$O65,12)</f>
        <v>44564</v>
      </c>
      <c r="J65" s="218">
        <f t="array" ref="J65">INDEX(postDEL!$A$2:$AL799,$O65,13)</f>
        <v>0.5280439815</v>
      </c>
      <c r="K65" s="219" t="str">
        <f t="array" ref="K65">INDEX(postDEL!$A$2:$AL799,$O65,36)</f>
        <v/>
      </c>
      <c r="L65" s="219" t="str">
        <f t="array" ref="L65">INDEX(postDEL!$A$2:$AL799,$O65,38)</f>
        <v/>
      </c>
      <c r="M65" s="219" t="str">
        <f t="array" ref="M65">INDEX(postDEL!$A$2:$AL799,$O65,15)</f>
        <v/>
      </c>
      <c r="N65" s="110">
        <f>COUNTIF(postDEL!$A$2:$A799,A65)</f>
        <v>1</v>
      </c>
      <c r="O65" s="19">
        <f>MATCH(A65,postDEL!A$2:A799,0)</f>
        <v>64</v>
      </c>
      <c r="P65" s="10" t="str">
        <f t="shared" si="1"/>
        <v/>
      </c>
      <c r="Q65" s="220">
        <f t="shared" si="2"/>
        <v>0</v>
      </c>
      <c r="R65" s="5"/>
    </row>
    <row r="66">
      <c r="A66" s="221" t="s">
        <v>474</v>
      </c>
      <c r="B66" s="217">
        <f t="array" ref="B66">INDEX(postDEL!$A$2:$P799,$O66,2)</f>
        <v>44564</v>
      </c>
      <c r="C66" s="218">
        <f t="array" ref="C66">INDEX(postDEL!$A$2:$P799,$O66,3)</f>
        <v>0.3515509259</v>
      </c>
      <c r="D66" s="219" t="str">
        <f t="array" ref="D66">INDEX(postDEL!$A$2:$AN799,$O66,39)</f>
        <v>SpBEND642175</v>
      </c>
      <c r="E66" s="219" t="str">
        <f t="array" ref="E66">INDEX(postDEL!$A$2:$P799,$O66,4)</f>
        <v/>
      </c>
      <c r="F66" s="219" t="str">
        <f t="array" ref="F66">INDEX(postDEL!$A$2:$P799,$O66,5)</f>
        <v/>
      </c>
      <c r="G66" s="219" t="str">
        <f t="array" ref="G66">INDEX(postDEL!$A$2:$P799,$O66,11)</f>
        <v>Negative</v>
      </c>
      <c r="H66" s="219" t="str">
        <f t="array" ref="H66">INDEX(postDEL!$A$2:$AL799,$O66,37)</f>
        <v>Negative</v>
      </c>
      <c r="I66" s="217">
        <f t="array" ref="I66">INDEX(postDEL!$A$2:$AL799,$O66,12)</f>
        <v>44564</v>
      </c>
      <c r="J66" s="218">
        <f t="array" ref="J66">INDEX(postDEL!$A$2:$AL799,$O66,13)</f>
        <v>0.5280439815</v>
      </c>
      <c r="K66" s="219" t="str">
        <f t="array" ref="K66">INDEX(postDEL!$A$2:$AL799,$O66,36)</f>
        <v/>
      </c>
      <c r="L66" s="219" t="str">
        <f t="array" ref="L66">INDEX(postDEL!$A$2:$AL799,$O66,38)</f>
        <v/>
      </c>
      <c r="M66" s="219" t="str">
        <f t="array" ref="M66">INDEX(postDEL!$A$2:$AL799,$O66,15)</f>
        <v/>
      </c>
      <c r="N66" s="110">
        <f>COUNTIF(postDEL!$A$2:$A799,A66)</f>
        <v>1</v>
      </c>
      <c r="O66" s="19">
        <f>MATCH(A66,postDEL!A$2:A799,0)</f>
        <v>65</v>
      </c>
      <c r="P66" s="10" t="str">
        <f t="shared" si="1"/>
        <v/>
      </c>
      <c r="Q66" s="220">
        <f t="shared" si="2"/>
        <v>0</v>
      </c>
      <c r="R66" s="5"/>
    </row>
    <row r="67">
      <c r="A67" s="221" t="s">
        <v>476</v>
      </c>
      <c r="B67" s="217">
        <f t="array" ref="B67">INDEX(postDEL!$A$2:$P799,$O67,2)</f>
        <v>44564</v>
      </c>
      <c r="C67" s="218">
        <f t="array" ref="C67">INDEX(postDEL!$A$2:$P799,$O67,3)</f>
        <v>0.3596527778</v>
      </c>
      <c r="D67" s="219" t="str">
        <f t="array" ref="D67">INDEX(postDEL!$A$2:$AN799,$O67,39)</f>
        <v>SpBEND387532</v>
      </c>
      <c r="E67" s="219" t="str">
        <f t="array" ref="E67">INDEX(postDEL!$A$2:$P799,$O67,4)</f>
        <v/>
      </c>
      <c r="F67" s="219" t="str">
        <f t="array" ref="F67">INDEX(postDEL!$A$2:$P799,$O67,5)</f>
        <v/>
      </c>
      <c r="G67" s="219" t="str">
        <f t="array" ref="G67">INDEX(postDEL!$A$2:$P799,$O67,11)</f>
        <v>Positive</v>
      </c>
      <c r="H67" s="219" t="str">
        <f t="array" ref="H67">INDEX(postDEL!$A$2:$AL799,$O67,37)</f>
        <v>Positive</v>
      </c>
      <c r="I67" s="217">
        <f t="array" ref="I67">INDEX(postDEL!$A$2:$AL799,$O67,12)</f>
        <v>44564</v>
      </c>
      <c r="J67" s="218">
        <f t="array" ref="J67">INDEX(postDEL!$A$2:$AL799,$O67,13)</f>
        <v>0.5280439815</v>
      </c>
      <c r="K67" s="219" t="str">
        <f t="array" ref="K67">INDEX(postDEL!$A$2:$AL799,$O67,36)</f>
        <v/>
      </c>
      <c r="L67" s="219" t="str">
        <f t="array" ref="L67">INDEX(postDEL!$A$2:$AL799,$O67,38)</f>
        <v/>
      </c>
      <c r="M67" s="219" t="str">
        <f t="array" ref="M67">INDEX(postDEL!$A$2:$AL799,$O67,15)</f>
        <v/>
      </c>
      <c r="N67" s="110">
        <f>COUNTIF(postDEL!$A$2:$A799,A67)</f>
        <v>1</v>
      </c>
      <c r="O67" s="19">
        <f>MATCH(A67,postDEL!A$2:A799,0)</f>
        <v>66</v>
      </c>
      <c r="P67" s="10" t="str">
        <f t="shared" si="1"/>
        <v/>
      </c>
      <c r="Q67" s="220">
        <f t="shared" si="2"/>
        <v>0</v>
      </c>
      <c r="R67" s="5"/>
    </row>
    <row r="68">
      <c r="A68" s="221" t="s">
        <v>479</v>
      </c>
      <c r="B68" s="217">
        <f t="array" ref="B68">INDEX(postDEL!$A$2:$P799,$O68,2)</f>
        <v>44564</v>
      </c>
      <c r="C68" s="218">
        <f t="array" ref="C68">INDEX(postDEL!$A$2:$P799,$O68,3)</f>
        <v>0.3654513889</v>
      </c>
      <c r="D68" s="219" t="str">
        <f t="array" ref="D68">INDEX(postDEL!$A$2:$AN799,$O68,39)</f>
        <v>SpBEND394154</v>
      </c>
      <c r="E68" s="219" t="str">
        <f t="array" ref="E68">INDEX(postDEL!$A$2:$P799,$O68,4)</f>
        <v/>
      </c>
      <c r="F68" s="219" t="str">
        <f t="array" ref="F68">INDEX(postDEL!$A$2:$P799,$O68,5)</f>
        <v/>
      </c>
      <c r="G68" s="219" t="str">
        <f t="array" ref="G68">INDEX(postDEL!$A$2:$P799,$O68,11)</f>
        <v>Positive</v>
      </c>
      <c r="H68" s="219" t="str">
        <f t="array" ref="H68">INDEX(postDEL!$A$2:$AL799,$O68,37)</f>
        <v>Positive</v>
      </c>
      <c r="I68" s="217">
        <f t="array" ref="I68">INDEX(postDEL!$A$2:$AL799,$O68,12)</f>
        <v>44564</v>
      </c>
      <c r="J68" s="218">
        <f t="array" ref="J68">INDEX(postDEL!$A$2:$AL799,$O68,13)</f>
        <v>0.5280439815</v>
      </c>
      <c r="K68" s="219" t="str">
        <f t="array" ref="K68">INDEX(postDEL!$A$2:$AL799,$O68,36)</f>
        <v/>
      </c>
      <c r="L68" s="219" t="str">
        <f t="array" ref="L68">INDEX(postDEL!$A$2:$AL799,$O68,38)</f>
        <v/>
      </c>
      <c r="M68" s="219" t="str">
        <f t="array" ref="M68">INDEX(postDEL!$A$2:$AL799,$O68,15)</f>
        <v/>
      </c>
      <c r="N68" s="110">
        <f>COUNTIF(postDEL!$A$2:$A799,A68)</f>
        <v>1</v>
      </c>
      <c r="O68" s="19">
        <f>MATCH(A68,postDEL!A$2:A799,0)</f>
        <v>67</v>
      </c>
      <c r="P68" s="10" t="str">
        <f t="shared" si="1"/>
        <v/>
      </c>
      <c r="Q68" s="220">
        <f t="shared" si="2"/>
        <v>0</v>
      </c>
      <c r="R68" s="5"/>
    </row>
    <row r="69">
      <c r="A69" s="221" t="s">
        <v>482</v>
      </c>
      <c r="B69" s="217">
        <f t="array" ref="B69">INDEX(postDEL!$A$2:$P799,$O69,2)</f>
        <v>44564</v>
      </c>
      <c r="C69" s="218">
        <f t="array" ref="C69">INDEX(postDEL!$A$2:$P799,$O69,3)</f>
        <v>0.3696296296</v>
      </c>
      <c r="D69" s="219" t="str">
        <f t="array" ref="D69">INDEX(postDEL!$A$2:$AN799,$O69,39)</f>
        <v>SpBEND372845</v>
      </c>
      <c r="E69" s="219" t="str">
        <f t="array" ref="E69">INDEX(postDEL!$A$2:$P799,$O69,4)</f>
        <v/>
      </c>
      <c r="F69" s="219" t="str">
        <f t="array" ref="F69">INDEX(postDEL!$A$2:$P799,$O69,5)</f>
        <v/>
      </c>
      <c r="G69" s="219" t="str">
        <f t="array" ref="G69">INDEX(postDEL!$A$2:$P799,$O69,11)</f>
        <v>Negative</v>
      </c>
      <c r="H69" s="219" t="str">
        <f t="array" ref="H69">INDEX(postDEL!$A$2:$AL799,$O69,37)</f>
        <v>Negative</v>
      </c>
      <c r="I69" s="217">
        <f t="array" ref="I69">INDEX(postDEL!$A$2:$AL799,$O69,12)</f>
        <v>44564</v>
      </c>
      <c r="J69" s="218">
        <f t="array" ref="J69">INDEX(postDEL!$A$2:$AL799,$O69,13)</f>
        <v>0.5280439815</v>
      </c>
      <c r="K69" s="219" t="str">
        <f t="array" ref="K69">INDEX(postDEL!$A$2:$AL799,$O69,36)</f>
        <v/>
      </c>
      <c r="L69" s="219" t="str">
        <f t="array" ref="L69">INDEX(postDEL!$A$2:$AL799,$O69,38)</f>
        <v/>
      </c>
      <c r="M69" s="219" t="str">
        <f t="array" ref="M69">INDEX(postDEL!$A$2:$AL799,$O69,15)</f>
        <v/>
      </c>
      <c r="N69" s="110">
        <f>COUNTIF(postDEL!$A$2:$A799,A69)</f>
        <v>1</v>
      </c>
      <c r="O69" s="19">
        <f>MATCH(A69,postDEL!A$2:A799,0)</f>
        <v>68</v>
      </c>
      <c r="P69" s="10" t="str">
        <f t="shared" si="1"/>
        <v/>
      </c>
      <c r="Q69" s="220">
        <f t="shared" si="2"/>
        <v>0</v>
      </c>
      <c r="R69" s="5"/>
    </row>
    <row r="70">
      <c r="A70" s="221" t="s">
        <v>484</v>
      </c>
      <c r="B70" s="217">
        <f t="array" ref="B70">INDEX(postDEL!$A$2:$P799,$O70,2)</f>
        <v>44564</v>
      </c>
      <c r="C70" s="218">
        <f t="array" ref="C70">INDEX(postDEL!$A$2:$P799,$O70,3)</f>
        <v>0.3841319444</v>
      </c>
      <c r="D70" s="219" t="str">
        <f t="array" ref="D70">INDEX(postDEL!$A$2:$AN799,$O70,39)</f>
        <v>SpBEND643855</v>
      </c>
      <c r="E70" s="219" t="str">
        <f t="array" ref="E70">INDEX(postDEL!$A$2:$P799,$O70,4)</f>
        <v/>
      </c>
      <c r="F70" s="219" t="str">
        <f t="array" ref="F70">INDEX(postDEL!$A$2:$P799,$O70,5)</f>
        <v/>
      </c>
      <c r="G70" s="219" t="str">
        <f t="array" ref="G70">INDEX(postDEL!$A$2:$P799,$O70,11)</f>
        <v>Negative</v>
      </c>
      <c r="H70" s="219" t="str">
        <f t="array" ref="H70">INDEX(postDEL!$A$2:$AL799,$O70,37)</f>
        <v>Negative</v>
      </c>
      <c r="I70" s="217">
        <f t="array" ref="I70">INDEX(postDEL!$A$2:$AL799,$O70,12)</f>
        <v>44564</v>
      </c>
      <c r="J70" s="218">
        <f t="array" ref="J70">INDEX(postDEL!$A$2:$AL799,$O70,13)</f>
        <v>0.5280439815</v>
      </c>
      <c r="K70" s="219" t="str">
        <f t="array" ref="K70">INDEX(postDEL!$A$2:$AL799,$O70,36)</f>
        <v/>
      </c>
      <c r="L70" s="219" t="str">
        <f t="array" ref="L70">INDEX(postDEL!$A$2:$AL799,$O70,38)</f>
        <v/>
      </c>
      <c r="M70" s="219" t="str">
        <f t="array" ref="M70">INDEX(postDEL!$A$2:$AL799,$O70,15)</f>
        <v/>
      </c>
      <c r="N70" s="110">
        <f>COUNTIF(postDEL!$A$2:$A799,A70)</f>
        <v>1</v>
      </c>
      <c r="O70" s="19">
        <f>MATCH(A70,postDEL!A$2:A799,0)</f>
        <v>69</v>
      </c>
      <c r="P70" s="10" t="str">
        <f t="shared" si="1"/>
        <v/>
      </c>
      <c r="Q70" s="220">
        <f t="shared" si="2"/>
        <v>0</v>
      </c>
      <c r="R70" s="5"/>
    </row>
    <row r="71">
      <c r="A71" s="221" t="s">
        <v>486</v>
      </c>
      <c r="B71" s="217">
        <f t="array" ref="B71">INDEX(postDEL!$A$2:$P799,$O71,2)</f>
        <v>44564</v>
      </c>
      <c r="C71" s="218">
        <f t="array" ref="C71">INDEX(postDEL!$A$2:$P799,$O71,3)</f>
        <v>0.3976273148</v>
      </c>
      <c r="D71" s="219" t="str">
        <f t="array" ref="D71">INDEX(postDEL!$A$2:$AN799,$O71,39)</f>
        <v>SpBEND305944</v>
      </c>
      <c r="E71" s="219" t="str">
        <f t="array" ref="E71">INDEX(postDEL!$A$2:$P799,$O71,4)</f>
        <v/>
      </c>
      <c r="F71" s="219" t="str">
        <f t="array" ref="F71">INDEX(postDEL!$A$2:$P799,$O71,5)</f>
        <v/>
      </c>
      <c r="G71" s="219" t="str">
        <f t="array" ref="G71">INDEX(postDEL!$A$2:$P799,$O71,11)</f>
        <v>Negative</v>
      </c>
      <c r="H71" s="219" t="str">
        <f t="array" ref="H71">INDEX(postDEL!$A$2:$AL799,$O71,37)</f>
        <v>Negative</v>
      </c>
      <c r="I71" s="217">
        <f t="array" ref="I71">INDEX(postDEL!$A$2:$AL799,$O71,12)</f>
        <v>44564</v>
      </c>
      <c r="J71" s="218">
        <f t="array" ref="J71">INDEX(postDEL!$A$2:$AL799,$O71,13)</f>
        <v>0.5280439815</v>
      </c>
      <c r="K71" s="219" t="str">
        <f t="array" ref="K71">INDEX(postDEL!$A$2:$AL799,$O71,36)</f>
        <v/>
      </c>
      <c r="L71" s="219" t="str">
        <f t="array" ref="L71">INDEX(postDEL!$A$2:$AL799,$O71,38)</f>
        <v/>
      </c>
      <c r="M71" s="219" t="str">
        <f t="array" ref="M71">INDEX(postDEL!$A$2:$AL799,$O71,15)</f>
        <v/>
      </c>
      <c r="N71" s="110">
        <f>COUNTIF(postDEL!$A$2:$A799,A71)</f>
        <v>1</v>
      </c>
      <c r="O71" s="19">
        <f>MATCH(A71,postDEL!A$2:A799,0)</f>
        <v>70</v>
      </c>
      <c r="P71" s="10" t="str">
        <f t="shared" si="1"/>
        <v/>
      </c>
      <c r="Q71" s="220">
        <f t="shared" si="2"/>
        <v>0</v>
      </c>
      <c r="R71" s="5"/>
    </row>
    <row r="72">
      <c r="A72" s="221" t="s">
        <v>488</v>
      </c>
      <c r="B72" s="217">
        <f t="array" ref="B72">INDEX(postDEL!$A$2:$P799,$O72,2)</f>
        <v>44564</v>
      </c>
      <c r="C72" s="218">
        <f t="array" ref="C72">INDEX(postDEL!$A$2:$P799,$O72,3)</f>
        <v>0.4022916667</v>
      </c>
      <c r="D72" s="219" t="str">
        <f t="array" ref="D72">INDEX(postDEL!$A$2:$AN799,$O72,39)</f>
        <v>SpBEND708976</v>
      </c>
      <c r="E72" s="219" t="str">
        <f t="array" ref="E72">INDEX(postDEL!$A$2:$P799,$O72,4)</f>
        <v/>
      </c>
      <c r="F72" s="219" t="str">
        <f t="array" ref="F72">INDEX(postDEL!$A$2:$P799,$O72,5)</f>
        <v/>
      </c>
      <c r="G72" s="219" t="str">
        <f t="array" ref="G72">INDEX(postDEL!$A$2:$P799,$O72,11)</f>
        <v>Negative</v>
      </c>
      <c r="H72" s="219" t="str">
        <f t="array" ref="H72">INDEX(postDEL!$A$2:$AL799,$O72,37)</f>
        <v>Negative</v>
      </c>
      <c r="I72" s="217">
        <f t="array" ref="I72">INDEX(postDEL!$A$2:$AL799,$O72,12)</f>
        <v>44564</v>
      </c>
      <c r="J72" s="218">
        <f t="array" ref="J72">INDEX(postDEL!$A$2:$AL799,$O72,13)</f>
        <v>0.5280439815</v>
      </c>
      <c r="K72" s="219" t="str">
        <f t="array" ref="K72">INDEX(postDEL!$A$2:$AL799,$O72,36)</f>
        <v/>
      </c>
      <c r="L72" s="219" t="str">
        <f t="array" ref="L72">INDEX(postDEL!$A$2:$AL799,$O72,38)</f>
        <v/>
      </c>
      <c r="M72" s="219" t="str">
        <f t="array" ref="M72">INDEX(postDEL!$A$2:$AL799,$O72,15)</f>
        <v/>
      </c>
      <c r="N72" s="110">
        <f>COUNTIF(postDEL!$A$2:$A799,A72)</f>
        <v>1</v>
      </c>
      <c r="O72" s="19">
        <f>MATCH(A72,postDEL!A$2:A799,0)</f>
        <v>71</v>
      </c>
      <c r="P72" s="10" t="str">
        <f t="shared" si="1"/>
        <v/>
      </c>
      <c r="Q72" s="220">
        <f t="shared" si="2"/>
        <v>0</v>
      </c>
      <c r="R72" s="5"/>
    </row>
    <row r="73">
      <c r="A73" s="221" t="s">
        <v>490</v>
      </c>
      <c r="B73" s="217">
        <f t="array" ref="B73">INDEX(postDEL!$A$2:$P799,$O73,2)</f>
        <v>44565</v>
      </c>
      <c r="C73" s="218">
        <f t="array" ref="C73">INDEX(postDEL!$A$2:$P799,$O73,3)</f>
        <v>0.6911574074</v>
      </c>
      <c r="D73" s="219" t="str">
        <f t="array" ref="D73">INDEX(postDEL!$A$2:$AN799,$O73,39)</f>
        <v>SpBEND481988</v>
      </c>
      <c r="E73" s="219" t="str">
        <f t="array" ref="E73">INDEX(postDEL!$A$2:$P799,$O73,4)</f>
        <v/>
      </c>
      <c r="F73" s="219" t="str">
        <f t="array" ref="F73">INDEX(postDEL!$A$2:$P799,$O73,5)</f>
        <v/>
      </c>
      <c r="G73" s="219" t="str">
        <f t="array" ref="G73">INDEX(postDEL!$A$2:$P799,$O73,11)</f>
        <v>Negative</v>
      </c>
      <c r="H73" s="219" t="str">
        <f t="array" ref="H73">INDEX(postDEL!$A$2:$AL799,$O73,37)</f>
        <v>Negative</v>
      </c>
      <c r="I73" s="217">
        <f t="array" ref="I73">INDEX(postDEL!$A$2:$AL799,$O73,12)</f>
        <v>44566</v>
      </c>
      <c r="J73" s="218">
        <f t="array" ref="J73">INDEX(postDEL!$A$2:$AL799,$O73,13)</f>
        <v>0.4565625</v>
      </c>
      <c r="K73" s="219" t="str">
        <f t="array" ref="K73">INDEX(postDEL!$A$2:$AL799,$O73,36)</f>
        <v/>
      </c>
      <c r="L73" s="219" t="str">
        <f t="array" ref="L73">INDEX(postDEL!$A$2:$AL799,$O73,38)</f>
        <v/>
      </c>
      <c r="M73" s="219" t="str">
        <f t="array" ref="M73">INDEX(postDEL!$A$2:$AL799,$O73,15)</f>
        <v/>
      </c>
      <c r="N73" s="110">
        <f>COUNTIF(postDEL!$A$2:$A799,A73)</f>
        <v>1</v>
      </c>
      <c r="O73" s="19">
        <f>MATCH(A73,postDEL!A$2:A799,0)</f>
        <v>72</v>
      </c>
      <c r="P73" s="10" t="b">
        <f t="shared" si="1"/>
        <v>1</v>
      </c>
      <c r="Q73" s="220">
        <f t="shared" si="2"/>
        <v>1</v>
      </c>
      <c r="R73" s="5"/>
    </row>
    <row r="74">
      <c r="A74" s="221" t="s">
        <v>494</v>
      </c>
      <c r="B74" s="217">
        <f t="array" ref="B74">INDEX(postDEL!$A$2:$P799,$O74,2)</f>
        <v>44565</v>
      </c>
      <c r="C74" s="218">
        <f t="array" ref="C74">INDEX(postDEL!$A$2:$P799,$O74,3)</f>
        <v>0.716099537</v>
      </c>
      <c r="D74" s="219" t="str">
        <f t="array" ref="D74">INDEX(postDEL!$A$2:$AN799,$O74,39)</f>
        <v>SpBEND481988</v>
      </c>
      <c r="E74" s="219" t="str">
        <f t="array" ref="E74">INDEX(postDEL!$A$2:$P799,$O74,4)</f>
        <v/>
      </c>
      <c r="F74" s="219" t="str">
        <f t="array" ref="F74">INDEX(postDEL!$A$2:$P799,$O74,5)</f>
        <v/>
      </c>
      <c r="G74" s="219" t="str">
        <f t="array" ref="G74">INDEX(postDEL!$A$2:$P799,$O74,11)</f>
        <v>Negative</v>
      </c>
      <c r="H74" s="219" t="str">
        <f t="array" ref="H74">INDEX(postDEL!$A$2:$AL799,$O74,37)</f>
        <v>Negative</v>
      </c>
      <c r="I74" s="217">
        <f t="array" ref="I74">INDEX(postDEL!$A$2:$AL799,$O74,12)</f>
        <v>44566</v>
      </c>
      <c r="J74" s="218">
        <f t="array" ref="J74">INDEX(postDEL!$A$2:$AL799,$O74,13)</f>
        <v>0.4565625</v>
      </c>
      <c r="K74" s="219" t="str">
        <f t="array" ref="K74">INDEX(postDEL!$A$2:$AL799,$O74,36)</f>
        <v/>
      </c>
      <c r="L74" s="219" t="str">
        <f t="array" ref="L74">INDEX(postDEL!$A$2:$AL799,$O74,38)</f>
        <v/>
      </c>
      <c r="M74" s="219" t="str">
        <f t="array" ref="M74">INDEX(postDEL!$A$2:$AL799,$O74,15)</f>
        <v/>
      </c>
      <c r="N74" s="110">
        <f>COUNTIF(postDEL!$A$2:$A799,A74)</f>
        <v>1</v>
      </c>
      <c r="O74" s="19">
        <f>MATCH(A74,postDEL!A$2:A799,0)</f>
        <v>73</v>
      </c>
      <c r="P74" s="10" t="str">
        <f t="shared" si="1"/>
        <v/>
      </c>
      <c r="Q74" s="220">
        <f t="shared" si="2"/>
        <v>1</v>
      </c>
      <c r="R74" s="5"/>
    </row>
    <row r="75">
      <c r="A75" s="221" t="s">
        <v>497</v>
      </c>
      <c r="B75" s="217">
        <f t="array" ref="B75">INDEX(postDEL!$A$2:$P799,$O75,2)</f>
        <v>44566</v>
      </c>
      <c r="C75" s="218">
        <f t="array" ref="C75">INDEX(postDEL!$A$2:$P799,$O75,3)</f>
        <v>0.3058333333</v>
      </c>
      <c r="D75" s="219" t="str">
        <f t="array" ref="D75">INDEX(postDEL!$A$2:$AN799,$O75,39)</f>
        <v>SpBEND139816</v>
      </c>
      <c r="E75" s="219" t="str">
        <f t="array" ref="E75">INDEX(postDEL!$A$2:$P799,$O75,4)</f>
        <v/>
      </c>
      <c r="F75" s="219" t="str">
        <f t="array" ref="F75">INDEX(postDEL!$A$2:$P799,$O75,5)</f>
        <v/>
      </c>
      <c r="G75" s="219" t="str">
        <f t="array" ref="G75">INDEX(postDEL!$A$2:$P799,$O75,11)</f>
        <v>Negative</v>
      </c>
      <c r="H75" s="219" t="str">
        <f t="array" ref="H75">INDEX(postDEL!$A$2:$AL799,$O75,37)</f>
        <v>Negative</v>
      </c>
      <c r="I75" s="217">
        <f t="array" ref="I75">INDEX(postDEL!$A$2:$AL799,$O75,12)</f>
        <v>44566</v>
      </c>
      <c r="J75" s="218">
        <f t="array" ref="J75">INDEX(postDEL!$A$2:$AL799,$O75,13)</f>
        <v>0.4565625</v>
      </c>
      <c r="K75" s="219" t="str">
        <f t="array" ref="K75">INDEX(postDEL!$A$2:$AL799,$O75,36)</f>
        <v/>
      </c>
      <c r="L75" s="219" t="str">
        <f t="array" ref="L75">INDEX(postDEL!$A$2:$AL799,$O75,38)</f>
        <v/>
      </c>
      <c r="M75" s="219" t="str">
        <f t="array" ref="M75">INDEX(postDEL!$A$2:$AL799,$O75,15)</f>
        <v/>
      </c>
      <c r="N75" s="110">
        <f>COUNTIF(postDEL!$A$2:$A799,A75)</f>
        <v>1</v>
      </c>
      <c r="O75" s="19">
        <f>MATCH(A75,postDEL!A$2:A799,0)</f>
        <v>74</v>
      </c>
      <c r="P75" s="10" t="b">
        <f t="shared" si="1"/>
        <v>1</v>
      </c>
      <c r="Q75" s="220">
        <f t="shared" si="2"/>
        <v>0</v>
      </c>
      <c r="R75" s="5"/>
    </row>
    <row r="76">
      <c r="A76" s="221" t="s">
        <v>499</v>
      </c>
      <c r="B76" s="217">
        <f t="array" ref="B76">INDEX(postDEL!$A$2:$P799,$O76,2)</f>
        <v>44566</v>
      </c>
      <c r="C76" s="218">
        <f t="array" ref="C76">INDEX(postDEL!$A$2:$P799,$O76,3)</f>
        <v>0.3086921296</v>
      </c>
      <c r="D76" s="219" t="str">
        <f t="array" ref="D76">INDEX(postDEL!$A$2:$AN799,$O76,39)</f>
        <v>SpBEND269695</v>
      </c>
      <c r="E76" s="219" t="str">
        <f t="array" ref="E76">INDEX(postDEL!$A$2:$P799,$O76,4)</f>
        <v/>
      </c>
      <c r="F76" s="219" t="str">
        <f t="array" ref="F76">INDEX(postDEL!$A$2:$P799,$O76,5)</f>
        <v/>
      </c>
      <c r="G76" s="219" t="str">
        <f t="array" ref="G76">INDEX(postDEL!$A$2:$P799,$O76,11)</f>
        <v>Negative</v>
      </c>
      <c r="H76" s="219" t="str">
        <f t="array" ref="H76">INDEX(postDEL!$A$2:$AL799,$O76,37)</f>
        <v>Negative</v>
      </c>
      <c r="I76" s="217">
        <f t="array" ref="I76">INDEX(postDEL!$A$2:$AL799,$O76,12)</f>
        <v>44566</v>
      </c>
      <c r="J76" s="218">
        <f t="array" ref="J76">INDEX(postDEL!$A$2:$AL799,$O76,13)</f>
        <v>0.4565625</v>
      </c>
      <c r="K76" s="219" t="str">
        <f t="array" ref="K76">INDEX(postDEL!$A$2:$AL799,$O76,36)</f>
        <v/>
      </c>
      <c r="L76" s="219" t="str">
        <f t="array" ref="L76">INDEX(postDEL!$A$2:$AL799,$O76,38)</f>
        <v/>
      </c>
      <c r="M76" s="219" t="str">
        <f t="array" ref="M76">INDEX(postDEL!$A$2:$AL799,$O76,15)</f>
        <v/>
      </c>
      <c r="N76" s="110">
        <f>COUNTIF(postDEL!$A$2:$A799,A76)</f>
        <v>1</v>
      </c>
      <c r="O76" s="19">
        <f>MATCH(A76,postDEL!A$2:A799,0)</f>
        <v>75</v>
      </c>
      <c r="P76" s="10" t="str">
        <f t="shared" si="1"/>
        <v/>
      </c>
      <c r="Q76" s="220">
        <f t="shared" si="2"/>
        <v>0</v>
      </c>
      <c r="R76" s="5"/>
    </row>
    <row r="77">
      <c r="A77" s="221" t="s">
        <v>503</v>
      </c>
      <c r="B77" s="217">
        <f t="array" ref="B77">INDEX(postDEL!$A$2:$P799,$O77,2)</f>
        <v>44566</v>
      </c>
      <c r="C77" s="218">
        <f t="array" ref="C77">INDEX(postDEL!$A$2:$P799,$O77,3)</f>
        <v>0.3115277778</v>
      </c>
      <c r="D77" s="219" t="str">
        <f t="array" ref="D77">INDEX(postDEL!$A$2:$AN799,$O77,39)</f>
        <v>SpBEND136234</v>
      </c>
      <c r="E77" s="219" t="str">
        <f t="array" ref="E77">INDEX(postDEL!$A$2:$P799,$O77,4)</f>
        <v/>
      </c>
      <c r="F77" s="219" t="str">
        <f t="array" ref="F77">INDEX(postDEL!$A$2:$P799,$O77,5)</f>
        <v/>
      </c>
      <c r="G77" s="219" t="str">
        <f t="array" ref="G77">INDEX(postDEL!$A$2:$P799,$O77,11)</f>
        <v>Negative</v>
      </c>
      <c r="H77" s="219" t="str">
        <f t="array" ref="H77">INDEX(postDEL!$A$2:$AL799,$O77,37)</f>
        <v>Negative</v>
      </c>
      <c r="I77" s="217">
        <f t="array" ref="I77">INDEX(postDEL!$A$2:$AL799,$O77,12)</f>
        <v>44566</v>
      </c>
      <c r="J77" s="218">
        <f t="array" ref="J77">INDEX(postDEL!$A$2:$AL799,$O77,13)</f>
        <v>0.4565625</v>
      </c>
      <c r="K77" s="219" t="str">
        <f t="array" ref="K77">INDEX(postDEL!$A$2:$AL799,$O77,36)</f>
        <v/>
      </c>
      <c r="L77" s="219" t="str">
        <f t="array" ref="L77">INDEX(postDEL!$A$2:$AL799,$O77,38)</f>
        <v/>
      </c>
      <c r="M77" s="219" t="str">
        <f t="array" ref="M77">INDEX(postDEL!$A$2:$AL799,$O77,15)</f>
        <v/>
      </c>
      <c r="N77" s="110">
        <f>COUNTIF(postDEL!$A$2:$A799,A77)</f>
        <v>1</v>
      </c>
      <c r="O77" s="19">
        <f>MATCH(A77,postDEL!A$2:A799,0)</f>
        <v>76</v>
      </c>
      <c r="P77" s="10" t="str">
        <f t="shared" si="1"/>
        <v/>
      </c>
      <c r="Q77" s="220">
        <f t="shared" si="2"/>
        <v>0</v>
      </c>
      <c r="R77" s="5"/>
    </row>
    <row r="78">
      <c r="A78" s="221" t="s">
        <v>507</v>
      </c>
      <c r="B78" s="217">
        <f t="array" ref="B78">INDEX(postDEL!$A$2:$P799,$O78,2)</f>
        <v>44566</v>
      </c>
      <c r="C78" s="218">
        <f t="array" ref="C78">INDEX(postDEL!$A$2:$P799,$O78,3)</f>
        <v>0.3210416667</v>
      </c>
      <c r="D78" s="219" t="str">
        <f t="array" ref="D78">INDEX(postDEL!$A$2:$AN799,$O78,39)</f>
        <v>SpBEND445560</v>
      </c>
      <c r="E78" s="219" t="str">
        <f t="array" ref="E78">INDEX(postDEL!$A$2:$P799,$O78,4)</f>
        <v/>
      </c>
      <c r="F78" s="219" t="str">
        <f t="array" ref="F78">INDEX(postDEL!$A$2:$P799,$O78,5)</f>
        <v/>
      </c>
      <c r="G78" s="219" t="str">
        <f t="array" ref="G78">INDEX(postDEL!$A$2:$P799,$O78,11)</f>
        <v>Negative</v>
      </c>
      <c r="H78" s="219" t="str">
        <f t="array" ref="H78">INDEX(postDEL!$A$2:$AL799,$O78,37)</f>
        <v>Negative</v>
      </c>
      <c r="I78" s="217">
        <f t="array" ref="I78">INDEX(postDEL!$A$2:$AL799,$O78,12)</f>
        <v>44566</v>
      </c>
      <c r="J78" s="218">
        <f t="array" ref="J78">INDEX(postDEL!$A$2:$AL799,$O78,13)</f>
        <v>0.4565625</v>
      </c>
      <c r="K78" s="219" t="str">
        <f t="array" ref="K78">INDEX(postDEL!$A$2:$AL799,$O78,36)</f>
        <v/>
      </c>
      <c r="L78" s="219" t="str">
        <f t="array" ref="L78">INDEX(postDEL!$A$2:$AL799,$O78,38)</f>
        <v/>
      </c>
      <c r="M78" s="219" t="str">
        <f t="array" ref="M78">INDEX(postDEL!$A$2:$AL799,$O78,15)</f>
        <v/>
      </c>
      <c r="N78" s="110">
        <f>COUNTIF(postDEL!$A$2:$A799,A78)</f>
        <v>1</v>
      </c>
      <c r="O78" s="19">
        <f>MATCH(A78,postDEL!A$2:A799,0)</f>
        <v>77</v>
      </c>
      <c r="P78" s="10" t="str">
        <f t="shared" si="1"/>
        <v/>
      </c>
      <c r="Q78" s="220">
        <f t="shared" si="2"/>
        <v>0</v>
      </c>
      <c r="R78" s="5"/>
    </row>
    <row r="79">
      <c r="A79" s="221" t="s">
        <v>511</v>
      </c>
      <c r="B79" s="217">
        <f t="array" ref="B79">INDEX(postDEL!$A$2:$P799,$O79,2)</f>
        <v>44566</v>
      </c>
      <c r="C79" s="218">
        <f t="array" ref="C79">INDEX(postDEL!$A$2:$P799,$O79,3)</f>
        <v>0.3297453704</v>
      </c>
      <c r="D79" s="219" t="str">
        <f t="array" ref="D79">INDEX(postDEL!$A$2:$AN799,$O79,39)</f>
        <v>SpBEND944634</v>
      </c>
      <c r="E79" s="219" t="str">
        <f t="array" ref="E79">INDEX(postDEL!$A$2:$P799,$O79,4)</f>
        <v/>
      </c>
      <c r="F79" s="219" t="str">
        <f t="array" ref="F79">INDEX(postDEL!$A$2:$P799,$O79,5)</f>
        <v/>
      </c>
      <c r="G79" s="219" t="str">
        <f t="array" ref="G79">INDEX(postDEL!$A$2:$P799,$O79,11)</f>
        <v>Positive</v>
      </c>
      <c r="H79" s="219" t="str">
        <f t="array" ref="H79">INDEX(postDEL!$A$2:$AL799,$O79,37)</f>
        <v>Positive</v>
      </c>
      <c r="I79" s="217">
        <f t="array" ref="I79">INDEX(postDEL!$A$2:$AL799,$O79,12)</f>
        <v>44568</v>
      </c>
      <c r="J79" s="218">
        <f t="array" ref="J79">INDEX(postDEL!$A$2:$AL799,$O79,13)</f>
        <v>0.508275463</v>
      </c>
      <c r="K79" s="219" t="str">
        <f t="array" ref="K79">INDEX(postDEL!$A$2:$AL799,$O79,36)</f>
        <v/>
      </c>
      <c r="L79" s="219" t="str">
        <f t="array" ref="L79">INDEX(postDEL!$A$2:$AL799,$O79,38)</f>
        <v/>
      </c>
      <c r="M79" s="219" t="str">
        <f t="array" ref="M79">INDEX(postDEL!$A$2:$AL799,$O79,15)</f>
        <v/>
      </c>
      <c r="N79" s="110">
        <f>COUNTIF(postDEL!$A$2:$A799,A79)</f>
        <v>1</v>
      </c>
      <c r="O79" s="19">
        <f>MATCH(A79,postDEL!A$2:A799,0)</f>
        <v>78</v>
      </c>
      <c r="P79" s="10" t="str">
        <f t="shared" si="1"/>
        <v/>
      </c>
      <c r="Q79" s="220">
        <f t="shared" si="2"/>
        <v>2</v>
      </c>
      <c r="R79" s="5"/>
    </row>
    <row r="80">
      <c r="A80" s="221" t="s">
        <v>515</v>
      </c>
      <c r="B80" s="217">
        <f t="array" ref="B80">INDEX(postDEL!$A$2:$P799,$O80,2)</f>
        <v>44566</v>
      </c>
      <c r="C80" s="218">
        <f t="array" ref="C80">INDEX(postDEL!$A$2:$P799,$O80,3)</f>
        <v>0.3307638889</v>
      </c>
      <c r="D80" s="219" t="str">
        <f t="array" ref="D80">INDEX(postDEL!$A$2:$AN799,$O80,39)</f>
        <v>SpBEND387532</v>
      </c>
      <c r="E80" s="219" t="str">
        <f t="array" ref="E80">INDEX(postDEL!$A$2:$P799,$O80,4)</f>
        <v/>
      </c>
      <c r="F80" s="219" t="str">
        <f t="array" ref="F80">INDEX(postDEL!$A$2:$P799,$O80,5)</f>
        <v/>
      </c>
      <c r="G80" s="219" t="str">
        <f t="array" ref="G80">INDEX(postDEL!$A$2:$P799,$O80,11)</f>
        <v>Positive</v>
      </c>
      <c r="H80" s="219" t="str">
        <f t="array" ref="H80">INDEX(postDEL!$A$2:$AL799,$O80,37)</f>
        <v>Positive</v>
      </c>
      <c r="I80" s="217">
        <f t="array" ref="I80">INDEX(postDEL!$A$2:$AL799,$O80,12)</f>
        <v>44568</v>
      </c>
      <c r="J80" s="218">
        <f t="array" ref="J80">INDEX(postDEL!$A$2:$AL799,$O80,13)</f>
        <v>0.508275463</v>
      </c>
      <c r="K80" s="219" t="str">
        <f t="array" ref="K80">INDEX(postDEL!$A$2:$AL799,$O80,36)</f>
        <v/>
      </c>
      <c r="L80" s="219" t="str">
        <f t="array" ref="L80">INDEX(postDEL!$A$2:$AL799,$O80,38)</f>
        <v/>
      </c>
      <c r="M80" s="219" t="str">
        <f t="array" ref="M80">INDEX(postDEL!$A$2:$AL799,$O80,15)</f>
        <v/>
      </c>
      <c r="N80" s="110">
        <f>COUNTIF(postDEL!$A$2:$A799,A80)</f>
        <v>1</v>
      </c>
      <c r="O80" s="19">
        <f>MATCH(A80,postDEL!A$2:A799,0)</f>
        <v>79</v>
      </c>
      <c r="P80" s="10" t="str">
        <f t="shared" si="1"/>
        <v/>
      </c>
      <c r="Q80" s="220">
        <f t="shared" si="2"/>
        <v>2</v>
      </c>
      <c r="R80" s="5"/>
    </row>
    <row r="81">
      <c r="A81" s="221" t="s">
        <v>517</v>
      </c>
      <c r="B81" s="217">
        <f t="array" ref="B81">INDEX(postDEL!$A$2:$P799,$O81,2)</f>
        <v>44566</v>
      </c>
      <c r="C81" s="218">
        <f t="array" ref="C81">INDEX(postDEL!$A$2:$P799,$O81,3)</f>
        <v>0.3373842593</v>
      </c>
      <c r="D81" s="219" t="str">
        <f t="array" ref="D81">INDEX(postDEL!$A$2:$AN799,$O81,39)</f>
        <v>SpBEND643855</v>
      </c>
      <c r="E81" s="219" t="str">
        <f t="array" ref="E81">INDEX(postDEL!$A$2:$P799,$O81,4)</f>
        <v/>
      </c>
      <c r="F81" s="219" t="str">
        <f t="array" ref="F81">INDEX(postDEL!$A$2:$P799,$O81,5)</f>
        <v/>
      </c>
      <c r="G81" s="219" t="str">
        <f t="array" ref="G81">INDEX(postDEL!$A$2:$P799,$O81,11)</f>
        <v>Negative</v>
      </c>
      <c r="H81" s="219" t="str">
        <f t="array" ref="H81">INDEX(postDEL!$A$2:$AL799,$O81,37)</f>
        <v>Negative</v>
      </c>
      <c r="I81" s="217">
        <f t="array" ref="I81">INDEX(postDEL!$A$2:$AL799,$O81,12)</f>
        <v>44566</v>
      </c>
      <c r="J81" s="218">
        <f t="array" ref="J81">INDEX(postDEL!$A$2:$AL799,$O81,13)</f>
        <v>0.4565625</v>
      </c>
      <c r="K81" s="219" t="str">
        <f t="array" ref="K81">INDEX(postDEL!$A$2:$AL799,$O81,36)</f>
        <v/>
      </c>
      <c r="L81" s="219" t="str">
        <f t="array" ref="L81">INDEX(postDEL!$A$2:$AL799,$O81,38)</f>
        <v/>
      </c>
      <c r="M81" s="219" t="str">
        <f t="array" ref="M81">INDEX(postDEL!$A$2:$AL799,$O81,15)</f>
        <v/>
      </c>
      <c r="N81" s="110">
        <f>COUNTIF(postDEL!$A$2:$A799,A81)</f>
        <v>1</v>
      </c>
      <c r="O81" s="19">
        <f>MATCH(A81,postDEL!A$2:A799,0)</f>
        <v>80</v>
      </c>
      <c r="P81" s="10" t="str">
        <f t="shared" si="1"/>
        <v/>
      </c>
      <c r="Q81" s="220">
        <f t="shared" si="2"/>
        <v>0</v>
      </c>
      <c r="R81" s="5"/>
    </row>
    <row r="82">
      <c r="A82" s="221" t="s">
        <v>519</v>
      </c>
      <c r="B82" s="217">
        <f t="array" ref="B82">INDEX(postDEL!$A$2:$P799,$O82,2)</f>
        <v>44566</v>
      </c>
      <c r="C82" s="218">
        <f t="array" ref="C82">INDEX(postDEL!$A$2:$P799,$O82,3)</f>
        <v>0.3388888889</v>
      </c>
      <c r="D82" s="219" t="str">
        <f t="array" ref="D82">INDEX(postDEL!$A$2:$AN799,$O82,39)</f>
        <v>SpBEND454594</v>
      </c>
      <c r="E82" s="219" t="str">
        <f t="array" ref="E82">INDEX(postDEL!$A$2:$P799,$O82,4)</f>
        <v/>
      </c>
      <c r="F82" s="219" t="str">
        <f t="array" ref="F82">INDEX(postDEL!$A$2:$P799,$O82,5)</f>
        <v/>
      </c>
      <c r="G82" s="219" t="str">
        <f t="array" ref="G82">INDEX(postDEL!$A$2:$P799,$O82,11)</f>
        <v>Negative</v>
      </c>
      <c r="H82" s="219" t="str">
        <f t="array" ref="H82">INDEX(postDEL!$A$2:$AL799,$O82,37)</f>
        <v>Negative</v>
      </c>
      <c r="I82" s="217">
        <f t="array" ref="I82">INDEX(postDEL!$A$2:$AL799,$O82,12)</f>
        <v>44566</v>
      </c>
      <c r="J82" s="218">
        <f t="array" ref="J82">INDEX(postDEL!$A$2:$AL799,$O82,13)</f>
        <v>0.4565625</v>
      </c>
      <c r="K82" s="219" t="str">
        <f t="array" ref="K82">INDEX(postDEL!$A$2:$AL799,$O82,36)</f>
        <v/>
      </c>
      <c r="L82" s="219" t="str">
        <f t="array" ref="L82">INDEX(postDEL!$A$2:$AL799,$O82,38)</f>
        <v/>
      </c>
      <c r="M82" s="219" t="str">
        <f t="array" ref="M82">INDEX(postDEL!$A$2:$AL799,$O82,15)</f>
        <v/>
      </c>
      <c r="N82" s="110">
        <f>COUNTIF(postDEL!$A$2:$A799,A82)</f>
        <v>1</v>
      </c>
      <c r="O82" s="19">
        <f>MATCH(A82,postDEL!A$2:A799,0)</f>
        <v>81</v>
      </c>
      <c r="P82" s="10" t="str">
        <f t="shared" si="1"/>
        <v/>
      </c>
      <c r="Q82" s="220">
        <f t="shared" si="2"/>
        <v>0</v>
      </c>
      <c r="R82" s="5"/>
    </row>
    <row r="83">
      <c r="A83" s="221" t="s">
        <v>523</v>
      </c>
      <c r="B83" s="217">
        <f t="array" ref="B83">INDEX(postDEL!$A$2:$P799,$O83,2)</f>
        <v>44566</v>
      </c>
      <c r="C83" s="218">
        <f t="array" ref="C83">INDEX(postDEL!$A$2:$P799,$O83,3)</f>
        <v>0.3511689815</v>
      </c>
      <c r="D83" s="219" t="str">
        <f t="array" ref="D83">INDEX(postDEL!$A$2:$AN799,$O83,39)</f>
        <v>SpBEND394154</v>
      </c>
      <c r="E83" s="219" t="str">
        <f t="array" ref="E83">INDEX(postDEL!$A$2:$P799,$O83,4)</f>
        <v/>
      </c>
      <c r="F83" s="219" t="str">
        <f t="array" ref="F83">INDEX(postDEL!$A$2:$P799,$O83,5)</f>
        <v/>
      </c>
      <c r="G83" s="219" t="str">
        <f t="array" ref="G83">INDEX(postDEL!$A$2:$P799,$O83,11)</f>
        <v>Negative</v>
      </c>
      <c r="H83" s="219" t="str">
        <f t="array" ref="H83">INDEX(postDEL!$A$2:$AL799,$O83,37)</f>
        <v>Negative</v>
      </c>
      <c r="I83" s="217">
        <f t="array" ref="I83">INDEX(postDEL!$A$2:$AL799,$O83,12)</f>
        <v>44566</v>
      </c>
      <c r="J83" s="218">
        <f t="array" ref="J83">INDEX(postDEL!$A$2:$AL799,$O83,13)</f>
        <v>0.4565625</v>
      </c>
      <c r="K83" s="219" t="str">
        <f t="array" ref="K83">INDEX(postDEL!$A$2:$AL799,$O83,36)</f>
        <v/>
      </c>
      <c r="L83" s="219" t="str">
        <f t="array" ref="L83">INDEX(postDEL!$A$2:$AL799,$O83,38)</f>
        <v/>
      </c>
      <c r="M83" s="219" t="str">
        <f t="array" ref="M83">INDEX(postDEL!$A$2:$AL799,$O83,15)</f>
        <v/>
      </c>
      <c r="N83" s="110">
        <f>COUNTIF(postDEL!$A$2:$A799,A83)</f>
        <v>1</v>
      </c>
      <c r="O83" s="19">
        <f>MATCH(A83,postDEL!A$2:A799,0)</f>
        <v>82</v>
      </c>
      <c r="P83" s="10" t="str">
        <f t="shared" si="1"/>
        <v/>
      </c>
      <c r="Q83" s="220">
        <f t="shared" si="2"/>
        <v>0</v>
      </c>
      <c r="R83" s="5"/>
    </row>
    <row r="84">
      <c r="A84" s="221" t="s">
        <v>525</v>
      </c>
      <c r="B84" s="217">
        <f t="array" ref="B84">INDEX(postDEL!$A$2:$P799,$O84,2)</f>
        <v>44566</v>
      </c>
      <c r="C84" s="218">
        <f t="array" ref="C84">INDEX(postDEL!$A$2:$P799,$O84,3)</f>
        <v>0.3789351852</v>
      </c>
      <c r="D84" s="219" t="str">
        <f t="array" ref="D84">INDEX(postDEL!$A$2:$AN799,$O84,39)</f>
        <v>SpBEND394154</v>
      </c>
      <c r="E84" s="219" t="str">
        <f t="array" ref="E84">INDEX(postDEL!$A$2:$P799,$O84,4)</f>
        <v/>
      </c>
      <c r="F84" s="219" t="str">
        <f t="array" ref="F84">INDEX(postDEL!$A$2:$P799,$O84,5)</f>
        <v/>
      </c>
      <c r="G84" s="219" t="str">
        <f t="array" ref="G84">INDEX(postDEL!$A$2:$P799,$O84,11)</f>
        <v>Negative</v>
      </c>
      <c r="H84" s="219" t="str">
        <f t="array" ref="H84">INDEX(postDEL!$A$2:$AL799,$O84,37)</f>
        <v>Negative</v>
      </c>
      <c r="I84" s="217">
        <f t="array" ref="I84">INDEX(postDEL!$A$2:$AL799,$O84,12)</f>
        <v>44566</v>
      </c>
      <c r="J84" s="218">
        <f t="array" ref="J84">INDEX(postDEL!$A$2:$AL799,$O84,13)</f>
        <v>0.4565625</v>
      </c>
      <c r="K84" s="219" t="str">
        <f t="array" ref="K84">INDEX(postDEL!$A$2:$AL799,$O84,36)</f>
        <v/>
      </c>
      <c r="L84" s="219" t="str">
        <f t="array" ref="L84">INDEX(postDEL!$A$2:$AL799,$O84,38)</f>
        <v/>
      </c>
      <c r="M84" s="219" t="str">
        <f t="array" ref="M84">INDEX(postDEL!$A$2:$AL799,$O84,15)</f>
        <v/>
      </c>
      <c r="N84" s="110">
        <f>COUNTIF(postDEL!$A$2:$A799,A84)</f>
        <v>1</v>
      </c>
      <c r="O84" s="19">
        <f>MATCH(A84,postDEL!A$2:A799,0)</f>
        <v>83</v>
      </c>
      <c r="P84" s="10" t="str">
        <f t="shared" si="1"/>
        <v/>
      </c>
      <c r="Q84" s="220">
        <f t="shared" si="2"/>
        <v>0</v>
      </c>
      <c r="R84" s="5"/>
    </row>
    <row r="85">
      <c r="A85" s="221" t="s">
        <v>527</v>
      </c>
      <c r="B85" s="217">
        <f t="array" ref="B85">INDEX(postDEL!$A$2:$P799,$O85,2)</f>
        <v>44566</v>
      </c>
      <c r="C85" s="218">
        <f t="array" ref="C85">INDEX(postDEL!$A$2:$P799,$O85,3)</f>
        <v>0.3817824074</v>
      </c>
      <c r="D85" s="219" t="str">
        <f t="array" ref="D85">INDEX(postDEL!$A$2:$AN799,$O85,39)</f>
        <v>SpBEND394154</v>
      </c>
      <c r="E85" s="219" t="str">
        <f t="array" ref="E85">INDEX(postDEL!$A$2:$P799,$O85,4)</f>
        <v/>
      </c>
      <c r="F85" s="219" t="str">
        <f t="array" ref="F85">INDEX(postDEL!$A$2:$P799,$O85,5)</f>
        <v/>
      </c>
      <c r="G85" s="219" t="str">
        <f t="array" ref="G85">INDEX(postDEL!$A$2:$P799,$O85,11)</f>
        <v>Negative</v>
      </c>
      <c r="H85" s="219" t="str">
        <f t="array" ref="H85">INDEX(postDEL!$A$2:$AL799,$O85,37)</f>
        <v>Negative</v>
      </c>
      <c r="I85" s="217">
        <f t="array" ref="I85">INDEX(postDEL!$A$2:$AL799,$O85,12)</f>
        <v>44566</v>
      </c>
      <c r="J85" s="218">
        <f t="array" ref="J85">INDEX(postDEL!$A$2:$AL799,$O85,13)</f>
        <v>0.4565625</v>
      </c>
      <c r="K85" s="219" t="str">
        <f t="array" ref="K85">INDEX(postDEL!$A$2:$AL799,$O85,36)</f>
        <v/>
      </c>
      <c r="L85" s="219" t="str">
        <f t="array" ref="L85">INDEX(postDEL!$A$2:$AL799,$O85,38)</f>
        <v/>
      </c>
      <c r="M85" s="219" t="str">
        <f t="array" ref="M85">INDEX(postDEL!$A$2:$AL799,$O85,15)</f>
        <v/>
      </c>
      <c r="N85" s="110">
        <f>COUNTIF(postDEL!$A$2:$A799,A85)</f>
        <v>1</v>
      </c>
      <c r="O85" s="19">
        <f>MATCH(A85,postDEL!A$2:A799,0)</f>
        <v>84</v>
      </c>
      <c r="P85" s="10" t="str">
        <f t="shared" si="1"/>
        <v/>
      </c>
      <c r="Q85" s="220">
        <f t="shared" si="2"/>
        <v>0</v>
      </c>
      <c r="R85" s="5"/>
    </row>
    <row r="86">
      <c r="A86" s="221" t="s">
        <v>529</v>
      </c>
      <c r="B86" s="217">
        <f t="array" ref="B86">INDEX(postDEL!$A$2:$P799,$O86,2)</f>
        <v>44566</v>
      </c>
      <c r="C86" s="218">
        <f t="array" ref="C86">INDEX(postDEL!$A$2:$P799,$O86,3)</f>
        <v>0.3824652778</v>
      </c>
      <c r="D86" s="219" t="str">
        <f t="array" ref="D86">INDEX(postDEL!$A$2:$AN799,$O86,39)</f>
        <v>SpBEND394154</v>
      </c>
      <c r="E86" s="219" t="str">
        <f t="array" ref="E86">INDEX(postDEL!$A$2:$P799,$O86,4)</f>
        <v/>
      </c>
      <c r="F86" s="219" t="str">
        <f t="array" ref="F86">INDEX(postDEL!$A$2:$P799,$O86,5)</f>
        <v/>
      </c>
      <c r="G86" s="219" t="str">
        <f t="array" ref="G86">INDEX(postDEL!$A$2:$P799,$O86,11)</f>
        <v>Negative</v>
      </c>
      <c r="H86" s="219" t="str">
        <f t="array" ref="H86">INDEX(postDEL!$A$2:$AL799,$O86,37)</f>
        <v>Negative</v>
      </c>
      <c r="I86" s="217">
        <f t="array" ref="I86">INDEX(postDEL!$A$2:$AL799,$O86,12)</f>
        <v>44566</v>
      </c>
      <c r="J86" s="218">
        <f t="array" ref="J86">INDEX(postDEL!$A$2:$AL799,$O86,13)</f>
        <v>0.4565625</v>
      </c>
      <c r="K86" s="219" t="str">
        <f t="array" ref="K86">INDEX(postDEL!$A$2:$AL799,$O86,36)</f>
        <v/>
      </c>
      <c r="L86" s="219" t="str">
        <f t="array" ref="L86">INDEX(postDEL!$A$2:$AL799,$O86,38)</f>
        <v/>
      </c>
      <c r="M86" s="219" t="str">
        <f t="array" ref="M86">INDEX(postDEL!$A$2:$AL799,$O86,15)</f>
        <v/>
      </c>
      <c r="N86" s="110">
        <f>COUNTIF(postDEL!$A$2:$A799,A86)</f>
        <v>1</v>
      </c>
      <c r="O86" s="19">
        <f>MATCH(A86,postDEL!A$2:A799,0)</f>
        <v>85</v>
      </c>
      <c r="P86" s="10" t="str">
        <f t="shared" si="1"/>
        <v/>
      </c>
      <c r="Q86" s="220">
        <f t="shared" si="2"/>
        <v>0</v>
      </c>
      <c r="R86" s="5"/>
    </row>
    <row r="87">
      <c r="A87" s="221" t="s">
        <v>532</v>
      </c>
      <c r="B87" s="217">
        <f t="array" ref="B87">INDEX(postDEL!$A$2:$P799,$O87,2)</f>
        <v>44566</v>
      </c>
      <c r="C87" s="218">
        <f t="array" ref="C87">INDEX(postDEL!$A$2:$P799,$O87,3)</f>
        <v>0.4174305556</v>
      </c>
      <c r="D87" s="219" t="str">
        <f t="array" ref="D87">INDEX(postDEL!$A$2:$AN799,$O87,39)</f>
        <v>SpBEND110967</v>
      </c>
      <c r="E87" s="219" t="str">
        <f t="array" ref="E87">INDEX(postDEL!$A$2:$P799,$O87,4)</f>
        <v/>
      </c>
      <c r="F87" s="219" t="str">
        <f t="array" ref="F87">INDEX(postDEL!$A$2:$P799,$O87,5)</f>
        <v/>
      </c>
      <c r="G87" s="219" t="str">
        <f t="array" ref="G87">INDEX(postDEL!$A$2:$P799,$O87,11)</f>
        <v>Negative</v>
      </c>
      <c r="H87" s="219" t="str">
        <f t="array" ref="H87">INDEX(postDEL!$A$2:$AL799,$O87,37)</f>
        <v>Negative</v>
      </c>
      <c r="I87" s="217">
        <f t="array" ref="I87">INDEX(postDEL!$A$2:$AL799,$O87,12)</f>
        <v>44566</v>
      </c>
      <c r="J87" s="218">
        <f t="array" ref="J87">INDEX(postDEL!$A$2:$AL799,$O87,13)</f>
        <v>0.4565625</v>
      </c>
      <c r="K87" s="219" t="str">
        <f t="array" ref="K87">INDEX(postDEL!$A$2:$AL799,$O87,36)</f>
        <v/>
      </c>
      <c r="L87" s="219" t="str">
        <f t="array" ref="L87">INDEX(postDEL!$A$2:$AL799,$O87,38)</f>
        <v/>
      </c>
      <c r="M87" s="219" t="str">
        <f t="array" ref="M87">INDEX(postDEL!$A$2:$AL799,$O87,15)</f>
        <v/>
      </c>
      <c r="N87" s="110">
        <f>COUNTIF(postDEL!$A$2:$A799,A87)</f>
        <v>1</v>
      </c>
      <c r="O87" s="19">
        <f>MATCH(A87,postDEL!A$2:A799,0)</f>
        <v>86</v>
      </c>
      <c r="P87" s="10" t="str">
        <f t="shared" si="1"/>
        <v/>
      </c>
      <c r="Q87" s="220">
        <f t="shared" si="2"/>
        <v>0</v>
      </c>
      <c r="R87" s="5"/>
    </row>
    <row r="88">
      <c r="A88" s="221" t="s">
        <v>535</v>
      </c>
      <c r="B88" s="217">
        <f t="array" ref="B88">INDEX(postDEL!$A$2:$P799,$O88,2)</f>
        <v>44566</v>
      </c>
      <c r="C88" s="218">
        <f t="array" ref="C88">INDEX(postDEL!$A$2:$P799,$O88,3)</f>
        <v>0.4181828704</v>
      </c>
      <c r="D88" s="219" t="str">
        <f t="array" ref="D88">INDEX(postDEL!$A$2:$AN799,$O88,39)</f>
        <v>SpBEND110967</v>
      </c>
      <c r="E88" s="219" t="str">
        <f t="array" ref="E88">INDEX(postDEL!$A$2:$P799,$O88,4)</f>
        <v/>
      </c>
      <c r="F88" s="219" t="str">
        <f t="array" ref="F88">INDEX(postDEL!$A$2:$P799,$O88,5)</f>
        <v/>
      </c>
      <c r="G88" s="219" t="str">
        <f t="array" ref="G88">INDEX(postDEL!$A$2:$P799,$O88,11)</f>
        <v>Negative</v>
      </c>
      <c r="H88" s="219" t="str">
        <f t="array" ref="H88">INDEX(postDEL!$A$2:$AL799,$O88,37)</f>
        <v>Negative</v>
      </c>
      <c r="I88" s="217">
        <f t="array" ref="I88">INDEX(postDEL!$A$2:$AL799,$O88,12)</f>
        <v>44566</v>
      </c>
      <c r="J88" s="218">
        <f t="array" ref="J88">INDEX(postDEL!$A$2:$AL799,$O88,13)</f>
        <v>0.4565625</v>
      </c>
      <c r="K88" s="219" t="str">
        <f t="array" ref="K88">INDEX(postDEL!$A$2:$AL799,$O88,36)</f>
        <v/>
      </c>
      <c r="L88" s="219" t="str">
        <f t="array" ref="L88">INDEX(postDEL!$A$2:$AL799,$O88,38)</f>
        <v/>
      </c>
      <c r="M88" s="219" t="str">
        <f t="array" ref="M88">INDEX(postDEL!$A$2:$AL799,$O88,15)</f>
        <v/>
      </c>
      <c r="N88" s="110">
        <f>COUNTIF(postDEL!$A$2:$A799,A88)</f>
        <v>1</v>
      </c>
      <c r="O88" s="19">
        <f>MATCH(A88,postDEL!A$2:A799,0)</f>
        <v>87</v>
      </c>
      <c r="P88" s="10" t="str">
        <f t="shared" si="1"/>
        <v/>
      </c>
      <c r="Q88" s="220">
        <f t="shared" si="2"/>
        <v>0</v>
      </c>
      <c r="R88" s="5"/>
    </row>
    <row r="89">
      <c r="A89" s="221" t="s">
        <v>538</v>
      </c>
      <c r="B89" s="217">
        <f t="array" ref="B89">INDEX(postDEL!$A$2:$P799,$O89,2)</f>
        <v>44566</v>
      </c>
      <c r="C89" s="218">
        <f t="array" ref="C89">INDEX(postDEL!$A$2:$P799,$O89,3)</f>
        <v>0.4185416667</v>
      </c>
      <c r="D89" s="219" t="str">
        <f t="array" ref="D89">INDEX(postDEL!$A$2:$AN799,$O89,39)</f>
        <v>SpBEND110967</v>
      </c>
      <c r="E89" s="219" t="str">
        <f t="array" ref="E89">INDEX(postDEL!$A$2:$P799,$O89,4)</f>
        <v/>
      </c>
      <c r="F89" s="219" t="str">
        <f t="array" ref="F89">INDEX(postDEL!$A$2:$P799,$O89,5)</f>
        <v/>
      </c>
      <c r="G89" s="219" t="str">
        <f t="array" ref="G89">INDEX(postDEL!$A$2:$P799,$O89,11)</f>
        <v>Negative</v>
      </c>
      <c r="H89" s="219" t="str">
        <f t="array" ref="H89">INDEX(postDEL!$A$2:$AL799,$O89,37)</f>
        <v>Negative</v>
      </c>
      <c r="I89" s="217">
        <f t="array" ref="I89">INDEX(postDEL!$A$2:$AL799,$O89,12)</f>
        <v>44566</v>
      </c>
      <c r="J89" s="218">
        <f t="array" ref="J89">INDEX(postDEL!$A$2:$AL799,$O89,13)</f>
        <v>0.4565625</v>
      </c>
      <c r="K89" s="219" t="str">
        <f t="array" ref="K89">INDEX(postDEL!$A$2:$AL799,$O89,36)</f>
        <v/>
      </c>
      <c r="L89" s="219" t="str">
        <f t="array" ref="L89">INDEX(postDEL!$A$2:$AL799,$O89,38)</f>
        <v/>
      </c>
      <c r="M89" s="219" t="str">
        <f t="array" ref="M89">INDEX(postDEL!$A$2:$AL799,$O89,15)</f>
        <v/>
      </c>
      <c r="N89" s="110">
        <f>COUNTIF(postDEL!$A$2:$A799,A89)</f>
        <v>1</v>
      </c>
      <c r="O89" s="19">
        <f>MATCH(A89,postDEL!A$2:A799,0)</f>
        <v>88</v>
      </c>
      <c r="P89" s="10" t="str">
        <f t="shared" si="1"/>
        <v/>
      </c>
      <c r="Q89" s="220">
        <f t="shared" si="2"/>
        <v>0</v>
      </c>
      <c r="R89" s="5"/>
    </row>
    <row r="90">
      <c r="A90" s="221" t="s">
        <v>541</v>
      </c>
      <c r="B90" s="217">
        <f t="array" ref="B90">INDEX(postDEL!$A$2:$P799,$O90,2)</f>
        <v>44566</v>
      </c>
      <c r="C90" s="218">
        <f t="array" ref="C90">INDEX(postDEL!$A$2:$P799,$O90,3)</f>
        <v>0.4192361111</v>
      </c>
      <c r="D90" s="219" t="str">
        <f t="array" ref="D90">INDEX(postDEL!$A$2:$AN799,$O90,39)</f>
        <v>SpBEND110967</v>
      </c>
      <c r="E90" s="219" t="str">
        <f t="array" ref="E90">INDEX(postDEL!$A$2:$P799,$O90,4)</f>
        <v/>
      </c>
      <c r="F90" s="219" t="str">
        <f t="array" ref="F90">INDEX(postDEL!$A$2:$P799,$O90,5)</f>
        <v/>
      </c>
      <c r="G90" s="219" t="str">
        <f t="array" ref="G90">INDEX(postDEL!$A$2:$P799,$O90,11)</f>
        <v>Negative</v>
      </c>
      <c r="H90" s="219" t="str">
        <f t="array" ref="H90">INDEX(postDEL!$A$2:$AL799,$O90,37)</f>
        <v>Negative</v>
      </c>
      <c r="I90" s="217">
        <f t="array" ref="I90">INDEX(postDEL!$A$2:$AL799,$O90,12)</f>
        <v>44566</v>
      </c>
      <c r="J90" s="218">
        <f t="array" ref="J90">INDEX(postDEL!$A$2:$AL799,$O90,13)</f>
        <v>0.4565625</v>
      </c>
      <c r="K90" s="219" t="str">
        <f t="array" ref="K90">INDEX(postDEL!$A$2:$AL799,$O90,36)</f>
        <v/>
      </c>
      <c r="L90" s="219" t="str">
        <f t="array" ref="L90">INDEX(postDEL!$A$2:$AL799,$O90,38)</f>
        <v/>
      </c>
      <c r="M90" s="219" t="str">
        <f t="array" ref="M90">INDEX(postDEL!$A$2:$AL799,$O90,15)</f>
        <v/>
      </c>
      <c r="N90" s="110">
        <f>COUNTIF(postDEL!$A$2:$A799,A90)</f>
        <v>1</v>
      </c>
      <c r="O90" s="19">
        <f>MATCH(A90,postDEL!A$2:A799,0)</f>
        <v>89</v>
      </c>
      <c r="P90" s="10" t="str">
        <f t="shared" si="1"/>
        <v/>
      </c>
      <c r="Q90" s="220">
        <f t="shared" si="2"/>
        <v>0</v>
      </c>
      <c r="R90" s="5"/>
    </row>
    <row r="91">
      <c r="A91" s="221" t="s">
        <v>544</v>
      </c>
      <c r="B91" s="217">
        <f t="array" ref="B91">INDEX(postDEL!$A$2:$P799,$O91,2)</f>
        <v>44566</v>
      </c>
      <c r="C91" s="218">
        <f t="array" ref="C91">INDEX(postDEL!$A$2:$P799,$O91,3)</f>
        <v>0.4196180556</v>
      </c>
      <c r="D91" s="219" t="str">
        <f t="array" ref="D91">INDEX(postDEL!$A$2:$AN799,$O91,39)</f>
        <v>SpBEND110967</v>
      </c>
      <c r="E91" s="219" t="str">
        <f t="array" ref="E91">INDEX(postDEL!$A$2:$P799,$O91,4)</f>
        <v/>
      </c>
      <c r="F91" s="219" t="str">
        <f t="array" ref="F91">INDEX(postDEL!$A$2:$P799,$O91,5)</f>
        <v/>
      </c>
      <c r="G91" s="219" t="str">
        <f t="array" ref="G91">INDEX(postDEL!$A$2:$P799,$O91,11)</f>
        <v>Negative</v>
      </c>
      <c r="H91" s="219" t="str">
        <f t="array" ref="H91">INDEX(postDEL!$A$2:$AL799,$O91,37)</f>
        <v>Negative</v>
      </c>
      <c r="I91" s="217">
        <f t="array" ref="I91">INDEX(postDEL!$A$2:$AL799,$O91,12)</f>
        <v>44566</v>
      </c>
      <c r="J91" s="218">
        <f t="array" ref="J91">INDEX(postDEL!$A$2:$AL799,$O91,13)</f>
        <v>0.4565625</v>
      </c>
      <c r="K91" s="219" t="str">
        <f t="array" ref="K91">INDEX(postDEL!$A$2:$AL799,$O91,36)</f>
        <v/>
      </c>
      <c r="L91" s="219" t="str">
        <f t="array" ref="L91">INDEX(postDEL!$A$2:$AL799,$O91,38)</f>
        <v/>
      </c>
      <c r="M91" s="219" t="str">
        <f t="array" ref="M91">INDEX(postDEL!$A$2:$AL799,$O91,15)</f>
        <v/>
      </c>
      <c r="N91" s="110">
        <f>COUNTIF(postDEL!$A$2:$A799,A91)</f>
        <v>1</v>
      </c>
      <c r="O91" s="19">
        <f>MATCH(A91,postDEL!A$2:A799,0)</f>
        <v>90</v>
      </c>
      <c r="P91" s="10" t="str">
        <f t="shared" si="1"/>
        <v/>
      </c>
      <c r="Q91" s="220">
        <f t="shared" si="2"/>
        <v>0</v>
      </c>
      <c r="R91" s="5"/>
    </row>
    <row r="92">
      <c r="A92" s="221" t="s">
        <v>547</v>
      </c>
      <c r="B92" s="217">
        <f t="array" ref="B92">INDEX(postDEL!$A$2:$P799,$O92,2)</f>
        <v>44566</v>
      </c>
      <c r="C92" s="218">
        <f t="array" ref="C92">INDEX(postDEL!$A$2:$P799,$O92,3)</f>
        <v>0.4199421296</v>
      </c>
      <c r="D92" s="219" t="str">
        <f t="array" ref="D92">INDEX(postDEL!$A$2:$AN799,$O92,39)</f>
        <v>SpBEND110967</v>
      </c>
      <c r="E92" s="219" t="str">
        <f t="array" ref="E92">INDEX(postDEL!$A$2:$P799,$O92,4)</f>
        <v/>
      </c>
      <c r="F92" s="219" t="str">
        <f t="array" ref="F92">INDEX(postDEL!$A$2:$P799,$O92,5)</f>
        <v/>
      </c>
      <c r="G92" s="219" t="str">
        <f t="array" ref="G92">INDEX(postDEL!$A$2:$P799,$O92,11)</f>
        <v>Positive</v>
      </c>
      <c r="H92" s="219" t="str">
        <f t="array" ref="H92">INDEX(postDEL!$A$2:$AL799,$O92,37)</f>
        <v>Positive</v>
      </c>
      <c r="I92" s="217">
        <f t="array" ref="I92">INDEX(postDEL!$A$2:$AL799,$O92,12)</f>
        <v>44568</v>
      </c>
      <c r="J92" s="218">
        <f t="array" ref="J92">INDEX(postDEL!$A$2:$AL799,$O92,13)</f>
        <v>0.508275463</v>
      </c>
      <c r="K92" s="219" t="str">
        <f t="array" ref="K92">INDEX(postDEL!$A$2:$AL799,$O92,36)</f>
        <v/>
      </c>
      <c r="L92" s="219" t="str">
        <f t="array" ref="L92">INDEX(postDEL!$A$2:$AL799,$O92,38)</f>
        <v/>
      </c>
      <c r="M92" s="219" t="str">
        <f t="array" ref="M92">INDEX(postDEL!$A$2:$AL799,$O92,15)</f>
        <v/>
      </c>
      <c r="N92" s="110">
        <f>COUNTIF(postDEL!$A$2:$A799,A92)</f>
        <v>1</v>
      </c>
      <c r="O92" s="19">
        <f>MATCH(A92,postDEL!A$2:A799,0)</f>
        <v>91</v>
      </c>
      <c r="P92" s="10" t="str">
        <f t="shared" si="1"/>
        <v/>
      </c>
      <c r="Q92" s="220">
        <f t="shared" si="2"/>
        <v>2</v>
      </c>
      <c r="R92" s="5"/>
    </row>
    <row r="93">
      <c r="A93" s="221" t="s">
        <v>550</v>
      </c>
      <c r="B93" s="217">
        <f t="array" ref="B93">INDEX(postDEL!$A$2:$P799,$O93,2)</f>
        <v>44567</v>
      </c>
      <c r="C93" s="218">
        <f t="array" ref="C93">INDEX(postDEL!$A$2:$P799,$O93,3)</f>
        <v>0.3232986111</v>
      </c>
      <c r="D93" s="219" t="str">
        <f t="array" ref="D93">INDEX(postDEL!$A$2:$AN799,$O93,39)</f>
        <v>SpBEND349435</v>
      </c>
      <c r="E93" s="219" t="str">
        <f t="array" ref="E93">INDEX(postDEL!$A$2:$P799,$O93,4)</f>
        <v/>
      </c>
      <c r="F93" s="219" t="str">
        <f t="array" ref="F93">INDEX(postDEL!$A$2:$P799,$O93,5)</f>
        <v/>
      </c>
      <c r="G93" s="219" t="str">
        <f t="array" ref="G93">INDEX(postDEL!$A$2:$P799,$O93,11)</f>
        <v>Negative</v>
      </c>
      <c r="H93" s="219" t="str">
        <f t="array" ref="H93">INDEX(postDEL!$A$2:$AL799,$O93,37)</f>
        <v>Negative</v>
      </c>
      <c r="I93" s="217">
        <f t="array" ref="I93">INDEX(postDEL!$A$2:$AL799,$O93,12)</f>
        <v>44568</v>
      </c>
      <c r="J93" s="218">
        <f t="array" ref="J93">INDEX(postDEL!$A$2:$AL799,$O93,13)</f>
        <v>0.5079050926</v>
      </c>
      <c r="K93" s="219" t="str">
        <f t="array" ref="K93">INDEX(postDEL!$A$2:$AL799,$O93,36)</f>
        <v/>
      </c>
      <c r="L93" s="219" t="str">
        <f t="array" ref="L93">INDEX(postDEL!$A$2:$AL799,$O93,38)</f>
        <v/>
      </c>
      <c r="M93" s="219" t="str">
        <f t="array" ref="M93">INDEX(postDEL!$A$2:$AL799,$O93,15)</f>
        <v/>
      </c>
      <c r="N93" s="110">
        <f>COUNTIF(postDEL!$A$2:$A799,A93)</f>
        <v>1</v>
      </c>
      <c r="O93" s="19">
        <f>MATCH(A93,postDEL!A$2:A799,0)</f>
        <v>92</v>
      </c>
      <c r="P93" s="10" t="b">
        <f t="shared" si="1"/>
        <v>1</v>
      </c>
      <c r="Q93" s="220">
        <f t="shared" si="2"/>
        <v>1</v>
      </c>
      <c r="R93" s="5"/>
    </row>
    <row r="94">
      <c r="A94" s="221" t="s">
        <v>552</v>
      </c>
      <c r="B94" s="217">
        <f t="array" ref="B94">INDEX(postDEL!$A$2:$P799,$O94,2)</f>
        <v>44567</v>
      </c>
      <c r="C94" s="218">
        <f t="array" ref="C94">INDEX(postDEL!$A$2:$P799,$O94,3)</f>
        <v>0.3252662037</v>
      </c>
      <c r="D94" s="219" t="str">
        <f t="array" ref="D94">INDEX(postDEL!$A$2:$AN799,$O94,39)</f>
        <v>SpBEND768497</v>
      </c>
      <c r="E94" s="219" t="str">
        <f t="array" ref="E94">INDEX(postDEL!$A$2:$P799,$O94,4)</f>
        <v/>
      </c>
      <c r="F94" s="219" t="str">
        <f t="array" ref="F94">INDEX(postDEL!$A$2:$P799,$O94,5)</f>
        <v/>
      </c>
      <c r="G94" s="219" t="str">
        <f t="array" ref="G94">INDEX(postDEL!$A$2:$P799,$O94,11)</f>
        <v>Negative</v>
      </c>
      <c r="H94" s="219" t="str">
        <f t="array" ref="H94">INDEX(postDEL!$A$2:$AL799,$O94,37)</f>
        <v>Negative</v>
      </c>
      <c r="I94" s="217">
        <f t="array" ref="I94">INDEX(postDEL!$A$2:$AL799,$O94,12)</f>
        <v>44568</v>
      </c>
      <c r="J94" s="218">
        <f t="array" ref="J94">INDEX(postDEL!$A$2:$AL799,$O94,13)</f>
        <v>0.5079050926</v>
      </c>
      <c r="K94" s="219" t="str">
        <f t="array" ref="K94">INDEX(postDEL!$A$2:$AL799,$O94,36)</f>
        <v/>
      </c>
      <c r="L94" s="219" t="str">
        <f t="array" ref="L94">INDEX(postDEL!$A$2:$AL799,$O94,38)</f>
        <v/>
      </c>
      <c r="M94" s="219" t="str">
        <f t="array" ref="M94">INDEX(postDEL!$A$2:$AL799,$O94,15)</f>
        <v/>
      </c>
      <c r="N94" s="110">
        <f>COUNTIF(postDEL!$A$2:$A799,A94)</f>
        <v>1</v>
      </c>
      <c r="O94" s="19">
        <f>MATCH(A94,postDEL!A$2:A799,0)</f>
        <v>93</v>
      </c>
      <c r="P94" s="10" t="str">
        <f t="shared" si="1"/>
        <v/>
      </c>
      <c r="Q94" s="220">
        <f t="shared" si="2"/>
        <v>1</v>
      </c>
      <c r="R94" s="5"/>
    </row>
    <row r="95">
      <c r="A95" s="221" t="s">
        <v>554</v>
      </c>
      <c r="B95" s="217">
        <f t="array" ref="B95">INDEX(postDEL!$A$2:$P799,$O95,2)</f>
        <v>44567</v>
      </c>
      <c r="C95" s="218">
        <f t="array" ref="C95">INDEX(postDEL!$A$2:$P799,$O95,3)</f>
        <v>0.9539351852</v>
      </c>
      <c r="D95" s="219" t="str">
        <f t="array" ref="D95">INDEX(postDEL!$A$2:$AN799,$O95,39)</f>
        <v>SpBEND214692</v>
      </c>
      <c r="E95" s="219" t="str">
        <f t="array" ref="E95">INDEX(postDEL!$A$2:$P799,$O95,4)</f>
        <v/>
      </c>
      <c r="F95" s="219" t="str">
        <f t="array" ref="F95">INDEX(postDEL!$A$2:$P799,$O95,5)</f>
        <v/>
      </c>
      <c r="G95" s="219" t="str">
        <f t="array" ref="G95">INDEX(postDEL!$A$2:$P799,$O95,11)</f>
        <v>Negative</v>
      </c>
      <c r="H95" s="219" t="str">
        <f t="array" ref="H95">INDEX(postDEL!$A$2:$AL799,$O95,37)</f>
        <v>Negative</v>
      </c>
      <c r="I95" s="217">
        <f t="array" ref="I95">INDEX(postDEL!$A$2:$AL799,$O95,12)</f>
        <v>44568</v>
      </c>
      <c r="J95" s="218">
        <f t="array" ref="J95">INDEX(postDEL!$A$2:$AL799,$O95,13)</f>
        <v>0.5079050926</v>
      </c>
      <c r="K95" s="219" t="str">
        <f t="array" ref="K95">INDEX(postDEL!$A$2:$AL799,$O95,36)</f>
        <v/>
      </c>
      <c r="L95" s="219" t="str">
        <f t="array" ref="L95">INDEX(postDEL!$A$2:$AL799,$O95,38)</f>
        <v/>
      </c>
      <c r="M95" s="219" t="str">
        <f t="array" ref="M95">INDEX(postDEL!$A$2:$AL799,$O95,15)</f>
        <v/>
      </c>
      <c r="N95" s="110">
        <f>COUNTIF(postDEL!$A$2:$A799,A95)</f>
        <v>1</v>
      </c>
      <c r="O95" s="19">
        <f>MATCH(A95,postDEL!A$2:A799,0)</f>
        <v>94</v>
      </c>
      <c r="P95" s="10" t="str">
        <f t="shared" si="1"/>
        <v/>
      </c>
      <c r="Q95" s="220">
        <f t="shared" si="2"/>
        <v>1</v>
      </c>
      <c r="R95" s="5"/>
    </row>
    <row r="96">
      <c r="A96" s="221" t="s">
        <v>556</v>
      </c>
      <c r="B96" s="217">
        <f t="array" ref="B96">INDEX(postDEL!$A$2:$P799,$O96,2)</f>
        <v>44567</v>
      </c>
      <c r="C96" s="218">
        <f t="array" ref="C96">INDEX(postDEL!$A$2:$P799,$O96,3)</f>
        <v>0.9922800926</v>
      </c>
      <c r="D96" s="219" t="str">
        <f t="array" ref="D96">INDEX(postDEL!$A$2:$AN799,$O96,39)</f>
        <v>SpBEND492052</v>
      </c>
      <c r="E96" s="219" t="str">
        <f t="array" ref="E96">INDEX(postDEL!$A$2:$P799,$O96,4)</f>
        <v/>
      </c>
      <c r="F96" s="219" t="str">
        <f t="array" ref="F96">INDEX(postDEL!$A$2:$P799,$O96,5)</f>
        <v/>
      </c>
      <c r="G96" s="219" t="str">
        <f t="array" ref="G96">INDEX(postDEL!$A$2:$P799,$O96,11)</f>
        <v>Negative</v>
      </c>
      <c r="H96" s="219" t="str">
        <f t="array" ref="H96">INDEX(postDEL!$A$2:$AL799,$O96,37)</f>
        <v>Negative</v>
      </c>
      <c r="I96" s="217">
        <f t="array" ref="I96">INDEX(postDEL!$A$2:$AL799,$O96,12)</f>
        <v>44568</v>
      </c>
      <c r="J96" s="218">
        <f t="array" ref="J96">INDEX(postDEL!$A$2:$AL799,$O96,13)</f>
        <v>0.5079050926</v>
      </c>
      <c r="K96" s="219" t="str">
        <f t="array" ref="K96">INDEX(postDEL!$A$2:$AL799,$O96,36)</f>
        <v/>
      </c>
      <c r="L96" s="219" t="str">
        <f t="array" ref="L96">INDEX(postDEL!$A$2:$AL799,$O96,38)</f>
        <v/>
      </c>
      <c r="M96" s="219" t="str">
        <f t="array" ref="M96">INDEX(postDEL!$A$2:$AL799,$O96,15)</f>
        <v/>
      </c>
      <c r="N96" s="110">
        <f>COUNTIF(postDEL!$A$2:$A799,A96)</f>
        <v>1</v>
      </c>
      <c r="O96" s="19">
        <f>MATCH(A96,postDEL!A$2:A799,0)</f>
        <v>95</v>
      </c>
      <c r="P96" s="10" t="str">
        <f t="shared" si="1"/>
        <v/>
      </c>
      <c r="Q96" s="220">
        <f t="shared" si="2"/>
        <v>1</v>
      </c>
      <c r="R96" s="5"/>
    </row>
    <row r="97">
      <c r="A97" s="221" t="s">
        <v>558</v>
      </c>
      <c r="B97" s="217">
        <f t="array" ref="B97">INDEX(postDEL!$A$2:$P799,$O97,2)</f>
        <v>44568</v>
      </c>
      <c r="C97" s="218">
        <f t="array" ref="C97">INDEX(postDEL!$A$2:$P799,$O97,3)</f>
        <v>0.02211805556</v>
      </c>
      <c r="D97" s="219" t="str">
        <f t="array" ref="D97">INDEX(postDEL!$A$2:$AN799,$O97,39)</f>
        <v>SpBEND541174</v>
      </c>
      <c r="E97" s="219" t="str">
        <f t="array" ref="E97">INDEX(postDEL!$A$2:$P799,$O97,4)</f>
        <v/>
      </c>
      <c r="F97" s="219" t="str">
        <f t="array" ref="F97">INDEX(postDEL!$A$2:$P799,$O97,5)</f>
        <v/>
      </c>
      <c r="G97" s="219" t="str">
        <f t="array" ref="G97">INDEX(postDEL!$A$2:$P799,$O97,11)</f>
        <v>Negative</v>
      </c>
      <c r="H97" s="219" t="str">
        <f t="array" ref="H97">INDEX(postDEL!$A$2:$AL799,$O97,37)</f>
        <v>Negative</v>
      </c>
      <c r="I97" s="217">
        <f t="array" ref="I97">INDEX(postDEL!$A$2:$AL799,$O97,12)</f>
        <v>44568</v>
      </c>
      <c r="J97" s="218">
        <f t="array" ref="J97">INDEX(postDEL!$A$2:$AL799,$O97,13)</f>
        <v>0.5079050926</v>
      </c>
      <c r="K97" s="219" t="str">
        <f t="array" ref="K97">INDEX(postDEL!$A$2:$AL799,$O97,36)</f>
        <v/>
      </c>
      <c r="L97" s="219" t="str">
        <f t="array" ref="L97">INDEX(postDEL!$A$2:$AL799,$O97,38)</f>
        <v/>
      </c>
      <c r="M97" s="219" t="str">
        <f t="array" ref="M97">INDEX(postDEL!$A$2:$AL799,$O97,15)</f>
        <v/>
      </c>
      <c r="N97" s="110">
        <f>COUNTIF(postDEL!$A$2:$A799,A97)</f>
        <v>1</v>
      </c>
      <c r="O97" s="19">
        <f>MATCH(A97,postDEL!A$2:A799,0)</f>
        <v>96</v>
      </c>
      <c r="P97" s="10" t="b">
        <f t="shared" si="1"/>
        <v>1</v>
      </c>
      <c r="Q97" s="220">
        <f t="shared" si="2"/>
        <v>0</v>
      </c>
      <c r="R97" s="5"/>
    </row>
    <row r="98">
      <c r="A98" s="221" t="s">
        <v>560</v>
      </c>
      <c r="B98" s="217">
        <f t="array" ref="B98">INDEX(postDEL!$A$2:$P799,$O98,2)</f>
        <v>44568</v>
      </c>
      <c r="C98" s="218">
        <f t="array" ref="C98">INDEX(postDEL!$A$2:$P799,$O98,3)</f>
        <v>0.2975578704</v>
      </c>
      <c r="D98" s="219" t="str">
        <f t="array" ref="D98">INDEX(postDEL!$A$2:$AN799,$O98,39)</f>
        <v>SpBEND269695</v>
      </c>
      <c r="E98" s="219" t="str">
        <f t="array" ref="E98">INDEX(postDEL!$A$2:$P799,$O98,4)</f>
        <v/>
      </c>
      <c r="F98" s="219" t="str">
        <f t="array" ref="F98">INDEX(postDEL!$A$2:$P799,$O98,5)</f>
        <v/>
      </c>
      <c r="G98" s="219" t="str">
        <f t="array" ref="G98">INDEX(postDEL!$A$2:$P799,$O98,11)</f>
        <v>Negative</v>
      </c>
      <c r="H98" s="219" t="str">
        <f t="array" ref="H98">INDEX(postDEL!$A$2:$AL799,$O98,37)</f>
        <v>Negative</v>
      </c>
      <c r="I98" s="217">
        <f t="array" ref="I98">INDEX(postDEL!$A$2:$AL799,$O98,12)</f>
        <v>44568</v>
      </c>
      <c r="J98" s="218">
        <f t="array" ref="J98">INDEX(postDEL!$A$2:$AL799,$O98,13)</f>
        <v>0.5079050926</v>
      </c>
      <c r="K98" s="219" t="str">
        <f t="array" ref="K98">INDEX(postDEL!$A$2:$AL799,$O98,36)</f>
        <v/>
      </c>
      <c r="L98" s="219" t="str">
        <f t="array" ref="L98">INDEX(postDEL!$A$2:$AL799,$O98,38)</f>
        <v/>
      </c>
      <c r="M98" s="219" t="str">
        <f t="array" ref="M98">INDEX(postDEL!$A$2:$AL799,$O98,15)</f>
        <v/>
      </c>
      <c r="N98" s="110">
        <f>COUNTIF(postDEL!$A$2:$A799,A98)</f>
        <v>1</v>
      </c>
      <c r="O98" s="19">
        <f>MATCH(A98,postDEL!A$2:A799,0)</f>
        <v>97</v>
      </c>
      <c r="P98" s="10" t="str">
        <f t="shared" si="1"/>
        <v/>
      </c>
      <c r="Q98" s="220">
        <f t="shared" si="2"/>
        <v>0</v>
      </c>
      <c r="R98" s="5"/>
    </row>
    <row r="99">
      <c r="A99" s="221" t="s">
        <v>562</v>
      </c>
      <c r="B99" s="217">
        <f t="array" ref="B99">INDEX(postDEL!$A$2:$P799,$O99,2)</f>
        <v>44568</v>
      </c>
      <c r="C99" s="218">
        <f t="array" ref="C99">INDEX(postDEL!$A$2:$P799,$O99,3)</f>
        <v>0.2981828704</v>
      </c>
      <c r="D99" s="219" t="str">
        <f t="array" ref="D99">INDEX(postDEL!$A$2:$AN799,$O99,39)</f>
        <v>SpBEND269695</v>
      </c>
      <c r="E99" s="219" t="str">
        <f t="array" ref="E99">INDEX(postDEL!$A$2:$P799,$O99,4)</f>
        <v/>
      </c>
      <c r="F99" s="219" t="str">
        <f t="array" ref="F99">INDEX(postDEL!$A$2:$P799,$O99,5)</f>
        <v/>
      </c>
      <c r="G99" s="219" t="str">
        <f t="array" ref="G99">INDEX(postDEL!$A$2:$P799,$O99,11)</f>
        <v>Negative</v>
      </c>
      <c r="H99" s="219" t="str">
        <f t="array" ref="H99">INDEX(postDEL!$A$2:$AL799,$O99,37)</f>
        <v>Negative</v>
      </c>
      <c r="I99" s="217">
        <f t="array" ref="I99">INDEX(postDEL!$A$2:$AL799,$O99,12)</f>
        <v>44568</v>
      </c>
      <c r="J99" s="218">
        <f t="array" ref="J99">INDEX(postDEL!$A$2:$AL799,$O99,13)</f>
        <v>0.5079050926</v>
      </c>
      <c r="K99" s="219" t="str">
        <f t="array" ref="K99">INDEX(postDEL!$A$2:$AL799,$O99,36)</f>
        <v/>
      </c>
      <c r="L99" s="219" t="str">
        <f t="array" ref="L99">INDEX(postDEL!$A$2:$AL799,$O99,38)</f>
        <v/>
      </c>
      <c r="M99" s="219" t="str">
        <f t="array" ref="M99">INDEX(postDEL!$A$2:$AL799,$O99,15)</f>
        <v/>
      </c>
      <c r="N99" s="110">
        <f>COUNTIF(postDEL!$A$2:$A799,A99)</f>
        <v>1</v>
      </c>
      <c r="O99" s="19">
        <f>MATCH(A99,postDEL!A$2:A799,0)</f>
        <v>98</v>
      </c>
      <c r="P99" s="10" t="str">
        <f t="shared" si="1"/>
        <v/>
      </c>
      <c r="Q99" s="220">
        <f t="shared" si="2"/>
        <v>0</v>
      </c>
      <c r="R99" s="5"/>
    </row>
    <row r="100">
      <c r="A100" s="221" t="s">
        <v>565</v>
      </c>
      <c r="B100" s="217">
        <f t="array" ref="B100">INDEX(postDEL!$A$2:$P799,$O100,2)</f>
        <v>44568</v>
      </c>
      <c r="C100" s="218">
        <f t="array" ref="C100">INDEX(postDEL!$A$2:$P799,$O100,3)</f>
        <v>0.2986342593</v>
      </c>
      <c r="D100" s="219" t="str">
        <f t="array" ref="D100">INDEX(postDEL!$A$2:$AN799,$O100,39)</f>
        <v>SpBEND269695</v>
      </c>
      <c r="E100" s="219" t="str">
        <f t="array" ref="E100">INDEX(postDEL!$A$2:$P799,$O100,4)</f>
        <v/>
      </c>
      <c r="F100" s="219" t="str">
        <f t="array" ref="F100">INDEX(postDEL!$A$2:$P799,$O100,5)</f>
        <v/>
      </c>
      <c r="G100" s="219" t="str">
        <f t="array" ref="G100">INDEX(postDEL!$A$2:$P799,$O100,11)</f>
        <v>Negative</v>
      </c>
      <c r="H100" s="219" t="str">
        <f t="array" ref="H100">INDEX(postDEL!$A$2:$AL799,$O100,37)</f>
        <v>Negative</v>
      </c>
      <c r="I100" s="217">
        <f t="array" ref="I100">INDEX(postDEL!$A$2:$AL799,$O100,12)</f>
        <v>44568</v>
      </c>
      <c r="J100" s="218">
        <f t="array" ref="J100">INDEX(postDEL!$A$2:$AL799,$O100,13)</f>
        <v>0.5079050926</v>
      </c>
      <c r="K100" s="219" t="str">
        <f t="array" ref="K100">INDEX(postDEL!$A$2:$AL799,$O100,36)</f>
        <v/>
      </c>
      <c r="L100" s="219" t="str">
        <f t="array" ref="L100">INDEX(postDEL!$A$2:$AL799,$O100,38)</f>
        <v/>
      </c>
      <c r="M100" s="219" t="str">
        <f t="array" ref="M100">INDEX(postDEL!$A$2:$AL799,$O100,15)</f>
        <v/>
      </c>
      <c r="N100" s="110">
        <f>COUNTIF(postDEL!$A$2:$A799,A100)</f>
        <v>1</v>
      </c>
      <c r="O100" s="19">
        <f>MATCH(A100,postDEL!A$2:A799,0)</f>
        <v>99</v>
      </c>
      <c r="P100" s="10" t="str">
        <f t="shared" si="1"/>
        <v/>
      </c>
      <c r="Q100" s="220">
        <f t="shared" si="2"/>
        <v>0</v>
      </c>
      <c r="R100" s="5"/>
    </row>
    <row r="101">
      <c r="A101" s="221" t="s">
        <v>568</v>
      </c>
      <c r="B101" s="217">
        <f t="array" ref="B101">INDEX(postDEL!$A$2:$P799,$O101,2)</f>
        <v>44568</v>
      </c>
      <c r="C101" s="218">
        <f t="array" ref="C101">INDEX(postDEL!$A$2:$P799,$O101,3)</f>
        <v>0.3139351852</v>
      </c>
      <c r="D101" s="219" t="str">
        <f t="array" ref="D101">INDEX(postDEL!$A$2:$AN799,$O101,39)</f>
        <v>SpBEND953422</v>
      </c>
      <c r="E101" s="219" t="str">
        <f t="array" ref="E101">INDEX(postDEL!$A$2:$P799,$O101,4)</f>
        <v/>
      </c>
      <c r="F101" s="219" t="str">
        <f t="array" ref="F101">INDEX(postDEL!$A$2:$P799,$O101,5)</f>
        <v/>
      </c>
      <c r="G101" s="219" t="str">
        <f t="array" ref="G101">INDEX(postDEL!$A$2:$P799,$O101,11)</f>
        <v>Negative</v>
      </c>
      <c r="H101" s="219" t="str">
        <f t="array" ref="H101">INDEX(postDEL!$A$2:$AL799,$O101,37)</f>
        <v>Negative</v>
      </c>
      <c r="I101" s="217">
        <f t="array" ref="I101">INDEX(postDEL!$A$2:$AL799,$O101,12)</f>
        <v>44568</v>
      </c>
      <c r="J101" s="218">
        <f t="array" ref="J101">INDEX(postDEL!$A$2:$AL799,$O101,13)</f>
        <v>0.5079050926</v>
      </c>
      <c r="K101" s="219" t="str">
        <f t="array" ref="K101">INDEX(postDEL!$A$2:$AL799,$O101,36)</f>
        <v/>
      </c>
      <c r="L101" s="219" t="str">
        <f t="array" ref="L101">INDEX(postDEL!$A$2:$AL799,$O101,38)</f>
        <v/>
      </c>
      <c r="M101" s="219" t="str">
        <f t="array" ref="M101">INDEX(postDEL!$A$2:$AL799,$O101,15)</f>
        <v/>
      </c>
      <c r="N101" s="110">
        <f>COUNTIF(postDEL!$A$2:$A799,A101)</f>
        <v>1</v>
      </c>
      <c r="O101" s="19">
        <f>MATCH(A101,postDEL!A$2:A799,0)</f>
        <v>100</v>
      </c>
      <c r="P101" s="10" t="str">
        <f t="shared" si="1"/>
        <v/>
      </c>
      <c r="Q101" s="220">
        <f t="shared" si="2"/>
        <v>0</v>
      </c>
      <c r="R101" s="5"/>
    </row>
    <row r="102">
      <c r="A102" s="221" t="s">
        <v>570</v>
      </c>
      <c r="B102" s="217">
        <f t="array" ref="B102">INDEX(postDEL!$A$2:$P799,$O102,2)</f>
        <v>44568</v>
      </c>
      <c r="C102" s="218">
        <f t="array" ref="C102">INDEX(postDEL!$A$2:$P799,$O102,3)</f>
        <v>0.3292824074</v>
      </c>
      <c r="D102" s="219" t="str">
        <f t="array" ref="D102">INDEX(postDEL!$A$2:$AN799,$O102,39)</f>
        <v>SpBEND825522</v>
      </c>
      <c r="E102" s="219" t="str">
        <f t="array" ref="E102">INDEX(postDEL!$A$2:$P799,$O102,4)</f>
        <v/>
      </c>
      <c r="F102" s="219" t="str">
        <f t="array" ref="F102">INDEX(postDEL!$A$2:$P799,$O102,5)</f>
        <v/>
      </c>
      <c r="G102" s="219" t="str">
        <f t="array" ref="G102">INDEX(postDEL!$A$2:$P799,$O102,11)</f>
        <v>Negative</v>
      </c>
      <c r="H102" s="219" t="str">
        <f t="array" ref="H102">INDEX(postDEL!$A$2:$AL799,$O102,37)</f>
        <v>Negative</v>
      </c>
      <c r="I102" s="217">
        <f t="array" ref="I102">INDEX(postDEL!$A$2:$AL799,$O102,12)</f>
        <v>44568</v>
      </c>
      <c r="J102" s="218">
        <f t="array" ref="J102">INDEX(postDEL!$A$2:$AL799,$O102,13)</f>
        <v>0.5079050926</v>
      </c>
      <c r="K102" s="219" t="str">
        <f t="array" ref="K102">INDEX(postDEL!$A$2:$AL799,$O102,36)</f>
        <v/>
      </c>
      <c r="L102" s="219" t="str">
        <f t="array" ref="L102">INDEX(postDEL!$A$2:$AL799,$O102,38)</f>
        <v/>
      </c>
      <c r="M102" s="219" t="str">
        <f t="array" ref="M102">INDEX(postDEL!$A$2:$AL799,$O102,15)</f>
        <v/>
      </c>
      <c r="N102" s="110">
        <f>COUNTIF(postDEL!$A$2:$A799,A102)</f>
        <v>1</v>
      </c>
      <c r="O102" s="19">
        <f>MATCH(A102,postDEL!A$2:A799,0)</f>
        <v>101</v>
      </c>
      <c r="P102" s="10" t="str">
        <f t="shared" si="1"/>
        <v/>
      </c>
      <c r="Q102" s="220">
        <f t="shared" si="2"/>
        <v>0</v>
      </c>
      <c r="R102" s="5"/>
    </row>
    <row r="103">
      <c r="A103" s="221" t="s">
        <v>572</v>
      </c>
      <c r="B103" s="217">
        <f t="array" ref="B103">INDEX(postDEL!$A$2:$P799,$O103,2)</f>
        <v>44568</v>
      </c>
      <c r="C103" s="218">
        <f t="array" ref="C103">INDEX(postDEL!$A$2:$P799,$O103,3)</f>
        <v>0.3309490741</v>
      </c>
      <c r="D103" s="219" t="str">
        <f t="array" ref="D103">INDEX(postDEL!$A$2:$AN799,$O103,39)</f>
        <v>SpBEND996809</v>
      </c>
      <c r="E103" s="219" t="str">
        <f t="array" ref="E103">INDEX(postDEL!$A$2:$P799,$O103,4)</f>
        <v/>
      </c>
      <c r="F103" s="219" t="str">
        <f t="array" ref="F103">INDEX(postDEL!$A$2:$P799,$O103,5)</f>
        <v/>
      </c>
      <c r="G103" s="219" t="str">
        <f t="array" ref="G103">INDEX(postDEL!$A$2:$P799,$O103,11)</f>
        <v>Negative</v>
      </c>
      <c r="H103" s="219" t="str">
        <f t="array" ref="H103">INDEX(postDEL!$A$2:$AL799,$O103,37)</f>
        <v>Negative</v>
      </c>
      <c r="I103" s="217">
        <f t="array" ref="I103">INDEX(postDEL!$A$2:$AL799,$O103,12)</f>
        <v>44568</v>
      </c>
      <c r="J103" s="218">
        <f t="array" ref="J103">INDEX(postDEL!$A$2:$AL799,$O103,13)</f>
        <v>0.5079050926</v>
      </c>
      <c r="K103" s="219" t="str">
        <f t="array" ref="K103">INDEX(postDEL!$A$2:$AL799,$O103,36)</f>
        <v/>
      </c>
      <c r="L103" s="219" t="str">
        <f t="array" ref="L103">INDEX(postDEL!$A$2:$AL799,$O103,38)</f>
        <v/>
      </c>
      <c r="M103" s="219" t="str">
        <f t="array" ref="M103">INDEX(postDEL!$A$2:$AL799,$O103,15)</f>
        <v/>
      </c>
      <c r="N103" s="110">
        <f>COUNTIF(postDEL!$A$2:$A799,A103)</f>
        <v>1</v>
      </c>
      <c r="O103" s="19">
        <f>MATCH(A103,postDEL!A$2:A799,0)</f>
        <v>102</v>
      </c>
      <c r="P103" s="10" t="str">
        <f t="shared" si="1"/>
        <v/>
      </c>
      <c r="Q103" s="220">
        <f t="shared" si="2"/>
        <v>0</v>
      </c>
      <c r="R103" s="5"/>
    </row>
    <row r="104">
      <c r="A104" s="221" t="s">
        <v>576</v>
      </c>
      <c r="B104" s="217">
        <f t="array" ref="B104">INDEX(postDEL!$A$2:$P799,$O104,2)</f>
        <v>44568</v>
      </c>
      <c r="C104" s="218">
        <f t="array" ref="C104">INDEX(postDEL!$A$2:$P799,$O104,3)</f>
        <v>0.3361689815</v>
      </c>
      <c r="D104" s="219" t="str">
        <f t="array" ref="D104">INDEX(postDEL!$A$2:$AN799,$O104,39)</f>
        <v>SpBEND387578</v>
      </c>
      <c r="E104" s="219" t="str">
        <f t="array" ref="E104">INDEX(postDEL!$A$2:$P799,$O104,4)</f>
        <v/>
      </c>
      <c r="F104" s="219" t="str">
        <f t="array" ref="F104">INDEX(postDEL!$A$2:$P799,$O104,5)</f>
        <v/>
      </c>
      <c r="G104" s="219" t="str">
        <f t="array" ref="G104">INDEX(postDEL!$A$2:$P799,$O104,11)</f>
        <v>Negative</v>
      </c>
      <c r="H104" s="219" t="str">
        <f t="array" ref="H104">INDEX(postDEL!$A$2:$AL799,$O104,37)</f>
        <v>Negative</v>
      </c>
      <c r="I104" s="217">
        <f t="array" ref="I104">INDEX(postDEL!$A$2:$AL799,$O104,12)</f>
        <v>44568</v>
      </c>
      <c r="J104" s="218">
        <f t="array" ref="J104">INDEX(postDEL!$A$2:$AL799,$O104,13)</f>
        <v>0.5079050926</v>
      </c>
      <c r="K104" s="219" t="str">
        <f t="array" ref="K104">INDEX(postDEL!$A$2:$AL799,$O104,36)</f>
        <v/>
      </c>
      <c r="L104" s="219" t="str">
        <f t="array" ref="L104">INDEX(postDEL!$A$2:$AL799,$O104,38)</f>
        <v/>
      </c>
      <c r="M104" s="219" t="str">
        <f t="array" ref="M104">INDEX(postDEL!$A$2:$AL799,$O104,15)</f>
        <v/>
      </c>
      <c r="N104" s="110">
        <f>COUNTIF(postDEL!$A$2:$A799,A104)</f>
        <v>1</v>
      </c>
      <c r="O104" s="19">
        <f>MATCH(A104,postDEL!A$2:A799,0)</f>
        <v>103</v>
      </c>
      <c r="P104" s="10" t="str">
        <f t="shared" si="1"/>
        <v/>
      </c>
      <c r="Q104" s="220">
        <f t="shared" si="2"/>
        <v>0</v>
      </c>
      <c r="R104" s="5"/>
    </row>
    <row r="105">
      <c r="A105" s="221" t="s">
        <v>580</v>
      </c>
      <c r="B105" s="217">
        <f t="array" ref="B105">INDEX(postDEL!$A$2:$P799,$O105,2)</f>
        <v>44568</v>
      </c>
      <c r="C105" s="218">
        <f t="array" ref="C105">INDEX(postDEL!$A$2:$P799,$O105,3)</f>
        <v>0.3409722222</v>
      </c>
      <c r="D105" s="219" t="str">
        <f t="array" ref="D105">INDEX(postDEL!$A$2:$AN799,$O105,39)</f>
        <v>SpBEND387532</v>
      </c>
      <c r="E105" s="219" t="str">
        <f t="array" ref="E105">INDEX(postDEL!$A$2:$P799,$O105,4)</f>
        <v/>
      </c>
      <c r="F105" s="219" t="str">
        <f t="array" ref="F105">INDEX(postDEL!$A$2:$P799,$O105,5)</f>
        <v/>
      </c>
      <c r="G105" s="219" t="str">
        <f t="array" ref="G105">INDEX(postDEL!$A$2:$P799,$O105,11)</f>
        <v>Positive</v>
      </c>
      <c r="H105" s="219" t="str">
        <f t="array" ref="H105">INDEX(postDEL!$A$2:$AL799,$O105,37)</f>
        <v>Positive</v>
      </c>
      <c r="I105" s="217">
        <f t="array" ref="I105">INDEX(postDEL!$A$2:$AL799,$O105,12)</f>
        <v>44568</v>
      </c>
      <c r="J105" s="218">
        <f t="array" ref="J105">INDEX(postDEL!$A$2:$AL799,$O105,13)</f>
        <v>0.5079050926</v>
      </c>
      <c r="K105" s="219" t="str">
        <f t="array" ref="K105">INDEX(postDEL!$A$2:$AL799,$O105,36)</f>
        <v/>
      </c>
      <c r="L105" s="219" t="str">
        <f t="array" ref="L105">INDEX(postDEL!$A$2:$AL799,$O105,38)</f>
        <v/>
      </c>
      <c r="M105" s="219" t="str">
        <f t="array" ref="M105">INDEX(postDEL!$A$2:$AL799,$O105,15)</f>
        <v/>
      </c>
      <c r="N105" s="110">
        <f>COUNTIF(postDEL!$A$2:$A799,A105)</f>
        <v>1</v>
      </c>
      <c r="O105" s="19">
        <f>MATCH(A105,postDEL!A$2:A799,0)</f>
        <v>104</v>
      </c>
      <c r="P105" s="10" t="str">
        <f t="shared" si="1"/>
        <v/>
      </c>
      <c r="Q105" s="220">
        <f t="shared" si="2"/>
        <v>0</v>
      </c>
      <c r="R105" s="5"/>
    </row>
    <row r="106">
      <c r="A106" s="221" t="s">
        <v>582</v>
      </c>
      <c r="B106" s="217">
        <f t="array" ref="B106">INDEX(postDEL!$A$2:$P799,$O106,2)</f>
        <v>44568</v>
      </c>
      <c r="C106" s="218">
        <f t="array" ref="C106">INDEX(postDEL!$A$2:$P799,$O106,3)</f>
        <v>0.3420601852</v>
      </c>
      <c r="D106" s="219" t="str">
        <f t="array" ref="D106">INDEX(postDEL!$A$2:$AN799,$O106,39)</f>
        <v>SpBEND845509</v>
      </c>
      <c r="E106" s="219" t="str">
        <f t="array" ref="E106">INDEX(postDEL!$A$2:$P799,$O106,4)</f>
        <v/>
      </c>
      <c r="F106" s="219" t="str">
        <f t="array" ref="F106">INDEX(postDEL!$A$2:$P799,$O106,5)</f>
        <v/>
      </c>
      <c r="G106" s="219" t="str">
        <f t="array" ref="G106">INDEX(postDEL!$A$2:$P799,$O106,11)</f>
        <v>Inconclusive</v>
      </c>
      <c r="H106" s="219" t="str">
        <f t="array" ref="H106">INDEX(postDEL!$A$2:$AL799,$O106,37)</f>
        <v>Inconclusive</v>
      </c>
      <c r="I106" s="217">
        <f t="array" ref="I106">INDEX(postDEL!$A$2:$AL799,$O106,12)</f>
        <v>44568</v>
      </c>
      <c r="J106" s="218">
        <f t="array" ref="J106">INDEX(postDEL!$A$2:$AL799,$O106,13)</f>
        <v>0.5079050926</v>
      </c>
      <c r="K106" s="219" t="str">
        <f t="array" ref="K106">INDEX(postDEL!$A$2:$AL799,$O106,36)</f>
        <v/>
      </c>
      <c r="L106" s="219" t="str">
        <f t="array" ref="L106">INDEX(postDEL!$A$2:$AL799,$O106,38)</f>
        <v/>
      </c>
      <c r="M106" s="219" t="str">
        <f t="array" ref="M106">INDEX(postDEL!$A$2:$AL799,$O106,15)</f>
        <v/>
      </c>
      <c r="N106" s="110">
        <f>COUNTIF(postDEL!$A$2:$A799,A106)</f>
        <v>1</v>
      </c>
      <c r="O106" s="19">
        <f>MATCH(A106,postDEL!A$2:A799,0)</f>
        <v>105</v>
      </c>
      <c r="P106" s="10" t="str">
        <f t="shared" si="1"/>
        <v/>
      </c>
      <c r="Q106" s="220">
        <f t="shared" si="2"/>
        <v>0</v>
      </c>
      <c r="R106" s="5"/>
    </row>
    <row r="107">
      <c r="A107" s="221" t="s">
        <v>586</v>
      </c>
      <c r="B107" s="217">
        <f t="array" ref="B107">INDEX(postDEL!$A$2:$P799,$O107,2)</f>
        <v>44568</v>
      </c>
      <c r="C107" s="218">
        <f t="array" ref="C107">INDEX(postDEL!$A$2:$P799,$O107,3)</f>
        <v>0.3421064815</v>
      </c>
      <c r="D107" s="219" t="str">
        <f t="array" ref="D107">INDEX(postDEL!$A$2:$AN799,$O107,39)</f>
        <v>SpBEND551372</v>
      </c>
      <c r="E107" s="219" t="str">
        <f t="array" ref="E107">INDEX(postDEL!$A$2:$P799,$O107,4)</f>
        <v/>
      </c>
      <c r="F107" s="219" t="str">
        <f t="array" ref="F107">INDEX(postDEL!$A$2:$P799,$O107,5)</f>
        <v/>
      </c>
      <c r="G107" s="219" t="str">
        <f t="array" ref="G107">INDEX(postDEL!$A$2:$P799,$O107,11)</f>
        <v>Negative</v>
      </c>
      <c r="H107" s="219" t="str">
        <f t="array" ref="H107">INDEX(postDEL!$A$2:$AL799,$O107,37)</f>
        <v>Negative</v>
      </c>
      <c r="I107" s="217">
        <f t="array" ref="I107">INDEX(postDEL!$A$2:$AL799,$O107,12)</f>
        <v>44568</v>
      </c>
      <c r="J107" s="218">
        <f t="array" ref="J107">INDEX(postDEL!$A$2:$AL799,$O107,13)</f>
        <v>0.5079050926</v>
      </c>
      <c r="K107" s="219" t="str">
        <f t="array" ref="K107">INDEX(postDEL!$A$2:$AL799,$O107,36)</f>
        <v/>
      </c>
      <c r="L107" s="219" t="str">
        <f t="array" ref="L107">INDEX(postDEL!$A$2:$AL799,$O107,38)</f>
        <v/>
      </c>
      <c r="M107" s="219" t="str">
        <f t="array" ref="M107">INDEX(postDEL!$A$2:$AL799,$O107,15)</f>
        <v/>
      </c>
      <c r="N107" s="110">
        <f>COUNTIF(postDEL!$A$2:$A799,A107)</f>
        <v>1</v>
      </c>
      <c r="O107" s="19">
        <f>MATCH(A107,postDEL!A$2:A799,0)</f>
        <v>106</v>
      </c>
      <c r="P107" s="10" t="str">
        <f t="shared" si="1"/>
        <v/>
      </c>
      <c r="Q107" s="220">
        <f t="shared" si="2"/>
        <v>0</v>
      </c>
      <c r="R107" s="5"/>
    </row>
    <row r="108">
      <c r="A108" s="221" t="s">
        <v>590</v>
      </c>
      <c r="B108" s="217">
        <f t="array" ref="B108">INDEX(postDEL!$A$2:$P799,$O108,2)</f>
        <v>44568</v>
      </c>
      <c r="C108" s="218">
        <f t="array" ref="C108">INDEX(postDEL!$A$2:$P799,$O108,3)</f>
        <v>0.3471643519</v>
      </c>
      <c r="D108" s="219" t="str">
        <f t="array" ref="D108">INDEX(postDEL!$A$2:$AN799,$O108,39)</f>
        <v>SpBEND454594</v>
      </c>
      <c r="E108" s="219" t="str">
        <f t="array" ref="E108">INDEX(postDEL!$A$2:$P799,$O108,4)</f>
        <v/>
      </c>
      <c r="F108" s="219" t="str">
        <f t="array" ref="F108">INDEX(postDEL!$A$2:$P799,$O108,5)</f>
        <v/>
      </c>
      <c r="G108" s="219" t="str">
        <f t="array" ref="G108">INDEX(postDEL!$A$2:$P799,$O108,11)</f>
        <v>Negative</v>
      </c>
      <c r="H108" s="219" t="str">
        <f t="array" ref="H108">INDEX(postDEL!$A$2:$AL799,$O108,37)</f>
        <v>Negative</v>
      </c>
      <c r="I108" s="217">
        <f t="array" ref="I108">INDEX(postDEL!$A$2:$AL799,$O108,12)</f>
        <v>44568</v>
      </c>
      <c r="J108" s="218">
        <f t="array" ref="J108">INDEX(postDEL!$A$2:$AL799,$O108,13)</f>
        <v>0.5079166667</v>
      </c>
      <c r="K108" s="219" t="str">
        <f t="array" ref="K108">INDEX(postDEL!$A$2:$AL799,$O108,36)</f>
        <v/>
      </c>
      <c r="L108" s="219" t="str">
        <f t="array" ref="L108">INDEX(postDEL!$A$2:$AL799,$O108,38)</f>
        <v/>
      </c>
      <c r="M108" s="219" t="str">
        <f t="array" ref="M108">INDEX(postDEL!$A$2:$AL799,$O108,15)</f>
        <v/>
      </c>
      <c r="N108" s="110">
        <f>COUNTIF(postDEL!$A$2:$A799,A108)</f>
        <v>1</v>
      </c>
      <c r="O108" s="19">
        <f>MATCH(A108,postDEL!A$2:A799,0)</f>
        <v>107</v>
      </c>
      <c r="P108" s="10" t="str">
        <f t="shared" si="1"/>
        <v/>
      </c>
      <c r="Q108" s="220">
        <f t="shared" si="2"/>
        <v>0</v>
      </c>
      <c r="R108" s="5"/>
    </row>
    <row r="109">
      <c r="A109" s="221" t="s">
        <v>592</v>
      </c>
      <c r="B109" s="217">
        <f t="array" ref="B109">INDEX(postDEL!$A$2:$P799,$O109,2)</f>
        <v>44568</v>
      </c>
      <c r="C109" s="218">
        <f t="array" ref="C109">INDEX(postDEL!$A$2:$P799,$O109,3)</f>
        <v>0.3471759259</v>
      </c>
      <c r="D109" s="219" t="str">
        <f t="array" ref="D109">INDEX(postDEL!$A$2:$AN799,$O109,39)</f>
        <v>SpBEND652059</v>
      </c>
      <c r="E109" s="219" t="str">
        <f t="array" ref="E109">INDEX(postDEL!$A$2:$P799,$O109,4)</f>
        <v/>
      </c>
      <c r="F109" s="219" t="str">
        <f t="array" ref="F109">INDEX(postDEL!$A$2:$P799,$O109,5)</f>
        <v/>
      </c>
      <c r="G109" s="219" t="str">
        <f t="array" ref="G109">INDEX(postDEL!$A$2:$P799,$O109,11)</f>
        <v>Positive</v>
      </c>
      <c r="H109" s="219" t="str">
        <f t="array" ref="H109">INDEX(postDEL!$A$2:$AL799,$O109,37)</f>
        <v>Positive</v>
      </c>
      <c r="I109" s="217">
        <f t="array" ref="I109">INDEX(postDEL!$A$2:$AL799,$O109,12)</f>
        <v>44568</v>
      </c>
      <c r="J109" s="218">
        <f t="array" ref="J109">INDEX(postDEL!$A$2:$AL799,$O109,13)</f>
        <v>0.5079050926</v>
      </c>
      <c r="K109" s="219" t="str">
        <f t="array" ref="K109">INDEX(postDEL!$A$2:$AL799,$O109,36)</f>
        <v/>
      </c>
      <c r="L109" s="219" t="str">
        <f t="array" ref="L109">INDEX(postDEL!$A$2:$AL799,$O109,38)</f>
        <v/>
      </c>
      <c r="M109" s="219" t="str">
        <f t="array" ref="M109">INDEX(postDEL!$A$2:$AL799,$O109,15)</f>
        <v/>
      </c>
      <c r="N109" s="110">
        <f>COUNTIF(postDEL!$A$2:$A799,A109)</f>
        <v>1</v>
      </c>
      <c r="O109" s="19">
        <f>MATCH(A109,postDEL!A$2:A799,0)</f>
        <v>108</v>
      </c>
      <c r="P109" s="10" t="str">
        <f t="shared" si="1"/>
        <v/>
      </c>
      <c r="Q109" s="220">
        <f t="shared" si="2"/>
        <v>0</v>
      </c>
      <c r="R109" s="5"/>
    </row>
    <row r="110">
      <c r="A110" s="221" t="s">
        <v>596</v>
      </c>
      <c r="B110" s="217">
        <f t="array" ref="B110">INDEX(postDEL!$A$2:$P799,$O110,2)</f>
        <v>44568</v>
      </c>
      <c r="C110" s="218">
        <f t="array" ref="C110">INDEX(postDEL!$A$2:$P799,$O110,3)</f>
        <v>0.3556134259</v>
      </c>
      <c r="D110" s="219" t="str">
        <f t="array" ref="D110">INDEX(postDEL!$A$2:$AN799,$O110,39)</f>
        <v>SpBEND394154</v>
      </c>
      <c r="E110" s="219" t="str">
        <f t="array" ref="E110">INDEX(postDEL!$A$2:$P799,$O110,4)</f>
        <v/>
      </c>
      <c r="F110" s="219" t="str">
        <f t="array" ref="F110">INDEX(postDEL!$A$2:$P799,$O110,5)</f>
        <v/>
      </c>
      <c r="G110" s="219" t="str">
        <f t="array" ref="G110">INDEX(postDEL!$A$2:$P799,$O110,11)</f>
        <v>Negative</v>
      </c>
      <c r="H110" s="219" t="str">
        <f t="array" ref="H110">INDEX(postDEL!$A$2:$AL799,$O110,37)</f>
        <v>Negative</v>
      </c>
      <c r="I110" s="217">
        <f t="array" ref="I110">INDEX(postDEL!$A$2:$AL799,$O110,12)</f>
        <v>44568</v>
      </c>
      <c r="J110" s="218">
        <f t="array" ref="J110">INDEX(postDEL!$A$2:$AL799,$O110,13)</f>
        <v>0.5079166667</v>
      </c>
      <c r="K110" s="219" t="str">
        <f t="array" ref="K110">INDEX(postDEL!$A$2:$AL799,$O110,36)</f>
        <v/>
      </c>
      <c r="L110" s="219" t="str">
        <f t="array" ref="L110">INDEX(postDEL!$A$2:$AL799,$O110,38)</f>
        <v/>
      </c>
      <c r="M110" s="219" t="str">
        <f t="array" ref="M110">INDEX(postDEL!$A$2:$AL799,$O110,15)</f>
        <v/>
      </c>
      <c r="N110" s="110">
        <f>COUNTIF(postDEL!$A$2:$A799,A110)</f>
        <v>1</v>
      </c>
      <c r="O110" s="19">
        <f>MATCH(A110,postDEL!A$2:A799,0)</f>
        <v>109</v>
      </c>
      <c r="P110" s="10" t="str">
        <f t="shared" si="1"/>
        <v/>
      </c>
      <c r="Q110" s="220">
        <f t="shared" si="2"/>
        <v>0</v>
      </c>
      <c r="R110" s="5"/>
    </row>
    <row r="111">
      <c r="A111" s="221" t="s">
        <v>599</v>
      </c>
      <c r="B111" s="217">
        <f t="array" ref="B111">INDEX(postDEL!$A$2:$P799,$O111,2)</f>
        <v>44568</v>
      </c>
      <c r="C111" s="218">
        <f t="array" ref="C111">INDEX(postDEL!$A$2:$P799,$O111,3)</f>
        <v>0.3647800926</v>
      </c>
      <c r="D111" s="219" t="str">
        <f t="array" ref="D111">INDEX(postDEL!$A$2:$AN799,$O111,39)</f>
        <v>SpBEND642175</v>
      </c>
      <c r="E111" s="219" t="str">
        <f t="array" ref="E111">INDEX(postDEL!$A$2:$P799,$O111,4)</f>
        <v/>
      </c>
      <c r="F111" s="219" t="str">
        <f t="array" ref="F111">INDEX(postDEL!$A$2:$P799,$O111,5)</f>
        <v/>
      </c>
      <c r="G111" s="219" t="str">
        <f t="array" ref="G111">INDEX(postDEL!$A$2:$P799,$O111,11)</f>
        <v>Positive</v>
      </c>
      <c r="H111" s="219" t="str">
        <f t="array" ref="H111">INDEX(postDEL!$A$2:$AL799,$O111,37)</f>
        <v>Positive</v>
      </c>
      <c r="I111" s="217">
        <f t="array" ref="I111">INDEX(postDEL!$A$2:$AL799,$O111,12)</f>
        <v>44568</v>
      </c>
      <c r="J111" s="218">
        <f t="array" ref="J111">INDEX(postDEL!$A$2:$AL799,$O111,13)</f>
        <v>0.508275463</v>
      </c>
      <c r="K111" s="219" t="str">
        <f t="array" ref="K111">INDEX(postDEL!$A$2:$AL799,$O111,36)</f>
        <v/>
      </c>
      <c r="L111" s="219" t="str">
        <f t="array" ref="L111">INDEX(postDEL!$A$2:$AL799,$O111,38)</f>
        <v/>
      </c>
      <c r="M111" s="219" t="str">
        <f t="array" ref="M111">INDEX(postDEL!$A$2:$AL799,$O111,15)</f>
        <v/>
      </c>
      <c r="N111" s="110">
        <f>COUNTIF(postDEL!$A$2:$A799,A111)</f>
        <v>1</v>
      </c>
      <c r="O111" s="19">
        <f>MATCH(A111,postDEL!A$2:A799,0)</f>
        <v>110</v>
      </c>
      <c r="P111" s="10" t="str">
        <f t="shared" si="1"/>
        <v/>
      </c>
      <c r="Q111" s="220">
        <f t="shared" si="2"/>
        <v>0</v>
      </c>
      <c r="R111" s="5"/>
    </row>
    <row r="112">
      <c r="A112" s="221" t="s">
        <v>601</v>
      </c>
      <c r="B112" s="217">
        <f t="array" ref="B112">INDEX(postDEL!$A$2:$P799,$O112,2)</f>
        <v>44568</v>
      </c>
      <c r="C112" s="218">
        <f t="array" ref="C112">INDEX(postDEL!$A$2:$P799,$O112,3)</f>
        <v>0.4141782407</v>
      </c>
      <c r="D112" s="219" t="str">
        <f t="array" ref="D112">INDEX(postDEL!$A$2:$AN799,$O112,39)</f>
        <v>SpBEND394154</v>
      </c>
      <c r="E112" s="219" t="str">
        <f t="array" ref="E112">INDEX(postDEL!$A$2:$P799,$O112,4)</f>
        <v/>
      </c>
      <c r="F112" s="219" t="str">
        <f t="array" ref="F112">INDEX(postDEL!$A$2:$P799,$O112,5)</f>
        <v/>
      </c>
      <c r="G112" s="219" t="str">
        <f t="array" ref="G112">INDEX(postDEL!$A$2:$P799,$O112,11)</f>
        <v>Negative</v>
      </c>
      <c r="H112" s="219" t="str">
        <f t="array" ref="H112">INDEX(postDEL!$A$2:$AL799,$O112,37)</f>
        <v>Negative</v>
      </c>
      <c r="I112" s="217">
        <f t="array" ref="I112">INDEX(postDEL!$A$2:$AL799,$O112,12)</f>
        <v>44568</v>
      </c>
      <c r="J112" s="218">
        <f t="array" ref="J112">INDEX(postDEL!$A$2:$AL799,$O112,13)</f>
        <v>0.5079166667</v>
      </c>
      <c r="K112" s="219" t="str">
        <f t="array" ref="K112">INDEX(postDEL!$A$2:$AL799,$O112,36)</f>
        <v/>
      </c>
      <c r="L112" s="219" t="str">
        <f t="array" ref="L112">INDEX(postDEL!$A$2:$AL799,$O112,38)</f>
        <v/>
      </c>
      <c r="M112" s="219" t="str">
        <f t="array" ref="M112">INDEX(postDEL!$A$2:$AL799,$O112,15)</f>
        <v/>
      </c>
      <c r="N112" s="110">
        <f>COUNTIF(postDEL!$A$2:$A799,A112)</f>
        <v>1</v>
      </c>
      <c r="O112" s="19">
        <f>MATCH(A112,postDEL!A$2:A799,0)</f>
        <v>111</v>
      </c>
      <c r="P112" s="10" t="str">
        <f t="shared" si="1"/>
        <v/>
      </c>
      <c r="Q112" s="220">
        <f t="shared" si="2"/>
        <v>0</v>
      </c>
      <c r="R112" s="5"/>
    </row>
    <row r="113">
      <c r="A113" s="221" t="s">
        <v>611</v>
      </c>
      <c r="B113" s="217">
        <f t="array" ref="B113">INDEX(postDEL!$A$2:$P799,$O113,2)</f>
        <v>44571</v>
      </c>
      <c r="C113" s="218">
        <f t="array" ref="C113">INDEX(postDEL!$A$2:$P799,$O113,3)</f>
        <v>0.2715856481</v>
      </c>
      <c r="D113" s="219" t="str">
        <f t="array" ref="D113">INDEX(postDEL!$A$2:$AN799,$O113,39)</f>
        <v>SpBEND947055</v>
      </c>
      <c r="E113" s="219" t="str">
        <f t="array" ref="E113">INDEX(postDEL!$A$2:$P799,$O113,4)</f>
        <v/>
      </c>
      <c r="F113" s="219" t="str">
        <f t="array" ref="F113">INDEX(postDEL!$A$2:$P799,$O113,5)</f>
        <v/>
      </c>
      <c r="G113" s="219" t="str">
        <f t="array" ref="G113">INDEX(postDEL!$A$2:$P799,$O113,11)</f>
        <v>Negative</v>
      </c>
      <c r="H113" s="219" t="str">
        <f t="array" ref="H113">INDEX(postDEL!$A$2:$AL799,$O113,37)</f>
        <v>Negative</v>
      </c>
      <c r="I113" s="217">
        <f t="array" ref="I113">INDEX(postDEL!$A$2:$AL799,$O113,12)</f>
        <v>44571</v>
      </c>
      <c r="J113" s="218">
        <f t="array" ref="J113">INDEX(postDEL!$A$2:$AL799,$O113,13)</f>
        <v>0.4659837963</v>
      </c>
      <c r="K113" s="219" t="str">
        <f t="array" ref="K113">INDEX(postDEL!$A$2:$AL799,$O113,36)</f>
        <v/>
      </c>
      <c r="L113" s="219" t="str">
        <f t="array" ref="L113">INDEX(postDEL!$A$2:$AL799,$O113,38)</f>
        <v/>
      </c>
      <c r="M113" s="219" t="str">
        <f t="array" ref="M113">INDEX(postDEL!$A$2:$AL799,$O113,15)</f>
        <v/>
      </c>
      <c r="N113" s="110">
        <f>COUNTIF(postDEL!$A$2:$A799,A113)</f>
        <v>1</v>
      </c>
      <c r="O113" s="19">
        <f>MATCH(A113,postDEL!A$2:A799,0)</f>
        <v>112</v>
      </c>
      <c r="P113" s="10" t="b">
        <f t="shared" si="1"/>
        <v>1</v>
      </c>
      <c r="Q113" s="220">
        <f t="shared" si="2"/>
        <v>0</v>
      </c>
      <c r="R113" s="5"/>
    </row>
    <row r="114">
      <c r="A114" s="221" t="s">
        <v>615</v>
      </c>
      <c r="B114" s="217">
        <f t="array" ref="B114">INDEX(postDEL!$A$2:$P799,$O114,2)</f>
        <v>44571</v>
      </c>
      <c r="C114" s="218">
        <f t="array" ref="C114">INDEX(postDEL!$A$2:$P799,$O114,3)</f>
        <v>0.2969212963</v>
      </c>
      <c r="D114" s="219" t="str">
        <f t="array" ref="D114">INDEX(postDEL!$A$2:$AN799,$O114,39)</f>
        <v>SpBEND767550</v>
      </c>
      <c r="E114" s="219" t="str">
        <f t="array" ref="E114">INDEX(postDEL!$A$2:$P799,$O114,4)</f>
        <v/>
      </c>
      <c r="F114" s="219" t="str">
        <f t="array" ref="F114">INDEX(postDEL!$A$2:$P799,$O114,5)</f>
        <v/>
      </c>
      <c r="G114" s="219" t="str">
        <f t="array" ref="G114">INDEX(postDEL!$A$2:$P799,$O114,11)</f>
        <v>Negative</v>
      </c>
      <c r="H114" s="219" t="str">
        <f t="array" ref="H114">INDEX(postDEL!$A$2:$AL799,$O114,37)</f>
        <v>Negative</v>
      </c>
      <c r="I114" s="217">
        <f t="array" ref="I114">INDEX(postDEL!$A$2:$AL799,$O114,12)</f>
        <v>44571</v>
      </c>
      <c r="J114" s="218">
        <f t="array" ref="J114">INDEX(postDEL!$A$2:$AL799,$O114,13)</f>
        <v>0.4659837963</v>
      </c>
      <c r="K114" s="219" t="str">
        <f t="array" ref="K114">INDEX(postDEL!$A$2:$AL799,$O114,36)</f>
        <v/>
      </c>
      <c r="L114" s="219" t="str">
        <f t="array" ref="L114">INDEX(postDEL!$A$2:$AL799,$O114,38)</f>
        <v/>
      </c>
      <c r="M114" s="219" t="str">
        <f t="array" ref="M114">INDEX(postDEL!$A$2:$AL799,$O114,15)</f>
        <v/>
      </c>
      <c r="N114" s="110">
        <f>COUNTIF(postDEL!$A$2:$A799,A114)</f>
        <v>1</v>
      </c>
      <c r="O114" s="19">
        <f>MATCH(A114,postDEL!A$2:A799,0)</f>
        <v>113</v>
      </c>
      <c r="P114" s="10" t="str">
        <f t="shared" si="1"/>
        <v/>
      </c>
      <c r="Q114" s="220">
        <f t="shared" si="2"/>
        <v>0</v>
      </c>
      <c r="R114" s="5"/>
    </row>
    <row r="115">
      <c r="A115" s="221" t="s">
        <v>617</v>
      </c>
      <c r="B115" s="217">
        <f t="array" ref="B115">INDEX(postDEL!$A$2:$P799,$O115,2)</f>
        <v>44571</v>
      </c>
      <c r="C115" s="218">
        <f t="array" ref="C115">INDEX(postDEL!$A$2:$P799,$O115,3)</f>
        <v>0.3116782407</v>
      </c>
      <c r="D115" s="219" t="str">
        <f t="array" ref="D115">INDEX(postDEL!$A$2:$AN799,$O115,39)</f>
        <v>SpBEND816435</v>
      </c>
      <c r="E115" s="219" t="str">
        <f t="array" ref="E115">INDEX(postDEL!$A$2:$P799,$O115,4)</f>
        <v/>
      </c>
      <c r="F115" s="219" t="str">
        <f t="array" ref="F115">INDEX(postDEL!$A$2:$P799,$O115,5)</f>
        <v/>
      </c>
      <c r="G115" s="219" t="str">
        <f t="array" ref="G115">INDEX(postDEL!$A$2:$P799,$O115,11)</f>
        <v>Negative</v>
      </c>
      <c r="H115" s="219" t="str">
        <f t="array" ref="H115">INDEX(postDEL!$A$2:$AL799,$O115,37)</f>
        <v>Negative</v>
      </c>
      <c r="I115" s="217">
        <f t="array" ref="I115">INDEX(postDEL!$A$2:$AL799,$O115,12)</f>
        <v>44571</v>
      </c>
      <c r="J115" s="218">
        <f t="array" ref="J115">INDEX(postDEL!$A$2:$AL799,$O115,13)</f>
        <v>0.4659837963</v>
      </c>
      <c r="K115" s="219" t="str">
        <f t="array" ref="K115">INDEX(postDEL!$A$2:$AL799,$O115,36)</f>
        <v/>
      </c>
      <c r="L115" s="219" t="str">
        <f t="array" ref="L115">INDEX(postDEL!$A$2:$AL799,$O115,38)</f>
        <v/>
      </c>
      <c r="M115" s="219" t="str">
        <f t="array" ref="M115">INDEX(postDEL!$A$2:$AL799,$O115,15)</f>
        <v/>
      </c>
      <c r="N115" s="110">
        <f>COUNTIF(postDEL!$A$2:$A799,A115)</f>
        <v>1</v>
      </c>
      <c r="O115" s="19">
        <f>MATCH(A115,postDEL!A$2:A799,0)</f>
        <v>114</v>
      </c>
      <c r="P115" s="10" t="str">
        <f t="shared" si="1"/>
        <v/>
      </c>
      <c r="Q115" s="220">
        <f t="shared" si="2"/>
        <v>0</v>
      </c>
      <c r="R115" s="5"/>
    </row>
    <row r="116">
      <c r="A116" s="221" t="s">
        <v>621</v>
      </c>
      <c r="B116" s="217">
        <f t="array" ref="B116">INDEX(postDEL!$A$2:$P799,$O116,2)</f>
        <v>44571</v>
      </c>
      <c r="C116" s="218">
        <f t="array" ref="C116">INDEX(postDEL!$A$2:$P799,$O116,3)</f>
        <v>0.313125</v>
      </c>
      <c r="D116" s="219" t="str">
        <f t="array" ref="D116">INDEX(postDEL!$A$2:$AN799,$O116,39)</f>
        <v>SpBEND643855</v>
      </c>
      <c r="E116" s="219" t="str">
        <f t="array" ref="E116">INDEX(postDEL!$A$2:$P799,$O116,4)</f>
        <v/>
      </c>
      <c r="F116" s="219" t="str">
        <f t="array" ref="F116">INDEX(postDEL!$A$2:$P799,$O116,5)</f>
        <v/>
      </c>
      <c r="G116" s="219" t="str">
        <f t="array" ref="G116">INDEX(postDEL!$A$2:$P799,$O116,11)</f>
        <v>Negative</v>
      </c>
      <c r="H116" s="219" t="str">
        <f t="array" ref="H116">INDEX(postDEL!$A$2:$AL799,$O116,37)</f>
        <v>Negative</v>
      </c>
      <c r="I116" s="217">
        <f t="array" ref="I116">INDEX(postDEL!$A$2:$AL799,$O116,12)</f>
        <v>44571</v>
      </c>
      <c r="J116" s="218">
        <f t="array" ref="J116">INDEX(postDEL!$A$2:$AL799,$O116,13)</f>
        <v>0.4659837963</v>
      </c>
      <c r="K116" s="219" t="str">
        <f t="array" ref="K116">INDEX(postDEL!$A$2:$AL799,$O116,36)</f>
        <v/>
      </c>
      <c r="L116" s="219" t="str">
        <f t="array" ref="L116">INDEX(postDEL!$A$2:$AL799,$O116,38)</f>
        <v/>
      </c>
      <c r="M116" s="219" t="str">
        <f t="array" ref="M116">INDEX(postDEL!$A$2:$AL799,$O116,15)</f>
        <v/>
      </c>
      <c r="N116" s="110">
        <f>COUNTIF(postDEL!$A$2:$A799,A116)</f>
        <v>1</v>
      </c>
      <c r="O116" s="19">
        <f>MATCH(A116,postDEL!A$2:A799,0)</f>
        <v>115</v>
      </c>
      <c r="P116" s="10" t="str">
        <f t="shared" si="1"/>
        <v/>
      </c>
      <c r="Q116" s="220">
        <f t="shared" si="2"/>
        <v>0</v>
      </c>
      <c r="R116" s="5"/>
    </row>
    <row r="117">
      <c r="A117" s="221" t="s">
        <v>623</v>
      </c>
      <c r="B117" s="217">
        <f t="array" ref="B117">INDEX(postDEL!$A$2:$P799,$O117,2)</f>
        <v>44571</v>
      </c>
      <c r="C117" s="218">
        <f t="array" ref="C117">INDEX(postDEL!$A$2:$P799,$O117,3)</f>
        <v>0.3181365741</v>
      </c>
      <c r="D117" s="219" t="str">
        <f t="array" ref="D117">INDEX(postDEL!$A$2:$AN799,$O117,39)</f>
        <v>SpBEND757435</v>
      </c>
      <c r="E117" s="219" t="str">
        <f t="array" ref="E117">INDEX(postDEL!$A$2:$P799,$O117,4)</f>
        <v/>
      </c>
      <c r="F117" s="219" t="str">
        <f t="array" ref="F117">INDEX(postDEL!$A$2:$P799,$O117,5)</f>
        <v/>
      </c>
      <c r="G117" s="219" t="str">
        <f t="array" ref="G117">INDEX(postDEL!$A$2:$P799,$O117,11)</f>
        <v>Negative</v>
      </c>
      <c r="H117" s="219" t="str">
        <f t="array" ref="H117">INDEX(postDEL!$A$2:$AL799,$O117,37)</f>
        <v>Negative</v>
      </c>
      <c r="I117" s="217">
        <f t="array" ref="I117">INDEX(postDEL!$A$2:$AL799,$O117,12)</f>
        <v>44571</v>
      </c>
      <c r="J117" s="218">
        <f t="array" ref="J117">INDEX(postDEL!$A$2:$AL799,$O117,13)</f>
        <v>0.4659837963</v>
      </c>
      <c r="K117" s="219" t="str">
        <f t="array" ref="K117">INDEX(postDEL!$A$2:$AL799,$O117,36)</f>
        <v/>
      </c>
      <c r="L117" s="219" t="str">
        <f t="array" ref="L117">INDEX(postDEL!$A$2:$AL799,$O117,38)</f>
        <v/>
      </c>
      <c r="M117" s="219" t="str">
        <f t="array" ref="M117">INDEX(postDEL!$A$2:$AL799,$O117,15)</f>
        <v/>
      </c>
      <c r="N117" s="110">
        <f>COUNTIF(postDEL!$A$2:$A799,A117)</f>
        <v>1</v>
      </c>
      <c r="O117" s="19">
        <f>MATCH(A117,postDEL!A$2:A799,0)</f>
        <v>116</v>
      </c>
      <c r="P117" s="10" t="str">
        <f t="shared" si="1"/>
        <v/>
      </c>
      <c r="Q117" s="220">
        <f t="shared" si="2"/>
        <v>0</v>
      </c>
      <c r="R117" s="5"/>
    </row>
    <row r="118">
      <c r="A118" s="221" t="s">
        <v>627</v>
      </c>
      <c r="B118" s="217">
        <f t="array" ref="B118">INDEX(postDEL!$A$2:$P799,$O118,2)</f>
        <v>44571</v>
      </c>
      <c r="C118" s="218">
        <f t="array" ref="C118">INDEX(postDEL!$A$2:$P799,$O118,3)</f>
        <v>0.3261689815</v>
      </c>
      <c r="D118" s="219" t="str">
        <f t="array" ref="D118">INDEX(postDEL!$A$2:$AN799,$O118,39)</f>
        <v>SpBEND110967</v>
      </c>
      <c r="E118" s="219" t="str">
        <f t="array" ref="E118">INDEX(postDEL!$A$2:$P799,$O118,4)</f>
        <v/>
      </c>
      <c r="F118" s="219" t="str">
        <f t="array" ref="F118">INDEX(postDEL!$A$2:$P799,$O118,5)</f>
        <v/>
      </c>
      <c r="G118" s="219" t="str">
        <f t="array" ref="G118">INDEX(postDEL!$A$2:$P799,$O118,11)</f>
        <v>Negative</v>
      </c>
      <c r="H118" s="219" t="str">
        <f t="array" ref="H118">INDEX(postDEL!$A$2:$AL799,$O118,37)</f>
        <v>Negative</v>
      </c>
      <c r="I118" s="217">
        <f t="array" ref="I118">INDEX(postDEL!$A$2:$AL799,$O118,12)</f>
        <v>44571</v>
      </c>
      <c r="J118" s="218">
        <f t="array" ref="J118">INDEX(postDEL!$A$2:$AL799,$O118,13)</f>
        <v>0.4659837963</v>
      </c>
      <c r="K118" s="219" t="str">
        <f t="array" ref="K118">INDEX(postDEL!$A$2:$AL799,$O118,36)</f>
        <v/>
      </c>
      <c r="L118" s="219" t="str">
        <f t="array" ref="L118">INDEX(postDEL!$A$2:$AL799,$O118,38)</f>
        <v/>
      </c>
      <c r="M118" s="219" t="str">
        <f t="array" ref="M118">INDEX(postDEL!$A$2:$AL799,$O118,15)</f>
        <v/>
      </c>
      <c r="N118" s="110">
        <f>COUNTIF(postDEL!$A$2:$A799,A118)</f>
        <v>1</v>
      </c>
      <c r="O118" s="19">
        <f>MATCH(A118,postDEL!A$2:A799,0)</f>
        <v>117</v>
      </c>
      <c r="P118" s="10" t="str">
        <f t="shared" si="1"/>
        <v/>
      </c>
      <c r="Q118" s="220">
        <f t="shared" si="2"/>
        <v>0</v>
      </c>
      <c r="R118" s="5"/>
    </row>
    <row r="119">
      <c r="A119" s="221" t="s">
        <v>630</v>
      </c>
      <c r="B119" s="217">
        <f t="array" ref="B119">INDEX(postDEL!$A$2:$P799,$O119,2)</f>
        <v>44571</v>
      </c>
      <c r="C119" s="218">
        <f t="array" ref="C119">INDEX(postDEL!$A$2:$P799,$O119,3)</f>
        <v>0.3288541667</v>
      </c>
      <c r="D119" s="219" t="str">
        <f t="array" ref="D119">INDEX(postDEL!$A$2:$AN799,$O119,39)</f>
        <v>SpBEND551372</v>
      </c>
      <c r="E119" s="219" t="str">
        <f t="array" ref="E119">INDEX(postDEL!$A$2:$P799,$O119,4)</f>
        <v/>
      </c>
      <c r="F119" s="219" t="str">
        <f t="array" ref="F119">INDEX(postDEL!$A$2:$P799,$O119,5)</f>
        <v/>
      </c>
      <c r="G119" s="219" t="str">
        <f t="array" ref="G119">INDEX(postDEL!$A$2:$P799,$O119,11)</f>
        <v>Negative</v>
      </c>
      <c r="H119" s="219" t="str">
        <f t="array" ref="H119">INDEX(postDEL!$A$2:$AL799,$O119,37)</f>
        <v>Negative</v>
      </c>
      <c r="I119" s="217">
        <f t="array" ref="I119">INDEX(postDEL!$A$2:$AL799,$O119,12)</f>
        <v>44571</v>
      </c>
      <c r="J119" s="218">
        <f t="array" ref="J119">INDEX(postDEL!$A$2:$AL799,$O119,13)</f>
        <v>0.4659837963</v>
      </c>
      <c r="K119" s="219" t="str">
        <f t="array" ref="K119">INDEX(postDEL!$A$2:$AL799,$O119,36)</f>
        <v/>
      </c>
      <c r="L119" s="219" t="str">
        <f t="array" ref="L119">INDEX(postDEL!$A$2:$AL799,$O119,38)</f>
        <v/>
      </c>
      <c r="M119" s="219" t="str">
        <f t="array" ref="M119">INDEX(postDEL!$A$2:$AL799,$O119,15)</f>
        <v/>
      </c>
      <c r="N119" s="110">
        <f>COUNTIF(postDEL!$A$2:$A799,A119)</f>
        <v>1</v>
      </c>
      <c r="O119" s="19">
        <f>MATCH(A119,postDEL!A$2:A799,0)</f>
        <v>118</v>
      </c>
      <c r="P119" s="10" t="str">
        <f t="shared" si="1"/>
        <v/>
      </c>
      <c r="Q119" s="220">
        <f t="shared" si="2"/>
        <v>0</v>
      </c>
      <c r="R119" s="5"/>
    </row>
    <row r="120">
      <c r="A120" s="221" t="s">
        <v>632</v>
      </c>
      <c r="B120" s="217">
        <f t="array" ref="B120">INDEX(postDEL!$A$2:$P799,$O120,2)</f>
        <v>44571</v>
      </c>
      <c r="C120" s="218">
        <f t="array" ref="C120">INDEX(postDEL!$A$2:$P799,$O120,3)</f>
        <v>0.3333101852</v>
      </c>
      <c r="D120" s="219" t="str">
        <f t="array" ref="D120">INDEX(postDEL!$A$2:$AN799,$O120,39)</f>
        <v>SpBEND385421</v>
      </c>
      <c r="E120" s="219" t="str">
        <f t="array" ref="E120">INDEX(postDEL!$A$2:$P799,$O120,4)</f>
        <v/>
      </c>
      <c r="F120" s="219" t="str">
        <f t="array" ref="F120">INDEX(postDEL!$A$2:$P799,$O120,5)</f>
        <v/>
      </c>
      <c r="G120" s="219" t="str">
        <f t="array" ref="G120">INDEX(postDEL!$A$2:$P799,$O120,11)</f>
        <v>Negative</v>
      </c>
      <c r="H120" s="219" t="str">
        <f t="array" ref="H120">INDEX(postDEL!$A$2:$AL799,$O120,37)</f>
        <v>Negative</v>
      </c>
      <c r="I120" s="217">
        <f t="array" ref="I120">INDEX(postDEL!$A$2:$AL799,$O120,12)</f>
        <v>44571</v>
      </c>
      <c r="J120" s="218">
        <f t="array" ref="J120">INDEX(postDEL!$A$2:$AL799,$O120,13)</f>
        <v>0.4659837963</v>
      </c>
      <c r="K120" s="219" t="str">
        <f t="array" ref="K120">INDEX(postDEL!$A$2:$AL799,$O120,36)</f>
        <v/>
      </c>
      <c r="L120" s="219" t="str">
        <f t="array" ref="L120">INDEX(postDEL!$A$2:$AL799,$O120,38)</f>
        <v/>
      </c>
      <c r="M120" s="219" t="str">
        <f t="array" ref="M120">INDEX(postDEL!$A$2:$AL799,$O120,15)</f>
        <v/>
      </c>
      <c r="N120" s="110">
        <f>COUNTIF(postDEL!$A$2:$A799,A120)</f>
        <v>1</v>
      </c>
      <c r="O120" s="19">
        <f>MATCH(A120,postDEL!A$2:A799,0)</f>
        <v>119</v>
      </c>
      <c r="P120" s="10" t="str">
        <f t="shared" si="1"/>
        <v/>
      </c>
      <c r="Q120" s="220">
        <f t="shared" si="2"/>
        <v>0</v>
      </c>
      <c r="R120" s="5"/>
    </row>
    <row r="121">
      <c r="A121" s="221" t="s">
        <v>636</v>
      </c>
      <c r="B121" s="217">
        <f t="array" ref="B121">INDEX(postDEL!$A$2:$P799,$O121,2)</f>
        <v>44571</v>
      </c>
      <c r="C121" s="218">
        <f t="array" ref="C121">INDEX(postDEL!$A$2:$P799,$O121,3)</f>
        <v>0.3333912037</v>
      </c>
      <c r="D121" s="219" t="str">
        <f t="array" ref="D121">INDEX(postDEL!$A$2:$AN799,$O121,39)</f>
        <v>SpBEND768497</v>
      </c>
      <c r="E121" s="219" t="str">
        <f t="array" ref="E121">INDEX(postDEL!$A$2:$P799,$O121,4)</f>
        <v/>
      </c>
      <c r="F121" s="219" t="str">
        <f t="array" ref="F121">INDEX(postDEL!$A$2:$P799,$O121,5)</f>
        <v/>
      </c>
      <c r="G121" s="219" t="str">
        <f t="array" ref="G121">INDEX(postDEL!$A$2:$P799,$O121,11)</f>
        <v>Negative</v>
      </c>
      <c r="H121" s="219" t="str">
        <f t="array" ref="H121">INDEX(postDEL!$A$2:$AL799,$O121,37)</f>
        <v>Negative</v>
      </c>
      <c r="I121" s="217">
        <f t="array" ref="I121">INDEX(postDEL!$A$2:$AL799,$O121,12)</f>
        <v>44571</v>
      </c>
      <c r="J121" s="218">
        <f t="array" ref="J121">INDEX(postDEL!$A$2:$AL799,$O121,13)</f>
        <v>0.4659837963</v>
      </c>
      <c r="K121" s="219" t="str">
        <f t="array" ref="K121">INDEX(postDEL!$A$2:$AL799,$O121,36)</f>
        <v/>
      </c>
      <c r="L121" s="219" t="str">
        <f t="array" ref="L121">INDEX(postDEL!$A$2:$AL799,$O121,38)</f>
        <v/>
      </c>
      <c r="M121" s="219" t="str">
        <f t="array" ref="M121">INDEX(postDEL!$A$2:$AL799,$O121,15)</f>
        <v/>
      </c>
      <c r="N121" s="110">
        <f>COUNTIF(postDEL!$A$2:$A799,A121)</f>
        <v>1</v>
      </c>
      <c r="O121" s="19">
        <f>MATCH(A121,postDEL!A$2:A799,0)</f>
        <v>120</v>
      </c>
      <c r="P121" s="10" t="str">
        <f t="shared" si="1"/>
        <v/>
      </c>
      <c r="Q121" s="220">
        <f t="shared" si="2"/>
        <v>0</v>
      </c>
      <c r="R121" s="5"/>
    </row>
    <row r="122">
      <c r="A122" s="221" t="s">
        <v>638</v>
      </c>
      <c r="B122" s="217">
        <f t="array" ref="B122">INDEX(postDEL!$A$2:$P799,$O122,2)</f>
        <v>44571</v>
      </c>
      <c r="C122" s="218">
        <f t="array" ref="C122">INDEX(postDEL!$A$2:$P799,$O122,3)</f>
        <v>0.3337731481</v>
      </c>
      <c r="D122" s="219" t="str">
        <f t="array" ref="D122">INDEX(postDEL!$A$2:$AN799,$O122,39)</f>
        <v>SpBEND528248</v>
      </c>
      <c r="E122" s="219" t="str">
        <f t="array" ref="E122">INDEX(postDEL!$A$2:$P799,$O122,4)</f>
        <v/>
      </c>
      <c r="F122" s="219" t="str">
        <f t="array" ref="F122">INDEX(postDEL!$A$2:$P799,$O122,5)</f>
        <v/>
      </c>
      <c r="G122" s="219" t="str">
        <f t="array" ref="G122">INDEX(postDEL!$A$2:$P799,$O122,11)</f>
        <v>Negative</v>
      </c>
      <c r="H122" s="219" t="str">
        <f t="array" ref="H122">INDEX(postDEL!$A$2:$AL799,$O122,37)</f>
        <v>Negative</v>
      </c>
      <c r="I122" s="217">
        <f t="array" ref="I122">INDEX(postDEL!$A$2:$AL799,$O122,12)</f>
        <v>44571</v>
      </c>
      <c r="J122" s="218">
        <f t="array" ref="J122">INDEX(postDEL!$A$2:$AL799,$O122,13)</f>
        <v>0.4659837963</v>
      </c>
      <c r="K122" s="219" t="str">
        <f t="array" ref="K122">INDEX(postDEL!$A$2:$AL799,$O122,36)</f>
        <v/>
      </c>
      <c r="L122" s="219" t="str">
        <f t="array" ref="L122">INDEX(postDEL!$A$2:$AL799,$O122,38)</f>
        <v/>
      </c>
      <c r="M122" s="219" t="str">
        <f t="array" ref="M122">INDEX(postDEL!$A$2:$AL799,$O122,15)</f>
        <v/>
      </c>
      <c r="N122" s="110">
        <f>COUNTIF(postDEL!$A$2:$A799,A122)</f>
        <v>1</v>
      </c>
      <c r="O122" s="19">
        <f>MATCH(A122,postDEL!A$2:A799,0)</f>
        <v>121</v>
      </c>
      <c r="P122" s="10" t="str">
        <f t="shared" si="1"/>
        <v/>
      </c>
      <c r="Q122" s="220">
        <f t="shared" si="2"/>
        <v>0</v>
      </c>
      <c r="R122" s="5"/>
    </row>
    <row r="123">
      <c r="A123" s="221" t="s">
        <v>642</v>
      </c>
      <c r="B123" s="217">
        <f t="array" ref="B123">INDEX(postDEL!$A$2:$P799,$O123,2)</f>
        <v>44571</v>
      </c>
      <c r="C123" s="218">
        <f t="array" ref="C123">INDEX(postDEL!$A$2:$P799,$O123,3)</f>
        <v>0.3345138889</v>
      </c>
      <c r="D123" s="219" t="str">
        <f t="array" ref="D123">INDEX(postDEL!$A$2:$AN799,$O123,39)</f>
        <v>SpBEND136234</v>
      </c>
      <c r="E123" s="219" t="str">
        <f t="array" ref="E123">INDEX(postDEL!$A$2:$P799,$O123,4)</f>
        <v/>
      </c>
      <c r="F123" s="219" t="str">
        <f t="array" ref="F123">INDEX(postDEL!$A$2:$P799,$O123,5)</f>
        <v/>
      </c>
      <c r="G123" s="219" t="str">
        <f t="array" ref="G123">INDEX(postDEL!$A$2:$P799,$O123,11)</f>
        <v>Negative</v>
      </c>
      <c r="H123" s="219" t="str">
        <f t="array" ref="H123">INDEX(postDEL!$A$2:$AL799,$O123,37)</f>
        <v>Negative</v>
      </c>
      <c r="I123" s="217">
        <f t="array" ref="I123">INDEX(postDEL!$A$2:$AL799,$O123,12)</f>
        <v>44571</v>
      </c>
      <c r="J123" s="218">
        <f t="array" ref="J123">INDEX(postDEL!$A$2:$AL799,$O123,13)</f>
        <v>0.4659837963</v>
      </c>
      <c r="K123" s="219" t="str">
        <f t="array" ref="K123">INDEX(postDEL!$A$2:$AL799,$O123,36)</f>
        <v/>
      </c>
      <c r="L123" s="219" t="str">
        <f t="array" ref="L123">INDEX(postDEL!$A$2:$AL799,$O123,38)</f>
        <v/>
      </c>
      <c r="M123" s="219" t="str">
        <f t="array" ref="M123">INDEX(postDEL!$A$2:$AL799,$O123,15)</f>
        <v/>
      </c>
      <c r="N123" s="110">
        <f>COUNTIF(postDEL!$A$2:$A799,A123)</f>
        <v>1</v>
      </c>
      <c r="O123" s="19">
        <f>MATCH(A123,postDEL!A$2:A799,0)</f>
        <v>122</v>
      </c>
      <c r="P123" s="10" t="str">
        <f t="shared" si="1"/>
        <v/>
      </c>
      <c r="Q123" s="220">
        <f t="shared" si="2"/>
        <v>0</v>
      </c>
      <c r="R123" s="5"/>
    </row>
    <row r="124">
      <c r="A124" s="221" t="s">
        <v>644</v>
      </c>
      <c r="B124" s="217">
        <f t="array" ref="B124">INDEX(postDEL!$A$2:$P799,$O124,2)</f>
        <v>44571</v>
      </c>
      <c r="C124" s="218">
        <f t="array" ref="C124">INDEX(postDEL!$A$2:$P799,$O124,3)</f>
        <v>0.3371412037</v>
      </c>
      <c r="D124" s="219" t="str">
        <f t="array" ref="D124">INDEX(postDEL!$A$2:$AN799,$O124,39)</f>
        <v>SpBEND481988</v>
      </c>
      <c r="E124" s="219" t="str">
        <f t="array" ref="E124">INDEX(postDEL!$A$2:$P799,$O124,4)</f>
        <v/>
      </c>
      <c r="F124" s="219" t="str">
        <f t="array" ref="F124">INDEX(postDEL!$A$2:$P799,$O124,5)</f>
        <v/>
      </c>
      <c r="G124" s="219" t="str">
        <f t="array" ref="G124">INDEX(postDEL!$A$2:$P799,$O124,11)</f>
        <v>Negative</v>
      </c>
      <c r="H124" s="219" t="str">
        <f t="array" ref="H124">INDEX(postDEL!$A$2:$AL799,$O124,37)</f>
        <v>Negative</v>
      </c>
      <c r="I124" s="217">
        <f t="array" ref="I124">INDEX(postDEL!$A$2:$AL799,$O124,12)</f>
        <v>44571</v>
      </c>
      <c r="J124" s="218">
        <f t="array" ref="J124">INDEX(postDEL!$A$2:$AL799,$O124,13)</f>
        <v>0.4659837963</v>
      </c>
      <c r="K124" s="219" t="str">
        <f t="array" ref="K124">INDEX(postDEL!$A$2:$AL799,$O124,36)</f>
        <v/>
      </c>
      <c r="L124" s="219" t="str">
        <f t="array" ref="L124">INDEX(postDEL!$A$2:$AL799,$O124,38)</f>
        <v/>
      </c>
      <c r="M124" s="219" t="str">
        <f t="array" ref="M124">INDEX(postDEL!$A$2:$AL799,$O124,15)</f>
        <v/>
      </c>
      <c r="N124" s="110">
        <f>COUNTIF(postDEL!$A$2:$A799,A124)</f>
        <v>1</v>
      </c>
      <c r="O124" s="19">
        <f>MATCH(A124,postDEL!A$2:A799,0)</f>
        <v>123</v>
      </c>
      <c r="P124" s="10" t="str">
        <f t="shared" si="1"/>
        <v/>
      </c>
      <c r="Q124" s="220">
        <f t="shared" si="2"/>
        <v>0</v>
      </c>
      <c r="R124" s="5"/>
    </row>
    <row r="125">
      <c r="A125" s="221" t="s">
        <v>646</v>
      </c>
      <c r="B125" s="217">
        <f t="array" ref="B125">INDEX(postDEL!$A$2:$P799,$O125,2)</f>
        <v>44571</v>
      </c>
      <c r="C125" s="218">
        <f t="array" ref="C125">INDEX(postDEL!$A$2:$P799,$O125,3)</f>
        <v>0.3444212963</v>
      </c>
      <c r="D125" s="219" t="str">
        <f t="array" ref="D125">INDEX(postDEL!$A$2:$AN799,$O125,39)</f>
        <v>SpBEND269695</v>
      </c>
      <c r="E125" s="219" t="str">
        <f t="array" ref="E125">INDEX(postDEL!$A$2:$P799,$O125,4)</f>
        <v/>
      </c>
      <c r="F125" s="219" t="str">
        <f t="array" ref="F125">INDEX(postDEL!$A$2:$P799,$O125,5)</f>
        <v/>
      </c>
      <c r="G125" s="219" t="str">
        <f t="array" ref="G125">INDEX(postDEL!$A$2:$P799,$O125,11)</f>
        <v>Negative</v>
      </c>
      <c r="H125" s="219" t="str">
        <f t="array" ref="H125">INDEX(postDEL!$A$2:$AL799,$O125,37)</f>
        <v>Negative</v>
      </c>
      <c r="I125" s="217">
        <f t="array" ref="I125">INDEX(postDEL!$A$2:$AL799,$O125,12)</f>
        <v>44571</v>
      </c>
      <c r="J125" s="218">
        <f t="array" ref="J125">INDEX(postDEL!$A$2:$AL799,$O125,13)</f>
        <v>0.4659837963</v>
      </c>
      <c r="K125" s="219" t="str">
        <f t="array" ref="K125">INDEX(postDEL!$A$2:$AL799,$O125,36)</f>
        <v/>
      </c>
      <c r="L125" s="219" t="str">
        <f t="array" ref="L125">INDEX(postDEL!$A$2:$AL799,$O125,38)</f>
        <v/>
      </c>
      <c r="M125" s="219" t="str">
        <f t="array" ref="M125">INDEX(postDEL!$A$2:$AL799,$O125,15)</f>
        <v/>
      </c>
      <c r="N125" s="110">
        <f>COUNTIF(postDEL!$A$2:$A799,A125)</f>
        <v>1</v>
      </c>
      <c r="O125" s="19">
        <f>MATCH(A125,postDEL!A$2:A799,0)</f>
        <v>124</v>
      </c>
      <c r="P125" s="10" t="str">
        <f t="shared" si="1"/>
        <v/>
      </c>
      <c r="Q125" s="220">
        <f t="shared" si="2"/>
        <v>0</v>
      </c>
      <c r="R125" s="5"/>
    </row>
    <row r="126">
      <c r="A126" s="221" t="s">
        <v>648</v>
      </c>
      <c r="B126" s="217">
        <f t="array" ref="B126">INDEX(postDEL!$A$2:$P799,$O126,2)</f>
        <v>44571</v>
      </c>
      <c r="C126" s="218">
        <f t="array" ref="C126">INDEX(postDEL!$A$2:$P799,$O126,3)</f>
        <v>0.3492013889</v>
      </c>
      <c r="D126" s="219" t="str">
        <f t="array" ref="D126">INDEX(postDEL!$A$2:$AN799,$O126,39)</f>
        <v>SpBEND985296</v>
      </c>
      <c r="E126" s="219" t="str">
        <f t="array" ref="E126">INDEX(postDEL!$A$2:$P799,$O126,4)</f>
        <v/>
      </c>
      <c r="F126" s="219" t="str">
        <f t="array" ref="F126">INDEX(postDEL!$A$2:$P799,$O126,5)</f>
        <v/>
      </c>
      <c r="G126" s="219" t="str">
        <f t="array" ref="G126">INDEX(postDEL!$A$2:$P799,$O126,11)</f>
        <v>Negative</v>
      </c>
      <c r="H126" s="219" t="str">
        <f t="array" ref="H126">INDEX(postDEL!$A$2:$AL799,$O126,37)</f>
        <v>Negative</v>
      </c>
      <c r="I126" s="217">
        <f t="array" ref="I126">INDEX(postDEL!$A$2:$AL799,$O126,12)</f>
        <v>44571</v>
      </c>
      <c r="J126" s="218">
        <f t="array" ref="J126">INDEX(postDEL!$A$2:$AL799,$O126,13)</f>
        <v>0.4659837963</v>
      </c>
      <c r="K126" s="219" t="str">
        <f t="array" ref="K126">INDEX(postDEL!$A$2:$AL799,$O126,36)</f>
        <v/>
      </c>
      <c r="L126" s="219" t="str">
        <f t="array" ref="L126">INDEX(postDEL!$A$2:$AL799,$O126,38)</f>
        <v/>
      </c>
      <c r="M126" s="219" t="str">
        <f t="array" ref="M126">INDEX(postDEL!$A$2:$AL799,$O126,15)</f>
        <v/>
      </c>
      <c r="N126" s="110">
        <f>COUNTIF(postDEL!$A$2:$A799,A126)</f>
        <v>1</v>
      </c>
      <c r="O126" s="19">
        <f>MATCH(A126,postDEL!A$2:A799,0)</f>
        <v>125</v>
      </c>
      <c r="P126" s="10" t="str">
        <f t="shared" si="1"/>
        <v/>
      </c>
      <c r="Q126" s="220">
        <f t="shared" si="2"/>
        <v>0</v>
      </c>
      <c r="R126" s="5"/>
    </row>
    <row r="127">
      <c r="A127" s="221" t="s">
        <v>651</v>
      </c>
      <c r="B127" s="217">
        <f t="array" ref="B127">INDEX(postDEL!$A$2:$P799,$O127,2)</f>
        <v>44571</v>
      </c>
      <c r="C127" s="218">
        <f t="array" ref="C127">INDEX(postDEL!$A$2:$P799,$O127,3)</f>
        <v>0.3511921296</v>
      </c>
      <c r="D127" s="219" t="str">
        <f t="array" ref="D127">INDEX(postDEL!$A$2:$AN799,$O127,39)</f>
        <v>SpBEND652059</v>
      </c>
      <c r="E127" s="219" t="str">
        <f t="array" ref="E127">INDEX(postDEL!$A$2:$P799,$O127,4)</f>
        <v/>
      </c>
      <c r="F127" s="219" t="str">
        <f t="array" ref="F127">INDEX(postDEL!$A$2:$P799,$O127,5)</f>
        <v/>
      </c>
      <c r="G127" s="219" t="str">
        <f t="array" ref="G127">INDEX(postDEL!$A$2:$P799,$O127,11)</f>
        <v>Positive</v>
      </c>
      <c r="H127" s="219" t="str">
        <f t="array" ref="H127">INDEX(postDEL!$A$2:$AL799,$O127,37)</f>
        <v>Positive</v>
      </c>
      <c r="I127" s="217">
        <f t="array" ref="I127">INDEX(postDEL!$A$2:$AL799,$O127,12)</f>
        <v>44579</v>
      </c>
      <c r="J127" s="218">
        <f t="array" ref="J127">INDEX(postDEL!$A$2:$AL799,$O127,13)</f>
        <v>0.5015740741</v>
      </c>
      <c r="K127" s="219" t="str">
        <f t="array" ref="K127">INDEX(postDEL!$A$2:$AL799,$O127,36)</f>
        <v/>
      </c>
      <c r="L127" s="219" t="str">
        <f t="array" ref="L127">INDEX(postDEL!$A$2:$AL799,$O127,38)</f>
        <v/>
      </c>
      <c r="M127" s="219" t="str">
        <f t="array" ref="M127">INDEX(postDEL!$A$2:$AL799,$O127,15)</f>
        <v/>
      </c>
      <c r="N127" s="110">
        <f>COUNTIF(postDEL!$A$2:$A799,A127)</f>
        <v>1</v>
      </c>
      <c r="O127" s="19">
        <f>MATCH(A127,postDEL!A$2:A799,0)</f>
        <v>126</v>
      </c>
      <c r="P127" s="10" t="str">
        <f t="shared" si="1"/>
        <v/>
      </c>
      <c r="Q127" s="220">
        <f t="shared" si="2"/>
        <v>8</v>
      </c>
      <c r="R127" s="5"/>
    </row>
    <row r="128">
      <c r="A128" s="221" t="s">
        <v>654</v>
      </c>
      <c r="B128" s="217">
        <f t="array" ref="B128">INDEX(postDEL!$A$2:$P799,$O128,2)</f>
        <v>44571</v>
      </c>
      <c r="C128" s="218">
        <f t="array" ref="C128">INDEX(postDEL!$A$2:$P799,$O128,3)</f>
        <v>0.3558796296</v>
      </c>
      <c r="D128" s="219" t="str">
        <f t="array" ref="D128">INDEX(postDEL!$A$2:$AN799,$O128,39)</f>
        <v>SpBEND110967</v>
      </c>
      <c r="E128" s="219" t="str">
        <f t="array" ref="E128">INDEX(postDEL!$A$2:$P799,$O128,4)</f>
        <v/>
      </c>
      <c r="F128" s="219" t="str">
        <f t="array" ref="F128">INDEX(postDEL!$A$2:$P799,$O128,5)</f>
        <v/>
      </c>
      <c r="G128" s="219" t="str">
        <f t="array" ref="G128">INDEX(postDEL!$A$2:$P799,$O128,11)</f>
        <v>Negative</v>
      </c>
      <c r="H128" s="219" t="str">
        <f t="array" ref="H128">INDEX(postDEL!$A$2:$AL799,$O128,37)</f>
        <v>Negative</v>
      </c>
      <c r="I128" s="217">
        <f t="array" ref="I128">INDEX(postDEL!$A$2:$AL799,$O128,12)</f>
        <v>44571</v>
      </c>
      <c r="J128" s="218">
        <f t="array" ref="J128">INDEX(postDEL!$A$2:$AL799,$O128,13)</f>
        <v>0.4659837963</v>
      </c>
      <c r="K128" s="219" t="str">
        <f t="array" ref="K128">INDEX(postDEL!$A$2:$AL799,$O128,36)</f>
        <v/>
      </c>
      <c r="L128" s="219" t="str">
        <f t="array" ref="L128">INDEX(postDEL!$A$2:$AL799,$O128,38)</f>
        <v/>
      </c>
      <c r="M128" s="219" t="str">
        <f t="array" ref="M128">INDEX(postDEL!$A$2:$AL799,$O128,15)</f>
        <v/>
      </c>
      <c r="N128" s="110">
        <f>COUNTIF(postDEL!$A$2:$A799,A128)</f>
        <v>1</v>
      </c>
      <c r="O128" s="19">
        <f>MATCH(A128,postDEL!A$2:A799,0)</f>
        <v>127</v>
      </c>
      <c r="P128" s="10" t="str">
        <f t="shared" si="1"/>
        <v/>
      </c>
      <c r="Q128" s="220">
        <f t="shared" si="2"/>
        <v>0</v>
      </c>
      <c r="R128" s="5"/>
    </row>
    <row r="129">
      <c r="A129" s="221" t="s">
        <v>657</v>
      </c>
      <c r="B129" s="217">
        <f t="array" ref="B129">INDEX(postDEL!$A$2:$P799,$O129,2)</f>
        <v>44571</v>
      </c>
      <c r="C129" s="218">
        <f t="array" ref="C129">INDEX(postDEL!$A$2:$P799,$O129,3)</f>
        <v>0.3882638889</v>
      </c>
      <c r="D129" s="219" t="str">
        <f t="array" ref="D129">INDEX(postDEL!$A$2:$AN799,$O129,39)</f>
        <v>SpBEND394154</v>
      </c>
      <c r="E129" s="219" t="str">
        <f t="array" ref="E129">INDEX(postDEL!$A$2:$P799,$O129,4)</f>
        <v/>
      </c>
      <c r="F129" s="219" t="str">
        <f t="array" ref="F129">INDEX(postDEL!$A$2:$P799,$O129,5)</f>
        <v/>
      </c>
      <c r="G129" s="219" t="str">
        <f t="array" ref="G129">INDEX(postDEL!$A$2:$P799,$O129,11)</f>
        <v>Positive</v>
      </c>
      <c r="H129" s="219" t="str">
        <f t="array" ref="H129">INDEX(postDEL!$A$2:$AL799,$O129,37)</f>
        <v>Positive</v>
      </c>
      <c r="I129" s="217">
        <f t="array" ref="I129">INDEX(postDEL!$A$2:$AL799,$O129,12)</f>
        <v>44579</v>
      </c>
      <c r="J129" s="218">
        <f t="array" ref="J129">INDEX(postDEL!$A$2:$AL799,$O129,13)</f>
        <v>0.5015740741</v>
      </c>
      <c r="K129" s="219" t="str">
        <f t="array" ref="K129">INDEX(postDEL!$A$2:$AL799,$O129,36)</f>
        <v/>
      </c>
      <c r="L129" s="219" t="str">
        <f t="array" ref="L129">INDEX(postDEL!$A$2:$AL799,$O129,38)</f>
        <v/>
      </c>
      <c r="M129" s="219" t="str">
        <f t="array" ref="M129">INDEX(postDEL!$A$2:$AL799,$O129,15)</f>
        <v/>
      </c>
      <c r="N129" s="110">
        <f>COUNTIF(postDEL!$A$2:$A799,A129)</f>
        <v>1</v>
      </c>
      <c r="O129" s="19">
        <f>MATCH(A129,postDEL!A$2:A799,0)</f>
        <v>128</v>
      </c>
      <c r="P129" s="10" t="str">
        <f t="shared" si="1"/>
        <v/>
      </c>
      <c r="Q129" s="220">
        <f t="shared" si="2"/>
        <v>8</v>
      </c>
      <c r="R129" s="5"/>
    </row>
    <row r="130">
      <c r="A130" s="221" t="s">
        <v>663</v>
      </c>
      <c r="B130" s="217">
        <f t="array" ref="B130">INDEX(postDEL!$A$2:$P799,$O130,2)</f>
        <v>44571</v>
      </c>
      <c r="C130" s="218">
        <f t="array" ref="C130">INDEX(postDEL!$A$2:$P799,$O130,3)</f>
        <v>0.3888078704</v>
      </c>
      <c r="D130" s="219" t="str">
        <f t="array" ref="D130">INDEX(postDEL!$A$2:$AN799,$O130,39)</f>
        <v>SpBEND394154</v>
      </c>
      <c r="E130" s="219" t="str">
        <f t="array" ref="E130">INDEX(postDEL!$A$2:$P799,$O130,4)</f>
        <v/>
      </c>
      <c r="F130" s="219" t="str">
        <f t="array" ref="F130">INDEX(postDEL!$A$2:$P799,$O130,5)</f>
        <v/>
      </c>
      <c r="G130" s="219" t="str">
        <f t="array" ref="G130">INDEX(postDEL!$A$2:$P799,$O130,11)</f>
        <v>Positive</v>
      </c>
      <c r="H130" s="219" t="str">
        <f t="array" ref="H130">INDEX(postDEL!$A$2:$AL799,$O130,37)</f>
        <v>Positive</v>
      </c>
      <c r="I130" s="217">
        <f t="array" ref="I130">INDEX(postDEL!$A$2:$AL799,$O130,12)</f>
        <v>44579</v>
      </c>
      <c r="J130" s="218">
        <f t="array" ref="J130">INDEX(postDEL!$A$2:$AL799,$O130,13)</f>
        <v>0.5015740741</v>
      </c>
      <c r="K130" s="219" t="str">
        <f t="array" ref="K130">INDEX(postDEL!$A$2:$AL799,$O130,36)</f>
        <v/>
      </c>
      <c r="L130" s="219" t="str">
        <f t="array" ref="L130">INDEX(postDEL!$A$2:$AL799,$O130,38)</f>
        <v/>
      </c>
      <c r="M130" s="219" t="str">
        <f t="array" ref="M130">INDEX(postDEL!$A$2:$AL799,$O130,15)</f>
        <v/>
      </c>
      <c r="N130" s="110">
        <f>COUNTIF(postDEL!$A$2:$A799,A130)</f>
        <v>1</v>
      </c>
      <c r="O130" s="19">
        <f>MATCH(A130,postDEL!A$2:A799,0)</f>
        <v>129</v>
      </c>
      <c r="P130" s="10" t="str">
        <f t="shared" si="1"/>
        <v/>
      </c>
      <c r="Q130" s="220">
        <f t="shared" si="2"/>
        <v>8</v>
      </c>
      <c r="R130" s="5"/>
    </row>
    <row r="131">
      <c r="A131" s="221" t="s">
        <v>665</v>
      </c>
      <c r="B131" s="217">
        <f t="array" ref="B131">INDEX(postDEL!$A$2:$P799,$O131,2)</f>
        <v>44571</v>
      </c>
      <c r="C131" s="218">
        <f t="array" ref="C131">INDEX(postDEL!$A$2:$P799,$O131,3)</f>
        <v>0.3893634259</v>
      </c>
      <c r="D131" s="219" t="str">
        <f t="array" ref="D131">INDEX(postDEL!$A$2:$AN799,$O131,39)</f>
        <v>SpBEND394154</v>
      </c>
      <c r="E131" s="219" t="str">
        <f t="array" ref="E131">INDEX(postDEL!$A$2:$P799,$O131,4)</f>
        <v/>
      </c>
      <c r="F131" s="219" t="str">
        <f t="array" ref="F131">INDEX(postDEL!$A$2:$P799,$O131,5)</f>
        <v/>
      </c>
      <c r="G131" s="219" t="str">
        <f t="array" ref="G131">INDEX(postDEL!$A$2:$P799,$O131,11)</f>
        <v>Positive</v>
      </c>
      <c r="H131" s="219" t="str">
        <f t="array" ref="H131">INDEX(postDEL!$A$2:$AL799,$O131,37)</f>
        <v>Positive</v>
      </c>
      <c r="I131" s="217">
        <f t="array" ref="I131">INDEX(postDEL!$A$2:$AL799,$O131,12)</f>
        <v>44579</v>
      </c>
      <c r="J131" s="218">
        <f t="array" ref="J131">INDEX(postDEL!$A$2:$AL799,$O131,13)</f>
        <v>0.5015740741</v>
      </c>
      <c r="K131" s="219" t="str">
        <f t="array" ref="K131">INDEX(postDEL!$A$2:$AL799,$O131,36)</f>
        <v/>
      </c>
      <c r="L131" s="219" t="str">
        <f t="array" ref="L131">INDEX(postDEL!$A$2:$AL799,$O131,38)</f>
        <v/>
      </c>
      <c r="M131" s="219" t="str">
        <f t="array" ref="M131">INDEX(postDEL!$A$2:$AL799,$O131,15)</f>
        <v/>
      </c>
      <c r="N131" s="110">
        <f>COUNTIF(postDEL!$A$2:$A799,A131)</f>
        <v>1</v>
      </c>
      <c r="O131" s="19">
        <f>MATCH(A131,postDEL!A$2:A799,0)</f>
        <v>130</v>
      </c>
      <c r="P131" s="10" t="str">
        <f t="shared" si="1"/>
        <v/>
      </c>
      <c r="Q131" s="220">
        <f t="shared" si="2"/>
        <v>8</v>
      </c>
      <c r="R131" s="5"/>
    </row>
    <row r="132">
      <c r="A132" s="221" t="s">
        <v>668</v>
      </c>
      <c r="B132" s="217">
        <f t="array" ref="B132">INDEX(postDEL!$A$2:$P799,$O132,2)</f>
        <v>44571</v>
      </c>
      <c r="C132" s="218">
        <f t="array" ref="C132">INDEX(postDEL!$A$2:$P799,$O132,3)</f>
        <v>0.3899768519</v>
      </c>
      <c r="D132" s="219" t="str">
        <f t="array" ref="D132">INDEX(postDEL!$A$2:$AN799,$O132,39)</f>
        <v>SpBEND394154</v>
      </c>
      <c r="E132" s="219" t="str">
        <f t="array" ref="E132">INDEX(postDEL!$A$2:$P799,$O132,4)</f>
        <v/>
      </c>
      <c r="F132" s="219" t="str">
        <f t="array" ref="F132">INDEX(postDEL!$A$2:$P799,$O132,5)</f>
        <v/>
      </c>
      <c r="G132" s="219" t="str">
        <f t="array" ref="G132">INDEX(postDEL!$A$2:$P799,$O132,11)</f>
        <v>Positive</v>
      </c>
      <c r="H132" s="219" t="str">
        <f t="array" ref="H132">INDEX(postDEL!$A$2:$AL799,$O132,37)</f>
        <v>Positive</v>
      </c>
      <c r="I132" s="217">
        <f t="array" ref="I132">INDEX(postDEL!$A$2:$AL799,$O132,12)</f>
        <v>44579</v>
      </c>
      <c r="J132" s="218">
        <f t="array" ref="J132">INDEX(postDEL!$A$2:$AL799,$O132,13)</f>
        <v>0.5015740741</v>
      </c>
      <c r="K132" s="219" t="str">
        <f t="array" ref="K132">INDEX(postDEL!$A$2:$AL799,$O132,36)</f>
        <v/>
      </c>
      <c r="L132" s="219" t="str">
        <f t="array" ref="L132">INDEX(postDEL!$A$2:$AL799,$O132,38)</f>
        <v/>
      </c>
      <c r="M132" s="219" t="str">
        <f t="array" ref="M132">INDEX(postDEL!$A$2:$AL799,$O132,15)</f>
        <v/>
      </c>
      <c r="N132" s="110">
        <f>COUNTIF(postDEL!$A$2:$A799,A132)</f>
        <v>1</v>
      </c>
      <c r="O132" s="19">
        <f>MATCH(A132,postDEL!A$2:A799,0)</f>
        <v>131</v>
      </c>
      <c r="P132" s="10" t="str">
        <f t="shared" si="1"/>
        <v/>
      </c>
      <c r="Q132" s="220">
        <f t="shared" si="2"/>
        <v>8</v>
      </c>
      <c r="R132" s="5"/>
    </row>
    <row r="133">
      <c r="A133" s="221" t="s">
        <v>671</v>
      </c>
      <c r="B133" s="217">
        <f t="array" ref="B133">INDEX(postDEL!$A$2:$P799,$O133,2)</f>
        <v>44571</v>
      </c>
      <c r="C133" s="218">
        <f t="array" ref="C133">INDEX(postDEL!$A$2:$P799,$O133,3)</f>
        <v>0.3904398148</v>
      </c>
      <c r="D133" s="219" t="str">
        <f t="array" ref="D133">INDEX(postDEL!$A$2:$AN799,$O133,39)</f>
        <v>SpBEND394154</v>
      </c>
      <c r="E133" s="219" t="str">
        <f t="array" ref="E133">INDEX(postDEL!$A$2:$P799,$O133,4)</f>
        <v/>
      </c>
      <c r="F133" s="219" t="str">
        <f t="array" ref="F133">INDEX(postDEL!$A$2:$P799,$O133,5)</f>
        <v/>
      </c>
      <c r="G133" s="219" t="str">
        <f t="array" ref="G133">INDEX(postDEL!$A$2:$P799,$O133,11)</f>
        <v>Negative</v>
      </c>
      <c r="H133" s="219" t="str">
        <f t="array" ref="H133">INDEX(postDEL!$A$2:$AL799,$O133,37)</f>
        <v>Negative</v>
      </c>
      <c r="I133" s="217">
        <f t="array" ref="I133">INDEX(postDEL!$A$2:$AL799,$O133,12)</f>
        <v>44571</v>
      </c>
      <c r="J133" s="218">
        <f t="array" ref="J133">INDEX(postDEL!$A$2:$AL799,$O133,13)</f>
        <v>0.4659837963</v>
      </c>
      <c r="K133" s="219" t="str">
        <f t="array" ref="K133">INDEX(postDEL!$A$2:$AL799,$O133,36)</f>
        <v/>
      </c>
      <c r="L133" s="219" t="str">
        <f t="array" ref="L133">INDEX(postDEL!$A$2:$AL799,$O133,38)</f>
        <v/>
      </c>
      <c r="M133" s="219" t="str">
        <f t="array" ref="M133">INDEX(postDEL!$A$2:$AL799,$O133,15)</f>
        <v/>
      </c>
      <c r="N133" s="110">
        <f>COUNTIF(postDEL!$A$2:$A799,A133)</f>
        <v>1</v>
      </c>
      <c r="O133" s="19">
        <f>MATCH(A133,postDEL!A$2:A799,0)</f>
        <v>132</v>
      </c>
      <c r="P133" s="10" t="str">
        <f t="shared" si="1"/>
        <v/>
      </c>
      <c r="Q133" s="220">
        <f t="shared" si="2"/>
        <v>0</v>
      </c>
      <c r="R133" s="5"/>
    </row>
    <row r="134">
      <c r="A134" s="221" t="s">
        <v>674</v>
      </c>
      <c r="B134" s="217">
        <f t="array" ref="B134">INDEX(postDEL!$A$2:$P799,$O134,2)</f>
        <v>44571</v>
      </c>
      <c r="C134" s="218">
        <f t="array" ref="C134">INDEX(postDEL!$A$2:$P799,$O134,3)</f>
        <v>0.391412037</v>
      </c>
      <c r="D134" s="219" t="str">
        <f t="array" ref="D134">INDEX(postDEL!$A$2:$AN799,$O134,39)</f>
        <v>SpBEND394154</v>
      </c>
      <c r="E134" s="219" t="str">
        <f t="array" ref="E134">INDEX(postDEL!$A$2:$P799,$O134,4)</f>
        <v/>
      </c>
      <c r="F134" s="219" t="str">
        <f t="array" ref="F134">INDEX(postDEL!$A$2:$P799,$O134,5)</f>
        <v/>
      </c>
      <c r="G134" s="219" t="str">
        <f t="array" ref="G134">INDEX(postDEL!$A$2:$P799,$O134,11)</f>
        <v>Negative</v>
      </c>
      <c r="H134" s="219" t="str">
        <f t="array" ref="H134">INDEX(postDEL!$A$2:$AL799,$O134,37)</f>
        <v>Negative</v>
      </c>
      <c r="I134" s="217">
        <f t="array" ref="I134">INDEX(postDEL!$A$2:$AL799,$O134,12)</f>
        <v>44571</v>
      </c>
      <c r="J134" s="218">
        <f t="array" ref="J134">INDEX(postDEL!$A$2:$AL799,$O134,13)</f>
        <v>0.4659837963</v>
      </c>
      <c r="K134" s="219" t="str">
        <f t="array" ref="K134">INDEX(postDEL!$A$2:$AL799,$O134,36)</f>
        <v/>
      </c>
      <c r="L134" s="219" t="str">
        <f t="array" ref="L134">INDEX(postDEL!$A$2:$AL799,$O134,38)</f>
        <v/>
      </c>
      <c r="M134" s="219" t="str">
        <f t="array" ref="M134">INDEX(postDEL!$A$2:$AL799,$O134,15)</f>
        <v/>
      </c>
      <c r="N134" s="110">
        <f>COUNTIF(postDEL!$A$2:$A799,A134)</f>
        <v>1</v>
      </c>
      <c r="O134" s="19">
        <f>MATCH(A134,postDEL!A$2:A799,0)</f>
        <v>133</v>
      </c>
      <c r="P134" s="10" t="str">
        <f t="shared" si="1"/>
        <v/>
      </c>
      <c r="Q134" s="220">
        <f t="shared" si="2"/>
        <v>0</v>
      </c>
      <c r="R134" s="5"/>
    </row>
    <row r="135">
      <c r="A135" s="221" t="s">
        <v>677</v>
      </c>
      <c r="B135" s="217">
        <f t="array" ref="B135">INDEX(postDEL!$A$2:$P799,$O135,2)</f>
        <v>44571</v>
      </c>
      <c r="C135" s="218">
        <f t="array" ref="C135">INDEX(postDEL!$A$2:$P799,$O135,3)</f>
        <v>0.3919444444</v>
      </c>
      <c r="D135" s="219" t="str">
        <f t="array" ref="D135">INDEX(postDEL!$A$2:$AN799,$O135,39)</f>
        <v>SpBEND394154</v>
      </c>
      <c r="E135" s="219" t="str">
        <f t="array" ref="E135">INDEX(postDEL!$A$2:$P799,$O135,4)</f>
        <v/>
      </c>
      <c r="F135" s="219" t="str">
        <f t="array" ref="F135">INDEX(postDEL!$A$2:$P799,$O135,5)</f>
        <v/>
      </c>
      <c r="G135" s="219" t="str">
        <f t="array" ref="G135">INDEX(postDEL!$A$2:$P799,$O135,11)</f>
        <v>Negative</v>
      </c>
      <c r="H135" s="219" t="str">
        <f t="array" ref="H135">INDEX(postDEL!$A$2:$AL799,$O135,37)</f>
        <v>Negative</v>
      </c>
      <c r="I135" s="217">
        <f t="array" ref="I135">INDEX(postDEL!$A$2:$AL799,$O135,12)</f>
        <v>44571</v>
      </c>
      <c r="J135" s="218">
        <f t="array" ref="J135">INDEX(postDEL!$A$2:$AL799,$O135,13)</f>
        <v>0.4659837963</v>
      </c>
      <c r="K135" s="219" t="str">
        <f t="array" ref="K135">INDEX(postDEL!$A$2:$AL799,$O135,36)</f>
        <v/>
      </c>
      <c r="L135" s="219" t="str">
        <f t="array" ref="L135">INDEX(postDEL!$A$2:$AL799,$O135,38)</f>
        <v/>
      </c>
      <c r="M135" s="219" t="str">
        <f t="array" ref="M135">INDEX(postDEL!$A$2:$AL799,$O135,15)</f>
        <v/>
      </c>
      <c r="N135" s="110">
        <f>COUNTIF(postDEL!$A$2:$A799,A135)</f>
        <v>1</v>
      </c>
      <c r="O135" s="19">
        <f>MATCH(A135,postDEL!A$2:A799,0)</f>
        <v>134</v>
      </c>
      <c r="P135" s="10" t="str">
        <f t="shared" si="1"/>
        <v/>
      </c>
      <c r="Q135" s="220">
        <f t="shared" si="2"/>
        <v>0</v>
      </c>
      <c r="R135" s="5"/>
    </row>
    <row r="136">
      <c r="A136" s="221" t="s">
        <v>680</v>
      </c>
      <c r="B136" s="217">
        <f t="array" ref="B136">INDEX(postDEL!$A$2:$P799,$O136,2)</f>
        <v>44571</v>
      </c>
      <c r="C136" s="218">
        <f t="array" ref="C136">INDEX(postDEL!$A$2:$P799,$O136,3)</f>
        <v>0.3924884259</v>
      </c>
      <c r="D136" s="219" t="str">
        <f t="array" ref="D136">INDEX(postDEL!$A$2:$AN799,$O136,39)</f>
        <v>SpBEND394154</v>
      </c>
      <c r="E136" s="219" t="str">
        <f t="array" ref="E136">INDEX(postDEL!$A$2:$P799,$O136,4)</f>
        <v/>
      </c>
      <c r="F136" s="219" t="str">
        <f t="array" ref="F136">INDEX(postDEL!$A$2:$P799,$O136,5)</f>
        <v/>
      </c>
      <c r="G136" s="219" t="str">
        <f t="array" ref="G136">INDEX(postDEL!$A$2:$P799,$O136,11)</f>
        <v>Negative</v>
      </c>
      <c r="H136" s="219" t="str">
        <f t="array" ref="H136">INDEX(postDEL!$A$2:$AL799,$O136,37)</f>
        <v>Negative</v>
      </c>
      <c r="I136" s="217">
        <f t="array" ref="I136">INDEX(postDEL!$A$2:$AL799,$O136,12)</f>
        <v>44571</v>
      </c>
      <c r="J136" s="218">
        <f t="array" ref="J136">INDEX(postDEL!$A$2:$AL799,$O136,13)</f>
        <v>0.4659837963</v>
      </c>
      <c r="K136" s="219" t="str">
        <f t="array" ref="K136">INDEX(postDEL!$A$2:$AL799,$O136,36)</f>
        <v/>
      </c>
      <c r="L136" s="219" t="str">
        <f t="array" ref="L136">INDEX(postDEL!$A$2:$AL799,$O136,38)</f>
        <v/>
      </c>
      <c r="M136" s="219" t="str">
        <f t="array" ref="M136">INDEX(postDEL!$A$2:$AL799,$O136,15)</f>
        <v/>
      </c>
      <c r="N136" s="110">
        <f>COUNTIF(postDEL!$A$2:$A799,A136)</f>
        <v>1</v>
      </c>
      <c r="O136" s="19">
        <f>MATCH(A136,postDEL!A$2:A799,0)</f>
        <v>135</v>
      </c>
      <c r="P136" s="10" t="str">
        <f t="shared" si="1"/>
        <v/>
      </c>
      <c r="Q136" s="220">
        <f t="shared" si="2"/>
        <v>0</v>
      </c>
      <c r="R136" s="5"/>
    </row>
    <row r="137">
      <c r="A137" s="221" t="s">
        <v>683</v>
      </c>
      <c r="B137" s="217">
        <f t="array" ref="B137">INDEX(postDEL!$A$2:$P799,$O137,2)</f>
        <v>44571</v>
      </c>
      <c r="C137" s="218">
        <f t="array" ref="C137">INDEX(postDEL!$A$2:$P799,$O137,3)</f>
        <v>0.3928935185</v>
      </c>
      <c r="D137" s="219" t="str">
        <f t="array" ref="D137">INDEX(postDEL!$A$2:$AN799,$O137,39)</f>
        <v>SpBEND394154</v>
      </c>
      <c r="E137" s="219" t="str">
        <f t="array" ref="E137">INDEX(postDEL!$A$2:$P799,$O137,4)</f>
        <v/>
      </c>
      <c r="F137" s="219" t="str">
        <f t="array" ref="F137">INDEX(postDEL!$A$2:$P799,$O137,5)</f>
        <v/>
      </c>
      <c r="G137" s="219" t="str">
        <f t="array" ref="G137">INDEX(postDEL!$A$2:$P799,$O137,11)</f>
        <v>Positive</v>
      </c>
      <c r="H137" s="219" t="str">
        <f t="array" ref="H137">INDEX(postDEL!$A$2:$AL799,$O137,37)</f>
        <v>Positive</v>
      </c>
      <c r="I137" s="217">
        <f t="array" ref="I137">INDEX(postDEL!$A$2:$AL799,$O137,12)</f>
        <v>44579</v>
      </c>
      <c r="J137" s="218">
        <f t="array" ref="J137">INDEX(postDEL!$A$2:$AL799,$O137,13)</f>
        <v>0.5015740741</v>
      </c>
      <c r="K137" s="219" t="str">
        <f t="array" ref="K137">INDEX(postDEL!$A$2:$AL799,$O137,36)</f>
        <v/>
      </c>
      <c r="L137" s="219" t="str">
        <f t="array" ref="L137">INDEX(postDEL!$A$2:$AL799,$O137,38)</f>
        <v/>
      </c>
      <c r="M137" s="219" t="str">
        <f t="array" ref="M137">INDEX(postDEL!$A$2:$AL799,$O137,15)</f>
        <v/>
      </c>
      <c r="N137" s="110">
        <f>COUNTIF(postDEL!$A$2:$A799,A137)</f>
        <v>1</v>
      </c>
      <c r="O137" s="19">
        <f>MATCH(A137,postDEL!A$2:A799,0)</f>
        <v>136</v>
      </c>
      <c r="P137" s="10" t="str">
        <f t="shared" si="1"/>
        <v/>
      </c>
      <c r="Q137" s="220">
        <f t="shared" si="2"/>
        <v>8</v>
      </c>
      <c r="R137" s="5"/>
    </row>
    <row r="138">
      <c r="A138" s="221" t="s">
        <v>686</v>
      </c>
      <c r="B138" s="217">
        <f t="array" ref="B138">INDEX(postDEL!$A$2:$P799,$O138,2)</f>
        <v>44571</v>
      </c>
      <c r="C138" s="218">
        <f t="array" ref="C138">INDEX(postDEL!$A$2:$P799,$O138,3)</f>
        <v>0.4259490741</v>
      </c>
      <c r="D138" s="219" t="str">
        <f t="array" ref="D138">INDEX(postDEL!$A$2:$AN799,$O138,39)</f>
        <v>SpBEND394154</v>
      </c>
      <c r="E138" s="219" t="str">
        <f t="array" ref="E138">INDEX(postDEL!$A$2:$P799,$O138,4)</f>
        <v/>
      </c>
      <c r="F138" s="219" t="str">
        <f t="array" ref="F138">INDEX(postDEL!$A$2:$P799,$O138,5)</f>
        <v/>
      </c>
      <c r="G138" s="219" t="str">
        <f t="array" ref="G138">INDEX(postDEL!$A$2:$P799,$O138,11)</f>
        <v>Negative</v>
      </c>
      <c r="H138" s="219" t="str">
        <f t="array" ref="H138">INDEX(postDEL!$A$2:$AL799,$O138,37)</f>
        <v>Negative</v>
      </c>
      <c r="I138" s="217">
        <f t="array" ref="I138">INDEX(postDEL!$A$2:$AL799,$O138,12)</f>
        <v>44571</v>
      </c>
      <c r="J138" s="218">
        <f t="array" ref="J138">INDEX(postDEL!$A$2:$AL799,$O138,13)</f>
        <v>0.4659837963</v>
      </c>
      <c r="K138" s="219" t="str">
        <f t="array" ref="K138">INDEX(postDEL!$A$2:$AL799,$O138,36)</f>
        <v/>
      </c>
      <c r="L138" s="219" t="str">
        <f t="array" ref="L138">INDEX(postDEL!$A$2:$AL799,$O138,38)</f>
        <v/>
      </c>
      <c r="M138" s="219" t="str">
        <f t="array" ref="M138">INDEX(postDEL!$A$2:$AL799,$O138,15)</f>
        <v/>
      </c>
      <c r="N138" s="110">
        <f>COUNTIF(postDEL!$A$2:$A799,A138)</f>
        <v>1</v>
      </c>
      <c r="O138" s="19">
        <f>MATCH(A138,postDEL!A$2:A799,0)</f>
        <v>137</v>
      </c>
      <c r="P138" s="10" t="str">
        <f t="shared" si="1"/>
        <v/>
      </c>
      <c r="Q138" s="220">
        <f t="shared" si="2"/>
        <v>0</v>
      </c>
      <c r="R138" s="5"/>
    </row>
    <row r="139">
      <c r="A139" s="221" t="s">
        <v>689</v>
      </c>
      <c r="B139" s="217">
        <f t="array" ref="B139">INDEX(postDEL!$A$2:$P799,$O139,2)</f>
        <v>44571</v>
      </c>
      <c r="C139" s="218">
        <f t="array" ref="C139">INDEX(postDEL!$A$2:$P799,$O139,3)</f>
        <v>0.4271643519</v>
      </c>
      <c r="D139" s="219" t="str">
        <f t="array" ref="D139">INDEX(postDEL!$A$2:$AN799,$O139,39)</f>
        <v>SpBEND394154</v>
      </c>
      <c r="E139" s="219" t="str">
        <f t="array" ref="E139">INDEX(postDEL!$A$2:$P799,$O139,4)</f>
        <v/>
      </c>
      <c r="F139" s="219" t="str">
        <f t="array" ref="F139">INDEX(postDEL!$A$2:$P799,$O139,5)</f>
        <v/>
      </c>
      <c r="G139" s="219" t="str">
        <f t="array" ref="G139">INDEX(postDEL!$A$2:$P799,$O139,11)</f>
        <v>Positive</v>
      </c>
      <c r="H139" s="219" t="str">
        <f t="array" ref="H139">INDEX(postDEL!$A$2:$AL799,$O139,37)</f>
        <v>Positive</v>
      </c>
      <c r="I139" s="217">
        <f t="array" ref="I139">INDEX(postDEL!$A$2:$AL799,$O139,12)</f>
        <v>44579</v>
      </c>
      <c r="J139" s="218">
        <f t="array" ref="J139">INDEX(postDEL!$A$2:$AL799,$O139,13)</f>
        <v>0.5015740741</v>
      </c>
      <c r="K139" s="219" t="str">
        <f t="array" ref="K139">INDEX(postDEL!$A$2:$AL799,$O139,36)</f>
        <v/>
      </c>
      <c r="L139" s="219" t="str">
        <f t="array" ref="L139">INDEX(postDEL!$A$2:$AL799,$O139,38)</f>
        <v/>
      </c>
      <c r="M139" s="219" t="str">
        <f t="array" ref="M139">INDEX(postDEL!$A$2:$AL799,$O139,15)</f>
        <v/>
      </c>
      <c r="N139" s="110">
        <f>COUNTIF(postDEL!$A$2:$A799,A139)</f>
        <v>1</v>
      </c>
      <c r="O139" s="19">
        <f>MATCH(A139,postDEL!A$2:A799,0)</f>
        <v>138</v>
      </c>
      <c r="P139" s="10" t="str">
        <f t="shared" si="1"/>
        <v/>
      </c>
      <c r="Q139" s="220">
        <f t="shared" si="2"/>
        <v>8</v>
      </c>
      <c r="R139" s="5"/>
    </row>
    <row r="140">
      <c r="A140" s="221" t="s">
        <v>691</v>
      </c>
      <c r="B140" s="217">
        <f t="array" ref="B140">INDEX(postDEL!$A$2:$P799,$O140,2)</f>
        <v>44571</v>
      </c>
      <c r="C140" s="218">
        <f t="array" ref="C140">INDEX(postDEL!$A$2:$P799,$O140,3)</f>
        <v>0.4281134259</v>
      </c>
      <c r="D140" s="219" t="str">
        <f t="array" ref="D140">INDEX(postDEL!$A$2:$AN799,$O140,39)</f>
        <v>SpBEND394154</v>
      </c>
      <c r="E140" s="219" t="str">
        <f t="array" ref="E140">INDEX(postDEL!$A$2:$P799,$O140,4)</f>
        <v/>
      </c>
      <c r="F140" s="219" t="str">
        <f t="array" ref="F140">INDEX(postDEL!$A$2:$P799,$O140,5)</f>
        <v/>
      </c>
      <c r="G140" s="219" t="str">
        <f t="array" ref="G140">INDEX(postDEL!$A$2:$P799,$O140,11)</f>
        <v>Negative</v>
      </c>
      <c r="H140" s="219" t="str">
        <f t="array" ref="H140">INDEX(postDEL!$A$2:$AL799,$O140,37)</f>
        <v>Negative</v>
      </c>
      <c r="I140" s="217">
        <f t="array" ref="I140">INDEX(postDEL!$A$2:$AL799,$O140,12)</f>
        <v>44571</v>
      </c>
      <c r="J140" s="218">
        <f t="array" ref="J140">INDEX(postDEL!$A$2:$AL799,$O140,13)</f>
        <v>0.4659837963</v>
      </c>
      <c r="K140" s="219" t="str">
        <f t="array" ref="K140">INDEX(postDEL!$A$2:$AL799,$O140,36)</f>
        <v/>
      </c>
      <c r="L140" s="219" t="str">
        <f t="array" ref="L140">INDEX(postDEL!$A$2:$AL799,$O140,38)</f>
        <v/>
      </c>
      <c r="M140" s="219" t="str">
        <f t="array" ref="M140">INDEX(postDEL!$A$2:$AL799,$O140,15)</f>
        <v/>
      </c>
      <c r="N140" s="110">
        <f>COUNTIF(postDEL!$A$2:$A799,A140)</f>
        <v>1</v>
      </c>
      <c r="O140" s="19">
        <f>MATCH(A140,postDEL!A$2:A799,0)</f>
        <v>139</v>
      </c>
      <c r="P140" s="10" t="str">
        <f t="shared" si="1"/>
        <v/>
      </c>
      <c r="Q140" s="220">
        <f t="shared" si="2"/>
        <v>0</v>
      </c>
      <c r="R140" s="5"/>
    </row>
    <row r="141">
      <c r="A141" s="221" t="s">
        <v>693</v>
      </c>
      <c r="B141" s="217">
        <f t="array" ref="B141">INDEX(postDEL!$A$2:$P799,$O141,2)</f>
        <v>44571</v>
      </c>
      <c r="C141" s="218">
        <f t="array" ref="C141">INDEX(postDEL!$A$2:$P799,$O141,3)</f>
        <v>0.4286111111</v>
      </c>
      <c r="D141" s="219" t="str">
        <f t="array" ref="D141">INDEX(postDEL!$A$2:$AN799,$O141,39)</f>
        <v>SpBEND394154</v>
      </c>
      <c r="E141" s="219" t="str">
        <f t="array" ref="E141">INDEX(postDEL!$A$2:$P799,$O141,4)</f>
        <v/>
      </c>
      <c r="F141" s="219" t="str">
        <f t="array" ref="F141">INDEX(postDEL!$A$2:$P799,$O141,5)</f>
        <v/>
      </c>
      <c r="G141" s="219" t="str">
        <f t="array" ref="G141">INDEX(postDEL!$A$2:$P799,$O141,11)</f>
        <v>Negative</v>
      </c>
      <c r="H141" s="219" t="str">
        <f t="array" ref="H141">INDEX(postDEL!$A$2:$AL799,$O141,37)</f>
        <v>Negative</v>
      </c>
      <c r="I141" s="217">
        <f t="array" ref="I141">INDEX(postDEL!$A$2:$AL799,$O141,12)</f>
        <v>44571</v>
      </c>
      <c r="J141" s="218">
        <f t="array" ref="J141">INDEX(postDEL!$A$2:$AL799,$O141,13)</f>
        <v>0.4659837963</v>
      </c>
      <c r="K141" s="219" t="str">
        <f t="array" ref="K141">INDEX(postDEL!$A$2:$AL799,$O141,36)</f>
        <v/>
      </c>
      <c r="L141" s="219" t="str">
        <f t="array" ref="L141">INDEX(postDEL!$A$2:$AL799,$O141,38)</f>
        <v/>
      </c>
      <c r="M141" s="219" t="str">
        <f t="array" ref="M141">INDEX(postDEL!$A$2:$AL799,$O141,15)</f>
        <v/>
      </c>
      <c r="N141" s="110">
        <f>COUNTIF(postDEL!$A$2:$A799,A141)</f>
        <v>1</v>
      </c>
      <c r="O141" s="19">
        <f>MATCH(A141,postDEL!A$2:A799,0)</f>
        <v>140</v>
      </c>
      <c r="P141" s="10" t="str">
        <f t="shared" si="1"/>
        <v/>
      </c>
      <c r="Q141" s="220">
        <f t="shared" si="2"/>
        <v>0</v>
      </c>
      <c r="R141" s="5"/>
    </row>
    <row r="142">
      <c r="A142" s="221" t="s">
        <v>695</v>
      </c>
      <c r="B142" s="217">
        <f t="array" ref="B142">INDEX(postDEL!$A$2:$P799,$O142,2)</f>
        <v>44571</v>
      </c>
      <c r="C142" s="218">
        <f t="array" ref="C142">INDEX(postDEL!$A$2:$P799,$O142,3)</f>
        <v>0.4290162037</v>
      </c>
      <c r="D142" s="219" t="str">
        <f t="array" ref="D142">INDEX(postDEL!$A$2:$AN799,$O142,39)</f>
        <v>SpBEND394154</v>
      </c>
      <c r="E142" s="219" t="str">
        <f t="array" ref="E142">INDEX(postDEL!$A$2:$P799,$O142,4)</f>
        <v/>
      </c>
      <c r="F142" s="219" t="str">
        <f t="array" ref="F142">INDEX(postDEL!$A$2:$P799,$O142,5)</f>
        <v/>
      </c>
      <c r="G142" s="219" t="str">
        <f t="array" ref="G142">INDEX(postDEL!$A$2:$P799,$O142,11)</f>
        <v>Negative</v>
      </c>
      <c r="H142" s="219" t="str">
        <f t="array" ref="H142">INDEX(postDEL!$A$2:$AL799,$O142,37)</f>
        <v>Negative</v>
      </c>
      <c r="I142" s="217">
        <f t="array" ref="I142">INDEX(postDEL!$A$2:$AL799,$O142,12)</f>
        <v>44571</v>
      </c>
      <c r="J142" s="218">
        <f t="array" ref="J142">INDEX(postDEL!$A$2:$AL799,$O142,13)</f>
        <v>0.4659837963</v>
      </c>
      <c r="K142" s="219" t="str">
        <f t="array" ref="K142">INDEX(postDEL!$A$2:$AL799,$O142,36)</f>
        <v/>
      </c>
      <c r="L142" s="219" t="str">
        <f t="array" ref="L142">INDEX(postDEL!$A$2:$AL799,$O142,38)</f>
        <v/>
      </c>
      <c r="M142" s="219" t="str">
        <f t="array" ref="M142">INDEX(postDEL!$A$2:$AL799,$O142,15)</f>
        <v/>
      </c>
      <c r="N142" s="110">
        <f>COUNTIF(postDEL!$A$2:$A799,A142)</f>
        <v>1</v>
      </c>
      <c r="O142" s="19">
        <f>MATCH(A142,postDEL!A$2:A799,0)</f>
        <v>141</v>
      </c>
      <c r="P142" s="10" t="str">
        <f t="shared" si="1"/>
        <v/>
      </c>
      <c r="Q142" s="220">
        <f t="shared" si="2"/>
        <v>0</v>
      </c>
      <c r="R142" s="5"/>
    </row>
    <row r="143">
      <c r="A143" s="221" t="s">
        <v>698</v>
      </c>
      <c r="B143" s="217">
        <f t="array" ref="B143">INDEX(postDEL!$A$2:$P799,$O143,2)</f>
        <v>44571</v>
      </c>
      <c r="C143" s="218">
        <f t="array" ref="C143">INDEX(postDEL!$A$2:$P799,$O143,3)</f>
        <v>0.4294444444</v>
      </c>
      <c r="D143" s="219" t="str">
        <f t="array" ref="D143">INDEX(postDEL!$A$2:$AN799,$O143,39)</f>
        <v>SpBEND394154</v>
      </c>
      <c r="E143" s="219" t="str">
        <f t="array" ref="E143">INDEX(postDEL!$A$2:$P799,$O143,4)</f>
        <v/>
      </c>
      <c r="F143" s="219" t="str">
        <f t="array" ref="F143">INDEX(postDEL!$A$2:$P799,$O143,5)</f>
        <v/>
      </c>
      <c r="G143" s="219" t="str">
        <f t="array" ref="G143">INDEX(postDEL!$A$2:$P799,$O143,11)</f>
        <v>Negative</v>
      </c>
      <c r="H143" s="219" t="str">
        <f t="array" ref="H143">INDEX(postDEL!$A$2:$AL799,$O143,37)</f>
        <v>Negative</v>
      </c>
      <c r="I143" s="217">
        <f t="array" ref="I143">INDEX(postDEL!$A$2:$AL799,$O143,12)</f>
        <v>44571</v>
      </c>
      <c r="J143" s="218">
        <f t="array" ref="J143">INDEX(postDEL!$A$2:$AL799,$O143,13)</f>
        <v>0.4659837963</v>
      </c>
      <c r="K143" s="219" t="str">
        <f t="array" ref="K143">INDEX(postDEL!$A$2:$AL799,$O143,36)</f>
        <v/>
      </c>
      <c r="L143" s="219" t="str">
        <f t="array" ref="L143">INDEX(postDEL!$A$2:$AL799,$O143,38)</f>
        <v/>
      </c>
      <c r="M143" s="219" t="str">
        <f t="array" ref="M143">INDEX(postDEL!$A$2:$AL799,$O143,15)</f>
        <v/>
      </c>
      <c r="N143" s="110">
        <f>COUNTIF(postDEL!$A$2:$A799,A143)</f>
        <v>1</v>
      </c>
      <c r="O143" s="19">
        <f>MATCH(A143,postDEL!A$2:A799,0)</f>
        <v>142</v>
      </c>
      <c r="P143" s="10" t="str">
        <f t="shared" si="1"/>
        <v/>
      </c>
      <c r="Q143" s="220">
        <f t="shared" si="2"/>
        <v>0</v>
      </c>
      <c r="R143" s="5"/>
    </row>
    <row r="144">
      <c r="A144" s="221" t="s">
        <v>705</v>
      </c>
      <c r="B144" s="217">
        <f t="array" ref="B144">INDEX(postDEL!$A$2:$P799,$O144,2)</f>
        <v>44573</v>
      </c>
      <c r="C144" s="218">
        <f t="array" ref="C144">INDEX(postDEL!$A$2:$P799,$O144,3)</f>
        <v>0.2809953704</v>
      </c>
      <c r="D144" s="219" t="str">
        <f t="array" ref="D144">INDEX(postDEL!$A$2:$AN799,$O144,39)</f>
        <v>SpBEND139816</v>
      </c>
      <c r="E144" s="219" t="str">
        <f t="array" ref="E144">INDEX(postDEL!$A$2:$P799,$O144,4)</f>
        <v/>
      </c>
      <c r="F144" s="219" t="str">
        <f t="array" ref="F144">INDEX(postDEL!$A$2:$P799,$O144,5)</f>
        <v/>
      </c>
      <c r="G144" s="219" t="str">
        <f t="array" ref="G144">INDEX(postDEL!$A$2:$P799,$O144,11)</f>
        <v>Negative</v>
      </c>
      <c r="H144" s="219" t="str">
        <f t="array" ref="H144">INDEX(postDEL!$A$2:$AL799,$O144,37)</f>
        <v>Negative</v>
      </c>
      <c r="I144" s="217">
        <f t="array" ref="I144">INDEX(postDEL!$A$2:$AL799,$O144,12)</f>
        <v>44575</v>
      </c>
      <c r="J144" s="218">
        <f t="array" ref="J144">INDEX(postDEL!$A$2:$AL799,$O144,13)</f>
        <v>0.482025463</v>
      </c>
      <c r="K144" s="219" t="str">
        <f t="array" ref="K144">INDEX(postDEL!$A$2:$AL799,$O144,36)</f>
        <v/>
      </c>
      <c r="L144" s="219" t="str">
        <f t="array" ref="L144">INDEX(postDEL!$A$2:$AL799,$O144,38)</f>
        <v/>
      </c>
      <c r="M144" s="219" t="str">
        <f t="array" ref="M144">INDEX(postDEL!$A$2:$AL799,$O144,15)</f>
        <v/>
      </c>
      <c r="N144" s="110">
        <f>COUNTIF(postDEL!$A$2:$A799,A144)</f>
        <v>1</v>
      </c>
      <c r="O144" s="19">
        <f>MATCH(A144,postDEL!A$2:A799,0)</f>
        <v>143</v>
      </c>
      <c r="P144" s="10" t="b">
        <f t="shared" si="1"/>
        <v>1</v>
      </c>
      <c r="Q144" s="220">
        <f t="shared" si="2"/>
        <v>2</v>
      </c>
      <c r="R144" s="5"/>
    </row>
    <row r="145">
      <c r="A145" s="221" t="s">
        <v>707</v>
      </c>
      <c r="B145" s="217">
        <f t="array" ref="B145">INDEX(postDEL!$A$2:$P799,$O145,2)</f>
        <v>44573</v>
      </c>
      <c r="C145" s="218">
        <f t="array" ref="C145">INDEX(postDEL!$A$2:$P799,$O145,3)</f>
        <v>0.2877430556</v>
      </c>
      <c r="D145" s="219" t="str">
        <f t="array" ref="D145">INDEX(postDEL!$A$2:$AN799,$O145,39)</f>
        <v>SpBEND394154</v>
      </c>
      <c r="E145" s="219" t="str">
        <f t="array" ref="E145">INDEX(postDEL!$A$2:$P799,$O145,4)</f>
        <v/>
      </c>
      <c r="F145" s="219" t="str">
        <f t="array" ref="F145">INDEX(postDEL!$A$2:$P799,$O145,5)</f>
        <v/>
      </c>
      <c r="G145" s="219" t="str">
        <f t="array" ref="G145">INDEX(postDEL!$A$2:$P799,$O145,11)</f>
        <v>Negative</v>
      </c>
      <c r="H145" s="219" t="str">
        <f t="array" ref="H145">INDEX(postDEL!$A$2:$AL799,$O145,37)</f>
        <v>Negative</v>
      </c>
      <c r="I145" s="217">
        <f t="array" ref="I145">INDEX(postDEL!$A$2:$AL799,$O145,12)</f>
        <v>44575</v>
      </c>
      <c r="J145" s="218">
        <f t="array" ref="J145">INDEX(postDEL!$A$2:$AL799,$O145,13)</f>
        <v>0.482025463</v>
      </c>
      <c r="K145" s="219" t="str">
        <f t="array" ref="K145">INDEX(postDEL!$A$2:$AL799,$O145,36)</f>
        <v/>
      </c>
      <c r="L145" s="219" t="str">
        <f t="array" ref="L145">INDEX(postDEL!$A$2:$AL799,$O145,38)</f>
        <v/>
      </c>
      <c r="M145" s="219" t="str">
        <f t="array" ref="M145">INDEX(postDEL!$A$2:$AL799,$O145,15)</f>
        <v/>
      </c>
      <c r="N145" s="110">
        <f>COUNTIF(postDEL!$A$2:$A799,A145)</f>
        <v>1</v>
      </c>
      <c r="O145" s="19">
        <f>MATCH(A145,postDEL!A$2:A799,0)</f>
        <v>144</v>
      </c>
      <c r="P145" s="10" t="str">
        <f t="shared" si="1"/>
        <v/>
      </c>
      <c r="Q145" s="220">
        <f t="shared" si="2"/>
        <v>2</v>
      </c>
      <c r="R145" s="5"/>
    </row>
    <row r="146">
      <c r="A146" s="221" t="s">
        <v>710</v>
      </c>
      <c r="B146" s="217">
        <f t="array" ref="B146">INDEX(postDEL!$A$2:$P799,$O146,2)</f>
        <v>44573</v>
      </c>
      <c r="C146" s="218">
        <f t="array" ref="C146">INDEX(postDEL!$A$2:$P799,$O146,3)</f>
        <v>0.2912037037</v>
      </c>
      <c r="D146" s="219" t="str">
        <f t="array" ref="D146">INDEX(postDEL!$A$2:$AN799,$O146,39)</f>
        <v>SpBEND551372</v>
      </c>
      <c r="E146" s="219" t="str">
        <f t="array" ref="E146">INDEX(postDEL!$A$2:$P799,$O146,4)</f>
        <v/>
      </c>
      <c r="F146" s="219" t="str">
        <f t="array" ref="F146">INDEX(postDEL!$A$2:$P799,$O146,5)</f>
        <v/>
      </c>
      <c r="G146" s="219" t="str">
        <f t="array" ref="G146">INDEX(postDEL!$A$2:$P799,$O146,11)</f>
        <v>Negative</v>
      </c>
      <c r="H146" s="219" t="str">
        <f t="array" ref="H146">INDEX(postDEL!$A$2:$AL799,$O146,37)</f>
        <v>Negative</v>
      </c>
      <c r="I146" s="217">
        <f t="array" ref="I146">INDEX(postDEL!$A$2:$AL799,$O146,12)</f>
        <v>44575</v>
      </c>
      <c r="J146" s="218">
        <f t="array" ref="J146">INDEX(postDEL!$A$2:$AL799,$O146,13)</f>
        <v>0.482025463</v>
      </c>
      <c r="K146" s="219" t="str">
        <f t="array" ref="K146">INDEX(postDEL!$A$2:$AL799,$O146,36)</f>
        <v/>
      </c>
      <c r="L146" s="219" t="str">
        <f t="array" ref="L146">INDEX(postDEL!$A$2:$AL799,$O146,38)</f>
        <v/>
      </c>
      <c r="M146" s="219" t="str">
        <f t="array" ref="M146">INDEX(postDEL!$A$2:$AL799,$O146,15)</f>
        <v/>
      </c>
      <c r="N146" s="110">
        <f>COUNTIF(postDEL!$A$2:$A799,A146)</f>
        <v>1</v>
      </c>
      <c r="O146" s="19">
        <f>MATCH(A146,postDEL!A$2:A799,0)</f>
        <v>145</v>
      </c>
      <c r="P146" s="10" t="str">
        <f t="shared" si="1"/>
        <v/>
      </c>
      <c r="Q146" s="220">
        <f t="shared" si="2"/>
        <v>2</v>
      </c>
      <c r="R146" s="5"/>
    </row>
    <row r="147">
      <c r="A147" s="221" t="s">
        <v>712</v>
      </c>
      <c r="B147" s="217">
        <f t="array" ref="B147">INDEX(postDEL!$A$2:$P799,$O147,2)</f>
        <v>44573</v>
      </c>
      <c r="C147" s="218">
        <f t="array" ref="C147">INDEX(postDEL!$A$2:$P799,$O147,3)</f>
        <v>0.2979166667</v>
      </c>
      <c r="D147" s="219" t="str">
        <f t="array" ref="D147">INDEX(postDEL!$A$2:$AN799,$O147,39)</f>
        <v>SpBEND481988</v>
      </c>
      <c r="E147" s="219" t="str">
        <f t="array" ref="E147">INDEX(postDEL!$A$2:$P799,$O147,4)</f>
        <v/>
      </c>
      <c r="F147" s="219" t="str">
        <f t="array" ref="F147">INDEX(postDEL!$A$2:$P799,$O147,5)</f>
        <v/>
      </c>
      <c r="G147" s="219" t="str">
        <f t="array" ref="G147">INDEX(postDEL!$A$2:$P799,$O147,11)</f>
        <v>Negative</v>
      </c>
      <c r="H147" s="219" t="str">
        <f t="array" ref="H147">INDEX(postDEL!$A$2:$AL799,$O147,37)</f>
        <v>Negative</v>
      </c>
      <c r="I147" s="217">
        <f t="array" ref="I147">INDEX(postDEL!$A$2:$AL799,$O147,12)</f>
        <v>44575</v>
      </c>
      <c r="J147" s="218">
        <f t="array" ref="J147">INDEX(postDEL!$A$2:$AL799,$O147,13)</f>
        <v>0.482025463</v>
      </c>
      <c r="K147" s="219" t="str">
        <f t="array" ref="K147">INDEX(postDEL!$A$2:$AL799,$O147,36)</f>
        <v/>
      </c>
      <c r="L147" s="219" t="str">
        <f t="array" ref="L147">INDEX(postDEL!$A$2:$AL799,$O147,38)</f>
        <v/>
      </c>
      <c r="M147" s="219" t="str">
        <f t="array" ref="M147">INDEX(postDEL!$A$2:$AL799,$O147,15)</f>
        <v/>
      </c>
      <c r="N147" s="110">
        <f>COUNTIF(postDEL!$A$2:$A799,A147)</f>
        <v>1</v>
      </c>
      <c r="O147" s="19">
        <f>MATCH(A147,postDEL!A$2:A799,0)</f>
        <v>146</v>
      </c>
      <c r="P147" s="10" t="str">
        <f t="shared" si="1"/>
        <v/>
      </c>
      <c r="Q147" s="220">
        <f t="shared" si="2"/>
        <v>2</v>
      </c>
      <c r="R147" s="5"/>
    </row>
    <row r="148">
      <c r="A148" s="221" t="s">
        <v>714</v>
      </c>
      <c r="B148" s="217">
        <f t="array" ref="B148">INDEX(postDEL!$A$2:$P799,$O148,2)</f>
        <v>44573</v>
      </c>
      <c r="C148" s="218">
        <f t="array" ref="C148">INDEX(postDEL!$A$2:$P799,$O148,3)</f>
        <v>0.318275463</v>
      </c>
      <c r="D148" s="219" t="str">
        <f t="array" ref="D148">INDEX(postDEL!$A$2:$AN799,$O148,39)</f>
        <v>SpBEND492052</v>
      </c>
      <c r="E148" s="219" t="str">
        <f t="array" ref="E148">INDEX(postDEL!$A$2:$P799,$O148,4)</f>
        <v/>
      </c>
      <c r="F148" s="219" t="str">
        <f t="array" ref="F148">INDEX(postDEL!$A$2:$P799,$O148,5)</f>
        <v/>
      </c>
      <c r="G148" s="219" t="str">
        <f t="array" ref="G148">INDEX(postDEL!$A$2:$P799,$O148,11)</f>
        <v>Negative</v>
      </c>
      <c r="H148" s="219" t="str">
        <f t="array" ref="H148">INDEX(postDEL!$A$2:$AL799,$O148,37)</f>
        <v>Negative</v>
      </c>
      <c r="I148" s="217">
        <f t="array" ref="I148">INDEX(postDEL!$A$2:$AL799,$O148,12)</f>
        <v>44575</v>
      </c>
      <c r="J148" s="218">
        <f t="array" ref="J148">INDEX(postDEL!$A$2:$AL799,$O148,13)</f>
        <v>0.482025463</v>
      </c>
      <c r="K148" s="219" t="str">
        <f t="array" ref="K148">INDEX(postDEL!$A$2:$AL799,$O148,36)</f>
        <v/>
      </c>
      <c r="L148" s="219" t="str">
        <f t="array" ref="L148">INDEX(postDEL!$A$2:$AL799,$O148,38)</f>
        <v/>
      </c>
      <c r="M148" s="219" t="str">
        <f t="array" ref="M148">INDEX(postDEL!$A$2:$AL799,$O148,15)</f>
        <v/>
      </c>
      <c r="N148" s="110">
        <f>COUNTIF(postDEL!$A$2:$A799,A148)</f>
        <v>1</v>
      </c>
      <c r="O148" s="19">
        <f>MATCH(A148,postDEL!A$2:A799,0)</f>
        <v>147</v>
      </c>
      <c r="P148" s="10" t="str">
        <f t="shared" si="1"/>
        <v/>
      </c>
      <c r="Q148" s="220">
        <f t="shared" si="2"/>
        <v>2</v>
      </c>
      <c r="R148" s="5"/>
    </row>
    <row r="149">
      <c r="A149" s="221" t="s">
        <v>716</v>
      </c>
      <c r="B149" s="217">
        <f t="array" ref="B149">INDEX(postDEL!$A$2:$P799,$O149,2)</f>
        <v>44573</v>
      </c>
      <c r="C149" s="218">
        <f t="array" ref="C149">INDEX(postDEL!$A$2:$P799,$O149,3)</f>
        <v>0.3233796296</v>
      </c>
      <c r="D149" s="219" t="str">
        <f t="array" ref="D149">INDEX(postDEL!$A$2:$AN799,$O149,39)</f>
        <v>SpBEND198321</v>
      </c>
      <c r="E149" s="219" t="str">
        <f t="array" ref="E149">INDEX(postDEL!$A$2:$P799,$O149,4)</f>
        <v/>
      </c>
      <c r="F149" s="219" t="str">
        <f t="array" ref="F149">INDEX(postDEL!$A$2:$P799,$O149,5)</f>
        <v/>
      </c>
      <c r="G149" s="219" t="str">
        <f t="array" ref="G149">INDEX(postDEL!$A$2:$P799,$O149,11)</f>
        <v>Positive</v>
      </c>
      <c r="H149" s="219" t="str">
        <f t="array" ref="H149">INDEX(postDEL!$A$2:$AL799,$O149,37)</f>
        <v>Positive</v>
      </c>
      <c r="I149" s="217">
        <f t="array" ref="I149">INDEX(postDEL!$A$2:$AL799,$O149,12)</f>
        <v>44579</v>
      </c>
      <c r="J149" s="218">
        <f t="array" ref="J149">INDEX(postDEL!$A$2:$AL799,$O149,13)</f>
        <v>0.5015856481</v>
      </c>
      <c r="K149" s="219" t="str">
        <f t="array" ref="K149">INDEX(postDEL!$A$2:$AL799,$O149,36)</f>
        <v/>
      </c>
      <c r="L149" s="219" t="str">
        <f t="array" ref="L149">INDEX(postDEL!$A$2:$AL799,$O149,38)</f>
        <v/>
      </c>
      <c r="M149" s="219" t="str">
        <f t="array" ref="M149">INDEX(postDEL!$A$2:$AL799,$O149,15)</f>
        <v/>
      </c>
      <c r="N149" s="110">
        <f>COUNTIF(postDEL!$A$2:$A799,A149)</f>
        <v>1</v>
      </c>
      <c r="O149" s="19">
        <f>MATCH(A149,postDEL!A$2:A799,0)</f>
        <v>148</v>
      </c>
      <c r="P149" s="10" t="str">
        <f t="shared" si="1"/>
        <v/>
      </c>
      <c r="Q149" s="220">
        <f t="shared" si="2"/>
        <v>6</v>
      </c>
      <c r="R149" s="5"/>
    </row>
    <row r="150">
      <c r="A150" s="221" t="s">
        <v>720</v>
      </c>
      <c r="B150" s="217">
        <f t="array" ref="B150">INDEX(postDEL!$A$2:$P799,$O150,2)</f>
        <v>44573</v>
      </c>
      <c r="C150" s="218">
        <f t="array" ref="C150">INDEX(postDEL!$A$2:$P799,$O150,3)</f>
        <v>0.3285532407</v>
      </c>
      <c r="D150" s="219" t="str">
        <f t="array" ref="D150">INDEX(postDEL!$A$2:$AN799,$O150,39)</f>
        <v>SpBEND825522</v>
      </c>
      <c r="E150" s="219" t="str">
        <f t="array" ref="E150">INDEX(postDEL!$A$2:$P799,$O150,4)</f>
        <v/>
      </c>
      <c r="F150" s="219" t="str">
        <f t="array" ref="F150">INDEX(postDEL!$A$2:$P799,$O150,5)</f>
        <v/>
      </c>
      <c r="G150" s="219" t="str">
        <f t="array" ref="G150">INDEX(postDEL!$A$2:$P799,$O150,11)</f>
        <v>Negative</v>
      </c>
      <c r="H150" s="219" t="str">
        <f t="array" ref="H150">INDEX(postDEL!$A$2:$AL799,$O150,37)</f>
        <v>Negative</v>
      </c>
      <c r="I150" s="217">
        <f t="array" ref="I150">INDEX(postDEL!$A$2:$AL799,$O150,12)</f>
        <v>44575</v>
      </c>
      <c r="J150" s="218">
        <f t="array" ref="J150">INDEX(postDEL!$A$2:$AL799,$O150,13)</f>
        <v>0.482025463</v>
      </c>
      <c r="K150" s="219" t="str">
        <f t="array" ref="K150">INDEX(postDEL!$A$2:$AL799,$O150,36)</f>
        <v/>
      </c>
      <c r="L150" s="219" t="str">
        <f t="array" ref="L150">INDEX(postDEL!$A$2:$AL799,$O150,38)</f>
        <v/>
      </c>
      <c r="M150" s="219" t="str">
        <f t="array" ref="M150">INDEX(postDEL!$A$2:$AL799,$O150,15)</f>
        <v/>
      </c>
      <c r="N150" s="110">
        <f>COUNTIF(postDEL!$A$2:$A799,A150)</f>
        <v>1</v>
      </c>
      <c r="O150" s="19">
        <f>MATCH(A150,postDEL!A$2:A799,0)</f>
        <v>149</v>
      </c>
      <c r="P150" s="10" t="str">
        <f t="shared" si="1"/>
        <v/>
      </c>
      <c r="Q150" s="220">
        <f t="shared" si="2"/>
        <v>2</v>
      </c>
      <c r="R150" s="5"/>
    </row>
    <row r="151">
      <c r="A151" s="221" t="s">
        <v>722</v>
      </c>
      <c r="B151" s="217">
        <f t="array" ref="B151">INDEX(postDEL!$A$2:$P799,$O151,2)</f>
        <v>44573</v>
      </c>
      <c r="C151" s="218">
        <f t="array" ref="C151">INDEX(postDEL!$A$2:$P799,$O151,3)</f>
        <v>0.3347800926</v>
      </c>
      <c r="D151" s="219" t="str">
        <f t="array" ref="D151">INDEX(postDEL!$A$2:$AN799,$O151,39)</f>
        <v>SpBEND349435</v>
      </c>
      <c r="E151" s="219" t="str">
        <f t="array" ref="E151">INDEX(postDEL!$A$2:$P799,$O151,4)</f>
        <v/>
      </c>
      <c r="F151" s="219" t="str">
        <f t="array" ref="F151">INDEX(postDEL!$A$2:$P799,$O151,5)</f>
        <v/>
      </c>
      <c r="G151" s="219" t="str">
        <f t="array" ref="G151">INDEX(postDEL!$A$2:$P799,$O151,11)</f>
        <v>Negative</v>
      </c>
      <c r="H151" s="219" t="str">
        <f t="array" ref="H151">INDEX(postDEL!$A$2:$AL799,$O151,37)</f>
        <v>Negative</v>
      </c>
      <c r="I151" s="217">
        <f t="array" ref="I151">INDEX(postDEL!$A$2:$AL799,$O151,12)</f>
        <v>44575</v>
      </c>
      <c r="J151" s="218">
        <f t="array" ref="J151">INDEX(postDEL!$A$2:$AL799,$O151,13)</f>
        <v>0.482025463</v>
      </c>
      <c r="K151" s="219" t="str">
        <f t="array" ref="K151">INDEX(postDEL!$A$2:$AL799,$O151,36)</f>
        <v/>
      </c>
      <c r="L151" s="219" t="str">
        <f t="array" ref="L151">INDEX(postDEL!$A$2:$AL799,$O151,38)</f>
        <v/>
      </c>
      <c r="M151" s="219" t="str">
        <f t="array" ref="M151">INDEX(postDEL!$A$2:$AL799,$O151,15)</f>
        <v/>
      </c>
      <c r="N151" s="110">
        <f>COUNTIF(postDEL!$A$2:$A799,A151)</f>
        <v>1</v>
      </c>
      <c r="O151" s="19">
        <f>MATCH(A151,postDEL!A$2:A799,0)</f>
        <v>150</v>
      </c>
      <c r="P151" s="10" t="str">
        <f t="shared" si="1"/>
        <v/>
      </c>
      <c r="Q151" s="220">
        <f t="shared" si="2"/>
        <v>2</v>
      </c>
      <c r="R151" s="5"/>
    </row>
    <row r="152">
      <c r="A152" s="221" t="s">
        <v>724</v>
      </c>
      <c r="B152" s="217">
        <f t="array" ref="B152">INDEX(postDEL!$A$2:$P799,$O152,2)</f>
        <v>44573</v>
      </c>
      <c r="C152" s="218">
        <f t="array" ref="C152">INDEX(postDEL!$A$2:$P799,$O152,3)</f>
        <v>0.347650463</v>
      </c>
      <c r="D152" s="219" t="str">
        <f t="array" ref="D152">INDEX(postDEL!$A$2:$AN799,$O152,39)</f>
        <v>SpBEND305944</v>
      </c>
      <c r="E152" s="219" t="str">
        <f t="array" ref="E152">INDEX(postDEL!$A$2:$P799,$O152,4)</f>
        <v/>
      </c>
      <c r="F152" s="219" t="str">
        <f t="array" ref="F152">INDEX(postDEL!$A$2:$P799,$O152,5)</f>
        <v/>
      </c>
      <c r="G152" s="219" t="str">
        <f t="array" ref="G152">INDEX(postDEL!$A$2:$P799,$O152,11)</f>
        <v>Negative</v>
      </c>
      <c r="H152" s="219" t="str">
        <f t="array" ref="H152">INDEX(postDEL!$A$2:$AL799,$O152,37)</f>
        <v>Negative</v>
      </c>
      <c r="I152" s="217">
        <f t="array" ref="I152">INDEX(postDEL!$A$2:$AL799,$O152,12)</f>
        <v>44575</v>
      </c>
      <c r="J152" s="218">
        <f t="array" ref="J152">INDEX(postDEL!$A$2:$AL799,$O152,13)</f>
        <v>0.482025463</v>
      </c>
      <c r="K152" s="219" t="str">
        <f t="array" ref="K152">INDEX(postDEL!$A$2:$AL799,$O152,36)</f>
        <v/>
      </c>
      <c r="L152" s="219" t="str">
        <f t="array" ref="L152">INDEX(postDEL!$A$2:$AL799,$O152,38)</f>
        <v/>
      </c>
      <c r="M152" s="219" t="str">
        <f t="array" ref="M152">INDEX(postDEL!$A$2:$AL799,$O152,15)</f>
        <v/>
      </c>
      <c r="N152" s="110">
        <f>COUNTIF(postDEL!$A$2:$A799,A152)</f>
        <v>1</v>
      </c>
      <c r="O152" s="19">
        <f>MATCH(A152,postDEL!A$2:A799,0)</f>
        <v>151</v>
      </c>
      <c r="P152" s="10" t="str">
        <f t="shared" si="1"/>
        <v/>
      </c>
      <c r="Q152" s="220">
        <f t="shared" si="2"/>
        <v>2</v>
      </c>
      <c r="R152" s="5"/>
    </row>
    <row r="153">
      <c r="A153" s="221" t="s">
        <v>726</v>
      </c>
      <c r="B153" s="217">
        <f t="array" ref="B153">INDEX(postDEL!$A$2:$P799,$O153,2)</f>
        <v>44573</v>
      </c>
      <c r="C153" s="218">
        <f t="array" ref="C153">INDEX(postDEL!$A$2:$P799,$O153,3)</f>
        <v>0.3486574074</v>
      </c>
      <c r="D153" s="219" t="str">
        <f t="array" ref="D153">INDEX(postDEL!$A$2:$AN799,$O153,39)</f>
        <v>SpBEND425753</v>
      </c>
      <c r="E153" s="219" t="str">
        <f t="array" ref="E153">INDEX(postDEL!$A$2:$P799,$O153,4)</f>
        <v/>
      </c>
      <c r="F153" s="219" t="str">
        <f t="array" ref="F153">INDEX(postDEL!$A$2:$P799,$O153,5)</f>
        <v/>
      </c>
      <c r="G153" s="219" t="str">
        <f t="array" ref="G153">INDEX(postDEL!$A$2:$P799,$O153,11)</f>
        <v>Negative</v>
      </c>
      <c r="H153" s="219" t="str">
        <f t="array" ref="H153">INDEX(postDEL!$A$2:$AL799,$O153,37)</f>
        <v>Negative</v>
      </c>
      <c r="I153" s="217">
        <f t="array" ref="I153">INDEX(postDEL!$A$2:$AL799,$O153,12)</f>
        <v>44575</v>
      </c>
      <c r="J153" s="218">
        <f t="array" ref="J153">INDEX(postDEL!$A$2:$AL799,$O153,13)</f>
        <v>0.482025463</v>
      </c>
      <c r="K153" s="219" t="str">
        <f t="array" ref="K153">INDEX(postDEL!$A$2:$AL799,$O153,36)</f>
        <v/>
      </c>
      <c r="L153" s="219" t="str">
        <f t="array" ref="L153">INDEX(postDEL!$A$2:$AL799,$O153,38)</f>
        <v/>
      </c>
      <c r="M153" s="219" t="str">
        <f t="array" ref="M153">INDEX(postDEL!$A$2:$AL799,$O153,15)</f>
        <v/>
      </c>
      <c r="N153" s="110">
        <f>COUNTIF(postDEL!$A$2:$A799,A153)</f>
        <v>1</v>
      </c>
      <c r="O153" s="19">
        <f>MATCH(A153,postDEL!A$2:A799,0)</f>
        <v>152</v>
      </c>
      <c r="P153" s="10" t="str">
        <f t="shared" si="1"/>
        <v/>
      </c>
      <c r="Q153" s="220">
        <f t="shared" si="2"/>
        <v>2</v>
      </c>
      <c r="R153" s="5"/>
    </row>
    <row r="154">
      <c r="A154" s="221" t="s">
        <v>730</v>
      </c>
      <c r="B154" s="217">
        <f t="array" ref="B154">INDEX(postDEL!$A$2:$P799,$O154,2)</f>
        <v>44573</v>
      </c>
      <c r="C154" s="218">
        <f t="array" ref="C154">INDEX(postDEL!$A$2:$P799,$O154,3)</f>
        <v>0.3503009259</v>
      </c>
      <c r="D154" s="219" t="str">
        <f t="array" ref="D154">INDEX(postDEL!$A$2:$AN799,$O154,39)</f>
        <v>SpBEND977859</v>
      </c>
      <c r="E154" s="219" t="str">
        <f t="array" ref="E154">INDEX(postDEL!$A$2:$P799,$O154,4)</f>
        <v/>
      </c>
      <c r="F154" s="219" t="str">
        <f t="array" ref="F154">INDEX(postDEL!$A$2:$P799,$O154,5)</f>
        <v/>
      </c>
      <c r="G154" s="219" t="str">
        <f t="array" ref="G154">INDEX(postDEL!$A$2:$P799,$O154,11)</f>
        <v>Negative</v>
      </c>
      <c r="H154" s="219" t="str">
        <f t="array" ref="H154">INDEX(postDEL!$A$2:$AL799,$O154,37)</f>
        <v>Negative</v>
      </c>
      <c r="I154" s="217">
        <f t="array" ref="I154">INDEX(postDEL!$A$2:$AL799,$O154,12)</f>
        <v>44575</v>
      </c>
      <c r="J154" s="218">
        <f t="array" ref="J154">INDEX(postDEL!$A$2:$AL799,$O154,13)</f>
        <v>0.482037037</v>
      </c>
      <c r="K154" s="219" t="str">
        <f t="array" ref="K154">INDEX(postDEL!$A$2:$AL799,$O154,36)</f>
        <v/>
      </c>
      <c r="L154" s="219" t="str">
        <f t="array" ref="L154">INDEX(postDEL!$A$2:$AL799,$O154,38)</f>
        <v/>
      </c>
      <c r="M154" s="219" t="str">
        <f t="array" ref="M154">INDEX(postDEL!$A$2:$AL799,$O154,15)</f>
        <v/>
      </c>
      <c r="N154" s="110">
        <f>COUNTIF(postDEL!$A$2:$A799,A154)</f>
        <v>1</v>
      </c>
      <c r="O154" s="19">
        <f>MATCH(A154,postDEL!A$2:A799,0)</f>
        <v>153</v>
      </c>
      <c r="P154" s="10" t="str">
        <f t="shared" si="1"/>
        <v/>
      </c>
      <c r="Q154" s="220">
        <f t="shared" si="2"/>
        <v>2</v>
      </c>
      <c r="R154" s="5"/>
    </row>
    <row r="155">
      <c r="A155" s="221" t="s">
        <v>734</v>
      </c>
      <c r="B155" s="217">
        <f t="array" ref="B155">INDEX(postDEL!$A$2:$P799,$O155,2)</f>
        <v>44573</v>
      </c>
      <c r="C155" s="218">
        <f t="array" ref="C155">INDEX(postDEL!$A$2:$P799,$O155,3)</f>
        <v>0.3832986111</v>
      </c>
      <c r="D155" s="219" t="str">
        <f t="array" ref="D155">INDEX(postDEL!$A$2:$AN799,$O155,39)</f>
        <v>SpBEND394154</v>
      </c>
      <c r="E155" s="219" t="str">
        <f t="array" ref="E155">INDEX(postDEL!$A$2:$P799,$O155,4)</f>
        <v/>
      </c>
      <c r="F155" s="219" t="str">
        <f t="array" ref="F155">INDEX(postDEL!$A$2:$P799,$O155,5)</f>
        <v/>
      </c>
      <c r="G155" s="219" t="str">
        <f t="array" ref="G155">INDEX(postDEL!$A$2:$P799,$O155,11)</f>
        <v>Negative</v>
      </c>
      <c r="H155" s="219" t="str">
        <f t="array" ref="H155">INDEX(postDEL!$A$2:$AL799,$O155,37)</f>
        <v>Negative</v>
      </c>
      <c r="I155" s="217">
        <f t="array" ref="I155">INDEX(postDEL!$A$2:$AL799,$O155,12)</f>
        <v>44575</v>
      </c>
      <c r="J155" s="218">
        <f t="array" ref="J155">INDEX(postDEL!$A$2:$AL799,$O155,13)</f>
        <v>0.482037037</v>
      </c>
      <c r="K155" s="219" t="str">
        <f t="array" ref="K155">INDEX(postDEL!$A$2:$AL799,$O155,36)</f>
        <v/>
      </c>
      <c r="L155" s="219" t="str">
        <f t="array" ref="L155">INDEX(postDEL!$A$2:$AL799,$O155,38)</f>
        <v/>
      </c>
      <c r="M155" s="219" t="str">
        <f t="array" ref="M155">INDEX(postDEL!$A$2:$AL799,$O155,15)</f>
        <v/>
      </c>
      <c r="N155" s="110">
        <f>COUNTIF(postDEL!$A$2:$A799,A155)</f>
        <v>1</v>
      </c>
      <c r="O155" s="19">
        <f>MATCH(A155,postDEL!A$2:A799,0)</f>
        <v>154</v>
      </c>
      <c r="P155" s="10" t="str">
        <f t="shared" si="1"/>
        <v/>
      </c>
      <c r="Q155" s="220">
        <f t="shared" si="2"/>
        <v>2</v>
      </c>
      <c r="R155" s="5"/>
    </row>
    <row r="156">
      <c r="A156" s="221" t="s">
        <v>736</v>
      </c>
      <c r="B156" s="217">
        <f t="array" ref="B156">INDEX(postDEL!$A$2:$P799,$O156,2)</f>
        <v>44573</v>
      </c>
      <c r="C156" s="218">
        <f t="array" ref="C156">INDEX(postDEL!$A$2:$P799,$O156,3)</f>
        <v>0.383599537</v>
      </c>
      <c r="D156" s="219" t="str">
        <f t="array" ref="D156">INDEX(postDEL!$A$2:$AN799,$O156,39)</f>
        <v>SpBEND394154</v>
      </c>
      <c r="E156" s="219" t="str">
        <f t="array" ref="E156">INDEX(postDEL!$A$2:$P799,$O156,4)</f>
        <v/>
      </c>
      <c r="F156" s="219" t="str">
        <f t="array" ref="F156">INDEX(postDEL!$A$2:$P799,$O156,5)</f>
        <v/>
      </c>
      <c r="G156" s="219" t="str">
        <f t="array" ref="G156">INDEX(postDEL!$A$2:$P799,$O156,11)</f>
        <v>Positive</v>
      </c>
      <c r="H156" s="219" t="str">
        <f t="array" ref="H156">INDEX(postDEL!$A$2:$AL799,$O156,37)</f>
        <v>Positive</v>
      </c>
      <c r="I156" s="217">
        <f t="array" ref="I156">INDEX(postDEL!$A$2:$AL799,$O156,12)</f>
        <v>44579</v>
      </c>
      <c r="J156" s="218">
        <f t="array" ref="J156">INDEX(postDEL!$A$2:$AL799,$O156,13)</f>
        <v>0.5015856481</v>
      </c>
      <c r="K156" s="219" t="str">
        <f t="array" ref="K156">INDEX(postDEL!$A$2:$AL799,$O156,36)</f>
        <v/>
      </c>
      <c r="L156" s="219" t="str">
        <f t="array" ref="L156">INDEX(postDEL!$A$2:$AL799,$O156,38)</f>
        <v/>
      </c>
      <c r="M156" s="219" t="str">
        <f t="array" ref="M156">INDEX(postDEL!$A$2:$AL799,$O156,15)</f>
        <v/>
      </c>
      <c r="N156" s="110">
        <f>COUNTIF(postDEL!$A$2:$A799,A156)</f>
        <v>1</v>
      </c>
      <c r="O156" s="19">
        <f>MATCH(A156,postDEL!A$2:A799,0)</f>
        <v>155</v>
      </c>
      <c r="P156" s="10" t="str">
        <f t="shared" si="1"/>
        <v/>
      </c>
      <c r="Q156" s="220">
        <f t="shared" si="2"/>
        <v>6</v>
      </c>
      <c r="R156" s="5"/>
    </row>
    <row r="157">
      <c r="A157" s="221" t="s">
        <v>738</v>
      </c>
      <c r="B157" s="217">
        <f t="array" ref="B157">INDEX(postDEL!$A$2:$P799,$O157,2)</f>
        <v>44573</v>
      </c>
      <c r="C157" s="218">
        <f t="array" ref="C157">INDEX(postDEL!$A$2:$P799,$O157,3)</f>
        <v>0.3853819444</v>
      </c>
      <c r="D157" s="219" t="str">
        <f t="array" ref="D157">INDEX(postDEL!$A$2:$AN799,$O157,39)</f>
        <v>SpBEND394154</v>
      </c>
      <c r="E157" s="219" t="str">
        <f t="array" ref="E157">INDEX(postDEL!$A$2:$P799,$O157,4)</f>
        <v/>
      </c>
      <c r="F157" s="219" t="str">
        <f t="array" ref="F157">INDEX(postDEL!$A$2:$P799,$O157,5)</f>
        <v/>
      </c>
      <c r="G157" s="219" t="str">
        <f t="array" ref="G157">INDEX(postDEL!$A$2:$P799,$O157,11)</f>
        <v>Negative</v>
      </c>
      <c r="H157" s="219" t="str">
        <f t="array" ref="H157">INDEX(postDEL!$A$2:$AL799,$O157,37)</f>
        <v>Negative</v>
      </c>
      <c r="I157" s="217">
        <f t="array" ref="I157">INDEX(postDEL!$A$2:$AL799,$O157,12)</f>
        <v>44575</v>
      </c>
      <c r="J157" s="218">
        <f t="array" ref="J157">INDEX(postDEL!$A$2:$AL799,$O157,13)</f>
        <v>0.482037037</v>
      </c>
      <c r="K157" s="219" t="str">
        <f t="array" ref="K157">INDEX(postDEL!$A$2:$AL799,$O157,36)</f>
        <v/>
      </c>
      <c r="L157" s="219" t="str">
        <f t="array" ref="L157">INDEX(postDEL!$A$2:$AL799,$O157,38)</f>
        <v/>
      </c>
      <c r="M157" s="219" t="str">
        <f t="array" ref="M157">INDEX(postDEL!$A$2:$AL799,$O157,15)</f>
        <v/>
      </c>
      <c r="N157" s="110">
        <f>COUNTIF(postDEL!$A$2:$A799,A157)</f>
        <v>1</v>
      </c>
      <c r="O157" s="19">
        <f>MATCH(A157,postDEL!A$2:A799,0)</f>
        <v>156</v>
      </c>
      <c r="P157" s="10" t="str">
        <f t="shared" si="1"/>
        <v/>
      </c>
      <c r="Q157" s="220">
        <f t="shared" si="2"/>
        <v>2</v>
      </c>
      <c r="R157" s="5"/>
    </row>
    <row r="158">
      <c r="A158" s="221" t="s">
        <v>740</v>
      </c>
      <c r="B158" s="217">
        <f t="array" ref="B158">INDEX(postDEL!$A$2:$P799,$O158,2)</f>
        <v>44573</v>
      </c>
      <c r="C158" s="218">
        <f t="array" ref="C158">INDEX(postDEL!$A$2:$P799,$O158,3)</f>
        <v>0.3858564815</v>
      </c>
      <c r="D158" s="219" t="str">
        <f t="array" ref="D158">INDEX(postDEL!$A$2:$AN799,$O158,39)</f>
        <v>SpBEND394154</v>
      </c>
      <c r="E158" s="219" t="str">
        <f t="array" ref="E158">INDEX(postDEL!$A$2:$P799,$O158,4)</f>
        <v/>
      </c>
      <c r="F158" s="219" t="str">
        <f t="array" ref="F158">INDEX(postDEL!$A$2:$P799,$O158,5)</f>
        <v/>
      </c>
      <c r="G158" s="219" t="str">
        <f t="array" ref="G158">INDEX(postDEL!$A$2:$P799,$O158,11)</f>
        <v>Positive</v>
      </c>
      <c r="H158" s="219" t="str">
        <f t="array" ref="H158">INDEX(postDEL!$A$2:$AL799,$O158,37)</f>
        <v>Positive</v>
      </c>
      <c r="I158" s="217">
        <f t="array" ref="I158">INDEX(postDEL!$A$2:$AL799,$O158,12)</f>
        <v>44579</v>
      </c>
      <c r="J158" s="218">
        <f t="array" ref="J158">INDEX(postDEL!$A$2:$AL799,$O158,13)</f>
        <v>0.5015856481</v>
      </c>
      <c r="K158" s="219" t="str">
        <f t="array" ref="K158">INDEX(postDEL!$A$2:$AL799,$O158,36)</f>
        <v/>
      </c>
      <c r="L158" s="219" t="str">
        <f t="array" ref="L158">INDEX(postDEL!$A$2:$AL799,$O158,38)</f>
        <v/>
      </c>
      <c r="M158" s="219" t="str">
        <f t="array" ref="M158">INDEX(postDEL!$A$2:$AL799,$O158,15)</f>
        <v/>
      </c>
      <c r="N158" s="110">
        <f>COUNTIF(postDEL!$A$2:$A799,A158)</f>
        <v>1</v>
      </c>
      <c r="O158" s="19">
        <f>MATCH(A158,postDEL!A$2:A799,0)</f>
        <v>157</v>
      </c>
      <c r="P158" s="10" t="str">
        <f t="shared" si="1"/>
        <v/>
      </c>
      <c r="Q158" s="220">
        <f t="shared" si="2"/>
        <v>6</v>
      </c>
      <c r="R158" s="5"/>
    </row>
    <row r="159">
      <c r="A159" s="221" t="s">
        <v>743</v>
      </c>
      <c r="B159" s="217">
        <f t="array" ref="B159">INDEX(postDEL!$A$2:$P799,$O159,2)</f>
        <v>44573</v>
      </c>
      <c r="C159" s="218">
        <f t="array" ref="C159">INDEX(postDEL!$A$2:$P799,$O159,3)</f>
        <v>0.3863194444</v>
      </c>
      <c r="D159" s="219" t="str">
        <f t="array" ref="D159">INDEX(postDEL!$A$2:$AN799,$O159,39)</f>
        <v>SpBEND394154</v>
      </c>
      <c r="E159" s="219" t="str">
        <f t="array" ref="E159">INDEX(postDEL!$A$2:$P799,$O159,4)</f>
        <v/>
      </c>
      <c r="F159" s="219" t="str">
        <f t="array" ref="F159">INDEX(postDEL!$A$2:$P799,$O159,5)</f>
        <v/>
      </c>
      <c r="G159" s="219" t="str">
        <f t="array" ref="G159">INDEX(postDEL!$A$2:$P799,$O159,11)</f>
        <v>Negative</v>
      </c>
      <c r="H159" s="219" t="str">
        <f t="array" ref="H159">INDEX(postDEL!$A$2:$AL799,$O159,37)</f>
        <v>Negative</v>
      </c>
      <c r="I159" s="217">
        <f t="array" ref="I159">INDEX(postDEL!$A$2:$AL799,$O159,12)</f>
        <v>44575</v>
      </c>
      <c r="J159" s="218">
        <f t="array" ref="J159">INDEX(postDEL!$A$2:$AL799,$O159,13)</f>
        <v>0.482037037</v>
      </c>
      <c r="K159" s="219" t="str">
        <f t="array" ref="K159">INDEX(postDEL!$A$2:$AL799,$O159,36)</f>
        <v/>
      </c>
      <c r="L159" s="219" t="str">
        <f t="array" ref="L159">INDEX(postDEL!$A$2:$AL799,$O159,38)</f>
        <v/>
      </c>
      <c r="M159" s="219" t="str">
        <f t="array" ref="M159">INDEX(postDEL!$A$2:$AL799,$O159,15)</f>
        <v/>
      </c>
      <c r="N159" s="110">
        <f>COUNTIF(postDEL!$A$2:$A799,A159)</f>
        <v>1</v>
      </c>
      <c r="O159" s="19">
        <f>MATCH(A159,postDEL!A$2:A799,0)</f>
        <v>158</v>
      </c>
      <c r="P159" s="10" t="str">
        <f t="shared" si="1"/>
        <v/>
      </c>
      <c r="Q159" s="220">
        <f t="shared" si="2"/>
        <v>2</v>
      </c>
      <c r="R159" s="5"/>
    </row>
    <row r="160">
      <c r="A160" s="221" t="s">
        <v>745</v>
      </c>
      <c r="B160" s="217">
        <f t="array" ref="B160">INDEX(postDEL!$A$2:$P799,$O160,2)</f>
        <v>44573</v>
      </c>
      <c r="C160" s="218">
        <f t="array" ref="C160">INDEX(postDEL!$A$2:$P799,$O160,3)</f>
        <v>0.3869444444</v>
      </c>
      <c r="D160" s="219" t="str">
        <f t="array" ref="D160">INDEX(postDEL!$A$2:$AN799,$O160,39)</f>
        <v>SpBEND394154</v>
      </c>
      <c r="E160" s="219" t="str">
        <f t="array" ref="E160">INDEX(postDEL!$A$2:$P799,$O160,4)</f>
        <v/>
      </c>
      <c r="F160" s="219" t="str">
        <f t="array" ref="F160">INDEX(postDEL!$A$2:$P799,$O160,5)</f>
        <v/>
      </c>
      <c r="G160" s="219" t="str">
        <f t="array" ref="G160">INDEX(postDEL!$A$2:$P799,$O160,11)</f>
        <v>Positive</v>
      </c>
      <c r="H160" s="219" t="str">
        <f t="array" ref="H160">INDEX(postDEL!$A$2:$AL799,$O160,37)</f>
        <v>Positive</v>
      </c>
      <c r="I160" s="217">
        <f t="array" ref="I160">INDEX(postDEL!$A$2:$AL799,$O160,12)</f>
        <v>44579</v>
      </c>
      <c r="J160" s="218">
        <f t="array" ref="J160">INDEX(postDEL!$A$2:$AL799,$O160,13)</f>
        <v>0.5015856481</v>
      </c>
      <c r="K160" s="219" t="str">
        <f t="array" ref="K160">INDEX(postDEL!$A$2:$AL799,$O160,36)</f>
        <v/>
      </c>
      <c r="L160" s="219" t="str">
        <f t="array" ref="L160">INDEX(postDEL!$A$2:$AL799,$O160,38)</f>
        <v/>
      </c>
      <c r="M160" s="219" t="str">
        <f t="array" ref="M160">INDEX(postDEL!$A$2:$AL799,$O160,15)</f>
        <v/>
      </c>
      <c r="N160" s="110">
        <f>COUNTIF(postDEL!$A$2:$A799,A160)</f>
        <v>1</v>
      </c>
      <c r="O160" s="19">
        <f>MATCH(A160,postDEL!A$2:A799,0)</f>
        <v>159</v>
      </c>
      <c r="P160" s="10" t="str">
        <f t="shared" si="1"/>
        <v/>
      </c>
      <c r="Q160" s="220">
        <f t="shared" si="2"/>
        <v>6</v>
      </c>
      <c r="R160" s="5"/>
    </row>
    <row r="161">
      <c r="A161" s="221" t="s">
        <v>747</v>
      </c>
      <c r="B161" s="217">
        <f t="array" ref="B161">INDEX(postDEL!$A$2:$P799,$O161,2)</f>
        <v>44573</v>
      </c>
      <c r="C161" s="218">
        <f t="array" ref="C161">INDEX(postDEL!$A$2:$P799,$O161,3)</f>
        <v>0.3873263889</v>
      </c>
      <c r="D161" s="219" t="str">
        <f t="array" ref="D161">INDEX(postDEL!$A$2:$AN799,$O161,39)</f>
        <v>SpBEND394154</v>
      </c>
      <c r="E161" s="219" t="str">
        <f t="array" ref="E161">INDEX(postDEL!$A$2:$P799,$O161,4)</f>
        <v/>
      </c>
      <c r="F161" s="219" t="str">
        <f t="array" ref="F161">INDEX(postDEL!$A$2:$P799,$O161,5)</f>
        <v/>
      </c>
      <c r="G161" s="219" t="str">
        <f t="array" ref="G161">INDEX(postDEL!$A$2:$P799,$O161,11)</f>
        <v>Negative</v>
      </c>
      <c r="H161" s="219" t="str">
        <f t="array" ref="H161">INDEX(postDEL!$A$2:$AL799,$O161,37)</f>
        <v>Negative</v>
      </c>
      <c r="I161" s="217">
        <f t="array" ref="I161">INDEX(postDEL!$A$2:$AL799,$O161,12)</f>
        <v>44575</v>
      </c>
      <c r="J161" s="218">
        <f t="array" ref="J161">INDEX(postDEL!$A$2:$AL799,$O161,13)</f>
        <v>0.482037037</v>
      </c>
      <c r="K161" s="219" t="str">
        <f t="array" ref="K161">INDEX(postDEL!$A$2:$AL799,$O161,36)</f>
        <v/>
      </c>
      <c r="L161" s="219" t="str">
        <f t="array" ref="L161">INDEX(postDEL!$A$2:$AL799,$O161,38)</f>
        <v/>
      </c>
      <c r="M161" s="219" t="str">
        <f t="array" ref="M161">INDEX(postDEL!$A$2:$AL799,$O161,15)</f>
        <v/>
      </c>
      <c r="N161" s="110">
        <f>COUNTIF(postDEL!$A$2:$A799,A161)</f>
        <v>1</v>
      </c>
      <c r="O161" s="19">
        <f>MATCH(A161,postDEL!A$2:A799,0)</f>
        <v>160</v>
      </c>
      <c r="P161" s="10" t="str">
        <f t="shared" si="1"/>
        <v/>
      </c>
      <c r="Q161" s="220">
        <f t="shared" si="2"/>
        <v>2</v>
      </c>
      <c r="R161" s="5"/>
    </row>
    <row r="162">
      <c r="A162" s="221" t="s">
        <v>749</v>
      </c>
      <c r="B162" s="217">
        <f t="array" ref="B162">INDEX(postDEL!$A$2:$P799,$O162,2)</f>
        <v>44573</v>
      </c>
      <c r="C162" s="218">
        <f t="array" ref="C162">INDEX(postDEL!$A$2:$P799,$O162,3)</f>
        <v>0.3994444444</v>
      </c>
      <c r="D162" s="219" t="str">
        <f t="array" ref="D162">INDEX(postDEL!$A$2:$AN799,$O162,39)</f>
        <v>SpBEND394154</v>
      </c>
      <c r="E162" s="219" t="str">
        <f t="array" ref="E162">INDEX(postDEL!$A$2:$P799,$O162,4)</f>
        <v/>
      </c>
      <c r="F162" s="219" t="str">
        <f t="array" ref="F162">INDEX(postDEL!$A$2:$P799,$O162,5)</f>
        <v/>
      </c>
      <c r="G162" s="219" t="str">
        <f t="array" ref="G162">INDEX(postDEL!$A$2:$P799,$O162,11)</f>
        <v>Negative</v>
      </c>
      <c r="H162" s="219" t="str">
        <f t="array" ref="H162">INDEX(postDEL!$A$2:$AL799,$O162,37)</f>
        <v>Negative</v>
      </c>
      <c r="I162" s="217">
        <f t="array" ref="I162">INDEX(postDEL!$A$2:$AL799,$O162,12)</f>
        <v>44575</v>
      </c>
      <c r="J162" s="218">
        <f t="array" ref="J162">INDEX(postDEL!$A$2:$AL799,$O162,13)</f>
        <v>0.4820486111</v>
      </c>
      <c r="K162" s="219" t="str">
        <f t="array" ref="K162">INDEX(postDEL!$A$2:$AL799,$O162,36)</f>
        <v/>
      </c>
      <c r="L162" s="219" t="str">
        <f t="array" ref="L162">INDEX(postDEL!$A$2:$AL799,$O162,38)</f>
        <v/>
      </c>
      <c r="M162" s="219" t="str">
        <f t="array" ref="M162">INDEX(postDEL!$A$2:$AL799,$O162,15)</f>
        <v/>
      </c>
      <c r="N162" s="110">
        <f>COUNTIF(postDEL!$A$2:$A799,A162)</f>
        <v>1</v>
      </c>
      <c r="O162" s="19">
        <f>MATCH(A162,postDEL!A$2:A799,0)</f>
        <v>161</v>
      </c>
      <c r="P162" s="10" t="str">
        <f t="shared" si="1"/>
        <v/>
      </c>
      <c r="Q162" s="220">
        <f t="shared" si="2"/>
        <v>2</v>
      </c>
      <c r="R162" s="5"/>
    </row>
    <row r="163">
      <c r="A163" s="221" t="s">
        <v>751</v>
      </c>
      <c r="B163" s="217">
        <f t="array" ref="B163">INDEX(postDEL!$A$2:$P799,$O163,2)</f>
        <v>44573</v>
      </c>
      <c r="C163" s="218">
        <f t="array" ref="C163">INDEX(postDEL!$A$2:$P799,$O163,3)</f>
        <v>0.4143287037</v>
      </c>
      <c r="D163" s="219" t="str">
        <f t="array" ref="D163">INDEX(postDEL!$A$2:$AN799,$O163,39)</f>
        <v>SpBEND394154</v>
      </c>
      <c r="E163" s="219" t="str">
        <f t="array" ref="E163">INDEX(postDEL!$A$2:$P799,$O163,4)</f>
        <v/>
      </c>
      <c r="F163" s="219" t="str">
        <f t="array" ref="F163">INDEX(postDEL!$A$2:$P799,$O163,5)</f>
        <v/>
      </c>
      <c r="G163" s="219" t="str">
        <f t="array" ref="G163">INDEX(postDEL!$A$2:$P799,$O163,11)</f>
        <v>Negative</v>
      </c>
      <c r="H163" s="219" t="str">
        <f t="array" ref="H163">INDEX(postDEL!$A$2:$AL799,$O163,37)</f>
        <v>Negative</v>
      </c>
      <c r="I163" s="217">
        <f t="array" ref="I163">INDEX(postDEL!$A$2:$AL799,$O163,12)</f>
        <v>44575</v>
      </c>
      <c r="J163" s="218">
        <f t="array" ref="J163">INDEX(postDEL!$A$2:$AL799,$O163,13)</f>
        <v>0.4820486111</v>
      </c>
      <c r="K163" s="219" t="str">
        <f t="array" ref="K163">INDEX(postDEL!$A$2:$AL799,$O163,36)</f>
        <v/>
      </c>
      <c r="L163" s="219" t="str">
        <f t="array" ref="L163">INDEX(postDEL!$A$2:$AL799,$O163,38)</f>
        <v/>
      </c>
      <c r="M163" s="219" t="str">
        <f t="array" ref="M163">INDEX(postDEL!$A$2:$AL799,$O163,15)</f>
        <v/>
      </c>
      <c r="N163" s="110">
        <f>COUNTIF(postDEL!$A$2:$A799,A163)</f>
        <v>1</v>
      </c>
      <c r="O163" s="19">
        <f>MATCH(A163,postDEL!A$2:A799,0)</f>
        <v>162</v>
      </c>
      <c r="P163" s="10" t="str">
        <f t="shared" si="1"/>
        <v/>
      </c>
      <c r="Q163" s="220">
        <f t="shared" si="2"/>
        <v>2</v>
      </c>
      <c r="R163" s="5"/>
    </row>
    <row r="164">
      <c r="A164" s="221" t="s">
        <v>756</v>
      </c>
      <c r="B164" s="217">
        <f t="array" ref="B164">INDEX(postDEL!$A$2:$P799,$O164,2)</f>
        <v>44573</v>
      </c>
      <c r="C164" s="218">
        <f t="array" ref="C164">INDEX(postDEL!$A$2:$P799,$O164,3)</f>
        <v>0.424537037</v>
      </c>
      <c r="D164" s="219" t="str">
        <f t="array" ref="D164">INDEX(postDEL!$A$2:$AN799,$O164,39)</f>
        <v>SpBEND394154</v>
      </c>
      <c r="E164" s="219" t="str">
        <f t="array" ref="E164">INDEX(postDEL!$A$2:$P799,$O164,4)</f>
        <v/>
      </c>
      <c r="F164" s="219" t="str">
        <f t="array" ref="F164">INDEX(postDEL!$A$2:$P799,$O164,5)</f>
        <v/>
      </c>
      <c r="G164" s="219" t="str">
        <f t="array" ref="G164">INDEX(postDEL!$A$2:$P799,$O164,11)</f>
        <v>Negative</v>
      </c>
      <c r="H164" s="219" t="str">
        <f t="array" ref="H164">INDEX(postDEL!$A$2:$AL799,$O164,37)</f>
        <v>Negative</v>
      </c>
      <c r="I164" s="217">
        <f t="array" ref="I164">INDEX(postDEL!$A$2:$AL799,$O164,12)</f>
        <v>44575</v>
      </c>
      <c r="J164" s="218">
        <f t="array" ref="J164">INDEX(postDEL!$A$2:$AL799,$O164,13)</f>
        <v>0.4820486111</v>
      </c>
      <c r="K164" s="219" t="str">
        <f t="array" ref="K164">INDEX(postDEL!$A$2:$AL799,$O164,36)</f>
        <v/>
      </c>
      <c r="L164" s="219" t="str">
        <f t="array" ref="L164">INDEX(postDEL!$A$2:$AL799,$O164,38)</f>
        <v/>
      </c>
      <c r="M164" s="219" t="str">
        <f t="array" ref="M164">INDEX(postDEL!$A$2:$AL799,$O164,15)</f>
        <v/>
      </c>
      <c r="N164" s="110">
        <f>COUNTIF(postDEL!$A$2:$A799,A164)</f>
        <v>1</v>
      </c>
      <c r="O164" s="19">
        <f>MATCH(A164,postDEL!A$2:A799,0)</f>
        <v>163</v>
      </c>
      <c r="P164" s="10" t="str">
        <f t="shared" si="1"/>
        <v/>
      </c>
      <c r="Q164" s="220">
        <f t="shared" si="2"/>
        <v>2</v>
      </c>
      <c r="R164" s="5"/>
    </row>
    <row r="165">
      <c r="A165" s="221" t="s">
        <v>758</v>
      </c>
      <c r="B165" s="217">
        <f t="array" ref="B165">INDEX(postDEL!$A$2:$P799,$O165,2)</f>
        <v>44573</v>
      </c>
      <c r="C165" s="218">
        <f t="array" ref="C165">INDEX(postDEL!$A$2:$P799,$O165,3)</f>
        <v>0.444224537</v>
      </c>
      <c r="D165" s="219" t="str">
        <f t="array" ref="D165">INDEX(postDEL!$A$2:$AN799,$O165,39)</f>
        <v>SpBEND394154</v>
      </c>
      <c r="E165" s="219" t="str">
        <f t="array" ref="E165">INDEX(postDEL!$A$2:$P799,$O165,4)</f>
        <v/>
      </c>
      <c r="F165" s="219" t="str">
        <f t="array" ref="F165">INDEX(postDEL!$A$2:$P799,$O165,5)</f>
        <v/>
      </c>
      <c r="G165" s="219" t="str">
        <f t="array" ref="G165">INDEX(postDEL!$A$2:$P799,$O165,11)</f>
        <v>Negative</v>
      </c>
      <c r="H165" s="219" t="str">
        <f t="array" ref="H165">INDEX(postDEL!$A$2:$AL799,$O165,37)</f>
        <v>Negative</v>
      </c>
      <c r="I165" s="217">
        <f t="array" ref="I165">INDEX(postDEL!$A$2:$AL799,$O165,12)</f>
        <v>44575</v>
      </c>
      <c r="J165" s="218">
        <f t="array" ref="J165">INDEX(postDEL!$A$2:$AL799,$O165,13)</f>
        <v>0.4820486111</v>
      </c>
      <c r="K165" s="219" t="str">
        <f t="array" ref="K165">INDEX(postDEL!$A$2:$AL799,$O165,36)</f>
        <v/>
      </c>
      <c r="L165" s="219" t="str">
        <f t="array" ref="L165">INDEX(postDEL!$A$2:$AL799,$O165,38)</f>
        <v/>
      </c>
      <c r="M165" s="219" t="str">
        <f t="array" ref="M165">INDEX(postDEL!$A$2:$AL799,$O165,15)</f>
        <v/>
      </c>
      <c r="N165" s="110">
        <f>COUNTIF(postDEL!$A$2:$A799,A165)</f>
        <v>1</v>
      </c>
      <c r="O165" s="19">
        <f>MATCH(A165,postDEL!A$2:A799,0)</f>
        <v>164</v>
      </c>
      <c r="P165" s="10" t="str">
        <f t="shared" si="1"/>
        <v/>
      </c>
      <c r="Q165" s="220">
        <f t="shared" si="2"/>
        <v>2</v>
      </c>
      <c r="R165" s="5"/>
    </row>
    <row r="166">
      <c r="A166" s="221" t="s">
        <v>761</v>
      </c>
      <c r="B166" s="217">
        <f t="array" ref="B166">INDEX(postDEL!$A$2:$P799,$O166,2)</f>
        <v>44574</v>
      </c>
      <c r="C166" s="218">
        <f t="array" ref="C166">INDEX(postDEL!$A$2:$P799,$O166,3)</f>
        <v>0.5845023148</v>
      </c>
      <c r="D166" s="219" t="str">
        <f t="array" ref="D166">INDEX(postDEL!$A$2:$AN799,$O166,39)</f>
        <v>SpBEND328905</v>
      </c>
      <c r="E166" s="219" t="str">
        <f t="array" ref="E166">INDEX(postDEL!$A$2:$P799,$O166,4)</f>
        <v/>
      </c>
      <c r="F166" s="219" t="str">
        <f t="array" ref="F166">INDEX(postDEL!$A$2:$P799,$O166,5)</f>
        <v/>
      </c>
      <c r="G166" s="219" t="str">
        <f t="array" ref="G166">INDEX(postDEL!$A$2:$P799,$O166,11)</f>
        <v>Positive</v>
      </c>
      <c r="H166" s="219" t="str">
        <f t="array" ref="H166">INDEX(postDEL!$A$2:$AL799,$O166,37)</f>
        <v>Positive</v>
      </c>
      <c r="I166" s="217">
        <f t="array" ref="I166">INDEX(postDEL!$A$2:$AL799,$O166,12)</f>
        <v>44579</v>
      </c>
      <c r="J166" s="218">
        <f t="array" ref="J166">INDEX(postDEL!$A$2:$AL799,$O166,13)</f>
        <v>0.5015856481</v>
      </c>
      <c r="K166" s="219" t="str">
        <f t="array" ref="K166">INDEX(postDEL!$A$2:$AL799,$O166,36)</f>
        <v/>
      </c>
      <c r="L166" s="219" t="str">
        <f t="array" ref="L166">INDEX(postDEL!$A$2:$AL799,$O166,38)</f>
        <v/>
      </c>
      <c r="M166" s="219" t="str">
        <f t="array" ref="M166">INDEX(postDEL!$A$2:$AL799,$O166,15)</f>
        <v/>
      </c>
      <c r="N166" s="110">
        <f>COUNTIF(postDEL!$A$2:$A799,A166)</f>
        <v>1</v>
      </c>
      <c r="O166" s="19">
        <f>MATCH(A166,postDEL!A$2:A799,0)</f>
        <v>165</v>
      </c>
      <c r="P166" s="10" t="b">
        <f t="shared" si="1"/>
        <v>1</v>
      </c>
      <c r="Q166" s="220">
        <f t="shared" si="2"/>
        <v>5</v>
      </c>
      <c r="R166" s="5"/>
    </row>
    <row r="167">
      <c r="A167" s="221" t="s">
        <v>767</v>
      </c>
      <c r="B167" s="217">
        <f t="array" ref="B167">INDEX(postDEL!$A$2:$P799,$O167,2)</f>
        <v>44574</v>
      </c>
      <c r="C167" s="218">
        <f t="array" ref="C167">INDEX(postDEL!$A$2:$P799,$O167,3)</f>
        <v>0.6161342593</v>
      </c>
      <c r="D167" s="219" t="str">
        <f t="array" ref="D167">INDEX(postDEL!$A$2:$AN799,$O167,39)</f>
        <v>SpBEND328905</v>
      </c>
      <c r="E167" s="219" t="str">
        <f t="array" ref="E167">INDEX(postDEL!$A$2:$P799,$O167,4)</f>
        <v/>
      </c>
      <c r="F167" s="219" t="str">
        <f t="array" ref="F167">INDEX(postDEL!$A$2:$P799,$O167,5)</f>
        <v/>
      </c>
      <c r="G167" s="219" t="str">
        <f t="array" ref="G167">INDEX(postDEL!$A$2:$P799,$O167,11)</f>
        <v>Positive</v>
      </c>
      <c r="H167" s="219" t="str">
        <f t="array" ref="H167">INDEX(postDEL!$A$2:$AL799,$O167,37)</f>
        <v>Positive</v>
      </c>
      <c r="I167" s="217">
        <f t="array" ref="I167">INDEX(postDEL!$A$2:$AL799,$O167,12)</f>
        <v>44579</v>
      </c>
      <c r="J167" s="218">
        <f t="array" ref="J167">INDEX(postDEL!$A$2:$AL799,$O167,13)</f>
        <v>0.5015856481</v>
      </c>
      <c r="K167" s="219" t="str">
        <f t="array" ref="K167">INDEX(postDEL!$A$2:$AL799,$O167,36)</f>
        <v/>
      </c>
      <c r="L167" s="219" t="str">
        <f t="array" ref="L167">INDEX(postDEL!$A$2:$AL799,$O167,38)</f>
        <v/>
      </c>
      <c r="M167" s="219" t="str">
        <f t="array" ref="M167">INDEX(postDEL!$A$2:$AL799,$O167,15)</f>
        <v/>
      </c>
      <c r="N167" s="110">
        <f>COUNTIF(postDEL!$A$2:$A799,A167)</f>
        <v>1</v>
      </c>
      <c r="O167" s="19">
        <f>MATCH(A167,postDEL!A$2:A799,0)</f>
        <v>166</v>
      </c>
      <c r="P167" s="10" t="str">
        <f t="shared" si="1"/>
        <v/>
      </c>
      <c r="Q167" s="220">
        <f t="shared" si="2"/>
        <v>5</v>
      </c>
      <c r="R167" s="5"/>
    </row>
    <row r="168">
      <c r="A168" s="221" t="s">
        <v>770</v>
      </c>
      <c r="B168" s="217">
        <f t="array" ref="B168">INDEX(postDEL!$A$2:$P799,$O168,2)</f>
        <v>44574</v>
      </c>
      <c r="C168" s="218">
        <f t="array" ref="C168">INDEX(postDEL!$A$2:$P799,$O168,3)</f>
        <v>0.6712731481</v>
      </c>
      <c r="D168" s="219" t="str">
        <f t="array" ref="D168">INDEX(postDEL!$A$2:$AN799,$O168,39)</f>
        <v>SpBEND198321</v>
      </c>
      <c r="E168" s="219" t="str">
        <f t="array" ref="E168">INDEX(postDEL!$A$2:$P799,$O168,4)</f>
        <v/>
      </c>
      <c r="F168" s="219" t="str">
        <f t="array" ref="F168">INDEX(postDEL!$A$2:$P799,$O168,5)</f>
        <v/>
      </c>
      <c r="G168" s="219" t="str">
        <f t="array" ref="G168">INDEX(postDEL!$A$2:$P799,$O168,11)</f>
        <v>Negative</v>
      </c>
      <c r="H168" s="219" t="str">
        <f t="array" ref="H168">INDEX(postDEL!$A$2:$AL799,$O168,37)</f>
        <v>Negative</v>
      </c>
      <c r="I168" s="217">
        <f t="array" ref="I168">INDEX(postDEL!$A$2:$AL799,$O168,12)</f>
        <v>44575</v>
      </c>
      <c r="J168" s="218">
        <f t="array" ref="J168">INDEX(postDEL!$A$2:$AL799,$O168,13)</f>
        <v>0.4820486111</v>
      </c>
      <c r="K168" s="219" t="str">
        <f t="array" ref="K168">INDEX(postDEL!$A$2:$AL799,$O168,36)</f>
        <v/>
      </c>
      <c r="L168" s="219" t="str">
        <f t="array" ref="L168">INDEX(postDEL!$A$2:$AL799,$O168,38)</f>
        <v/>
      </c>
      <c r="M168" s="219" t="str">
        <f t="array" ref="M168">INDEX(postDEL!$A$2:$AL799,$O168,15)</f>
        <v/>
      </c>
      <c r="N168" s="110">
        <f>COUNTIF(postDEL!$A$2:$A799,A168)</f>
        <v>1</v>
      </c>
      <c r="O168" s="19">
        <f>MATCH(A168,postDEL!A$2:A799,0)</f>
        <v>167</v>
      </c>
      <c r="P168" s="10" t="str">
        <f t="shared" si="1"/>
        <v/>
      </c>
      <c r="Q168" s="220">
        <f t="shared" si="2"/>
        <v>1</v>
      </c>
      <c r="R168" s="5"/>
    </row>
    <row r="169">
      <c r="A169" s="221" t="s">
        <v>773</v>
      </c>
      <c r="B169" s="217">
        <f t="array" ref="B169">INDEX(postDEL!$A$2:$P799,$O169,2)</f>
        <v>44574</v>
      </c>
      <c r="C169" s="218">
        <f t="array" ref="C169">INDEX(postDEL!$A$2:$P799,$O169,3)</f>
        <v>0.8485069444</v>
      </c>
      <c r="D169" s="219" t="str">
        <f t="array" ref="D169">INDEX(postDEL!$A$2:$AN799,$O169,39)</f>
        <v>SpBEND528248</v>
      </c>
      <c r="E169" s="219" t="str">
        <f t="array" ref="E169">INDEX(postDEL!$A$2:$P799,$O169,4)</f>
        <v/>
      </c>
      <c r="F169" s="219" t="str">
        <f t="array" ref="F169">INDEX(postDEL!$A$2:$P799,$O169,5)</f>
        <v/>
      </c>
      <c r="G169" s="219" t="str">
        <f t="array" ref="G169">INDEX(postDEL!$A$2:$P799,$O169,11)</f>
        <v>Negative</v>
      </c>
      <c r="H169" s="219" t="str">
        <f t="array" ref="H169">INDEX(postDEL!$A$2:$AL799,$O169,37)</f>
        <v>Negative</v>
      </c>
      <c r="I169" s="217">
        <f t="array" ref="I169">INDEX(postDEL!$A$2:$AL799,$O169,12)</f>
        <v>44575</v>
      </c>
      <c r="J169" s="218">
        <f t="array" ref="J169">INDEX(postDEL!$A$2:$AL799,$O169,13)</f>
        <v>0.4820486111</v>
      </c>
      <c r="K169" s="219" t="str">
        <f t="array" ref="K169">INDEX(postDEL!$A$2:$AL799,$O169,36)</f>
        <v/>
      </c>
      <c r="L169" s="219" t="str">
        <f t="array" ref="L169">INDEX(postDEL!$A$2:$AL799,$O169,38)</f>
        <v/>
      </c>
      <c r="M169" s="219" t="str">
        <f t="array" ref="M169">INDEX(postDEL!$A$2:$AL799,$O169,15)</f>
        <v/>
      </c>
      <c r="N169" s="110">
        <f>COUNTIF(postDEL!$A$2:$A799,A169)</f>
        <v>1</v>
      </c>
      <c r="O169" s="19">
        <f>MATCH(A169,postDEL!A$2:A799,0)</f>
        <v>168</v>
      </c>
      <c r="P169" s="10" t="str">
        <f t="shared" si="1"/>
        <v/>
      </c>
      <c r="Q169" s="220">
        <f t="shared" si="2"/>
        <v>1</v>
      </c>
      <c r="R169" s="5"/>
    </row>
    <row r="170">
      <c r="A170" s="221" t="s">
        <v>775</v>
      </c>
      <c r="B170" s="217">
        <f t="array" ref="B170">INDEX(postDEL!$A$2:$P799,$O170,2)</f>
        <v>44574</v>
      </c>
      <c r="C170" s="218">
        <f t="array" ref="C170">INDEX(postDEL!$A$2:$P799,$O170,3)</f>
        <v>0.8491666667</v>
      </c>
      <c r="D170" s="219" t="str">
        <f t="array" ref="D170">INDEX(postDEL!$A$2:$AN799,$O170,39)</f>
        <v>SpBEND528248</v>
      </c>
      <c r="E170" s="219" t="str">
        <f t="array" ref="E170">INDEX(postDEL!$A$2:$P799,$O170,4)</f>
        <v/>
      </c>
      <c r="F170" s="219" t="str">
        <f t="array" ref="F170">INDEX(postDEL!$A$2:$P799,$O170,5)</f>
        <v/>
      </c>
      <c r="G170" s="219" t="str">
        <f t="array" ref="G170">INDEX(postDEL!$A$2:$P799,$O170,11)</f>
        <v>Negative</v>
      </c>
      <c r="H170" s="219" t="str">
        <f t="array" ref="H170">INDEX(postDEL!$A$2:$AL799,$O170,37)</f>
        <v>Negative</v>
      </c>
      <c r="I170" s="217">
        <f t="array" ref="I170">INDEX(postDEL!$A$2:$AL799,$O170,12)</f>
        <v>44575</v>
      </c>
      <c r="J170" s="218">
        <f t="array" ref="J170">INDEX(postDEL!$A$2:$AL799,$O170,13)</f>
        <v>0.4820601852</v>
      </c>
      <c r="K170" s="219" t="str">
        <f t="array" ref="K170">INDEX(postDEL!$A$2:$AL799,$O170,36)</f>
        <v/>
      </c>
      <c r="L170" s="219" t="str">
        <f t="array" ref="L170">INDEX(postDEL!$A$2:$AL799,$O170,38)</f>
        <v/>
      </c>
      <c r="M170" s="219" t="str">
        <f t="array" ref="M170">INDEX(postDEL!$A$2:$AL799,$O170,15)</f>
        <v/>
      </c>
      <c r="N170" s="110">
        <f>COUNTIF(postDEL!$A$2:$A799,A170)</f>
        <v>1</v>
      </c>
      <c r="O170" s="19">
        <f>MATCH(A170,postDEL!A$2:A799,0)</f>
        <v>169</v>
      </c>
      <c r="P170" s="10" t="str">
        <f t="shared" si="1"/>
        <v/>
      </c>
      <c r="Q170" s="220">
        <f t="shared" si="2"/>
        <v>1</v>
      </c>
      <c r="R170" s="5"/>
    </row>
    <row r="171">
      <c r="A171" s="221" t="s">
        <v>778</v>
      </c>
      <c r="B171" s="217">
        <f t="array" ref="B171">INDEX(postDEL!$A$2:$P799,$O171,2)</f>
        <v>44575</v>
      </c>
      <c r="C171" s="218">
        <f t="array" ref="C171">INDEX(postDEL!$A$2:$P799,$O171,3)</f>
        <v>0.2265856481</v>
      </c>
      <c r="D171" s="219" t="str">
        <f t="array" ref="D171">INDEX(postDEL!$A$2:$AN799,$O171,39)</f>
        <v>SpBEND139816</v>
      </c>
      <c r="E171" s="219" t="str">
        <f t="array" ref="E171">INDEX(postDEL!$A$2:$P799,$O171,4)</f>
        <v/>
      </c>
      <c r="F171" s="219" t="str">
        <f t="array" ref="F171">INDEX(postDEL!$A$2:$P799,$O171,5)</f>
        <v/>
      </c>
      <c r="G171" s="219" t="str">
        <f t="array" ref="G171">INDEX(postDEL!$A$2:$P799,$O171,11)</f>
        <v>Negative</v>
      </c>
      <c r="H171" s="219" t="str">
        <f t="array" ref="H171">INDEX(postDEL!$A$2:$AL799,$O171,37)</f>
        <v>Negative</v>
      </c>
      <c r="I171" s="217">
        <f t="array" ref="I171">INDEX(postDEL!$A$2:$AL799,$O171,12)</f>
        <v>44575</v>
      </c>
      <c r="J171" s="218">
        <f t="array" ref="J171">INDEX(postDEL!$A$2:$AL799,$O171,13)</f>
        <v>0.4820601852</v>
      </c>
      <c r="K171" s="219" t="str">
        <f t="array" ref="K171">INDEX(postDEL!$A$2:$AL799,$O171,36)</f>
        <v/>
      </c>
      <c r="L171" s="219" t="str">
        <f t="array" ref="L171">INDEX(postDEL!$A$2:$AL799,$O171,38)</f>
        <v/>
      </c>
      <c r="M171" s="219" t="str">
        <f t="array" ref="M171">INDEX(postDEL!$A$2:$AL799,$O171,15)</f>
        <v/>
      </c>
      <c r="N171" s="110">
        <f>COUNTIF(postDEL!$A$2:$A799,A171)</f>
        <v>1</v>
      </c>
      <c r="O171" s="19">
        <f>MATCH(A171,postDEL!A$2:A799,0)</f>
        <v>170</v>
      </c>
      <c r="P171" s="10" t="b">
        <f t="shared" si="1"/>
        <v>1</v>
      </c>
      <c r="Q171" s="220">
        <f t="shared" si="2"/>
        <v>0</v>
      </c>
      <c r="R171" s="5"/>
    </row>
    <row r="172">
      <c r="A172" s="221" t="s">
        <v>780</v>
      </c>
      <c r="B172" s="217">
        <f t="array" ref="B172">INDEX(postDEL!$A$2:$P799,$O172,2)</f>
        <v>44575</v>
      </c>
      <c r="C172" s="218">
        <f t="array" ref="C172">INDEX(postDEL!$A$2:$P799,$O172,3)</f>
        <v>0.2949421296</v>
      </c>
      <c r="D172" s="219" t="str">
        <f t="array" ref="D172">INDEX(postDEL!$A$2:$AN799,$O172,39)</f>
        <v>SpBEND385421</v>
      </c>
      <c r="E172" s="219" t="str">
        <f t="array" ref="E172">INDEX(postDEL!$A$2:$P799,$O172,4)</f>
        <v/>
      </c>
      <c r="F172" s="219" t="str">
        <f t="array" ref="F172">INDEX(postDEL!$A$2:$P799,$O172,5)</f>
        <v/>
      </c>
      <c r="G172" s="219" t="str">
        <f t="array" ref="G172">INDEX(postDEL!$A$2:$P799,$O172,11)</f>
        <v>Negative</v>
      </c>
      <c r="H172" s="219" t="str">
        <f t="array" ref="H172">INDEX(postDEL!$A$2:$AL799,$O172,37)</f>
        <v>Negative</v>
      </c>
      <c r="I172" s="217">
        <f t="array" ref="I172">INDEX(postDEL!$A$2:$AL799,$O172,12)</f>
        <v>44575</v>
      </c>
      <c r="J172" s="218">
        <f t="array" ref="J172">INDEX(postDEL!$A$2:$AL799,$O172,13)</f>
        <v>0.4820601852</v>
      </c>
      <c r="K172" s="219" t="str">
        <f t="array" ref="K172">INDEX(postDEL!$A$2:$AL799,$O172,36)</f>
        <v/>
      </c>
      <c r="L172" s="219" t="str">
        <f t="array" ref="L172">INDEX(postDEL!$A$2:$AL799,$O172,38)</f>
        <v/>
      </c>
      <c r="M172" s="219" t="str">
        <f t="array" ref="M172">INDEX(postDEL!$A$2:$AL799,$O172,15)</f>
        <v/>
      </c>
      <c r="N172" s="110">
        <f>COUNTIF(postDEL!$A$2:$A799,A172)</f>
        <v>1</v>
      </c>
      <c r="O172" s="19">
        <f>MATCH(A172,postDEL!A$2:A799,0)</f>
        <v>171</v>
      </c>
      <c r="P172" s="10" t="str">
        <f t="shared" si="1"/>
        <v/>
      </c>
      <c r="Q172" s="220">
        <f t="shared" si="2"/>
        <v>0</v>
      </c>
      <c r="R172" s="5"/>
    </row>
    <row r="173">
      <c r="A173" s="221" t="s">
        <v>782</v>
      </c>
      <c r="B173" s="217">
        <f t="array" ref="B173">INDEX(postDEL!$A$2:$P799,$O173,2)</f>
        <v>44575</v>
      </c>
      <c r="C173" s="218">
        <f t="array" ref="C173">INDEX(postDEL!$A$2:$P799,$O173,3)</f>
        <v>0.3110763889</v>
      </c>
      <c r="D173" s="219" t="str">
        <f t="array" ref="D173">INDEX(postDEL!$A$2:$AN799,$O173,39)</f>
        <v>SpBEND214692</v>
      </c>
      <c r="E173" s="219" t="str">
        <f t="array" ref="E173">INDEX(postDEL!$A$2:$P799,$O173,4)</f>
        <v/>
      </c>
      <c r="F173" s="219" t="str">
        <f t="array" ref="F173">INDEX(postDEL!$A$2:$P799,$O173,5)</f>
        <v/>
      </c>
      <c r="G173" s="219" t="str">
        <f t="array" ref="G173">INDEX(postDEL!$A$2:$P799,$O173,11)</f>
        <v>Negative</v>
      </c>
      <c r="H173" s="219" t="str">
        <f t="array" ref="H173">INDEX(postDEL!$A$2:$AL799,$O173,37)</f>
        <v>Negative</v>
      </c>
      <c r="I173" s="217">
        <f t="array" ref="I173">INDEX(postDEL!$A$2:$AL799,$O173,12)</f>
        <v>44575</v>
      </c>
      <c r="J173" s="218">
        <f t="array" ref="J173">INDEX(postDEL!$A$2:$AL799,$O173,13)</f>
        <v>0.4820601852</v>
      </c>
      <c r="K173" s="219" t="str">
        <f t="array" ref="K173">INDEX(postDEL!$A$2:$AL799,$O173,36)</f>
        <v/>
      </c>
      <c r="L173" s="219" t="str">
        <f t="array" ref="L173">INDEX(postDEL!$A$2:$AL799,$O173,38)</f>
        <v/>
      </c>
      <c r="M173" s="219" t="str">
        <f t="array" ref="M173">INDEX(postDEL!$A$2:$AL799,$O173,15)</f>
        <v/>
      </c>
      <c r="N173" s="110">
        <f>COUNTIF(postDEL!$A$2:$A799,A173)</f>
        <v>1</v>
      </c>
      <c r="O173" s="19">
        <f>MATCH(A173,postDEL!A$2:A799,0)</f>
        <v>172</v>
      </c>
      <c r="P173" s="10" t="str">
        <f t="shared" si="1"/>
        <v/>
      </c>
      <c r="Q173" s="220">
        <f t="shared" si="2"/>
        <v>0</v>
      </c>
      <c r="R173" s="5"/>
    </row>
    <row r="174">
      <c r="A174" s="221" t="s">
        <v>784</v>
      </c>
      <c r="B174" s="217">
        <f t="array" ref="B174">INDEX(postDEL!$A$2:$P799,$O174,2)</f>
        <v>44575</v>
      </c>
      <c r="C174" s="218">
        <f t="array" ref="C174">INDEX(postDEL!$A$2:$P799,$O174,3)</f>
        <v>0.3111574074</v>
      </c>
      <c r="D174" s="219" t="str">
        <f t="array" ref="D174">INDEX(postDEL!$A$2:$AN799,$O174,39)</f>
        <v>SpBEND541174</v>
      </c>
      <c r="E174" s="219" t="str">
        <f t="array" ref="E174">INDEX(postDEL!$A$2:$P799,$O174,4)</f>
        <v/>
      </c>
      <c r="F174" s="219" t="str">
        <f t="array" ref="F174">INDEX(postDEL!$A$2:$P799,$O174,5)</f>
        <v/>
      </c>
      <c r="G174" s="219" t="str">
        <f t="array" ref="G174">INDEX(postDEL!$A$2:$P799,$O174,11)</f>
        <v>Negative</v>
      </c>
      <c r="H174" s="219" t="str">
        <f t="array" ref="H174">INDEX(postDEL!$A$2:$AL799,$O174,37)</f>
        <v>Negative</v>
      </c>
      <c r="I174" s="217">
        <f t="array" ref="I174">INDEX(postDEL!$A$2:$AL799,$O174,12)</f>
        <v>44575</v>
      </c>
      <c r="J174" s="218">
        <f t="array" ref="J174">INDEX(postDEL!$A$2:$AL799,$O174,13)</f>
        <v>0.4820601852</v>
      </c>
      <c r="K174" s="219" t="str">
        <f t="array" ref="K174">INDEX(postDEL!$A$2:$AL799,$O174,36)</f>
        <v/>
      </c>
      <c r="L174" s="219" t="str">
        <f t="array" ref="L174">INDEX(postDEL!$A$2:$AL799,$O174,38)</f>
        <v/>
      </c>
      <c r="M174" s="219" t="str">
        <f t="array" ref="M174">INDEX(postDEL!$A$2:$AL799,$O174,15)</f>
        <v/>
      </c>
      <c r="N174" s="110">
        <f>COUNTIF(postDEL!$A$2:$A799,A174)</f>
        <v>1</v>
      </c>
      <c r="O174" s="19">
        <f>MATCH(A174,postDEL!A$2:A799,0)</f>
        <v>173</v>
      </c>
      <c r="P174" s="10" t="str">
        <f t="shared" si="1"/>
        <v/>
      </c>
      <c r="Q174" s="220">
        <f t="shared" si="2"/>
        <v>0</v>
      </c>
      <c r="R174" s="5"/>
    </row>
    <row r="175">
      <c r="A175" s="221" t="s">
        <v>786</v>
      </c>
      <c r="B175" s="217">
        <f t="array" ref="B175">INDEX(postDEL!$A$2:$P799,$O175,2)</f>
        <v>44575</v>
      </c>
      <c r="C175" s="218">
        <f t="array" ref="C175">INDEX(postDEL!$A$2:$P799,$O175,3)</f>
        <v>0.3125925926</v>
      </c>
      <c r="D175" s="219" t="str">
        <f t="array" ref="D175">INDEX(postDEL!$A$2:$AN799,$O175,39)</f>
        <v>SpBEND977859</v>
      </c>
      <c r="E175" s="219" t="str">
        <f t="array" ref="E175">INDEX(postDEL!$A$2:$P799,$O175,4)</f>
        <v/>
      </c>
      <c r="F175" s="219" t="str">
        <f t="array" ref="F175">INDEX(postDEL!$A$2:$P799,$O175,5)</f>
        <v/>
      </c>
      <c r="G175" s="219" t="str">
        <f t="array" ref="G175">INDEX(postDEL!$A$2:$P799,$O175,11)</f>
        <v>Negative</v>
      </c>
      <c r="H175" s="219" t="str">
        <f t="array" ref="H175">INDEX(postDEL!$A$2:$AL799,$O175,37)</f>
        <v>Negative</v>
      </c>
      <c r="I175" s="217">
        <f t="array" ref="I175">INDEX(postDEL!$A$2:$AL799,$O175,12)</f>
        <v>44575</v>
      </c>
      <c r="J175" s="218">
        <f t="array" ref="J175">INDEX(postDEL!$A$2:$AL799,$O175,13)</f>
        <v>0.4820601852</v>
      </c>
      <c r="K175" s="219" t="str">
        <f t="array" ref="K175">INDEX(postDEL!$A$2:$AL799,$O175,36)</f>
        <v/>
      </c>
      <c r="L175" s="219" t="str">
        <f t="array" ref="L175">INDEX(postDEL!$A$2:$AL799,$O175,38)</f>
        <v/>
      </c>
      <c r="M175" s="219" t="str">
        <f t="array" ref="M175">INDEX(postDEL!$A$2:$AL799,$O175,15)</f>
        <v/>
      </c>
      <c r="N175" s="110">
        <f>COUNTIF(postDEL!$A$2:$A799,A175)</f>
        <v>1</v>
      </c>
      <c r="O175" s="19">
        <f>MATCH(A175,postDEL!A$2:A799,0)</f>
        <v>174</v>
      </c>
      <c r="P175" s="10" t="str">
        <f t="shared" si="1"/>
        <v/>
      </c>
      <c r="Q175" s="220">
        <f t="shared" si="2"/>
        <v>0</v>
      </c>
      <c r="R175" s="5"/>
    </row>
    <row r="176">
      <c r="A176" s="221" t="s">
        <v>788</v>
      </c>
      <c r="B176" s="217">
        <f t="array" ref="B176">INDEX(postDEL!$A$2:$P799,$O176,2)</f>
        <v>44575</v>
      </c>
      <c r="C176" s="218">
        <f t="array" ref="C176">INDEX(postDEL!$A$2:$P799,$O176,3)</f>
        <v>0.3230439815</v>
      </c>
      <c r="D176" s="219" t="str">
        <f t="array" ref="D176">INDEX(postDEL!$A$2:$AN799,$O176,39)</f>
        <v>SpBEND767550</v>
      </c>
      <c r="E176" s="219" t="str">
        <f t="array" ref="E176">INDEX(postDEL!$A$2:$P799,$O176,4)</f>
        <v/>
      </c>
      <c r="F176" s="219" t="str">
        <f t="array" ref="F176">INDEX(postDEL!$A$2:$P799,$O176,5)</f>
        <v/>
      </c>
      <c r="G176" s="219" t="str">
        <f t="array" ref="G176">INDEX(postDEL!$A$2:$P799,$O176,11)</f>
        <v>Positive</v>
      </c>
      <c r="H176" s="219" t="str">
        <f t="array" ref="H176">INDEX(postDEL!$A$2:$AL799,$O176,37)</f>
        <v>Positive</v>
      </c>
      <c r="I176" s="217">
        <f t="array" ref="I176">INDEX(postDEL!$A$2:$AL799,$O176,12)</f>
        <v>44579</v>
      </c>
      <c r="J176" s="218">
        <f t="array" ref="J176">INDEX(postDEL!$A$2:$AL799,$O176,13)</f>
        <v>0.5015856481</v>
      </c>
      <c r="K176" s="219" t="str">
        <f t="array" ref="K176">INDEX(postDEL!$A$2:$AL799,$O176,36)</f>
        <v/>
      </c>
      <c r="L176" s="219" t="str">
        <f t="array" ref="L176">INDEX(postDEL!$A$2:$AL799,$O176,38)</f>
        <v/>
      </c>
      <c r="M176" s="219" t="str">
        <f t="array" ref="M176">INDEX(postDEL!$A$2:$AL799,$O176,15)</f>
        <v/>
      </c>
      <c r="N176" s="110">
        <f>COUNTIF(postDEL!$A$2:$A799,A176)</f>
        <v>1</v>
      </c>
      <c r="O176" s="19">
        <f>MATCH(A176,postDEL!A$2:A799,0)</f>
        <v>175</v>
      </c>
      <c r="P176" s="10" t="str">
        <f t="shared" si="1"/>
        <v/>
      </c>
      <c r="Q176" s="220">
        <f t="shared" si="2"/>
        <v>4</v>
      </c>
      <c r="R176" s="5"/>
    </row>
    <row r="177">
      <c r="A177" s="221" t="s">
        <v>790</v>
      </c>
      <c r="B177" s="217">
        <f t="array" ref="B177">INDEX(postDEL!$A$2:$P799,$O177,2)</f>
        <v>44575</v>
      </c>
      <c r="C177" s="218">
        <f t="array" ref="C177">INDEX(postDEL!$A$2:$P799,$O177,3)</f>
        <v>0.3307175926</v>
      </c>
      <c r="D177" s="219" t="str">
        <f t="array" ref="D177">INDEX(postDEL!$A$2:$AN799,$O177,39)</f>
        <v>SpBEND548976</v>
      </c>
      <c r="E177" s="219" t="str">
        <f t="array" ref="E177">INDEX(postDEL!$A$2:$P799,$O177,4)</f>
        <v/>
      </c>
      <c r="F177" s="219" t="str">
        <f t="array" ref="F177">INDEX(postDEL!$A$2:$P799,$O177,5)</f>
        <v/>
      </c>
      <c r="G177" s="219" t="str">
        <f t="array" ref="G177">INDEX(postDEL!$A$2:$P799,$O177,11)</f>
        <v>Negative</v>
      </c>
      <c r="H177" s="219" t="str">
        <f t="array" ref="H177">INDEX(postDEL!$A$2:$AL799,$O177,37)</f>
        <v>Negative</v>
      </c>
      <c r="I177" s="217">
        <f t="array" ref="I177">INDEX(postDEL!$A$2:$AL799,$O177,12)</f>
        <v>44575</v>
      </c>
      <c r="J177" s="218">
        <f t="array" ref="J177">INDEX(postDEL!$A$2:$AL799,$O177,13)</f>
        <v>0.4820601852</v>
      </c>
      <c r="K177" s="219" t="str">
        <f t="array" ref="K177">INDEX(postDEL!$A$2:$AL799,$O177,36)</f>
        <v/>
      </c>
      <c r="L177" s="219" t="str">
        <f t="array" ref="L177">INDEX(postDEL!$A$2:$AL799,$O177,38)</f>
        <v/>
      </c>
      <c r="M177" s="219" t="str">
        <f t="array" ref="M177">INDEX(postDEL!$A$2:$AL799,$O177,15)</f>
        <v/>
      </c>
      <c r="N177" s="110">
        <f>COUNTIF(postDEL!$A$2:$A799,A177)</f>
        <v>1</v>
      </c>
      <c r="O177" s="19">
        <f>MATCH(A177,postDEL!A$2:A799,0)</f>
        <v>176</v>
      </c>
      <c r="P177" s="10" t="str">
        <f t="shared" si="1"/>
        <v/>
      </c>
      <c r="Q177" s="220">
        <f t="shared" si="2"/>
        <v>0</v>
      </c>
      <c r="R177" s="5"/>
    </row>
    <row r="178">
      <c r="A178" s="221" t="s">
        <v>792</v>
      </c>
      <c r="B178" s="217">
        <f t="array" ref="B178">INDEX(postDEL!$A$2:$P799,$O178,2)</f>
        <v>44575</v>
      </c>
      <c r="C178" s="218">
        <f t="array" ref="C178">INDEX(postDEL!$A$2:$P799,$O178,3)</f>
        <v>0.3400578704</v>
      </c>
      <c r="D178" s="219" t="str">
        <f t="array" ref="D178">INDEX(postDEL!$A$2:$AN799,$O178,39)</f>
        <v>SpBEND302553</v>
      </c>
      <c r="E178" s="219" t="str">
        <f t="array" ref="E178">INDEX(postDEL!$A$2:$P799,$O178,4)</f>
        <v/>
      </c>
      <c r="F178" s="219" t="str">
        <f t="array" ref="F178">INDEX(postDEL!$A$2:$P799,$O178,5)</f>
        <v/>
      </c>
      <c r="G178" s="219" t="str">
        <f t="array" ref="G178">INDEX(postDEL!$A$2:$P799,$O178,11)</f>
        <v>Positive</v>
      </c>
      <c r="H178" s="219" t="str">
        <f t="array" ref="H178">INDEX(postDEL!$A$2:$AL799,$O178,37)</f>
        <v>Positive</v>
      </c>
      <c r="I178" s="217">
        <f t="array" ref="I178">INDEX(postDEL!$A$2:$AL799,$O178,12)</f>
        <v>44579</v>
      </c>
      <c r="J178" s="218">
        <f t="array" ref="J178">INDEX(postDEL!$A$2:$AL799,$O178,13)</f>
        <v>0.5015856481</v>
      </c>
      <c r="K178" s="219" t="str">
        <f t="array" ref="K178">INDEX(postDEL!$A$2:$AL799,$O178,36)</f>
        <v/>
      </c>
      <c r="L178" s="219" t="str">
        <f t="array" ref="L178">INDEX(postDEL!$A$2:$AL799,$O178,38)</f>
        <v/>
      </c>
      <c r="M178" s="219" t="str">
        <f t="array" ref="M178">INDEX(postDEL!$A$2:$AL799,$O178,15)</f>
        <v/>
      </c>
      <c r="N178" s="110">
        <f>COUNTIF(postDEL!$A$2:$A799,A178)</f>
        <v>1</v>
      </c>
      <c r="O178" s="19">
        <f>MATCH(A178,postDEL!A$2:A799,0)</f>
        <v>177</v>
      </c>
      <c r="P178" s="10" t="str">
        <f t="shared" si="1"/>
        <v/>
      </c>
      <c r="Q178" s="220">
        <f t="shared" si="2"/>
        <v>4</v>
      </c>
      <c r="R178" s="5"/>
    </row>
    <row r="179">
      <c r="A179" s="221" t="s">
        <v>796</v>
      </c>
      <c r="B179" s="217">
        <f t="array" ref="B179">INDEX(postDEL!$A$2:$P799,$O179,2)</f>
        <v>44575</v>
      </c>
      <c r="C179" s="218">
        <f t="array" ref="C179">INDEX(postDEL!$A$2:$P799,$O179,3)</f>
        <v>0.3453703704</v>
      </c>
      <c r="D179" s="219" t="str">
        <f t="array" ref="D179">INDEX(postDEL!$A$2:$AN799,$O179,39)</f>
        <v>SpBEND591184</v>
      </c>
      <c r="E179" s="219" t="str">
        <f t="array" ref="E179">INDEX(postDEL!$A$2:$P799,$O179,4)</f>
        <v/>
      </c>
      <c r="F179" s="219" t="str">
        <f t="array" ref="F179">INDEX(postDEL!$A$2:$P799,$O179,5)</f>
        <v/>
      </c>
      <c r="G179" s="219" t="str">
        <f t="array" ref="G179">INDEX(postDEL!$A$2:$P799,$O179,11)</f>
        <v>Negative</v>
      </c>
      <c r="H179" s="219" t="str">
        <f t="array" ref="H179">INDEX(postDEL!$A$2:$AL799,$O179,37)</f>
        <v>Negative</v>
      </c>
      <c r="I179" s="217">
        <f t="array" ref="I179">INDEX(postDEL!$A$2:$AL799,$O179,12)</f>
        <v>44575</v>
      </c>
      <c r="J179" s="218">
        <f t="array" ref="J179">INDEX(postDEL!$A$2:$AL799,$O179,13)</f>
        <v>0.4820601852</v>
      </c>
      <c r="K179" s="219" t="str">
        <f t="array" ref="K179">INDEX(postDEL!$A$2:$AL799,$O179,36)</f>
        <v/>
      </c>
      <c r="L179" s="219" t="str">
        <f t="array" ref="L179">INDEX(postDEL!$A$2:$AL799,$O179,38)</f>
        <v/>
      </c>
      <c r="M179" s="219" t="str">
        <f t="array" ref="M179">INDEX(postDEL!$A$2:$AL799,$O179,15)</f>
        <v/>
      </c>
      <c r="N179" s="110">
        <f>COUNTIF(postDEL!$A$2:$A799,A179)</f>
        <v>1</v>
      </c>
      <c r="O179" s="19">
        <f>MATCH(A179,postDEL!A$2:A799,0)</f>
        <v>178</v>
      </c>
      <c r="P179" s="10" t="str">
        <f t="shared" si="1"/>
        <v/>
      </c>
      <c r="Q179" s="220">
        <f t="shared" si="2"/>
        <v>0</v>
      </c>
      <c r="R179" s="5"/>
    </row>
    <row r="180">
      <c r="A180" s="221" t="s">
        <v>800</v>
      </c>
      <c r="B180" s="217">
        <f t="array" ref="B180">INDEX(postDEL!$A$2:$P799,$O180,2)</f>
        <v>44575</v>
      </c>
      <c r="C180" s="218">
        <f t="array" ref="C180">INDEX(postDEL!$A$2:$P799,$O180,3)</f>
        <v>0.3471180556</v>
      </c>
      <c r="D180" s="219" t="str">
        <f t="array" ref="D180">INDEX(postDEL!$A$2:$AN799,$O180,39)</f>
        <v>SpBEND425753</v>
      </c>
      <c r="E180" s="219" t="str">
        <f t="array" ref="E180">INDEX(postDEL!$A$2:$P799,$O180,4)</f>
        <v/>
      </c>
      <c r="F180" s="219" t="str">
        <f t="array" ref="F180">INDEX(postDEL!$A$2:$P799,$O180,5)</f>
        <v/>
      </c>
      <c r="G180" s="219" t="str">
        <f t="array" ref="G180">INDEX(postDEL!$A$2:$P799,$O180,11)</f>
        <v>Negative</v>
      </c>
      <c r="H180" s="219" t="str">
        <f t="array" ref="H180">INDEX(postDEL!$A$2:$AL799,$O180,37)</f>
        <v>Negative</v>
      </c>
      <c r="I180" s="217">
        <f t="array" ref="I180">INDEX(postDEL!$A$2:$AL799,$O180,12)</f>
        <v>44575</v>
      </c>
      <c r="J180" s="218">
        <f t="array" ref="J180">INDEX(postDEL!$A$2:$AL799,$O180,13)</f>
        <v>0.4820601852</v>
      </c>
      <c r="K180" s="219" t="str">
        <f t="array" ref="K180">INDEX(postDEL!$A$2:$AL799,$O180,36)</f>
        <v/>
      </c>
      <c r="L180" s="219" t="str">
        <f t="array" ref="L180">INDEX(postDEL!$A$2:$AL799,$O180,38)</f>
        <v/>
      </c>
      <c r="M180" s="219" t="str">
        <f t="array" ref="M180">INDEX(postDEL!$A$2:$AL799,$O180,15)</f>
        <v/>
      </c>
      <c r="N180" s="110">
        <f>COUNTIF(postDEL!$A$2:$A799,A180)</f>
        <v>1</v>
      </c>
      <c r="O180" s="19">
        <f>MATCH(A180,postDEL!A$2:A799,0)</f>
        <v>179</v>
      </c>
      <c r="P180" s="10" t="str">
        <f t="shared" si="1"/>
        <v/>
      </c>
      <c r="Q180" s="220">
        <f t="shared" si="2"/>
        <v>0</v>
      </c>
      <c r="R180" s="5"/>
    </row>
    <row r="181">
      <c r="A181" s="221" t="s">
        <v>803</v>
      </c>
      <c r="B181" s="217">
        <f t="array" ref="B181">INDEX(postDEL!$A$2:$P799,$O181,2)</f>
        <v>44575</v>
      </c>
      <c r="C181" s="218">
        <f t="array" ref="C181">INDEX(postDEL!$A$2:$P799,$O181,3)</f>
        <v>0.3519097222</v>
      </c>
      <c r="D181" s="219" t="str">
        <f t="array" ref="D181">INDEX(postDEL!$A$2:$AN799,$O181,39)</f>
        <v>SpBEND481988</v>
      </c>
      <c r="E181" s="219" t="str">
        <f t="array" ref="E181">INDEX(postDEL!$A$2:$P799,$O181,4)</f>
        <v/>
      </c>
      <c r="F181" s="219" t="str">
        <f t="array" ref="F181">INDEX(postDEL!$A$2:$P799,$O181,5)</f>
        <v/>
      </c>
      <c r="G181" s="219" t="str">
        <f t="array" ref="G181">INDEX(postDEL!$A$2:$P799,$O181,11)</f>
        <v>Negative</v>
      </c>
      <c r="H181" s="219" t="str">
        <f t="array" ref="H181">INDEX(postDEL!$A$2:$AL799,$O181,37)</f>
        <v>Negative</v>
      </c>
      <c r="I181" s="217">
        <f t="array" ref="I181">INDEX(postDEL!$A$2:$AL799,$O181,12)</f>
        <v>44575</v>
      </c>
      <c r="J181" s="218">
        <f t="array" ref="J181">INDEX(postDEL!$A$2:$AL799,$O181,13)</f>
        <v>0.4820601852</v>
      </c>
      <c r="K181" s="219" t="str">
        <f t="array" ref="K181">INDEX(postDEL!$A$2:$AL799,$O181,36)</f>
        <v/>
      </c>
      <c r="L181" s="219" t="str">
        <f t="array" ref="L181">INDEX(postDEL!$A$2:$AL799,$O181,38)</f>
        <v/>
      </c>
      <c r="M181" s="219" t="str">
        <f t="array" ref="M181">INDEX(postDEL!$A$2:$AL799,$O181,15)</f>
        <v/>
      </c>
      <c r="N181" s="110">
        <f>COUNTIF(postDEL!$A$2:$A799,A181)</f>
        <v>1</v>
      </c>
      <c r="O181" s="19">
        <f>MATCH(A181,postDEL!A$2:A799,0)</f>
        <v>180</v>
      </c>
      <c r="P181" s="10" t="str">
        <f t="shared" si="1"/>
        <v/>
      </c>
      <c r="Q181" s="220">
        <f t="shared" si="2"/>
        <v>0</v>
      </c>
      <c r="R181" s="5"/>
    </row>
    <row r="182">
      <c r="A182" s="221" t="s">
        <v>805</v>
      </c>
      <c r="B182" s="217">
        <f t="array" ref="B182">INDEX(postDEL!$A$2:$P799,$O182,2)</f>
        <v>44575</v>
      </c>
      <c r="C182" s="218">
        <f t="array" ref="C182">INDEX(postDEL!$A$2:$P799,$O182,3)</f>
        <v>0.3559490741</v>
      </c>
      <c r="D182" s="219" t="str">
        <f t="array" ref="D182">INDEX(postDEL!$A$2:$AN799,$O182,39)</f>
        <v>SpBEND264858</v>
      </c>
      <c r="E182" s="219" t="str">
        <f t="array" ref="E182">INDEX(postDEL!$A$2:$P799,$O182,4)</f>
        <v/>
      </c>
      <c r="F182" s="219" t="str">
        <f t="array" ref="F182">INDEX(postDEL!$A$2:$P799,$O182,5)</f>
        <v/>
      </c>
      <c r="G182" s="219" t="str">
        <f t="array" ref="G182">INDEX(postDEL!$A$2:$P799,$O182,11)</f>
        <v>Negative</v>
      </c>
      <c r="H182" s="219" t="str">
        <f t="array" ref="H182">INDEX(postDEL!$A$2:$AL799,$O182,37)</f>
        <v>Negative</v>
      </c>
      <c r="I182" s="217">
        <f t="array" ref="I182">INDEX(postDEL!$A$2:$AL799,$O182,12)</f>
        <v>44575</v>
      </c>
      <c r="J182" s="218">
        <f t="array" ref="J182">INDEX(postDEL!$A$2:$AL799,$O182,13)</f>
        <v>0.4820601852</v>
      </c>
      <c r="K182" s="219" t="str">
        <f t="array" ref="K182">INDEX(postDEL!$A$2:$AL799,$O182,36)</f>
        <v/>
      </c>
      <c r="L182" s="219" t="str">
        <f t="array" ref="L182">INDEX(postDEL!$A$2:$AL799,$O182,38)</f>
        <v/>
      </c>
      <c r="M182" s="219" t="str">
        <f t="array" ref="M182">INDEX(postDEL!$A$2:$AL799,$O182,15)</f>
        <v/>
      </c>
      <c r="N182" s="110">
        <f>COUNTIF(postDEL!$A$2:$A799,A182)</f>
        <v>1</v>
      </c>
      <c r="O182" s="19">
        <f>MATCH(A182,postDEL!A$2:A799,0)</f>
        <v>181</v>
      </c>
      <c r="P182" s="10" t="str">
        <f t="shared" si="1"/>
        <v/>
      </c>
      <c r="Q182" s="220">
        <f t="shared" si="2"/>
        <v>0</v>
      </c>
      <c r="R182" s="5"/>
    </row>
    <row r="183">
      <c r="A183" s="221" t="s">
        <v>809</v>
      </c>
      <c r="B183" s="217">
        <f t="array" ref="B183">INDEX(postDEL!$A$2:$P799,$O183,2)</f>
        <v>44575</v>
      </c>
      <c r="C183" s="218">
        <f t="array" ref="C183">INDEX(postDEL!$A$2:$P799,$O183,3)</f>
        <v>0.3859722222</v>
      </c>
      <c r="D183" s="219" t="str">
        <f t="array" ref="D183">INDEX(postDEL!$A$2:$AN799,$O183,39)</f>
        <v>SpBEND394154</v>
      </c>
      <c r="E183" s="219" t="str">
        <f t="array" ref="E183">INDEX(postDEL!$A$2:$P799,$O183,4)</f>
        <v/>
      </c>
      <c r="F183" s="219" t="str">
        <f t="array" ref="F183">INDEX(postDEL!$A$2:$P799,$O183,5)</f>
        <v/>
      </c>
      <c r="G183" s="219" t="str">
        <f t="array" ref="G183">INDEX(postDEL!$A$2:$P799,$O183,11)</f>
        <v>Positive</v>
      </c>
      <c r="H183" s="219" t="str">
        <f t="array" ref="H183">INDEX(postDEL!$A$2:$AL799,$O183,37)</f>
        <v>Positive</v>
      </c>
      <c r="I183" s="217">
        <f t="array" ref="I183">INDEX(postDEL!$A$2:$AL799,$O183,12)</f>
        <v>44579</v>
      </c>
      <c r="J183" s="218">
        <f t="array" ref="J183">INDEX(postDEL!$A$2:$AL799,$O183,13)</f>
        <v>0.5015856481</v>
      </c>
      <c r="K183" s="219" t="str">
        <f t="array" ref="K183">INDEX(postDEL!$A$2:$AL799,$O183,36)</f>
        <v/>
      </c>
      <c r="L183" s="219" t="str">
        <f t="array" ref="L183">INDEX(postDEL!$A$2:$AL799,$O183,38)</f>
        <v/>
      </c>
      <c r="M183" s="219" t="str">
        <f t="array" ref="M183">INDEX(postDEL!$A$2:$AL799,$O183,15)</f>
        <v/>
      </c>
      <c r="N183" s="110">
        <f>COUNTIF(postDEL!$A$2:$A799,A183)</f>
        <v>1</v>
      </c>
      <c r="O183" s="19">
        <f>MATCH(A183,postDEL!A$2:A799,0)</f>
        <v>182</v>
      </c>
      <c r="P183" s="10" t="str">
        <f t="shared" si="1"/>
        <v/>
      </c>
      <c r="Q183" s="220">
        <f t="shared" si="2"/>
        <v>4</v>
      </c>
      <c r="R183" s="5"/>
    </row>
    <row r="184">
      <c r="A184" s="221" t="s">
        <v>811</v>
      </c>
      <c r="B184" s="217">
        <f t="array" ref="B184">INDEX(postDEL!$A$2:$P799,$O184,2)</f>
        <v>44575</v>
      </c>
      <c r="C184" s="218">
        <f t="array" ref="C184">INDEX(postDEL!$A$2:$P799,$O184,3)</f>
        <v>0.3862384259</v>
      </c>
      <c r="D184" s="219" t="str">
        <f t="array" ref="D184">INDEX(postDEL!$A$2:$AN799,$O184,39)</f>
        <v>SpBEND394154</v>
      </c>
      <c r="E184" s="219" t="str">
        <f t="array" ref="E184">INDEX(postDEL!$A$2:$P799,$O184,4)</f>
        <v/>
      </c>
      <c r="F184" s="219" t="str">
        <f t="array" ref="F184">INDEX(postDEL!$A$2:$P799,$O184,5)</f>
        <v/>
      </c>
      <c r="G184" s="219" t="str">
        <f t="array" ref="G184">INDEX(postDEL!$A$2:$P799,$O184,11)</f>
        <v>Positive</v>
      </c>
      <c r="H184" s="219" t="str">
        <f t="array" ref="H184">INDEX(postDEL!$A$2:$AL799,$O184,37)</f>
        <v>Positive</v>
      </c>
      <c r="I184" s="217">
        <f t="array" ref="I184">INDEX(postDEL!$A$2:$AL799,$O184,12)</f>
        <v>44579</v>
      </c>
      <c r="J184" s="218">
        <f t="array" ref="J184">INDEX(postDEL!$A$2:$AL799,$O184,13)</f>
        <v>0.5015856481</v>
      </c>
      <c r="K184" s="219" t="str">
        <f t="array" ref="K184">INDEX(postDEL!$A$2:$AL799,$O184,36)</f>
        <v/>
      </c>
      <c r="L184" s="219" t="str">
        <f t="array" ref="L184">INDEX(postDEL!$A$2:$AL799,$O184,38)</f>
        <v>RT Jan26 nothing else seems off so conclude it's 2 swabs from the same person. OLD NOTE: review - same person, positive twice on same day</v>
      </c>
      <c r="M184" s="219" t="str">
        <f t="array" ref="M184">INDEX(postDEL!$A$2:$AL799,$O184,15)</f>
        <v/>
      </c>
      <c r="N184" s="110">
        <f>COUNTIF(postDEL!$A$2:$A799,A184)</f>
        <v>1</v>
      </c>
      <c r="O184" s="19">
        <f>MATCH(A184,postDEL!A$2:A799,0)</f>
        <v>183</v>
      </c>
      <c r="P184" s="10" t="str">
        <f t="shared" si="1"/>
        <v/>
      </c>
      <c r="Q184" s="220">
        <f t="shared" si="2"/>
        <v>4</v>
      </c>
      <c r="R184" s="5"/>
    </row>
    <row r="185">
      <c r="A185" s="221" t="s">
        <v>814</v>
      </c>
      <c r="B185" s="217">
        <f t="array" ref="B185">INDEX(postDEL!$A$2:$P799,$O185,2)</f>
        <v>44575</v>
      </c>
      <c r="C185" s="218">
        <f t="array" ref="C185">INDEX(postDEL!$A$2:$P799,$O185,3)</f>
        <v>0.3866550926</v>
      </c>
      <c r="D185" s="219" t="str">
        <f t="array" ref="D185">INDEX(postDEL!$A$2:$AN799,$O185,39)</f>
        <v>SpBEND394154</v>
      </c>
      <c r="E185" s="219" t="str">
        <f t="array" ref="E185">INDEX(postDEL!$A$2:$P799,$O185,4)</f>
        <v/>
      </c>
      <c r="F185" s="219" t="str">
        <f t="array" ref="F185">INDEX(postDEL!$A$2:$P799,$O185,5)</f>
        <v/>
      </c>
      <c r="G185" s="219" t="str">
        <f t="array" ref="G185">INDEX(postDEL!$A$2:$P799,$O185,11)</f>
        <v>Positive</v>
      </c>
      <c r="H185" s="219" t="str">
        <f t="array" ref="H185">INDEX(postDEL!$A$2:$AL799,$O185,37)</f>
        <v>Positive</v>
      </c>
      <c r="I185" s="217">
        <f t="array" ref="I185">INDEX(postDEL!$A$2:$AL799,$O185,12)</f>
        <v>44579</v>
      </c>
      <c r="J185" s="218">
        <f t="array" ref="J185">INDEX(postDEL!$A$2:$AL799,$O185,13)</f>
        <v>0.5015856481</v>
      </c>
      <c r="K185" s="219" t="str">
        <f t="array" ref="K185">INDEX(postDEL!$A$2:$AL799,$O185,36)</f>
        <v/>
      </c>
      <c r="L185" s="219" t="str">
        <f t="array" ref="L185">INDEX(postDEL!$A$2:$AL799,$O185,38)</f>
        <v>RT Jan26 nothing else seems off so conclude it's 2 swabs from the same person. OLD NOTE: review - same person, positive twice on same day</v>
      </c>
      <c r="M185" s="219" t="str">
        <f t="array" ref="M185">INDEX(postDEL!$A$2:$AL799,$O185,15)</f>
        <v/>
      </c>
      <c r="N185" s="110">
        <f>COUNTIF(postDEL!$A$2:$A799,A185)</f>
        <v>1</v>
      </c>
      <c r="O185" s="19">
        <f>MATCH(A185,postDEL!A$2:A799,0)</f>
        <v>184</v>
      </c>
      <c r="P185" s="10" t="str">
        <f t="shared" si="1"/>
        <v/>
      </c>
      <c r="Q185" s="220">
        <f t="shared" si="2"/>
        <v>4</v>
      </c>
      <c r="R185" s="5"/>
    </row>
    <row r="186">
      <c r="A186" s="221" t="s">
        <v>816</v>
      </c>
      <c r="B186" s="217">
        <f t="array" ref="B186">INDEX(postDEL!$A$2:$P799,$O186,2)</f>
        <v>44575</v>
      </c>
      <c r="C186" s="218">
        <f t="array" ref="C186">INDEX(postDEL!$A$2:$P799,$O186,3)</f>
        <v>0.3896064815</v>
      </c>
      <c r="D186" s="219" t="str">
        <f t="array" ref="D186">INDEX(postDEL!$A$2:$AN799,$O186,39)</f>
        <v>SpBEND394154</v>
      </c>
      <c r="E186" s="219" t="str">
        <f t="array" ref="E186">INDEX(postDEL!$A$2:$P799,$O186,4)</f>
        <v/>
      </c>
      <c r="F186" s="219" t="str">
        <f t="array" ref="F186">INDEX(postDEL!$A$2:$P799,$O186,5)</f>
        <v/>
      </c>
      <c r="G186" s="219" t="str">
        <f t="array" ref="G186">INDEX(postDEL!$A$2:$P799,$O186,11)</f>
        <v>Negative</v>
      </c>
      <c r="H186" s="219" t="str">
        <f t="array" ref="H186">INDEX(postDEL!$A$2:$AL799,$O186,37)</f>
        <v>Negative</v>
      </c>
      <c r="I186" s="217">
        <f t="array" ref="I186">INDEX(postDEL!$A$2:$AL799,$O186,12)</f>
        <v>44575</v>
      </c>
      <c r="J186" s="218">
        <f t="array" ref="J186">INDEX(postDEL!$A$2:$AL799,$O186,13)</f>
        <v>0.4820601852</v>
      </c>
      <c r="K186" s="219" t="str">
        <f t="array" ref="K186">INDEX(postDEL!$A$2:$AL799,$O186,36)</f>
        <v/>
      </c>
      <c r="L186" s="219" t="str">
        <f t="array" ref="L186">INDEX(postDEL!$A$2:$AL799,$O186,38)</f>
        <v/>
      </c>
      <c r="M186" s="219" t="str">
        <f t="array" ref="M186">INDEX(postDEL!$A$2:$AL799,$O186,15)</f>
        <v/>
      </c>
      <c r="N186" s="110">
        <f>COUNTIF(postDEL!$A$2:$A799,A186)</f>
        <v>1</v>
      </c>
      <c r="O186" s="19">
        <f>MATCH(A186,postDEL!A$2:A799,0)</f>
        <v>185</v>
      </c>
      <c r="P186" s="10" t="str">
        <f t="shared" si="1"/>
        <v/>
      </c>
      <c r="Q186" s="220">
        <f t="shared" si="2"/>
        <v>0</v>
      </c>
      <c r="R186" s="5"/>
    </row>
    <row r="187">
      <c r="A187" s="221" t="s">
        <v>818</v>
      </c>
      <c r="B187" s="217">
        <f t="array" ref="B187">INDEX(postDEL!$A$2:$P799,$O187,2)</f>
        <v>44575</v>
      </c>
      <c r="C187" s="218">
        <f t="array" ref="C187">INDEX(postDEL!$A$2:$P799,$O187,3)</f>
        <v>0.4073958333</v>
      </c>
      <c r="D187" s="219" t="str">
        <f t="array" ref="D187">INDEX(postDEL!$A$2:$AN799,$O187,39)</f>
        <v>SpBEND394154</v>
      </c>
      <c r="E187" s="219" t="str">
        <f t="array" ref="E187">INDEX(postDEL!$A$2:$P799,$O187,4)</f>
        <v/>
      </c>
      <c r="F187" s="219" t="str">
        <f t="array" ref="F187">INDEX(postDEL!$A$2:$P799,$O187,5)</f>
        <v/>
      </c>
      <c r="G187" s="219" t="str">
        <f t="array" ref="G187">INDEX(postDEL!$A$2:$P799,$O187,11)</f>
        <v>Negative</v>
      </c>
      <c r="H187" s="219" t="str">
        <f t="array" ref="H187">INDEX(postDEL!$A$2:$AL799,$O187,37)</f>
        <v>Negative</v>
      </c>
      <c r="I187" s="217">
        <f t="array" ref="I187">INDEX(postDEL!$A$2:$AL799,$O187,12)</f>
        <v>44575</v>
      </c>
      <c r="J187" s="218">
        <f t="array" ref="J187">INDEX(postDEL!$A$2:$AL799,$O187,13)</f>
        <v>0.4820601852</v>
      </c>
      <c r="K187" s="219" t="str">
        <f t="array" ref="K187">INDEX(postDEL!$A$2:$AL799,$O187,36)</f>
        <v/>
      </c>
      <c r="L187" s="219" t="str">
        <f t="array" ref="L187">INDEX(postDEL!$A$2:$AL799,$O187,38)</f>
        <v/>
      </c>
      <c r="M187" s="219" t="str">
        <f t="array" ref="M187">INDEX(postDEL!$A$2:$AL799,$O187,15)</f>
        <v/>
      </c>
      <c r="N187" s="110">
        <f>COUNTIF(postDEL!$A$2:$A799,A187)</f>
        <v>1</v>
      </c>
      <c r="O187" s="19">
        <f>MATCH(A187,postDEL!A$2:A799,0)</f>
        <v>186</v>
      </c>
      <c r="P187" s="10" t="str">
        <f t="shared" si="1"/>
        <v/>
      </c>
      <c r="Q187" s="220">
        <f t="shared" si="2"/>
        <v>0</v>
      </c>
      <c r="R187" s="5"/>
    </row>
    <row r="188">
      <c r="A188" s="221" t="s">
        <v>822</v>
      </c>
      <c r="B188" s="217">
        <f t="array" ref="B188">INDEX(postDEL!$A$2:$P799,$O188,2)</f>
        <v>44578</v>
      </c>
      <c r="C188" s="218">
        <f t="array" ref="C188">INDEX(postDEL!$A$2:$P799,$O188,3)</f>
        <v>0.3505208333</v>
      </c>
      <c r="D188" s="219" t="str">
        <f t="array" ref="D188">INDEX(postDEL!$A$2:$AN799,$O188,39)</f>
        <v>SpBEND721986</v>
      </c>
      <c r="E188" s="219" t="str">
        <f t="array" ref="E188">INDEX(postDEL!$A$2:$P799,$O188,4)</f>
        <v/>
      </c>
      <c r="F188" s="219" t="str">
        <f t="array" ref="F188">INDEX(postDEL!$A$2:$P799,$O188,5)</f>
        <v/>
      </c>
      <c r="G188" s="219" t="str">
        <f t="array" ref="G188">INDEX(postDEL!$A$2:$P799,$O188,11)</f>
        <v>Negative</v>
      </c>
      <c r="H188" s="219" t="str">
        <f t="array" ref="H188">INDEX(postDEL!$A$2:$AL799,$O188,37)</f>
        <v>Negative</v>
      </c>
      <c r="I188" s="217">
        <f t="array" ref="I188">INDEX(postDEL!$A$2:$AL799,$O188,12)</f>
        <v>44580</v>
      </c>
      <c r="J188" s="218">
        <f t="array" ref="J188">INDEX(postDEL!$A$2:$AL799,$O188,13)</f>
        <v>0.5079976852</v>
      </c>
      <c r="K188" s="219" t="str">
        <f t="array" ref="K188">INDEX(postDEL!$A$2:$AL799,$O188,36)</f>
        <v/>
      </c>
      <c r="L188" s="219" t="str">
        <f t="array" ref="L188">INDEX(postDEL!$A$2:$AL799,$O188,38)</f>
        <v/>
      </c>
      <c r="M188" s="219" t="str">
        <f t="array" ref="M188">INDEX(postDEL!$A$2:$AL799,$O188,15)</f>
        <v/>
      </c>
      <c r="N188" s="110">
        <f>COUNTIF(postDEL!$A$2:$A799,A188)</f>
        <v>1</v>
      </c>
      <c r="O188" s="19">
        <f>MATCH(A188,postDEL!A$2:A799,0)</f>
        <v>187</v>
      </c>
      <c r="P188" s="10" t="b">
        <f t="shared" si="1"/>
        <v>1</v>
      </c>
      <c r="Q188" s="220">
        <f t="shared" si="2"/>
        <v>2</v>
      </c>
      <c r="R188" s="5"/>
    </row>
    <row r="189">
      <c r="A189" s="221" t="s">
        <v>824</v>
      </c>
      <c r="B189" s="217">
        <f t="array" ref="B189">INDEX(postDEL!$A$2:$P799,$O189,2)</f>
        <v>44579</v>
      </c>
      <c r="C189" s="218">
        <f t="array" ref="C189">INDEX(postDEL!$A$2:$P799,$O189,3)</f>
        <v>0.2984837963</v>
      </c>
      <c r="D189" s="219" t="str">
        <f t="array" ref="D189">INDEX(postDEL!$A$2:$AN799,$O189,39)</f>
        <v>SpBEND136234</v>
      </c>
      <c r="E189" s="219" t="str">
        <f t="array" ref="E189">INDEX(postDEL!$A$2:$P799,$O189,4)</f>
        <v/>
      </c>
      <c r="F189" s="219" t="str">
        <f t="array" ref="F189">INDEX(postDEL!$A$2:$P799,$O189,5)</f>
        <v/>
      </c>
      <c r="G189" s="219" t="str">
        <f t="array" ref="G189">INDEX(postDEL!$A$2:$P799,$O189,11)</f>
        <v>Negative</v>
      </c>
      <c r="H189" s="219" t="str">
        <f t="array" ref="H189">INDEX(postDEL!$A$2:$AL799,$O189,37)</f>
        <v>Negative</v>
      </c>
      <c r="I189" s="217">
        <f t="array" ref="I189">INDEX(postDEL!$A$2:$AL799,$O189,12)</f>
        <v>44580</v>
      </c>
      <c r="J189" s="218">
        <f t="array" ref="J189">INDEX(postDEL!$A$2:$AL799,$O189,13)</f>
        <v>0.5079976852</v>
      </c>
      <c r="K189" s="219" t="str">
        <f t="array" ref="K189">INDEX(postDEL!$A$2:$AL799,$O189,36)</f>
        <v/>
      </c>
      <c r="L189" s="219" t="str">
        <f t="array" ref="L189">INDEX(postDEL!$A$2:$AL799,$O189,38)</f>
        <v/>
      </c>
      <c r="M189" s="219" t="str">
        <f t="array" ref="M189">INDEX(postDEL!$A$2:$AL799,$O189,15)</f>
        <v/>
      </c>
      <c r="N189" s="110">
        <f>COUNTIF(postDEL!$A$2:$A799,A189)</f>
        <v>1</v>
      </c>
      <c r="O189" s="19">
        <f>MATCH(A189,postDEL!A$2:A799,0)</f>
        <v>188</v>
      </c>
      <c r="P189" s="10" t="b">
        <f t="shared" si="1"/>
        <v>1</v>
      </c>
      <c r="Q189" s="220">
        <f t="shared" si="2"/>
        <v>1</v>
      </c>
      <c r="R189" s="5"/>
    </row>
    <row r="190">
      <c r="A190" s="221" t="s">
        <v>826</v>
      </c>
      <c r="B190" s="217">
        <f t="array" ref="B190">INDEX(postDEL!$A$2:$P799,$O190,2)</f>
        <v>44579</v>
      </c>
      <c r="C190" s="218">
        <f t="array" ref="C190">INDEX(postDEL!$A$2:$P799,$O190,3)</f>
        <v>0.3022685185</v>
      </c>
      <c r="D190" s="219" t="str">
        <f t="array" ref="D190">INDEX(postDEL!$A$2:$AN799,$O190,39)</f>
        <v>SpBEND743940</v>
      </c>
      <c r="E190" s="219" t="str">
        <f t="array" ref="E190">INDEX(postDEL!$A$2:$P799,$O190,4)</f>
        <v/>
      </c>
      <c r="F190" s="219" t="str">
        <f t="array" ref="F190">INDEX(postDEL!$A$2:$P799,$O190,5)</f>
        <v/>
      </c>
      <c r="G190" s="219" t="str">
        <f t="array" ref="G190">INDEX(postDEL!$A$2:$P799,$O190,11)</f>
        <v>Negative</v>
      </c>
      <c r="H190" s="219" t="str">
        <f t="array" ref="H190">INDEX(postDEL!$A$2:$AL799,$O190,37)</f>
        <v>Negative</v>
      </c>
      <c r="I190" s="217">
        <f t="array" ref="I190">INDEX(postDEL!$A$2:$AL799,$O190,12)</f>
        <v>44580</v>
      </c>
      <c r="J190" s="218">
        <f t="array" ref="J190">INDEX(postDEL!$A$2:$AL799,$O190,13)</f>
        <v>0.5079976852</v>
      </c>
      <c r="K190" s="219" t="str">
        <f t="array" ref="K190">INDEX(postDEL!$A$2:$AL799,$O190,36)</f>
        <v/>
      </c>
      <c r="L190" s="219" t="str">
        <f t="array" ref="L190">INDEX(postDEL!$A$2:$AL799,$O190,38)</f>
        <v/>
      </c>
      <c r="M190" s="219" t="str">
        <f t="array" ref="M190">INDEX(postDEL!$A$2:$AL799,$O190,15)</f>
        <v/>
      </c>
      <c r="N190" s="110">
        <f>COUNTIF(postDEL!$A$2:$A799,A190)</f>
        <v>1</v>
      </c>
      <c r="O190" s="19">
        <f>MATCH(A190,postDEL!A$2:A799,0)</f>
        <v>189</v>
      </c>
      <c r="P190" s="10" t="str">
        <f t="shared" si="1"/>
        <v/>
      </c>
      <c r="Q190" s="220">
        <f t="shared" si="2"/>
        <v>1</v>
      </c>
      <c r="R190" s="5"/>
    </row>
    <row r="191">
      <c r="A191" s="221" t="s">
        <v>830</v>
      </c>
      <c r="B191" s="217">
        <f t="array" ref="B191">INDEX(postDEL!$A$2:$P799,$O191,2)</f>
        <v>44579</v>
      </c>
      <c r="C191" s="218">
        <f t="array" ref="C191">INDEX(postDEL!$A$2:$P799,$O191,3)</f>
        <v>0.3112847222</v>
      </c>
      <c r="D191" s="219" t="str">
        <f t="array" ref="D191">INDEX(postDEL!$A$2:$AN799,$O191,39)</f>
        <v>SpBEND139816</v>
      </c>
      <c r="E191" s="219" t="str">
        <f t="array" ref="E191">INDEX(postDEL!$A$2:$P799,$O191,4)</f>
        <v/>
      </c>
      <c r="F191" s="219" t="str">
        <f t="array" ref="F191">INDEX(postDEL!$A$2:$P799,$O191,5)</f>
        <v/>
      </c>
      <c r="G191" s="219" t="str">
        <f t="array" ref="G191">INDEX(postDEL!$A$2:$P799,$O191,11)</f>
        <v>Inconclusive</v>
      </c>
      <c r="H191" s="219" t="str">
        <f t="array" ref="H191">INDEX(postDEL!$A$2:$AL799,$O191,37)</f>
        <v>Negative</v>
      </c>
      <c r="I191" s="217">
        <f t="array" ref="I191">INDEX(postDEL!$A$2:$AL799,$O191,12)</f>
        <v>44579</v>
      </c>
      <c r="J191" s="218">
        <f t="array" ref="J191">INDEX(postDEL!$A$2:$AL799,$O191,13)</f>
        <v>0.5014930556</v>
      </c>
      <c r="K191" s="219">
        <f t="array" ref="K191">INDEX(postDEL!$A$2:$AL799,$O191,36)</f>
        <v>2.5</v>
      </c>
      <c r="L191" s="219" t="str">
        <f t="array" ref="L191">INDEX(postDEL!$A$2:$AL799,$O191,38)</f>
        <v> Inconclusive to Negative based on RFR Audit (RT JAN26)</v>
      </c>
      <c r="M191" s="219" t="str">
        <f t="array" ref="M191">INDEX(postDEL!$A$2:$AL799,$O191,15)</f>
        <v/>
      </c>
      <c r="N191" s="110">
        <f>COUNTIF(postDEL!$A$2:$A799,A191)</f>
        <v>1</v>
      </c>
      <c r="O191" s="19">
        <f>MATCH(A191,postDEL!A$2:A799,0)</f>
        <v>190</v>
      </c>
      <c r="P191" s="10" t="str">
        <f t="shared" si="1"/>
        <v/>
      </c>
      <c r="Q191" s="220">
        <f t="shared" si="2"/>
        <v>0</v>
      </c>
      <c r="R191" s="5"/>
    </row>
    <row r="192">
      <c r="A192" s="221" t="s">
        <v>833</v>
      </c>
      <c r="B192" s="217">
        <f t="array" ref="B192">INDEX(postDEL!$A$2:$P799,$O192,2)</f>
        <v>44579</v>
      </c>
      <c r="C192" s="218">
        <f t="array" ref="C192">INDEX(postDEL!$A$2:$P799,$O192,3)</f>
        <v>0.3162037037</v>
      </c>
      <c r="D192" s="219" t="str">
        <f t="array" ref="D192">INDEX(postDEL!$A$2:$AN799,$O192,39)</f>
        <v>SpBEND528248</v>
      </c>
      <c r="E192" s="219" t="str">
        <f t="array" ref="E192">INDEX(postDEL!$A$2:$P799,$O192,4)</f>
        <v/>
      </c>
      <c r="F192" s="219" t="str">
        <f t="array" ref="F192">INDEX(postDEL!$A$2:$P799,$O192,5)</f>
        <v/>
      </c>
      <c r="G192" s="219" t="str">
        <f t="array" ref="G192">INDEX(postDEL!$A$2:$P799,$O192,11)</f>
        <v>Negative</v>
      </c>
      <c r="H192" s="219" t="str">
        <f t="array" ref="H192">INDEX(postDEL!$A$2:$AL799,$O192,37)</f>
        <v>Negative</v>
      </c>
      <c r="I192" s="217">
        <f t="array" ref="I192">INDEX(postDEL!$A$2:$AL799,$O192,12)</f>
        <v>44580</v>
      </c>
      <c r="J192" s="218">
        <f t="array" ref="J192">INDEX(postDEL!$A$2:$AL799,$O192,13)</f>
        <v>0.5080092593</v>
      </c>
      <c r="K192" s="219" t="str">
        <f t="array" ref="K192">INDEX(postDEL!$A$2:$AL799,$O192,36)</f>
        <v/>
      </c>
      <c r="L192" s="219" t="str">
        <f t="array" ref="L192">INDEX(postDEL!$A$2:$AL799,$O192,38)</f>
        <v/>
      </c>
      <c r="M192" s="219" t="str">
        <f t="array" ref="M192">INDEX(postDEL!$A$2:$AL799,$O192,15)</f>
        <v/>
      </c>
      <c r="N192" s="110">
        <f>COUNTIF(postDEL!$A$2:$A799,A192)</f>
        <v>1</v>
      </c>
      <c r="O192" s="19">
        <f>MATCH(A192,postDEL!A$2:A799,0)</f>
        <v>191</v>
      </c>
      <c r="P192" s="10" t="str">
        <f t="shared" si="1"/>
        <v/>
      </c>
      <c r="Q192" s="220">
        <f t="shared" si="2"/>
        <v>1</v>
      </c>
      <c r="R192" s="5"/>
    </row>
    <row r="193">
      <c r="A193" s="221" t="s">
        <v>835</v>
      </c>
      <c r="B193" s="217">
        <f t="array" ref="B193">INDEX(postDEL!$A$2:$P799,$O193,2)</f>
        <v>44579</v>
      </c>
      <c r="C193" s="218">
        <f t="array" ref="C193">INDEX(postDEL!$A$2:$P799,$O193,3)</f>
        <v>0.3205324074</v>
      </c>
      <c r="D193" s="219" t="str">
        <f t="array" ref="D193">INDEX(postDEL!$A$2:$AN799,$O193,39)</f>
        <v>SpBEND302553</v>
      </c>
      <c r="E193" s="219" t="str">
        <f t="array" ref="E193">INDEX(postDEL!$A$2:$P799,$O193,4)</f>
        <v/>
      </c>
      <c r="F193" s="219" t="str">
        <f t="array" ref="F193">INDEX(postDEL!$A$2:$P799,$O193,5)</f>
        <v/>
      </c>
      <c r="G193" s="219" t="str">
        <f t="array" ref="G193">INDEX(postDEL!$A$2:$P799,$O193,11)</f>
        <v>Negative</v>
      </c>
      <c r="H193" s="219" t="str">
        <f t="array" ref="H193">INDEX(postDEL!$A$2:$AL799,$O193,37)</f>
        <v>Negative</v>
      </c>
      <c r="I193" s="217">
        <f t="array" ref="I193">INDEX(postDEL!$A$2:$AL799,$O193,12)</f>
        <v>44580</v>
      </c>
      <c r="J193" s="218">
        <f t="array" ref="J193">INDEX(postDEL!$A$2:$AL799,$O193,13)</f>
        <v>0.5080092593</v>
      </c>
      <c r="K193" s="219" t="str">
        <f t="array" ref="K193">INDEX(postDEL!$A$2:$AL799,$O193,36)</f>
        <v/>
      </c>
      <c r="L193" s="219" t="str">
        <f t="array" ref="L193">INDEX(postDEL!$A$2:$AL799,$O193,38)</f>
        <v/>
      </c>
      <c r="M193" s="219" t="str">
        <f t="array" ref="M193">INDEX(postDEL!$A$2:$AL799,$O193,15)</f>
        <v/>
      </c>
      <c r="N193" s="110">
        <f>COUNTIF(postDEL!$A$2:$A799,A193)</f>
        <v>1</v>
      </c>
      <c r="O193" s="19">
        <f>MATCH(A193,postDEL!A$2:A799,0)</f>
        <v>192</v>
      </c>
      <c r="P193" s="10" t="str">
        <f t="shared" si="1"/>
        <v/>
      </c>
      <c r="Q193" s="220">
        <f t="shared" si="2"/>
        <v>1</v>
      </c>
      <c r="R193" s="5"/>
    </row>
    <row r="194">
      <c r="A194" s="221" t="s">
        <v>838</v>
      </c>
      <c r="B194" s="217">
        <f t="array" ref="B194">INDEX(postDEL!$A$2:$P799,$O194,2)</f>
        <v>44579</v>
      </c>
      <c r="C194" s="218">
        <f t="array" ref="C194">INDEX(postDEL!$A$2:$P799,$O194,3)</f>
        <v>0.3225115741</v>
      </c>
      <c r="D194" s="219" t="str">
        <f t="array" ref="D194">INDEX(postDEL!$A$2:$AN799,$O194,39)</f>
        <v>SpBEND184203</v>
      </c>
      <c r="E194" s="219" t="str">
        <f t="array" ref="E194">INDEX(postDEL!$A$2:$P799,$O194,4)</f>
        <v/>
      </c>
      <c r="F194" s="219" t="str">
        <f t="array" ref="F194">INDEX(postDEL!$A$2:$P799,$O194,5)</f>
        <v/>
      </c>
      <c r="G194" s="219" t="str">
        <f t="array" ref="G194">INDEX(postDEL!$A$2:$P799,$O194,11)</f>
        <v>Positive</v>
      </c>
      <c r="H194" s="219" t="str">
        <f t="array" ref="H194">INDEX(postDEL!$A$2:$AL799,$O194,37)</f>
        <v>Positive</v>
      </c>
      <c r="I194" s="217">
        <f t="array" ref="I194">INDEX(postDEL!$A$2:$AL799,$O194,12)</f>
        <v>44579</v>
      </c>
      <c r="J194" s="218">
        <f t="array" ref="J194">INDEX(postDEL!$A$2:$AL799,$O194,13)</f>
        <v>0.5015972222</v>
      </c>
      <c r="K194" s="219" t="str">
        <f t="array" ref="K194">INDEX(postDEL!$A$2:$AL799,$O194,36)</f>
        <v/>
      </c>
      <c r="L194" s="219" t="str">
        <f t="array" ref="L194">INDEX(postDEL!$A$2:$AL799,$O194,38)</f>
        <v/>
      </c>
      <c r="M194" s="219" t="str">
        <f t="array" ref="M194">INDEX(postDEL!$A$2:$AL799,$O194,15)</f>
        <v/>
      </c>
      <c r="N194" s="110">
        <f>COUNTIF(postDEL!$A$2:$A799,A194)</f>
        <v>1</v>
      </c>
      <c r="O194" s="19">
        <f>MATCH(A194,postDEL!A$2:A799,0)</f>
        <v>193</v>
      </c>
      <c r="P194" s="10" t="str">
        <f t="shared" si="1"/>
        <v/>
      </c>
      <c r="Q194" s="220">
        <f t="shared" si="2"/>
        <v>0</v>
      </c>
      <c r="R194" s="5"/>
    </row>
    <row r="195">
      <c r="A195" s="221" t="s">
        <v>841</v>
      </c>
      <c r="B195" s="217">
        <f t="array" ref="B195">INDEX(postDEL!$A$2:$P799,$O195,2)</f>
        <v>44579</v>
      </c>
      <c r="C195" s="218">
        <f t="array" ref="C195">INDEX(postDEL!$A$2:$P799,$O195,3)</f>
        <v>0.3232175926</v>
      </c>
      <c r="D195" s="219" t="str">
        <f t="array" ref="D195">INDEX(postDEL!$A$2:$AN799,$O195,39)</f>
        <v>SpBEND643855</v>
      </c>
      <c r="E195" s="219" t="str">
        <f t="array" ref="E195">INDEX(postDEL!$A$2:$P799,$O195,4)</f>
        <v/>
      </c>
      <c r="F195" s="219" t="str">
        <f t="array" ref="F195">INDEX(postDEL!$A$2:$P799,$O195,5)</f>
        <v/>
      </c>
      <c r="G195" s="219" t="str">
        <f t="array" ref="G195">INDEX(postDEL!$A$2:$P799,$O195,11)</f>
        <v>Negative</v>
      </c>
      <c r="H195" s="219" t="str">
        <f t="array" ref="H195">INDEX(postDEL!$A$2:$AL799,$O195,37)</f>
        <v>Negative</v>
      </c>
      <c r="I195" s="217">
        <f t="array" ref="I195">INDEX(postDEL!$A$2:$AL799,$O195,12)</f>
        <v>44580</v>
      </c>
      <c r="J195" s="218">
        <f t="array" ref="J195">INDEX(postDEL!$A$2:$AL799,$O195,13)</f>
        <v>0.5080092593</v>
      </c>
      <c r="K195" s="219" t="str">
        <f t="array" ref="K195">INDEX(postDEL!$A$2:$AL799,$O195,36)</f>
        <v/>
      </c>
      <c r="L195" s="219" t="str">
        <f t="array" ref="L195">INDEX(postDEL!$A$2:$AL799,$O195,38)</f>
        <v/>
      </c>
      <c r="M195" s="219" t="str">
        <f t="array" ref="M195">INDEX(postDEL!$A$2:$AL799,$O195,15)</f>
        <v/>
      </c>
      <c r="N195" s="110">
        <f>COUNTIF(postDEL!$A$2:$A799,A195)</f>
        <v>1</v>
      </c>
      <c r="O195" s="19">
        <f>MATCH(A195,postDEL!A$2:A799,0)</f>
        <v>194</v>
      </c>
      <c r="P195" s="10" t="str">
        <f t="shared" si="1"/>
        <v/>
      </c>
      <c r="Q195" s="220">
        <f t="shared" si="2"/>
        <v>1</v>
      </c>
      <c r="R195" s="5"/>
    </row>
    <row r="196">
      <c r="A196" s="221" t="s">
        <v>843</v>
      </c>
      <c r="B196" s="217">
        <f t="array" ref="B196">INDEX(postDEL!$A$2:$P799,$O196,2)</f>
        <v>44579</v>
      </c>
      <c r="C196" s="218">
        <f t="array" ref="C196">INDEX(postDEL!$A$2:$P799,$O196,3)</f>
        <v>0.3233101852</v>
      </c>
      <c r="D196" s="219" t="str">
        <f t="array" ref="D196">INDEX(postDEL!$A$2:$AN799,$O196,39)</f>
        <v>SpBEND996809</v>
      </c>
      <c r="E196" s="219" t="str">
        <f t="array" ref="E196">INDEX(postDEL!$A$2:$P799,$O196,4)</f>
        <v/>
      </c>
      <c r="F196" s="219" t="str">
        <f t="array" ref="F196">INDEX(postDEL!$A$2:$P799,$O196,5)</f>
        <v/>
      </c>
      <c r="G196" s="219" t="str">
        <f t="array" ref="G196">INDEX(postDEL!$A$2:$P799,$O196,11)</f>
        <v>Negative</v>
      </c>
      <c r="H196" s="219" t="str">
        <f t="array" ref="H196">INDEX(postDEL!$A$2:$AL799,$O196,37)</f>
        <v>Negative</v>
      </c>
      <c r="I196" s="217">
        <f t="array" ref="I196">INDEX(postDEL!$A$2:$AL799,$O196,12)</f>
        <v>44580</v>
      </c>
      <c r="J196" s="218">
        <f t="array" ref="J196">INDEX(postDEL!$A$2:$AL799,$O196,13)</f>
        <v>0.5080092593</v>
      </c>
      <c r="K196" s="219" t="str">
        <f t="array" ref="K196">INDEX(postDEL!$A$2:$AL799,$O196,36)</f>
        <v/>
      </c>
      <c r="L196" s="219" t="str">
        <f t="array" ref="L196">INDEX(postDEL!$A$2:$AL799,$O196,38)</f>
        <v/>
      </c>
      <c r="M196" s="219" t="str">
        <f t="array" ref="M196">INDEX(postDEL!$A$2:$AL799,$O196,15)</f>
        <v/>
      </c>
      <c r="N196" s="110">
        <f>COUNTIF(postDEL!$A$2:$A799,A196)</f>
        <v>1</v>
      </c>
      <c r="O196" s="19">
        <f>MATCH(A196,postDEL!A$2:A799,0)</f>
        <v>195</v>
      </c>
      <c r="P196" s="10" t="str">
        <f t="shared" si="1"/>
        <v/>
      </c>
      <c r="Q196" s="220">
        <f t="shared" si="2"/>
        <v>1</v>
      </c>
      <c r="R196" s="5"/>
    </row>
    <row r="197">
      <c r="A197" s="221" t="s">
        <v>845</v>
      </c>
      <c r="B197" s="217">
        <f t="array" ref="B197">INDEX(postDEL!$A$2:$P799,$O197,2)</f>
        <v>44579</v>
      </c>
      <c r="C197" s="218">
        <f t="array" ref="C197">INDEX(postDEL!$A$2:$P799,$O197,3)</f>
        <v>0.3278935185</v>
      </c>
      <c r="D197" s="219" t="str">
        <f t="array" ref="D197">INDEX(postDEL!$A$2:$AN799,$O197,39)</f>
        <v>SpBEND953422</v>
      </c>
      <c r="E197" s="219" t="str">
        <f t="array" ref="E197">INDEX(postDEL!$A$2:$P799,$O197,4)</f>
        <v/>
      </c>
      <c r="F197" s="219" t="str">
        <f t="array" ref="F197">INDEX(postDEL!$A$2:$P799,$O197,5)</f>
        <v/>
      </c>
      <c r="G197" s="219" t="str">
        <f t="array" ref="G197">INDEX(postDEL!$A$2:$P799,$O197,11)</f>
        <v>Negative</v>
      </c>
      <c r="H197" s="219" t="str">
        <f t="array" ref="H197">INDEX(postDEL!$A$2:$AL799,$O197,37)</f>
        <v>Negative</v>
      </c>
      <c r="I197" s="217">
        <f t="array" ref="I197">INDEX(postDEL!$A$2:$AL799,$O197,12)</f>
        <v>44580</v>
      </c>
      <c r="J197" s="218">
        <f t="array" ref="J197">INDEX(postDEL!$A$2:$AL799,$O197,13)</f>
        <v>0.5080092593</v>
      </c>
      <c r="K197" s="219" t="str">
        <f t="array" ref="K197">INDEX(postDEL!$A$2:$AL799,$O197,36)</f>
        <v/>
      </c>
      <c r="L197" s="219" t="str">
        <f t="array" ref="L197">INDEX(postDEL!$A$2:$AL799,$O197,38)</f>
        <v/>
      </c>
      <c r="M197" s="219" t="str">
        <f t="array" ref="M197">INDEX(postDEL!$A$2:$AL799,$O197,15)</f>
        <v/>
      </c>
      <c r="N197" s="110">
        <f>COUNTIF(postDEL!$A$2:$A799,A197)</f>
        <v>1</v>
      </c>
      <c r="O197" s="19">
        <f>MATCH(A197,postDEL!A$2:A799,0)</f>
        <v>196</v>
      </c>
      <c r="P197" s="10" t="str">
        <f t="shared" si="1"/>
        <v/>
      </c>
      <c r="Q197" s="220">
        <f t="shared" si="2"/>
        <v>1</v>
      </c>
      <c r="R197" s="5"/>
    </row>
    <row r="198">
      <c r="A198" s="221" t="s">
        <v>847</v>
      </c>
      <c r="B198" s="217">
        <f t="array" ref="B198">INDEX(postDEL!$A$2:$P799,$O198,2)</f>
        <v>44579</v>
      </c>
      <c r="C198" s="218">
        <f t="array" ref="C198">INDEX(postDEL!$A$2:$P799,$O198,3)</f>
        <v>0.3291435185</v>
      </c>
      <c r="D198" s="219" t="str">
        <f t="array" ref="D198">INDEX(postDEL!$A$2:$AN799,$O198,39)</f>
        <v>SpBEND425753</v>
      </c>
      <c r="E198" s="219" t="str">
        <f t="array" ref="E198">INDEX(postDEL!$A$2:$P799,$O198,4)</f>
        <v/>
      </c>
      <c r="F198" s="219" t="str">
        <f t="array" ref="F198">INDEX(postDEL!$A$2:$P799,$O198,5)</f>
        <v/>
      </c>
      <c r="G198" s="219" t="str">
        <f t="array" ref="G198">INDEX(postDEL!$A$2:$P799,$O198,11)</f>
        <v>Negative</v>
      </c>
      <c r="H198" s="219" t="str">
        <f t="array" ref="H198">INDEX(postDEL!$A$2:$AL799,$O198,37)</f>
        <v>Negative</v>
      </c>
      <c r="I198" s="217">
        <f t="array" ref="I198">INDEX(postDEL!$A$2:$AL799,$O198,12)</f>
        <v>44580</v>
      </c>
      <c r="J198" s="218">
        <f t="array" ref="J198">INDEX(postDEL!$A$2:$AL799,$O198,13)</f>
        <v>0.5080092593</v>
      </c>
      <c r="K198" s="219" t="str">
        <f t="array" ref="K198">INDEX(postDEL!$A$2:$AL799,$O198,36)</f>
        <v/>
      </c>
      <c r="L198" s="219" t="str">
        <f t="array" ref="L198">INDEX(postDEL!$A$2:$AL799,$O198,38)</f>
        <v/>
      </c>
      <c r="M198" s="219" t="str">
        <f t="array" ref="M198">INDEX(postDEL!$A$2:$AL799,$O198,15)</f>
        <v/>
      </c>
      <c r="N198" s="110">
        <f>COUNTIF(postDEL!$A$2:$A799,A198)</f>
        <v>1</v>
      </c>
      <c r="O198" s="19">
        <f>MATCH(A198,postDEL!A$2:A799,0)</f>
        <v>197</v>
      </c>
      <c r="P198" s="10" t="str">
        <f t="shared" si="1"/>
        <v/>
      </c>
      <c r="Q198" s="220">
        <f t="shared" si="2"/>
        <v>1</v>
      </c>
      <c r="R198" s="5"/>
    </row>
    <row r="199">
      <c r="A199" s="221" t="s">
        <v>849</v>
      </c>
      <c r="B199" s="217">
        <f t="array" ref="B199">INDEX(postDEL!$A$2:$P799,$O199,2)</f>
        <v>44579</v>
      </c>
      <c r="C199" s="218">
        <f t="array" ref="C199">INDEX(postDEL!$A$2:$P799,$O199,3)</f>
        <v>0.3309143519</v>
      </c>
      <c r="D199" s="219" t="str">
        <f t="array" ref="D199">INDEX(postDEL!$A$2:$AN799,$O199,39)</f>
        <v>SpBEND845568</v>
      </c>
      <c r="E199" s="219" t="str">
        <f t="array" ref="E199">INDEX(postDEL!$A$2:$P799,$O199,4)</f>
        <v/>
      </c>
      <c r="F199" s="219" t="str">
        <f t="array" ref="F199">INDEX(postDEL!$A$2:$P799,$O199,5)</f>
        <v/>
      </c>
      <c r="G199" s="219" t="str">
        <f t="array" ref="G199">INDEX(postDEL!$A$2:$P799,$O199,11)</f>
        <v>Positive</v>
      </c>
      <c r="H199" s="219" t="str">
        <f t="array" ref="H199">INDEX(postDEL!$A$2:$AL799,$O199,37)</f>
        <v>Positive</v>
      </c>
      <c r="I199" s="217">
        <f t="array" ref="I199">INDEX(postDEL!$A$2:$AL799,$O199,12)</f>
        <v>44579</v>
      </c>
      <c r="J199" s="218">
        <f t="array" ref="J199">INDEX(postDEL!$A$2:$AL799,$O199,13)</f>
        <v>0.5015972222</v>
      </c>
      <c r="K199" s="219" t="str">
        <f t="array" ref="K199">INDEX(postDEL!$A$2:$AL799,$O199,36)</f>
        <v/>
      </c>
      <c r="L199" s="219" t="str">
        <f t="array" ref="L199">INDEX(postDEL!$A$2:$AL799,$O199,38)</f>
        <v/>
      </c>
      <c r="M199" s="219" t="str">
        <f t="array" ref="M199">INDEX(postDEL!$A$2:$AL799,$O199,15)</f>
        <v/>
      </c>
      <c r="N199" s="110">
        <f>COUNTIF(postDEL!$A$2:$A799,A199)</f>
        <v>1</v>
      </c>
      <c r="O199" s="19">
        <f>MATCH(A199,postDEL!A$2:A799,0)</f>
        <v>198</v>
      </c>
      <c r="P199" s="10" t="str">
        <f t="shared" si="1"/>
        <v/>
      </c>
      <c r="Q199" s="220">
        <f t="shared" si="2"/>
        <v>0</v>
      </c>
      <c r="R199" s="5"/>
    </row>
    <row r="200">
      <c r="A200" s="221" t="s">
        <v>853</v>
      </c>
      <c r="B200" s="217">
        <f t="array" ref="B200">INDEX(postDEL!$A$2:$P799,$O200,2)</f>
        <v>44579</v>
      </c>
      <c r="C200" s="218">
        <f t="array" ref="C200">INDEX(postDEL!$A$2:$P799,$O200,3)</f>
        <v>0.3310185185</v>
      </c>
      <c r="D200" s="219" t="str">
        <f t="array" ref="D200">INDEX(postDEL!$A$2:$AN799,$O200,39)</f>
        <v>SpBEND713650</v>
      </c>
      <c r="E200" s="219" t="str">
        <f t="array" ref="E200">INDEX(postDEL!$A$2:$P799,$O200,4)</f>
        <v/>
      </c>
      <c r="F200" s="219" t="str">
        <f t="array" ref="F200">INDEX(postDEL!$A$2:$P799,$O200,5)</f>
        <v/>
      </c>
      <c r="G200" s="219" t="str">
        <f t="array" ref="G200">INDEX(postDEL!$A$2:$P799,$O200,11)</f>
        <v>Negative</v>
      </c>
      <c r="H200" s="219" t="str">
        <f t="array" ref="H200">INDEX(postDEL!$A$2:$AL799,$O200,37)</f>
        <v>Negative</v>
      </c>
      <c r="I200" s="217">
        <f t="array" ref="I200">INDEX(postDEL!$A$2:$AL799,$O200,12)</f>
        <v>44580</v>
      </c>
      <c r="J200" s="218">
        <f t="array" ref="J200">INDEX(postDEL!$A$2:$AL799,$O200,13)</f>
        <v>0.5080092593</v>
      </c>
      <c r="K200" s="219" t="str">
        <f t="array" ref="K200">INDEX(postDEL!$A$2:$AL799,$O200,36)</f>
        <v/>
      </c>
      <c r="L200" s="219" t="str">
        <f t="array" ref="L200">INDEX(postDEL!$A$2:$AL799,$O200,38)</f>
        <v/>
      </c>
      <c r="M200" s="219" t="str">
        <f t="array" ref="M200">INDEX(postDEL!$A$2:$AL799,$O200,15)</f>
        <v/>
      </c>
      <c r="N200" s="110">
        <f>COUNTIF(postDEL!$A$2:$A799,A200)</f>
        <v>1</v>
      </c>
      <c r="O200" s="19">
        <f>MATCH(A200,postDEL!A$2:A799,0)</f>
        <v>199</v>
      </c>
      <c r="P200" s="10" t="str">
        <f t="shared" si="1"/>
        <v/>
      </c>
      <c r="Q200" s="220">
        <f t="shared" si="2"/>
        <v>1</v>
      </c>
      <c r="R200" s="5"/>
    </row>
    <row r="201">
      <c r="A201" s="221" t="s">
        <v>856</v>
      </c>
      <c r="B201" s="217">
        <f t="array" ref="B201">INDEX(postDEL!$A$2:$P799,$O201,2)</f>
        <v>44579</v>
      </c>
      <c r="C201" s="218">
        <f t="array" ref="C201">INDEX(postDEL!$A$2:$P799,$O201,3)</f>
        <v>0.3312152778</v>
      </c>
      <c r="D201" s="219" t="str">
        <f t="array" ref="D201">INDEX(postDEL!$A$2:$AN799,$O201,39)</f>
        <v>SpBEND842248</v>
      </c>
      <c r="E201" s="219" t="str">
        <f t="array" ref="E201">INDEX(postDEL!$A$2:$P799,$O201,4)</f>
        <v/>
      </c>
      <c r="F201" s="219" t="str">
        <f t="array" ref="F201">INDEX(postDEL!$A$2:$P799,$O201,5)</f>
        <v/>
      </c>
      <c r="G201" s="219" t="str">
        <f t="array" ref="G201">INDEX(postDEL!$A$2:$P799,$O201,11)</f>
        <v>Negative</v>
      </c>
      <c r="H201" s="219" t="str">
        <f t="array" ref="H201">INDEX(postDEL!$A$2:$AL799,$O201,37)</f>
        <v>Negative</v>
      </c>
      <c r="I201" s="217">
        <f t="array" ref="I201">INDEX(postDEL!$A$2:$AL799,$O201,12)</f>
        <v>44580</v>
      </c>
      <c r="J201" s="218">
        <f t="array" ref="J201">INDEX(postDEL!$A$2:$AL799,$O201,13)</f>
        <v>0.5080092593</v>
      </c>
      <c r="K201" s="219" t="str">
        <f t="array" ref="K201">INDEX(postDEL!$A$2:$AL799,$O201,36)</f>
        <v/>
      </c>
      <c r="L201" s="219" t="str">
        <f t="array" ref="L201">INDEX(postDEL!$A$2:$AL799,$O201,38)</f>
        <v/>
      </c>
      <c r="M201" s="219" t="str">
        <f t="array" ref="M201">INDEX(postDEL!$A$2:$AL799,$O201,15)</f>
        <v/>
      </c>
      <c r="N201" s="110">
        <f>COUNTIF(postDEL!$A$2:$A799,A201)</f>
        <v>1</v>
      </c>
      <c r="O201" s="19">
        <f>MATCH(A201,postDEL!A$2:A799,0)</f>
        <v>200</v>
      </c>
      <c r="P201" s="10" t="str">
        <f t="shared" si="1"/>
        <v/>
      </c>
      <c r="Q201" s="220">
        <f t="shared" si="2"/>
        <v>1</v>
      </c>
      <c r="R201" s="5"/>
    </row>
    <row r="202">
      <c r="A202" s="221" t="s">
        <v>859</v>
      </c>
      <c r="B202" s="217">
        <f t="array" ref="B202">INDEX(postDEL!$A$2:$P799,$O202,2)</f>
        <v>44579</v>
      </c>
      <c r="C202" s="218">
        <f t="array" ref="C202">INDEX(postDEL!$A$2:$P799,$O202,3)</f>
        <v>0.3317824074</v>
      </c>
      <c r="D202" s="219" t="str">
        <f t="array" ref="D202">INDEX(postDEL!$A$2:$AN799,$O202,39)</f>
        <v>SpBEND349435</v>
      </c>
      <c r="E202" s="219" t="str">
        <f t="array" ref="E202">INDEX(postDEL!$A$2:$P799,$O202,4)</f>
        <v/>
      </c>
      <c r="F202" s="219" t="str">
        <f t="array" ref="F202">INDEX(postDEL!$A$2:$P799,$O202,5)</f>
        <v/>
      </c>
      <c r="G202" s="219" t="str">
        <f t="array" ref="G202">INDEX(postDEL!$A$2:$P799,$O202,11)</f>
        <v>Negative</v>
      </c>
      <c r="H202" s="219" t="str">
        <f t="array" ref="H202">INDEX(postDEL!$A$2:$AL799,$O202,37)</f>
        <v>Negative</v>
      </c>
      <c r="I202" s="217">
        <f t="array" ref="I202">INDEX(postDEL!$A$2:$AL799,$O202,12)</f>
        <v>44580</v>
      </c>
      <c r="J202" s="218">
        <f t="array" ref="J202">INDEX(postDEL!$A$2:$AL799,$O202,13)</f>
        <v>0.5080092593</v>
      </c>
      <c r="K202" s="219" t="str">
        <f t="array" ref="K202">INDEX(postDEL!$A$2:$AL799,$O202,36)</f>
        <v/>
      </c>
      <c r="L202" s="219" t="str">
        <f t="array" ref="L202">INDEX(postDEL!$A$2:$AL799,$O202,38)</f>
        <v/>
      </c>
      <c r="M202" s="219" t="str">
        <f t="array" ref="M202">INDEX(postDEL!$A$2:$AL799,$O202,15)</f>
        <v/>
      </c>
      <c r="N202" s="110">
        <f>COUNTIF(postDEL!$A$2:$A799,A202)</f>
        <v>1</v>
      </c>
      <c r="O202" s="19">
        <f>MATCH(A202,postDEL!A$2:A799,0)</f>
        <v>201</v>
      </c>
      <c r="P202" s="10" t="str">
        <f t="shared" si="1"/>
        <v/>
      </c>
      <c r="Q202" s="220">
        <f t="shared" si="2"/>
        <v>1</v>
      </c>
      <c r="R202" s="5"/>
    </row>
    <row r="203">
      <c r="A203" s="221" t="s">
        <v>861</v>
      </c>
      <c r="B203" s="217">
        <f t="array" ref="B203">INDEX(postDEL!$A$2:$P799,$O203,2)</f>
        <v>44579</v>
      </c>
      <c r="C203" s="218">
        <f t="array" ref="C203">INDEX(postDEL!$A$2:$P799,$O203,3)</f>
        <v>0.332025463</v>
      </c>
      <c r="D203" s="219" t="str">
        <f t="array" ref="D203">INDEX(postDEL!$A$2:$AN799,$O203,39)</f>
        <v>SpBEND292554</v>
      </c>
      <c r="E203" s="219" t="str">
        <f t="array" ref="E203">INDEX(postDEL!$A$2:$P799,$O203,4)</f>
        <v/>
      </c>
      <c r="F203" s="219" t="str">
        <f t="array" ref="F203">INDEX(postDEL!$A$2:$P799,$O203,5)</f>
        <v/>
      </c>
      <c r="G203" s="219" t="str">
        <f t="array" ref="G203">INDEX(postDEL!$A$2:$P799,$O203,11)</f>
        <v>Negative</v>
      </c>
      <c r="H203" s="219" t="str">
        <f t="array" ref="H203">INDEX(postDEL!$A$2:$AL799,$O203,37)</f>
        <v>Negative</v>
      </c>
      <c r="I203" s="217">
        <f t="array" ref="I203">INDEX(postDEL!$A$2:$AL799,$O203,12)</f>
        <v>44580</v>
      </c>
      <c r="J203" s="218">
        <f t="array" ref="J203">INDEX(postDEL!$A$2:$AL799,$O203,13)</f>
        <v>0.5080092593</v>
      </c>
      <c r="K203" s="219" t="str">
        <f t="array" ref="K203">INDEX(postDEL!$A$2:$AL799,$O203,36)</f>
        <v/>
      </c>
      <c r="L203" s="219" t="str">
        <f t="array" ref="L203">INDEX(postDEL!$A$2:$AL799,$O203,38)</f>
        <v/>
      </c>
      <c r="M203" s="219" t="str">
        <f t="array" ref="M203">INDEX(postDEL!$A$2:$AL799,$O203,15)</f>
        <v/>
      </c>
      <c r="N203" s="110">
        <f>COUNTIF(postDEL!$A$2:$A799,A203)</f>
        <v>1</v>
      </c>
      <c r="O203" s="19">
        <f>MATCH(A203,postDEL!A$2:A799,0)</f>
        <v>202</v>
      </c>
      <c r="P203" s="10" t="str">
        <f t="shared" si="1"/>
        <v/>
      </c>
      <c r="Q203" s="220">
        <f t="shared" si="2"/>
        <v>1</v>
      </c>
      <c r="R203" s="5"/>
    </row>
    <row r="204">
      <c r="A204" s="221" t="s">
        <v>864</v>
      </c>
      <c r="B204" s="217">
        <f t="array" ref="B204">INDEX(postDEL!$A$2:$P799,$O204,2)</f>
        <v>44579</v>
      </c>
      <c r="C204" s="218">
        <f t="array" ref="C204">INDEX(postDEL!$A$2:$P799,$O204,3)</f>
        <v>0.3321296296</v>
      </c>
      <c r="D204" s="219" t="str">
        <f t="array" ref="D204">INDEX(postDEL!$A$2:$AN799,$O204,39)</f>
        <v>SpBEND617677</v>
      </c>
      <c r="E204" s="219" t="str">
        <f t="array" ref="E204">INDEX(postDEL!$A$2:$P799,$O204,4)</f>
        <v/>
      </c>
      <c r="F204" s="219" t="str">
        <f t="array" ref="F204">INDEX(postDEL!$A$2:$P799,$O204,5)</f>
        <v/>
      </c>
      <c r="G204" s="219" t="str">
        <f t="array" ref="G204">INDEX(postDEL!$A$2:$P799,$O204,11)</f>
        <v>Negative</v>
      </c>
      <c r="H204" s="219" t="str">
        <f t="array" ref="H204">INDEX(postDEL!$A$2:$AL799,$O204,37)</f>
        <v>Negative</v>
      </c>
      <c r="I204" s="217">
        <f t="array" ref="I204">INDEX(postDEL!$A$2:$AL799,$O204,12)</f>
        <v>44580</v>
      </c>
      <c r="J204" s="218">
        <f t="array" ref="J204">INDEX(postDEL!$A$2:$AL799,$O204,13)</f>
        <v>0.5080092593</v>
      </c>
      <c r="K204" s="219" t="str">
        <f t="array" ref="K204">INDEX(postDEL!$A$2:$AL799,$O204,36)</f>
        <v/>
      </c>
      <c r="L204" s="219" t="str">
        <f t="array" ref="L204">INDEX(postDEL!$A$2:$AL799,$O204,38)</f>
        <v/>
      </c>
      <c r="M204" s="219" t="str">
        <f t="array" ref="M204">INDEX(postDEL!$A$2:$AL799,$O204,15)</f>
        <v/>
      </c>
      <c r="N204" s="110">
        <f>COUNTIF(postDEL!$A$2:$A799,A204)</f>
        <v>1</v>
      </c>
      <c r="O204" s="19">
        <f>MATCH(A204,postDEL!A$2:A799,0)</f>
        <v>203</v>
      </c>
      <c r="P204" s="10" t="str">
        <f t="shared" si="1"/>
        <v/>
      </c>
      <c r="Q204" s="220">
        <f t="shared" si="2"/>
        <v>1</v>
      </c>
      <c r="R204" s="5"/>
    </row>
    <row r="205">
      <c r="A205" s="221" t="s">
        <v>867</v>
      </c>
      <c r="B205" s="217">
        <f t="array" ref="B205">INDEX(postDEL!$A$2:$P799,$O205,2)</f>
        <v>44579</v>
      </c>
      <c r="C205" s="218">
        <f t="array" ref="C205">INDEX(postDEL!$A$2:$P799,$O205,3)</f>
        <v>0.3324884259</v>
      </c>
      <c r="D205" s="219" t="str">
        <f t="array" ref="D205">INDEX(postDEL!$A$2:$AN799,$O205,39)</f>
        <v>SpBEND768497</v>
      </c>
      <c r="E205" s="219" t="str">
        <f t="array" ref="E205">INDEX(postDEL!$A$2:$P799,$O205,4)</f>
        <v/>
      </c>
      <c r="F205" s="219" t="str">
        <f t="array" ref="F205">INDEX(postDEL!$A$2:$P799,$O205,5)</f>
        <v/>
      </c>
      <c r="G205" s="219" t="str">
        <f t="array" ref="G205">INDEX(postDEL!$A$2:$P799,$O205,11)</f>
        <v>Negative</v>
      </c>
      <c r="H205" s="219" t="str">
        <f t="array" ref="H205">INDEX(postDEL!$A$2:$AL799,$O205,37)</f>
        <v>Negative</v>
      </c>
      <c r="I205" s="217">
        <f t="array" ref="I205">INDEX(postDEL!$A$2:$AL799,$O205,12)</f>
        <v>44580</v>
      </c>
      <c r="J205" s="218">
        <f t="array" ref="J205">INDEX(postDEL!$A$2:$AL799,$O205,13)</f>
        <v>0.5080092593</v>
      </c>
      <c r="K205" s="219" t="str">
        <f t="array" ref="K205">INDEX(postDEL!$A$2:$AL799,$O205,36)</f>
        <v/>
      </c>
      <c r="L205" s="219" t="str">
        <f t="array" ref="L205">INDEX(postDEL!$A$2:$AL799,$O205,38)</f>
        <v/>
      </c>
      <c r="M205" s="219" t="str">
        <f t="array" ref="M205">INDEX(postDEL!$A$2:$AL799,$O205,15)</f>
        <v/>
      </c>
      <c r="N205" s="110">
        <f>COUNTIF(postDEL!$A$2:$A799,A205)</f>
        <v>1</v>
      </c>
      <c r="O205" s="19">
        <f>MATCH(A205,postDEL!A$2:A799,0)</f>
        <v>204</v>
      </c>
      <c r="P205" s="10" t="str">
        <f t="shared" si="1"/>
        <v/>
      </c>
      <c r="Q205" s="220">
        <f t="shared" si="2"/>
        <v>1</v>
      </c>
      <c r="R205" s="5"/>
    </row>
    <row r="206">
      <c r="A206" s="221" t="s">
        <v>869</v>
      </c>
      <c r="B206" s="217">
        <f t="array" ref="B206">INDEX(postDEL!$A$2:$P799,$O206,2)</f>
        <v>44579</v>
      </c>
      <c r="C206" s="218">
        <f t="array" ref="C206">INDEX(postDEL!$A$2:$P799,$O206,3)</f>
        <v>0.3325462963</v>
      </c>
      <c r="D206" s="219" t="str">
        <f t="array" ref="D206">INDEX(postDEL!$A$2:$AN799,$O206,39)</f>
        <v>SpBEND747592</v>
      </c>
      <c r="E206" s="219" t="str">
        <f t="array" ref="E206">INDEX(postDEL!$A$2:$P799,$O206,4)</f>
        <v/>
      </c>
      <c r="F206" s="219" t="str">
        <f t="array" ref="F206">INDEX(postDEL!$A$2:$P799,$O206,5)</f>
        <v/>
      </c>
      <c r="G206" s="219" t="str">
        <f t="array" ref="G206">INDEX(postDEL!$A$2:$P799,$O206,11)</f>
        <v>Negative</v>
      </c>
      <c r="H206" s="219" t="str">
        <f t="array" ref="H206">INDEX(postDEL!$A$2:$AL799,$O206,37)</f>
        <v>Negative</v>
      </c>
      <c r="I206" s="217">
        <f t="array" ref="I206">INDEX(postDEL!$A$2:$AL799,$O206,12)</f>
        <v>44580</v>
      </c>
      <c r="J206" s="218">
        <f t="array" ref="J206">INDEX(postDEL!$A$2:$AL799,$O206,13)</f>
        <v>0.5080092593</v>
      </c>
      <c r="K206" s="219" t="str">
        <f t="array" ref="K206">INDEX(postDEL!$A$2:$AL799,$O206,36)</f>
        <v/>
      </c>
      <c r="L206" s="219" t="str">
        <f t="array" ref="L206">INDEX(postDEL!$A$2:$AL799,$O206,38)</f>
        <v/>
      </c>
      <c r="M206" s="219" t="str">
        <f t="array" ref="M206">INDEX(postDEL!$A$2:$AL799,$O206,15)</f>
        <v/>
      </c>
      <c r="N206" s="110">
        <f>COUNTIF(postDEL!$A$2:$A799,A206)</f>
        <v>1</v>
      </c>
      <c r="O206" s="19">
        <f>MATCH(A206,postDEL!A$2:A799,0)</f>
        <v>205</v>
      </c>
      <c r="P206" s="10" t="str">
        <f t="shared" si="1"/>
        <v/>
      </c>
      <c r="Q206" s="220">
        <f t="shared" si="2"/>
        <v>1</v>
      </c>
      <c r="R206" s="5"/>
    </row>
    <row r="207">
      <c r="A207" s="221" t="s">
        <v>872</v>
      </c>
      <c r="B207" s="217">
        <f t="array" ref="B207">INDEX(postDEL!$A$2:$P799,$O207,2)</f>
        <v>44579</v>
      </c>
      <c r="C207" s="218">
        <f t="array" ref="C207">INDEX(postDEL!$A$2:$P799,$O207,3)</f>
        <v>0.3404282407</v>
      </c>
      <c r="D207" s="219" t="str">
        <f t="array" ref="D207">INDEX(postDEL!$A$2:$AN799,$O207,39)</f>
        <v>SpBEND825522</v>
      </c>
      <c r="E207" s="219" t="str">
        <f t="array" ref="E207">INDEX(postDEL!$A$2:$P799,$O207,4)</f>
        <v/>
      </c>
      <c r="F207" s="219" t="str">
        <f t="array" ref="F207">INDEX(postDEL!$A$2:$P799,$O207,5)</f>
        <v/>
      </c>
      <c r="G207" s="219" t="str">
        <f t="array" ref="G207">INDEX(postDEL!$A$2:$P799,$O207,11)</f>
        <v>Negative</v>
      </c>
      <c r="H207" s="219" t="str">
        <f t="array" ref="H207">INDEX(postDEL!$A$2:$AL799,$O207,37)</f>
        <v>Negative</v>
      </c>
      <c r="I207" s="217">
        <f t="array" ref="I207">INDEX(postDEL!$A$2:$AL799,$O207,12)</f>
        <v>44580</v>
      </c>
      <c r="J207" s="218">
        <f t="array" ref="J207">INDEX(postDEL!$A$2:$AL799,$O207,13)</f>
        <v>0.5080092593</v>
      </c>
      <c r="K207" s="219" t="str">
        <f t="array" ref="K207">INDEX(postDEL!$A$2:$AL799,$O207,36)</f>
        <v/>
      </c>
      <c r="L207" s="219" t="str">
        <f t="array" ref="L207">INDEX(postDEL!$A$2:$AL799,$O207,38)</f>
        <v/>
      </c>
      <c r="M207" s="219" t="str">
        <f t="array" ref="M207">INDEX(postDEL!$A$2:$AL799,$O207,15)</f>
        <v/>
      </c>
      <c r="N207" s="110">
        <f>COUNTIF(postDEL!$A$2:$A799,A207)</f>
        <v>1</v>
      </c>
      <c r="O207" s="19">
        <f>MATCH(A207,postDEL!A$2:A799,0)</f>
        <v>206</v>
      </c>
      <c r="P207" s="10" t="str">
        <f t="shared" si="1"/>
        <v/>
      </c>
      <c r="Q207" s="220">
        <f t="shared" si="2"/>
        <v>1</v>
      </c>
      <c r="R207" s="5"/>
    </row>
    <row r="208">
      <c r="A208" s="221" t="s">
        <v>874</v>
      </c>
      <c r="B208" s="217">
        <f t="array" ref="B208">INDEX(postDEL!$A$2:$P799,$O208,2)</f>
        <v>44579</v>
      </c>
      <c r="C208" s="218">
        <f t="array" ref="C208">INDEX(postDEL!$A$2:$P799,$O208,3)</f>
        <v>0.3413888889</v>
      </c>
      <c r="D208" s="219" t="str">
        <f t="array" ref="D208">INDEX(postDEL!$A$2:$AN799,$O208,39)</f>
        <v>SpBEND183210</v>
      </c>
      <c r="E208" s="219" t="str">
        <f t="array" ref="E208">INDEX(postDEL!$A$2:$P799,$O208,4)</f>
        <v/>
      </c>
      <c r="F208" s="219" t="str">
        <f t="array" ref="F208">INDEX(postDEL!$A$2:$P799,$O208,5)</f>
        <v/>
      </c>
      <c r="G208" s="219" t="str">
        <f t="array" ref="G208">INDEX(postDEL!$A$2:$P799,$O208,11)</f>
        <v>Negative</v>
      </c>
      <c r="H208" s="219" t="str">
        <f t="array" ref="H208">INDEX(postDEL!$A$2:$AL799,$O208,37)</f>
        <v>Negative</v>
      </c>
      <c r="I208" s="217">
        <f t="array" ref="I208">INDEX(postDEL!$A$2:$AL799,$O208,12)</f>
        <v>44580</v>
      </c>
      <c r="J208" s="218">
        <f t="array" ref="J208">INDEX(postDEL!$A$2:$AL799,$O208,13)</f>
        <v>0.5080208333</v>
      </c>
      <c r="K208" s="219" t="str">
        <f t="array" ref="K208">INDEX(postDEL!$A$2:$AL799,$O208,36)</f>
        <v/>
      </c>
      <c r="L208" s="219" t="str">
        <f t="array" ref="L208">INDEX(postDEL!$A$2:$AL799,$O208,38)</f>
        <v/>
      </c>
      <c r="M208" s="219" t="str">
        <f t="array" ref="M208">INDEX(postDEL!$A$2:$AL799,$O208,15)</f>
        <v/>
      </c>
      <c r="N208" s="110">
        <f>COUNTIF(postDEL!$A$2:$A799,A208)</f>
        <v>1</v>
      </c>
      <c r="O208" s="19">
        <f>MATCH(A208,postDEL!A$2:A799,0)</f>
        <v>207</v>
      </c>
      <c r="P208" s="10" t="str">
        <f t="shared" si="1"/>
        <v/>
      </c>
      <c r="Q208" s="220">
        <f t="shared" si="2"/>
        <v>1</v>
      </c>
      <c r="R208" s="5"/>
    </row>
    <row r="209">
      <c r="A209" s="221" t="s">
        <v>878</v>
      </c>
      <c r="B209" s="217">
        <f t="array" ref="B209">INDEX(postDEL!$A$2:$P799,$O209,2)</f>
        <v>44579</v>
      </c>
      <c r="C209" s="218">
        <f t="array" ref="C209">INDEX(postDEL!$A$2:$P799,$O209,3)</f>
        <v>0.3462962963</v>
      </c>
      <c r="D209" s="219" t="str">
        <f t="array" ref="D209">INDEX(postDEL!$A$2:$AN799,$O209,39)</f>
        <v>SpBEND541174</v>
      </c>
      <c r="E209" s="219" t="str">
        <f t="array" ref="E209">INDEX(postDEL!$A$2:$P799,$O209,4)</f>
        <v/>
      </c>
      <c r="F209" s="219" t="str">
        <f t="array" ref="F209">INDEX(postDEL!$A$2:$P799,$O209,5)</f>
        <v/>
      </c>
      <c r="G209" s="219" t="str">
        <f t="array" ref="G209">INDEX(postDEL!$A$2:$P799,$O209,11)</f>
        <v>Negative</v>
      </c>
      <c r="H209" s="219" t="str">
        <f t="array" ref="H209">INDEX(postDEL!$A$2:$AL799,$O209,37)</f>
        <v>Negative</v>
      </c>
      <c r="I209" s="217">
        <f t="array" ref="I209">INDEX(postDEL!$A$2:$AL799,$O209,12)</f>
        <v>44580</v>
      </c>
      <c r="J209" s="218">
        <f t="array" ref="J209">INDEX(postDEL!$A$2:$AL799,$O209,13)</f>
        <v>0.5080208333</v>
      </c>
      <c r="K209" s="219" t="str">
        <f t="array" ref="K209">INDEX(postDEL!$A$2:$AL799,$O209,36)</f>
        <v/>
      </c>
      <c r="L209" s="219" t="str">
        <f t="array" ref="L209">INDEX(postDEL!$A$2:$AL799,$O209,38)</f>
        <v/>
      </c>
      <c r="M209" s="219" t="str">
        <f t="array" ref="M209">INDEX(postDEL!$A$2:$AL799,$O209,15)</f>
        <v/>
      </c>
      <c r="N209" s="110">
        <f>COUNTIF(postDEL!$A$2:$A799,A209)</f>
        <v>1</v>
      </c>
      <c r="O209" s="19">
        <f>MATCH(A209,postDEL!A$2:A799,0)</f>
        <v>208</v>
      </c>
      <c r="P209" s="10" t="str">
        <f t="shared" si="1"/>
        <v/>
      </c>
      <c r="Q209" s="220">
        <f t="shared" si="2"/>
        <v>1</v>
      </c>
      <c r="R209" s="5"/>
    </row>
    <row r="210">
      <c r="A210" s="221" t="s">
        <v>880</v>
      </c>
      <c r="B210" s="217">
        <f t="array" ref="B210">INDEX(postDEL!$A$2:$P799,$O210,2)</f>
        <v>44579</v>
      </c>
      <c r="C210" s="218">
        <f t="array" ref="C210">INDEX(postDEL!$A$2:$P799,$O210,3)</f>
        <v>0.3482060185</v>
      </c>
      <c r="D210" s="219" t="str">
        <f t="array" ref="D210">INDEX(postDEL!$A$2:$AN799,$O210,39)</f>
        <v>SpBEND918395</v>
      </c>
      <c r="E210" s="219" t="str">
        <f t="array" ref="E210">INDEX(postDEL!$A$2:$P799,$O210,4)</f>
        <v/>
      </c>
      <c r="F210" s="219" t="str">
        <f t="array" ref="F210">INDEX(postDEL!$A$2:$P799,$O210,5)</f>
        <v/>
      </c>
      <c r="G210" s="219" t="str">
        <f t="array" ref="G210">INDEX(postDEL!$A$2:$P799,$O210,11)</f>
        <v>Negative</v>
      </c>
      <c r="H210" s="219" t="str">
        <f t="array" ref="H210">INDEX(postDEL!$A$2:$AL799,$O210,37)</f>
        <v>Negative</v>
      </c>
      <c r="I210" s="217">
        <f t="array" ref="I210">INDEX(postDEL!$A$2:$AL799,$O210,12)</f>
        <v>44580</v>
      </c>
      <c r="J210" s="218">
        <f t="array" ref="J210">INDEX(postDEL!$A$2:$AL799,$O210,13)</f>
        <v>0.5080208333</v>
      </c>
      <c r="K210" s="219" t="str">
        <f t="array" ref="K210">INDEX(postDEL!$A$2:$AL799,$O210,36)</f>
        <v/>
      </c>
      <c r="L210" s="219" t="str">
        <f t="array" ref="L210">INDEX(postDEL!$A$2:$AL799,$O210,38)</f>
        <v/>
      </c>
      <c r="M210" s="219" t="str">
        <f t="array" ref="M210">INDEX(postDEL!$A$2:$AL799,$O210,15)</f>
        <v/>
      </c>
      <c r="N210" s="110">
        <f>COUNTIF(postDEL!$A$2:$A799,A210)</f>
        <v>1</v>
      </c>
      <c r="O210" s="19">
        <f>MATCH(A210,postDEL!A$2:A799,0)</f>
        <v>209</v>
      </c>
      <c r="P210" s="10" t="str">
        <f t="shared" si="1"/>
        <v/>
      </c>
      <c r="Q210" s="220">
        <f t="shared" si="2"/>
        <v>1</v>
      </c>
      <c r="R210" s="5"/>
    </row>
    <row r="211">
      <c r="A211" s="221" t="s">
        <v>883</v>
      </c>
      <c r="B211" s="217">
        <f t="array" ref="B211">INDEX(postDEL!$A$2:$P799,$O211,2)</f>
        <v>44579</v>
      </c>
      <c r="C211" s="218">
        <f t="array" ref="C211">INDEX(postDEL!$A$2:$P799,$O211,3)</f>
        <v>0.3487731481</v>
      </c>
      <c r="D211" s="219" t="str">
        <f t="array" ref="D211">INDEX(postDEL!$A$2:$AN799,$O211,39)</f>
        <v>SpBEND652059</v>
      </c>
      <c r="E211" s="219" t="str">
        <f t="array" ref="E211">INDEX(postDEL!$A$2:$P799,$O211,4)</f>
        <v/>
      </c>
      <c r="F211" s="219" t="str">
        <f t="array" ref="F211">INDEX(postDEL!$A$2:$P799,$O211,5)</f>
        <v/>
      </c>
      <c r="G211" s="219" t="str">
        <f t="array" ref="G211">INDEX(postDEL!$A$2:$P799,$O211,11)</f>
        <v>Negative</v>
      </c>
      <c r="H211" s="219" t="str">
        <f t="array" ref="H211">INDEX(postDEL!$A$2:$AL799,$O211,37)</f>
        <v>Negative</v>
      </c>
      <c r="I211" s="217">
        <f t="array" ref="I211">INDEX(postDEL!$A$2:$AL799,$O211,12)</f>
        <v>44580</v>
      </c>
      <c r="J211" s="218">
        <f t="array" ref="J211">INDEX(postDEL!$A$2:$AL799,$O211,13)</f>
        <v>0.5080208333</v>
      </c>
      <c r="K211" s="219" t="str">
        <f t="array" ref="K211">INDEX(postDEL!$A$2:$AL799,$O211,36)</f>
        <v/>
      </c>
      <c r="L211" s="219" t="str">
        <f t="array" ref="L211">INDEX(postDEL!$A$2:$AL799,$O211,38)</f>
        <v/>
      </c>
      <c r="M211" s="219" t="str">
        <f t="array" ref="M211">INDEX(postDEL!$A$2:$AL799,$O211,15)</f>
        <v/>
      </c>
      <c r="N211" s="110">
        <f>COUNTIF(postDEL!$A$2:$A799,A211)</f>
        <v>1</v>
      </c>
      <c r="O211" s="19">
        <f>MATCH(A211,postDEL!A$2:A799,0)</f>
        <v>210</v>
      </c>
      <c r="P211" s="10" t="str">
        <f t="shared" si="1"/>
        <v/>
      </c>
      <c r="Q211" s="220">
        <f t="shared" si="2"/>
        <v>1</v>
      </c>
      <c r="R211" s="5"/>
    </row>
    <row r="212">
      <c r="A212" s="221" t="s">
        <v>885</v>
      </c>
      <c r="B212" s="217">
        <f t="array" ref="B212">INDEX(postDEL!$A$2:$P799,$O212,2)</f>
        <v>44579</v>
      </c>
      <c r="C212" s="218">
        <f t="array" ref="C212">INDEX(postDEL!$A$2:$P799,$O212,3)</f>
        <v>0.3505208333</v>
      </c>
      <c r="D212" s="219" t="str">
        <f t="array" ref="D212">INDEX(postDEL!$A$2:$AN799,$O212,39)</f>
        <v>SpBEND652059</v>
      </c>
      <c r="E212" s="219" t="str">
        <f t="array" ref="E212">INDEX(postDEL!$A$2:$P799,$O212,4)</f>
        <v/>
      </c>
      <c r="F212" s="219" t="str">
        <f t="array" ref="F212">INDEX(postDEL!$A$2:$P799,$O212,5)</f>
        <v/>
      </c>
      <c r="G212" s="219" t="str">
        <f t="array" ref="G212">INDEX(postDEL!$A$2:$P799,$O212,11)</f>
        <v>Negative</v>
      </c>
      <c r="H212" s="219" t="str">
        <f t="array" ref="H212">INDEX(postDEL!$A$2:$AL799,$O212,37)</f>
        <v>Negative</v>
      </c>
      <c r="I212" s="217">
        <f t="array" ref="I212">INDEX(postDEL!$A$2:$AL799,$O212,12)</f>
        <v>44580</v>
      </c>
      <c r="J212" s="218">
        <f t="array" ref="J212">INDEX(postDEL!$A$2:$AL799,$O212,13)</f>
        <v>0.5080208333</v>
      </c>
      <c r="K212" s="219" t="str">
        <f t="array" ref="K212">INDEX(postDEL!$A$2:$AL799,$O212,36)</f>
        <v/>
      </c>
      <c r="L212" s="219" t="str">
        <f t="array" ref="L212">INDEX(postDEL!$A$2:$AL799,$O212,38)</f>
        <v/>
      </c>
      <c r="M212" s="219" t="str">
        <f t="array" ref="M212">INDEX(postDEL!$A$2:$AL799,$O212,15)</f>
        <v/>
      </c>
      <c r="N212" s="110">
        <f>COUNTIF(postDEL!$A$2:$A799,A212)</f>
        <v>1</v>
      </c>
      <c r="O212" s="19">
        <f>MATCH(A212,postDEL!A$2:A799,0)</f>
        <v>211</v>
      </c>
      <c r="P212" s="10" t="str">
        <f t="shared" si="1"/>
        <v/>
      </c>
      <c r="Q212" s="220">
        <f t="shared" si="2"/>
        <v>1</v>
      </c>
      <c r="R212" s="5"/>
    </row>
    <row r="213">
      <c r="A213" s="221" t="s">
        <v>888</v>
      </c>
      <c r="B213" s="217">
        <f t="array" ref="B213">INDEX(postDEL!$A$2:$P799,$O213,2)</f>
        <v>44579</v>
      </c>
      <c r="C213" s="218">
        <f t="array" ref="C213">INDEX(postDEL!$A$2:$P799,$O213,3)</f>
        <v>0.3615972222</v>
      </c>
      <c r="D213" s="219" t="str">
        <f t="array" ref="D213">INDEX(postDEL!$A$2:$AN799,$O213,39)</f>
        <v>SpBEND305944</v>
      </c>
      <c r="E213" s="219" t="str">
        <f t="array" ref="E213">INDEX(postDEL!$A$2:$P799,$O213,4)</f>
        <v/>
      </c>
      <c r="F213" s="219" t="str">
        <f t="array" ref="F213">INDEX(postDEL!$A$2:$P799,$O213,5)</f>
        <v/>
      </c>
      <c r="G213" s="219" t="str">
        <f t="array" ref="G213">INDEX(postDEL!$A$2:$P799,$O213,11)</f>
        <v>Negative</v>
      </c>
      <c r="H213" s="219" t="str">
        <f t="array" ref="H213">INDEX(postDEL!$A$2:$AL799,$O213,37)</f>
        <v>Negative</v>
      </c>
      <c r="I213" s="217">
        <f t="array" ref="I213">INDEX(postDEL!$A$2:$AL799,$O213,12)</f>
        <v>44580</v>
      </c>
      <c r="J213" s="218">
        <f t="array" ref="J213">INDEX(postDEL!$A$2:$AL799,$O213,13)</f>
        <v>0.5080208333</v>
      </c>
      <c r="K213" s="219" t="str">
        <f t="array" ref="K213">INDEX(postDEL!$A$2:$AL799,$O213,36)</f>
        <v/>
      </c>
      <c r="L213" s="219" t="str">
        <f t="array" ref="L213">INDEX(postDEL!$A$2:$AL799,$O213,38)</f>
        <v/>
      </c>
      <c r="M213" s="219" t="str">
        <f t="array" ref="M213">INDEX(postDEL!$A$2:$AL799,$O213,15)</f>
        <v/>
      </c>
      <c r="N213" s="110">
        <f>COUNTIF(postDEL!$A$2:$A799,A213)</f>
        <v>1</v>
      </c>
      <c r="O213" s="19">
        <f>MATCH(A213,postDEL!A$2:A799,0)</f>
        <v>212</v>
      </c>
      <c r="P213" s="10" t="str">
        <f t="shared" si="1"/>
        <v/>
      </c>
      <c r="Q213" s="220">
        <f t="shared" si="2"/>
        <v>1</v>
      </c>
      <c r="R213" s="5"/>
    </row>
    <row r="214">
      <c r="A214" s="221" t="s">
        <v>890</v>
      </c>
      <c r="B214" s="217">
        <f t="array" ref="B214">INDEX(postDEL!$A$2:$P799,$O214,2)</f>
        <v>44579</v>
      </c>
      <c r="C214" s="218">
        <f t="array" ref="C214">INDEX(postDEL!$A$2:$P799,$O214,3)</f>
        <v>0.4046643519</v>
      </c>
      <c r="D214" s="219" t="str">
        <f t="array" ref="D214">INDEX(postDEL!$A$2:$AN799,$O214,39)</f>
        <v>SpBEND198321</v>
      </c>
      <c r="E214" s="219" t="str">
        <f t="array" ref="E214">INDEX(postDEL!$A$2:$P799,$O214,4)</f>
        <v/>
      </c>
      <c r="F214" s="219" t="str">
        <f t="array" ref="F214">INDEX(postDEL!$A$2:$P799,$O214,5)</f>
        <v/>
      </c>
      <c r="G214" s="219" t="str">
        <f t="array" ref="G214">INDEX(postDEL!$A$2:$P799,$O214,11)</f>
        <v>Positive</v>
      </c>
      <c r="H214" s="219" t="str">
        <f t="array" ref="H214">INDEX(postDEL!$A$2:$AL799,$O214,37)</f>
        <v>Positive</v>
      </c>
      <c r="I214" s="217">
        <f t="array" ref="I214">INDEX(postDEL!$A$2:$AL799,$O214,12)</f>
        <v>44579</v>
      </c>
      <c r="J214" s="218">
        <f t="array" ref="J214">INDEX(postDEL!$A$2:$AL799,$O214,13)</f>
        <v>0.5015972222</v>
      </c>
      <c r="K214" s="219" t="str">
        <f t="array" ref="K214">INDEX(postDEL!$A$2:$AL799,$O214,36)</f>
        <v/>
      </c>
      <c r="L214" s="219" t="str">
        <f t="array" ref="L214">INDEX(postDEL!$A$2:$AL799,$O214,38)</f>
        <v/>
      </c>
      <c r="M214" s="219" t="str">
        <f t="array" ref="M214">INDEX(postDEL!$A$2:$AL799,$O214,15)</f>
        <v/>
      </c>
      <c r="N214" s="110">
        <f>COUNTIF(postDEL!$A$2:$A799,A214)</f>
        <v>1</v>
      </c>
      <c r="O214" s="19">
        <f>MATCH(A214,postDEL!A$2:A799,0)</f>
        <v>213</v>
      </c>
      <c r="P214" s="10" t="str">
        <f t="shared" si="1"/>
        <v/>
      </c>
      <c r="Q214" s="220">
        <f t="shared" si="2"/>
        <v>0</v>
      </c>
      <c r="R214" s="5"/>
    </row>
    <row r="215">
      <c r="A215" s="221" t="s">
        <v>892</v>
      </c>
      <c r="B215" s="217">
        <f t="array" ref="B215">INDEX(postDEL!$A$2:$P799,$O215,2)</f>
        <v>44579</v>
      </c>
      <c r="C215" s="218">
        <f t="array" ref="C215">INDEX(postDEL!$A$2:$P799,$O215,3)</f>
        <v>0.4130324074</v>
      </c>
      <c r="D215" s="219" t="str">
        <f t="array" ref="D215">INDEX(postDEL!$A$2:$AN799,$O215,39)</f>
        <v>SpBEND394154</v>
      </c>
      <c r="E215" s="219" t="str">
        <f t="array" ref="E215">INDEX(postDEL!$A$2:$P799,$O215,4)</f>
        <v/>
      </c>
      <c r="F215" s="219" t="str">
        <f t="array" ref="F215">INDEX(postDEL!$A$2:$P799,$O215,5)</f>
        <v/>
      </c>
      <c r="G215" s="219" t="str">
        <f t="array" ref="G215">INDEX(postDEL!$A$2:$P799,$O215,11)</f>
        <v>Negative</v>
      </c>
      <c r="H215" s="219" t="str">
        <f t="array" ref="H215">INDEX(postDEL!$A$2:$AL799,$O215,37)</f>
        <v>Negative</v>
      </c>
      <c r="I215" s="217">
        <f t="array" ref="I215">INDEX(postDEL!$A$2:$AL799,$O215,12)</f>
        <v>44580</v>
      </c>
      <c r="J215" s="218">
        <f t="array" ref="J215">INDEX(postDEL!$A$2:$AL799,$O215,13)</f>
        <v>0.5080208333</v>
      </c>
      <c r="K215" s="219" t="str">
        <f t="array" ref="K215">INDEX(postDEL!$A$2:$AL799,$O215,36)</f>
        <v/>
      </c>
      <c r="L215" s="219" t="str">
        <f t="array" ref="L215">INDEX(postDEL!$A$2:$AL799,$O215,38)</f>
        <v/>
      </c>
      <c r="M215" s="219" t="str">
        <f t="array" ref="M215">INDEX(postDEL!$A$2:$AL799,$O215,15)</f>
        <v/>
      </c>
      <c r="N215" s="110">
        <f>COUNTIF(postDEL!$A$2:$A799,A215)</f>
        <v>1</v>
      </c>
      <c r="O215" s="19">
        <f>MATCH(A215,postDEL!A$2:A799,0)</f>
        <v>214</v>
      </c>
      <c r="P215" s="10" t="str">
        <f t="shared" si="1"/>
        <v/>
      </c>
      <c r="Q215" s="220">
        <f t="shared" si="2"/>
        <v>1</v>
      </c>
      <c r="R215" s="5"/>
    </row>
    <row r="216">
      <c r="A216" s="221" t="s">
        <v>895</v>
      </c>
      <c r="B216" s="217">
        <f t="array" ref="B216">INDEX(postDEL!$A$2:$P799,$O216,2)</f>
        <v>44579</v>
      </c>
      <c r="C216" s="218">
        <f t="array" ref="C216">INDEX(postDEL!$A$2:$P799,$O216,3)</f>
        <v>0.4133333333</v>
      </c>
      <c r="D216" s="219" t="str">
        <f t="array" ref="D216">INDEX(postDEL!$A$2:$AN799,$O216,39)</f>
        <v>SpBEND394154</v>
      </c>
      <c r="E216" s="219" t="str">
        <f t="array" ref="E216">INDEX(postDEL!$A$2:$P799,$O216,4)</f>
        <v/>
      </c>
      <c r="F216" s="219" t="str">
        <f t="array" ref="F216">INDEX(postDEL!$A$2:$P799,$O216,5)</f>
        <v/>
      </c>
      <c r="G216" s="219" t="str">
        <f t="array" ref="G216">INDEX(postDEL!$A$2:$P799,$O216,11)</f>
        <v>Positive</v>
      </c>
      <c r="H216" s="219" t="str">
        <f t="array" ref="H216">INDEX(postDEL!$A$2:$AL799,$O216,37)</f>
        <v>Positive</v>
      </c>
      <c r="I216" s="217">
        <f t="array" ref="I216">INDEX(postDEL!$A$2:$AL799,$O216,12)</f>
        <v>44579</v>
      </c>
      <c r="J216" s="218">
        <f t="array" ref="J216">INDEX(postDEL!$A$2:$AL799,$O216,13)</f>
        <v>0.5015972222</v>
      </c>
      <c r="K216" s="219" t="str">
        <f t="array" ref="K216">INDEX(postDEL!$A$2:$AL799,$O216,36)</f>
        <v/>
      </c>
      <c r="L216" s="219" t="str">
        <f t="array" ref="L216">INDEX(postDEL!$A$2:$AL799,$O216,38)</f>
        <v/>
      </c>
      <c r="M216" s="219" t="str">
        <f t="array" ref="M216">INDEX(postDEL!$A$2:$AL799,$O216,15)</f>
        <v/>
      </c>
      <c r="N216" s="110">
        <f>COUNTIF(postDEL!$A$2:$A799,A216)</f>
        <v>1</v>
      </c>
      <c r="O216" s="19">
        <f>MATCH(A216,postDEL!A$2:A799,0)</f>
        <v>215</v>
      </c>
      <c r="P216" s="10" t="str">
        <f t="shared" si="1"/>
        <v/>
      </c>
      <c r="Q216" s="220">
        <f t="shared" si="2"/>
        <v>0</v>
      </c>
      <c r="R216" s="5"/>
    </row>
    <row r="217">
      <c r="A217" s="221" t="s">
        <v>898</v>
      </c>
      <c r="B217" s="217">
        <f t="array" ref="B217">INDEX(postDEL!$A$2:$P799,$O217,2)</f>
        <v>44579</v>
      </c>
      <c r="C217" s="218">
        <f t="array" ref="C217">INDEX(postDEL!$A$2:$P799,$O217,3)</f>
        <v>0.4136805556</v>
      </c>
      <c r="D217" s="219" t="str">
        <f t="array" ref="D217">INDEX(postDEL!$A$2:$AN799,$O217,39)</f>
        <v>SpBEND394154</v>
      </c>
      <c r="E217" s="219" t="str">
        <f t="array" ref="E217">INDEX(postDEL!$A$2:$P799,$O217,4)</f>
        <v/>
      </c>
      <c r="F217" s="219" t="str">
        <f t="array" ref="F217">INDEX(postDEL!$A$2:$P799,$O217,5)</f>
        <v/>
      </c>
      <c r="G217" s="219" t="str">
        <f t="array" ref="G217">INDEX(postDEL!$A$2:$P799,$O217,11)</f>
        <v>Positive</v>
      </c>
      <c r="H217" s="219" t="str">
        <f t="array" ref="H217">INDEX(postDEL!$A$2:$AL799,$O217,37)</f>
        <v>Positive</v>
      </c>
      <c r="I217" s="217">
        <f t="array" ref="I217">INDEX(postDEL!$A$2:$AL799,$O217,12)</f>
        <v>44579</v>
      </c>
      <c r="J217" s="218">
        <f t="array" ref="J217">INDEX(postDEL!$A$2:$AL799,$O217,13)</f>
        <v>0.5015972222</v>
      </c>
      <c r="K217" s="219" t="str">
        <f t="array" ref="K217">INDEX(postDEL!$A$2:$AL799,$O217,36)</f>
        <v/>
      </c>
      <c r="L217" s="219" t="str">
        <f t="array" ref="L217">INDEX(postDEL!$A$2:$AL799,$O217,38)</f>
        <v/>
      </c>
      <c r="M217" s="219" t="str">
        <f t="array" ref="M217">INDEX(postDEL!$A$2:$AL799,$O217,15)</f>
        <v/>
      </c>
      <c r="N217" s="110">
        <f>COUNTIF(postDEL!$A$2:$A799,A217)</f>
        <v>1</v>
      </c>
      <c r="O217" s="19">
        <f>MATCH(A217,postDEL!A$2:A799,0)</f>
        <v>216</v>
      </c>
      <c r="P217" s="10" t="str">
        <f t="shared" si="1"/>
        <v/>
      </c>
      <c r="Q217" s="220">
        <f t="shared" si="2"/>
        <v>0</v>
      </c>
      <c r="R217" s="5"/>
    </row>
    <row r="218">
      <c r="A218" s="221" t="s">
        <v>901</v>
      </c>
      <c r="B218" s="217">
        <f t="array" ref="B218">INDEX(postDEL!$A$2:$P799,$O218,2)</f>
        <v>44579</v>
      </c>
      <c r="C218" s="218">
        <f t="array" ref="C218">INDEX(postDEL!$A$2:$P799,$O218,3)</f>
        <v>0.4140740741</v>
      </c>
      <c r="D218" s="219" t="str">
        <f t="array" ref="D218">INDEX(postDEL!$A$2:$AN799,$O218,39)</f>
        <v>SpBEND394154</v>
      </c>
      <c r="E218" s="219" t="str">
        <f t="array" ref="E218">INDEX(postDEL!$A$2:$P799,$O218,4)</f>
        <v/>
      </c>
      <c r="F218" s="219" t="str">
        <f t="array" ref="F218">INDEX(postDEL!$A$2:$P799,$O218,5)</f>
        <v/>
      </c>
      <c r="G218" s="219" t="str">
        <f t="array" ref="G218">INDEX(postDEL!$A$2:$P799,$O218,11)</f>
        <v>Positive</v>
      </c>
      <c r="H218" s="219" t="str">
        <f t="array" ref="H218">INDEX(postDEL!$A$2:$AL799,$O218,37)</f>
        <v>Positive</v>
      </c>
      <c r="I218" s="217">
        <f t="array" ref="I218">INDEX(postDEL!$A$2:$AL799,$O218,12)</f>
        <v>44579</v>
      </c>
      <c r="J218" s="218">
        <f t="array" ref="J218">INDEX(postDEL!$A$2:$AL799,$O218,13)</f>
        <v>0.5015972222</v>
      </c>
      <c r="K218" s="219" t="str">
        <f t="array" ref="K218">INDEX(postDEL!$A$2:$AL799,$O218,36)</f>
        <v/>
      </c>
      <c r="L218" s="219" t="str">
        <f t="array" ref="L218">INDEX(postDEL!$A$2:$AL799,$O218,38)</f>
        <v/>
      </c>
      <c r="M218" s="219" t="str">
        <f t="array" ref="M218">INDEX(postDEL!$A$2:$AL799,$O218,15)</f>
        <v/>
      </c>
      <c r="N218" s="110">
        <f>COUNTIF(postDEL!$A$2:$A799,A218)</f>
        <v>1</v>
      </c>
      <c r="O218" s="19">
        <f>MATCH(A218,postDEL!A$2:A799,0)</f>
        <v>217</v>
      </c>
      <c r="P218" s="10" t="str">
        <f t="shared" si="1"/>
        <v/>
      </c>
      <c r="Q218" s="220">
        <f t="shared" si="2"/>
        <v>0</v>
      </c>
      <c r="R218" s="5"/>
    </row>
    <row r="219">
      <c r="A219" s="221" t="s">
        <v>904</v>
      </c>
      <c r="B219" s="217">
        <f t="array" ref="B219">INDEX(postDEL!$A$2:$P799,$O219,2)</f>
        <v>44579</v>
      </c>
      <c r="C219" s="218">
        <f t="array" ref="C219">INDEX(postDEL!$A$2:$P799,$O219,3)</f>
        <v>0.4144560185</v>
      </c>
      <c r="D219" s="219" t="str">
        <f t="array" ref="D219">INDEX(postDEL!$A$2:$AN799,$O219,39)</f>
        <v>SpBEND394154</v>
      </c>
      <c r="E219" s="219" t="str">
        <f t="array" ref="E219">INDEX(postDEL!$A$2:$P799,$O219,4)</f>
        <v/>
      </c>
      <c r="F219" s="219" t="str">
        <f t="array" ref="F219">INDEX(postDEL!$A$2:$P799,$O219,5)</f>
        <v/>
      </c>
      <c r="G219" s="219" t="str">
        <f t="array" ref="G219">INDEX(postDEL!$A$2:$P799,$O219,11)</f>
        <v>Positive</v>
      </c>
      <c r="H219" s="219" t="str">
        <f t="array" ref="H219">INDEX(postDEL!$A$2:$AL799,$O219,37)</f>
        <v>Positive</v>
      </c>
      <c r="I219" s="217">
        <f t="array" ref="I219">INDEX(postDEL!$A$2:$AL799,$O219,12)</f>
        <v>44579</v>
      </c>
      <c r="J219" s="218">
        <f t="array" ref="J219">INDEX(postDEL!$A$2:$AL799,$O219,13)</f>
        <v>0.5015972222</v>
      </c>
      <c r="K219" s="219" t="str">
        <f t="array" ref="K219">INDEX(postDEL!$A$2:$AL799,$O219,36)</f>
        <v/>
      </c>
      <c r="L219" s="219" t="str">
        <f t="array" ref="L219">INDEX(postDEL!$A$2:$AL799,$O219,38)</f>
        <v/>
      </c>
      <c r="M219" s="219" t="str">
        <f t="array" ref="M219">INDEX(postDEL!$A$2:$AL799,$O219,15)</f>
        <v/>
      </c>
      <c r="N219" s="110">
        <f>COUNTIF(postDEL!$A$2:$A799,A219)</f>
        <v>1</v>
      </c>
      <c r="O219" s="19">
        <f>MATCH(A219,postDEL!A$2:A799,0)</f>
        <v>218</v>
      </c>
      <c r="P219" s="10" t="str">
        <f t="shared" si="1"/>
        <v/>
      </c>
      <c r="Q219" s="220">
        <f t="shared" si="2"/>
        <v>0</v>
      </c>
      <c r="R219" s="5"/>
    </row>
    <row r="220">
      <c r="A220" s="221" t="s">
        <v>907</v>
      </c>
      <c r="B220" s="217">
        <f t="array" ref="B220">INDEX(postDEL!$A$2:$P799,$O220,2)</f>
        <v>44579</v>
      </c>
      <c r="C220" s="218">
        <f t="array" ref="C220">INDEX(postDEL!$A$2:$P799,$O220,3)</f>
        <v>0.4153472222</v>
      </c>
      <c r="D220" s="219" t="str">
        <f t="array" ref="D220">INDEX(postDEL!$A$2:$AN799,$O220,39)</f>
        <v>SpBEND394154</v>
      </c>
      <c r="E220" s="219" t="str">
        <f t="array" ref="E220">INDEX(postDEL!$A$2:$P799,$O220,4)</f>
        <v/>
      </c>
      <c r="F220" s="219" t="str">
        <f t="array" ref="F220">INDEX(postDEL!$A$2:$P799,$O220,5)</f>
        <v/>
      </c>
      <c r="G220" s="219" t="str">
        <f t="array" ref="G220">INDEX(postDEL!$A$2:$P799,$O220,11)</f>
        <v>Positive</v>
      </c>
      <c r="H220" s="219" t="str">
        <f t="array" ref="H220">INDEX(postDEL!$A$2:$AL799,$O220,37)</f>
        <v>Positive</v>
      </c>
      <c r="I220" s="217">
        <f t="array" ref="I220">INDEX(postDEL!$A$2:$AL799,$O220,12)</f>
        <v>44579</v>
      </c>
      <c r="J220" s="218">
        <f t="array" ref="J220">INDEX(postDEL!$A$2:$AL799,$O220,13)</f>
        <v>0.5015972222</v>
      </c>
      <c r="K220" s="219" t="str">
        <f t="array" ref="K220">INDEX(postDEL!$A$2:$AL799,$O220,36)</f>
        <v/>
      </c>
      <c r="L220" s="219" t="str">
        <f t="array" ref="L220">INDEX(postDEL!$A$2:$AL799,$O220,38)</f>
        <v/>
      </c>
      <c r="M220" s="219" t="str">
        <f t="array" ref="M220">INDEX(postDEL!$A$2:$AL799,$O220,15)</f>
        <v/>
      </c>
      <c r="N220" s="110">
        <f>COUNTIF(postDEL!$A$2:$A799,A220)</f>
        <v>1</v>
      </c>
      <c r="O220" s="19">
        <f>MATCH(A220,postDEL!A$2:A799,0)</f>
        <v>219</v>
      </c>
      <c r="P220" s="10" t="str">
        <f t="shared" si="1"/>
        <v/>
      </c>
      <c r="Q220" s="220">
        <f t="shared" si="2"/>
        <v>0</v>
      </c>
      <c r="R220" s="5"/>
    </row>
    <row r="221">
      <c r="A221" s="221" t="s">
        <v>910</v>
      </c>
      <c r="B221" s="217">
        <f t="array" ref="B221">INDEX(postDEL!$A$2:$P799,$O221,2)</f>
        <v>44579</v>
      </c>
      <c r="C221" s="218">
        <f t="array" ref="C221">INDEX(postDEL!$A$2:$P799,$O221,3)</f>
        <v>0.4159259259</v>
      </c>
      <c r="D221" s="219" t="str">
        <f t="array" ref="D221">INDEX(postDEL!$A$2:$AN799,$O221,39)</f>
        <v>SpBEND394154</v>
      </c>
      <c r="E221" s="219" t="str">
        <f t="array" ref="E221">INDEX(postDEL!$A$2:$P799,$O221,4)</f>
        <v/>
      </c>
      <c r="F221" s="219" t="str">
        <f t="array" ref="F221">INDEX(postDEL!$A$2:$P799,$O221,5)</f>
        <v/>
      </c>
      <c r="G221" s="219" t="str">
        <f t="array" ref="G221">INDEX(postDEL!$A$2:$P799,$O221,11)</f>
        <v>Positive</v>
      </c>
      <c r="H221" s="219" t="str">
        <f t="array" ref="H221">INDEX(postDEL!$A$2:$AL799,$O221,37)</f>
        <v>Positive</v>
      </c>
      <c r="I221" s="217">
        <f t="array" ref="I221">INDEX(postDEL!$A$2:$AL799,$O221,12)</f>
        <v>44579</v>
      </c>
      <c r="J221" s="218">
        <f t="array" ref="J221">INDEX(postDEL!$A$2:$AL799,$O221,13)</f>
        <v>0.5015972222</v>
      </c>
      <c r="K221" s="219" t="str">
        <f t="array" ref="K221">INDEX(postDEL!$A$2:$AL799,$O221,36)</f>
        <v/>
      </c>
      <c r="L221" s="219" t="str">
        <f t="array" ref="L221">INDEX(postDEL!$A$2:$AL799,$O221,38)</f>
        <v/>
      </c>
      <c r="M221" s="219" t="str">
        <f t="array" ref="M221">INDEX(postDEL!$A$2:$AL799,$O221,15)</f>
        <v/>
      </c>
      <c r="N221" s="110">
        <f>COUNTIF(postDEL!$A$2:$A799,A221)</f>
        <v>1</v>
      </c>
      <c r="O221" s="19">
        <f>MATCH(A221,postDEL!A$2:A799,0)</f>
        <v>220</v>
      </c>
      <c r="P221" s="10" t="str">
        <f t="shared" si="1"/>
        <v/>
      </c>
      <c r="Q221" s="220">
        <f t="shared" si="2"/>
        <v>0</v>
      </c>
      <c r="R221" s="5"/>
    </row>
    <row r="222">
      <c r="A222" s="221" t="s">
        <v>912</v>
      </c>
      <c r="B222" s="217">
        <f t="array" ref="B222">INDEX(postDEL!$A$2:$P799,$O222,2)</f>
        <v>44580</v>
      </c>
      <c r="C222" s="218">
        <f t="array" ref="C222">INDEX(postDEL!$A$2:$P799,$O222,3)</f>
        <v>0.2888310185</v>
      </c>
      <c r="D222" s="219" t="str">
        <f t="array" ref="D222">INDEX(postDEL!$A$2:$AN799,$O222,39)</f>
        <v>SpBEND394154</v>
      </c>
      <c r="E222" s="219" t="str">
        <f t="array" ref="E222">INDEX(postDEL!$A$2:$P799,$O222,4)</f>
        <v/>
      </c>
      <c r="F222" s="219" t="str">
        <f t="array" ref="F222">INDEX(postDEL!$A$2:$P799,$O222,5)</f>
        <v/>
      </c>
      <c r="G222" s="219" t="str">
        <f t="array" ref="G222">INDEX(postDEL!$A$2:$P799,$O222,11)</f>
        <v>Negative</v>
      </c>
      <c r="H222" s="219" t="str">
        <f t="array" ref="H222">INDEX(postDEL!$A$2:$AL799,$O222,37)</f>
        <v>Negative</v>
      </c>
      <c r="I222" s="217">
        <f t="array" ref="I222">INDEX(postDEL!$A$2:$AL799,$O222,12)</f>
        <v>44580</v>
      </c>
      <c r="J222" s="218">
        <f t="array" ref="J222">INDEX(postDEL!$A$2:$AL799,$O222,13)</f>
        <v>0.5080208333</v>
      </c>
      <c r="K222" s="219" t="str">
        <f t="array" ref="K222">INDEX(postDEL!$A$2:$AL799,$O222,36)</f>
        <v/>
      </c>
      <c r="L222" s="219" t="str">
        <f t="array" ref="L222">INDEX(postDEL!$A$2:$AL799,$O222,38)</f>
        <v/>
      </c>
      <c r="M222" s="219" t="str">
        <f t="array" ref="M222">INDEX(postDEL!$A$2:$AL799,$O222,15)</f>
        <v/>
      </c>
      <c r="N222" s="110">
        <f>COUNTIF(postDEL!$A$2:$A799,A222)</f>
        <v>1</v>
      </c>
      <c r="O222" s="19">
        <f>MATCH(A222,postDEL!A$2:A799,0)</f>
        <v>221</v>
      </c>
      <c r="P222" s="10" t="b">
        <f t="shared" si="1"/>
        <v>1</v>
      </c>
      <c r="Q222" s="220">
        <f t="shared" si="2"/>
        <v>0</v>
      </c>
      <c r="R222" s="5"/>
    </row>
    <row r="223">
      <c r="A223" s="221" t="s">
        <v>915</v>
      </c>
      <c r="B223" s="217">
        <f t="array" ref="B223">INDEX(postDEL!$A$2:$P799,$O223,2)</f>
        <v>44580</v>
      </c>
      <c r="C223" s="218">
        <f t="array" ref="C223">INDEX(postDEL!$A$2:$P799,$O223,3)</f>
        <v>0.2900578704</v>
      </c>
      <c r="D223" s="219" t="str">
        <f t="array" ref="D223">INDEX(postDEL!$A$2:$AN799,$O223,39)</f>
        <v>SpBEND394154</v>
      </c>
      <c r="E223" s="219" t="str">
        <f t="array" ref="E223">INDEX(postDEL!$A$2:$P799,$O223,4)</f>
        <v/>
      </c>
      <c r="F223" s="219" t="str">
        <f t="array" ref="F223">INDEX(postDEL!$A$2:$P799,$O223,5)</f>
        <v/>
      </c>
      <c r="G223" s="219" t="str">
        <f t="array" ref="G223">INDEX(postDEL!$A$2:$P799,$O223,11)</f>
        <v>Negative</v>
      </c>
      <c r="H223" s="219" t="str">
        <f t="array" ref="H223">INDEX(postDEL!$A$2:$AL799,$O223,37)</f>
        <v>Negative</v>
      </c>
      <c r="I223" s="217">
        <f t="array" ref="I223">INDEX(postDEL!$A$2:$AL799,$O223,12)</f>
        <v>44580</v>
      </c>
      <c r="J223" s="218">
        <f t="array" ref="J223">INDEX(postDEL!$A$2:$AL799,$O223,13)</f>
        <v>0.5080208333</v>
      </c>
      <c r="K223" s="219" t="str">
        <f t="array" ref="K223">INDEX(postDEL!$A$2:$AL799,$O223,36)</f>
        <v/>
      </c>
      <c r="L223" s="219" t="str">
        <f t="array" ref="L223">INDEX(postDEL!$A$2:$AL799,$O223,38)</f>
        <v/>
      </c>
      <c r="M223" s="219" t="str">
        <f t="array" ref="M223">INDEX(postDEL!$A$2:$AL799,$O223,15)</f>
        <v/>
      </c>
      <c r="N223" s="110">
        <f>COUNTIF(postDEL!$A$2:$A799,A223)</f>
        <v>1</v>
      </c>
      <c r="O223" s="19">
        <f>MATCH(A223,postDEL!A$2:A799,0)</f>
        <v>222</v>
      </c>
      <c r="P223" s="10" t="str">
        <f t="shared" si="1"/>
        <v/>
      </c>
      <c r="Q223" s="220">
        <f t="shared" si="2"/>
        <v>0</v>
      </c>
      <c r="R223" s="5"/>
    </row>
    <row r="224">
      <c r="A224" s="221" t="s">
        <v>917</v>
      </c>
      <c r="B224" s="217">
        <f t="array" ref="B224">INDEX(postDEL!$A$2:$P799,$O224,2)</f>
        <v>44580</v>
      </c>
      <c r="C224" s="218">
        <f t="array" ref="C224">INDEX(postDEL!$A$2:$P799,$O224,3)</f>
        <v>0.2982407407</v>
      </c>
      <c r="D224" s="219" t="str">
        <f t="array" ref="D224">INDEX(postDEL!$A$2:$AN799,$O224,39)</f>
        <v>SpBEND587584</v>
      </c>
      <c r="E224" s="219" t="str">
        <f t="array" ref="E224">INDEX(postDEL!$A$2:$P799,$O224,4)</f>
        <v/>
      </c>
      <c r="F224" s="219" t="str">
        <f t="array" ref="F224">INDEX(postDEL!$A$2:$P799,$O224,5)</f>
        <v/>
      </c>
      <c r="G224" s="219" t="str">
        <f t="array" ref="G224">INDEX(postDEL!$A$2:$P799,$O224,11)</f>
        <v>Negative</v>
      </c>
      <c r="H224" s="219" t="str">
        <f t="array" ref="H224">INDEX(postDEL!$A$2:$AL799,$O224,37)</f>
        <v>Negative</v>
      </c>
      <c r="I224" s="217">
        <f t="array" ref="I224">INDEX(postDEL!$A$2:$AL799,$O224,12)</f>
        <v>44580</v>
      </c>
      <c r="J224" s="218">
        <f t="array" ref="J224">INDEX(postDEL!$A$2:$AL799,$O224,13)</f>
        <v>0.5080208333</v>
      </c>
      <c r="K224" s="219" t="str">
        <f t="array" ref="K224">INDEX(postDEL!$A$2:$AL799,$O224,36)</f>
        <v/>
      </c>
      <c r="L224" s="219" t="str">
        <f t="array" ref="L224">INDEX(postDEL!$A$2:$AL799,$O224,38)</f>
        <v/>
      </c>
      <c r="M224" s="219" t="str">
        <f t="array" ref="M224">INDEX(postDEL!$A$2:$AL799,$O224,15)</f>
        <v/>
      </c>
      <c r="N224" s="110">
        <f>COUNTIF(postDEL!$A$2:$A799,A224)</f>
        <v>1</v>
      </c>
      <c r="O224" s="19">
        <f>MATCH(A224,postDEL!A$2:A799,0)</f>
        <v>223</v>
      </c>
      <c r="P224" s="10" t="str">
        <f t="shared" si="1"/>
        <v/>
      </c>
      <c r="Q224" s="220">
        <f t="shared" si="2"/>
        <v>0</v>
      </c>
      <c r="R224" s="5"/>
    </row>
    <row r="225">
      <c r="A225" s="221" t="s">
        <v>920</v>
      </c>
      <c r="B225" s="217">
        <f t="array" ref="B225">INDEX(postDEL!$A$2:$P799,$O225,2)</f>
        <v>44580</v>
      </c>
      <c r="C225" s="218">
        <f t="array" ref="C225">INDEX(postDEL!$A$2:$P799,$O225,3)</f>
        <v>0.3460648148</v>
      </c>
      <c r="D225" s="219" t="str">
        <f t="array" ref="D225">INDEX(postDEL!$A$2:$AN799,$O225,39)</f>
        <v>SpBEND708976</v>
      </c>
      <c r="E225" s="219" t="str">
        <f t="array" ref="E225">INDEX(postDEL!$A$2:$P799,$O225,4)</f>
        <v/>
      </c>
      <c r="F225" s="219" t="str">
        <f t="array" ref="F225">INDEX(postDEL!$A$2:$P799,$O225,5)</f>
        <v/>
      </c>
      <c r="G225" s="219" t="str">
        <f t="array" ref="G225">INDEX(postDEL!$A$2:$P799,$O225,11)</f>
        <v>Positive</v>
      </c>
      <c r="H225" s="219" t="str">
        <f t="array" ref="H225">INDEX(postDEL!$A$2:$AL799,$O225,37)</f>
        <v>Positive</v>
      </c>
      <c r="I225" s="217">
        <f t="array" ref="I225">INDEX(postDEL!$A$2:$AL799,$O225,12)</f>
        <v>44580</v>
      </c>
      <c r="J225" s="218">
        <f t="array" ref="J225">INDEX(postDEL!$A$2:$AL799,$O225,13)</f>
        <v>0.5073611111</v>
      </c>
      <c r="K225" s="219" t="str">
        <f t="array" ref="K225">INDEX(postDEL!$A$2:$AL799,$O225,36)</f>
        <v/>
      </c>
      <c r="L225" s="219" t="str">
        <f t="array" ref="L225">INDEX(postDEL!$A$2:$AL799,$O225,38)</f>
        <v/>
      </c>
      <c r="M225" s="219" t="str">
        <f t="array" ref="M225">INDEX(postDEL!$A$2:$AL799,$O225,15)</f>
        <v/>
      </c>
      <c r="N225" s="110">
        <f>COUNTIF(postDEL!$A$2:$A799,A225)</f>
        <v>1</v>
      </c>
      <c r="O225" s="19">
        <f>MATCH(A225,postDEL!A$2:A799,0)</f>
        <v>224</v>
      </c>
      <c r="P225" s="10" t="str">
        <f t="shared" si="1"/>
        <v/>
      </c>
      <c r="Q225" s="220">
        <f t="shared" si="2"/>
        <v>0</v>
      </c>
      <c r="R225" s="5"/>
    </row>
    <row r="226">
      <c r="A226" s="221" t="s">
        <v>922</v>
      </c>
      <c r="B226" s="217">
        <f t="array" ref="B226">INDEX(postDEL!$A$2:$P799,$O226,2)</f>
        <v>44580</v>
      </c>
      <c r="C226" s="218">
        <f t="array" ref="C226">INDEX(postDEL!$A$2:$P799,$O226,3)</f>
        <v>0.4079282407</v>
      </c>
      <c r="D226" s="219" t="str">
        <f t="array" ref="D226">INDEX(postDEL!$A$2:$AN799,$O226,39)</f>
        <v>SpBEND394154</v>
      </c>
      <c r="E226" s="219" t="str">
        <f t="array" ref="E226">INDEX(postDEL!$A$2:$P799,$O226,4)</f>
        <v/>
      </c>
      <c r="F226" s="219" t="str">
        <f t="array" ref="F226">INDEX(postDEL!$A$2:$P799,$O226,5)</f>
        <v/>
      </c>
      <c r="G226" s="219" t="str">
        <f t="array" ref="G226">INDEX(postDEL!$A$2:$P799,$O226,11)</f>
        <v>Negative</v>
      </c>
      <c r="H226" s="219" t="str">
        <f t="array" ref="H226">INDEX(postDEL!$A$2:$AL799,$O226,37)</f>
        <v>Negative</v>
      </c>
      <c r="I226" s="217">
        <f t="array" ref="I226">INDEX(postDEL!$A$2:$AL799,$O226,12)</f>
        <v>44580</v>
      </c>
      <c r="J226" s="218">
        <f t="array" ref="J226">INDEX(postDEL!$A$2:$AL799,$O226,13)</f>
        <v>0.5080208333</v>
      </c>
      <c r="K226" s="219" t="str">
        <f t="array" ref="K226">INDEX(postDEL!$A$2:$AL799,$O226,36)</f>
        <v/>
      </c>
      <c r="L226" s="219" t="str">
        <f t="array" ref="L226">INDEX(postDEL!$A$2:$AL799,$O226,38)</f>
        <v/>
      </c>
      <c r="M226" s="219" t="str">
        <f t="array" ref="M226">INDEX(postDEL!$A$2:$AL799,$O226,15)</f>
        <v/>
      </c>
      <c r="N226" s="110">
        <f>COUNTIF(postDEL!$A$2:$A799,A226)</f>
        <v>1</v>
      </c>
      <c r="O226" s="19">
        <f>MATCH(A226,postDEL!A$2:A799,0)</f>
        <v>225</v>
      </c>
      <c r="P226" s="10" t="str">
        <f t="shared" si="1"/>
        <v/>
      </c>
      <c r="Q226" s="220">
        <f t="shared" si="2"/>
        <v>0</v>
      </c>
      <c r="R226" s="5"/>
    </row>
    <row r="227">
      <c r="A227" s="221" t="s">
        <v>925</v>
      </c>
      <c r="B227" s="217">
        <f t="array" ref="B227">INDEX(postDEL!$A$2:$P799,$O227,2)</f>
        <v>44580</v>
      </c>
      <c r="C227" s="218">
        <f t="array" ref="C227">INDEX(postDEL!$A$2:$P799,$O227,3)</f>
        <v>0.4100694444</v>
      </c>
      <c r="D227" s="219" t="str">
        <f t="array" ref="D227">INDEX(postDEL!$A$2:$AN799,$O227,39)</f>
        <v>SpBEND394154</v>
      </c>
      <c r="E227" s="219" t="str">
        <f t="array" ref="E227">INDEX(postDEL!$A$2:$P799,$O227,4)</f>
        <v/>
      </c>
      <c r="F227" s="219" t="str">
        <f t="array" ref="F227">INDEX(postDEL!$A$2:$P799,$O227,5)</f>
        <v/>
      </c>
      <c r="G227" s="219" t="str">
        <f t="array" ref="G227">INDEX(postDEL!$A$2:$P799,$O227,11)</f>
        <v>Negative</v>
      </c>
      <c r="H227" s="219" t="str">
        <f t="array" ref="H227">INDEX(postDEL!$A$2:$AL799,$O227,37)</f>
        <v>Negative</v>
      </c>
      <c r="I227" s="217">
        <f t="array" ref="I227">INDEX(postDEL!$A$2:$AL799,$O227,12)</f>
        <v>44580</v>
      </c>
      <c r="J227" s="218">
        <f t="array" ref="J227">INDEX(postDEL!$A$2:$AL799,$O227,13)</f>
        <v>0.5080208333</v>
      </c>
      <c r="K227" s="219" t="str">
        <f t="array" ref="K227">INDEX(postDEL!$A$2:$AL799,$O227,36)</f>
        <v/>
      </c>
      <c r="L227" s="219" t="str">
        <f t="array" ref="L227">INDEX(postDEL!$A$2:$AL799,$O227,38)</f>
        <v/>
      </c>
      <c r="M227" s="219" t="str">
        <f t="array" ref="M227">INDEX(postDEL!$A$2:$AL799,$O227,15)</f>
        <v/>
      </c>
      <c r="N227" s="110">
        <f>COUNTIF(postDEL!$A$2:$A799,A227)</f>
        <v>1</v>
      </c>
      <c r="O227" s="19">
        <f>MATCH(A227,postDEL!A$2:A799,0)</f>
        <v>226</v>
      </c>
      <c r="P227" s="10" t="str">
        <f t="shared" si="1"/>
        <v/>
      </c>
      <c r="Q227" s="220">
        <f t="shared" si="2"/>
        <v>0</v>
      </c>
      <c r="R227" s="5"/>
    </row>
    <row r="228">
      <c r="A228" s="221" t="s">
        <v>928</v>
      </c>
      <c r="B228" s="217">
        <f t="array" ref="B228">INDEX(postDEL!$A$2:$P799,$O228,2)</f>
        <v>44580</v>
      </c>
      <c r="C228" s="218">
        <f t="array" ref="C228">INDEX(postDEL!$A$2:$P799,$O228,3)</f>
        <v>0.4145601852</v>
      </c>
      <c r="D228" s="219" t="str">
        <f t="array" ref="D228">INDEX(postDEL!$A$2:$AN799,$O228,39)</f>
        <v>SpBEND394154</v>
      </c>
      <c r="E228" s="219" t="str">
        <f t="array" ref="E228">INDEX(postDEL!$A$2:$P799,$O228,4)</f>
        <v/>
      </c>
      <c r="F228" s="219" t="str">
        <f t="array" ref="F228">INDEX(postDEL!$A$2:$P799,$O228,5)</f>
        <v/>
      </c>
      <c r="G228" s="219" t="str">
        <f t="array" ref="G228">INDEX(postDEL!$A$2:$P799,$O228,11)</f>
        <v>Positive</v>
      </c>
      <c r="H228" s="219" t="str">
        <f t="array" ref="H228">INDEX(postDEL!$A$2:$AL799,$O228,37)</f>
        <v>Positive</v>
      </c>
      <c r="I228" s="217">
        <f t="array" ref="I228">INDEX(postDEL!$A$2:$AL799,$O228,12)</f>
        <v>44580</v>
      </c>
      <c r="J228" s="218">
        <f t="array" ref="J228">INDEX(postDEL!$A$2:$AL799,$O228,13)</f>
        <v>0.5073611111</v>
      </c>
      <c r="K228" s="219" t="str">
        <f t="array" ref="K228">INDEX(postDEL!$A$2:$AL799,$O228,36)</f>
        <v/>
      </c>
      <c r="L228" s="219" t="str">
        <f t="array" ref="L228">INDEX(postDEL!$A$2:$AL799,$O228,38)</f>
        <v/>
      </c>
      <c r="M228" s="219" t="str">
        <f t="array" ref="M228">INDEX(postDEL!$A$2:$AL799,$O228,15)</f>
        <v/>
      </c>
      <c r="N228" s="110">
        <f>COUNTIF(postDEL!$A$2:$A799,A228)</f>
        <v>1</v>
      </c>
      <c r="O228" s="19">
        <f>MATCH(A228,postDEL!A$2:A799,0)</f>
        <v>227</v>
      </c>
      <c r="P228" s="10" t="str">
        <f t="shared" si="1"/>
        <v/>
      </c>
      <c r="Q228" s="220">
        <f t="shared" si="2"/>
        <v>0</v>
      </c>
      <c r="R228" s="5"/>
    </row>
    <row r="229">
      <c r="A229" s="221" t="s">
        <v>930</v>
      </c>
      <c r="B229" s="217">
        <f t="array" ref="B229">INDEX(postDEL!$A$2:$P799,$O229,2)</f>
        <v>44580</v>
      </c>
      <c r="C229" s="218">
        <f t="array" ref="C229">INDEX(postDEL!$A$2:$P799,$O229,3)</f>
        <v>0.415</v>
      </c>
      <c r="D229" s="219" t="str">
        <f t="array" ref="D229">INDEX(postDEL!$A$2:$AN799,$O229,39)</f>
        <v>SpBEND394154</v>
      </c>
      <c r="E229" s="219" t="str">
        <f t="array" ref="E229">INDEX(postDEL!$A$2:$P799,$O229,4)</f>
        <v/>
      </c>
      <c r="F229" s="219" t="str">
        <f t="array" ref="F229">INDEX(postDEL!$A$2:$P799,$O229,5)</f>
        <v/>
      </c>
      <c r="G229" s="219" t="str">
        <f t="array" ref="G229">INDEX(postDEL!$A$2:$P799,$O229,11)</f>
        <v>Positive</v>
      </c>
      <c r="H229" s="219" t="str">
        <f t="array" ref="H229">INDEX(postDEL!$A$2:$AL799,$O229,37)</f>
        <v>Positive</v>
      </c>
      <c r="I229" s="217">
        <f t="array" ref="I229">INDEX(postDEL!$A$2:$AL799,$O229,12)</f>
        <v>44580</v>
      </c>
      <c r="J229" s="218">
        <f t="array" ref="J229">INDEX(postDEL!$A$2:$AL799,$O229,13)</f>
        <v>0.5073726852</v>
      </c>
      <c r="K229" s="219" t="str">
        <f t="array" ref="K229">INDEX(postDEL!$A$2:$AL799,$O229,36)</f>
        <v/>
      </c>
      <c r="L229" s="219" t="str">
        <f t="array" ref="L229">INDEX(postDEL!$A$2:$AL799,$O229,38)</f>
        <v/>
      </c>
      <c r="M229" s="219" t="str">
        <f t="array" ref="M229">INDEX(postDEL!$A$2:$AL799,$O229,15)</f>
        <v/>
      </c>
      <c r="N229" s="110">
        <f>COUNTIF(postDEL!$A$2:$A799,A229)</f>
        <v>1</v>
      </c>
      <c r="O229" s="19">
        <f>MATCH(A229,postDEL!A$2:A799,0)</f>
        <v>228</v>
      </c>
      <c r="P229" s="10" t="str">
        <f t="shared" si="1"/>
        <v/>
      </c>
      <c r="Q229" s="220">
        <f t="shared" si="2"/>
        <v>0</v>
      </c>
      <c r="R229" s="5"/>
    </row>
    <row r="230">
      <c r="A230" s="221" t="s">
        <v>932</v>
      </c>
      <c r="B230" s="217">
        <f t="array" ref="B230">INDEX(postDEL!$A$2:$P799,$O230,2)</f>
        <v>44580</v>
      </c>
      <c r="C230" s="218">
        <f t="array" ref="C230">INDEX(postDEL!$A$2:$P799,$O230,3)</f>
        <v>0.4154398148</v>
      </c>
      <c r="D230" s="219" t="str">
        <f t="array" ref="D230">INDEX(postDEL!$A$2:$AN799,$O230,39)</f>
        <v>SpBEND394154</v>
      </c>
      <c r="E230" s="219" t="str">
        <f t="array" ref="E230">INDEX(postDEL!$A$2:$P799,$O230,4)</f>
        <v/>
      </c>
      <c r="F230" s="219" t="str">
        <f t="array" ref="F230">INDEX(postDEL!$A$2:$P799,$O230,5)</f>
        <v/>
      </c>
      <c r="G230" s="219" t="str">
        <f t="array" ref="G230">INDEX(postDEL!$A$2:$P799,$O230,11)</f>
        <v>Positive</v>
      </c>
      <c r="H230" s="219" t="str">
        <f t="array" ref="H230">INDEX(postDEL!$A$2:$AL799,$O230,37)</f>
        <v>Positive</v>
      </c>
      <c r="I230" s="217">
        <f t="array" ref="I230">INDEX(postDEL!$A$2:$AL799,$O230,12)</f>
        <v>44580</v>
      </c>
      <c r="J230" s="218">
        <f t="array" ref="J230">INDEX(postDEL!$A$2:$AL799,$O230,13)</f>
        <v>0.5073726852</v>
      </c>
      <c r="K230" s="219" t="str">
        <f t="array" ref="K230">INDEX(postDEL!$A$2:$AL799,$O230,36)</f>
        <v/>
      </c>
      <c r="L230" s="219" t="str">
        <f t="array" ref="L230">INDEX(postDEL!$A$2:$AL799,$O230,38)</f>
        <v/>
      </c>
      <c r="M230" s="219" t="str">
        <f t="array" ref="M230">INDEX(postDEL!$A$2:$AL799,$O230,15)</f>
        <v/>
      </c>
      <c r="N230" s="110">
        <f>COUNTIF(postDEL!$A$2:$A799,A230)</f>
        <v>1</v>
      </c>
      <c r="O230" s="19">
        <f>MATCH(A230,postDEL!A$2:A799,0)</f>
        <v>229</v>
      </c>
      <c r="P230" s="10" t="str">
        <f t="shared" si="1"/>
        <v/>
      </c>
      <c r="Q230" s="220">
        <f t="shared" si="2"/>
        <v>0</v>
      </c>
      <c r="R230" s="5"/>
    </row>
    <row r="231">
      <c r="A231" s="221" t="s">
        <v>934</v>
      </c>
      <c r="B231" s="217">
        <f t="array" ref="B231">INDEX(postDEL!$A$2:$P799,$O231,2)</f>
        <v>44580</v>
      </c>
      <c r="C231" s="218">
        <f t="array" ref="C231">INDEX(postDEL!$A$2:$P799,$O231,3)</f>
        <v>0.4268171296</v>
      </c>
      <c r="D231" s="219" t="str">
        <f t="array" ref="D231">INDEX(postDEL!$A$2:$AN799,$O231,39)</f>
        <v>SpBEND953422</v>
      </c>
      <c r="E231" s="219" t="str">
        <f t="array" ref="E231">INDEX(postDEL!$A$2:$P799,$O231,4)</f>
        <v/>
      </c>
      <c r="F231" s="219" t="str">
        <f t="array" ref="F231">INDEX(postDEL!$A$2:$P799,$O231,5)</f>
        <v/>
      </c>
      <c r="G231" s="219" t="str">
        <f t="array" ref="G231">INDEX(postDEL!$A$2:$P799,$O231,11)</f>
        <v>Negative</v>
      </c>
      <c r="H231" s="219" t="str">
        <f t="array" ref="H231">INDEX(postDEL!$A$2:$AL799,$O231,37)</f>
        <v>Negative</v>
      </c>
      <c r="I231" s="217">
        <f t="array" ref="I231">INDEX(postDEL!$A$2:$AL799,$O231,12)</f>
        <v>44580</v>
      </c>
      <c r="J231" s="218">
        <f t="array" ref="J231">INDEX(postDEL!$A$2:$AL799,$O231,13)</f>
        <v>0.5080324074</v>
      </c>
      <c r="K231" s="219" t="str">
        <f t="array" ref="K231">INDEX(postDEL!$A$2:$AL799,$O231,36)</f>
        <v/>
      </c>
      <c r="L231" s="219" t="str">
        <f t="array" ref="L231">INDEX(postDEL!$A$2:$AL799,$O231,38)</f>
        <v/>
      </c>
      <c r="M231" s="219" t="str">
        <f t="array" ref="M231">INDEX(postDEL!$A$2:$AL799,$O231,15)</f>
        <v/>
      </c>
      <c r="N231" s="110">
        <f>COUNTIF(postDEL!$A$2:$A799,A231)</f>
        <v>1</v>
      </c>
      <c r="O231" s="19">
        <f>MATCH(A231,postDEL!A$2:A799,0)</f>
        <v>230</v>
      </c>
      <c r="P231" s="10" t="str">
        <f t="shared" si="1"/>
        <v/>
      </c>
      <c r="Q231" s="220">
        <f t="shared" si="2"/>
        <v>0</v>
      </c>
      <c r="R231" s="5"/>
    </row>
    <row r="232">
      <c r="A232" s="221" t="s">
        <v>936</v>
      </c>
      <c r="B232" s="217">
        <f t="array" ref="B232">INDEX(postDEL!$A$2:$P799,$O232,2)</f>
        <v>44580</v>
      </c>
      <c r="C232" s="218">
        <f t="array" ref="C232">INDEX(postDEL!$A$2:$P799,$O232,3)</f>
        <v>0.432037037</v>
      </c>
      <c r="D232" s="219" t="str">
        <f t="array" ref="D232">INDEX(postDEL!$A$2:$AN799,$O232,39)</f>
        <v>SpBEND394154</v>
      </c>
      <c r="E232" s="219" t="str">
        <f t="array" ref="E232">INDEX(postDEL!$A$2:$P799,$O232,4)</f>
        <v/>
      </c>
      <c r="F232" s="219" t="str">
        <f t="array" ref="F232">INDEX(postDEL!$A$2:$P799,$O232,5)</f>
        <v/>
      </c>
      <c r="G232" s="219" t="str">
        <f t="array" ref="G232">INDEX(postDEL!$A$2:$P799,$O232,11)</f>
        <v>Positive</v>
      </c>
      <c r="H232" s="219" t="str">
        <f t="array" ref="H232">INDEX(postDEL!$A$2:$AL799,$O232,37)</f>
        <v>Positive</v>
      </c>
      <c r="I232" s="217">
        <f t="array" ref="I232">INDEX(postDEL!$A$2:$AL799,$O232,12)</f>
        <v>44580</v>
      </c>
      <c r="J232" s="218">
        <f t="array" ref="J232">INDEX(postDEL!$A$2:$AL799,$O232,13)</f>
        <v>0.5073726852</v>
      </c>
      <c r="K232" s="219" t="str">
        <f t="array" ref="K232">INDEX(postDEL!$A$2:$AL799,$O232,36)</f>
        <v/>
      </c>
      <c r="L232" s="219" t="str">
        <f t="array" ref="L232">INDEX(postDEL!$A$2:$AL799,$O232,38)</f>
        <v/>
      </c>
      <c r="M232" s="219" t="str">
        <f t="array" ref="M232">INDEX(postDEL!$A$2:$AL799,$O232,15)</f>
        <v/>
      </c>
      <c r="N232" s="110">
        <f>COUNTIF(postDEL!$A$2:$A799,A232)</f>
        <v>1</v>
      </c>
      <c r="O232" s="19">
        <f>MATCH(A232,postDEL!A$2:A799,0)</f>
        <v>231</v>
      </c>
      <c r="P232" s="10" t="str">
        <f t="shared" si="1"/>
        <v/>
      </c>
      <c r="Q232" s="220">
        <f t="shared" si="2"/>
        <v>0</v>
      </c>
      <c r="R232" s="5"/>
    </row>
    <row r="233">
      <c r="A233" s="221" t="s">
        <v>939</v>
      </c>
      <c r="B233" s="217">
        <f t="array" ref="B233">INDEX(postDEL!$A$2:$P799,$O233,2)</f>
        <v>44580</v>
      </c>
      <c r="C233" s="218">
        <f t="array" ref="C233">INDEX(postDEL!$A$2:$P799,$O233,3)</f>
        <v>0.4405208333</v>
      </c>
      <c r="D233" s="219" t="str">
        <f t="array" ref="D233">INDEX(postDEL!$A$2:$AN799,$O233,39)</f>
        <v>SpBEND394154</v>
      </c>
      <c r="E233" s="219" t="str">
        <f t="array" ref="E233">INDEX(postDEL!$A$2:$P799,$O233,4)</f>
        <v/>
      </c>
      <c r="F233" s="219" t="str">
        <f t="array" ref="F233">INDEX(postDEL!$A$2:$P799,$O233,5)</f>
        <v/>
      </c>
      <c r="G233" s="219" t="str">
        <f t="array" ref="G233">INDEX(postDEL!$A$2:$P799,$O233,11)</f>
        <v>Positive</v>
      </c>
      <c r="H233" s="219" t="str">
        <f t="array" ref="H233">INDEX(postDEL!$A$2:$AL799,$O233,37)</f>
        <v>Positive</v>
      </c>
      <c r="I233" s="217">
        <f t="array" ref="I233">INDEX(postDEL!$A$2:$AL799,$O233,12)</f>
        <v>44580</v>
      </c>
      <c r="J233" s="218">
        <f t="array" ref="J233">INDEX(postDEL!$A$2:$AL799,$O233,13)</f>
        <v>0.5073726852</v>
      </c>
      <c r="K233" s="219" t="str">
        <f t="array" ref="K233">INDEX(postDEL!$A$2:$AL799,$O233,36)</f>
        <v/>
      </c>
      <c r="L233" s="219" t="str">
        <f t="array" ref="L233">INDEX(postDEL!$A$2:$AL799,$O233,38)</f>
        <v/>
      </c>
      <c r="M233" s="219" t="str">
        <f t="array" ref="M233">INDEX(postDEL!$A$2:$AL799,$O233,15)</f>
        <v/>
      </c>
      <c r="N233" s="110">
        <f>COUNTIF(postDEL!$A$2:$A799,A233)</f>
        <v>1</v>
      </c>
      <c r="O233" s="19">
        <f>MATCH(A233,postDEL!A$2:A799,0)</f>
        <v>232</v>
      </c>
      <c r="P233" s="10" t="str">
        <f t="shared" si="1"/>
        <v/>
      </c>
      <c r="Q233" s="220">
        <f t="shared" si="2"/>
        <v>0</v>
      </c>
      <c r="R233" s="5"/>
    </row>
    <row r="234">
      <c r="A234" s="221" t="s">
        <v>941</v>
      </c>
      <c r="B234" s="217">
        <f t="array" ref="B234">INDEX(postDEL!$A$2:$P799,$O234,2)</f>
        <v>44580</v>
      </c>
      <c r="C234" s="218">
        <f t="array" ref="C234">INDEX(postDEL!$A$2:$P799,$O234,3)</f>
        <v>0.4436689815</v>
      </c>
      <c r="D234" s="219" t="str">
        <f t="array" ref="D234">INDEX(postDEL!$A$2:$AN799,$O234,39)</f>
        <v>SpBEND394154</v>
      </c>
      <c r="E234" s="219" t="str">
        <f t="array" ref="E234">INDEX(postDEL!$A$2:$P799,$O234,4)</f>
        <v/>
      </c>
      <c r="F234" s="219" t="str">
        <f t="array" ref="F234">INDEX(postDEL!$A$2:$P799,$O234,5)</f>
        <v/>
      </c>
      <c r="G234" s="219" t="str">
        <f t="array" ref="G234">INDEX(postDEL!$A$2:$P799,$O234,11)</f>
        <v>Negative</v>
      </c>
      <c r="H234" s="219" t="str">
        <f t="array" ref="H234">INDEX(postDEL!$A$2:$AL799,$O234,37)</f>
        <v>Negative</v>
      </c>
      <c r="I234" s="217">
        <f t="array" ref="I234">INDEX(postDEL!$A$2:$AL799,$O234,12)</f>
        <v>44580</v>
      </c>
      <c r="J234" s="218">
        <f t="array" ref="J234">INDEX(postDEL!$A$2:$AL799,$O234,13)</f>
        <v>0.5080324074</v>
      </c>
      <c r="K234" s="219" t="str">
        <f t="array" ref="K234">INDEX(postDEL!$A$2:$AL799,$O234,36)</f>
        <v/>
      </c>
      <c r="L234" s="219" t="str">
        <f t="array" ref="L234">INDEX(postDEL!$A$2:$AL799,$O234,38)</f>
        <v/>
      </c>
      <c r="M234" s="219" t="str">
        <f t="array" ref="M234">INDEX(postDEL!$A$2:$AL799,$O234,15)</f>
        <v/>
      </c>
      <c r="N234" s="110">
        <f>COUNTIF(postDEL!$A$2:$A799,A234)</f>
        <v>1</v>
      </c>
      <c r="O234" s="19">
        <f>MATCH(A234,postDEL!A$2:A799,0)</f>
        <v>233</v>
      </c>
      <c r="P234" s="10" t="str">
        <f t="shared" si="1"/>
        <v/>
      </c>
      <c r="Q234" s="220">
        <f t="shared" si="2"/>
        <v>0</v>
      </c>
      <c r="R234" s="5"/>
    </row>
    <row r="235">
      <c r="A235" s="221" t="s">
        <v>943</v>
      </c>
      <c r="B235" s="217">
        <f t="array" ref="B235">INDEX(postDEL!$A$2:$P799,$O235,2)</f>
        <v>44580</v>
      </c>
      <c r="C235" s="218">
        <f t="array" ref="C235">INDEX(postDEL!$A$2:$P799,$O235,3)</f>
        <v>0.4467476852</v>
      </c>
      <c r="D235" s="219" t="str">
        <f t="array" ref="D235">INDEX(postDEL!$A$2:$AN799,$O235,39)</f>
        <v>SpBEND394154</v>
      </c>
      <c r="E235" s="219" t="str">
        <f t="array" ref="E235">INDEX(postDEL!$A$2:$P799,$O235,4)</f>
        <v/>
      </c>
      <c r="F235" s="219" t="str">
        <f t="array" ref="F235">INDEX(postDEL!$A$2:$P799,$O235,5)</f>
        <v/>
      </c>
      <c r="G235" s="219" t="str">
        <f t="array" ref="G235">INDEX(postDEL!$A$2:$P799,$O235,11)</f>
        <v>Negative</v>
      </c>
      <c r="H235" s="219" t="str">
        <f t="array" ref="H235">INDEX(postDEL!$A$2:$AL799,$O235,37)</f>
        <v>Negative</v>
      </c>
      <c r="I235" s="217">
        <f t="array" ref="I235">INDEX(postDEL!$A$2:$AL799,$O235,12)</f>
        <v>44580</v>
      </c>
      <c r="J235" s="218">
        <f t="array" ref="J235">INDEX(postDEL!$A$2:$AL799,$O235,13)</f>
        <v>0.5080324074</v>
      </c>
      <c r="K235" s="219" t="str">
        <f t="array" ref="K235">INDEX(postDEL!$A$2:$AL799,$O235,36)</f>
        <v/>
      </c>
      <c r="L235" s="219" t="str">
        <f t="array" ref="L235">INDEX(postDEL!$A$2:$AL799,$O235,38)</f>
        <v/>
      </c>
      <c r="M235" s="219" t="str">
        <f t="array" ref="M235">INDEX(postDEL!$A$2:$AL799,$O235,15)</f>
        <v/>
      </c>
      <c r="N235" s="110">
        <f>COUNTIF(postDEL!$A$2:$A799,A235)</f>
        <v>1</v>
      </c>
      <c r="O235" s="19">
        <f>MATCH(A235,postDEL!A$2:A799,0)</f>
        <v>234</v>
      </c>
      <c r="P235" s="10" t="str">
        <f t="shared" si="1"/>
        <v/>
      </c>
      <c r="Q235" s="220">
        <f t="shared" si="2"/>
        <v>0</v>
      </c>
      <c r="R235" s="5"/>
    </row>
    <row r="236">
      <c r="A236" s="221" t="s">
        <v>946</v>
      </c>
      <c r="B236" s="217">
        <f t="array" ref="B236">INDEX(postDEL!$A$2:$P799,$O236,2)</f>
        <v>44581</v>
      </c>
      <c r="C236" s="218">
        <f t="array" ref="C236">INDEX(postDEL!$A$2:$P799,$O236,3)</f>
        <v>0.3128819444</v>
      </c>
      <c r="D236" s="219" t="str">
        <f t="array" ref="D236">INDEX(postDEL!$A$2:$AN799,$O236,39)</f>
        <v>SpBEND302553</v>
      </c>
      <c r="E236" s="219" t="str">
        <f t="array" ref="E236">INDEX(postDEL!$A$2:$P799,$O236,4)</f>
        <v/>
      </c>
      <c r="F236" s="219" t="str">
        <f t="array" ref="F236">INDEX(postDEL!$A$2:$P799,$O236,5)</f>
        <v/>
      </c>
      <c r="G236" s="219" t="str">
        <f t="array" ref="G236">INDEX(postDEL!$A$2:$P799,$O236,11)</f>
        <v>Positive</v>
      </c>
      <c r="H236" s="219" t="str">
        <f t="array" ref="H236">INDEX(postDEL!$A$2:$AL799,$O236,37)</f>
        <v>Positive</v>
      </c>
      <c r="I236" s="217">
        <f t="array" ref="I236">INDEX(postDEL!$A$2:$AL799,$O236,12)</f>
        <v>44582</v>
      </c>
      <c r="J236" s="218">
        <f t="array" ref="J236">INDEX(postDEL!$A$2:$AL799,$O236,13)</f>
        <v>0.4883912037</v>
      </c>
      <c r="K236" s="219" t="str">
        <f t="array" ref="K236">INDEX(postDEL!$A$2:$AL799,$O236,36)</f>
        <v/>
      </c>
      <c r="L236" s="219" t="str">
        <f t="array" ref="L236">INDEX(postDEL!$A$2:$AL799,$O236,38)</f>
        <v/>
      </c>
      <c r="M236" s="219" t="str">
        <f t="array" ref="M236">INDEX(postDEL!$A$2:$AL799,$O236,15)</f>
        <v/>
      </c>
      <c r="N236" s="110">
        <f>COUNTIF(postDEL!$A$2:$A799,A236)</f>
        <v>1</v>
      </c>
      <c r="O236" s="19">
        <f>MATCH(A236,postDEL!A$2:A799,0)</f>
        <v>235</v>
      </c>
      <c r="P236" s="10" t="b">
        <f t="shared" si="1"/>
        <v>1</v>
      </c>
      <c r="Q236" s="220">
        <f t="shared" si="2"/>
        <v>1</v>
      </c>
      <c r="R236" s="5"/>
    </row>
    <row r="237">
      <c r="A237" s="221" t="s">
        <v>950</v>
      </c>
      <c r="B237" s="217">
        <f t="array" ref="B237">INDEX(postDEL!$A$2:$P799,$O237,2)</f>
        <v>44582</v>
      </c>
      <c r="C237" s="218">
        <f t="array" ref="C237">INDEX(postDEL!$A$2:$P799,$O237,3)</f>
        <v>0.268287037</v>
      </c>
      <c r="D237" s="219" t="str">
        <f t="array" ref="D237">INDEX(postDEL!$A$2:$AN799,$O237,39)</f>
        <v>SpBEND548976</v>
      </c>
      <c r="E237" s="219" t="str">
        <f t="array" ref="E237">INDEX(postDEL!$A$2:$P799,$O237,4)</f>
        <v/>
      </c>
      <c r="F237" s="219" t="str">
        <f t="array" ref="F237">INDEX(postDEL!$A$2:$P799,$O237,5)</f>
        <v/>
      </c>
      <c r="G237" s="219" t="str">
        <f t="array" ref="G237">INDEX(postDEL!$A$2:$P799,$O237,11)</f>
        <v>Negative</v>
      </c>
      <c r="H237" s="219" t="str">
        <f t="array" ref="H237">INDEX(postDEL!$A$2:$AL799,$O237,37)</f>
        <v>Negative</v>
      </c>
      <c r="I237" s="217">
        <f t="array" ref="I237">INDEX(postDEL!$A$2:$AL799,$O237,12)</f>
        <v>44582</v>
      </c>
      <c r="J237" s="218">
        <f t="array" ref="J237">INDEX(postDEL!$A$2:$AL799,$O237,13)</f>
        <v>0.4883912037</v>
      </c>
      <c r="K237" s="219" t="str">
        <f t="array" ref="K237">INDEX(postDEL!$A$2:$AL799,$O237,36)</f>
        <v/>
      </c>
      <c r="L237" s="219" t="str">
        <f t="array" ref="L237">INDEX(postDEL!$A$2:$AL799,$O237,38)</f>
        <v/>
      </c>
      <c r="M237" s="219" t="str">
        <f t="array" ref="M237">INDEX(postDEL!$A$2:$AL799,$O237,15)</f>
        <v/>
      </c>
      <c r="N237" s="110">
        <f>COUNTIF(postDEL!$A$2:$A799,A237)</f>
        <v>1</v>
      </c>
      <c r="O237" s="19">
        <f>MATCH(A237,postDEL!A$2:A799,0)</f>
        <v>236</v>
      </c>
      <c r="P237" s="10" t="b">
        <f t="shared" si="1"/>
        <v>1</v>
      </c>
      <c r="Q237" s="220">
        <f t="shared" si="2"/>
        <v>0</v>
      </c>
      <c r="R237" s="5"/>
    </row>
    <row r="238">
      <c r="A238" s="221" t="s">
        <v>952</v>
      </c>
      <c r="B238" s="217">
        <f t="array" ref="B238">INDEX(postDEL!$A$2:$P799,$O238,2)</f>
        <v>44582</v>
      </c>
      <c r="C238" s="218">
        <f t="array" ref="C238">INDEX(postDEL!$A$2:$P799,$O238,3)</f>
        <v>0.2847453704</v>
      </c>
      <c r="D238" s="219" t="str">
        <f t="array" ref="D238">INDEX(postDEL!$A$2:$AN799,$O238,39)</f>
        <v>SpBEND845568</v>
      </c>
      <c r="E238" s="219" t="str">
        <f t="array" ref="E238">INDEX(postDEL!$A$2:$P799,$O238,4)</f>
        <v/>
      </c>
      <c r="F238" s="219" t="str">
        <f t="array" ref="F238">INDEX(postDEL!$A$2:$P799,$O238,5)</f>
        <v/>
      </c>
      <c r="G238" s="219" t="str">
        <f t="array" ref="G238">INDEX(postDEL!$A$2:$P799,$O238,11)</f>
        <v>Positive</v>
      </c>
      <c r="H238" s="219" t="str">
        <f t="array" ref="H238">INDEX(postDEL!$A$2:$AL799,$O238,37)</f>
        <v>Positive</v>
      </c>
      <c r="I238" s="217">
        <f t="array" ref="I238">INDEX(postDEL!$A$2:$AL799,$O238,12)</f>
        <v>44582</v>
      </c>
      <c r="J238" s="218">
        <f t="array" ref="J238">INDEX(postDEL!$A$2:$AL799,$O238,13)</f>
        <v>0.4884027778</v>
      </c>
      <c r="K238" s="219" t="str">
        <f t="array" ref="K238">INDEX(postDEL!$A$2:$AL799,$O238,36)</f>
        <v/>
      </c>
      <c r="L238" s="219" t="str">
        <f t="array" ref="L238">INDEX(postDEL!$A$2:$AL799,$O238,38)</f>
        <v/>
      </c>
      <c r="M238" s="219" t="str">
        <f t="array" ref="M238">INDEX(postDEL!$A$2:$AL799,$O238,15)</f>
        <v/>
      </c>
      <c r="N238" s="110">
        <f>COUNTIF(postDEL!$A$2:$A799,A238)</f>
        <v>1</v>
      </c>
      <c r="O238" s="19">
        <f>MATCH(A238,postDEL!A$2:A799,0)</f>
        <v>237</v>
      </c>
      <c r="P238" s="10" t="str">
        <f t="shared" si="1"/>
        <v/>
      </c>
      <c r="Q238" s="220">
        <f t="shared" si="2"/>
        <v>0</v>
      </c>
      <c r="R238" s="5"/>
    </row>
    <row r="239">
      <c r="A239" s="221" t="s">
        <v>954</v>
      </c>
      <c r="B239" s="217">
        <f t="array" ref="B239">INDEX(postDEL!$A$2:$P799,$O239,2)</f>
        <v>44582</v>
      </c>
      <c r="C239" s="218">
        <f t="array" ref="C239">INDEX(postDEL!$A$2:$P799,$O239,3)</f>
        <v>0.2869328704</v>
      </c>
      <c r="D239" s="219" t="str">
        <f t="array" ref="D239">INDEX(postDEL!$A$2:$AN799,$O239,39)</f>
        <v>SpBEND845568</v>
      </c>
      <c r="E239" s="219" t="str">
        <f t="array" ref="E239">INDEX(postDEL!$A$2:$P799,$O239,4)</f>
        <v/>
      </c>
      <c r="F239" s="219" t="str">
        <f t="array" ref="F239">INDEX(postDEL!$A$2:$P799,$O239,5)</f>
        <v/>
      </c>
      <c r="G239" s="219" t="str">
        <f t="array" ref="G239">INDEX(postDEL!$A$2:$P799,$O239,11)</f>
        <v>Positive</v>
      </c>
      <c r="H239" s="219" t="str">
        <f t="array" ref="H239">INDEX(postDEL!$A$2:$AL799,$O239,37)</f>
        <v>Positive</v>
      </c>
      <c r="I239" s="217">
        <f t="array" ref="I239">INDEX(postDEL!$A$2:$AL799,$O239,12)</f>
        <v>44582</v>
      </c>
      <c r="J239" s="218">
        <f t="array" ref="J239">INDEX(postDEL!$A$2:$AL799,$O239,13)</f>
        <v>0.4884027778</v>
      </c>
      <c r="K239" s="219" t="str">
        <f t="array" ref="K239">INDEX(postDEL!$A$2:$AL799,$O239,36)</f>
        <v/>
      </c>
      <c r="L239" s="219" t="str">
        <f t="array" ref="L239">INDEX(postDEL!$A$2:$AL799,$O239,38)</f>
        <v/>
      </c>
      <c r="M239" s="219" t="str">
        <f t="array" ref="M239">INDEX(postDEL!$A$2:$AL799,$O239,15)</f>
        <v/>
      </c>
      <c r="N239" s="110">
        <f>COUNTIF(postDEL!$A$2:$A799,A239)</f>
        <v>1</v>
      </c>
      <c r="O239" s="19">
        <f>MATCH(A239,postDEL!A$2:A799,0)</f>
        <v>238</v>
      </c>
      <c r="P239" s="10" t="str">
        <f t="shared" si="1"/>
        <v/>
      </c>
      <c r="Q239" s="220">
        <f t="shared" si="2"/>
        <v>0</v>
      </c>
      <c r="R239" s="5"/>
    </row>
    <row r="240">
      <c r="A240" s="221" t="s">
        <v>957</v>
      </c>
      <c r="B240" s="217">
        <f t="array" ref="B240">INDEX(postDEL!$A$2:$P799,$O240,2)</f>
        <v>44582</v>
      </c>
      <c r="C240" s="218">
        <f t="array" ref="C240">INDEX(postDEL!$A$2:$P799,$O240,3)</f>
        <v>0.3130092593</v>
      </c>
      <c r="D240" s="219" t="str">
        <f t="array" ref="D240">INDEX(postDEL!$A$2:$AN799,$O240,39)</f>
        <v>SpBEND985296</v>
      </c>
      <c r="E240" s="219" t="str">
        <f t="array" ref="E240">INDEX(postDEL!$A$2:$P799,$O240,4)</f>
        <v/>
      </c>
      <c r="F240" s="219" t="str">
        <f t="array" ref="F240">INDEX(postDEL!$A$2:$P799,$O240,5)</f>
        <v/>
      </c>
      <c r="G240" s="219" t="str">
        <f t="array" ref="G240">INDEX(postDEL!$A$2:$P799,$O240,11)</f>
        <v>Negative</v>
      </c>
      <c r="H240" s="219" t="str">
        <f t="array" ref="H240">INDEX(postDEL!$A$2:$AL799,$O240,37)</f>
        <v>Negative</v>
      </c>
      <c r="I240" s="217">
        <f t="array" ref="I240">INDEX(postDEL!$A$2:$AL799,$O240,12)</f>
        <v>44582</v>
      </c>
      <c r="J240" s="218">
        <f t="array" ref="J240">INDEX(postDEL!$A$2:$AL799,$O240,13)</f>
        <v>0.4883912037</v>
      </c>
      <c r="K240" s="219" t="str">
        <f t="array" ref="K240">INDEX(postDEL!$A$2:$AL799,$O240,36)</f>
        <v/>
      </c>
      <c r="L240" s="219" t="str">
        <f t="array" ref="L240">INDEX(postDEL!$A$2:$AL799,$O240,38)</f>
        <v/>
      </c>
      <c r="M240" s="219" t="str">
        <f t="array" ref="M240">INDEX(postDEL!$A$2:$AL799,$O240,15)</f>
        <v/>
      </c>
      <c r="N240" s="110">
        <f>COUNTIF(postDEL!$A$2:$A799,A240)</f>
        <v>1</v>
      </c>
      <c r="O240" s="19">
        <f>MATCH(A240,postDEL!A$2:A799,0)</f>
        <v>239</v>
      </c>
      <c r="P240" s="10" t="str">
        <f t="shared" si="1"/>
        <v/>
      </c>
      <c r="Q240" s="220">
        <f t="shared" si="2"/>
        <v>0</v>
      </c>
      <c r="R240" s="5"/>
    </row>
    <row r="241">
      <c r="A241" s="221" t="s">
        <v>959</v>
      </c>
      <c r="B241" s="217">
        <f t="array" ref="B241">INDEX(postDEL!$A$2:$P799,$O241,2)</f>
        <v>44582</v>
      </c>
      <c r="C241" s="218">
        <f t="array" ref="C241">INDEX(postDEL!$A$2:$P799,$O241,3)</f>
        <v>0.3404861111</v>
      </c>
      <c r="D241" s="219" t="str">
        <f t="array" ref="D241">INDEX(postDEL!$A$2:$AN799,$O241,39)</f>
        <v>SpBEND551372</v>
      </c>
      <c r="E241" s="219" t="str">
        <f t="array" ref="E241">INDEX(postDEL!$A$2:$P799,$O241,4)</f>
        <v/>
      </c>
      <c r="F241" s="219" t="str">
        <f t="array" ref="F241">INDEX(postDEL!$A$2:$P799,$O241,5)</f>
        <v/>
      </c>
      <c r="G241" s="219" t="str">
        <f t="array" ref="G241">INDEX(postDEL!$A$2:$P799,$O241,11)</f>
        <v>Negative</v>
      </c>
      <c r="H241" s="219" t="str">
        <f t="array" ref="H241">INDEX(postDEL!$A$2:$AL799,$O241,37)</f>
        <v>Negative</v>
      </c>
      <c r="I241" s="217">
        <f t="array" ref="I241">INDEX(postDEL!$A$2:$AL799,$O241,12)</f>
        <v>44582</v>
      </c>
      <c r="J241" s="218">
        <f t="array" ref="J241">INDEX(postDEL!$A$2:$AL799,$O241,13)</f>
        <v>0.4883912037</v>
      </c>
      <c r="K241" s="219" t="str">
        <f t="array" ref="K241">INDEX(postDEL!$A$2:$AL799,$O241,36)</f>
        <v/>
      </c>
      <c r="L241" s="219" t="str">
        <f t="array" ref="L241">INDEX(postDEL!$A$2:$AL799,$O241,38)</f>
        <v/>
      </c>
      <c r="M241" s="219" t="str">
        <f t="array" ref="M241">INDEX(postDEL!$A$2:$AL799,$O241,15)</f>
        <v/>
      </c>
      <c r="N241" s="110">
        <f>COUNTIF(postDEL!$A$2:$A799,A241)</f>
        <v>1</v>
      </c>
      <c r="O241" s="19">
        <f>MATCH(A241,postDEL!A$2:A799,0)</f>
        <v>240</v>
      </c>
      <c r="P241" s="10" t="str">
        <f t="shared" si="1"/>
        <v/>
      </c>
      <c r="Q241" s="220">
        <f t="shared" si="2"/>
        <v>0</v>
      </c>
      <c r="R241" s="5"/>
    </row>
    <row r="242">
      <c r="A242" s="221" t="s">
        <v>962</v>
      </c>
      <c r="B242" s="217">
        <f t="array" ref="B242">INDEX(postDEL!$A$2:$P799,$O242,2)</f>
        <v>44582</v>
      </c>
      <c r="C242" s="218">
        <f t="array" ref="C242">INDEX(postDEL!$A$2:$P799,$O242,3)</f>
        <v>0.341400463</v>
      </c>
      <c r="D242" s="219" t="str">
        <f t="array" ref="D242">INDEX(postDEL!$A$2:$AN799,$O242,39)</f>
        <v>SpBEND551372</v>
      </c>
      <c r="E242" s="219" t="str">
        <f t="array" ref="E242">INDEX(postDEL!$A$2:$P799,$O242,4)</f>
        <v/>
      </c>
      <c r="F242" s="219" t="str">
        <f t="array" ref="F242">INDEX(postDEL!$A$2:$P799,$O242,5)</f>
        <v/>
      </c>
      <c r="G242" s="219" t="str">
        <f t="array" ref="G242">INDEX(postDEL!$A$2:$P799,$O242,11)</f>
        <v>Negative</v>
      </c>
      <c r="H242" s="219" t="str">
        <f t="array" ref="H242">INDEX(postDEL!$A$2:$AL799,$O242,37)</f>
        <v>Negative</v>
      </c>
      <c r="I242" s="217">
        <f t="array" ref="I242">INDEX(postDEL!$A$2:$AL799,$O242,12)</f>
        <v>44582</v>
      </c>
      <c r="J242" s="218">
        <f t="array" ref="J242">INDEX(postDEL!$A$2:$AL799,$O242,13)</f>
        <v>0.4884027778</v>
      </c>
      <c r="K242" s="219" t="str">
        <f t="array" ref="K242">INDEX(postDEL!$A$2:$AL799,$O242,36)</f>
        <v/>
      </c>
      <c r="L242" s="219" t="str">
        <f t="array" ref="L242">INDEX(postDEL!$A$2:$AL799,$O242,38)</f>
        <v/>
      </c>
      <c r="M242" s="219" t="str">
        <f t="array" ref="M242">INDEX(postDEL!$A$2:$AL799,$O242,15)</f>
        <v/>
      </c>
      <c r="N242" s="110">
        <f>COUNTIF(postDEL!$A$2:$A799,A242)</f>
        <v>1</v>
      </c>
      <c r="O242" s="19">
        <f>MATCH(A242,postDEL!A$2:A799,0)</f>
        <v>241</v>
      </c>
      <c r="P242" s="10" t="str">
        <f t="shared" si="1"/>
        <v/>
      </c>
      <c r="Q242" s="220">
        <f t="shared" si="2"/>
        <v>0</v>
      </c>
      <c r="R242" s="5"/>
    </row>
    <row r="243">
      <c r="A243" s="221" t="s">
        <v>964</v>
      </c>
      <c r="B243" s="217">
        <f t="array" ref="B243">INDEX(postDEL!$A$2:$P799,$O243,2)</f>
        <v>44582</v>
      </c>
      <c r="C243" s="218">
        <f t="array" ref="C243">INDEX(postDEL!$A$2:$P799,$O243,3)</f>
        <v>0.3501967593</v>
      </c>
      <c r="D243" s="219" t="str">
        <f t="array" ref="D243">INDEX(postDEL!$A$2:$AN799,$O243,39)</f>
        <v>SpBEND721986</v>
      </c>
      <c r="E243" s="219" t="str">
        <f t="array" ref="E243">INDEX(postDEL!$A$2:$P799,$O243,4)</f>
        <v/>
      </c>
      <c r="F243" s="219" t="str">
        <f t="array" ref="F243">INDEX(postDEL!$A$2:$P799,$O243,5)</f>
        <v/>
      </c>
      <c r="G243" s="219" t="str">
        <f t="array" ref="G243">INDEX(postDEL!$A$2:$P799,$O243,11)</f>
        <v>Negative</v>
      </c>
      <c r="H243" s="219" t="str">
        <f t="array" ref="H243">INDEX(postDEL!$A$2:$AL799,$O243,37)</f>
        <v>Negative</v>
      </c>
      <c r="I243" s="217">
        <f t="array" ref="I243">INDEX(postDEL!$A$2:$AL799,$O243,12)</f>
        <v>44582</v>
      </c>
      <c r="J243" s="218">
        <f t="array" ref="J243">INDEX(postDEL!$A$2:$AL799,$O243,13)</f>
        <v>0.4884027778</v>
      </c>
      <c r="K243" s="219" t="str">
        <f t="array" ref="K243">INDEX(postDEL!$A$2:$AL799,$O243,36)</f>
        <v/>
      </c>
      <c r="L243" s="219" t="str">
        <f t="array" ref="L243">INDEX(postDEL!$A$2:$AL799,$O243,38)</f>
        <v/>
      </c>
      <c r="M243" s="219" t="str">
        <f t="array" ref="M243">INDEX(postDEL!$A$2:$AL799,$O243,15)</f>
        <v/>
      </c>
      <c r="N243" s="110">
        <f>COUNTIF(postDEL!$A$2:$A799,A243)</f>
        <v>1</v>
      </c>
      <c r="O243" s="19">
        <f>MATCH(A243,postDEL!A$2:A799,0)</f>
        <v>242</v>
      </c>
      <c r="P243" s="10" t="str">
        <f t="shared" si="1"/>
        <v/>
      </c>
      <c r="Q243" s="220">
        <f t="shared" si="2"/>
        <v>0</v>
      </c>
      <c r="R243" s="5"/>
    </row>
    <row r="244">
      <c r="A244" s="221" t="s">
        <v>966</v>
      </c>
      <c r="B244" s="217">
        <f t="array" ref="B244">INDEX(postDEL!$A$2:$P799,$O244,2)</f>
        <v>44582</v>
      </c>
      <c r="C244" s="218">
        <f t="array" ref="C244">INDEX(postDEL!$A$2:$P799,$O244,3)</f>
        <v>0.3508796296</v>
      </c>
      <c r="D244" s="219" t="str">
        <f t="array" ref="D244">INDEX(postDEL!$A$2:$AN799,$O244,39)</f>
        <v>SpBEND587584</v>
      </c>
      <c r="E244" s="219" t="str">
        <f t="array" ref="E244">INDEX(postDEL!$A$2:$P799,$O244,4)</f>
        <v/>
      </c>
      <c r="F244" s="219" t="str">
        <f t="array" ref="F244">INDEX(postDEL!$A$2:$P799,$O244,5)</f>
        <v/>
      </c>
      <c r="G244" s="219" t="str">
        <f t="array" ref="G244">INDEX(postDEL!$A$2:$P799,$O244,11)</f>
        <v>Negative</v>
      </c>
      <c r="H244" s="219" t="str">
        <f t="array" ref="H244">INDEX(postDEL!$A$2:$AL799,$O244,37)</f>
        <v>Negative</v>
      </c>
      <c r="I244" s="217">
        <f t="array" ref="I244">INDEX(postDEL!$A$2:$AL799,$O244,12)</f>
        <v>44582</v>
      </c>
      <c r="J244" s="218">
        <f t="array" ref="J244">INDEX(postDEL!$A$2:$AL799,$O244,13)</f>
        <v>0.4884027778</v>
      </c>
      <c r="K244" s="219" t="str">
        <f t="array" ref="K244">INDEX(postDEL!$A$2:$AL799,$O244,36)</f>
        <v/>
      </c>
      <c r="L244" s="219" t="str">
        <f t="array" ref="L244">INDEX(postDEL!$A$2:$AL799,$O244,38)</f>
        <v/>
      </c>
      <c r="M244" s="219" t="str">
        <f t="array" ref="M244">INDEX(postDEL!$A$2:$AL799,$O244,15)</f>
        <v/>
      </c>
      <c r="N244" s="110">
        <f>COUNTIF(postDEL!$A$2:$A799,A244)</f>
        <v>1</v>
      </c>
      <c r="O244" s="19">
        <f>MATCH(A244,postDEL!A$2:A799,0)</f>
        <v>243</v>
      </c>
      <c r="P244" s="10" t="str">
        <f t="shared" si="1"/>
        <v/>
      </c>
      <c r="Q244" s="220">
        <f t="shared" si="2"/>
        <v>0</v>
      </c>
      <c r="R244" s="5"/>
    </row>
    <row r="245">
      <c r="A245" s="221" t="s">
        <v>968</v>
      </c>
      <c r="B245" s="217">
        <f t="array" ref="B245">INDEX(postDEL!$A$2:$P799,$O245,2)</f>
        <v>44582</v>
      </c>
      <c r="C245" s="218">
        <f t="array" ref="C245">INDEX(postDEL!$A$2:$P799,$O245,3)</f>
        <v>0.3514351852</v>
      </c>
      <c r="D245" s="219" t="str">
        <f t="array" ref="D245">INDEX(postDEL!$A$2:$AN799,$O245,39)</f>
        <v>SpBEND385421</v>
      </c>
      <c r="E245" s="219" t="str">
        <f t="array" ref="E245">INDEX(postDEL!$A$2:$P799,$O245,4)</f>
        <v/>
      </c>
      <c r="F245" s="219" t="str">
        <f t="array" ref="F245">INDEX(postDEL!$A$2:$P799,$O245,5)</f>
        <v/>
      </c>
      <c r="G245" s="219" t="str">
        <f t="array" ref="G245">INDEX(postDEL!$A$2:$P799,$O245,11)</f>
        <v>Negative</v>
      </c>
      <c r="H245" s="219" t="str">
        <f t="array" ref="H245">INDEX(postDEL!$A$2:$AL799,$O245,37)</f>
        <v>Negative</v>
      </c>
      <c r="I245" s="217">
        <f t="array" ref="I245">INDEX(postDEL!$A$2:$AL799,$O245,12)</f>
        <v>44582</v>
      </c>
      <c r="J245" s="218">
        <f t="array" ref="J245">INDEX(postDEL!$A$2:$AL799,$O245,13)</f>
        <v>0.4884027778</v>
      </c>
      <c r="K245" s="219" t="str">
        <f t="array" ref="K245">INDEX(postDEL!$A$2:$AL799,$O245,36)</f>
        <v/>
      </c>
      <c r="L245" s="219" t="str">
        <f t="array" ref="L245">INDEX(postDEL!$A$2:$AL799,$O245,38)</f>
        <v/>
      </c>
      <c r="M245" s="219" t="str">
        <f t="array" ref="M245">INDEX(postDEL!$A$2:$AL799,$O245,15)</f>
        <v/>
      </c>
      <c r="N245" s="110">
        <f>COUNTIF(postDEL!$A$2:$A799,A245)</f>
        <v>1</v>
      </c>
      <c r="O245" s="19">
        <f>MATCH(A245,postDEL!A$2:A799,0)</f>
        <v>244</v>
      </c>
      <c r="P245" s="10" t="str">
        <f t="shared" si="1"/>
        <v/>
      </c>
      <c r="Q245" s="220">
        <f t="shared" si="2"/>
        <v>0</v>
      </c>
      <c r="R245" s="5"/>
    </row>
    <row r="246">
      <c r="A246" s="221" t="s">
        <v>970</v>
      </c>
      <c r="B246" s="217">
        <f t="array" ref="B246">INDEX(postDEL!$A$2:$P799,$O246,2)</f>
        <v>44582</v>
      </c>
      <c r="C246" s="218">
        <f t="array" ref="C246">INDEX(postDEL!$A$2:$P799,$O246,3)</f>
        <v>0.3526388889</v>
      </c>
      <c r="D246" s="219" t="str">
        <f t="array" ref="D246">INDEX(postDEL!$A$2:$AN799,$O246,39)</f>
        <v>SpBEND708976</v>
      </c>
      <c r="E246" s="219" t="str">
        <f t="array" ref="E246">INDEX(postDEL!$A$2:$P799,$O246,4)</f>
        <v/>
      </c>
      <c r="F246" s="219" t="str">
        <f t="array" ref="F246">INDEX(postDEL!$A$2:$P799,$O246,5)</f>
        <v/>
      </c>
      <c r="G246" s="219" t="str">
        <f t="array" ref="G246">INDEX(postDEL!$A$2:$P799,$O246,11)</f>
        <v>Positive</v>
      </c>
      <c r="H246" s="219" t="str">
        <f t="array" ref="H246">INDEX(postDEL!$A$2:$AL799,$O246,37)</f>
        <v>Positive</v>
      </c>
      <c r="I246" s="217">
        <f t="array" ref="I246">INDEX(postDEL!$A$2:$AL799,$O246,12)</f>
        <v>44582</v>
      </c>
      <c r="J246" s="218">
        <f t="array" ref="J246">INDEX(postDEL!$A$2:$AL799,$O246,13)</f>
        <v>0.4884027778</v>
      </c>
      <c r="K246" s="219" t="str">
        <f t="array" ref="K246">INDEX(postDEL!$A$2:$AL799,$O246,36)</f>
        <v/>
      </c>
      <c r="L246" s="219" t="str">
        <f t="array" ref="L246">INDEX(postDEL!$A$2:$AL799,$O246,38)</f>
        <v/>
      </c>
      <c r="M246" s="219" t="str">
        <f t="array" ref="M246">INDEX(postDEL!$A$2:$AL799,$O246,15)</f>
        <v/>
      </c>
      <c r="N246" s="110">
        <f>COUNTIF(postDEL!$A$2:$A799,A246)</f>
        <v>1</v>
      </c>
      <c r="O246" s="19">
        <f>MATCH(A246,postDEL!A$2:A799,0)</f>
        <v>245</v>
      </c>
      <c r="P246" s="10" t="str">
        <f t="shared" si="1"/>
        <v/>
      </c>
      <c r="Q246" s="220">
        <f t="shared" si="2"/>
        <v>0</v>
      </c>
      <c r="R246" s="5"/>
    </row>
    <row r="247">
      <c r="A247" s="221" t="s">
        <v>972</v>
      </c>
      <c r="B247" s="217">
        <f t="array" ref="B247">INDEX(postDEL!$A$2:$P799,$O247,2)</f>
        <v>44582</v>
      </c>
      <c r="C247" s="218">
        <f t="array" ref="C247">INDEX(postDEL!$A$2:$P799,$O247,3)</f>
        <v>0.3903819444</v>
      </c>
      <c r="D247" s="219" t="str">
        <f t="array" ref="D247">INDEX(postDEL!$A$2:$AN799,$O247,39)</f>
        <v>SpBEND394154</v>
      </c>
      <c r="E247" s="219" t="str">
        <f t="array" ref="E247">INDEX(postDEL!$A$2:$P799,$O247,4)</f>
        <v/>
      </c>
      <c r="F247" s="219" t="str">
        <f t="array" ref="F247">INDEX(postDEL!$A$2:$P799,$O247,5)</f>
        <v/>
      </c>
      <c r="G247" s="219" t="str">
        <f t="array" ref="G247">INDEX(postDEL!$A$2:$P799,$O247,11)</f>
        <v>Positive</v>
      </c>
      <c r="H247" s="219" t="str">
        <f t="array" ref="H247">INDEX(postDEL!$A$2:$AL799,$O247,37)</f>
        <v>Positive</v>
      </c>
      <c r="I247" s="217">
        <f t="array" ref="I247">INDEX(postDEL!$A$2:$AL799,$O247,12)</f>
        <v>44582</v>
      </c>
      <c r="J247" s="218">
        <f t="array" ref="J247">INDEX(postDEL!$A$2:$AL799,$O247,13)</f>
        <v>0.4884027778</v>
      </c>
      <c r="K247" s="219" t="str">
        <f t="array" ref="K247">INDEX(postDEL!$A$2:$AL799,$O247,36)</f>
        <v/>
      </c>
      <c r="L247" s="219" t="str">
        <f t="array" ref="L247">INDEX(postDEL!$A$2:$AL799,$O247,38)</f>
        <v/>
      </c>
      <c r="M247" s="219" t="str">
        <f t="array" ref="M247">INDEX(postDEL!$A$2:$AL799,$O247,15)</f>
        <v/>
      </c>
      <c r="N247" s="110">
        <f>COUNTIF(postDEL!$A$2:$A799,A247)</f>
        <v>1</v>
      </c>
      <c r="O247" s="19">
        <f>MATCH(A247,postDEL!A$2:A799,0)</f>
        <v>246</v>
      </c>
      <c r="P247" s="10" t="str">
        <f t="shared" si="1"/>
        <v/>
      </c>
      <c r="Q247" s="220">
        <f t="shared" si="2"/>
        <v>0</v>
      </c>
      <c r="R247" s="5"/>
    </row>
    <row r="248">
      <c r="A248" s="221" t="s">
        <v>975</v>
      </c>
      <c r="B248" s="217">
        <f t="array" ref="B248">INDEX(postDEL!$A$2:$P799,$O248,2)</f>
        <v>44582</v>
      </c>
      <c r="C248" s="218">
        <f t="array" ref="C248">INDEX(postDEL!$A$2:$P799,$O248,3)</f>
        <v>0.3910185185</v>
      </c>
      <c r="D248" s="219" t="str">
        <f t="array" ref="D248">INDEX(postDEL!$A$2:$AN799,$O248,39)</f>
        <v>SpBEND394154</v>
      </c>
      <c r="E248" s="219" t="str">
        <f t="array" ref="E248">INDEX(postDEL!$A$2:$P799,$O248,4)</f>
        <v/>
      </c>
      <c r="F248" s="219" t="str">
        <f t="array" ref="F248">INDEX(postDEL!$A$2:$P799,$O248,5)</f>
        <v/>
      </c>
      <c r="G248" s="219" t="str">
        <f t="array" ref="G248">INDEX(postDEL!$A$2:$P799,$O248,11)</f>
        <v>Positive</v>
      </c>
      <c r="H248" s="219" t="str">
        <f t="array" ref="H248">INDEX(postDEL!$A$2:$AL799,$O248,37)</f>
        <v>Positive</v>
      </c>
      <c r="I248" s="217">
        <f t="array" ref="I248">INDEX(postDEL!$A$2:$AL799,$O248,12)</f>
        <v>44582</v>
      </c>
      <c r="J248" s="218">
        <f t="array" ref="J248">INDEX(postDEL!$A$2:$AL799,$O248,13)</f>
        <v>0.4884027778</v>
      </c>
      <c r="K248" s="219" t="str">
        <f t="array" ref="K248">INDEX(postDEL!$A$2:$AL799,$O248,36)</f>
        <v/>
      </c>
      <c r="L248" s="219" t="str">
        <f t="array" ref="L248">INDEX(postDEL!$A$2:$AL799,$O248,38)</f>
        <v/>
      </c>
      <c r="M248" s="219" t="str">
        <f t="array" ref="M248">INDEX(postDEL!$A$2:$AL799,$O248,15)</f>
        <v/>
      </c>
      <c r="N248" s="110">
        <f>COUNTIF(postDEL!$A$2:$A799,A248)</f>
        <v>1</v>
      </c>
      <c r="O248" s="19">
        <f>MATCH(A248,postDEL!A$2:A799,0)</f>
        <v>247</v>
      </c>
      <c r="P248" s="10" t="str">
        <f t="shared" si="1"/>
        <v/>
      </c>
      <c r="Q248" s="220">
        <f t="shared" si="2"/>
        <v>0</v>
      </c>
      <c r="R248" s="5"/>
    </row>
    <row r="249">
      <c r="A249" s="221" t="s">
        <v>978</v>
      </c>
      <c r="B249" s="217">
        <f t="array" ref="B249">INDEX(postDEL!$A$2:$P799,$O249,2)</f>
        <v>44582</v>
      </c>
      <c r="C249" s="218">
        <f t="array" ref="C249">INDEX(postDEL!$A$2:$P799,$O249,3)</f>
        <v>0.3910185185</v>
      </c>
      <c r="D249" s="219" t="str">
        <f t="array" ref="D249">INDEX(postDEL!$A$2:$AN799,$O249,39)</f>
        <v>SpBEND394154</v>
      </c>
      <c r="E249" s="219" t="str">
        <f t="array" ref="E249">INDEX(postDEL!$A$2:$P799,$O249,4)</f>
        <v/>
      </c>
      <c r="F249" s="219" t="str">
        <f t="array" ref="F249">INDEX(postDEL!$A$2:$P799,$O249,5)</f>
        <v/>
      </c>
      <c r="G249" s="219" t="str">
        <f t="array" ref="G249">INDEX(postDEL!$A$2:$P799,$O249,11)</f>
        <v>Positive</v>
      </c>
      <c r="H249" s="219" t="str">
        <f t="array" ref="H249">INDEX(postDEL!$A$2:$AL799,$O249,37)</f>
        <v>Positive</v>
      </c>
      <c r="I249" s="217">
        <f t="array" ref="I249">INDEX(postDEL!$A$2:$AL799,$O249,12)</f>
        <v>44582</v>
      </c>
      <c r="J249" s="218">
        <f t="array" ref="J249">INDEX(postDEL!$A$2:$AL799,$O249,13)</f>
        <v>0.4884027778</v>
      </c>
      <c r="K249" s="219" t="str">
        <f t="array" ref="K249">INDEX(postDEL!$A$2:$AL799,$O249,36)</f>
        <v/>
      </c>
      <c r="L249" s="219" t="str">
        <f t="array" ref="L249">INDEX(postDEL!$A$2:$AL799,$O249,38)</f>
        <v>Duplicate Tube ID has been split into a separate tube but this may be a pure duplication - it is a positive Tube, so we need to give this close scrutiny.  Typically if the Participants in a duplicate Tube ID don't appear in any other tube that day, the Tube is assumed to be a different Tube and assigned an "x" (correction code 1.3).  But this typically does not happen with a Positive Tube.</v>
      </c>
      <c r="M249" s="219" t="str">
        <f t="array" ref="M249">INDEX(postDEL!$A$2:$AL799,$O249,15)</f>
        <v/>
      </c>
      <c r="N249" s="110">
        <f>COUNTIF(postDEL!$A$2:$A799,A249)</f>
        <v>1</v>
      </c>
      <c r="O249" s="19">
        <f>MATCH(A249,postDEL!A$2:A799,0)</f>
        <v>248</v>
      </c>
      <c r="P249" s="10" t="str">
        <f t="shared" si="1"/>
        <v/>
      </c>
      <c r="Q249" s="220">
        <f t="shared" si="2"/>
        <v>0</v>
      </c>
      <c r="R249" s="5"/>
    </row>
    <row r="250">
      <c r="A250" s="221" t="s">
        <v>981</v>
      </c>
      <c r="B250" s="217">
        <f t="array" ref="B250">INDEX(postDEL!$A$2:$P799,$O250,2)</f>
        <v>44582</v>
      </c>
      <c r="C250" s="218">
        <f t="array" ref="C250">INDEX(postDEL!$A$2:$P799,$O250,3)</f>
        <v>0.3978009259</v>
      </c>
      <c r="D250" s="219" t="str">
        <f t="array" ref="D250">INDEX(postDEL!$A$2:$AN799,$O250,39)</f>
        <v>SpBEND980783</v>
      </c>
      <c r="E250" s="219" t="str">
        <f t="array" ref="E250">INDEX(postDEL!$A$2:$P799,$O250,4)</f>
        <v/>
      </c>
      <c r="F250" s="219" t="str">
        <f t="array" ref="F250">INDEX(postDEL!$A$2:$P799,$O250,5)</f>
        <v/>
      </c>
      <c r="G250" s="219" t="str">
        <f t="array" ref="G250">INDEX(postDEL!$A$2:$P799,$O250,11)</f>
        <v>Positive</v>
      </c>
      <c r="H250" s="219" t="str">
        <f t="array" ref="H250">INDEX(postDEL!$A$2:$AL799,$O250,37)</f>
        <v>Positive</v>
      </c>
      <c r="I250" s="217">
        <f t="array" ref="I250">INDEX(postDEL!$A$2:$AL799,$O250,12)</f>
        <v>44582</v>
      </c>
      <c r="J250" s="218">
        <f t="array" ref="J250">INDEX(postDEL!$A$2:$AL799,$O250,13)</f>
        <v>0.4884027778</v>
      </c>
      <c r="K250" s="219" t="str">
        <f t="array" ref="K250">INDEX(postDEL!$A$2:$AL799,$O250,36)</f>
        <v/>
      </c>
      <c r="L250" s="219" t="str">
        <f t="array" ref="L250">INDEX(postDEL!$A$2:$AL799,$O250,38)</f>
        <v/>
      </c>
      <c r="M250" s="219" t="str">
        <f t="array" ref="M250">INDEX(postDEL!$A$2:$AL799,$O250,15)</f>
        <v/>
      </c>
      <c r="N250" s="110">
        <f>COUNTIF(postDEL!$A$2:$A799,A250)</f>
        <v>1</v>
      </c>
      <c r="O250" s="19">
        <f>MATCH(A250,postDEL!A$2:A799,0)</f>
        <v>249</v>
      </c>
      <c r="P250" s="10" t="str">
        <f t="shared" si="1"/>
        <v/>
      </c>
      <c r="Q250" s="220">
        <f t="shared" si="2"/>
        <v>0</v>
      </c>
      <c r="R250" s="5"/>
    </row>
    <row r="251">
      <c r="A251" s="221" t="s">
        <v>991</v>
      </c>
      <c r="B251" s="217">
        <f t="array" ref="B251">INDEX(postDEL!$A$2:$P799,$O251,2)</f>
        <v>44585</v>
      </c>
      <c r="C251" s="218">
        <f t="array" ref="C251">INDEX(postDEL!$A$2:$P799,$O251,3)</f>
        <v>0.2993981481</v>
      </c>
      <c r="D251" s="219" t="str">
        <f t="array" ref="D251">INDEX(postDEL!$A$2:$AN799,$O251,39)</f>
        <v>SpBEND551372</v>
      </c>
      <c r="E251" s="219" t="str">
        <f t="array" ref="E251">INDEX(postDEL!$A$2:$P799,$O251,4)</f>
        <v/>
      </c>
      <c r="F251" s="219" t="str">
        <f t="array" ref="F251">INDEX(postDEL!$A$2:$P799,$O251,5)</f>
        <v/>
      </c>
      <c r="G251" s="219" t="str">
        <f t="array" ref="G251">INDEX(postDEL!$A$2:$P799,$O251,11)</f>
        <v>Negative</v>
      </c>
      <c r="H251" s="219" t="str">
        <f t="array" ref="H251">INDEX(postDEL!$A$2:$AL799,$O251,37)</f>
        <v>Negative</v>
      </c>
      <c r="I251" s="217">
        <f t="array" ref="I251">INDEX(postDEL!$A$2:$AL799,$O251,12)</f>
        <v>44585</v>
      </c>
      <c r="J251" s="218">
        <f t="array" ref="J251">INDEX(postDEL!$A$2:$AL799,$O251,13)</f>
        <v>0.4705902778</v>
      </c>
      <c r="K251" s="219" t="str">
        <f t="array" ref="K251">INDEX(postDEL!$A$2:$AL799,$O251,36)</f>
        <v/>
      </c>
      <c r="L251" s="219" t="str">
        <f t="array" ref="L251">INDEX(postDEL!$A$2:$AL799,$O251,38)</f>
        <v/>
      </c>
      <c r="M251" s="219" t="str">
        <f t="array" ref="M251">INDEX(postDEL!$A$2:$AL799,$O251,15)</f>
        <v/>
      </c>
      <c r="N251" s="110">
        <f>COUNTIF(postDEL!$A$2:$A799,A251)</f>
        <v>1</v>
      </c>
      <c r="O251" s="19">
        <f>MATCH(A251,postDEL!A$2:A799,0)</f>
        <v>250</v>
      </c>
      <c r="P251" s="10" t="b">
        <f t="shared" si="1"/>
        <v>1</v>
      </c>
      <c r="Q251" s="220">
        <f t="shared" si="2"/>
        <v>0</v>
      </c>
      <c r="R251" s="5"/>
    </row>
    <row r="252">
      <c r="A252" s="221" t="s">
        <v>993</v>
      </c>
      <c r="B252" s="217">
        <f t="array" ref="B252">INDEX(postDEL!$A$2:$P799,$O252,2)</f>
        <v>44585</v>
      </c>
      <c r="C252" s="218">
        <f t="array" ref="C252">INDEX(postDEL!$A$2:$P799,$O252,3)</f>
        <v>0.3018171296</v>
      </c>
      <c r="D252" s="219" t="str">
        <f t="array" ref="D252">INDEX(postDEL!$A$2:$AN799,$O252,39)</f>
        <v>SpBEND551372</v>
      </c>
      <c r="E252" s="219" t="str">
        <f t="array" ref="E252">INDEX(postDEL!$A$2:$P799,$O252,4)</f>
        <v/>
      </c>
      <c r="F252" s="219" t="str">
        <f t="array" ref="F252">INDEX(postDEL!$A$2:$P799,$O252,5)</f>
        <v/>
      </c>
      <c r="G252" s="219" t="str">
        <f t="array" ref="G252">INDEX(postDEL!$A$2:$P799,$O252,11)</f>
        <v>Negative</v>
      </c>
      <c r="H252" s="219" t="str">
        <f t="array" ref="H252">INDEX(postDEL!$A$2:$AL799,$O252,37)</f>
        <v>Negative</v>
      </c>
      <c r="I252" s="217">
        <f t="array" ref="I252">INDEX(postDEL!$A$2:$AL799,$O252,12)</f>
        <v>44585</v>
      </c>
      <c r="J252" s="218">
        <f t="array" ref="J252">INDEX(postDEL!$A$2:$AL799,$O252,13)</f>
        <v>0.4705902778</v>
      </c>
      <c r="K252" s="219" t="str">
        <f t="array" ref="K252">INDEX(postDEL!$A$2:$AL799,$O252,36)</f>
        <v/>
      </c>
      <c r="L252" s="219" t="str">
        <f t="array" ref="L252">INDEX(postDEL!$A$2:$AL799,$O252,38)</f>
        <v/>
      </c>
      <c r="M252" s="219" t="str">
        <f t="array" ref="M252">INDEX(postDEL!$A$2:$AL799,$O252,15)</f>
        <v/>
      </c>
      <c r="N252" s="110">
        <f>COUNTIF(postDEL!$A$2:$A799,A252)</f>
        <v>1</v>
      </c>
      <c r="O252" s="19">
        <f>MATCH(A252,postDEL!A$2:A799,0)</f>
        <v>251</v>
      </c>
      <c r="P252" s="10" t="str">
        <f t="shared" si="1"/>
        <v/>
      </c>
      <c r="Q252" s="220">
        <f t="shared" si="2"/>
        <v>0</v>
      </c>
      <c r="R252" s="5"/>
    </row>
    <row r="253">
      <c r="A253" s="221" t="s">
        <v>995</v>
      </c>
      <c r="B253" s="217">
        <f t="array" ref="B253">INDEX(postDEL!$A$2:$P799,$O253,2)</f>
        <v>44585</v>
      </c>
      <c r="C253" s="218">
        <f t="array" ref="C253">INDEX(postDEL!$A$2:$P799,$O253,3)</f>
        <v>0.3030555556</v>
      </c>
      <c r="D253" s="219" t="str">
        <f t="array" ref="D253">INDEX(postDEL!$A$2:$AN799,$O253,39)</f>
        <v>SpBEND652059</v>
      </c>
      <c r="E253" s="219" t="str">
        <f t="array" ref="E253">INDEX(postDEL!$A$2:$P799,$O253,4)</f>
        <v/>
      </c>
      <c r="F253" s="219" t="str">
        <f t="array" ref="F253">INDEX(postDEL!$A$2:$P799,$O253,5)</f>
        <v/>
      </c>
      <c r="G253" s="219" t="str">
        <f t="array" ref="G253">INDEX(postDEL!$A$2:$P799,$O253,11)</f>
        <v>Positive</v>
      </c>
      <c r="H253" s="219" t="str">
        <f t="array" ref="H253">INDEX(postDEL!$A$2:$AL799,$O253,37)</f>
        <v>Positive</v>
      </c>
      <c r="I253" s="217">
        <f t="array" ref="I253">INDEX(postDEL!$A$2:$AL799,$O253,12)</f>
        <v>44587</v>
      </c>
      <c r="J253" s="218">
        <f t="array" ref="J253">INDEX(postDEL!$A$2:$AL799,$O253,13)</f>
        <v>0.5008796296</v>
      </c>
      <c r="K253" s="219" t="str">
        <f t="array" ref="K253">INDEX(postDEL!$A$2:$AL799,$O253,36)</f>
        <v/>
      </c>
      <c r="L253" s="219" t="str">
        <f t="array" ref="L253">INDEX(postDEL!$A$2:$AL799,$O253,38)</f>
        <v/>
      </c>
      <c r="M253" s="219" t="str">
        <f t="array" ref="M253">INDEX(postDEL!$A$2:$AL799,$O253,15)</f>
        <v/>
      </c>
      <c r="N253" s="110">
        <f>COUNTIF(postDEL!$A$2:$A799,A253)</f>
        <v>1</v>
      </c>
      <c r="O253" s="19">
        <f>MATCH(A253,postDEL!A$2:A799,0)</f>
        <v>252</v>
      </c>
      <c r="P253" s="10" t="str">
        <f t="shared" si="1"/>
        <v/>
      </c>
      <c r="Q253" s="220">
        <f t="shared" si="2"/>
        <v>2</v>
      </c>
      <c r="R253" s="5"/>
    </row>
    <row r="254">
      <c r="A254" s="221" t="s">
        <v>998</v>
      </c>
      <c r="B254" s="217">
        <f t="array" ref="B254">INDEX(postDEL!$A$2:$P799,$O254,2)</f>
        <v>44585</v>
      </c>
      <c r="C254" s="218">
        <f t="array" ref="C254">INDEX(postDEL!$A$2:$P799,$O254,3)</f>
        <v>0.3088310185</v>
      </c>
      <c r="D254" s="219" t="str">
        <f t="array" ref="D254">INDEX(postDEL!$A$2:$AN799,$O254,39)</f>
        <v>SpBEND953422</v>
      </c>
      <c r="E254" s="219" t="str">
        <f t="array" ref="E254">INDEX(postDEL!$A$2:$P799,$O254,4)</f>
        <v/>
      </c>
      <c r="F254" s="219" t="str">
        <f t="array" ref="F254">INDEX(postDEL!$A$2:$P799,$O254,5)</f>
        <v/>
      </c>
      <c r="G254" s="219" t="str">
        <f t="array" ref="G254">INDEX(postDEL!$A$2:$P799,$O254,11)</f>
        <v>Negative</v>
      </c>
      <c r="H254" s="219" t="str">
        <f t="array" ref="H254">INDEX(postDEL!$A$2:$AL799,$O254,37)</f>
        <v>Negative</v>
      </c>
      <c r="I254" s="217">
        <f t="array" ref="I254">INDEX(postDEL!$A$2:$AL799,$O254,12)</f>
        <v>44585</v>
      </c>
      <c r="J254" s="218">
        <f t="array" ref="J254">INDEX(postDEL!$A$2:$AL799,$O254,13)</f>
        <v>0.468275463</v>
      </c>
      <c r="K254" s="219" t="str">
        <f t="array" ref="K254">INDEX(postDEL!$A$2:$AL799,$O254,36)</f>
        <v/>
      </c>
      <c r="L254" s="219" t="str">
        <f t="array" ref="L254">INDEX(postDEL!$A$2:$AL799,$O254,38)</f>
        <v/>
      </c>
      <c r="M254" s="219" t="str">
        <f t="array" ref="M254">INDEX(postDEL!$A$2:$AL799,$O254,15)</f>
        <v/>
      </c>
      <c r="N254" s="110">
        <f>COUNTIF(postDEL!$A$2:$A799,A254)</f>
        <v>1</v>
      </c>
      <c r="O254" s="19">
        <f>MATCH(A254,postDEL!A$2:A799,0)</f>
        <v>253</v>
      </c>
      <c r="P254" s="10" t="str">
        <f t="shared" si="1"/>
        <v/>
      </c>
      <c r="Q254" s="220">
        <f t="shared" si="2"/>
        <v>0</v>
      </c>
      <c r="R254" s="5"/>
    </row>
    <row r="255">
      <c r="A255" s="221" t="s">
        <v>1000</v>
      </c>
      <c r="B255" s="217">
        <f t="array" ref="B255">INDEX(postDEL!$A$2:$P799,$O255,2)</f>
        <v>44585</v>
      </c>
      <c r="C255" s="218">
        <f t="array" ref="C255">INDEX(postDEL!$A$2:$P799,$O255,3)</f>
        <v>0.3161921296</v>
      </c>
      <c r="D255" s="219" t="str">
        <f t="array" ref="D255">INDEX(postDEL!$A$2:$AN799,$O255,39)</f>
        <v>SpBEND492052</v>
      </c>
      <c r="E255" s="219" t="str">
        <f t="array" ref="E255">INDEX(postDEL!$A$2:$P799,$O255,4)</f>
        <v/>
      </c>
      <c r="F255" s="219" t="str">
        <f t="array" ref="F255">INDEX(postDEL!$A$2:$P799,$O255,5)</f>
        <v/>
      </c>
      <c r="G255" s="219" t="str">
        <f t="array" ref="G255">INDEX(postDEL!$A$2:$P799,$O255,11)</f>
        <v>Negative</v>
      </c>
      <c r="H255" s="219" t="str">
        <f t="array" ref="H255">INDEX(postDEL!$A$2:$AL799,$O255,37)</f>
        <v>Negative</v>
      </c>
      <c r="I255" s="217">
        <f t="array" ref="I255">INDEX(postDEL!$A$2:$AL799,$O255,12)</f>
        <v>44585</v>
      </c>
      <c r="J255" s="218">
        <f t="array" ref="J255">INDEX(postDEL!$A$2:$AL799,$O255,13)</f>
        <v>0.468275463</v>
      </c>
      <c r="K255" s="219" t="str">
        <f t="array" ref="K255">INDEX(postDEL!$A$2:$AL799,$O255,36)</f>
        <v/>
      </c>
      <c r="L255" s="219" t="str">
        <f t="array" ref="L255">INDEX(postDEL!$A$2:$AL799,$O255,38)</f>
        <v/>
      </c>
      <c r="M255" s="219" t="str">
        <f t="array" ref="M255">INDEX(postDEL!$A$2:$AL799,$O255,15)</f>
        <v/>
      </c>
      <c r="N255" s="110">
        <f>COUNTIF(postDEL!$A$2:$A799,A255)</f>
        <v>1</v>
      </c>
      <c r="O255" s="19">
        <f>MATCH(A255,postDEL!A$2:A799,0)</f>
        <v>254</v>
      </c>
      <c r="P255" s="10" t="str">
        <f t="shared" si="1"/>
        <v/>
      </c>
      <c r="Q255" s="220">
        <f t="shared" si="2"/>
        <v>0</v>
      </c>
      <c r="R255" s="5"/>
    </row>
    <row r="256">
      <c r="A256" s="221" t="s">
        <v>1002</v>
      </c>
      <c r="B256" s="217">
        <f t="array" ref="B256">INDEX(postDEL!$A$2:$P799,$O256,2)</f>
        <v>44585</v>
      </c>
      <c r="C256" s="218">
        <f t="array" ref="C256">INDEX(postDEL!$A$2:$P799,$O256,3)</f>
        <v>0.3199305556</v>
      </c>
      <c r="D256" s="219" t="str">
        <f t="array" ref="D256">INDEX(postDEL!$A$2:$AN799,$O256,39)</f>
        <v>SpBEND349435</v>
      </c>
      <c r="E256" s="219" t="str">
        <f t="array" ref="E256">INDEX(postDEL!$A$2:$P799,$O256,4)</f>
        <v/>
      </c>
      <c r="F256" s="219" t="str">
        <f t="array" ref="F256">INDEX(postDEL!$A$2:$P799,$O256,5)</f>
        <v/>
      </c>
      <c r="G256" s="219" t="str">
        <f t="array" ref="G256">INDEX(postDEL!$A$2:$P799,$O256,11)</f>
        <v>Negative</v>
      </c>
      <c r="H256" s="219" t="str">
        <f t="array" ref="H256">INDEX(postDEL!$A$2:$AL799,$O256,37)</f>
        <v>Negative</v>
      </c>
      <c r="I256" s="217">
        <f t="array" ref="I256">INDEX(postDEL!$A$2:$AL799,$O256,12)</f>
        <v>44585</v>
      </c>
      <c r="J256" s="218">
        <f t="array" ref="J256">INDEX(postDEL!$A$2:$AL799,$O256,13)</f>
        <v>0.4705902778</v>
      </c>
      <c r="K256" s="219" t="str">
        <f t="array" ref="K256">INDEX(postDEL!$A$2:$AL799,$O256,36)</f>
        <v/>
      </c>
      <c r="L256" s="219" t="str">
        <f t="array" ref="L256">INDEX(postDEL!$A$2:$AL799,$O256,38)</f>
        <v/>
      </c>
      <c r="M256" s="219" t="str">
        <f t="array" ref="M256">INDEX(postDEL!$A$2:$AL799,$O256,15)</f>
        <v/>
      </c>
      <c r="N256" s="110">
        <f>COUNTIF(postDEL!$A$2:$A799,A256)</f>
        <v>1</v>
      </c>
      <c r="O256" s="19">
        <f>MATCH(A256,postDEL!A$2:A799,0)</f>
        <v>255</v>
      </c>
      <c r="P256" s="10" t="str">
        <f t="shared" si="1"/>
        <v/>
      </c>
      <c r="Q256" s="220">
        <f t="shared" si="2"/>
        <v>0</v>
      </c>
      <c r="R256" s="5"/>
    </row>
    <row r="257">
      <c r="A257" s="221" t="s">
        <v>1004</v>
      </c>
      <c r="B257" s="217">
        <f t="array" ref="B257">INDEX(postDEL!$A$2:$P799,$O257,2)</f>
        <v>44585</v>
      </c>
      <c r="C257" s="218">
        <f t="array" ref="C257">INDEX(postDEL!$A$2:$P799,$O257,3)</f>
        <v>0.3261689815</v>
      </c>
      <c r="D257" s="219" t="str">
        <f t="array" ref="D257">INDEX(postDEL!$A$2:$AN799,$O257,39)</f>
        <v>SpBEND825522</v>
      </c>
      <c r="E257" s="219" t="str">
        <f t="array" ref="E257">INDEX(postDEL!$A$2:$P799,$O257,4)</f>
        <v/>
      </c>
      <c r="F257" s="219" t="str">
        <f t="array" ref="F257">INDEX(postDEL!$A$2:$P799,$O257,5)</f>
        <v/>
      </c>
      <c r="G257" s="219" t="str">
        <f t="array" ref="G257">INDEX(postDEL!$A$2:$P799,$O257,11)</f>
        <v>Negative</v>
      </c>
      <c r="H257" s="219" t="str">
        <f t="array" ref="H257">INDEX(postDEL!$A$2:$AL799,$O257,37)</f>
        <v>Negative</v>
      </c>
      <c r="I257" s="217">
        <f t="array" ref="I257">INDEX(postDEL!$A$2:$AL799,$O257,12)</f>
        <v>44585</v>
      </c>
      <c r="J257" s="218">
        <f t="array" ref="J257">INDEX(postDEL!$A$2:$AL799,$O257,13)</f>
        <v>0.4705902778</v>
      </c>
      <c r="K257" s="219" t="str">
        <f t="array" ref="K257">INDEX(postDEL!$A$2:$AL799,$O257,36)</f>
        <v/>
      </c>
      <c r="L257" s="219" t="str">
        <f t="array" ref="L257">INDEX(postDEL!$A$2:$AL799,$O257,38)</f>
        <v/>
      </c>
      <c r="M257" s="219" t="str">
        <f t="array" ref="M257">INDEX(postDEL!$A$2:$AL799,$O257,15)</f>
        <v/>
      </c>
      <c r="N257" s="110">
        <f>COUNTIF(postDEL!$A$2:$A799,A257)</f>
        <v>1</v>
      </c>
      <c r="O257" s="19">
        <f>MATCH(A257,postDEL!A$2:A799,0)</f>
        <v>256</v>
      </c>
      <c r="P257" s="10" t="str">
        <f t="shared" si="1"/>
        <v/>
      </c>
      <c r="Q257" s="220">
        <f t="shared" si="2"/>
        <v>0</v>
      </c>
      <c r="R257" s="5"/>
    </row>
    <row r="258">
      <c r="A258" s="221" t="s">
        <v>1006</v>
      </c>
      <c r="B258" s="217">
        <f t="array" ref="B258">INDEX(postDEL!$A$2:$P799,$O258,2)</f>
        <v>44585</v>
      </c>
      <c r="C258" s="218">
        <f t="array" ref="C258">INDEX(postDEL!$A$2:$P799,$O258,3)</f>
        <v>0.3265740741</v>
      </c>
      <c r="D258" s="219" t="str">
        <f t="array" ref="D258">INDEX(postDEL!$A$2:$AN799,$O258,39)</f>
        <v>SpBEND643855</v>
      </c>
      <c r="E258" s="219" t="str">
        <f t="array" ref="E258">INDEX(postDEL!$A$2:$P799,$O258,4)</f>
        <v/>
      </c>
      <c r="F258" s="219" t="str">
        <f t="array" ref="F258">INDEX(postDEL!$A$2:$P799,$O258,5)</f>
        <v/>
      </c>
      <c r="G258" s="219" t="str">
        <f t="array" ref="G258">INDEX(postDEL!$A$2:$P799,$O258,11)</f>
        <v>Negative</v>
      </c>
      <c r="H258" s="219" t="str">
        <f t="array" ref="H258">INDEX(postDEL!$A$2:$AL799,$O258,37)</f>
        <v>Negative</v>
      </c>
      <c r="I258" s="217">
        <f t="array" ref="I258">INDEX(postDEL!$A$2:$AL799,$O258,12)</f>
        <v>44585</v>
      </c>
      <c r="J258" s="218">
        <f t="array" ref="J258">INDEX(postDEL!$A$2:$AL799,$O258,13)</f>
        <v>0.4705902778</v>
      </c>
      <c r="K258" s="219" t="str">
        <f t="array" ref="K258">INDEX(postDEL!$A$2:$AL799,$O258,36)</f>
        <v/>
      </c>
      <c r="L258" s="219" t="str">
        <f t="array" ref="L258">INDEX(postDEL!$A$2:$AL799,$O258,38)</f>
        <v/>
      </c>
      <c r="M258" s="219" t="str">
        <f t="array" ref="M258">INDEX(postDEL!$A$2:$AL799,$O258,15)</f>
        <v/>
      </c>
      <c r="N258" s="110">
        <f>COUNTIF(postDEL!$A$2:$A799,A258)</f>
        <v>1</v>
      </c>
      <c r="O258" s="19">
        <f>MATCH(A258,postDEL!A$2:A799,0)</f>
        <v>257</v>
      </c>
      <c r="P258" s="10" t="str">
        <f t="shared" si="1"/>
        <v/>
      </c>
      <c r="Q258" s="220">
        <f t="shared" si="2"/>
        <v>0</v>
      </c>
      <c r="R258" s="5"/>
    </row>
    <row r="259">
      <c r="A259" s="221" t="s">
        <v>1008</v>
      </c>
      <c r="B259" s="217">
        <f t="array" ref="B259">INDEX(postDEL!$A$2:$P799,$O259,2)</f>
        <v>44585</v>
      </c>
      <c r="C259" s="218">
        <f t="array" ref="C259">INDEX(postDEL!$A$2:$P799,$O259,3)</f>
        <v>0.3322916667</v>
      </c>
      <c r="D259" s="219" t="str">
        <f t="array" ref="D259">INDEX(postDEL!$A$2:$AN799,$O259,39)</f>
        <v>SpBEND214692</v>
      </c>
      <c r="E259" s="219" t="str">
        <f t="array" ref="E259">INDEX(postDEL!$A$2:$P799,$O259,4)</f>
        <v/>
      </c>
      <c r="F259" s="219" t="str">
        <f t="array" ref="F259">INDEX(postDEL!$A$2:$P799,$O259,5)</f>
        <v/>
      </c>
      <c r="G259" s="219" t="str">
        <f t="array" ref="G259">INDEX(postDEL!$A$2:$P799,$O259,11)</f>
        <v>Negative</v>
      </c>
      <c r="H259" s="219" t="str">
        <f t="array" ref="H259">INDEX(postDEL!$A$2:$AL799,$O259,37)</f>
        <v>Negative</v>
      </c>
      <c r="I259" s="217">
        <f t="array" ref="I259">INDEX(postDEL!$A$2:$AL799,$O259,12)</f>
        <v>44585</v>
      </c>
      <c r="J259" s="218">
        <f t="array" ref="J259">INDEX(postDEL!$A$2:$AL799,$O259,13)</f>
        <v>0.4705902778</v>
      </c>
      <c r="K259" s="219" t="str">
        <f t="array" ref="K259">INDEX(postDEL!$A$2:$AL799,$O259,36)</f>
        <v/>
      </c>
      <c r="L259" s="219" t="str">
        <f t="array" ref="L259">INDEX(postDEL!$A$2:$AL799,$O259,38)</f>
        <v/>
      </c>
      <c r="M259" s="219" t="str">
        <f t="array" ref="M259">INDEX(postDEL!$A$2:$AL799,$O259,15)</f>
        <v/>
      </c>
      <c r="N259" s="110">
        <f>COUNTIF(postDEL!$A$2:$A799,A259)</f>
        <v>1</v>
      </c>
      <c r="O259" s="19">
        <f>MATCH(A259,postDEL!A$2:A799,0)</f>
        <v>258</v>
      </c>
      <c r="P259" s="10" t="str">
        <f t="shared" si="1"/>
        <v/>
      </c>
      <c r="Q259" s="220">
        <f t="shared" si="2"/>
        <v>0</v>
      </c>
      <c r="R259" s="5"/>
    </row>
    <row r="260">
      <c r="A260" s="221" t="s">
        <v>1010</v>
      </c>
      <c r="B260" s="217">
        <f t="array" ref="B260">INDEX(postDEL!$A$2:$P799,$O260,2)</f>
        <v>44585</v>
      </c>
      <c r="C260" s="218">
        <f t="array" ref="C260">INDEX(postDEL!$A$2:$P799,$O260,3)</f>
        <v>0.3329282407</v>
      </c>
      <c r="D260" s="219" t="str">
        <f t="array" ref="D260">INDEX(postDEL!$A$2:$AN799,$O260,39)</f>
        <v>SpBEND541174</v>
      </c>
      <c r="E260" s="219" t="str">
        <f t="array" ref="E260">INDEX(postDEL!$A$2:$P799,$O260,4)</f>
        <v/>
      </c>
      <c r="F260" s="219" t="str">
        <f t="array" ref="F260">INDEX(postDEL!$A$2:$P799,$O260,5)</f>
        <v/>
      </c>
      <c r="G260" s="219" t="str">
        <f t="array" ref="G260">INDEX(postDEL!$A$2:$P799,$O260,11)</f>
        <v>Negative</v>
      </c>
      <c r="H260" s="219" t="str">
        <f t="array" ref="H260">INDEX(postDEL!$A$2:$AL799,$O260,37)</f>
        <v>Negative</v>
      </c>
      <c r="I260" s="217">
        <f t="array" ref="I260">INDEX(postDEL!$A$2:$AL799,$O260,12)</f>
        <v>44585</v>
      </c>
      <c r="J260" s="218">
        <f t="array" ref="J260">INDEX(postDEL!$A$2:$AL799,$O260,13)</f>
        <v>0.4705902778</v>
      </c>
      <c r="K260" s="219" t="str">
        <f t="array" ref="K260">INDEX(postDEL!$A$2:$AL799,$O260,36)</f>
        <v/>
      </c>
      <c r="L260" s="219" t="str">
        <f t="array" ref="L260">INDEX(postDEL!$A$2:$AL799,$O260,38)</f>
        <v/>
      </c>
      <c r="M260" s="219" t="str">
        <f t="array" ref="M260">INDEX(postDEL!$A$2:$AL799,$O260,15)</f>
        <v/>
      </c>
      <c r="N260" s="110">
        <f>COUNTIF(postDEL!$A$2:$A799,A260)</f>
        <v>1</v>
      </c>
      <c r="O260" s="19">
        <f>MATCH(A260,postDEL!A$2:A799,0)</f>
        <v>259</v>
      </c>
      <c r="P260" s="10" t="str">
        <f t="shared" si="1"/>
        <v/>
      </c>
      <c r="Q260" s="220">
        <f t="shared" si="2"/>
        <v>0</v>
      </c>
      <c r="R260" s="5"/>
    </row>
    <row r="261">
      <c r="A261" s="221" t="s">
        <v>1012</v>
      </c>
      <c r="B261" s="217">
        <f t="array" ref="B261">INDEX(postDEL!$A$2:$P799,$O261,2)</f>
        <v>44585</v>
      </c>
      <c r="C261" s="218">
        <f t="array" ref="C261">INDEX(postDEL!$A$2:$P799,$O261,3)</f>
        <v>0.3420949074</v>
      </c>
      <c r="D261" s="219" t="str">
        <f t="array" ref="D261">INDEX(postDEL!$A$2:$AN799,$O261,39)</f>
        <v>SpBEND767550</v>
      </c>
      <c r="E261" s="219" t="str">
        <f t="array" ref="E261">INDEX(postDEL!$A$2:$P799,$O261,4)</f>
        <v/>
      </c>
      <c r="F261" s="219" t="str">
        <f t="array" ref="F261">INDEX(postDEL!$A$2:$P799,$O261,5)</f>
        <v/>
      </c>
      <c r="G261" s="219" t="str">
        <f t="array" ref="G261">INDEX(postDEL!$A$2:$P799,$O261,11)</f>
        <v>Positive</v>
      </c>
      <c r="H261" s="219" t="str">
        <f t="array" ref="H261">INDEX(postDEL!$A$2:$AL799,$O261,37)</f>
        <v>Positive</v>
      </c>
      <c r="I261" s="217">
        <f t="array" ref="I261">INDEX(postDEL!$A$2:$AL799,$O261,12)</f>
        <v>44587</v>
      </c>
      <c r="J261" s="218">
        <f t="array" ref="J261">INDEX(postDEL!$A$2:$AL799,$O261,13)</f>
        <v>0.5008796296</v>
      </c>
      <c r="K261" s="219" t="str">
        <f t="array" ref="K261">INDEX(postDEL!$A$2:$AL799,$O261,36)</f>
        <v/>
      </c>
      <c r="L261" s="219" t="str">
        <f t="array" ref="L261">INDEX(postDEL!$A$2:$AL799,$O261,38)</f>
        <v/>
      </c>
      <c r="M261" s="219" t="str">
        <f t="array" ref="M261">INDEX(postDEL!$A$2:$AL799,$O261,15)</f>
        <v/>
      </c>
      <c r="N261" s="110">
        <f>COUNTIF(postDEL!$A$2:$A799,A261)</f>
        <v>1</v>
      </c>
      <c r="O261" s="19">
        <f>MATCH(A261,postDEL!A$2:A799,0)</f>
        <v>260</v>
      </c>
      <c r="P261" s="10" t="str">
        <f t="shared" si="1"/>
        <v/>
      </c>
      <c r="Q261" s="220">
        <f t="shared" si="2"/>
        <v>2</v>
      </c>
      <c r="R261" s="5"/>
    </row>
    <row r="262">
      <c r="A262" s="221" t="s">
        <v>1014</v>
      </c>
      <c r="B262" s="217">
        <f t="array" ref="B262">INDEX(postDEL!$A$2:$P799,$O262,2)</f>
        <v>44585</v>
      </c>
      <c r="C262" s="218">
        <f t="array" ref="C262">INDEX(postDEL!$A$2:$P799,$O262,3)</f>
        <v>0.3784722222</v>
      </c>
      <c r="D262" s="219" t="str">
        <f t="array" ref="D262">INDEX(postDEL!$A$2:$AN799,$O262,39)</f>
        <v>SpBEND394154</v>
      </c>
      <c r="E262" s="219" t="str">
        <f t="array" ref="E262">INDEX(postDEL!$A$2:$P799,$O262,4)</f>
        <v/>
      </c>
      <c r="F262" s="219" t="str">
        <f t="array" ref="F262">INDEX(postDEL!$A$2:$P799,$O262,5)</f>
        <v/>
      </c>
      <c r="G262" s="219" t="str">
        <f t="array" ref="G262">INDEX(postDEL!$A$2:$P799,$O262,11)</f>
        <v>Negative</v>
      </c>
      <c r="H262" s="219" t="str">
        <f t="array" ref="H262">INDEX(postDEL!$A$2:$AL799,$O262,37)</f>
        <v>Negative</v>
      </c>
      <c r="I262" s="217">
        <f t="array" ref="I262">INDEX(postDEL!$A$2:$AL799,$O262,12)</f>
        <v>44585</v>
      </c>
      <c r="J262" s="218">
        <f t="array" ref="J262">INDEX(postDEL!$A$2:$AL799,$O262,13)</f>
        <v>0.4705902778</v>
      </c>
      <c r="K262" s="219" t="str">
        <f t="array" ref="K262">INDEX(postDEL!$A$2:$AL799,$O262,36)</f>
        <v/>
      </c>
      <c r="L262" s="219" t="str">
        <f t="array" ref="L262">INDEX(postDEL!$A$2:$AL799,$O262,38)</f>
        <v/>
      </c>
      <c r="M262" s="219" t="str">
        <f t="array" ref="M262">INDEX(postDEL!$A$2:$AL799,$O262,15)</f>
        <v/>
      </c>
      <c r="N262" s="110">
        <f>COUNTIF(postDEL!$A$2:$A799,A262)</f>
        <v>1</v>
      </c>
      <c r="O262" s="19">
        <f>MATCH(A262,postDEL!A$2:A799,0)</f>
        <v>261</v>
      </c>
      <c r="P262" s="10" t="str">
        <f t="shared" si="1"/>
        <v/>
      </c>
      <c r="Q262" s="220">
        <f t="shared" si="2"/>
        <v>0</v>
      </c>
      <c r="R262" s="5"/>
    </row>
    <row r="263">
      <c r="A263" s="221" t="s">
        <v>1016</v>
      </c>
      <c r="B263" s="217">
        <f t="array" ref="B263">INDEX(postDEL!$A$2:$P799,$O263,2)</f>
        <v>44585</v>
      </c>
      <c r="C263" s="218">
        <f t="array" ref="C263">INDEX(postDEL!$A$2:$P799,$O263,3)</f>
        <v>0.3868634259</v>
      </c>
      <c r="D263" s="219" t="str">
        <f t="array" ref="D263">INDEX(postDEL!$A$2:$AN799,$O263,39)</f>
        <v>SpBEND394154</v>
      </c>
      <c r="E263" s="219" t="str">
        <f t="array" ref="E263">INDEX(postDEL!$A$2:$P799,$O263,4)</f>
        <v/>
      </c>
      <c r="F263" s="219" t="str">
        <f t="array" ref="F263">INDEX(postDEL!$A$2:$P799,$O263,5)</f>
        <v/>
      </c>
      <c r="G263" s="219" t="str">
        <f t="array" ref="G263">INDEX(postDEL!$A$2:$P799,$O263,11)</f>
        <v>Positive</v>
      </c>
      <c r="H263" s="219" t="str">
        <f t="array" ref="H263">INDEX(postDEL!$A$2:$AL799,$O263,37)</f>
        <v>Positive</v>
      </c>
      <c r="I263" s="217">
        <f t="array" ref="I263">INDEX(postDEL!$A$2:$AL799,$O263,12)</f>
        <v>44587</v>
      </c>
      <c r="J263" s="218">
        <f t="array" ref="J263">INDEX(postDEL!$A$2:$AL799,$O263,13)</f>
        <v>0.5008796296</v>
      </c>
      <c r="K263" s="219" t="str">
        <f t="array" ref="K263">INDEX(postDEL!$A$2:$AL799,$O263,36)</f>
        <v/>
      </c>
      <c r="L263" s="219" t="str">
        <f t="array" ref="L263">INDEX(postDEL!$A$2:$AL799,$O263,38)</f>
        <v/>
      </c>
      <c r="M263" s="219" t="str">
        <f t="array" ref="M263">INDEX(postDEL!$A$2:$AL799,$O263,15)</f>
        <v/>
      </c>
      <c r="N263" s="110">
        <f>COUNTIF(postDEL!$A$2:$A799,A263)</f>
        <v>1</v>
      </c>
      <c r="O263" s="19">
        <f>MATCH(A263,postDEL!A$2:A799,0)</f>
        <v>262</v>
      </c>
      <c r="P263" s="10" t="str">
        <f t="shared" si="1"/>
        <v/>
      </c>
      <c r="Q263" s="220">
        <f t="shared" si="2"/>
        <v>2</v>
      </c>
      <c r="R263" s="5"/>
    </row>
    <row r="264">
      <c r="A264" s="221" t="s">
        <v>1018</v>
      </c>
      <c r="B264" s="217">
        <f t="array" ref="B264">INDEX(postDEL!$A$2:$P799,$O264,2)</f>
        <v>44585</v>
      </c>
      <c r="C264" s="218">
        <f t="array" ref="C264">INDEX(postDEL!$A$2:$P799,$O264,3)</f>
        <v>0.387974537</v>
      </c>
      <c r="D264" s="219" t="str">
        <f t="array" ref="D264">INDEX(postDEL!$A$2:$AN799,$O264,39)</f>
        <v>SpBEND394154</v>
      </c>
      <c r="E264" s="219" t="str">
        <f t="array" ref="E264">INDEX(postDEL!$A$2:$P799,$O264,4)</f>
        <v/>
      </c>
      <c r="F264" s="219" t="str">
        <f t="array" ref="F264">INDEX(postDEL!$A$2:$P799,$O264,5)</f>
        <v/>
      </c>
      <c r="G264" s="219" t="str">
        <f t="array" ref="G264">INDEX(postDEL!$A$2:$P799,$O264,11)</f>
        <v>Positive</v>
      </c>
      <c r="H264" s="219" t="str">
        <f t="array" ref="H264">INDEX(postDEL!$A$2:$AL799,$O264,37)</f>
        <v>Positive</v>
      </c>
      <c r="I264" s="217">
        <f t="array" ref="I264">INDEX(postDEL!$A$2:$AL799,$O264,12)</f>
        <v>44587</v>
      </c>
      <c r="J264" s="218">
        <f t="array" ref="J264">INDEX(postDEL!$A$2:$AL799,$O264,13)</f>
        <v>0.5008796296</v>
      </c>
      <c r="K264" s="219" t="str">
        <f t="array" ref="K264">INDEX(postDEL!$A$2:$AL799,$O264,36)</f>
        <v/>
      </c>
      <c r="L264" s="219" t="str">
        <f t="array" ref="L264">INDEX(postDEL!$A$2:$AL799,$O264,38)</f>
        <v/>
      </c>
      <c r="M264" s="219" t="str">
        <f t="array" ref="M264">INDEX(postDEL!$A$2:$AL799,$O264,15)</f>
        <v/>
      </c>
      <c r="N264" s="110">
        <f>COUNTIF(postDEL!$A$2:$A799,A264)</f>
        <v>1</v>
      </c>
      <c r="O264" s="19">
        <f>MATCH(A264,postDEL!A$2:A799,0)</f>
        <v>263</v>
      </c>
      <c r="P264" s="10" t="str">
        <f t="shared" si="1"/>
        <v/>
      </c>
      <c r="Q264" s="220">
        <f t="shared" si="2"/>
        <v>2</v>
      </c>
      <c r="R264" s="5"/>
    </row>
    <row r="265">
      <c r="A265" s="221" t="s">
        <v>1020</v>
      </c>
      <c r="B265" s="217">
        <f t="array" ref="B265">INDEX(postDEL!$A$2:$P799,$O265,2)</f>
        <v>44585</v>
      </c>
      <c r="C265" s="218">
        <f t="array" ref="C265">INDEX(postDEL!$A$2:$P799,$O265,3)</f>
        <v>0.4306712963</v>
      </c>
      <c r="D265" s="219" t="str">
        <f t="array" ref="D265">INDEX(postDEL!$A$2:$AN799,$O265,39)</f>
        <v>SpBEND394154</v>
      </c>
      <c r="E265" s="219" t="str">
        <f t="array" ref="E265">INDEX(postDEL!$A$2:$P799,$O265,4)</f>
        <v/>
      </c>
      <c r="F265" s="219" t="str">
        <f t="array" ref="F265">INDEX(postDEL!$A$2:$P799,$O265,5)</f>
        <v/>
      </c>
      <c r="G265" s="219" t="str">
        <f t="array" ref="G265">INDEX(postDEL!$A$2:$P799,$O265,11)</f>
        <v>Negative</v>
      </c>
      <c r="H265" s="219" t="str">
        <f t="array" ref="H265">INDEX(postDEL!$A$2:$AL799,$O265,37)</f>
        <v>Negative</v>
      </c>
      <c r="I265" s="217">
        <f t="array" ref="I265">INDEX(postDEL!$A$2:$AL799,$O265,12)</f>
        <v>44585</v>
      </c>
      <c r="J265" s="218">
        <f t="array" ref="J265">INDEX(postDEL!$A$2:$AL799,$O265,13)</f>
        <v>0.4705902778</v>
      </c>
      <c r="K265" s="219" t="str">
        <f t="array" ref="K265">INDEX(postDEL!$A$2:$AL799,$O265,36)</f>
        <v/>
      </c>
      <c r="L265" s="219" t="str">
        <f t="array" ref="L265">INDEX(postDEL!$A$2:$AL799,$O265,38)</f>
        <v/>
      </c>
      <c r="M265" s="219" t="str">
        <f t="array" ref="M265">INDEX(postDEL!$A$2:$AL799,$O265,15)</f>
        <v/>
      </c>
      <c r="N265" s="110">
        <f>COUNTIF(postDEL!$A$2:$A799,A265)</f>
        <v>1</v>
      </c>
      <c r="O265" s="19">
        <f>MATCH(A265,postDEL!A$2:A799,0)</f>
        <v>264</v>
      </c>
      <c r="P265" s="10" t="str">
        <f t="shared" si="1"/>
        <v/>
      </c>
      <c r="Q265" s="220">
        <f t="shared" si="2"/>
        <v>0</v>
      </c>
      <c r="R265" s="5"/>
    </row>
    <row r="266">
      <c r="A266" s="221" t="s">
        <v>1023</v>
      </c>
      <c r="B266" s="217">
        <f t="array" ref="B266">INDEX(postDEL!$A$2:$P799,$O266,2)</f>
        <v>44585</v>
      </c>
      <c r="C266" s="218">
        <f t="array" ref="C266">INDEX(postDEL!$A$2:$P799,$O266,3)</f>
        <v>0.4310532407</v>
      </c>
      <c r="D266" s="219" t="str">
        <f t="array" ref="D266">INDEX(postDEL!$A$2:$AN799,$O266,39)</f>
        <v>SpBEND394154</v>
      </c>
      <c r="E266" s="219" t="str">
        <f t="array" ref="E266">INDEX(postDEL!$A$2:$P799,$O266,4)</f>
        <v/>
      </c>
      <c r="F266" s="219" t="str">
        <f t="array" ref="F266">INDEX(postDEL!$A$2:$P799,$O266,5)</f>
        <v/>
      </c>
      <c r="G266" s="219" t="str">
        <f t="array" ref="G266">INDEX(postDEL!$A$2:$P799,$O266,11)</f>
        <v>Negative</v>
      </c>
      <c r="H266" s="219" t="str">
        <f t="array" ref="H266">INDEX(postDEL!$A$2:$AL799,$O266,37)</f>
        <v>Negative</v>
      </c>
      <c r="I266" s="217">
        <f t="array" ref="I266">INDEX(postDEL!$A$2:$AL799,$O266,12)</f>
        <v>44585</v>
      </c>
      <c r="J266" s="218">
        <f t="array" ref="J266">INDEX(postDEL!$A$2:$AL799,$O266,13)</f>
        <v>0.4705902778</v>
      </c>
      <c r="K266" s="219" t="str">
        <f t="array" ref="K266">INDEX(postDEL!$A$2:$AL799,$O266,36)</f>
        <v/>
      </c>
      <c r="L266" s="219" t="str">
        <f t="array" ref="L266">INDEX(postDEL!$A$2:$AL799,$O266,38)</f>
        <v/>
      </c>
      <c r="M266" s="219" t="str">
        <f t="array" ref="M266">INDEX(postDEL!$A$2:$AL799,$O266,15)</f>
        <v/>
      </c>
      <c r="N266" s="110">
        <f>COUNTIF(postDEL!$A$2:$A799,A266)</f>
        <v>1</v>
      </c>
      <c r="O266" s="19">
        <f>MATCH(A266,postDEL!A$2:A799,0)</f>
        <v>265</v>
      </c>
      <c r="P266" s="10" t="str">
        <f t="shared" si="1"/>
        <v/>
      </c>
      <c r="Q266" s="220">
        <f t="shared" si="2"/>
        <v>0</v>
      </c>
      <c r="R266" s="5"/>
    </row>
    <row r="267">
      <c r="A267" s="221" t="s">
        <v>1025</v>
      </c>
      <c r="B267" s="217">
        <f t="array" ref="B267">INDEX(postDEL!$A$2:$P799,$O267,2)</f>
        <v>44587</v>
      </c>
      <c r="C267" s="218">
        <f t="array" ref="C267">INDEX(postDEL!$A$2:$P799,$O267,3)</f>
        <v>0.2957407407</v>
      </c>
      <c r="D267" s="219" t="str">
        <f t="array" ref="D267">INDEX(postDEL!$A$2:$AN799,$O267,39)</f>
        <v>SpBEND394154</v>
      </c>
      <c r="E267" s="219" t="str">
        <f t="array" ref="E267">INDEX(postDEL!$A$2:$P799,$O267,4)</f>
        <v/>
      </c>
      <c r="F267" s="219" t="str">
        <f t="array" ref="F267">INDEX(postDEL!$A$2:$P799,$O267,5)</f>
        <v/>
      </c>
      <c r="G267" s="219" t="str">
        <f t="array" ref="G267">INDEX(postDEL!$A$2:$P799,$O267,11)</f>
        <v>Negative</v>
      </c>
      <c r="H267" s="219" t="str">
        <f t="array" ref="H267">INDEX(postDEL!$A$2:$AL799,$O267,37)</f>
        <v>Negative</v>
      </c>
      <c r="I267" s="217">
        <f t="array" ref="I267">INDEX(postDEL!$A$2:$AL799,$O267,12)</f>
        <v>44587</v>
      </c>
      <c r="J267" s="218">
        <f t="array" ref="J267">INDEX(postDEL!$A$2:$AL799,$O267,13)</f>
        <v>0.5005439815</v>
      </c>
      <c r="K267" s="219" t="str">
        <f t="array" ref="K267">INDEX(postDEL!$A$2:$AL799,$O267,36)</f>
        <v/>
      </c>
      <c r="L267" s="219" t="str">
        <f t="array" ref="L267">INDEX(postDEL!$A$2:$AL799,$O267,38)</f>
        <v/>
      </c>
      <c r="M267" s="219" t="str">
        <f t="array" ref="M267">INDEX(postDEL!$A$2:$AL799,$O267,15)</f>
        <v/>
      </c>
      <c r="N267" s="110">
        <f>COUNTIF(postDEL!$A$2:$A799,A267)</f>
        <v>1</v>
      </c>
      <c r="O267" s="19">
        <f>MATCH(A267,postDEL!A$2:A799,0)</f>
        <v>266</v>
      </c>
      <c r="P267" s="10" t="b">
        <f t="shared" si="1"/>
        <v>1</v>
      </c>
      <c r="Q267" s="220">
        <f t="shared" si="2"/>
        <v>0</v>
      </c>
      <c r="R267" s="5"/>
    </row>
    <row r="268">
      <c r="A268" s="221" t="s">
        <v>1027</v>
      </c>
      <c r="B268" s="217">
        <f t="array" ref="B268">INDEX(postDEL!$A$2:$P799,$O268,2)</f>
        <v>44587</v>
      </c>
      <c r="C268" s="218">
        <f t="array" ref="C268">INDEX(postDEL!$A$2:$P799,$O268,3)</f>
        <v>0.2965162037</v>
      </c>
      <c r="D268" s="219" t="str">
        <f t="array" ref="D268">INDEX(postDEL!$A$2:$AN799,$O268,39)</f>
        <v>SpBEND394154</v>
      </c>
      <c r="E268" s="219" t="str">
        <f t="array" ref="E268">INDEX(postDEL!$A$2:$P799,$O268,4)</f>
        <v/>
      </c>
      <c r="F268" s="219" t="str">
        <f t="array" ref="F268">INDEX(postDEL!$A$2:$P799,$O268,5)</f>
        <v/>
      </c>
      <c r="G268" s="219" t="str">
        <f t="array" ref="G268">INDEX(postDEL!$A$2:$P799,$O268,11)</f>
        <v>Negative</v>
      </c>
      <c r="H268" s="219" t="str">
        <f t="array" ref="H268">INDEX(postDEL!$A$2:$AL799,$O268,37)</f>
        <v>Negative</v>
      </c>
      <c r="I268" s="217">
        <f t="array" ref="I268">INDEX(postDEL!$A$2:$AL799,$O268,12)</f>
        <v>44587</v>
      </c>
      <c r="J268" s="218">
        <f t="array" ref="J268">INDEX(postDEL!$A$2:$AL799,$O268,13)</f>
        <v>0.5005439815</v>
      </c>
      <c r="K268" s="219" t="str">
        <f t="array" ref="K268">INDEX(postDEL!$A$2:$AL799,$O268,36)</f>
        <v/>
      </c>
      <c r="L268" s="219" t="str">
        <f t="array" ref="L268">INDEX(postDEL!$A$2:$AL799,$O268,38)</f>
        <v/>
      </c>
      <c r="M268" s="219" t="str">
        <f t="array" ref="M268">INDEX(postDEL!$A$2:$AL799,$O268,15)</f>
        <v/>
      </c>
      <c r="N268" s="110">
        <f>COUNTIF(postDEL!$A$2:$A799,A268)</f>
        <v>1</v>
      </c>
      <c r="O268" s="19">
        <f>MATCH(A268,postDEL!A$2:A799,0)</f>
        <v>267</v>
      </c>
      <c r="P268" s="10" t="str">
        <f t="shared" si="1"/>
        <v/>
      </c>
      <c r="Q268" s="220">
        <f t="shared" si="2"/>
        <v>0</v>
      </c>
      <c r="R268" s="5"/>
    </row>
    <row r="269">
      <c r="A269" s="221" t="s">
        <v>1029</v>
      </c>
      <c r="B269" s="217">
        <f t="array" ref="B269">INDEX(postDEL!$A$2:$P799,$O269,2)</f>
        <v>44587</v>
      </c>
      <c r="C269" s="218">
        <f t="array" ref="C269">INDEX(postDEL!$A$2:$P799,$O269,3)</f>
        <v>0.3039351852</v>
      </c>
      <c r="D269" s="219" t="str">
        <f t="array" ref="D269">INDEX(postDEL!$A$2:$AN799,$O269,39)</f>
        <v>SpBEND139600</v>
      </c>
      <c r="E269" s="219" t="str">
        <f t="array" ref="E269">INDEX(postDEL!$A$2:$P799,$O269,4)</f>
        <v/>
      </c>
      <c r="F269" s="219" t="str">
        <f t="array" ref="F269">INDEX(postDEL!$A$2:$P799,$O269,5)</f>
        <v/>
      </c>
      <c r="G269" s="219" t="str">
        <f t="array" ref="G269">INDEX(postDEL!$A$2:$P799,$O269,11)</f>
        <v>Negative</v>
      </c>
      <c r="H269" s="219" t="str">
        <f t="array" ref="H269">INDEX(postDEL!$A$2:$AL799,$O269,37)</f>
        <v>Negative</v>
      </c>
      <c r="I269" s="217">
        <f t="array" ref="I269">INDEX(postDEL!$A$2:$AL799,$O269,12)</f>
        <v>44587</v>
      </c>
      <c r="J269" s="218">
        <f t="array" ref="J269">INDEX(postDEL!$A$2:$AL799,$O269,13)</f>
        <v>0.5005439815</v>
      </c>
      <c r="K269" s="219" t="str">
        <f t="array" ref="K269">INDEX(postDEL!$A$2:$AL799,$O269,36)</f>
        <v/>
      </c>
      <c r="L269" s="219" t="str">
        <f t="array" ref="L269">INDEX(postDEL!$A$2:$AL799,$O269,38)</f>
        <v/>
      </c>
      <c r="M269" s="219" t="str">
        <f t="array" ref="M269">INDEX(postDEL!$A$2:$AL799,$O269,15)</f>
        <v/>
      </c>
      <c r="N269" s="110">
        <f>COUNTIF(postDEL!$A$2:$A799,A269)</f>
        <v>1</v>
      </c>
      <c r="O269" s="19">
        <f>MATCH(A269,postDEL!A$2:A799,0)</f>
        <v>268</v>
      </c>
      <c r="P269" s="10" t="str">
        <f t="shared" si="1"/>
        <v/>
      </c>
      <c r="Q269" s="220">
        <f t="shared" si="2"/>
        <v>0</v>
      </c>
      <c r="R269" s="5"/>
    </row>
    <row r="270">
      <c r="A270" s="221" t="s">
        <v>1031</v>
      </c>
      <c r="B270" s="217">
        <f t="array" ref="B270">INDEX(postDEL!$A$2:$P799,$O270,2)</f>
        <v>44587</v>
      </c>
      <c r="C270" s="218">
        <f t="array" ref="C270">INDEX(postDEL!$A$2:$P799,$O270,3)</f>
        <v>0.3234953704</v>
      </c>
      <c r="D270" s="219" t="str">
        <f t="array" ref="D270">INDEX(postDEL!$A$2:$AN799,$O270,39)</f>
        <v>SpBEND551372</v>
      </c>
      <c r="E270" s="219" t="str">
        <f t="array" ref="E270">INDEX(postDEL!$A$2:$P799,$O270,4)</f>
        <v/>
      </c>
      <c r="F270" s="219" t="str">
        <f t="array" ref="F270">INDEX(postDEL!$A$2:$P799,$O270,5)</f>
        <v/>
      </c>
      <c r="G270" s="219" t="str">
        <f t="array" ref="G270">INDEX(postDEL!$A$2:$P799,$O270,11)</f>
        <v>Negative</v>
      </c>
      <c r="H270" s="219" t="str">
        <f t="array" ref="H270">INDEX(postDEL!$A$2:$AL799,$O270,37)</f>
        <v>Negative</v>
      </c>
      <c r="I270" s="217">
        <f t="array" ref="I270">INDEX(postDEL!$A$2:$AL799,$O270,12)</f>
        <v>44587</v>
      </c>
      <c r="J270" s="218">
        <f t="array" ref="J270">INDEX(postDEL!$A$2:$AL799,$O270,13)</f>
        <v>0.5005439815</v>
      </c>
      <c r="K270" s="219" t="str">
        <f t="array" ref="K270">INDEX(postDEL!$A$2:$AL799,$O270,36)</f>
        <v/>
      </c>
      <c r="L270" s="219" t="str">
        <f t="array" ref="L270">INDEX(postDEL!$A$2:$AL799,$O270,38)</f>
        <v/>
      </c>
      <c r="M270" s="219" t="str">
        <f t="array" ref="M270">INDEX(postDEL!$A$2:$AL799,$O270,15)</f>
        <v/>
      </c>
      <c r="N270" s="110">
        <f>COUNTIF(postDEL!$A$2:$A799,A270)</f>
        <v>1</v>
      </c>
      <c r="O270" s="19">
        <f>MATCH(A270,postDEL!A$2:A799,0)</f>
        <v>269</v>
      </c>
      <c r="P270" s="10" t="str">
        <f t="shared" si="1"/>
        <v/>
      </c>
      <c r="Q270" s="220">
        <f t="shared" si="2"/>
        <v>0</v>
      </c>
      <c r="R270" s="5"/>
    </row>
    <row r="271">
      <c r="A271" s="221" t="s">
        <v>1033</v>
      </c>
      <c r="B271" s="217">
        <f t="array" ref="B271">INDEX(postDEL!$A$2:$P799,$O271,2)</f>
        <v>44587</v>
      </c>
      <c r="C271" s="218">
        <f t="array" ref="C271">INDEX(postDEL!$A$2:$P799,$O271,3)</f>
        <v>0.3237152778</v>
      </c>
      <c r="D271" s="219" t="str">
        <f t="array" ref="D271">INDEX(postDEL!$A$2:$AN799,$O271,39)</f>
        <v>SpBEND767550</v>
      </c>
      <c r="E271" s="219" t="str">
        <f t="array" ref="E271">INDEX(postDEL!$A$2:$P799,$O271,4)</f>
        <v/>
      </c>
      <c r="F271" s="219" t="str">
        <f t="array" ref="F271">INDEX(postDEL!$A$2:$P799,$O271,5)</f>
        <v/>
      </c>
      <c r="G271" s="219" t="str">
        <f t="array" ref="G271">INDEX(postDEL!$A$2:$P799,$O271,11)</f>
        <v>Negative</v>
      </c>
      <c r="H271" s="219" t="str">
        <f t="array" ref="H271">INDEX(postDEL!$A$2:$AL799,$O271,37)</f>
        <v>Negative</v>
      </c>
      <c r="I271" s="217">
        <f t="array" ref="I271">INDEX(postDEL!$A$2:$AL799,$O271,12)</f>
        <v>44587</v>
      </c>
      <c r="J271" s="218">
        <f t="array" ref="J271">INDEX(postDEL!$A$2:$AL799,$O271,13)</f>
        <v>0.5005439815</v>
      </c>
      <c r="K271" s="219" t="str">
        <f t="array" ref="K271">INDEX(postDEL!$A$2:$AL799,$O271,36)</f>
        <v/>
      </c>
      <c r="L271" s="219" t="str">
        <f t="array" ref="L271">INDEX(postDEL!$A$2:$AL799,$O271,38)</f>
        <v/>
      </c>
      <c r="M271" s="219" t="str">
        <f t="array" ref="M271">INDEX(postDEL!$A$2:$AL799,$O271,15)</f>
        <v/>
      </c>
      <c r="N271" s="110">
        <f>COUNTIF(postDEL!$A$2:$A799,A271)</f>
        <v>1</v>
      </c>
      <c r="O271" s="19">
        <f>MATCH(A271,postDEL!A$2:A799,0)</f>
        <v>270</v>
      </c>
      <c r="P271" s="10" t="str">
        <f t="shared" si="1"/>
        <v/>
      </c>
      <c r="Q271" s="220">
        <f t="shared" si="2"/>
        <v>0</v>
      </c>
      <c r="R271" s="5"/>
    </row>
    <row r="272">
      <c r="A272" s="221" t="s">
        <v>1035</v>
      </c>
      <c r="B272" s="217">
        <f t="array" ref="B272">INDEX(postDEL!$A$2:$P799,$O272,2)</f>
        <v>44587</v>
      </c>
      <c r="C272" s="218">
        <f t="array" ref="C272">INDEX(postDEL!$A$2:$P799,$O272,3)</f>
        <v>0.32375</v>
      </c>
      <c r="D272" s="219" t="str">
        <f t="array" ref="D272">INDEX(postDEL!$A$2:$AN799,$O272,39)</f>
        <v>SpBEND551372</v>
      </c>
      <c r="E272" s="219" t="str">
        <f t="array" ref="E272">INDEX(postDEL!$A$2:$P799,$O272,4)</f>
        <v/>
      </c>
      <c r="F272" s="219" t="str">
        <f t="array" ref="F272">INDEX(postDEL!$A$2:$P799,$O272,5)</f>
        <v/>
      </c>
      <c r="G272" s="219" t="str">
        <f t="array" ref="G272">INDEX(postDEL!$A$2:$P799,$O272,11)</f>
        <v>Negative</v>
      </c>
      <c r="H272" s="219" t="str">
        <f t="array" ref="H272">INDEX(postDEL!$A$2:$AL799,$O272,37)</f>
        <v>Negative</v>
      </c>
      <c r="I272" s="217">
        <f t="array" ref="I272">INDEX(postDEL!$A$2:$AL799,$O272,12)</f>
        <v>44587</v>
      </c>
      <c r="J272" s="218">
        <f t="array" ref="J272">INDEX(postDEL!$A$2:$AL799,$O272,13)</f>
        <v>0.5005439815</v>
      </c>
      <c r="K272" s="219" t="str">
        <f t="array" ref="K272">INDEX(postDEL!$A$2:$AL799,$O272,36)</f>
        <v/>
      </c>
      <c r="L272" s="219" t="str">
        <f t="array" ref="L272">INDEX(postDEL!$A$2:$AL799,$O272,38)</f>
        <v/>
      </c>
      <c r="M272" s="219" t="str">
        <f t="array" ref="M272">INDEX(postDEL!$A$2:$AL799,$O272,15)</f>
        <v/>
      </c>
      <c r="N272" s="110">
        <f>COUNTIF(postDEL!$A$2:$A799,A272)</f>
        <v>1</v>
      </c>
      <c r="O272" s="19">
        <f>MATCH(A272,postDEL!A$2:A799,0)</f>
        <v>271</v>
      </c>
      <c r="P272" s="10" t="str">
        <f t="shared" si="1"/>
        <v/>
      </c>
      <c r="Q272" s="220">
        <f t="shared" si="2"/>
        <v>0</v>
      </c>
      <c r="R272" s="5"/>
    </row>
    <row r="273">
      <c r="A273" s="221" t="s">
        <v>1037</v>
      </c>
      <c r="B273" s="217">
        <f t="array" ref="B273">INDEX(postDEL!$A$2:$P799,$O273,2)</f>
        <v>44587</v>
      </c>
      <c r="C273" s="218">
        <f t="array" ref="C273">INDEX(postDEL!$A$2:$P799,$O273,3)</f>
        <v>0.3313425926</v>
      </c>
      <c r="D273" s="219" t="str">
        <f t="array" ref="D273">INDEX(postDEL!$A$2:$AN799,$O273,39)</f>
        <v>SpBEND548976</v>
      </c>
      <c r="E273" s="219" t="str">
        <f t="array" ref="E273">INDEX(postDEL!$A$2:$P799,$O273,4)</f>
        <v/>
      </c>
      <c r="F273" s="219" t="str">
        <f t="array" ref="F273">INDEX(postDEL!$A$2:$P799,$O273,5)</f>
        <v/>
      </c>
      <c r="G273" s="219" t="str">
        <f t="array" ref="G273">INDEX(postDEL!$A$2:$P799,$O273,11)</f>
        <v>Negative</v>
      </c>
      <c r="H273" s="219" t="str">
        <f t="array" ref="H273">INDEX(postDEL!$A$2:$AL799,$O273,37)</f>
        <v>Negative</v>
      </c>
      <c r="I273" s="217">
        <f t="array" ref="I273">INDEX(postDEL!$A$2:$AL799,$O273,12)</f>
        <v>44587</v>
      </c>
      <c r="J273" s="218">
        <f t="array" ref="J273">INDEX(postDEL!$A$2:$AL799,$O273,13)</f>
        <v>0.5005555556</v>
      </c>
      <c r="K273" s="219" t="str">
        <f t="array" ref="K273">INDEX(postDEL!$A$2:$AL799,$O273,36)</f>
        <v/>
      </c>
      <c r="L273" s="219" t="str">
        <f t="array" ref="L273">INDEX(postDEL!$A$2:$AL799,$O273,38)</f>
        <v/>
      </c>
      <c r="M273" s="219" t="str">
        <f t="array" ref="M273">INDEX(postDEL!$A$2:$AL799,$O273,15)</f>
        <v/>
      </c>
      <c r="N273" s="110">
        <f>COUNTIF(postDEL!$A$2:$A799,A273)</f>
        <v>1</v>
      </c>
      <c r="O273" s="19">
        <f>MATCH(A273,postDEL!A$2:A799,0)</f>
        <v>272</v>
      </c>
      <c r="P273" s="10" t="str">
        <f t="shared" si="1"/>
        <v/>
      </c>
      <c r="Q273" s="220">
        <f t="shared" si="2"/>
        <v>0</v>
      </c>
      <c r="R273" s="5"/>
    </row>
    <row r="274">
      <c r="A274" s="221" t="s">
        <v>1039</v>
      </c>
      <c r="B274" s="217">
        <f t="array" ref="B274">INDEX(postDEL!$A$2:$P799,$O274,2)</f>
        <v>44587</v>
      </c>
      <c r="C274" s="218">
        <f t="array" ref="C274">INDEX(postDEL!$A$2:$P799,$O274,3)</f>
        <v>0.3318518519</v>
      </c>
      <c r="D274" s="219" t="str">
        <f t="array" ref="D274">INDEX(postDEL!$A$2:$AN799,$O274,39)</f>
        <v>SpBEND845509</v>
      </c>
      <c r="E274" s="219" t="str">
        <f t="array" ref="E274">INDEX(postDEL!$A$2:$P799,$O274,4)</f>
        <v/>
      </c>
      <c r="F274" s="219" t="str">
        <f t="array" ref="F274">INDEX(postDEL!$A$2:$P799,$O274,5)</f>
        <v/>
      </c>
      <c r="G274" s="219" t="str">
        <f t="array" ref="G274">INDEX(postDEL!$A$2:$P799,$O274,11)</f>
        <v>Negative</v>
      </c>
      <c r="H274" s="219" t="str">
        <f t="array" ref="H274">INDEX(postDEL!$A$2:$AL799,$O274,37)</f>
        <v>Negative</v>
      </c>
      <c r="I274" s="217">
        <f t="array" ref="I274">INDEX(postDEL!$A$2:$AL799,$O274,12)</f>
        <v>44587</v>
      </c>
      <c r="J274" s="218">
        <f t="array" ref="J274">INDEX(postDEL!$A$2:$AL799,$O274,13)</f>
        <v>0.5005555556</v>
      </c>
      <c r="K274" s="219" t="str">
        <f t="array" ref="K274">INDEX(postDEL!$A$2:$AL799,$O274,36)</f>
        <v/>
      </c>
      <c r="L274" s="219" t="str">
        <f t="array" ref="L274">INDEX(postDEL!$A$2:$AL799,$O274,38)</f>
        <v/>
      </c>
      <c r="M274" s="219" t="str">
        <f t="array" ref="M274">INDEX(postDEL!$A$2:$AL799,$O274,15)</f>
        <v/>
      </c>
      <c r="N274" s="110">
        <f>COUNTIF(postDEL!$A$2:$A799,A274)</f>
        <v>1</v>
      </c>
      <c r="O274" s="19">
        <f>MATCH(A274,postDEL!A$2:A799,0)</f>
        <v>273</v>
      </c>
      <c r="P274" s="10" t="str">
        <f t="shared" si="1"/>
        <v/>
      </c>
      <c r="Q274" s="220">
        <f t="shared" si="2"/>
        <v>0</v>
      </c>
      <c r="R274" s="5"/>
    </row>
    <row r="275">
      <c r="A275" s="221" t="s">
        <v>1042</v>
      </c>
      <c r="B275" s="217">
        <f t="array" ref="B275">INDEX(postDEL!$A$2:$P799,$O275,2)</f>
        <v>44587</v>
      </c>
      <c r="C275" s="218">
        <f t="array" ref="C275">INDEX(postDEL!$A$2:$P799,$O275,3)</f>
        <v>0.3365972222</v>
      </c>
      <c r="D275" s="219" t="str">
        <f t="array" ref="D275">INDEX(postDEL!$A$2:$AN799,$O275,39)</f>
        <v>SpBEND136234</v>
      </c>
      <c r="E275" s="219" t="str">
        <f t="array" ref="E275">INDEX(postDEL!$A$2:$P799,$O275,4)</f>
        <v/>
      </c>
      <c r="F275" s="219" t="str">
        <f t="array" ref="F275">INDEX(postDEL!$A$2:$P799,$O275,5)</f>
        <v/>
      </c>
      <c r="G275" s="219" t="str">
        <f t="array" ref="G275">INDEX(postDEL!$A$2:$P799,$O275,11)</f>
        <v>Negative</v>
      </c>
      <c r="H275" s="219" t="str">
        <f t="array" ref="H275">INDEX(postDEL!$A$2:$AL799,$O275,37)</f>
        <v>Negative</v>
      </c>
      <c r="I275" s="217">
        <f t="array" ref="I275">INDEX(postDEL!$A$2:$AL799,$O275,12)</f>
        <v>44587</v>
      </c>
      <c r="J275" s="218">
        <f t="array" ref="J275">INDEX(postDEL!$A$2:$AL799,$O275,13)</f>
        <v>0.5005555556</v>
      </c>
      <c r="K275" s="219" t="str">
        <f t="array" ref="K275">INDEX(postDEL!$A$2:$AL799,$O275,36)</f>
        <v/>
      </c>
      <c r="L275" s="219" t="str">
        <f t="array" ref="L275">INDEX(postDEL!$A$2:$AL799,$O275,38)</f>
        <v/>
      </c>
      <c r="M275" s="219" t="str">
        <f t="array" ref="M275">INDEX(postDEL!$A$2:$AL799,$O275,15)</f>
        <v/>
      </c>
      <c r="N275" s="110">
        <f>COUNTIF(postDEL!$A$2:$A799,A275)</f>
        <v>1</v>
      </c>
      <c r="O275" s="19">
        <f>MATCH(A275,postDEL!A$2:A799,0)</f>
        <v>274</v>
      </c>
      <c r="P275" s="10" t="str">
        <f t="shared" si="1"/>
        <v/>
      </c>
      <c r="Q275" s="220">
        <f t="shared" si="2"/>
        <v>0</v>
      </c>
      <c r="R275" s="5"/>
    </row>
    <row r="276">
      <c r="A276" s="221" t="s">
        <v>1044</v>
      </c>
      <c r="B276" s="217">
        <f t="array" ref="B276">INDEX(postDEL!$A$2:$P799,$O276,2)</f>
        <v>44587</v>
      </c>
      <c r="C276" s="218">
        <f t="array" ref="C276">INDEX(postDEL!$A$2:$P799,$O276,3)</f>
        <v>0.3372222222</v>
      </c>
      <c r="D276" s="219" t="str">
        <f t="array" ref="D276">INDEX(postDEL!$A$2:$AN799,$O276,39)</f>
        <v>SpBEND768497</v>
      </c>
      <c r="E276" s="219" t="str">
        <f t="array" ref="E276">INDEX(postDEL!$A$2:$P799,$O276,4)</f>
        <v/>
      </c>
      <c r="F276" s="219" t="str">
        <f t="array" ref="F276">INDEX(postDEL!$A$2:$P799,$O276,5)</f>
        <v/>
      </c>
      <c r="G276" s="219" t="str">
        <f t="array" ref="G276">INDEX(postDEL!$A$2:$P799,$O276,11)</f>
        <v>Negative</v>
      </c>
      <c r="H276" s="219" t="str">
        <f t="array" ref="H276">INDEX(postDEL!$A$2:$AL799,$O276,37)</f>
        <v>Negative</v>
      </c>
      <c r="I276" s="217">
        <f t="array" ref="I276">INDEX(postDEL!$A$2:$AL799,$O276,12)</f>
        <v>44587</v>
      </c>
      <c r="J276" s="218">
        <f t="array" ref="J276">INDEX(postDEL!$A$2:$AL799,$O276,13)</f>
        <v>0.5005555556</v>
      </c>
      <c r="K276" s="219" t="str">
        <f t="array" ref="K276">INDEX(postDEL!$A$2:$AL799,$O276,36)</f>
        <v/>
      </c>
      <c r="L276" s="219" t="str">
        <f t="array" ref="L276">INDEX(postDEL!$A$2:$AL799,$O276,38)</f>
        <v/>
      </c>
      <c r="M276" s="219" t="str">
        <f t="array" ref="M276">INDEX(postDEL!$A$2:$AL799,$O276,15)</f>
        <v/>
      </c>
      <c r="N276" s="110">
        <f>COUNTIF(postDEL!$A$2:$A799,A276)</f>
        <v>1</v>
      </c>
      <c r="O276" s="19">
        <f>MATCH(A276,postDEL!A$2:A799,0)</f>
        <v>275</v>
      </c>
      <c r="P276" s="10" t="str">
        <f t="shared" si="1"/>
        <v/>
      </c>
      <c r="Q276" s="220">
        <f t="shared" si="2"/>
        <v>0</v>
      </c>
      <c r="R276" s="5"/>
    </row>
    <row r="277">
      <c r="A277" s="221" t="s">
        <v>1046</v>
      </c>
      <c r="B277" s="217">
        <f t="array" ref="B277">INDEX(postDEL!$A$2:$P799,$O277,2)</f>
        <v>44587</v>
      </c>
      <c r="C277" s="218">
        <f t="array" ref="C277">INDEX(postDEL!$A$2:$P799,$O277,3)</f>
        <v>0.3502314815</v>
      </c>
      <c r="D277" s="219" t="str">
        <f t="array" ref="D277">INDEX(postDEL!$A$2:$AN799,$O277,39)</f>
        <v>SpBEND387578</v>
      </c>
      <c r="E277" s="219" t="str">
        <f t="array" ref="E277">INDEX(postDEL!$A$2:$P799,$O277,4)</f>
        <v/>
      </c>
      <c r="F277" s="219" t="str">
        <f t="array" ref="F277">INDEX(postDEL!$A$2:$P799,$O277,5)</f>
        <v/>
      </c>
      <c r="G277" s="219" t="str">
        <f t="array" ref="G277">INDEX(postDEL!$A$2:$P799,$O277,11)</f>
        <v>Negative</v>
      </c>
      <c r="H277" s="219" t="str">
        <f t="array" ref="H277">INDEX(postDEL!$A$2:$AL799,$O277,37)</f>
        <v>Negative</v>
      </c>
      <c r="I277" s="217">
        <f t="array" ref="I277">INDEX(postDEL!$A$2:$AL799,$O277,12)</f>
        <v>44587</v>
      </c>
      <c r="J277" s="218">
        <f t="array" ref="J277">INDEX(postDEL!$A$2:$AL799,$O277,13)</f>
        <v>0.5005555556</v>
      </c>
      <c r="K277" s="219" t="str">
        <f t="array" ref="K277">INDEX(postDEL!$A$2:$AL799,$O277,36)</f>
        <v/>
      </c>
      <c r="L277" s="219" t="str">
        <f t="array" ref="L277">INDEX(postDEL!$A$2:$AL799,$O277,38)</f>
        <v/>
      </c>
      <c r="M277" s="219" t="str">
        <f t="array" ref="M277">INDEX(postDEL!$A$2:$AL799,$O277,15)</f>
        <v/>
      </c>
      <c r="N277" s="110">
        <f>COUNTIF(postDEL!$A$2:$A799,A277)</f>
        <v>1</v>
      </c>
      <c r="O277" s="19">
        <f>MATCH(A277,postDEL!A$2:A799,0)</f>
        <v>276</v>
      </c>
      <c r="P277" s="10" t="str">
        <f t="shared" si="1"/>
        <v/>
      </c>
      <c r="Q277" s="220">
        <f t="shared" si="2"/>
        <v>0</v>
      </c>
      <c r="R277" s="5"/>
    </row>
    <row r="278">
      <c r="A278" s="221" t="s">
        <v>1048</v>
      </c>
      <c r="B278" s="217">
        <f t="array" ref="B278">INDEX(postDEL!$A$2:$P799,$O278,2)</f>
        <v>44587</v>
      </c>
      <c r="C278" s="218">
        <f t="array" ref="C278">INDEX(postDEL!$A$2:$P799,$O278,3)</f>
        <v>0.3566898148</v>
      </c>
      <c r="D278" s="219" t="str">
        <f t="array" ref="D278">INDEX(postDEL!$A$2:$AN799,$O278,39)</f>
        <v>SpBEND110967</v>
      </c>
      <c r="E278" s="219" t="str">
        <f t="array" ref="E278">INDEX(postDEL!$A$2:$P799,$O278,4)</f>
        <v/>
      </c>
      <c r="F278" s="219" t="str">
        <f t="array" ref="F278">INDEX(postDEL!$A$2:$P799,$O278,5)</f>
        <v/>
      </c>
      <c r="G278" s="219" t="str">
        <f t="array" ref="G278">INDEX(postDEL!$A$2:$P799,$O278,11)</f>
        <v>Negative</v>
      </c>
      <c r="H278" s="219" t="str">
        <f t="array" ref="H278">INDEX(postDEL!$A$2:$AL799,$O278,37)</f>
        <v>Negative</v>
      </c>
      <c r="I278" s="217">
        <f t="array" ref="I278">INDEX(postDEL!$A$2:$AL799,$O278,12)</f>
        <v>44587</v>
      </c>
      <c r="J278" s="218">
        <f t="array" ref="J278">INDEX(postDEL!$A$2:$AL799,$O278,13)</f>
        <v>0.5005671296</v>
      </c>
      <c r="K278" s="219" t="str">
        <f t="array" ref="K278">INDEX(postDEL!$A$2:$AL799,$O278,36)</f>
        <v/>
      </c>
      <c r="L278" s="219" t="str">
        <f t="array" ref="L278">INDEX(postDEL!$A$2:$AL799,$O278,38)</f>
        <v/>
      </c>
      <c r="M278" s="219" t="str">
        <f t="array" ref="M278">INDEX(postDEL!$A$2:$AL799,$O278,15)</f>
        <v/>
      </c>
      <c r="N278" s="110">
        <f>COUNTIF(postDEL!$A$2:$A799,A278)</f>
        <v>1</v>
      </c>
      <c r="O278" s="19">
        <f>MATCH(A278,postDEL!A$2:A799,0)</f>
        <v>277</v>
      </c>
      <c r="P278" s="10" t="str">
        <f t="shared" si="1"/>
        <v/>
      </c>
      <c r="Q278" s="220">
        <f t="shared" si="2"/>
        <v>0</v>
      </c>
      <c r="R278" s="5"/>
    </row>
    <row r="279">
      <c r="A279" s="221" t="s">
        <v>1051</v>
      </c>
      <c r="B279" s="217">
        <f t="array" ref="B279">INDEX(postDEL!$A$2:$P799,$O279,2)</f>
        <v>44587</v>
      </c>
      <c r="C279" s="218">
        <f t="array" ref="C279">INDEX(postDEL!$A$2:$P799,$O279,3)</f>
        <v>0.3889467593</v>
      </c>
      <c r="D279" s="219" t="str">
        <f t="array" ref="D279">INDEX(postDEL!$A$2:$AN799,$O279,39)</f>
        <v>SpBEND394154</v>
      </c>
      <c r="E279" s="219" t="str">
        <f t="array" ref="E279">INDEX(postDEL!$A$2:$P799,$O279,4)</f>
        <v/>
      </c>
      <c r="F279" s="219" t="str">
        <f t="array" ref="F279">INDEX(postDEL!$A$2:$P799,$O279,5)</f>
        <v/>
      </c>
      <c r="G279" s="219" t="str">
        <f t="array" ref="G279">INDEX(postDEL!$A$2:$P799,$O279,11)</f>
        <v>Negative</v>
      </c>
      <c r="H279" s="219" t="str">
        <f t="array" ref="H279">INDEX(postDEL!$A$2:$AL799,$O279,37)</f>
        <v>Negative</v>
      </c>
      <c r="I279" s="217">
        <f t="array" ref="I279">INDEX(postDEL!$A$2:$AL799,$O279,12)</f>
        <v>44587</v>
      </c>
      <c r="J279" s="218">
        <f t="array" ref="J279">INDEX(postDEL!$A$2:$AL799,$O279,13)</f>
        <v>0.5005671296</v>
      </c>
      <c r="K279" s="219" t="str">
        <f t="array" ref="K279">INDEX(postDEL!$A$2:$AL799,$O279,36)</f>
        <v/>
      </c>
      <c r="L279" s="219" t="str">
        <f t="array" ref="L279">INDEX(postDEL!$A$2:$AL799,$O279,38)</f>
        <v/>
      </c>
      <c r="M279" s="219" t="str">
        <f t="array" ref="M279">INDEX(postDEL!$A$2:$AL799,$O279,15)</f>
        <v/>
      </c>
      <c r="N279" s="110">
        <f>COUNTIF(postDEL!$A$2:$A799,A279)</f>
        <v>1</v>
      </c>
      <c r="O279" s="19">
        <f>MATCH(A279,postDEL!A$2:A799,0)</f>
        <v>278</v>
      </c>
      <c r="P279" s="10" t="str">
        <f t="shared" si="1"/>
        <v/>
      </c>
      <c r="Q279" s="220">
        <f t="shared" si="2"/>
        <v>0</v>
      </c>
      <c r="R279" s="5"/>
    </row>
    <row r="280">
      <c r="A280" s="221" t="s">
        <v>1053</v>
      </c>
      <c r="B280" s="217">
        <f t="array" ref="B280">INDEX(postDEL!$A$2:$P799,$O280,2)</f>
        <v>44589</v>
      </c>
      <c r="C280" s="218">
        <f t="array" ref="C280">INDEX(postDEL!$A$2:$P799,$O280,3)</f>
        <v>0.314537037</v>
      </c>
      <c r="D280" s="219" t="str">
        <f t="array" ref="D280">INDEX(postDEL!$A$2:$AN799,$O280,39)</f>
        <v>SpBEND617677</v>
      </c>
      <c r="E280" s="219" t="str">
        <f t="array" ref="E280">INDEX(postDEL!$A$2:$P799,$O280,4)</f>
        <v/>
      </c>
      <c r="F280" s="219" t="str">
        <f t="array" ref="F280">INDEX(postDEL!$A$2:$P799,$O280,5)</f>
        <v/>
      </c>
      <c r="G280" s="219" t="str">
        <f t="array" ref="G280">INDEX(postDEL!$A$2:$P799,$O280,11)</f>
        <v>Negative</v>
      </c>
      <c r="H280" s="219" t="str">
        <f t="array" ref="H280">INDEX(postDEL!$A$2:$AL799,$O280,37)</f>
        <v>Negative</v>
      </c>
      <c r="I280" s="217">
        <f t="array" ref="I280">INDEX(postDEL!$A$2:$AL799,$O280,12)</f>
        <v>44589</v>
      </c>
      <c r="J280" s="218">
        <f t="array" ref="J280">INDEX(postDEL!$A$2:$AL799,$O280,13)</f>
        <v>0.483900463</v>
      </c>
      <c r="K280" s="219" t="str">
        <f t="array" ref="K280">INDEX(postDEL!$A$2:$AL799,$O280,36)</f>
        <v/>
      </c>
      <c r="L280" s="219" t="str">
        <f t="array" ref="L280">INDEX(postDEL!$A$2:$AL799,$O280,38)</f>
        <v/>
      </c>
      <c r="M280" s="219" t="str">
        <f t="array" ref="M280">INDEX(postDEL!$A$2:$AL799,$O280,15)</f>
        <v/>
      </c>
      <c r="N280" s="110">
        <f>COUNTIF(postDEL!$A$2:$A799,A280)</f>
        <v>1</v>
      </c>
      <c r="O280" s="19">
        <f>MATCH(A280,postDEL!A$2:A799,0)</f>
        <v>279</v>
      </c>
      <c r="P280" s="10" t="b">
        <f t="shared" si="1"/>
        <v>1</v>
      </c>
      <c r="Q280" s="220">
        <f t="shared" si="2"/>
        <v>0</v>
      </c>
      <c r="R280" s="5"/>
    </row>
    <row r="281">
      <c r="A281" s="221" t="s">
        <v>1055</v>
      </c>
      <c r="B281" s="217">
        <f t="array" ref="B281">INDEX(postDEL!$A$2:$P799,$O281,2)</f>
        <v>44589</v>
      </c>
      <c r="C281" s="218">
        <f t="array" ref="C281">INDEX(postDEL!$A$2:$P799,$O281,3)</f>
        <v>0.3303703704</v>
      </c>
      <c r="D281" s="219" t="str">
        <f t="array" ref="D281">INDEX(postDEL!$A$2:$AN799,$O281,39)</f>
        <v>SpBEND387578</v>
      </c>
      <c r="E281" s="219" t="str">
        <f t="array" ref="E281">INDEX(postDEL!$A$2:$P799,$O281,4)</f>
        <v/>
      </c>
      <c r="F281" s="219" t="str">
        <f t="array" ref="F281">INDEX(postDEL!$A$2:$P799,$O281,5)</f>
        <v/>
      </c>
      <c r="G281" s="219" t="str">
        <f t="array" ref="G281">INDEX(postDEL!$A$2:$P799,$O281,11)</f>
        <v>Negative</v>
      </c>
      <c r="H281" s="219" t="str">
        <f t="array" ref="H281">INDEX(postDEL!$A$2:$AL799,$O281,37)</f>
        <v>Negative</v>
      </c>
      <c r="I281" s="217">
        <f t="array" ref="I281">INDEX(postDEL!$A$2:$AL799,$O281,12)</f>
        <v>44589</v>
      </c>
      <c r="J281" s="218">
        <f t="array" ref="J281">INDEX(postDEL!$A$2:$AL799,$O281,13)</f>
        <v>0.483900463</v>
      </c>
      <c r="K281" s="219" t="str">
        <f t="array" ref="K281">INDEX(postDEL!$A$2:$AL799,$O281,36)</f>
        <v/>
      </c>
      <c r="L281" s="219" t="str">
        <f t="array" ref="L281">INDEX(postDEL!$A$2:$AL799,$O281,38)</f>
        <v/>
      </c>
      <c r="M281" s="219" t="str">
        <f t="array" ref="M281">INDEX(postDEL!$A$2:$AL799,$O281,15)</f>
        <v/>
      </c>
      <c r="N281" s="110">
        <f>COUNTIF(postDEL!$A$2:$A799,A281)</f>
        <v>1</v>
      </c>
      <c r="O281" s="19">
        <f>MATCH(A281,postDEL!A$2:A799,0)</f>
        <v>280</v>
      </c>
      <c r="P281" s="10" t="str">
        <f t="shared" si="1"/>
        <v/>
      </c>
      <c r="Q281" s="220">
        <f t="shared" si="2"/>
        <v>0</v>
      </c>
      <c r="R281" s="5"/>
    </row>
    <row r="282">
      <c r="A282" s="221" t="s">
        <v>1057</v>
      </c>
      <c r="B282" s="217">
        <f t="array" ref="B282">INDEX(postDEL!$A$2:$P799,$O282,2)</f>
        <v>44589</v>
      </c>
      <c r="C282" s="218">
        <f t="array" ref="C282">INDEX(postDEL!$A$2:$P799,$O282,3)</f>
        <v>0.3315277778</v>
      </c>
      <c r="D282" s="219" t="str">
        <f t="array" ref="D282">INDEX(postDEL!$A$2:$AN799,$O282,39)</f>
        <v>SpBEND551372</v>
      </c>
      <c r="E282" s="219" t="str">
        <f t="array" ref="E282">INDEX(postDEL!$A$2:$P799,$O282,4)</f>
        <v/>
      </c>
      <c r="F282" s="219" t="str">
        <f t="array" ref="F282">INDEX(postDEL!$A$2:$P799,$O282,5)</f>
        <v/>
      </c>
      <c r="G282" s="219" t="str">
        <f t="array" ref="G282">INDEX(postDEL!$A$2:$P799,$O282,11)</f>
        <v>Negative</v>
      </c>
      <c r="H282" s="219" t="str">
        <f t="array" ref="H282">INDEX(postDEL!$A$2:$AL799,$O282,37)</f>
        <v>Negative</v>
      </c>
      <c r="I282" s="217">
        <f t="array" ref="I282">INDEX(postDEL!$A$2:$AL799,$O282,12)</f>
        <v>44589</v>
      </c>
      <c r="J282" s="218">
        <f t="array" ref="J282">INDEX(postDEL!$A$2:$AL799,$O282,13)</f>
        <v>0.483900463</v>
      </c>
      <c r="K282" s="219" t="str">
        <f t="array" ref="K282">INDEX(postDEL!$A$2:$AL799,$O282,36)</f>
        <v/>
      </c>
      <c r="L282" s="219" t="str">
        <f t="array" ref="L282">INDEX(postDEL!$A$2:$AL799,$O282,38)</f>
        <v/>
      </c>
      <c r="M282" s="219" t="str">
        <f t="array" ref="M282">INDEX(postDEL!$A$2:$AL799,$O282,15)</f>
        <v/>
      </c>
      <c r="N282" s="110">
        <f>COUNTIF(postDEL!$A$2:$A799,A282)</f>
        <v>1</v>
      </c>
      <c r="O282" s="19">
        <f>MATCH(A282,postDEL!A$2:A799,0)</f>
        <v>281</v>
      </c>
      <c r="P282" s="10" t="str">
        <f t="shared" si="1"/>
        <v/>
      </c>
      <c r="Q282" s="220">
        <f t="shared" si="2"/>
        <v>0</v>
      </c>
      <c r="R282" s="5"/>
    </row>
    <row r="283">
      <c r="A283" s="221" t="s">
        <v>1059</v>
      </c>
      <c r="B283" s="217">
        <f t="array" ref="B283">INDEX(postDEL!$A$2:$P799,$O283,2)</f>
        <v>44589</v>
      </c>
      <c r="C283" s="218">
        <f t="array" ref="C283">INDEX(postDEL!$A$2:$P799,$O283,3)</f>
        <v>0.3320833333</v>
      </c>
      <c r="D283" s="219" t="str">
        <f t="array" ref="D283">INDEX(postDEL!$A$2:$AN799,$O283,39)</f>
        <v>SpBEND551372</v>
      </c>
      <c r="E283" s="219" t="str">
        <f t="array" ref="E283">INDEX(postDEL!$A$2:$P799,$O283,4)</f>
        <v/>
      </c>
      <c r="F283" s="219" t="str">
        <f t="array" ref="F283">INDEX(postDEL!$A$2:$P799,$O283,5)</f>
        <v/>
      </c>
      <c r="G283" s="219" t="str">
        <f t="array" ref="G283">INDEX(postDEL!$A$2:$P799,$O283,11)</f>
        <v>Negative</v>
      </c>
      <c r="H283" s="219" t="str">
        <f t="array" ref="H283">INDEX(postDEL!$A$2:$AL799,$O283,37)</f>
        <v>Negative</v>
      </c>
      <c r="I283" s="217">
        <f t="array" ref="I283">INDEX(postDEL!$A$2:$AL799,$O283,12)</f>
        <v>44589</v>
      </c>
      <c r="J283" s="218">
        <f t="array" ref="J283">INDEX(postDEL!$A$2:$AL799,$O283,13)</f>
        <v>0.483900463</v>
      </c>
      <c r="K283" s="219" t="str">
        <f t="array" ref="K283">INDEX(postDEL!$A$2:$AL799,$O283,36)</f>
        <v/>
      </c>
      <c r="L283" s="219" t="str">
        <f t="array" ref="L283">INDEX(postDEL!$A$2:$AL799,$O283,38)</f>
        <v/>
      </c>
      <c r="M283" s="219" t="str">
        <f t="array" ref="M283">INDEX(postDEL!$A$2:$AL799,$O283,15)</f>
        <v/>
      </c>
      <c r="N283" s="110">
        <f>COUNTIF(postDEL!$A$2:$A799,A283)</f>
        <v>1</v>
      </c>
      <c r="O283" s="19">
        <f>MATCH(A283,postDEL!A$2:A799,0)</f>
        <v>282</v>
      </c>
      <c r="P283" s="10" t="str">
        <f t="shared" si="1"/>
        <v/>
      </c>
      <c r="Q283" s="220">
        <f t="shared" si="2"/>
        <v>0</v>
      </c>
      <c r="R283" s="5"/>
    </row>
    <row r="284">
      <c r="A284" s="221" t="s">
        <v>1061</v>
      </c>
      <c r="B284" s="217">
        <f t="array" ref="B284">INDEX(postDEL!$A$2:$P799,$O284,2)</f>
        <v>44589</v>
      </c>
      <c r="C284" s="218">
        <f t="array" ref="C284">INDEX(postDEL!$A$2:$P799,$O284,3)</f>
        <v>0.3442013889</v>
      </c>
      <c r="D284" s="219" t="str">
        <f t="array" ref="D284">INDEX(postDEL!$A$2:$AN799,$O284,39)</f>
        <v>SpBEND319298</v>
      </c>
      <c r="E284" s="219" t="str">
        <f t="array" ref="E284">INDEX(postDEL!$A$2:$P799,$O284,4)</f>
        <v/>
      </c>
      <c r="F284" s="219" t="str">
        <f t="array" ref="F284">INDEX(postDEL!$A$2:$P799,$O284,5)</f>
        <v/>
      </c>
      <c r="G284" s="219" t="str">
        <f t="array" ref="G284">INDEX(postDEL!$A$2:$P799,$O284,11)</f>
        <v>Negative</v>
      </c>
      <c r="H284" s="219" t="str">
        <f t="array" ref="H284">INDEX(postDEL!$A$2:$AL799,$O284,37)</f>
        <v>Negative</v>
      </c>
      <c r="I284" s="217">
        <f t="array" ref="I284">INDEX(postDEL!$A$2:$AL799,$O284,12)</f>
        <v>44589</v>
      </c>
      <c r="J284" s="218">
        <f t="array" ref="J284">INDEX(postDEL!$A$2:$AL799,$O284,13)</f>
        <v>0.483900463</v>
      </c>
      <c r="K284" s="219" t="str">
        <f t="array" ref="K284">INDEX(postDEL!$A$2:$AL799,$O284,36)</f>
        <v/>
      </c>
      <c r="L284" s="219" t="str">
        <f t="array" ref="L284">INDEX(postDEL!$A$2:$AL799,$O284,38)</f>
        <v/>
      </c>
      <c r="M284" s="219" t="str">
        <f t="array" ref="M284">INDEX(postDEL!$A$2:$AL799,$O284,15)</f>
        <v/>
      </c>
      <c r="N284" s="110">
        <f>COUNTIF(postDEL!$A$2:$A799,A284)</f>
        <v>1</v>
      </c>
      <c r="O284" s="19">
        <f>MATCH(A284,postDEL!A$2:A799,0)</f>
        <v>283</v>
      </c>
      <c r="P284" s="10" t="str">
        <f t="shared" si="1"/>
        <v/>
      </c>
      <c r="Q284" s="220">
        <f t="shared" si="2"/>
        <v>0</v>
      </c>
      <c r="R284" s="5"/>
    </row>
    <row r="285">
      <c r="A285" s="221" t="s">
        <v>1063</v>
      </c>
      <c r="B285" s="217">
        <f t="array" ref="B285">INDEX(postDEL!$A$2:$P799,$O285,2)</f>
        <v>44589</v>
      </c>
      <c r="C285" s="218">
        <f t="array" ref="C285">INDEX(postDEL!$A$2:$P799,$O285,3)</f>
        <v>0.3478819444</v>
      </c>
      <c r="D285" s="219" t="str">
        <f t="array" ref="D285">INDEX(postDEL!$A$2:$AN799,$O285,39)</f>
        <v>SpBEND985296</v>
      </c>
      <c r="E285" s="219" t="str">
        <f t="array" ref="E285">INDEX(postDEL!$A$2:$P799,$O285,4)</f>
        <v/>
      </c>
      <c r="F285" s="219" t="str">
        <f t="array" ref="F285">INDEX(postDEL!$A$2:$P799,$O285,5)</f>
        <v/>
      </c>
      <c r="G285" s="219" t="str">
        <f t="array" ref="G285">INDEX(postDEL!$A$2:$P799,$O285,11)</f>
        <v>Negative</v>
      </c>
      <c r="H285" s="219" t="str">
        <f t="array" ref="H285">INDEX(postDEL!$A$2:$AL799,$O285,37)</f>
        <v>Negative</v>
      </c>
      <c r="I285" s="217">
        <f t="array" ref="I285">INDEX(postDEL!$A$2:$AL799,$O285,12)</f>
        <v>44589</v>
      </c>
      <c r="J285" s="218">
        <f t="array" ref="J285">INDEX(postDEL!$A$2:$AL799,$O285,13)</f>
        <v>0.483900463</v>
      </c>
      <c r="K285" s="219" t="str">
        <f t="array" ref="K285">INDEX(postDEL!$A$2:$AL799,$O285,36)</f>
        <v/>
      </c>
      <c r="L285" s="219" t="str">
        <f t="array" ref="L285">INDEX(postDEL!$A$2:$AL799,$O285,38)</f>
        <v/>
      </c>
      <c r="M285" s="219" t="str">
        <f t="array" ref="M285">INDEX(postDEL!$A$2:$AL799,$O285,15)</f>
        <v/>
      </c>
      <c r="N285" s="110">
        <f>COUNTIF(postDEL!$A$2:$A799,A285)</f>
        <v>1</v>
      </c>
      <c r="O285" s="19">
        <f>MATCH(A285,postDEL!A$2:A799,0)</f>
        <v>284</v>
      </c>
      <c r="P285" s="10" t="str">
        <f t="shared" si="1"/>
        <v/>
      </c>
      <c r="Q285" s="220">
        <f t="shared" si="2"/>
        <v>0</v>
      </c>
      <c r="R285" s="5"/>
    </row>
    <row r="286">
      <c r="A286" s="221" t="s">
        <v>1065</v>
      </c>
      <c r="B286" s="217">
        <f t="array" ref="B286">INDEX(postDEL!$A$2:$P799,$O286,2)</f>
        <v>44589</v>
      </c>
      <c r="C286" s="218">
        <f t="array" ref="C286">INDEX(postDEL!$A$2:$P799,$O286,3)</f>
        <v>0.3656828704</v>
      </c>
      <c r="D286" s="219" t="str">
        <f t="array" ref="D286">INDEX(postDEL!$A$2:$AN799,$O286,39)</f>
        <v>SpBEND394154</v>
      </c>
      <c r="E286" s="219" t="str">
        <f t="array" ref="E286">INDEX(postDEL!$A$2:$P799,$O286,4)</f>
        <v/>
      </c>
      <c r="F286" s="219" t="str">
        <f t="array" ref="F286">INDEX(postDEL!$A$2:$P799,$O286,5)</f>
        <v/>
      </c>
      <c r="G286" s="219" t="str">
        <f t="array" ref="G286">INDEX(postDEL!$A$2:$P799,$O286,11)</f>
        <v>Negative</v>
      </c>
      <c r="H286" s="219" t="str">
        <f t="array" ref="H286">INDEX(postDEL!$A$2:$AL799,$O286,37)</f>
        <v>Negative</v>
      </c>
      <c r="I286" s="217">
        <f t="array" ref="I286">INDEX(postDEL!$A$2:$AL799,$O286,12)</f>
        <v>44589</v>
      </c>
      <c r="J286" s="218">
        <f t="array" ref="J286">INDEX(postDEL!$A$2:$AL799,$O286,13)</f>
        <v>0.483912037</v>
      </c>
      <c r="K286" s="219" t="str">
        <f t="array" ref="K286">INDEX(postDEL!$A$2:$AL799,$O286,36)</f>
        <v/>
      </c>
      <c r="L286" s="219" t="str">
        <f t="array" ref="L286">INDEX(postDEL!$A$2:$AL799,$O286,38)</f>
        <v/>
      </c>
      <c r="M286" s="219" t="str">
        <f t="array" ref="M286">INDEX(postDEL!$A$2:$AL799,$O286,15)</f>
        <v/>
      </c>
      <c r="N286" s="110">
        <f>COUNTIF(postDEL!$A$2:$A799,A286)</f>
        <v>1</v>
      </c>
      <c r="O286" s="19">
        <f>MATCH(A286,postDEL!A$2:A799,0)</f>
        <v>285</v>
      </c>
      <c r="P286" s="10" t="str">
        <f t="shared" si="1"/>
        <v/>
      </c>
      <c r="Q286" s="220">
        <f t="shared" si="2"/>
        <v>0</v>
      </c>
      <c r="R286" s="5"/>
    </row>
    <row r="287">
      <c r="A287" s="221" t="s">
        <v>1067</v>
      </c>
      <c r="B287" s="217">
        <f t="array" ref="B287">INDEX(postDEL!$A$2:$P799,$O287,2)</f>
        <v>44592</v>
      </c>
      <c r="C287" s="218">
        <f t="array" ref="C287">INDEX(postDEL!$A$2:$P799,$O287,3)</f>
        <v>0.3242708333</v>
      </c>
      <c r="D287" s="219" t="str">
        <f t="array" ref="D287">INDEX(postDEL!$A$2:$AN799,$O287,39)</f>
        <v>SpBEND214692</v>
      </c>
      <c r="E287" s="219" t="str">
        <f t="array" ref="E287">INDEX(postDEL!$A$2:$P799,$O287,4)</f>
        <v/>
      </c>
      <c r="F287" s="219" t="str">
        <f t="array" ref="F287">INDEX(postDEL!$A$2:$P799,$O287,5)</f>
        <v/>
      </c>
      <c r="G287" s="219" t="str">
        <f t="array" ref="G287">INDEX(postDEL!$A$2:$P799,$O287,11)</f>
        <v>Negative</v>
      </c>
      <c r="H287" s="219" t="str">
        <f t="array" ref="H287">INDEX(postDEL!$A$2:$AL799,$O287,37)</f>
        <v>Negative</v>
      </c>
      <c r="I287" s="217">
        <f t="array" ref="I287">INDEX(postDEL!$A$2:$AL799,$O287,12)</f>
        <v>44592</v>
      </c>
      <c r="J287" s="218">
        <f t="array" ref="J287">INDEX(postDEL!$A$2:$AL799,$O287,13)</f>
        <v>0.4602314815</v>
      </c>
      <c r="K287" s="219" t="str">
        <f t="array" ref="K287">INDEX(postDEL!$A$2:$AL799,$O287,36)</f>
        <v/>
      </c>
      <c r="L287" s="219" t="str">
        <f t="array" ref="L287">INDEX(postDEL!$A$2:$AL799,$O287,38)</f>
        <v/>
      </c>
      <c r="M287" s="219" t="str">
        <f t="array" ref="M287">INDEX(postDEL!$A$2:$AL799,$O287,15)</f>
        <v/>
      </c>
      <c r="N287" s="110">
        <f>COUNTIF(postDEL!$A$2:$A799,A287)</f>
        <v>1</v>
      </c>
      <c r="O287" s="19">
        <f>MATCH(A287,postDEL!A$2:A799,0)</f>
        <v>286</v>
      </c>
      <c r="P287" s="10" t="b">
        <f t="shared" si="1"/>
        <v>1</v>
      </c>
      <c r="Q287" s="220">
        <f t="shared" si="2"/>
        <v>0</v>
      </c>
      <c r="R287" s="5"/>
    </row>
    <row r="288">
      <c r="A288" s="221" t="s">
        <v>1069</v>
      </c>
      <c r="B288" s="217">
        <f t="array" ref="B288">INDEX(postDEL!$A$2:$P799,$O288,2)</f>
        <v>44592</v>
      </c>
      <c r="C288" s="218">
        <f t="array" ref="C288">INDEX(postDEL!$A$2:$P799,$O288,3)</f>
        <v>0.3260416667</v>
      </c>
      <c r="D288" s="219" t="str">
        <f t="array" ref="D288">INDEX(postDEL!$A$2:$AN799,$O288,39)</f>
        <v>SpBEND825522</v>
      </c>
      <c r="E288" s="219" t="str">
        <f t="array" ref="E288">INDEX(postDEL!$A$2:$P799,$O288,4)</f>
        <v/>
      </c>
      <c r="F288" s="219" t="str">
        <f t="array" ref="F288">INDEX(postDEL!$A$2:$P799,$O288,5)</f>
        <v/>
      </c>
      <c r="G288" s="219" t="str">
        <f t="array" ref="G288">INDEX(postDEL!$A$2:$P799,$O288,11)</f>
        <v>Negative</v>
      </c>
      <c r="H288" s="219" t="str">
        <f t="array" ref="H288">INDEX(postDEL!$A$2:$AL799,$O288,37)</f>
        <v>Negative</v>
      </c>
      <c r="I288" s="217">
        <f t="array" ref="I288">INDEX(postDEL!$A$2:$AL799,$O288,12)</f>
        <v>44592</v>
      </c>
      <c r="J288" s="218">
        <f t="array" ref="J288">INDEX(postDEL!$A$2:$AL799,$O288,13)</f>
        <v>0.4602430556</v>
      </c>
      <c r="K288" s="219" t="str">
        <f t="array" ref="K288">INDEX(postDEL!$A$2:$AL799,$O288,36)</f>
        <v/>
      </c>
      <c r="L288" s="219" t="str">
        <f t="array" ref="L288">INDEX(postDEL!$A$2:$AL799,$O288,38)</f>
        <v/>
      </c>
      <c r="M288" s="219" t="str">
        <f t="array" ref="M288">INDEX(postDEL!$A$2:$AL799,$O288,15)</f>
        <v/>
      </c>
      <c r="N288" s="110">
        <f>COUNTIF(postDEL!$A$2:$A799,A288)</f>
        <v>1</v>
      </c>
      <c r="O288" s="19">
        <f>MATCH(A288,postDEL!A$2:A799,0)</f>
        <v>287</v>
      </c>
      <c r="P288" s="10" t="str">
        <f t="shared" si="1"/>
        <v/>
      </c>
      <c r="Q288" s="220">
        <f t="shared" si="2"/>
        <v>0</v>
      </c>
      <c r="R288" s="5"/>
    </row>
    <row r="289">
      <c r="A289" s="221" t="s">
        <v>1071</v>
      </c>
      <c r="B289" s="217">
        <f t="array" ref="B289">INDEX(postDEL!$A$2:$P799,$O289,2)</f>
        <v>44592</v>
      </c>
      <c r="C289" s="218">
        <f t="array" ref="C289">INDEX(postDEL!$A$2:$P799,$O289,3)</f>
        <v>0.3271759259</v>
      </c>
      <c r="D289" s="219" t="str">
        <f t="array" ref="D289">INDEX(postDEL!$A$2:$AN799,$O289,39)</f>
        <v>SpBEND953422</v>
      </c>
      <c r="E289" s="219" t="str">
        <f t="array" ref="E289">INDEX(postDEL!$A$2:$P799,$O289,4)</f>
        <v/>
      </c>
      <c r="F289" s="219" t="str">
        <f t="array" ref="F289">INDEX(postDEL!$A$2:$P799,$O289,5)</f>
        <v/>
      </c>
      <c r="G289" s="219" t="str">
        <f t="array" ref="G289">INDEX(postDEL!$A$2:$P799,$O289,11)</f>
        <v>Negative</v>
      </c>
      <c r="H289" s="219" t="str">
        <f t="array" ref="H289">INDEX(postDEL!$A$2:$AL799,$O289,37)</f>
        <v>Negative</v>
      </c>
      <c r="I289" s="217">
        <f t="array" ref="I289">INDEX(postDEL!$A$2:$AL799,$O289,12)</f>
        <v>44592</v>
      </c>
      <c r="J289" s="218">
        <f t="array" ref="J289">INDEX(postDEL!$A$2:$AL799,$O289,13)</f>
        <v>0.4602430556</v>
      </c>
      <c r="K289" s="219" t="str">
        <f t="array" ref="K289">INDEX(postDEL!$A$2:$AL799,$O289,36)</f>
        <v/>
      </c>
      <c r="L289" s="219" t="str">
        <f t="array" ref="L289">INDEX(postDEL!$A$2:$AL799,$O289,38)</f>
        <v/>
      </c>
      <c r="M289" s="219" t="str">
        <f t="array" ref="M289">INDEX(postDEL!$A$2:$AL799,$O289,15)</f>
        <v/>
      </c>
      <c r="N289" s="110">
        <f>COUNTIF(postDEL!$A$2:$A799,A289)</f>
        <v>1</v>
      </c>
      <c r="O289" s="19">
        <f>MATCH(A289,postDEL!A$2:A799,0)</f>
        <v>288</v>
      </c>
      <c r="P289" s="10" t="str">
        <f t="shared" si="1"/>
        <v/>
      </c>
      <c r="Q289" s="220">
        <f t="shared" si="2"/>
        <v>0</v>
      </c>
      <c r="R289" s="5"/>
    </row>
    <row r="290">
      <c r="A290" s="221" t="s">
        <v>1073</v>
      </c>
      <c r="B290" s="217">
        <f t="array" ref="B290">INDEX(postDEL!$A$2:$P799,$O290,2)</f>
        <v>44592</v>
      </c>
      <c r="C290" s="218">
        <f t="array" ref="C290">INDEX(postDEL!$A$2:$P799,$O290,3)</f>
        <v>0.3274421296</v>
      </c>
      <c r="D290" s="219" t="str">
        <f t="array" ref="D290">INDEX(postDEL!$A$2:$AN799,$O290,39)</f>
        <v>SpBEND643855</v>
      </c>
      <c r="E290" s="219" t="str">
        <f t="array" ref="E290">INDEX(postDEL!$A$2:$P799,$O290,4)</f>
        <v/>
      </c>
      <c r="F290" s="219" t="str">
        <f t="array" ref="F290">INDEX(postDEL!$A$2:$P799,$O290,5)</f>
        <v/>
      </c>
      <c r="G290" s="219" t="str">
        <f t="array" ref="G290">INDEX(postDEL!$A$2:$P799,$O290,11)</f>
        <v>Negative</v>
      </c>
      <c r="H290" s="219" t="str">
        <f t="array" ref="H290">INDEX(postDEL!$A$2:$AL799,$O290,37)</f>
        <v>Negative</v>
      </c>
      <c r="I290" s="217">
        <f t="array" ref="I290">INDEX(postDEL!$A$2:$AL799,$O290,12)</f>
        <v>44592</v>
      </c>
      <c r="J290" s="218">
        <f t="array" ref="J290">INDEX(postDEL!$A$2:$AL799,$O290,13)</f>
        <v>0.4602430556</v>
      </c>
      <c r="K290" s="219" t="str">
        <f t="array" ref="K290">INDEX(postDEL!$A$2:$AL799,$O290,36)</f>
        <v/>
      </c>
      <c r="L290" s="219" t="str">
        <f t="array" ref="L290">INDEX(postDEL!$A$2:$AL799,$O290,38)</f>
        <v/>
      </c>
      <c r="M290" s="219" t="str">
        <f t="array" ref="M290">INDEX(postDEL!$A$2:$AL799,$O290,15)</f>
        <v/>
      </c>
      <c r="N290" s="110">
        <f>COUNTIF(postDEL!$A$2:$A799,A290)</f>
        <v>1</v>
      </c>
      <c r="O290" s="19">
        <f>MATCH(A290,postDEL!A$2:A799,0)</f>
        <v>289</v>
      </c>
      <c r="P290" s="10" t="str">
        <f t="shared" si="1"/>
        <v/>
      </c>
      <c r="Q290" s="220">
        <f t="shared" si="2"/>
        <v>0</v>
      </c>
      <c r="R290" s="5"/>
    </row>
    <row r="291">
      <c r="A291" s="221" t="s">
        <v>1075</v>
      </c>
      <c r="B291" s="217">
        <f t="array" ref="B291">INDEX(postDEL!$A$2:$P799,$O291,2)</f>
        <v>44592</v>
      </c>
      <c r="C291" s="218">
        <f t="array" ref="C291">INDEX(postDEL!$A$2:$P799,$O291,3)</f>
        <v>0.3297337963</v>
      </c>
      <c r="D291" s="219" t="str">
        <f t="array" ref="D291">INDEX(postDEL!$A$2:$AN799,$O291,39)</f>
        <v>SpBEND721986</v>
      </c>
      <c r="E291" s="219" t="str">
        <f t="array" ref="E291">INDEX(postDEL!$A$2:$P799,$O291,4)</f>
        <v/>
      </c>
      <c r="F291" s="219" t="str">
        <f t="array" ref="F291">INDEX(postDEL!$A$2:$P799,$O291,5)</f>
        <v/>
      </c>
      <c r="G291" s="219" t="str">
        <f t="array" ref="G291">INDEX(postDEL!$A$2:$P799,$O291,11)</f>
        <v>Negative</v>
      </c>
      <c r="H291" s="219" t="str">
        <f t="array" ref="H291">INDEX(postDEL!$A$2:$AL799,$O291,37)</f>
        <v>Negative</v>
      </c>
      <c r="I291" s="217">
        <f t="array" ref="I291">INDEX(postDEL!$A$2:$AL799,$O291,12)</f>
        <v>44592</v>
      </c>
      <c r="J291" s="218">
        <f t="array" ref="J291">INDEX(postDEL!$A$2:$AL799,$O291,13)</f>
        <v>0.4602430556</v>
      </c>
      <c r="K291" s="219" t="str">
        <f t="array" ref="K291">INDEX(postDEL!$A$2:$AL799,$O291,36)</f>
        <v/>
      </c>
      <c r="L291" s="219" t="str">
        <f t="array" ref="L291">INDEX(postDEL!$A$2:$AL799,$O291,38)</f>
        <v/>
      </c>
      <c r="M291" s="219" t="str">
        <f t="array" ref="M291">INDEX(postDEL!$A$2:$AL799,$O291,15)</f>
        <v/>
      </c>
      <c r="N291" s="110">
        <f>COUNTIF(postDEL!$A$2:$A799,A291)</f>
        <v>1</v>
      </c>
      <c r="O291" s="19">
        <f>MATCH(A291,postDEL!A$2:A799,0)</f>
        <v>290</v>
      </c>
      <c r="P291" s="10" t="str">
        <f t="shared" si="1"/>
        <v/>
      </c>
      <c r="Q291" s="220">
        <f t="shared" si="2"/>
        <v>0</v>
      </c>
      <c r="R291" s="5"/>
    </row>
    <row r="292">
      <c r="A292" s="221" t="s">
        <v>1077</v>
      </c>
      <c r="B292" s="217">
        <f t="array" ref="B292">INDEX(postDEL!$A$2:$P799,$O292,2)</f>
        <v>44592</v>
      </c>
      <c r="C292" s="218">
        <f t="array" ref="C292">INDEX(postDEL!$A$2:$P799,$O292,3)</f>
        <v>0.333587963</v>
      </c>
      <c r="D292" s="219" t="str">
        <f t="array" ref="D292">INDEX(postDEL!$A$2:$AN799,$O292,39)</f>
        <v>SpBEND349435</v>
      </c>
      <c r="E292" s="219" t="str">
        <f t="array" ref="E292">INDEX(postDEL!$A$2:$P799,$O292,4)</f>
        <v/>
      </c>
      <c r="F292" s="219" t="str">
        <f t="array" ref="F292">INDEX(postDEL!$A$2:$P799,$O292,5)</f>
        <v/>
      </c>
      <c r="G292" s="219" t="str">
        <f t="array" ref="G292">INDEX(postDEL!$A$2:$P799,$O292,11)</f>
        <v>Negative</v>
      </c>
      <c r="H292" s="219" t="str">
        <f t="array" ref="H292">INDEX(postDEL!$A$2:$AL799,$O292,37)</f>
        <v>Negative</v>
      </c>
      <c r="I292" s="217">
        <f t="array" ref="I292">INDEX(postDEL!$A$2:$AL799,$O292,12)</f>
        <v>44592</v>
      </c>
      <c r="J292" s="218">
        <f t="array" ref="J292">INDEX(postDEL!$A$2:$AL799,$O292,13)</f>
        <v>0.4602430556</v>
      </c>
      <c r="K292" s="219" t="str">
        <f t="array" ref="K292">INDEX(postDEL!$A$2:$AL799,$O292,36)</f>
        <v/>
      </c>
      <c r="L292" s="219" t="str">
        <f t="array" ref="L292">INDEX(postDEL!$A$2:$AL799,$O292,38)</f>
        <v/>
      </c>
      <c r="M292" s="219" t="str">
        <f t="array" ref="M292">INDEX(postDEL!$A$2:$AL799,$O292,15)</f>
        <v/>
      </c>
      <c r="N292" s="110">
        <f>COUNTIF(postDEL!$A$2:$A799,A292)</f>
        <v>1</v>
      </c>
      <c r="O292" s="19">
        <f>MATCH(A292,postDEL!A$2:A799,0)</f>
        <v>291</v>
      </c>
      <c r="P292" s="10" t="str">
        <f t="shared" si="1"/>
        <v/>
      </c>
      <c r="Q292" s="220">
        <f t="shared" si="2"/>
        <v>0</v>
      </c>
      <c r="R292" s="5"/>
    </row>
    <row r="293">
      <c r="A293" s="221" t="s">
        <v>1079</v>
      </c>
      <c r="B293" s="217">
        <f t="array" ref="B293">INDEX(postDEL!$A$2:$P799,$O293,2)</f>
        <v>44592</v>
      </c>
      <c r="C293" s="218">
        <f t="array" ref="C293">INDEX(postDEL!$A$2:$P799,$O293,3)</f>
        <v>0.3336805556</v>
      </c>
      <c r="D293" s="219" t="str">
        <f t="array" ref="D293">INDEX(postDEL!$A$2:$AN799,$O293,39)</f>
        <v>SpBEND768497</v>
      </c>
      <c r="E293" s="219" t="str">
        <f t="array" ref="E293">INDEX(postDEL!$A$2:$P799,$O293,4)</f>
        <v/>
      </c>
      <c r="F293" s="219" t="str">
        <f t="array" ref="F293">INDEX(postDEL!$A$2:$P799,$O293,5)</f>
        <v/>
      </c>
      <c r="G293" s="219" t="str">
        <f t="array" ref="G293">INDEX(postDEL!$A$2:$P799,$O293,11)</f>
        <v>Negative</v>
      </c>
      <c r="H293" s="219" t="str">
        <f t="array" ref="H293">INDEX(postDEL!$A$2:$AL799,$O293,37)</f>
        <v>Negative</v>
      </c>
      <c r="I293" s="217">
        <f t="array" ref="I293">INDEX(postDEL!$A$2:$AL799,$O293,12)</f>
        <v>44592</v>
      </c>
      <c r="J293" s="218">
        <f t="array" ref="J293">INDEX(postDEL!$A$2:$AL799,$O293,13)</f>
        <v>0.4602430556</v>
      </c>
      <c r="K293" s="219" t="str">
        <f t="array" ref="K293">INDEX(postDEL!$A$2:$AL799,$O293,36)</f>
        <v/>
      </c>
      <c r="L293" s="219" t="str">
        <f t="array" ref="L293">INDEX(postDEL!$A$2:$AL799,$O293,38)</f>
        <v/>
      </c>
      <c r="M293" s="219" t="str">
        <f t="array" ref="M293">INDEX(postDEL!$A$2:$AL799,$O293,15)</f>
        <v/>
      </c>
      <c r="N293" s="110">
        <f>COUNTIF(postDEL!$A$2:$A799,A293)</f>
        <v>1</v>
      </c>
      <c r="O293" s="19">
        <f>MATCH(A293,postDEL!A$2:A799,0)</f>
        <v>292</v>
      </c>
      <c r="P293" s="10" t="str">
        <f t="shared" si="1"/>
        <v/>
      </c>
      <c r="Q293" s="220">
        <f t="shared" si="2"/>
        <v>0</v>
      </c>
      <c r="R293" s="5"/>
    </row>
    <row r="294">
      <c r="A294" s="221" t="s">
        <v>1081</v>
      </c>
      <c r="B294" s="217">
        <f t="array" ref="B294">INDEX(postDEL!$A$2:$P799,$O294,2)</f>
        <v>44592</v>
      </c>
      <c r="C294" s="218">
        <f t="array" ref="C294">INDEX(postDEL!$A$2:$P799,$O294,3)</f>
        <v>0.3434606481</v>
      </c>
      <c r="D294" s="219" t="str">
        <f t="array" ref="D294">INDEX(postDEL!$A$2:$AN799,$O294,39)</f>
        <v>SpBEND136234</v>
      </c>
      <c r="E294" s="219" t="str">
        <f t="array" ref="E294">INDEX(postDEL!$A$2:$P799,$O294,4)</f>
        <v/>
      </c>
      <c r="F294" s="219" t="str">
        <f t="array" ref="F294">INDEX(postDEL!$A$2:$P799,$O294,5)</f>
        <v/>
      </c>
      <c r="G294" s="219" t="str">
        <f t="array" ref="G294">INDEX(postDEL!$A$2:$P799,$O294,11)</f>
        <v>Negative</v>
      </c>
      <c r="H294" s="219" t="str">
        <f t="array" ref="H294">INDEX(postDEL!$A$2:$AL799,$O294,37)</f>
        <v>Negative</v>
      </c>
      <c r="I294" s="217">
        <f t="array" ref="I294">INDEX(postDEL!$A$2:$AL799,$O294,12)</f>
        <v>44592</v>
      </c>
      <c r="J294" s="218">
        <f t="array" ref="J294">INDEX(postDEL!$A$2:$AL799,$O294,13)</f>
        <v>0.4602430556</v>
      </c>
      <c r="K294" s="219" t="str">
        <f t="array" ref="K294">INDEX(postDEL!$A$2:$AL799,$O294,36)</f>
        <v/>
      </c>
      <c r="L294" s="219" t="str">
        <f t="array" ref="L294">INDEX(postDEL!$A$2:$AL799,$O294,38)</f>
        <v/>
      </c>
      <c r="M294" s="219" t="str">
        <f t="array" ref="M294">INDEX(postDEL!$A$2:$AL799,$O294,15)</f>
        <v/>
      </c>
      <c r="N294" s="110">
        <f>COUNTIF(postDEL!$A$2:$A799,A294)</f>
        <v>1</v>
      </c>
      <c r="O294" s="19">
        <f>MATCH(A294,postDEL!A$2:A799,0)</f>
        <v>293</v>
      </c>
      <c r="P294" s="10" t="str">
        <f t="shared" si="1"/>
        <v/>
      </c>
      <c r="Q294" s="220">
        <f t="shared" si="2"/>
        <v>0</v>
      </c>
      <c r="R294" s="5"/>
    </row>
    <row r="295">
      <c r="A295" s="221" t="s">
        <v>1083</v>
      </c>
      <c r="B295" s="217">
        <f t="array" ref="B295">INDEX(postDEL!$A$2:$P799,$O295,2)</f>
        <v>44592</v>
      </c>
      <c r="C295" s="218">
        <f t="array" ref="C295">INDEX(postDEL!$A$2:$P799,$O295,3)</f>
        <v>0.3622800926</v>
      </c>
      <c r="D295" s="219" t="str">
        <f t="array" ref="D295">INDEX(postDEL!$A$2:$AN799,$O295,39)</f>
        <v>SpBEND541174</v>
      </c>
      <c r="E295" s="219" t="str">
        <f t="array" ref="E295">INDEX(postDEL!$A$2:$P799,$O295,4)</f>
        <v/>
      </c>
      <c r="F295" s="219" t="str">
        <f t="array" ref="F295">INDEX(postDEL!$A$2:$P799,$O295,5)</f>
        <v/>
      </c>
      <c r="G295" s="219" t="str">
        <f t="array" ref="G295">INDEX(postDEL!$A$2:$P799,$O295,11)</f>
        <v>Negative</v>
      </c>
      <c r="H295" s="219" t="str">
        <f t="array" ref="H295">INDEX(postDEL!$A$2:$AL799,$O295,37)</f>
        <v>Negative</v>
      </c>
      <c r="I295" s="217">
        <f t="array" ref="I295">INDEX(postDEL!$A$2:$AL799,$O295,12)</f>
        <v>44592</v>
      </c>
      <c r="J295" s="218">
        <f t="array" ref="J295">INDEX(postDEL!$A$2:$AL799,$O295,13)</f>
        <v>0.4602430556</v>
      </c>
      <c r="K295" s="219" t="str">
        <f t="array" ref="K295">INDEX(postDEL!$A$2:$AL799,$O295,36)</f>
        <v/>
      </c>
      <c r="L295" s="219" t="str">
        <f t="array" ref="L295">INDEX(postDEL!$A$2:$AL799,$O295,38)</f>
        <v/>
      </c>
      <c r="M295" s="219" t="str">
        <f t="array" ref="M295">INDEX(postDEL!$A$2:$AL799,$O295,15)</f>
        <v/>
      </c>
      <c r="N295" s="110">
        <f>COUNTIF(postDEL!$A$2:$A799,A295)</f>
        <v>1</v>
      </c>
      <c r="O295" s="19">
        <f>MATCH(A295,postDEL!A$2:A799,0)</f>
        <v>294</v>
      </c>
      <c r="P295" s="10" t="str">
        <f t="shared" si="1"/>
        <v/>
      </c>
      <c r="Q295" s="220">
        <f t="shared" si="2"/>
        <v>0</v>
      </c>
      <c r="R295" s="5"/>
    </row>
    <row r="296">
      <c r="A296" s="221" t="s">
        <v>1085</v>
      </c>
      <c r="B296" s="217">
        <f t="array" ref="B296">INDEX(postDEL!$A$2:$P799,$O296,2)</f>
        <v>44592</v>
      </c>
      <c r="C296" s="218">
        <f t="array" ref="C296">INDEX(postDEL!$A$2:$P799,$O296,3)</f>
        <v>0.429837963</v>
      </c>
      <c r="D296" s="219" t="str">
        <f t="array" ref="D296">INDEX(postDEL!$A$2:$AN799,$O296,39)</f>
        <v>SpBEND305944</v>
      </c>
      <c r="E296" s="219" t="str">
        <f t="array" ref="E296">INDEX(postDEL!$A$2:$P799,$O296,4)</f>
        <v/>
      </c>
      <c r="F296" s="219" t="str">
        <f t="array" ref="F296">INDEX(postDEL!$A$2:$P799,$O296,5)</f>
        <v/>
      </c>
      <c r="G296" s="219" t="str">
        <f t="array" ref="G296">INDEX(postDEL!$A$2:$P799,$O296,11)</f>
        <v>Negative</v>
      </c>
      <c r="H296" s="219" t="str">
        <f t="array" ref="H296">INDEX(postDEL!$A$2:$AL799,$O296,37)</f>
        <v>Negative</v>
      </c>
      <c r="I296" s="217">
        <f t="array" ref="I296">INDEX(postDEL!$A$2:$AL799,$O296,12)</f>
        <v>44592</v>
      </c>
      <c r="J296" s="218">
        <f t="array" ref="J296">INDEX(postDEL!$A$2:$AL799,$O296,13)</f>
        <v>0.4602430556</v>
      </c>
      <c r="K296" s="219" t="str">
        <f t="array" ref="K296">INDEX(postDEL!$A$2:$AL799,$O296,36)</f>
        <v/>
      </c>
      <c r="L296" s="219" t="str">
        <f t="array" ref="L296">INDEX(postDEL!$A$2:$AL799,$O296,38)</f>
        <v/>
      </c>
      <c r="M296" s="219" t="str">
        <f t="array" ref="M296">INDEX(postDEL!$A$2:$AL799,$O296,15)</f>
        <v/>
      </c>
      <c r="N296" s="110">
        <f>COUNTIF(postDEL!$A$2:$A799,A296)</f>
        <v>1</v>
      </c>
      <c r="O296" s="19">
        <f>MATCH(A296,postDEL!A$2:A799,0)</f>
        <v>295</v>
      </c>
      <c r="P296" s="10" t="str">
        <f t="shared" si="1"/>
        <v/>
      </c>
      <c r="Q296" s="220">
        <f t="shared" si="2"/>
        <v>0</v>
      </c>
      <c r="R296" s="5"/>
    </row>
    <row r="297">
      <c r="A297" s="221" t="s">
        <v>1087</v>
      </c>
      <c r="B297" s="217">
        <f t="array" ref="B297">INDEX(postDEL!$A$2:$P799,$O297,2)</f>
        <v>44594</v>
      </c>
      <c r="C297" s="218">
        <f t="array" ref="C297">INDEX(postDEL!$A$2:$P799,$O297,3)</f>
        <v>0.3244675926</v>
      </c>
      <c r="D297" s="219" t="str">
        <f t="array" ref="D297">INDEX(postDEL!$A$2:$AN799,$O297,39)</f>
        <v>SpBEND548976</v>
      </c>
      <c r="E297" s="219" t="str">
        <f t="array" ref="E297">INDEX(postDEL!$A$2:$P799,$O297,4)</f>
        <v/>
      </c>
      <c r="F297" s="219" t="str">
        <f t="array" ref="F297">INDEX(postDEL!$A$2:$P799,$O297,5)</f>
        <v/>
      </c>
      <c r="G297" s="219" t="str">
        <f t="array" ref="G297">INDEX(postDEL!$A$2:$P799,$O297,11)</f>
        <v>Positive</v>
      </c>
      <c r="H297" s="219" t="str">
        <f t="array" ref="H297">INDEX(postDEL!$A$2:$AL799,$O297,37)</f>
        <v>Positive</v>
      </c>
      <c r="I297" s="217">
        <f t="array" ref="I297">INDEX(postDEL!$A$2:$AL799,$O297,12)</f>
        <v>44594</v>
      </c>
      <c r="J297" s="218">
        <f t="array" ref="J297">INDEX(postDEL!$A$2:$AL799,$O297,13)</f>
        <v>0.483587963</v>
      </c>
      <c r="K297" s="219" t="str">
        <f t="array" ref="K297">INDEX(postDEL!$A$2:$AL799,$O297,36)</f>
        <v/>
      </c>
      <c r="L297" s="219" t="str">
        <f t="array" ref="L297">INDEX(postDEL!$A$2:$AL799,$O297,38)</f>
        <v/>
      </c>
      <c r="M297" s="219" t="str">
        <f t="array" ref="M297">INDEX(postDEL!$A$2:$AL799,$O297,15)</f>
        <v/>
      </c>
      <c r="N297" s="110">
        <f>COUNTIF(postDEL!$A$2:$A799,A297)</f>
        <v>1</v>
      </c>
      <c r="O297" s="19">
        <f>MATCH(A297,postDEL!A$2:A799,0)</f>
        <v>296</v>
      </c>
      <c r="P297" s="10" t="b">
        <f t="shared" si="1"/>
        <v>1</v>
      </c>
      <c r="Q297" s="220">
        <f t="shared" si="2"/>
        <v>0</v>
      </c>
      <c r="R297" s="5"/>
    </row>
    <row r="298">
      <c r="A298" s="221" t="s">
        <v>1089</v>
      </c>
      <c r="B298" s="217">
        <f t="array" ref="B298">INDEX(postDEL!$A$2:$P799,$O298,2)</f>
        <v>44594</v>
      </c>
      <c r="C298" s="218">
        <f t="array" ref="C298">INDEX(postDEL!$A$2:$P799,$O298,3)</f>
        <v>0.3348263889</v>
      </c>
      <c r="D298" s="219" t="str">
        <f t="array" ref="D298">INDEX(postDEL!$A$2:$AN799,$O298,39)</f>
        <v>SpBEND387578</v>
      </c>
      <c r="E298" s="219" t="str">
        <f t="array" ref="E298">INDEX(postDEL!$A$2:$P799,$O298,4)</f>
        <v/>
      </c>
      <c r="F298" s="219" t="str">
        <f t="array" ref="F298">INDEX(postDEL!$A$2:$P799,$O298,5)</f>
        <v/>
      </c>
      <c r="G298" s="219" t="str">
        <f t="array" ref="G298">INDEX(postDEL!$A$2:$P799,$O298,11)</f>
        <v>Negative</v>
      </c>
      <c r="H298" s="219" t="str">
        <f t="array" ref="H298">INDEX(postDEL!$A$2:$AL799,$O298,37)</f>
        <v>Negative</v>
      </c>
      <c r="I298" s="217">
        <f t="array" ref="I298">INDEX(postDEL!$A$2:$AL799,$O298,12)</f>
        <v>44596</v>
      </c>
      <c r="J298" s="218">
        <f t="array" ref="J298">INDEX(postDEL!$A$2:$AL799,$O298,13)</f>
        <v>0.4819328704</v>
      </c>
      <c r="K298" s="219" t="str">
        <f t="array" ref="K298">INDEX(postDEL!$A$2:$AL799,$O298,36)</f>
        <v/>
      </c>
      <c r="L298" s="219" t="str">
        <f t="array" ref="L298">INDEX(postDEL!$A$2:$AL799,$O298,38)</f>
        <v/>
      </c>
      <c r="M298" s="219" t="str">
        <f t="array" ref="M298">INDEX(postDEL!$A$2:$AL799,$O298,15)</f>
        <v/>
      </c>
      <c r="N298" s="110">
        <f>COUNTIF(postDEL!$A$2:$A799,A298)</f>
        <v>1</v>
      </c>
      <c r="O298" s="19">
        <f>MATCH(A298,postDEL!A$2:A799,0)</f>
        <v>297</v>
      </c>
      <c r="P298" s="10" t="str">
        <f t="shared" si="1"/>
        <v/>
      </c>
      <c r="Q298" s="220">
        <f t="shared" si="2"/>
        <v>2</v>
      </c>
      <c r="R298" s="5"/>
    </row>
    <row r="299">
      <c r="A299" s="221" t="s">
        <v>1091</v>
      </c>
      <c r="B299" s="217">
        <f t="array" ref="B299">INDEX(postDEL!$A$2:$P799,$O299,2)</f>
        <v>44594</v>
      </c>
      <c r="C299" s="218">
        <f t="array" ref="C299">INDEX(postDEL!$A$2:$P799,$O299,3)</f>
        <v>0.3384606481</v>
      </c>
      <c r="D299" s="219" t="str">
        <f t="array" ref="D299">INDEX(postDEL!$A$2:$AN799,$O299,39)</f>
        <v>SpBEND985296</v>
      </c>
      <c r="E299" s="219" t="str">
        <f t="array" ref="E299">INDEX(postDEL!$A$2:$P799,$O299,4)</f>
        <v/>
      </c>
      <c r="F299" s="219" t="str">
        <f t="array" ref="F299">INDEX(postDEL!$A$2:$P799,$O299,5)</f>
        <v/>
      </c>
      <c r="G299" s="219" t="str">
        <f t="array" ref="G299">INDEX(postDEL!$A$2:$P799,$O299,11)</f>
        <v>Negative</v>
      </c>
      <c r="H299" s="219" t="str">
        <f t="array" ref="H299">INDEX(postDEL!$A$2:$AL799,$O299,37)</f>
        <v>Negative</v>
      </c>
      <c r="I299" s="217">
        <f t="array" ref="I299">INDEX(postDEL!$A$2:$AL799,$O299,12)</f>
        <v>44596</v>
      </c>
      <c r="J299" s="218">
        <f t="array" ref="J299">INDEX(postDEL!$A$2:$AL799,$O299,13)</f>
        <v>0.4819444444</v>
      </c>
      <c r="K299" s="219" t="str">
        <f t="array" ref="K299">INDEX(postDEL!$A$2:$AL799,$O299,36)</f>
        <v/>
      </c>
      <c r="L299" s="219" t="str">
        <f t="array" ref="L299">INDEX(postDEL!$A$2:$AL799,$O299,38)</f>
        <v/>
      </c>
      <c r="M299" s="219" t="str">
        <f t="array" ref="M299">INDEX(postDEL!$A$2:$AL799,$O299,15)</f>
        <v/>
      </c>
      <c r="N299" s="110">
        <f>COUNTIF(postDEL!$A$2:$A799,A299)</f>
        <v>1</v>
      </c>
      <c r="O299" s="19">
        <f>MATCH(A299,postDEL!A$2:A799,0)</f>
        <v>298</v>
      </c>
      <c r="P299" s="10" t="str">
        <f t="shared" si="1"/>
        <v/>
      </c>
      <c r="Q299" s="220">
        <f t="shared" si="2"/>
        <v>2</v>
      </c>
      <c r="R299" s="5"/>
    </row>
    <row r="300">
      <c r="A300" s="221" t="s">
        <v>1093</v>
      </c>
      <c r="B300" s="217">
        <f t="array" ref="B300">INDEX(postDEL!$A$2:$P799,$O300,2)</f>
        <v>44594</v>
      </c>
      <c r="C300" s="218">
        <f t="array" ref="C300">INDEX(postDEL!$A$2:$P799,$O300,3)</f>
        <v>0.3437731481</v>
      </c>
      <c r="D300" s="219" t="str">
        <f t="array" ref="D300">INDEX(postDEL!$A$2:$AN799,$O300,39)</f>
        <v>SpBEND528248</v>
      </c>
      <c r="E300" s="219" t="str">
        <f t="array" ref="E300">INDEX(postDEL!$A$2:$P799,$O300,4)</f>
        <v/>
      </c>
      <c r="F300" s="219" t="str">
        <f t="array" ref="F300">INDEX(postDEL!$A$2:$P799,$O300,5)</f>
        <v/>
      </c>
      <c r="G300" s="219" t="str">
        <f t="array" ref="G300">INDEX(postDEL!$A$2:$P799,$O300,11)</f>
        <v>Negative</v>
      </c>
      <c r="H300" s="219" t="str">
        <f t="array" ref="H300">INDEX(postDEL!$A$2:$AL799,$O300,37)</f>
        <v>Negative</v>
      </c>
      <c r="I300" s="217">
        <f t="array" ref="I300">INDEX(postDEL!$A$2:$AL799,$O300,12)</f>
        <v>44596</v>
      </c>
      <c r="J300" s="218">
        <f t="array" ref="J300">INDEX(postDEL!$A$2:$AL799,$O300,13)</f>
        <v>0.4819444444</v>
      </c>
      <c r="K300" s="219" t="str">
        <f t="array" ref="K300">INDEX(postDEL!$A$2:$AL799,$O300,36)</f>
        <v/>
      </c>
      <c r="L300" s="219" t="str">
        <f t="array" ref="L300">INDEX(postDEL!$A$2:$AL799,$O300,38)</f>
        <v/>
      </c>
      <c r="M300" s="219" t="str">
        <f t="array" ref="M300">INDEX(postDEL!$A$2:$AL799,$O300,15)</f>
        <v/>
      </c>
      <c r="N300" s="110">
        <f>COUNTIF(postDEL!$A$2:$A799,A300)</f>
        <v>1</v>
      </c>
      <c r="O300" s="19">
        <f>MATCH(A300,postDEL!A$2:A799,0)</f>
        <v>299</v>
      </c>
      <c r="P300" s="10" t="str">
        <f t="shared" si="1"/>
        <v/>
      </c>
      <c r="Q300" s="220">
        <f t="shared" si="2"/>
        <v>2</v>
      </c>
      <c r="R300" s="5"/>
    </row>
    <row r="301">
      <c r="A301" s="221" t="s">
        <v>1095</v>
      </c>
      <c r="B301" s="217">
        <f t="array" ref="B301">INDEX(postDEL!$A$2:$P799,$O301,2)</f>
        <v>44594</v>
      </c>
      <c r="C301" s="218">
        <f t="array" ref="C301">INDEX(postDEL!$A$2:$P799,$O301,3)</f>
        <v>0.3442361111</v>
      </c>
      <c r="D301" s="219" t="str">
        <f t="array" ref="D301">INDEX(postDEL!$A$2:$AN799,$O301,39)</f>
        <v>SpBEND528248</v>
      </c>
      <c r="E301" s="219" t="str">
        <f t="array" ref="E301">INDEX(postDEL!$A$2:$P799,$O301,4)</f>
        <v/>
      </c>
      <c r="F301" s="219" t="str">
        <f t="array" ref="F301">INDEX(postDEL!$A$2:$P799,$O301,5)</f>
        <v/>
      </c>
      <c r="G301" s="219" t="str">
        <f t="array" ref="G301">INDEX(postDEL!$A$2:$P799,$O301,11)</f>
        <v>Negative</v>
      </c>
      <c r="H301" s="219" t="str">
        <f t="array" ref="H301">INDEX(postDEL!$A$2:$AL799,$O301,37)</f>
        <v>Negative</v>
      </c>
      <c r="I301" s="217">
        <f t="array" ref="I301">INDEX(postDEL!$A$2:$AL799,$O301,12)</f>
        <v>44596</v>
      </c>
      <c r="J301" s="218">
        <f t="array" ref="J301">INDEX(postDEL!$A$2:$AL799,$O301,13)</f>
        <v>0.4819444444</v>
      </c>
      <c r="K301" s="219" t="str">
        <f t="array" ref="K301">INDEX(postDEL!$A$2:$AL799,$O301,36)</f>
        <v/>
      </c>
      <c r="L301" s="219" t="str">
        <f t="array" ref="L301">INDEX(postDEL!$A$2:$AL799,$O301,38)</f>
        <v/>
      </c>
      <c r="M301" s="219" t="str">
        <f t="array" ref="M301">INDEX(postDEL!$A$2:$AL799,$O301,15)</f>
        <v/>
      </c>
      <c r="N301" s="110">
        <f>COUNTIF(postDEL!$A$2:$A799,A301)</f>
        <v>1</v>
      </c>
      <c r="O301" s="19">
        <f>MATCH(A301,postDEL!A$2:A799,0)</f>
        <v>300</v>
      </c>
      <c r="P301" s="10" t="str">
        <f t="shared" si="1"/>
        <v/>
      </c>
      <c r="Q301" s="220">
        <f t="shared" si="2"/>
        <v>2</v>
      </c>
      <c r="R301" s="5"/>
    </row>
    <row r="302">
      <c r="A302" s="221" t="s">
        <v>1098</v>
      </c>
      <c r="B302" s="217">
        <f t="array" ref="B302">INDEX(postDEL!$A$2:$P799,$O302,2)</f>
        <v>44594</v>
      </c>
      <c r="C302" s="218">
        <f t="array" ref="C302">INDEX(postDEL!$A$2:$P799,$O302,3)</f>
        <v>0.3473958333</v>
      </c>
      <c r="D302" s="219" t="str">
        <f t="array" ref="D302">INDEX(postDEL!$A$2:$AN799,$O302,39)</f>
        <v>SpBEND474338</v>
      </c>
      <c r="E302" s="219" t="str">
        <f t="array" ref="E302">INDEX(postDEL!$A$2:$P799,$O302,4)</f>
        <v/>
      </c>
      <c r="F302" s="219" t="str">
        <f t="array" ref="F302">INDEX(postDEL!$A$2:$P799,$O302,5)</f>
        <v/>
      </c>
      <c r="G302" s="219" t="str">
        <f t="array" ref="G302">INDEX(postDEL!$A$2:$P799,$O302,11)</f>
        <v>Negative</v>
      </c>
      <c r="H302" s="219" t="str">
        <f t="array" ref="H302">INDEX(postDEL!$A$2:$AL799,$O302,37)</f>
        <v>Negative</v>
      </c>
      <c r="I302" s="217">
        <f t="array" ref="I302">INDEX(postDEL!$A$2:$AL799,$O302,12)</f>
        <v>44596</v>
      </c>
      <c r="J302" s="218">
        <f t="array" ref="J302">INDEX(postDEL!$A$2:$AL799,$O302,13)</f>
        <v>0.4819444444</v>
      </c>
      <c r="K302" s="219" t="str">
        <f t="array" ref="K302">INDEX(postDEL!$A$2:$AL799,$O302,36)</f>
        <v/>
      </c>
      <c r="L302" s="219" t="str">
        <f t="array" ref="L302">INDEX(postDEL!$A$2:$AL799,$O302,38)</f>
        <v/>
      </c>
      <c r="M302" s="219" t="str">
        <f t="array" ref="M302">INDEX(postDEL!$A$2:$AL799,$O302,15)</f>
        <v/>
      </c>
      <c r="N302" s="110">
        <f>COUNTIF(postDEL!$A$2:$A799,A302)</f>
        <v>1</v>
      </c>
      <c r="O302" s="19">
        <f>MATCH(A302,postDEL!A$2:A799,0)</f>
        <v>301</v>
      </c>
      <c r="P302" s="10" t="str">
        <f t="shared" si="1"/>
        <v/>
      </c>
      <c r="Q302" s="220">
        <f t="shared" si="2"/>
        <v>2</v>
      </c>
      <c r="R302" s="5"/>
    </row>
    <row r="303">
      <c r="A303" s="221" t="s">
        <v>1102</v>
      </c>
      <c r="B303" s="217">
        <f t="array" ref="B303">INDEX(postDEL!$A$2:$P799,$O303,2)</f>
        <v>44594</v>
      </c>
      <c r="C303" s="218">
        <f t="array" ref="C303">INDEX(postDEL!$A$2:$P799,$O303,3)</f>
        <v>0.3539351852</v>
      </c>
      <c r="D303" s="219" t="str">
        <f t="array" ref="D303">INDEX(postDEL!$A$2:$AN799,$O303,39)</f>
        <v>SpBEND454594</v>
      </c>
      <c r="E303" s="219" t="str">
        <f t="array" ref="E303">INDEX(postDEL!$A$2:$P799,$O303,4)</f>
        <v/>
      </c>
      <c r="F303" s="219" t="str">
        <f t="array" ref="F303">INDEX(postDEL!$A$2:$P799,$O303,5)</f>
        <v/>
      </c>
      <c r="G303" s="219" t="str">
        <f t="array" ref="G303">INDEX(postDEL!$A$2:$P799,$O303,11)</f>
        <v>Negative</v>
      </c>
      <c r="H303" s="219" t="str">
        <f t="array" ref="H303">INDEX(postDEL!$A$2:$AL799,$O303,37)</f>
        <v>Negative</v>
      </c>
      <c r="I303" s="217">
        <f t="array" ref="I303">INDEX(postDEL!$A$2:$AL799,$O303,12)</f>
        <v>44596</v>
      </c>
      <c r="J303" s="218">
        <f t="array" ref="J303">INDEX(postDEL!$A$2:$AL799,$O303,13)</f>
        <v>0.4819444444</v>
      </c>
      <c r="K303" s="219" t="str">
        <f t="array" ref="K303">INDEX(postDEL!$A$2:$AL799,$O303,36)</f>
        <v/>
      </c>
      <c r="L303" s="219" t="str">
        <f t="array" ref="L303">INDEX(postDEL!$A$2:$AL799,$O303,38)</f>
        <v/>
      </c>
      <c r="M303" s="219" t="str">
        <f t="array" ref="M303">INDEX(postDEL!$A$2:$AL799,$O303,15)</f>
        <v/>
      </c>
      <c r="N303" s="110">
        <f>COUNTIF(postDEL!$A$2:$A799,A303)</f>
        <v>1</v>
      </c>
      <c r="O303" s="19">
        <f>MATCH(A303,postDEL!A$2:A799,0)</f>
        <v>302</v>
      </c>
      <c r="P303" s="10" t="str">
        <f t="shared" si="1"/>
        <v/>
      </c>
      <c r="Q303" s="220">
        <f t="shared" si="2"/>
        <v>2</v>
      </c>
      <c r="R303" s="5"/>
    </row>
    <row r="304">
      <c r="A304" s="221" t="s">
        <v>1104</v>
      </c>
      <c r="B304" s="217">
        <f t="array" ref="B304">INDEX(postDEL!$A$2:$P799,$O304,2)</f>
        <v>44594</v>
      </c>
      <c r="C304" s="218">
        <f t="array" ref="C304">INDEX(postDEL!$A$2:$P799,$O304,3)</f>
        <v>0.3751157407</v>
      </c>
      <c r="D304" s="219" t="str">
        <f t="array" ref="D304">INDEX(postDEL!$A$2:$AN799,$O304,39)</f>
        <v>SpBEND394154</v>
      </c>
      <c r="E304" s="219" t="str">
        <f t="array" ref="E304">INDEX(postDEL!$A$2:$P799,$O304,4)</f>
        <v/>
      </c>
      <c r="F304" s="219" t="str">
        <f t="array" ref="F304">INDEX(postDEL!$A$2:$P799,$O304,5)</f>
        <v/>
      </c>
      <c r="G304" s="219" t="str">
        <f t="array" ref="G304">INDEX(postDEL!$A$2:$P799,$O304,11)</f>
        <v>Negative</v>
      </c>
      <c r="H304" s="219" t="str">
        <f t="array" ref="H304">INDEX(postDEL!$A$2:$AL799,$O304,37)</f>
        <v>Negative</v>
      </c>
      <c r="I304" s="217">
        <f t="array" ref="I304">INDEX(postDEL!$A$2:$AL799,$O304,12)</f>
        <v>44596</v>
      </c>
      <c r="J304" s="218">
        <f t="array" ref="J304">INDEX(postDEL!$A$2:$AL799,$O304,13)</f>
        <v>0.4819444444</v>
      </c>
      <c r="K304" s="219" t="str">
        <f t="array" ref="K304">INDEX(postDEL!$A$2:$AL799,$O304,36)</f>
        <v/>
      </c>
      <c r="L304" s="219" t="str">
        <f t="array" ref="L304">INDEX(postDEL!$A$2:$AL799,$O304,38)</f>
        <v/>
      </c>
      <c r="M304" s="219" t="str">
        <f t="array" ref="M304">INDEX(postDEL!$A$2:$AL799,$O304,15)</f>
        <v/>
      </c>
      <c r="N304" s="110">
        <f>COUNTIF(postDEL!$A$2:$A799,A304)</f>
        <v>1</v>
      </c>
      <c r="O304" s="19">
        <f>MATCH(A304,postDEL!A$2:A799,0)</f>
        <v>303</v>
      </c>
      <c r="P304" s="10" t="str">
        <f t="shared" si="1"/>
        <v/>
      </c>
      <c r="Q304" s="220">
        <f t="shared" si="2"/>
        <v>2</v>
      </c>
      <c r="R304" s="5"/>
    </row>
    <row r="305">
      <c r="A305" s="221" t="s">
        <v>1106</v>
      </c>
      <c r="B305" s="217">
        <f t="array" ref="B305">INDEX(postDEL!$A$2:$P799,$O305,2)</f>
        <v>44594</v>
      </c>
      <c r="C305" s="218">
        <f t="array" ref="C305">INDEX(postDEL!$A$2:$P799,$O305,3)</f>
        <v>0.3755555556</v>
      </c>
      <c r="D305" s="219" t="str">
        <f t="array" ref="D305">INDEX(postDEL!$A$2:$AN799,$O305,39)</f>
        <v>SpBEND394154</v>
      </c>
      <c r="E305" s="219" t="str">
        <f t="array" ref="E305">INDEX(postDEL!$A$2:$P799,$O305,4)</f>
        <v/>
      </c>
      <c r="F305" s="219" t="str">
        <f t="array" ref="F305">INDEX(postDEL!$A$2:$P799,$O305,5)</f>
        <v/>
      </c>
      <c r="G305" s="219" t="str">
        <f t="array" ref="G305">INDEX(postDEL!$A$2:$P799,$O305,11)</f>
        <v>Negative</v>
      </c>
      <c r="H305" s="219" t="str">
        <f t="array" ref="H305">INDEX(postDEL!$A$2:$AL799,$O305,37)</f>
        <v>Negative</v>
      </c>
      <c r="I305" s="217">
        <f t="array" ref="I305">INDEX(postDEL!$A$2:$AL799,$O305,12)</f>
        <v>44596</v>
      </c>
      <c r="J305" s="218">
        <f t="array" ref="J305">INDEX(postDEL!$A$2:$AL799,$O305,13)</f>
        <v>0.4819444444</v>
      </c>
      <c r="K305" s="219" t="str">
        <f t="array" ref="K305">INDEX(postDEL!$A$2:$AL799,$O305,36)</f>
        <v/>
      </c>
      <c r="L305" s="219" t="str">
        <f t="array" ref="L305">INDEX(postDEL!$A$2:$AL799,$O305,38)</f>
        <v/>
      </c>
      <c r="M305" s="219" t="str">
        <f t="array" ref="M305">INDEX(postDEL!$A$2:$AL799,$O305,15)</f>
        <v/>
      </c>
      <c r="N305" s="110">
        <f>COUNTIF(postDEL!$A$2:$A799,A305)</f>
        <v>1</v>
      </c>
      <c r="O305" s="19">
        <f>MATCH(A305,postDEL!A$2:A799,0)</f>
        <v>304</v>
      </c>
      <c r="P305" s="10" t="str">
        <f t="shared" si="1"/>
        <v/>
      </c>
      <c r="Q305" s="220">
        <f t="shared" si="2"/>
        <v>2</v>
      </c>
      <c r="R305" s="5"/>
    </row>
    <row r="306">
      <c r="A306" s="221" t="s">
        <v>1108</v>
      </c>
      <c r="B306" s="217">
        <f t="array" ref="B306">INDEX(postDEL!$A$2:$P799,$O306,2)</f>
        <v>44596</v>
      </c>
      <c r="C306" s="218">
        <f t="array" ref="C306">INDEX(postDEL!$A$2:$P799,$O306,3)</f>
        <v>0.3091782407</v>
      </c>
      <c r="D306" s="219" t="str">
        <f t="array" ref="D306">INDEX(postDEL!$A$2:$AN799,$O306,39)</f>
        <v>SpBEND394154</v>
      </c>
      <c r="E306" s="219" t="str">
        <f t="array" ref="E306">INDEX(postDEL!$A$2:$P799,$O306,4)</f>
        <v/>
      </c>
      <c r="F306" s="219" t="str">
        <f t="array" ref="F306">INDEX(postDEL!$A$2:$P799,$O306,5)</f>
        <v/>
      </c>
      <c r="G306" s="219" t="str">
        <f t="array" ref="G306">INDEX(postDEL!$A$2:$P799,$O306,11)</f>
        <v>Negative</v>
      </c>
      <c r="H306" s="219" t="str">
        <f t="array" ref="H306">INDEX(postDEL!$A$2:$AL799,$O306,37)</f>
        <v>Negative</v>
      </c>
      <c r="I306" s="217">
        <f t="array" ref="I306">INDEX(postDEL!$A$2:$AL799,$O306,12)</f>
        <v>44596</v>
      </c>
      <c r="J306" s="218">
        <f t="array" ref="J306">INDEX(postDEL!$A$2:$AL799,$O306,13)</f>
        <v>0.4819328704</v>
      </c>
      <c r="K306" s="219" t="str">
        <f t="array" ref="K306">INDEX(postDEL!$A$2:$AL799,$O306,36)</f>
        <v/>
      </c>
      <c r="L306" s="219" t="str">
        <f t="array" ref="L306">INDEX(postDEL!$A$2:$AL799,$O306,38)</f>
        <v/>
      </c>
      <c r="M306" s="219" t="str">
        <f t="array" ref="M306">INDEX(postDEL!$A$2:$AL799,$O306,15)</f>
        <v/>
      </c>
      <c r="N306" s="110">
        <f>COUNTIF(postDEL!$A$2:$A799,A306)</f>
        <v>1</v>
      </c>
      <c r="O306" s="19">
        <f>MATCH(A306,postDEL!A$2:A799,0)</f>
        <v>305</v>
      </c>
      <c r="P306" s="10" t="b">
        <f t="shared" si="1"/>
        <v>1</v>
      </c>
      <c r="Q306" s="220">
        <f t="shared" si="2"/>
        <v>0</v>
      </c>
      <c r="R306" s="5"/>
    </row>
    <row r="307">
      <c r="A307" s="221" t="s">
        <v>1110</v>
      </c>
      <c r="B307" s="217">
        <f t="array" ref="B307">INDEX(postDEL!$A$2:$P799,$O307,2)</f>
        <v>44596</v>
      </c>
      <c r="C307" s="218">
        <f t="array" ref="C307">INDEX(postDEL!$A$2:$P799,$O307,3)</f>
        <v>0.3431712963</v>
      </c>
      <c r="D307" s="219" t="str">
        <f t="array" ref="D307">INDEX(postDEL!$A$2:$AN799,$O307,39)</f>
        <v>SpBEND387578</v>
      </c>
      <c r="E307" s="219" t="str">
        <f t="array" ref="E307">INDEX(postDEL!$A$2:$P799,$O307,4)</f>
        <v/>
      </c>
      <c r="F307" s="219" t="str">
        <f t="array" ref="F307">INDEX(postDEL!$A$2:$P799,$O307,5)</f>
        <v/>
      </c>
      <c r="G307" s="219" t="str">
        <f t="array" ref="G307">INDEX(postDEL!$A$2:$P799,$O307,11)</f>
        <v>Negative</v>
      </c>
      <c r="H307" s="219" t="str">
        <f t="array" ref="H307">INDEX(postDEL!$A$2:$AL799,$O307,37)</f>
        <v>Negative</v>
      </c>
      <c r="I307" s="217">
        <f t="array" ref="I307">INDEX(postDEL!$A$2:$AL799,$O307,12)</f>
        <v>44596</v>
      </c>
      <c r="J307" s="218">
        <f t="array" ref="J307">INDEX(postDEL!$A$2:$AL799,$O307,13)</f>
        <v>0.4819328704</v>
      </c>
      <c r="K307" s="219" t="str">
        <f t="array" ref="K307">INDEX(postDEL!$A$2:$AL799,$O307,36)</f>
        <v/>
      </c>
      <c r="L307" s="219" t="str">
        <f t="array" ref="L307">INDEX(postDEL!$A$2:$AL799,$O307,38)</f>
        <v/>
      </c>
      <c r="M307" s="219" t="str">
        <f t="array" ref="M307">INDEX(postDEL!$A$2:$AL799,$O307,15)</f>
        <v/>
      </c>
      <c r="N307" s="110">
        <f>COUNTIF(postDEL!$A$2:$A799,A307)</f>
        <v>1</v>
      </c>
      <c r="O307" s="19">
        <f>MATCH(A307,postDEL!A$2:A799,0)</f>
        <v>306</v>
      </c>
      <c r="P307" s="10" t="str">
        <f t="shared" si="1"/>
        <v/>
      </c>
      <c r="Q307" s="220">
        <f t="shared" si="2"/>
        <v>0</v>
      </c>
      <c r="R307" s="5"/>
    </row>
    <row r="308">
      <c r="A308" s="221" t="s">
        <v>1112</v>
      </c>
      <c r="B308" s="217">
        <f t="array" ref="B308">INDEX(postDEL!$A$2:$P799,$O308,2)</f>
        <v>44596</v>
      </c>
      <c r="C308" s="218">
        <f t="array" ref="C308">INDEX(postDEL!$A$2:$P799,$O308,3)</f>
        <v>0.351875</v>
      </c>
      <c r="D308" s="219" t="str">
        <f t="array" ref="D308">INDEX(postDEL!$A$2:$AN799,$O308,39)</f>
        <v>SpBEND394154</v>
      </c>
      <c r="E308" s="219" t="str">
        <f t="array" ref="E308">INDEX(postDEL!$A$2:$P799,$O308,4)</f>
        <v/>
      </c>
      <c r="F308" s="219" t="str">
        <f t="array" ref="F308">INDEX(postDEL!$A$2:$P799,$O308,5)</f>
        <v/>
      </c>
      <c r="G308" s="219" t="str">
        <f t="array" ref="G308">INDEX(postDEL!$A$2:$P799,$O308,11)</f>
        <v>Negative</v>
      </c>
      <c r="H308" s="219" t="str">
        <f t="array" ref="H308">INDEX(postDEL!$A$2:$AL799,$O308,37)</f>
        <v>Negative</v>
      </c>
      <c r="I308" s="217">
        <f t="array" ref="I308">INDEX(postDEL!$A$2:$AL799,$O308,12)</f>
        <v>44596</v>
      </c>
      <c r="J308" s="218">
        <f t="array" ref="J308">INDEX(postDEL!$A$2:$AL799,$O308,13)</f>
        <v>0.4819328704</v>
      </c>
      <c r="K308" s="219" t="str">
        <f t="array" ref="K308">INDEX(postDEL!$A$2:$AL799,$O308,36)</f>
        <v/>
      </c>
      <c r="L308" s="219" t="str">
        <f t="array" ref="L308">INDEX(postDEL!$A$2:$AL799,$O308,38)</f>
        <v/>
      </c>
      <c r="M308" s="219" t="str">
        <f t="array" ref="M308">INDEX(postDEL!$A$2:$AL799,$O308,15)</f>
        <v/>
      </c>
      <c r="N308" s="110">
        <f>COUNTIF(postDEL!$A$2:$A799,A308)</f>
        <v>1</v>
      </c>
      <c r="O308" s="19">
        <f>MATCH(A308,postDEL!A$2:A799,0)</f>
        <v>307</v>
      </c>
      <c r="P308" s="10" t="str">
        <f t="shared" si="1"/>
        <v/>
      </c>
      <c r="Q308" s="220">
        <f t="shared" si="2"/>
        <v>0</v>
      </c>
      <c r="R308" s="5"/>
    </row>
    <row r="309">
      <c r="A309" s="221" t="s">
        <v>1115</v>
      </c>
      <c r="B309" s="217">
        <f t="array" ref="B309">INDEX(postDEL!$A$2:$P799,$O309,2)</f>
        <v>44596</v>
      </c>
      <c r="C309" s="218">
        <f t="array" ref="C309">INDEX(postDEL!$A$2:$P799,$O309,3)</f>
        <v>0.3522569444</v>
      </c>
      <c r="D309" s="219" t="str">
        <f t="array" ref="D309">INDEX(postDEL!$A$2:$AN799,$O309,39)</f>
        <v>SpBEND139600</v>
      </c>
      <c r="E309" s="219" t="str">
        <f t="array" ref="E309">INDEX(postDEL!$A$2:$P799,$O309,4)</f>
        <v/>
      </c>
      <c r="F309" s="219" t="str">
        <f t="array" ref="F309">INDEX(postDEL!$A$2:$P799,$O309,5)</f>
        <v/>
      </c>
      <c r="G309" s="219" t="str">
        <f t="array" ref="G309">INDEX(postDEL!$A$2:$P799,$O309,11)</f>
        <v>Negative</v>
      </c>
      <c r="H309" s="219" t="str">
        <f t="array" ref="H309">INDEX(postDEL!$A$2:$AL799,$O309,37)</f>
        <v>Negative</v>
      </c>
      <c r="I309" s="217">
        <f t="array" ref="I309">INDEX(postDEL!$A$2:$AL799,$O309,12)</f>
        <v>44596</v>
      </c>
      <c r="J309" s="218">
        <f t="array" ref="J309">INDEX(postDEL!$A$2:$AL799,$O309,13)</f>
        <v>0.4819328704</v>
      </c>
      <c r="K309" s="219" t="str">
        <f t="array" ref="K309">INDEX(postDEL!$A$2:$AL799,$O309,36)</f>
        <v/>
      </c>
      <c r="L309" s="219" t="str">
        <f t="array" ref="L309">INDEX(postDEL!$A$2:$AL799,$O309,38)</f>
        <v/>
      </c>
      <c r="M309" s="219" t="str">
        <f t="array" ref="M309">INDEX(postDEL!$A$2:$AL799,$O309,15)</f>
        <v/>
      </c>
      <c r="N309" s="110">
        <f>COUNTIF(postDEL!$A$2:$A799,A309)</f>
        <v>1</v>
      </c>
      <c r="O309" s="19">
        <f>MATCH(A309,postDEL!A$2:A799,0)</f>
        <v>308</v>
      </c>
      <c r="P309" s="10" t="str">
        <f t="shared" si="1"/>
        <v/>
      </c>
      <c r="Q309" s="220">
        <f t="shared" si="2"/>
        <v>0</v>
      </c>
      <c r="R309" s="5"/>
    </row>
    <row r="310">
      <c r="A310" s="221" t="s">
        <v>1117</v>
      </c>
      <c r="B310" s="217">
        <f t="array" ref="B310">INDEX(postDEL!$A$2:$P799,$O310,2)</f>
        <v>44596</v>
      </c>
      <c r="C310" s="218">
        <f t="array" ref="C310">INDEX(postDEL!$A$2:$P799,$O310,3)</f>
        <v>0.3524189815</v>
      </c>
      <c r="D310" s="219" t="str">
        <f t="array" ref="D310">INDEX(postDEL!$A$2:$AN799,$O310,39)</f>
        <v>SpBEND394154</v>
      </c>
      <c r="E310" s="219" t="str">
        <f t="array" ref="E310">INDEX(postDEL!$A$2:$P799,$O310,4)</f>
        <v/>
      </c>
      <c r="F310" s="219" t="str">
        <f t="array" ref="F310">INDEX(postDEL!$A$2:$P799,$O310,5)</f>
        <v/>
      </c>
      <c r="G310" s="219" t="str">
        <f t="array" ref="G310">INDEX(postDEL!$A$2:$P799,$O310,11)</f>
        <v>Negative</v>
      </c>
      <c r="H310" s="219" t="str">
        <f t="array" ref="H310">INDEX(postDEL!$A$2:$AL799,$O310,37)</f>
        <v>Negative</v>
      </c>
      <c r="I310" s="217">
        <f t="array" ref="I310">INDEX(postDEL!$A$2:$AL799,$O310,12)</f>
        <v>44596</v>
      </c>
      <c r="J310" s="218">
        <f t="array" ref="J310">INDEX(postDEL!$A$2:$AL799,$O310,13)</f>
        <v>0.4819328704</v>
      </c>
      <c r="K310" s="219" t="str">
        <f t="array" ref="K310">INDEX(postDEL!$A$2:$AL799,$O310,36)</f>
        <v/>
      </c>
      <c r="L310" s="219" t="str">
        <f t="array" ref="L310">INDEX(postDEL!$A$2:$AL799,$O310,38)</f>
        <v/>
      </c>
      <c r="M310" s="219" t="str">
        <f t="array" ref="M310">INDEX(postDEL!$A$2:$AL799,$O310,15)</f>
        <v/>
      </c>
      <c r="N310" s="110">
        <f>COUNTIF(postDEL!$A$2:$A799,A310)</f>
        <v>1</v>
      </c>
      <c r="O310" s="19">
        <f>MATCH(A310,postDEL!A$2:A799,0)</f>
        <v>309</v>
      </c>
      <c r="P310" s="10" t="str">
        <f t="shared" si="1"/>
        <v/>
      </c>
      <c r="Q310" s="220">
        <f t="shared" si="2"/>
        <v>0</v>
      </c>
      <c r="R310" s="5"/>
    </row>
    <row r="311">
      <c r="A311" s="221" t="s">
        <v>1119</v>
      </c>
      <c r="B311" s="217">
        <f t="array" ref="B311">INDEX(postDEL!$A$2:$P799,$O311,2)</f>
        <v>44599</v>
      </c>
      <c r="C311" s="218">
        <f t="array" ref="C311">INDEX(postDEL!$A$2:$P799,$O311,3)</f>
        <v>0.2763541667</v>
      </c>
      <c r="D311" s="219" t="str">
        <f t="array" ref="D311">INDEX(postDEL!$A$2:$AN799,$O311,39)</f>
        <v>SpBEND953422</v>
      </c>
      <c r="E311" s="219" t="str">
        <f t="array" ref="E311">INDEX(postDEL!$A$2:$P799,$O311,4)</f>
        <v/>
      </c>
      <c r="F311" s="219" t="str">
        <f t="array" ref="F311">INDEX(postDEL!$A$2:$P799,$O311,5)</f>
        <v/>
      </c>
      <c r="G311" s="219" t="str">
        <f t="array" ref="G311">INDEX(postDEL!$A$2:$P799,$O311,11)</f>
        <v>Negative</v>
      </c>
      <c r="H311" s="219" t="str">
        <f t="array" ref="H311">INDEX(postDEL!$A$2:$AL799,$O311,37)</f>
        <v>Negative</v>
      </c>
      <c r="I311" s="217">
        <f t="array" ref="I311">INDEX(postDEL!$A$2:$AL799,$O311,12)</f>
        <v>44599</v>
      </c>
      <c r="J311" s="218">
        <f t="array" ref="J311">INDEX(postDEL!$A$2:$AL799,$O311,13)</f>
        <v>0.4875347222</v>
      </c>
      <c r="K311" s="219" t="str">
        <f t="array" ref="K311">INDEX(postDEL!$A$2:$AL799,$O311,36)</f>
        <v/>
      </c>
      <c r="L311" s="219" t="str">
        <f t="array" ref="L311">INDEX(postDEL!$A$2:$AL799,$O311,38)</f>
        <v/>
      </c>
      <c r="M311" s="219" t="str">
        <f t="array" ref="M311">INDEX(postDEL!$A$2:$AL799,$O311,15)</f>
        <v/>
      </c>
      <c r="N311" s="110">
        <f>COUNTIF(postDEL!$A$2:$A799,A311)</f>
        <v>1</v>
      </c>
      <c r="O311" s="19">
        <f>MATCH(A311,postDEL!A$2:A799,0)</f>
        <v>310</v>
      </c>
      <c r="P311" s="10" t="b">
        <f t="shared" si="1"/>
        <v>1</v>
      </c>
      <c r="Q311" s="220">
        <f t="shared" si="2"/>
        <v>0</v>
      </c>
      <c r="R311" s="5"/>
    </row>
    <row r="312">
      <c r="A312" s="221" t="s">
        <v>1121</v>
      </c>
      <c r="B312" s="217">
        <f t="array" ref="B312">INDEX(postDEL!$A$2:$P799,$O312,2)</f>
        <v>44599</v>
      </c>
      <c r="C312" s="218">
        <f t="array" ref="C312">INDEX(postDEL!$A$2:$P799,$O312,3)</f>
        <v>0.3005902778</v>
      </c>
      <c r="D312" s="219" t="str">
        <f t="array" ref="D312">INDEX(postDEL!$A$2:$AN799,$O312,39)</f>
        <v>SpBEND721986</v>
      </c>
      <c r="E312" s="219" t="str">
        <f t="array" ref="E312">INDEX(postDEL!$A$2:$P799,$O312,4)</f>
        <v/>
      </c>
      <c r="F312" s="219" t="str">
        <f t="array" ref="F312">INDEX(postDEL!$A$2:$P799,$O312,5)</f>
        <v/>
      </c>
      <c r="G312" s="219" t="str">
        <f t="array" ref="G312">INDEX(postDEL!$A$2:$P799,$O312,11)</f>
        <v>Negative</v>
      </c>
      <c r="H312" s="219" t="str">
        <f t="array" ref="H312">INDEX(postDEL!$A$2:$AL799,$O312,37)</f>
        <v>Negative</v>
      </c>
      <c r="I312" s="217">
        <f t="array" ref="I312">INDEX(postDEL!$A$2:$AL799,$O312,12)</f>
        <v>44599</v>
      </c>
      <c r="J312" s="218">
        <f t="array" ref="J312">INDEX(postDEL!$A$2:$AL799,$O312,13)</f>
        <v>0.4875347222</v>
      </c>
      <c r="K312" s="219" t="str">
        <f t="array" ref="K312">INDEX(postDEL!$A$2:$AL799,$O312,36)</f>
        <v/>
      </c>
      <c r="L312" s="219" t="str">
        <f t="array" ref="L312">INDEX(postDEL!$A$2:$AL799,$O312,38)</f>
        <v/>
      </c>
      <c r="M312" s="219" t="str">
        <f t="array" ref="M312">INDEX(postDEL!$A$2:$AL799,$O312,15)</f>
        <v/>
      </c>
      <c r="N312" s="110">
        <f>COUNTIF(postDEL!$A$2:$A799,A312)</f>
        <v>1</v>
      </c>
      <c r="O312" s="19">
        <f>MATCH(A312,postDEL!A$2:A799,0)</f>
        <v>311</v>
      </c>
      <c r="P312" s="10" t="str">
        <f t="shared" si="1"/>
        <v/>
      </c>
      <c r="Q312" s="220">
        <f t="shared" si="2"/>
        <v>0</v>
      </c>
      <c r="R312" s="5"/>
    </row>
    <row r="313">
      <c r="A313" s="221" t="s">
        <v>1123</v>
      </c>
      <c r="B313" s="217">
        <f t="array" ref="B313">INDEX(postDEL!$A$2:$P799,$O313,2)</f>
        <v>44599</v>
      </c>
      <c r="C313" s="218">
        <f t="array" ref="C313">INDEX(postDEL!$A$2:$P799,$O313,3)</f>
        <v>0.3059143519</v>
      </c>
      <c r="D313" s="219" t="str">
        <f t="array" ref="D313">INDEX(postDEL!$A$2:$AN799,$O313,39)</f>
        <v>SpBEND214692</v>
      </c>
      <c r="E313" s="219" t="str">
        <f t="array" ref="E313">INDEX(postDEL!$A$2:$P799,$O313,4)</f>
        <v/>
      </c>
      <c r="F313" s="219" t="str">
        <f t="array" ref="F313">INDEX(postDEL!$A$2:$P799,$O313,5)</f>
        <v/>
      </c>
      <c r="G313" s="219" t="str">
        <f t="array" ref="G313">INDEX(postDEL!$A$2:$P799,$O313,11)</f>
        <v>Negative</v>
      </c>
      <c r="H313" s="219" t="str">
        <f t="array" ref="H313">INDEX(postDEL!$A$2:$AL799,$O313,37)</f>
        <v>Negative</v>
      </c>
      <c r="I313" s="217">
        <f t="array" ref="I313">INDEX(postDEL!$A$2:$AL799,$O313,12)</f>
        <v>44599</v>
      </c>
      <c r="J313" s="218">
        <f t="array" ref="J313">INDEX(postDEL!$A$2:$AL799,$O313,13)</f>
        <v>0.4875347222</v>
      </c>
      <c r="K313" s="219" t="str">
        <f t="array" ref="K313">INDEX(postDEL!$A$2:$AL799,$O313,36)</f>
        <v/>
      </c>
      <c r="L313" s="219" t="str">
        <f t="array" ref="L313">INDEX(postDEL!$A$2:$AL799,$O313,38)</f>
        <v/>
      </c>
      <c r="M313" s="219" t="str">
        <f t="array" ref="M313">INDEX(postDEL!$A$2:$AL799,$O313,15)</f>
        <v/>
      </c>
      <c r="N313" s="110">
        <f>COUNTIF(postDEL!$A$2:$A799,A313)</f>
        <v>1</v>
      </c>
      <c r="O313" s="19">
        <f>MATCH(A313,postDEL!A$2:A799,0)</f>
        <v>312</v>
      </c>
      <c r="P313" s="10" t="str">
        <f t="shared" si="1"/>
        <v/>
      </c>
      <c r="Q313" s="220">
        <f t="shared" si="2"/>
        <v>0</v>
      </c>
      <c r="R313" s="5"/>
    </row>
    <row r="314">
      <c r="A314" s="221" t="s">
        <v>1125</v>
      </c>
      <c r="B314" s="217">
        <f t="array" ref="B314">INDEX(postDEL!$A$2:$P799,$O314,2)</f>
        <v>44599</v>
      </c>
      <c r="C314" s="218">
        <f t="array" ref="C314">INDEX(postDEL!$A$2:$P799,$O314,3)</f>
        <v>0.3065393519</v>
      </c>
      <c r="D314" s="219" t="str">
        <f t="array" ref="D314">INDEX(postDEL!$A$2:$AN799,$O314,39)</f>
        <v>SpBEND541174</v>
      </c>
      <c r="E314" s="219" t="str">
        <f t="array" ref="E314">INDEX(postDEL!$A$2:$P799,$O314,4)</f>
        <v/>
      </c>
      <c r="F314" s="219" t="str">
        <f t="array" ref="F314">INDEX(postDEL!$A$2:$P799,$O314,5)</f>
        <v/>
      </c>
      <c r="G314" s="219" t="str">
        <f t="array" ref="G314">INDEX(postDEL!$A$2:$P799,$O314,11)</f>
        <v>Negative</v>
      </c>
      <c r="H314" s="219" t="str">
        <f t="array" ref="H314">INDEX(postDEL!$A$2:$AL799,$O314,37)</f>
        <v>Negative</v>
      </c>
      <c r="I314" s="217">
        <f t="array" ref="I314">INDEX(postDEL!$A$2:$AL799,$O314,12)</f>
        <v>44599</v>
      </c>
      <c r="J314" s="218">
        <f t="array" ref="J314">INDEX(postDEL!$A$2:$AL799,$O314,13)</f>
        <v>0.4875347222</v>
      </c>
      <c r="K314" s="219" t="str">
        <f t="array" ref="K314">INDEX(postDEL!$A$2:$AL799,$O314,36)</f>
        <v/>
      </c>
      <c r="L314" s="219" t="str">
        <f t="array" ref="L314">INDEX(postDEL!$A$2:$AL799,$O314,38)</f>
        <v/>
      </c>
      <c r="M314" s="219" t="str">
        <f t="array" ref="M314">INDEX(postDEL!$A$2:$AL799,$O314,15)</f>
        <v/>
      </c>
      <c r="N314" s="110">
        <f>COUNTIF(postDEL!$A$2:$A799,A314)</f>
        <v>1</v>
      </c>
      <c r="O314" s="19">
        <f>MATCH(A314,postDEL!A$2:A799,0)</f>
        <v>313</v>
      </c>
      <c r="P314" s="10" t="str">
        <f t="shared" si="1"/>
        <v/>
      </c>
      <c r="Q314" s="220">
        <f t="shared" si="2"/>
        <v>0</v>
      </c>
      <c r="R314" s="5"/>
    </row>
    <row r="315">
      <c r="A315" s="221" t="s">
        <v>1127</v>
      </c>
      <c r="B315" s="217">
        <f t="array" ref="B315">INDEX(postDEL!$A$2:$P799,$O315,2)</f>
        <v>44599</v>
      </c>
      <c r="C315" s="218">
        <f t="array" ref="C315">INDEX(postDEL!$A$2:$P799,$O315,3)</f>
        <v>0.3181365741</v>
      </c>
      <c r="D315" s="219" t="str">
        <f t="array" ref="D315">INDEX(postDEL!$A$2:$AN799,$O315,39)</f>
        <v>SpBEND136234</v>
      </c>
      <c r="E315" s="219" t="str">
        <f t="array" ref="E315">INDEX(postDEL!$A$2:$P799,$O315,4)</f>
        <v/>
      </c>
      <c r="F315" s="219" t="str">
        <f t="array" ref="F315">INDEX(postDEL!$A$2:$P799,$O315,5)</f>
        <v/>
      </c>
      <c r="G315" s="219" t="str">
        <f t="array" ref="G315">INDEX(postDEL!$A$2:$P799,$O315,11)</f>
        <v>Negative</v>
      </c>
      <c r="H315" s="219" t="str">
        <f t="array" ref="H315">INDEX(postDEL!$A$2:$AL799,$O315,37)</f>
        <v>Negative</v>
      </c>
      <c r="I315" s="217">
        <f t="array" ref="I315">INDEX(postDEL!$A$2:$AL799,$O315,12)</f>
        <v>44599</v>
      </c>
      <c r="J315" s="218">
        <f t="array" ref="J315">INDEX(postDEL!$A$2:$AL799,$O315,13)</f>
        <v>0.4875462963</v>
      </c>
      <c r="K315" s="219" t="str">
        <f t="array" ref="K315">INDEX(postDEL!$A$2:$AL799,$O315,36)</f>
        <v/>
      </c>
      <c r="L315" s="219" t="str">
        <f t="array" ref="L315">INDEX(postDEL!$A$2:$AL799,$O315,38)</f>
        <v/>
      </c>
      <c r="M315" s="219" t="str">
        <f t="array" ref="M315">INDEX(postDEL!$A$2:$AL799,$O315,15)</f>
        <v/>
      </c>
      <c r="N315" s="110">
        <f>COUNTIF(postDEL!$A$2:$A799,A315)</f>
        <v>1</v>
      </c>
      <c r="O315" s="19">
        <f>MATCH(A315,postDEL!A$2:A799,0)</f>
        <v>314</v>
      </c>
      <c r="P315" s="10" t="str">
        <f t="shared" si="1"/>
        <v/>
      </c>
      <c r="Q315" s="220">
        <f t="shared" si="2"/>
        <v>0</v>
      </c>
      <c r="R315" s="5"/>
    </row>
    <row r="316">
      <c r="A316" s="221" t="s">
        <v>1129</v>
      </c>
      <c r="B316" s="217">
        <f t="array" ref="B316">INDEX(postDEL!$A$2:$P799,$O316,2)</f>
        <v>44599</v>
      </c>
      <c r="C316" s="218">
        <f t="array" ref="C316">INDEX(postDEL!$A$2:$P799,$O316,3)</f>
        <v>0.3188425926</v>
      </c>
      <c r="D316" s="219" t="str">
        <f t="array" ref="D316">INDEX(postDEL!$A$2:$AN799,$O316,39)</f>
        <v>SpBEND492052</v>
      </c>
      <c r="E316" s="219" t="str">
        <f t="array" ref="E316">INDEX(postDEL!$A$2:$P799,$O316,4)</f>
        <v/>
      </c>
      <c r="F316" s="219" t="str">
        <f t="array" ref="F316">INDEX(postDEL!$A$2:$P799,$O316,5)</f>
        <v/>
      </c>
      <c r="G316" s="219" t="str">
        <f t="array" ref="G316">INDEX(postDEL!$A$2:$P799,$O316,11)</f>
        <v>Negative</v>
      </c>
      <c r="H316" s="219" t="str">
        <f t="array" ref="H316">INDEX(postDEL!$A$2:$AL799,$O316,37)</f>
        <v>Negative</v>
      </c>
      <c r="I316" s="217">
        <f t="array" ref="I316">INDEX(postDEL!$A$2:$AL799,$O316,12)</f>
        <v>44599</v>
      </c>
      <c r="J316" s="218">
        <f t="array" ref="J316">INDEX(postDEL!$A$2:$AL799,$O316,13)</f>
        <v>0.4875462963</v>
      </c>
      <c r="K316" s="219" t="str">
        <f t="array" ref="K316">INDEX(postDEL!$A$2:$AL799,$O316,36)</f>
        <v/>
      </c>
      <c r="L316" s="219" t="str">
        <f t="array" ref="L316">INDEX(postDEL!$A$2:$AL799,$O316,38)</f>
        <v/>
      </c>
      <c r="M316" s="219" t="str">
        <f t="array" ref="M316">INDEX(postDEL!$A$2:$AL799,$O316,15)</f>
        <v/>
      </c>
      <c r="N316" s="110">
        <f>COUNTIF(postDEL!$A$2:$A799,A316)</f>
        <v>1</v>
      </c>
      <c r="O316" s="19">
        <f>MATCH(A316,postDEL!A$2:A799,0)</f>
        <v>315</v>
      </c>
      <c r="P316" s="10" t="str">
        <f t="shared" si="1"/>
        <v/>
      </c>
      <c r="Q316" s="220">
        <f t="shared" si="2"/>
        <v>0</v>
      </c>
      <c r="R316" s="5"/>
    </row>
    <row r="317">
      <c r="A317" s="221" t="s">
        <v>1131</v>
      </c>
      <c r="B317" s="217">
        <f t="array" ref="B317">INDEX(postDEL!$A$2:$P799,$O317,2)</f>
        <v>44599</v>
      </c>
      <c r="C317" s="218">
        <f t="array" ref="C317">INDEX(postDEL!$A$2:$P799,$O317,3)</f>
        <v>0.3245949074</v>
      </c>
      <c r="D317" s="219" t="str">
        <f t="array" ref="D317">INDEX(postDEL!$A$2:$AN799,$O317,39)</f>
        <v>SpBEND767550</v>
      </c>
      <c r="E317" s="219" t="str">
        <f t="array" ref="E317">INDEX(postDEL!$A$2:$P799,$O317,4)</f>
        <v/>
      </c>
      <c r="F317" s="219" t="str">
        <f t="array" ref="F317">INDEX(postDEL!$A$2:$P799,$O317,5)</f>
        <v/>
      </c>
      <c r="G317" s="219" t="str">
        <f t="array" ref="G317">INDEX(postDEL!$A$2:$P799,$O317,11)</f>
        <v>Negative</v>
      </c>
      <c r="H317" s="219" t="str">
        <f t="array" ref="H317">INDEX(postDEL!$A$2:$AL799,$O317,37)</f>
        <v>Negative</v>
      </c>
      <c r="I317" s="217">
        <f t="array" ref="I317">INDEX(postDEL!$A$2:$AL799,$O317,12)</f>
        <v>44599</v>
      </c>
      <c r="J317" s="218">
        <f t="array" ref="J317">INDEX(postDEL!$A$2:$AL799,$O317,13)</f>
        <v>0.4875462963</v>
      </c>
      <c r="K317" s="219" t="str">
        <f t="array" ref="K317">INDEX(postDEL!$A$2:$AL799,$O317,36)</f>
        <v/>
      </c>
      <c r="L317" s="219" t="str">
        <f t="array" ref="L317">INDEX(postDEL!$A$2:$AL799,$O317,38)</f>
        <v/>
      </c>
      <c r="M317" s="219" t="str">
        <f t="array" ref="M317">INDEX(postDEL!$A$2:$AL799,$O317,15)</f>
        <v/>
      </c>
      <c r="N317" s="110">
        <f>COUNTIF(postDEL!$A$2:$A799,A317)</f>
        <v>1</v>
      </c>
      <c r="O317" s="19">
        <f>MATCH(A317,postDEL!A$2:A799,0)</f>
        <v>316</v>
      </c>
      <c r="P317" s="10" t="str">
        <f t="shared" si="1"/>
        <v/>
      </c>
      <c r="Q317" s="220">
        <f t="shared" si="2"/>
        <v>0</v>
      </c>
      <c r="R317" s="5"/>
    </row>
    <row r="318">
      <c r="A318" s="221" t="s">
        <v>1133</v>
      </c>
      <c r="B318" s="217">
        <f t="array" ref="B318">INDEX(postDEL!$A$2:$P799,$O318,2)</f>
        <v>44599</v>
      </c>
      <c r="C318" s="218">
        <f t="array" ref="C318">INDEX(postDEL!$A$2:$P799,$O318,3)</f>
        <v>0.3328819444</v>
      </c>
      <c r="D318" s="219" t="str">
        <f t="array" ref="D318">INDEX(postDEL!$A$2:$AN799,$O318,39)</f>
        <v>SpBEND757435</v>
      </c>
      <c r="E318" s="219" t="str">
        <f t="array" ref="E318">INDEX(postDEL!$A$2:$P799,$O318,4)</f>
        <v/>
      </c>
      <c r="F318" s="219" t="str">
        <f t="array" ref="F318">INDEX(postDEL!$A$2:$P799,$O318,5)</f>
        <v/>
      </c>
      <c r="G318" s="219" t="str">
        <f t="array" ref="G318">INDEX(postDEL!$A$2:$P799,$O318,11)</f>
        <v>Positive</v>
      </c>
      <c r="H318" s="219" t="str">
        <f t="array" ref="H318">INDEX(postDEL!$A$2:$AL799,$O318,37)</f>
        <v>Positive</v>
      </c>
      <c r="I318" s="217">
        <f t="array" ref="I318">INDEX(postDEL!$A$2:$AL799,$O318,12)</f>
        <v>44599</v>
      </c>
      <c r="J318" s="218">
        <f t="array" ref="J318">INDEX(postDEL!$A$2:$AL799,$O318,13)</f>
        <v>0.4875347222</v>
      </c>
      <c r="K318" s="219" t="str">
        <f t="array" ref="K318">INDEX(postDEL!$A$2:$AL799,$O318,36)</f>
        <v/>
      </c>
      <c r="L318" s="219" t="str">
        <f t="array" ref="L318">INDEX(postDEL!$A$2:$AL799,$O318,38)</f>
        <v/>
      </c>
      <c r="M318" s="219" t="str">
        <f t="array" ref="M318">INDEX(postDEL!$A$2:$AL799,$O318,15)</f>
        <v/>
      </c>
      <c r="N318" s="110">
        <f>COUNTIF(postDEL!$A$2:$A799,A318)</f>
        <v>1</v>
      </c>
      <c r="O318" s="19">
        <f>MATCH(A318,postDEL!A$2:A799,0)</f>
        <v>317</v>
      </c>
      <c r="P318" s="10" t="str">
        <f t="shared" si="1"/>
        <v/>
      </c>
      <c r="Q318" s="220">
        <f t="shared" si="2"/>
        <v>0</v>
      </c>
      <c r="R318" s="5"/>
    </row>
    <row r="319">
      <c r="A319" s="221" t="s">
        <v>1135</v>
      </c>
      <c r="B319" s="217">
        <f t="array" ref="B319">INDEX(postDEL!$A$2:$P799,$O319,2)</f>
        <v>44599</v>
      </c>
      <c r="C319" s="218">
        <f t="array" ref="C319">INDEX(postDEL!$A$2:$P799,$O319,3)</f>
        <v>0.3376736111</v>
      </c>
      <c r="D319" s="219" t="str">
        <f t="array" ref="D319">INDEX(postDEL!$A$2:$AN799,$O319,39)</f>
        <v>SpBEND643855</v>
      </c>
      <c r="E319" s="219" t="str">
        <f t="array" ref="E319">INDEX(postDEL!$A$2:$P799,$O319,4)</f>
        <v/>
      </c>
      <c r="F319" s="219" t="str">
        <f t="array" ref="F319">INDEX(postDEL!$A$2:$P799,$O319,5)</f>
        <v/>
      </c>
      <c r="G319" s="219" t="str">
        <f t="array" ref="G319">INDEX(postDEL!$A$2:$P799,$O319,11)</f>
        <v>Negative</v>
      </c>
      <c r="H319" s="219" t="str">
        <f t="array" ref="H319">INDEX(postDEL!$A$2:$AL799,$O319,37)</f>
        <v>Negative</v>
      </c>
      <c r="I319" s="217">
        <f t="array" ref="I319">INDEX(postDEL!$A$2:$AL799,$O319,12)</f>
        <v>44599</v>
      </c>
      <c r="J319" s="218">
        <f t="array" ref="J319">INDEX(postDEL!$A$2:$AL799,$O319,13)</f>
        <v>0.4875462963</v>
      </c>
      <c r="K319" s="219" t="str">
        <f t="array" ref="K319">INDEX(postDEL!$A$2:$AL799,$O319,36)</f>
        <v/>
      </c>
      <c r="L319" s="219" t="str">
        <f t="array" ref="L319">INDEX(postDEL!$A$2:$AL799,$O319,38)</f>
        <v/>
      </c>
      <c r="M319" s="219" t="str">
        <f t="array" ref="M319">INDEX(postDEL!$A$2:$AL799,$O319,15)</f>
        <v/>
      </c>
      <c r="N319" s="110">
        <f>COUNTIF(postDEL!$A$2:$A799,A319)</f>
        <v>1</v>
      </c>
      <c r="O319" s="19">
        <f>MATCH(A319,postDEL!A$2:A799,0)</f>
        <v>318</v>
      </c>
      <c r="P319" s="10" t="str">
        <f t="shared" si="1"/>
        <v/>
      </c>
      <c r="Q319" s="220">
        <f t="shared" si="2"/>
        <v>0</v>
      </c>
      <c r="R319" s="5"/>
    </row>
    <row r="320">
      <c r="A320" s="221" t="s">
        <v>1137</v>
      </c>
      <c r="B320" s="217">
        <f t="array" ref="B320">INDEX(postDEL!$A$2:$P799,$O320,2)</f>
        <v>44599</v>
      </c>
      <c r="C320" s="218">
        <f t="array" ref="C320">INDEX(postDEL!$A$2:$P799,$O320,3)</f>
        <v>0.347037037</v>
      </c>
      <c r="D320" s="219" t="str">
        <f t="array" ref="D320">INDEX(postDEL!$A$2:$AN799,$O320,39)</f>
        <v>SpBEND825522</v>
      </c>
      <c r="E320" s="219" t="str">
        <f t="array" ref="E320">INDEX(postDEL!$A$2:$P799,$O320,4)</f>
        <v/>
      </c>
      <c r="F320" s="219" t="str">
        <f t="array" ref="F320">INDEX(postDEL!$A$2:$P799,$O320,5)</f>
        <v/>
      </c>
      <c r="G320" s="219" t="str">
        <f t="array" ref="G320">INDEX(postDEL!$A$2:$P799,$O320,11)</f>
        <v>Negative</v>
      </c>
      <c r="H320" s="219" t="str">
        <f t="array" ref="H320">INDEX(postDEL!$A$2:$AL799,$O320,37)</f>
        <v>Negative</v>
      </c>
      <c r="I320" s="217">
        <f t="array" ref="I320">INDEX(postDEL!$A$2:$AL799,$O320,12)</f>
        <v>44599</v>
      </c>
      <c r="J320" s="218">
        <f t="array" ref="J320">INDEX(postDEL!$A$2:$AL799,$O320,13)</f>
        <v>0.4875462963</v>
      </c>
      <c r="K320" s="219" t="str">
        <f t="array" ref="K320">INDEX(postDEL!$A$2:$AL799,$O320,36)</f>
        <v/>
      </c>
      <c r="L320" s="219" t="str">
        <f t="array" ref="L320">INDEX(postDEL!$A$2:$AL799,$O320,38)</f>
        <v/>
      </c>
      <c r="M320" s="219" t="str">
        <f t="array" ref="M320">INDEX(postDEL!$A$2:$AL799,$O320,15)</f>
        <v/>
      </c>
      <c r="N320" s="110">
        <f>COUNTIF(postDEL!$A$2:$A799,A320)</f>
        <v>1</v>
      </c>
      <c r="O320" s="19">
        <f>MATCH(A320,postDEL!A$2:A799,0)</f>
        <v>319</v>
      </c>
      <c r="P320" s="10" t="str">
        <f t="shared" si="1"/>
        <v/>
      </c>
      <c r="Q320" s="220">
        <f t="shared" si="2"/>
        <v>0</v>
      </c>
      <c r="R320" s="5"/>
    </row>
    <row r="321">
      <c r="A321" s="221" t="s">
        <v>1139</v>
      </c>
      <c r="B321" s="217">
        <f t="array" ref="B321">INDEX(postDEL!$A$2:$P799,$O321,2)</f>
        <v>44599</v>
      </c>
      <c r="C321" s="218">
        <f t="array" ref="C321">INDEX(postDEL!$A$2:$P799,$O321,3)</f>
        <v>0.4626388889</v>
      </c>
      <c r="D321" s="219" t="str">
        <f t="array" ref="D321">INDEX(postDEL!$A$2:$AN799,$O321,39)</f>
        <v>SpBEND394154</v>
      </c>
      <c r="E321" s="219" t="str">
        <f t="array" ref="E321">INDEX(postDEL!$A$2:$P799,$O321,4)</f>
        <v/>
      </c>
      <c r="F321" s="219" t="str">
        <f t="array" ref="F321">INDEX(postDEL!$A$2:$P799,$O321,5)</f>
        <v/>
      </c>
      <c r="G321" s="219" t="str">
        <f t="array" ref="G321">INDEX(postDEL!$A$2:$P799,$O321,11)</f>
        <v>Negative</v>
      </c>
      <c r="H321" s="219" t="str">
        <f t="array" ref="H321">INDEX(postDEL!$A$2:$AL799,$O321,37)</f>
        <v>Negative</v>
      </c>
      <c r="I321" s="217">
        <f t="array" ref="I321">INDEX(postDEL!$A$2:$AL799,$O321,12)</f>
        <v>44599</v>
      </c>
      <c r="J321" s="218">
        <f t="array" ref="J321">INDEX(postDEL!$A$2:$AL799,$O321,13)</f>
        <v>0.4875462963</v>
      </c>
      <c r="K321" s="219" t="str">
        <f t="array" ref="K321">INDEX(postDEL!$A$2:$AL799,$O321,36)</f>
        <v/>
      </c>
      <c r="L321" s="219" t="str">
        <f t="array" ref="L321">INDEX(postDEL!$A$2:$AL799,$O321,38)</f>
        <v/>
      </c>
      <c r="M321" s="219" t="str">
        <f t="array" ref="M321">INDEX(postDEL!$A$2:$AL799,$O321,15)</f>
        <v/>
      </c>
      <c r="N321" s="110">
        <f>COUNTIF(postDEL!$A$2:$A799,A321)</f>
        <v>1</v>
      </c>
      <c r="O321" s="19">
        <f>MATCH(A321,postDEL!A$2:A799,0)</f>
        <v>320</v>
      </c>
      <c r="P321" s="10" t="str">
        <f t="shared" si="1"/>
        <v/>
      </c>
      <c r="Q321" s="220">
        <f t="shared" si="2"/>
        <v>0</v>
      </c>
      <c r="R321" s="5"/>
    </row>
    <row r="322">
      <c r="A322" s="221" t="s">
        <v>1142</v>
      </c>
      <c r="B322" s="217">
        <f t="array" ref="B322">INDEX(postDEL!$A$2:$P799,$O322,2)</f>
        <v>44599</v>
      </c>
      <c r="C322" s="218">
        <f t="array" ref="C322">INDEX(postDEL!$A$2:$P799,$O322,3)</f>
        <v>0.4630439815</v>
      </c>
      <c r="D322" s="219" t="str">
        <f t="array" ref="D322">INDEX(postDEL!$A$2:$AN799,$O322,39)</f>
        <v>SpBEND394154</v>
      </c>
      <c r="E322" s="219" t="str">
        <f t="array" ref="E322">INDEX(postDEL!$A$2:$P799,$O322,4)</f>
        <v/>
      </c>
      <c r="F322" s="219" t="str">
        <f t="array" ref="F322">INDEX(postDEL!$A$2:$P799,$O322,5)</f>
        <v/>
      </c>
      <c r="G322" s="219" t="str">
        <f t="array" ref="G322">INDEX(postDEL!$A$2:$P799,$O322,11)</f>
        <v>Negative</v>
      </c>
      <c r="H322" s="219" t="str">
        <f t="array" ref="H322">INDEX(postDEL!$A$2:$AL799,$O322,37)</f>
        <v>Negative</v>
      </c>
      <c r="I322" s="217">
        <f t="array" ref="I322">INDEX(postDEL!$A$2:$AL799,$O322,12)</f>
        <v>44599</v>
      </c>
      <c r="J322" s="218">
        <f t="array" ref="J322">INDEX(postDEL!$A$2:$AL799,$O322,13)</f>
        <v>0.4875462963</v>
      </c>
      <c r="K322" s="219" t="str">
        <f t="array" ref="K322">INDEX(postDEL!$A$2:$AL799,$O322,36)</f>
        <v/>
      </c>
      <c r="L322" s="219" t="str">
        <f t="array" ref="L322">INDEX(postDEL!$A$2:$AL799,$O322,38)</f>
        <v/>
      </c>
      <c r="M322" s="219" t="str">
        <f t="array" ref="M322">INDEX(postDEL!$A$2:$AL799,$O322,15)</f>
        <v/>
      </c>
      <c r="N322" s="110">
        <f>COUNTIF(postDEL!$A$2:$A799,A322)</f>
        <v>1</v>
      </c>
      <c r="O322" s="19">
        <f>MATCH(A322,postDEL!A$2:A799,0)</f>
        <v>321</v>
      </c>
      <c r="P322" s="10" t="str">
        <f t="shared" si="1"/>
        <v/>
      </c>
      <c r="Q322" s="220">
        <f t="shared" si="2"/>
        <v>0</v>
      </c>
      <c r="R322" s="5"/>
    </row>
    <row r="323">
      <c r="A323" s="221" t="s">
        <v>1145</v>
      </c>
      <c r="B323" s="217">
        <f t="array" ref="B323">INDEX(postDEL!$A$2:$P799,$O323,2)</f>
        <v>44599</v>
      </c>
      <c r="C323" s="218">
        <f t="array" ref="C323">INDEX(postDEL!$A$2:$P799,$O323,3)</f>
        <v>0.4706944444</v>
      </c>
      <c r="D323" s="219" t="str">
        <f t="array" ref="D323">INDEX(postDEL!$A$2:$AN799,$O323,39)</f>
        <v>SpBEND394154</v>
      </c>
      <c r="E323" s="219" t="str">
        <f t="array" ref="E323">INDEX(postDEL!$A$2:$P799,$O323,4)</f>
        <v/>
      </c>
      <c r="F323" s="219" t="str">
        <f t="array" ref="F323">INDEX(postDEL!$A$2:$P799,$O323,5)</f>
        <v/>
      </c>
      <c r="G323" s="219" t="str">
        <f t="array" ref="G323">INDEX(postDEL!$A$2:$P799,$O323,11)</f>
        <v>Negative</v>
      </c>
      <c r="H323" s="219" t="str">
        <f t="array" ref="H323">INDEX(postDEL!$A$2:$AL799,$O323,37)</f>
        <v>Negative</v>
      </c>
      <c r="I323" s="217">
        <f t="array" ref="I323">INDEX(postDEL!$A$2:$AL799,$O323,12)</f>
        <v>44599</v>
      </c>
      <c r="J323" s="218">
        <f t="array" ref="J323">INDEX(postDEL!$A$2:$AL799,$O323,13)</f>
        <v>0.4875462963</v>
      </c>
      <c r="K323" s="219" t="str">
        <f t="array" ref="K323">INDEX(postDEL!$A$2:$AL799,$O323,36)</f>
        <v/>
      </c>
      <c r="L323" s="219" t="str">
        <f t="array" ref="L323">INDEX(postDEL!$A$2:$AL799,$O323,38)</f>
        <v/>
      </c>
      <c r="M323" s="219" t="str">
        <f t="array" ref="M323">INDEX(postDEL!$A$2:$AL799,$O323,15)</f>
        <v/>
      </c>
      <c r="N323" s="110">
        <f>COUNTIF(postDEL!$A$2:$A799,A323)</f>
        <v>1</v>
      </c>
      <c r="O323" s="19">
        <f>MATCH(A323,postDEL!A$2:A799,0)</f>
        <v>322</v>
      </c>
      <c r="P323" s="10" t="str">
        <f t="shared" si="1"/>
        <v/>
      </c>
      <c r="Q323" s="220">
        <f t="shared" si="2"/>
        <v>0</v>
      </c>
      <c r="R323" s="5"/>
    </row>
    <row r="324">
      <c r="A324" s="221" t="s">
        <v>1147</v>
      </c>
      <c r="B324" s="217">
        <f t="array" ref="B324">INDEX(postDEL!$A$2:$P799,$O324,2)</f>
        <v>44601</v>
      </c>
      <c r="C324" s="218">
        <f t="array" ref="C324">INDEX(postDEL!$A$2:$P799,$O324,3)</f>
        <v>0.2631018519</v>
      </c>
      <c r="D324" s="219" t="str">
        <f t="array" ref="D324">INDEX(postDEL!$A$2:$AN799,$O324,39)</f>
        <v>SpBEND845568</v>
      </c>
      <c r="E324" s="219" t="str">
        <f t="array" ref="E324">INDEX(postDEL!$A$2:$P799,$O324,4)</f>
        <v/>
      </c>
      <c r="F324" s="219" t="str">
        <f t="array" ref="F324">INDEX(postDEL!$A$2:$P799,$O324,5)</f>
        <v/>
      </c>
      <c r="G324" s="219" t="str">
        <f t="array" ref="G324">INDEX(postDEL!$A$2:$P799,$O324,11)</f>
        <v>Negative</v>
      </c>
      <c r="H324" s="219" t="str">
        <f t="array" ref="H324">INDEX(postDEL!$A$2:$AL799,$O324,37)</f>
        <v>Negative</v>
      </c>
      <c r="I324" s="217">
        <f t="array" ref="I324">INDEX(postDEL!$A$2:$AL799,$O324,12)</f>
        <v>44601</v>
      </c>
      <c r="J324" s="218">
        <f t="array" ref="J324">INDEX(postDEL!$A$2:$AL799,$O324,13)</f>
        <v>0.482025463</v>
      </c>
      <c r="K324" s="219" t="str">
        <f t="array" ref="K324">INDEX(postDEL!$A$2:$AL799,$O324,36)</f>
        <v/>
      </c>
      <c r="L324" s="219" t="str">
        <f t="array" ref="L324">INDEX(postDEL!$A$2:$AL799,$O324,38)</f>
        <v/>
      </c>
      <c r="M324" s="219" t="str">
        <f t="array" ref="M324">INDEX(postDEL!$A$2:$AL799,$O324,15)</f>
        <v/>
      </c>
      <c r="N324" s="110">
        <f>COUNTIF(postDEL!$A$2:$A799,A324)</f>
        <v>1</v>
      </c>
      <c r="O324" s="19">
        <f>MATCH(A324,postDEL!A$2:A799,0)</f>
        <v>323</v>
      </c>
      <c r="P324" s="10" t="b">
        <f t="shared" si="1"/>
        <v>1</v>
      </c>
      <c r="Q324" s="220">
        <f t="shared" si="2"/>
        <v>0</v>
      </c>
      <c r="R324" s="5"/>
    </row>
    <row r="325">
      <c r="A325" s="221" t="s">
        <v>1149</v>
      </c>
      <c r="B325" s="217">
        <f t="array" ref="B325">INDEX(postDEL!$A$2:$P799,$O325,2)</f>
        <v>44601</v>
      </c>
      <c r="C325" s="218">
        <f t="array" ref="C325">INDEX(postDEL!$A$2:$P799,$O325,3)</f>
        <v>0.2634606481</v>
      </c>
      <c r="D325" s="219" t="str">
        <f t="array" ref="D325">INDEX(postDEL!$A$2:$AN799,$O325,39)</f>
        <v>SpBEND845568</v>
      </c>
      <c r="E325" s="219" t="str">
        <f t="array" ref="E325">INDEX(postDEL!$A$2:$P799,$O325,4)</f>
        <v/>
      </c>
      <c r="F325" s="219" t="str">
        <f t="array" ref="F325">INDEX(postDEL!$A$2:$P799,$O325,5)</f>
        <v/>
      </c>
      <c r="G325" s="219" t="str">
        <f t="array" ref="G325">INDEX(postDEL!$A$2:$P799,$O325,11)</f>
        <v>Positive</v>
      </c>
      <c r="H325" s="219" t="str">
        <f t="array" ref="H325">INDEX(postDEL!$A$2:$AL799,$O325,37)</f>
        <v>Positive</v>
      </c>
      <c r="I325" s="217">
        <f t="array" ref="I325">INDEX(postDEL!$A$2:$AL799,$O325,12)</f>
        <v>44601</v>
      </c>
      <c r="J325" s="218">
        <f t="array" ref="J325">INDEX(postDEL!$A$2:$AL799,$O325,13)</f>
        <v>0.482037037</v>
      </c>
      <c r="K325" s="219" t="str">
        <f t="array" ref="K325">INDEX(postDEL!$A$2:$AL799,$O325,36)</f>
        <v/>
      </c>
      <c r="L325" s="219" t="str">
        <f t="array" ref="L325">INDEX(postDEL!$A$2:$AL799,$O325,38)</f>
        <v/>
      </c>
      <c r="M325" s="219" t="str">
        <f t="array" ref="M325">INDEX(postDEL!$A$2:$AL799,$O325,15)</f>
        <v/>
      </c>
      <c r="N325" s="110">
        <f>COUNTIF(postDEL!$A$2:$A799,A325)</f>
        <v>1</v>
      </c>
      <c r="O325" s="19">
        <f>MATCH(A325,postDEL!A$2:A799,0)</f>
        <v>324</v>
      </c>
      <c r="P325" s="10" t="str">
        <f t="shared" si="1"/>
        <v/>
      </c>
      <c r="Q325" s="220">
        <f t="shared" si="2"/>
        <v>0</v>
      </c>
      <c r="R325" s="5"/>
    </row>
    <row r="326">
      <c r="A326" s="221" t="s">
        <v>1151</v>
      </c>
      <c r="B326" s="217">
        <f t="array" ref="B326">INDEX(postDEL!$A$2:$P799,$O326,2)</f>
        <v>44601</v>
      </c>
      <c r="C326" s="218">
        <f t="array" ref="C326">INDEX(postDEL!$A$2:$P799,$O326,3)</f>
        <v>0.3012037037</v>
      </c>
      <c r="D326" s="219" t="str">
        <f t="array" ref="D326">INDEX(postDEL!$A$2:$AN799,$O326,39)</f>
        <v>SpBEND394154</v>
      </c>
      <c r="E326" s="219" t="str">
        <f t="array" ref="E326">INDEX(postDEL!$A$2:$P799,$O326,4)</f>
        <v/>
      </c>
      <c r="F326" s="219" t="str">
        <f t="array" ref="F326">INDEX(postDEL!$A$2:$P799,$O326,5)</f>
        <v/>
      </c>
      <c r="G326" s="219" t="str">
        <f t="array" ref="G326">INDEX(postDEL!$A$2:$P799,$O326,11)</f>
        <v>Negative</v>
      </c>
      <c r="H326" s="219" t="str">
        <f t="array" ref="H326">INDEX(postDEL!$A$2:$AL799,$O326,37)</f>
        <v>Negative</v>
      </c>
      <c r="I326" s="217">
        <f t="array" ref="I326">INDEX(postDEL!$A$2:$AL799,$O326,12)</f>
        <v>44601</v>
      </c>
      <c r="J326" s="218">
        <f t="array" ref="J326">INDEX(postDEL!$A$2:$AL799,$O326,13)</f>
        <v>0.482037037</v>
      </c>
      <c r="K326" s="219" t="str">
        <f t="array" ref="K326">INDEX(postDEL!$A$2:$AL799,$O326,36)</f>
        <v/>
      </c>
      <c r="L326" s="219" t="str">
        <f t="array" ref="L326">INDEX(postDEL!$A$2:$AL799,$O326,38)</f>
        <v/>
      </c>
      <c r="M326" s="219" t="str">
        <f t="array" ref="M326">INDEX(postDEL!$A$2:$AL799,$O326,15)</f>
        <v/>
      </c>
      <c r="N326" s="110">
        <f>COUNTIF(postDEL!$A$2:$A799,A326)</f>
        <v>1</v>
      </c>
      <c r="O326" s="19">
        <f>MATCH(A326,postDEL!A$2:A799,0)</f>
        <v>325</v>
      </c>
      <c r="P326" s="10" t="str">
        <f t="shared" si="1"/>
        <v/>
      </c>
      <c r="Q326" s="220">
        <f t="shared" si="2"/>
        <v>0</v>
      </c>
      <c r="R326" s="5"/>
    </row>
    <row r="327">
      <c r="A327" s="221" t="s">
        <v>1153</v>
      </c>
      <c r="B327" s="217">
        <f t="array" ref="B327">INDEX(postDEL!$A$2:$P799,$O327,2)</f>
        <v>44601</v>
      </c>
      <c r="C327" s="218">
        <f t="array" ref="C327">INDEX(postDEL!$A$2:$P799,$O327,3)</f>
        <v>0.3015046296</v>
      </c>
      <c r="D327" s="219" t="str">
        <f t="array" ref="D327">INDEX(postDEL!$A$2:$AN799,$O327,39)</f>
        <v>SpBEND394154</v>
      </c>
      <c r="E327" s="219" t="str">
        <f t="array" ref="E327">INDEX(postDEL!$A$2:$P799,$O327,4)</f>
        <v/>
      </c>
      <c r="F327" s="219" t="str">
        <f t="array" ref="F327">INDEX(postDEL!$A$2:$P799,$O327,5)</f>
        <v/>
      </c>
      <c r="G327" s="219" t="str">
        <f t="array" ref="G327">INDEX(postDEL!$A$2:$P799,$O327,11)</f>
        <v>Negative</v>
      </c>
      <c r="H327" s="219" t="str">
        <f t="array" ref="H327">INDEX(postDEL!$A$2:$AL799,$O327,37)</f>
        <v>Negative</v>
      </c>
      <c r="I327" s="217">
        <f t="array" ref="I327">INDEX(postDEL!$A$2:$AL799,$O327,12)</f>
        <v>44601</v>
      </c>
      <c r="J327" s="218">
        <f t="array" ref="J327">INDEX(postDEL!$A$2:$AL799,$O327,13)</f>
        <v>0.482037037</v>
      </c>
      <c r="K327" s="219" t="str">
        <f t="array" ref="K327">INDEX(postDEL!$A$2:$AL799,$O327,36)</f>
        <v/>
      </c>
      <c r="L327" s="219" t="str">
        <f t="array" ref="L327">INDEX(postDEL!$A$2:$AL799,$O327,38)</f>
        <v/>
      </c>
      <c r="M327" s="219" t="str">
        <f t="array" ref="M327">INDEX(postDEL!$A$2:$AL799,$O327,15)</f>
        <v/>
      </c>
      <c r="N327" s="110">
        <f>COUNTIF(postDEL!$A$2:$A799,A327)</f>
        <v>1</v>
      </c>
      <c r="O327" s="19">
        <f>MATCH(A327,postDEL!A$2:A799,0)</f>
        <v>326</v>
      </c>
      <c r="P327" s="10" t="str">
        <f t="shared" si="1"/>
        <v/>
      </c>
      <c r="Q327" s="220">
        <f t="shared" si="2"/>
        <v>0</v>
      </c>
      <c r="R327" s="5"/>
    </row>
    <row r="328">
      <c r="A328" s="221" t="s">
        <v>1155</v>
      </c>
      <c r="B328" s="217">
        <f t="array" ref="B328">INDEX(postDEL!$A$2:$P799,$O328,2)</f>
        <v>44601</v>
      </c>
      <c r="C328" s="218">
        <f t="array" ref="C328">INDEX(postDEL!$A$2:$P799,$O328,3)</f>
        <v>0.3118171296</v>
      </c>
      <c r="D328" s="219" t="str">
        <f t="array" ref="D328">INDEX(postDEL!$A$2:$AN799,$O328,39)</f>
        <v>SpBEND139600</v>
      </c>
      <c r="E328" s="219" t="str">
        <f t="array" ref="E328">INDEX(postDEL!$A$2:$P799,$O328,4)</f>
        <v/>
      </c>
      <c r="F328" s="219" t="str">
        <f t="array" ref="F328">INDEX(postDEL!$A$2:$P799,$O328,5)</f>
        <v/>
      </c>
      <c r="G328" s="219" t="str">
        <f t="array" ref="G328">INDEX(postDEL!$A$2:$P799,$O328,11)</f>
        <v>Negative</v>
      </c>
      <c r="H328" s="219" t="str">
        <f t="array" ref="H328">INDEX(postDEL!$A$2:$AL799,$O328,37)</f>
        <v>Negative</v>
      </c>
      <c r="I328" s="217">
        <f t="array" ref="I328">INDEX(postDEL!$A$2:$AL799,$O328,12)</f>
        <v>44601</v>
      </c>
      <c r="J328" s="218">
        <f t="array" ref="J328">INDEX(postDEL!$A$2:$AL799,$O328,13)</f>
        <v>0.482037037</v>
      </c>
      <c r="K328" s="219" t="str">
        <f t="array" ref="K328">INDEX(postDEL!$A$2:$AL799,$O328,36)</f>
        <v/>
      </c>
      <c r="L328" s="219" t="str">
        <f t="array" ref="L328">INDEX(postDEL!$A$2:$AL799,$O328,38)</f>
        <v/>
      </c>
      <c r="M328" s="219" t="str">
        <f t="array" ref="M328">INDEX(postDEL!$A$2:$AL799,$O328,15)</f>
        <v/>
      </c>
      <c r="N328" s="110">
        <f>COUNTIF(postDEL!$A$2:$A799,A328)</f>
        <v>1</v>
      </c>
      <c r="O328" s="19">
        <f>MATCH(A328,postDEL!A$2:A799,0)</f>
        <v>327</v>
      </c>
      <c r="P328" s="10" t="str">
        <f t="shared" si="1"/>
        <v/>
      </c>
      <c r="Q328" s="220">
        <f t="shared" si="2"/>
        <v>0</v>
      </c>
      <c r="R328" s="5"/>
    </row>
    <row r="329">
      <c r="A329" s="221" t="s">
        <v>1157</v>
      </c>
      <c r="B329" s="217">
        <f t="array" ref="B329">INDEX(postDEL!$A$2:$P799,$O329,2)</f>
        <v>44601</v>
      </c>
      <c r="C329" s="218">
        <f t="array" ref="C329">INDEX(postDEL!$A$2:$P799,$O329,3)</f>
        <v>0.3174074074</v>
      </c>
      <c r="D329" s="219" t="str">
        <f t="array" ref="D329">INDEX(postDEL!$A$2:$AN799,$O329,39)</f>
        <v>SpBEND617677</v>
      </c>
      <c r="E329" s="219" t="str">
        <f t="array" ref="E329">INDEX(postDEL!$A$2:$P799,$O329,4)</f>
        <v/>
      </c>
      <c r="F329" s="219" t="str">
        <f t="array" ref="F329">INDEX(postDEL!$A$2:$P799,$O329,5)</f>
        <v/>
      </c>
      <c r="G329" s="219" t="str">
        <f t="array" ref="G329">INDEX(postDEL!$A$2:$P799,$O329,11)</f>
        <v>Negative</v>
      </c>
      <c r="H329" s="219" t="str">
        <f t="array" ref="H329">INDEX(postDEL!$A$2:$AL799,$O329,37)</f>
        <v>Negative</v>
      </c>
      <c r="I329" s="217">
        <f t="array" ref="I329">INDEX(postDEL!$A$2:$AL799,$O329,12)</f>
        <v>44601</v>
      </c>
      <c r="J329" s="218">
        <f t="array" ref="J329">INDEX(postDEL!$A$2:$AL799,$O329,13)</f>
        <v>0.482037037</v>
      </c>
      <c r="K329" s="219" t="str">
        <f t="array" ref="K329">INDEX(postDEL!$A$2:$AL799,$O329,36)</f>
        <v/>
      </c>
      <c r="L329" s="219" t="str">
        <f t="array" ref="L329">INDEX(postDEL!$A$2:$AL799,$O329,38)</f>
        <v/>
      </c>
      <c r="M329" s="219" t="str">
        <f t="array" ref="M329">INDEX(postDEL!$A$2:$AL799,$O329,15)</f>
        <v/>
      </c>
      <c r="N329" s="110">
        <f>COUNTIF(postDEL!$A$2:$A799,A329)</f>
        <v>1</v>
      </c>
      <c r="O329" s="19">
        <f>MATCH(A329,postDEL!A$2:A799,0)</f>
        <v>328</v>
      </c>
      <c r="P329" s="10" t="str">
        <f t="shared" si="1"/>
        <v/>
      </c>
      <c r="Q329" s="220">
        <f t="shared" si="2"/>
        <v>0</v>
      </c>
      <c r="R329" s="5"/>
    </row>
    <row r="330">
      <c r="A330" s="221" t="s">
        <v>1159</v>
      </c>
      <c r="B330" s="217">
        <f t="array" ref="B330">INDEX(postDEL!$A$2:$P799,$O330,2)</f>
        <v>44601</v>
      </c>
      <c r="C330" s="218">
        <f t="array" ref="C330">INDEX(postDEL!$A$2:$P799,$O330,3)</f>
        <v>0.3438310185</v>
      </c>
      <c r="D330" s="219" t="str">
        <f t="array" ref="D330">INDEX(postDEL!$A$2:$AN799,$O330,39)</f>
        <v>SpBEND394154</v>
      </c>
      <c r="E330" s="219" t="str">
        <f t="array" ref="E330">INDEX(postDEL!$A$2:$P799,$O330,4)</f>
        <v/>
      </c>
      <c r="F330" s="219" t="str">
        <f t="array" ref="F330">INDEX(postDEL!$A$2:$P799,$O330,5)</f>
        <v/>
      </c>
      <c r="G330" s="219" t="str">
        <f t="array" ref="G330">INDEX(postDEL!$A$2:$P799,$O330,11)</f>
        <v>Negative</v>
      </c>
      <c r="H330" s="219" t="str">
        <f t="array" ref="H330">INDEX(postDEL!$A$2:$AL799,$O330,37)</f>
        <v>Negative</v>
      </c>
      <c r="I330" s="217">
        <f t="array" ref="I330">INDEX(postDEL!$A$2:$AL799,$O330,12)</f>
        <v>44601</v>
      </c>
      <c r="J330" s="218">
        <f t="array" ref="J330">INDEX(postDEL!$A$2:$AL799,$O330,13)</f>
        <v>0.482037037</v>
      </c>
      <c r="K330" s="219" t="str">
        <f t="array" ref="K330">INDEX(postDEL!$A$2:$AL799,$O330,36)</f>
        <v/>
      </c>
      <c r="L330" s="219" t="str">
        <f t="array" ref="L330">INDEX(postDEL!$A$2:$AL799,$O330,38)</f>
        <v/>
      </c>
      <c r="M330" s="219" t="str">
        <f t="array" ref="M330">INDEX(postDEL!$A$2:$AL799,$O330,15)</f>
        <v/>
      </c>
      <c r="N330" s="110">
        <f>COUNTIF(postDEL!$A$2:$A799,A330)</f>
        <v>1</v>
      </c>
      <c r="O330" s="19">
        <f>MATCH(A330,postDEL!A$2:A799,0)</f>
        <v>329</v>
      </c>
      <c r="P330" s="10" t="str">
        <f t="shared" si="1"/>
        <v/>
      </c>
      <c r="Q330" s="220">
        <f t="shared" si="2"/>
        <v>0</v>
      </c>
      <c r="R330" s="5"/>
    </row>
    <row r="331">
      <c r="A331" s="221" t="s">
        <v>1161</v>
      </c>
      <c r="B331" s="217">
        <f t="array" ref="B331">INDEX(postDEL!$A$2:$P799,$O331,2)</f>
        <v>44601</v>
      </c>
      <c r="C331" s="218">
        <f t="array" ref="C331">INDEX(postDEL!$A$2:$P799,$O331,3)</f>
        <v>0.3444212963</v>
      </c>
      <c r="D331" s="219" t="str">
        <f t="array" ref="D331">INDEX(postDEL!$A$2:$AN799,$O331,39)</f>
        <v>SpBEND394154</v>
      </c>
      <c r="E331" s="219" t="str">
        <f t="array" ref="E331">INDEX(postDEL!$A$2:$P799,$O331,4)</f>
        <v/>
      </c>
      <c r="F331" s="219" t="str">
        <f t="array" ref="F331">INDEX(postDEL!$A$2:$P799,$O331,5)</f>
        <v/>
      </c>
      <c r="G331" s="219" t="str">
        <f t="array" ref="G331">INDEX(postDEL!$A$2:$P799,$O331,11)</f>
        <v>Negative</v>
      </c>
      <c r="H331" s="219" t="str">
        <f t="array" ref="H331">INDEX(postDEL!$A$2:$AL799,$O331,37)</f>
        <v>Negative</v>
      </c>
      <c r="I331" s="217">
        <f t="array" ref="I331">INDEX(postDEL!$A$2:$AL799,$O331,12)</f>
        <v>44601</v>
      </c>
      <c r="J331" s="218">
        <f t="array" ref="J331">INDEX(postDEL!$A$2:$AL799,$O331,13)</f>
        <v>0.482037037</v>
      </c>
      <c r="K331" s="219" t="str">
        <f t="array" ref="K331">INDEX(postDEL!$A$2:$AL799,$O331,36)</f>
        <v/>
      </c>
      <c r="L331" s="219" t="str">
        <f t="array" ref="L331">INDEX(postDEL!$A$2:$AL799,$O331,38)</f>
        <v/>
      </c>
      <c r="M331" s="219" t="str">
        <f t="array" ref="M331">INDEX(postDEL!$A$2:$AL799,$O331,15)</f>
        <v/>
      </c>
      <c r="N331" s="110">
        <f>COUNTIF(postDEL!$A$2:$A799,A331)</f>
        <v>1</v>
      </c>
      <c r="O331" s="19">
        <f>MATCH(A331,postDEL!A$2:A799,0)</f>
        <v>330</v>
      </c>
      <c r="P331" s="10" t="str">
        <f t="shared" si="1"/>
        <v/>
      </c>
      <c r="Q331" s="220">
        <f t="shared" si="2"/>
        <v>0</v>
      </c>
      <c r="R331" s="5"/>
    </row>
    <row r="332">
      <c r="A332" s="221" t="s">
        <v>1164</v>
      </c>
      <c r="B332" s="217">
        <f t="array" ref="B332">INDEX(postDEL!$A$2:$P799,$O332,2)</f>
        <v>44601</v>
      </c>
      <c r="C332" s="218">
        <f t="array" ref="C332">INDEX(postDEL!$A$2:$P799,$O332,3)</f>
        <v>0.3448726852</v>
      </c>
      <c r="D332" s="219" t="str">
        <f t="array" ref="D332">INDEX(postDEL!$A$2:$AN799,$O332,39)</f>
        <v>SpBEND394154</v>
      </c>
      <c r="E332" s="219" t="str">
        <f t="array" ref="E332">INDEX(postDEL!$A$2:$P799,$O332,4)</f>
        <v/>
      </c>
      <c r="F332" s="219" t="str">
        <f t="array" ref="F332">INDEX(postDEL!$A$2:$P799,$O332,5)</f>
        <v/>
      </c>
      <c r="G332" s="219" t="str">
        <f t="array" ref="G332">INDEX(postDEL!$A$2:$P799,$O332,11)</f>
        <v>Negative</v>
      </c>
      <c r="H332" s="219" t="str">
        <f t="array" ref="H332">INDEX(postDEL!$A$2:$AL799,$O332,37)</f>
        <v>Negative</v>
      </c>
      <c r="I332" s="217">
        <f t="array" ref="I332">INDEX(postDEL!$A$2:$AL799,$O332,12)</f>
        <v>44601</v>
      </c>
      <c r="J332" s="218">
        <f t="array" ref="J332">INDEX(postDEL!$A$2:$AL799,$O332,13)</f>
        <v>0.482037037</v>
      </c>
      <c r="K332" s="219" t="str">
        <f t="array" ref="K332">INDEX(postDEL!$A$2:$AL799,$O332,36)</f>
        <v/>
      </c>
      <c r="L332" s="219" t="str">
        <f t="array" ref="L332">INDEX(postDEL!$A$2:$AL799,$O332,38)</f>
        <v/>
      </c>
      <c r="M332" s="219" t="str">
        <f t="array" ref="M332">INDEX(postDEL!$A$2:$AL799,$O332,15)</f>
        <v/>
      </c>
      <c r="N332" s="110">
        <f>COUNTIF(postDEL!$A$2:$A799,A332)</f>
        <v>1</v>
      </c>
      <c r="O332" s="19">
        <f>MATCH(A332,postDEL!A$2:A799,0)</f>
        <v>331</v>
      </c>
      <c r="P332" s="10" t="str">
        <f t="shared" si="1"/>
        <v/>
      </c>
      <c r="Q332" s="220">
        <f t="shared" si="2"/>
        <v>0</v>
      </c>
      <c r="R332" s="5"/>
    </row>
    <row r="333">
      <c r="A333" s="221" t="s">
        <v>1166</v>
      </c>
      <c r="B333" s="217">
        <f t="array" ref="B333">INDEX(postDEL!$A$2:$P799,$O333,2)</f>
        <v>44601</v>
      </c>
      <c r="C333" s="218">
        <f t="array" ref="C333">INDEX(postDEL!$A$2:$P799,$O333,3)</f>
        <v>0.345462963</v>
      </c>
      <c r="D333" s="219" t="str">
        <f t="array" ref="D333">INDEX(postDEL!$A$2:$AN799,$O333,39)</f>
        <v>SpBEND394154</v>
      </c>
      <c r="E333" s="219" t="str">
        <f t="array" ref="E333">INDEX(postDEL!$A$2:$P799,$O333,4)</f>
        <v/>
      </c>
      <c r="F333" s="219" t="str">
        <f t="array" ref="F333">INDEX(postDEL!$A$2:$P799,$O333,5)</f>
        <v/>
      </c>
      <c r="G333" s="219" t="str">
        <f t="array" ref="G333">INDEX(postDEL!$A$2:$P799,$O333,11)</f>
        <v>Negative</v>
      </c>
      <c r="H333" s="219" t="str">
        <f t="array" ref="H333">INDEX(postDEL!$A$2:$AL799,$O333,37)</f>
        <v>Negative</v>
      </c>
      <c r="I333" s="217">
        <f t="array" ref="I333">INDEX(postDEL!$A$2:$AL799,$O333,12)</f>
        <v>44601</v>
      </c>
      <c r="J333" s="218">
        <f t="array" ref="J333">INDEX(postDEL!$A$2:$AL799,$O333,13)</f>
        <v>0.482037037</v>
      </c>
      <c r="K333" s="219" t="str">
        <f t="array" ref="K333">INDEX(postDEL!$A$2:$AL799,$O333,36)</f>
        <v/>
      </c>
      <c r="L333" s="219" t="str">
        <f t="array" ref="L333">INDEX(postDEL!$A$2:$AL799,$O333,38)</f>
        <v/>
      </c>
      <c r="M333" s="219" t="str">
        <f t="array" ref="M333">INDEX(postDEL!$A$2:$AL799,$O333,15)</f>
        <v/>
      </c>
      <c r="N333" s="110">
        <f>COUNTIF(postDEL!$A$2:$A799,A333)</f>
        <v>1</v>
      </c>
      <c r="O333" s="19">
        <f>MATCH(A333,postDEL!A$2:A799,0)</f>
        <v>332</v>
      </c>
      <c r="P333" s="10" t="str">
        <f t="shared" si="1"/>
        <v/>
      </c>
      <c r="Q333" s="220">
        <f t="shared" si="2"/>
        <v>0</v>
      </c>
      <c r="R333" s="5"/>
    </row>
    <row r="334">
      <c r="A334" s="221" t="s">
        <v>1169</v>
      </c>
      <c r="B334" s="217">
        <f t="array" ref="B334">INDEX(postDEL!$A$2:$P799,$O334,2)</f>
        <v>44601</v>
      </c>
      <c r="C334" s="218">
        <f t="array" ref="C334">INDEX(postDEL!$A$2:$P799,$O334,3)</f>
        <v>0.345787037</v>
      </c>
      <c r="D334" s="219" t="str">
        <f t="array" ref="D334">INDEX(postDEL!$A$2:$AN799,$O334,39)</f>
        <v>SpBEND394154</v>
      </c>
      <c r="E334" s="219" t="str">
        <f t="array" ref="E334">INDEX(postDEL!$A$2:$P799,$O334,4)</f>
        <v/>
      </c>
      <c r="F334" s="219" t="str">
        <f t="array" ref="F334">INDEX(postDEL!$A$2:$P799,$O334,5)</f>
        <v/>
      </c>
      <c r="G334" s="219" t="str">
        <f t="array" ref="G334">INDEX(postDEL!$A$2:$P799,$O334,11)</f>
        <v>Negative</v>
      </c>
      <c r="H334" s="219" t="str">
        <f t="array" ref="H334">INDEX(postDEL!$A$2:$AL799,$O334,37)</f>
        <v>Negative</v>
      </c>
      <c r="I334" s="217">
        <f t="array" ref="I334">INDEX(postDEL!$A$2:$AL799,$O334,12)</f>
        <v>44601</v>
      </c>
      <c r="J334" s="218">
        <f t="array" ref="J334">INDEX(postDEL!$A$2:$AL799,$O334,13)</f>
        <v>0.482037037</v>
      </c>
      <c r="K334" s="219" t="str">
        <f t="array" ref="K334">INDEX(postDEL!$A$2:$AL799,$O334,36)</f>
        <v/>
      </c>
      <c r="L334" s="219" t="str">
        <f t="array" ref="L334">INDEX(postDEL!$A$2:$AL799,$O334,38)</f>
        <v/>
      </c>
      <c r="M334" s="219" t="str">
        <f t="array" ref="M334">INDEX(postDEL!$A$2:$AL799,$O334,15)</f>
        <v/>
      </c>
      <c r="N334" s="110">
        <f>COUNTIF(postDEL!$A$2:$A799,A334)</f>
        <v>1</v>
      </c>
      <c r="O334" s="19">
        <f>MATCH(A334,postDEL!A$2:A799,0)</f>
        <v>333</v>
      </c>
      <c r="P334" s="10" t="str">
        <f t="shared" si="1"/>
        <v/>
      </c>
      <c r="Q334" s="220">
        <f t="shared" si="2"/>
        <v>0</v>
      </c>
      <c r="R334" s="5"/>
    </row>
    <row r="335">
      <c r="A335" s="221" t="s">
        <v>1172</v>
      </c>
      <c r="B335" s="217">
        <f t="array" ref="B335">INDEX(postDEL!$A$2:$P799,$O335,2)</f>
        <v>44601</v>
      </c>
      <c r="C335" s="218">
        <f t="array" ref="C335">INDEX(postDEL!$A$2:$P799,$O335,3)</f>
        <v>0.3461921296</v>
      </c>
      <c r="D335" s="219" t="str">
        <f t="array" ref="D335">INDEX(postDEL!$A$2:$AN799,$O335,39)</f>
        <v>SpBEND394154</v>
      </c>
      <c r="E335" s="219" t="str">
        <f t="array" ref="E335">INDEX(postDEL!$A$2:$P799,$O335,4)</f>
        <v/>
      </c>
      <c r="F335" s="219" t="str">
        <f t="array" ref="F335">INDEX(postDEL!$A$2:$P799,$O335,5)</f>
        <v/>
      </c>
      <c r="G335" s="219" t="str">
        <f t="array" ref="G335">INDEX(postDEL!$A$2:$P799,$O335,11)</f>
        <v>Negative</v>
      </c>
      <c r="H335" s="219" t="str">
        <f t="array" ref="H335">INDEX(postDEL!$A$2:$AL799,$O335,37)</f>
        <v>Negative</v>
      </c>
      <c r="I335" s="217">
        <f t="array" ref="I335">INDEX(postDEL!$A$2:$AL799,$O335,12)</f>
        <v>44601</v>
      </c>
      <c r="J335" s="218">
        <f t="array" ref="J335">INDEX(postDEL!$A$2:$AL799,$O335,13)</f>
        <v>0.482037037</v>
      </c>
      <c r="K335" s="219" t="str">
        <f t="array" ref="K335">INDEX(postDEL!$A$2:$AL799,$O335,36)</f>
        <v/>
      </c>
      <c r="L335" s="219" t="str">
        <f t="array" ref="L335">INDEX(postDEL!$A$2:$AL799,$O335,38)</f>
        <v/>
      </c>
      <c r="M335" s="219" t="str">
        <f t="array" ref="M335">INDEX(postDEL!$A$2:$AL799,$O335,15)</f>
        <v/>
      </c>
      <c r="N335" s="110">
        <f>COUNTIF(postDEL!$A$2:$A799,A335)</f>
        <v>1</v>
      </c>
      <c r="O335" s="19">
        <f>MATCH(A335,postDEL!A$2:A799,0)</f>
        <v>334</v>
      </c>
      <c r="P335" s="10" t="str">
        <f t="shared" si="1"/>
        <v/>
      </c>
      <c r="Q335" s="220">
        <f t="shared" si="2"/>
        <v>0</v>
      </c>
      <c r="R335" s="5"/>
    </row>
    <row r="336">
      <c r="A336" s="221" t="s">
        <v>1175</v>
      </c>
      <c r="B336" s="217">
        <f t="array" ref="B336">INDEX(postDEL!$A$2:$P799,$O336,2)</f>
        <v>44601</v>
      </c>
      <c r="C336" s="218">
        <f t="array" ref="C336">INDEX(postDEL!$A$2:$P799,$O336,3)</f>
        <v>0.3908912037</v>
      </c>
      <c r="D336" s="219" t="str">
        <f t="array" ref="D336">INDEX(postDEL!$A$2:$AN799,$O336,39)</f>
        <v>SpBEND394154</v>
      </c>
      <c r="E336" s="219" t="str">
        <f t="array" ref="E336">INDEX(postDEL!$A$2:$P799,$O336,4)</f>
        <v/>
      </c>
      <c r="F336" s="219" t="str">
        <f t="array" ref="F336">INDEX(postDEL!$A$2:$P799,$O336,5)</f>
        <v/>
      </c>
      <c r="G336" s="219" t="str">
        <f t="array" ref="G336">INDEX(postDEL!$A$2:$P799,$O336,11)</f>
        <v>Negative</v>
      </c>
      <c r="H336" s="219" t="str">
        <f t="array" ref="H336">INDEX(postDEL!$A$2:$AL799,$O336,37)</f>
        <v>Negative</v>
      </c>
      <c r="I336" s="217">
        <f t="array" ref="I336">INDEX(postDEL!$A$2:$AL799,$O336,12)</f>
        <v>44601</v>
      </c>
      <c r="J336" s="218">
        <f t="array" ref="J336">INDEX(postDEL!$A$2:$AL799,$O336,13)</f>
        <v>0.482037037</v>
      </c>
      <c r="K336" s="219" t="str">
        <f t="array" ref="K336">INDEX(postDEL!$A$2:$AL799,$O336,36)</f>
        <v/>
      </c>
      <c r="L336" s="219" t="str">
        <f t="array" ref="L336">INDEX(postDEL!$A$2:$AL799,$O336,38)</f>
        <v/>
      </c>
      <c r="M336" s="219" t="str">
        <f t="array" ref="M336">INDEX(postDEL!$A$2:$AL799,$O336,15)</f>
        <v/>
      </c>
      <c r="N336" s="110">
        <f>COUNTIF(postDEL!$A$2:$A799,A336)</f>
        <v>1</v>
      </c>
      <c r="O336" s="19">
        <f>MATCH(A336,postDEL!A$2:A799,0)</f>
        <v>335</v>
      </c>
      <c r="P336" s="10" t="str">
        <f t="shared" si="1"/>
        <v/>
      </c>
      <c r="Q336" s="220">
        <f t="shared" si="2"/>
        <v>0</v>
      </c>
      <c r="R336" s="5"/>
    </row>
    <row r="337">
      <c r="A337" s="221" t="s">
        <v>1177</v>
      </c>
      <c r="B337" s="217">
        <f t="array" ref="B337">INDEX(postDEL!$A$2:$P799,$O337,2)</f>
        <v>44601</v>
      </c>
      <c r="C337" s="218">
        <f t="array" ref="C337">INDEX(postDEL!$A$2:$P799,$O337,3)</f>
        <v>0.3924884259</v>
      </c>
      <c r="D337" s="219" t="str">
        <f t="array" ref="D337">INDEX(postDEL!$A$2:$AN799,$O337,39)</f>
        <v>SpBEND394154</v>
      </c>
      <c r="E337" s="219" t="str">
        <f t="array" ref="E337">INDEX(postDEL!$A$2:$P799,$O337,4)</f>
        <v/>
      </c>
      <c r="F337" s="219" t="str">
        <f t="array" ref="F337">INDEX(postDEL!$A$2:$P799,$O337,5)</f>
        <v/>
      </c>
      <c r="G337" s="219" t="str">
        <f t="array" ref="G337">INDEX(postDEL!$A$2:$P799,$O337,11)</f>
        <v>Negative</v>
      </c>
      <c r="H337" s="219" t="str">
        <f t="array" ref="H337">INDEX(postDEL!$A$2:$AL799,$O337,37)</f>
        <v>Negative</v>
      </c>
      <c r="I337" s="217">
        <f t="array" ref="I337">INDEX(postDEL!$A$2:$AL799,$O337,12)</f>
        <v>44601</v>
      </c>
      <c r="J337" s="218">
        <f t="array" ref="J337">INDEX(postDEL!$A$2:$AL799,$O337,13)</f>
        <v>0.482037037</v>
      </c>
      <c r="K337" s="219" t="str">
        <f t="array" ref="K337">INDEX(postDEL!$A$2:$AL799,$O337,36)</f>
        <v/>
      </c>
      <c r="L337" s="219" t="str">
        <f t="array" ref="L337">INDEX(postDEL!$A$2:$AL799,$O337,38)</f>
        <v/>
      </c>
      <c r="M337" s="219" t="str">
        <f t="array" ref="M337">INDEX(postDEL!$A$2:$AL799,$O337,15)</f>
        <v/>
      </c>
      <c r="N337" s="110">
        <f>COUNTIF(postDEL!$A$2:$A799,A337)</f>
        <v>1</v>
      </c>
      <c r="O337" s="19">
        <f>MATCH(A337,postDEL!A$2:A799,0)</f>
        <v>336</v>
      </c>
      <c r="P337" s="10" t="str">
        <f t="shared" si="1"/>
        <v/>
      </c>
      <c r="Q337" s="220">
        <f t="shared" si="2"/>
        <v>0</v>
      </c>
      <c r="R337" s="5"/>
    </row>
    <row r="338">
      <c r="A338" s="221" t="s">
        <v>1180</v>
      </c>
      <c r="B338" s="217">
        <f t="array" ref="B338">INDEX(postDEL!$A$2:$P799,$O338,2)</f>
        <v>44603</v>
      </c>
      <c r="C338" s="218">
        <f t="array" ref="C338">INDEX(postDEL!$A$2:$P799,$O338,3)</f>
        <v>0.2881018519</v>
      </c>
      <c r="D338" s="219" t="str">
        <f t="array" ref="D338">INDEX(postDEL!$A$2:$AN799,$O338,39)</f>
        <v>SpBEND528248</v>
      </c>
      <c r="E338" s="219" t="str">
        <f t="array" ref="E338">INDEX(postDEL!$A$2:$P799,$O338,4)</f>
        <v/>
      </c>
      <c r="F338" s="219" t="str">
        <f t="array" ref="F338">INDEX(postDEL!$A$2:$P799,$O338,5)</f>
        <v/>
      </c>
      <c r="G338" s="219" t="str">
        <f t="array" ref="G338">INDEX(postDEL!$A$2:$P799,$O338,11)</f>
        <v>Negative</v>
      </c>
      <c r="H338" s="219" t="str">
        <f t="array" ref="H338">INDEX(postDEL!$A$2:$AL799,$O338,37)</f>
        <v>Negative</v>
      </c>
      <c r="I338" s="217">
        <f t="array" ref="I338">INDEX(postDEL!$A$2:$AL799,$O338,12)</f>
        <v>44603</v>
      </c>
      <c r="J338" s="218">
        <f t="array" ref="J338">INDEX(postDEL!$A$2:$AL799,$O338,13)</f>
        <v>0.4697916667</v>
      </c>
      <c r="K338" s="219" t="str">
        <f t="array" ref="K338">INDEX(postDEL!$A$2:$AL799,$O338,36)</f>
        <v/>
      </c>
      <c r="L338" s="219" t="str">
        <f t="array" ref="L338">INDEX(postDEL!$A$2:$AL799,$O338,38)</f>
        <v/>
      </c>
      <c r="M338" s="219" t="str">
        <f t="array" ref="M338">INDEX(postDEL!$A$2:$AL799,$O338,15)</f>
        <v/>
      </c>
      <c r="N338" s="110">
        <f>COUNTIF(postDEL!$A$2:$A799,A338)</f>
        <v>1</v>
      </c>
      <c r="O338" s="19">
        <f>MATCH(A338,postDEL!A$2:A799,0)</f>
        <v>337</v>
      </c>
      <c r="P338" s="10" t="b">
        <f t="shared" si="1"/>
        <v>1</v>
      </c>
      <c r="Q338" s="220">
        <f t="shared" si="2"/>
        <v>0</v>
      </c>
      <c r="R338" s="5"/>
    </row>
    <row r="339">
      <c r="A339" s="221" t="s">
        <v>1182</v>
      </c>
      <c r="B339" s="217">
        <f t="array" ref="B339">INDEX(postDEL!$A$2:$P799,$O339,2)</f>
        <v>44603</v>
      </c>
      <c r="C339" s="218">
        <f t="array" ref="C339">INDEX(postDEL!$A$2:$P799,$O339,3)</f>
        <v>0.3151736111</v>
      </c>
      <c r="D339" s="219" t="str">
        <f t="array" ref="D339">INDEX(postDEL!$A$2:$AN799,$O339,39)</f>
        <v>SpBEND548976</v>
      </c>
      <c r="E339" s="219" t="str">
        <f t="array" ref="E339">INDEX(postDEL!$A$2:$P799,$O339,4)</f>
        <v/>
      </c>
      <c r="F339" s="219" t="str">
        <f t="array" ref="F339">INDEX(postDEL!$A$2:$P799,$O339,5)</f>
        <v/>
      </c>
      <c r="G339" s="219" t="str">
        <f t="array" ref="G339">INDEX(postDEL!$A$2:$P799,$O339,11)</f>
        <v>Negative</v>
      </c>
      <c r="H339" s="219" t="str">
        <f t="array" ref="H339">INDEX(postDEL!$A$2:$AL799,$O339,37)</f>
        <v>Negative</v>
      </c>
      <c r="I339" s="217">
        <f t="array" ref="I339">INDEX(postDEL!$A$2:$AL799,$O339,12)</f>
        <v>44603</v>
      </c>
      <c r="J339" s="218">
        <f t="array" ref="J339">INDEX(postDEL!$A$2:$AL799,$O339,13)</f>
        <v>0.4697916667</v>
      </c>
      <c r="K339" s="219" t="str">
        <f t="array" ref="K339">INDEX(postDEL!$A$2:$AL799,$O339,36)</f>
        <v/>
      </c>
      <c r="L339" s="219" t="str">
        <f t="array" ref="L339">INDEX(postDEL!$A$2:$AL799,$O339,38)</f>
        <v/>
      </c>
      <c r="M339" s="219" t="str">
        <f t="array" ref="M339">INDEX(postDEL!$A$2:$AL799,$O339,15)</f>
        <v/>
      </c>
      <c r="N339" s="110">
        <f>COUNTIF(postDEL!$A$2:$A799,A339)</f>
        <v>1</v>
      </c>
      <c r="O339" s="19">
        <f>MATCH(A339,postDEL!A$2:A799,0)</f>
        <v>338</v>
      </c>
      <c r="P339" s="10" t="str">
        <f t="shared" si="1"/>
        <v/>
      </c>
      <c r="Q339" s="220">
        <f t="shared" si="2"/>
        <v>0</v>
      </c>
      <c r="R339" s="5"/>
    </row>
    <row r="340">
      <c r="A340" s="221" t="s">
        <v>1184</v>
      </c>
      <c r="B340" s="217">
        <f t="array" ref="B340">INDEX(postDEL!$A$2:$P799,$O340,2)</f>
        <v>44603</v>
      </c>
      <c r="C340" s="218">
        <f t="array" ref="C340">INDEX(postDEL!$A$2:$P799,$O340,3)</f>
        <v>0.3179861111</v>
      </c>
      <c r="D340" s="219" t="str">
        <f t="array" ref="D340">INDEX(postDEL!$A$2:$AN799,$O340,39)</f>
        <v>SpBEND492052</v>
      </c>
      <c r="E340" s="219" t="str">
        <f t="array" ref="E340">INDEX(postDEL!$A$2:$P799,$O340,4)</f>
        <v/>
      </c>
      <c r="F340" s="219" t="str">
        <f t="array" ref="F340">INDEX(postDEL!$A$2:$P799,$O340,5)</f>
        <v/>
      </c>
      <c r="G340" s="219" t="str">
        <f t="array" ref="G340">INDEX(postDEL!$A$2:$P799,$O340,11)</f>
        <v>Negative</v>
      </c>
      <c r="H340" s="219" t="str">
        <f t="array" ref="H340">INDEX(postDEL!$A$2:$AL799,$O340,37)</f>
        <v>Negative</v>
      </c>
      <c r="I340" s="217">
        <f t="array" ref="I340">INDEX(postDEL!$A$2:$AL799,$O340,12)</f>
        <v>44603</v>
      </c>
      <c r="J340" s="218">
        <f t="array" ref="J340">INDEX(postDEL!$A$2:$AL799,$O340,13)</f>
        <v>0.4697916667</v>
      </c>
      <c r="K340" s="219" t="str">
        <f t="array" ref="K340">INDEX(postDEL!$A$2:$AL799,$O340,36)</f>
        <v/>
      </c>
      <c r="L340" s="219" t="str">
        <f t="array" ref="L340">INDEX(postDEL!$A$2:$AL799,$O340,38)</f>
        <v/>
      </c>
      <c r="M340" s="219" t="str">
        <f t="array" ref="M340">INDEX(postDEL!$A$2:$AL799,$O340,15)</f>
        <v/>
      </c>
      <c r="N340" s="110">
        <f>COUNTIF(postDEL!$A$2:$A799,A340)</f>
        <v>1</v>
      </c>
      <c r="O340" s="19">
        <f>MATCH(A340,postDEL!A$2:A799,0)</f>
        <v>339</v>
      </c>
      <c r="P340" s="10" t="str">
        <f t="shared" si="1"/>
        <v/>
      </c>
      <c r="Q340" s="220">
        <f t="shared" si="2"/>
        <v>0</v>
      </c>
      <c r="R340" s="5"/>
    </row>
    <row r="341">
      <c r="A341" s="221" t="s">
        <v>1186</v>
      </c>
      <c r="B341" s="217">
        <f t="array" ref="B341">INDEX(postDEL!$A$2:$P799,$O341,2)</f>
        <v>44603</v>
      </c>
      <c r="C341" s="218">
        <f t="array" ref="C341">INDEX(postDEL!$A$2:$P799,$O341,3)</f>
        <v>0.3190972222</v>
      </c>
      <c r="D341" s="219" t="str">
        <f t="array" ref="D341">INDEX(postDEL!$A$2:$AN799,$O341,39)</f>
        <v>SpBEND349435</v>
      </c>
      <c r="E341" s="219" t="str">
        <f t="array" ref="E341">INDEX(postDEL!$A$2:$P799,$O341,4)</f>
        <v/>
      </c>
      <c r="F341" s="219" t="str">
        <f t="array" ref="F341">INDEX(postDEL!$A$2:$P799,$O341,5)</f>
        <v/>
      </c>
      <c r="G341" s="219" t="str">
        <f t="array" ref="G341">INDEX(postDEL!$A$2:$P799,$O341,11)</f>
        <v>Negative</v>
      </c>
      <c r="H341" s="219" t="str">
        <f t="array" ref="H341">INDEX(postDEL!$A$2:$AL799,$O341,37)</f>
        <v>Negative</v>
      </c>
      <c r="I341" s="217">
        <f t="array" ref="I341">INDEX(postDEL!$A$2:$AL799,$O341,12)</f>
        <v>44603</v>
      </c>
      <c r="J341" s="218">
        <f t="array" ref="J341">INDEX(postDEL!$A$2:$AL799,$O341,13)</f>
        <v>0.4697916667</v>
      </c>
      <c r="K341" s="219" t="str">
        <f t="array" ref="K341">INDEX(postDEL!$A$2:$AL799,$O341,36)</f>
        <v/>
      </c>
      <c r="L341" s="219" t="str">
        <f t="array" ref="L341">INDEX(postDEL!$A$2:$AL799,$O341,38)</f>
        <v/>
      </c>
      <c r="M341" s="219" t="str">
        <f t="array" ref="M341">INDEX(postDEL!$A$2:$AL799,$O341,15)</f>
        <v/>
      </c>
      <c r="N341" s="110">
        <f>COUNTIF(postDEL!$A$2:$A799,A341)</f>
        <v>1</v>
      </c>
      <c r="O341" s="19">
        <f>MATCH(A341,postDEL!A$2:A799,0)</f>
        <v>340</v>
      </c>
      <c r="P341" s="10" t="str">
        <f t="shared" si="1"/>
        <v/>
      </c>
      <c r="Q341" s="220">
        <f t="shared" si="2"/>
        <v>0</v>
      </c>
      <c r="R341" s="5"/>
    </row>
    <row r="342">
      <c r="A342" s="221" t="s">
        <v>1188</v>
      </c>
      <c r="B342" s="217">
        <f t="array" ref="B342">INDEX(postDEL!$A$2:$P799,$O342,2)</f>
        <v>44603</v>
      </c>
      <c r="C342" s="218">
        <f t="array" ref="C342">INDEX(postDEL!$A$2:$P799,$O342,3)</f>
        <v>0.3376851852</v>
      </c>
      <c r="D342" s="219" t="str">
        <f t="array" ref="D342">INDEX(postDEL!$A$2:$AN799,$O342,39)</f>
        <v>SpBEND768497</v>
      </c>
      <c r="E342" s="219" t="str">
        <f t="array" ref="E342">INDEX(postDEL!$A$2:$P799,$O342,4)</f>
        <v/>
      </c>
      <c r="F342" s="219" t="str">
        <f t="array" ref="F342">INDEX(postDEL!$A$2:$P799,$O342,5)</f>
        <v/>
      </c>
      <c r="G342" s="219" t="str">
        <f t="array" ref="G342">INDEX(postDEL!$A$2:$P799,$O342,11)</f>
        <v>Negative</v>
      </c>
      <c r="H342" s="219" t="str">
        <f t="array" ref="H342">INDEX(postDEL!$A$2:$AL799,$O342,37)</f>
        <v>Negative</v>
      </c>
      <c r="I342" s="217">
        <f t="array" ref="I342">INDEX(postDEL!$A$2:$AL799,$O342,12)</f>
        <v>44603</v>
      </c>
      <c r="J342" s="218">
        <f t="array" ref="J342">INDEX(postDEL!$A$2:$AL799,$O342,13)</f>
        <v>0.4697916667</v>
      </c>
      <c r="K342" s="219" t="str">
        <f t="array" ref="K342">INDEX(postDEL!$A$2:$AL799,$O342,36)</f>
        <v/>
      </c>
      <c r="L342" s="219" t="str">
        <f t="array" ref="L342">INDEX(postDEL!$A$2:$AL799,$O342,38)</f>
        <v/>
      </c>
      <c r="M342" s="219" t="str">
        <f t="array" ref="M342">INDEX(postDEL!$A$2:$AL799,$O342,15)</f>
        <v/>
      </c>
      <c r="N342" s="110">
        <f>COUNTIF(postDEL!$A$2:$A799,A342)</f>
        <v>1</v>
      </c>
      <c r="O342" s="19">
        <f>MATCH(A342,postDEL!A$2:A799,0)</f>
        <v>341</v>
      </c>
      <c r="P342" s="10" t="str">
        <f t="shared" si="1"/>
        <v/>
      </c>
      <c r="Q342" s="220">
        <f t="shared" si="2"/>
        <v>0</v>
      </c>
      <c r="R342" s="5"/>
    </row>
    <row r="343">
      <c r="A343" s="221" t="s">
        <v>1190</v>
      </c>
      <c r="B343" s="217">
        <f t="array" ref="B343">INDEX(postDEL!$A$2:$P799,$O343,2)</f>
        <v>44603</v>
      </c>
      <c r="C343" s="218">
        <f t="array" ref="C343">INDEX(postDEL!$A$2:$P799,$O343,3)</f>
        <v>0.3391550926</v>
      </c>
      <c r="D343" s="219" t="str">
        <f t="array" ref="D343">INDEX(postDEL!$A$2:$AN799,$O343,39)</f>
        <v>SpBEND483335</v>
      </c>
      <c r="E343" s="219" t="str">
        <f t="array" ref="E343">INDEX(postDEL!$A$2:$P799,$O343,4)</f>
        <v/>
      </c>
      <c r="F343" s="219" t="str">
        <f t="array" ref="F343">INDEX(postDEL!$A$2:$P799,$O343,5)</f>
        <v/>
      </c>
      <c r="G343" s="219" t="str">
        <f t="array" ref="G343">INDEX(postDEL!$A$2:$P799,$O343,11)</f>
        <v>Positive</v>
      </c>
      <c r="H343" s="219" t="str">
        <f t="array" ref="H343">INDEX(postDEL!$A$2:$AL799,$O343,37)</f>
        <v>Positive</v>
      </c>
      <c r="I343" s="217">
        <f t="array" ref="I343">INDEX(postDEL!$A$2:$AL799,$O343,12)</f>
        <v>44603</v>
      </c>
      <c r="J343" s="218">
        <f t="array" ref="J343">INDEX(postDEL!$A$2:$AL799,$O343,13)</f>
        <v>0.4697916667</v>
      </c>
      <c r="K343" s="219" t="str">
        <f t="array" ref="K343">INDEX(postDEL!$A$2:$AL799,$O343,36)</f>
        <v/>
      </c>
      <c r="L343" s="219" t="str">
        <f t="array" ref="L343">INDEX(postDEL!$A$2:$AL799,$O343,38)</f>
        <v/>
      </c>
      <c r="M343" s="219" t="str">
        <f t="array" ref="M343">INDEX(postDEL!$A$2:$AL799,$O343,15)</f>
        <v/>
      </c>
      <c r="N343" s="110">
        <f>COUNTIF(postDEL!$A$2:$A799,A343)</f>
        <v>1</v>
      </c>
      <c r="O343" s="19">
        <f>MATCH(A343,postDEL!A$2:A799,0)</f>
        <v>342</v>
      </c>
      <c r="P343" s="10" t="str">
        <f t="shared" si="1"/>
        <v/>
      </c>
      <c r="Q343" s="220">
        <f t="shared" si="2"/>
        <v>0</v>
      </c>
      <c r="R343" s="5"/>
    </row>
    <row r="344">
      <c r="A344" s="221" t="s">
        <v>1194</v>
      </c>
      <c r="B344" s="217">
        <f t="array" ref="B344">INDEX(postDEL!$A$2:$P799,$O344,2)</f>
        <v>44603</v>
      </c>
      <c r="C344" s="218">
        <f t="array" ref="C344">INDEX(postDEL!$A$2:$P799,$O344,3)</f>
        <v>0.3394675926</v>
      </c>
      <c r="D344" s="219" t="str">
        <f t="array" ref="D344">INDEX(postDEL!$A$2:$AN799,$O344,39)</f>
        <v>SpBEND483335</v>
      </c>
      <c r="E344" s="219" t="str">
        <f t="array" ref="E344">INDEX(postDEL!$A$2:$P799,$O344,4)</f>
        <v/>
      </c>
      <c r="F344" s="219" t="str">
        <f t="array" ref="F344">INDEX(postDEL!$A$2:$P799,$O344,5)</f>
        <v/>
      </c>
      <c r="G344" s="219" t="str">
        <f t="array" ref="G344">INDEX(postDEL!$A$2:$P799,$O344,11)</f>
        <v>Positive</v>
      </c>
      <c r="H344" s="219" t="str">
        <f t="array" ref="H344">INDEX(postDEL!$A$2:$AL799,$O344,37)</f>
        <v>Positive</v>
      </c>
      <c r="I344" s="217">
        <f t="array" ref="I344">INDEX(postDEL!$A$2:$AL799,$O344,12)</f>
        <v>44603</v>
      </c>
      <c r="J344" s="218">
        <f t="array" ref="J344">INDEX(postDEL!$A$2:$AL799,$O344,13)</f>
        <v>0.4697916667</v>
      </c>
      <c r="K344" s="219" t="str">
        <f t="array" ref="K344">INDEX(postDEL!$A$2:$AL799,$O344,36)</f>
        <v/>
      </c>
      <c r="L344" s="219" t="str">
        <f t="array" ref="L344">INDEX(postDEL!$A$2:$AL799,$O344,38)</f>
        <v/>
      </c>
      <c r="M344" s="219" t="str">
        <f t="array" ref="M344">INDEX(postDEL!$A$2:$AL799,$O344,15)</f>
        <v/>
      </c>
      <c r="N344" s="110">
        <f>COUNTIF(postDEL!$A$2:$A799,A344)</f>
        <v>1</v>
      </c>
      <c r="O344" s="19">
        <f>MATCH(A344,postDEL!A$2:A799,0)</f>
        <v>343</v>
      </c>
      <c r="P344" s="10" t="str">
        <f t="shared" si="1"/>
        <v/>
      </c>
      <c r="Q344" s="220">
        <f t="shared" si="2"/>
        <v>0</v>
      </c>
      <c r="R344" s="5"/>
    </row>
    <row r="345">
      <c r="A345" s="221" t="s">
        <v>1196</v>
      </c>
      <c r="B345" s="217">
        <f t="array" ref="B345">INDEX(postDEL!$A$2:$P799,$O345,2)</f>
        <v>44603</v>
      </c>
      <c r="C345" s="218">
        <f t="array" ref="C345">INDEX(postDEL!$A$2:$P799,$O345,3)</f>
        <v>0.3788888889</v>
      </c>
      <c r="D345" s="219" t="str">
        <f t="array" ref="D345">INDEX(postDEL!$A$2:$AN799,$O345,39)</f>
        <v>SpBEND394154</v>
      </c>
      <c r="E345" s="219" t="str">
        <f t="array" ref="E345">INDEX(postDEL!$A$2:$P799,$O345,4)</f>
        <v/>
      </c>
      <c r="F345" s="219" t="str">
        <f t="array" ref="F345">INDEX(postDEL!$A$2:$P799,$O345,5)</f>
        <v/>
      </c>
      <c r="G345" s="219" t="str">
        <f t="array" ref="G345">INDEX(postDEL!$A$2:$P799,$O345,11)</f>
        <v>Negative</v>
      </c>
      <c r="H345" s="219" t="str">
        <f t="array" ref="H345">INDEX(postDEL!$A$2:$AL799,$O345,37)</f>
        <v>Negative</v>
      </c>
      <c r="I345" s="217">
        <f t="array" ref="I345">INDEX(postDEL!$A$2:$AL799,$O345,12)</f>
        <v>44603</v>
      </c>
      <c r="J345" s="218">
        <f t="array" ref="J345">INDEX(postDEL!$A$2:$AL799,$O345,13)</f>
        <v>0.4697916667</v>
      </c>
      <c r="K345" s="219" t="str">
        <f t="array" ref="K345">INDEX(postDEL!$A$2:$AL799,$O345,36)</f>
        <v/>
      </c>
      <c r="L345" s="219" t="str">
        <f t="array" ref="L345">INDEX(postDEL!$A$2:$AL799,$O345,38)</f>
        <v/>
      </c>
      <c r="M345" s="219" t="str">
        <f t="array" ref="M345">INDEX(postDEL!$A$2:$AL799,$O345,15)</f>
        <v/>
      </c>
      <c r="N345" s="110">
        <f>COUNTIF(postDEL!$A$2:$A799,A345)</f>
        <v>1</v>
      </c>
      <c r="O345" s="19">
        <f>MATCH(A345,postDEL!A$2:A799,0)</f>
        <v>344</v>
      </c>
      <c r="P345" s="10" t="str">
        <f t="shared" si="1"/>
        <v/>
      </c>
      <c r="Q345" s="220">
        <f t="shared" si="2"/>
        <v>0</v>
      </c>
      <c r="R345" s="5"/>
    </row>
    <row r="346">
      <c r="A346" s="221" t="s">
        <v>1198</v>
      </c>
      <c r="B346" s="217">
        <f t="array" ref="B346">INDEX(postDEL!$A$2:$P799,$O346,2)</f>
        <v>44603</v>
      </c>
      <c r="C346" s="218">
        <f t="array" ref="C346">INDEX(postDEL!$A$2:$P799,$O346,3)</f>
        <v>0.4231134259</v>
      </c>
      <c r="D346" s="219" t="str">
        <f t="array" ref="D346">INDEX(postDEL!$A$2:$AN799,$O346,39)</f>
        <v>SpBEND825522</v>
      </c>
      <c r="E346" s="219" t="str">
        <f t="array" ref="E346">INDEX(postDEL!$A$2:$P799,$O346,4)</f>
        <v/>
      </c>
      <c r="F346" s="219" t="str">
        <f t="array" ref="F346">INDEX(postDEL!$A$2:$P799,$O346,5)</f>
        <v/>
      </c>
      <c r="G346" s="219" t="str">
        <f t="array" ref="G346">INDEX(postDEL!$A$2:$P799,$O346,11)</f>
        <v>Negative</v>
      </c>
      <c r="H346" s="219" t="str">
        <f t="array" ref="H346">INDEX(postDEL!$A$2:$AL799,$O346,37)</f>
        <v>Negative</v>
      </c>
      <c r="I346" s="217">
        <f t="array" ref="I346">INDEX(postDEL!$A$2:$AL799,$O346,12)</f>
        <v>44603</v>
      </c>
      <c r="J346" s="218">
        <f t="array" ref="J346">INDEX(postDEL!$A$2:$AL799,$O346,13)</f>
        <v>0.4697916667</v>
      </c>
      <c r="K346" s="219" t="str">
        <f t="array" ref="K346">INDEX(postDEL!$A$2:$AL799,$O346,36)</f>
        <v/>
      </c>
      <c r="L346" s="219" t="str">
        <f t="array" ref="L346">INDEX(postDEL!$A$2:$AL799,$O346,38)</f>
        <v/>
      </c>
      <c r="M346" s="219" t="str">
        <f t="array" ref="M346">INDEX(postDEL!$A$2:$AL799,$O346,15)</f>
        <v/>
      </c>
      <c r="N346" s="110">
        <f>COUNTIF(postDEL!$A$2:$A799,A346)</f>
        <v>1</v>
      </c>
      <c r="O346" s="19">
        <f>MATCH(A346,postDEL!A$2:A799,0)</f>
        <v>345</v>
      </c>
      <c r="P346" s="10" t="str">
        <f t="shared" si="1"/>
        <v/>
      </c>
      <c r="Q346" s="220">
        <f t="shared" si="2"/>
        <v>0</v>
      </c>
      <c r="R346" s="5"/>
    </row>
    <row r="347">
      <c r="A347" s="221" t="s">
        <v>1200</v>
      </c>
      <c r="B347" s="217">
        <f t="array" ref="B347">INDEX(postDEL!$A$2:$P799,$O347,2)</f>
        <v>44604</v>
      </c>
      <c r="C347" s="218">
        <f t="array" ref="C347">INDEX(postDEL!$A$2:$P799,$O347,3)</f>
        <v>0.3235763889</v>
      </c>
      <c r="D347" s="219" t="str">
        <f t="array" ref="D347">INDEX(postDEL!$A$2:$AN799,$O347,39)</f>
        <v>SpBEND483335</v>
      </c>
      <c r="E347" s="219" t="str">
        <f t="array" ref="E347">INDEX(postDEL!$A$2:$P799,$O347,4)</f>
        <v/>
      </c>
      <c r="F347" s="219" t="str">
        <f t="array" ref="F347">INDEX(postDEL!$A$2:$P799,$O347,5)</f>
        <v/>
      </c>
      <c r="G347" s="219" t="str">
        <f t="array" ref="G347">INDEX(postDEL!$A$2:$P799,$O347,11)</f>
        <v>Positive</v>
      </c>
      <c r="H347" s="219" t="str">
        <f t="array" ref="H347">INDEX(postDEL!$A$2:$AL799,$O347,37)</f>
        <v>Positive</v>
      </c>
      <c r="I347" s="217">
        <f t="array" ref="I347">INDEX(postDEL!$A$2:$AL799,$O347,12)</f>
        <v>44604</v>
      </c>
      <c r="J347" s="218">
        <f t="array" ref="J347">INDEX(postDEL!$A$2:$AL799,$O347,13)</f>
        <v>0.3936689815</v>
      </c>
      <c r="K347" s="219" t="str">
        <f t="array" ref="K347">INDEX(postDEL!$A$2:$AL799,$O347,36)</f>
        <v/>
      </c>
      <c r="L347" s="219" t="str">
        <f t="array" ref="L347">INDEX(postDEL!$A$2:$AL799,$O347,38)</f>
        <v/>
      </c>
      <c r="M347" s="219" t="str">
        <f t="array" ref="M347">INDEX(postDEL!$A$2:$AL799,$O347,15)</f>
        <v/>
      </c>
      <c r="N347" s="110">
        <f>COUNTIF(postDEL!$A$2:$A799,A347)</f>
        <v>1</v>
      </c>
      <c r="O347" s="19">
        <f>MATCH(A347,postDEL!A$2:A799,0)</f>
        <v>346</v>
      </c>
      <c r="P347" s="10" t="b">
        <f t="shared" si="1"/>
        <v>1</v>
      </c>
      <c r="Q347" s="220">
        <f t="shared" si="2"/>
        <v>0</v>
      </c>
      <c r="R347" s="5"/>
    </row>
    <row r="348">
      <c r="A348" s="221" t="s">
        <v>1202</v>
      </c>
      <c r="B348" s="217">
        <f t="array" ref="B348">INDEX(postDEL!$A$2:$P799,$O348,2)</f>
        <v>44604</v>
      </c>
      <c r="C348" s="218">
        <f t="array" ref="C348">INDEX(postDEL!$A$2:$P799,$O348,3)</f>
        <v>0.3247569444</v>
      </c>
      <c r="D348" s="219" t="str">
        <f t="array" ref="D348">INDEX(postDEL!$A$2:$AN799,$O348,39)</f>
        <v>SpBEND483335</v>
      </c>
      <c r="E348" s="219" t="str">
        <f t="array" ref="E348">INDEX(postDEL!$A$2:$P799,$O348,4)</f>
        <v/>
      </c>
      <c r="F348" s="219" t="str">
        <f t="array" ref="F348">INDEX(postDEL!$A$2:$P799,$O348,5)</f>
        <v/>
      </c>
      <c r="G348" s="219" t="str">
        <f t="array" ref="G348">INDEX(postDEL!$A$2:$P799,$O348,11)</f>
        <v>Positive</v>
      </c>
      <c r="H348" s="219" t="str">
        <f t="array" ref="H348">INDEX(postDEL!$A$2:$AL799,$O348,37)</f>
        <v>Positive</v>
      </c>
      <c r="I348" s="217">
        <f t="array" ref="I348">INDEX(postDEL!$A$2:$AL799,$O348,12)</f>
        <v>44604</v>
      </c>
      <c r="J348" s="218">
        <f t="array" ref="J348">INDEX(postDEL!$A$2:$AL799,$O348,13)</f>
        <v>0.3936689815</v>
      </c>
      <c r="K348" s="219" t="str">
        <f t="array" ref="K348">INDEX(postDEL!$A$2:$AL799,$O348,36)</f>
        <v/>
      </c>
      <c r="L348" s="219" t="str">
        <f t="array" ref="L348">INDEX(postDEL!$A$2:$AL799,$O348,38)</f>
        <v/>
      </c>
      <c r="M348" s="219" t="str">
        <f t="array" ref="M348">INDEX(postDEL!$A$2:$AL799,$O348,15)</f>
        <v/>
      </c>
      <c r="N348" s="110">
        <f>COUNTIF(postDEL!$A$2:$A799,A348)</f>
        <v>1</v>
      </c>
      <c r="O348" s="19">
        <f>MATCH(A348,postDEL!A$2:A799,0)</f>
        <v>347</v>
      </c>
      <c r="P348" s="10" t="str">
        <f t="shared" si="1"/>
        <v/>
      </c>
      <c r="Q348" s="220">
        <f t="shared" si="2"/>
        <v>0</v>
      </c>
      <c r="R348" s="5"/>
    </row>
    <row r="349">
      <c r="A349" s="221" t="s">
        <v>1216</v>
      </c>
      <c r="B349" s="217">
        <f t="array" ref="B349">INDEX(postDEL!$A$2:$P799,$O349,2)</f>
        <v>44607</v>
      </c>
      <c r="C349" s="218">
        <f t="array" ref="C349">INDEX(postDEL!$A$2:$P799,$O349,3)</f>
        <v>0.2629282407</v>
      </c>
      <c r="D349" s="219" t="str">
        <f t="array" ref="D349">INDEX(postDEL!$A$2:$AN799,$O349,39)</f>
        <v>SpBEND617677</v>
      </c>
      <c r="E349" s="219" t="str">
        <f t="array" ref="E349">INDEX(postDEL!$A$2:$P799,$O349,4)</f>
        <v/>
      </c>
      <c r="F349" s="219" t="str">
        <f t="array" ref="F349">INDEX(postDEL!$A$2:$P799,$O349,5)</f>
        <v/>
      </c>
      <c r="G349" s="219" t="str">
        <f t="array" ref="G349">INDEX(postDEL!$A$2:$P799,$O349,11)</f>
        <v>Negative</v>
      </c>
      <c r="H349" s="219" t="str">
        <f t="array" ref="H349">INDEX(postDEL!$A$2:$AL799,$O349,37)</f>
        <v>Negative</v>
      </c>
      <c r="I349" s="217">
        <f t="array" ref="I349">INDEX(postDEL!$A$2:$AL799,$O349,12)</f>
        <v>44607</v>
      </c>
      <c r="J349" s="218">
        <f t="array" ref="J349">INDEX(postDEL!$A$2:$AL799,$O349,13)</f>
        <v>0.5867939815</v>
      </c>
      <c r="K349" s="219" t="str">
        <f t="array" ref="K349">INDEX(postDEL!$A$2:$AL799,$O349,36)</f>
        <v/>
      </c>
      <c r="L349" s="219" t="str">
        <f t="array" ref="L349">INDEX(postDEL!$A$2:$AL799,$O349,38)</f>
        <v/>
      </c>
      <c r="M349" s="219" t="str">
        <f t="array" ref="M349">INDEX(postDEL!$A$2:$AL799,$O349,15)</f>
        <v/>
      </c>
      <c r="N349" s="110">
        <f>COUNTIF(postDEL!$A$2:$A799,A349)</f>
        <v>1</v>
      </c>
      <c r="O349" s="19">
        <f>MATCH(A349,postDEL!A$2:A799,0)</f>
        <v>348</v>
      </c>
      <c r="P349" s="10" t="b">
        <f t="shared" si="1"/>
        <v>1</v>
      </c>
      <c r="Q349" s="220">
        <f t="shared" si="2"/>
        <v>0</v>
      </c>
      <c r="R349" s="5"/>
    </row>
    <row r="350">
      <c r="A350" s="221" t="s">
        <v>1218</v>
      </c>
      <c r="B350" s="217">
        <f t="array" ref="B350">INDEX(postDEL!$A$2:$P799,$O350,2)</f>
        <v>44607</v>
      </c>
      <c r="C350" s="218">
        <f t="array" ref="C350">INDEX(postDEL!$A$2:$P799,$O350,3)</f>
        <v>0.2821412037</v>
      </c>
      <c r="D350" s="219" t="str">
        <f t="array" ref="D350">INDEX(postDEL!$A$2:$AN799,$O350,39)</f>
        <v>SpBEND947055</v>
      </c>
      <c r="E350" s="219" t="str">
        <f t="array" ref="E350">INDEX(postDEL!$A$2:$P799,$O350,4)</f>
        <v/>
      </c>
      <c r="F350" s="219" t="str">
        <f t="array" ref="F350">INDEX(postDEL!$A$2:$P799,$O350,5)</f>
        <v/>
      </c>
      <c r="G350" s="219" t="str">
        <f t="array" ref="G350">INDEX(postDEL!$A$2:$P799,$O350,11)</f>
        <v>Negative</v>
      </c>
      <c r="H350" s="219" t="str">
        <f t="array" ref="H350">INDEX(postDEL!$A$2:$AL799,$O350,37)</f>
        <v>Negative</v>
      </c>
      <c r="I350" s="217">
        <f t="array" ref="I350">INDEX(postDEL!$A$2:$AL799,$O350,12)</f>
        <v>44607</v>
      </c>
      <c r="J350" s="218">
        <f t="array" ref="J350">INDEX(postDEL!$A$2:$AL799,$O350,13)</f>
        <v>0.5867939815</v>
      </c>
      <c r="K350" s="219" t="str">
        <f t="array" ref="K350">INDEX(postDEL!$A$2:$AL799,$O350,36)</f>
        <v/>
      </c>
      <c r="L350" s="219" t="str">
        <f t="array" ref="L350">INDEX(postDEL!$A$2:$AL799,$O350,38)</f>
        <v/>
      </c>
      <c r="M350" s="219" t="str">
        <f t="array" ref="M350">INDEX(postDEL!$A$2:$AL799,$O350,15)</f>
        <v/>
      </c>
      <c r="N350" s="110">
        <f>COUNTIF(postDEL!$A$2:$A799,A350)</f>
        <v>1</v>
      </c>
      <c r="O350" s="19">
        <f>MATCH(A350,postDEL!A$2:A799,0)</f>
        <v>349</v>
      </c>
      <c r="P350" s="10" t="str">
        <f t="shared" si="1"/>
        <v/>
      </c>
      <c r="Q350" s="220">
        <f t="shared" si="2"/>
        <v>0</v>
      </c>
      <c r="R350" s="5"/>
    </row>
    <row r="351">
      <c r="A351" s="221" t="s">
        <v>1224</v>
      </c>
      <c r="B351" s="217">
        <f t="array" ref="B351">INDEX(postDEL!$A$2:$P799,$O351,2)</f>
        <v>44607</v>
      </c>
      <c r="C351" s="218">
        <f t="array" ref="C351">INDEX(postDEL!$A$2:$P799,$O351,3)</f>
        <v>0.2953240741</v>
      </c>
      <c r="D351" s="219" t="str">
        <f t="array" ref="D351">INDEX(postDEL!$A$2:$AN799,$O351,39)</f>
        <v>SpBEND271847</v>
      </c>
      <c r="E351" s="219" t="str">
        <f t="array" ref="E351">INDEX(postDEL!$A$2:$P799,$O351,4)</f>
        <v/>
      </c>
      <c r="F351" s="219" t="str">
        <f t="array" ref="F351">INDEX(postDEL!$A$2:$P799,$O351,5)</f>
        <v/>
      </c>
      <c r="G351" s="219" t="str">
        <f t="array" ref="G351">INDEX(postDEL!$A$2:$P799,$O351,11)</f>
        <v>Negative</v>
      </c>
      <c r="H351" s="219" t="str">
        <f t="array" ref="H351">INDEX(postDEL!$A$2:$AL799,$O351,37)</f>
        <v>Negative</v>
      </c>
      <c r="I351" s="217">
        <f t="array" ref="I351">INDEX(postDEL!$A$2:$AL799,$O351,12)</f>
        <v>44607</v>
      </c>
      <c r="J351" s="218">
        <f t="array" ref="J351">INDEX(postDEL!$A$2:$AL799,$O351,13)</f>
        <v>0.5867939815</v>
      </c>
      <c r="K351" s="219" t="str">
        <f t="array" ref="K351">INDEX(postDEL!$A$2:$AL799,$O351,36)</f>
        <v/>
      </c>
      <c r="L351" s="219" t="str">
        <f t="array" ref="L351">INDEX(postDEL!$A$2:$AL799,$O351,38)</f>
        <v/>
      </c>
      <c r="M351" s="219" t="str">
        <f t="array" ref="M351">INDEX(postDEL!$A$2:$AL799,$O351,15)</f>
        <v/>
      </c>
      <c r="N351" s="110">
        <f>COUNTIF(postDEL!$A$2:$A799,A351)</f>
        <v>1</v>
      </c>
      <c r="O351" s="19">
        <f>MATCH(A351,postDEL!A$2:A799,0)</f>
        <v>350</v>
      </c>
      <c r="P351" s="10" t="str">
        <f t="shared" si="1"/>
        <v/>
      </c>
      <c r="Q351" s="220">
        <f t="shared" si="2"/>
        <v>0</v>
      </c>
      <c r="R351" s="5"/>
    </row>
    <row r="352">
      <c r="A352" s="221" t="s">
        <v>1227</v>
      </c>
      <c r="B352" s="217">
        <f t="array" ref="B352">INDEX(postDEL!$A$2:$P799,$O352,2)</f>
        <v>44607</v>
      </c>
      <c r="C352" s="218">
        <f t="array" ref="C352">INDEX(postDEL!$A$2:$P799,$O352,3)</f>
        <v>0.2986226852</v>
      </c>
      <c r="D352" s="219" t="str">
        <f t="array" ref="D352">INDEX(postDEL!$A$2:$AN799,$O352,39)</f>
        <v>SpBEND842248</v>
      </c>
      <c r="E352" s="219" t="str">
        <f t="array" ref="E352">INDEX(postDEL!$A$2:$P799,$O352,4)</f>
        <v/>
      </c>
      <c r="F352" s="219" t="str">
        <f t="array" ref="F352">INDEX(postDEL!$A$2:$P799,$O352,5)</f>
        <v/>
      </c>
      <c r="G352" s="219" t="str">
        <f t="array" ref="G352">INDEX(postDEL!$A$2:$P799,$O352,11)</f>
        <v>Negative</v>
      </c>
      <c r="H352" s="219" t="str">
        <f t="array" ref="H352">INDEX(postDEL!$A$2:$AL799,$O352,37)</f>
        <v>Negative</v>
      </c>
      <c r="I352" s="217">
        <f t="array" ref="I352">INDEX(postDEL!$A$2:$AL799,$O352,12)</f>
        <v>44607</v>
      </c>
      <c r="J352" s="218">
        <f t="array" ref="J352">INDEX(postDEL!$A$2:$AL799,$O352,13)</f>
        <v>0.5867939815</v>
      </c>
      <c r="K352" s="219" t="str">
        <f t="array" ref="K352">INDEX(postDEL!$A$2:$AL799,$O352,36)</f>
        <v/>
      </c>
      <c r="L352" s="219" t="str">
        <f t="array" ref="L352">INDEX(postDEL!$A$2:$AL799,$O352,38)</f>
        <v/>
      </c>
      <c r="M352" s="219" t="str">
        <f t="array" ref="M352">INDEX(postDEL!$A$2:$AL799,$O352,15)</f>
        <v/>
      </c>
      <c r="N352" s="110">
        <f>COUNTIF(postDEL!$A$2:$A799,A352)</f>
        <v>1</v>
      </c>
      <c r="O352" s="19">
        <f>MATCH(A352,postDEL!A$2:A799,0)</f>
        <v>351</v>
      </c>
      <c r="P352" s="10" t="str">
        <f t="shared" si="1"/>
        <v/>
      </c>
      <c r="Q352" s="220">
        <f t="shared" si="2"/>
        <v>0</v>
      </c>
      <c r="R352" s="5"/>
    </row>
    <row r="353">
      <c r="A353" s="221" t="s">
        <v>1229</v>
      </c>
      <c r="B353" s="217">
        <f t="array" ref="B353">INDEX(postDEL!$A$2:$P799,$O353,2)</f>
        <v>44607</v>
      </c>
      <c r="C353" s="218">
        <f t="array" ref="C353">INDEX(postDEL!$A$2:$P799,$O353,3)</f>
        <v>0.2989583333</v>
      </c>
      <c r="D353" s="219" t="str">
        <f t="array" ref="D353">INDEX(postDEL!$A$2:$AN799,$O353,39)</f>
        <v>SpBEND734943</v>
      </c>
      <c r="E353" s="219" t="str">
        <f t="array" ref="E353">INDEX(postDEL!$A$2:$P799,$O353,4)</f>
        <v/>
      </c>
      <c r="F353" s="219" t="str">
        <f t="array" ref="F353">INDEX(postDEL!$A$2:$P799,$O353,5)</f>
        <v/>
      </c>
      <c r="G353" s="219" t="str">
        <f t="array" ref="G353">INDEX(postDEL!$A$2:$P799,$O353,11)</f>
        <v>Negative</v>
      </c>
      <c r="H353" s="219" t="str">
        <f t="array" ref="H353">INDEX(postDEL!$A$2:$AL799,$O353,37)</f>
        <v>Negative</v>
      </c>
      <c r="I353" s="217">
        <f t="array" ref="I353">INDEX(postDEL!$A$2:$AL799,$O353,12)</f>
        <v>44607</v>
      </c>
      <c r="J353" s="218">
        <f t="array" ref="J353">INDEX(postDEL!$A$2:$AL799,$O353,13)</f>
        <v>0.5867939815</v>
      </c>
      <c r="K353" s="219" t="str">
        <f t="array" ref="K353">INDEX(postDEL!$A$2:$AL799,$O353,36)</f>
        <v/>
      </c>
      <c r="L353" s="219" t="str">
        <f t="array" ref="L353">INDEX(postDEL!$A$2:$AL799,$O353,38)</f>
        <v/>
      </c>
      <c r="M353" s="219" t="str">
        <f t="array" ref="M353">INDEX(postDEL!$A$2:$AL799,$O353,15)</f>
        <v/>
      </c>
      <c r="N353" s="110">
        <f>COUNTIF(postDEL!$A$2:$A799,A353)</f>
        <v>1</v>
      </c>
      <c r="O353" s="19">
        <f>MATCH(A353,postDEL!A$2:A799,0)</f>
        <v>352</v>
      </c>
      <c r="P353" s="10" t="str">
        <f t="shared" si="1"/>
        <v/>
      </c>
      <c r="Q353" s="220">
        <f t="shared" si="2"/>
        <v>0</v>
      </c>
      <c r="R353" s="5"/>
    </row>
    <row r="354">
      <c r="A354" s="221" t="s">
        <v>1231</v>
      </c>
      <c r="B354" s="217">
        <f t="array" ref="B354">INDEX(postDEL!$A$2:$P799,$O354,2)</f>
        <v>44607</v>
      </c>
      <c r="C354" s="218">
        <f t="array" ref="C354">INDEX(postDEL!$A$2:$P799,$O354,3)</f>
        <v>0.3003356481</v>
      </c>
      <c r="D354" s="219" t="str">
        <f t="array" ref="D354">INDEX(postDEL!$A$2:$AN799,$O354,39)</f>
        <v>SpBEND551372</v>
      </c>
      <c r="E354" s="219" t="str">
        <f t="array" ref="E354">INDEX(postDEL!$A$2:$P799,$O354,4)</f>
        <v/>
      </c>
      <c r="F354" s="219" t="str">
        <f t="array" ref="F354">INDEX(postDEL!$A$2:$P799,$O354,5)</f>
        <v/>
      </c>
      <c r="G354" s="219" t="str">
        <f t="array" ref="G354">INDEX(postDEL!$A$2:$P799,$O354,11)</f>
        <v>Negative</v>
      </c>
      <c r="H354" s="219" t="str">
        <f t="array" ref="H354">INDEX(postDEL!$A$2:$AL799,$O354,37)</f>
        <v>Negative</v>
      </c>
      <c r="I354" s="217">
        <f t="array" ref="I354">INDEX(postDEL!$A$2:$AL799,$O354,12)</f>
        <v>44607</v>
      </c>
      <c r="J354" s="218">
        <f t="array" ref="J354">INDEX(postDEL!$A$2:$AL799,$O354,13)</f>
        <v>0.5867939815</v>
      </c>
      <c r="K354" s="219" t="str">
        <f t="array" ref="K354">INDEX(postDEL!$A$2:$AL799,$O354,36)</f>
        <v/>
      </c>
      <c r="L354" s="219" t="str">
        <f t="array" ref="L354">INDEX(postDEL!$A$2:$AL799,$O354,38)</f>
        <v/>
      </c>
      <c r="M354" s="219" t="str">
        <f t="array" ref="M354">INDEX(postDEL!$A$2:$AL799,$O354,15)</f>
        <v/>
      </c>
      <c r="N354" s="110">
        <f>COUNTIF(postDEL!$A$2:$A799,A354)</f>
        <v>1</v>
      </c>
      <c r="O354" s="19">
        <f>MATCH(A354,postDEL!A$2:A799,0)</f>
        <v>353</v>
      </c>
      <c r="P354" s="10" t="str">
        <f t="shared" si="1"/>
        <v/>
      </c>
      <c r="Q354" s="220">
        <f t="shared" si="2"/>
        <v>0</v>
      </c>
      <c r="R354" s="5"/>
    </row>
    <row r="355">
      <c r="A355" s="221" t="s">
        <v>1235</v>
      </c>
      <c r="B355" s="217">
        <f t="array" ref="B355">INDEX(postDEL!$A$2:$P799,$O355,2)</f>
        <v>44607</v>
      </c>
      <c r="C355" s="218">
        <f t="array" ref="C355">INDEX(postDEL!$A$2:$P799,$O355,3)</f>
        <v>0.3116782407</v>
      </c>
      <c r="D355" s="219" t="str">
        <f t="array" ref="D355">INDEX(postDEL!$A$2:$AN799,$O355,39)</f>
        <v>SpBEND591184</v>
      </c>
      <c r="E355" s="219" t="str">
        <f t="array" ref="E355">INDEX(postDEL!$A$2:$P799,$O355,4)</f>
        <v/>
      </c>
      <c r="F355" s="219" t="str">
        <f t="array" ref="F355">INDEX(postDEL!$A$2:$P799,$O355,5)</f>
        <v/>
      </c>
      <c r="G355" s="219" t="str">
        <f t="array" ref="G355">INDEX(postDEL!$A$2:$P799,$O355,11)</f>
        <v>Negative</v>
      </c>
      <c r="H355" s="219" t="str">
        <f t="array" ref="H355">INDEX(postDEL!$A$2:$AL799,$O355,37)</f>
        <v>Negative</v>
      </c>
      <c r="I355" s="217">
        <f t="array" ref="I355">INDEX(postDEL!$A$2:$AL799,$O355,12)</f>
        <v>44607</v>
      </c>
      <c r="J355" s="218">
        <f t="array" ref="J355">INDEX(postDEL!$A$2:$AL799,$O355,13)</f>
        <v>0.5867939815</v>
      </c>
      <c r="K355" s="219" t="str">
        <f t="array" ref="K355">INDEX(postDEL!$A$2:$AL799,$O355,36)</f>
        <v/>
      </c>
      <c r="L355" s="219" t="str">
        <f t="array" ref="L355">INDEX(postDEL!$A$2:$AL799,$O355,38)</f>
        <v/>
      </c>
      <c r="M355" s="219" t="str">
        <f t="array" ref="M355">INDEX(postDEL!$A$2:$AL799,$O355,15)</f>
        <v/>
      </c>
      <c r="N355" s="110">
        <f>COUNTIF(postDEL!$A$2:$A799,A355)</f>
        <v>1</v>
      </c>
      <c r="O355" s="19">
        <f>MATCH(A355,postDEL!A$2:A799,0)</f>
        <v>354</v>
      </c>
      <c r="P355" s="10" t="str">
        <f t="shared" si="1"/>
        <v/>
      </c>
      <c r="Q355" s="220">
        <f t="shared" si="2"/>
        <v>0</v>
      </c>
      <c r="R355" s="5"/>
    </row>
    <row r="356">
      <c r="A356" s="221" t="s">
        <v>1237</v>
      </c>
      <c r="B356" s="217">
        <f t="array" ref="B356">INDEX(postDEL!$A$2:$P799,$O356,2)</f>
        <v>44607</v>
      </c>
      <c r="C356" s="218">
        <f t="array" ref="C356">INDEX(postDEL!$A$2:$P799,$O356,3)</f>
        <v>0.3127083333</v>
      </c>
      <c r="D356" s="219" t="str">
        <f t="array" ref="D356">INDEX(postDEL!$A$2:$AN799,$O356,39)</f>
        <v>SpBEND136234</v>
      </c>
      <c r="E356" s="219" t="str">
        <f t="array" ref="E356">INDEX(postDEL!$A$2:$P799,$O356,4)</f>
        <v/>
      </c>
      <c r="F356" s="219" t="str">
        <f t="array" ref="F356">INDEX(postDEL!$A$2:$P799,$O356,5)</f>
        <v/>
      </c>
      <c r="G356" s="219" t="str">
        <f t="array" ref="G356">INDEX(postDEL!$A$2:$P799,$O356,11)</f>
        <v>Negative</v>
      </c>
      <c r="H356" s="219" t="str">
        <f t="array" ref="H356">INDEX(postDEL!$A$2:$AL799,$O356,37)</f>
        <v>Negative</v>
      </c>
      <c r="I356" s="217">
        <f t="array" ref="I356">INDEX(postDEL!$A$2:$AL799,$O356,12)</f>
        <v>44607</v>
      </c>
      <c r="J356" s="218">
        <f t="array" ref="J356">INDEX(postDEL!$A$2:$AL799,$O356,13)</f>
        <v>0.5867939815</v>
      </c>
      <c r="K356" s="219" t="str">
        <f t="array" ref="K356">INDEX(postDEL!$A$2:$AL799,$O356,36)</f>
        <v/>
      </c>
      <c r="L356" s="219" t="str">
        <f t="array" ref="L356">INDEX(postDEL!$A$2:$AL799,$O356,38)</f>
        <v/>
      </c>
      <c r="M356" s="219" t="str">
        <f t="array" ref="M356">INDEX(postDEL!$A$2:$AL799,$O356,15)</f>
        <v/>
      </c>
      <c r="N356" s="110">
        <f>COUNTIF(postDEL!$A$2:$A799,A356)</f>
        <v>1</v>
      </c>
      <c r="O356" s="19">
        <f>MATCH(A356,postDEL!A$2:A799,0)</f>
        <v>355</v>
      </c>
      <c r="P356" s="10" t="str">
        <f t="shared" si="1"/>
        <v/>
      </c>
      <c r="Q356" s="220">
        <f t="shared" si="2"/>
        <v>0</v>
      </c>
      <c r="R356" s="5"/>
    </row>
    <row r="357">
      <c r="A357" s="221" t="s">
        <v>1239</v>
      </c>
      <c r="B357" s="217">
        <f t="array" ref="B357">INDEX(postDEL!$A$2:$P799,$O357,2)</f>
        <v>44607</v>
      </c>
      <c r="C357" s="218">
        <f t="array" ref="C357">INDEX(postDEL!$A$2:$P799,$O357,3)</f>
        <v>0.3132060185</v>
      </c>
      <c r="D357" s="219" t="str">
        <f t="array" ref="D357">INDEX(postDEL!$A$2:$AN799,$O357,39)</f>
        <v>SpBEND708976</v>
      </c>
      <c r="E357" s="219" t="str">
        <f t="array" ref="E357">INDEX(postDEL!$A$2:$P799,$O357,4)</f>
        <v/>
      </c>
      <c r="F357" s="219" t="str">
        <f t="array" ref="F357">INDEX(postDEL!$A$2:$P799,$O357,5)</f>
        <v/>
      </c>
      <c r="G357" s="219" t="str">
        <f t="array" ref="G357">INDEX(postDEL!$A$2:$P799,$O357,11)</f>
        <v>Negative</v>
      </c>
      <c r="H357" s="219" t="str">
        <f t="array" ref="H357">INDEX(postDEL!$A$2:$AL799,$O357,37)</f>
        <v>Negative</v>
      </c>
      <c r="I357" s="217">
        <f t="array" ref="I357">INDEX(postDEL!$A$2:$AL799,$O357,12)</f>
        <v>44607</v>
      </c>
      <c r="J357" s="218">
        <f t="array" ref="J357">INDEX(postDEL!$A$2:$AL799,$O357,13)</f>
        <v>0.5868055556</v>
      </c>
      <c r="K357" s="219" t="str">
        <f t="array" ref="K357">INDEX(postDEL!$A$2:$AL799,$O357,36)</f>
        <v/>
      </c>
      <c r="L357" s="219" t="str">
        <f t="array" ref="L357">INDEX(postDEL!$A$2:$AL799,$O357,38)</f>
        <v/>
      </c>
      <c r="M357" s="219" t="str">
        <f t="array" ref="M357">INDEX(postDEL!$A$2:$AL799,$O357,15)</f>
        <v/>
      </c>
      <c r="N357" s="110">
        <f>COUNTIF(postDEL!$A$2:$A799,A357)</f>
        <v>1</v>
      </c>
      <c r="O357" s="19">
        <f>MATCH(A357,postDEL!A$2:A799,0)</f>
        <v>356</v>
      </c>
      <c r="P357" s="10" t="str">
        <f t="shared" si="1"/>
        <v/>
      </c>
      <c r="Q357" s="220">
        <f t="shared" si="2"/>
        <v>0</v>
      </c>
      <c r="R357" s="5"/>
    </row>
    <row r="358">
      <c r="A358" s="221" t="s">
        <v>1241</v>
      </c>
      <c r="B358" s="217">
        <f t="array" ref="B358">INDEX(postDEL!$A$2:$P799,$O358,2)</f>
        <v>44607</v>
      </c>
      <c r="C358" s="218">
        <f t="array" ref="C358">INDEX(postDEL!$A$2:$P799,$O358,3)</f>
        <v>0.313287037</v>
      </c>
      <c r="D358" s="219" t="str">
        <f t="array" ref="D358">INDEX(postDEL!$A$2:$AN799,$O358,39)</f>
        <v>SpBEND634692</v>
      </c>
      <c r="E358" s="219" t="str">
        <f t="array" ref="E358">INDEX(postDEL!$A$2:$P799,$O358,4)</f>
        <v/>
      </c>
      <c r="F358" s="219" t="str">
        <f t="array" ref="F358">INDEX(postDEL!$A$2:$P799,$O358,5)</f>
        <v/>
      </c>
      <c r="G358" s="219" t="str">
        <f t="array" ref="G358">INDEX(postDEL!$A$2:$P799,$O358,11)</f>
        <v>Negative</v>
      </c>
      <c r="H358" s="219" t="str">
        <f t="array" ref="H358">INDEX(postDEL!$A$2:$AL799,$O358,37)</f>
        <v>Negative</v>
      </c>
      <c r="I358" s="217">
        <f t="array" ref="I358">INDEX(postDEL!$A$2:$AL799,$O358,12)</f>
        <v>44607</v>
      </c>
      <c r="J358" s="218">
        <f t="array" ref="J358">INDEX(postDEL!$A$2:$AL799,$O358,13)</f>
        <v>0.5868055556</v>
      </c>
      <c r="K358" s="219" t="str">
        <f t="array" ref="K358">INDEX(postDEL!$A$2:$AL799,$O358,36)</f>
        <v/>
      </c>
      <c r="L358" s="219" t="str">
        <f t="array" ref="L358">INDEX(postDEL!$A$2:$AL799,$O358,38)</f>
        <v/>
      </c>
      <c r="M358" s="219" t="str">
        <f t="array" ref="M358">INDEX(postDEL!$A$2:$AL799,$O358,15)</f>
        <v/>
      </c>
      <c r="N358" s="110">
        <f>COUNTIF(postDEL!$A$2:$A799,A358)</f>
        <v>1</v>
      </c>
      <c r="O358" s="19">
        <f>MATCH(A358,postDEL!A$2:A799,0)</f>
        <v>357</v>
      </c>
      <c r="P358" s="10" t="str">
        <f t="shared" si="1"/>
        <v/>
      </c>
      <c r="Q358" s="220">
        <f t="shared" si="2"/>
        <v>0</v>
      </c>
      <c r="R358" s="5"/>
    </row>
    <row r="359">
      <c r="A359" s="221" t="s">
        <v>1245</v>
      </c>
      <c r="B359" s="217">
        <f t="array" ref="B359">INDEX(postDEL!$A$2:$P799,$O359,2)</f>
        <v>44607</v>
      </c>
      <c r="C359" s="218">
        <f t="array" ref="C359">INDEX(postDEL!$A$2:$P799,$O359,3)</f>
        <v>0.3134259259</v>
      </c>
      <c r="D359" s="219" t="str">
        <f t="array" ref="D359">INDEX(postDEL!$A$2:$AN799,$O359,39)</f>
        <v>SpBEND481988</v>
      </c>
      <c r="E359" s="219" t="str">
        <f t="array" ref="E359">INDEX(postDEL!$A$2:$P799,$O359,4)</f>
        <v/>
      </c>
      <c r="F359" s="219" t="str">
        <f t="array" ref="F359">INDEX(postDEL!$A$2:$P799,$O359,5)</f>
        <v/>
      </c>
      <c r="G359" s="219" t="str">
        <f t="array" ref="G359">INDEX(postDEL!$A$2:$P799,$O359,11)</f>
        <v>Negative</v>
      </c>
      <c r="H359" s="219" t="str">
        <f t="array" ref="H359">INDEX(postDEL!$A$2:$AL799,$O359,37)</f>
        <v>Negative</v>
      </c>
      <c r="I359" s="217">
        <f t="array" ref="I359">INDEX(postDEL!$A$2:$AL799,$O359,12)</f>
        <v>44607</v>
      </c>
      <c r="J359" s="218">
        <f t="array" ref="J359">INDEX(postDEL!$A$2:$AL799,$O359,13)</f>
        <v>0.5868055556</v>
      </c>
      <c r="K359" s="219" t="str">
        <f t="array" ref="K359">INDEX(postDEL!$A$2:$AL799,$O359,36)</f>
        <v/>
      </c>
      <c r="L359" s="219" t="str">
        <f t="array" ref="L359">INDEX(postDEL!$A$2:$AL799,$O359,38)</f>
        <v/>
      </c>
      <c r="M359" s="219" t="str">
        <f t="array" ref="M359">INDEX(postDEL!$A$2:$AL799,$O359,15)</f>
        <v/>
      </c>
      <c r="N359" s="110">
        <f>COUNTIF(postDEL!$A$2:$A799,A359)</f>
        <v>1</v>
      </c>
      <c r="O359" s="19">
        <f>MATCH(A359,postDEL!A$2:A799,0)</f>
        <v>358</v>
      </c>
      <c r="P359" s="10" t="str">
        <f t="shared" si="1"/>
        <v/>
      </c>
      <c r="Q359" s="220">
        <f t="shared" si="2"/>
        <v>0</v>
      </c>
      <c r="R359" s="5"/>
    </row>
    <row r="360">
      <c r="A360" s="221" t="s">
        <v>1247</v>
      </c>
      <c r="B360" s="217">
        <f t="array" ref="B360">INDEX(postDEL!$A$2:$P799,$O360,2)</f>
        <v>44607</v>
      </c>
      <c r="C360" s="218">
        <f t="array" ref="C360">INDEX(postDEL!$A$2:$P799,$O360,3)</f>
        <v>0.3134953704</v>
      </c>
      <c r="D360" s="219" t="str">
        <f t="array" ref="D360">INDEX(postDEL!$A$2:$AN799,$O360,39)</f>
        <v>SpBEND691307</v>
      </c>
      <c r="E360" s="219" t="str">
        <f t="array" ref="E360">INDEX(postDEL!$A$2:$P799,$O360,4)</f>
        <v/>
      </c>
      <c r="F360" s="219" t="str">
        <f t="array" ref="F360">INDEX(postDEL!$A$2:$P799,$O360,5)</f>
        <v/>
      </c>
      <c r="G360" s="219" t="str">
        <f t="array" ref="G360">INDEX(postDEL!$A$2:$P799,$O360,11)</f>
        <v>Negative</v>
      </c>
      <c r="H360" s="219" t="str">
        <f t="array" ref="H360">INDEX(postDEL!$A$2:$AL799,$O360,37)</f>
        <v>Negative</v>
      </c>
      <c r="I360" s="217">
        <f t="array" ref="I360">INDEX(postDEL!$A$2:$AL799,$O360,12)</f>
        <v>44607</v>
      </c>
      <c r="J360" s="218">
        <f t="array" ref="J360">INDEX(postDEL!$A$2:$AL799,$O360,13)</f>
        <v>0.5868055556</v>
      </c>
      <c r="K360" s="219" t="str">
        <f t="array" ref="K360">INDEX(postDEL!$A$2:$AL799,$O360,36)</f>
        <v/>
      </c>
      <c r="L360" s="219" t="str">
        <f t="array" ref="L360">INDEX(postDEL!$A$2:$AL799,$O360,38)</f>
        <v/>
      </c>
      <c r="M360" s="219" t="str">
        <f t="array" ref="M360">INDEX(postDEL!$A$2:$AL799,$O360,15)</f>
        <v/>
      </c>
      <c r="N360" s="110">
        <f>COUNTIF(postDEL!$A$2:$A799,A360)</f>
        <v>1</v>
      </c>
      <c r="O360" s="19">
        <f>MATCH(A360,postDEL!A$2:A799,0)</f>
        <v>359</v>
      </c>
      <c r="P360" s="10" t="str">
        <f t="shared" si="1"/>
        <v/>
      </c>
      <c r="Q360" s="220">
        <f t="shared" si="2"/>
        <v>0</v>
      </c>
      <c r="R360" s="5"/>
    </row>
    <row r="361">
      <c r="A361" s="221" t="s">
        <v>1251</v>
      </c>
      <c r="B361" s="217">
        <f t="array" ref="B361">INDEX(postDEL!$A$2:$P799,$O361,2)</f>
        <v>44607</v>
      </c>
      <c r="C361" s="218">
        <f t="array" ref="C361">INDEX(postDEL!$A$2:$P799,$O361,3)</f>
        <v>0.314224537</v>
      </c>
      <c r="D361" s="219" t="str">
        <f t="array" ref="D361">INDEX(postDEL!$A$2:$AN799,$O361,39)</f>
        <v>SpBEND985296</v>
      </c>
      <c r="E361" s="219" t="str">
        <f t="array" ref="E361">INDEX(postDEL!$A$2:$P799,$O361,4)</f>
        <v/>
      </c>
      <c r="F361" s="219" t="str">
        <f t="array" ref="F361">INDEX(postDEL!$A$2:$P799,$O361,5)</f>
        <v/>
      </c>
      <c r="G361" s="219" t="str">
        <f t="array" ref="G361">INDEX(postDEL!$A$2:$P799,$O361,11)</f>
        <v>Negative</v>
      </c>
      <c r="H361" s="219" t="str">
        <f t="array" ref="H361">INDEX(postDEL!$A$2:$AL799,$O361,37)</f>
        <v>Negative</v>
      </c>
      <c r="I361" s="217">
        <f t="array" ref="I361">INDEX(postDEL!$A$2:$AL799,$O361,12)</f>
        <v>44607</v>
      </c>
      <c r="J361" s="218">
        <f t="array" ref="J361">INDEX(postDEL!$A$2:$AL799,$O361,13)</f>
        <v>0.5868055556</v>
      </c>
      <c r="K361" s="219" t="str">
        <f t="array" ref="K361">INDEX(postDEL!$A$2:$AL799,$O361,36)</f>
        <v/>
      </c>
      <c r="L361" s="219" t="str">
        <f t="array" ref="L361">INDEX(postDEL!$A$2:$AL799,$O361,38)</f>
        <v/>
      </c>
      <c r="M361" s="219" t="str">
        <f t="array" ref="M361">INDEX(postDEL!$A$2:$AL799,$O361,15)</f>
        <v/>
      </c>
      <c r="N361" s="110">
        <f>COUNTIF(postDEL!$A$2:$A799,A361)</f>
        <v>1</v>
      </c>
      <c r="O361" s="19">
        <f>MATCH(A361,postDEL!A$2:A799,0)</f>
        <v>360</v>
      </c>
      <c r="P361" s="10" t="str">
        <f t="shared" si="1"/>
        <v/>
      </c>
      <c r="Q361" s="220">
        <f t="shared" si="2"/>
        <v>0</v>
      </c>
      <c r="R361" s="5"/>
    </row>
    <row r="362">
      <c r="A362" s="221" t="s">
        <v>1253</v>
      </c>
      <c r="B362" s="217">
        <f t="array" ref="B362">INDEX(postDEL!$A$2:$P799,$O362,2)</f>
        <v>44607</v>
      </c>
      <c r="C362" s="218">
        <f t="array" ref="C362">INDEX(postDEL!$A$2:$P799,$O362,3)</f>
        <v>0.3147337963</v>
      </c>
      <c r="D362" s="219" t="str">
        <f t="array" ref="D362">INDEX(postDEL!$A$2:$AN799,$O362,39)</f>
        <v>SpBEND501019</v>
      </c>
      <c r="E362" s="219" t="str">
        <f t="array" ref="E362">INDEX(postDEL!$A$2:$P799,$O362,4)</f>
        <v/>
      </c>
      <c r="F362" s="219" t="str">
        <f t="array" ref="F362">INDEX(postDEL!$A$2:$P799,$O362,5)</f>
        <v/>
      </c>
      <c r="G362" s="219" t="str">
        <f t="array" ref="G362">INDEX(postDEL!$A$2:$P799,$O362,11)</f>
        <v>Negative</v>
      </c>
      <c r="H362" s="219" t="str">
        <f t="array" ref="H362">INDEX(postDEL!$A$2:$AL799,$O362,37)</f>
        <v>Negative</v>
      </c>
      <c r="I362" s="217">
        <f t="array" ref="I362">INDEX(postDEL!$A$2:$AL799,$O362,12)</f>
        <v>44607</v>
      </c>
      <c r="J362" s="218">
        <f t="array" ref="J362">INDEX(postDEL!$A$2:$AL799,$O362,13)</f>
        <v>0.5868055556</v>
      </c>
      <c r="K362" s="219" t="str">
        <f t="array" ref="K362">INDEX(postDEL!$A$2:$AL799,$O362,36)</f>
        <v/>
      </c>
      <c r="L362" s="219" t="str">
        <f t="array" ref="L362">INDEX(postDEL!$A$2:$AL799,$O362,38)</f>
        <v/>
      </c>
      <c r="M362" s="219" t="str">
        <f t="array" ref="M362">INDEX(postDEL!$A$2:$AL799,$O362,15)</f>
        <v/>
      </c>
      <c r="N362" s="110">
        <f>COUNTIF(postDEL!$A$2:$A799,A362)</f>
        <v>1</v>
      </c>
      <c r="O362" s="19">
        <f>MATCH(A362,postDEL!A$2:A799,0)</f>
        <v>361</v>
      </c>
      <c r="P362" s="10" t="str">
        <f t="shared" si="1"/>
        <v/>
      </c>
      <c r="Q362" s="220">
        <f t="shared" si="2"/>
        <v>0</v>
      </c>
      <c r="R362" s="5"/>
    </row>
    <row r="363">
      <c r="A363" s="221" t="s">
        <v>1257</v>
      </c>
      <c r="B363" s="217">
        <f t="array" ref="B363">INDEX(postDEL!$A$2:$P799,$O363,2)</f>
        <v>44607</v>
      </c>
      <c r="C363" s="218">
        <f t="array" ref="C363">INDEX(postDEL!$A$2:$P799,$O363,3)</f>
        <v>0.3195833333</v>
      </c>
      <c r="D363" s="219" t="str">
        <f t="array" ref="D363">INDEX(postDEL!$A$2:$AN799,$O363,39)</f>
        <v>SpBEND183210</v>
      </c>
      <c r="E363" s="219" t="str">
        <f t="array" ref="E363">INDEX(postDEL!$A$2:$P799,$O363,4)</f>
        <v/>
      </c>
      <c r="F363" s="219" t="str">
        <f t="array" ref="F363">INDEX(postDEL!$A$2:$P799,$O363,5)</f>
        <v/>
      </c>
      <c r="G363" s="219" t="str">
        <f t="array" ref="G363">INDEX(postDEL!$A$2:$P799,$O363,11)</f>
        <v>Negative</v>
      </c>
      <c r="H363" s="219" t="str">
        <f t="array" ref="H363">INDEX(postDEL!$A$2:$AL799,$O363,37)</f>
        <v>Negative</v>
      </c>
      <c r="I363" s="217">
        <f t="array" ref="I363">INDEX(postDEL!$A$2:$AL799,$O363,12)</f>
        <v>44607</v>
      </c>
      <c r="J363" s="218">
        <f t="array" ref="J363">INDEX(postDEL!$A$2:$AL799,$O363,13)</f>
        <v>0.5868055556</v>
      </c>
      <c r="K363" s="219" t="str">
        <f t="array" ref="K363">INDEX(postDEL!$A$2:$AL799,$O363,36)</f>
        <v/>
      </c>
      <c r="L363" s="219" t="str">
        <f t="array" ref="L363">INDEX(postDEL!$A$2:$AL799,$O363,38)</f>
        <v/>
      </c>
      <c r="M363" s="219" t="str">
        <f t="array" ref="M363">INDEX(postDEL!$A$2:$AL799,$O363,15)</f>
        <v/>
      </c>
      <c r="N363" s="110">
        <f>COUNTIF(postDEL!$A$2:$A799,A363)</f>
        <v>1</v>
      </c>
      <c r="O363" s="19">
        <f>MATCH(A363,postDEL!A$2:A799,0)</f>
        <v>362</v>
      </c>
      <c r="P363" s="10" t="str">
        <f t="shared" si="1"/>
        <v/>
      </c>
      <c r="Q363" s="220">
        <f t="shared" si="2"/>
        <v>0</v>
      </c>
      <c r="R363" s="5"/>
    </row>
    <row r="364">
      <c r="A364" s="221" t="s">
        <v>1259</v>
      </c>
      <c r="B364" s="217">
        <f t="array" ref="B364">INDEX(postDEL!$A$2:$P799,$O364,2)</f>
        <v>44607</v>
      </c>
      <c r="C364" s="218">
        <f t="array" ref="C364">INDEX(postDEL!$A$2:$P799,$O364,3)</f>
        <v>0.3202430556</v>
      </c>
      <c r="D364" s="219" t="str">
        <f t="array" ref="D364">INDEX(postDEL!$A$2:$AN799,$O364,39)</f>
        <v>SpBEND815974</v>
      </c>
      <c r="E364" s="219" t="str">
        <f t="array" ref="E364">INDEX(postDEL!$A$2:$P799,$O364,4)</f>
        <v/>
      </c>
      <c r="F364" s="219" t="str">
        <f t="array" ref="F364">INDEX(postDEL!$A$2:$P799,$O364,5)</f>
        <v/>
      </c>
      <c r="G364" s="219" t="str">
        <f t="array" ref="G364">INDEX(postDEL!$A$2:$P799,$O364,11)</f>
        <v>Negative</v>
      </c>
      <c r="H364" s="219" t="str">
        <f t="array" ref="H364">INDEX(postDEL!$A$2:$AL799,$O364,37)</f>
        <v>Negative</v>
      </c>
      <c r="I364" s="217">
        <f t="array" ref="I364">INDEX(postDEL!$A$2:$AL799,$O364,12)</f>
        <v>44607</v>
      </c>
      <c r="J364" s="218">
        <f t="array" ref="J364">INDEX(postDEL!$A$2:$AL799,$O364,13)</f>
        <v>0.5868055556</v>
      </c>
      <c r="K364" s="219" t="str">
        <f t="array" ref="K364">INDEX(postDEL!$A$2:$AL799,$O364,36)</f>
        <v/>
      </c>
      <c r="L364" s="219" t="str">
        <f t="array" ref="L364">INDEX(postDEL!$A$2:$AL799,$O364,38)</f>
        <v/>
      </c>
      <c r="M364" s="219" t="str">
        <f t="array" ref="M364">INDEX(postDEL!$A$2:$AL799,$O364,15)</f>
        <v/>
      </c>
      <c r="N364" s="110">
        <f>COUNTIF(postDEL!$A$2:$A799,A364)</f>
        <v>1</v>
      </c>
      <c r="O364" s="19">
        <f>MATCH(A364,postDEL!A$2:A799,0)</f>
        <v>363</v>
      </c>
      <c r="P364" s="10" t="str">
        <f t="shared" si="1"/>
        <v/>
      </c>
      <c r="Q364" s="220">
        <f t="shared" si="2"/>
        <v>0</v>
      </c>
      <c r="R364" s="5"/>
    </row>
    <row r="365">
      <c r="A365" s="221" t="s">
        <v>1263</v>
      </c>
      <c r="B365" s="217">
        <f t="array" ref="B365">INDEX(postDEL!$A$2:$P799,$O365,2)</f>
        <v>44607</v>
      </c>
      <c r="C365" s="218">
        <f t="array" ref="C365">INDEX(postDEL!$A$2:$P799,$O365,3)</f>
        <v>0.3231481481</v>
      </c>
      <c r="D365" s="219" t="str">
        <f t="array" ref="D365">INDEX(postDEL!$A$2:$AN799,$O365,39)</f>
        <v>SpBEND672680</v>
      </c>
      <c r="E365" s="219" t="str">
        <f t="array" ref="E365">INDEX(postDEL!$A$2:$P799,$O365,4)</f>
        <v/>
      </c>
      <c r="F365" s="219" t="str">
        <f t="array" ref="F365">INDEX(postDEL!$A$2:$P799,$O365,5)</f>
        <v/>
      </c>
      <c r="G365" s="219" t="str">
        <f t="array" ref="G365">INDEX(postDEL!$A$2:$P799,$O365,11)</f>
        <v>Negative</v>
      </c>
      <c r="H365" s="219" t="str">
        <f t="array" ref="H365">INDEX(postDEL!$A$2:$AL799,$O365,37)</f>
        <v>Negative</v>
      </c>
      <c r="I365" s="217">
        <f t="array" ref="I365">INDEX(postDEL!$A$2:$AL799,$O365,12)</f>
        <v>44607</v>
      </c>
      <c r="J365" s="218">
        <f t="array" ref="J365">INDEX(postDEL!$A$2:$AL799,$O365,13)</f>
        <v>0.5868055556</v>
      </c>
      <c r="K365" s="219" t="str">
        <f t="array" ref="K365">INDEX(postDEL!$A$2:$AL799,$O365,36)</f>
        <v/>
      </c>
      <c r="L365" s="219" t="str">
        <f t="array" ref="L365">INDEX(postDEL!$A$2:$AL799,$O365,38)</f>
        <v/>
      </c>
      <c r="M365" s="219" t="str">
        <f t="array" ref="M365">INDEX(postDEL!$A$2:$AL799,$O365,15)</f>
        <v/>
      </c>
      <c r="N365" s="110">
        <f>COUNTIF(postDEL!$A$2:$A799,A365)</f>
        <v>1</v>
      </c>
      <c r="O365" s="19">
        <f>MATCH(A365,postDEL!A$2:A799,0)</f>
        <v>364</v>
      </c>
      <c r="P365" s="10" t="str">
        <f t="shared" si="1"/>
        <v/>
      </c>
      <c r="Q365" s="220">
        <f t="shared" si="2"/>
        <v>0</v>
      </c>
      <c r="R365" s="5"/>
    </row>
    <row r="366">
      <c r="A366" s="221" t="s">
        <v>1265</v>
      </c>
      <c r="B366" s="217">
        <f t="array" ref="B366">INDEX(postDEL!$A$2:$P799,$O366,2)</f>
        <v>44607</v>
      </c>
      <c r="C366" s="218">
        <f t="array" ref="C366">INDEX(postDEL!$A$2:$P799,$O366,3)</f>
        <v>0.3235069444</v>
      </c>
      <c r="D366" s="219" t="str">
        <f t="array" ref="D366">INDEX(postDEL!$A$2:$AN799,$O366,39)</f>
        <v>SpBEND302553</v>
      </c>
      <c r="E366" s="219" t="str">
        <f t="array" ref="E366">INDEX(postDEL!$A$2:$P799,$O366,4)</f>
        <v/>
      </c>
      <c r="F366" s="219" t="str">
        <f t="array" ref="F366">INDEX(postDEL!$A$2:$P799,$O366,5)</f>
        <v/>
      </c>
      <c r="G366" s="219" t="str">
        <f t="array" ref="G366">INDEX(postDEL!$A$2:$P799,$O366,11)</f>
        <v>Negative</v>
      </c>
      <c r="H366" s="219" t="str">
        <f t="array" ref="H366">INDEX(postDEL!$A$2:$AL799,$O366,37)</f>
        <v>Negative</v>
      </c>
      <c r="I366" s="217">
        <f t="array" ref="I366">INDEX(postDEL!$A$2:$AL799,$O366,12)</f>
        <v>44607</v>
      </c>
      <c r="J366" s="218">
        <f t="array" ref="J366">INDEX(postDEL!$A$2:$AL799,$O366,13)</f>
        <v>0.5868055556</v>
      </c>
      <c r="K366" s="219" t="str">
        <f t="array" ref="K366">INDEX(postDEL!$A$2:$AL799,$O366,36)</f>
        <v/>
      </c>
      <c r="L366" s="219" t="str">
        <f t="array" ref="L366">INDEX(postDEL!$A$2:$AL799,$O366,38)</f>
        <v/>
      </c>
      <c r="M366" s="219" t="str">
        <f t="array" ref="M366">INDEX(postDEL!$A$2:$AL799,$O366,15)</f>
        <v/>
      </c>
      <c r="N366" s="110">
        <f>COUNTIF(postDEL!$A$2:$A799,A366)</f>
        <v>1</v>
      </c>
      <c r="O366" s="19">
        <f>MATCH(A366,postDEL!A$2:A799,0)</f>
        <v>365</v>
      </c>
      <c r="P366" s="10" t="str">
        <f t="shared" si="1"/>
        <v/>
      </c>
      <c r="Q366" s="220">
        <f t="shared" si="2"/>
        <v>0</v>
      </c>
      <c r="R366" s="5"/>
    </row>
    <row r="367">
      <c r="A367" s="221" t="s">
        <v>1267</v>
      </c>
      <c r="B367" s="217">
        <f t="array" ref="B367">INDEX(postDEL!$A$2:$P799,$O367,2)</f>
        <v>44607</v>
      </c>
      <c r="C367" s="218">
        <f t="array" ref="C367">INDEX(postDEL!$A$2:$P799,$O367,3)</f>
        <v>0.3248726852</v>
      </c>
      <c r="D367" s="219" t="str">
        <f t="array" ref="D367">INDEX(postDEL!$A$2:$AN799,$O367,39)</f>
        <v>SpBEND139816</v>
      </c>
      <c r="E367" s="219" t="str">
        <f t="array" ref="E367">INDEX(postDEL!$A$2:$P799,$O367,4)</f>
        <v/>
      </c>
      <c r="F367" s="219" t="str">
        <f t="array" ref="F367">INDEX(postDEL!$A$2:$P799,$O367,5)</f>
        <v/>
      </c>
      <c r="G367" s="219" t="str">
        <f t="array" ref="G367">INDEX(postDEL!$A$2:$P799,$O367,11)</f>
        <v>Negative</v>
      </c>
      <c r="H367" s="219" t="str">
        <f t="array" ref="H367">INDEX(postDEL!$A$2:$AL799,$O367,37)</f>
        <v>Negative</v>
      </c>
      <c r="I367" s="217">
        <f t="array" ref="I367">INDEX(postDEL!$A$2:$AL799,$O367,12)</f>
        <v>44607</v>
      </c>
      <c r="J367" s="218">
        <f t="array" ref="J367">INDEX(postDEL!$A$2:$AL799,$O367,13)</f>
        <v>0.5868055556</v>
      </c>
      <c r="K367" s="219" t="str">
        <f t="array" ref="K367">INDEX(postDEL!$A$2:$AL799,$O367,36)</f>
        <v/>
      </c>
      <c r="L367" s="219" t="str">
        <f t="array" ref="L367">INDEX(postDEL!$A$2:$AL799,$O367,38)</f>
        <v/>
      </c>
      <c r="M367" s="219" t="str">
        <f t="array" ref="M367">INDEX(postDEL!$A$2:$AL799,$O367,15)</f>
        <v/>
      </c>
      <c r="N367" s="110">
        <f>COUNTIF(postDEL!$A$2:$A799,A367)</f>
        <v>1</v>
      </c>
      <c r="O367" s="19">
        <f>MATCH(A367,postDEL!A$2:A799,0)</f>
        <v>366</v>
      </c>
      <c r="P367" s="10" t="str">
        <f t="shared" si="1"/>
        <v/>
      </c>
      <c r="Q367" s="220">
        <f t="shared" si="2"/>
        <v>0</v>
      </c>
      <c r="R367" s="5"/>
    </row>
    <row r="368">
      <c r="A368" s="221" t="s">
        <v>1269</v>
      </c>
      <c r="B368" s="217">
        <f t="array" ref="B368">INDEX(postDEL!$A$2:$P799,$O368,2)</f>
        <v>44607</v>
      </c>
      <c r="C368" s="218">
        <f t="array" ref="C368">INDEX(postDEL!$A$2:$P799,$O368,3)</f>
        <v>0.3253819444</v>
      </c>
      <c r="D368" s="219" t="str">
        <f t="array" ref="D368">INDEX(postDEL!$A$2:$AN799,$O368,39)</f>
        <v>SpBEND967817</v>
      </c>
      <c r="E368" s="219" t="str">
        <f t="array" ref="E368">INDEX(postDEL!$A$2:$P799,$O368,4)</f>
        <v/>
      </c>
      <c r="F368" s="219" t="str">
        <f t="array" ref="F368">INDEX(postDEL!$A$2:$P799,$O368,5)</f>
        <v/>
      </c>
      <c r="G368" s="219" t="str">
        <f t="array" ref="G368">INDEX(postDEL!$A$2:$P799,$O368,11)</f>
        <v>Negative</v>
      </c>
      <c r="H368" s="219" t="str">
        <f t="array" ref="H368">INDEX(postDEL!$A$2:$AL799,$O368,37)</f>
        <v>Negative</v>
      </c>
      <c r="I368" s="217">
        <f t="array" ref="I368">INDEX(postDEL!$A$2:$AL799,$O368,12)</f>
        <v>44607</v>
      </c>
      <c r="J368" s="218">
        <f t="array" ref="J368">INDEX(postDEL!$A$2:$AL799,$O368,13)</f>
        <v>0.5868055556</v>
      </c>
      <c r="K368" s="219" t="str">
        <f t="array" ref="K368">INDEX(postDEL!$A$2:$AL799,$O368,36)</f>
        <v/>
      </c>
      <c r="L368" s="219" t="str">
        <f t="array" ref="L368">INDEX(postDEL!$A$2:$AL799,$O368,38)</f>
        <v/>
      </c>
      <c r="M368" s="219" t="str">
        <f t="array" ref="M368">INDEX(postDEL!$A$2:$AL799,$O368,15)</f>
        <v/>
      </c>
      <c r="N368" s="110">
        <f>COUNTIF(postDEL!$A$2:$A799,A368)</f>
        <v>1</v>
      </c>
      <c r="O368" s="19">
        <f>MATCH(A368,postDEL!A$2:A799,0)</f>
        <v>367</v>
      </c>
      <c r="P368" s="10" t="str">
        <f t="shared" si="1"/>
        <v/>
      </c>
      <c r="Q368" s="220">
        <f t="shared" si="2"/>
        <v>0</v>
      </c>
      <c r="R368" s="5"/>
    </row>
    <row r="369">
      <c r="A369" s="221" t="s">
        <v>1273</v>
      </c>
      <c r="B369" s="217">
        <f t="array" ref="B369">INDEX(postDEL!$A$2:$P799,$O369,2)</f>
        <v>44607</v>
      </c>
      <c r="C369" s="218">
        <f t="array" ref="C369">INDEX(postDEL!$A$2:$P799,$O369,3)</f>
        <v>0.3254398148</v>
      </c>
      <c r="D369" s="219" t="str">
        <f t="array" ref="D369">INDEX(postDEL!$A$2:$AN799,$O369,39)</f>
        <v>SpBEND490402</v>
      </c>
      <c r="E369" s="219" t="str">
        <f t="array" ref="E369">INDEX(postDEL!$A$2:$P799,$O369,4)</f>
        <v/>
      </c>
      <c r="F369" s="219" t="str">
        <f t="array" ref="F369">INDEX(postDEL!$A$2:$P799,$O369,5)</f>
        <v/>
      </c>
      <c r="G369" s="219" t="str">
        <f t="array" ref="G369">INDEX(postDEL!$A$2:$P799,$O369,11)</f>
        <v>Negative</v>
      </c>
      <c r="H369" s="219" t="str">
        <f t="array" ref="H369">INDEX(postDEL!$A$2:$AL799,$O369,37)</f>
        <v>Negative</v>
      </c>
      <c r="I369" s="217">
        <f t="array" ref="I369">INDEX(postDEL!$A$2:$AL799,$O369,12)</f>
        <v>44607</v>
      </c>
      <c r="J369" s="218">
        <f t="array" ref="J369">INDEX(postDEL!$A$2:$AL799,$O369,13)</f>
        <v>0.5868055556</v>
      </c>
      <c r="K369" s="219" t="str">
        <f t="array" ref="K369">INDEX(postDEL!$A$2:$AL799,$O369,36)</f>
        <v/>
      </c>
      <c r="L369" s="219" t="str">
        <f t="array" ref="L369">INDEX(postDEL!$A$2:$AL799,$O369,38)</f>
        <v/>
      </c>
      <c r="M369" s="219" t="str">
        <f t="array" ref="M369">INDEX(postDEL!$A$2:$AL799,$O369,15)</f>
        <v/>
      </c>
      <c r="N369" s="110">
        <f>COUNTIF(postDEL!$A$2:$A799,A369)</f>
        <v>1</v>
      </c>
      <c r="O369" s="19">
        <f>MATCH(A369,postDEL!A$2:A799,0)</f>
        <v>368</v>
      </c>
      <c r="P369" s="10" t="str">
        <f t="shared" si="1"/>
        <v/>
      </c>
      <c r="Q369" s="220">
        <f t="shared" si="2"/>
        <v>0</v>
      </c>
      <c r="R369" s="5"/>
    </row>
    <row r="370">
      <c r="A370" s="221" t="s">
        <v>1277</v>
      </c>
      <c r="B370" s="217">
        <f t="array" ref="B370">INDEX(postDEL!$A$2:$P799,$O370,2)</f>
        <v>44607</v>
      </c>
      <c r="C370" s="218">
        <f t="array" ref="C370">INDEX(postDEL!$A$2:$P799,$O370,3)</f>
        <v>0.3266666667</v>
      </c>
      <c r="D370" s="219" t="str">
        <f t="array" ref="D370">INDEX(postDEL!$A$2:$AN799,$O370,39)</f>
        <v>SpBEND642175</v>
      </c>
      <c r="E370" s="219" t="str">
        <f t="array" ref="E370">INDEX(postDEL!$A$2:$P799,$O370,4)</f>
        <v/>
      </c>
      <c r="F370" s="219" t="str">
        <f t="array" ref="F370">INDEX(postDEL!$A$2:$P799,$O370,5)</f>
        <v/>
      </c>
      <c r="G370" s="219" t="str">
        <f t="array" ref="G370">INDEX(postDEL!$A$2:$P799,$O370,11)</f>
        <v>Negative</v>
      </c>
      <c r="H370" s="219" t="str">
        <f t="array" ref="H370">INDEX(postDEL!$A$2:$AL799,$O370,37)</f>
        <v>Negative</v>
      </c>
      <c r="I370" s="217">
        <f t="array" ref="I370">INDEX(postDEL!$A$2:$AL799,$O370,12)</f>
        <v>44607</v>
      </c>
      <c r="J370" s="218">
        <f t="array" ref="J370">INDEX(postDEL!$A$2:$AL799,$O370,13)</f>
        <v>0.5868055556</v>
      </c>
      <c r="K370" s="219" t="str">
        <f t="array" ref="K370">INDEX(postDEL!$A$2:$AL799,$O370,36)</f>
        <v/>
      </c>
      <c r="L370" s="219" t="str">
        <f t="array" ref="L370">INDEX(postDEL!$A$2:$AL799,$O370,38)</f>
        <v/>
      </c>
      <c r="M370" s="219" t="str">
        <f t="array" ref="M370">INDEX(postDEL!$A$2:$AL799,$O370,15)</f>
        <v/>
      </c>
      <c r="N370" s="110">
        <f>COUNTIF(postDEL!$A$2:$A799,A370)</f>
        <v>1</v>
      </c>
      <c r="O370" s="19">
        <f>MATCH(A370,postDEL!A$2:A799,0)</f>
        <v>369</v>
      </c>
      <c r="P370" s="10" t="str">
        <f t="shared" si="1"/>
        <v/>
      </c>
      <c r="Q370" s="220">
        <f t="shared" si="2"/>
        <v>0</v>
      </c>
      <c r="R370" s="5"/>
    </row>
    <row r="371">
      <c r="A371" s="221" t="s">
        <v>1281</v>
      </c>
      <c r="B371" s="217">
        <f t="array" ref="B371">INDEX(postDEL!$A$2:$P799,$O371,2)</f>
        <v>44607</v>
      </c>
      <c r="C371" s="218">
        <f t="array" ref="C371">INDEX(postDEL!$A$2:$P799,$O371,3)</f>
        <v>0.3287384259</v>
      </c>
      <c r="D371" s="219" t="str">
        <f t="array" ref="D371">INDEX(postDEL!$A$2:$AN799,$O371,39)</f>
        <v>SpBEND643855</v>
      </c>
      <c r="E371" s="219" t="str">
        <f t="array" ref="E371">INDEX(postDEL!$A$2:$P799,$O371,4)</f>
        <v/>
      </c>
      <c r="F371" s="219" t="str">
        <f t="array" ref="F371">INDEX(postDEL!$A$2:$P799,$O371,5)</f>
        <v/>
      </c>
      <c r="G371" s="219" t="str">
        <f t="array" ref="G371">INDEX(postDEL!$A$2:$P799,$O371,11)</f>
        <v>Negative</v>
      </c>
      <c r="H371" s="219" t="str">
        <f t="array" ref="H371">INDEX(postDEL!$A$2:$AL799,$O371,37)</f>
        <v>Negative</v>
      </c>
      <c r="I371" s="217">
        <f t="array" ref="I371">INDEX(postDEL!$A$2:$AL799,$O371,12)</f>
        <v>44607</v>
      </c>
      <c r="J371" s="218">
        <f t="array" ref="J371">INDEX(postDEL!$A$2:$AL799,$O371,13)</f>
        <v>0.5868055556</v>
      </c>
      <c r="K371" s="219" t="str">
        <f t="array" ref="K371">INDEX(postDEL!$A$2:$AL799,$O371,36)</f>
        <v/>
      </c>
      <c r="L371" s="219" t="str">
        <f t="array" ref="L371">INDEX(postDEL!$A$2:$AL799,$O371,38)</f>
        <v/>
      </c>
      <c r="M371" s="219" t="str">
        <f t="array" ref="M371">INDEX(postDEL!$A$2:$AL799,$O371,15)</f>
        <v/>
      </c>
      <c r="N371" s="110">
        <f>COUNTIF(postDEL!$A$2:$A799,A371)</f>
        <v>1</v>
      </c>
      <c r="O371" s="19">
        <f>MATCH(A371,postDEL!A$2:A799,0)</f>
        <v>370</v>
      </c>
      <c r="P371" s="10" t="str">
        <f t="shared" si="1"/>
        <v/>
      </c>
      <c r="Q371" s="220">
        <f t="shared" si="2"/>
        <v>0</v>
      </c>
      <c r="R371" s="5"/>
    </row>
    <row r="372">
      <c r="A372" s="221" t="s">
        <v>1283</v>
      </c>
      <c r="B372" s="217">
        <f t="array" ref="B372">INDEX(postDEL!$A$2:$P799,$O372,2)</f>
        <v>44607</v>
      </c>
      <c r="C372" s="218">
        <f t="array" ref="C372">INDEX(postDEL!$A$2:$P799,$O372,3)</f>
        <v>0.3297685185</v>
      </c>
      <c r="D372" s="219" t="str">
        <f t="array" ref="D372">INDEX(postDEL!$A$2:$AN799,$O372,39)</f>
        <v>SpBEND454594</v>
      </c>
      <c r="E372" s="219" t="str">
        <f t="array" ref="E372">INDEX(postDEL!$A$2:$P799,$O372,4)</f>
        <v/>
      </c>
      <c r="F372" s="219" t="str">
        <f t="array" ref="F372">INDEX(postDEL!$A$2:$P799,$O372,5)</f>
        <v/>
      </c>
      <c r="G372" s="219" t="str">
        <f t="array" ref="G372">INDEX(postDEL!$A$2:$P799,$O372,11)</f>
        <v>Negative</v>
      </c>
      <c r="H372" s="219" t="str">
        <f t="array" ref="H372">INDEX(postDEL!$A$2:$AL799,$O372,37)</f>
        <v>Negative</v>
      </c>
      <c r="I372" s="217">
        <f t="array" ref="I372">INDEX(postDEL!$A$2:$AL799,$O372,12)</f>
        <v>44607</v>
      </c>
      <c r="J372" s="218">
        <f t="array" ref="J372">INDEX(postDEL!$A$2:$AL799,$O372,13)</f>
        <v>0.5868171296</v>
      </c>
      <c r="K372" s="219" t="str">
        <f t="array" ref="K372">INDEX(postDEL!$A$2:$AL799,$O372,36)</f>
        <v/>
      </c>
      <c r="L372" s="219" t="str">
        <f t="array" ref="L372">INDEX(postDEL!$A$2:$AL799,$O372,38)</f>
        <v/>
      </c>
      <c r="M372" s="219" t="str">
        <f t="array" ref="M372">INDEX(postDEL!$A$2:$AL799,$O372,15)</f>
        <v/>
      </c>
      <c r="N372" s="110">
        <f>COUNTIF(postDEL!$A$2:$A799,A372)</f>
        <v>1</v>
      </c>
      <c r="O372" s="19">
        <f>MATCH(A372,postDEL!A$2:A799,0)</f>
        <v>371</v>
      </c>
      <c r="P372" s="10" t="str">
        <f t="shared" si="1"/>
        <v/>
      </c>
      <c r="Q372" s="220">
        <f t="shared" si="2"/>
        <v>0</v>
      </c>
      <c r="R372" s="5"/>
    </row>
    <row r="373">
      <c r="A373" s="221" t="s">
        <v>1285</v>
      </c>
      <c r="B373" s="217">
        <f t="array" ref="B373">INDEX(postDEL!$A$2:$P799,$O373,2)</f>
        <v>44607</v>
      </c>
      <c r="C373" s="218">
        <f t="array" ref="C373">INDEX(postDEL!$A$2:$P799,$O373,3)</f>
        <v>0.3323958333</v>
      </c>
      <c r="D373" s="219" t="str">
        <f t="array" ref="D373">INDEX(postDEL!$A$2:$AN799,$O373,39)</f>
        <v>SpBEND382241</v>
      </c>
      <c r="E373" s="219" t="str">
        <f t="array" ref="E373">INDEX(postDEL!$A$2:$P799,$O373,4)</f>
        <v/>
      </c>
      <c r="F373" s="219" t="str">
        <f t="array" ref="F373">INDEX(postDEL!$A$2:$P799,$O373,5)</f>
        <v/>
      </c>
      <c r="G373" s="219" t="str">
        <f t="array" ref="G373">INDEX(postDEL!$A$2:$P799,$O373,11)</f>
        <v>Negative</v>
      </c>
      <c r="H373" s="219" t="str">
        <f t="array" ref="H373">INDEX(postDEL!$A$2:$AL799,$O373,37)</f>
        <v>Negative</v>
      </c>
      <c r="I373" s="217">
        <f t="array" ref="I373">INDEX(postDEL!$A$2:$AL799,$O373,12)</f>
        <v>44607</v>
      </c>
      <c r="J373" s="218">
        <f t="array" ref="J373">INDEX(postDEL!$A$2:$AL799,$O373,13)</f>
        <v>0.5868171296</v>
      </c>
      <c r="K373" s="219" t="str">
        <f t="array" ref="K373">INDEX(postDEL!$A$2:$AL799,$O373,36)</f>
        <v/>
      </c>
      <c r="L373" s="219" t="str">
        <f t="array" ref="L373">INDEX(postDEL!$A$2:$AL799,$O373,38)</f>
        <v/>
      </c>
      <c r="M373" s="219" t="str">
        <f t="array" ref="M373">INDEX(postDEL!$A$2:$AL799,$O373,15)</f>
        <v/>
      </c>
      <c r="N373" s="110">
        <f>COUNTIF(postDEL!$A$2:$A799,A373)</f>
        <v>1</v>
      </c>
      <c r="O373" s="19">
        <f>MATCH(A373,postDEL!A$2:A799,0)</f>
        <v>372</v>
      </c>
      <c r="P373" s="10" t="str">
        <f t="shared" si="1"/>
        <v/>
      </c>
      <c r="Q373" s="220">
        <f t="shared" si="2"/>
        <v>0</v>
      </c>
      <c r="R373" s="5"/>
    </row>
    <row r="374">
      <c r="A374" s="221" t="s">
        <v>1289</v>
      </c>
      <c r="B374" s="217">
        <f t="array" ref="B374">INDEX(postDEL!$A$2:$P799,$O374,2)</f>
        <v>44607</v>
      </c>
      <c r="C374" s="218">
        <f t="array" ref="C374">INDEX(postDEL!$A$2:$P799,$O374,3)</f>
        <v>0.3341782407</v>
      </c>
      <c r="D374" s="219" t="str">
        <f t="array" ref="D374">INDEX(postDEL!$A$2:$AN799,$O374,39)</f>
        <v>SpBEND216695</v>
      </c>
      <c r="E374" s="219" t="str">
        <f t="array" ref="E374">INDEX(postDEL!$A$2:$P799,$O374,4)</f>
        <v/>
      </c>
      <c r="F374" s="219" t="str">
        <f t="array" ref="F374">INDEX(postDEL!$A$2:$P799,$O374,5)</f>
        <v/>
      </c>
      <c r="G374" s="219" t="str">
        <f t="array" ref="G374">INDEX(postDEL!$A$2:$P799,$O374,11)</f>
        <v>Negative</v>
      </c>
      <c r="H374" s="219" t="str">
        <f t="array" ref="H374">INDEX(postDEL!$A$2:$AL799,$O374,37)</f>
        <v>Negative</v>
      </c>
      <c r="I374" s="217">
        <f t="array" ref="I374">INDEX(postDEL!$A$2:$AL799,$O374,12)</f>
        <v>44607</v>
      </c>
      <c r="J374" s="218">
        <f t="array" ref="J374">INDEX(postDEL!$A$2:$AL799,$O374,13)</f>
        <v>0.5868171296</v>
      </c>
      <c r="K374" s="219" t="str">
        <f t="array" ref="K374">INDEX(postDEL!$A$2:$AL799,$O374,36)</f>
        <v/>
      </c>
      <c r="L374" s="219" t="str">
        <f t="array" ref="L374">INDEX(postDEL!$A$2:$AL799,$O374,38)</f>
        <v/>
      </c>
      <c r="M374" s="219" t="str">
        <f t="array" ref="M374">INDEX(postDEL!$A$2:$AL799,$O374,15)</f>
        <v/>
      </c>
      <c r="N374" s="110">
        <f>COUNTIF(postDEL!$A$2:$A799,A374)</f>
        <v>1</v>
      </c>
      <c r="O374" s="19">
        <f>MATCH(A374,postDEL!A$2:A799,0)</f>
        <v>373</v>
      </c>
      <c r="P374" s="10" t="str">
        <f t="shared" si="1"/>
        <v/>
      </c>
      <c r="Q374" s="220">
        <f t="shared" si="2"/>
        <v>0</v>
      </c>
      <c r="R374" s="5"/>
    </row>
    <row r="375">
      <c r="A375" s="221" t="s">
        <v>1293</v>
      </c>
      <c r="B375" s="217">
        <f t="array" ref="B375">INDEX(postDEL!$A$2:$P799,$O375,2)</f>
        <v>44607</v>
      </c>
      <c r="C375" s="218">
        <f t="array" ref="C375">INDEX(postDEL!$A$2:$P799,$O375,3)</f>
        <v>0.3381481481</v>
      </c>
      <c r="D375" s="219" t="str">
        <f t="array" ref="D375">INDEX(postDEL!$A$2:$AN799,$O375,39)</f>
        <v>SpBEND435789</v>
      </c>
      <c r="E375" s="219" t="str">
        <f t="array" ref="E375">INDEX(postDEL!$A$2:$P799,$O375,4)</f>
        <v/>
      </c>
      <c r="F375" s="219" t="str">
        <f t="array" ref="F375">INDEX(postDEL!$A$2:$P799,$O375,5)</f>
        <v/>
      </c>
      <c r="G375" s="219" t="str">
        <f t="array" ref="G375">INDEX(postDEL!$A$2:$P799,$O375,11)</f>
        <v>Negative</v>
      </c>
      <c r="H375" s="219" t="str">
        <f t="array" ref="H375">INDEX(postDEL!$A$2:$AL799,$O375,37)</f>
        <v>Negative</v>
      </c>
      <c r="I375" s="217">
        <f t="array" ref="I375">INDEX(postDEL!$A$2:$AL799,$O375,12)</f>
        <v>44607</v>
      </c>
      <c r="J375" s="218">
        <f t="array" ref="J375">INDEX(postDEL!$A$2:$AL799,$O375,13)</f>
        <v>0.5868171296</v>
      </c>
      <c r="K375" s="219" t="str">
        <f t="array" ref="K375">INDEX(postDEL!$A$2:$AL799,$O375,36)</f>
        <v/>
      </c>
      <c r="L375" s="219" t="str">
        <f t="array" ref="L375">INDEX(postDEL!$A$2:$AL799,$O375,38)</f>
        <v/>
      </c>
      <c r="M375" s="219" t="str">
        <f t="array" ref="M375">INDEX(postDEL!$A$2:$AL799,$O375,15)</f>
        <v/>
      </c>
      <c r="N375" s="110">
        <f>COUNTIF(postDEL!$A$2:$A799,A375)</f>
        <v>1</v>
      </c>
      <c r="O375" s="19">
        <f>MATCH(A375,postDEL!A$2:A799,0)</f>
        <v>374</v>
      </c>
      <c r="P375" s="10" t="str">
        <f t="shared" si="1"/>
        <v/>
      </c>
      <c r="Q375" s="220">
        <f t="shared" si="2"/>
        <v>0</v>
      </c>
      <c r="R375" s="5"/>
    </row>
    <row r="376">
      <c r="A376" s="221" t="s">
        <v>1297</v>
      </c>
      <c r="B376" s="217">
        <f t="array" ref="B376">INDEX(postDEL!$A$2:$P799,$O376,2)</f>
        <v>44607</v>
      </c>
      <c r="C376" s="218">
        <f t="array" ref="C376">INDEX(postDEL!$A$2:$P799,$O376,3)</f>
        <v>0.3416435185</v>
      </c>
      <c r="D376" s="219" t="str">
        <f t="array" ref="D376">INDEX(postDEL!$A$2:$AN799,$O376,39)</f>
        <v>SpBEND824412</v>
      </c>
      <c r="E376" s="219" t="str">
        <f t="array" ref="E376">INDEX(postDEL!$A$2:$P799,$O376,4)</f>
        <v/>
      </c>
      <c r="F376" s="219" t="str">
        <f t="array" ref="F376">INDEX(postDEL!$A$2:$P799,$O376,5)</f>
        <v/>
      </c>
      <c r="G376" s="219" t="str">
        <f t="array" ref="G376">INDEX(postDEL!$A$2:$P799,$O376,11)</f>
        <v>Negative</v>
      </c>
      <c r="H376" s="219" t="str">
        <f t="array" ref="H376">INDEX(postDEL!$A$2:$AL799,$O376,37)</f>
        <v>Negative</v>
      </c>
      <c r="I376" s="217">
        <f t="array" ref="I376">INDEX(postDEL!$A$2:$AL799,$O376,12)</f>
        <v>44607</v>
      </c>
      <c r="J376" s="218">
        <f t="array" ref="J376">INDEX(postDEL!$A$2:$AL799,$O376,13)</f>
        <v>0.5868171296</v>
      </c>
      <c r="K376" s="219" t="str">
        <f t="array" ref="K376">INDEX(postDEL!$A$2:$AL799,$O376,36)</f>
        <v/>
      </c>
      <c r="L376" s="219" t="str">
        <f t="array" ref="L376">INDEX(postDEL!$A$2:$AL799,$O376,38)</f>
        <v/>
      </c>
      <c r="M376" s="219" t="str">
        <f t="array" ref="M376">INDEX(postDEL!$A$2:$AL799,$O376,15)</f>
        <v/>
      </c>
      <c r="N376" s="110">
        <f>COUNTIF(postDEL!$A$2:$A799,A376)</f>
        <v>1</v>
      </c>
      <c r="O376" s="19">
        <f>MATCH(A376,postDEL!A$2:A799,0)</f>
        <v>375</v>
      </c>
      <c r="P376" s="10" t="str">
        <f t="shared" si="1"/>
        <v/>
      </c>
      <c r="Q376" s="220">
        <f t="shared" si="2"/>
        <v>0</v>
      </c>
      <c r="R376" s="5"/>
    </row>
    <row r="377">
      <c r="A377" s="221" t="s">
        <v>1301</v>
      </c>
      <c r="B377" s="217">
        <f t="array" ref="B377">INDEX(postDEL!$A$2:$P799,$O377,2)</f>
        <v>44607</v>
      </c>
      <c r="C377" s="218">
        <f t="array" ref="C377">INDEX(postDEL!$A$2:$P799,$O377,3)</f>
        <v>0.3449537037</v>
      </c>
      <c r="D377" s="219" t="str">
        <f t="array" ref="D377">INDEX(postDEL!$A$2:$AN799,$O377,39)</f>
        <v>SpBEND899578</v>
      </c>
      <c r="E377" s="219" t="str">
        <f t="array" ref="E377">INDEX(postDEL!$A$2:$P799,$O377,4)</f>
        <v/>
      </c>
      <c r="F377" s="219" t="str">
        <f t="array" ref="F377">INDEX(postDEL!$A$2:$P799,$O377,5)</f>
        <v/>
      </c>
      <c r="G377" s="219" t="str">
        <f t="array" ref="G377">INDEX(postDEL!$A$2:$P799,$O377,11)</f>
        <v>Negative</v>
      </c>
      <c r="H377" s="219" t="str">
        <f t="array" ref="H377">INDEX(postDEL!$A$2:$AL799,$O377,37)</f>
        <v>Negative</v>
      </c>
      <c r="I377" s="217">
        <f t="array" ref="I377">INDEX(postDEL!$A$2:$AL799,$O377,12)</f>
        <v>44607</v>
      </c>
      <c r="J377" s="218">
        <f t="array" ref="J377">INDEX(postDEL!$A$2:$AL799,$O377,13)</f>
        <v>0.5868171296</v>
      </c>
      <c r="K377" s="219" t="str">
        <f t="array" ref="K377">INDEX(postDEL!$A$2:$AL799,$O377,36)</f>
        <v/>
      </c>
      <c r="L377" s="219" t="str">
        <f t="array" ref="L377">INDEX(postDEL!$A$2:$AL799,$O377,38)</f>
        <v/>
      </c>
      <c r="M377" s="219" t="str">
        <f t="array" ref="M377">INDEX(postDEL!$A$2:$AL799,$O377,15)</f>
        <v/>
      </c>
      <c r="N377" s="110">
        <f>COUNTIF(postDEL!$A$2:$A799,A377)</f>
        <v>1</v>
      </c>
      <c r="O377" s="19">
        <f>MATCH(A377,postDEL!A$2:A799,0)</f>
        <v>376</v>
      </c>
      <c r="P377" s="10" t="str">
        <f t="shared" si="1"/>
        <v/>
      </c>
      <c r="Q377" s="220">
        <f t="shared" si="2"/>
        <v>0</v>
      </c>
      <c r="R377" s="5"/>
    </row>
    <row r="378">
      <c r="A378" s="221" t="s">
        <v>1303</v>
      </c>
      <c r="B378" s="217">
        <f t="array" ref="B378">INDEX(postDEL!$A$2:$P799,$O378,2)</f>
        <v>44607</v>
      </c>
      <c r="C378" s="218">
        <f t="array" ref="C378">INDEX(postDEL!$A$2:$P799,$O378,3)</f>
        <v>0.3477546296</v>
      </c>
      <c r="D378" s="219" t="str">
        <f t="array" ref="D378">INDEX(postDEL!$A$2:$AN799,$O378,39)</f>
        <v>SpBEND372845</v>
      </c>
      <c r="E378" s="219" t="str">
        <f t="array" ref="E378">INDEX(postDEL!$A$2:$P799,$O378,4)</f>
        <v/>
      </c>
      <c r="F378" s="219" t="str">
        <f t="array" ref="F378">INDEX(postDEL!$A$2:$P799,$O378,5)</f>
        <v/>
      </c>
      <c r="G378" s="219" t="str">
        <f t="array" ref="G378">INDEX(postDEL!$A$2:$P799,$O378,11)</f>
        <v>Negative</v>
      </c>
      <c r="H378" s="219" t="str">
        <f t="array" ref="H378">INDEX(postDEL!$A$2:$AL799,$O378,37)</f>
        <v>Negative</v>
      </c>
      <c r="I378" s="217">
        <f t="array" ref="I378">INDEX(postDEL!$A$2:$AL799,$O378,12)</f>
        <v>44607</v>
      </c>
      <c r="J378" s="218">
        <f t="array" ref="J378">INDEX(postDEL!$A$2:$AL799,$O378,13)</f>
        <v>0.5868171296</v>
      </c>
      <c r="K378" s="219" t="str">
        <f t="array" ref="K378">INDEX(postDEL!$A$2:$AL799,$O378,36)</f>
        <v/>
      </c>
      <c r="L378" s="219" t="str">
        <f t="array" ref="L378">INDEX(postDEL!$A$2:$AL799,$O378,38)</f>
        <v/>
      </c>
      <c r="M378" s="219" t="str">
        <f t="array" ref="M378">INDEX(postDEL!$A$2:$AL799,$O378,15)</f>
        <v/>
      </c>
      <c r="N378" s="110">
        <f>COUNTIF(postDEL!$A$2:$A799,A378)</f>
        <v>1</v>
      </c>
      <c r="O378" s="19">
        <f>MATCH(A378,postDEL!A$2:A799,0)</f>
        <v>377</v>
      </c>
      <c r="P378" s="10" t="str">
        <f t="shared" si="1"/>
        <v/>
      </c>
      <c r="Q378" s="220">
        <f t="shared" si="2"/>
        <v>0</v>
      </c>
      <c r="R378" s="5"/>
    </row>
    <row r="379">
      <c r="A379" s="221" t="s">
        <v>1305</v>
      </c>
      <c r="B379" s="217">
        <f t="array" ref="B379">INDEX(postDEL!$A$2:$P799,$O379,2)</f>
        <v>44607</v>
      </c>
      <c r="C379" s="218">
        <f t="array" ref="C379">INDEX(postDEL!$A$2:$P799,$O379,3)</f>
        <v>0.3717361111</v>
      </c>
      <c r="D379" s="219" t="str">
        <f t="array" ref="D379">INDEX(postDEL!$A$2:$AN799,$O379,39)</f>
        <v>SpBEND737678</v>
      </c>
      <c r="E379" s="219" t="str">
        <f t="array" ref="E379">INDEX(postDEL!$A$2:$P799,$O379,4)</f>
        <v/>
      </c>
      <c r="F379" s="219" t="str">
        <f t="array" ref="F379">INDEX(postDEL!$A$2:$P799,$O379,5)</f>
        <v/>
      </c>
      <c r="G379" s="219" t="str">
        <f t="array" ref="G379">INDEX(postDEL!$A$2:$P799,$O379,11)</f>
        <v>Negative</v>
      </c>
      <c r="H379" s="219" t="str">
        <f t="array" ref="H379">INDEX(postDEL!$A$2:$AL799,$O379,37)</f>
        <v>Negative</v>
      </c>
      <c r="I379" s="217">
        <f t="array" ref="I379">INDEX(postDEL!$A$2:$AL799,$O379,12)</f>
        <v>44607</v>
      </c>
      <c r="J379" s="218">
        <f t="array" ref="J379">INDEX(postDEL!$A$2:$AL799,$O379,13)</f>
        <v>0.5868171296</v>
      </c>
      <c r="K379" s="219" t="str">
        <f t="array" ref="K379">INDEX(postDEL!$A$2:$AL799,$O379,36)</f>
        <v/>
      </c>
      <c r="L379" s="219" t="str">
        <f t="array" ref="L379">INDEX(postDEL!$A$2:$AL799,$O379,38)</f>
        <v/>
      </c>
      <c r="M379" s="219" t="str">
        <f t="array" ref="M379">INDEX(postDEL!$A$2:$AL799,$O379,15)</f>
        <v/>
      </c>
      <c r="N379" s="110">
        <f>COUNTIF(postDEL!$A$2:$A799,A379)</f>
        <v>1</v>
      </c>
      <c r="O379" s="19">
        <f>MATCH(A379,postDEL!A$2:A799,0)</f>
        <v>378</v>
      </c>
      <c r="P379" s="10" t="str">
        <f t="shared" si="1"/>
        <v/>
      </c>
      <c r="Q379" s="220">
        <f t="shared" si="2"/>
        <v>0</v>
      </c>
      <c r="R379" s="5"/>
    </row>
    <row r="380">
      <c r="A380" s="221" t="s">
        <v>1309</v>
      </c>
      <c r="B380" s="217">
        <f t="array" ref="B380">INDEX(postDEL!$A$2:$P799,$O380,2)</f>
        <v>44607</v>
      </c>
      <c r="C380" s="218">
        <f t="array" ref="C380">INDEX(postDEL!$A$2:$P799,$O380,3)</f>
        <v>0.3924884259</v>
      </c>
      <c r="D380" s="219" t="str">
        <f t="array" ref="D380">INDEX(postDEL!$A$2:$AN799,$O380,39)</f>
        <v>SpBEND670368</v>
      </c>
      <c r="E380" s="219" t="str">
        <f t="array" ref="E380">INDEX(postDEL!$A$2:$P799,$O380,4)</f>
        <v/>
      </c>
      <c r="F380" s="219" t="str">
        <f t="array" ref="F380">INDEX(postDEL!$A$2:$P799,$O380,5)</f>
        <v/>
      </c>
      <c r="G380" s="219" t="str">
        <f t="array" ref="G380">INDEX(postDEL!$A$2:$P799,$O380,11)</f>
        <v>Negative</v>
      </c>
      <c r="H380" s="219" t="str">
        <f t="array" ref="H380">INDEX(postDEL!$A$2:$AL799,$O380,37)</f>
        <v>Negative</v>
      </c>
      <c r="I380" s="217">
        <f t="array" ref="I380">INDEX(postDEL!$A$2:$AL799,$O380,12)</f>
        <v>44607</v>
      </c>
      <c r="J380" s="218">
        <f t="array" ref="J380">INDEX(postDEL!$A$2:$AL799,$O380,13)</f>
        <v>0.5868171296</v>
      </c>
      <c r="K380" s="219" t="str">
        <f t="array" ref="K380">INDEX(postDEL!$A$2:$AL799,$O380,36)</f>
        <v/>
      </c>
      <c r="L380" s="219" t="str">
        <f t="array" ref="L380">INDEX(postDEL!$A$2:$AL799,$O380,38)</f>
        <v/>
      </c>
      <c r="M380" s="219" t="str">
        <f t="array" ref="M380">INDEX(postDEL!$A$2:$AL799,$O380,15)</f>
        <v/>
      </c>
      <c r="N380" s="110">
        <f>COUNTIF(postDEL!$A$2:$A799,A380)</f>
        <v>1</v>
      </c>
      <c r="O380" s="19">
        <f>MATCH(A380,postDEL!A$2:A799,0)</f>
        <v>379</v>
      </c>
      <c r="P380" s="10" t="str">
        <f t="shared" si="1"/>
        <v/>
      </c>
      <c r="Q380" s="220">
        <f t="shared" si="2"/>
        <v>0</v>
      </c>
      <c r="R380" s="5"/>
    </row>
    <row r="381">
      <c r="A381" s="221" t="s">
        <v>1315</v>
      </c>
      <c r="B381" s="217">
        <f t="array" ref="B381">INDEX(postDEL!$A$2:$P799,$O381,2)</f>
        <v>44607</v>
      </c>
      <c r="C381" s="218">
        <f t="array" ref="C381">INDEX(postDEL!$A$2:$P799,$O381,3)</f>
        <v>0.5372106481</v>
      </c>
      <c r="D381" s="219" t="str">
        <f t="array" ref="D381">INDEX(postDEL!$A$2:$AN799,$O381,39)</f>
        <v>SpBEND394154</v>
      </c>
      <c r="E381" s="219" t="str">
        <f t="array" ref="E381">INDEX(postDEL!$A$2:$P799,$O381,4)</f>
        <v/>
      </c>
      <c r="F381" s="219" t="str">
        <f t="array" ref="F381">INDEX(postDEL!$A$2:$P799,$O381,5)</f>
        <v/>
      </c>
      <c r="G381" s="219" t="str">
        <f t="array" ref="G381">INDEX(postDEL!$A$2:$P799,$O381,11)</f>
        <v>Null</v>
      </c>
      <c r="H381" s="219" t="str">
        <f t="array" ref="H381">INDEX(postDEL!$A$2:$AL799,$O381,37)</f>
        <v>Negative</v>
      </c>
      <c r="I381" s="217" t="str">
        <f t="array" ref="I381">INDEX(postDEL!$A$2:$AL799,$O381,12)</f>
        <v/>
      </c>
      <c r="J381" s="218" t="str">
        <f t="array" ref="J381">INDEX(postDEL!$A$2:$AL799,$O381,13)</f>
        <v/>
      </c>
      <c r="K381" s="219">
        <f t="array" ref="K381">INDEX(postDEL!$A$2:$AL799,$O381,36)</f>
        <v>2</v>
      </c>
      <c r="L381" s="219" t="str">
        <f t="array" ref="L381">INDEX(postDEL!$A$2:$AL799,$O381,38)</f>
        <v/>
      </c>
      <c r="M381" s="219" t="str">
        <f t="array" ref="M381">INDEX(postDEL!$A$2:$AL799,$O381,15)</f>
        <v/>
      </c>
      <c r="N381" s="110">
        <f>COUNTIF(postDEL!$A$2:$A799,A381)</f>
        <v>1</v>
      </c>
      <c r="O381" s="19">
        <f>MATCH(A381,postDEL!A$2:A799,0)</f>
        <v>380</v>
      </c>
      <c r="P381" s="10" t="str">
        <f t="shared" si="1"/>
        <v/>
      </c>
      <c r="Q381" s="220">
        <f t="shared" si="2"/>
        <v>-1</v>
      </c>
      <c r="R381" s="5"/>
    </row>
    <row r="382">
      <c r="A382" s="221" t="s">
        <v>1317</v>
      </c>
      <c r="B382" s="217">
        <f t="array" ref="B382">INDEX(postDEL!$A$2:$P799,$O382,2)</f>
        <v>44609</v>
      </c>
      <c r="C382" s="218">
        <f t="array" ref="C382">INDEX(postDEL!$A$2:$P799,$O382,3)</f>
        <v>0.2828240741</v>
      </c>
      <c r="D382" s="219" t="str">
        <f t="array" ref="D382">INDEX(postDEL!$A$2:$AN799,$O382,39)</f>
        <v>SpBEND982195</v>
      </c>
      <c r="E382" s="219" t="str">
        <f t="array" ref="E382">INDEX(postDEL!$A$2:$P799,$O382,4)</f>
        <v/>
      </c>
      <c r="F382" s="219" t="str">
        <f t="array" ref="F382">INDEX(postDEL!$A$2:$P799,$O382,5)</f>
        <v/>
      </c>
      <c r="G382" s="219" t="str">
        <f t="array" ref="G382">INDEX(postDEL!$A$2:$P799,$O382,11)</f>
        <v>Negative</v>
      </c>
      <c r="H382" s="219" t="str">
        <f t="array" ref="H382">INDEX(postDEL!$A$2:$AL799,$O382,37)</f>
        <v>Negative</v>
      </c>
      <c r="I382" s="217">
        <f t="array" ref="I382">INDEX(postDEL!$A$2:$AL799,$O382,12)</f>
        <v>44611</v>
      </c>
      <c r="J382" s="218">
        <f t="array" ref="J382">INDEX(postDEL!$A$2:$AL799,$O382,13)</f>
        <v>0.3895601852</v>
      </c>
      <c r="K382" s="219" t="str">
        <f t="array" ref="K382">INDEX(postDEL!$A$2:$AL799,$O382,36)</f>
        <v/>
      </c>
      <c r="L382" s="219" t="str">
        <f t="array" ref="L382">INDEX(postDEL!$A$2:$AL799,$O382,38)</f>
        <v/>
      </c>
      <c r="M382" s="219" t="str">
        <f t="array" ref="M382">INDEX(postDEL!$A$2:$AL799,$O382,15)</f>
        <v/>
      </c>
      <c r="N382" s="110">
        <f>COUNTIF(postDEL!$A$2:$A799,A382)</f>
        <v>1</v>
      </c>
      <c r="O382" s="19">
        <f>MATCH(A382,postDEL!A$2:A799,0)</f>
        <v>381</v>
      </c>
      <c r="P382" s="10" t="b">
        <f t="shared" si="1"/>
        <v>1</v>
      </c>
      <c r="Q382" s="220">
        <f t="shared" si="2"/>
        <v>2</v>
      </c>
      <c r="R382" s="5"/>
    </row>
    <row r="383">
      <c r="A383" s="221" t="s">
        <v>1319</v>
      </c>
      <c r="B383" s="217">
        <f t="array" ref="B383">INDEX(postDEL!$A$2:$P799,$O383,2)</f>
        <v>44609</v>
      </c>
      <c r="C383" s="218">
        <f t="array" ref="C383">INDEX(postDEL!$A$2:$P799,$O383,3)</f>
        <v>0.2925578704</v>
      </c>
      <c r="D383" s="219" t="str">
        <f t="array" ref="D383">INDEX(postDEL!$A$2:$AN799,$O383,39)</f>
        <v>SpBEND264858</v>
      </c>
      <c r="E383" s="219" t="str">
        <f t="array" ref="E383">INDEX(postDEL!$A$2:$P799,$O383,4)</f>
        <v/>
      </c>
      <c r="F383" s="219" t="str">
        <f t="array" ref="F383">INDEX(postDEL!$A$2:$P799,$O383,5)</f>
        <v/>
      </c>
      <c r="G383" s="219" t="str">
        <f t="array" ref="G383">INDEX(postDEL!$A$2:$P799,$O383,11)</f>
        <v>Negative</v>
      </c>
      <c r="H383" s="219" t="str">
        <f t="array" ref="H383">INDEX(postDEL!$A$2:$AL799,$O383,37)</f>
        <v>Negative</v>
      </c>
      <c r="I383" s="217">
        <f t="array" ref="I383">INDEX(postDEL!$A$2:$AL799,$O383,12)</f>
        <v>44611</v>
      </c>
      <c r="J383" s="218">
        <f t="array" ref="J383">INDEX(postDEL!$A$2:$AL799,$O383,13)</f>
        <v>0.3895601852</v>
      </c>
      <c r="K383" s="219" t="str">
        <f t="array" ref="K383">INDEX(postDEL!$A$2:$AL799,$O383,36)</f>
        <v/>
      </c>
      <c r="L383" s="219" t="str">
        <f t="array" ref="L383">INDEX(postDEL!$A$2:$AL799,$O383,38)</f>
        <v/>
      </c>
      <c r="M383" s="219" t="str">
        <f t="array" ref="M383">INDEX(postDEL!$A$2:$AL799,$O383,15)</f>
        <v/>
      </c>
      <c r="N383" s="110">
        <f>COUNTIF(postDEL!$A$2:$A799,A383)</f>
        <v>1</v>
      </c>
      <c r="O383" s="19">
        <f>MATCH(A383,postDEL!A$2:A799,0)</f>
        <v>382</v>
      </c>
      <c r="P383" s="10" t="str">
        <f t="shared" si="1"/>
        <v/>
      </c>
      <c r="Q383" s="220">
        <f t="shared" si="2"/>
        <v>2</v>
      </c>
      <c r="R383" s="5"/>
    </row>
    <row r="384">
      <c r="A384" s="221" t="s">
        <v>1321</v>
      </c>
      <c r="B384" s="217">
        <f t="array" ref="B384">INDEX(postDEL!$A$2:$P799,$O384,2)</f>
        <v>44609</v>
      </c>
      <c r="C384" s="218">
        <f t="array" ref="C384">INDEX(postDEL!$A$2:$P799,$O384,3)</f>
        <v>0.2935185185</v>
      </c>
      <c r="D384" s="219" t="str">
        <f t="array" ref="D384">INDEX(postDEL!$A$2:$AN799,$O384,39)</f>
        <v>SpBEND394154</v>
      </c>
      <c r="E384" s="219" t="str">
        <f t="array" ref="E384">INDEX(postDEL!$A$2:$P799,$O384,4)</f>
        <v/>
      </c>
      <c r="F384" s="219" t="str">
        <f t="array" ref="F384">INDEX(postDEL!$A$2:$P799,$O384,5)</f>
        <v/>
      </c>
      <c r="G384" s="219" t="str">
        <f t="array" ref="G384">INDEX(postDEL!$A$2:$P799,$O384,11)</f>
        <v>Negative</v>
      </c>
      <c r="H384" s="219" t="str">
        <f t="array" ref="H384">INDEX(postDEL!$A$2:$AL799,$O384,37)</f>
        <v>Negative</v>
      </c>
      <c r="I384" s="217">
        <f t="array" ref="I384">INDEX(postDEL!$A$2:$AL799,$O384,12)</f>
        <v>44611</v>
      </c>
      <c r="J384" s="218">
        <f t="array" ref="J384">INDEX(postDEL!$A$2:$AL799,$O384,13)</f>
        <v>0.3895601852</v>
      </c>
      <c r="K384" s="219" t="str">
        <f t="array" ref="K384">INDEX(postDEL!$A$2:$AL799,$O384,36)</f>
        <v/>
      </c>
      <c r="L384" s="219" t="str">
        <f t="array" ref="L384">INDEX(postDEL!$A$2:$AL799,$O384,38)</f>
        <v/>
      </c>
      <c r="M384" s="219" t="str">
        <f t="array" ref="M384">INDEX(postDEL!$A$2:$AL799,$O384,15)</f>
        <v/>
      </c>
      <c r="N384" s="110">
        <f>COUNTIF(postDEL!$A$2:$A799,A384)</f>
        <v>1</v>
      </c>
      <c r="O384" s="19">
        <f>MATCH(A384,postDEL!A$2:A799,0)</f>
        <v>383</v>
      </c>
      <c r="P384" s="10" t="str">
        <f t="shared" si="1"/>
        <v/>
      </c>
      <c r="Q384" s="220">
        <f t="shared" si="2"/>
        <v>2</v>
      </c>
      <c r="R384" s="5"/>
    </row>
    <row r="385">
      <c r="A385" s="221" t="s">
        <v>1323</v>
      </c>
      <c r="B385" s="217">
        <f t="array" ref="B385">INDEX(postDEL!$A$2:$P799,$O385,2)</f>
        <v>44609</v>
      </c>
      <c r="C385" s="218">
        <f t="array" ref="C385">INDEX(postDEL!$A$2:$P799,$O385,3)</f>
        <v>0.2938541667</v>
      </c>
      <c r="D385" s="219" t="str">
        <f t="array" ref="D385">INDEX(postDEL!$A$2:$AN799,$O385,39)</f>
        <v>SpBEND394154</v>
      </c>
      <c r="E385" s="219" t="str">
        <f t="array" ref="E385">INDEX(postDEL!$A$2:$P799,$O385,4)</f>
        <v/>
      </c>
      <c r="F385" s="219" t="str">
        <f t="array" ref="F385">INDEX(postDEL!$A$2:$P799,$O385,5)</f>
        <v/>
      </c>
      <c r="G385" s="219" t="str">
        <f t="array" ref="G385">INDEX(postDEL!$A$2:$P799,$O385,11)</f>
        <v>Negative</v>
      </c>
      <c r="H385" s="219" t="str">
        <f t="array" ref="H385">INDEX(postDEL!$A$2:$AL799,$O385,37)</f>
        <v>Negative</v>
      </c>
      <c r="I385" s="217">
        <f t="array" ref="I385">INDEX(postDEL!$A$2:$AL799,$O385,12)</f>
        <v>44611</v>
      </c>
      <c r="J385" s="218">
        <f t="array" ref="J385">INDEX(postDEL!$A$2:$AL799,$O385,13)</f>
        <v>0.3895601852</v>
      </c>
      <c r="K385" s="219" t="str">
        <f t="array" ref="K385">INDEX(postDEL!$A$2:$AL799,$O385,36)</f>
        <v/>
      </c>
      <c r="L385" s="219" t="str">
        <f t="array" ref="L385">INDEX(postDEL!$A$2:$AL799,$O385,38)</f>
        <v/>
      </c>
      <c r="M385" s="219" t="str">
        <f t="array" ref="M385">INDEX(postDEL!$A$2:$AL799,$O385,15)</f>
        <v/>
      </c>
      <c r="N385" s="110">
        <f>COUNTIF(postDEL!$A$2:$A799,A385)</f>
        <v>1</v>
      </c>
      <c r="O385" s="19">
        <f>MATCH(A385,postDEL!A$2:A799,0)</f>
        <v>384</v>
      </c>
      <c r="P385" s="10" t="str">
        <f t="shared" si="1"/>
        <v/>
      </c>
      <c r="Q385" s="220">
        <f t="shared" si="2"/>
        <v>2</v>
      </c>
      <c r="R385" s="5"/>
    </row>
    <row r="386">
      <c r="A386" s="221" t="s">
        <v>1325</v>
      </c>
      <c r="B386" s="217">
        <f t="array" ref="B386">INDEX(postDEL!$A$2:$P799,$O386,2)</f>
        <v>44609</v>
      </c>
      <c r="C386" s="218">
        <f t="array" ref="C386">INDEX(postDEL!$A$2:$P799,$O386,3)</f>
        <v>0.2951736111</v>
      </c>
      <c r="D386" s="219" t="str">
        <f t="array" ref="D386">INDEX(postDEL!$A$2:$AN799,$O386,39)</f>
        <v>SpBEND394154</v>
      </c>
      <c r="E386" s="219" t="str">
        <f t="array" ref="E386">INDEX(postDEL!$A$2:$P799,$O386,4)</f>
        <v/>
      </c>
      <c r="F386" s="219" t="str">
        <f t="array" ref="F386">INDEX(postDEL!$A$2:$P799,$O386,5)</f>
        <v/>
      </c>
      <c r="G386" s="219" t="str">
        <f t="array" ref="G386">INDEX(postDEL!$A$2:$P799,$O386,11)</f>
        <v>Negative</v>
      </c>
      <c r="H386" s="219" t="str">
        <f t="array" ref="H386">INDEX(postDEL!$A$2:$AL799,$O386,37)</f>
        <v>Negative</v>
      </c>
      <c r="I386" s="217">
        <f t="array" ref="I386">INDEX(postDEL!$A$2:$AL799,$O386,12)</f>
        <v>44611</v>
      </c>
      <c r="J386" s="218">
        <f t="array" ref="J386">INDEX(postDEL!$A$2:$AL799,$O386,13)</f>
        <v>0.3895601852</v>
      </c>
      <c r="K386" s="219" t="str">
        <f t="array" ref="K386">INDEX(postDEL!$A$2:$AL799,$O386,36)</f>
        <v/>
      </c>
      <c r="L386" s="219" t="str">
        <f t="array" ref="L386">INDEX(postDEL!$A$2:$AL799,$O386,38)</f>
        <v/>
      </c>
      <c r="M386" s="219" t="str">
        <f t="array" ref="M386">INDEX(postDEL!$A$2:$AL799,$O386,15)</f>
        <v/>
      </c>
      <c r="N386" s="110">
        <f>COUNTIF(postDEL!$A$2:$A799,A386)</f>
        <v>1</v>
      </c>
      <c r="O386" s="19">
        <f>MATCH(A386,postDEL!A$2:A799,0)</f>
        <v>385</v>
      </c>
      <c r="P386" s="10" t="str">
        <f t="shared" si="1"/>
        <v/>
      </c>
      <c r="Q386" s="220">
        <f t="shared" si="2"/>
        <v>2</v>
      </c>
      <c r="R386" s="5"/>
    </row>
    <row r="387">
      <c r="A387" s="221" t="s">
        <v>1327</v>
      </c>
      <c r="B387" s="217">
        <f t="array" ref="B387">INDEX(postDEL!$A$2:$P799,$O387,2)</f>
        <v>44609</v>
      </c>
      <c r="C387" s="218">
        <f t="array" ref="C387">INDEX(postDEL!$A$2:$P799,$O387,3)</f>
        <v>0.3042824074</v>
      </c>
      <c r="D387" s="219" t="str">
        <f t="array" ref="D387">INDEX(postDEL!$A$2:$AN799,$O387,39)</f>
        <v>SpBEND349435</v>
      </c>
      <c r="E387" s="219" t="str">
        <f t="array" ref="E387">INDEX(postDEL!$A$2:$P799,$O387,4)</f>
        <v/>
      </c>
      <c r="F387" s="219" t="str">
        <f t="array" ref="F387">INDEX(postDEL!$A$2:$P799,$O387,5)</f>
        <v/>
      </c>
      <c r="G387" s="219" t="str">
        <f t="array" ref="G387">INDEX(postDEL!$A$2:$P799,$O387,11)</f>
        <v>Negative</v>
      </c>
      <c r="H387" s="219" t="str">
        <f t="array" ref="H387">INDEX(postDEL!$A$2:$AL799,$O387,37)</f>
        <v>Negative</v>
      </c>
      <c r="I387" s="217">
        <f t="array" ref="I387">INDEX(postDEL!$A$2:$AL799,$O387,12)</f>
        <v>44611</v>
      </c>
      <c r="J387" s="218">
        <f t="array" ref="J387">INDEX(postDEL!$A$2:$AL799,$O387,13)</f>
        <v>0.3895601852</v>
      </c>
      <c r="K387" s="219" t="str">
        <f t="array" ref="K387">INDEX(postDEL!$A$2:$AL799,$O387,36)</f>
        <v/>
      </c>
      <c r="L387" s="219" t="str">
        <f t="array" ref="L387">INDEX(postDEL!$A$2:$AL799,$O387,38)</f>
        <v/>
      </c>
      <c r="M387" s="219" t="str">
        <f t="array" ref="M387">INDEX(postDEL!$A$2:$AL799,$O387,15)</f>
        <v/>
      </c>
      <c r="N387" s="110">
        <f>COUNTIF(postDEL!$A$2:$A799,A387)</f>
        <v>1</v>
      </c>
      <c r="O387" s="19">
        <f>MATCH(A387,postDEL!A$2:A799,0)</f>
        <v>386</v>
      </c>
      <c r="P387" s="10" t="str">
        <f t="shared" si="1"/>
        <v/>
      </c>
      <c r="Q387" s="220">
        <f t="shared" si="2"/>
        <v>2</v>
      </c>
      <c r="R387" s="5"/>
    </row>
    <row r="388">
      <c r="A388" s="221" t="s">
        <v>1329</v>
      </c>
      <c r="B388" s="217">
        <f t="array" ref="B388">INDEX(postDEL!$A$2:$P799,$O388,2)</f>
        <v>44609</v>
      </c>
      <c r="C388" s="218">
        <f t="array" ref="C388">INDEX(postDEL!$A$2:$P799,$O388,3)</f>
        <v>0.3059953704</v>
      </c>
      <c r="D388" s="219" t="str">
        <f t="array" ref="D388">INDEX(postDEL!$A$2:$AN799,$O388,39)</f>
        <v>SpBEND481988</v>
      </c>
      <c r="E388" s="219" t="str">
        <f t="array" ref="E388">INDEX(postDEL!$A$2:$P799,$O388,4)</f>
        <v/>
      </c>
      <c r="F388" s="219" t="str">
        <f t="array" ref="F388">INDEX(postDEL!$A$2:$P799,$O388,5)</f>
        <v/>
      </c>
      <c r="G388" s="219" t="str">
        <f t="array" ref="G388">INDEX(postDEL!$A$2:$P799,$O388,11)</f>
        <v>Negative</v>
      </c>
      <c r="H388" s="219" t="str">
        <f t="array" ref="H388">INDEX(postDEL!$A$2:$AL799,$O388,37)</f>
        <v>Negative</v>
      </c>
      <c r="I388" s="217">
        <f t="array" ref="I388">INDEX(postDEL!$A$2:$AL799,$O388,12)</f>
        <v>44611</v>
      </c>
      <c r="J388" s="218">
        <f t="array" ref="J388">INDEX(postDEL!$A$2:$AL799,$O388,13)</f>
        <v>0.3895717593</v>
      </c>
      <c r="K388" s="219" t="str">
        <f t="array" ref="K388">INDEX(postDEL!$A$2:$AL799,$O388,36)</f>
        <v/>
      </c>
      <c r="L388" s="219" t="str">
        <f t="array" ref="L388">INDEX(postDEL!$A$2:$AL799,$O388,38)</f>
        <v/>
      </c>
      <c r="M388" s="219" t="str">
        <f t="array" ref="M388">INDEX(postDEL!$A$2:$AL799,$O388,15)</f>
        <v/>
      </c>
      <c r="N388" s="110">
        <f>COUNTIF(postDEL!$A$2:$A799,A388)</f>
        <v>1</v>
      </c>
      <c r="O388" s="19">
        <f>MATCH(A388,postDEL!A$2:A799,0)</f>
        <v>387</v>
      </c>
      <c r="P388" s="10" t="str">
        <f t="shared" si="1"/>
        <v/>
      </c>
      <c r="Q388" s="220">
        <f t="shared" si="2"/>
        <v>2</v>
      </c>
      <c r="R388" s="5"/>
    </row>
    <row r="389">
      <c r="A389" s="221" t="s">
        <v>1331</v>
      </c>
      <c r="B389" s="217">
        <f t="array" ref="B389">INDEX(postDEL!$A$2:$P799,$O389,2)</f>
        <v>44609</v>
      </c>
      <c r="C389" s="218">
        <f t="array" ref="C389">INDEX(postDEL!$A$2:$P799,$O389,3)</f>
        <v>0.3083680556</v>
      </c>
      <c r="D389" s="219" t="str">
        <f t="array" ref="D389">INDEX(postDEL!$A$2:$AN799,$O389,39)</f>
        <v>SpBEND541174</v>
      </c>
      <c r="E389" s="219" t="str">
        <f t="array" ref="E389">INDEX(postDEL!$A$2:$P799,$O389,4)</f>
        <v/>
      </c>
      <c r="F389" s="219" t="str">
        <f t="array" ref="F389">INDEX(postDEL!$A$2:$P799,$O389,5)</f>
        <v/>
      </c>
      <c r="G389" s="219" t="str">
        <f t="array" ref="G389">INDEX(postDEL!$A$2:$P799,$O389,11)</f>
        <v>Negative</v>
      </c>
      <c r="H389" s="219" t="str">
        <f t="array" ref="H389">INDEX(postDEL!$A$2:$AL799,$O389,37)</f>
        <v>Negative</v>
      </c>
      <c r="I389" s="217">
        <f t="array" ref="I389">INDEX(postDEL!$A$2:$AL799,$O389,12)</f>
        <v>44611</v>
      </c>
      <c r="J389" s="218">
        <f t="array" ref="J389">INDEX(postDEL!$A$2:$AL799,$O389,13)</f>
        <v>0.3895717593</v>
      </c>
      <c r="K389" s="219" t="str">
        <f t="array" ref="K389">INDEX(postDEL!$A$2:$AL799,$O389,36)</f>
        <v/>
      </c>
      <c r="L389" s="219" t="str">
        <f t="array" ref="L389">INDEX(postDEL!$A$2:$AL799,$O389,38)</f>
        <v/>
      </c>
      <c r="M389" s="219" t="str">
        <f t="array" ref="M389">INDEX(postDEL!$A$2:$AL799,$O389,15)</f>
        <v/>
      </c>
      <c r="N389" s="110">
        <f>COUNTIF(postDEL!$A$2:$A799,A389)</f>
        <v>1</v>
      </c>
      <c r="O389" s="19">
        <f>MATCH(A389,postDEL!A$2:A799,0)</f>
        <v>388</v>
      </c>
      <c r="P389" s="10" t="str">
        <f t="shared" si="1"/>
        <v/>
      </c>
      <c r="Q389" s="220">
        <f t="shared" si="2"/>
        <v>2</v>
      </c>
      <c r="R389" s="5"/>
    </row>
    <row r="390">
      <c r="A390" s="221" t="s">
        <v>1333</v>
      </c>
      <c r="B390" s="217">
        <f t="array" ref="B390">INDEX(postDEL!$A$2:$P799,$O390,2)</f>
        <v>44609</v>
      </c>
      <c r="C390" s="218">
        <f t="array" ref="C390">INDEX(postDEL!$A$2:$P799,$O390,3)</f>
        <v>0.3095833333</v>
      </c>
      <c r="D390" s="219" t="str">
        <f t="array" ref="D390">INDEX(postDEL!$A$2:$AN799,$O390,39)</f>
        <v>SpBEND292213</v>
      </c>
      <c r="E390" s="219" t="str">
        <f t="array" ref="E390">INDEX(postDEL!$A$2:$P799,$O390,4)</f>
        <v/>
      </c>
      <c r="F390" s="219" t="str">
        <f t="array" ref="F390">INDEX(postDEL!$A$2:$P799,$O390,5)</f>
        <v/>
      </c>
      <c r="G390" s="219" t="str">
        <f t="array" ref="G390">INDEX(postDEL!$A$2:$P799,$O390,11)</f>
        <v>Negative</v>
      </c>
      <c r="H390" s="219" t="str">
        <f t="array" ref="H390">INDEX(postDEL!$A$2:$AL799,$O390,37)</f>
        <v>Negative</v>
      </c>
      <c r="I390" s="217">
        <f t="array" ref="I390">INDEX(postDEL!$A$2:$AL799,$O390,12)</f>
        <v>44611</v>
      </c>
      <c r="J390" s="218">
        <f t="array" ref="J390">INDEX(postDEL!$A$2:$AL799,$O390,13)</f>
        <v>0.3895717593</v>
      </c>
      <c r="K390" s="219" t="str">
        <f t="array" ref="K390">INDEX(postDEL!$A$2:$AL799,$O390,36)</f>
        <v/>
      </c>
      <c r="L390" s="219" t="str">
        <f t="array" ref="L390">INDEX(postDEL!$A$2:$AL799,$O390,38)</f>
        <v/>
      </c>
      <c r="M390" s="219" t="str">
        <f t="array" ref="M390">INDEX(postDEL!$A$2:$AL799,$O390,15)</f>
        <v/>
      </c>
      <c r="N390" s="110">
        <f>COUNTIF(postDEL!$A$2:$A799,A390)</f>
        <v>1</v>
      </c>
      <c r="O390" s="19">
        <f>MATCH(A390,postDEL!A$2:A799,0)</f>
        <v>389</v>
      </c>
      <c r="P390" s="10" t="str">
        <f t="shared" si="1"/>
        <v/>
      </c>
      <c r="Q390" s="220">
        <f t="shared" si="2"/>
        <v>2</v>
      </c>
      <c r="R390" s="5"/>
    </row>
    <row r="391">
      <c r="A391" s="221" t="s">
        <v>1337</v>
      </c>
      <c r="B391" s="217">
        <f t="array" ref="B391">INDEX(postDEL!$A$2:$P799,$O391,2)</f>
        <v>44609</v>
      </c>
      <c r="C391" s="218">
        <f t="array" ref="C391">INDEX(postDEL!$A$2:$P799,$O391,3)</f>
        <v>0.3115625</v>
      </c>
      <c r="D391" s="219" t="str">
        <f t="array" ref="D391">INDEX(postDEL!$A$2:$AN799,$O391,39)</f>
        <v>SpBEND953422</v>
      </c>
      <c r="E391" s="219" t="str">
        <f t="array" ref="E391">INDEX(postDEL!$A$2:$P799,$O391,4)</f>
        <v/>
      </c>
      <c r="F391" s="219" t="str">
        <f t="array" ref="F391">INDEX(postDEL!$A$2:$P799,$O391,5)</f>
        <v/>
      </c>
      <c r="G391" s="219" t="str">
        <f t="array" ref="G391">INDEX(postDEL!$A$2:$P799,$O391,11)</f>
        <v>Negative</v>
      </c>
      <c r="H391" s="219" t="str">
        <f t="array" ref="H391">INDEX(postDEL!$A$2:$AL799,$O391,37)</f>
        <v>Negative</v>
      </c>
      <c r="I391" s="217">
        <f t="array" ref="I391">INDEX(postDEL!$A$2:$AL799,$O391,12)</f>
        <v>44611</v>
      </c>
      <c r="J391" s="218">
        <f t="array" ref="J391">INDEX(postDEL!$A$2:$AL799,$O391,13)</f>
        <v>0.3895717593</v>
      </c>
      <c r="K391" s="219" t="str">
        <f t="array" ref="K391">INDEX(postDEL!$A$2:$AL799,$O391,36)</f>
        <v/>
      </c>
      <c r="L391" s="219" t="str">
        <f t="array" ref="L391">INDEX(postDEL!$A$2:$AL799,$O391,38)</f>
        <v/>
      </c>
      <c r="M391" s="219" t="str">
        <f t="array" ref="M391">INDEX(postDEL!$A$2:$AL799,$O391,15)</f>
        <v/>
      </c>
      <c r="N391" s="110">
        <f>COUNTIF(postDEL!$A$2:$A799,A391)</f>
        <v>1</v>
      </c>
      <c r="O391" s="19">
        <f>MATCH(A391,postDEL!A$2:A799,0)</f>
        <v>390</v>
      </c>
      <c r="P391" s="10" t="str">
        <f t="shared" si="1"/>
        <v/>
      </c>
      <c r="Q391" s="220">
        <f t="shared" si="2"/>
        <v>2</v>
      </c>
      <c r="R391" s="5"/>
    </row>
    <row r="392">
      <c r="A392" s="221" t="s">
        <v>1339</v>
      </c>
      <c r="B392" s="217">
        <f t="array" ref="B392">INDEX(postDEL!$A$2:$P799,$O392,2)</f>
        <v>44609</v>
      </c>
      <c r="C392" s="218">
        <f t="array" ref="C392">INDEX(postDEL!$A$2:$P799,$O392,3)</f>
        <v>0.3116898148</v>
      </c>
      <c r="D392" s="219" t="str">
        <f t="array" ref="D392">INDEX(postDEL!$A$2:$AN799,$O392,39)</f>
        <v>SpBEND842248</v>
      </c>
      <c r="E392" s="219" t="str">
        <f t="array" ref="E392">INDEX(postDEL!$A$2:$P799,$O392,4)</f>
        <v/>
      </c>
      <c r="F392" s="219" t="str">
        <f t="array" ref="F392">INDEX(postDEL!$A$2:$P799,$O392,5)</f>
        <v/>
      </c>
      <c r="G392" s="219" t="str">
        <f t="array" ref="G392">INDEX(postDEL!$A$2:$P799,$O392,11)</f>
        <v>Negative</v>
      </c>
      <c r="H392" s="219" t="str">
        <f t="array" ref="H392">INDEX(postDEL!$A$2:$AL799,$O392,37)</f>
        <v>Negative</v>
      </c>
      <c r="I392" s="217">
        <f t="array" ref="I392">INDEX(postDEL!$A$2:$AL799,$O392,12)</f>
        <v>44611</v>
      </c>
      <c r="J392" s="218">
        <f t="array" ref="J392">INDEX(postDEL!$A$2:$AL799,$O392,13)</f>
        <v>0.3895717593</v>
      </c>
      <c r="K392" s="219" t="str">
        <f t="array" ref="K392">INDEX(postDEL!$A$2:$AL799,$O392,36)</f>
        <v/>
      </c>
      <c r="L392" s="219" t="str">
        <f t="array" ref="L392">INDEX(postDEL!$A$2:$AL799,$O392,38)</f>
        <v/>
      </c>
      <c r="M392" s="219" t="str">
        <f t="array" ref="M392">INDEX(postDEL!$A$2:$AL799,$O392,15)</f>
        <v/>
      </c>
      <c r="N392" s="110">
        <f>COUNTIF(postDEL!$A$2:$A799,A392)</f>
        <v>1</v>
      </c>
      <c r="O392" s="19">
        <f>MATCH(A392,postDEL!A$2:A799,0)</f>
        <v>391</v>
      </c>
      <c r="P392" s="10" t="str">
        <f t="shared" si="1"/>
        <v/>
      </c>
      <c r="Q392" s="220">
        <f t="shared" si="2"/>
        <v>2</v>
      </c>
      <c r="R392" s="5"/>
    </row>
    <row r="393">
      <c r="A393" s="221" t="s">
        <v>1341</v>
      </c>
      <c r="B393" s="217">
        <f t="array" ref="B393">INDEX(postDEL!$A$2:$P799,$O393,2)</f>
        <v>44609</v>
      </c>
      <c r="C393" s="218">
        <f t="array" ref="C393">INDEX(postDEL!$A$2:$P799,$O393,3)</f>
        <v>0.3155902778</v>
      </c>
      <c r="D393" s="219" t="str">
        <f t="array" ref="D393">INDEX(postDEL!$A$2:$AN799,$O393,39)</f>
        <v>SpBEND584950</v>
      </c>
      <c r="E393" s="219" t="str">
        <f t="array" ref="E393">INDEX(postDEL!$A$2:$P799,$O393,4)</f>
        <v/>
      </c>
      <c r="F393" s="219" t="str">
        <f t="array" ref="F393">INDEX(postDEL!$A$2:$P799,$O393,5)</f>
        <v/>
      </c>
      <c r="G393" s="219" t="str">
        <f t="array" ref="G393">INDEX(postDEL!$A$2:$P799,$O393,11)</f>
        <v>Negative</v>
      </c>
      <c r="H393" s="219" t="str">
        <f t="array" ref="H393">INDEX(postDEL!$A$2:$AL799,$O393,37)</f>
        <v>Negative</v>
      </c>
      <c r="I393" s="217">
        <f t="array" ref="I393">INDEX(postDEL!$A$2:$AL799,$O393,12)</f>
        <v>44611</v>
      </c>
      <c r="J393" s="218">
        <f t="array" ref="J393">INDEX(postDEL!$A$2:$AL799,$O393,13)</f>
        <v>0.3895717593</v>
      </c>
      <c r="K393" s="219" t="str">
        <f t="array" ref="K393">INDEX(postDEL!$A$2:$AL799,$O393,36)</f>
        <v/>
      </c>
      <c r="L393" s="219" t="str">
        <f t="array" ref="L393">INDEX(postDEL!$A$2:$AL799,$O393,38)</f>
        <v/>
      </c>
      <c r="M393" s="219" t="str">
        <f t="array" ref="M393">INDEX(postDEL!$A$2:$AL799,$O393,15)</f>
        <v/>
      </c>
      <c r="N393" s="110">
        <f>COUNTIF(postDEL!$A$2:$A799,A393)</f>
        <v>1</v>
      </c>
      <c r="O393" s="19">
        <f>MATCH(A393,postDEL!A$2:A799,0)</f>
        <v>392</v>
      </c>
      <c r="P393" s="10" t="str">
        <f t="shared" si="1"/>
        <v/>
      </c>
      <c r="Q393" s="220">
        <f t="shared" si="2"/>
        <v>2</v>
      </c>
      <c r="R393" s="5"/>
    </row>
    <row r="394">
      <c r="A394" s="221" t="s">
        <v>1345</v>
      </c>
      <c r="B394" s="217">
        <f t="array" ref="B394">INDEX(postDEL!$A$2:$P799,$O394,2)</f>
        <v>44609</v>
      </c>
      <c r="C394" s="218">
        <f t="array" ref="C394">INDEX(postDEL!$A$2:$P799,$O394,3)</f>
        <v>0.3156365741</v>
      </c>
      <c r="D394" s="219" t="str">
        <f t="array" ref="D394">INDEX(postDEL!$A$2:$AN799,$O394,39)</f>
        <v>SpBEND492052</v>
      </c>
      <c r="E394" s="219" t="str">
        <f t="array" ref="E394">INDEX(postDEL!$A$2:$P799,$O394,4)</f>
        <v/>
      </c>
      <c r="F394" s="219" t="str">
        <f t="array" ref="F394">INDEX(postDEL!$A$2:$P799,$O394,5)</f>
        <v/>
      </c>
      <c r="G394" s="219" t="str">
        <f t="array" ref="G394">INDEX(postDEL!$A$2:$P799,$O394,11)</f>
        <v>Negative</v>
      </c>
      <c r="H394" s="219" t="str">
        <f t="array" ref="H394">INDEX(postDEL!$A$2:$AL799,$O394,37)</f>
        <v>Negative</v>
      </c>
      <c r="I394" s="217">
        <f t="array" ref="I394">INDEX(postDEL!$A$2:$AL799,$O394,12)</f>
        <v>44611</v>
      </c>
      <c r="J394" s="218">
        <f t="array" ref="J394">INDEX(postDEL!$A$2:$AL799,$O394,13)</f>
        <v>0.3895717593</v>
      </c>
      <c r="K394" s="219" t="str">
        <f t="array" ref="K394">INDEX(postDEL!$A$2:$AL799,$O394,36)</f>
        <v/>
      </c>
      <c r="L394" s="219" t="str">
        <f t="array" ref="L394">INDEX(postDEL!$A$2:$AL799,$O394,38)</f>
        <v/>
      </c>
      <c r="M394" s="219" t="str">
        <f t="array" ref="M394">INDEX(postDEL!$A$2:$AL799,$O394,15)</f>
        <v/>
      </c>
      <c r="N394" s="110">
        <f>COUNTIF(postDEL!$A$2:$A799,A394)</f>
        <v>1</v>
      </c>
      <c r="O394" s="19">
        <f>MATCH(A394,postDEL!A$2:A799,0)</f>
        <v>393</v>
      </c>
      <c r="P394" s="10" t="str">
        <f t="shared" si="1"/>
        <v/>
      </c>
      <c r="Q394" s="220">
        <f t="shared" si="2"/>
        <v>2</v>
      </c>
      <c r="R394" s="5"/>
    </row>
    <row r="395">
      <c r="A395" s="221" t="s">
        <v>1347</v>
      </c>
      <c r="B395" s="217">
        <f t="array" ref="B395">INDEX(postDEL!$A$2:$P799,$O395,2)</f>
        <v>44609</v>
      </c>
      <c r="C395" s="218">
        <f t="array" ref="C395">INDEX(postDEL!$A$2:$P799,$O395,3)</f>
        <v>0.3160300926</v>
      </c>
      <c r="D395" s="219" t="str">
        <f t="array" ref="D395">INDEX(postDEL!$A$2:$AN799,$O395,39)</f>
        <v>SpBEND305944</v>
      </c>
      <c r="E395" s="219" t="str">
        <f t="array" ref="E395">INDEX(postDEL!$A$2:$P799,$O395,4)</f>
        <v/>
      </c>
      <c r="F395" s="219" t="str">
        <f t="array" ref="F395">INDEX(postDEL!$A$2:$P799,$O395,5)</f>
        <v/>
      </c>
      <c r="G395" s="219" t="str">
        <f t="array" ref="G395">INDEX(postDEL!$A$2:$P799,$O395,11)</f>
        <v>Negative</v>
      </c>
      <c r="H395" s="219" t="str">
        <f t="array" ref="H395">INDEX(postDEL!$A$2:$AL799,$O395,37)</f>
        <v>Negative</v>
      </c>
      <c r="I395" s="217">
        <f t="array" ref="I395">INDEX(postDEL!$A$2:$AL799,$O395,12)</f>
        <v>44611</v>
      </c>
      <c r="J395" s="218">
        <f t="array" ref="J395">INDEX(postDEL!$A$2:$AL799,$O395,13)</f>
        <v>0.3895717593</v>
      </c>
      <c r="K395" s="219" t="str">
        <f t="array" ref="K395">INDEX(postDEL!$A$2:$AL799,$O395,36)</f>
        <v/>
      </c>
      <c r="L395" s="219" t="str">
        <f t="array" ref="L395">INDEX(postDEL!$A$2:$AL799,$O395,38)</f>
        <v/>
      </c>
      <c r="M395" s="219" t="str">
        <f t="array" ref="M395">INDEX(postDEL!$A$2:$AL799,$O395,15)</f>
        <v/>
      </c>
      <c r="N395" s="110">
        <f>COUNTIF(postDEL!$A$2:$A799,A395)</f>
        <v>1</v>
      </c>
      <c r="O395" s="19">
        <f>MATCH(A395,postDEL!A$2:A799,0)</f>
        <v>394</v>
      </c>
      <c r="P395" s="10" t="str">
        <f t="shared" si="1"/>
        <v/>
      </c>
      <c r="Q395" s="220">
        <f t="shared" si="2"/>
        <v>2</v>
      </c>
      <c r="R395" s="5"/>
    </row>
    <row r="396">
      <c r="A396" s="221" t="s">
        <v>1349</v>
      </c>
      <c r="B396" s="217">
        <f t="array" ref="B396">INDEX(postDEL!$A$2:$P799,$O396,2)</f>
        <v>44609</v>
      </c>
      <c r="C396" s="218">
        <f t="array" ref="C396">INDEX(postDEL!$A$2:$P799,$O396,3)</f>
        <v>0.3175347222</v>
      </c>
      <c r="D396" s="219" t="str">
        <f t="array" ref="D396">INDEX(postDEL!$A$2:$AN799,$O396,39)</f>
        <v>SpBEND825522</v>
      </c>
      <c r="E396" s="219" t="str">
        <f t="array" ref="E396">INDEX(postDEL!$A$2:$P799,$O396,4)</f>
        <v/>
      </c>
      <c r="F396" s="219" t="str">
        <f t="array" ref="F396">INDEX(postDEL!$A$2:$P799,$O396,5)</f>
        <v/>
      </c>
      <c r="G396" s="219" t="str">
        <f t="array" ref="G396">INDEX(postDEL!$A$2:$P799,$O396,11)</f>
        <v>Negative</v>
      </c>
      <c r="H396" s="219" t="str">
        <f t="array" ref="H396">INDEX(postDEL!$A$2:$AL799,$O396,37)</f>
        <v>Negative</v>
      </c>
      <c r="I396" s="217">
        <f t="array" ref="I396">INDEX(postDEL!$A$2:$AL799,$O396,12)</f>
        <v>44611</v>
      </c>
      <c r="J396" s="218">
        <f t="array" ref="J396">INDEX(postDEL!$A$2:$AL799,$O396,13)</f>
        <v>0.3895717593</v>
      </c>
      <c r="K396" s="219" t="str">
        <f t="array" ref="K396">INDEX(postDEL!$A$2:$AL799,$O396,36)</f>
        <v/>
      </c>
      <c r="L396" s="219" t="str">
        <f t="array" ref="L396">INDEX(postDEL!$A$2:$AL799,$O396,38)</f>
        <v/>
      </c>
      <c r="M396" s="219" t="str">
        <f t="array" ref="M396">INDEX(postDEL!$A$2:$AL799,$O396,15)</f>
        <v/>
      </c>
      <c r="N396" s="110">
        <f>COUNTIF(postDEL!$A$2:$A799,A396)</f>
        <v>1</v>
      </c>
      <c r="O396" s="19">
        <f>MATCH(A396,postDEL!A$2:A799,0)</f>
        <v>395</v>
      </c>
      <c r="P396" s="10" t="str">
        <f t="shared" si="1"/>
        <v/>
      </c>
      <c r="Q396" s="220">
        <f t="shared" si="2"/>
        <v>2</v>
      </c>
      <c r="R396" s="5"/>
    </row>
    <row r="397">
      <c r="A397" s="221" t="s">
        <v>1351</v>
      </c>
      <c r="B397" s="217">
        <f t="array" ref="B397">INDEX(postDEL!$A$2:$P799,$O397,2)</f>
        <v>44609</v>
      </c>
      <c r="C397" s="218">
        <f t="array" ref="C397">INDEX(postDEL!$A$2:$P799,$O397,3)</f>
        <v>0.3187384259</v>
      </c>
      <c r="D397" s="219" t="str">
        <f t="array" ref="D397">INDEX(postDEL!$A$2:$AN799,$O397,39)</f>
        <v>SpBEND184203</v>
      </c>
      <c r="E397" s="219" t="str">
        <f t="array" ref="E397">INDEX(postDEL!$A$2:$P799,$O397,4)</f>
        <v/>
      </c>
      <c r="F397" s="219" t="str">
        <f t="array" ref="F397">INDEX(postDEL!$A$2:$P799,$O397,5)</f>
        <v/>
      </c>
      <c r="G397" s="219" t="str">
        <f t="array" ref="G397">INDEX(postDEL!$A$2:$P799,$O397,11)</f>
        <v>Negative</v>
      </c>
      <c r="H397" s="219" t="str">
        <f t="array" ref="H397">INDEX(postDEL!$A$2:$AL799,$O397,37)</f>
        <v>Negative</v>
      </c>
      <c r="I397" s="217">
        <f t="array" ref="I397">INDEX(postDEL!$A$2:$AL799,$O397,12)</f>
        <v>44611</v>
      </c>
      <c r="J397" s="218">
        <f t="array" ref="J397">INDEX(postDEL!$A$2:$AL799,$O397,13)</f>
        <v>0.3895717593</v>
      </c>
      <c r="K397" s="219" t="str">
        <f t="array" ref="K397">INDEX(postDEL!$A$2:$AL799,$O397,36)</f>
        <v/>
      </c>
      <c r="L397" s="219" t="str">
        <f t="array" ref="L397">INDEX(postDEL!$A$2:$AL799,$O397,38)</f>
        <v/>
      </c>
      <c r="M397" s="219" t="str">
        <f t="array" ref="M397">INDEX(postDEL!$A$2:$AL799,$O397,15)</f>
        <v/>
      </c>
      <c r="N397" s="110">
        <f>COUNTIF(postDEL!$A$2:$A799,A397)</f>
        <v>1</v>
      </c>
      <c r="O397" s="19">
        <f>MATCH(A397,postDEL!A$2:A799,0)</f>
        <v>396</v>
      </c>
      <c r="P397" s="10" t="str">
        <f t="shared" si="1"/>
        <v/>
      </c>
      <c r="Q397" s="220">
        <f t="shared" si="2"/>
        <v>2</v>
      </c>
      <c r="R397" s="5"/>
    </row>
    <row r="398">
      <c r="A398" s="221" t="s">
        <v>1353</v>
      </c>
      <c r="B398" s="217">
        <f t="array" ref="B398">INDEX(postDEL!$A$2:$P799,$O398,2)</f>
        <v>44609</v>
      </c>
      <c r="C398" s="218">
        <f t="array" ref="C398">INDEX(postDEL!$A$2:$P799,$O398,3)</f>
        <v>0.3194328704</v>
      </c>
      <c r="D398" s="219" t="str">
        <f t="array" ref="D398">INDEX(postDEL!$A$2:$AN799,$O398,39)</f>
        <v>SpBEND862115</v>
      </c>
      <c r="E398" s="219" t="str">
        <f t="array" ref="E398">INDEX(postDEL!$A$2:$P799,$O398,4)</f>
        <v/>
      </c>
      <c r="F398" s="219" t="str">
        <f t="array" ref="F398">INDEX(postDEL!$A$2:$P799,$O398,5)</f>
        <v/>
      </c>
      <c r="G398" s="219" t="str">
        <f t="array" ref="G398">INDEX(postDEL!$A$2:$P799,$O398,11)</f>
        <v>Negative</v>
      </c>
      <c r="H398" s="219" t="str">
        <f t="array" ref="H398">INDEX(postDEL!$A$2:$AL799,$O398,37)</f>
        <v>Negative</v>
      </c>
      <c r="I398" s="217">
        <f t="array" ref="I398">INDEX(postDEL!$A$2:$AL799,$O398,12)</f>
        <v>44611</v>
      </c>
      <c r="J398" s="218">
        <f t="array" ref="J398">INDEX(postDEL!$A$2:$AL799,$O398,13)</f>
        <v>0.3895717593</v>
      </c>
      <c r="K398" s="219" t="str">
        <f t="array" ref="K398">INDEX(postDEL!$A$2:$AL799,$O398,36)</f>
        <v/>
      </c>
      <c r="L398" s="219" t="str">
        <f t="array" ref="L398">INDEX(postDEL!$A$2:$AL799,$O398,38)</f>
        <v/>
      </c>
      <c r="M398" s="219" t="str">
        <f t="array" ref="M398">INDEX(postDEL!$A$2:$AL799,$O398,15)</f>
        <v/>
      </c>
      <c r="N398" s="110">
        <f>COUNTIF(postDEL!$A$2:$A799,A398)</f>
        <v>1</v>
      </c>
      <c r="O398" s="19">
        <f>MATCH(A398,postDEL!A$2:A799,0)</f>
        <v>397</v>
      </c>
      <c r="P398" s="10" t="str">
        <f t="shared" si="1"/>
        <v/>
      </c>
      <c r="Q398" s="220">
        <f t="shared" si="2"/>
        <v>2</v>
      </c>
      <c r="R398" s="5"/>
    </row>
    <row r="399">
      <c r="A399" s="221" t="s">
        <v>1357</v>
      </c>
      <c r="B399" s="217">
        <f t="array" ref="B399">INDEX(postDEL!$A$2:$P799,$O399,2)</f>
        <v>44609</v>
      </c>
      <c r="C399" s="218">
        <f t="array" ref="C399">INDEX(postDEL!$A$2:$P799,$O399,3)</f>
        <v>0.3199768519</v>
      </c>
      <c r="D399" s="219" t="str">
        <f t="array" ref="D399">INDEX(postDEL!$A$2:$AN799,$O399,39)</f>
        <v>SpBEND363177</v>
      </c>
      <c r="E399" s="219" t="str">
        <f t="array" ref="E399">INDEX(postDEL!$A$2:$P799,$O399,4)</f>
        <v/>
      </c>
      <c r="F399" s="219" t="str">
        <f t="array" ref="F399">INDEX(postDEL!$A$2:$P799,$O399,5)</f>
        <v/>
      </c>
      <c r="G399" s="219" t="str">
        <f t="array" ref="G399">INDEX(postDEL!$A$2:$P799,$O399,11)</f>
        <v>Negative</v>
      </c>
      <c r="H399" s="219" t="str">
        <f t="array" ref="H399">INDEX(postDEL!$A$2:$AL799,$O399,37)</f>
        <v>Negative</v>
      </c>
      <c r="I399" s="217">
        <f t="array" ref="I399">INDEX(postDEL!$A$2:$AL799,$O399,12)</f>
        <v>44611</v>
      </c>
      <c r="J399" s="218">
        <f t="array" ref="J399">INDEX(postDEL!$A$2:$AL799,$O399,13)</f>
        <v>0.3895717593</v>
      </c>
      <c r="K399" s="219" t="str">
        <f t="array" ref="K399">INDEX(postDEL!$A$2:$AL799,$O399,36)</f>
        <v/>
      </c>
      <c r="L399" s="219" t="str">
        <f t="array" ref="L399">INDEX(postDEL!$A$2:$AL799,$O399,38)</f>
        <v/>
      </c>
      <c r="M399" s="219" t="str">
        <f t="array" ref="M399">INDEX(postDEL!$A$2:$AL799,$O399,15)</f>
        <v/>
      </c>
      <c r="N399" s="110">
        <f>COUNTIF(postDEL!$A$2:$A799,A399)</f>
        <v>1</v>
      </c>
      <c r="O399" s="19">
        <f>MATCH(A399,postDEL!A$2:A799,0)</f>
        <v>398</v>
      </c>
      <c r="P399" s="10" t="str">
        <f t="shared" si="1"/>
        <v/>
      </c>
      <c r="Q399" s="220">
        <f t="shared" si="2"/>
        <v>2</v>
      </c>
      <c r="R399" s="5"/>
    </row>
    <row r="400">
      <c r="A400" s="221" t="s">
        <v>185</v>
      </c>
      <c r="B400" s="217">
        <f t="array" ref="B400">INDEX(postDEL!$A$2:$P799,$O400,2)</f>
        <v>44609</v>
      </c>
      <c r="C400" s="218">
        <f t="array" ref="C400">INDEX(postDEL!$A$2:$P799,$O400,3)</f>
        <v>0.3274884259</v>
      </c>
      <c r="D400" s="219" t="str">
        <f t="array" ref="D400">INDEX(postDEL!$A$2:$AN799,$O400,39)</f>
        <v>SpBEND328905</v>
      </c>
      <c r="E400" s="219" t="str">
        <f t="array" ref="E400">INDEX(postDEL!$A$2:$P799,$O400,4)</f>
        <v/>
      </c>
      <c r="F400" s="219" t="str">
        <f t="array" ref="F400">INDEX(postDEL!$A$2:$P799,$O400,5)</f>
        <v/>
      </c>
      <c r="G400" s="219" t="str">
        <f t="array" ref="G400">INDEX(postDEL!$A$2:$P799,$O400,11)</f>
        <v>Negative</v>
      </c>
      <c r="H400" s="219" t="str">
        <f t="array" ref="H400">INDEX(postDEL!$A$2:$AL799,$O400,37)</f>
        <v>Inconclusive</v>
      </c>
      <c r="I400" s="217">
        <f t="array" ref="I400">INDEX(postDEL!$A$2:$AL799,$O400,12)</f>
        <v>44611</v>
      </c>
      <c r="J400" s="218">
        <f t="array" ref="J400">INDEX(postDEL!$A$2:$AL799,$O400,13)</f>
        <v>0.3895601852</v>
      </c>
      <c r="K400" s="219">
        <f t="array" ref="K400">INDEX(postDEL!$A$2:$AL799,$O400,36)</f>
        <v>4.1</v>
      </c>
      <c r="L400" s="219" t="str">
        <f t="array" ref="L400">INDEX(postDEL!$A$2:$AL799,$O400,38)</f>
        <v>Negative to Inconclusive based  on RFR Audit and LUM (RT Jan26)</v>
      </c>
      <c r="M400" s="219" t="str">
        <f t="array" ref="M400">INDEX(postDEL!$A$2:$AL799,$O400,15)</f>
        <v/>
      </c>
      <c r="N400" s="110">
        <f>COUNTIF(postDEL!$A$2:$A799,A400)</f>
        <v>1</v>
      </c>
      <c r="O400" s="19">
        <f>MATCH(A400,postDEL!A$2:A799,0)</f>
        <v>399</v>
      </c>
      <c r="P400" s="10" t="str">
        <f t="shared" si="1"/>
        <v/>
      </c>
      <c r="Q400" s="220">
        <f t="shared" si="2"/>
        <v>2</v>
      </c>
      <c r="R400" s="5"/>
    </row>
    <row r="401">
      <c r="A401" s="221" t="s">
        <v>1363</v>
      </c>
      <c r="B401" s="217">
        <f t="array" ref="B401">INDEX(postDEL!$A$2:$P799,$O401,2)</f>
        <v>44609</v>
      </c>
      <c r="C401" s="218">
        <f t="array" ref="C401">INDEX(postDEL!$A$2:$P799,$O401,3)</f>
        <v>0.3275578704</v>
      </c>
      <c r="D401" s="219" t="str">
        <f t="array" ref="D401">INDEX(postDEL!$A$2:$AN799,$O401,39)</f>
        <v>SpBEND643855</v>
      </c>
      <c r="E401" s="219" t="str">
        <f t="array" ref="E401">INDEX(postDEL!$A$2:$P799,$O401,4)</f>
        <v/>
      </c>
      <c r="F401" s="219" t="str">
        <f t="array" ref="F401">INDEX(postDEL!$A$2:$P799,$O401,5)</f>
        <v/>
      </c>
      <c r="G401" s="219" t="str">
        <f t="array" ref="G401">INDEX(postDEL!$A$2:$P799,$O401,11)</f>
        <v>Negative</v>
      </c>
      <c r="H401" s="219" t="str">
        <f t="array" ref="H401">INDEX(postDEL!$A$2:$AL799,$O401,37)</f>
        <v>Negative</v>
      </c>
      <c r="I401" s="217">
        <f t="array" ref="I401">INDEX(postDEL!$A$2:$AL799,$O401,12)</f>
        <v>44611</v>
      </c>
      <c r="J401" s="218">
        <f t="array" ref="J401">INDEX(postDEL!$A$2:$AL799,$O401,13)</f>
        <v>0.3895717593</v>
      </c>
      <c r="K401" s="219" t="str">
        <f t="array" ref="K401">INDEX(postDEL!$A$2:$AL799,$O401,36)</f>
        <v/>
      </c>
      <c r="L401" s="219" t="str">
        <f t="array" ref="L401">INDEX(postDEL!$A$2:$AL799,$O401,38)</f>
        <v/>
      </c>
      <c r="M401" s="219" t="str">
        <f t="array" ref="M401">INDEX(postDEL!$A$2:$AL799,$O401,15)</f>
        <v/>
      </c>
      <c r="N401" s="110">
        <f>COUNTIF(postDEL!$A$2:$A799,A401)</f>
        <v>1</v>
      </c>
      <c r="O401" s="19">
        <f>MATCH(A401,postDEL!A$2:A799,0)</f>
        <v>400</v>
      </c>
      <c r="P401" s="10" t="str">
        <f t="shared" si="1"/>
        <v/>
      </c>
      <c r="Q401" s="220">
        <f t="shared" si="2"/>
        <v>2</v>
      </c>
      <c r="R401" s="5"/>
    </row>
    <row r="402">
      <c r="A402" s="221" t="s">
        <v>1365</v>
      </c>
      <c r="B402" s="217">
        <f t="array" ref="B402">INDEX(postDEL!$A$2:$P799,$O402,2)</f>
        <v>44609</v>
      </c>
      <c r="C402" s="218">
        <f t="array" ref="C402">INDEX(postDEL!$A$2:$P799,$O402,3)</f>
        <v>0.3276041667</v>
      </c>
      <c r="D402" s="219" t="str">
        <f t="array" ref="D402">INDEX(postDEL!$A$2:$AN799,$O402,39)</f>
        <v>SpBEND768497</v>
      </c>
      <c r="E402" s="219" t="str">
        <f t="array" ref="E402">INDEX(postDEL!$A$2:$P799,$O402,4)</f>
        <v/>
      </c>
      <c r="F402" s="219" t="str">
        <f t="array" ref="F402">INDEX(postDEL!$A$2:$P799,$O402,5)</f>
        <v/>
      </c>
      <c r="G402" s="219" t="str">
        <f t="array" ref="G402">INDEX(postDEL!$A$2:$P799,$O402,11)</f>
        <v>Negative</v>
      </c>
      <c r="H402" s="219" t="str">
        <f t="array" ref="H402">INDEX(postDEL!$A$2:$AL799,$O402,37)</f>
        <v>Negative</v>
      </c>
      <c r="I402" s="217">
        <f t="array" ref="I402">INDEX(postDEL!$A$2:$AL799,$O402,12)</f>
        <v>44611</v>
      </c>
      <c r="J402" s="218">
        <f t="array" ref="J402">INDEX(postDEL!$A$2:$AL799,$O402,13)</f>
        <v>0.3895833333</v>
      </c>
      <c r="K402" s="219" t="str">
        <f t="array" ref="K402">INDEX(postDEL!$A$2:$AL799,$O402,36)</f>
        <v/>
      </c>
      <c r="L402" s="219" t="str">
        <f t="array" ref="L402">INDEX(postDEL!$A$2:$AL799,$O402,38)</f>
        <v/>
      </c>
      <c r="M402" s="219" t="str">
        <f t="array" ref="M402">INDEX(postDEL!$A$2:$AL799,$O402,15)</f>
        <v/>
      </c>
      <c r="N402" s="110">
        <f>COUNTIF(postDEL!$A$2:$A799,A402)</f>
        <v>1</v>
      </c>
      <c r="O402" s="19">
        <f>MATCH(A402,postDEL!A$2:A799,0)</f>
        <v>401</v>
      </c>
      <c r="P402" s="10" t="str">
        <f t="shared" si="1"/>
        <v/>
      </c>
      <c r="Q402" s="220">
        <f t="shared" si="2"/>
        <v>2</v>
      </c>
      <c r="R402" s="5"/>
    </row>
    <row r="403">
      <c r="A403" s="221" t="s">
        <v>1367</v>
      </c>
      <c r="B403" s="217">
        <f t="array" ref="B403">INDEX(postDEL!$A$2:$P799,$O403,2)</f>
        <v>44609</v>
      </c>
      <c r="C403" s="218">
        <f t="array" ref="C403">INDEX(postDEL!$A$2:$P799,$O403,3)</f>
        <v>0.327662037</v>
      </c>
      <c r="D403" s="219" t="str">
        <f t="array" ref="D403">INDEX(postDEL!$A$2:$AN799,$O403,39)</f>
        <v>SpBEND214692</v>
      </c>
      <c r="E403" s="219" t="str">
        <f t="array" ref="E403">INDEX(postDEL!$A$2:$P799,$O403,4)</f>
        <v/>
      </c>
      <c r="F403" s="219" t="str">
        <f t="array" ref="F403">INDEX(postDEL!$A$2:$P799,$O403,5)</f>
        <v/>
      </c>
      <c r="G403" s="219" t="str">
        <f t="array" ref="G403">INDEX(postDEL!$A$2:$P799,$O403,11)</f>
        <v>Negative</v>
      </c>
      <c r="H403" s="219" t="str">
        <f t="array" ref="H403">INDEX(postDEL!$A$2:$AL799,$O403,37)</f>
        <v>Negative</v>
      </c>
      <c r="I403" s="217">
        <f t="array" ref="I403">INDEX(postDEL!$A$2:$AL799,$O403,12)</f>
        <v>44611</v>
      </c>
      <c r="J403" s="218">
        <f t="array" ref="J403">INDEX(postDEL!$A$2:$AL799,$O403,13)</f>
        <v>0.3895833333</v>
      </c>
      <c r="K403" s="219" t="str">
        <f t="array" ref="K403">INDEX(postDEL!$A$2:$AL799,$O403,36)</f>
        <v/>
      </c>
      <c r="L403" s="219" t="str">
        <f t="array" ref="L403">INDEX(postDEL!$A$2:$AL799,$O403,38)</f>
        <v/>
      </c>
      <c r="M403" s="219" t="str">
        <f t="array" ref="M403">INDEX(postDEL!$A$2:$AL799,$O403,15)</f>
        <v/>
      </c>
      <c r="N403" s="110">
        <f>COUNTIF(postDEL!$A$2:$A799,A403)</f>
        <v>1</v>
      </c>
      <c r="O403" s="19">
        <f>MATCH(A403,postDEL!A$2:A799,0)</f>
        <v>402</v>
      </c>
      <c r="P403" s="10" t="str">
        <f t="shared" si="1"/>
        <v/>
      </c>
      <c r="Q403" s="220">
        <f t="shared" si="2"/>
        <v>2</v>
      </c>
      <c r="R403" s="5"/>
    </row>
    <row r="404">
      <c r="A404" s="221" t="s">
        <v>1369</v>
      </c>
      <c r="B404" s="217">
        <f t="array" ref="B404">INDEX(postDEL!$A$2:$P799,$O404,2)</f>
        <v>44609</v>
      </c>
      <c r="C404" s="218">
        <f t="array" ref="C404">INDEX(postDEL!$A$2:$P799,$O404,3)</f>
        <v>0.3283101852</v>
      </c>
      <c r="D404" s="219" t="str">
        <f t="array" ref="D404">INDEX(postDEL!$A$2:$AN799,$O404,39)</f>
        <v>SpBEND982485</v>
      </c>
      <c r="E404" s="219" t="str">
        <f t="array" ref="E404">INDEX(postDEL!$A$2:$P799,$O404,4)</f>
        <v/>
      </c>
      <c r="F404" s="219" t="str">
        <f t="array" ref="F404">INDEX(postDEL!$A$2:$P799,$O404,5)</f>
        <v/>
      </c>
      <c r="G404" s="219" t="str">
        <f t="array" ref="G404">INDEX(postDEL!$A$2:$P799,$O404,11)</f>
        <v>Negative</v>
      </c>
      <c r="H404" s="219" t="str">
        <f t="array" ref="H404">INDEX(postDEL!$A$2:$AL799,$O404,37)</f>
        <v>Negative</v>
      </c>
      <c r="I404" s="217">
        <f t="array" ref="I404">INDEX(postDEL!$A$2:$AL799,$O404,12)</f>
        <v>44611</v>
      </c>
      <c r="J404" s="218">
        <f t="array" ref="J404">INDEX(postDEL!$A$2:$AL799,$O404,13)</f>
        <v>0.3895833333</v>
      </c>
      <c r="K404" s="219" t="str">
        <f t="array" ref="K404">INDEX(postDEL!$A$2:$AL799,$O404,36)</f>
        <v/>
      </c>
      <c r="L404" s="219" t="str">
        <f t="array" ref="L404">INDEX(postDEL!$A$2:$AL799,$O404,38)</f>
        <v/>
      </c>
      <c r="M404" s="219" t="str">
        <f t="array" ref="M404">INDEX(postDEL!$A$2:$AL799,$O404,15)</f>
        <v/>
      </c>
      <c r="N404" s="110">
        <f>COUNTIF(postDEL!$A$2:$A799,A404)</f>
        <v>1</v>
      </c>
      <c r="O404" s="19">
        <f>MATCH(A404,postDEL!A$2:A799,0)</f>
        <v>403</v>
      </c>
      <c r="P404" s="10" t="str">
        <f t="shared" si="1"/>
        <v/>
      </c>
      <c r="Q404" s="220">
        <f t="shared" si="2"/>
        <v>2</v>
      </c>
      <c r="R404" s="5"/>
    </row>
    <row r="405">
      <c r="A405" s="221" t="s">
        <v>1373</v>
      </c>
      <c r="B405" s="217">
        <f t="array" ref="B405">INDEX(postDEL!$A$2:$P799,$O405,2)</f>
        <v>44609</v>
      </c>
      <c r="C405" s="218">
        <f t="array" ref="C405">INDEX(postDEL!$A$2:$P799,$O405,3)</f>
        <v>0.3318981481</v>
      </c>
      <c r="D405" s="219" t="str">
        <f t="array" ref="D405">INDEX(postDEL!$A$2:$AN799,$O405,39)</f>
        <v>SpBEND914710</v>
      </c>
      <c r="E405" s="219" t="str">
        <f t="array" ref="E405">INDEX(postDEL!$A$2:$P799,$O405,4)</f>
        <v/>
      </c>
      <c r="F405" s="219" t="str">
        <f t="array" ref="F405">INDEX(postDEL!$A$2:$P799,$O405,5)</f>
        <v/>
      </c>
      <c r="G405" s="219" t="str">
        <f t="array" ref="G405">INDEX(postDEL!$A$2:$P799,$O405,11)</f>
        <v>Negative</v>
      </c>
      <c r="H405" s="219" t="str">
        <f t="array" ref="H405">INDEX(postDEL!$A$2:$AL799,$O405,37)</f>
        <v>Negative</v>
      </c>
      <c r="I405" s="217">
        <f t="array" ref="I405">INDEX(postDEL!$A$2:$AL799,$O405,12)</f>
        <v>44611</v>
      </c>
      <c r="J405" s="218">
        <f t="array" ref="J405">INDEX(postDEL!$A$2:$AL799,$O405,13)</f>
        <v>0.3895833333</v>
      </c>
      <c r="K405" s="219" t="str">
        <f t="array" ref="K405">INDEX(postDEL!$A$2:$AL799,$O405,36)</f>
        <v/>
      </c>
      <c r="L405" s="219" t="str">
        <f t="array" ref="L405">INDEX(postDEL!$A$2:$AL799,$O405,38)</f>
        <v/>
      </c>
      <c r="M405" s="219" t="str">
        <f t="array" ref="M405">INDEX(postDEL!$A$2:$AL799,$O405,15)</f>
        <v/>
      </c>
      <c r="N405" s="110">
        <f>COUNTIF(postDEL!$A$2:$A799,A405)</f>
        <v>1</v>
      </c>
      <c r="O405" s="19">
        <f>MATCH(A405,postDEL!A$2:A799,0)</f>
        <v>404</v>
      </c>
      <c r="P405" s="10" t="str">
        <f t="shared" si="1"/>
        <v/>
      </c>
      <c r="Q405" s="220">
        <f t="shared" si="2"/>
        <v>2</v>
      </c>
      <c r="R405" s="5"/>
    </row>
    <row r="406">
      <c r="A406" s="221" t="s">
        <v>1377</v>
      </c>
      <c r="B406" s="217">
        <f t="array" ref="B406">INDEX(postDEL!$A$2:$P799,$O406,2)</f>
        <v>44609</v>
      </c>
      <c r="C406" s="218">
        <f t="array" ref="C406">INDEX(postDEL!$A$2:$P799,$O406,3)</f>
        <v>0.3327199074</v>
      </c>
      <c r="D406" s="219" t="str">
        <f t="array" ref="D406">INDEX(postDEL!$A$2:$AN799,$O406,39)</f>
        <v>SpBEND914710</v>
      </c>
      <c r="E406" s="219" t="str">
        <f t="array" ref="E406">INDEX(postDEL!$A$2:$P799,$O406,4)</f>
        <v/>
      </c>
      <c r="F406" s="219" t="str">
        <f t="array" ref="F406">INDEX(postDEL!$A$2:$P799,$O406,5)</f>
        <v/>
      </c>
      <c r="G406" s="219" t="str">
        <f t="array" ref="G406">INDEX(postDEL!$A$2:$P799,$O406,11)</f>
        <v>Negative</v>
      </c>
      <c r="H406" s="219" t="str">
        <f t="array" ref="H406">INDEX(postDEL!$A$2:$AL799,$O406,37)</f>
        <v>Negative</v>
      </c>
      <c r="I406" s="217">
        <f t="array" ref="I406">INDEX(postDEL!$A$2:$AL799,$O406,12)</f>
        <v>44611</v>
      </c>
      <c r="J406" s="218">
        <f t="array" ref="J406">INDEX(postDEL!$A$2:$AL799,$O406,13)</f>
        <v>0.3895833333</v>
      </c>
      <c r="K406" s="219" t="str">
        <f t="array" ref="K406">INDEX(postDEL!$A$2:$AL799,$O406,36)</f>
        <v/>
      </c>
      <c r="L406" s="219" t="str">
        <f t="array" ref="L406">INDEX(postDEL!$A$2:$AL799,$O406,38)</f>
        <v/>
      </c>
      <c r="M406" s="219" t="str">
        <f t="array" ref="M406">INDEX(postDEL!$A$2:$AL799,$O406,15)</f>
        <v/>
      </c>
      <c r="N406" s="110">
        <f>COUNTIF(postDEL!$A$2:$A799,A406)</f>
        <v>1</v>
      </c>
      <c r="O406" s="19">
        <f>MATCH(A406,postDEL!A$2:A799,0)</f>
        <v>405</v>
      </c>
      <c r="P406" s="10" t="str">
        <f t="shared" si="1"/>
        <v/>
      </c>
      <c r="Q406" s="220">
        <f t="shared" si="2"/>
        <v>2</v>
      </c>
      <c r="R406" s="5"/>
    </row>
    <row r="407">
      <c r="A407" s="221" t="s">
        <v>1379</v>
      </c>
      <c r="B407" s="217">
        <f t="array" ref="B407">INDEX(postDEL!$A$2:$P799,$O407,2)</f>
        <v>44609</v>
      </c>
      <c r="C407" s="218">
        <f t="array" ref="C407">INDEX(postDEL!$A$2:$P799,$O407,3)</f>
        <v>0.3339930556</v>
      </c>
      <c r="D407" s="219" t="str">
        <f t="array" ref="D407">INDEX(postDEL!$A$2:$AN799,$O407,39)</f>
        <v>SpBEND611299</v>
      </c>
      <c r="E407" s="219" t="str">
        <f t="array" ref="E407">INDEX(postDEL!$A$2:$P799,$O407,4)</f>
        <v/>
      </c>
      <c r="F407" s="219" t="str">
        <f t="array" ref="F407">INDEX(postDEL!$A$2:$P799,$O407,5)</f>
        <v/>
      </c>
      <c r="G407" s="219" t="str">
        <f t="array" ref="G407">INDEX(postDEL!$A$2:$P799,$O407,11)</f>
        <v>Negative</v>
      </c>
      <c r="H407" s="219" t="str">
        <f t="array" ref="H407">INDEX(postDEL!$A$2:$AL799,$O407,37)</f>
        <v>Negative</v>
      </c>
      <c r="I407" s="217">
        <f t="array" ref="I407">INDEX(postDEL!$A$2:$AL799,$O407,12)</f>
        <v>44611</v>
      </c>
      <c r="J407" s="218">
        <f t="array" ref="J407">INDEX(postDEL!$A$2:$AL799,$O407,13)</f>
        <v>0.3895833333</v>
      </c>
      <c r="K407" s="219" t="str">
        <f t="array" ref="K407">INDEX(postDEL!$A$2:$AL799,$O407,36)</f>
        <v/>
      </c>
      <c r="L407" s="219" t="str">
        <f t="array" ref="L407">INDEX(postDEL!$A$2:$AL799,$O407,38)</f>
        <v/>
      </c>
      <c r="M407" s="219" t="str">
        <f t="array" ref="M407">INDEX(postDEL!$A$2:$AL799,$O407,15)</f>
        <v/>
      </c>
      <c r="N407" s="110">
        <f>COUNTIF(postDEL!$A$2:$A799,A407)</f>
        <v>1</v>
      </c>
      <c r="O407" s="19">
        <f>MATCH(A407,postDEL!A$2:A799,0)</f>
        <v>406</v>
      </c>
      <c r="P407" s="10" t="str">
        <f t="shared" si="1"/>
        <v/>
      </c>
      <c r="Q407" s="220">
        <f t="shared" si="2"/>
        <v>2</v>
      </c>
      <c r="R407" s="5"/>
    </row>
    <row r="408">
      <c r="A408" s="221" t="s">
        <v>1383</v>
      </c>
      <c r="B408" s="217">
        <f t="array" ref="B408">INDEX(postDEL!$A$2:$P799,$O408,2)</f>
        <v>44609</v>
      </c>
      <c r="C408" s="218">
        <f t="array" ref="C408">INDEX(postDEL!$A$2:$P799,$O408,3)</f>
        <v>0.3341435185</v>
      </c>
      <c r="D408" s="219" t="str">
        <f t="array" ref="D408">INDEX(postDEL!$A$2:$AN799,$O408,39)</f>
        <v>SpBEND413838</v>
      </c>
      <c r="E408" s="219" t="str">
        <f t="array" ref="E408">INDEX(postDEL!$A$2:$P799,$O408,4)</f>
        <v/>
      </c>
      <c r="F408" s="219" t="str">
        <f t="array" ref="F408">INDEX(postDEL!$A$2:$P799,$O408,5)</f>
        <v/>
      </c>
      <c r="G408" s="219" t="str">
        <f t="array" ref="G408">INDEX(postDEL!$A$2:$P799,$O408,11)</f>
        <v>Negative</v>
      </c>
      <c r="H408" s="219" t="str">
        <f t="array" ref="H408">INDEX(postDEL!$A$2:$AL799,$O408,37)</f>
        <v>Negative</v>
      </c>
      <c r="I408" s="217">
        <f t="array" ref="I408">INDEX(postDEL!$A$2:$AL799,$O408,12)</f>
        <v>44611</v>
      </c>
      <c r="J408" s="218">
        <f t="array" ref="J408">INDEX(postDEL!$A$2:$AL799,$O408,13)</f>
        <v>0.3895833333</v>
      </c>
      <c r="K408" s="219" t="str">
        <f t="array" ref="K408">INDEX(postDEL!$A$2:$AL799,$O408,36)</f>
        <v/>
      </c>
      <c r="L408" s="219" t="str">
        <f t="array" ref="L408">INDEX(postDEL!$A$2:$AL799,$O408,38)</f>
        <v/>
      </c>
      <c r="M408" s="219" t="str">
        <f t="array" ref="M408">INDEX(postDEL!$A$2:$AL799,$O408,15)</f>
        <v/>
      </c>
      <c r="N408" s="110">
        <f>COUNTIF(postDEL!$A$2:$A799,A408)</f>
        <v>1</v>
      </c>
      <c r="O408" s="19">
        <f>MATCH(A408,postDEL!A$2:A799,0)</f>
        <v>407</v>
      </c>
      <c r="P408" s="10" t="str">
        <f t="shared" si="1"/>
        <v/>
      </c>
      <c r="Q408" s="220">
        <f t="shared" si="2"/>
        <v>2</v>
      </c>
      <c r="R408" s="5"/>
    </row>
    <row r="409">
      <c r="A409" s="221" t="s">
        <v>1387</v>
      </c>
      <c r="B409" s="217">
        <f t="array" ref="B409">INDEX(postDEL!$A$2:$P799,$O409,2)</f>
        <v>44609</v>
      </c>
      <c r="C409" s="218">
        <f t="array" ref="C409">INDEX(postDEL!$A$2:$P799,$O409,3)</f>
        <v>0.3371990741</v>
      </c>
      <c r="D409" s="219" t="str">
        <f t="array" ref="D409">INDEX(postDEL!$A$2:$AN799,$O409,39)</f>
        <v>SpBEND815974</v>
      </c>
      <c r="E409" s="219" t="str">
        <f t="array" ref="E409">INDEX(postDEL!$A$2:$P799,$O409,4)</f>
        <v/>
      </c>
      <c r="F409" s="219" t="str">
        <f t="array" ref="F409">INDEX(postDEL!$A$2:$P799,$O409,5)</f>
        <v/>
      </c>
      <c r="G409" s="219" t="str">
        <f t="array" ref="G409">INDEX(postDEL!$A$2:$P799,$O409,11)</f>
        <v>Negative</v>
      </c>
      <c r="H409" s="219" t="str">
        <f t="array" ref="H409">INDEX(postDEL!$A$2:$AL799,$O409,37)</f>
        <v>Negative</v>
      </c>
      <c r="I409" s="217">
        <f t="array" ref="I409">INDEX(postDEL!$A$2:$AL799,$O409,12)</f>
        <v>44611</v>
      </c>
      <c r="J409" s="218">
        <f t="array" ref="J409">INDEX(postDEL!$A$2:$AL799,$O409,13)</f>
        <v>0.3895833333</v>
      </c>
      <c r="K409" s="219" t="str">
        <f t="array" ref="K409">INDEX(postDEL!$A$2:$AL799,$O409,36)</f>
        <v/>
      </c>
      <c r="L409" s="219" t="str">
        <f t="array" ref="L409">INDEX(postDEL!$A$2:$AL799,$O409,38)</f>
        <v/>
      </c>
      <c r="M409" s="219" t="str">
        <f t="array" ref="M409">INDEX(postDEL!$A$2:$AL799,$O409,15)</f>
        <v/>
      </c>
      <c r="N409" s="110">
        <f>COUNTIF(postDEL!$A$2:$A799,A409)</f>
        <v>1</v>
      </c>
      <c r="O409" s="19">
        <f>MATCH(A409,postDEL!A$2:A799,0)</f>
        <v>408</v>
      </c>
      <c r="P409" s="10" t="str">
        <f t="shared" si="1"/>
        <v/>
      </c>
      <c r="Q409" s="220">
        <f t="shared" si="2"/>
        <v>2</v>
      </c>
      <c r="R409" s="5"/>
    </row>
    <row r="410">
      <c r="A410" s="221" t="s">
        <v>1389</v>
      </c>
      <c r="B410" s="217">
        <f t="array" ref="B410">INDEX(postDEL!$A$2:$P799,$O410,2)</f>
        <v>44609</v>
      </c>
      <c r="C410" s="218">
        <f t="array" ref="C410">INDEX(postDEL!$A$2:$P799,$O410,3)</f>
        <v>0.3401967593</v>
      </c>
      <c r="D410" s="219" t="str">
        <f t="array" ref="D410">INDEX(postDEL!$A$2:$AN799,$O410,39)</f>
        <v>SpBEND445560</v>
      </c>
      <c r="E410" s="219" t="str">
        <f t="array" ref="E410">INDEX(postDEL!$A$2:$P799,$O410,4)</f>
        <v/>
      </c>
      <c r="F410" s="219" t="str">
        <f t="array" ref="F410">INDEX(postDEL!$A$2:$P799,$O410,5)</f>
        <v/>
      </c>
      <c r="G410" s="219" t="str">
        <f t="array" ref="G410">INDEX(postDEL!$A$2:$P799,$O410,11)</f>
        <v>Negative</v>
      </c>
      <c r="H410" s="219" t="str">
        <f t="array" ref="H410">INDEX(postDEL!$A$2:$AL799,$O410,37)</f>
        <v>Negative</v>
      </c>
      <c r="I410" s="217">
        <f t="array" ref="I410">INDEX(postDEL!$A$2:$AL799,$O410,12)</f>
        <v>44611</v>
      </c>
      <c r="J410" s="218">
        <f t="array" ref="J410">INDEX(postDEL!$A$2:$AL799,$O410,13)</f>
        <v>0.3895833333</v>
      </c>
      <c r="K410" s="219" t="str">
        <f t="array" ref="K410">INDEX(postDEL!$A$2:$AL799,$O410,36)</f>
        <v/>
      </c>
      <c r="L410" s="219" t="str">
        <f t="array" ref="L410">INDEX(postDEL!$A$2:$AL799,$O410,38)</f>
        <v/>
      </c>
      <c r="M410" s="219" t="str">
        <f t="array" ref="M410">INDEX(postDEL!$A$2:$AL799,$O410,15)</f>
        <v/>
      </c>
      <c r="N410" s="110">
        <f>COUNTIF(postDEL!$A$2:$A799,A410)</f>
        <v>1</v>
      </c>
      <c r="O410" s="19">
        <f>MATCH(A410,postDEL!A$2:A799,0)</f>
        <v>409</v>
      </c>
      <c r="P410" s="10" t="str">
        <f t="shared" si="1"/>
        <v/>
      </c>
      <c r="Q410" s="220">
        <f t="shared" si="2"/>
        <v>2</v>
      </c>
      <c r="R410" s="5"/>
    </row>
    <row r="411">
      <c r="A411" s="221" t="s">
        <v>1392</v>
      </c>
      <c r="B411" s="217">
        <f t="array" ref="B411">INDEX(postDEL!$A$2:$P799,$O411,2)</f>
        <v>44609</v>
      </c>
      <c r="C411" s="218">
        <f t="array" ref="C411">INDEX(postDEL!$A$2:$P799,$O411,3)</f>
        <v>0.3439814815</v>
      </c>
      <c r="D411" s="219" t="str">
        <f t="array" ref="D411">INDEX(postDEL!$A$2:$AN799,$O411,39)</f>
        <v>SpBEND977859</v>
      </c>
      <c r="E411" s="219" t="str">
        <f t="array" ref="E411">INDEX(postDEL!$A$2:$P799,$O411,4)</f>
        <v/>
      </c>
      <c r="F411" s="219" t="str">
        <f t="array" ref="F411">INDEX(postDEL!$A$2:$P799,$O411,5)</f>
        <v/>
      </c>
      <c r="G411" s="219" t="str">
        <f t="array" ref="G411">INDEX(postDEL!$A$2:$P799,$O411,11)</f>
        <v>Negative</v>
      </c>
      <c r="H411" s="219" t="str">
        <f t="array" ref="H411">INDEX(postDEL!$A$2:$AL799,$O411,37)</f>
        <v>Negative</v>
      </c>
      <c r="I411" s="217">
        <f t="array" ref="I411">INDEX(postDEL!$A$2:$AL799,$O411,12)</f>
        <v>44611</v>
      </c>
      <c r="J411" s="218">
        <f t="array" ref="J411">INDEX(postDEL!$A$2:$AL799,$O411,13)</f>
        <v>0.3895833333</v>
      </c>
      <c r="K411" s="219" t="str">
        <f t="array" ref="K411">INDEX(postDEL!$A$2:$AL799,$O411,36)</f>
        <v/>
      </c>
      <c r="L411" s="219" t="str">
        <f t="array" ref="L411">INDEX(postDEL!$A$2:$AL799,$O411,38)</f>
        <v/>
      </c>
      <c r="M411" s="219" t="str">
        <f t="array" ref="M411">INDEX(postDEL!$A$2:$AL799,$O411,15)</f>
        <v/>
      </c>
      <c r="N411" s="110">
        <f>COUNTIF(postDEL!$A$2:$A799,A411)</f>
        <v>1</v>
      </c>
      <c r="O411" s="19">
        <f>MATCH(A411,postDEL!A$2:A799,0)</f>
        <v>410</v>
      </c>
      <c r="P411" s="10" t="str">
        <f t="shared" si="1"/>
        <v/>
      </c>
      <c r="Q411" s="220">
        <f t="shared" si="2"/>
        <v>2</v>
      </c>
      <c r="R411" s="5"/>
    </row>
    <row r="412">
      <c r="A412" s="221" t="s">
        <v>1394</v>
      </c>
      <c r="B412" s="217">
        <f t="array" ref="B412">INDEX(postDEL!$A$2:$P799,$O412,2)</f>
        <v>44609</v>
      </c>
      <c r="C412" s="218">
        <f t="array" ref="C412">INDEX(postDEL!$A$2:$P799,$O412,3)</f>
        <v>0.3441666667</v>
      </c>
      <c r="D412" s="219" t="str">
        <f t="array" ref="D412">INDEX(postDEL!$A$2:$AN799,$O412,39)</f>
        <v>SpBEND136234</v>
      </c>
      <c r="E412" s="219" t="str">
        <f t="array" ref="E412">INDEX(postDEL!$A$2:$P799,$O412,4)</f>
        <v/>
      </c>
      <c r="F412" s="219" t="str">
        <f t="array" ref="F412">INDEX(postDEL!$A$2:$P799,$O412,5)</f>
        <v/>
      </c>
      <c r="G412" s="219" t="str">
        <f t="array" ref="G412">INDEX(postDEL!$A$2:$P799,$O412,11)</f>
        <v>Negative</v>
      </c>
      <c r="H412" s="219" t="str">
        <f t="array" ref="H412">INDEX(postDEL!$A$2:$AL799,$O412,37)</f>
        <v>Negative</v>
      </c>
      <c r="I412" s="217">
        <f t="array" ref="I412">INDEX(postDEL!$A$2:$AL799,$O412,12)</f>
        <v>44611</v>
      </c>
      <c r="J412" s="218">
        <f t="array" ref="J412">INDEX(postDEL!$A$2:$AL799,$O412,13)</f>
        <v>0.3895833333</v>
      </c>
      <c r="K412" s="219" t="str">
        <f t="array" ref="K412">INDEX(postDEL!$A$2:$AL799,$O412,36)</f>
        <v/>
      </c>
      <c r="L412" s="219" t="str">
        <f t="array" ref="L412">INDEX(postDEL!$A$2:$AL799,$O412,38)</f>
        <v/>
      </c>
      <c r="M412" s="219" t="str">
        <f t="array" ref="M412">INDEX(postDEL!$A$2:$AL799,$O412,15)</f>
        <v/>
      </c>
      <c r="N412" s="110">
        <f>COUNTIF(postDEL!$A$2:$A799,A412)</f>
        <v>1</v>
      </c>
      <c r="O412" s="19">
        <f>MATCH(A412,postDEL!A$2:A799,0)</f>
        <v>411</v>
      </c>
      <c r="P412" s="10" t="str">
        <f t="shared" si="1"/>
        <v/>
      </c>
      <c r="Q412" s="220">
        <f t="shared" si="2"/>
        <v>2</v>
      </c>
      <c r="R412" s="5"/>
    </row>
    <row r="413">
      <c r="A413" s="221" t="s">
        <v>1397</v>
      </c>
      <c r="B413" s="217">
        <f t="array" ref="B413">INDEX(postDEL!$A$2:$P799,$O413,2)</f>
        <v>44609</v>
      </c>
      <c r="C413" s="218">
        <f t="array" ref="C413">INDEX(postDEL!$A$2:$P799,$O413,3)</f>
        <v>0.3549768519</v>
      </c>
      <c r="D413" s="219" t="str">
        <f t="array" ref="D413">INDEX(postDEL!$A$2:$AN799,$O413,39)</f>
        <v>SpBEND640412</v>
      </c>
      <c r="E413" s="219" t="str">
        <f t="array" ref="E413">INDEX(postDEL!$A$2:$P799,$O413,4)</f>
        <v/>
      </c>
      <c r="F413" s="219" t="str">
        <f t="array" ref="F413">INDEX(postDEL!$A$2:$P799,$O413,5)</f>
        <v/>
      </c>
      <c r="G413" s="219" t="str">
        <f t="array" ref="G413">INDEX(postDEL!$A$2:$P799,$O413,11)</f>
        <v>Negative</v>
      </c>
      <c r="H413" s="219" t="str">
        <f t="array" ref="H413">INDEX(postDEL!$A$2:$AL799,$O413,37)</f>
        <v>Negative</v>
      </c>
      <c r="I413" s="217">
        <f t="array" ref="I413">INDEX(postDEL!$A$2:$AL799,$O413,12)</f>
        <v>44611</v>
      </c>
      <c r="J413" s="218">
        <f t="array" ref="J413">INDEX(postDEL!$A$2:$AL799,$O413,13)</f>
        <v>0.3895833333</v>
      </c>
      <c r="K413" s="219" t="str">
        <f t="array" ref="K413">INDEX(postDEL!$A$2:$AL799,$O413,36)</f>
        <v/>
      </c>
      <c r="L413" s="219" t="str">
        <f t="array" ref="L413">INDEX(postDEL!$A$2:$AL799,$O413,38)</f>
        <v/>
      </c>
      <c r="M413" s="219" t="str">
        <f t="array" ref="M413">INDEX(postDEL!$A$2:$AL799,$O413,15)</f>
        <v/>
      </c>
      <c r="N413" s="110">
        <f>COUNTIF(postDEL!$A$2:$A799,A413)</f>
        <v>1</v>
      </c>
      <c r="O413" s="19">
        <f>MATCH(A413,postDEL!A$2:A799,0)</f>
        <v>412</v>
      </c>
      <c r="P413" s="10" t="str">
        <f t="shared" si="1"/>
        <v/>
      </c>
      <c r="Q413" s="220">
        <f t="shared" si="2"/>
        <v>2</v>
      </c>
      <c r="R413" s="5"/>
    </row>
    <row r="414">
      <c r="A414" s="221" t="s">
        <v>1401</v>
      </c>
      <c r="B414" s="217">
        <f t="array" ref="B414">INDEX(postDEL!$A$2:$P799,$O414,2)</f>
        <v>44609</v>
      </c>
      <c r="C414" s="218">
        <f t="array" ref="C414">INDEX(postDEL!$A$2:$P799,$O414,3)</f>
        <v>0.3872685185</v>
      </c>
      <c r="D414" s="219" t="str">
        <f t="array" ref="D414">INDEX(postDEL!$A$2:$AN799,$O414,39)</f>
        <v>SpBEND331858</v>
      </c>
      <c r="E414" s="219" t="str">
        <f t="array" ref="E414">INDEX(postDEL!$A$2:$P799,$O414,4)</f>
        <v/>
      </c>
      <c r="F414" s="219" t="str">
        <f t="array" ref="F414">INDEX(postDEL!$A$2:$P799,$O414,5)</f>
        <v/>
      </c>
      <c r="G414" s="219" t="str">
        <f t="array" ref="G414">INDEX(postDEL!$A$2:$P799,$O414,11)</f>
        <v>Negative</v>
      </c>
      <c r="H414" s="219" t="str">
        <f t="array" ref="H414">INDEX(postDEL!$A$2:$AL799,$O414,37)</f>
        <v>Negative</v>
      </c>
      <c r="I414" s="217">
        <f t="array" ref="I414">INDEX(postDEL!$A$2:$AL799,$O414,12)</f>
        <v>44611</v>
      </c>
      <c r="J414" s="218">
        <f t="array" ref="J414">INDEX(postDEL!$A$2:$AL799,$O414,13)</f>
        <v>0.4882407407</v>
      </c>
      <c r="K414" s="219" t="str">
        <f t="array" ref="K414">INDEX(postDEL!$A$2:$AL799,$O414,36)</f>
        <v/>
      </c>
      <c r="L414" s="219" t="str">
        <f t="array" ref="L414">INDEX(postDEL!$A$2:$AL799,$O414,38)</f>
        <v/>
      </c>
      <c r="M414" s="219" t="str">
        <f t="array" ref="M414">INDEX(postDEL!$A$2:$AL799,$O414,15)</f>
        <v/>
      </c>
      <c r="N414" s="110">
        <f>COUNTIF(postDEL!$A$2:$A799,A414)</f>
        <v>1</v>
      </c>
      <c r="O414" s="19">
        <f>MATCH(A414,postDEL!A$2:A799,0)</f>
        <v>413</v>
      </c>
      <c r="P414" s="10" t="str">
        <f t="shared" si="1"/>
        <v/>
      </c>
      <c r="Q414" s="220">
        <f t="shared" si="2"/>
        <v>2</v>
      </c>
      <c r="R414" s="5"/>
    </row>
    <row r="415">
      <c r="A415" s="221" t="s">
        <v>1405</v>
      </c>
      <c r="B415" s="217">
        <f t="array" ref="B415">INDEX(postDEL!$A$2:$P799,$O415,2)</f>
        <v>44611</v>
      </c>
      <c r="C415" s="218">
        <f t="array" ref="C415">INDEX(postDEL!$A$2:$P799,$O415,3)</f>
        <v>0.2972337963</v>
      </c>
      <c r="D415" s="219" t="str">
        <f t="array" ref="D415">INDEX(postDEL!$A$2:$AN799,$O415,39)</f>
        <v>SpBEND501019</v>
      </c>
      <c r="E415" s="219" t="str">
        <f t="array" ref="E415">INDEX(postDEL!$A$2:$P799,$O415,4)</f>
        <v/>
      </c>
      <c r="F415" s="219" t="str">
        <f t="array" ref="F415">INDEX(postDEL!$A$2:$P799,$O415,5)</f>
        <v/>
      </c>
      <c r="G415" s="219" t="str">
        <f t="array" ref="G415">INDEX(postDEL!$A$2:$P799,$O415,11)</f>
        <v>Negative</v>
      </c>
      <c r="H415" s="219" t="str">
        <f t="array" ref="H415">INDEX(postDEL!$A$2:$AL799,$O415,37)</f>
        <v>Negative</v>
      </c>
      <c r="I415" s="217">
        <f t="array" ref="I415">INDEX(postDEL!$A$2:$AL799,$O415,12)</f>
        <v>44611</v>
      </c>
      <c r="J415" s="218">
        <f t="array" ref="J415">INDEX(postDEL!$A$2:$AL799,$O415,13)</f>
        <v>0.4882407407</v>
      </c>
      <c r="K415" s="219" t="str">
        <f t="array" ref="K415">INDEX(postDEL!$A$2:$AL799,$O415,36)</f>
        <v/>
      </c>
      <c r="L415" s="219" t="str">
        <f t="array" ref="L415">INDEX(postDEL!$A$2:$AL799,$O415,38)</f>
        <v/>
      </c>
      <c r="M415" s="219" t="str">
        <f t="array" ref="M415">INDEX(postDEL!$A$2:$AL799,$O415,15)</f>
        <v/>
      </c>
      <c r="N415" s="110">
        <f>COUNTIF(postDEL!$A$2:$A799,A415)</f>
        <v>1</v>
      </c>
      <c r="O415" s="19">
        <f>MATCH(A415,postDEL!A$2:A799,0)</f>
        <v>414</v>
      </c>
      <c r="P415" s="10" t="b">
        <f t="shared" si="1"/>
        <v>1</v>
      </c>
      <c r="Q415" s="220">
        <f t="shared" si="2"/>
        <v>0</v>
      </c>
      <c r="R415" s="5"/>
    </row>
    <row r="416">
      <c r="A416" s="221" t="s">
        <v>1407</v>
      </c>
      <c r="B416" s="217">
        <f t="array" ref="B416">INDEX(postDEL!$A$2:$P799,$O416,2)</f>
        <v>44611</v>
      </c>
      <c r="C416" s="218">
        <f t="array" ref="C416">INDEX(postDEL!$A$2:$P799,$O416,3)</f>
        <v>0.3006944444</v>
      </c>
      <c r="D416" s="219" t="str">
        <f t="array" ref="D416">INDEX(postDEL!$A$2:$AN799,$O416,39)</f>
        <v>SpBEND437215</v>
      </c>
      <c r="E416" s="219" t="str">
        <f t="array" ref="E416">INDEX(postDEL!$A$2:$P799,$O416,4)</f>
        <v/>
      </c>
      <c r="F416" s="219" t="str">
        <f t="array" ref="F416">INDEX(postDEL!$A$2:$P799,$O416,5)</f>
        <v/>
      </c>
      <c r="G416" s="219" t="str">
        <f t="array" ref="G416">INDEX(postDEL!$A$2:$P799,$O416,11)</f>
        <v>Negative</v>
      </c>
      <c r="H416" s="219" t="str">
        <f t="array" ref="H416">INDEX(postDEL!$A$2:$AL799,$O416,37)</f>
        <v>Negative</v>
      </c>
      <c r="I416" s="217">
        <f t="array" ref="I416">INDEX(postDEL!$A$2:$AL799,$O416,12)</f>
        <v>44611</v>
      </c>
      <c r="J416" s="218">
        <f t="array" ref="J416">INDEX(postDEL!$A$2:$AL799,$O416,13)</f>
        <v>0.4882407407</v>
      </c>
      <c r="K416" s="219" t="str">
        <f t="array" ref="K416">INDEX(postDEL!$A$2:$AL799,$O416,36)</f>
        <v/>
      </c>
      <c r="L416" s="219" t="str">
        <f t="array" ref="L416">INDEX(postDEL!$A$2:$AL799,$O416,38)</f>
        <v/>
      </c>
      <c r="M416" s="219" t="str">
        <f t="array" ref="M416">INDEX(postDEL!$A$2:$AL799,$O416,15)</f>
        <v/>
      </c>
      <c r="N416" s="110">
        <f>COUNTIF(postDEL!$A$2:$A799,A416)</f>
        <v>1</v>
      </c>
      <c r="O416" s="19">
        <f>MATCH(A416,postDEL!A$2:A799,0)</f>
        <v>415</v>
      </c>
      <c r="P416" s="10" t="str">
        <f t="shared" si="1"/>
        <v/>
      </c>
      <c r="Q416" s="220">
        <f t="shared" si="2"/>
        <v>0</v>
      </c>
      <c r="R416" s="5"/>
    </row>
    <row r="417">
      <c r="A417" s="221" t="s">
        <v>1411</v>
      </c>
      <c r="B417" s="217">
        <f t="array" ref="B417">INDEX(postDEL!$A$2:$P799,$O417,2)</f>
        <v>44611</v>
      </c>
      <c r="C417" s="218">
        <f t="array" ref="C417">INDEX(postDEL!$A$2:$P799,$O417,3)</f>
        <v>0.3085532407</v>
      </c>
      <c r="D417" s="219" t="str">
        <f t="array" ref="D417">INDEX(postDEL!$A$2:$AN799,$O417,39)</f>
        <v>SpBEND110967</v>
      </c>
      <c r="E417" s="219" t="str">
        <f t="array" ref="E417">INDEX(postDEL!$A$2:$P799,$O417,4)</f>
        <v/>
      </c>
      <c r="F417" s="219" t="str">
        <f t="array" ref="F417">INDEX(postDEL!$A$2:$P799,$O417,5)</f>
        <v/>
      </c>
      <c r="G417" s="219" t="str">
        <f t="array" ref="G417">INDEX(postDEL!$A$2:$P799,$O417,11)</f>
        <v>Negative</v>
      </c>
      <c r="H417" s="219" t="str">
        <f t="array" ref="H417">INDEX(postDEL!$A$2:$AL799,$O417,37)</f>
        <v>Negative</v>
      </c>
      <c r="I417" s="217">
        <f t="array" ref="I417">INDEX(postDEL!$A$2:$AL799,$O417,12)</f>
        <v>44611</v>
      </c>
      <c r="J417" s="218">
        <f t="array" ref="J417">INDEX(postDEL!$A$2:$AL799,$O417,13)</f>
        <v>0.4882407407</v>
      </c>
      <c r="K417" s="219" t="str">
        <f t="array" ref="K417">INDEX(postDEL!$A$2:$AL799,$O417,36)</f>
        <v/>
      </c>
      <c r="L417" s="219" t="str">
        <f t="array" ref="L417">INDEX(postDEL!$A$2:$AL799,$O417,38)</f>
        <v/>
      </c>
      <c r="M417" s="219" t="str">
        <f t="array" ref="M417">INDEX(postDEL!$A$2:$AL799,$O417,15)</f>
        <v/>
      </c>
      <c r="N417" s="110">
        <f>COUNTIF(postDEL!$A$2:$A799,A417)</f>
        <v>1</v>
      </c>
      <c r="O417" s="19">
        <f>MATCH(A417,postDEL!A$2:A799,0)</f>
        <v>416</v>
      </c>
      <c r="P417" s="10" t="str">
        <f t="shared" si="1"/>
        <v/>
      </c>
      <c r="Q417" s="220">
        <f t="shared" si="2"/>
        <v>0</v>
      </c>
      <c r="R417" s="5"/>
    </row>
    <row r="418">
      <c r="A418" s="221" t="s">
        <v>1413</v>
      </c>
      <c r="B418" s="217">
        <f t="array" ref="B418">INDEX(postDEL!$A$2:$P799,$O418,2)</f>
        <v>44611</v>
      </c>
      <c r="C418" s="218">
        <f t="array" ref="C418">INDEX(postDEL!$A$2:$P799,$O418,3)</f>
        <v>0.3107523148</v>
      </c>
      <c r="D418" s="219" t="str">
        <f t="array" ref="D418">INDEX(postDEL!$A$2:$AN799,$O418,39)</f>
        <v>SpBEND292213</v>
      </c>
      <c r="E418" s="219" t="str">
        <f t="array" ref="E418">INDEX(postDEL!$A$2:$P799,$O418,4)</f>
        <v/>
      </c>
      <c r="F418" s="219" t="str">
        <f t="array" ref="F418">INDEX(postDEL!$A$2:$P799,$O418,5)</f>
        <v/>
      </c>
      <c r="G418" s="219" t="str">
        <f t="array" ref="G418">INDEX(postDEL!$A$2:$P799,$O418,11)</f>
        <v>Negative</v>
      </c>
      <c r="H418" s="219" t="str">
        <f t="array" ref="H418">INDEX(postDEL!$A$2:$AL799,$O418,37)</f>
        <v>Negative</v>
      </c>
      <c r="I418" s="217">
        <f t="array" ref="I418">INDEX(postDEL!$A$2:$AL799,$O418,12)</f>
        <v>44611</v>
      </c>
      <c r="J418" s="218">
        <f t="array" ref="J418">INDEX(postDEL!$A$2:$AL799,$O418,13)</f>
        <v>0.4882407407</v>
      </c>
      <c r="K418" s="219" t="str">
        <f t="array" ref="K418">INDEX(postDEL!$A$2:$AL799,$O418,36)</f>
        <v/>
      </c>
      <c r="L418" s="219" t="str">
        <f t="array" ref="L418">INDEX(postDEL!$A$2:$AL799,$O418,38)</f>
        <v/>
      </c>
      <c r="M418" s="219" t="str">
        <f t="array" ref="M418">INDEX(postDEL!$A$2:$AL799,$O418,15)</f>
        <v/>
      </c>
      <c r="N418" s="110">
        <f>COUNTIF(postDEL!$A$2:$A799,A418)</f>
        <v>1</v>
      </c>
      <c r="O418" s="19">
        <f>MATCH(A418,postDEL!A$2:A799,0)</f>
        <v>417</v>
      </c>
      <c r="P418" s="10" t="str">
        <f t="shared" si="1"/>
        <v/>
      </c>
      <c r="Q418" s="220">
        <f t="shared" si="2"/>
        <v>0</v>
      </c>
      <c r="R418" s="5"/>
    </row>
    <row r="419">
      <c r="A419" s="221" t="s">
        <v>1415</v>
      </c>
      <c r="B419" s="217">
        <f t="array" ref="B419">INDEX(postDEL!$A$2:$P799,$O419,2)</f>
        <v>44611</v>
      </c>
      <c r="C419" s="218">
        <f t="array" ref="C419">INDEX(postDEL!$A$2:$P799,$O419,3)</f>
        <v>0.3107523148</v>
      </c>
      <c r="D419" s="219" t="str">
        <f t="array" ref="D419">INDEX(postDEL!$A$2:$AN799,$O419,39)</f>
        <v>SpBEND292213</v>
      </c>
      <c r="E419" s="219" t="str">
        <f t="array" ref="E419">INDEX(postDEL!$A$2:$P799,$O419,4)</f>
        <v/>
      </c>
      <c r="F419" s="219" t="str">
        <f t="array" ref="F419">INDEX(postDEL!$A$2:$P799,$O419,5)</f>
        <v/>
      </c>
      <c r="G419" s="219" t="str">
        <f t="array" ref="G419">INDEX(postDEL!$A$2:$P799,$O419,11)</f>
        <v>Negative</v>
      </c>
      <c r="H419" s="219" t="str">
        <f t="array" ref="H419">INDEX(postDEL!$A$2:$AL799,$O419,37)</f>
        <v>Negative</v>
      </c>
      <c r="I419" s="217">
        <f t="array" ref="I419">INDEX(postDEL!$A$2:$AL799,$O419,12)</f>
        <v>44611</v>
      </c>
      <c r="J419" s="218">
        <f t="array" ref="J419">INDEX(postDEL!$A$2:$AL799,$O419,13)</f>
        <v>0.4882407407</v>
      </c>
      <c r="K419" s="219" t="str">
        <f t="array" ref="K419">INDEX(postDEL!$A$2:$AL799,$O419,36)</f>
        <v/>
      </c>
      <c r="L419" s="219" t="str">
        <f t="array" ref="L419">INDEX(postDEL!$A$2:$AL799,$O419,38)</f>
        <v/>
      </c>
      <c r="M419" s="219" t="str">
        <f t="array" ref="M419">INDEX(postDEL!$A$2:$AL799,$O419,15)</f>
        <v/>
      </c>
      <c r="N419" s="110">
        <f>COUNTIF(postDEL!$A$2:$A799,A419)</f>
        <v>1</v>
      </c>
      <c r="O419" s="19">
        <f>MATCH(A419,postDEL!A$2:A799,0)</f>
        <v>418</v>
      </c>
      <c r="P419" s="10" t="str">
        <f t="shared" si="1"/>
        <v/>
      </c>
      <c r="Q419" s="220">
        <f t="shared" si="2"/>
        <v>0</v>
      </c>
      <c r="R419" s="5"/>
    </row>
    <row r="420">
      <c r="A420" s="221" t="s">
        <v>1417</v>
      </c>
      <c r="B420" s="217">
        <f t="array" ref="B420">INDEX(postDEL!$A$2:$P799,$O420,2)</f>
        <v>44611</v>
      </c>
      <c r="C420" s="218">
        <f t="array" ref="C420">INDEX(postDEL!$A$2:$P799,$O420,3)</f>
        <v>0.3114236111</v>
      </c>
      <c r="D420" s="219" t="str">
        <f t="array" ref="D420">INDEX(postDEL!$A$2:$AN799,$O420,39)</f>
        <v>SpBEND139816</v>
      </c>
      <c r="E420" s="219" t="str">
        <f t="array" ref="E420">INDEX(postDEL!$A$2:$P799,$O420,4)</f>
        <v/>
      </c>
      <c r="F420" s="219" t="str">
        <f t="array" ref="F420">INDEX(postDEL!$A$2:$P799,$O420,5)</f>
        <v/>
      </c>
      <c r="G420" s="219" t="str">
        <f t="array" ref="G420">INDEX(postDEL!$A$2:$P799,$O420,11)</f>
        <v>Negative</v>
      </c>
      <c r="H420" s="219" t="str">
        <f t="array" ref="H420">INDEX(postDEL!$A$2:$AL799,$O420,37)</f>
        <v>Negative</v>
      </c>
      <c r="I420" s="217">
        <f t="array" ref="I420">INDEX(postDEL!$A$2:$AL799,$O420,12)</f>
        <v>44611</v>
      </c>
      <c r="J420" s="218">
        <f t="array" ref="J420">INDEX(postDEL!$A$2:$AL799,$O420,13)</f>
        <v>0.4882523148</v>
      </c>
      <c r="K420" s="219" t="str">
        <f t="array" ref="K420">INDEX(postDEL!$A$2:$AL799,$O420,36)</f>
        <v/>
      </c>
      <c r="L420" s="219" t="str">
        <f t="array" ref="L420">INDEX(postDEL!$A$2:$AL799,$O420,38)</f>
        <v/>
      </c>
      <c r="M420" s="219" t="str">
        <f t="array" ref="M420">INDEX(postDEL!$A$2:$AL799,$O420,15)</f>
        <v/>
      </c>
      <c r="N420" s="110">
        <f>COUNTIF(postDEL!$A$2:$A799,A420)</f>
        <v>1</v>
      </c>
      <c r="O420" s="19">
        <f>MATCH(A420,postDEL!A$2:A799,0)</f>
        <v>419</v>
      </c>
      <c r="P420" s="10" t="str">
        <f t="shared" si="1"/>
        <v/>
      </c>
      <c r="Q420" s="220">
        <f t="shared" si="2"/>
        <v>0</v>
      </c>
      <c r="R420" s="5"/>
    </row>
    <row r="421">
      <c r="A421" s="221" t="s">
        <v>1419</v>
      </c>
      <c r="B421" s="217">
        <f t="array" ref="B421">INDEX(postDEL!$A$2:$P799,$O421,2)</f>
        <v>44611</v>
      </c>
      <c r="C421" s="218">
        <f t="array" ref="C421">INDEX(postDEL!$A$2:$P799,$O421,3)</f>
        <v>0.3116550926</v>
      </c>
      <c r="D421" s="219" t="str">
        <f t="array" ref="D421">INDEX(postDEL!$A$2:$AN799,$O421,39)</f>
        <v>SpBEND637657</v>
      </c>
      <c r="E421" s="219" t="str">
        <f t="array" ref="E421">INDEX(postDEL!$A$2:$P799,$O421,4)</f>
        <v/>
      </c>
      <c r="F421" s="219" t="str">
        <f t="array" ref="F421">INDEX(postDEL!$A$2:$P799,$O421,5)</f>
        <v/>
      </c>
      <c r="G421" s="219" t="str">
        <f t="array" ref="G421">INDEX(postDEL!$A$2:$P799,$O421,11)</f>
        <v>Negative</v>
      </c>
      <c r="H421" s="219" t="str">
        <f t="array" ref="H421">INDEX(postDEL!$A$2:$AL799,$O421,37)</f>
        <v>Negative</v>
      </c>
      <c r="I421" s="217">
        <f t="array" ref="I421">INDEX(postDEL!$A$2:$AL799,$O421,12)</f>
        <v>44611</v>
      </c>
      <c r="J421" s="218">
        <f t="array" ref="J421">INDEX(postDEL!$A$2:$AL799,$O421,13)</f>
        <v>0.4882523148</v>
      </c>
      <c r="K421" s="219" t="str">
        <f t="array" ref="K421">INDEX(postDEL!$A$2:$AL799,$O421,36)</f>
        <v/>
      </c>
      <c r="L421" s="219" t="str">
        <f t="array" ref="L421">INDEX(postDEL!$A$2:$AL799,$O421,38)</f>
        <v/>
      </c>
      <c r="M421" s="219" t="str">
        <f t="array" ref="M421">INDEX(postDEL!$A$2:$AL799,$O421,15)</f>
        <v/>
      </c>
      <c r="N421" s="110">
        <f>COUNTIF(postDEL!$A$2:$A799,A421)</f>
        <v>1</v>
      </c>
      <c r="O421" s="19">
        <f>MATCH(A421,postDEL!A$2:A799,0)</f>
        <v>420</v>
      </c>
      <c r="P421" s="10" t="str">
        <f t="shared" si="1"/>
        <v/>
      </c>
      <c r="Q421" s="220">
        <f t="shared" si="2"/>
        <v>0</v>
      </c>
      <c r="R421" s="5"/>
    </row>
    <row r="422">
      <c r="A422" s="221" t="s">
        <v>1423</v>
      </c>
      <c r="B422" s="217">
        <f t="array" ref="B422">INDEX(postDEL!$A$2:$P799,$O422,2)</f>
        <v>44611</v>
      </c>
      <c r="C422" s="218">
        <f t="array" ref="C422">INDEX(postDEL!$A$2:$P799,$O422,3)</f>
        <v>0.3137962963</v>
      </c>
      <c r="D422" s="219" t="str">
        <f t="array" ref="D422">INDEX(postDEL!$A$2:$AN799,$O422,39)</f>
        <v>SpBEND587584</v>
      </c>
      <c r="E422" s="219" t="str">
        <f t="array" ref="E422">INDEX(postDEL!$A$2:$P799,$O422,4)</f>
        <v/>
      </c>
      <c r="F422" s="219" t="str">
        <f t="array" ref="F422">INDEX(postDEL!$A$2:$P799,$O422,5)</f>
        <v/>
      </c>
      <c r="G422" s="219" t="str">
        <f t="array" ref="G422">INDEX(postDEL!$A$2:$P799,$O422,11)</f>
        <v>Negative</v>
      </c>
      <c r="H422" s="219" t="str">
        <f t="array" ref="H422">INDEX(postDEL!$A$2:$AL799,$O422,37)</f>
        <v>Negative</v>
      </c>
      <c r="I422" s="217">
        <f t="array" ref="I422">INDEX(postDEL!$A$2:$AL799,$O422,12)</f>
        <v>44611</v>
      </c>
      <c r="J422" s="218">
        <f t="array" ref="J422">INDEX(postDEL!$A$2:$AL799,$O422,13)</f>
        <v>0.4882523148</v>
      </c>
      <c r="K422" s="219" t="str">
        <f t="array" ref="K422">INDEX(postDEL!$A$2:$AL799,$O422,36)</f>
        <v/>
      </c>
      <c r="L422" s="219" t="str">
        <f t="array" ref="L422">INDEX(postDEL!$A$2:$AL799,$O422,38)</f>
        <v/>
      </c>
      <c r="M422" s="219" t="str">
        <f t="array" ref="M422">INDEX(postDEL!$A$2:$AL799,$O422,15)</f>
        <v/>
      </c>
      <c r="N422" s="110">
        <f>COUNTIF(postDEL!$A$2:$A799,A422)</f>
        <v>1</v>
      </c>
      <c r="O422" s="19">
        <f>MATCH(A422,postDEL!A$2:A799,0)</f>
        <v>421</v>
      </c>
      <c r="P422" s="10" t="str">
        <f t="shared" si="1"/>
        <v/>
      </c>
      <c r="Q422" s="220">
        <f t="shared" si="2"/>
        <v>0</v>
      </c>
      <c r="R422" s="5"/>
    </row>
    <row r="423">
      <c r="A423" s="221" t="s">
        <v>1425</v>
      </c>
      <c r="B423" s="217">
        <f t="array" ref="B423">INDEX(postDEL!$A$2:$P799,$O423,2)</f>
        <v>44611</v>
      </c>
      <c r="C423" s="218">
        <f t="array" ref="C423">INDEX(postDEL!$A$2:$P799,$O423,3)</f>
        <v>0.3148842593</v>
      </c>
      <c r="D423" s="219" t="str">
        <f t="array" ref="D423">INDEX(postDEL!$A$2:$AN799,$O423,39)</f>
        <v>SpBEND139600</v>
      </c>
      <c r="E423" s="219" t="str">
        <f t="array" ref="E423">INDEX(postDEL!$A$2:$P799,$O423,4)</f>
        <v/>
      </c>
      <c r="F423" s="219" t="str">
        <f t="array" ref="F423">INDEX(postDEL!$A$2:$P799,$O423,5)</f>
        <v/>
      </c>
      <c r="G423" s="219" t="str">
        <f t="array" ref="G423">INDEX(postDEL!$A$2:$P799,$O423,11)</f>
        <v>Negative</v>
      </c>
      <c r="H423" s="219" t="str">
        <f t="array" ref="H423">INDEX(postDEL!$A$2:$AL799,$O423,37)</f>
        <v>Negative</v>
      </c>
      <c r="I423" s="217">
        <f t="array" ref="I423">INDEX(postDEL!$A$2:$AL799,$O423,12)</f>
        <v>44611</v>
      </c>
      <c r="J423" s="218">
        <f t="array" ref="J423">INDEX(postDEL!$A$2:$AL799,$O423,13)</f>
        <v>0.4882523148</v>
      </c>
      <c r="K423" s="219" t="str">
        <f t="array" ref="K423">INDEX(postDEL!$A$2:$AL799,$O423,36)</f>
        <v/>
      </c>
      <c r="L423" s="219" t="str">
        <f t="array" ref="L423">INDEX(postDEL!$A$2:$AL799,$O423,38)</f>
        <v/>
      </c>
      <c r="M423" s="219" t="str">
        <f t="array" ref="M423">INDEX(postDEL!$A$2:$AL799,$O423,15)</f>
        <v/>
      </c>
      <c r="N423" s="110">
        <f>COUNTIF(postDEL!$A$2:$A799,A423)</f>
        <v>1</v>
      </c>
      <c r="O423" s="19">
        <f>MATCH(A423,postDEL!A$2:A799,0)</f>
        <v>422</v>
      </c>
      <c r="P423" s="10" t="str">
        <f t="shared" si="1"/>
        <v/>
      </c>
      <c r="Q423" s="220">
        <f t="shared" si="2"/>
        <v>0</v>
      </c>
      <c r="R423" s="5"/>
    </row>
    <row r="424">
      <c r="A424" s="221" t="s">
        <v>1427</v>
      </c>
      <c r="B424" s="217">
        <f t="array" ref="B424">INDEX(postDEL!$A$2:$P799,$O424,2)</f>
        <v>44611</v>
      </c>
      <c r="C424" s="218">
        <f t="array" ref="C424">INDEX(postDEL!$A$2:$P799,$O424,3)</f>
        <v>0.3153587963</v>
      </c>
      <c r="D424" s="219" t="str">
        <f t="array" ref="D424">INDEX(postDEL!$A$2:$AN799,$O424,39)</f>
        <v>SpBEND845509</v>
      </c>
      <c r="E424" s="219" t="str">
        <f t="array" ref="E424">INDEX(postDEL!$A$2:$P799,$O424,4)</f>
        <v/>
      </c>
      <c r="F424" s="219" t="str">
        <f t="array" ref="F424">INDEX(postDEL!$A$2:$P799,$O424,5)</f>
        <v/>
      </c>
      <c r="G424" s="219" t="str">
        <f t="array" ref="G424">INDEX(postDEL!$A$2:$P799,$O424,11)</f>
        <v>Negative</v>
      </c>
      <c r="H424" s="219" t="str">
        <f t="array" ref="H424">INDEX(postDEL!$A$2:$AL799,$O424,37)</f>
        <v>Negative</v>
      </c>
      <c r="I424" s="217">
        <f t="array" ref="I424">INDEX(postDEL!$A$2:$AL799,$O424,12)</f>
        <v>44611</v>
      </c>
      <c r="J424" s="218">
        <f t="array" ref="J424">INDEX(postDEL!$A$2:$AL799,$O424,13)</f>
        <v>0.4882523148</v>
      </c>
      <c r="K424" s="219" t="str">
        <f t="array" ref="K424">INDEX(postDEL!$A$2:$AL799,$O424,36)</f>
        <v/>
      </c>
      <c r="L424" s="219" t="str">
        <f t="array" ref="L424">INDEX(postDEL!$A$2:$AL799,$O424,38)</f>
        <v/>
      </c>
      <c r="M424" s="219" t="str">
        <f t="array" ref="M424">INDEX(postDEL!$A$2:$AL799,$O424,15)</f>
        <v/>
      </c>
      <c r="N424" s="110">
        <f>COUNTIF(postDEL!$A$2:$A799,A424)</f>
        <v>1</v>
      </c>
      <c r="O424" s="19">
        <f>MATCH(A424,postDEL!A$2:A799,0)</f>
        <v>423</v>
      </c>
      <c r="P424" s="10" t="str">
        <f t="shared" si="1"/>
        <v/>
      </c>
      <c r="Q424" s="220">
        <f t="shared" si="2"/>
        <v>0</v>
      </c>
      <c r="R424" s="5"/>
    </row>
    <row r="425">
      <c r="A425" s="221" t="s">
        <v>1429</v>
      </c>
      <c r="B425" s="217">
        <f t="array" ref="B425">INDEX(postDEL!$A$2:$P799,$O425,2)</f>
        <v>44611</v>
      </c>
      <c r="C425" s="218">
        <f t="array" ref="C425">INDEX(postDEL!$A$2:$P799,$O425,3)</f>
        <v>0.3154282407</v>
      </c>
      <c r="D425" s="219" t="str">
        <f t="array" ref="D425">INDEX(postDEL!$A$2:$AN799,$O425,39)</f>
        <v>SpBEND385421</v>
      </c>
      <c r="E425" s="219" t="str">
        <f t="array" ref="E425">INDEX(postDEL!$A$2:$P799,$O425,4)</f>
        <v/>
      </c>
      <c r="F425" s="219" t="str">
        <f t="array" ref="F425">INDEX(postDEL!$A$2:$P799,$O425,5)</f>
        <v/>
      </c>
      <c r="G425" s="219" t="str">
        <f t="array" ref="G425">INDEX(postDEL!$A$2:$P799,$O425,11)</f>
        <v>Negative</v>
      </c>
      <c r="H425" s="219" t="str">
        <f t="array" ref="H425">INDEX(postDEL!$A$2:$AL799,$O425,37)</f>
        <v>Negative</v>
      </c>
      <c r="I425" s="217">
        <f t="array" ref="I425">INDEX(postDEL!$A$2:$AL799,$O425,12)</f>
        <v>44611</v>
      </c>
      <c r="J425" s="218">
        <f t="array" ref="J425">INDEX(postDEL!$A$2:$AL799,$O425,13)</f>
        <v>0.4882523148</v>
      </c>
      <c r="K425" s="219" t="str">
        <f t="array" ref="K425">INDEX(postDEL!$A$2:$AL799,$O425,36)</f>
        <v/>
      </c>
      <c r="L425" s="219" t="str">
        <f t="array" ref="L425">INDEX(postDEL!$A$2:$AL799,$O425,38)</f>
        <v/>
      </c>
      <c r="M425" s="219" t="str">
        <f t="array" ref="M425">INDEX(postDEL!$A$2:$AL799,$O425,15)</f>
        <v/>
      </c>
      <c r="N425" s="110">
        <f>COUNTIF(postDEL!$A$2:$A799,A425)</f>
        <v>1</v>
      </c>
      <c r="O425" s="19">
        <f>MATCH(A425,postDEL!A$2:A799,0)</f>
        <v>424</v>
      </c>
      <c r="P425" s="10" t="str">
        <f t="shared" si="1"/>
        <v/>
      </c>
      <c r="Q425" s="220">
        <f t="shared" si="2"/>
        <v>0</v>
      </c>
      <c r="R425" s="5"/>
    </row>
    <row r="426">
      <c r="A426" s="221" t="s">
        <v>1431</v>
      </c>
      <c r="B426" s="217">
        <f t="array" ref="B426">INDEX(postDEL!$A$2:$P799,$O426,2)</f>
        <v>44611</v>
      </c>
      <c r="C426" s="218">
        <f t="array" ref="C426">INDEX(postDEL!$A$2:$P799,$O426,3)</f>
        <v>0.3158101852</v>
      </c>
      <c r="D426" s="219" t="str">
        <f t="array" ref="D426">INDEX(postDEL!$A$2:$AN799,$O426,39)</f>
        <v>SpBEND269695</v>
      </c>
      <c r="E426" s="219" t="str">
        <f t="array" ref="E426">INDEX(postDEL!$A$2:$P799,$O426,4)</f>
        <v/>
      </c>
      <c r="F426" s="219" t="str">
        <f t="array" ref="F426">INDEX(postDEL!$A$2:$P799,$O426,5)</f>
        <v/>
      </c>
      <c r="G426" s="219" t="str">
        <f t="array" ref="G426">INDEX(postDEL!$A$2:$P799,$O426,11)</f>
        <v>Negative</v>
      </c>
      <c r="H426" s="219" t="str">
        <f t="array" ref="H426">INDEX(postDEL!$A$2:$AL799,$O426,37)</f>
        <v>Negative</v>
      </c>
      <c r="I426" s="217">
        <f t="array" ref="I426">INDEX(postDEL!$A$2:$AL799,$O426,12)</f>
        <v>44611</v>
      </c>
      <c r="J426" s="218">
        <f t="array" ref="J426">INDEX(postDEL!$A$2:$AL799,$O426,13)</f>
        <v>0.4882523148</v>
      </c>
      <c r="K426" s="219" t="str">
        <f t="array" ref="K426">INDEX(postDEL!$A$2:$AL799,$O426,36)</f>
        <v/>
      </c>
      <c r="L426" s="219" t="str">
        <f t="array" ref="L426">INDEX(postDEL!$A$2:$AL799,$O426,38)</f>
        <v/>
      </c>
      <c r="M426" s="219" t="str">
        <f t="array" ref="M426">INDEX(postDEL!$A$2:$AL799,$O426,15)</f>
        <v/>
      </c>
      <c r="N426" s="110">
        <f>COUNTIF(postDEL!$A$2:$A799,A426)</f>
        <v>1</v>
      </c>
      <c r="O426" s="19">
        <f>MATCH(A426,postDEL!A$2:A799,0)</f>
        <v>425</v>
      </c>
      <c r="P426" s="10" t="str">
        <f t="shared" si="1"/>
        <v/>
      </c>
      <c r="Q426" s="220">
        <f t="shared" si="2"/>
        <v>0</v>
      </c>
      <c r="R426" s="5"/>
    </row>
    <row r="427">
      <c r="A427" s="221" t="s">
        <v>1433</v>
      </c>
      <c r="B427" s="217">
        <f t="array" ref="B427">INDEX(postDEL!$A$2:$P799,$O427,2)</f>
        <v>44611</v>
      </c>
      <c r="C427" s="218">
        <f t="array" ref="C427">INDEX(postDEL!$A$2:$P799,$O427,3)</f>
        <v>0.3173611111</v>
      </c>
      <c r="D427" s="219" t="str">
        <f t="array" ref="D427">INDEX(postDEL!$A$2:$AN799,$O427,39)</f>
        <v>SpBEND474338</v>
      </c>
      <c r="E427" s="219" t="str">
        <f t="array" ref="E427">INDEX(postDEL!$A$2:$P799,$O427,4)</f>
        <v/>
      </c>
      <c r="F427" s="219" t="str">
        <f t="array" ref="F427">INDEX(postDEL!$A$2:$P799,$O427,5)</f>
        <v/>
      </c>
      <c r="G427" s="219" t="str">
        <f t="array" ref="G427">INDEX(postDEL!$A$2:$P799,$O427,11)</f>
        <v>Negative</v>
      </c>
      <c r="H427" s="219" t="str">
        <f t="array" ref="H427">INDEX(postDEL!$A$2:$AL799,$O427,37)</f>
        <v>Negative</v>
      </c>
      <c r="I427" s="217">
        <f t="array" ref="I427">INDEX(postDEL!$A$2:$AL799,$O427,12)</f>
        <v>44611</v>
      </c>
      <c r="J427" s="218">
        <f t="array" ref="J427">INDEX(postDEL!$A$2:$AL799,$O427,13)</f>
        <v>0.4882523148</v>
      </c>
      <c r="K427" s="219" t="str">
        <f t="array" ref="K427">INDEX(postDEL!$A$2:$AL799,$O427,36)</f>
        <v/>
      </c>
      <c r="L427" s="219" t="str">
        <f t="array" ref="L427">INDEX(postDEL!$A$2:$AL799,$O427,38)</f>
        <v/>
      </c>
      <c r="M427" s="219" t="str">
        <f t="array" ref="M427">INDEX(postDEL!$A$2:$AL799,$O427,15)</f>
        <v/>
      </c>
      <c r="N427" s="110">
        <f>COUNTIF(postDEL!$A$2:$A799,A427)</f>
        <v>1</v>
      </c>
      <c r="O427" s="19">
        <f>MATCH(A427,postDEL!A$2:A799,0)</f>
        <v>426</v>
      </c>
      <c r="P427" s="10" t="str">
        <f t="shared" si="1"/>
        <v/>
      </c>
      <c r="Q427" s="220">
        <f t="shared" si="2"/>
        <v>0</v>
      </c>
      <c r="R427" s="5"/>
    </row>
    <row r="428">
      <c r="A428" s="221" t="s">
        <v>1435</v>
      </c>
      <c r="B428" s="217">
        <f t="array" ref="B428">INDEX(postDEL!$A$2:$P799,$O428,2)</f>
        <v>44611</v>
      </c>
      <c r="C428" s="218">
        <f t="array" ref="C428">INDEX(postDEL!$A$2:$P799,$O428,3)</f>
        <v>0.3180439815</v>
      </c>
      <c r="D428" s="219" t="str">
        <f t="array" ref="D428">INDEX(postDEL!$A$2:$AN799,$O428,39)</f>
        <v>SpBEND587584</v>
      </c>
      <c r="E428" s="219" t="str">
        <f t="array" ref="E428">INDEX(postDEL!$A$2:$P799,$O428,4)</f>
        <v/>
      </c>
      <c r="F428" s="219" t="str">
        <f t="array" ref="F428">INDEX(postDEL!$A$2:$P799,$O428,5)</f>
        <v/>
      </c>
      <c r="G428" s="219" t="str">
        <f t="array" ref="G428">INDEX(postDEL!$A$2:$P799,$O428,11)</f>
        <v>Negative</v>
      </c>
      <c r="H428" s="219" t="str">
        <f t="array" ref="H428">INDEX(postDEL!$A$2:$AL799,$O428,37)</f>
        <v>Negative</v>
      </c>
      <c r="I428" s="217">
        <f t="array" ref="I428">INDEX(postDEL!$A$2:$AL799,$O428,12)</f>
        <v>44611</v>
      </c>
      <c r="J428" s="218">
        <f t="array" ref="J428">INDEX(postDEL!$A$2:$AL799,$O428,13)</f>
        <v>0.4882523148</v>
      </c>
      <c r="K428" s="219" t="str">
        <f t="array" ref="K428">INDEX(postDEL!$A$2:$AL799,$O428,36)</f>
        <v/>
      </c>
      <c r="L428" s="219" t="str">
        <f t="array" ref="L428">INDEX(postDEL!$A$2:$AL799,$O428,38)</f>
        <v/>
      </c>
      <c r="M428" s="219" t="str">
        <f t="array" ref="M428">INDEX(postDEL!$A$2:$AL799,$O428,15)</f>
        <v/>
      </c>
      <c r="N428" s="110">
        <f>COUNTIF(postDEL!$A$2:$A799,A428)</f>
        <v>1</v>
      </c>
      <c r="O428" s="19">
        <f>MATCH(A428,postDEL!A$2:A799,0)</f>
        <v>427</v>
      </c>
      <c r="P428" s="10" t="str">
        <f t="shared" si="1"/>
        <v/>
      </c>
      <c r="Q428" s="220">
        <f t="shared" si="2"/>
        <v>0</v>
      </c>
      <c r="R428" s="5"/>
    </row>
    <row r="429">
      <c r="A429" s="221" t="s">
        <v>1437</v>
      </c>
      <c r="B429" s="217">
        <f t="array" ref="B429">INDEX(postDEL!$A$2:$P799,$O429,2)</f>
        <v>44611</v>
      </c>
      <c r="C429" s="218">
        <f t="array" ref="C429">INDEX(postDEL!$A$2:$P799,$O429,3)</f>
        <v>0.318912037</v>
      </c>
      <c r="D429" s="219" t="str">
        <f t="array" ref="D429">INDEX(postDEL!$A$2:$AN799,$O429,39)</f>
        <v>SpBEND483335</v>
      </c>
      <c r="E429" s="219" t="str">
        <f t="array" ref="E429">INDEX(postDEL!$A$2:$P799,$O429,4)</f>
        <v/>
      </c>
      <c r="F429" s="219" t="str">
        <f t="array" ref="F429">INDEX(postDEL!$A$2:$P799,$O429,5)</f>
        <v/>
      </c>
      <c r="G429" s="219" t="str">
        <f t="array" ref="G429">INDEX(postDEL!$A$2:$P799,$O429,11)</f>
        <v>Negative</v>
      </c>
      <c r="H429" s="219" t="str">
        <f t="array" ref="H429">INDEX(postDEL!$A$2:$AL799,$O429,37)</f>
        <v>Negative</v>
      </c>
      <c r="I429" s="217">
        <f t="array" ref="I429">INDEX(postDEL!$A$2:$AL799,$O429,12)</f>
        <v>44611</v>
      </c>
      <c r="J429" s="218">
        <f t="array" ref="J429">INDEX(postDEL!$A$2:$AL799,$O429,13)</f>
        <v>0.4882523148</v>
      </c>
      <c r="K429" s="219" t="str">
        <f t="array" ref="K429">INDEX(postDEL!$A$2:$AL799,$O429,36)</f>
        <v/>
      </c>
      <c r="L429" s="219" t="str">
        <f t="array" ref="L429">INDEX(postDEL!$A$2:$AL799,$O429,38)</f>
        <v/>
      </c>
      <c r="M429" s="219" t="str">
        <f t="array" ref="M429">INDEX(postDEL!$A$2:$AL799,$O429,15)</f>
        <v/>
      </c>
      <c r="N429" s="110">
        <f>COUNTIF(postDEL!$A$2:$A799,A429)</f>
        <v>1</v>
      </c>
      <c r="O429" s="19">
        <f>MATCH(A429,postDEL!A$2:A799,0)</f>
        <v>428</v>
      </c>
      <c r="P429" s="10" t="str">
        <f t="shared" si="1"/>
        <v/>
      </c>
      <c r="Q429" s="220">
        <f t="shared" si="2"/>
        <v>0</v>
      </c>
      <c r="R429" s="5"/>
    </row>
    <row r="430">
      <c r="A430" s="221" t="s">
        <v>1439</v>
      </c>
      <c r="B430" s="217">
        <f t="array" ref="B430">INDEX(postDEL!$A$2:$P799,$O430,2)</f>
        <v>44611</v>
      </c>
      <c r="C430" s="218">
        <f t="array" ref="C430">INDEX(postDEL!$A$2:$P799,$O430,3)</f>
        <v>0.3209606481</v>
      </c>
      <c r="D430" s="219" t="str">
        <f t="array" ref="D430">INDEX(postDEL!$A$2:$AN799,$O430,39)</f>
        <v>SpBEND319298</v>
      </c>
      <c r="E430" s="219" t="str">
        <f t="array" ref="E430">INDEX(postDEL!$A$2:$P799,$O430,4)</f>
        <v/>
      </c>
      <c r="F430" s="219" t="str">
        <f t="array" ref="F430">INDEX(postDEL!$A$2:$P799,$O430,5)</f>
        <v/>
      </c>
      <c r="G430" s="219" t="str">
        <f t="array" ref="G430">INDEX(postDEL!$A$2:$P799,$O430,11)</f>
        <v>Negative</v>
      </c>
      <c r="H430" s="219" t="str">
        <f t="array" ref="H430">INDEX(postDEL!$A$2:$AL799,$O430,37)</f>
        <v>Negative</v>
      </c>
      <c r="I430" s="217">
        <f t="array" ref="I430">INDEX(postDEL!$A$2:$AL799,$O430,12)</f>
        <v>44611</v>
      </c>
      <c r="J430" s="218">
        <f t="array" ref="J430">INDEX(postDEL!$A$2:$AL799,$O430,13)</f>
        <v>0.4882523148</v>
      </c>
      <c r="K430" s="219" t="str">
        <f t="array" ref="K430">INDEX(postDEL!$A$2:$AL799,$O430,36)</f>
        <v/>
      </c>
      <c r="L430" s="219" t="str">
        <f t="array" ref="L430">INDEX(postDEL!$A$2:$AL799,$O430,38)</f>
        <v/>
      </c>
      <c r="M430" s="219" t="str">
        <f t="array" ref="M430">INDEX(postDEL!$A$2:$AL799,$O430,15)</f>
        <v/>
      </c>
      <c r="N430" s="110">
        <f>COUNTIF(postDEL!$A$2:$A799,A430)</f>
        <v>1</v>
      </c>
      <c r="O430" s="19">
        <f>MATCH(A430,postDEL!A$2:A799,0)</f>
        <v>429</v>
      </c>
      <c r="P430" s="10" t="str">
        <f t="shared" si="1"/>
        <v/>
      </c>
      <c r="Q430" s="220">
        <f t="shared" si="2"/>
        <v>0</v>
      </c>
      <c r="R430" s="5"/>
    </row>
    <row r="431">
      <c r="A431" s="221" t="s">
        <v>1441</v>
      </c>
      <c r="B431" s="217">
        <f t="array" ref="B431">INDEX(postDEL!$A$2:$P799,$O431,2)</f>
        <v>44611</v>
      </c>
      <c r="C431" s="218">
        <f t="array" ref="C431">INDEX(postDEL!$A$2:$P799,$O431,3)</f>
        <v>0.3225925926</v>
      </c>
      <c r="D431" s="219" t="str">
        <f t="array" ref="D431">INDEX(postDEL!$A$2:$AN799,$O431,39)</f>
        <v>SpBEND996809</v>
      </c>
      <c r="E431" s="219" t="str">
        <f t="array" ref="E431">INDEX(postDEL!$A$2:$P799,$O431,4)</f>
        <v/>
      </c>
      <c r="F431" s="219" t="str">
        <f t="array" ref="F431">INDEX(postDEL!$A$2:$P799,$O431,5)</f>
        <v/>
      </c>
      <c r="G431" s="219" t="str">
        <f t="array" ref="G431">INDEX(postDEL!$A$2:$P799,$O431,11)</f>
        <v>Negative</v>
      </c>
      <c r="H431" s="219" t="str">
        <f t="array" ref="H431">INDEX(postDEL!$A$2:$AL799,$O431,37)</f>
        <v>Negative</v>
      </c>
      <c r="I431" s="217">
        <f t="array" ref="I431">INDEX(postDEL!$A$2:$AL799,$O431,12)</f>
        <v>44611</v>
      </c>
      <c r="J431" s="218">
        <f t="array" ref="J431">INDEX(postDEL!$A$2:$AL799,$O431,13)</f>
        <v>0.4882523148</v>
      </c>
      <c r="K431" s="219" t="str">
        <f t="array" ref="K431">INDEX(postDEL!$A$2:$AL799,$O431,36)</f>
        <v/>
      </c>
      <c r="L431" s="219" t="str">
        <f t="array" ref="L431">INDEX(postDEL!$A$2:$AL799,$O431,38)</f>
        <v/>
      </c>
      <c r="M431" s="219" t="str">
        <f t="array" ref="M431">INDEX(postDEL!$A$2:$AL799,$O431,15)</f>
        <v/>
      </c>
      <c r="N431" s="110">
        <f>COUNTIF(postDEL!$A$2:$A799,A431)</f>
        <v>1</v>
      </c>
      <c r="O431" s="19">
        <f>MATCH(A431,postDEL!A$2:A799,0)</f>
        <v>430</v>
      </c>
      <c r="P431" s="10" t="str">
        <f t="shared" si="1"/>
        <v/>
      </c>
      <c r="Q431" s="220">
        <f t="shared" si="2"/>
        <v>0</v>
      </c>
      <c r="R431" s="5"/>
    </row>
    <row r="432">
      <c r="A432" s="221" t="s">
        <v>1443</v>
      </c>
      <c r="B432" s="217">
        <f t="array" ref="B432">INDEX(postDEL!$A$2:$P799,$O432,2)</f>
        <v>44611</v>
      </c>
      <c r="C432" s="218">
        <f t="array" ref="C432">INDEX(postDEL!$A$2:$P799,$O432,3)</f>
        <v>0.3233333333</v>
      </c>
      <c r="D432" s="219" t="str">
        <f t="array" ref="D432">INDEX(postDEL!$A$2:$AN799,$O432,39)</f>
        <v>SpBEND387578</v>
      </c>
      <c r="E432" s="219" t="str">
        <f t="array" ref="E432">INDEX(postDEL!$A$2:$P799,$O432,4)</f>
        <v/>
      </c>
      <c r="F432" s="219" t="str">
        <f t="array" ref="F432">INDEX(postDEL!$A$2:$P799,$O432,5)</f>
        <v/>
      </c>
      <c r="G432" s="219" t="str">
        <f t="array" ref="G432">INDEX(postDEL!$A$2:$P799,$O432,11)</f>
        <v>Negative</v>
      </c>
      <c r="H432" s="219" t="str">
        <f t="array" ref="H432">INDEX(postDEL!$A$2:$AL799,$O432,37)</f>
        <v>Negative</v>
      </c>
      <c r="I432" s="217">
        <f t="array" ref="I432">INDEX(postDEL!$A$2:$AL799,$O432,12)</f>
        <v>44611</v>
      </c>
      <c r="J432" s="218">
        <f t="array" ref="J432">INDEX(postDEL!$A$2:$AL799,$O432,13)</f>
        <v>0.4882523148</v>
      </c>
      <c r="K432" s="219" t="str">
        <f t="array" ref="K432">INDEX(postDEL!$A$2:$AL799,$O432,36)</f>
        <v/>
      </c>
      <c r="L432" s="219" t="str">
        <f t="array" ref="L432">INDEX(postDEL!$A$2:$AL799,$O432,38)</f>
        <v/>
      </c>
      <c r="M432" s="219" t="str">
        <f t="array" ref="M432">INDEX(postDEL!$A$2:$AL799,$O432,15)</f>
        <v/>
      </c>
      <c r="N432" s="110">
        <f>COUNTIF(postDEL!$A$2:$A799,A432)</f>
        <v>1</v>
      </c>
      <c r="O432" s="19">
        <f>MATCH(A432,postDEL!A$2:A799,0)</f>
        <v>431</v>
      </c>
      <c r="P432" s="10" t="str">
        <f t="shared" si="1"/>
        <v/>
      </c>
      <c r="Q432" s="220">
        <f t="shared" si="2"/>
        <v>0</v>
      </c>
      <c r="R432" s="5"/>
    </row>
    <row r="433">
      <c r="A433" s="221" t="s">
        <v>1445</v>
      </c>
      <c r="B433" s="217">
        <f t="array" ref="B433">INDEX(postDEL!$A$2:$P799,$O433,2)</f>
        <v>44611</v>
      </c>
      <c r="C433" s="218">
        <f t="array" ref="C433">INDEX(postDEL!$A$2:$P799,$O433,3)</f>
        <v>0.3257986111</v>
      </c>
      <c r="D433" s="219" t="str">
        <f t="array" ref="D433">INDEX(postDEL!$A$2:$AN799,$O433,39)</f>
        <v>SpBEND767550</v>
      </c>
      <c r="E433" s="219" t="str">
        <f t="array" ref="E433">INDEX(postDEL!$A$2:$P799,$O433,4)</f>
        <v/>
      </c>
      <c r="F433" s="219" t="str">
        <f t="array" ref="F433">INDEX(postDEL!$A$2:$P799,$O433,5)</f>
        <v/>
      </c>
      <c r="G433" s="219" t="str">
        <f t="array" ref="G433">INDEX(postDEL!$A$2:$P799,$O433,11)</f>
        <v>Negative</v>
      </c>
      <c r="H433" s="219" t="str">
        <f t="array" ref="H433">INDEX(postDEL!$A$2:$AL799,$O433,37)</f>
        <v>Negative</v>
      </c>
      <c r="I433" s="217">
        <f t="array" ref="I433">INDEX(postDEL!$A$2:$AL799,$O433,12)</f>
        <v>44611</v>
      </c>
      <c r="J433" s="218">
        <f t="array" ref="J433">INDEX(postDEL!$A$2:$AL799,$O433,13)</f>
        <v>0.4882523148</v>
      </c>
      <c r="K433" s="219" t="str">
        <f t="array" ref="K433">INDEX(postDEL!$A$2:$AL799,$O433,36)</f>
        <v/>
      </c>
      <c r="L433" s="219" t="str">
        <f t="array" ref="L433">INDEX(postDEL!$A$2:$AL799,$O433,38)</f>
        <v/>
      </c>
      <c r="M433" s="219" t="str">
        <f t="array" ref="M433">INDEX(postDEL!$A$2:$AL799,$O433,15)</f>
        <v/>
      </c>
      <c r="N433" s="110">
        <f>COUNTIF(postDEL!$A$2:$A799,A433)</f>
        <v>1</v>
      </c>
      <c r="O433" s="19">
        <f>MATCH(A433,postDEL!A$2:A799,0)</f>
        <v>432</v>
      </c>
      <c r="P433" s="10" t="str">
        <f t="shared" si="1"/>
        <v/>
      </c>
      <c r="Q433" s="220">
        <f t="shared" si="2"/>
        <v>0</v>
      </c>
      <c r="R433" s="5"/>
    </row>
    <row r="434">
      <c r="A434" s="221" t="s">
        <v>1447</v>
      </c>
      <c r="B434" s="217">
        <f t="array" ref="B434">INDEX(postDEL!$A$2:$P799,$O434,2)</f>
        <v>44611</v>
      </c>
      <c r="C434" s="218">
        <f t="array" ref="C434">INDEX(postDEL!$A$2:$P799,$O434,3)</f>
        <v>0.3263310185</v>
      </c>
      <c r="D434" s="219" t="str">
        <f t="array" ref="D434">INDEX(postDEL!$A$2:$AN799,$O434,39)</f>
        <v>SpBEND292554</v>
      </c>
      <c r="E434" s="219" t="str">
        <f t="array" ref="E434">INDEX(postDEL!$A$2:$P799,$O434,4)</f>
        <v/>
      </c>
      <c r="F434" s="219" t="str">
        <f t="array" ref="F434">INDEX(postDEL!$A$2:$P799,$O434,5)</f>
        <v/>
      </c>
      <c r="G434" s="219" t="str">
        <f t="array" ref="G434">INDEX(postDEL!$A$2:$P799,$O434,11)</f>
        <v>Negative</v>
      </c>
      <c r="H434" s="219" t="str">
        <f t="array" ref="H434">INDEX(postDEL!$A$2:$AL799,$O434,37)</f>
        <v>Negative</v>
      </c>
      <c r="I434" s="217">
        <f t="array" ref="I434">INDEX(postDEL!$A$2:$AL799,$O434,12)</f>
        <v>44611</v>
      </c>
      <c r="J434" s="218">
        <f t="array" ref="J434">INDEX(postDEL!$A$2:$AL799,$O434,13)</f>
        <v>0.4882523148</v>
      </c>
      <c r="K434" s="219" t="str">
        <f t="array" ref="K434">INDEX(postDEL!$A$2:$AL799,$O434,36)</f>
        <v/>
      </c>
      <c r="L434" s="219" t="str">
        <f t="array" ref="L434">INDEX(postDEL!$A$2:$AL799,$O434,38)</f>
        <v/>
      </c>
      <c r="M434" s="219" t="str">
        <f t="array" ref="M434">INDEX(postDEL!$A$2:$AL799,$O434,15)</f>
        <v/>
      </c>
      <c r="N434" s="110">
        <f>COUNTIF(postDEL!$A$2:$A799,A434)</f>
        <v>1</v>
      </c>
      <c r="O434" s="19">
        <f>MATCH(A434,postDEL!A$2:A799,0)</f>
        <v>433</v>
      </c>
      <c r="P434" s="10" t="str">
        <f t="shared" si="1"/>
        <v/>
      </c>
      <c r="Q434" s="220">
        <f t="shared" si="2"/>
        <v>0</v>
      </c>
      <c r="R434" s="5"/>
    </row>
    <row r="435">
      <c r="A435" s="221" t="s">
        <v>1449</v>
      </c>
      <c r="B435" s="217">
        <f t="array" ref="B435">INDEX(postDEL!$A$2:$P799,$O435,2)</f>
        <v>44611</v>
      </c>
      <c r="C435" s="218">
        <f t="array" ref="C435">INDEX(postDEL!$A$2:$P799,$O435,3)</f>
        <v>0.3278819444</v>
      </c>
      <c r="D435" s="219" t="str">
        <f t="array" ref="D435">INDEX(postDEL!$A$2:$AN799,$O435,39)</f>
        <v>SpBEND747592</v>
      </c>
      <c r="E435" s="219" t="str">
        <f t="array" ref="E435">INDEX(postDEL!$A$2:$P799,$O435,4)</f>
        <v/>
      </c>
      <c r="F435" s="219" t="str">
        <f t="array" ref="F435">INDEX(postDEL!$A$2:$P799,$O435,5)</f>
        <v/>
      </c>
      <c r="G435" s="219" t="str">
        <f t="array" ref="G435">INDEX(postDEL!$A$2:$P799,$O435,11)</f>
        <v>Negative</v>
      </c>
      <c r="H435" s="219" t="str">
        <f t="array" ref="H435">INDEX(postDEL!$A$2:$AL799,$O435,37)</f>
        <v>Negative</v>
      </c>
      <c r="I435" s="217">
        <f t="array" ref="I435">INDEX(postDEL!$A$2:$AL799,$O435,12)</f>
        <v>44611</v>
      </c>
      <c r="J435" s="218">
        <f t="array" ref="J435">INDEX(postDEL!$A$2:$AL799,$O435,13)</f>
        <v>0.4882638889</v>
      </c>
      <c r="K435" s="219" t="str">
        <f t="array" ref="K435">INDEX(postDEL!$A$2:$AL799,$O435,36)</f>
        <v/>
      </c>
      <c r="L435" s="219" t="str">
        <f t="array" ref="L435">INDEX(postDEL!$A$2:$AL799,$O435,38)</f>
        <v/>
      </c>
      <c r="M435" s="219" t="str">
        <f t="array" ref="M435">INDEX(postDEL!$A$2:$AL799,$O435,15)</f>
        <v/>
      </c>
      <c r="N435" s="110">
        <f>COUNTIF(postDEL!$A$2:$A799,A435)</f>
        <v>1</v>
      </c>
      <c r="O435" s="19">
        <f>MATCH(A435,postDEL!A$2:A799,0)</f>
        <v>434</v>
      </c>
      <c r="P435" s="10" t="str">
        <f t="shared" si="1"/>
        <v/>
      </c>
      <c r="Q435" s="220">
        <f t="shared" si="2"/>
        <v>0</v>
      </c>
      <c r="R435" s="5"/>
    </row>
    <row r="436">
      <c r="A436" s="221" t="s">
        <v>1451</v>
      </c>
      <c r="B436" s="217">
        <f t="array" ref="B436">INDEX(postDEL!$A$2:$P799,$O436,2)</f>
        <v>44611</v>
      </c>
      <c r="C436" s="218">
        <f t="array" ref="C436">INDEX(postDEL!$A$2:$P799,$O436,3)</f>
        <v>0.328900463</v>
      </c>
      <c r="D436" s="219" t="str">
        <f t="array" ref="D436">INDEX(postDEL!$A$2:$AN799,$O436,39)</f>
        <v>SpBEND425753</v>
      </c>
      <c r="E436" s="219" t="str">
        <f t="array" ref="E436">INDEX(postDEL!$A$2:$P799,$O436,4)</f>
        <v/>
      </c>
      <c r="F436" s="219" t="str">
        <f t="array" ref="F436">INDEX(postDEL!$A$2:$P799,$O436,5)</f>
        <v/>
      </c>
      <c r="G436" s="219" t="str">
        <f t="array" ref="G436">INDEX(postDEL!$A$2:$P799,$O436,11)</f>
        <v>Negative</v>
      </c>
      <c r="H436" s="219" t="str">
        <f t="array" ref="H436">INDEX(postDEL!$A$2:$AL799,$O436,37)</f>
        <v>Negative</v>
      </c>
      <c r="I436" s="217">
        <f t="array" ref="I436">INDEX(postDEL!$A$2:$AL799,$O436,12)</f>
        <v>44611</v>
      </c>
      <c r="J436" s="218">
        <f t="array" ref="J436">INDEX(postDEL!$A$2:$AL799,$O436,13)</f>
        <v>0.4882638889</v>
      </c>
      <c r="K436" s="219" t="str">
        <f t="array" ref="K436">INDEX(postDEL!$A$2:$AL799,$O436,36)</f>
        <v/>
      </c>
      <c r="L436" s="219" t="str">
        <f t="array" ref="L436">INDEX(postDEL!$A$2:$AL799,$O436,38)</f>
        <v/>
      </c>
      <c r="M436" s="219" t="str">
        <f t="array" ref="M436">INDEX(postDEL!$A$2:$AL799,$O436,15)</f>
        <v/>
      </c>
      <c r="N436" s="110">
        <f>COUNTIF(postDEL!$A$2:$A799,A436)</f>
        <v>1</v>
      </c>
      <c r="O436" s="19">
        <f>MATCH(A436,postDEL!A$2:A799,0)</f>
        <v>435</v>
      </c>
      <c r="P436" s="10" t="str">
        <f t="shared" si="1"/>
        <v/>
      </c>
      <c r="Q436" s="220">
        <f t="shared" si="2"/>
        <v>0</v>
      </c>
      <c r="R436" s="5"/>
    </row>
    <row r="437">
      <c r="A437" s="221" t="s">
        <v>1453</v>
      </c>
      <c r="B437" s="217">
        <f t="array" ref="B437">INDEX(postDEL!$A$2:$P799,$O437,2)</f>
        <v>44611</v>
      </c>
      <c r="C437" s="218">
        <f t="array" ref="C437">INDEX(postDEL!$A$2:$P799,$O437,3)</f>
        <v>0.3321875</v>
      </c>
      <c r="D437" s="219" t="str">
        <f t="array" ref="D437">INDEX(postDEL!$A$2:$AN799,$O437,39)</f>
        <v>SpBEND522465</v>
      </c>
      <c r="E437" s="219" t="str">
        <f t="array" ref="E437">INDEX(postDEL!$A$2:$P799,$O437,4)</f>
        <v/>
      </c>
      <c r="F437" s="219" t="str">
        <f t="array" ref="F437">INDEX(postDEL!$A$2:$P799,$O437,5)</f>
        <v/>
      </c>
      <c r="G437" s="219" t="str">
        <f t="array" ref="G437">INDEX(postDEL!$A$2:$P799,$O437,11)</f>
        <v>Negative</v>
      </c>
      <c r="H437" s="219" t="str">
        <f t="array" ref="H437">INDEX(postDEL!$A$2:$AL799,$O437,37)</f>
        <v>Negative</v>
      </c>
      <c r="I437" s="217">
        <f t="array" ref="I437">INDEX(postDEL!$A$2:$AL799,$O437,12)</f>
        <v>44611</v>
      </c>
      <c r="J437" s="218">
        <f t="array" ref="J437">INDEX(postDEL!$A$2:$AL799,$O437,13)</f>
        <v>0.4882638889</v>
      </c>
      <c r="K437" s="219" t="str">
        <f t="array" ref="K437">INDEX(postDEL!$A$2:$AL799,$O437,36)</f>
        <v/>
      </c>
      <c r="L437" s="219" t="str">
        <f t="array" ref="L437">INDEX(postDEL!$A$2:$AL799,$O437,38)</f>
        <v/>
      </c>
      <c r="M437" s="219" t="str">
        <f t="array" ref="M437">INDEX(postDEL!$A$2:$AL799,$O437,15)</f>
        <v/>
      </c>
      <c r="N437" s="110">
        <f>COUNTIF(postDEL!$A$2:$A799,A437)</f>
        <v>1</v>
      </c>
      <c r="O437" s="19">
        <f>MATCH(A437,postDEL!A$2:A799,0)</f>
        <v>436</v>
      </c>
      <c r="P437" s="10" t="str">
        <f t="shared" si="1"/>
        <v/>
      </c>
      <c r="Q437" s="220">
        <f t="shared" si="2"/>
        <v>0</v>
      </c>
      <c r="R437" s="5"/>
    </row>
    <row r="438">
      <c r="A438" s="221" t="s">
        <v>1457</v>
      </c>
      <c r="B438" s="217">
        <f t="array" ref="B438">INDEX(postDEL!$A$2:$P799,$O438,2)</f>
        <v>44611</v>
      </c>
      <c r="C438" s="218">
        <f t="array" ref="C438">INDEX(postDEL!$A$2:$P799,$O438,3)</f>
        <v>0.3321875</v>
      </c>
      <c r="D438" s="219" t="str">
        <f t="array" ref="D438">INDEX(postDEL!$A$2:$AN799,$O438,39)</f>
        <v>SpBEND183210</v>
      </c>
      <c r="E438" s="219" t="str">
        <f t="array" ref="E438">INDEX(postDEL!$A$2:$P799,$O438,4)</f>
        <v/>
      </c>
      <c r="F438" s="219" t="str">
        <f t="array" ref="F438">INDEX(postDEL!$A$2:$P799,$O438,5)</f>
        <v/>
      </c>
      <c r="G438" s="219" t="str">
        <f t="array" ref="G438">INDEX(postDEL!$A$2:$P799,$O438,11)</f>
        <v>Negative</v>
      </c>
      <c r="H438" s="219" t="str">
        <f t="array" ref="H438">INDEX(postDEL!$A$2:$AL799,$O438,37)</f>
        <v>Negative</v>
      </c>
      <c r="I438" s="217">
        <f t="array" ref="I438">INDEX(postDEL!$A$2:$AL799,$O438,12)</f>
        <v>44611</v>
      </c>
      <c r="J438" s="218">
        <f t="array" ref="J438">INDEX(postDEL!$A$2:$AL799,$O438,13)</f>
        <v>0.5041203704</v>
      </c>
      <c r="K438" s="219" t="str">
        <f t="array" ref="K438">INDEX(postDEL!$A$2:$AL799,$O438,36)</f>
        <v/>
      </c>
      <c r="L438" s="219" t="str">
        <f t="array" ref="L438">INDEX(postDEL!$A$2:$AL799,$O438,38)</f>
        <v/>
      </c>
      <c r="M438" s="219" t="str">
        <f t="array" ref="M438">INDEX(postDEL!$A$2:$AL799,$O438,15)</f>
        <v/>
      </c>
      <c r="N438" s="110">
        <f>COUNTIF(postDEL!$A$2:$A799,A438)</f>
        <v>1</v>
      </c>
      <c r="O438" s="19">
        <f>MATCH(A438,postDEL!A$2:A799,0)</f>
        <v>437</v>
      </c>
      <c r="P438" s="10" t="str">
        <f t="shared" si="1"/>
        <v/>
      </c>
      <c r="Q438" s="220">
        <f t="shared" si="2"/>
        <v>0</v>
      </c>
      <c r="R438" s="5"/>
    </row>
    <row r="439">
      <c r="A439" s="221" t="s">
        <v>1459</v>
      </c>
      <c r="B439" s="217">
        <f t="array" ref="B439">INDEX(postDEL!$A$2:$P799,$O439,2)</f>
        <v>44611</v>
      </c>
      <c r="C439" s="218">
        <f t="array" ref="C439">INDEX(postDEL!$A$2:$P799,$O439,3)</f>
        <v>0.3335763889</v>
      </c>
      <c r="D439" s="219" t="str">
        <f t="array" ref="D439">INDEX(postDEL!$A$2:$AN799,$O439,39)</f>
        <v>SpBEND183210</v>
      </c>
      <c r="E439" s="219" t="str">
        <f t="array" ref="E439">INDEX(postDEL!$A$2:$P799,$O439,4)</f>
        <v/>
      </c>
      <c r="F439" s="219" t="str">
        <f t="array" ref="F439">INDEX(postDEL!$A$2:$P799,$O439,5)</f>
        <v/>
      </c>
      <c r="G439" s="219" t="str">
        <f t="array" ref="G439">INDEX(postDEL!$A$2:$P799,$O439,11)</f>
        <v>Negative</v>
      </c>
      <c r="H439" s="219" t="str">
        <f t="array" ref="H439">INDEX(postDEL!$A$2:$AL799,$O439,37)</f>
        <v>Negative</v>
      </c>
      <c r="I439" s="217">
        <f t="array" ref="I439">INDEX(postDEL!$A$2:$AL799,$O439,12)</f>
        <v>44611</v>
      </c>
      <c r="J439" s="218">
        <f t="array" ref="J439">INDEX(postDEL!$A$2:$AL799,$O439,13)</f>
        <v>0.4882638889</v>
      </c>
      <c r="K439" s="219" t="str">
        <f t="array" ref="K439">INDEX(postDEL!$A$2:$AL799,$O439,36)</f>
        <v/>
      </c>
      <c r="L439" s="219" t="str">
        <f t="array" ref="L439">INDEX(postDEL!$A$2:$AL799,$O439,38)</f>
        <v/>
      </c>
      <c r="M439" s="219" t="str">
        <f t="array" ref="M439">INDEX(postDEL!$A$2:$AL799,$O439,15)</f>
        <v/>
      </c>
      <c r="N439" s="110">
        <f>COUNTIF(postDEL!$A$2:$A799,A439)</f>
        <v>1</v>
      </c>
      <c r="O439" s="19">
        <f>MATCH(A439,postDEL!A$2:A799,0)</f>
        <v>438</v>
      </c>
      <c r="P439" s="10" t="str">
        <f t="shared" si="1"/>
        <v/>
      </c>
      <c r="Q439" s="220">
        <f t="shared" si="2"/>
        <v>0</v>
      </c>
      <c r="R439" s="5"/>
    </row>
    <row r="440">
      <c r="A440" s="221" t="s">
        <v>1462</v>
      </c>
      <c r="B440" s="217">
        <f t="array" ref="B440">INDEX(postDEL!$A$2:$P799,$O440,2)</f>
        <v>44611</v>
      </c>
      <c r="C440" s="218">
        <f t="array" ref="C440">INDEX(postDEL!$A$2:$P799,$O440,3)</f>
        <v>0.3342824074</v>
      </c>
      <c r="D440" s="219" t="str">
        <f t="array" ref="D440">INDEX(postDEL!$A$2:$AN799,$O440,39)</f>
        <v>SpBEND522465</v>
      </c>
      <c r="E440" s="219" t="str">
        <f t="array" ref="E440">INDEX(postDEL!$A$2:$P799,$O440,4)</f>
        <v/>
      </c>
      <c r="F440" s="219" t="str">
        <f t="array" ref="F440">INDEX(postDEL!$A$2:$P799,$O440,5)</f>
        <v/>
      </c>
      <c r="G440" s="219" t="str">
        <f t="array" ref="G440">INDEX(postDEL!$A$2:$P799,$O440,11)</f>
        <v>Negative</v>
      </c>
      <c r="H440" s="219" t="str">
        <f t="array" ref="H440">INDEX(postDEL!$A$2:$AL799,$O440,37)</f>
        <v>Negative</v>
      </c>
      <c r="I440" s="217">
        <f t="array" ref="I440">INDEX(postDEL!$A$2:$AL799,$O440,12)</f>
        <v>44611</v>
      </c>
      <c r="J440" s="218">
        <f t="array" ref="J440">INDEX(postDEL!$A$2:$AL799,$O440,13)</f>
        <v>0.4882638889</v>
      </c>
      <c r="K440" s="219" t="str">
        <f t="array" ref="K440">INDEX(postDEL!$A$2:$AL799,$O440,36)</f>
        <v/>
      </c>
      <c r="L440" s="219" t="str">
        <f t="array" ref="L440">INDEX(postDEL!$A$2:$AL799,$O440,38)</f>
        <v/>
      </c>
      <c r="M440" s="219" t="str">
        <f t="array" ref="M440">INDEX(postDEL!$A$2:$AL799,$O440,15)</f>
        <v/>
      </c>
      <c r="N440" s="110">
        <f>COUNTIF(postDEL!$A$2:$A799,A440)</f>
        <v>1</v>
      </c>
      <c r="O440" s="19">
        <f>MATCH(A440,postDEL!A$2:A799,0)</f>
        <v>439</v>
      </c>
      <c r="P440" s="10" t="str">
        <f t="shared" si="1"/>
        <v/>
      </c>
      <c r="Q440" s="220">
        <f t="shared" si="2"/>
        <v>0</v>
      </c>
      <c r="R440" s="5"/>
    </row>
    <row r="441">
      <c r="A441" s="221" t="s">
        <v>1464</v>
      </c>
      <c r="B441" s="217">
        <f t="array" ref="B441">INDEX(postDEL!$A$2:$P799,$O441,2)</f>
        <v>44611</v>
      </c>
      <c r="C441" s="218">
        <f t="array" ref="C441">INDEX(postDEL!$A$2:$P799,$O441,3)</f>
        <v>0.3347106481</v>
      </c>
      <c r="D441" s="219" t="str">
        <f t="array" ref="D441">INDEX(postDEL!$A$2:$AN799,$O441,39)</f>
        <v>SpBEND522465</v>
      </c>
      <c r="E441" s="219" t="str">
        <f t="array" ref="E441">INDEX(postDEL!$A$2:$P799,$O441,4)</f>
        <v/>
      </c>
      <c r="F441" s="219" t="str">
        <f t="array" ref="F441">INDEX(postDEL!$A$2:$P799,$O441,5)</f>
        <v/>
      </c>
      <c r="G441" s="219" t="str">
        <f t="array" ref="G441">INDEX(postDEL!$A$2:$P799,$O441,11)</f>
        <v>Negative</v>
      </c>
      <c r="H441" s="219" t="str">
        <f t="array" ref="H441">INDEX(postDEL!$A$2:$AL799,$O441,37)</f>
        <v>Negative</v>
      </c>
      <c r="I441" s="217">
        <f t="array" ref="I441">INDEX(postDEL!$A$2:$AL799,$O441,12)</f>
        <v>44611</v>
      </c>
      <c r="J441" s="218">
        <f t="array" ref="J441">INDEX(postDEL!$A$2:$AL799,$O441,13)</f>
        <v>0.4882638889</v>
      </c>
      <c r="K441" s="219" t="str">
        <f t="array" ref="K441">INDEX(postDEL!$A$2:$AL799,$O441,36)</f>
        <v/>
      </c>
      <c r="L441" s="219" t="str">
        <f t="array" ref="L441">INDEX(postDEL!$A$2:$AL799,$O441,38)</f>
        <v/>
      </c>
      <c r="M441" s="219" t="str">
        <f t="array" ref="M441">INDEX(postDEL!$A$2:$AL799,$O441,15)</f>
        <v/>
      </c>
      <c r="N441" s="110">
        <f>COUNTIF(postDEL!$A$2:$A799,A441)</f>
        <v>1</v>
      </c>
      <c r="O441" s="19">
        <f>MATCH(A441,postDEL!A$2:A799,0)</f>
        <v>440</v>
      </c>
      <c r="P441" s="10" t="str">
        <f t="shared" si="1"/>
        <v/>
      </c>
      <c r="Q441" s="220">
        <f t="shared" si="2"/>
        <v>0</v>
      </c>
      <c r="R441" s="5"/>
    </row>
    <row r="442">
      <c r="A442" s="221" t="s">
        <v>1467</v>
      </c>
      <c r="B442" s="217">
        <f t="array" ref="B442">INDEX(postDEL!$A$2:$P799,$O442,2)</f>
        <v>44611</v>
      </c>
      <c r="C442" s="218">
        <f t="array" ref="C442">INDEX(postDEL!$A$2:$P799,$O442,3)</f>
        <v>0.3349537037</v>
      </c>
      <c r="D442" s="219" t="str">
        <f t="array" ref="D442">INDEX(postDEL!$A$2:$AN799,$O442,39)</f>
        <v>SpBEND183210</v>
      </c>
      <c r="E442" s="219" t="str">
        <f t="array" ref="E442">INDEX(postDEL!$A$2:$P799,$O442,4)</f>
        <v/>
      </c>
      <c r="F442" s="219" t="str">
        <f t="array" ref="F442">INDEX(postDEL!$A$2:$P799,$O442,5)</f>
        <v/>
      </c>
      <c r="G442" s="219" t="str">
        <f t="array" ref="G442">INDEX(postDEL!$A$2:$P799,$O442,11)</f>
        <v>Negative</v>
      </c>
      <c r="H442" s="219" t="str">
        <f t="array" ref="H442">INDEX(postDEL!$A$2:$AL799,$O442,37)</f>
        <v>Negative</v>
      </c>
      <c r="I442" s="217">
        <f t="array" ref="I442">INDEX(postDEL!$A$2:$AL799,$O442,12)</f>
        <v>44611</v>
      </c>
      <c r="J442" s="218">
        <f t="array" ref="J442">INDEX(postDEL!$A$2:$AL799,$O442,13)</f>
        <v>0.5041203704</v>
      </c>
      <c r="K442" s="219" t="str">
        <f t="array" ref="K442">INDEX(postDEL!$A$2:$AL799,$O442,36)</f>
        <v/>
      </c>
      <c r="L442" s="219" t="str">
        <f t="array" ref="L442">INDEX(postDEL!$A$2:$AL799,$O442,38)</f>
        <v/>
      </c>
      <c r="M442" s="219" t="str">
        <f t="array" ref="M442">INDEX(postDEL!$A$2:$AL799,$O442,15)</f>
        <v/>
      </c>
      <c r="N442" s="110">
        <f>COUNTIF(postDEL!$A$2:$A799,A442)</f>
        <v>1</v>
      </c>
      <c r="O442" s="19">
        <f>MATCH(A442,postDEL!A$2:A799,0)</f>
        <v>441</v>
      </c>
      <c r="P442" s="10" t="str">
        <f t="shared" si="1"/>
        <v/>
      </c>
      <c r="Q442" s="220">
        <f t="shared" si="2"/>
        <v>0</v>
      </c>
      <c r="R442" s="5"/>
    </row>
    <row r="443">
      <c r="A443" s="221" t="s">
        <v>1470</v>
      </c>
      <c r="B443" s="217">
        <f t="array" ref="B443">INDEX(postDEL!$A$2:$P799,$O443,2)</f>
        <v>44611</v>
      </c>
      <c r="C443" s="218">
        <f t="array" ref="C443">INDEX(postDEL!$A$2:$P799,$O443,3)</f>
        <v>0.3452893519</v>
      </c>
      <c r="D443" s="219" t="str">
        <f t="array" ref="D443">INDEX(postDEL!$A$2:$AN799,$O443,39)</f>
        <v>SpBEND136234</v>
      </c>
      <c r="E443" s="219" t="str">
        <f t="array" ref="E443">INDEX(postDEL!$A$2:$P799,$O443,4)</f>
        <v/>
      </c>
      <c r="F443" s="219" t="str">
        <f t="array" ref="F443">INDEX(postDEL!$A$2:$P799,$O443,5)</f>
        <v/>
      </c>
      <c r="G443" s="219" t="str">
        <f t="array" ref="G443">INDEX(postDEL!$A$2:$P799,$O443,11)</f>
        <v>Negative</v>
      </c>
      <c r="H443" s="219" t="str">
        <f t="array" ref="H443">INDEX(postDEL!$A$2:$AL799,$O443,37)</f>
        <v>Negative</v>
      </c>
      <c r="I443" s="217">
        <f t="array" ref="I443">INDEX(postDEL!$A$2:$AL799,$O443,12)</f>
        <v>44611</v>
      </c>
      <c r="J443" s="218">
        <f t="array" ref="J443">INDEX(postDEL!$A$2:$AL799,$O443,13)</f>
        <v>0.4882638889</v>
      </c>
      <c r="K443" s="219" t="str">
        <f t="array" ref="K443">INDEX(postDEL!$A$2:$AL799,$O443,36)</f>
        <v/>
      </c>
      <c r="L443" s="219" t="str">
        <f t="array" ref="L443">INDEX(postDEL!$A$2:$AL799,$O443,38)</f>
        <v/>
      </c>
      <c r="M443" s="219" t="str">
        <f t="array" ref="M443">INDEX(postDEL!$A$2:$AL799,$O443,15)</f>
        <v/>
      </c>
      <c r="N443" s="110">
        <f>COUNTIF(postDEL!$A$2:$A799,A443)</f>
        <v>1</v>
      </c>
      <c r="O443" s="19">
        <f>MATCH(A443,postDEL!A$2:A799,0)</f>
        <v>442</v>
      </c>
      <c r="P443" s="10" t="str">
        <f t="shared" si="1"/>
        <v/>
      </c>
      <c r="Q443" s="220">
        <f t="shared" si="2"/>
        <v>0</v>
      </c>
      <c r="R443" s="5"/>
    </row>
    <row r="444">
      <c r="A444" s="221" t="s">
        <v>1472</v>
      </c>
      <c r="B444" s="217">
        <f t="array" ref="B444">INDEX(postDEL!$A$2:$P799,$O444,2)</f>
        <v>44611</v>
      </c>
      <c r="C444" s="218">
        <f t="array" ref="C444">INDEX(postDEL!$A$2:$P799,$O444,3)</f>
        <v>0.3456018519</v>
      </c>
      <c r="D444" s="219" t="str">
        <f t="array" ref="D444">INDEX(postDEL!$A$2:$AN799,$O444,39)</f>
        <v>SpBEND524085</v>
      </c>
      <c r="E444" s="219" t="str">
        <f t="array" ref="E444">INDEX(postDEL!$A$2:$P799,$O444,4)</f>
        <v/>
      </c>
      <c r="F444" s="219" t="str">
        <f t="array" ref="F444">INDEX(postDEL!$A$2:$P799,$O444,5)</f>
        <v/>
      </c>
      <c r="G444" s="219" t="str">
        <f t="array" ref="G444">INDEX(postDEL!$A$2:$P799,$O444,11)</f>
        <v>Negative</v>
      </c>
      <c r="H444" s="219" t="str">
        <f t="array" ref="H444">INDEX(postDEL!$A$2:$AL799,$O444,37)</f>
        <v>Negative</v>
      </c>
      <c r="I444" s="217">
        <f t="array" ref="I444">INDEX(postDEL!$A$2:$AL799,$O444,12)</f>
        <v>44611</v>
      </c>
      <c r="J444" s="218">
        <f t="array" ref="J444">INDEX(postDEL!$A$2:$AL799,$O444,13)</f>
        <v>0.4882638889</v>
      </c>
      <c r="K444" s="219" t="str">
        <f t="array" ref="K444">INDEX(postDEL!$A$2:$AL799,$O444,36)</f>
        <v/>
      </c>
      <c r="L444" s="219" t="str">
        <f t="array" ref="L444">INDEX(postDEL!$A$2:$AL799,$O444,38)</f>
        <v/>
      </c>
      <c r="M444" s="219" t="str">
        <f t="array" ref="M444">INDEX(postDEL!$A$2:$AL799,$O444,15)</f>
        <v/>
      </c>
      <c r="N444" s="110">
        <f>COUNTIF(postDEL!$A$2:$A799,A444)</f>
        <v>1</v>
      </c>
      <c r="O444" s="19">
        <f>MATCH(A444,postDEL!A$2:A799,0)</f>
        <v>443</v>
      </c>
      <c r="P444" s="10" t="str">
        <f t="shared" si="1"/>
        <v/>
      </c>
      <c r="Q444" s="220">
        <f t="shared" si="2"/>
        <v>0</v>
      </c>
      <c r="R444" s="5"/>
    </row>
    <row r="445">
      <c r="A445" s="221" t="s">
        <v>1476</v>
      </c>
      <c r="B445" s="217">
        <f t="array" ref="B445">INDEX(postDEL!$A$2:$P799,$O445,2)</f>
        <v>44611</v>
      </c>
      <c r="C445" s="218">
        <f t="array" ref="C445">INDEX(postDEL!$A$2:$P799,$O445,3)</f>
        <v>0.4735300926</v>
      </c>
      <c r="D445" s="219" t="str">
        <f t="array" ref="D445">INDEX(postDEL!$A$2:$AN799,$O445,39)</f>
        <v>SpBEND394154</v>
      </c>
      <c r="E445" s="219" t="str">
        <f t="array" ref="E445">INDEX(postDEL!$A$2:$P799,$O445,4)</f>
        <v/>
      </c>
      <c r="F445" s="219" t="str">
        <f t="array" ref="F445">INDEX(postDEL!$A$2:$P799,$O445,5)</f>
        <v/>
      </c>
      <c r="G445" s="219" t="str">
        <f t="array" ref="G445">INDEX(postDEL!$A$2:$P799,$O445,11)</f>
        <v>Negative</v>
      </c>
      <c r="H445" s="219" t="str">
        <f t="array" ref="H445">INDEX(postDEL!$A$2:$AL799,$O445,37)</f>
        <v>Negative</v>
      </c>
      <c r="I445" s="217">
        <f t="array" ref="I445">INDEX(postDEL!$A$2:$AL799,$O445,12)</f>
        <v>44611</v>
      </c>
      <c r="J445" s="218">
        <f t="array" ref="J445">INDEX(postDEL!$A$2:$AL799,$O445,13)</f>
        <v>0.4882638889</v>
      </c>
      <c r="K445" s="219" t="str">
        <f t="array" ref="K445">INDEX(postDEL!$A$2:$AL799,$O445,36)</f>
        <v/>
      </c>
      <c r="L445" s="219" t="str">
        <f t="array" ref="L445">INDEX(postDEL!$A$2:$AL799,$O445,38)</f>
        <v/>
      </c>
      <c r="M445" s="219" t="str">
        <f t="array" ref="M445">INDEX(postDEL!$A$2:$AL799,$O445,15)</f>
        <v/>
      </c>
      <c r="N445" s="110">
        <f>COUNTIF(postDEL!$A$2:$A799,A445)</f>
        <v>1</v>
      </c>
      <c r="O445" s="19">
        <f>MATCH(A445,postDEL!A$2:A799,0)</f>
        <v>444</v>
      </c>
      <c r="P445" s="10" t="str">
        <f t="shared" si="1"/>
        <v/>
      </c>
      <c r="Q445" s="220">
        <f t="shared" si="2"/>
        <v>0</v>
      </c>
      <c r="R445" s="5"/>
    </row>
    <row r="446">
      <c r="A446" s="221" t="s">
        <v>1478</v>
      </c>
      <c r="B446" s="217">
        <f t="array" ref="B446">INDEX(postDEL!$A$2:$P799,$O446,2)</f>
        <v>44613</v>
      </c>
      <c r="C446" s="218">
        <f t="array" ref="C446">INDEX(postDEL!$A$2:$P799,$O446,3)</f>
        <v>0.2612152778</v>
      </c>
      <c r="D446" s="219" t="str">
        <f t="array" ref="D446">INDEX(postDEL!$A$2:$AN799,$O446,39)</f>
        <v>SpBEND617677</v>
      </c>
      <c r="E446" s="219" t="str">
        <f t="array" ref="E446">INDEX(postDEL!$A$2:$P799,$O446,4)</f>
        <v/>
      </c>
      <c r="F446" s="219" t="str">
        <f t="array" ref="F446">INDEX(postDEL!$A$2:$P799,$O446,5)</f>
        <v/>
      </c>
      <c r="G446" s="219" t="str">
        <f t="array" ref="G446">INDEX(postDEL!$A$2:$P799,$O446,11)</f>
        <v>Negative</v>
      </c>
      <c r="H446" s="219" t="str">
        <f t="array" ref="H446">INDEX(postDEL!$A$2:$AL799,$O446,37)</f>
        <v>Negative</v>
      </c>
      <c r="I446" s="217">
        <f t="array" ref="I446">INDEX(postDEL!$A$2:$AL799,$O446,12)</f>
        <v>44613</v>
      </c>
      <c r="J446" s="218">
        <f t="array" ref="J446">INDEX(postDEL!$A$2:$AL799,$O446,13)</f>
        <v>0.4693865741</v>
      </c>
      <c r="K446" s="219" t="str">
        <f t="array" ref="K446">INDEX(postDEL!$A$2:$AL799,$O446,36)</f>
        <v/>
      </c>
      <c r="L446" s="219" t="str">
        <f t="array" ref="L446">INDEX(postDEL!$A$2:$AL799,$O446,38)</f>
        <v/>
      </c>
      <c r="M446" s="219" t="str">
        <f t="array" ref="M446">INDEX(postDEL!$A$2:$AL799,$O446,15)</f>
        <v/>
      </c>
      <c r="N446" s="110">
        <f>COUNTIF(postDEL!$A$2:$A799,A446)</f>
        <v>1</v>
      </c>
      <c r="O446" s="19">
        <f>MATCH(A446,postDEL!A$2:A799,0)</f>
        <v>445</v>
      </c>
      <c r="P446" s="10" t="b">
        <f t="shared" si="1"/>
        <v>1</v>
      </c>
      <c r="Q446" s="220">
        <f t="shared" si="2"/>
        <v>0</v>
      </c>
      <c r="R446" s="5"/>
    </row>
    <row r="447">
      <c r="A447" s="221" t="s">
        <v>1480</v>
      </c>
      <c r="B447" s="217">
        <f t="array" ref="B447">INDEX(postDEL!$A$2:$P799,$O447,2)</f>
        <v>44613</v>
      </c>
      <c r="C447" s="218">
        <f t="array" ref="C447">INDEX(postDEL!$A$2:$P799,$O447,3)</f>
        <v>0.265162037</v>
      </c>
      <c r="D447" s="219" t="str">
        <f t="array" ref="D447">INDEX(postDEL!$A$2:$AN799,$O447,39)</f>
        <v>SpBEND672680</v>
      </c>
      <c r="E447" s="219" t="str">
        <f t="array" ref="E447">INDEX(postDEL!$A$2:$P799,$O447,4)</f>
        <v/>
      </c>
      <c r="F447" s="219" t="str">
        <f t="array" ref="F447">INDEX(postDEL!$A$2:$P799,$O447,5)</f>
        <v/>
      </c>
      <c r="G447" s="219" t="str">
        <f t="array" ref="G447">INDEX(postDEL!$A$2:$P799,$O447,11)</f>
        <v>Negative</v>
      </c>
      <c r="H447" s="219" t="str">
        <f t="array" ref="H447">INDEX(postDEL!$A$2:$AL799,$O447,37)</f>
        <v>Negative</v>
      </c>
      <c r="I447" s="217">
        <f t="array" ref="I447">INDEX(postDEL!$A$2:$AL799,$O447,12)</f>
        <v>44613</v>
      </c>
      <c r="J447" s="218">
        <f t="array" ref="J447">INDEX(postDEL!$A$2:$AL799,$O447,13)</f>
        <v>0.4693865741</v>
      </c>
      <c r="K447" s="219" t="str">
        <f t="array" ref="K447">INDEX(postDEL!$A$2:$AL799,$O447,36)</f>
        <v/>
      </c>
      <c r="L447" s="219" t="str">
        <f t="array" ref="L447">INDEX(postDEL!$A$2:$AL799,$O447,38)</f>
        <v/>
      </c>
      <c r="M447" s="219" t="str">
        <f t="array" ref="M447">INDEX(postDEL!$A$2:$AL799,$O447,15)</f>
        <v/>
      </c>
      <c r="N447" s="110">
        <f>COUNTIF(postDEL!$A$2:$A799,A447)</f>
        <v>1</v>
      </c>
      <c r="O447" s="19">
        <f>MATCH(A447,postDEL!A$2:A799,0)</f>
        <v>446</v>
      </c>
      <c r="P447" s="10" t="str">
        <f t="shared" si="1"/>
        <v/>
      </c>
      <c r="Q447" s="220">
        <f t="shared" si="2"/>
        <v>0</v>
      </c>
      <c r="R447" s="5"/>
    </row>
    <row r="448">
      <c r="A448" s="221" t="s">
        <v>1482</v>
      </c>
      <c r="B448" s="217">
        <f t="array" ref="B448">INDEX(postDEL!$A$2:$P799,$O448,2)</f>
        <v>44613</v>
      </c>
      <c r="C448" s="218">
        <f t="array" ref="C448">INDEX(postDEL!$A$2:$P799,$O448,3)</f>
        <v>0.266724537</v>
      </c>
      <c r="D448" s="219" t="str">
        <f t="array" ref="D448">INDEX(postDEL!$A$2:$AN799,$O448,39)</f>
        <v>SpBEND947055</v>
      </c>
      <c r="E448" s="219" t="str">
        <f t="array" ref="E448">INDEX(postDEL!$A$2:$P799,$O448,4)</f>
        <v/>
      </c>
      <c r="F448" s="219" t="str">
        <f t="array" ref="F448">INDEX(postDEL!$A$2:$P799,$O448,5)</f>
        <v/>
      </c>
      <c r="G448" s="219" t="str">
        <f t="array" ref="G448">INDEX(postDEL!$A$2:$P799,$O448,11)</f>
        <v>Negative</v>
      </c>
      <c r="H448" s="219" t="str">
        <f t="array" ref="H448">INDEX(postDEL!$A$2:$AL799,$O448,37)</f>
        <v>Negative</v>
      </c>
      <c r="I448" s="217">
        <f t="array" ref="I448">INDEX(postDEL!$A$2:$AL799,$O448,12)</f>
        <v>44613</v>
      </c>
      <c r="J448" s="218">
        <f t="array" ref="J448">INDEX(postDEL!$A$2:$AL799,$O448,13)</f>
        <v>0.4693981481</v>
      </c>
      <c r="K448" s="219" t="str">
        <f t="array" ref="K448">INDEX(postDEL!$A$2:$AL799,$O448,36)</f>
        <v/>
      </c>
      <c r="L448" s="219" t="str">
        <f t="array" ref="L448">INDEX(postDEL!$A$2:$AL799,$O448,38)</f>
        <v/>
      </c>
      <c r="M448" s="219" t="str">
        <f t="array" ref="M448">INDEX(postDEL!$A$2:$AL799,$O448,15)</f>
        <v/>
      </c>
      <c r="N448" s="110">
        <f>COUNTIF(postDEL!$A$2:$A799,A448)</f>
        <v>1</v>
      </c>
      <c r="O448" s="19">
        <f>MATCH(A448,postDEL!A$2:A799,0)</f>
        <v>447</v>
      </c>
      <c r="P448" s="10" t="str">
        <f t="shared" si="1"/>
        <v/>
      </c>
      <c r="Q448" s="220">
        <f t="shared" si="2"/>
        <v>0</v>
      </c>
      <c r="R448" s="5"/>
    </row>
    <row r="449">
      <c r="A449" s="221" t="s">
        <v>1484</v>
      </c>
      <c r="B449" s="217">
        <f t="array" ref="B449">INDEX(postDEL!$A$2:$P799,$O449,2)</f>
        <v>44613</v>
      </c>
      <c r="C449" s="218">
        <f t="array" ref="C449">INDEX(postDEL!$A$2:$P799,$O449,3)</f>
        <v>0.276099537</v>
      </c>
      <c r="D449" s="219" t="str">
        <f t="array" ref="D449">INDEX(postDEL!$A$2:$AN799,$O449,39)</f>
        <v>SpBEND670368</v>
      </c>
      <c r="E449" s="219" t="str">
        <f t="array" ref="E449">INDEX(postDEL!$A$2:$P799,$O449,4)</f>
        <v/>
      </c>
      <c r="F449" s="219" t="str">
        <f t="array" ref="F449">INDEX(postDEL!$A$2:$P799,$O449,5)</f>
        <v/>
      </c>
      <c r="G449" s="219" t="str">
        <f t="array" ref="G449">INDEX(postDEL!$A$2:$P799,$O449,11)</f>
        <v>Negative</v>
      </c>
      <c r="H449" s="219" t="str">
        <f t="array" ref="H449">INDEX(postDEL!$A$2:$AL799,$O449,37)</f>
        <v>Negative</v>
      </c>
      <c r="I449" s="217">
        <f t="array" ref="I449">INDEX(postDEL!$A$2:$AL799,$O449,12)</f>
        <v>44613</v>
      </c>
      <c r="J449" s="218">
        <f t="array" ref="J449">INDEX(postDEL!$A$2:$AL799,$O449,13)</f>
        <v>0.4693981481</v>
      </c>
      <c r="K449" s="219" t="str">
        <f t="array" ref="K449">INDEX(postDEL!$A$2:$AL799,$O449,36)</f>
        <v/>
      </c>
      <c r="L449" s="219" t="str">
        <f t="array" ref="L449">INDEX(postDEL!$A$2:$AL799,$O449,38)</f>
        <v/>
      </c>
      <c r="M449" s="219" t="str">
        <f t="array" ref="M449">INDEX(postDEL!$A$2:$AL799,$O449,15)</f>
        <v/>
      </c>
      <c r="N449" s="110">
        <f>COUNTIF(postDEL!$A$2:$A799,A449)</f>
        <v>1</v>
      </c>
      <c r="O449" s="19">
        <f>MATCH(A449,postDEL!A$2:A799,0)</f>
        <v>448</v>
      </c>
      <c r="P449" s="10" t="str">
        <f t="shared" si="1"/>
        <v/>
      </c>
      <c r="Q449" s="220">
        <f t="shared" si="2"/>
        <v>0</v>
      </c>
      <c r="R449" s="5"/>
    </row>
    <row r="450">
      <c r="A450" s="221" t="s">
        <v>1487</v>
      </c>
      <c r="B450" s="217">
        <f t="array" ref="B450">INDEX(postDEL!$A$2:$P799,$O450,2)</f>
        <v>44613</v>
      </c>
      <c r="C450" s="218">
        <f t="array" ref="C450">INDEX(postDEL!$A$2:$P799,$O450,3)</f>
        <v>0.2888425926</v>
      </c>
      <c r="D450" s="219" t="str">
        <f t="array" ref="D450">INDEX(postDEL!$A$2:$AN799,$O450,39)</f>
        <v>SpBEND737678</v>
      </c>
      <c r="E450" s="219" t="str">
        <f t="array" ref="E450">INDEX(postDEL!$A$2:$P799,$O450,4)</f>
        <v/>
      </c>
      <c r="F450" s="219" t="str">
        <f t="array" ref="F450">INDEX(postDEL!$A$2:$P799,$O450,5)</f>
        <v/>
      </c>
      <c r="G450" s="219" t="str">
        <f t="array" ref="G450">INDEX(postDEL!$A$2:$P799,$O450,11)</f>
        <v>Negative</v>
      </c>
      <c r="H450" s="219" t="str">
        <f t="array" ref="H450">INDEX(postDEL!$A$2:$AL799,$O450,37)</f>
        <v>Negative</v>
      </c>
      <c r="I450" s="217">
        <f t="array" ref="I450">INDEX(postDEL!$A$2:$AL799,$O450,12)</f>
        <v>44613</v>
      </c>
      <c r="J450" s="218">
        <f t="array" ref="J450">INDEX(postDEL!$A$2:$AL799,$O450,13)</f>
        <v>0.4693981481</v>
      </c>
      <c r="K450" s="219" t="str">
        <f t="array" ref="K450">INDEX(postDEL!$A$2:$AL799,$O450,36)</f>
        <v/>
      </c>
      <c r="L450" s="219" t="str">
        <f t="array" ref="L450">INDEX(postDEL!$A$2:$AL799,$O450,38)</f>
        <v/>
      </c>
      <c r="M450" s="219" t="str">
        <f t="array" ref="M450">INDEX(postDEL!$A$2:$AL799,$O450,15)</f>
        <v/>
      </c>
      <c r="N450" s="110">
        <f>COUNTIF(postDEL!$A$2:$A799,A450)</f>
        <v>1</v>
      </c>
      <c r="O450" s="19">
        <f>MATCH(A450,postDEL!A$2:A799,0)</f>
        <v>449</v>
      </c>
      <c r="P450" s="10" t="str">
        <f t="shared" si="1"/>
        <v/>
      </c>
      <c r="Q450" s="220">
        <f t="shared" si="2"/>
        <v>0</v>
      </c>
      <c r="R450" s="5"/>
    </row>
    <row r="451">
      <c r="A451" s="221" t="s">
        <v>1489</v>
      </c>
      <c r="B451" s="217">
        <f t="array" ref="B451">INDEX(postDEL!$A$2:$P799,$O451,2)</f>
        <v>44613</v>
      </c>
      <c r="C451" s="218">
        <f t="array" ref="C451">INDEX(postDEL!$A$2:$P799,$O451,3)</f>
        <v>0.2935763889</v>
      </c>
      <c r="D451" s="219" t="str">
        <f t="array" ref="D451">INDEX(postDEL!$A$2:$AN799,$O451,39)</f>
        <v>SpBEND321883</v>
      </c>
      <c r="E451" s="219" t="str">
        <f t="array" ref="E451">INDEX(postDEL!$A$2:$P799,$O451,4)</f>
        <v/>
      </c>
      <c r="F451" s="219" t="str">
        <f t="array" ref="F451">INDEX(postDEL!$A$2:$P799,$O451,5)</f>
        <v/>
      </c>
      <c r="G451" s="219" t="str">
        <f t="array" ref="G451">INDEX(postDEL!$A$2:$P799,$O451,11)</f>
        <v>Negative</v>
      </c>
      <c r="H451" s="219" t="str">
        <f t="array" ref="H451">INDEX(postDEL!$A$2:$AL799,$O451,37)</f>
        <v>Negative</v>
      </c>
      <c r="I451" s="217">
        <f t="array" ref="I451">INDEX(postDEL!$A$2:$AL799,$O451,12)</f>
        <v>44613</v>
      </c>
      <c r="J451" s="218">
        <f t="array" ref="J451">INDEX(postDEL!$A$2:$AL799,$O451,13)</f>
        <v>0.4693981481</v>
      </c>
      <c r="K451" s="219" t="str">
        <f t="array" ref="K451">INDEX(postDEL!$A$2:$AL799,$O451,36)</f>
        <v/>
      </c>
      <c r="L451" s="219" t="str">
        <f t="array" ref="L451">INDEX(postDEL!$A$2:$AL799,$O451,38)</f>
        <v/>
      </c>
      <c r="M451" s="219" t="str">
        <f t="array" ref="M451">INDEX(postDEL!$A$2:$AL799,$O451,15)</f>
        <v/>
      </c>
      <c r="N451" s="110">
        <f>COUNTIF(postDEL!$A$2:$A799,A451)</f>
        <v>1</v>
      </c>
      <c r="O451" s="19">
        <f>MATCH(A451,postDEL!A$2:A799,0)</f>
        <v>450</v>
      </c>
      <c r="P451" s="10" t="str">
        <f t="shared" si="1"/>
        <v/>
      </c>
      <c r="Q451" s="220">
        <f t="shared" si="2"/>
        <v>0</v>
      </c>
      <c r="R451" s="5"/>
    </row>
    <row r="452">
      <c r="A452" s="221" t="s">
        <v>1493</v>
      </c>
      <c r="B452" s="217">
        <f t="array" ref="B452">INDEX(postDEL!$A$2:$P799,$O452,2)</f>
        <v>44613</v>
      </c>
      <c r="C452" s="218">
        <f t="array" ref="C452">INDEX(postDEL!$A$2:$P799,$O452,3)</f>
        <v>0.3007175926</v>
      </c>
      <c r="D452" s="219" t="str">
        <f t="array" ref="D452">INDEX(postDEL!$A$2:$AN799,$O452,39)</f>
        <v>SpBEND734943</v>
      </c>
      <c r="E452" s="219" t="str">
        <f t="array" ref="E452">INDEX(postDEL!$A$2:$P799,$O452,4)</f>
        <v/>
      </c>
      <c r="F452" s="219" t="str">
        <f t="array" ref="F452">INDEX(postDEL!$A$2:$P799,$O452,5)</f>
        <v/>
      </c>
      <c r="G452" s="219" t="str">
        <f t="array" ref="G452">INDEX(postDEL!$A$2:$P799,$O452,11)</f>
        <v>Negative</v>
      </c>
      <c r="H452" s="219" t="str">
        <f t="array" ref="H452">INDEX(postDEL!$A$2:$AL799,$O452,37)</f>
        <v>Negative</v>
      </c>
      <c r="I452" s="217">
        <f t="array" ref="I452">INDEX(postDEL!$A$2:$AL799,$O452,12)</f>
        <v>44613</v>
      </c>
      <c r="J452" s="218">
        <f t="array" ref="J452">INDEX(postDEL!$A$2:$AL799,$O452,13)</f>
        <v>0.4693981481</v>
      </c>
      <c r="K452" s="219" t="str">
        <f t="array" ref="K452">INDEX(postDEL!$A$2:$AL799,$O452,36)</f>
        <v/>
      </c>
      <c r="L452" s="219" t="str">
        <f t="array" ref="L452">INDEX(postDEL!$A$2:$AL799,$O452,38)</f>
        <v/>
      </c>
      <c r="M452" s="219" t="str">
        <f t="array" ref="M452">INDEX(postDEL!$A$2:$AL799,$O452,15)</f>
        <v/>
      </c>
      <c r="N452" s="110">
        <f>COUNTIF(postDEL!$A$2:$A799,A452)</f>
        <v>1</v>
      </c>
      <c r="O452" s="19">
        <f>MATCH(A452,postDEL!A$2:A799,0)</f>
        <v>451</v>
      </c>
      <c r="P452" s="10" t="str">
        <f t="shared" si="1"/>
        <v/>
      </c>
      <c r="Q452" s="220">
        <f t="shared" si="2"/>
        <v>0</v>
      </c>
      <c r="R452" s="5"/>
    </row>
    <row r="453">
      <c r="A453" s="221" t="s">
        <v>1495</v>
      </c>
      <c r="B453" s="217">
        <f t="array" ref="B453">INDEX(postDEL!$A$2:$P799,$O453,2)</f>
        <v>44613</v>
      </c>
      <c r="C453" s="218">
        <f t="array" ref="C453">INDEX(postDEL!$A$2:$P799,$O453,3)</f>
        <v>0.3065509259</v>
      </c>
      <c r="D453" s="219" t="str">
        <f t="array" ref="D453">INDEX(postDEL!$A$2:$AN799,$O453,39)</f>
        <v>SpBEND842248</v>
      </c>
      <c r="E453" s="219" t="str">
        <f t="array" ref="E453">INDEX(postDEL!$A$2:$P799,$O453,4)</f>
        <v/>
      </c>
      <c r="F453" s="219" t="str">
        <f t="array" ref="F453">INDEX(postDEL!$A$2:$P799,$O453,5)</f>
        <v/>
      </c>
      <c r="G453" s="219" t="str">
        <f t="array" ref="G453">INDEX(postDEL!$A$2:$P799,$O453,11)</f>
        <v>Negative</v>
      </c>
      <c r="H453" s="219" t="str">
        <f t="array" ref="H453">INDEX(postDEL!$A$2:$AL799,$O453,37)</f>
        <v>Negative</v>
      </c>
      <c r="I453" s="217">
        <f t="array" ref="I453">INDEX(postDEL!$A$2:$AL799,$O453,12)</f>
        <v>44613</v>
      </c>
      <c r="J453" s="218">
        <f t="array" ref="J453">INDEX(postDEL!$A$2:$AL799,$O453,13)</f>
        <v>0.4693981481</v>
      </c>
      <c r="K453" s="219" t="str">
        <f t="array" ref="K453">INDEX(postDEL!$A$2:$AL799,$O453,36)</f>
        <v/>
      </c>
      <c r="L453" s="219" t="str">
        <f t="array" ref="L453">INDEX(postDEL!$A$2:$AL799,$O453,38)</f>
        <v/>
      </c>
      <c r="M453" s="219" t="str">
        <f t="array" ref="M453">INDEX(postDEL!$A$2:$AL799,$O453,15)</f>
        <v/>
      </c>
      <c r="N453" s="110">
        <f>COUNTIF(postDEL!$A$2:$A799,A453)</f>
        <v>1</v>
      </c>
      <c r="O453" s="19">
        <f>MATCH(A453,postDEL!A$2:A799,0)</f>
        <v>452</v>
      </c>
      <c r="P453" s="10" t="str">
        <f t="shared" si="1"/>
        <v/>
      </c>
      <c r="Q453" s="220">
        <f t="shared" si="2"/>
        <v>0</v>
      </c>
      <c r="R453" s="5"/>
    </row>
    <row r="454">
      <c r="A454" s="221" t="s">
        <v>1497</v>
      </c>
      <c r="B454" s="217">
        <f t="array" ref="B454">INDEX(postDEL!$A$2:$P799,$O454,2)</f>
        <v>44613</v>
      </c>
      <c r="C454" s="218">
        <f t="array" ref="C454">INDEX(postDEL!$A$2:$P799,$O454,3)</f>
        <v>0.307337963</v>
      </c>
      <c r="D454" s="219" t="str">
        <f t="array" ref="D454">INDEX(postDEL!$A$2:$AN799,$O454,39)</f>
        <v>SpBEND481988</v>
      </c>
      <c r="E454" s="219" t="str">
        <f t="array" ref="E454">INDEX(postDEL!$A$2:$P799,$O454,4)</f>
        <v/>
      </c>
      <c r="F454" s="219" t="str">
        <f t="array" ref="F454">INDEX(postDEL!$A$2:$P799,$O454,5)</f>
        <v/>
      </c>
      <c r="G454" s="219" t="str">
        <f t="array" ref="G454">INDEX(postDEL!$A$2:$P799,$O454,11)</f>
        <v>Negative</v>
      </c>
      <c r="H454" s="219" t="str">
        <f t="array" ref="H454">INDEX(postDEL!$A$2:$AL799,$O454,37)</f>
        <v>Negative</v>
      </c>
      <c r="I454" s="217">
        <f t="array" ref="I454">INDEX(postDEL!$A$2:$AL799,$O454,12)</f>
        <v>44613</v>
      </c>
      <c r="J454" s="218">
        <f t="array" ref="J454">INDEX(postDEL!$A$2:$AL799,$O454,13)</f>
        <v>0.4693981481</v>
      </c>
      <c r="K454" s="219" t="str">
        <f t="array" ref="K454">INDEX(postDEL!$A$2:$AL799,$O454,36)</f>
        <v/>
      </c>
      <c r="L454" s="219" t="str">
        <f t="array" ref="L454">INDEX(postDEL!$A$2:$AL799,$O454,38)</f>
        <v/>
      </c>
      <c r="M454" s="219" t="str">
        <f t="array" ref="M454">INDEX(postDEL!$A$2:$AL799,$O454,15)</f>
        <v/>
      </c>
      <c r="N454" s="110">
        <f>COUNTIF(postDEL!$A$2:$A799,A454)</f>
        <v>1</v>
      </c>
      <c r="O454" s="19">
        <f>MATCH(A454,postDEL!A$2:A799,0)</f>
        <v>453</v>
      </c>
      <c r="P454" s="10" t="str">
        <f t="shared" si="1"/>
        <v/>
      </c>
      <c r="Q454" s="220">
        <f t="shared" si="2"/>
        <v>0</v>
      </c>
      <c r="R454" s="5"/>
    </row>
    <row r="455">
      <c r="A455" s="221" t="s">
        <v>1499</v>
      </c>
      <c r="B455" s="217">
        <f t="array" ref="B455">INDEX(postDEL!$A$2:$P799,$O455,2)</f>
        <v>44613</v>
      </c>
      <c r="C455" s="218">
        <f t="array" ref="C455">INDEX(postDEL!$A$2:$P799,$O455,3)</f>
        <v>0.3089351852</v>
      </c>
      <c r="D455" s="219" t="str">
        <f t="array" ref="D455">INDEX(postDEL!$A$2:$AN799,$O455,39)</f>
        <v>SpBEND548976</v>
      </c>
      <c r="E455" s="219" t="str">
        <f t="array" ref="E455">INDEX(postDEL!$A$2:$P799,$O455,4)</f>
        <v/>
      </c>
      <c r="F455" s="219" t="str">
        <f t="array" ref="F455">INDEX(postDEL!$A$2:$P799,$O455,5)</f>
        <v/>
      </c>
      <c r="G455" s="219" t="str">
        <f t="array" ref="G455">INDEX(postDEL!$A$2:$P799,$O455,11)</f>
        <v>Negative</v>
      </c>
      <c r="H455" s="219" t="str">
        <f t="array" ref="H455">INDEX(postDEL!$A$2:$AL799,$O455,37)</f>
        <v>Negative</v>
      </c>
      <c r="I455" s="217">
        <f t="array" ref="I455">INDEX(postDEL!$A$2:$AL799,$O455,12)</f>
        <v>44613</v>
      </c>
      <c r="J455" s="218">
        <f t="array" ref="J455">INDEX(postDEL!$A$2:$AL799,$O455,13)</f>
        <v>0.4693981481</v>
      </c>
      <c r="K455" s="219" t="str">
        <f t="array" ref="K455">INDEX(postDEL!$A$2:$AL799,$O455,36)</f>
        <v/>
      </c>
      <c r="L455" s="219" t="str">
        <f t="array" ref="L455">INDEX(postDEL!$A$2:$AL799,$O455,38)</f>
        <v/>
      </c>
      <c r="M455" s="219" t="str">
        <f t="array" ref="M455">INDEX(postDEL!$A$2:$AL799,$O455,15)</f>
        <v/>
      </c>
      <c r="N455" s="110">
        <f>COUNTIF(postDEL!$A$2:$A799,A455)</f>
        <v>1</v>
      </c>
      <c r="O455" s="19">
        <f>MATCH(A455,postDEL!A$2:A799,0)</f>
        <v>454</v>
      </c>
      <c r="P455" s="10" t="str">
        <f t="shared" si="1"/>
        <v/>
      </c>
      <c r="Q455" s="220">
        <f t="shared" si="2"/>
        <v>0</v>
      </c>
      <c r="R455" s="5"/>
    </row>
    <row r="456">
      <c r="A456" s="221" t="s">
        <v>1501</v>
      </c>
      <c r="B456" s="217">
        <f t="array" ref="B456">INDEX(postDEL!$A$2:$P799,$O456,2)</f>
        <v>44613</v>
      </c>
      <c r="C456" s="218">
        <f t="array" ref="C456">INDEX(postDEL!$A$2:$P799,$O456,3)</f>
        <v>0.3109027778</v>
      </c>
      <c r="D456" s="219" t="str">
        <f t="array" ref="D456">INDEX(postDEL!$A$2:$AN799,$O456,39)</f>
        <v>SpBEND136234</v>
      </c>
      <c r="E456" s="219" t="str">
        <f t="array" ref="E456">INDEX(postDEL!$A$2:$P799,$O456,4)</f>
        <v/>
      </c>
      <c r="F456" s="219" t="str">
        <f t="array" ref="F456">INDEX(postDEL!$A$2:$P799,$O456,5)</f>
        <v/>
      </c>
      <c r="G456" s="219" t="str">
        <f t="array" ref="G456">INDEX(postDEL!$A$2:$P799,$O456,11)</f>
        <v>Negative</v>
      </c>
      <c r="H456" s="219" t="str">
        <f t="array" ref="H456">INDEX(postDEL!$A$2:$AL799,$O456,37)</f>
        <v>Negative</v>
      </c>
      <c r="I456" s="217">
        <f t="array" ref="I456">INDEX(postDEL!$A$2:$AL799,$O456,12)</f>
        <v>44613</v>
      </c>
      <c r="J456" s="218">
        <f t="array" ref="J456">INDEX(postDEL!$A$2:$AL799,$O456,13)</f>
        <v>0.4693981481</v>
      </c>
      <c r="K456" s="219" t="str">
        <f t="array" ref="K456">INDEX(postDEL!$A$2:$AL799,$O456,36)</f>
        <v/>
      </c>
      <c r="L456" s="219" t="str">
        <f t="array" ref="L456">INDEX(postDEL!$A$2:$AL799,$O456,38)</f>
        <v/>
      </c>
      <c r="M456" s="219" t="str">
        <f t="array" ref="M456">INDEX(postDEL!$A$2:$AL799,$O456,15)</f>
        <v/>
      </c>
      <c r="N456" s="110">
        <f>COUNTIF(postDEL!$A$2:$A799,A456)</f>
        <v>1</v>
      </c>
      <c r="O456" s="19">
        <f>MATCH(A456,postDEL!A$2:A799,0)</f>
        <v>455</v>
      </c>
      <c r="P456" s="10" t="str">
        <f t="shared" si="1"/>
        <v/>
      </c>
      <c r="Q456" s="220">
        <f t="shared" si="2"/>
        <v>0</v>
      </c>
      <c r="R456" s="5"/>
    </row>
    <row r="457">
      <c r="A457" s="221" t="s">
        <v>1503</v>
      </c>
      <c r="B457" s="217">
        <f t="array" ref="B457">INDEX(postDEL!$A$2:$P799,$O457,2)</f>
        <v>44613</v>
      </c>
      <c r="C457" s="218">
        <f t="array" ref="C457">INDEX(postDEL!$A$2:$P799,$O457,3)</f>
        <v>0.3148726852</v>
      </c>
      <c r="D457" s="219" t="str">
        <f t="array" ref="D457">INDEX(postDEL!$A$2:$AN799,$O457,39)</f>
        <v>SpBEND708976</v>
      </c>
      <c r="E457" s="219" t="str">
        <f t="array" ref="E457">INDEX(postDEL!$A$2:$P799,$O457,4)</f>
        <v/>
      </c>
      <c r="F457" s="219" t="str">
        <f t="array" ref="F457">INDEX(postDEL!$A$2:$P799,$O457,5)</f>
        <v/>
      </c>
      <c r="G457" s="219" t="str">
        <f t="array" ref="G457">INDEX(postDEL!$A$2:$P799,$O457,11)</f>
        <v>Negative</v>
      </c>
      <c r="H457" s="219" t="str">
        <f t="array" ref="H457">INDEX(postDEL!$A$2:$AL799,$O457,37)</f>
        <v>Negative</v>
      </c>
      <c r="I457" s="217">
        <f t="array" ref="I457">INDEX(postDEL!$A$2:$AL799,$O457,12)</f>
        <v>44613</v>
      </c>
      <c r="J457" s="218">
        <f t="array" ref="J457">INDEX(postDEL!$A$2:$AL799,$O457,13)</f>
        <v>0.4693981481</v>
      </c>
      <c r="K457" s="219" t="str">
        <f t="array" ref="K457">INDEX(postDEL!$A$2:$AL799,$O457,36)</f>
        <v/>
      </c>
      <c r="L457" s="219" t="str">
        <f t="array" ref="L457">INDEX(postDEL!$A$2:$AL799,$O457,38)</f>
        <v/>
      </c>
      <c r="M457" s="219" t="str">
        <f t="array" ref="M457">INDEX(postDEL!$A$2:$AL799,$O457,15)</f>
        <v/>
      </c>
      <c r="N457" s="110">
        <f>COUNTIF(postDEL!$A$2:$A799,A457)</f>
        <v>1</v>
      </c>
      <c r="O457" s="19">
        <f>MATCH(A457,postDEL!A$2:A799,0)</f>
        <v>456</v>
      </c>
      <c r="P457" s="10" t="str">
        <f t="shared" si="1"/>
        <v/>
      </c>
      <c r="Q457" s="220">
        <f t="shared" si="2"/>
        <v>0</v>
      </c>
      <c r="R457" s="5"/>
    </row>
    <row r="458">
      <c r="A458" s="221" t="s">
        <v>1505</v>
      </c>
      <c r="B458" s="217">
        <f t="array" ref="B458">INDEX(postDEL!$A$2:$P799,$O458,2)</f>
        <v>44613</v>
      </c>
      <c r="C458" s="218">
        <f t="array" ref="C458">INDEX(postDEL!$A$2:$P799,$O458,3)</f>
        <v>0.3150115741</v>
      </c>
      <c r="D458" s="219" t="str">
        <f t="array" ref="D458">INDEX(postDEL!$A$2:$AN799,$O458,39)</f>
        <v>SpBEND183210</v>
      </c>
      <c r="E458" s="219" t="str">
        <f t="array" ref="E458">INDEX(postDEL!$A$2:$P799,$O458,4)</f>
        <v/>
      </c>
      <c r="F458" s="219" t="str">
        <f t="array" ref="F458">INDEX(postDEL!$A$2:$P799,$O458,5)</f>
        <v/>
      </c>
      <c r="G458" s="219" t="str">
        <f t="array" ref="G458">INDEX(postDEL!$A$2:$P799,$O458,11)</f>
        <v>Negative</v>
      </c>
      <c r="H458" s="219" t="str">
        <f t="array" ref="H458">INDEX(postDEL!$A$2:$AL799,$O458,37)</f>
        <v>Negative</v>
      </c>
      <c r="I458" s="217">
        <f t="array" ref="I458">INDEX(postDEL!$A$2:$AL799,$O458,12)</f>
        <v>44613</v>
      </c>
      <c r="J458" s="218">
        <f t="array" ref="J458">INDEX(postDEL!$A$2:$AL799,$O458,13)</f>
        <v>0.4693981481</v>
      </c>
      <c r="K458" s="219" t="str">
        <f t="array" ref="K458">INDEX(postDEL!$A$2:$AL799,$O458,36)</f>
        <v/>
      </c>
      <c r="L458" s="219" t="str">
        <f t="array" ref="L458">INDEX(postDEL!$A$2:$AL799,$O458,38)</f>
        <v/>
      </c>
      <c r="M458" s="219" t="str">
        <f t="array" ref="M458">INDEX(postDEL!$A$2:$AL799,$O458,15)</f>
        <v/>
      </c>
      <c r="N458" s="110">
        <f>COUNTIF(postDEL!$A$2:$A799,A458)</f>
        <v>1</v>
      </c>
      <c r="O458" s="19">
        <f>MATCH(A458,postDEL!A$2:A799,0)</f>
        <v>457</v>
      </c>
      <c r="P458" s="10" t="str">
        <f t="shared" si="1"/>
        <v/>
      </c>
      <c r="Q458" s="220">
        <f t="shared" si="2"/>
        <v>0</v>
      </c>
      <c r="R458" s="5"/>
    </row>
    <row r="459">
      <c r="A459" s="221" t="s">
        <v>1507</v>
      </c>
      <c r="B459" s="217">
        <f t="array" ref="B459">INDEX(postDEL!$A$2:$P799,$O459,2)</f>
        <v>44613</v>
      </c>
      <c r="C459" s="218">
        <f t="array" ref="C459">INDEX(postDEL!$A$2:$P799,$O459,3)</f>
        <v>0.3159722222</v>
      </c>
      <c r="D459" s="219" t="str">
        <f t="array" ref="D459">INDEX(postDEL!$A$2:$AN799,$O459,39)</f>
        <v>SpBEND985296</v>
      </c>
      <c r="E459" s="219" t="str">
        <f t="array" ref="E459">INDEX(postDEL!$A$2:$P799,$O459,4)</f>
        <v/>
      </c>
      <c r="F459" s="219" t="str">
        <f t="array" ref="F459">INDEX(postDEL!$A$2:$P799,$O459,5)</f>
        <v/>
      </c>
      <c r="G459" s="219" t="str">
        <f t="array" ref="G459">INDEX(postDEL!$A$2:$P799,$O459,11)</f>
        <v>Negative</v>
      </c>
      <c r="H459" s="219" t="str">
        <f t="array" ref="H459">INDEX(postDEL!$A$2:$AL799,$O459,37)</f>
        <v>Negative</v>
      </c>
      <c r="I459" s="217">
        <f t="array" ref="I459">INDEX(postDEL!$A$2:$AL799,$O459,12)</f>
        <v>44613</v>
      </c>
      <c r="J459" s="218">
        <f t="array" ref="J459">INDEX(postDEL!$A$2:$AL799,$O459,13)</f>
        <v>0.4693981481</v>
      </c>
      <c r="K459" s="219" t="str">
        <f t="array" ref="K459">INDEX(postDEL!$A$2:$AL799,$O459,36)</f>
        <v/>
      </c>
      <c r="L459" s="219" t="str">
        <f t="array" ref="L459">INDEX(postDEL!$A$2:$AL799,$O459,38)</f>
        <v/>
      </c>
      <c r="M459" s="219" t="str">
        <f t="array" ref="M459">INDEX(postDEL!$A$2:$AL799,$O459,15)</f>
        <v/>
      </c>
      <c r="N459" s="110">
        <f>COUNTIF(postDEL!$A$2:$A799,A459)</f>
        <v>1</v>
      </c>
      <c r="O459" s="19">
        <f>MATCH(A459,postDEL!A$2:A799,0)</f>
        <v>458</v>
      </c>
      <c r="P459" s="10" t="str">
        <f t="shared" si="1"/>
        <v/>
      </c>
      <c r="Q459" s="220">
        <f t="shared" si="2"/>
        <v>0</v>
      </c>
      <c r="R459" s="5"/>
    </row>
    <row r="460">
      <c r="A460" s="221" t="s">
        <v>1509</v>
      </c>
      <c r="B460" s="217">
        <f t="array" ref="B460">INDEX(postDEL!$A$2:$P799,$O460,2)</f>
        <v>44613</v>
      </c>
      <c r="C460" s="218">
        <f t="array" ref="C460">INDEX(postDEL!$A$2:$P799,$O460,3)</f>
        <v>0.316724537</v>
      </c>
      <c r="D460" s="219" t="str">
        <f t="array" ref="D460">INDEX(postDEL!$A$2:$AN799,$O460,39)</f>
        <v>SpBEND845568</v>
      </c>
      <c r="E460" s="219" t="str">
        <f t="array" ref="E460">INDEX(postDEL!$A$2:$P799,$O460,4)</f>
        <v/>
      </c>
      <c r="F460" s="219" t="str">
        <f t="array" ref="F460">INDEX(postDEL!$A$2:$P799,$O460,5)</f>
        <v/>
      </c>
      <c r="G460" s="219" t="str">
        <f t="array" ref="G460">INDEX(postDEL!$A$2:$P799,$O460,11)</f>
        <v>Negative</v>
      </c>
      <c r="H460" s="219" t="str">
        <f t="array" ref="H460">INDEX(postDEL!$A$2:$AL799,$O460,37)</f>
        <v>Negative</v>
      </c>
      <c r="I460" s="217">
        <f t="array" ref="I460">INDEX(postDEL!$A$2:$AL799,$O460,12)</f>
        <v>44613</v>
      </c>
      <c r="J460" s="218">
        <f t="array" ref="J460">INDEX(postDEL!$A$2:$AL799,$O460,13)</f>
        <v>0.4693981481</v>
      </c>
      <c r="K460" s="219" t="str">
        <f t="array" ref="K460">INDEX(postDEL!$A$2:$AL799,$O460,36)</f>
        <v/>
      </c>
      <c r="L460" s="219" t="str">
        <f t="array" ref="L460">INDEX(postDEL!$A$2:$AL799,$O460,38)</f>
        <v/>
      </c>
      <c r="M460" s="219" t="str">
        <f t="array" ref="M460">INDEX(postDEL!$A$2:$AL799,$O460,15)</f>
        <v/>
      </c>
      <c r="N460" s="110">
        <f>COUNTIF(postDEL!$A$2:$A799,A460)</f>
        <v>1</v>
      </c>
      <c r="O460" s="19">
        <f>MATCH(A460,postDEL!A$2:A799,0)</f>
        <v>459</v>
      </c>
      <c r="P460" s="10" t="str">
        <f t="shared" si="1"/>
        <v/>
      </c>
      <c r="Q460" s="220">
        <f t="shared" si="2"/>
        <v>0</v>
      </c>
      <c r="R460" s="5"/>
    </row>
    <row r="461">
      <c r="A461" s="221" t="s">
        <v>1511</v>
      </c>
      <c r="B461" s="217">
        <f t="array" ref="B461">INDEX(postDEL!$A$2:$P799,$O461,2)</f>
        <v>44613</v>
      </c>
      <c r="C461" s="218">
        <f t="array" ref="C461">INDEX(postDEL!$A$2:$P799,$O461,3)</f>
        <v>0.3174652778</v>
      </c>
      <c r="D461" s="219" t="str">
        <f t="array" ref="D461">INDEX(postDEL!$A$2:$AN799,$O461,39)</f>
        <v>SpBEND279112</v>
      </c>
      <c r="E461" s="219" t="str">
        <f t="array" ref="E461">INDEX(postDEL!$A$2:$P799,$O461,4)</f>
        <v/>
      </c>
      <c r="F461" s="219" t="str">
        <f t="array" ref="F461">INDEX(postDEL!$A$2:$P799,$O461,5)</f>
        <v/>
      </c>
      <c r="G461" s="219" t="str">
        <f t="array" ref="G461">INDEX(postDEL!$A$2:$P799,$O461,11)</f>
        <v>Negative</v>
      </c>
      <c r="H461" s="219" t="str">
        <f t="array" ref="H461">INDEX(postDEL!$A$2:$AL799,$O461,37)</f>
        <v>Negative</v>
      </c>
      <c r="I461" s="217">
        <f t="array" ref="I461">INDEX(postDEL!$A$2:$AL799,$O461,12)</f>
        <v>44613</v>
      </c>
      <c r="J461" s="218">
        <f t="array" ref="J461">INDEX(postDEL!$A$2:$AL799,$O461,13)</f>
        <v>0.4693981481</v>
      </c>
      <c r="K461" s="219" t="str">
        <f t="array" ref="K461">INDEX(postDEL!$A$2:$AL799,$O461,36)</f>
        <v/>
      </c>
      <c r="L461" s="219" t="str">
        <f t="array" ref="L461">INDEX(postDEL!$A$2:$AL799,$O461,38)</f>
        <v/>
      </c>
      <c r="M461" s="219" t="str">
        <f t="array" ref="M461">INDEX(postDEL!$A$2:$AL799,$O461,15)</f>
        <v/>
      </c>
      <c r="N461" s="110">
        <f>COUNTIF(postDEL!$A$2:$A799,A461)</f>
        <v>1</v>
      </c>
      <c r="O461" s="19">
        <f>MATCH(A461,postDEL!A$2:A799,0)</f>
        <v>460</v>
      </c>
      <c r="P461" s="10" t="str">
        <f t="shared" si="1"/>
        <v/>
      </c>
      <c r="Q461" s="220">
        <f t="shared" si="2"/>
        <v>0</v>
      </c>
      <c r="R461" s="5"/>
    </row>
    <row r="462">
      <c r="A462" s="221" t="s">
        <v>1515</v>
      </c>
      <c r="B462" s="217">
        <f t="array" ref="B462">INDEX(postDEL!$A$2:$P799,$O462,2)</f>
        <v>44613</v>
      </c>
      <c r="C462" s="218">
        <f t="array" ref="C462">INDEX(postDEL!$A$2:$P799,$O462,3)</f>
        <v>0.3193634259</v>
      </c>
      <c r="D462" s="219" t="str">
        <f t="array" ref="D462">INDEX(postDEL!$A$2:$AN799,$O462,39)</f>
        <v>SpBEND904348</v>
      </c>
      <c r="E462" s="219" t="str">
        <f t="array" ref="E462">INDEX(postDEL!$A$2:$P799,$O462,4)</f>
        <v/>
      </c>
      <c r="F462" s="219" t="str">
        <f t="array" ref="F462">INDEX(postDEL!$A$2:$P799,$O462,5)</f>
        <v/>
      </c>
      <c r="G462" s="219" t="str">
        <f t="array" ref="G462">INDEX(postDEL!$A$2:$P799,$O462,11)</f>
        <v>Negative</v>
      </c>
      <c r="H462" s="219" t="str">
        <f t="array" ref="H462">INDEX(postDEL!$A$2:$AL799,$O462,37)</f>
        <v>Negative</v>
      </c>
      <c r="I462" s="217">
        <f t="array" ref="I462">INDEX(postDEL!$A$2:$AL799,$O462,12)</f>
        <v>44613</v>
      </c>
      <c r="J462" s="218">
        <f t="array" ref="J462">INDEX(postDEL!$A$2:$AL799,$O462,13)</f>
        <v>0.4694097222</v>
      </c>
      <c r="K462" s="219" t="str">
        <f t="array" ref="K462">INDEX(postDEL!$A$2:$AL799,$O462,36)</f>
        <v/>
      </c>
      <c r="L462" s="219" t="str">
        <f t="array" ref="L462">INDEX(postDEL!$A$2:$AL799,$O462,38)</f>
        <v/>
      </c>
      <c r="M462" s="219" t="str">
        <f t="array" ref="M462">INDEX(postDEL!$A$2:$AL799,$O462,15)</f>
        <v/>
      </c>
      <c r="N462" s="110">
        <f>COUNTIF(postDEL!$A$2:$A799,A462)</f>
        <v>1</v>
      </c>
      <c r="O462" s="19">
        <f>MATCH(A462,postDEL!A$2:A799,0)</f>
        <v>461</v>
      </c>
      <c r="P462" s="10" t="str">
        <f t="shared" si="1"/>
        <v/>
      </c>
      <c r="Q462" s="220">
        <f t="shared" si="2"/>
        <v>0</v>
      </c>
      <c r="R462" s="5"/>
    </row>
    <row r="463">
      <c r="A463" s="221" t="s">
        <v>1519</v>
      </c>
      <c r="B463" s="217">
        <f t="array" ref="B463">INDEX(postDEL!$A$2:$P799,$O463,2)</f>
        <v>44613</v>
      </c>
      <c r="C463" s="218">
        <f t="array" ref="C463">INDEX(postDEL!$A$2:$P799,$O463,3)</f>
        <v>0.3198611111</v>
      </c>
      <c r="D463" s="219" t="str">
        <f t="array" ref="D463">INDEX(postDEL!$A$2:$AN799,$O463,39)</f>
        <v>SpBEND815974</v>
      </c>
      <c r="E463" s="219" t="str">
        <f t="array" ref="E463">INDEX(postDEL!$A$2:$P799,$O463,4)</f>
        <v/>
      </c>
      <c r="F463" s="219" t="str">
        <f t="array" ref="F463">INDEX(postDEL!$A$2:$P799,$O463,5)</f>
        <v/>
      </c>
      <c r="G463" s="219" t="str">
        <f t="array" ref="G463">INDEX(postDEL!$A$2:$P799,$O463,11)</f>
        <v>Negative</v>
      </c>
      <c r="H463" s="219" t="str">
        <f t="array" ref="H463">INDEX(postDEL!$A$2:$AL799,$O463,37)</f>
        <v>Negative</v>
      </c>
      <c r="I463" s="217">
        <f t="array" ref="I463">INDEX(postDEL!$A$2:$AL799,$O463,12)</f>
        <v>44613</v>
      </c>
      <c r="J463" s="218">
        <f t="array" ref="J463">INDEX(postDEL!$A$2:$AL799,$O463,13)</f>
        <v>0.4694097222</v>
      </c>
      <c r="K463" s="219" t="str">
        <f t="array" ref="K463">INDEX(postDEL!$A$2:$AL799,$O463,36)</f>
        <v/>
      </c>
      <c r="L463" s="219" t="str">
        <f t="array" ref="L463">INDEX(postDEL!$A$2:$AL799,$O463,38)</f>
        <v/>
      </c>
      <c r="M463" s="219" t="str">
        <f t="array" ref="M463">INDEX(postDEL!$A$2:$AL799,$O463,15)</f>
        <v/>
      </c>
      <c r="N463" s="110">
        <f>COUNTIF(postDEL!$A$2:$A799,A463)</f>
        <v>1</v>
      </c>
      <c r="O463" s="19">
        <f>MATCH(A463,postDEL!A$2:A799,0)</f>
        <v>462</v>
      </c>
      <c r="P463" s="10" t="str">
        <f t="shared" si="1"/>
        <v/>
      </c>
      <c r="Q463" s="220">
        <f t="shared" si="2"/>
        <v>0</v>
      </c>
      <c r="R463" s="5"/>
    </row>
    <row r="464">
      <c r="A464" s="221" t="s">
        <v>1521</v>
      </c>
      <c r="B464" s="217">
        <f t="array" ref="B464">INDEX(postDEL!$A$2:$P799,$O464,2)</f>
        <v>44613</v>
      </c>
      <c r="C464" s="218">
        <f t="array" ref="C464">INDEX(postDEL!$A$2:$P799,$O464,3)</f>
        <v>0.3206944444</v>
      </c>
      <c r="D464" s="219" t="str">
        <f t="array" ref="D464">INDEX(postDEL!$A$2:$AN799,$O464,39)</f>
        <v>SpBEND372845</v>
      </c>
      <c r="E464" s="219" t="str">
        <f t="array" ref="E464">INDEX(postDEL!$A$2:$P799,$O464,4)</f>
        <v/>
      </c>
      <c r="F464" s="219" t="str">
        <f t="array" ref="F464">INDEX(postDEL!$A$2:$P799,$O464,5)</f>
        <v/>
      </c>
      <c r="G464" s="219" t="str">
        <f t="array" ref="G464">INDEX(postDEL!$A$2:$P799,$O464,11)</f>
        <v>Negative</v>
      </c>
      <c r="H464" s="219" t="str">
        <f t="array" ref="H464">INDEX(postDEL!$A$2:$AL799,$O464,37)</f>
        <v>Negative</v>
      </c>
      <c r="I464" s="217">
        <f t="array" ref="I464">INDEX(postDEL!$A$2:$AL799,$O464,12)</f>
        <v>44613</v>
      </c>
      <c r="J464" s="218">
        <f t="array" ref="J464">INDEX(postDEL!$A$2:$AL799,$O464,13)</f>
        <v>0.4694097222</v>
      </c>
      <c r="K464" s="219" t="str">
        <f t="array" ref="K464">INDEX(postDEL!$A$2:$AL799,$O464,36)</f>
        <v/>
      </c>
      <c r="L464" s="219" t="str">
        <f t="array" ref="L464">INDEX(postDEL!$A$2:$AL799,$O464,38)</f>
        <v/>
      </c>
      <c r="M464" s="219" t="str">
        <f t="array" ref="M464">INDEX(postDEL!$A$2:$AL799,$O464,15)</f>
        <v/>
      </c>
      <c r="N464" s="110">
        <f>COUNTIF(postDEL!$A$2:$A799,A464)</f>
        <v>1</v>
      </c>
      <c r="O464" s="19">
        <f>MATCH(A464,postDEL!A$2:A799,0)</f>
        <v>463</v>
      </c>
      <c r="P464" s="10" t="str">
        <f t="shared" si="1"/>
        <v/>
      </c>
      <c r="Q464" s="220">
        <f t="shared" si="2"/>
        <v>0</v>
      </c>
      <c r="R464" s="5"/>
    </row>
    <row r="465">
      <c r="A465" s="221" t="s">
        <v>1523</v>
      </c>
      <c r="B465" s="217">
        <f t="array" ref="B465">INDEX(postDEL!$A$2:$P799,$O465,2)</f>
        <v>44613</v>
      </c>
      <c r="C465" s="218">
        <f t="array" ref="C465">INDEX(postDEL!$A$2:$P799,$O465,3)</f>
        <v>0.3210185185</v>
      </c>
      <c r="D465" s="219" t="str">
        <f t="array" ref="D465">INDEX(postDEL!$A$2:$AN799,$O465,39)</f>
        <v>SpBEND551372</v>
      </c>
      <c r="E465" s="219" t="str">
        <f t="array" ref="E465">INDEX(postDEL!$A$2:$P799,$O465,4)</f>
        <v/>
      </c>
      <c r="F465" s="219" t="str">
        <f t="array" ref="F465">INDEX(postDEL!$A$2:$P799,$O465,5)</f>
        <v/>
      </c>
      <c r="G465" s="219" t="str">
        <f t="array" ref="G465">INDEX(postDEL!$A$2:$P799,$O465,11)</f>
        <v>Negative</v>
      </c>
      <c r="H465" s="219" t="str">
        <f t="array" ref="H465">INDEX(postDEL!$A$2:$AL799,$O465,37)</f>
        <v>Negative</v>
      </c>
      <c r="I465" s="217">
        <f t="array" ref="I465">INDEX(postDEL!$A$2:$AL799,$O465,12)</f>
        <v>44613</v>
      </c>
      <c r="J465" s="218">
        <f t="array" ref="J465">INDEX(postDEL!$A$2:$AL799,$O465,13)</f>
        <v>0.4694097222</v>
      </c>
      <c r="K465" s="219" t="str">
        <f t="array" ref="K465">INDEX(postDEL!$A$2:$AL799,$O465,36)</f>
        <v/>
      </c>
      <c r="L465" s="219" t="str">
        <f t="array" ref="L465">INDEX(postDEL!$A$2:$AL799,$O465,38)</f>
        <v/>
      </c>
      <c r="M465" s="219" t="str">
        <f t="array" ref="M465">INDEX(postDEL!$A$2:$AL799,$O465,15)</f>
        <v/>
      </c>
      <c r="N465" s="110">
        <f>COUNTIF(postDEL!$A$2:$A799,A465)</f>
        <v>1</v>
      </c>
      <c r="O465" s="19">
        <f>MATCH(A465,postDEL!A$2:A799,0)</f>
        <v>464</v>
      </c>
      <c r="P465" s="10" t="str">
        <f t="shared" si="1"/>
        <v/>
      </c>
      <c r="Q465" s="220">
        <f t="shared" si="2"/>
        <v>0</v>
      </c>
      <c r="R465" s="5"/>
    </row>
    <row r="466">
      <c r="A466" s="221" t="s">
        <v>1525</v>
      </c>
      <c r="B466" s="217">
        <f t="array" ref="B466">INDEX(postDEL!$A$2:$P799,$O466,2)</f>
        <v>44613</v>
      </c>
      <c r="C466" s="218">
        <f t="array" ref="C466">INDEX(postDEL!$A$2:$P799,$O466,3)</f>
        <v>0.3212037037</v>
      </c>
      <c r="D466" s="219" t="str">
        <f t="array" ref="D466">INDEX(postDEL!$A$2:$AN799,$O466,39)</f>
        <v>SpBEND691307</v>
      </c>
      <c r="E466" s="219" t="str">
        <f t="array" ref="E466">INDEX(postDEL!$A$2:$P799,$O466,4)</f>
        <v/>
      </c>
      <c r="F466" s="219" t="str">
        <f t="array" ref="F466">INDEX(postDEL!$A$2:$P799,$O466,5)</f>
        <v/>
      </c>
      <c r="G466" s="219" t="str">
        <f t="array" ref="G466">INDEX(postDEL!$A$2:$P799,$O466,11)</f>
        <v>Negative</v>
      </c>
      <c r="H466" s="219" t="str">
        <f t="array" ref="H466">INDEX(postDEL!$A$2:$AL799,$O466,37)</f>
        <v>Negative</v>
      </c>
      <c r="I466" s="217">
        <f t="array" ref="I466">INDEX(postDEL!$A$2:$AL799,$O466,12)</f>
        <v>44613</v>
      </c>
      <c r="J466" s="218">
        <f t="array" ref="J466">INDEX(postDEL!$A$2:$AL799,$O466,13)</f>
        <v>0.4694097222</v>
      </c>
      <c r="K466" s="219" t="str">
        <f t="array" ref="K466">INDEX(postDEL!$A$2:$AL799,$O466,36)</f>
        <v/>
      </c>
      <c r="L466" s="219" t="str">
        <f t="array" ref="L466">INDEX(postDEL!$A$2:$AL799,$O466,38)</f>
        <v/>
      </c>
      <c r="M466" s="219" t="str">
        <f t="array" ref="M466">INDEX(postDEL!$A$2:$AL799,$O466,15)</f>
        <v/>
      </c>
      <c r="N466" s="110">
        <f>COUNTIF(postDEL!$A$2:$A799,A466)</f>
        <v>1</v>
      </c>
      <c r="O466" s="19">
        <f>MATCH(A466,postDEL!A$2:A799,0)</f>
        <v>465</v>
      </c>
      <c r="P466" s="10" t="str">
        <f t="shared" si="1"/>
        <v/>
      </c>
      <c r="Q466" s="220">
        <f t="shared" si="2"/>
        <v>0</v>
      </c>
      <c r="R466" s="5"/>
    </row>
    <row r="467">
      <c r="A467" s="221" t="s">
        <v>1527</v>
      </c>
      <c r="B467" s="217">
        <f t="array" ref="B467">INDEX(postDEL!$A$2:$P799,$O467,2)</f>
        <v>44613</v>
      </c>
      <c r="C467" s="218">
        <f t="array" ref="C467">INDEX(postDEL!$A$2:$P799,$O467,3)</f>
        <v>0.3221643519</v>
      </c>
      <c r="D467" s="219" t="str">
        <f t="array" ref="D467">INDEX(postDEL!$A$2:$AN799,$O467,39)</f>
        <v>SpBEND490402</v>
      </c>
      <c r="E467" s="219" t="str">
        <f t="array" ref="E467">INDEX(postDEL!$A$2:$P799,$O467,4)</f>
        <v/>
      </c>
      <c r="F467" s="219" t="str">
        <f t="array" ref="F467">INDEX(postDEL!$A$2:$P799,$O467,5)</f>
        <v/>
      </c>
      <c r="G467" s="219" t="str">
        <f t="array" ref="G467">INDEX(postDEL!$A$2:$P799,$O467,11)</f>
        <v>Negative</v>
      </c>
      <c r="H467" s="219" t="str">
        <f t="array" ref="H467">INDEX(postDEL!$A$2:$AL799,$O467,37)</f>
        <v>Negative</v>
      </c>
      <c r="I467" s="217">
        <f t="array" ref="I467">INDEX(postDEL!$A$2:$AL799,$O467,12)</f>
        <v>44613</v>
      </c>
      <c r="J467" s="218">
        <f t="array" ref="J467">INDEX(postDEL!$A$2:$AL799,$O467,13)</f>
        <v>0.4694097222</v>
      </c>
      <c r="K467" s="219" t="str">
        <f t="array" ref="K467">INDEX(postDEL!$A$2:$AL799,$O467,36)</f>
        <v/>
      </c>
      <c r="L467" s="219" t="str">
        <f t="array" ref="L467">INDEX(postDEL!$A$2:$AL799,$O467,38)</f>
        <v/>
      </c>
      <c r="M467" s="219" t="str">
        <f t="array" ref="M467">INDEX(postDEL!$A$2:$AL799,$O467,15)</f>
        <v/>
      </c>
      <c r="N467" s="110">
        <f>COUNTIF(postDEL!$A$2:$A799,A467)</f>
        <v>1</v>
      </c>
      <c r="O467" s="19">
        <f>MATCH(A467,postDEL!A$2:A799,0)</f>
        <v>466</v>
      </c>
      <c r="P467" s="10" t="str">
        <f t="shared" si="1"/>
        <v/>
      </c>
      <c r="Q467" s="220">
        <f t="shared" si="2"/>
        <v>0</v>
      </c>
      <c r="R467" s="5"/>
    </row>
    <row r="468">
      <c r="A468" s="221" t="s">
        <v>1529</v>
      </c>
      <c r="B468" s="217">
        <f t="array" ref="B468">INDEX(postDEL!$A$2:$P799,$O468,2)</f>
        <v>44613</v>
      </c>
      <c r="C468" s="218">
        <f t="array" ref="C468">INDEX(postDEL!$A$2:$P799,$O468,3)</f>
        <v>0.3222685185</v>
      </c>
      <c r="D468" s="219" t="str">
        <f t="array" ref="D468">INDEX(postDEL!$A$2:$AN799,$O468,39)</f>
        <v>SpBEND967817</v>
      </c>
      <c r="E468" s="219" t="str">
        <f t="array" ref="E468">INDEX(postDEL!$A$2:$P799,$O468,4)</f>
        <v/>
      </c>
      <c r="F468" s="219" t="str">
        <f t="array" ref="F468">INDEX(postDEL!$A$2:$P799,$O468,5)</f>
        <v/>
      </c>
      <c r="G468" s="219" t="str">
        <f t="array" ref="G468">INDEX(postDEL!$A$2:$P799,$O468,11)</f>
        <v>Negative</v>
      </c>
      <c r="H468" s="219" t="str">
        <f t="array" ref="H468">INDEX(postDEL!$A$2:$AL799,$O468,37)</f>
        <v>Negative</v>
      </c>
      <c r="I468" s="217">
        <f t="array" ref="I468">INDEX(postDEL!$A$2:$AL799,$O468,12)</f>
        <v>44613</v>
      </c>
      <c r="J468" s="218">
        <f t="array" ref="J468">INDEX(postDEL!$A$2:$AL799,$O468,13)</f>
        <v>0.4694097222</v>
      </c>
      <c r="K468" s="219" t="str">
        <f t="array" ref="K468">INDEX(postDEL!$A$2:$AL799,$O468,36)</f>
        <v/>
      </c>
      <c r="L468" s="219" t="str">
        <f t="array" ref="L468">INDEX(postDEL!$A$2:$AL799,$O468,38)</f>
        <v/>
      </c>
      <c r="M468" s="219" t="str">
        <f t="array" ref="M468">INDEX(postDEL!$A$2:$AL799,$O468,15)</f>
        <v/>
      </c>
      <c r="N468" s="110">
        <f>COUNTIF(postDEL!$A$2:$A799,A468)</f>
        <v>1</v>
      </c>
      <c r="O468" s="19">
        <f>MATCH(A468,postDEL!A$2:A799,0)</f>
        <v>467</v>
      </c>
      <c r="P468" s="10" t="str">
        <f t="shared" si="1"/>
        <v/>
      </c>
      <c r="Q468" s="220">
        <f t="shared" si="2"/>
        <v>0</v>
      </c>
      <c r="R468" s="5"/>
    </row>
    <row r="469">
      <c r="A469" s="221" t="s">
        <v>1531</v>
      </c>
      <c r="B469" s="217">
        <f t="array" ref="B469">INDEX(postDEL!$A$2:$P799,$O469,2)</f>
        <v>44613</v>
      </c>
      <c r="C469" s="218">
        <f t="array" ref="C469">INDEX(postDEL!$A$2:$P799,$O469,3)</f>
        <v>0.3244097222</v>
      </c>
      <c r="D469" s="219" t="str">
        <f t="array" ref="D469">INDEX(postDEL!$A$2:$AN799,$O469,39)</f>
        <v>SpBEND634692</v>
      </c>
      <c r="E469" s="219" t="str">
        <f t="array" ref="E469">INDEX(postDEL!$A$2:$P799,$O469,4)</f>
        <v/>
      </c>
      <c r="F469" s="219" t="str">
        <f t="array" ref="F469">INDEX(postDEL!$A$2:$P799,$O469,5)</f>
        <v/>
      </c>
      <c r="G469" s="219" t="str">
        <f t="array" ref="G469">INDEX(postDEL!$A$2:$P799,$O469,11)</f>
        <v>Negative</v>
      </c>
      <c r="H469" s="219" t="str">
        <f t="array" ref="H469">INDEX(postDEL!$A$2:$AL799,$O469,37)</f>
        <v>Negative</v>
      </c>
      <c r="I469" s="217">
        <f t="array" ref="I469">INDEX(postDEL!$A$2:$AL799,$O469,12)</f>
        <v>44613</v>
      </c>
      <c r="J469" s="218">
        <f t="array" ref="J469">INDEX(postDEL!$A$2:$AL799,$O469,13)</f>
        <v>0.4694097222</v>
      </c>
      <c r="K469" s="219" t="str">
        <f t="array" ref="K469">INDEX(postDEL!$A$2:$AL799,$O469,36)</f>
        <v/>
      </c>
      <c r="L469" s="219" t="str">
        <f t="array" ref="L469">INDEX(postDEL!$A$2:$AL799,$O469,38)</f>
        <v/>
      </c>
      <c r="M469" s="219" t="str">
        <f t="array" ref="M469">INDEX(postDEL!$A$2:$AL799,$O469,15)</f>
        <v/>
      </c>
      <c r="N469" s="110">
        <f>COUNTIF(postDEL!$A$2:$A799,A469)</f>
        <v>1</v>
      </c>
      <c r="O469" s="19">
        <f>MATCH(A469,postDEL!A$2:A799,0)</f>
        <v>468</v>
      </c>
      <c r="P469" s="10" t="str">
        <f t="shared" si="1"/>
        <v/>
      </c>
      <c r="Q469" s="220">
        <f t="shared" si="2"/>
        <v>0</v>
      </c>
      <c r="R469" s="5"/>
    </row>
    <row r="470">
      <c r="A470" s="221" t="s">
        <v>1533</v>
      </c>
      <c r="B470" s="217">
        <f t="array" ref="B470">INDEX(postDEL!$A$2:$P799,$O470,2)</f>
        <v>44613</v>
      </c>
      <c r="C470" s="218">
        <f t="array" ref="C470">INDEX(postDEL!$A$2:$P799,$O470,3)</f>
        <v>0.3271875</v>
      </c>
      <c r="D470" s="219" t="str">
        <f t="array" ref="D470">INDEX(postDEL!$A$2:$AN799,$O470,39)</f>
        <v>SpBEND642175</v>
      </c>
      <c r="E470" s="219" t="str">
        <f t="array" ref="E470">INDEX(postDEL!$A$2:$P799,$O470,4)</f>
        <v/>
      </c>
      <c r="F470" s="219" t="str">
        <f t="array" ref="F470">INDEX(postDEL!$A$2:$P799,$O470,5)</f>
        <v/>
      </c>
      <c r="G470" s="219" t="str">
        <f t="array" ref="G470">INDEX(postDEL!$A$2:$P799,$O470,11)</f>
        <v>Negative</v>
      </c>
      <c r="H470" s="219" t="str">
        <f t="array" ref="H470">INDEX(postDEL!$A$2:$AL799,$O470,37)</f>
        <v>Negative</v>
      </c>
      <c r="I470" s="217">
        <f t="array" ref="I470">INDEX(postDEL!$A$2:$AL799,$O470,12)</f>
        <v>44613</v>
      </c>
      <c r="J470" s="218">
        <f t="array" ref="J470">INDEX(postDEL!$A$2:$AL799,$O470,13)</f>
        <v>0.4694097222</v>
      </c>
      <c r="K470" s="219" t="str">
        <f t="array" ref="K470">INDEX(postDEL!$A$2:$AL799,$O470,36)</f>
        <v/>
      </c>
      <c r="L470" s="219" t="str">
        <f t="array" ref="L470">INDEX(postDEL!$A$2:$AL799,$O470,38)</f>
        <v/>
      </c>
      <c r="M470" s="219" t="str">
        <f t="array" ref="M470">INDEX(postDEL!$A$2:$AL799,$O470,15)</f>
        <v/>
      </c>
      <c r="N470" s="110">
        <f>COUNTIF(postDEL!$A$2:$A799,A470)</f>
        <v>1</v>
      </c>
      <c r="O470" s="19">
        <f>MATCH(A470,postDEL!A$2:A799,0)</f>
        <v>469</v>
      </c>
      <c r="P470" s="10" t="str">
        <f t="shared" si="1"/>
        <v/>
      </c>
      <c r="Q470" s="220">
        <f t="shared" si="2"/>
        <v>0</v>
      </c>
      <c r="R470" s="5"/>
    </row>
    <row r="471">
      <c r="A471" s="221" t="s">
        <v>1535</v>
      </c>
      <c r="B471" s="217">
        <f t="array" ref="B471">INDEX(postDEL!$A$2:$P799,$O471,2)</f>
        <v>44613</v>
      </c>
      <c r="C471" s="218">
        <f t="array" ref="C471">INDEX(postDEL!$A$2:$P799,$O471,3)</f>
        <v>0.3289467593</v>
      </c>
      <c r="D471" s="219" t="str">
        <f t="array" ref="D471">INDEX(postDEL!$A$2:$AN799,$O471,39)</f>
        <v>SpBEND528248</v>
      </c>
      <c r="E471" s="219" t="str">
        <f t="array" ref="E471">INDEX(postDEL!$A$2:$P799,$O471,4)</f>
        <v/>
      </c>
      <c r="F471" s="219" t="str">
        <f t="array" ref="F471">INDEX(postDEL!$A$2:$P799,$O471,5)</f>
        <v/>
      </c>
      <c r="G471" s="219" t="str">
        <f t="array" ref="G471">INDEX(postDEL!$A$2:$P799,$O471,11)</f>
        <v>Negative</v>
      </c>
      <c r="H471" s="219" t="str">
        <f t="array" ref="H471">INDEX(postDEL!$A$2:$AL799,$O471,37)</f>
        <v>Negative</v>
      </c>
      <c r="I471" s="217">
        <f t="array" ref="I471">INDEX(postDEL!$A$2:$AL799,$O471,12)</f>
        <v>44613</v>
      </c>
      <c r="J471" s="218">
        <f t="array" ref="J471">INDEX(postDEL!$A$2:$AL799,$O471,13)</f>
        <v>0.4694097222</v>
      </c>
      <c r="K471" s="219" t="str">
        <f t="array" ref="K471">INDEX(postDEL!$A$2:$AL799,$O471,36)</f>
        <v/>
      </c>
      <c r="L471" s="219" t="str">
        <f t="array" ref="L471">INDEX(postDEL!$A$2:$AL799,$O471,38)</f>
        <v/>
      </c>
      <c r="M471" s="219" t="str">
        <f t="array" ref="M471">INDEX(postDEL!$A$2:$AL799,$O471,15)</f>
        <v/>
      </c>
      <c r="N471" s="110">
        <f>COUNTIF(postDEL!$A$2:$A799,A471)</f>
        <v>1</v>
      </c>
      <c r="O471" s="19">
        <f>MATCH(A471,postDEL!A$2:A799,0)</f>
        <v>470</v>
      </c>
      <c r="P471" s="10" t="str">
        <f t="shared" si="1"/>
        <v/>
      </c>
      <c r="Q471" s="220">
        <f t="shared" si="2"/>
        <v>0</v>
      </c>
      <c r="R471" s="5"/>
    </row>
    <row r="472">
      <c r="A472" s="221" t="s">
        <v>1537</v>
      </c>
      <c r="B472" s="217">
        <f t="array" ref="B472">INDEX(postDEL!$A$2:$P799,$O472,2)</f>
        <v>44613</v>
      </c>
      <c r="C472" s="218">
        <f t="array" ref="C472">INDEX(postDEL!$A$2:$P799,$O472,3)</f>
        <v>0.3421064815</v>
      </c>
      <c r="D472" s="219" t="str">
        <f t="array" ref="D472">INDEX(postDEL!$A$2:$AN799,$O472,39)</f>
        <v>SpBEND216695</v>
      </c>
      <c r="E472" s="219" t="str">
        <f t="array" ref="E472">INDEX(postDEL!$A$2:$P799,$O472,4)</f>
        <v/>
      </c>
      <c r="F472" s="219" t="str">
        <f t="array" ref="F472">INDEX(postDEL!$A$2:$P799,$O472,5)</f>
        <v/>
      </c>
      <c r="G472" s="219" t="str">
        <f t="array" ref="G472">INDEX(postDEL!$A$2:$P799,$O472,11)</f>
        <v>Negative</v>
      </c>
      <c r="H472" s="219" t="str">
        <f t="array" ref="H472">INDEX(postDEL!$A$2:$AL799,$O472,37)</f>
        <v>Negative</v>
      </c>
      <c r="I472" s="217">
        <f t="array" ref="I472">INDEX(postDEL!$A$2:$AL799,$O472,12)</f>
        <v>44613</v>
      </c>
      <c r="J472" s="218">
        <f t="array" ref="J472">INDEX(postDEL!$A$2:$AL799,$O472,13)</f>
        <v>0.4694212963</v>
      </c>
      <c r="K472" s="219" t="str">
        <f t="array" ref="K472">INDEX(postDEL!$A$2:$AL799,$O472,36)</f>
        <v/>
      </c>
      <c r="L472" s="219" t="str">
        <f t="array" ref="L472">INDEX(postDEL!$A$2:$AL799,$O472,38)</f>
        <v/>
      </c>
      <c r="M472" s="219" t="str">
        <f t="array" ref="M472">INDEX(postDEL!$A$2:$AL799,$O472,15)</f>
        <v/>
      </c>
      <c r="N472" s="110">
        <f>COUNTIF(postDEL!$A$2:$A799,A472)</f>
        <v>1</v>
      </c>
      <c r="O472" s="19">
        <f>MATCH(A472,postDEL!A$2:A799,0)</f>
        <v>471</v>
      </c>
      <c r="P472" s="10" t="str">
        <f t="shared" si="1"/>
        <v/>
      </c>
      <c r="Q472" s="220">
        <f t="shared" si="2"/>
        <v>0</v>
      </c>
      <c r="R472" s="5"/>
    </row>
    <row r="473">
      <c r="A473" s="221" t="s">
        <v>1539</v>
      </c>
      <c r="B473" s="217">
        <f t="array" ref="B473">INDEX(postDEL!$A$2:$P799,$O473,2)</f>
        <v>44613</v>
      </c>
      <c r="C473" s="218">
        <f t="array" ref="C473">INDEX(postDEL!$A$2:$P799,$O473,3)</f>
        <v>0.3566898148</v>
      </c>
      <c r="D473" s="219" t="str">
        <f t="array" ref="D473">INDEX(postDEL!$A$2:$AN799,$O473,39)</f>
        <v>SpBEND899578</v>
      </c>
      <c r="E473" s="219" t="str">
        <f t="array" ref="E473">INDEX(postDEL!$A$2:$P799,$O473,4)</f>
        <v/>
      </c>
      <c r="F473" s="219" t="str">
        <f t="array" ref="F473">INDEX(postDEL!$A$2:$P799,$O473,5)</f>
        <v/>
      </c>
      <c r="G473" s="219" t="str">
        <f t="array" ref="G473">INDEX(postDEL!$A$2:$P799,$O473,11)</f>
        <v>Negative</v>
      </c>
      <c r="H473" s="219" t="str">
        <f t="array" ref="H473">INDEX(postDEL!$A$2:$AL799,$O473,37)</f>
        <v>Negative</v>
      </c>
      <c r="I473" s="217">
        <f t="array" ref="I473">INDEX(postDEL!$A$2:$AL799,$O473,12)</f>
        <v>44613</v>
      </c>
      <c r="J473" s="218">
        <f t="array" ref="J473">INDEX(postDEL!$A$2:$AL799,$O473,13)</f>
        <v>0.4694212963</v>
      </c>
      <c r="K473" s="219" t="str">
        <f t="array" ref="K473">INDEX(postDEL!$A$2:$AL799,$O473,36)</f>
        <v/>
      </c>
      <c r="L473" s="219" t="str">
        <f t="array" ref="L473">INDEX(postDEL!$A$2:$AL799,$O473,38)</f>
        <v/>
      </c>
      <c r="M473" s="219" t="str">
        <f t="array" ref="M473">INDEX(postDEL!$A$2:$AL799,$O473,15)</f>
        <v/>
      </c>
      <c r="N473" s="110">
        <f>COUNTIF(postDEL!$A$2:$A799,A473)</f>
        <v>1</v>
      </c>
      <c r="O473" s="19">
        <f>MATCH(A473,postDEL!A$2:A799,0)</f>
        <v>472</v>
      </c>
      <c r="P473" s="10" t="str">
        <f t="shared" si="1"/>
        <v/>
      </c>
      <c r="Q473" s="220">
        <f t="shared" si="2"/>
        <v>0</v>
      </c>
      <c r="R473" s="5"/>
    </row>
    <row r="474">
      <c r="A474" s="221" t="s">
        <v>1541</v>
      </c>
      <c r="B474" s="217">
        <f t="array" ref="B474">INDEX(postDEL!$A$2:$P799,$O474,2)</f>
        <v>44614</v>
      </c>
      <c r="C474" s="218">
        <f t="array" ref="C474">INDEX(postDEL!$A$2:$P799,$O474,3)</f>
        <v>0.3566898148</v>
      </c>
      <c r="D474" s="219" t="str">
        <f t="array" ref="D474">INDEX(postDEL!$A$2:$AN799,$O474,39)</f>
        <v>SpBEND183210</v>
      </c>
      <c r="E474" s="219" t="str">
        <f t="array" ref="E474">INDEX(postDEL!$A$2:$P799,$O474,4)</f>
        <v/>
      </c>
      <c r="F474" s="219" t="str">
        <f t="array" ref="F474">INDEX(postDEL!$A$2:$P799,$O474,5)</f>
        <v/>
      </c>
      <c r="G474" s="219" t="str">
        <f t="array" ref="G474">INDEX(postDEL!$A$2:$P799,$O474,11)</f>
        <v>Positive</v>
      </c>
      <c r="H474" s="219" t="str">
        <f t="array" ref="H474">INDEX(postDEL!$A$2:$AL799,$O474,37)</f>
        <v>Positive</v>
      </c>
      <c r="I474" s="217">
        <f t="array" ref="I474">INDEX(postDEL!$A$2:$AL799,$O474,12)</f>
        <v>44614</v>
      </c>
      <c r="J474" s="218">
        <f t="array" ref="J474">INDEX(postDEL!$A$2:$AL799,$O474,13)</f>
        <v>0.6649768519</v>
      </c>
      <c r="K474" s="219" t="str">
        <f t="array" ref="K474">INDEX(postDEL!$A$2:$AL799,$O474,36)</f>
        <v/>
      </c>
      <c r="L474" s="219" t="str">
        <f t="array" ref="L474">INDEX(postDEL!$A$2:$AL799,$O474,38)</f>
        <v/>
      </c>
      <c r="M474" s="219" t="str">
        <f t="array" ref="M474">INDEX(postDEL!$A$2:$AL799,$O474,15)</f>
        <v/>
      </c>
      <c r="N474" s="110">
        <f>COUNTIF(postDEL!$A$2:$A799,A474)</f>
        <v>1</v>
      </c>
      <c r="O474" s="19">
        <f>MATCH(A474,postDEL!A$2:A799,0)</f>
        <v>473</v>
      </c>
      <c r="P474" s="10" t="b">
        <f t="shared" si="1"/>
        <v>1</v>
      </c>
      <c r="Q474" s="220">
        <f t="shared" si="2"/>
        <v>0</v>
      </c>
      <c r="R474" s="5"/>
    </row>
    <row r="475">
      <c r="A475" s="221" t="s">
        <v>1543</v>
      </c>
      <c r="B475" s="217">
        <f t="array" ref="B475">INDEX(postDEL!$A$2:$P799,$O475,2)</f>
        <v>44615</v>
      </c>
      <c r="C475" s="218">
        <f t="array" ref="C475">INDEX(postDEL!$A$2:$P799,$O475,3)</f>
        <v>0.2632523148</v>
      </c>
      <c r="D475" s="219" t="str">
        <f t="array" ref="D475">INDEX(postDEL!$A$2:$AN799,$O475,39)</f>
        <v>SpBEND394154</v>
      </c>
      <c r="E475" s="219" t="str">
        <f t="array" ref="E475">INDEX(postDEL!$A$2:$P799,$O475,4)</f>
        <v/>
      </c>
      <c r="F475" s="219" t="str">
        <f t="array" ref="F475">INDEX(postDEL!$A$2:$P799,$O475,5)</f>
        <v/>
      </c>
      <c r="G475" s="219" t="str">
        <f t="array" ref="G475">INDEX(postDEL!$A$2:$P799,$O475,11)</f>
        <v>Positive</v>
      </c>
      <c r="H475" s="219" t="str">
        <f t="array" ref="H475">INDEX(postDEL!$A$2:$AL799,$O475,37)</f>
        <v>Negative</v>
      </c>
      <c r="I475" s="217">
        <f t="array" ref="I475">INDEX(postDEL!$A$2:$AL799,$O475,12)</f>
        <v>44615</v>
      </c>
      <c r="J475" s="218">
        <f t="array" ref="J475">INDEX(postDEL!$A$2:$AL799,$O475,13)</f>
        <v>0.4912268519</v>
      </c>
      <c r="K475" s="219">
        <f t="array" ref="K475">INDEX(postDEL!$A$2:$AL799,$O475,36)</f>
        <v>2.7</v>
      </c>
      <c r="L475" s="219" t="str">
        <f t="array" ref="L475">INDEX(postDEL!$A$2:$AL799,$O475,38)</f>
        <v>Pos to Neg based on RFR - checked image and entire batch mis-called</v>
      </c>
      <c r="M475" s="219" t="str">
        <f t="array" ref="M475">INDEX(postDEL!$A$2:$AL799,$O475,15)</f>
        <v/>
      </c>
      <c r="N475" s="110">
        <f>COUNTIF(postDEL!$A$2:$A799,A475)</f>
        <v>1</v>
      </c>
      <c r="O475" s="19">
        <f>MATCH(A475,postDEL!A$2:A799,0)</f>
        <v>474</v>
      </c>
      <c r="P475" s="10" t="b">
        <f t="shared" si="1"/>
        <v>1</v>
      </c>
      <c r="Q475" s="220">
        <f t="shared" si="2"/>
        <v>0</v>
      </c>
      <c r="R475" s="5"/>
    </row>
    <row r="476">
      <c r="A476" s="221" t="s">
        <v>1546</v>
      </c>
      <c r="B476" s="217">
        <f t="array" ref="B476">INDEX(postDEL!$A$2:$P799,$O476,2)</f>
        <v>44615</v>
      </c>
      <c r="C476" s="218">
        <f t="array" ref="C476">INDEX(postDEL!$A$2:$P799,$O476,3)</f>
        <v>0.2922453704</v>
      </c>
      <c r="D476" s="219" t="str">
        <f t="array" ref="D476">INDEX(postDEL!$A$2:$AN799,$O476,39)</f>
        <v>SpBEND349435</v>
      </c>
      <c r="E476" s="219" t="str">
        <f t="array" ref="E476">INDEX(postDEL!$A$2:$P799,$O476,4)</f>
        <v/>
      </c>
      <c r="F476" s="219" t="str">
        <f t="array" ref="F476">INDEX(postDEL!$A$2:$P799,$O476,5)</f>
        <v/>
      </c>
      <c r="G476" s="219" t="str">
        <f t="array" ref="G476">INDEX(postDEL!$A$2:$P799,$O476,11)</f>
        <v>Positive</v>
      </c>
      <c r="H476" s="219" t="str">
        <f t="array" ref="H476">INDEX(postDEL!$A$2:$AL799,$O476,37)</f>
        <v>Negative</v>
      </c>
      <c r="I476" s="217">
        <f t="array" ref="I476">INDEX(postDEL!$A$2:$AL799,$O476,12)</f>
        <v>44615</v>
      </c>
      <c r="J476" s="218">
        <f t="array" ref="J476">INDEX(postDEL!$A$2:$AL799,$O476,13)</f>
        <v>0.4912384259</v>
      </c>
      <c r="K476" s="219">
        <f t="array" ref="K476">INDEX(postDEL!$A$2:$AL799,$O476,36)</f>
        <v>2.7</v>
      </c>
      <c r="L476" s="219" t="str">
        <f t="array" ref="L476">INDEX(postDEL!$A$2:$AL799,$O476,38)</f>
        <v>Pos to Neg based on RFR - checked image and entire batch mis-called</v>
      </c>
      <c r="M476" s="219" t="str">
        <f t="array" ref="M476">INDEX(postDEL!$A$2:$AL799,$O476,15)</f>
        <v/>
      </c>
      <c r="N476" s="110">
        <f>COUNTIF(postDEL!$A$2:$A799,A476)</f>
        <v>1</v>
      </c>
      <c r="O476" s="19">
        <f>MATCH(A476,postDEL!A$2:A799,0)</f>
        <v>475</v>
      </c>
      <c r="P476" s="10" t="str">
        <f t="shared" si="1"/>
        <v/>
      </c>
      <c r="Q476" s="220">
        <f t="shared" si="2"/>
        <v>0</v>
      </c>
      <c r="R476" s="5"/>
    </row>
    <row r="477">
      <c r="A477" s="221" t="s">
        <v>1548</v>
      </c>
      <c r="B477" s="217">
        <f t="array" ref="B477">INDEX(postDEL!$A$2:$P799,$O477,2)</f>
        <v>44615</v>
      </c>
      <c r="C477" s="218">
        <f t="array" ref="C477">INDEX(postDEL!$A$2:$P799,$O477,3)</f>
        <v>0.2953587963</v>
      </c>
      <c r="D477" s="219" t="str">
        <f t="array" ref="D477">INDEX(postDEL!$A$2:$AN799,$O477,39)</f>
        <v>SpBEND264858</v>
      </c>
      <c r="E477" s="219" t="str">
        <f t="array" ref="E477">INDEX(postDEL!$A$2:$P799,$O477,4)</f>
        <v/>
      </c>
      <c r="F477" s="219" t="str">
        <f t="array" ref="F477">INDEX(postDEL!$A$2:$P799,$O477,5)</f>
        <v/>
      </c>
      <c r="G477" s="219" t="str">
        <f t="array" ref="G477">INDEX(postDEL!$A$2:$P799,$O477,11)</f>
        <v>Positive</v>
      </c>
      <c r="H477" s="219" t="str">
        <f t="array" ref="H477">INDEX(postDEL!$A$2:$AL799,$O477,37)</f>
        <v>Negative</v>
      </c>
      <c r="I477" s="217">
        <f t="array" ref="I477">INDEX(postDEL!$A$2:$AL799,$O477,12)</f>
        <v>44615</v>
      </c>
      <c r="J477" s="218">
        <f t="array" ref="J477">INDEX(postDEL!$A$2:$AL799,$O477,13)</f>
        <v>0.4912384259</v>
      </c>
      <c r="K477" s="219">
        <f t="array" ref="K477">INDEX(postDEL!$A$2:$AL799,$O477,36)</f>
        <v>2.7</v>
      </c>
      <c r="L477" s="219" t="str">
        <f t="array" ref="L477">INDEX(postDEL!$A$2:$AL799,$O477,38)</f>
        <v>Pos to Neg based on RFR - checked image and entire batch mis-called</v>
      </c>
      <c r="M477" s="219" t="str">
        <f t="array" ref="M477">INDEX(postDEL!$A$2:$AL799,$O477,15)</f>
        <v/>
      </c>
      <c r="N477" s="110">
        <f>COUNTIF(postDEL!$A$2:$A799,A477)</f>
        <v>1</v>
      </c>
      <c r="O477" s="19">
        <f>MATCH(A477,postDEL!A$2:A799,0)</f>
        <v>476</v>
      </c>
      <c r="P477" s="10" t="str">
        <f t="shared" si="1"/>
        <v/>
      </c>
      <c r="Q477" s="220">
        <f t="shared" si="2"/>
        <v>0</v>
      </c>
      <c r="R477" s="5"/>
    </row>
    <row r="478">
      <c r="A478" s="221" t="s">
        <v>1550</v>
      </c>
      <c r="B478" s="217">
        <f t="array" ref="B478">INDEX(postDEL!$A$2:$P799,$O478,2)</f>
        <v>44615</v>
      </c>
      <c r="C478" s="218">
        <f t="array" ref="C478">INDEX(postDEL!$A$2:$P799,$O478,3)</f>
        <v>0.3012384259</v>
      </c>
      <c r="D478" s="219" t="str">
        <f t="array" ref="D478">INDEX(postDEL!$A$2:$AN799,$O478,39)</f>
        <v>SpBEND982195</v>
      </c>
      <c r="E478" s="219" t="str">
        <f t="array" ref="E478">INDEX(postDEL!$A$2:$P799,$O478,4)</f>
        <v/>
      </c>
      <c r="F478" s="219" t="str">
        <f t="array" ref="F478">INDEX(postDEL!$A$2:$P799,$O478,5)</f>
        <v/>
      </c>
      <c r="G478" s="219" t="str">
        <f t="array" ref="G478">INDEX(postDEL!$A$2:$P799,$O478,11)</f>
        <v>Positive</v>
      </c>
      <c r="H478" s="219" t="str">
        <f t="array" ref="H478">INDEX(postDEL!$A$2:$AL799,$O478,37)</f>
        <v>Negative</v>
      </c>
      <c r="I478" s="217">
        <f t="array" ref="I478">INDEX(postDEL!$A$2:$AL799,$O478,12)</f>
        <v>44615</v>
      </c>
      <c r="J478" s="218">
        <f t="array" ref="J478">INDEX(postDEL!$A$2:$AL799,$O478,13)</f>
        <v>0.4912384259</v>
      </c>
      <c r="K478" s="219">
        <f t="array" ref="K478">INDEX(postDEL!$A$2:$AL799,$O478,36)</f>
        <v>2.7</v>
      </c>
      <c r="L478" s="219" t="str">
        <f t="array" ref="L478">INDEX(postDEL!$A$2:$AL799,$O478,38)</f>
        <v>Pos to Neg based on RFR - checked image and entire batch mis-called</v>
      </c>
      <c r="M478" s="219" t="str">
        <f t="array" ref="M478">INDEX(postDEL!$A$2:$AL799,$O478,15)</f>
        <v/>
      </c>
      <c r="N478" s="110">
        <f>COUNTIF(postDEL!$A$2:$A799,A478)</f>
        <v>1</v>
      </c>
      <c r="O478" s="19">
        <f>MATCH(A478,postDEL!A$2:A799,0)</f>
        <v>477</v>
      </c>
      <c r="P478" s="10" t="str">
        <f t="shared" si="1"/>
        <v/>
      </c>
      <c r="Q478" s="220">
        <f t="shared" si="2"/>
        <v>0</v>
      </c>
      <c r="R478" s="5"/>
    </row>
    <row r="479">
      <c r="A479" s="221" t="s">
        <v>1552</v>
      </c>
      <c r="B479" s="217">
        <f t="array" ref="B479">INDEX(postDEL!$A$2:$P799,$O479,2)</f>
        <v>44615</v>
      </c>
      <c r="C479" s="218">
        <f t="array" ref="C479">INDEX(postDEL!$A$2:$P799,$O479,3)</f>
        <v>0.3067939815</v>
      </c>
      <c r="D479" s="219" t="str">
        <f t="array" ref="D479">INDEX(postDEL!$A$2:$AN799,$O479,39)</f>
        <v>SpBEND610784</v>
      </c>
      <c r="E479" s="219" t="str">
        <f t="array" ref="E479">INDEX(postDEL!$A$2:$P799,$O479,4)</f>
        <v/>
      </c>
      <c r="F479" s="219" t="str">
        <f t="array" ref="F479">INDEX(postDEL!$A$2:$P799,$O479,5)</f>
        <v/>
      </c>
      <c r="G479" s="219" t="str">
        <f t="array" ref="G479">INDEX(postDEL!$A$2:$P799,$O479,11)</f>
        <v>Positive</v>
      </c>
      <c r="H479" s="219" t="str">
        <f t="array" ref="H479">INDEX(postDEL!$A$2:$AL799,$O479,37)</f>
        <v>Negative</v>
      </c>
      <c r="I479" s="217">
        <f t="array" ref="I479">INDEX(postDEL!$A$2:$AL799,$O479,12)</f>
        <v>44615</v>
      </c>
      <c r="J479" s="218">
        <f t="array" ref="J479">INDEX(postDEL!$A$2:$AL799,$O479,13)</f>
        <v>0.4912384259</v>
      </c>
      <c r="K479" s="219">
        <f t="array" ref="K479">INDEX(postDEL!$A$2:$AL799,$O479,36)</f>
        <v>2.7</v>
      </c>
      <c r="L479" s="219" t="str">
        <f t="array" ref="L479">INDEX(postDEL!$A$2:$AL799,$O479,38)</f>
        <v>Pos to Neg based on RFR - checked image and entire batch mis-called</v>
      </c>
      <c r="M479" s="219" t="str">
        <f t="array" ref="M479">INDEX(postDEL!$A$2:$AL799,$O479,15)</f>
        <v/>
      </c>
      <c r="N479" s="110">
        <f>COUNTIF(postDEL!$A$2:$A799,A479)</f>
        <v>1</v>
      </c>
      <c r="O479" s="19">
        <f>MATCH(A479,postDEL!A$2:A799,0)</f>
        <v>478</v>
      </c>
      <c r="P479" s="10" t="str">
        <f t="shared" si="1"/>
        <v/>
      </c>
      <c r="Q479" s="220">
        <f t="shared" si="2"/>
        <v>0</v>
      </c>
      <c r="R479" s="5"/>
    </row>
    <row r="480">
      <c r="A480" s="221" t="s">
        <v>1554</v>
      </c>
      <c r="B480" s="217">
        <f t="array" ref="B480">INDEX(postDEL!$A$2:$P799,$O480,2)</f>
        <v>44615</v>
      </c>
      <c r="C480" s="218">
        <f t="array" ref="C480">INDEX(postDEL!$A$2:$P799,$O480,3)</f>
        <v>0.3086689815</v>
      </c>
      <c r="D480" s="219" t="str">
        <f t="array" ref="D480">INDEX(postDEL!$A$2:$AN799,$O480,39)</f>
        <v>SpBEND953422</v>
      </c>
      <c r="E480" s="219" t="str">
        <f t="array" ref="E480">INDEX(postDEL!$A$2:$P799,$O480,4)</f>
        <v/>
      </c>
      <c r="F480" s="219" t="str">
        <f t="array" ref="F480">INDEX(postDEL!$A$2:$P799,$O480,5)</f>
        <v/>
      </c>
      <c r="G480" s="219" t="str">
        <f t="array" ref="G480">INDEX(postDEL!$A$2:$P799,$O480,11)</f>
        <v>Positive</v>
      </c>
      <c r="H480" s="219" t="str">
        <f t="array" ref="H480">INDEX(postDEL!$A$2:$AL799,$O480,37)</f>
        <v>Negative</v>
      </c>
      <c r="I480" s="217">
        <f t="array" ref="I480">INDEX(postDEL!$A$2:$AL799,$O480,12)</f>
        <v>44615</v>
      </c>
      <c r="J480" s="218">
        <f t="array" ref="J480">INDEX(postDEL!$A$2:$AL799,$O480,13)</f>
        <v>0.4912384259</v>
      </c>
      <c r="K480" s="219">
        <f t="array" ref="K480">INDEX(postDEL!$A$2:$AL799,$O480,36)</f>
        <v>2.7</v>
      </c>
      <c r="L480" s="219" t="str">
        <f t="array" ref="L480">INDEX(postDEL!$A$2:$AL799,$O480,38)</f>
        <v>Pos to Neg based on RFR - checked image and entire batch mis-called</v>
      </c>
      <c r="M480" s="219" t="str">
        <f t="array" ref="M480">INDEX(postDEL!$A$2:$AL799,$O480,15)</f>
        <v/>
      </c>
      <c r="N480" s="110">
        <f>COUNTIF(postDEL!$A$2:$A799,A480)</f>
        <v>1</v>
      </c>
      <c r="O480" s="19">
        <f>MATCH(A480,postDEL!A$2:A799,0)</f>
        <v>479</v>
      </c>
      <c r="P480" s="10" t="str">
        <f t="shared" si="1"/>
        <v/>
      </c>
      <c r="Q480" s="220">
        <f t="shared" si="2"/>
        <v>0</v>
      </c>
      <c r="R480" s="5"/>
    </row>
    <row r="481">
      <c r="A481" s="221" t="s">
        <v>1556</v>
      </c>
      <c r="B481" s="217">
        <f t="array" ref="B481">INDEX(postDEL!$A$2:$P799,$O481,2)</f>
        <v>44615</v>
      </c>
      <c r="C481" s="218">
        <f t="array" ref="C481">INDEX(postDEL!$A$2:$P799,$O481,3)</f>
        <v>0.3092361111</v>
      </c>
      <c r="D481" s="219" t="str">
        <f t="array" ref="D481">INDEX(postDEL!$A$2:$AN799,$O481,39)</f>
        <v>SpBEND816435</v>
      </c>
      <c r="E481" s="219" t="str">
        <f t="array" ref="E481">INDEX(postDEL!$A$2:$P799,$O481,4)</f>
        <v/>
      </c>
      <c r="F481" s="219" t="str">
        <f t="array" ref="F481">INDEX(postDEL!$A$2:$P799,$O481,5)</f>
        <v/>
      </c>
      <c r="G481" s="219" t="str">
        <f t="array" ref="G481">INDEX(postDEL!$A$2:$P799,$O481,11)</f>
        <v>Positive</v>
      </c>
      <c r="H481" s="219" t="str">
        <f t="array" ref="H481">INDEX(postDEL!$A$2:$AL799,$O481,37)</f>
        <v>Negative</v>
      </c>
      <c r="I481" s="217">
        <f t="array" ref="I481">INDEX(postDEL!$A$2:$AL799,$O481,12)</f>
        <v>44615</v>
      </c>
      <c r="J481" s="218">
        <f t="array" ref="J481">INDEX(postDEL!$A$2:$AL799,$O481,13)</f>
        <v>0.4912384259</v>
      </c>
      <c r="K481" s="219">
        <f t="array" ref="K481">INDEX(postDEL!$A$2:$AL799,$O481,36)</f>
        <v>2.7</v>
      </c>
      <c r="L481" s="219" t="str">
        <f t="array" ref="L481">INDEX(postDEL!$A$2:$AL799,$O481,38)</f>
        <v>Pos to Neg based on RFR - checked image and entire batch mis-called</v>
      </c>
      <c r="M481" s="219" t="str">
        <f t="array" ref="M481">INDEX(postDEL!$A$2:$AL799,$O481,15)</f>
        <v/>
      </c>
      <c r="N481" s="110">
        <f>COUNTIF(postDEL!$A$2:$A799,A481)</f>
        <v>1</v>
      </c>
      <c r="O481" s="19">
        <f>MATCH(A481,postDEL!A$2:A799,0)</f>
        <v>480</v>
      </c>
      <c r="P481" s="10" t="str">
        <f t="shared" si="1"/>
        <v/>
      </c>
      <c r="Q481" s="220">
        <f t="shared" si="2"/>
        <v>0</v>
      </c>
      <c r="R481" s="5"/>
    </row>
    <row r="482">
      <c r="A482" s="221" t="s">
        <v>1558</v>
      </c>
      <c r="B482" s="217">
        <f t="array" ref="B482">INDEX(postDEL!$A$2:$P799,$O482,2)</f>
        <v>44615</v>
      </c>
      <c r="C482" s="218">
        <f t="array" ref="C482">INDEX(postDEL!$A$2:$P799,$O482,3)</f>
        <v>0.3093171296</v>
      </c>
      <c r="D482" s="219" t="str">
        <f t="array" ref="D482">INDEX(postDEL!$A$2:$AN799,$O482,39)</f>
        <v>SpBEND944634</v>
      </c>
      <c r="E482" s="219" t="str">
        <f t="array" ref="E482">INDEX(postDEL!$A$2:$P799,$O482,4)</f>
        <v/>
      </c>
      <c r="F482" s="219" t="str">
        <f t="array" ref="F482">INDEX(postDEL!$A$2:$P799,$O482,5)</f>
        <v/>
      </c>
      <c r="G482" s="219" t="str">
        <f t="array" ref="G482">INDEX(postDEL!$A$2:$P799,$O482,11)</f>
        <v>Positive</v>
      </c>
      <c r="H482" s="219" t="str">
        <f t="array" ref="H482">INDEX(postDEL!$A$2:$AL799,$O482,37)</f>
        <v>Negative</v>
      </c>
      <c r="I482" s="217">
        <f t="array" ref="I482">INDEX(postDEL!$A$2:$AL799,$O482,12)</f>
        <v>44615</v>
      </c>
      <c r="J482" s="218">
        <f t="array" ref="J482">INDEX(postDEL!$A$2:$AL799,$O482,13)</f>
        <v>0.4912384259</v>
      </c>
      <c r="K482" s="219">
        <f t="array" ref="K482">INDEX(postDEL!$A$2:$AL799,$O482,36)</f>
        <v>2.7</v>
      </c>
      <c r="L482" s="219" t="str">
        <f t="array" ref="L482">INDEX(postDEL!$A$2:$AL799,$O482,38)</f>
        <v>Pos to Neg based on RFR - checked image and entire batch mis-called</v>
      </c>
      <c r="M482" s="219" t="str">
        <f t="array" ref="M482">INDEX(postDEL!$A$2:$AL799,$O482,15)</f>
        <v/>
      </c>
      <c r="N482" s="110">
        <f>COUNTIF(postDEL!$A$2:$A799,A482)</f>
        <v>1</v>
      </c>
      <c r="O482" s="19">
        <f>MATCH(A482,postDEL!A$2:A799,0)</f>
        <v>481</v>
      </c>
      <c r="P482" s="10" t="str">
        <f t="shared" si="1"/>
        <v/>
      </c>
      <c r="Q482" s="220">
        <f t="shared" si="2"/>
        <v>0</v>
      </c>
      <c r="R482" s="5"/>
    </row>
    <row r="483">
      <c r="A483" s="221" t="s">
        <v>1560</v>
      </c>
      <c r="B483" s="217">
        <f t="array" ref="B483">INDEX(postDEL!$A$2:$P799,$O483,2)</f>
        <v>44615</v>
      </c>
      <c r="C483" s="218">
        <f t="array" ref="C483">INDEX(postDEL!$A$2:$P799,$O483,3)</f>
        <v>0.3097800926</v>
      </c>
      <c r="D483" s="219" t="str">
        <f t="array" ref="D483">INDEX(postDEL!$A$2:$AN799,$O483,39)</f>
        <v>SpBEND718288</v>
      </c>
      <c r="E483" s="219" t="str">
        <f t="array" ref="E483">INDEX(postDEL!$A$2:$P799,$O483,4)</f>
        <v/>
      </c>
      <c r="F483" s="219" t="str">
        <f t="array" ref="F483">INDEX(postDEL!$A$2:$P799,$O483,5)</f>
        <v/>
      </c>
      <c r="G483" s="219" t="str">
        <f t="array" ref="G483">INDEX(postDEL!$A$2:$P799,$O483,11)</f>
        <v>Positive</v>
      </c>
      <c r="H483" s="219" t="str">
        <f t="array" ref="H483">INDEX(postDEL!$A$2:$AL799,$O483,37)</f>
        <v>Negative</v>
      </c>
      <c r="I483" s="217">
        <f t="array" ref="I483">INDEX(postDEL!$A$2:$AL799,$O483,12)</f>
        <v>44615</v>
      </c>
      <c r="J483" s="218">
        <f t="array" ref="J483">INDEX(postDEL!$A$2:$AL799,$O483,13)</f>
        <v>0.4912384259</v>
      </c>
      <c r="K483" s="219">
        <f t="array" ref="K483">INDEX(postDEL!$A$2:$AL799,$O483,36)</f>
        <v>2.7</v>
      </c>
      <c r="L483" s="219" t="str">
        <f t="array" ref="L483">INDEX(postDEL!$A$2:$AL799,$O483,38)</f>
        <v>Pos to Neg based on RFR - checked image and entire batch mis-called</v>
      </c>
      <c r="M483" s="219" t="str">
        <f t="array" ref="M483">INDEX(postDEL!$A$2:$AL799,$O483,15)</f>
        <v/>
      </c>
      <c r="N483" s="110">
        <f>COUNTIF(postDEL!$A$2:$A799,A483)</f>
        <v>1</v>
      </c>
      <c r="O483" s="19">
        <f>MATCH(A483,postDEL!A$2:A799,0)</f>
        <v>482</v>
      </c>
      <c r="P483" s="10" t="str">
        <f t="shared" si="1"/>
        <v/>
      </c>
      <c r="Q483" s="220">
        <f t="shared" si="2"/>
        <v>0</v>
      </c>
      <c r="R483" s="5"/>
    </row>
    <row r="484">
      <c r="A484" s="221" t="s">
        <v>1564</v>
      </c>
      <c r="B484" s="217">
        <f t="array" ref="B484">INDEX(postDEL!$A$2:$P799,$O484,2)</f>
        <v>44615</v>
      </c>
      <c r="C484" s="218">
        <f t="array" ref="C484">INDEX(postDEL!$A$2:$P799,$O484,3)</f>
        <v>0.3108912037</v>
      </c>
      <c r="D484" s="219" t="str">
        <f t="array" ref="D484">INDEX(postDEL!$A$2:$AN799,$O484,39)</f>
        <v>SpBEND611299</v>
      </c>
      <c r="E484" s="219" t="str">
        <f t="array" ref="E484">INDEX(postDEL!$A$2:$P799,$O484,4)</f>
        <v/>
      </c>
      <c r="F484" s="219" t="str">
        <f t="array" ref="F484">INDEX(postDEL!$A$2:$P799,$O484,5)</f>
        <v/>
      </c>
      <c r="G484" s="219" t="str">
        <f t="array" ref="G484">INDEX(postDEL!$A$2:$P799,$O484,11)</f>
        <v>Positive</v>
      </c>
      <c r="H484" s="219" t="str">
        <f t="array" ref="H484">INDEX(postDEL!$A$2:$AL799,$O484,37)</f>
        <v>Negative</v>
      </c>
      <c r="I484" s="217">
        <f t="array" ref="I484">INDEX(postDEL!$A$2:$AL799,$O484,12)</f>
        <v>44615</v>
      </c>
      <c r="J484" s="218">
        <f t="array" ref="J484">INDEX(postDEL!$A$2:$AL799,$O484,13)</f>
        <v>0.4912384259</v>
      </c>
      <c r="K484" s="219">
        <f t="array" ref="K484">INDEX(postDEL!$A$2:$AL799,$O484,36)</f>
        <v>2.7</v>
      </c>
      <c r="L484" s="219" t="str">
        <f t="array" ref="L484">INDEX(postDEL!$A$2:$AL799,$O484,38)</f>
        <v>Pos to Neg based on RFR - checked image and entire batch mis-called</v>
      </c>
      <c r="M484" s="219" t="str">
        <f t="array" ref="M484">INDEX(postDEL!$A$2:$AL799,$O484,15)</f>
        <v/>
      </c>
      <c r="N484" s="110">
        <f>COUNTIF(postDEL!$A$2:$A799,A484)</f>
        <v>1</v>
      </c>
      <c r="O484" s="19">
        <f>MATCH(A484,postDEL!A$2:A799,0)</f>
        <v>483</v>
      </c>
      <c r="P484" s="10" t="str">
        <f t="shared" si="1"/>
        <v/>
      </c>
      <c r="Q484" s="220">
        <f t="shared" si="2"/>
        <v>0</v>
      </c>
      <c r="R484" s="5"/>
    </row>
    <row r="485">
      <c r="A485" s="221" t="s">
        <v>1566</v>
      </c>
      <c r="B485" s="217">
        <f t="array" ref="B485">INDEX(postDEL!$A$2:$P799,$O485,2)</f>
        <v>44615</v>
      </c>
      <c r="C485" s="218">
        <f t="array" ref="C485">INDEX(postDEL!$A$2:$P799,$O485,3)</f>
        <v>0.3144907407</v>
      </c>
      <c r="D485" s="219" t="str">
        <f t="array" ref="D485">INDEX(postDEL!$A$2:$AN799,$O485,39)</f>
        <v>SpBEND985296</v>
      </c>
      <c r="E485" s="219" t="str">
        <f t="array" ref="E485">INDEX(postDEL!$A$2:$P799,$O485,4)</f>
        <v/>
      </c>
      <c r="F485" s="219" t="str">
        <f t="array" ref="F485">INDEX(postDEL!$A$2:$P799,$O485,5)</f>
        <v/>
      </c>
      <c r="G485" s="219" t="str">
        <f t="array" ref="G485">INDEX(postDEL!$A$2:$P799,$O485,11)</f>
        <v>Positive</v>
      </c>
      <c r="H485" s="219" t="str">
        <f t="array" ref="H485">INDEX(postDEL!$A$2:$AL799,$O485,37)</f>
        <v>Negative</v>
      </c>
      <c r="I485" s="217">
        <f t="array" ref="I485">INDEX(postDEL!$A$2:$AL799,$O485,12)</f>
        <v>44615</v>
      </c>
      <c r="J485" s="218">
        <f t="array" ref="J485">INDEX(postDEL!$A$2:$AL799,$O485,13)</f>
        <v>0.4912384259</v>
      </c>
      <c r="K485" s="219">
        <f t="array" ref="K485">INDEX(postDEL!$A$2:$AL799,$O485,36)</f>
        <v>2.7</v>
      </c>
      <c r="L485" s="219" t="str">
        <f t="array" ref="L485">INDEX(postDEL!$A$2:$AL799,$O485,38)</f>
        <v>Pos to Neg based on RFR - checked image and entire batch mis-called</v>
      </c>
      <c r="M485" s="219" t="str">
        <f t="array" ref="M485">INDEX(postDEL!$A$2:$AL799,$O485,15)</f>
        <v/>
      </c>
      <c r="N485" s="110">
        <f>COUNTIF(postDEL!$A$2:$A799,A485)</f>
        <v>1</v>
      </c>
      <c r="O485" s="19">
        <f>MATCH(A485,postDEL!A$2:A799,0)</f>
        <v>484</v>
      </c>
      <c r="P485" s="10" t="str">
        <f t="shared" si="1"/>
        <v/>
      </c>
      <c r="Q485" s="220">
        <f t="shared" si="2"/>
        <v>0</v>
      </c>
      <c r="R485" s="5"/>
    </row>
    <row r="486">
      <c r="A486" s="221" t="s">
        <v>1568</v>
      </c>
      <c r="B486" s="217">
        <f t="array" ref="B486">INDEX(postDEL!$A$2:$P799,$O486,2)</f>
        <v>44615</v>
      </c>
      <c r="C486" s="218">
        <f t="array" ref="C486">INDEX(postDEL!$A$2:$P799,$O486,3)</f>
        <v>0.3146412037</v>
      </c>
      <c r="D486" s="219" t="str">
        <f t="array" ref="D486">INDEX(postDEL!$A$2:$AN799,$O486,39)</f>
        <v>SpBEND528248</v>
      </c>
      <c r="E486" s="219" t="str">
        <f t="array" ref="E486">INDEX(postDEL!$A$2:$P799,$O486,4)</f>
        <v/>
      </c>
      <c r="F486" s="219" t="str">
        <f t="array" ref="F486">INDEX(postDEL!$A$2:$P799,$O486,5)</f>
        <v/>
      </c>
      <c r="G486" s="219" t="str">
        <f t="array" ref="G486">INDEX(postDEL!$A$2:$P799,$O486,11)</f>
        <v>Positive</v>
      </c>
      <c r="H486" s="219" t="str">
        <f t="array" ref="H486">INDEX(postDEL!$A$2:$AL799,$O486,37)</f>
        <v>Negative</v>
      </c>
      <c r="I486" s="217">
        <f t="array" ref="I486">INDEX(postDEL!$A$2:$AL799,$O486,12)</f>
        <v>44615</v>
      </c>
      <c r="J486" s="218">
        <f t="array" ref="J486">INDEX(postDEL!$A$2:$AL799,$O486,13)</f>
        <v>0.4912384259</v>
      </c>
      <c r="K486" s="219">
        <f t="array" ref="K486">INDEX(postDEL!$A$2:$AL799,$O486,36)</f>
        <v>2.7</v>
      </c>
      <c r="L486" s="219" t="str">
        <f t="array" ref="L486">INDEX(postDEL!$A$2:$AL799,$O486,38)</f>
        <v>Pos to Neg based on RFR - checked image and entire batch mis-called</v>
      </c>
      <c r="M486" s="219" t="str">
        <f t="array" ref="M486">INDEX(postDEL!$A$2:$AL799,$O486,15)</f>
        <v/>
      </c>
      <c r="N486" s="110">
        <f>COUNTIF(postDEL!$A$2:$A799,A486)</f>
        <v>1</v>
      </c>
      <c r="O486" s="19">
        <f>MATCH(A486,postDEL!A$2:A799,0)</f>
        <v>485</v>
      </c>
      <c r="P486" s="10" t="str">
        <f t="shared" si="1"/>
        <v/>
      </c>
      <c r="Q486" s="220">
        <f t="shared" si="2"/>
        <v>0</v>
      </c>
      <c r="R486" s="5"/>
    </row>
    <row r="487">
      <c r="A487" s="221" t="s">
        <v>1570</v>
      </c>
      <c r="B487" s="217">
        <f t="array" ref="B487">INDEX(postDEL!$A$2:$P799,$O487,2)</f>
        <v>44615</v>
      </c>
      <c r="C487" s="218">
        <f t="array" ref="C487">INDEX(postDEL!$A$2:$P799,$O487,3)</f>
        <v>0.3195833333</v>
      </c>
      <c r="D487" s="219" t="str">
        <f t="array" ref="D487">INDEX(postDEL!$A$2:$AN799,$O487,39)</f>
        <v>SpBEND541174</v>
      </c>
      <c r="E487" s="219" t="str">
        <f t="array" ref="E487">INDEX(postDEL!$A$2:$P799,$O487,4)</f>
        <v/>
      </c>
      <c r="F487" s="219" t="str">
        <f t="array" ref="F487">INDEX(postDEL!$A$2:$P799,$O487,5)</f>
        <v/>
      </c>
      <c r="G487" s="219" t="str">
        <f t="array" ref="G487">INDEX(postDEL!$A$2:$P799,$O487,11)</f>
        <v>Positive</v>
      </c>
      <c r="H487" s="219" t="str">
        <f t="array" ref="H487">INDEX(postDEL!$A$2:$AL799,$O487,37)</f>
        <v>Negative</v>
      </c>
      <c r="I487" s="217">
        <f t="array" ref="I487">INDEX(postDEL!$A$2:$AL799,$O487,12)</f>
        <v>44615</v>
      </c>
      <c r="J487" s="218">
        <f t="array" ref="J487">INDEX(postDEL!$A$2:$AL799,$O487,13)</f>
        <v>0.4912384259</v>
      </c>
      <c r="K487" s="219">
        <f t="array" ref="K487">INDEX(postDEL!$A$2:$AL799,$O487,36)</f>
        <v>2.7</v>
      </c>
      <c r="L487" s="219" t="str">
        <f t="array" ref="L487">INDEX(postDEL!$A$2:$AL799,$O487,38)</f>
        <v>Pos to Neg based on RFR - checked image and entire batch mis-called</v>
      </c>
      <c r="M487" s="219" t="str">
        <f t="array" ref="M487">INDEX(postDEL!$A$2:$AL799,$O487,15)</f>
        <v/>
      </c>
      <c r="N487" s="110">
        <f>COUNTIF(postDEL!$A$2:$A799,A487)</f>
        <v>1</v>
      </c>
      <c r="O487" s="19">
        <f>MATCH(A487,postDEL!A$2:A799,0)</f>
        <v>486</v>
      </c>
      <c r="P487" s="10" t="str">
        <f t="shared" si="1"/>
        <v/>
      </c>
      <c r="Q487" s="220">
        <f t="shared" si="2"/>
        <v>0</v>
      </c>
      <c r="R487" s="5"/>
    </row>
    <row r="488">
      <c r="A488" s="221" t="s">
        <v>1572</v>
      </c>
      <c r="B488" s="217">
        <f t="array" ref="B488">INDEX(postDEL!$A$2:$P799,$O488,2)</f>
        <v>44615</v>
      </c>
      <c r="C488" s="218">
        <f t="array" ref="C488">INDEX(postDEL!$A$2:$P799,$O488,3)</f>
        <v>0.3210416667</v>
      </c>
      <c r="D488" s="219" t="str">
        <f t="array" ref="D488">INDEX(postDEL!$A$2:$AN799,$O488,39)</f>
        <v>SpBEND363177</v>
      </c>
      <c r="E488" s="219" t="str">
        <f t="array" ref="E488">INDEX(postDEL!$A$2:$P799,$O488,4)</f>
        <v/>
      </c>
      <c r="F488" s="219" t="str">
        <f t="array" ref="F488">INDEX(postDEL!$A$2:$P799,$O488,5)</f>
        <v/>
      </c>
      <c r="G488" s="219" t="str">
        <f t="array" ref="G488">INDEX(postDEL!$A$2:$P799,$O488,11)</f>
        <v>Positive</v>
      </c>
      <c r="H488" s="219" t="str">
        <f t="array" ref="H488">INDEX(postDEL!$A$2:$AL799,$O488,37)</f>
        <v>Negative</v>
      </c>
      <c r="I488" s="217">
        <f t="array" ref="I488">INDEX(postDEL!$A$2:$AL799,$O488,12)</f>
        <v>44615</v>
      </c>
      <c r="J488" s="218">
        <f t="array" ref="J488">INDEX(postDEL!$A$2:$AL799,$O488,13)</f>
        <v>0.49125</v>
      </c>
      <c r="K488" s="219">
        <f t="array" ref="K488">INDEX(postDEL!$A$2:$AL799,$O488,36)</f>
        <v>2.7</v>
      </c>
      <c r="L488" s="219" t="str">
        <f t="array" ref="L488">INDEX(postDEL!$A$2:$AL799,$O488,38)</f>
        <v>Pos to Neg based on RFR - checked image and entire batch mis-called</v>
      </c>
      <c r="M488" s="219" t="str">
        <f t="array" ref="M488">INDEX(postDEL!$A$2:$AL799,$O488,15)</f>
        <v/>
      </c>
      <c r="N488" s="110">
        <f>COUNTIF(postDEL!$A$2:$A799,A488)</f>
        <v>1</v>
      </c>
      <c r="O488" s="19">
        <f>MATCH(A488,postDEL!A$2:A799,0)</f>
        <v>487</v>
      </c>
      <c r="P488" s="10" t="str">
        <f t="shared" si="1"/>
        <v/>
      </c>
      <c r="Q488" s="220">
        <f t="shared" si="2"/>
        <v>0</v>
      </c>
      <c r="R488" s="5"/>
    </row>
    <row r="489">
      <c r="A489" s="221" t="s">
        <v>1574</v>
      </c>
      <c r="B489" s="217">
        <f t="array" ref="B489">INDEX(postDEL!$A$2:$P799,$O489,2)</f>
        <v>44615</v>
      </c>
      <c r="C489" s="218">
        <f t="array" ref="C489">INDEX(postDEL!$A$2:$P799,$O489,3)</f>
        <v>0.321712963</v>
      </c>
      <c r="D489" s="219" t="str">
        <f t="array" ref="D489">INDEX(postDEL!$A$2:$AN799,$O489,39)</f>
        <v>SpBEND436062</v>
      </c>
      <c r="E489" s="219" t="str">
        <f t="array" ref="E489">INDEX(postDEL!$A$2:$P799,$O489,4)</f>
        <v/>
      </c>
      <c r="F489" s="219" t="str">
        <f t="array" ref="F489">INDEX(postDEL!$A$2:$P799,$O489,5)</f>
        <v/>
      </c>
      <c r="G489" s="219" t="str">
        <f t="array" ref="G489">INDEX(postDEL!$A$2:$P799,$O489,11)</f>
        <v>Positive</v>
      </c>
      <c r="H489" s="219" t="str">
        <f t="array" ref="H489">INDEX(postDEL!$A$2:$AL799,$O489,37)</f>
        <v>Negative</v>
      </c>
      <c r="I489" s="217">
        <f t="array" ref="I489">INDEX(postDEL!$A$2:$AL799,$O489,12)</f>
        <v>44615</v>
      </c>
      <c r="J489" s="218">
        <f t="array" ref="J489">INDEX(postDEL!$A$2:$AL799,$O489,13)</f>
        <v>0.49125</v>
      </c>
      <c r="K489" s="219">
        <f t="array" ref="K489">INDEX(postDEL!$A$2:$AL799,$O489,36)</f>
        <v>2.7</v>
      </c>
      <c r="L489" s="219" t="str">
        <f t="array" ref="L489">INDEX(postDEL!$A$2:$AL799,$O489,38)</f>
        <v>Pos to Neg based on RFR - checked image and entire batch mis-called</v>
      </c>
      <c r="M489" s="219" t="str">
        <f t="array" ref="M489">INDEX(postDEL!$A$2:$AL799,$O489,15)</f>
        <v/>
      </c>
      <c r="N489" s="110">
        <f>COUNTIF(postDEL!$A$2:$A799,A489)</f>
        <v>1</v>
      </c>
      <c r="O489" s="19">
        <f>MATCH(A489,postDEL!A$2:A799,0)</f>
        <v>488</v>
      </c>
      <c r="P489" s="10" t="str">
        <f t="shared" si="1"/>
        <v/>
      </c>
      <c r="Q489" s="220">
        <f t="shared" si="2"/>
        <v>0</v>
      </c>
      <c r="R489" s="5"/>
    </row>
    <row r="490">
      <c r="A490" s="221" t="s">
        <v>1577</v>
      </c>
      <c r="B490" s="217">
        <f t="array" ref="B490">INDEX(postDEL!$A$2:$P799,$O490,2)</f>
        <v>44615</v>
      </c>
      <c r="C490" s="218">
        <f t="array" ref="C490">INDEX(postDEL!$A$2:$P799,$O490,3)</f>
        <v>0.3237962963</v>
      </c>
      <c r="D490" s="219" t="str">
        <f t="array" ref="D490">INDEX(postDEL!$A$2:$AN799,$O490,39)</f>
        <v>SpBEND845509</v>
      </c>
      <c r="E490" s="219" t="str">
        <f t="array" ref="E490">INDEX(postDEL!$A$2:$P799,$O490,4)</f>
        <v/>
      </c>
      <c r="F490" s="219" t="str">
        <f t="array" ref="F490">INDEX(postDEL!$A$2:$P799,$O490,5)</f>
        <v/>
      </c>
      <c r="G490" s="219" t="str">
        <f t="array" ref="G490">INDEX(postDEL!$A$2:$P799,$O490,11)</f>
        <v>Positive</v>
      </c>
      <c r="H490" s="219" t="str">
        <f t="array" ref="H490">INDEX(postDEL!$A$2:$AL799,$O490,37)</f>
        <v>Negative</v>
      </c>
      <c r="I490" s="217">
        <f t="array" ref="I490">INDEX(postDEL!$A$2:$AL799,$O490,12)</f>
        <v>44615</v>
      </c>
      <c r="J490" s="218">
        <f t="array" ref="J490">INDEX(postDEL!$A$2:$AL799,$O490,13)</f>
        <v>0.49125</v>
      </c>
      <c r="K490" s="219">
        <f t="array" ref="K490">INDEX(postDEL!$A$2:$AL799,$O490,36)</f>
        <v>2.7</v>
      </c>
      <c r="L490" s="219" t="str">
        <f t="array" ref="L490">INDEX(postDEL!$A$2:$AL799,$O490,38)</f>
        <v>Pos to Neg based on RFR - checked image and entire batch mis-called</v>
      </c>
      <c r="M490" s="219" t="str">
        <f t="array" ref="M490">INDEX(postDEL!$A$2:$AL799,$O490,15)</f>
        <v/>
      </c>
      <c r="N490" s="110">
        <f>COUNTIF(postDEL!$A$2:$A799,A490)</f>
        <v>1</v>
      </c>
      <c r="O490" s="19">
        <f>MATCH(A490,postDEL!A$2:A799,0)</f>
        <v>489</v>
      </c>
      <c r="P490" s="10" t="str">
        <f t="shared" si="1"/>
        <v/>
      </c>
      <c r="Q490" s="220">
        <f t="shared" si="2"/>
        <v>0</v>
      </c>
      <c r="R490" s="5"/>
    </row>
    <row r="491">
      <c r="A491" s="221" t="s">
        <v>1579</v>
      </c>
      <c r="B491" s="217">
        <f t="array" ref="B491">INDEX(postDEL!$A$2:$P799,$O491,2)</f>
        <v>44615</v>
      </c>
      <c r="C491" s="218">
        <f t="array" ref="C491">INDEX(postDEL!$A$2:$P799,$O491,3)</f>
        <v>0.3284375</v>
      </c>
      <c r="D491" s="219" t="str">
        <f t="array" ref="D491">INDEX(postDEL!$A$2:$AN799,$O491,39)</f>
        <v>SpBEND214692</v>
      </c>
      <c r="E491" s="219" t="str">
        <f t="array" ref="E491">INDEX(postDEL!$A$2:$P799,$O491,4)</f>
        <v/>
      </c>
      <c r="F491" s="219" t="str">
        <f t="array" ref="F491">INDEX(postDEL!$A$2:$P799,$O491,5)</f>
        <v/>
      </c>
      <c r="G491" s="219" t="str">
        <f t="array" ref="G491">INDEX(postDEL!$A$2:$P799,$O491,11)</f>
        <v>Positive</v>
      </c>
      <c r="H491" s="219" t="str">
        <f t="array" ref="H491">INDEX(postDEL!$A$2:$AL799,$O491,37)</f>
        <v>Negative</v>
      </c>
      <c r="I491" s="217">
        <f t="array" ref="I491">INDEX(postDEL!$A$2:$AL799,$O491,12)</f>
        <v>44615</v>
      </c>
      <c r="J491" s="218">
        <f t="array" ref="J491">INDEX(postDEL!$A$2:$AL799,$O491,13)</f>
        <v>0.49125</v>
      </c>
      <c r="K491" s="219">
        <f t="array" ref="K491">INDEX(postDEL!$A$2:$AL799,$O491,36)</f>
        <v>2.7</v>
      </c>
      <c r="L491" s="219" t="str">
        <f t="array" ref="L491">INDEX(postDEL!$A$2:$AL799,$O491,38)</f>
        <v>Pos to Neg based on RFR - checked image and entire batch mis-called</v>
      </c>
      <c r="M491" s="219" t="str">
        <f t="array" ref="M491">INDEX(postDEL!$A$2:$AL799,$O491,15)</f>
        <v/>
      </c>
      <c r="N491" s="110">
        <f>COUNTIF(postDEL!$A$2:$A799,A491)</f>
        <v>1</v>
      </c>
      <c r="O491" s="19">
        <f>MATCH(A491,postDEL!A$2:A799,0)</f>
        <v>490</v>
      </c>
      <c r="P491" s="10" t="str">
        <f t="shared" si="1"/>
        <v/>
      </c>
      <c r="Q491" s="220">
        <f t="shared" si="2"/>
        <v>0</v>
      </c>
      <c r="R491" s="5"/>
    </row>
    <row r="492">
      <c r="A492" s="221" t="s">
        <v>1581</v>
      </c>
      <c r="B492" s="217">
        <f t="array" ref="B492">INDEX(postDEL!$A$2:$P799,$O492,2)</f>
        <v>44615</v>
      </c>
      <c r="C492" s="218">
        <f t="array" ref="C492">INDEX(postDEL!$A$2:$P799,$O492,3)</f>
        <v>0.33125</v>
      </c>
      <c r="D492" s="219" t="str">
        <f t="array" ref="D492">INDEX(postDEL!$A$2:$AN799,$O492,39)</f>
        <v>SpBEND825522</v>
      </c>
      <c r="E492" s="219" t="str">
        <f t="array" ref="E492">INDEX(postDEL!$A$2:$P799,$O492,4)</f>
        <v/>
      </c>
      <c r="F492" s="219" t="str">
        <f t="array" ref="F492">INDEX(postDEL!$A$2:$P799,$O492,5)</f>
        <v/>
      </c>
      <c r="G492" s="219" t="str">
        <f t="array" ref="G492">INDEX(postDEL!$A$2:$P799,$O492,11)</f>
        <v>Positive</v>
      </c>
      <c r="H492" s="219" t="str">
        <f t="array" ref="H492">INDEX(postDEL!$A$2:$AL799,$O492,37)</f>
        <v>Negative</v>
      </c>
      <c r="I492" s="217">
        <f t="array" ref="I492">INDEX(postDEL!$A$2:$AL799,$O492,12)</f>
        <v>44615</v>
      </c>
      <c r="J492" s="218">
        <f t="array" ref="J492">INDEX(postDEL!$A$2:$AL799,$O492,13)</f>
        <v>0.49125</v>
      </c>
      <c r="K492" s="219">
        <f t="array" ref="K492">INDEX(postDEL!$A$2:$AL799,$O492,36)</f>
        <v>2.7</v>
      </c>
      <c r="L492" s="219" t="str">
        <f t="array" ref="L492">INDEX(postDEL!$A$2:$AL799,$O492,38)</f>
        <v>Pos to Neg based on RFR - checked image and entire batch mis-called</v>
      </c>
      <c r="M492" s="219" t="str">
        <f t="array" ref="M492">INDEX(postDEL!$A$2:$AL799,$O492,15)</f>
        <v/>
      </c>
      <c r="N492" s="110">
        <f>COUNTIF(postDEL!$A$2:$A799,A492)</f>
        <v>1</v>
      </c>
      <c r="O492" s="19">
        <f>MATCH(A492,postDEL!A$2:A799,0)</f>
        <v>491</v>
      </c>
      <c r="P492" s="10" t="str">
        <f t="shared" si="1"/>
        <v/>
      </c>
      <c r="Q492" s="220">
        <f t="shared" si="2"/>
        <v>0</v>
      </c>
      <c r="R492" s="5"/>
    </row>
    <row r="493">
      <c r="A493" s="221" t="s">
        <v>1583</v>
      </c>
      <c r="B493" s="217">
        <f t="array" ref="B493">INDEX(postDEL!$A$2:$P799,$O493,2)</f>
        <v>44615</v>
      </c>
      <c r="C493" s="218">
        <f t="array" ref="C493">INDEX(postDEL!$A$2:$P799,$O493,3)</f>
        <v>0.3322569444</v>
      </c>
      <c r="D493" s="219" t="str">
        <f t="array" ref="D493">INDEX(postDEL!$A$2:$AN799,$O493,39)</f>
        <v>SpBEND331858</v>
      </c>
      <c r="E493" s="219" t="str">
        <f t="array" ref="E493">INDEX(postDEL!$A$2:$P799,$O493,4)</f>
        <v/>
      </c>
      <c r="F493" s="219" t="str">
        <f t="array" ref="F493">INDEX(postDEL!$A$2:$P799,$O493,5)</f>
        <v/>
      </c>
      <c r="G493" s="219" t="str">
        <f t="array" ref="G493">INDEX(postDEL!$A$2:$P799,$O493,11)</f>
        <v>Positive</v>
      </c>
      <c r="H493" s="219" t="str">
        <f t="array" ref="H493">INDEX(postDEL!$A$2:$AL799,$O493,37)</f>
        <v>Negative</v>
      </c>
      <c r="I493" s="217">
        <f t="array" ref="I493">INDEX(postDEL!$A$2:$AL799,$O493,12)</f>
        <v>44615</v>
      </c>
      <c r="J493" s="218">
        <f t="array" ref="J493">INDEX(postDEL!$A$2:$AL799,$O493,13)</f>
        <v>0.49125</v>
      </c>
      <c r="K493" s="219">
        <f t="array" ref="K493">INDEX(postDEL!$A$2:$AL799,$O493,36)</f>
        <v>2.7</v>
      </c>
      <c r="L493" s="219" t="str">
        <f t="array" ref="L493">INDEX(postDEL!$A$2:$AL799,$O493,38)</f>
        <v>Pos to Neg based on RFR - checked image and entire batch mis-called</v>
      </c>
      <c r="M493" s="219" t="str">
        <f t="array" ref="M493">INDEX(postDEL!$A$2:$AL799,$O493,15)</f>
        <v/>
      </c>
      <c r="N493" s="110">
        <f>COUNTIF(postDEL!$A$2:$A799,A493)</f>
        <v>1</v>
      </c>
      <c r="O493" s="19">
        <f>MATCH(A493,postDEL!A$2:A799,0)</f>
        <v>492</v>
      </c>
      <c r="P493" s="10" t="str">
        <f t="shared" si="1"/>
        <v/>
      </c>
      <c r="Q493" s="220">
        <f t="shared" si="2"/>
        <v>0</v>
      </c>
      <c r="R493" s="5"/>
    </row>
    <row r="494">
      <c r="A494" s="221" t="s">
        <v>1585</v>
      </c>
      <c r="B494" s="217">
        <f t="array" ref="B494">INDEX(postDEL!$A$2:$P799,$O494,2)</f>
        <v>44615</v>
      </c>
      <c r="C494" s="218">
        <f t="array" ref="C494">INDEX(postDEL!$A$2:$P799,$O494,3)</f>
        <v>0.3323148148</v>
      </c>
      <c r="D494" s="219" t="str">
        <f t="array" ref="D494">INDEX(postDEL!$A$2:$AN799,$O494,39)</f>
        <v>SpBEND445560</v>
      </c>
      <c r="E494" s="219" t="str">
        <f t="array" ref="E494">INDEX(postDEL!$A$2:$P799,$O494,4)</f>
        <v/>
      </c>
      <c r="F494" s="219" t="str">
        <f t="array" ref="F494">INDEX(postDEL!$A$2:$P799,$O494,5)</f>
        <v/>
      </c>
      <c r="G494" s="219" t="str">
        <f t="array" ref="G494">INDEX(postDEL!$A$2:$P799,$O494,11)</f>
        <v>Positive</v>
      </c>
      <c r="H494" s="219" t="str">
        <f t="array" ref="H494">INDEX(postDEL!$A$2:$AL799,$O494,37)</f>
        <v>Negative</v>
      </c>
      <c r="I494" s="217">
        <f t="array" ref="I494">INDEX(postDEL!$A$2:$AL799,$O494,12)</f>
        <v>44615</v>
      </c>
      <c r="J494" s="218">
        <f t="array" ref="J494">INDEX(postDEL!$A$2:$AL799,$O494,13)</f>
        <v>0.49125</v>
      </c>
      <c r="K494" s="219">
        <f t="array" ref="K494">INDEX(postDEL!$A$2:$AL799,$O494,36)</f>
        <v>2.7</v>
      </c>
      <c r="L494" s="219" t="str">
        <f t="array" ref="L494">INDEX(postDEL!$A$2:$AL799,$O494,38)</f>
        <v>Pos to Neg based on RFR - checked image and entire batch mis-called</v>
      </c>
      <c r="M494" s="219" t="str">
        <f t="array" ref="M494">INDEX(postDEL!$A$2:$AL799,$O494,15)</f>
        <v/>
      </c>
      <c r="N494" s="110">
        <f>COUNTIF(postDEL!$A$2:$A799,A494)</f>
        <v>1</v>
      </c>
      <c r="O494" s="19">
        <f>MATCH(A494,postDEL!A$2:A799,0)</f>
        <v>493</v>
      </c>
      <c r="P494" s="10" t="str">
        <f t="shared" si="1"/>
        <v/>
      </c>
      <c r="Q494" s="220">
        <f t="shared" si="2"/>
        <v>0</v>
      </c>
      <c r="R494" s="5"/>
    </row>
    <row r="495">
      <c r="A495" s="221" t="s">
        <v>1587</v>
      </c>
      <c r="B495" s="217">
        <f t="array" ref="B495">INDEX(postDEL!$A$2:$P799,$O495,2)</f>
        <v>44615</v>
      </c>
      <c r="C495" s="218">
        <f t="array" ref="C495">INDEX(postDEL!$A$2:$P799,$O495,3)</f>
        <v>0.3349074074</v>
      </c>
      <c r="D495" s="219" t="str">
        <f t="array" ref="D495">INDEX(postDEL!$A$2:$AN799,$O495,39)</f>
        <v>SpBEND216695</v>
      </c>
      <c r="E495" s="219" t="str">
        <f t="array" ref="E495">INDEX(postDEL!$A$2:$P799,$O495,4)</f>
        <v/>
      </c>
      <c r="F495" s="219" t="str">
        <f t="array" ref="F495">INDEX(postDEL!$A$2:$P799,$O495,5)</f>
        <v/>
      </c>
      <c r="G495" s="219" t="str">
        <f t="array" ref="G495">INDEX(postDEL!$A$2:$P799,$O495,11)</f>
        <v>Positive</v>
      </c>
      <c r="H495" s="219" t="str">
        <f t="array" ref="H495">INDEX(postDEL!$A$2:$AL799,$O495,37)</f>
        <v>Negative</v>
      </c>
      <c r="I495" s="217">
        <f t="array" ref="I495">INDEX(postDEL!$A$2:$AL799,$O495,12)</f>
        <v>44615</v>
      </c>
      <c r="J495" s="218">
        <f t="array" ref="J495">INDEX(postDEL!$A$2:$AL799,$O495,13)</f>
        <v>0.49125</v>
      </c>
      <c r="K495" s="219">
        <f t="array" ref="K495">INDEX(postDEL!$A$2:$AL799,$O495,36)</f>
        <v>2.7</v>
      </c>
      <c r="L495" s="219" t="str">
        <f t="array" ref="L495">INDEX(postDEL!$A$2:$AL799,$O495,38)</f>
        <v>Pos to Neg based on RFR - checked image and entire batch mis-called</v>
      </c>
      <c r="M495" s="219" t="str">
        <f t="array" ref="M495">INDEX(postDEL!$A$2:$AL799,$O495,15)</f>
        <v/>
      </c>
      <c r="N495" s="110">
        <f>COUNTIF(postDEL!$A$2:$A799,A495)</f>
        <v>1</v>
      </c>
      <c r="O495" s="19">
        <f>MATCH(A495,postDEL!A$2:A799,0)</f>
        <v>494</v>
      </c>
      <c r="P495" s="10" t="str">
        <f t="shared" si="1"/>
        <v/>
      </c>
      <c r="Q495" s="220">
        <f t="shared" si="2"/>
        <v>0</v>
      </c>
      <c r="R495" s="5"/>
    </row>
    <row r="496">
      <c r="A496" s="221" t="s">
        <v>1589</v>
      </c>
      <c r="B496" s="217">
        <f t="array" ref="B496">INDEX(postDEL!$A$2:$P799,$O496,2)</f>
        <v>44615</v>
      </c>
      <c r="C496" s="218">
        <f t="array" ref="C496">INDEX(postDEL!$A$2:$P799,$O496,3)</f>
        <v>0.3352893519</v>
      </c>
      <c r="D496" s="219" t="str">
        <f t="array" ref="D496">INDEX(postDEL!$A$2:$AN799,$O496,39)</f>
        <v>SpBEND184203</v>
      </c>
      <c r="E496" s="219" t="str">
        <f t="array" ref="E496">INDEX(postDEL!$A$2:$P799,$O496,4)</f>
        <v/>
      </c>
      <c r="F496" s="219" t="str">
        <f t="array" ref="F496">INDEX(postDEL!$A$2:$P799,$O496,5)</f>
        <v/>
      </c>
      <c r="G496" s="219" t="str">
        <f t="array" ref="G496">INDEX(postDEL!$A$2:$P799,$O496,11)</f>
        <v>Positive</v>
      </c>
      <c r="H496" s="219" t="str">
        <f t="array" ref="H496">INDEX(postDEL!$A$2:$AL799,$O496,37)</f>
        <v>Negative</v>
      </c>
      <c r="I496" s="217">
        <f t="array" ref="I496">INDEX(postDEL!$A$2:$AL799,$O496,12)</f>
        <v>44615</v>
      </c>
      <c r="J496" s="218">
        <f t="array" ref="J496">INDEX(postDEL!$A$2:$AL799,$O496,13)</f>
        <v>0.49125</v>
      </c>
      <c r="K496" s="219">
        <f t="array" ref="K496">INDEX(postDEL!$A$2:$AL799,$O496,36)</f>
        <v>2.7</v>
      </c>
      <c r="L496" s="219" t="str">
        <f t="array" ref="L496">INDEX(postDEL!$A$2:$AL799,$O496,38)</f>
        <v>Pos to Neg based on RFR - checked image and entire batch mis-called</v>
      </c>
      <c r="M496" s="219" t="str">
        <f t="array" ref="M496">INDEX(postDEL!$A$2:$AL799,$O496,15)</f>
        <v/>
      </c>
      <c r="N496" s="110">
        <f>COUNTIF(postDEL!$A$2:$A799,A496)</f>
        <v>1</v>
      </c>
      <c r="O496" s="19">
        <f>MATCH(A496,postDEL!A$2:A799,0)</f>
        <v>495</v>
      </c>
      <c r="P496" s="10" t="str">
        <f t="shared" si="1"/>
        <v/>
      </c>
      <c r="Q496" s="220">
        <f t="shared" si="2"/>
        <v>0</v>
      </c>
      <c r="R496" s="5"/>
    </row>
    <row r="497">
      <c r="A497" s="221" t="s">
        <v>1591</v>
      </c>
      <c r="B497" s="217">
        <f t="array" ref="B497">INDEX(postDEL!$A$2:$P799,$O497,2)</f>
        <v>44615</v>
      </c>
      <c r="C497" s="218">
        <f t="array" ref="C497">INDEX(postDEL!$A$2:$P799,$O497,3)</f>
        <v>0.3366319444</v>
      </c>
      <c r="D497" s="219" t="str">
        <f t="array" ref="D497">INDEX(postDEL!$A$2:$AN799,$O497,39)</f>
        <v>SpBEND982485</v>
      </c>
      <c r="E497" s="219" t="str">
        <f t="array" ref="E497">INDEX(postDEL!$A$2:$P799,$O497,4)</f>
        <v/>
      </c>
      <c r="F497" s="219" t="str">
        <f t="array" ref="F497">INDEX(postDEL!$A$2:$P799,$O497,5)</f>
        <v/>
      </c>
      <c r="G497" s="219" t="str">
        <f t="array" ref="G497">INDEX(postDEL!$A$2:$P799,$O497,11)</f>
        <v>Positive</v>
      </c>
      <c r="H497" s="219" t="str">
        <f t="array" ref="H497">INDEX(postDEL!$A$2:$AL799,$O497,37)</f>
        <v>Negative</v>
      </c>
      <c r="I497" s="217">
        <f t="array" ref="I497">INDEX(postDEL!$A$2:$AL799,$O497,12)</f>
        <v>44615</v>
      </c>
      <c r="J497" s="218">
        <f t="array" ref="J497">INDEX(postDEL!$A$2:$AL799,$O497,13)</f>
        <v>0.49125</v>
      </c>
      <c r="K497" s="219">
        <f t="array" ref="K497">INDEX(postDEL!$A$2:$AL799,$O497,36)</f>
        <v>2.7</v>
      </c>
      <c r="L497" s="219" t="str">
        <f t="array" ref="L497">INDEX(postDEL!$A$2:$AL799,$O497,38)</f>
        <v>Pos to Neg based on RFR - checked image and entire batch mis-called</v>
      </c>
      <c r="M497" s="219" t="str">
        <f t="array" ref="M497">INDEX(postDEL!$A$2:$AL799,$O497,15)</f>
        <v/>
      </c>
      <c r="N497" s="110">
        <f>COUNTIF(postDEL!$A$2:$A799,A497)</f>
        <v>1</v>
      </c>
      <c r="O497" s="19">
        <f>MATCH(A497,postDEL!A$2:A799,0)</f>
        <v>496</v>
      </c>
      <c r="P497" s="10" t="str">
        <f t="shared" si="1"/>
        <v/>
      </c>
      <c r="Q497" s="220">
        <f t="shared" si="2"/>
        <v>0</v>
      </c>
      <c r="R497" s="5"/>
    </row>
    <row r="498">
      <c r="A498" s="221" t="s">
        <v>1593</v>
      </c>
      <c r="B498" s="217">
        <f t="array" ref="B498">INDEX(postDEL!$A$2:$P799,$O498,2)</f>
        <v>44615</v>
      </c>
      <c r="C498" s="218">
        <f t="array" ref="C498">INDEX(postDEL!$A$2:$P799,$O498,3)</f>
        <v>0.3378819444</v>
      </c>
      <c r="D498" s="219" t="str">
        <f t="array" ref="D498">INDEX(postDEL!$A$2:$AN799,$O498,39)</f>
        <v>SpBEND967817</v>
      </c>
      <c r="E498" s="219" t="str">
        <f t="array" ref="E498">INDEX(postDEL!$A$2:$P799,$O498,4)</f>
        <v/>
      </c>
      <c r="F498" s="219" t="str">
        <f t="array" ref="F498">INDEX(postDEL!$A$2:$P799,$O498,5)</f>
        <v/>
      </c>
      <c r="G498" s="219" t="str">
        <f t="array" ref="G498">INDEX(postDEL!$A$2:$P799,$O498,11)</f>
        <v>Positive</v>
      </c>
      <c r="H498" s="219" t="str">
        <f t="array" ref="H498">INDEX(postDEL!$A$2:$AL799,$O498,37)</f>
        <v>Negative</v>
      </c>
      <c r="I498" s="217">
        <f t="array" ref="I498">INDEX(postDEL!$A$2:$AL799,$O498,12)</f>
        <v>44615</v>
      </c>
      <c r="J498" s="218">
        <f t="array" ref="J498">INDEX(postDEL!$A$2:$AL799,$O498,13)</f>
        <v>0.49125</v>
      </c>
      <c r="K498" s="219">
        <f t="array" ref="K498">INDEX(postDEL!$A$2:$AL799,$O498,36)</f>
        <v>2.7</v>
      </c>
      <c r="L498" s="219" t="str">
        <f t="array" ref="L498">INDEX(postDEL!$A$2:$AL799,$O498,38)</f>
        <v>Pos to Neg based on RFR - checked image and entire batch mis-called</v>
      </c>
      <c r="M498" s="219" t="str">
        <f t="array" ref="M498">INDEX(postDEL!$A$2:$AL799,$O498,15)</f>
        <v/>
      </c>
      <c r="N498" s="110">
        <f>COUNTIF(postDEL!$A$2:$A799,A498)</f>
        <v>1</v>
      </c>
      <c r="O498" s="19">
        <f>MATCH(A498,postDEL!A$2:A799,0)</f>
        <v>497</v>
      </c>
      <c r="P498" s="10" t="str">
        <f t="shared" si="1"/>
        <v/>
      </c>
      <c r="Q498" s="220">
        <f t="shared" si="2"/>
        <v>0</v>
      </c>
      <c r="R498" s="5"/>
    </row>
    <row r="499">
      <c r="A499" s="221" t="s">
        <v>1595</v>
      </c>
      <c r="B499" s="217">
        <f t="array" ref="B499">INDEX(postDEL!$A$2:$P799,$O499,2)</f>
        <v>44615</v>
      </c>
      <c r="C499" s="218">
        <f t="array" ref="C499">INDEX(postDEL!$A$2:$P799,$O499,3)</f>
        <v>0.3422685185</v>
      </c>
      <c r="D499" s="219" t="str">
        <f t="array" ref="D499">INDEX(postDEL!$A$2:$AN799,$O499,39)</f>
        <v>SpBEND768497</v>
      </c>
      <c r="E499" s="219" t="str">
        <f t="array" ref="E499">INDEX(postDEL!$A$2:$P799,$O499,4)</f>
        <v/>
      </c>
      <c r="F499" s="219" t="str">
        <f t="array" ref="F499">INDEX(postDEL!$A$2:$P799,$O499,5)</f>
        <v/>
      </c>
      <c r="G499" s="219" t="str">
        <f t="array" ref="G499">INDEX(postDEL!$A$2:$P799,$O499,11)</f>
        <v>Positive</v>
      </c>
      <c r="H499" s="219" t="str">
        <f t="array" ref="H499">INDEX(postDEL!$A$2:$AL799,$O499,37)</f>
        <v>Negative</v>
      </c>
      <c r="I499" s="217">
        <f t="array" ref="I499">INDEX(postDEL!$A$2:$AL799,$O499,12)</f>
        <v>44615</v>
      </c>
      <c r="J499" s="218">
        <f t="array" ref="J499">INDEX(postDEL!$A$2:$AL799,$O499,13)</f>
        <v>0.49125</v>
      </c>
      <c r="K499" s="219">
        <f t="array" ref="K499">INDEX(postDEL!$A$2:$AL799,$O499,36)</f>
        <v>2.7</v>
      </c>
      <c r="L499" s="219" t="str">
        <f t="array" ref="L499">INDEX(postDEL!$A$2:$AL799,$O499,38)</f>
        <v>Pos to Neg based on RFR - checked image and entire batch mis-called</v>
      </c>
      <c r="M499" s="219" t="str">
        <f t="array" ref="M499">INDEX(postDEL!$A$2:$AL799,$O499,15)</f>
        <v/>
      </c>
      <c r="N499" s="110">
        <f>COUNTIF(postDEL!$A$2:$A799,A499)</f>
        <v>1</v>
      </c>
      <c r="O499" s="19">
        <f>MATCH(A499,postDEL!A$2:A799,0)</f>
        <v>498</v>
      </c>
      <c r="P499" s="10" t="str">
        <f t="shared" si="1"/>
        <v/>
      </c>
      <c r="Q499" s="220">
        <f t="shared" si="2"/>
        <v>0</v>
      </c>
      <c r="R499" s="5"/>
    </row>
    <row r="500">
      <c r="A500" s="221" t="s">
        <v>1597</v>
      </c>
      <c r="B500" s="217">
        <f t="array" ref="B500">INDEX(postDEL!$A$2:$P799,$O500,2)</f>
        <v>44615</v>
      </c>
      <c r="C500" s="218">
        <f t="array" ref="C500">INDEX(postDEL!$A$2:$P799,$O500,3)</f>
        <v>0.342349537</v>
      </c>
      <c r="D500" s="219" t="str">
        <f t="array" ref="D500">INDEX(postDEL!$A$2:$AN799,$O500,39)</f>
        <v>SpBEND481988</v>
      </c>
      <c r="E500" s="219" t="str">
        <f t="array" ref="E500">INDEX(postDEL!$A$2:$P799,$O500,4)</f>
        <v/>
      </c>
      <c r="F500" s="219" t="str">
        <f t="array" ref="F500">INDEX(postDEL!$A$2:$P799,$O500,5)</f>
        <v/>
      </c>
      <c r="G500" s="219" t="str">
        <f t="array" ref="G500">INDEX(postDEL!$A$2:$P799,$O500,11)</f>
        <v>Positive</v>
      </c>
      <c r="H500" s="219" t="str">
        <f t="array" ref="H500">INDEX(postDEL!$A$2:$AL799,$O500,37)</f>
        <v>Negative</v>
      </c>
      <c r="I500" s="217">
        <f t="array" ref="I500">INDEX(postDEL!$A$2:$AL799,$O500,12)</f>
        <v>44615</v>
      </c>
      <c r="J500" s="218">
        <f t="array" ref="J500">INDEX(postDEL!$A$2:$AL799,$O500,13)</f>
        <v>0.49125</v>
      </c>
      <c r="K500" s="219">
        <f t="array" ref="K500">INDEX(postDEL!$A$2:$AL799,$O500,36)</f>
        <v>2.7</v>
      </c>
      <c r="L500" s="219" t="str">
        <f t="array" ref="L500">INDEX(postDEL!$A$2:$AL799,$O500,38)</f>
        <v>Pos to Neg based on RFR - checked image and entire batch mis-called</v>
      </c>
      <c r="M500" s="219" t="str">
        <f t="array" ref="M500">INDEX(postDEL!$A$2:$AL799,$O500,15)</f>
        <v/>
      </c>
      <c r="N500" s="110">
        <f>COUNTIF(postDEL!$A$2:$A799,A500)</f>
        <v>1</v>
      </c>
      <c r="O500" s="19">
        <f>MATCH(A500,postDEL!A$2:A799,0)</f>
        <v>499</v>
      </c>
      <c r="P500" s="10" t="str">
        <f t="shared" si="1"/>
        <v/>
      </c>
      <c r="Q500" s="220">
        <f t="shared" si="2"/>
        <v>0</v>
      </c>
      <c r="R500" s="5"/>
    </row>
    <row r="501">
      <c r="A501" s="221" t="s">
        <v>1599</v>
      </c>
      <c r="B501" s="217">
        <f t="array" ref="B501">INDEX(postDEL!$A$2:$P799,$O501,2)</f>
        <v>44615</v>
      </c>
      <c r="C501" s="218">
        <f t="array" ref="C501">INDEX(postDEL!$A$2:$P799,$O501,3)</f>
        <v>0.3430092593</v>
      </c>
      <c r="D501" s="219" t="str">
        <f t="array" ref="D501">INDEX(postDEL!$A$2:$AN799,$O501,39)</f>
        <v>SpBEND492052</v>
      </c>
      <c r="E501" s="219" t="str">
        <f t="array" ref="E501">INDEX(postDEL!$A$2:$P799,$O501,4)</f>
        <v/>
      </c>
      <c r="F501" s="219" t="str">
        <f t="array" ref="F501">INDEX(postDEL!$A$2:$P799,$O501,5)</f>
        <v/>
      </c>
      <c r="G501" s="219" t="str">
        <f t="array" ref="G501">INDEX(postDEL!$A$2:$P799,$O501,11)</f>
        <v>Positive</v>
      </c>
      <c r="H501" s="219" t="str">
        <f t="array" ref="H501">INDEX(postDEL!$A$2:$AL799,$O501,37)</f>
        <v>Negative</v>
      </c>
      <c r="I501" s="217">
        <f t="array" ref="I501">INDEX(postDEL!$A$2:$AL799,$O501,12)</f>
        <v>44615</v>
      </c>
      <c r="J501" s="218">
        <f t="array" ref="J501">INDEX(postDEL!$A$2:$AL799,$O501,13)</f>
        <v>0.49125</v>
      </c>
      <c r="K501" s="219">
        <f t="array" ref="K501">INDEX(postDEL!$A$2:$AL799,$O501,36)</f>
        <v>2.7</v>
      </c>
      <c r="L501" s="219" t="str">
        <f t="array" ref="L501">INDEX(postDEL!$A$2:$AL799,$O501,38)</f>
        <v>Pos to Neg based on RFR - checked image and entire batch mis-called</v>
      </c>
      <c r="M501" s="219" t="str">
        <f t="array" ref="M501">INDEX(postDEL!$A$2:$AL799,$O501,15)</f>
        <v/>
      </c>
      <c r="N501" s="110">
        <f>COUNTIF(postDEL!$A$2:$A799,A501)</f>
        <v>1</v>
      </c>
      <c r="O501" s="19">
        <f>MATCH(A501,postDEL!A$2:A799,0)</f>
        <v>500</v>
      </c>
      <c r="P501" s="10" t="str">
        <f t="shared" si="1"/>
        <v/>
      </c>
      <c r="Q501" s="220">
        <f t="shared" si="2"/>
        <v>0</v>
      </c>
      <c r="R501" s="5"/>
    </row>
    <row r="502">
      <c r="A502" s="221" t="s">
        <v>1601</v>
      </c>
      <c r="B502" s="217">
        <f t="array" ref="B502">INDEX(postDEL!$A$2:$P799,$O502,2)</f>
        <v>44615</v>
      </c>
      <c r="C502" s="218">
        <f t="array" ref="C502">INDEX(postDEL!$A$2:$P799,$O502,3)</f>
        <v>0.3431828704</v>
      </c>
      <c r="D502" s="219" t="str">
        <f t="array" ref="D502">INDEX(postDEL!$A$2:$AN799,$O502,39)</f>
        <v>SpBEND328905</v>
      </c>
      <c r="E502" s="219" t="str">
        <f t="array" ref="E502">INDEX(postDEL!$A$2:$P799,$O502,4)</f>
        <v/>
      </c>
      <c r="F502" s="219" t="str">
        <f t="array" ref="F502">INDEX(postDEL!$A$2:$P799,$O502,5)</f>
        <v/>
      </c>
      <c r="G502" s="219" t="str">
        <f t="array" ref="G502">INDEX(postDEL!$A$2:$P799,$O502,11)</f>
        <v>Positive</v>
      </c>
      <c r="H502" s="219" t="str">
        <f t="array" ref="H502">INDEX(postDEL!$A$2:$AL799,$O502,37)</f>
        <v>Negative</v>
      </c>
      <c r="I502" s="217">
        <f t="array" ref="I502">INDEX(postDEL!$A$2:$AL799,$O502,12)</f>
        <v>44615</v>
      </c>
      <c r="J502" s="218">
        <f t="array" ref="J502">INDEX(postDEL!$A$2:$AL799,$O502,13)</f>
        <v>0.49125</v>
      </c>
      <c r="K502" s="219">
        <f t="array" ref="K502">INDEX(postDEL!$A$2:$AL799,$O502,36)</f>
        <v>2.7</v>
      </c>
      <c r="L502" s="219" t="str">
        <f t="array" ref="L502">INDEX(postDEL!$A$2:$AL799,$O502,38)</f>
        <v>Pos to Neg based on RFR - checked image and entire batch mis-called</v>
      </c>
      <c r="M502" s="219" t="str">
        <f t="array" ref="M502">INDEX(postDEL!$A$2:$AL799,$O502,15)</f>
        <v/>
      </c>
      <c r="N502" s="110">
        <f>COUNTIF(postDEL!$A$2:$A799,A502)</f>
        <v>1</v>
      </c>
      <c r="O502" s="19">
        <f>MATCH(A502,postDEL!A$2:A799,0)</f>
        <v>501</v>
      </c>
      <c r="P502" s="10" t="str">
        <f t="shared" si="1"/>
        <v/>
      </c>
      <c r="Q502" s="220">
        <f t="shared" si="2"/>
        <v>0</v>
      </c>
      <c r="R502" s="5"/>
    </row>
    <row r="503">
      <c r="A503" s="221" t="s">
        <v>1603</v>
      </c>
      <c r="B503" s="217">
        <f t="array" ref="B503">INDEX(postDEL!$A$2:$P799,$O503,2)</f>
        <v>44615</v>
      </c>
      <c r="C503" s="218">
        <f t="array" ref="C503">INDEX(postDEL!$A$2:$P799,$O503,3)</f>
        <v>0.3433217593</v>
      </c>
      <c r="D503" s="219" t="str">
        <f t="array" ref="D503">INDEX(postDEL!$A$2:$AN799,$O503,39)</f>
        <v>SpBEND977859</v>
      </c>
      <c r="E503" s="219" t="str">
        <f t="array" ref="E503">INDEX(postDEL!$A$2:$P799,$O503,4)</f>
        <v/>
      </c>
      <c r="F503" s="219" t="str">
        <f t="array" ref="F503">INDEX(postDEL!$A$2:$P799,$O503,5)</f>
        <v/>
      </c>
      <c r="G503" s="219" t="str">
        <f t="array" ref="G503">INDEX(postDEL!$A$2:$P799,$O503,11)</f>
        <v>Positive</v>
      </c>
      <c r="H503" s="219" t="str">
        <f t="array" ref="H503">INDEX(postDEL!$A$2:$AL799,$O503,37)</f>
        <v>Negative</v>
      </c>
      <c r="I503" s="217">
        <f t="array" ref="I503">INDEX(postDEL!$A$2:$AL799,$O503,12)</f>
        <v>44615</v>
      </c>
      <c r="J503" s="218">
        <f t="array" ref="J503">INDEX(postDEL!$A$2:$AL799,$O503,13)</f>
        <v>0.4912615741</v>
      </c>
      <c r="K503" s="219">
        <f t="array" ref="K503">INDEX(postDEL!$A$2:$AL799,$O503,36)</f>
        <v>2.7</v>
      </c>
      <c r="L503" s="219" t="str">
        <f t="array" ref="L503">INDEX(postDEL!$A$2:$AL799,$O503,38)</f>
        <v>Pos to Neg based on RFR - checked image and entire batch mis-called</v>
      </c>
      <c r="M503" s="219" t="str">
        <f t="array" ref="M503">INDEX(postDEL!$A$2:$AL799,$O503,15)</f>
        <v/>
      </c>
      <c r="N503" s="110">
        <f>COUNTIF(postDEL!$A$2:$A799,A503)</f>
        <v>1</v>
      </c>
      <c r="O503" s="19">
        <f>MATCH(A503,postDEL!A$2:A799,0)</f>
        <v>502</v>
      </c>
      <c r="P503" s="10" t="str">
        <f t="shared" si="1"/>
        <v/>
      </c>
      <c r="Q503" s="220">
        <f t="shared" si="2"/>
        <v>0</v>
      </c>
      <c r="R503" s="5"/>
    </row>
    <row r="504">
      <c r="A504" s="221" t="s">
        <v>1605</v>
      </c>
      <c r="B504" s="217">
        <f t="array" ref="B504">INDEX(postDEL!$A$2:$P799,$O504,2)</f>
        <v>44615</v>
      </c>
      <c r="C504" s="218">
        <f t="array" ref="C504">INDEX(postDEL!$A$2:$P799,$O504,3)</f>
        <v>0.3441782407</v>
      </c>
      <c r="D504" s="219" t="str">
        <f t="array" ref="D504">INDEX(postDEL!$A$2:$AN799,$O504,39)</f>
        <v>SpBEND413838</v>
      </c>
      <c r="E504" s="219" t="str">
        <f t="array" ref="E504">INDEX(postDEL!$A$2:$P799,$O504,4)</f>
        <v/>
      </c>
      <c r="F504" s="219" t="str">
        <f t="array" ref="F504">INDEX(postDEL!$A$2:$P799,$O504,5)</f>
        <v/>
      </c>
      <c r="G504" s="219" t="str">
        <f t="array" ref="G504">INDEX(postDEL!$A$2:$P799,$O504,11)</f>
        <v>Positive</v>
      </c>
      <c r="H504" s="219" t="str">
        <f t="array" ref="H504">INDEX(postDEL!$A$2:$AL799,$O504,37)</f>
        <v>Negative</v>
      </c>
      <c r="I504" s="217">
        <f t="array" ref="I504">INDEX(postDEL!$A$2:$AL799,$O504,12)</f>
        <v>44615</v>
      </c>
      <c r="J504" s="218">
        <f t="array" ref="J504">INDEX(postDEL!$A$2:$AL799,$O504,13)</f>
        <v>0.4912615741</v>
      </c>
      <c r="K504" s="219">
        <f t="array" ref="K504">INDEX(postDEL!$A$2:$AL799,$O504,36)</f>
        <v>2.7</v>
      </c>
      <c r="L504" s="219" t="str">
        <f t="array" ref="L504">INDEX(postDEL!$A$2:$AL799,$O504,38)</f>
        <v>Pos to Neg based on RFR - checked image and entire batch mis-called</v>
      </c>
      <c r="M504" s="219" t="str">
        <f t="array" ref="M504">INDEX(postDEL!$A$2:$AL799,$O504,15)</f>
        <v/>
      </c>
      <c r="N504" s="110">
        <f>COUNTIF(postDEL!$A$2:$A799,A504)</f>
        <v>1</v>
      </c>
      <c r="O504" s="19">
        <f>MATCH(A504,postDEL!A$2:A799,0)</f>
        <v>503</v>
      </c>
      <c r="P504" s="10" t="str">
        <f t="shared" si="1"/>
        <v/>
      </c>
      <c r="Q504" s="220">
        <f t="shared" si="2"/>
        <v>0</v>
      </c>
      <c r="R504" s="5"/>
    </row>
    <row r="505">
      <c r="A505" s="221" t="s">
        <v>1607</v>
      </c>
      <c r="B505" s="217">
        <f t="array" ref="B505">INDEX(postDEL!$A$2:$P799,$O505,2)</f>
        <v>44615</v>
      </c>
      <c r="C505" s="218">
        <f t="array" ref="C505">INDEX(postDEL!$A$2:$P799,$O505,3)</f>
        <v>0.3872222222</v>
      </c>
      <c r="D505" s="219" t="str">
        <f t="array" ref="D505">INDEX(postDEL!$A$2:$AN799,$O505,39)</f>
        <v>SpBEND914710</v>
      </c>
      <c r="E505" s="219" t="str">
        <f t="array" ref="E505">INDEX(postDEL!$A$2:$P799,$O505,4)</f>
        <v/>
      </c>
      <c r="F505" s="219" t="str">
        <f t="array" ref="F505">INDEX(postDEL!$A$2:$P799,$O505,5)</f>
        <v/>
      </c>
      <c r="G505" s="219" t="str">
        <f t="array" ref="G505">INDEX(postDEL!$A$2:$P799,$O505,11)</f>
        <v>Positive</v>
      </c>
      <c r="H505" s="219" t="str">
        <f t="array" ref="H505">INDEX(postDEL!$A$2:$AL799,$O505,37)</f>
        <v>Negative</v>
      </c>
      <c r="I505" s="217">
        <f t="array" ref="I505">INDEX(postDEL!$A$2:$AL799,$O505,12)</f>
        <v>44615</v>
      </c>
      <c r="J505" s="218">
        <f t="array" ref="J505">INDEX(postDEL!$A$2:$AL799,$O505,13)</f>
        <v>0.4912615741</v>
      </c>
      <c r="K505" s="219">
        <f t="array" ref="K505">INDEX(postDEL!$A$2:$AL799,$O505,36)</f>
        <v>2.7</v>
      </c>
      <c r="L505" s="219" t="str">
        <f t="array" ref="L505">INDEX(postDEL!$A$2:$AL799,$O505,38)</f>
        <v>Pos to Neg based on RFR - checked image and entire batch mis-called</v>
      </c>
      <c r="M505" s="219" t="str">
        <f t="array" ref="M505">INDEX(postDEL!$A$2:$AL799,$O505,15)</f>
        <v/>
      </c>
      <c r="N505" s="110">
        <f>COUNTIF(postDEL!$A$2:$A799,A505)</f>
        <v>1</v>
      </c>
      <c r="O505" s="19">
        <f>MATCH(A505,postDEL!A$2:A799,0)</f>
        <v>504</v>
      </c>
      <c r="P505" s="10" t="str">
        <f t="shared" si="1"/>
        <v/>
      </c>
      <c r="Q505" s="220">
        <f t="shared" si="2"/>
        <v>0</v>
      </c>
      <c r="R505" s="5"/>
    </row>
    <row r="506">
      <c r="A506" s="221" t="s">
        <v>1609</v>
      </c>
      <c r="B506" s="217">
        <f t="array" ref="B506">INDEX(postDEL!$A$2:$P799,$O506,2)</f>
        <v>44615</v>
      </c>
      <c r="C506" s="218">
        <f t="array" ref="C506">INDEX(postDEL!$A$2:$P799,$O506,3)</f>
        <v>0.3953356481</v>
      </c>
      <c r="D506" s="219" t="str">
        <f t="array" ref="D506">INDEX(postDEL!$A$2:$AN799,$O506,39)</f>
        <v>SpBEND643855</v>
      </c>
      <c r="E506" s="219" t="str">
        <f t="array" ref="E506">INDEX(postDEL!$A$2:$P799,$O506,4)</f>
        <v/>
      </c>
      <c r="F506" s="219" t="str">
        <f t="array" ref="F506">INDEX(postDEL!$A$2:$P799,$O506,5)</f>
        <v/>
      </c>
      <c r="G506" s="219" t="str">
        <f t="array" ref="G506">INDEX(postDEL!$A$2:$P799,$O506,11)</f>
        <v>Positive</v>
      </c>
      <c r="H506" s="219" t="str">
        <f t="array" ref="H506">INDEX(postDEL!$A$2:$AL799,$O506,37)</f>
        <v>Negative</v>
      </c>
      <c r="I506" s="217">
        <f t="array" ref="I506">INDEX(postDEL!$A$2:$AL799,$O506,12)</f>
        <v>44615</v>
      </c>
      <c r="J506" s="218">
        <f t="array" ref="J506">INDEX(postDEL!$A$2:$AL799,$O506,13)</f>
        <v>0.4912615741</v>
      </c>
      <c r="K506" s="219">
        <f t="array" ref="K506">INDEX(postDEL!$A$2:$AL799,$O506,36)</f>
        <v>2.7</v>
      </c>
      <c r="L506" s="219" t="str">
        <f t="array" ref="L506">INDEX(postDEL!$A$2:$AL799,$O506,38)</f>
        <v>Pos to Neg based on RFR - checked image and entire batch mis-called</v>
      </c>
      <c r="M506" s="219" t="str">
        <f t="array" ref="M506">INDEX(postDEL!$A$2:$AL799,$O506,15)</f>
        <v/>
      </c>
      <c r="N506" s="110">
        <f>COUNTIF(postDEL!$A$2:$A799,A506)</f>
        <v>1</v>
      </c>
      <c r="O506" s="19">
        <f>MATCH(A506,postDEL!A$2:A799,0)</f>
        <v>505</v>
      </c>
      <c r="P506" s="10" t="str">
        <f t="shared" si="1"/>
        <v/>
      </c>
      <c r="Q506" s="220">
        <f t="shared" si="2"/>
        <v>0</v>
      </c>
      <c r="R506" s="5"/>
    </row>
    <row r="507">
      <c r="A507" s="221" t="s">
        <v>1611</v>
      </c>
      <c r="B507" s="217">
        <f t="array" ref="B507">INDEX(postDEL!$A$2:$P799,$O507,2)</f>
        <v>44615</v>
      </c>
      <c r="C507" s="218">
        <f t="array" ref="C507">INDEX(postDEL!$A$2:$P799,$O507,3)</f>
        <v>0.4183912037</v>
      </c>
      <c r="D507" s="219" t="str">
        <f t="array" ref="D507">INDEX(postDEL!$A$2:$AN799,$O507,39)</f>
        <v>SpBEND394154</v>
      </c>
      <c r="E507" s="219" t="str">
        <f t="array" ref="E507">INDEX(postDEL!$A$2:$P799,$O507,4)</f>
        <v/>
      </c>
      <c r="F507" s="219" t="str">
        <f t="array" ref="F507">INDEX(postDEL!$A$2:$P799,$O507,5)</f>
        <v/>
      </c>
      <c r="G507" s="219" t="str">
        <f t="array" ref="G507">INDEX(postDEL!$A$2:$P799,$O507,11)</f>
        <v>Positive</v>
      </c>
      <c r="H507" s="219" t="str">
        <f t="array" ref="H507">INDEX(postDEL!$A$2:$AL799,$O507,37)</f>
        <v>Negative</v>
      </c>
      <c r="I507" s="217">
        <f t="array" ref="I507">INDEX(postDEL!$A$2:$AL799,$O507,12)</f>
        <v>44615</v>
      </c>
      <c r="J507" s="218">
        <f t="array" ref="J507">INDEX(postDEL!$A$2:$AL799,$O507,13)</f>
        <v>0.4912615741</v>
      </c>
      <c r="K507" s="219">
        <f t="array" ref="K507">INDEX(postDEL!$A$2:$AL799,$O507,36)</f>
        <v>2.7</v>
      </c>
      <c r="L507" s="219" t="str">
        <f t="array" ref="L507">INDEX(postDEL!$A$2:$AL799,$O507,38)</f>
        <v>Pos to Neg based on RFR - checked image and entire batch mis-called</v>
      </c>
      <c r="M507" s="219" t="str">
        <f t="array" ref="M507">INDEX(postDEL!$A$2:$AL799,$O507,15)</f>
        <v/>
      </c>
      <c r="N507" s="110">
        <f>COUNTIF(postDEL!$A$2:$A799,A507)</f>
        <v>1</v>
      </c>
      <c r="O507" s="19">
        <f>MATCH(A507,postDEL!A$2:A799,0)</f>
        <v>506</v>
      </c>
      <c r="P507" s="10" t="str">
        <f t="shared" si="1"/>
        <v/>
      </c>
      <c r="Q507" s="220">
        <f t="shared" si="2"/>
        <v>0</v>
      </c>
      <c r="R507" s="5"/>
    </row>
    <row r="508">
      <c r="A508" s="221" t="s">
        <v>1613</v>
      </c>
      <c r="B508" s="217">
        <f t="array" ref="B508">INDEX(postDEL!$A$2:$P799,$O508,2)</f>
        <v>44615</v>
      </c>
      <c r="C508" s="218">
        <f t="array" ref="C508">INDEX(postDEL!$A$2:$P799,$O508,3)</f>
        <v>0.4184490741</v>
      </c>
      <c r="D508" s="219" t="str">
        <f t="array" ref="D508">INDEX(postDEL!$A$2:$AN799,$O508,39)</f>
        <v>SpBEND110967</v>
      </c>
      <c r="E508" s="219" t="str">
        <f t="array" ref="E508">INDEX(postDEL!$A$2:$P799,$O508,4)</f>
        <v/>
      </c>
      <c r="F508" s="219" t="str">
        <f t="array" ref="F508">INDEX(postDEL!$A$2:$P799,$O508,5)</f>
        <v/>
      </c>
      <c r="G508" s="219" t="str">
        <f t="array" ref="G508">INDEX(postDEL!$A$2:$P799,$O508,11)</f>
        <v>Positive</v>
      </c>
      <c r="H508" s="219" t="str">
        <f t="array" ref="H508">INDEX(postDEL!$A$2:$AL799,$O508,37)</f>
        <v>Negative</v>
      </c>
      <c r="I508" s="217">
        <f t="array" ref="I508">INDEX(postDEL!$A$2:$AL799,$O508,12)</f>
        <v>44615</v>
      </c>
      <c r="J508" s="218">
        <f t="array" ref="J508">INDEX(postDEL!$A$2:$AL799,$O508,13)</f>
        <v>0.4912615741</v>
      </c>
      <c r="K508" s="219">
        <f t="array" ref="K508">INDEX(postDEL!$A$2:$AL799,$O508,36)</f>
        <v>2.7</v>
      </c>
      <c r="L508" s="219" t="str">
        <f t="array" ref="L508">INDEX(postDEL!$A$2:$AL799,$O508,38)</f>
        <v>Pos to Neg based on RFR - checked image and entire batch mis-called</v>
      </c>
      <c r="M508" s="219" t="str">
        <f t="array" ref="M508">INDEX(postDEL!$A$2:$AL799,$O508,15)</f>
        <v/>
      </c>
      <c r="N508" s="110">
        <f>COUNTIF(postDEL!$A$2:$A799,A508)</f>
        <v>1</v>
      </c>
      <c r="O508" s="19">
        <f>MATCH(A508,postDEL!A$2:A799,0)</f>
        <v>507</v>
      </c>
      <c r="P508" s="10" t="str">
        <f t="shared" si="1"/>
        <v/>
      </c>
      <c r="Q508" s="220">
        <f t="shared" si="2"/>
        <v>0</v>
      </c>
      <c r="R508" s="5"/>
    </row>
    <row r="509">
      <c r="A509" s="221" t="s">
        <v>1615</v>
      </c>
      <c r="B509" s="217">
        <f t="array" ref="B509">INDEX(postDEL!$A$2:$P799,$O509,2)</f>
        <v>44617</v>
      </c>
      <c r="C509" s="218">
        <f t="array" ref="C509">INDEX(postDEL!$A$2:$P799,$O509,3)</f>
        <v>0.2931018519</v>
      </c>
      <c r="D509" s="219" t="str">
        <f t="array" ref="D509">INDEX(postDEL!$A$2:$AN799,$O509,39)</f>
        <v>SpBEND996809</v>
      </c>
      <c r="E509" s="219" t="str">
        <f t="array" ref="E509">INDEX(postDEL!$A$2:$P799,$O509,4)</f>
        <v/>
      </c>
      <c r="F509" s="219" t="str">
        <f t="array" ref="F509">INDEX(postDEL!$A$2:$P799,$O509,5)</f>
        <v/>
      </c>
      <c r="G509" s="219" t="str">
        <f t="array" ref="G509">INDEX(postDEL!$A$2:$P799,$O509,11)</f>
        <v>Negative</v>
      </c>
      <c r="H509" s="219" t="str">
        <f t="array" ref="H509">INDEX(postDEL!$A$2:$AL799,$O509,37)</f>
        <v>Negative</v>
      </c>
      <c r="I509" s="217">
        <f t="array" ref="I509">INDEX(postDEL!$A$2:$AL799,$O509,12)</f>
        <v>44617</v>
      </c>
      <c r="J509" s="218">
        <f t="array" ref="J509">INDEX(postDEL!$A$2:$AL799,$O509,13)</f>
        <v>0.5033680556</v>
      </c>
      <c r="K509" s="219" t="str">
        <f t="array" ref="K509">INDEX(postDEL!$A$2:$AL799,$O509,36)</f>
        <v/>
      </c>
      <c r="L509" s="219" t="str">
        <f t="array" ref="L509">INDEX(postDEL!$A$2:$AL799,$O509,38)</f>
        <v/>
      </c>
      <c r="M509" s="219" t="str">
        <f t="array" ref="M509">INDEX(postDEL!$A$2:$AL799,$O509,15)</f>
        <v/>
      </c>
      <c r="N509" s="110">
        <f>COUNTIF(postDEL!$A$2:$A799,A509)</f>
        <v>1</v>
      </c>
      <c r="O509" s="19">
        <f>MATCH(A509,postDEL!A$2:A799,0)</f>
        <v>508</v>
      </c>
      <c r="P509" s="10" t="b">
        <f t="shared" si="1"/>
        <v>1</v>
      </c>
      <c r="Q509" s="220">
        <f t="shared" si="2"/>
        <v>0</v>
      </c>
      <c r="R509" s="5"/>
    </row>
    <row r="510">
      <c r="A510" s="221" t="s">
        <v>1617</v>
      </c>
      <c r="B510" s="217">
        <f t="array" ref="B510">INDEX(postDEL!$A$2:$P799,$O510,2)</f>
        <v>44617</v>
      </c>
      <c r="C510" s="218">
        <f t="array" ref="C510">INDEX(postDEL!$A$2:$P799,$O510,3)</f>
        <v>0.3017476852</v>
      </c>
      <c r="D510" s="219" t="str">
        <f t="array" ref="D510">INDEX(postDEL!$A$2:$AN799,$O510,39)</f>
        <v>SpBEND385421</v>
      </c>
      <c r="E510" s="219" t="str">
        <f t="array" ref="E510">INDEX(postDEL!$A$2:$P799,$O510,4)</f>
        <v/>
      </c>
      <c r="F510" s="219" t="str">
        <f t="array" ref="F510">INDEX(postDEL!$A$2:$P799,$O510,5)</f>
        <v/>
      </c>
      <c r="G510" s="219" t="str">
        <f t="array" ref="G510">INDEX(postDEL!$A$2:$P799,$O510,11)</f>
        <v>Negative</v>
      </c>
      <c r="H510" s="219" t="str">
        <f t="array" ref="H510">INDEX(postDEL!$A$2:$AL799,$O510,37)</f>
        <v>Negative</v>
      </c>
      <c r="I510" s="217">
        <f t="array" ref="I510">INDEX(postDEL!$A$2:$AL799,$O510,12)</f>
        <v>44617</v>
      </c>
      <c r="J510" s="218">
        <f t="array" ref="J510">INDEX(postDEL!$A$2:$AL799,$O510,13)</f>
        <v>0.5033680556</v>
      </c>
      <c r="K510" s="219" t="str">
        <f t="array" ref="K510">INDEX(postDEL!$A$2:$AL799,$O510,36)</f>
        <v/>
      </c>
      <c r="L510" s="219" t="str">
        <f t="array" ref="L510">INDEX(postDEL!$A$2:$AL799,$O510,38)</f>
        <v/>
      </c>
      <c r="M510" s="219" t="str">
        <f t="array" ref="M510">INDEX(postDEL!$A$2:$AL799,$O510,15)</f>
        <v/>
      </c>
      <c r="N510" s="110">
        <f>COUNTIF(postDEL!$A$2:$A799,A510)</f>
        <v>1</v>
      </c>
      <c r="O510" s="19">
        <f>MATCH(A510,postDEL!A$2:A799,0)</f>
        <v>509</v>
      </c>
      <c r="P510" s="10" t="str">
        <f t="shared" si="1"/>
        <v/>
      </c>
      <c r="Q510" s="220">
        <f t="shared" si="2"/>
        <v>0</v>
      </c>
      <c r="R510" s="5"/>
    </row>
    <row r="511">
      <c r="A511" s="221" t="s">
        <v>1619</v>
      </c>
      <c r="B511" s="217">
        <f t="array" ref="B511">INDEX(postDEL!$A$2:$P799,$O511,2)</f>
        <v>44617</v>
      </c>
      <c r="C511" s="218">
        <f t="array" ref="C511">INDEX(postDEL!$A$2:$P799,$O511,3)</f>
        <v>0.3025115741</v>
      </c>
      <c r="D511" s="219" t="str">
        <f t="array" ref="D511">INDEX(postDEL!$A$2:$AN799,$O511,39)</f>
        <v>SpBEND610784</v>
      </c>
      <c r="E511" s="219" t="str">
        <f t="array" ref="E511">INDEX(postDEL!$A$2:$P799,$O511,4)</f>
        <v/>
      </c>
      <c r="F511" s="219" t="str">
        <f t="array" ref="F511">INDEX(postDEL!$A$2:$P799,$O511,5)</f>
        <v/>
      </c>
      <c r="G511" s="219" t="str">
        <f t="array" ref="G511">INDEX(postDEL!$A$2:$P799,$O511,11)</f>
        <v>Negative</v>
      </c>
      <c r="H511" s="219" t="str">
        <f t="array" ref="H511">INDEX(postDEL!$A$2:$AL799,$O511,37)</f>
        <v>Negative</v>
      </c>
      <c r="I511" s="217">
        <f t="array" ref="I511">INDEX(postDEL!$A$2:$AL799,$O511,12)</f>
        <v>44617</v>
      </c>
      <c r="J511" s="218">
        <f t="array" ref="J511">INDEX(postDEL!$A$2:$AL799,$O511,13)</f>
        <v>0.5033680556</v>
      </c>
      <c r="K511" s="219" t="str">
        <f t="array" ref="K511">INDEX(postDEL!$A$2:$AL799,$O511,36)</f>
        <v/>
      </c>
      <c r="L511" s="219" t="str">
        <f t="array" ref="L511">INDEX(postDEL!$A$2:$AL799,$O511,38)</f>
        <v/>
      </c>
      <c r="M511" s="219" t="str">
        <f t="array" ref="M511">INDEX(postDEL!$A$2:$AL799,$O511,15)</f>
        <v/>
      </c>
      <c r="N511" s="110">
        <f>COUNTIF(postDEL!$A$2:$A799,A511)</f>
        <v>1</v>
      </c>
      <c r="O511" s="19">
        <f>MATCH(A511,postDEL!A$2:A799,0)</f>
        <v>510</v>
      </c>
      <c r="P511" s="10" t="str">
        <f t="shared" si="1"/>
        <v/>
      </c>
      <c r="Q511" s="220">
        <f t="shared" si="2"/>
        <v>0</v>
      </c>
      <c r="R511" s="5"/>
    </row>
    <row r="512">
      <c r="A512" s="221" t="s">
        <v>1621</v>
      </c>
      <c r="B512" s="217">
        <f t="array" ref="B512">INDEX(postDEL!$A$2:$P799,$O512,2)</f>
        <v>44617</v>
      </c>
      <c r="C512" s="218">
        <f t="array" ref="C512">INDEX(postDEL!$A$2:$P799,$O512,3)</f>
        <v>0.3030208333</v>
      </c>
      <c r="D512" s="219" t="str">
        <f t="array" ref="D512">INDEX(postDEL!$A$2:$AN799,$O512,39)</f>
        <v>SpBEND985296</v>
      </c>
      <c r="E512" s="219" t="str">
        <f t="array" ref="E512">INDEX(postDEL!$A$2:$P799,$O512,4)</f>
        <v/>
      </c>
      <c r="F512" s="219" t="str">
        <f t="array" ref="F512">INDEX(postDEL!$A$2:$P799,$O512,5)</f>
        <v/>
      </c>
      <c r="G512" s="219" t="str">
        <f t="array" ref="G512">INDEX(postDEL!$A$2:$P799,$O512,11)</f>
        <v>Negative</v>
      </c>
      <c r="H512" s="219" t="str">
        <f t="array" ref="H512">INDEX(postDEL!$A$2:$AL799,$O512,37)</f>
        <v>Negative</v>
      </c>
      <c r="I512" s="217">
        <f t="array" ref="I512">INDEX(postDEL!$A$2:$AL799,$O512,12)</f>
        <v>44617</v>
      </c>
      <c r="J512" s="218">
        <f t="array" ref="J512">INDEX(postDEL!$A$2:$AL799,$O512,13)</f>
        <v>0.5033680556</v>
      </c>
      <c r="K512" s="219" t="str">
        <f t="array" ref="K512">INDEX(postDEL!$A$2:$AL799,$O512,36)</f>
        <v/>
      </c>
      <c r="L512" s="219" t="str">
        <f t="array" ref="L512">INDEX(postDEL!$A$2:$AL799,$O512,38)</f>
        <v/>
      </c>
      <c r="M512" s="219" t="str">
        <f t="array" ref="M512">INDEX(postDEL!$A$2:$AL799,$O512,15)</f>
        <v/>
      </c>
      <c r="N512" s="110">
        <f>COUNTIF(postDEL!$A$2:$A799,A512)</f>
        <v>1</v>
      </c>
      <c r="O512" s="19">
        <f>MATCH(A512,postDEL!A$2:A799,0)</f>
        <v>511</v>
      </c>
      <c r="P512" s="10" t="str">
        <f t="shared" si="1"/>
        <v/>
      </c>
      <c r="Q512" s="220">
        <f t="shared" si="2"/>
        <v>0</v>
      </c>
      <c r="R512" s="5"/>
    </row>
    <row r="513">
      <c r="A513" s="221" t="s">
        <v>1623</v>
      </c>
      <c r="B513" s="217">
        <f t="array" ref="B513">INDEX(postDEL!$A$2:$P799,$O513,2)</f>
        <v>44617</v>
      </c>
      <c r="C513" s="218">
        <f t="array" ref="C513">INDEX(postDEL!$A$2:$P799,$O513,3)</f>
        <v>0.3043518519</v>
      </c>
      <c r="D513" s="219" t="str">
        <f t="array" ref="D513">INDEX(postDEL!$A$2:$AN799,$O513,39)</f>
        <v>SpBEND637657</v>
      </c>
      <c r="E513" s="219" t="str">
        <f t="array" ref="E513">INDEX(postDEL!$A$2:$P799,$O513,4)</f>
        <v/>
      </c>
      <c r="F513" s="219" t="str">
        <f t="array" ref="F513">INDEX(postDEL!$A$2:$P799,$O513,5)</f>
        <v/>
      </c>
      <c r="G513" s="219" t="str">
        <f t="array" ref="G513">INDEX(postDEL!$A$2:$P799,$O513,11)</f>
        <v>Negative</v>
      </c>
      <c r="H513" s="219" t="str">
        <f t="array" ref="H513">INDEX(postDEL!$A$2:$AL799,$O513,37)</f>
        <v>Negative</v>
      </c>
      <c r="I513" s="217">
        <f t="array" ref="I513">INDEX(postDEL!$A$2:$AL799,$O513,12)</f>
        <v>44617</v>
      </c>
      <c r="J513" s="218">
        <f t="array" ref="J513">INDEX(postDEL!$A$2:$AL799,$O513,13)</f>
        <v>0.5033680556</v>
      </c>
      <c r="K513" s="219" t="str">
        <f t="array" ref="K513">INDEX(postDEL!$A$2:$AL799,$O513,36)</f>
        <v/>
      </c>
      <c r="L513" s="219" t="str">
        <f t="array" ref="L513">INDEX(postDEL!$A$2:$AL799,$O513,38)</f>
        <v/>
      </c>
      <c r="M513" s="219" t="str">
        <f t="array" ref="M513">INDEX(postDEL!$A$2:$AL799,$O513,15)</f>
        <v/>
      </c>
      <c r="N513" s="110">
        <f>COUNTIF(postDEL!$A$2:$A799,A513)</f>
        <v>1</v>
      </c>
      <c r="O513" s="19">
        <f>MATCH(A513,postDEL!A$2:A799,0)</f>
        <v>512</v>
      </c>
      <c r="P513" s="10" t="str">
        <f t="shared" si="1"/>
        <v/>
      </c>
      <c r="Q513" s="220">
        <f t="shared" si="2"/>
        <v>0</v>
      </c>
      <c r="R513" s="5"/>
    </row>
    <row r="514">
      <c r="A514" s="221" t="s">
        <v>1625</v>
      </c>
      <c r="B514" s="217">
        <f t="array" ref="B514">INDEX(postDEL!$A$2:$P799,$O514,2)</f>
        <v>44617</v>
      </c>
      <c r="C514" s="218">
        <f t="array" ref="C514">INDEX(postDEL!$A$2:$P799,$O514,3)</f>
        <v>0.3046180556</v>
      </c>
      <c r="D514" s="219" t="str">
        <f t="array" ref="D514">INDEX(postDEL!$A$2:$AN799,$O514,39)</f>
        <v>SpBEND757435</v>
      </c>
      <c r="E514" s="219" t="str">
        <f t="array" ref="E514">INDEX(postDEL!$A$2:$P799,$O514,4)</f>
        <v/>
      </c>
      <c r="F514" s="219" t="str">
        <f t="array" ref="F514">INDEX(postDEL!$A$2:$P799,$O514,5)</f>
        <v/>
      </c>
      <c r="G514" s="219" t="str">
        <f t="array" ref="G514">INDEX(postDEL!$A$2:$P799,$O514,11)</f>
        <v>Negative</v>
      </c>
      <c r="H514" s="219" t="str">
        <f t="array" ref="H514">INDEX(postDEL!$A$2:$AL799,$O514,37)</f>
        <v>Negative</v>
      </c>
      <c r="I514" s="217">
        <f t="array" ref="I514">INDEX(postDEL!$A$2:$AL799,$O514,12)</f>
        <v>44617</v>
      </c>
      <c r="J514" s="218">
        <f t="array" ref="J514">INDEX(postDEL!$A$2:$AL799,$O514,13)</f>
        <v>0.5033680556</v>
      </c>
      <c r="K514" s="219" t="str">
        <f t="array" ref="K514">INDEX(postDEL!$A$2:$AL799,$O514,36)</f>
        <v/>
      </c>
      <c r="L514" s="219" t="str">
        <f t="array" ref="L514">INDEX(postDEL!$A$2:$AL799,$O514,38)</f>
        <v/>
      </c>
      <c r="M514" s="219" t="str">
        <f t="array" ref="M514">INDEX(postDEL!$A$2:$AL799,$O514,15)</f>
        <v/>
      </c>
      <c r="N514" s="110">
        <f>COUNTIF(postDEL!$A$2:$A799,A514)</f>
        <v>1</v>
      </c>
      <c r="O514" s="19">
        <f>MATCH(A514,postDEL!A$2:A799,0)</f>
        <v>513</v>
      </c>
      <c r="P514" s="10" t="str">
        <f t="shared" si="1"/>
        <v/>
      </c>
      <c r="Q514" s="220">
        <f t="shared" si="2"/>
        <v>0</v>
      </c>
      <c r="R514" s="5"/>
    </row>
    <row r="515">
      <c r="A515" s="221" t="s">
        <v>1627</v>
      </c>
      <c r="B515" s="217">
        <f t="array" ref="B515">INDEX(postDEL!$A$2:$P799,$O515,2)</f>
        <v>44617</v>
      </c>
      <c r="C515" s="218">
        <f t="array" ref="C515">INDEX(postDEL!$A$2:$P799,$O515,3)</f>
        <v>0.3062731481</v>
      </c>
      <c r="D515" s="219" t="str">
        <f t="array" ref="D515">INDEX(postDEL!$A$2:$AN799,$O515,39)</f>
        <v>SpBEND862115</v>
      </c>
      <c r="E515" s="219" t="str">
        <f t="array" ref="E515">INDEX(postDEL!$A$2:$P799,$O515,4)</f>
        <v/>
      </c>
      <c r="F515" s="219" t="str">
        <f t="array" ref="F515">INDEX(postDEL!$A$2:$P799,$O515,5)</f>
        <v/>
      </c>
      <c r="G515" s="219" t="str">
        <f t="array" ref="G515">INDEX(postDEL!$A$2:$P799,$O515,11)</f>
        <v>Negative</v>
      </c>
      <c r="H515" s="219" t="str">
        <f t="array" ref="H515">INDEX(postDEL!$A$2:$AL799,$O515,37)</f>
        <v>Negative</v>
      </c>
      <c r="I515" s="217">
        <f t="array" ref="I515">INDEX(postDEL!$A$2:$AL799,$O515,12)</f>
        <v>44617</v>
      </c>
      <c r="J515" s="218">
        <f t="array" ref="J515">INDEX(postDEL!$A$2:$AL799,$O515,13)</f>
        <v>0.5033680556</v>
      </c>
      <c r="K515" s="219" t="str">
        <f t="array" ref="K515">INDEX(postDEL!$A$2:$AL799,$O515,36)</f>
        <v/>
      </c>
      <c r="L515" s="219" t="str">
        <f t="array" ref="L515">INDEX(postDEL!$A$2:$AL799,$O515,38)</f>
        <v/>
      </c>
      <c r="M515" s="219" t="str">
        <f t="array" ref="M515">INDEX(postDEL!$A$2:$AL799,$O515,15)</f>
        <v/>
      </c>
      <c r="N515" s="110">
        <f>COUNTIF(postDEL!$A$2:$A799,A515)</f>
        <v>1</v>
      </c>
      <c r="O515" s="19">
        <f>MATCH(A515,postDEL!A$2:A799,0)</f>
        <v>514</v>
      </c>
      <c r="P515" s="10" t="str">
        <f t="shared" si="1"/>
        <v/>
      </c>
      <c r="Q515" s="220">
        <f t="shared" si="2"/>
        <v>0</v>
      </c>
      <c r="R515" s="5"/>
    </row>
    <row r="516">
      <c r="A516" s="221" t="s">
        <v>1629</v>
      </c>
      <c r="B516" s="217">
        <f t="array" ref="B516">INDEX(postDEL!$A$2:$P799,$O516,2)</f>
        <v>44617</v>
      </c>
      <c r="C516" s="218">
        <f t="array" ref="C516">INDEX(postDEL!$A$2:$P799,$O516,3)</f>
        <v>0.3128009259</v>
      </c>
      <c r="D516" s="219" t="str">
        <f t="array" ref="D516">INDEX(postDEL!$A$2:$AN799,$O516,39)</f>
        <v>SpBEND845509</v>
      </c>
      <c r="E516" s="219" t="str">
        <f t="array" ref="E516">INDEX(postDEL!$A$2:$P799,$O516,4)</f>
        <v/>
      </c>
      <c r="F516" s="219" t="str">
        <f t="array" ref="F516">INDEX(postDEL!$A$2:$P799,$O516,5)</f>
        <v/>
      </c>
      <c r="G516" s="219" t="str">
        <f t="array" ref="G516">INDEX(postDEL!$A$2:$P799,$O516,11)</f>
        <v>Negative</v>
      </c>
      <c r="H516" s="219" t="str">
        <f t="array" ref="H516">INDEX(postDEL!$A$2:$AL799,$O516,37)</f>
        <v>Negative</v>
      </c>
      <c r="I516" s="217">
        <f t="array" ref="I516">INDEX(postDEL!$A$2:$AL799,$O516,12)</f>
        <v>44617</v>
      </c>
      <c r="J516" s="218">
        <f t="array" ref="J516">INDEX(postDEL!$A$2:$AL799,$O516,13)</f>
        <v>0.5033680556</v>
      </c>
      <c r="K516" s="219" t="str">
        <f t="array" ref="K516">INDEX(postDEL!$A$2:$AL799,$O516,36)</f>
        <v/>
      </c>
      <c r="L516" s="219" t="str">
        <f t="array" ref="L516">INDEX(postDEL!$A$2:$AL799,$O516,38)</f>
        <v/>
      </c>
      <c r="M516" s="219" t="str">
        <f t="array" ref="M516">INDEX(postDEL!$A$2:$AL799,$O516,15)</f>
        <v/>
      </c>
      <c r="N516" s="110">
        <f>COUNTIF(postDEL!$A$2:$A799,A516)</f>
        <v>1</v>
      </c>
      <c r="O516" s="19">
        <f>MATCH(A516,postDEL!A$2:A799,0)</f>
        <v>515</v>
      </c>
      <c r="P516" s="10" t="str">
        <f t="shared" si="1"/>
        <v/>
      </c>
      <c r="Q516" s="220">
        <f t="shared" si="2"/>
        <v>0</v>
      </c>
      <c r="R516" s="5"/>
    </row>
    <row r="517">
      <c r="A517" s="221" t="s">
        <v>1631</v>
      </c>
      <c r="B517" s="217">
        <f t="array" ref="B517">INDEX(postDEL!$A$2:$P799,$O517,2)</f>
        <v>44617</v>
      </c>
      <c r="C517" s="218">
        <f t="array" ref="C517">INDEX(postDEL!$A$2:$P799,$O517,3)</f>
        <v>0.3161921296</v>
      </c>
      <c r="D517" s="219" t="str">
        <f t="array" ref="D517">INDEX(postDEL!$A$2:$AN799,$O517,39)</f>
        <v>SpBEND587584</v>
      </c>
      <c r="E517" s="219" t="str">
        <f t="array" ref="E517">INDEX(postDEL!$A$2:$P799,$O517,4)</f>
        <v/>
      </c>
      <c r="F517" s="219" t="str">
        <f t="array" ref="F517">INDEX(postDEL!$A$2:$P799,$O517,5)</f>
        <v/>
      </c>
      <c r="G517" s="219" t="str">
        <f t="array" ref="G517">INDEX(postDEL!$A$2:$P799,$O517,11)</f>
        <v>Negative</v>
      </c>
      <c r="H517" s="219" t="str">
        <f t="array" ref="H517">INDEX(postDEL!$A$2:$AL799,$O517,37)</f>
        <v>Negative</v>
      </c>
      <c r="I517" s="217">
        <f t="array" ref="I517">INDEX(postDEL!$A$2:$AL799,$O517,12)</f>
        <v>44617</v>
      </c>
      <c r="J517" s="218">
        <f t="array" ref="J517">INDEX(postDEL!$A$2:$AL799,$O517,13)</f>
        <v>0.5033680556</v>
      </c>
      <c r="K517" s="219" t="str">
        <f t="array" ref="K517">INDEX(postDEL!$A$2:$AL799,$O517,36)</f>
        <v/>
      </c>
      <c r="L517" s="219" t="str">
        <f t="array" ref="L517">INDEX(postDEL!$A$2:$AL799,$O517,38)</f>
        <v/>
      </c>
      <c r="M517" s="219" t="str">
        <f t="array" ref="M517">INDEX(postDEL!$A$2:$AL799,$O517,15)</f>
        <v/>
      </c>
      <c r="N517" s="110">
        <f>COUNTIF(postDEL!$A$2:$A799,A517)</f>
        <v>1</v>
      </c>
      <c r="O517" s="19">
        <f>MATCH(A517,postDEL!A$2:A799,0)</f>
        <v>516</v>
      </c>
      <c r="P517" s="10" t="str">
        <f t="shared" si="1"/>
        <v/>
      </c>
      <c r="Q517" s="220">
        <f t="shared" si="2"/>
        <v>0</v>
      </c>
      <c r="R517" s="5"/>
    </row>
    <row r="518">
      <c r="A518" s="221" t="s">
        <v>1633</v>
      </c>
      <c r="B518" s="217">
        <f t="array" ref="B518">INDEX(postDEL!$A$2:$P799,$O518,2)</f>
        <v>44617</v>
      </c>
      <c r="C518" s="218">
        <f t="array" ref="C518">INDEX(postDEL!$A$2:$P799,$O518,3)</f>
        <v>0.3175462963</v>
      </c>
      <c r="D518" s="219" t="str">
        <f t="array" ref="D518">INDEX(postDEL!$A$2:$AN799,$O518,39)</f>
        <v>SpBEND904348</v>
      </c>
      <c r="E518" s="219" t="str">
        <f t="array" ref="E518">INDEX(postDEL!$A$2:$P799,$O518,4)</f>
        <v/>
      </c>
      <c r="F518" s="219" t="str">
        <f t="array" ref="F518">INDEX(postDEL!$A$2:$P799,$O518,5)</f>
        <v/>
      </c>
      <c r="G518" s="219" t="str">
        <f t="array" ref="G518">INDEX(postDEL!$A$2:$P799,$O518,11)</f>
        <v>Negative</v>
      </c>
      <c r="H518" s="219" t="str">
        <f t="array" ref="H518">INDEX(postDEL!$A$2:$AL799,$O518,37)</f>
        <v>Negative</v>
      </c>
      <c r="I518" s="217">
        <f t="array" ref="I518">INDEX(postDEL!$A$2:$AL799,$O518,12)</f>
        <v>44617</v>
      </c>
      <c r="J518" s="218">
        <f t="array" ref="J518">INDEX(postDEL!$A$2:$AL799,$O518,13)</f>
        <v>0.5033680556</v>
      </c>
      <c r="K518" s="219" t="str">
        <f t="array" ref="K518">INDEX(postDEL!$A$2:$AL799,$O518,36)</f>
        <v/>
      </c>
      <c r="L518" s="219" t="str">
        <f t="array" ref="L518">INDEX(postDEL!$A$2:$AL799,$O518,38)</f>
        <v/>
      </c>
      <c r="M518" s="219" t="str">
        <f t="array" ref="M518">INDEX(postDEL!$A$2:$AL799,$O518,15)</f>
        <v/>
      </c>
      <c r="N518" s="110">
        <f>COUNTIF(postDEL!$A$2:$A799,A518)</f>
        <v>1</v>
      </c>
      <c r="O518" s="19">
        <f>MATCH(A518,postDEL!A$2:A799,0)</f>
        <v>517</v>
      </c>
      <c r="P518" s="10" t="str">
        <f t="shared" si="1"/>
        <v/>
      </c>
      <c r="Q518" s="220">
        <f t="shared" si="2"/>
        <v>0</v>
      </c>
      <c r="R518" s="5"/>
    </row>
    <row r="519">
      <c r="A519" s="221" t="s">
        <v>1635</v>
      </c>
      <c r="B519" s="217">
        <f t="array" ref="B519">INDEX(postDEL!$A$2:$P799,$O519,2)</f>
        <v>44617</v>
      </c>
      <c r="C519" s="218">
        <f t="array" ref="C519">INDEX(postDEL!$A$2:$P799,$O519,3)</f>
        <v>0.3182986111</v>
      </c>
      <c r="D519" s="219" t="str">
        <f t="array" ref="D519">INDEX(postDEL!$A$2:$AN799,$O519,39)</f>
        <v>SpBEND548976</v>
      </c>
      <c r="E519" s="219" t="str">
        <f t="array" ref="E519">INDEX(postDEL!$A$2:$P799,$O519,4)</f>
        <v/>
      </c>
      <c r="F519" s="219" t="str">
        <f t="array" ref="F519">INDEX(postDEL!$A$2:$P799,$O519,5)</f>
        <v/>
      </c>
      <c r="G519" s="219" t="str">
        <f t="array" ref="G519">INDEX(postDEL!$A$2:$P799,$O519,11)</f>
        <v>Negative</v>
      </c>
      <c r="H519" s="219" t="str">
        <f t="array" ref="H519">INDEX(postDEL!$A$2:$AL799,$O519,37)</f>
        <v>Negative</v>
      </c>
      <c r="I519" s="217">
        <f t="array" ref="I519">INDEX(postDEL!$A$2:$AL799,$O519,12)</f>
        <v>44617</v>
      </c>
      <c r="J519" s="218">
        <f t="array" ref="J519">INDEX(postDEL!$A$2:$AL799,$O519,13)</f>
        <v>0.5033680556</v>
      </c>
      <c r="K519" s="219" t="str">
        <f t="array" ref="K519">INDEX(postDEL!$A$2:$AL799,$O519,36)</f>
        <v/>
      </c>
      <c r="L519" s="219" t="str">
        <f t="array" ref="L519">INDEX(postDEL!$A$2:$AL799,$O519,38)</f>
        <v/>
      </c>
      <c r="M519" s="219" t="str">
        <f t="array" ref="M519">INDEX(postDEL!$A$2:$AL799,$O519,15)</f>
        <v/>
      </c>
      <c r="N519" s="110">
        <f>COUNTIF(postDEL!$A$2:$A799,A519)</f>
        <v>1</v>
      </c>
      <c r="O519" s="19">
        <f>MATCH(A519,postDEL!A$2:A799,0)</f>
        <v>518</v>
      </c>
      <c r="P519" s="10" t="str">
        <f t="shared" si="1"/>
        <v/>
      </c>
      <c r="Q519" s="220">
        <f t="shared" si="2"/>
        <v>0</v>
      </c>
      <c r="R519" s="5"/>
    </row>
    <row r="520">
      <c r="A520" s="221" t="s">
        <v>1637</v>
      </c>
      <c r="B520" s="217">
        <f t="array" ref="B520">INDEX(postDEL!$A$2:$P799,$O520,2)</f>
        <v>44617</v>
      </c>
      <c r="C520" s="218">
        <f t="array" ref="C520">INDEX(postDEL!$A$2:$P799,$O520,3)</f>
        <v>0.3187152778</v>
      </c>
      <c r="D520" s="219" t="str">
        <f t="array" ref="D520">INDEX(postDEL!$A$2:$AN799,$O520,39)</f>
        <v>SpBEND296258</v>
      </c>
      <c r="E520" s="219" t="str">
        <f t="array" ref="E520">INDEX(postDEL!$A$2:$P799,$O520,4)</f>
        <v/>
      </c>
      <c r="F520" s="219" t="str">
        <f t="array" ref="F520">INDEX(postDEL!$A$2:$P799,$O520,5)</f>
        <v/>
      </c>
      <c r="G520" s="219" t="str">
        <f t="array" ref="G520">INDEX(postDEL!$A$2:$P799,$O520,11)</f>
        <v>Negative</v>
      </c>
      <c r="H520" s="219" t="str">
        <f t="array" ref="H520">INDEX(postDEL!$A$2:$AL799,$O520,37)</f>
        <v>Negative</v>
      </c>
      <c r="I520" s="217">
        <f t="array" ref="I520">INDEX(postDEL!$A$2:$AL799,$O520,12)</f>
        <v>44617</v>
      </c>
      <c r="J520" s="218">
        <f t="array" ref="J520">INDEX(postDEL!$A$2:$AL799,$O520,13)</f>
        <v>0.5033680556</v>
      </c>
      <c r="K520" s="219" t="str">
        <f t="array" ref="K520">INDEX(postDEL!$A$2:$AL799,$O520,36)</f>
        <v/>
      </c>
      <c r="L520" s="219" t="str">
        <f t="array" ref="L520">INDEX(postDEL!$A$2:$AL799,$O520,38)</f>
        <v/>
      </c>
      <c r="M520" s="219" t="str">
        <f t="array" ref="M520">INDEX(postDEL!$A$2:$AL799,$O520,15)</f>
        <v/>
      </c>
      <c r="N520" s="110">
        <f>COUNTIF(postDEL!$A$2:$A799,A520)</f>
        <v>1</v>
      </c>
      <c r="O520" s="19">
        <f>MATCH(A520,postDEL!A$2:A799,0)</f>
        <v>519</v>
      </c>
      <c r="P520" s="10" t="str">
        <f t="shared" si="1"/>
        <v/>
      </c>
      <c r="Q520" s="220">
        <f t="shared" si="2"/>
        <v>0</v>
      </c>
      <c r="R520" s="5"/>
    </row>
    <row r="521">
      <c r="A521" s="221" t="s">
        <v>1641</v>
      </c>
      <c r="B521" s="217">
        <f t="array" ref="B521">INDEX(postDEL!$A$2:$P799,$O521,2)</f>
        <v>44617</v>
      </c>
      <c r="C521" s="218">
        <f t="array" ref="C521">INDEX(postDEL!$A$2:$P799,$O521,3)</f>
        <v>0.3202199074</v>
      </c>
      <c r="D521" s="219" t="str">
        <f t="array" ref="D521">INDEX(postDEL!$A$2:$AN799,$O521,39)</f>
        <v>SpBEND425753</v>
      </c>
      <c r="E521" s="219" t="str">
        <f t="array" ref="E521">INDEX(postDEL!$A$2:$P799,$O521,4)</f>
        <v/>
      </c>
      <c r="F521" s="219" t="str">
        <f t="array" ref="F521">INDEX(postDEL!$A$2:$P799,$O521,5)</f>
        <v/>
      </c>
      <c r="G521" s="219" t="str">
        <f t="array" ref="G521">INDEX(postDEL!$A$2:$P799,$O521,11)</f>
        <v>Negative</v>
      </c>
      <c r="H521" s="219" t="str">
        <f t="array" ref="H521">INDEX(postDEL!$A$2:$AL799,$O521,37)</f>
        <v>Negative</v>
      </c>
      <c r="I521" s="217">
        <f t="array" ref="I521">INDEX(postDEL!$A$2:$AL799,$O521,12)</f>
        <v>44617</v>
      </c>
      <c r="J521" s="218">
        <f t="array" ref="J521">INDEX(postDEL!$A$2:$AL799,$O521,13)</f>
        <v>0.5033680556</v>
      </c>
      <c r="K521" s="219" t="str">
        <f t="array" ref="K521">INDEX(postDEL!$A$2:$AL799,$O521,36)</f>
        <v/>
      </c>
      <c r="L521" s="219" t="str">
        <f t="array" ref="L521">INDEX(postDEL!$A$2:$AL799,$O521,38)</f>
        <v/>
      </c>
      <c r="M521" s="219" t="str">
        <f t="array" ref="M521">INDEX(postDEL!$A$2:$AL799,$O521,15)</f>
        <v/>
      </c>
      <c r="N521" s="110">
        <f>COUNTIF(postDEL!$A$2:$A799,A521)</f>
        <v>1</v>
      </c>
      <c r="O521" s="19">
        <f>MATCH(A521,postDEL!A$2:A799,0)</f>
        <v>520</v>
      </c>
      <c r="P521" s="10" t="str">
        <f t="shared" si="1"/>
        <v/>
      </c>
      <c r="Q521" s="220">
        <f t="shared" si="2"/>
        <v>0</v>
      </c>
      <c r="R521" s="5"/>
    </row>
    <row r="522">
      <c r="A522" s="221" t="s">
        <v>1643</v>
      </c>
      <c r="B522" s="217">
        <f t="array" ref="B522">INDEX(postDEL!$A$2:$P799,$O522,2)</f>
        <v>44617</v>
      </c>
      <c r="C522" s="218">
        <f t="array" ref="C522">INDEX(postDEL!$A$2:$P799,$O522,3)</f>
        <v>0.3202430556</v>
      </c>
      <c r="D522" s="219" t="str">
        <f t="array" ref="D522">INDEX(postDEL!$A$2:$AN799,$O522,39)</f>
        <v>SpBEND980783</v>
      </c>
      <c r="E522" s="219" t="str">
        <f t="array" ref="E522">INDEX(postDEL!$A$2:$P799,$O522,4)</f>
        <v/>
      </c>
      <c r="F522" s="219" t="str">
        <f t="array" ref="F522">INDEX(postDEL!$A$2:$P799,$O522,5)</f>
        <v/>
      </c>
      <c r="G522" s="219" t="str">
        <f t="array" ref="G522">INDEX(postDEL!$A$2:$P799,$O522,11)</f>
        <v>Negative</v>
      </c>
      <c r="H522" s="219" t="str">
        <f t="array" ref="H522">INDEX(postDEL!$A$2:$AL799,$O522,37)</f>
        <v>Negative</v>
      </c>
      <c r="I522" s="217">
        <f t="array" ref="I522">INDEX(postDEL!$A$2:$AL799,$O522,12)</f>
        <v>44617</v>
      </c>
      <c r="J522" s="218">
        <f t="array" ref="J522">INDEX(postDEL!$A$2:$AL799,$O522,13)</f>
        <v>0.5033680556</v>
      </c>
      <c r="K522" s="219" t="str">
        <f t="array" ref="K522">INDEX(postDEL!$A$2:$AL799,$O522,36)</f>
        <v/>
      </c>
      <c r="L522" s="219" t="str">
        <f t="array" ref="L522">INDEX(postDEL!$A$2:$AL799,$O522,38)</f>
        <v/>
      </c>
      <c r="M522" s="219" t="str">
        <f t="array" ref="M522">INDEX(postDEL!$A$2:$AL799,$O522,15)</f>
        <v/>
      </c>
      <c r="N522" s="110">
        <f>COUNTIF(postDEL!$A$2:$A799,A522)</f>
        <v>1</v>
      </c>
      <c r="O522" s="19">
        <f>MATCH(A522,postDEL!A$2:A799,0)</f>
        <v>521</v>
      </c>
      <c r="P522" s="10" t="str">
        <f t="shared" si="1"/>
        <v/>
      </c>
      <c r="Q522" s="220">
        <f t="shared" si="2"/>
        <v>0</v>
      </c>
      <c r="R522" s="5"/>
    </row>
    <row r="523">
      <c r="A523" s="221" t="s">
        <v>1645</v>
      </c>
      <c r="B523" s="217">
        <f t="array" ref="B523">INDEX(postDEL!$A$2:$P799,$O523,2)</f>
        <v>44617</v>
      </c>
      <c r="C523" s="218">
        <f t="array" ref="C523">INDEX(postDEL!$A$2:$P799,$O523,3)</f>
        <v>0.3202546296</v>
      </c>
      <c r="D523" s="219" t="str">
        <f t="array" ref="D523">INDEX(postDEL!$A$2:$AN799,$O523,39)</f>
        <v>SpBEND305944</v>
      </c>
      <c r="E523" s="219" t="str">
        <f t="array" ref="E523">INDEX(postDEL!$A$2:$P799,$O523,4)</f>
        <v/>
      </c>
      <c r="F523" s="219" t="str">
        <f t="array" ref="F523">INDEX(postDEL!$A$2:$P799,$O523,5)</f>
        <v/>
      </c>
      <c r="G523" s="219" t="str">
        <f t="array" ref="G523">INDEX(postDEL!$A$2:$P799,$O523,11)</f>
        <v>Negative</v>
      </c>
      <c r="H523" s="219" t="str">
        <f t="array" ref="H523">INDEX(postDEL!$A$2:$AL799,$O523,37)</f>
        <v>Negative</v>
      </c>
      <c r="I523" s="217">
        <f t="array" ref="I523">INDEX(postDEL!$A$2:$AL799,$O523,12)</f>
        <v>44617</v>
      </c>
      <c r="J523" s="218">
        <f t="array" ref="J523">INDEX(postDEL!$A$2:$AL799,$O523,13)</f>
        <v>0.5033796296</v>
      </c>
      <c r="K523" s="219" t="str">
        <f t="array" ref="K523">INDEX(postDEL!$A$2:$AL799,$O523,36)</f>
        <v/>
      </c>
      <c r="L523" s="219" t="str">
        <f t="array" ref="L523">INDEX(postDEL!$A$2:$AL799,$O523,38)</f>
        <v/>
      </c>
      <c r="M523" s="219" t="str">
        <f t="array" ref="M523">INDEX(postDEL!$A$2:$AL799,$O523,15)</f>
        <v/>
      </c>
      <c r="N523" s="110">
        <f>COUNTIF(postDEL!$A$2:$A799,A523)</f>
        <v>1</v>
      </c>
      <c r="O523" s="19">
        <f>MATCH(A523,postDEL!A$2:A799,0)</f>
        <v>522</v>
      </c>
      <c r="P523" s="10" t="str">
        <f t="shared" si="1"/>
        <v/>
      </c>
      <c r="Q523" s="220">
        <f t="shared" si="2"/>
        <v>0</v>
      </c>
      <c r="R523" s="5"/>
    </row>
    <row r="524">
      <c r="A524" s="221" t="s">
        <v>1647</v>
      </c>
      <c r="B524" s="217">
        <f t="array" ref="B524">INDEX(postDEL!$A$2:$P799,$O524,2)</f>
        <v>44617</v>
      </c>
      <c r="C524" s="218">
        <f t="array" ref="C524">INDEX(postDEL!$A$2:$P799,$O524,3)</f>
        <v>0.3203472222</v>
      </c>
      <c r="D524" s="219" t="str">
        <f t="array" ref="D524">INDEX(postDEL!$A$2:$AN799,$O524,39)</f>
        <v>SpBEND436062</v>
      </c>
      <c r="E524" s="219" t="str">
        <f t="array" ref="E524">INDEX(postDEL!$A$2:$P799,$O524,4)</f>
        <v/>
      </c>
      <c r="F524" s="219" t="str">
        <f t="array" ref="F524">INDEX(postDEL!$A$2:$P799,$O524,5)</f>
        <v/>
      </c>
      <c r="G524" s="219" t="str">
        <f t="array" ref="G524">INDEX(postDEL!$A$2:$P799,$O524,11)</f>
        <v>Negative</v>
      </c>
      <c r="H524" s="219" t="str">
        <f t="array" ref="H524">INDEX(postDEL!$A$2:$AL799,$O524,37)</f>
        <v>Negative</v>
      </c>
      <c r="I524" s="217">
        <f t="array" ref="I524">INDEX(postDEL!$A$2:$AL799,$O524,12)</f>
        <v>44617</v>
      </c>
      <c r="J524" s="218">
        <f t="array" ref="J524">INDEX(postDEL!$A$2:$AL799,$O524,13)</f>
        <v>0.5033680556</v>
      </c>
      <c r="K524" s="219" t="str">
        <f t="array" ref="K524">INDEX(postDEL!$A$2:$AL799,$O524,36)</f>
        <v/>
      </c>
      <c r="L524" s="219" t="str">
        <f t="array" ref="L524">INDEX(postDEL!$A$2:$AL799,$O524,38)</f>
        <v/>
      </c>
      <c r="M524" s="219" t="str">
        <f t="array" ref="M524">INDEX(postDEL!$A$2:$AL799,$O524,15)</f>
        <v/>
      </c>
      <c r="N524" s="110">
        <f>COUNTIF(postDEL!$A$2:$A799,A524)</f>
        <v>1</v>
      </c>
      <c r="O524" s="19">
        <f>MATCH(A524,postDEL!A$2:A799,0)</f>
        <v>523</v>
      </c>
      <c r="P524" s="10" t="str">
        <f t="shared" si="1"/>
        <v/>
      </c>
      <c r="Q524" s="220">
        <f t="shared" si="2"/>
        <v>0</v>
      </c>
      <c r="R524" s="5"/>
    </row>
    <row r="525">
      <c r="A525" s="221" t="s">
        <v>1649</v>
      </c>
      <c r="B525" s="217">
        <f t="array" ref="B525">INDEX(postDEL!$A$2:$P799,$O525,2)</f>
        <v>44617</v>
      </c>
      <c r="C525" s="218">
        <f t="array" ref="C525">INDEX(postDEL!$A$2:$P799,$O525,3)</f>
        <v>0.3208101852</v>
      </c>
      <c r="D525" s="219" t="str">
        <f t="array" ref="D525">INDEX(postDEL!$A$2:$AN799,$O525,39)</f>
        <v>SpBEND436062</v>
      </c>
      <c r="E525" s="219" t="str">
        <f t="array" ref="E525">INDEX(postDEL!$A$2:$P799,$O525,4)</f>
        <v/>
      </c>
      <c r="F525" s="219" t="str">
        <f t="array" ref="F525">INDEX(postDEL!$A$2:$P799,$O525,5)</f>
        <v/>
      </c>
      <c r="G525" s="219" t="str">
        <f t="array" ref="G525">INDEX(postDEL!$A$2:$P799,$O525,11)</f>
        <v>Negative</v>
      </c>
      <c r="H525" s="219" t="str">
        <f t="array" ref="H525">INDEX(postDEL!$A$2:$AL799,$O525,37)</f>
        <v>Negative</v>
      </c>
      <c r="I525" s="217">
        <f t="array" ref="I525">INDEX(postDEL!$A$2:$AL799,$O525,12)</f>
        <v>44617</v>
      </c>
      <c r="J525" s="218">
        <f t="array" ref="J525">INDEX(postDEL!$A$2:$AL799,$O525,13)</f>
        <v>0.5033796296</v>
      </c>
      <c r="K525" s="219" t="str">
        <f t="array" ref="K525">INDEX(postDEL!$A$2:$AL799,$O525,36)</f>
        <v/>
      </c>
      <c r="L525" s="219" t="str">
        <f t="array" ref="L525">INDEX(postDEL!$A$2:$AL799,$O525,38)</f>
        <v/>
      </c>
      <c r="M525" s="219" t="str">
        <f t="array" ref="M525">INDEX(postDEL!$A$2:$AL799,$O525,15)</f>
        <v/>
      </c>
      <c r="N525" s="110">
        <f>COUNTIF(postDEL!$A$2:$A799,A525)</f>
        <v>1</v>
      </c>
      <c r="O525" s="19">
        <f>MATCH(A525,postDEL!A$2:A799,0)</f>
        <v>524</v>
      </c>
      <c r="P525" s="10" t="str">
        <f t="shared" si="1"/>
        <v/>
      </c>
      <c r="Q525" s="220">
        <f t="shared" si="2"/>
        <v>0</v>
      </c>
      <c r="R525" s="5"/>
    </row>
    <row r="526">
      <c r="A526" s="221" t="s">
        <v>1651</v>
      </c>
      <c r="B526" s="217">
        <f t="array" ref="B526">INDEX(postDEL!$A$2:$P799,$O526,2)</f>
        <v>44617</v>
      </c>
      <c r="C526" s="218">
        <f t="array" ref="C526">INDEX(postDEL!$A$2:$P799,$O526,3)</f>
        <v>0.3227083333</v>
      </c>
      <c r="D526" s="219" t="str">
        <f t="array" ref="D526">INDEX(postDEL!$A$2:$AN799,$O526,39)</f>
        <v>SpBEND551372</v>
      </c>
      <c r="E526" s="219" t="str">
        <f t="array" ref="E526">INDEX(postDEL!$A$2:$P799,$O526,4)</f>
        <v/>
      </c>
      <c r="F526" s="219" t="str">
        <f t="array" ref="F526">INDEX(postDEL!$A$2:$P799,$O526,5)</f>
        <v/>
      </c>
      <c r="G526" s="219" t="str">
        <f t="array" ref="G526">INDEX(postDEL!$A$2:$P799,$O526,11)</f>
        <v>Negative</v>
      </c>
      <c r="H526" s="219" t="str">
        <f t="array" ref="H526">INDEX(postDEL!$A$2:$AL799,$O526,37)</f>
        <v>Negative</v>
      </c>
      <c r="I526" s="217">
        <f t="array" ref="I526">INDEX(postDEL!$A$2:$AL799,$O526,12)</f>
        <v>44617</v>
      </c>
      <c r="J526" s="218">
        <f t="array" ref="J526">INDEX(postDEL!$A$2:$AL799,$O526,13)</f>
        <v>0.5033796296</v>
      </c>
      <c r="K526" s="219" t="str">
        <f t="array" ref="K526">INDEX(postDEL!$A$2:$AL799,$O526,36)</f>
        <v/>
      </c>
      <c r="L526" s="219" t="str">
        <f t="array" ref="L526">INDEX(postDEL!$A$2:$AL799,$O526,38)</f>
        <v/>
      </c>
      <c r="M526" s="219" t="str">
        <f t="array" ref="M526">INDEX(postDEL!$A$2:$AL799,$O526,15)</f>
        <v/>
      </c>
      <c r="N526" s="110">
        <f>COUNTIF(postDEL!$A$2:$A799,A526)</f>
        <v>1</v>
      </c>
      <c r="O526" s="19">
        <f>MATCH(A526,postDEL!A$2:A799,0)</f>
        <v>525</v>
      </c>
      <c r="P526" s="10" t="str">
        <f t="shared" si="1"/>
        <v/>
      </c>
      <c r="Q526" s="220">
        <f t="shared" si="2"/>
        <v>0</v>
      </c>
      <c r="R526" s="5"/>
    </row>
    <row r="527">
      <c r="A527" s="221" t="s">
        <v>1653</v>
      </c>
      <c r="B527" s="217">
        <f t="array" ref="B527">INDEX(postDEL!$A$2:$P799,$O527,2)</f>
        <v>44617</v>
      </c>
      <c r="C527" s="218">
        <f t="array" ref="C527">INDEX(postDEL!$A$2:$P799,$O527,3)</f>
        <v>0.3238425926</v>
      </c>
      <c r="D527" s="219" t="str">
        <f t="array" ref="D527">INDEX(postDEL!$A$2:$AN799,$O527,39)</f>
        <v>SpBEND319298</v>
      </c>
      <c r="E527" s="219" t="str">
        <f t="array" ref="E527">INDEX(postDEL!$A$2:$P799,$O527,4)</f>
        <v/>
      </c>
      <c r="F527" s="219" t="str">
        <f t="array" ref="F527">INDEX(postDEL!$A$2:$P799,$O527,5)</f>
        <v/>
      </c>
      <c r="G527" s="219" t="str">
        <f t="array" ref="G527">INDEX(postDEL!$A$2:$P799,$O527,11)</f>
        <v>Negative</v>
      </c>
      <c r="H527" s="219" t="str">
        <f t="array" ref="H527">INDEX(postDEL!$A$2:$AL799,$O527,37)</f>
        <v>Negative</v>
      </c>
      <c r="I527" s="217">
        <f t="array" ref="I527">INDEX(postDEL!$A$2:$AL799,$O527,12)</f>
        <v>44617</v>
      </c>
      <c r="J527" s="218">
        <f t="array" ref="J527">INDEX(postDEL!$A$2:$AL799,$O527,13)</f>
        <v>0.5033796296</v>
      </c>
      <c r="K527" s="219" t="str">
        <f t="array" ref="K527">INDEX(postDEL!$A$2:$AL799,$O527,36)</f>
        <v/>
      </c>
      <c r="L527" s="219" t="str">
        <f t="array" ref="L527">INDEX(postDEL!$A$2:$AL799,$O527,38)</f>
        <v/>
      </c>
      <c r="M527" s="219" t="str">
        <f t="array" ref="M527">INDEX(postDEL!$A$2:$AL799,$O527,15)</f>
        <v/>
      </c>
      <c r="N527" s="110">
        <f>COUNTIF(postDEL!$A$2:$A799,A527)</f>
        <v>1</v>
      </c>
      <c r="O527" s="19">
        <f>MATCH(A527,postDEL!A$2:A799,0)</f>
        <v>526</v>
      </c>
      <c r="P527" s="10" t="str">
        <f t="shared" si="1"/>
        <v/>
      </c>
      <c r="Q527" s="220">
        <f t="shared" si="2"/>
        <v>0</v>
      </c>
      <c r="R527" s="5"/>
    </row>
    <row r="528">
      <c r="A528" s="221" t="s">
        <v>1655</v>
      </c>
      <c r="B528" s="217">
        <f t="array" ref="B528">INDEX(postDEL!$A$2:$P799,$O528,2)</f>
        <v>44617</v>
      </c>
      <c r="C528" s="218">
        <f t="array" ref="C528">INDEX(postDEL!$A$2:$P799,$O528,3)</f>
        <v>0.3297453704</v>
      </c>
      <c r="D528" s="219" t="str">
        <f t="array" ref="D528">INDEX(postDEL!$A$2:$AN799,$O528,39)</f>
        <v>SpBEND406814</v>
      </c>
      <c r="E528" s="219" t="str">
        <f t="array" ref="E528">INDEX(postDEL!$A$2:$P799,$O528,4)</f>
        <v/>
      </c>
      <c r="F528" s="219" t="str">
        <f t="array" ref="F528">INDEX(postDEL!$A$2:$P799,$O528,5)</f>
        <v/>
      </c>
      <c r="G528" s="219" t="str">
        <f t="array" ref="G528">INDEX(postDEL!$A$2:$P799,$O528,11)</f>
        <v>Negative</v>
      </c>
      <c r="H528" s="219" t="str">
        <f t="array" ref="H528">INDEX(postDEL!$A$2:$AL799,$O528,37)</f>
        <v>Negative</v>
      </c>
      <c r="I528" s="217">
        <f t="array" ref="I528">INDEX(postDEL!$A$2:$AL799,$O528,12)</f>
        <v>44617</v>
      </c>
      <c r="J528" s="218">
        <f t="array" ref="J528">INDEX(postDEL!$A$2:$AL799,$O528,13)</f>
        <v>0.5033796296</v>
      </c>
      <c r="K528" s="219" t="str">
        <f t="array" ref="K528">INDEX(postDEL!$A$2:$AL799,$O528,36)</f>
        <v/>
      </c>
      <c r="L528" s="219" t="str">
        <f t="array" ref="L528">INDEX(postDEL!$A$2:$AL799,$O528,38)</f>
        <v/>
      </c>
      <c r="M528" s="219" t="str">
        <f t="array" ref="M528">INDEX(postDEL!$A$2:$AL799,$O528,15)</f>
        <v/>
      </c>
      <c r="N528" s="110">
        <f>COUNTIF(postDEL!$A$2:$A799,A528)</f>
        <v>1</v>
      </c>
      <c r="O528" s="19">
        <f>MATCH(A528,postDEL!A$2:A799,0)</f>
        <v>527</v>
      </c>
      <c r="P528" s="10" t="str">
        <f t="shared" si="1"/>
        <v/>
      </c>
      <c r="Q528" s="220">
        <f t="shared" si="2"/>
        <v>0</v>
      </c>
      <c r="R528" s="5"/>
    </row>
    <row r="529">
      <c r="A529" s="221" t="s">
        <v>1659</v>
      </c>
      <c r="B529" s="217">
        <f t="array" ref="B529">INDEX(postDEL!$A$2:$P799,$O529,2)</f>
        <v>44617</v>
      </c>
      <c r="C529" s="218">
        <f t="array" ref="C529">INDEX(postDEL!$A$2:$P799,$O529,3)</f>
        <v>0.3303935185</v>
      </c>
      <c r="D529" s="219" t="str">
        <f t="array" ref="D529">INDEX(postDEL!$A$2:$AN799,$O529,39)</f>
        <v>SpBEND944634</v>
      </c>
      <c r="E529" s="219" t="str">
        <f t="array" ref="E529">INDEX(postDEL!$A$2:$P799,$O529,4)</f>
        <v/>
      </c>
      <c r="F529" s="219" t="str">
        <f t="array" ref="F529">INDEX(postDEL!$A$2:$P799,$O529,5)</f>
        <v/>
      </c>
      <c r="G529" s="219" t="str">
        <f t="array" ref="G529">INDEX(postDEL!$A$2:$P799,$O529,11)</f>
        <v>Negative</v>
      </c>
      <c r="H529" s="219" t="str">
        <f t="array" ref="H529">INDEX(postDEL!$A$2:$AL799,$O529,37)</f>
        <v>Negative</v>
      </c>
      <c r="I529" s="217">
        <f t="array" ref="I529">INDEX(postDEL!$A$2:$AL799,$O529,12)</f>
        <v>44617</v>
      </c>
      <c r="J529" s="218">
        <f t="array" ref="J529">INDEX(postDEL!$A$2:$AL799,$O529,13)</f>
        <v>0.5033796296</v>
      </c>
      <c r="K529" s="219" t="str">
        <f t="array" ref="K529">INDEX(postDEL!$A$2:$AL799,$O529,36)</f>
        <v/>
      </c>
      <c r="L529" s="219" t="str">
        <f t="array" ref="L529">INDEX(postDEL!$A$2:$AL799,$O529,38)</f>
        <v/>
      </c>
      <c r="M529" s="219" t="str">
        <f t="array" ref="M529">INDEX(postDEL!$A$2:$AL799,$O529,15)</f>
        <v/>
      </c>
      <c r="N529" s="110">
        <f>COUNTIF(postDEL!$A$2:$A799,A529)</f>
        <v>1</v>
      </c>
      <c r="O529" s="19">
        <f>MATCH(A529,postDEL!A$2:A799,0)</f>
        <v>528</v>
      </c>
      <c r="P529" s="10" t="str">
        <f t="shared" si="1"/>
        <v/>
      </c>
      <c r="Q529" s="220">
        <f t="shared" si="2"/>
        <v>0</v>
      </c>
      <c r="R529" s="5"/>
    </row>
    <row r="530">
      <c r="A530" s="221" t="s">
        <v>1661</v>
      </c>
      <c r="B530" s="217">
        <f t="array" ref="B530">INDEX(postDEL!$A$2:$P799,$O530,2)</f>
        <v>44617</v>
      </c>
      <c r="C530" s="218">
        <f t="array" ref="C530">INDEX(postDEL!$A$2:$P799,$O530,3)</f>
        <v>0.3313425926</v>
      </c>
      <c r="D530" s="219" t="str">
        <f t="array" ref="D530">INDEX(postDEL!$A$2:$AN799,$O530,39)</f>
        <v>SpBEND147819</v>
      </c>
      <c r="E530" s="219" t="str">
        <f t="array" ref="E530">INDEX(postDEL!$A$2:$P799,$O530,4)</f>
        <v/>
      </c>
      <c r="F530" s="219" t="str">
        <f t="array" ref="F530">INDEX(postDEL!$A$2:$P799,$O530,5)</f>
        <v/>
      </c>
      <c r="G530" s="219" t="str">
        <f t="array" ref="G530">INDEX(postDEL!$A$2:$P799,$O530,11)</f>
        <v>Negative</v>
      </c>
      <c r="H530" s="219" t="str">
        <f t="array" ref="H530">INDEX(postDEL!$A$2:$AL799,$O530,37)</f>
        <v>Negative</v>
      </c>
      <c r="I530" s="217">
        <f t="array" ref="I530">INDEX(postDEL!$A$2:$AL799,$O530,12)</f>
        <v>44617</v>
      </c>
      <c r="J530" s="218">
        <f t="array" ref="J530">INDEX(postDEL!$A$2:$AL799,$O530,13)</f>
        <v>0.5033796296</v>
      </c>
      <c r="K530" s="219" t="str">
        <f t="array" ref="K530">INDEX(postDEL!$A$2:$AL799,$O530,36)</f>
        <v/>
      </c>
      <c r="L530" s="219" t="str">
        <f t="array" ref="L530">INDEX(postDEL!$A$2:$AL799,$O530,38)</f>
        <v/>
      </c>
      <c r="M530" s="219" t="str">
        <f t="array" ref="M530">INDEX(postDEL!$A$2:$AL799,$O530,15)</f>
        <v/>
      </c>
      <c r="N530" s="110">
        <f>COUNTIF(postDEL!$A$2:$A799,A530)</f>
        <v>1</v>
      </c>
      <c r="O530" s="19">
        <f>MATCH(A530,postDEL!A$2:A799,0)</f>
        <v>529</v>
      </c>
      <c r="P530" s="10" t="str">
        <f t="shared" si="1"/>
        <v/>
      </c>
      <c r="Q530" s="220">
        <f t="shared" si="2"/>
        <v>0</v>
      </c>
      <c r="R530" s="5"/>
    </row>
    <row r="531">
      <c r="A531" s="221" t="s">
        <v>1665</v>
      </c>
      <c r="B531" s="217">
        <f t="array" ref="B531">INDEX(postDEL!$A$2:$P799,$O531,2)</f>
        <v>44617</v>
      </c>
      <c r="C531" s="218">
        <f t="array" ref="C531">INDEX(postDEL!$A$2:$P799,$O531,3)</f>
        <v>0.3313773148</v>
      </c>
      <c r="D531" s="219" t="str">
        <f t="array" ref="D531">INDEX(postDEL!$A$2:$AN799,$O531,39)</f>
        <v>SpBEND721986</v>
      </c>
      <c r="E531" s="219" t="str">
        <f t="array" ref="E531">INDEX(postDEL!$A$2:$P799,$O531,4)</f>
        <v/>
      </c>
      <c r="F531" s="219" t="str">
        <f t="array" ref="F531">INDEX(postDEL!$A$2:$P799,$O531,5)</f>
        <v/>
      </c>
      <c r="G531" s="219" t="str">
        <f t="array" ref="G531">INDEX(postDEL!$A$2:$P799,$O531,11)</f>
        <v>Negative</v>
      </c>
      <c r="H531" s="219" t="str">
        <f t="array" ref="H531">INDEX(postDEL!$A$2:$AL799,$O531,37)</f>
        <v>Negative</v>
      </c>
      <c r="I531" s="217">
        <f t="array" ref="I531">INDEX(postDEL!$A$2:$AL799,$O531,12)</f>
        <v>44617</v>
      </c>
      <c r="J531" s="218">
        <f t="array" ref="J531">INDEX(postDEL!$A$2:$AL799,$O531,13)</f>
        <v>0.5033796296</v>
      </c>
      <c r="K531" s="219" t="str">
        <f t="array" ref="K531">INDEX(postDEL!$A$2:$AL799,$O531,36)</f>
        <v/>
      </c>
      <c r="L531" s="219" t="str">
        <f t="array" ref="L531">INDEX(postDEL!$A$2:$AL799,$O531,38)</f>
        <v/>
      </c>
      <c r="M531" s="219" t="str">
        <f t="array" ref="M531">INDEX(postDEL!$A$2:$AL799,$O531,15)</f>
        <v/>
      </c>
      <c r="N531" s="110">
        <f>COUNTIF(postDEL!$A$2:$A799,A531)</f>
        <v>1</v>
      </c>
      <c r="O531" s="19">
        <f>MATCH(A531,postDEL!A$2:A799,0)</f>
        <v>530</v>
      </c>
      <c r="P531" s="10" t="str">
        <f t="shared" si="1"/>
        <v/>
      </c>
      <c r="Q531" s="220">
        <f t="shared" si="2"/>
        <v>0</v>
      </c>
      <c r="R531" s="5"/>
    </row>
    <row r="532">
      <c r="A532" s="221" t="s">
        <v>1667</v>
      </c>
      <c r="B532" s="217">
        <f t="array" ref="B532">INDEX(postDEL!$A$2:$P799,$O532,2)</f>
        <v>44617</v>
      </c>
      <c r="C532" s="218">
        <f t="array" ref="C532">INDEX(postDEL!$A$2:$P799,$O532,3)</f>
        <v>0.3316782407</v>
      </c>
      <c r="D532" s="219" t="str">
        <f t="array" ref="D532">INDEX(postDEL!$A$2:$AN799,$O532,39)</f>
        <v>SpBEND721986</v>
      </c>
      <c r="E532" s="219" t="str">
        <f t="array" ref="E532">INDEX(postDEL!$A$2:$P799,$O532,4)</f>
        <v/>
      </c>
      <c r="F532" s="219" t="str">
        <f t="array" ref="F532">INDEX(postDEL!$A$2:$P799,$O532,5)</f>
        <v/>
      </c>
      <c r="G532" s="219" t="str">
        <f t="array" ref="G532">INDEX(postDEL!$A$2:$P799,$O532,11)</f>
        <v>Negative</v>
      </c>
      <c r="H532" s="219" t="str">
        <f t="array" ref="H532">INDEX(postDEL!$A$2:$AL799,$O532,37)</f>
        <v>Negative</v>
      </c>
      <c r="I532" s="217">
        <f t="array" ref="I532">INDEX(postDEL!$A$2:$AL799,$O532,12)</f>
        <v>44617</v>
      </c>
      <c r="J532" s="218">
        <f t="array" ref="J532">INDEX(postDEL!$A$2:$AL799,$O532,13)</f>
        <v>0.5033796296</v>
      </c>
      <c r="K532" s="219" t="str">
        <f t="array" ref="K532">INDEX(postDEL!$A$2:$AL799,$O532,36)</f>
        <v/>
      </c>
      <c r="L532" s="219" t="str">
        <f t="array" ref="L532">INDEX(postDEL!$A$2:$AL799,$O532,38)</f>
        <v/>
      </c>
      <c r="M532" s="219" t="str">
        <f t="array" ref="M532">INDEX(postDEL!$A$2:$AL799,$O532,15)</f>
        <v/>
      </c>
      <c r="N532" s="110">
        <f>COUNTIF(postDEL!$A$2:$A799,A532)</f>
        <v>1</v>
      </c>
      <c r="O532" s="19">
        <f>MATCH(A532,postDEL!A$2:A799,0)</f>
        <v>531</v>
      </c>
      <c r="P532" s="10" t="str">
        <f t="shared" si="1"/>
        <v/>
      </c>
      <c r="Q532" s="220">
        <f t="shared" si="2"/>
        <v>0</v>
      </c>
      <c r="R532" s="5"/>
    </row>
    <row r="533">
      <c r="A533" s="221" t="s">
        <v>1669</v>
      </c>
      <c r="B533" s="217">
        <f t="array" ref="B533">INDEX(postDEL!$A$2:$P799,$O533,2)</f>
        <v>44617</v>
      </c>
      <c r="C533" s="218">
        <f t="array" ref="C533">INDEX(postDEL!$A$2:$P799,$O533,3)</f>
        <v>0.3319328704</v>
      </c>
      <c r="D533" s="219" t="str">
        <f t="array" ref="D533">INDEX(postDEL!$A$2:$AN799,$O533,39)</f>
        <v>SpBEND643855</v>
      </c>
      <c r="E533" s="219" t="str">
        <f t="array" ref="E533">INDEX(postDEL!$A$2:$P799,$O533,4)</f>
        <v/>
      </c>
      <c r="F533" s="219" t="str">
        <f t="array" ref="F533">INDEX(postDEL!$A$2:$P799,$O533,5)</f>
        <v/>
      </c>
      <c r="G533" s="219" t="str">
        <f t="array" ref="G533">INDEX(postDEL!$A$2:$P799,$O533,11)</f>
        <v>Negative</v>
      </c>
      <c r="H533" s="219" t="str">
        <f t="array" ref="H533">INDEX(postDEL!$A$2:$AL799,$O533,37)</f>
        <v>Negative</v>
      </c>
      <c r="I533" s="217">
        <f t="array" ref="I533">INDEX(postDEL!$A$2:$AL799,$O533,12)</f>
        <v>44617</v>
      </c>
      <c r="J533" s="218">
        <f t="array" ref="J533">INDEX(postDEL!$A$2:$AL799,$O533,13)</f>
        <v>0.5033796296</v>
      </c>
      <c r="K533" s="219" t="str">
        <f t="array" ref="K533">INDEX(postDEL!$A$2:$AL799,$O533,36)</f>
        <v/>
      </c>
      <c r="L533" s="219" t="str">
        <f t="array" ref="L533">INDEX(postDEL!$A$2:$AL799,$O533,38)</f>
        <v/>
      </c>
      <c r="M533" s="219" t="str">
        <f t="array" ref="M533">INDEX(postDEL!$A$2:$AL799,$O533,15)</f>
        <v/>
      </c>
      <c r="N533" s="110">
        <f>COUNTIF(postDEL!$A$2:$A799,A533)</f>
        <v>1</v>
      </c>
      <c r="O533" s="19">
        <f>MATCH(A533,postDEL!A$2:A799,0)</f>
        <v>532</v>
      </c>
      <c r="P533" s="10" t="str">
        <f t="shared" si="1"/>
        <v/>
      </c>
      <c r="Q533" s="220">
        <f t="shared" si="2"/>
        <v>0</v>
      </c>
      <c r="R533" s="5"/>
    </row>
    <row r="534">
      <c r="A534" s="221" t="s">
        <v>1671</v>
      </c>
      <c r="B534" s="217">
        <f t="array" ref="B534">INDEX(postDEL!$A$2:$P799,$O534,2)</f>
        <v>44617</v>
      </c>
      <c r="C534" s="218">
        <f t="array" ref="C534">INDEX(postDEL!$A$2:$P799,$O534,3)</f>
        <v>0.3321875</v>
      </c>
      <c r="D534" s="219" t="str">
        <f t="array" ref="D534">INDEX(postDEL!$A$2:$AN799,$O534,39)</f>
        <v>SpBEND747592</v>
      </c>
      <c r="E534" s="219" t="str">
        <f t="array" ref="E534">INDEX(postDEL!$A$2:$P799,$O534,4)</f>
        <v/>
      </c>
      <c r="F534" s="219" t="str">
        <f t="array" ref="F534">INDEX(postDEL!$A$2:$P799,$O534,5)</f>
        <v/>
      </c>
      <c r="G534" s="219" t="str">
        <f t="array" ref="G534">INDEX(postDEL!$A$2:$P799,$O534,11)</f>
        <v>Negative</v>
      </c>
      <c r="H534" s="219" t="str">
        <f t="array" ref="H534">INDEX(postDEL!$A$2:$AL799,$O534,37)</f>
        <v>Negative</v>
      </c>
      <c r="I534" s="217">
        <f t="array" ref="I534">INDEX(postDEL!$A$2:$AL799,$O534,12)</f>
        <v>44617</v>
      </c>
      <c r="J534" s="218">
        <f t="array" ref="J534">INDEX(postDEL!$A$2:$AL799,$O534,13)</f>
        <v>0.5033796296</v>
      </c>
      <c r="K534" s="219" t="str">
        <f t="array" ref="K534">INDEX(postDEL!$A$2:$AL799,$O534,36)</f>
        <v/>
      </c>
      <c r="L534" s="219" t="str">
        <f t="array" ref="L534">INDEX(postDEL!$A$2:$AL799,$O534,38)</f>
        <v/>
      </c>
      <c r="M534" s="219" t="str">
        <f t="array" ref="M534">INDEX(postDEL!$A$2:$AL799,$O534,15)</f>
        <v/>
      </c>
      <c r="N534" s="110">
        <f>COUNTIF(postDEL!$A$2:$A799,A534)</f>
        <v>1</v>
      </c>
      <c r="O534" s="19">
        <f>MATCH(A534,postDEL!A$2:A799,0)</f>
        <v>533</v>
      </c>
      <c r="P534" s="10" t="str">
        <f t="shared" si="1"/>
        <v/>
      </c>
      <c r="Q534" s="220">
        <f t="shared" si="2"/>
        <v>0</v>
      </c>
      <c r="R534" s="5"/>
    </row>
    <row r="535">
      <c r="A535" s="221" t="s">
        <v>1673</v>
      </c>
      <c r="B535" s="217">
        <f t="array" ref="B535">INDEX(postDEL!$A$2:$P799,$O535,2)</f>
        <v>44617</v>
      </c>
      <c r="C535" s="218">
        <f t="array" ref="C535">INDEX(postDEL!$A$2:$P799,$O535,3)</f>
        <v>0.3329050926</v>
      </c>
      <c r="D535" s="219" t="str">
        <f t="array" ref="D535">INDEX(postDEL!$A$2:$AN799,$O535,39)</f>
        <v>SpBEND522465</v>
      </c>
      <c r="E535" s="219" t="str">
        <f t="array" ref="E535">INDEX(postDEL!$A$2:$P799,$O535,4)</f>
        <v/>
      </c>
      <c r="F535" s="219" t="str">
        <f t="array" ref="F535">INDEX(postDEL!$A$2:$P799,$O535,5)</f>
        <v/>
      </c>
      <c r="G535" s="219" t="str">
        <f t="array" ref="G535">INDEX(postDEL!$A$2:$P799,$O535,11)</f>
        <v>Negative</v>
      </c>
      <c r="H535" s="219" t="str">
        <f t="array" ref="H535">INDEX(postDEL!$A$2:$AL799,$O535,37)</f>
        <v>Negative</v>
      </c>
      <c r="I535" s="217">
        <f t="array" ref="I535">INDEX(postDEL!$A$2:$AL799,$O535,12)</f>
        <v>44617</v>
      </c>
      <c r="J535" s="218">
        <f t="array" ref="J535">INDEX(postDEL!$A$2:$AL799,$O535,13)</f>
        <v>0.5033796296</v>
      </c>
      <c r="K535" s="219" t="str">
        <f t="array" ref="K535">INDEX(postDEL!$A$2:$AL799,$O535,36)</f>
        <v/>
      </c>
      <c r="L535" s="219" t="str">
        <f t="array" ref="L535">INDEX(postDEL!$A$2:$AL799,$O535,38)</f>
        <v/>
      </c>
      <c r="M535" s="219" t="str">
        <f t="array" ref="M535">INDEX(postDEL!$A$2:$AL799,$O535,15)</f>
        <v/>
      </c>
      <c r="N535" s="110">
        <f>COUNTIF(postDEL!$A$2:$A799,A535)</f>
        <v>1</v>
      </c>
      <c r="O535" s="19">
        <f>MATCH(A535,postDEL!A$2:A799,0)</f>
        <v>534</v>
      </c>
      <c r="P535" s="10" t="str">
        <f t="shared" si="1"/>
        <v/>
      </c>
      <c r="Q535" s="220">
        <f t="shared" si="2"/>
        <v>0</v>
      </c>
      <c r="R535" s="5"/>
    </row>
    <row r="536">
      <c r="A536" s="221" t="s">
        <v>1675</v>
      </c>
      <c r="B536" s="217">
        <f t="array" ref="B536">INDEX(postDEL!$A$2:$P799,$O536,2)</f>
        <v>44617</v>
      </c>
      <c r="C536" s="218">
        <f t="array" ref="C536">INDEX(postDEL!$A$2:$P799,$O536,3)</f>
        <v>0.3387847222</v>
      </c>
      <c r="D536" s="219" t="str">
        <f t="array" ref="D536">INDEX(postDEL!$A$2:$AN799,$O536,39)</f>
        <v>SpBEND198321</v>
      </c>
      <c r="E536" s="219" t="str">
        <f t="array" ref="E536">INDEX(postDEL!$A$2:$P799,$O536,4)</f>
        <v/>
      </c>
      <c r="F536" s="219" t="str">
        <f t="array" ref="F536">INDEX(postDEL!$A$2:$P799,$O536,5)</f>
        <v/>
      </c>
      <c r="G536" s="219" t="str">
        <f t="array" ref="G536">INDEX(postDEL!$A$2:$P799,$O536,11)</f>
        <v>Negative</v>
      </c>
      <c r="H536" s="219" t="str">
        <f t="array" ref="H536">INDEX(postDEL!$A$2:$AL799,$O536,37)</f>
        <v>Negative</v>
      </c>
      <c r="I536" s="217">
        <f t="array" ref="I536">INDEX(postDEL!$A$2:$AL799,$O536,12)</f>
        <v>44617</v>
      </c>
      <c r="J536" s="218">
        <f t="array" ref="J536">INDEX(postDEL!$A$2:$AL799,$O536,13)</f>
        <v>0.5033796296</v>
      </c>
      <c r="K536" s="219" t="str">
        <f t="array" ref="K536">INDEX(postDEL!$A$2:$AL799,$O536,36)</f>
        <v/>
      </c>
      <c r="L536" s="219" t="str">
        <f t="array" ref="L536">INDEX(postDEL!$A$2:$AL799,$O536,38)</f>
        <v/>
      </c>
      <c r="M536" s="219" t="str">
        <f t="array" ref="M536">INDEX(postDEL!$A$2:$AL799,$O536,15)</f>
        <v/>
      </c>
      <c r="N536" s="110">
        <f>COUNTIF(postDEL!$A$2:$A799,A536)</f>
        <v>1</v>
      </c>
      <c r="O536" s="19">
        <f>MATCH(A536,postDEL!A$2:A799,0)</f>
        <v>535</v>
      </c>
      <c r="P536" s="10" t="str">
        <f t="shared" si="1"/>
        <v/>
      </c>
      <c r="Q536" s="220">
        <f t="shared" si="2"/>
        <v>0</v>
      </c>
      <c r="R536" s="5"/>
    </row>
    <row r="537">
      <c r="A537" s="221" t="s">
        <v>1677</v>
      </c>
      <c r="B537" s="217">
        <f t="array" ref="B537">INDEX(postDEL!$A$2:$P799,$O537,2)</f>
        <v>44617</v>
      </c>
      <c r="C537" s="218">
        <f t="array" ref="C537">INDEX(postDEL!$A$2:$P799,$O537,3)</f>
        <v>0.3403240741</v>
      </c>
      <c r="D537" s="219" t="str">
        <f t="array" ref="D537">INDEX(postDEL!$A$2:$AN799,$O537,39)</f>
        <v>SpBEND139600</v>
      </c>
      <c r="E537" s="219" t="str">
        <f t="array" ref="E537">INDEX(postDEL!$A$2:$P799,$O537,4)</f>
        <v/>
      </c>
      <c r="F537" s="219" t="str">
        <f t="array" ref="F537">INDEX(postDEL!$A$2:$P799,$O537,5)</f>
        <v/>
      </c>
      <c r="G537" s="219" t="str">
        <f t="array" ref="G537">INDEX(postDEL!$A$2:$P799,$O537,11)</f>
        <v>Negative</v>
      </c>
      <c r="H537" s="219" t="str">
        <f t="array" ref="H537">INDEX(postDEL!$A$2:$AL799,$O537,37)</f>
        <v>Negative</v>
      </c>
      <c r="I537" s="217">
        <f t="array" ref="I537">INDEX(postDEL!$A$2:$AL799,$O537,12)</f>
        <v>44617</v>
      </c>
      <c r="J537" s="218">
        <f t="array" ref="J537">INDEX(postDEL!$A$2:$AL799,$O537,13)</f>
        <v>0.5033796296</v>
      </c>
      <c r="K537" s="219" t="str">
        <f t="array" ref="K537">INDEX(postDEL!$A$2:$AL799,$O537,36)</f>
        <v/>
      </c>
      <c r="L537" s="219" t="str">
        <f t="array" ref="L537">INDEX(postDEL!$A$2:$AL799,$O537,38)</f>
        <v/>
      </c>
      <c r="M537" s="219" t="str">
        <f t="array" ref="M537">INDEX(postDEL!$A$2:$AL799,$O537,15)</f>
        <v/>
      </c>
      <c r="N537" s="110">
        <f>COUNTIF(postDEL!$A$2:$A799,A537)</f>
        <v>1</v>
      </c>
      <c r="O537" s="19">
        <f>MATCH(A537,postDEL!A$2:A799,0)</f>
        <v>536</v>
      </c>
      <c r="P537" s="10" t="str">
        <f t="shared" si="1"/>
        <v/>
      </c>
      <c r="Q537" s="220">
        <f t="shared" si="2"/>
        <v>0</v>
      </c>
      <c r="R537" s="5"/>
    </row>
    <row r="538">
      <c r="A538" s="221" t="s">
        <v>1679</v>
      </c>
      <c r="B538" s="217">
        <f t="array" ref="B538">INDEX(postDEL!$A$2:$P799,$O538,2)</f>
        <v>44617</v>
      </c>
      <c r="C538" s="218">
        <f t="array" ref="C538">INDEX(postDEL!$A$2:$P799,$O538,3)</f>
        <v>0.3477430556</v>
      </c>
      <c r="D538" s="219" t="str">
        <f t="array" ref="D538">INDEX(postDEL!$A$2:$AN799,$O538,39)</f>
        <v>SpBEND967817</v>
      </c>
      <c r="E538" s="219" t="str">
        <f t="array" ref="E538">INDEX(postDEL!$A$2:$P799,$O538,4)</f>
        <v/>
      </c>
      <c r="F538" s="219" t="str">
        <f t="array" ref="F538">INDEX(postDEL!$A$2:$P799,$O538,5)</f>
        <v/>
      </c>
      <c r="G538" s="219" t="str">
        <f t="array" ref="G538">INDEX(postDEL!$A$2:$P799,$O538,11)</f>
        <v>Negative</v>
      </c>
      <c r="H538" s="219" t="str">
        <f t="array" ref="H538">INDEX(postDEL!$A$2:$AL799,$O538,37)</f>
        <v>Negative</v>
      </c>
      <c r="I538" s="217">
        <f t="array" ref="I538">INDEX(postDEL!$A$2:$AL799,$O538,12)</f>
        <v>44617</v>
      </c>
      <c r="J538" s="218">
        <f t="array" ref="J538">INDEX(postDEL!$A$2:$AL799,$O538,13)</f>
        <v>0.5033796296</v>
      </c>
      <c r="K538" s="219" t="str">
        <f t="array" ref="K538">INDEX(postDEL!$A$2:$AL799,$O538,36)</f>
        <v/>
      </c>
      <c r="L538" s="219" t="str">
        <f t="array" ref="L538">INDEX(postDEL!$A$2:$AL799,$O538,38)</f>
        <v/>
      </c>
      <c r="M538" s="219" t="str">
        <f t="array" ref="M538">INDEX(postDEL!$A$2:$AL799,$O538,15)</f>
        <v/>
      </c>
      <c r="N538" s="110">
        <f>COUNTIF(postDEL!$A$2:$A799,A538)</f>
        <v>1</v>
      </c>
      <c r="O538" s="19">
        <f>MATCH(A538,postDEL!A$2:A799,0)</f>
        <v>537</v>
      </c>
      <c r="P538" s="10" t="str">
        <f t="shared" si="1"/>
        <v/>
      </c>
      <c r="Q538" s="220">
        <f t="shared" si="2"/>
        <v>0</v>
      </c>
      <c r="R538" s="5"/>
    </row>
    <row r="539">
      <c r="A539" s="221" t="s">
        <v>1682</v>
      </c>
      <c r="B539" s="217">
        <f t="array" ref="B539">INDEX(postDEL!$A$2:$P799,$O539,2)</f>
        <v>44617</v>
      </c>
      <c r="C539" s="218">
        <f t="array" ref="C539">INDEX(postDEL!$A$2:$P799,$O539,3)</f>
        <v>0.3486342593</v>
      </c>
      <c r="D539" s="219" t="str">
        <f t="array" ref="D539">INDEX(postDEL!$A$2:$AN799,$O539,39)</f>
        <v>SpBEND967817</v>
      </c>
      <c r="E539" s="219" t="str">
        <f t="array" ref="E539">INDEX(postDEL!$A$2:$P799,$O539,4)</f>
        <v/>
      </c>
      <c r="F539" s="219" t="str">
        <f t="array" ref="F539">INDEX(postDEL!$A$2:$P799,$O539,5)</f>
        <v/>
      </c>
      <c r="G539" s="219" t="str">
        <f t="array" ref="G539">INDEX(postDEL!$A$2:$P799,$O539,11)</f>
        <v>Negative</v>
      </c>
      <c r="H539" s="219" t="str">
        <f t="array" ref="H539">INDEX(postDEL!$A$2:$AL799,$O539,37)</f>
        <v>Negative</v>
      </c>
      <c r="I539" s="217">
        <f t="array" ref="I539">INDEX(postDEL!$A$2:$AL799,$O539,12)</f>
        <v>44617</v>
      </c>
      <c r="J539" s="218">
        <f t="array" ref="J539">INDEX(postDEL!$A$2:$AL799,$O539,13)</f>
        <v>0.5033796296</v>
      </c>
      <c r="K539" s="219" t="str">
        <f t="array" ref="K539">INDEX(postDEL!$A$2:$AL799,$O539,36)</f>
        <v/>
      </c>
      <c r="L539" s="219" t="str">
        <f t="array" ref="L539">INDEX(postDEL!$A$2:$AL799,$O539,38)</f>
        <v/>
      </c>
      <c r="M539" s="219" t="str">
        <f t="array" ref="M539">INDEX(postDEL!$A$2:$AL799,$O539,15)</f>
        <v/>
      </c>
      <c r="N539" s="110">
        <f>COUNTIF(postDEL!$A$2:$A799,A539)</f>
        <v>1</v>
      </c>
      <c r="O539" s="19">
        <f>MATCH(A539,postDEL!A$2:A799,0)</f>
        <v>538</v>
      </c>
      <c r="P539" s="10" t="str">
        <f t="shared" si="1"/>
        <v/>
      </c>
      <c r="Q539" s="220">
        <f t="shared" si="2"/>
        <v>0</v>
      </c>
      <c r="R539" s="5"/>
    </row>
    <row r="540">
      <c r="A540" s="221" t="s">
        <v>1684</v>
      </c>
      <c r="B540" s="217">
        <f t="array" ref="B540">INDEX(postDEL!$A$2:$P799,$O540,2)</f>
        <v>44617</v>
      </c>
      <c r="C540" s="218">
        <f t="array" ref="C540">INDEX(postDEL!$A$2:$P799,$O540,3)</f>
        <v>0.3496412037</v>
      </c>
      <c r="D540" s="219" t="str">
        <f t="array" ref="D540">INDEX(postDEL!$A$2:$AN799,$O540,39)</f>
        <v>SpBEND967817</v>
      </c>
      <c r="E540" s="219" t="str">
        <f t="array" ref="E540">INDEX(postDEL!$A$2:$P799,$O540,4)</f>
        <v/>
      </c>
      <c r="F540" s="219" t="str">
        <f t="array" ref="F540">INDEX(postDEL!$A$2:$P799,$O540,5)</f>
        <v/>
      </c>
      <c r="G540" s="219" t="str">
        <f t="array" ref="G540">INDEX(postDEL!$A$2:$P799,$O540,11)</f>
        <v>Negative</v>
      </c>
      <c r="H540" s="219" t="str">
        <f t="array" ref="H540">INDEX(postDEL!$A$2:$AL799,$O540,37)</f>
        <v>Negative</v>
      </c>
      <c r="I540" s="217">
        <f t="array" ref="I540">INDEX(postDEL!$A$2:$AL799,$O540,12)</f>
        <v>44617</v>
      </c>
      <c r="J540" s="218">
        <f t="array" ref="J540">INDEX(postDEL!$A$2:$AL799,$O540,13)</f>
        <v>0.5033796296</v>
      </c>
      <c r="K540" s="219" t="str">
        <f t="array" ref="K540">INDEX(postDEL!$A$2:$AL799,$O540,36)</f>
        <v/>
      </c>
      <c r="L540" s="219" t="str">
        <f t="array" ref="L540">INDEX(postDEL!$A$2:$AL799,$O540,38)</f>
        <v/>
      </c>
      <c r="M540" s="219" t="str">
        <f t="array" ref="M540">INDEX(postDEL!$A$2:$AL799,$O540,15)</f>
        <v/>
      </c>
      <c r="N540" s="110">
        <f>COUNTIF(postDEL!$A$2:$A799,A540)</f>
        <v>1</v>
      </c>
      <c r="O540" s="19">
        <f>MATCH(A540,postDEL!A$2:A799,0)</f>
        <v>539</v>
      </c>
      <c r="P540" s="10" t="str">
        <f t="shared" si="1"/>
        <v/>
      </c>
      <c r="Q540" s="220">
        <f t="shared" si="2"/>
        <v>0</v>
      </c>
      <c r="R540" s="5"/>
    </row>
    <row r="541">
      <c r="A541" s="221" t="s">
        <v>1687</v>
      </c>
      <c r="B541" s="217">
        <f t="array" ref="B541">INDEX(postDEL!$A$2:$P799,$O541,2)</f>
        <v>44617</v>
      </c>
      <c r="C541" s="218">
        <f t="array" ref="C541">INDEX(postDEL!$A$2:$P799,$O541,3)</f>
        <v>0.4188888889</v>
      </c>
      <c r="D541" s="219" t="str">
        <f t="array" ref="D541">INDEX(postDEL!$A$2:$AN799,$O541,39)</f>
        <v>SpBEND394154</v>
      </c>
      <c r="E541" s="219" t="str">
        <f t="array" ref="E541">INDEX(postDEL!$A$2:$P799,$O541,4)</f>
        <v/>
      </c>
      <c r="F541" s="219" t="str">
        <f t="array" ref="F541">INDEX(postDEL!$A$2:$P799,$O541,5)</f>
        <v/>
      </c>
      <c r="G541" s="219" t="str">
        <f t="array" ref="G541">INDEX(postDEL!$A$2:$P799,$O541,11)</f>
        <v>Negative</v>
      </c>
      <c r="H541" s="219" t="str">
        <f t="array" ref="H541">INDEX(postDEL!$A$2:$AL799,$O541,37)</f>
        <v>Negative</v>
      </c>
      <c r="I541" s="217">
        <f t="array" ref="I541">INDEX(postDEL!$A$2:$AL799,$O541,12)</f>
        <v>44617</v>
      </c>
      <c r="J541" s="218">
        <f t="array" ref="J541">INDEX(postDEL!$A$2:$AL799,$O541,13)</f>
        <v>0.5033912037</v>
      </c>
      <c r="K541" s="219" t="str">
        <f t="array" ref="K541">INDEX(postDEL!$A$2:$AL799,$O541,36)</f>
        <v/>
      </c>
      <c r="L541" s="219" t="str">
        <f t="array" ref="L541">INDEX(postDEL!$A$2:$AL799,$O541,38)</f>
        <v/>
      </c>
      <c r="M541" s="219" t="str">
        <f t="array" ref="M541">INDEX(postDEL!$A$2:$AL799,$O541,15)</f>
        <v/>
      </c>
      <c r="N541" s="110">
        <f>COUNTIF(postDEL!$A$2:$A799,A541)</f>
        <v>1</v>
      </c>
      <c r="O541" s="19">
        <f>MATCH(A541,postDEL!A$2:A799,0)</f>
        <v>540</v>
      </c>
      <c r="P541" s="10" t="str">
        <f t="shared" si="1"/>
        <v/>
      </c>
      <c r="Q541" s="220">
        <f t="shared" si="2"/>
        <v>0</v>
      </c>
      <c r="R541" s="5"/>
    </row>
    <row r="542">
      <c r="A542" s="221" t="s">
        <v>1689</v>
      </c>
      <c r="B542" s="217">
        <f t="array" ref="B542">INDEX(postDEL!$A$2:$P799,$O542,2)</f>
        <v>44619</v>
      </c>
      <c r="C542" s="218">
        <f t="array" ref="C542">INDEX(postDEL!$A$2:$P799,$O542,3)</f>
        <v>0.2622916667</v>
      </c>
      <c r="D542" s="219" t="str">
        <f t="array" ref="D542">INDEX(postDEL!$A$2:$AN799,$O542,39)</f>
        <v>SpBEND672680</v>
      </c>
      <c r="E542" s="219" t="str">
        <f t="array" ref="E542">INDEX(postDEL!$A$2:$P799,$O542,4)</f>
        <v/>
      </c>
      <c r="F542" s="219" t="str">
        <f t="array" ref="F542">INDEX(postDEL!$A$2:$P799,$O542,5)</f>
        <v/>
      </c>
      <c r="G542" s="219" t="str">
        <f t="array" ref="G542">INDEX(postDEL!$A$2:$P799,$O542,11)</f>
        <v>Negative</v>
      </c>
      <c r="H542" s="219" t="str">
        <f t="array" ref="H542">INDEX(postDEL!$A$2:$AL799,$O542,37)</f>
        <v>Negative</v>
      </c>
      <c r="I542" s="217">
        <f t="array" ref="I542">INDEX(postDEL!$A$2:$AL799,$O542,12)</f>
        <v>44621</v>
      </c>
      <c r="J542" s="218">
        <f t="array" ref="J542">INDEX(postDEL!$A$2:$AL799,$O542,13)</f>
        <v>0.4783333333</v>
      </c>
      <c r="K542" s="219" t="str">
        <f t="array" ref="K542">INDEX(postDEL!$A$2:$AL799,$O542,36)</f>
        <v/>
      </c>
      <c r="L542" s="219" t="str">
        <f t="array" ref="L542">INDEX(postDEL!$A$2:$AL799,$O542,38)</f>
        <v/>
      </c>
      <c r="M542" s="219" t="str">
        <f t="array" ref="M542">INDEX(postDEL!$A$2:$AL799,$O542,15)</f>
        <v/>
      </c>
      <c r="N542" s="110">
        <f>COUNTIF(postDEL!$A$2:$A799,A542)</f>
        <v>1</v>
      </c>
      <c r="O542" s="19">
        <f>MATCH(A542,postDEL!A$2:A799,0)</f>
        <v>541</v>
      </c>
      <c r="P542" s="10" t="b">
        <f t="shared" si="1"/>
        <v>1</v>
      </c>
      <c r="Q542" s="220">
        <f t="shared" si="2"/>
        <v>2</v>
      </c>
      <c r="R542" s="5"/>
    </row>
    <row r="543">
      <c r="A543" s="221" t="s">
        <v>1691</v>
      </c>
      <c r="B543" s="217">
        <f t="array" ref="B543">INDEX(postDEL!$A$2:$P799,$O543,2)</f>
        <v>44619</v>
      </c>
      <c r="C543" s="218">
        <f t="array" ref="C543">INDEX(postDEL!$A$2:$P799,$O543,3)</f>
        <v>0.2776041667</v>
      </c>
      <c r="D543" s="219" t="str">
        <f t="array" ref="D543">INDEX(postDEL!$A$2:$AN799,$O543,39)</f>
        <v>SpBEND947055</v>
      </c>
      <c r="E543" s="219" t="str">
        <f t="array" ref="E543">INDEX(postDEL!$A$2:$P799,$O543,4)</f>
        <v/>
      </c>
      <c r="F543" s="219" t="str">
        <f t="array" ref="F543">INDEX(postDEL!$A$2:$P799,$O543,5)</f>
        <v/>
      </c>
      <c r="G543" s="219" t="str">
        <f t="array" ref="G543">INDEX(postDEL!$A$2:$P799,$O543,11)</f>
        <v>Negative</v>
      </c>
      <c r="H543" s="219" t="str">
        <f t="array" ref="H543">INDEX(postDEL!$A$2:$AL799,$O543,37)</f>
        <v>Negative</v>
      </c>
      <c r="I543" s="217">
        <f t="array" ref="I543">INDEX(postDEL!$A$2:$AL799,$O543,12)</f>
        <v>44621</v>
      </c>
      <c r="J543" s="218">
        <f t="array" ref="J543">INDEX(postDEL!$A$2:$AL799,$O543,13)</f>
        <v>0.4783449074</v>
      </c>
      <c r="K543" s="219" t="str">
        <f t="array" ref="K543">INDEX(postDEL!$A$2:$AL799,$O543,36)</f>
        <v/>
      </c>
      <c r="L543" s="219" t="str">
        <f t="array" ref="L543">INDEX(postDEL!$A$2:$AL799,$O543,38)</f>
        <v/>
      </c>
      <c r="M543" s="219" t="str">
        <f t="array" ref="M543">INDEX(postDEL!$A$2:$AL799,$O543,15)</f>
        <v/>
      </c>
      <c r="N543" s="110">
        <f>COUNTIF(postDEL!$A$2:$A799,A543)</f>
        <v>1</v>
      </c>
      <c r="O543" s="19">
        <f>MATCH(A543,postDEL!A$2:A799,0)</f>
        <v>542</v>
      </c>
      <c r="P543" s="10" t="str">
        <f t="shared" si="1"/>
        <v/>
      </c>
      <c r="Q543" s="220">
        <f t="shared" si="2"/>
        <v>2</v>
      </c>
      <c r="R543" s="5"/>
    </row>
    <row r="544">
      <c r="A544" s="221" t="s">
        <v>1693</v>
      </c>
      <c r="B544" s="217">
        <f t="array" ref="B544">INDEX(postDEL!$A$2:$P799,$O544,2)</f>
        <v>44619</v>
      </c>
      <c r="C544" s="218">
        <f t="array" ref="C544">INDEX(postDEL!$A$2:$P799,$O544,3)</f>
        <v>0.2865277778</v>
      </c>
      <c r="D544" s="219" t="str">
        <f t="array" ref="D544">INDEX(postDEL!$A$2:$AN799,$O544,39)</f>
        <v>SpBEND670368</v>
      </c>
      <c r="E544" s="219" t="str">
        <f t="array" ref="E544">INDEX(postDEL!$A$2:$P799,$O544,4)</f>
        <v/>
      </c>
      <c r="F544" s="219" t="str">
        <f t="array" ref="F544">INDEX(postDEL!$A$2:$P799,$O544,5)</f>
        <v/>
      </c>
      <c r="G544" s="219" t="str">
        <f t="array" ref="G544">INDEX(postDEL!$A$2:$P799,$O544,11)</f>
        <v>Negative</v>
      </c>
      <c r="H544" s="219" t="str">
        <f t="array" ref="H544">INDEX(postDEL!$A$2:$AL799,$O544,37)</f>
        <v>Negative</v>
      </c>
      <c r="I544" s="217">
        <f t="array" ref="I544">INDEX(postDEL!$A$2:$AL799,$O544,12)</f>
        <v>44621</v>
      </c>
      <c r="J544" s="218">
        <f t="array" ref="J544">INDEX(postDEL!$A$2:$AL799,$O544,13)</f>
        <v>0.4783449074</v>
      </c>
      <c r="K544" s="219" t="str">
        <f t="array" ref="K544">INDEX(postDEL!$A$2:$AL799,$O544,36)</f>
        <v/>
      </c>
      <c r="L544" s="219" t="str">
        <f t="array" ref="L544">INDEX(postDEL!$A$2:$AL799,$O544,38)</f>
        <v/>
      </c>
      <c r="M544" s="219" t="str">
        <f t="array" ref="M544">INDEX(postDEL!$A$2:$AL799,$O544,15)</f>
        <v/>
      </c>
      <c r="N544" s="110">
        <f>COUNTIF(postDEL!$A$2:$A799,A544)</f>
        <v>1</v>
      </c>
      <c r="O544" s="19">
        <f>MATCH(A544,postDEL!A$2:A799,0)</f>
        <v>543</v>
      </c>
      <c r="P544" s="10" t="str">
        <f t="shared" si="1"/>
        <v/>
      </c>
      <c r="Q544" s="220">
        <f t="shared" si="2"/>
        <v>2</v>
      </c>
      <c r="R544" s="5"/>
    </row>
    <row r="545">
      <c r="A545" s="221" t="s">
        <v>1695</v>
      </c>
      <c r="B545" s="217">
        <f t="array" ref="B545">INDEX(postDEL!$A$2:$P799,$O545,2)</f>
        <v>44619</v>
      </c>
      <c r="C545" s="218">
        <f t="array" ref="C545">INDEX(postDEL!$A$2:$P799,$O545,3)</f>
        <v>0.2879166667</v>
      </c>
      <c r="D545" s="219" t="str">
        <f t="array" ref="D545">INDEX(postDEL!$A$2:$AN799,$O545,39)</f>
        <v>SpBEND737678</v>
      </c>
      <c r="E545" s="219" t="str">
        <f t="array" ref="E545">INDEX(postDEL!$A$2:$P799,$O545,4)</f>
        <v/>
      </c>
      <c r="F545" s="219" t="str">
        <f t="array" ref="F545">INDEX(postDEL!$A$2:$P799,$O545,5)</f>
        <v/>
      </c>
      <c r="G545" s="219" t="str">
        <f t="array" ref="G545">INDEX(postDEL!$A$2:$P799,$O545,11)</f>
        <v>Negative</v>
      </c>
      <c r="H545" s="219" t="str">
        <f t="array" ref="H545">INDEX(postDEL!$A$2:$AL799,$O545,37)</f>
        <v>Negative</v>
      </c>
      <c r="I545" s="217">
        <f t="array" ref="I545">INDEX(postDEL!$A$2:$AL799,$O545,12)</f>
        <v>44621</v>
      </c>
      <c r="J545" s="218">
        <f t="array" ref="J545">INDEX(postDEL!$A$2:$AL799,$O545,13)</f>
        <v>0.4783449074</v>
      </c>
      <c r="K545" s="219" t="str">
        <f t="array" ref="K545">INDEX(postDEL!$A$2:$AL799,$O545,36)</f>
        <v/>
      </c>
      <c r="L545" s="219" t="str">
        <f t="array" ref="L545">INDEX(postDEL!$A$2:$AL799,$O545,38)</f>
        <v/>
      </c>
      <c r="M545" s="219" t="str">
        <f t="array" ref="M545">INDEX(postDEL!$A$2:$AL799,$O545,15)</f>
        <v/>
      </c>
      <c r="N545" s="110">
        <f>COUNTIF(postDEL!$A$2:$A799,A545)</f>
        <v>1</v>
      </c>
      <c r="O545" s="19">
        <f>MATCH(A545,postDEL!A$2:A799,0)</f>
        <v>544</v>
      </c>
      <c r="P545" s="10" t="str">
        <f t="shared" si="1"/>
        <v/>
      </c>
      <c r="Q545" s="220">
        <f t="shared" si="2"/>
        <v>2</v>
      </c>
      <c r="R545" s="5"/>
    </row>
    <row r="546">
      <c r="A546" s="221" t="s">
        <v>1697</v>
      </c>
      <c r="B546" s="217">
        <f t="array" ref="B546">INDEX(postDEL!$A$2:$P799,$O546,2)</f>
        <v>44619</v>
      </c>
      <c r="C546" s="218">
        <f t="array" ref="C546">INDEX(postDEL!$A$2:$P799,$O546,3)</f>
        <v>0.2909490741</v>
      </c>
      <c r="D546" s="219" t="str">
        <f t="array" ref="D546">INDEX(postDEL!$A$2:$AN799,$O546,39)</f>
        <v>SpBEND321883</v>
      </c>
      <c r="E546" s="219" t="str">
        <f t="array" ref="E546">INDEX(postDEL!$A$2:$P799,$O546,4)</f>
        <v/>
      </c>
      <c r="F546" s="219" t="str">
        <f t="array" ref="F546">INDEX(postDEL!$A$2:$P799,$O546,5)</f>
        <v/>
      </c>
      <c r="G546" s="219" t="str">
        <f t="array" ref="G546">INDEX(postDEL!$A$2:$P799,$O546,11)</f>
        <v>Negative</v>
      </c>
      <c r="H546" s="219" t="str">
        <f t="array" ref="H546">INDEX(postDEL!$A$2:$AL799,$O546,37)</f>
        <v>Negative</v>
      </c>
      <c r="I546" s="217">
        <f t="array" ref="I546">INDEX(postDEL!$A$2:$AL799,$O546,12)</f>
        <v>44621</v>
      </c>
      <c r="J546" s="218">
        <f t="array" ref="J546">INDEX(postDEL!$A$2:$AL799,$O546,13)</f>
        <v>0.4783449074</v>
      </c>
      <c r="K546" s="219" t="str">
        <f t="array" ref="K546">INDEX(postDEL!$A$2:$AL799,$O546,36)</f>
        <v/>
      </c>
      <c r="L546" s="219" t="str">
        <f t="array" ref="L546">INDEX(postDEL!$A$2:$AL799,$O546,38)</f>
        <v/>
      </c>
      <c r="M546" s="219" t="str">
        <f t="array" ref="M546">INDEX(postDEL!$A$2:$AL799,$O546,15)</f>
        <v/>
      </c>
      <c r="N546" s="110">
        <f>COUNTIF(postDEL!$A$2:$A799,A546)</f>
        <v>1</v>
      </c>
      <c r="O546" s="19">
        <f>MATCH(A546,postDEL!A$2:A799,0)</f>
        <v>545</v>
      </c>
      <c r="P546" s="10" t="str">
        <f t="shared" si="1"/>
        <v/>
      </c>
      <c r="Q546" s="220">
        <f t="shared" si="2"/>
        <v>2</v>
      </c>
      <c r="R546" s="5"/>
    </row>
    <row r="547">
      <c r="A547" s="221" t="s">
        <v>1699</v>
      </c>
      <c r="B547" s="217">
        <f t="array" ref="B547">INDEX(postDEL!$A$2:$P799,$O547,2)</f>
        <v>44619</v>
      </c>
      <c r="C547" s="218">
        <f t="array" ref="C547">INDEX(postDEL!$A$2:$P799,$O547,3)</f>
        <v>0.2973032407</v>
      </c>
      <c r="D547" s="219" t="str">
        <f t="array" ref="D547">INDEX(postDEL!$A$2:$AN799,$O547,39)</f>
        <v>SpBEND734943</v>
      </c>
      <c r="E547" s="219" t="str">
        <f t="array" ref="E547">INDEX(postDEL!$A$2:$P799,$O547,4)</f>
        <v/>
      </c>
      <c r="F547" s="219" t="str">
        <f t="array" ref="F547">INDEX(postDEL!$A$2:$P799,$O547,5)</f>
        <v/>
      </c>
      <c r="G547" s="219" t="str">
        <f t="array" ref="G547">INDEX(postDEL!$A$2:$P799,$O547,11)</f>
        <v>Negative</v>
      </c>
      <c r="H547" s="219" t="str">
        <f t="array" ref="H547">INDEX(postDEL!$A$2:$AL799,$O547,37)</f>
        <v>Negative</v>
      </c>
      <c r="I547" s="217">
        <f t="array" ref="I547">INDEX(postDEL!$A$2:$AL799,$O547,12)</f>
        <v>44621</v>
      </c>
      <c r="J547" s="218">
        <f t="array" ref="J547">INDEX(postDEL!$A$2:$AL799,$O547,13)</f>
        <v>0.4783449074</v>
      </c>
      <c r="K547" s="219" t="str">
        <f t="array" ref="K547">INDEX(postDEL!$A$2:$AL799,$O547,36)</f>
        <v/>
      </c>
      <c r="L547" s="219" t="str">
        <f t="array" ref="L547">INDEX(postDEL!$A$2:$AL799,$O547,38)</f>
        <v/>
      </c>
      <c r="M547" s="219" t="str">
        <f t="array" ref="M547">INDEX(postDEL!$A$2:$AL799,$O547,15)</f>
        <v/>
      </c>
      <c r="N547" s="110">
        <f>COUNTIF(postDEL!$A$2:$A799,A547)</f>
        <v>1</v>
      </c>
      <c r="O547" s="19">
        <f>MATCH(A547,postDEL!A$2:A799,0)</f>
        <v>546</v>
      </c>
      <c r="P547" s="10" t="str">
        <f t="shared" si="1"/>
        <v/>
      </c>
      <c r="Q547" s="220">
        <f t="shared" si="2"/>
        <v>2</v>
      </c>
      <c r="R547" s="5"/>
    </row>
    <row r="548">
      <c r="A548" s="221" t="s">
        <v>1701</v>
      </c>
      <c r="B548" s="217">
        <f t="array" ref="B548">INDEX(postDEL!$A$2:$P799,$O548,2)</f>
        <v>44619</v>
      </c>
      <c r="C548" s="218">
        <f t="array" ref="C548">INDEX(postDEL!$A$2:$P799,$O548,3)</f>
        <v>0.3128587963</v>
      </c>
      <c r="D548" s="219" t="str">
        <f t="array" ref="D548">INDEX(postDEL!$A$2:$AN799,$O548,39)</f>
        <v>SpBEND435789</v>
      </c>
      <c r="E548" s="219" t="str">
        <f t="array" ref="E548">INDEX(postDEL!$A$2:$P799,$O548,4)</f>
        <v/>
      </c>
      <c r="F548" s="219" t="str">
        <f t="array" ref="F548">INDEX(postDEL!$A$2:$P799,$O548,5)</f>
        <v/>
      </c>
      <c r="G548" s="219" t="str">
        <f t="array" ref="G548">INDEX(postDEL!$A$2:$P799,$O548,11)</f>
        <v>Negative</v>
      </c>
      <c r="H548" s="219" t="str">
        <f t="array" ref="H548">INDEX(postDEL!$A$2:$AL799,$O548,37)</f>
        <v>Negative</v>
      </c>
      <c r="I548" s="217">
        <f t="array" ref="I548">INDEX(postDEL!$A$2:$AL799,$O548,12)</f>
        <v>44621</v>
      </c>
      <c r="J548" s="218">
        <f t="array" ref="J548">INDEX(postDEL!$A$2:$AL799,$O548,13)</f>
        <v>0.4783449074</v>
      </c>
      <c r="K548" s="219" t="str">
        <f t="array" ref="K548">INDEX(postDEL!$A$2:$AL799,$O548,36)</f>
        <v/>
      </c>
      <c r="L548" s="219" t="str">
        <f t="array" ref="L548">INDEX(postDEL!$A$2:$AL799,$O548,38)</f>
        <v/>
      </c>
      <c r="M548" s="219" t="str">
        <f t="array" ref="M548">INDEX(postDEL!$A$2:$AL799,$O548,15)</f>
        <v/>
      </c>
      <c r="N548" s="110">
        <f>COUNTIF(postDEL!$A$2:$A799,A548)</f>
        <v>1</v>
      </c>
      <c r="O548" s="19">
        <f>MATCH(A548,postDEL!A$2:A799,0)</f>
        <v>547</v>
      </c>
      <c r="P548" s="10" t="str">
        <f t="shared" si="1"/>
        <v/>
      </c>
      <c r="Q548" s="220">
        <f t="shared" si="2"/>
        <v>2</v>
      </c>
      <c r="R548" s="5"/>
    </row>
    <row r="549">
      <c r="A549" s="221" t="s">
        <v>1703</v>
      </c>
      <c r="B549" s="217">
        <f t="array" ref="B549">INDEX(postDEL!$A$2:$P799,$O549,2)</f>
        <v>44619</v>
      </c>
      <c r="C549" s="218">
        <f t="array" ref="C549">INDEX(postDEL!$A$2:$P799,$O549,3)</f>
        <v>0.3136458333</v>
      </c>
      <c r="D549" s="219" t="str">
        <f t="array" ref="D549">INDEX(postDEL!$A$2:$AN799,$O549,39)</f>
        <v>SpBEND136234</v>
      </c>
      <c r="E549" s="219" t="str">
        <f t="array" ref="E549">INDEX(postDEL!$A$2:$P799,$O549,4)</f>
        <v/>
      </c>
      <c r="F549" s="219" t="str">
        <f t="array" ref="F549">INDEX(postDEL!$A$2:$P799,$O549,5)</f>
        <v/>
      </c>
      <c r="G549" s="219" t="str">
        <f t="array" ref="G549">INDEX(postDEL!$A$2:$P799,$O549,11)</f>
        <v>Negative</v>
      </c>
      <c r="H549" s="219" t="str">
        <f t="array" ref="H549">INDEX(postDEL!$A$2:$AL799,$O549,37)</f>
        <v>Negative</v>
      </c>
      <c r="I549" s="217">
        <f t="array" ref="I549">INDEX(postDEL!$A$2:$AL799,$O549,12)</f>
        <v>44621</v>
      </c>
      <c r="J549" s="218">
        <f t="array" ref="J549">INDEX(postDEL!$A$2:$AL799,$O549,13)</f>
        <v>0.4783449074</v>
      </c>
      <c r="K549" s="219" t="str">
        <f t="array" ref="K549">INDEX(postDEL!$A$2:$AL799,$O549,36)</f>
        <v/>
      </c>
      <c r="L549" s="219" t="str">
        <f t="array" ref="L549">INDEX(postDEL!$A$2:$AL799,$O549,38)</f>
        <v/>
      </c>
      <c r="M549" s="219" t="str">
        <f t="array" ref="M549">INDEX(postDEL!$A$2:$AL799,$O549,15)</f>
        <v/>
      </c>
      <c r="N549" s="110">
        <f>COUNTIF(postDEL!$A$2:$A799,A549)</f>
        <v>1</v>
      </c>
      <c r="O549" s="19">
        <f>MATCH(A549,postDEL!A$2:A799,0)</f>
        <v>548</v>
      </c>
      <c r="P549" s="10" t="str">
        <f t="shared" si="1"/>
        <v/>
      </c>
      <c r="Q549" s="220">
        <f t="shared" si="2"/>
        <v>2</v>
      </c>
      <c r="R549" s="5"/>
    </row>
    <row r="550">
      <c r="A550" s="221" t="s">
        <v>1705</v>
      </c>
      <c r="B550" s="217">
        <f t="array" ref="B550">INDEX(postDEL!$A$2:$P799,$O550,2)</f>
        <v>44619</v>
      </c>
      <c r="C550" s="218">
        <f t="array" ref="C550">INDEX(postDEL!$A$2:$P799,$O550,3)</f>
        <v>0.3194212963</v>
      </c>
      <c r="D550" s="219" t="str">
        <f t="array" ref="D550">INDEX(postDEL!$A$2:$AN799,$O550,39)</f>
        <v>SpBEND845568</v>
      </c>
      <c r="E550" s="219" t="str">
        <f t="array" ref="E550">INDEX(postDEL!$A$2:$P799,$O550,4)</f>
        <v/>
      </c>
      <c r="F550" s="219" t="str">
        <f t="array" ref="F550">INDEX(postDEL!$A$2:$P799,$O550,5)</f>
        <v/>
      </c>
      <c r="G550" s="219" t="str">
        <f t="array" ref="G550">INDEX(postDEL!$A$2:$P799,$O550,11)</f>
        <v>Negative</v>
      </c>
      <c r="H550" s="219" t="str">
        <f t="array" ref="H550">INDEX(postDEL!$A$2:$AL799,$O550,37)</f>
        <v>Negative</v>
      </c>
      <c r="I550" s="217">
        <f t="array" ref="I550">INDEX(postDEL!$A$2:$AL799,$O550,12)</f>
        <v>44621</v>
      </c>
      <c r="J550" s="218">
        <f t="array" ref="J550">INDEX(postDEL!$A$2:$AL799,$O550,13)</f>
        <v>0.4783449074</v>
      </c>
      <c r="K550" s="219" t="str">
        <f t="array" ref="K550">INDEX(postDEL!$A$2:$AL799,$O550,36)</f>
        <v/>
      </c>
      <c r="L550" s="219" t="str">
        <f t="array" ref="L550">INDEX(postDEL!$A$2:$AL799,$O550,38)</f>
        <v/>
      </c>
      <c r="M550" s="219" t="str">
        <f t="array" ref="M550">INDEX(postDEL!$A$2:$AL799,$O550,15)</f>
        <v/>
      </c>
      <c r="N550" s="110">
        <f>COUNTIF(postDEL!$A$2:$A799,A550)</f>
        <v>1</v>
      </c>
      <c r="O550" s="19">
        <f>MATCH(A550,postDEL!A$2:A799,0)</f>
        <v>549</v>
      </c>
      <c r="P550" s="10" t="str">
        <f t="shared" si="1"/>
        <v/>
      </c>
      <c r="Q550" s="220">
        <f t="shared" si="2"/>
        <v>2</v>
      </c>
      <c r="R550" s="5"/>
    </row>
    <row r="551">
      <c r="A551" s="221" t="s">
        <v>1707</v>
      </c>
      <c r="B551" s="217">
        <f t="array" ref="B551">INDEX(postDEL!$A$2:$P799,$O551,2)</f>
        <v>44619</v>
      </c>
      <c r="C551" s="218">
        <f t="array" ref="C551">INDEX(postDEL!$A$2:$P799,$O551,3)</f>
        <v>0.3200462963</v>
      </c>
      <c r="D551" s="219" t="str">
        <f t="array" ref="D551">INDEX(postDEL!$A$2:$AN799,$O551,39)</f>
        <v>SpBEND815974</v>
      </c>
      <c r="E551" s="219" t="str">
        <f t="array" ref="E551">INDEX(postDEL!$A$2:$P799,$O551,4)</f>
        <v/>
      </c>
      <c r="F551" s="219" t="str">
        <f t="array" ref="F551">INDEX(postDEL!$A$2:$P799,$O551,5)</f>
        <v/>
      </c>
      <c r="G551" s="219" t="str">
        <f t="array" ref="G551">INDEX(postDEL!$A$2:$P799,$O551,11)</f>
        <v>Negative</v>
      </c>
      <c r="H551" s="219" t="str">
        <f t="array" ref="H551">INDEX(postDEL!$A$2:$AL799,$O551,37)</f>
        <v>Negative</v>
      </c>
      <c r="I551" s="217">
        <f t="array" ref="I551">INDEX(postDEL!$A$2:$AL799,$O551,12)</f>
        <v>44621</v>
      </c>
      <c r="J551" s="218">
        <f t="array" ref="J551">INDEX(postDEL!$A$2:$AL799,$O551,13)</f>
        <v>0.4783449074</v>
      </c>
      <c r="K551" s="219" t="str">
        <f t="array" ref="K551">INDEX(postDEL!$A$2:$AL799,$O551,36)</f>
        <v/>
      </c>
      <c r="L551" s="219" t="str">
        <f t="array" ref="L551">INDEX(postDEL!$A$2:$AL799,$O551,38)</f>
        <v/>
      </c>
      <c r="M551" s="219" t="str">
        <f t="array" ref="M551">INDEX(postDEL!$A$2:$AL799,$O551,15)</f>
        <v/>
      </c>
      <c r="N551" s="110">
        <f>COUNTIF(postDEL!$A$2:$A799,A551)</f>
        <v>1</v>
      </c>
      <c r="O551" s="19">
        <f>MATCH(A551,postDEL!A$2:A799,0)</f>
        <v>550</v>
      </c>
      <c r="P551" s="10" t="str">
        <f t="shared" si="1"/>
        <v/>
      </c>
      <c r="Q551" s="220">
        <f t="shared" si="2"/>
        <v>2</v>
      </c>
      <c r="R551" s="5"/>
    </row>
    <row r="552">
      <c r="A552" s="221" t="s">
        <v>1709</v>
      </c>
      <c r="B552" s="217">
        <f t="array" ref="B552">INDEX(postDEL!$A$2:$P799,$O552,2)</f>
        <v>44619</v>
      </c>
      <c r="C552" s="218">
        <f t="array" ref="C552">INDEX(postDEL!$A$2:$P799,$O552,3)</f>
        <v>0.321087963</v>
      </c>
      <c r="D552" s="219" t="str">
        <f t="array" ref="D552">INDEX(postDEL!$A$2:$AN799,$O552,39)</f>
        <v>SpBEND269695</v>
      </c>
      <c r="E552" s="219" t="str">
        <f t="array" ref="E552">INDEX(postDEL!$A$2:$P799,$O552,4)</f>
        <v/>
      </c>
      <c r="F552" s="219" t="str">
        <f t="array" ref="F552">INDEX(postDEL!$A$2:$P799,$O552,5)</f>
        <v/>
      </c>
      <c r="G552" s="219" t="str">
        <f t="array" ref="G552">INDEX(postDEL!$A$2:$P799,$O552,11)</f>
        <v>Negative</v>
      </c>
      <c r="H552" s="219" t="str">
        <f t="array" ref="H552">INDEX(postDEL!$A$2:$AL799,$O552,37)</f>
        <v>Negative</v>
      </c>
      <c r="I552" s="217">
        <f t="array" ref="I552">INDEX(postDEL!$A$2:$AL799,$O552,12)</f>
        <v>44621</v>
      </c>
      <c r="J552" s="218">
        <f t="array" ref="J552">INDEX(postDEL!$A$2:$AL799,$O552,13)</f>
        <v>0.4783449074</v>
      </c>
      <c r="K552" s="219" t="str">
        <f t="array" ref="K552">INDEX(postDEL!$A$2:$AL799,$O552,36)</f>
        <v/>
      </c>
      <c r="L552" s="219" t="str">
        <f t="array" ref="L552">INDEX(postDEL!$A$2:$AL799,$O552,38)</f>
        <v/>
      </c>
      <c r="M552" s="219" t="str">
        <f t="array" ref="M552">INDEX(postDEL!$A$2:$AL799,$O552,15)</f>
        <v/>
      </c>
      <c r="N552" s="110">
        <f>COUNTIF(postDEL!$A$2:$A799,A552)</f>
        <v>1</v>
      </c>
      <c r="O552" s="19">
        <f>MATCH(A552,postDEL!A$2:A799,0)</f>
        <v>551</v>
      </c>
      <c r="P552" s="10" t="str">
        <f t="shared" si="1"/>
        <v/>
      </c>
      <c r="Q552" s="220">
        <f t="shared" si="2"/>
        <v>2</v>
      </c>
      <c r="R552" s="5"/>
    </row>
    <row r="553">
      <c r="A553" s="221" t="s">
        <v>1711</v>
      </c>
      <c r="B553" s="217">
        <f t="array" ref="B553">INDEX(postDEL!$A$2:$P799,$O553,2)</f>
        <v>44619</v>
      </c>
      <c r="C553" s="218">
        <f t="array" ref="C553">INDEX(postDEL!$A$2:$P799,$O553,3)</f>
        <v>0.3226157407</v>
      </c>
      <c r="D553" s="219" t="str">
        <f t="array" ref="D553">INDEX(postDEL!$A$2:$AN799,$O553,39)</f>
        <v>SpBEND524085</v>
      </c>
      <c r="E553" s="219" t="str">
        <f t="array" ref="E553">INDEX(postDEL!$A$2:$P799,$O553,4)</f>
        <v/>
      </c>
      <c r="F553" s="219" t="str">
        <f t="array" ref="F553">INDEX(postDEL!$A$2:$P799,$O553,5)</f>
        <v/>
      </c>
      <c r="G553" s="219" t="str">
        <f t="array" ref="G553">INDEX(postDEL!$A$2:$P799,$O553,11)</f>
        <v>Negative</v>
      </c>
      <c r="H553" s="219" t="str">
        <f t="array" ref="H553">INDEX(postDEL!$A$2:$AL799,$O553,37)</f>
        <v>Negative</v>
      </c>
      <c r="I553" s="217">
        <f t="array" ref="I553">INDEX(postDEL!$A$2:$AL799,$O553,12)</f>
        <v>44621</v>
      </c>
      <c r="J553" s="218">
        <f t="array" ref="J553">INDEX(postDEL!$A$2:$AL799,$O553,13)</f>
        <v>0.4783449074</v>
      </c>
      <c r="K553" s="219" t="str">
        <f t="array" ref="K553">INDEX(postDEL!$A$2:$AL799,$O553,36)</f>
        <v/>
      </c>
      <c r="L553" s="219" t="str">
        <f t="array" ref="L553">INDEX(postDEL!$A$2:$AL799,$O553,38)</f>
        <v/>
      </c>
      <c r="M553" s="219" t="str">
        <f t="array" ref="M553">INDEX(postDEL!$A$2:$AL799,$O553,15)</f>
        <v/>
      </c>
      <c r="N553" s="110">
        <f>COUNTIF(postDEL!$A$2:$A799,A553)</f>
        <v>1</v>
      </c>
      <c r="O553" s="19">
        <f>MATCH(A553,postDEL!A$2:A799,0)</f>
        <v>552</v>
      </c>
      <c r="P553" s="10" t="str">
        <f t="shared" si="1"/>
        <v/>
      </c>
      <c r="Q553" s="220">
        <f t="shared" si="2"/>
        <v>2</v>
      </c>
      <c r="R553" s="5"/>
    </row>
    <row r="554">
      <c r="A554" s="221" t="s">
        <v>1715</v>
      </c>
      <c r="B554" s="217">
        <f t="array" ref="B554">INDEX(postDEL!$A$2:$P799,$O554,2)</f>
        <v>44619</v>
      </c>
      <c r="C554" s="218">
        <f t="array" ref="C554">INDEX(postDEL!$A$2:$P799,$O554,3)</f>
        <v>0.3232060185</v>
      </c>
      <c r="D554" s="219" t="str">
        <f t="array" ref="D554">INDEX(postDEL!$A$2:$AN799,$O554,39)</f>
        <v>SpBEND524085</v>
      </c>
      <c r="E554" s="219" t="str">
        <f t="array" ref="E554">INDEX(postDEL!$A$2:$P799,$O554,4)</f>
        <v/>
      </c>
      <c r="F554" s="219" t="str">
        <f t="array" ref="F554">INDEX(postDEL!$A$2:$P799,$O554,5)</f>
        <v/>
      </c>
      <c r="G554" s="219" t="str">
        <f t="array" ref="G554">INDEX(postDEL!$A$2:$P799,$O554,11)</f>
        <v>Negative</v>
      </c>
      <c r="H554" s="219" t="str">
        <f t="array" ref="H554">INDEX(postDEL!$A$2:$AL799,$O554,37)</f>
        <v>Negative</v>
      </c>
      <c r="I554" s="217">
        <f t="array" ref="I554">INDEX(postDEL!$A$2:$AL799,$O554,12)</f>
        <v>44621</v>
      </c>
      <c r="J554" s="218">
        <f t="array" ref="J554">INDEX(postDEL!$A$2:$AL799,$O554,13)</f>
        <v>0.4783449074</v>
      </c>
      <c r="K554" s="219" t="str">
        <f t="array" ref="K554">INDEX(postDEL!$A$2:$AL799,$O554,36)</f>
        <v/>
      </c>
      <c r="L554" s="219" t="str">
        <f t="array" ref="L554">INDEX(postDEL!$A$2:$AL799,$O554,38)</f>
        <v/>
      </c>
      <c r="M554" s="219" t="str">
        <f t="array" ref="M554">INDEX(postDEL!$A$2:$AL799,$O554,15)</f>
        <v/>
      </c>
      <c r="N554" s="110">
        <f>COUNTIF(postDEL!$A$2:$A799,A554)</f>
        <v>1</v>
      </c>
      <c r="O554" s="19">
        <f>MATCH(A554,postDEL!A$2:A799,0)</f>
        <v>553</v>
      </c>
      <c r="P554" s="10" t="str">
        <f t="shared" si="1"/>
        <v/>
      </c>
      <c r="Q554" s="220">
        <f t="shared" si="2"/>
        <v>2</v>
      </c>
      <c r="R554" s="5"/>
    </row>
    <row r="555">
      <c r="A555" s="221" t="s">
        <v>1718</v>
      </c>
      <c r="B555" s="217">
        <f t="array" ref="B555">INDEX(postDEL!$A$2:$P799,$O555,2)</f>
        <v>44619</v>
      </c>
      <c r="C555" s="218">
        <f t="array" ref="C555">INDEX(postDEL!$A$2:$P799,$O555,3)</f>
        <v>0.3246759259</v>
      </c>
      <c r="D555" s="219" t="str">
        <f t="array" ref="D555">INDEX(postDEL!$A$2:$AN799,$O555,39)</f>
        <v>SpBEND454594</v>
      </c>
      <c r="E555" s="219" t="str">
        <f t="array" ref="E555">INDEX(postDEL!$A$2:$P799,$O555,4)</f>
        <v/>
      </c>
      <c r="F555" s="219" t="str">
        <f t="array" ref="F555">INDEX(postDEL!$A$2:$P799,$O555,5)</f>
        <v/>
      </c>
      <c r="G555" s="219" t="str">
        <f t="array" ref="G555">INDEX(postDEL!$A$2:$P799,$O555,11)</f>
        <v>Negative</v>
      </c>
      <c r="H555" s="219" t="str">
        <f t="array" ref="H555">INDEX(postDEL!$A$2:$AL799,$O555,37)</f>
        <v>Negative</v>
      </c>
      <c r="I555" s="217">
        <f t="array" ref="I555">INDEX(postDEL!$A$2:$AL799,$O555,12)</f>
        <v>44621</v>
      </c>
      <c r="J555" s="218">
        <f t="array" ref="J555">INDEX(postDEL!$A$2:$AL799,$O555,13)</f>
        <v>0.4783564815</v>
      </c>
      <c r="K555" s="219" t="str">
        <f t="array" ref="K555">INDEX(postDEL!$A$2:$AL799,$O555,36)</f>
        <v/>
      </c>
      <c r="L555" s="219" t="str">
        <f t="array" ref="L555">INDEX(postDEL!$A$2:$AL799,$O555,38)</f>
        <v/>
      </c>
      <c r="M555" s="219" t="str">
        <f t="array" ref="M555">INDEX(postDEL!$A$2:$AL799,$O555,15)</f>
        <v/>
      </c>
      <c r="N555" s="110">
        <f>COUNTIF(postDEL!$A$2:$A799,A555)</f>
        <v>1</v>
      </c>
      <c r="O555" s="19">
        <f>MATCH(A555,postDEL!A$2:A799,0)</f>
        <v>554</v>
      </c>
      <c r="P555" s="10" t="str">
        <f t="shared" si="1"/>
        <v/>
      </c>
      <c r="Q555" s="220">
        <f t="shared" si="2"/>
        <v>2</v>
      </c>
      <c r="R555" s="5"/>
    </row>
    <row r="556">
      <c r="A556" s="221" t="s">
        <v>1720</v>
      </c>
      <c r="B556" s="217">
        <f t="array" ref="B556">INDEX(postDEL!$A$2:$P799,$O556,2)</f>
        <v>44619</v>
      </c>
      <c r="C556" s="218">
        <f t="array" ref="C556">INDEX(postDEL!$A$2:$P799,$O556,3)</f>
        <v>0.3249768519</v>
      </c>
      <c r="D556" s="219" t="str">
        <f t="array" ref="D556">INDEX(postDEL!$A$2:$AN799,$O556,39)</f>
        <v>SpBEND372845</v>
      </c>
      <c r="E556" s="219" t="str">
        <f t="array" ref="E556">INDEX(postDEL!$A$2:$P799,$O556,4)</f>
        <v/>
      </c>
      <c r="F556" s="219" t="str">
        <f t="array" ref="F556">INDEX(postDEL!$A$2:$P799,$O556,5)</f>
        <v/>
      </c>
      <c r="G556" s="219" t="str">
        <f t="array" ref="G556">INDEX(postDEL!$A$2:$P799,$O556,11)</f>
        <v>Negative</v>
      </c>
      <c r="H556" s="219" t="str">
        <f t="array" ref="H556">INDEX(postDEL!$A$2:$AL799,$O556,37)</f>
        <v>Negative</v>
      </c>
      <c r="I556" s="217">
        <f t="array" ref="I556">INDEX(postDEL!$A$2:$AL799,$O556,12)</f>
        <v>44621</v>
      </c>
      <c r="J556" s="218">
        <f t="array" ref="J556">INDEX(postDEL!$A$2:$AL799,$O556,13)</f>
        <v>0.4783564815</v>
      </c>
      <c r="K556" s="219" t="str">
        <f t="array" ref="K556">INDEX(postDEL!$A$2:$AL799,$O556,36)</f>
        <v/>
      </c>
      <c r="L556" s="219" t="str">
        <f t="array" ref="L556">INDEX(postDEL!$A$2:$AL799,$O556,38)</f>
        <v/>
      </c>
      <c r="M556" s="219" t="str">
        <f t="array" ref="M556">INDEX(postDEL!$A$2:$AL799,$O556,15)</f>
        <v/>
      </c>
      <c r="N556" s="110">
        <f>COUNTIF(postDEL!$A$2:$A799,A556)</f>
        <v>1</v>
      </c>
      <c r="O556" s="19">
        <f>MATCH(A556,postDEL!A$2:A799,0)</f>
        <v>555</v>
      </c>
      <c r="P556" s="10" t="str">
        <f t="shared" si="1"/>
        <v/>
      </c>
      <c r="Q556" s="220">
        <f t="shared" si="2"/>
        <v>2</v>
      </c>
      <c r="R556" s="5"/>
    </row>
    <row r="557">
      <c r="A557" s="221" t="s">
        <v>1722</v>
      </c>
      <c r="B557" s="217">
        <f t="array" ref="B557">INDEX(postDEL!$A$2:$P799,$O557,2)</f>
        <v>44619</v>
      </c>
      <c r="C557" s="218">
        <f t="array" ref="C557">INDEX(postDEL!$A$2:$P799,$O557,3)</f>
        <v>0.3274305556</v>
      </c>
      <c r="D557" s="219" t="str">
        <f t="array" ref="D557">INDEX(postDEL!$A$2:$AN799,$O557,39)</f>
        <v>SpBEND642175</v>
      </c>
      <c r="E557" s="219" t="str">
        <f t="array" ref="E557">INDEX(postDEL!$A$2:$P799,$O557,4)</f>
        <v/>
      </c>
      <c r="F557" s="219" t="str">
        <f t="array" ref="F557">INDEX(postDEL!$A$2:$P799,$O557,5)</f>
        <v/>
      </c>
      <c r="G557" s="219" t="str">
        <f t="array" ref="G557">INDEX(postDEL!$A$2:$P799,$O557,11)</f>
        <v>Negative</v>
      </c>
      <c r="H557" s="219" t="str">
        <f t="array" ref="H557">INDEX(postDEL!$A$2:$AL799,$O557,37)</f>
        <v>Negative</v>
      </c>
      <c r="I557" s="217">
        <f t="array" ref="I557">INDEX(postDEL!$A$2:$AL799,$O557,12)</f>
        <v>44621</v>
      </c>
      <c r="J557" s="218">
        <f t="array" ref="J557">INDEX(postDEL!$A$2:$AL799,$O557,13)</f>
        <v>0.4783564815</v>
      </c>
      <c r="K557" s="219" t="str">
        <f t="array" ref="K557">INDEX(postDEL!$A$2:$AL799,$O557,36)</f>
        <v/>
      </c>
      <c r="L557" s="219" t="str">
        <f t="array" ref="L557">INDEX(postDEL!$A$2:$AL799,$O557,38)</f>
        <v/>
      </c>
      <c r="M557" s="219" t="str">
        <f t="array" ref="M557">INDEX(postDEL!$A$2:$AL799,$O557,15)</f>
        <v/>
      </c>
      <c r="N557" s="110">
        <f>COUNTIF(postDEL!$A$2:$A799,A557)</f>
        <v>1</v>
      </c>
      <c r="O557" s="19">
        <f>MATCH(A557,postDEL!A$2:A799,0)</f>
        <v>556</v>
      </c>
      <c r="P557" s="10" t="str">
        <f t="shared" si="1"/>
        <v/>
      </c>
      <c r="Q557" s="220">
        <f t="shared" si="2"/>
        <v>2</v>
      </c>
      <c r="R557" s="5"/>
    </row>
    <row r="558">
      <c r="A558" s="221" t="s">
        <v>1724</v>
      </c>
      <c r="B558" s="217">
        <f t="array" ref="B558">INDEX(postDEL!$A$2:$P799,$O558,2)</f>
        <v>44619</v>
      </c>
      <c r="C558" s="218">
        <f t="array" ref="C558">INDEX(postDEL!$A$2:$P799,$O558,3)</f>
        <v>0.3302430556</v>
      </c>
      <c r="D558" s="219" t="str">
        <f t="array" ref="D558">INDEX(postDEL!$A$2:$AN799,$O558,39)</f>
        <v>SpBEND824412</v>
      </c>
      <c r="E558" s="219" t="str">
        <f t="array" ref="E558">INDEX(postDEL!$A$2:$P799,$O558,4)</f>
        <v/>
      </c>
      <c r="F558" s="219" t="str">
        <f t="array" ref="F558">INDEX(postDEL!$A$2:$P799,$O558,5)</f>
        <v/>
      </c>
      <c r="G558" s="219" t="str">
        <f t="array" ref="G558">INDEX(postDEL!$A$2:$P799,$O558,11)</f>
        <v>Negative</v>
      </c>
      <c r="H558" s="219" t="str">
        <f t="array" ref="H558">INDEX(postDEL!$A$2:$AL799,$O558,37)</f>
        <v>Negative</v>
      </c>
      <c r="I558" s="217">
        <f t="array" ref="I558">INDEX(postDEL!$A$2:$AL799,$O558,12)</f>
        <v>44621</v>
      </c>
      <c r="J558" s="218">
        <f t="array" ref="J558">INDEX(postDEL!$A$2:$AL799,$O558,13)</f>
        <v>0.4783564815</v>
      </c>
      <c r="K558" s="219" t="str">
        <f t="array" ref="K558">INDEX(postDEL!$A$2:$AL799,$O558,36)</f>
        <v/>
      </c>
      <c r="L558" s="219" t="str">
        <f t="array" ref="L558">INDEX(postDEL!$A$2:$AL799,$O558,38)</f>
        <v/>
      </c>
      <c r="M558" s="219" t="str">
        <f t="array" ref="M558">INDEX(postDEL!$A$2:$AL799,$O558,15)</f>
        <v/>
      </c>
      <c r="N558" s="110">
        <f>COUNTIF(postDEL!$A$2:$A799,A558)</f>
        <v>1</v>
      </c>
      <c r="O558" s="19">
        <f>MATCH(A558,postDEL!A$2:A799,0)</f>
        <v>557</v>
      </c>
      <c r="P558" s="10" t="str">
        <f t="shared" si="1"/>
        <v/>
      </c>
      <c r="Q558" s="220">
        <f t="shared" si="2"/>
        <v>2</v>
      </c>
      <c r="R558" s="5"/>
    </row>
    <row r="559">
      <c r="A559" s="221" t="s">
        <v>1726</v>
      </c>
      <c r="B559" s="217">
        <f t="array" ref="B559">INDEX(postDEL!$A$2:$P799,$O559,2)</f>
        <v>44619</v>
      </c>
      <c r="C559" s="218">
        <f t="array" ref="C559">INDEX(postDEL!$A$2:$P799,$O559,3)</f>
        <v>0.3308449074</v>
      </c>
      <c r="D559" s="219" t="str">
        <f t="array" ref="D559">INDEX(postDEL!$A$2:$AN799,$O559,39)</f>
        <v>SpBEND634692</v>
      </c>
      <c r="E559" s="219" t="str">
        <f t="array" ref="E559">INDEX(postDEL!$A$2:$P799,$O559,4)</f>
        <v/>
      </c>
      <c r="F559" s="219" t="str">
        <f t="array" ref="F559">INDEX(postDEL!$A$2:$P799,$O559,5)</f>
        <v/>
      </c>
      <c r="G559" s="219" t="str">
        <f t="array" ref="G559">INDEX(postDEL!$A$2:$P799,$O559,11)</f>
        <v>Negative</v>
      </c>
      <c r="H559" s="219" t="str">
        <f t="array" ref="H559">INDEX(postDEL!$A$2:$AL799,$O559,37)</f>
        <v>Negative</v>
      </c>
      <c r="I559" s="217">
        <f t="array" ref="I559">INDEX(postDEL!$A$2:$AL799,$O559,12)</f>
        <v>44621</v>
      </c>
      <c r="J559" s="218">
        <f t="array" ref="J559">INDEX(postDEL!$A$2:$AL799,$O559,13)</f>
        <v>0.4783564815</v>
      </c>
      <c r="K559" s="219" t="str">
        <f t="array" ref="K559">INDEX(postDEL!$A$2:$AL799,$O559,36)</f>
        <v/>
      </c>
      <c r="L559" s="219" t="str">
        <f t="array" ref="L559">INDEX(postDEL!$A$2:$AL799,$O559,38)</f>
        <v/>
      </c>
      <c r="M559" s="219" t="str">
        <f t="array" ref="M559">INDEX(postDEL!$A$2:$AL799,$O559,15)</f>
        <v/>
      </c>
      <c r="N559" s="110">
        <f>COUNTIF(postDEL!$A$2:$A799,A559)</f>
        <v>1</v>
      </c>
      <c r="O559" s="19">
        <f>MATCH(A559,postDEL!A$2:A799,0)</f>
        <v>558</v>
      </c>
      <c r="P559" s="10" t="str">
        <f t="shared" si="1"/>
        <v/>
      </c>
      <c r="Q559" s="220">
        <f t="shared" si="2"/>
        <v>2</v>
      </c>
      <c r="R559" s="5"/>
    </row>
    <row r="560">
      <c r="A560" s="221" t="s">
        <v>1728</v>
      </c>
      <c r="B560" s="217">
        <f t="array" ref="B560">INDEX(postDEL!$A$2:$P799,$O560,2)</f>
        <v>44619</v>
      </c>
      <c r="C560" s="218">
        <f t="array" ref="C560">INDEX(postDEL!$A$2:$P799,$O560,3)</f>
        <v>0.3308564815</v>
      </c>
      <c r="D560" s="219" t="str">
        <f t="array" ref="D560">INDEX(postDEL!$A$2:$AN799,$O560,39)</f>
        <v>SpBEND967817</v>
      </c>
      <c r="E560" s="219" t="str">
        <f t="array" ref="E560">INDEX(postDEL!$A$2:$P799,$O560,4)</f>
        <v/>
      </c>
      <c r="F560" s="219" t="str">
        <f t="array" ref="F560">INDEX(postDEL!$A$2:$P799,$O560,5)</f>
        <v/>
      </c>
      <c r="G560" s="219" t="str">
        <f t="array" ref="G560">INDEX(postDEL!$A$2:$P799,$O560,11)</f>
        <v>Negative</v>
      </c>
      <c r="H560" s="219" t="str">
        <f t="array" ref="H560">INDEX(postDEL!$A$2:$AL799,$O560,37)</f>
        <v>Negative</v>
      </c>
      <c r="I560" s="217">
        <f t="array" ref="I560">INDEX(postDEL!$A$2:$AL799,$O560,12)</f>
        <v>44621</v>
      </c>
      <c r="J560" s="218">
        <f t="array" ref="J560">INDEX(postDEL!$A$2:$AL799,$O560,13)</f>
        <v>0.4783564815</v>
      </c>
      <c r="K560" s="219" t="str">
        <f t="array" ref="K560">INDEX(postDEL!$A$2:$AL799,$O560,36)</f>
        <v/>
      </c>
      <c r="L560" s="219" t="str">
        <f t="array" ref="L560">INDEX(postDEL!$A$2:$AL799,$O560,38)</f>
        <v/>
      </c>
      <c r="M560" s="219" t="str">
        <f t="array" ref="M560">INDEX(postDEL!$A$2:$AL799,$O560,15)</f>
        <v/>
      </c>
      <c r="N560" s="110">
        <f>COUNTIF(postDEL!$A$2:$A799,A560)</f>
        <v>1</v>
      </c>
      <c r="O560" s="19">
        <f>MATCH(A560,postDEL!A$2:A799,0)</f>
        <v>559</v>
      </c>
      <c r="P560" s="10" t="str">
        <f t="shared" si="1"/>
        <v/>
      </c>
      <c r="Q560" s="220">
        <f t="shared" si="2"/>
        <v>2</v>
      </c>
      <c r="R560" s="5"/>
    </row>
    <row r="561">
      <c r="A561" s="221" t="s">
        <v>1730</v>
      </c>
      <c r="B561" s="217">
        <f t="array" ref="B561">INDEX(postDEL!$A$2:$P799,$O561,2)</f>
        <v>44619</v>
      </c>
      <c r="C561" s="218">
        <f t="array" ref="C561">INDEX(postDEL!$A$2:$P799,$O561,3)</f>
        <v>0.3393055556</v>
      </c>
      <c r="D561" s="219" t="str">
        <f t="array" ref="D561">INDEX(postDEL!$A$2:$AN799,$O561,39)</f>
        <v>SpBEND302553</v>
      </c>
      <c r="E561" s="219" t="str">
        <f t="array" ref="E561">INDEX(postDEL!$A$2:$P799,$O561,4)</f>
        <v/>
      </c>
      <c r="F561" s="219" t="str">
        <f t="array" ref="F561">INDEX(postDEL!$A$2:$P799,$O561,5)</f>
        <v/>
      </c>
      <c r="G561" s="219" t="str">
        <f t="array" ref="G561">INDEX(postDEL!$A$2:$P799,$O561,11)</f>
        <v>Negative</v>
      </c>
      <c r="H561" s="219" t="str">
        <f t="array" ref="H561">INDEX(postDEL!$A$2:$AL799,$O561,37)</f>
        <v>Negative</v>
      </c>
      <c r="I561" s="217">
        <f t="array" ref="I561">INDEX(postDEL!$A$2:$AL799,$O561,12)</f>
        <v>44621</v>
      </c>
      <c r="J561" s="218">
        <f t="array" ref="J561">INDEX(postDEL!$A$2:$AL799,$O561,13)</f>
        <v>0.4783564815</v>
      </c>
      <c r="K561" s="219" t="str">
        <f t="array" ref="K561">INDEX(postDEL!$A$2:$AL799,$O561,36)</f>
        <v/>
      </c>
      <c r="L561" s="219" t="str">
        <f t="array" ref="L561">INDEX(postDEL!$A$2:$AL799,$O561,38)</f>
        <v/>
      </c>
      <c r="M561" s="219" t="str">
        <f t="array" ref="M561">INDEX(postDEL!$A$2:$AL799,$O561,15)</f>
        <v/>
      </c>
      <c r="N561" s="110">
        <f>COUNTIF(postDEL!$A$2:$A799,A561)</f>
        <v>1</v>
      </c>
      <c r="O561" s="19">
        <f>MATCH(A561,postDEL!A$2:A799,0)</f>
        <v>560</v>
      </c>
      <c r="P561" s="10" t="str">
        <f t="shared" si="1"/>
        <v/>
      </c>
      <c r="Q561" s="220">
        <f t="shared" si="2"/>
        <v>2</v>
      </c>
      <c r="R561" s="5"/>
    </row>
    <row r="562">
      <c r="A562" s="221" t="s">
        <v>1732</v>
      </c>
      <c r="B562" s="217">
        <f t="array" ref="B562">INDEX(postDEL!$A$2:$P799,$O562,2)</f>
        <v>44619</v>
      </c>
      <c r="C562" s="218">
        <f t="array" ref="C562">INDEX(postDEL!$A$2:$P799,$O562,3)</f>
        <v>0.3544444444</v>
      </c>
      <c r="D562" s="219" t="str">
        <f t="array" ref="D562">INDEX(postDEL!$A$2:$AN799,$O562,39)</f>
        <v>SpBEND183210</v>
      </c>
      <c r="E562" s="219" t="str">
        <f t="array" ref="E562">INDEX(postDEL!$A$2:$P799,$O562,4)</f>
        <v/>
      </c>
      <c r="F562" s="219" t="str">
        <f t="array" ref="F562">INDEX(postDEL!$A$2:$P799,$O562,5)</f>
        <v/>
      </c>
      <c r="G562" s="219" t="str">
        <f t="array" ref="G562">INDEX(postDEL!$A$2:$P799,$O562,11)</f>
        <v>Positive</v>
      </c>
      <c r="H562" s="219" t="str">
        <f t="array" ref="H562">INDEX(postDEL!$A$2:$AL799,$O562,37)</f>
        <v>Positive</v>
      </c>
      <c r="I562" s="217">
        <f t="array" ref="I562">INDEX(postDEL!$A$2:$AL799,$O562,12)</f>
        <v>44627</v>
      </c>
      <c r="J562" s="218">
        <f t="array" ref="J562">INDEX(postDEL!$A$2:$AL799,$O562,13)</f>
        <v>0.4778935185</v>
      </c>
      <c r="K562" s="219" t="str">
        <f t="array" ref="K562">INDEX(postDEL!$A$2:$AL799,$O562,36)</f>
        <v/>
      </c>
      <c r="L562" s="219" t="str">
        <f t="array" ref="L562">INDEX(postDEL!$A$2:$AL799,$O562,38)</f>
        <v/>
      </c>
      <c r="M562" s="219" t="str">
        <f t="array" ref="M562">INDEX(postDEL!$A$2:$AL799,$O562,15)</f>
        <v/>
      </c>
      <c r="N562" s="110">
        <f>COUNTIF(postDEL!$A$2:$A799,A562)</f>
        <v>1</v>
      </c>
      <c r="O562" s="19">
        <f>MATCH(A562,postDEL!A$2:A799,0)</f>
        <v>561</v>
      </c>
      <c r="P562" s="10" t="str">
        <f t="shared" si="1"/>
        <v/>
      </c>
      <c r="Q562" s="220">
        <f t="shared" si="2"/>
        <v>8</v>
      </c>
      <c r="R562" s="5"/>
    </row>
    <row r="563">
      <c r="A563" s="221" t="s">
        <v>1734</v>
      </c>
      <c r="B563" s="217">
        <f t="array" ref="B563">INDEX(postDEL!$A$2:$P799,$O563,2)</f>
        <v>44619</v>
      </c>
      <c r="C563" s="218">
        <f t="array" ref="C563">INDEX(postDEL!$A$2:$P799,$O563,3)</f>
        <v>0.3557523148</v>
      </c>
      <c r="D563" s="219" t="str">
        <f t="array" ref="D563">INDEX(postDEL!$A$2:$AN799,$O563,39)</f>
        <v>SpBEND279112</v>
      </c>
      <c r="E563" s="219" t="str">
        <f t="array" ref="E563">INDEX(postDEL!$A$2:$P799,$O563,4)</f>
        <v/>
      </c>
      <c r="F563" s="219" t="str">
        <f t="array" ref="F563">INDEX(postDEL!$A$2:$P799,$O563,5)</f>
        <v/>
      </c>
      <c r="G563" s="219" t="str">
        <f t="array" ref="G563">INDEX(postDEL!$A$2:$P799,$O563,11)</f>
        <v>Negative</v>
      </c>
      <c r="H563" s="219" t="str">
        <f t="array" ref="H563">INDEX(postDEL!$A$2:$AL799,$O563,37)</f>
        <v>Negative</v>
      </c>
      <c r="I563" s="217">
        <f t="array" ref="I563">INDEX(postDEL!$A$2:$AL799,$O563,12)</f>
        <v>44621</v>
      </c>
      <c r="J563" s="218">
        <f t="array" ref="J563">INDEX(postDEL!$A$2:$AL799,$O563,13)</f>
        <v>0.4783564815</v>
      </c>
      <c r="K563" s="219" t="str">
        <f t="array" ref="K563">INDEX(postDEL!$A$2:$AL799,$O563,36)</f>
        <v/>
      </c>
      <c r="L563" s="219" t="str">
        <f t="array" ref="L563">INDEX(postDEL!$A$2:$AL799,$O563,38)</f>
        <v/>
      </c>
      <c r="M563" s="219" t="str">
        <f t="array" ref="M563">INDEX(postDEL!$A$2:$AL799,$O563,15)</f>
        <v/>
      </c>
      <c r="N563" s="110">
        <f>COUNTIF(postDEL!$A$2:$A799,A563)</f>
        <v>1</v>
      </c>
      <c r="O563" s="19">
        <f>MATCH(A563,postDEL!A$2:A799,0)</f>
        <v>562</v>
      </c>
      <c r="P563" s="10" t="str">
        <f t="shared" si="1"/>
        <v/>
      </c>
      <c r="Q563" s="220">
        <f t="shared" si="2"/>
        <v>2</v>
      </c>
      <c r="R563" s="5"/>
    </row>
    <row r="564">
      <c r="A564" s="221" t="s">
        <v>1736</v>
      </c>
      <c r="B564" s="217">
        <f t="array" ref="B564">INDEX(postDEL!$A$2:$P799,$O564,2)</f>
        <v>44619</v>
      </c>
      <c r="C564" s="218">
        <f t="array" ref="C564">INDEX(postDEL!$A$2:$P799,$O564,3)</f>
        <v>0.3563773148</v>
      </c>
      <c r="D564" s="219" t="str">
        <f t="array" ref="D564">INDEX(postDEL!$A$2:$AN799,$O564,39)</f>
        <v>SpBEND490402</v>
      </c>
      <c r="E564" s="219" t="str">
        <f t="array" ref="E564">INDEX(postDEL!$A$2:$P799,$O564,4)</f>
        <v/>
      </c>
      <c r="F564" s="219" t="str">
        <f t="array" ref="F564">INDEX(postDEL!$A$2:$P799,$O564,5)</f>
        <v/>
      </c>
      <c r="G564" s="219" t="str">
        <f t="array" ref="G564">INDEX(postDEL!$A$2:$P799,$O564,11)</f>
        <v>Negative</v>
      </c>
      <c r="H564" s="219" t="str">
        <f t="array" ref="H564">INDEX(postDEL!$A$2:$AL799,$O564,37)</f>
        <v>Negative</v>
      </c>
      <c r="I564" s="217">
        <f t="array" ref="I564">INDEX(postDEL!$A$2:$AL799,$O564,12)</f>
        <v>44621</v>
      </c>
      <c r="J564" s="218">
        <f t="array" ref="J564">INDEX(postDEL!$A$2:$AL799,$O564,13)</f>
        <v>0.4783564815</v>
      </c>
      <c r="K564" s="219" t="str">
        <f t="array" ref="K564">INDEX(postDEL!$A$2:$AL799,$O564,36)</f>
        <v/>
      </c>
      <c r="L564" s="219" t="str">
        <f t="array" ref="L564">INDEX(postDEL!$A$2:$AL799,$O564,38)</f>
        <v/>
      </c>
      <c r="M564" s="219" t="str">
        <f t="array" ref="M564">INDEX(postDEL!$A$2:$AL799,$O564,15)</f>
        <v/>
      </c>
      <c r="N564" s="110">
        <f>COUNTIF(postDEL!$A$2:$A799,A564)</f>
        <v>1</v>
      </c>
      <c r="O564" s="19">
        <f>MATCH(A564,postDEL!A$2:A799,0)</f>
        <v>563</v>
      </c>
      <c r="P564" s="10" t="str">
        <f t="shared" si="1"/>
        <v/>
      </c>
      <c r="Q564" s="220">
        <f t="shared" si="2"/>
        <v>2</v>
      </c>
      <c r="R564" s="5"/>
    </row>
    <row r="565">
      <c r="A565" s="221" t="s">
        <v>1738</v>
      </c>
      <c r="B565" s="217">
        <f t="array" ref="B565">INDEX(postDEL!$A$2:$P799,$O565,2)</f>
        <v>44619</v>
      </c>
      <c r="C565" s="218">
        <f t="array" ref="C565">INDEX(postDEL!$A$2:$P799,$O565,3)</f>
        <v>0.3628587963</v>
      </c>
      <c r="D565" s="219" t="str">
        <f t="array" ref="D565">INDEX(postDEL!$A$2:$AN799,$O565,39)</f>
        <v>SpBEND394154</v>
      </c>
      <c r="E565" s="219" t="str">
        <f t="array" ref="E565">INDEX(postDEL!$A$2:$P799,$O565,4)</f>
        <v/>
      </c>
      <c r="F565" s="219" t="str">
        <f t="array" ref="F565">INDEX(postDEL!$A$2:$P799,$O565,5)</f>
        <v/>
      </c>
      <c r="G565" s="219" t="str">
        <f t="array" ref="G565">INDEX(postDEL!$A$2:$P799,$O565,11)</f>
        <v>Negative</v>
      </c>
      <c r="H565" s="219" t="str">
        <f t="array" ref="H565">INDEX(postDEL!$A$2:$AL799,$O565,37)</f>
        <v>Negative</v>
      </c>
      <c r="I565" s="217">
        <f t="array" ref="I565">INDEX(postDEL!$A$2:$AL799,$O565,12)</f>
        <v>44621</v>
      </c>
      <c r="J565" s="218">
        <f t="array" ref="J565">INDEX(postDEL!$A$2:$AL799,$O565,13)</f>
        <v>0.4783564815</v>
      </c>
      <c r="K565" s="219" t="str">
        <f t="array" ref="K565">INDEX(postDEL!$A$2:$AL799,$O565,36)</f>
        <v/>
      </c>
      <c r="L565" s="219" t="str">
        <f t="array" ref="L565">INDEX(postDEL!$A$2:$AL799,$O565,38)</f>
        <v/>
      </c>
      <c r="M565" s="219" t="str">
        <f t="array" ref="M565">INDEX(postDEL!$A$2:$AL799,$O565,15)</f>
        <v/>
      </c>
      <c r="N565" s="110">
        <f>COUNTIF(postDEL!$A$2:$A799,A565)</f>
        <v>1</v>
      </c>
      <c r="O565" s="19">
        <f>MATCH(A565,postDEL!A$2:A799,0)</f>
        <v>564</v>
      </c>
      <c r="P565" s="10" t="str">
        <f t="shared" si="1"/>
        <v/>
      </c>
      <c r="Q565" s="220">
        <f t="shared" si="2"/>
        <v>2</v>
      </c>
      <c r="R565" s="5"/>
    </row>
    <row r="566">
      <c r="A566" s="221" t="s">
        <v>1740</v>
      </c>
      <c r="B566" s="217">
        <f t="array" ref="B566">INDEX(postDEL!$A$2:$P799,$O566,2)</f>
        <v>44619</v>
      </c>
      <c r="C566" s="218">
        <f t="array" ref="C566">INDEX(postDEL!$A$2:$P799,$O566,3)</f>
        <v>0.3654513889</v>
      </c>
      <c r="D566" s="219" t="str">
        <f t="array" ref="D566">INDEX(postDEL!$A$2:$AN799,$O566,39)</f>
        <v>SpBEND899578</v>
      </c>
      <c r="E566" s="219" t="str">
        <f t="array" ref="E566">INDEX(postDEL!$A$2:$P799,$O566,4)</f>
        <v/>
      </c>
      <c r="F566" s="219" t="str">
        <f t="array" ref="F566">INDEX(postDEL!$A$2:$P799,$O566,5)</f>
        <v/>
      </c>
      <c r="G566" s="219" t="str">
        <f t="array" ref="G566">INDEX(postDEL!$A$2:$P799,$O566,11)</f>
        <v>Negative</v>
      </c>
      <c r="H566" s="219" t="str">
        <f t="array" ref="H566">INDEX(postDEL!$A$2:$AL799,$O566,37)</f>
        <v>Negative</v>
      </c>
      <c r="I566" s="217">
        <f t="array" ref="I566">INDEX(postDEL!$A$2:$AL799,$O566,12)</f>
        <v>44621</v>
      </c>
      <c r="J566" s="218">
        <f t="array" ref="J566">INDEX(postDEL!$A$2:$AL799,$O566,13)</f>
        <v>0.4783564815</v>
      </c>
      <c r="K566" s="219" t="str">
        <f t="array" ref="K566">INDEX(postDEL!$A$2:$AL799,$O566,36)</f>
        <v/>
      </c>
      <c r="L566" s="219" t="str">
        <f t="array" ref="L566">INDEX(postDEL!$A$2:$AL799,$O566,38)</f>
        <v/>
      </c>
      <c r="M566" s="219" t="str">
        <f t="array" ref="M566">INDEX(postDEL!$A$2:$AL799,$O566,15)</f>
        <v/>
      </c>
      <c r="N566" s="110">
        <f>COUNTIF(postDEL!$A$2:$A799,A566)</f>
        <v>1</v>
      </c>
      <c r="O566" s="19">
        <f>MATCH(A566,postDEL!A$2:A799,0)</f>
        <v>565</v>
      </c>
      <c r="P566" s="10" t="str">
        <f t="shared" si="1"/>
        <v/>
      </c>
      <c r="Q566" s="220">
        <f t="shared" si="2"/>
        <v>2</v>
      </c>
      <c r="R566" s="5"/>
    </row>
    <row r="567">
      <c r="A567" s="221" t="s">
        <v>1742</v>
      </c>
      <c r="B567" s="217">
        <f t="array" ref="B567">INDEX(postDEL!$A$2:$P799,$O567,2)</f>
        <v>44619</v>
      </c>
      <c r="C567" s="218">
        <f t="array" ref="C567">INDEX(postDEL!$A$2:$P799,$O567,3)</f>
        <v>0.470775463</v>
      </c>
      <c r="D567" s="219" t="str">
        <f t="array" ref="D567">INDEX(postDEL!$A$2:$AN799,$O567,39)</f>
        <v>SpBEND904348</v>
      </c>
      <c r="E567" s="219" t="str">
        <f t="array" ref="E567">INDEX(postDEL!$A$2:$P799,$O567,4)</f>
        <v/>
      </c>
      <c r="F567" s="219" t="str">
        <f t="array" ref="F567">INDEX(postDEL!$A$2:$P799,$O567,5)</f>
        <v/>
      </c>
      <c r="G567" s="219" t="str">
        <f t="array" ref="G567">INDEX(postDEL!$A$2:$P799,$O567,11)</f>
        <v>Positive</v>
      </c>
      <c r="H567" s="219" t="str">
        <f t="array" ref="H567">INDEX(postDEL!$A$2:$AL799,$O567,37)</f>
        <v>Positive</v>
      </c>
      <c r="I567" s="217">
        <f t="array" ref="I567">INDEX(postDEL!$A$2:$AL799,$O567,12)</f>
        <v>44627</v>
      </c>
      <c r="J567" s="218">
        <f t="array" ref="J567">INDEX(postDEL!$A$2:$AL799,$O567,13)</f>
        <v>0.4778935185</v>
      </c>
      <c r="K567" s="219" t="str">
        <f t="array" ref="K567">INDEX(postDEL!$A$2:$AL799,$O567,36)</f>
        <v/>
      </c>
      <c r="L567" s="219" t="str">
        <f t="array" ref="L567">INDEX(postDEL!$A$2:$AL799,$O567,38)</f>
        <v/>
      </c>
      <c r="M567" s="219" t="str">
        <f t="array" ref="M567">INDEX(postDEL!$A$2:$AL799,$O567,15)</f>
        <v/>
      </c>
      <c r="N567" s="110">
        <f>COUNTIF(postDEL!$A$2:$A799,A567)</f>
        <v>1</v>
      </c>
      <c r="O567" s="19">
        <f>MATCH(A567,postDEL!A$2:A799,0)</f>
        <v>566</v>
      </c>
      <c r="P567" s="10" t="str">
        <f t="shared" si="1"/>
        <v/>
      </c>
      <c r="Q567" s="220">
        <f t="shared" si="2"/>
        <v>8</v>
      </c>
      <c r="R567" s="5"/>
    </row>
    <row r="568">
      <c r="A568" s="221" t="s">
        <v>1745</v>
      </c>
      <c r="B568" s="217">
        <f t="array" ref="B568">INDEX(postDEL!$A$2:$P799,$O568,2)</f>
        <v>44619</v>
      </c>
      <c r="C568" s="218">
        <f t="array" ref="C568">INDEX(postDEL!$A$2:$P799,$O568,3)</f>
        <v>0.4712847222</v>
      </c>
      <c r="D568" s="219" t="str">
        <f t="array" ref="D568">INDEX(postDEL!$A$2:$AN799,$O568,39)</f>
        <v>SpBEND904348</v>
      </c>
      <c r="E568" s="219" t="str">
        <f t="array" ref="E568">INDEX(postDEL!$A$2:$P799,$O568,4)</f>
        <v/>
      </c>
      <c r="F568" s="219" t="str">
        <f t="array" ref="F568">INDEX(postDEL!$A$2:$P799,$O568,5)</f>
        <v/>
      </c>
      <c r="G568" s="219" t="str">
        <f t="array" ref="G568">INDEX(postDEL!$A$2:$P799,$O568,11)</f>
        <v>Negative</v>
      </c>
      <c r="H568" s="219" t="str">
        <f t="array" ref="H568">INDEX(postDEL!$A$2:$AL799,$O568,37)</f>
        <v>Negative</v>
      </c>
      <c r="I568" s="217">
        <f t="array" ref="I568">INDEX(postDEL!$A$2:$AL799,$O568,12)</f>
        <v>44621</v>
      </c>
      <c r="J568" s="218">
        <f t="array" ref="J568">INDEX(postDEL!$A$2:$AL799,$O568,13)</f>
        <v>0.4783564815</v>
      </c>
      <c r="K568" s="219" t="str">
        <f t="array" ref="K568">INDEX(postDEL!$A$2:$AL799,$O568,36)</f>
        <v/>
      </c>
      <c r="L568" s="219" t="str">
        <f t="array" ref="L568">INDEX(postDEL!$A$2:$AL799,$O568,38)</f>
        <v/>
      </c>
      <c r="M568" s="219" t="str">
        <f t="array" ref="M568">INDEX(postDEL!$A$2:$AL799,$O568,15)</f>
        <v/>
      </c>
      <c r="N568" s="110">
        <f>COUNTIF(postDEL!$A$2:$A799,A568)</f>
        <v>1</v>
      </c>
      <c r="O568" s="19">
        <f>MATCH(A568,postDEL!A$2:A799,0)</f>
        <v>567</v>
      </c>
      <c r="P568" s="10" t="str">
        <f t="shared" si="1"/>
        <v/>
      </c>
      <c r="Q568" s="220">
        <f t="shared" si="2"/>
        <v>2</v>
      </c>
      <c r="R568" s="5"/>
    </row>
    <row r="569">
      <c r="A569" s="221" t="s">
        <v>1748</v>
      </c>
      <c r="B569" s="217">
        <f t="array" ref="B569">INDEX(postDEL!$A$2:$P799,$O569,2)</f>
        <v>44619</v>
      </c>
      <c r="C569" s="218">
        <f t="array" ref="C569">INDEX(postDEL!$A$2:$P799,$O569,3)</f>
        <v>0.4717476852</v>
      </c>
      <c r="D569" s="219" t="str">
        <f t="array" ref="D569">INDEX(postDEL!$A$2:$AN799,$O569,39)</f>
        <v>SpBEND904348</v>
      </c>
      <c r="E569" s="219" t="str">
        <f t="array" ref="E569">INDEX(postDEL!$A$2:$P799,$O569,4)</f>
        <v/>
      </c>
      <c r="F569" s="219" t="str">
        <f t="array" ref="F569">INDEX(postDEL!$A$2:$P799,$O569,5)</f>
        <v/>
      </c>
      <c r="G569" s="219" t="str">
        <f t="array" ref="G569">INDEX(postDEL!$A$2:$P799,$O569,11)</f>
        <v>Negative</v>
      </c>
      <c r="H569" s="219" t="str">
        <f t="array" ref="H569">INDEX(postDEL!$A$2:$AL799,$O569,37)</f>
        <v>Negative</v>
      </c>
      <c r="I569" s="217">
        <f t="array" ref="I569">INDEX(postDEL!$A$2:$AL799,$O569,12)</f>
        <v>44621</v>
      </c>
      <c r="J569" s="218">
        <f t="array" ref="J569">INDEX(postDEL!$A$2:$AL799,$O569,13)</f>
        <v>0.4783680556</v>
      </c>
      <c r="K569" s="219" t="str">
        <f t="array" ref="K569">INDEX(postDEL!$A$2:$AL799,$O569,36)</f>
        <v/>
      </c>
      <c r="L569" s="219" t="str">
        <f t="array" ref="L569">INDEX(postDEL!$A$2:$AL799,$O569,38)</f>
        <v/>
      </c>
      <c r="M569" s="219" t="str">
        <f t="array" ref="M569">INDEX(postDEL!$A$2:$AL799,$O569,15)</f>
        <v/>
      </c>
      <c r="N569" s="110">
        <f>COUNTIF(postDEL!$A$2:$A799,A569)</f>
        <v>1</v>
      </c>
      <c r="O569" s="19">
        <f>MATCH(A569,postDEL!A$2:A799,0)</f>
        <v>568</v>
      </c>
      <c r="P569" s="10" t="str">
        <f t="shared" si="1"/>
        <v/>
      </c>
      <c r="Q569" s="220">
        <f t="shared" si="2"/>
        <v>2</v>
      </c>
      <c r="R569" s="5"/>
    </row>
    <row r="570">
      <c r="A570" s="221" t="s">
        <v>1751</v>
      </c>
      <c r="B570" s="217">
        <f t="array" ref="B570">INDEX(postDEL!$A$2:$P799,$O570,2)</f>
        <v>44619</v>
      </c>
      <c r="C570" s="218">
        <f t="array" ref="C570">INDEX(postDEL!$A$2:$P799,$O570,3)</f>
        <v>0.4722569444</v>
      </c>
      <c r="D570" s="219" t="str">
        <f t="array" ref="D570">INDEX(postDEL!$A$2:$AN799,$O570,39)</f>
        <v>SpBEND904348</v>
      </c>
      <c r="E570" s="219" t="str">
        <f t="array" ref="E570">INDEX(postDEL!$A$2:$P799,$O570,4)</f>
        <v/>
      </c>
      <c r="F570" s="219" t="str">
        <f t="array" ref="F570">INDEX(postDEL!$A$2:$P799,$O570,5)</f>
        <v/>
      </c>
      <c r="G570" s="219" t="str">
        <f t="array" ref="G570">INDEX(postDEL!$A$2:$P799,$O570,11)</f>
        <v>Negative</v>
      </c>
      <c r="H570" s="219" t="str">
        <f t="array" ref="H570">INDEX(postDEL!$A$2:$AL799,$O570,37)</f>
        <v>Negative</v>
      </c>
      <c r="I570" s="217">
        <f t="array" ref="I570">INDEX(postDEL!$A$2:$AL799,$O570,12)</f>
        <v>44621</v>
      </c>
      <c r="J570" s="218">
        <f t="array" ref="J570">INDEX(postDEL!$A$2:$AL799,$O570,13)</f>
        <v>0.4783680556</v>
      </c>
      <c r="K570" s="219" t="str">
        <f t="array" ref="K570">INDEX(postDEL!$A$2:$AL799,$O570,36)</f>
        <v/>
      </c>
      <c r="L570" s="219" t="str">
        <f t="array" ref="L570">INDEX(postDEL!$A$2:$AL799,$O570,38)</f>
        <v/>
      </c>
      <c r="M570" s="219" t="str">
        <f t="array" ref="M570">INDEX(postDEL!$A$2:$AL799,$O570,15)</f>
        <v/>
      </c>
      <c r="N570" s="110">
        <f>COUNTIF(postDEL!$A$2:$A799,A570)</f>
        <v>1</v>
      </c>
      <c r="O570" s="19">
        <f>MATCH(A570,postDEL!A$2:A799,0)</f>
        <v>569</v>
      </c>
      <c r="P570" s="10" t="str">
        <f t="shared" si="1"/>
        <v/>
      </c>
      <c r="Q570" s="220">
        <f t="shared" si="2"/>
        <v>2</v>
      </c>
      <c r="R570" s="5"/>
    </row>
    <row r="571">
      <c r="A571" s="221" t="s">
        <v>1754</v>
      </c>
      <c r="B571" s="217">
        <f t="array" ref="B571">INDEX(postDEL!$A$2:$P799,$O571,2)</f>
        <v>44619</v>
      </c>
      <c r="C571" s="218">
        <f t="array" ref="C571">INDEX(postDEL!$A$2:$P799,$O571,3)</f>
        <v>0.4726041667</v>
      </c>
      <c r="D571" s="219" t="str">
        <f t="array" ref="D571">INDEX(postDEL!$A$2:$AN799,$O571,39)</f>
        <v>SpBEND904348</v>
      </c>
      <c r="E571" s="219" t="str">
        <f t="array" ref="E571">INDEX(postDEL!$A$2:$P799,$O571,4)</f>
        <v/>
      </c>
      <c r="F571" s="219" t="str">
        <f t="array" ref="F571">INDEX(postDEL!$A$2:$P799,$O571,5)</f>
        <v/>
      </c>
      <c r="G571" s="219" t="str">
        <f t="array" ref="G571">INDEX(postDEL!$A$2:$P799,$O571,11)</f>
        <v>Negative</v>
      </c>
      <c r="H571" s="219" t="str">
        <f t="array" ref="H571">INDEX(postDEL!$A$2:$AL799,$O571,37)</f>
        <v>Negative</v>
      </c>
      <c r="I571" s="217">
        <f t="array" ref="I571">INDEX(postDEL!$A$2:$AL799,$O571,12)</f>
        <v>44621</v>
      </c>
      <c r="J571" s="218">
        <f t="array" ref="J571">INDEX(postDEL!$A$2:$AL799,$O571,13)</f>
        <v>0.4783680556</v>
      </c>
      <c r="K571" s="219" t="str">
        <f t="array" ref="K571">INDEX(postDEL!$A$2:$AL799,$O571,36)</f>
        <v/>
      </c>
      <c r="L571" s="219" t="str">
        <f t="array" ref="L571">INDEX(postDEL!$A$2:$AL799,$O571,38)</f>
        <v/>
      </c>
      <c r="M571" s="219" t="str">
        <f t="array" ref="M571">INDEX(postDEL!$A$2:$AL799,$O571,15)</f>
        <v/>
      </c>
      <c r="N571" s="110">
        <f>COUNTIF(postDEL!$A$2:$A799,A571)</f>
        <v>1</v>
      </c>
      <c r="O571" s="19">
        <f>MATCH(A571,postDEL!A$2:A799,0)</f>
        <v>570</v>
      </c>
      <c r="P571" s="10" t="str">
        <f t="shared" si="1"/>
        <v/>
      </c>
      <c r="Q571" s="220">
        <f t="shared" si="2"/>
        <v>2</v>
      </c>
      <c r="R571" s="5"/>
    </row>
    <row r="572">
      <c r="A572" s="221" t="s">
        <v>1756</v>
      </c>
      <c r="B572" s="217">
        <f t="array" ref="B572">INDEX(postDEL!$A$2:$P799,$O572,2)</f>
        <v>44619</v>
      </c>
      <c r="C572" s="218">
        <f t="array" ref="C572">INDEX(postDEL!$A$2:$P799,$O572,3)</f>
        <v>0.5150231481</v>
      </c>
      <c r="D572" s="219" t="str">
        <f t="array" ref="D572">INDEX(postDEL!$A$2:$AN799,$O572,39)</f>
        <v>SpBEND151586</v>
      </c>
      <c r="E572" s="219" t="str">
        <f t="array" ref="E572">INDEX(postDEL!$A$2:$P799,$O572,4)</f>
        <v/>
      </c>
      <c r="F572" s="219" t="str">
        <f t="array" ref="F572">INDEX(postDEL!$A$2:$P799,$O572,5)</f>
        <v/>
      </c>
      <c r="G572" s="219" t="str">
        <f t="array" ref="G572">INDEX(postDEL!$A$2:$P799,$O572,11)</f>
        <v>Negative</v>
      </c>
      <c r="H572" s="219" t="str">
        <f t="array" ref="H572">INDEX(postDEL!$A$2:$AL799,$O572,37)</f>
        <v>Negative</v>
      </c>
      <c r="I572" s="217">
        <f t="array" ref="I572">INDEX(postDEL!$A$2:$AL799,$O572,12)</f>
        <v>44621</v>
      </c>
      <c r="J572" s="218">
        <f t="array" ref="J572">INDEX(postDEL!$A$2:$AL799,$O572,13)</f>
        <v>0.4783680556</v>
      </c>
      <c r="K572" s="219" t="str">
        <f t="array" ref="K572">INDEX(postDEL!$A$2:$AL799,$O572,36)</f>
        <v/>
      </c>
      <c r="L572" s="219" t="str">
        <f t="array" ref="L572">INDEX(postDEL!$A$2:$AL799,$O572,38)</f>
        <v/>
      </c>
      <c r="M572" s="219" t="str">
        <f t="array" ref="M572">INDEX(postDEL!$A$2:$AL799,$O572,15)</f>
        <v/>
      </c>
      <c r="N572" s="110">
        <f>COUNTIF(postDEL!$A$2:$A799,A572)</f>
        <v>1</v>
      </c>
      <c r="O572" s="19">
        <f>MATCH(A572,postDEL!A$2:A799,0)</f>
        <v>571</v>
      </c>
      <c r="P572" s="10" t="str">
        <f t="shared" si="1"/>
        <v/>
      </c>
      <c r="Q572" s="220">
        <f t="shared" si="2"/>
        <v>2</v>
      </c>
      <c r="R572" s="5"/>
    </row>
    <row r="573">
      <c r="A573" s="221" t="s">
        <v>1760</v>
      </c>
      <c r="B573" s="217">
        <f t="array" ref="B573">INDEX(postDEL!$A$2:$P799,$O573,2)</f>
        <v>44619</v>
      </c>
      <c r="C573" s="218">
        <f t="array" ref="C573">INDEX(postDEL!$A$2:$P799,$O573,3)</f>
        <v>0.5154282407</v>
      </c>
      <c r="D573" s="219" t="str">
        <f t="array" ref="D573">INDEX(postDEL!$A$2:$AN799,$O573,39)</f>
        <v>SpBEND151586</v>
      </c>
      <c r="E573" s="219" t="str">
        <f t="array" ref="E573">INDEX(postDEL!$A$2:$P799,$O573,4)</f>
        <v/>
      </c>
      <c r="F573" s="219" t="str">
        <f t="array" ref="F573">INDEX(postDEL!$A$2:$P799,$O573,5)</f>
        <v/>
      </c>
      <c r="G573" s="219" t="str">
        <f t="array" ref="G573">INDEX(postDEL!$A$2:$P799,$O573,11)</f>
        <v>Negative</v>
      </c>
      <c r="H573" s="219" t="str">
        <f t="array" ref="H573">INDEX(postDEL!$A$2:$AL799,$O573,37)</f>
        <v>Negative</v>
      </c>
      <c r="I573" s="217">
        <f t="array" ref="I573">INDEX(postDEL!$A$2:$AL799,$O573,12)</f>
        <v>44621</v>
      </c>
      <c r="J573" s="218">
        <f t="array" ref="J573">INDEX(postDEL!$A$2:$AL799,$O573,13)</f>
        <v>0.4783680556</v>
      </c>
      <c r="K573" s="219" t="str">
        <f t="array" ref="K573">INDEX(postDEL!$A$2:$AL799,$O573,36)</f>
        <v/>
      </c>
      <c r="L573" s="219" t="str">
        <f t="array" ref="L573">INDEX(postDEL!$A$2:$AL799,$O573,38)</f>
        <v/>
      </c>
      <c r="M573" s="219" t="str">
        <f t="array" ref="M573">INDEX(postDEL!$A$2:$AL799,$O573,15)</f>
        <v/>
      </c>
      <c r="N573" s="110">
        <f>COUNTIF(postDEL!$A$2:$A799,A573)</f>
        <v>1</v>
      </c>
      <c r="O573" s="19">
        <f>MATCH(A573,postDEL!A$2:A799,0)</f>
        <v>572</v>
      </c>
      <c r="P573" s="10" t="str">
        <f t="shared" si="1"/>
        <v/>
      </c>
      <c r="Q573" s="220">
        <f t="shared" si="2"/>
        <v>2</v>
      </c>
      <c r="R573" s="5"/>
    </row>
    <row r="574">
      <c r="A574" s="221" t="s">
        <v>1763</v>
      </c>
      <c r="B574" s="217">
        <f t="array" ref="B574">INDEX(postDEL!$A$2:$P799,$O574,2)</f>
        <v>44621</v>
      </c>
      <c r="C574" s="218">
        <f t="array" ref="C574">INDEX(postDEL!$A$2:$P799,$O574,3)</f>
        <v>0.2698611111</v>
      </c>
      <c r="D574" s="219" t="str">
        <f t="array" ref="D574">INDEX(postDEL!$A$2:$AN799,$O574,39)</f>
        <v>SpBEND413838</v>
      </c>
      <c r="E574" s="219" t="str">
        <f t="array" ref="E574">INDEX(postDEL!$A$2:$P799,$O574,4)</f>
        <v/>
      </c>
      <c r="F574" s="219" t="str">
        <f t="array" ref="F574">INDEX(postDEL!$A$2:$P799,$O574,5)</f>
        <v/>
      </c>
      <c r="G574" s="219" t="str">
        <f t="array" ref="G574">INDEX(postDEL!$A$2:$P799,$O574,11)</f>
        <v>Negative</v>
      </c>
      <c r="H574" s="219" t="str">
        <f t="array" ref="H574">INDEX(postDEL!$A$2:$AL799,$O574,37)</f>
        <v>Negative</v>
      </c>
      <c r="I574" s="217">
        <f t="array" ref="I574">INDEX(postDEL!$A$2:$AL799,$O574,12)</f>
        <v>44627</v>
      </c>
      <c r="J574" s="218">
        <f t="array" ref="J574">INDEX(postDEL!$A$2:$AL799,$O574,13)</f>
        <v>0.4779050926</v>
      </c>
      <c r="K574" s="219" t="str">
        <f t="array" ref="K574">INDEX(postDEL!$A$2:$AL799,$O574,36)</f>
        <v/>
      </c>
      <c r="L574" s="219" t="str">
        <f t="array" ref="L574">INDEX(postDEL!$A$2:$AL799,$O574,38)</f>
        <v/>
      </c>
      <c r="M574" s="219" t="str">
        <f t="array" ref="M574">INDEX(postDEL!$A$2:$AL799,$O574,15)</f>
        <v/>
      </c>
      <c r="N574" s="110">
        <f>COUNTIF(postDEL!$A$2:$A799,A574)</f>
        <v>1</v>
      </c>
      <c r="O574" s="19">
        <f>MATCH(A574,postDEL!A$2:A799,0)</f>
        <v>573</v>
      </c>
      <c r="P574" s="10" t="b">
        <f t="shared" si="1"/>
        <v>1</v>
      </c>
      <c r="Q574" s="220">
        <f t="shared" si="2"/>
        <v>6</v>
      </c>
      <c r="R574" s="5"/>
    </row>
    <row r="575">
      <c r="A575" s="221" t="s">
        <v>1765</v>
      </c>
      <c r="B575" s="217">
        <f t="array" ref="B575">INDEX(postDEL!$A$2:$P799,$O575,2)</f>
        <v>44621</v>
      </c>
      <c r="C575" s="218">
        <f t="array" ref="C575">INDEX(postDEL!$A$2:$P799,$O575,3)</f>
        <v>0.2941435185</v>
      </c>
      <c r="D575" s="219" t="str">
        <f t="array" ref="D575">INDEX(postDEL!$A$2:$AN799,$O575,39)</f>
        <v>SpBEND264858</v>
      </c>
      <c r="E575" s="219" t="str">
        <f t="array" ref="E575">INDEX(postDEL!$A$2:$P799,$O575,4)</f>
        <v/>
      </c>
      <c r="F575" s="219" t="str">
        <f t="array" ref="F575">INDEX(postDEL!$A$2:$P799,$O575,5)</f>
        <v/>
      </c>
      <c r="G575" s="219" t="str">
        <f t="array" ref="G575">INDEX(postDEL!$A$2:$P799,$O575,11)</f>
        <v>Negative</v>
      </c>
      <c r="H575" s="219" t="str">
        <f t="array" ref="H575">INDEX(postDEL!$A$2:$AL799,$O575,37)</f>
        <v>Negative</v>
      </c>
      <c r="I575" s="217">
        <f t="array" ref="I575">INDEX(postDEL!$A$2:$AL799,$O575,12)</f>
        <v>44627</v>
      </c>
      <c r="J575" s="218">
        <f t="array" ref="J575">INDEX(postDEL!$A$2:$AL799,$O575,13)</f>
        <v>0.4779050926</v>
      </c>
      <c r="K575" s="219" t="str">
        <f t="array" ref="K575">INDEX(postDEL!$A$2:$AL799,$O575,36)</f>
        <v/>
      </c>
      <c r="L575" s="219" t="str">
        <f t="array" ref="L575">INDEX(postDEL!$A$2:$AL799,$O575,38)</f>
        <v/>
      </c>
      <c r="M575" s="219" t="str">
        <f t="array" ref="M575">INDEX(postDEL!$A$2:$AL799,$O575,15)</f>
        <v/>
      </c>
      <c r="N575" s="110">
        <f>COUNTIF(postDEL!$A$2:$A799,A575)</f>
        <v>1</v>
      </c>
      <c r="O575" s="19">
        <f>MATCH(A575,postDEL!A$2:A799,0)</f>
        <v>574</v>
      </c>
      <c r="P575" s="10" t="str">
        <f t="shared" si="1"/>
        <v/>
      </c>
      <c r="Q575" s="220">
        <f t="shared" si="2"/>
        <v>6</v>
      </c>
      <c r="R575" s="5"/>
    </row>
    <row r="576">
      <c r="A576" s="221" t="s">
        <v>1767</v>
      </c>
      <c r="B576" s="217">
        <f t="array" ref="B576">INDEX(postDEL!$A$2:$P799,$O576,2)</f>
        <v>44621</v>
      </c>
      <c r="C576" s="218">
        <f t="array" ref="C576">INDEX(postDEL!$A$2:$P799,$O576,3)</f>
        <v>0.3004513889</v>
      </c>
      <c r="D576" s="219" t="str">
        <f t="array" ref="D576">INDEX(postDEL!$A$2:$AN799,$O576,39)</f>
        <v>SpBEND184203</v>
      </c>
      <c r="E576" s="219" t="str">
        <f t="array" ref="E576">INDEX(postDEL!$A$2:$P799,$O576,4)</f>
        <v/>
      </c>
      <c r="F576" s="219" t="str">
        <f t="array" ref="F576">INDEX(postDEL!$A$2:$P799,$O576,5)</f>
        <v/>
      </c>
      <c r="G576" s="219" t="str">
        <f t="array" ref="G576">INDEX(postDEL!$A$2:$P799,$O576,11)</f>
        <v>Negative</v>
      </c>
      <c r="H576" s="219" t="str">
        <f t="array" ref="H576">INDEX(postDEL!$A$2:$AL799,$O576,37)</f>
        <v>Negative</v>
      </c>
      <c r="I576" s="217">
        <f t="array" ref="I576">INDEX(postDEL!$A$2:$AL799,$O576,12)</f>
        <v>44627</v>
      </c>
      <c r="J576" s="218">
        <f t="array" ref="J576">INDEX(postDEL!$A$2:$AL799,$O576,13)</f>
        <v>0.4779050926</v>
      </c>
      <c r="K576" s="219" t="str">
        <f t="array" ref="K576">INDEX(postDEL!$A$2:$AL799,$O576,36)</f>
        <v/>
      </c>
      <c r="L576" s="219" t="str">
        <f t="array" ref="L576">INDEX(postDEL!$A$2:$AL799,$O576,38)</f>
        <v/>
      </c>
      <c r="M576" s="219" t="str">
        <f t="array" ref="M576">INDEX(postDEL!$A$2:$AL799,$O576,15)</f>
        <v/>
      </c>
      <c r="N576" s="110">
        <f>COUNTIF(postDEL!$A$2:$A799,A576)</f>
        <v>1</v>
      </c>
      <c r="O576" s="19">
        <f>MATCH(A576,postDEL!A$2:A799,0)</f>
        <v>575</v>
      </c>
      <c r="P576" s="10" t="str">
        <f t="shared" si="1"/>
        <v/>
      </c>
      <c r="Q576" s="220">
        <f t="shared" si="2"/>
        <v>6</v>
      </c>
      <c r="R576" s="5"/>
    </row>
    <row r="577">
      <c r="A577" s="221" t="s">
        <v>1769</v>
      </c>
      <c r="B577" s="217">
        <f t="array" ref="B577">INDEX(postDEL!$A$2:$P799,$O577,2)</f>
        <v>44621</v>
      </c>
      <c r="C577" s="218">
        <f t="array" ref="C577">INDEX(postDEL!$A$2:$P799,$O577,3)</f>
        <v>0.3062152778</v>
      </c>
      <c r="D577" s="219" t="str">
        <f t="array" ref="D577">INDEX(postDEL!$A$2:$AN799,$O577,39)</f>
        <v>SpBEND768497</v>
      </c>
      <c r="E577" s="219" t="str">
        <f t="array" ref="E577">INDEX(postDEL!$A$2:$P799,$O577,4)</f>
        <v/>
      </c>
      <c r="F577" s="219" t="str">
        <f t="array" ref="F577">INDEX(postDEL!$A$2:$P799,$O577,5)</f>
        <v/>
      </c>
      <c r="G577" s="219" t="str">
        <f t="array" ref="G577">INDEX(postDEL!$A$2:$P799,$O577,11)</f>
        <v>Negative</v>
      </c>
      <c r="H577" s="219" t="str">
        <f t="array" ref="H577">INDEX(postDEL!$A$2:$AL799,$O577,37)</f>
        <v>Negative</v>
      </c>
      <c r="I577" s="217">
        <f t="array" ref="I577">INDEX(postDEL!$A$2:$AL799,$O577,12)</f>
        <v>44627</v>
      </c>
      <c r="J577" s="218">
        <f t="array" ref="J577">INDEX(postDEL!$A$2:$AL799,$O577,13)</f>
        <v>0.4779166667</v>
      </c>
      <c r="K577" s="219" t="str">
        <f t="array" ref="K577">INDEX(postDEL!$A$2:$AL799,$O577,36)</f>
        <v/>
      </c>
      <c r="L577" s="219" t="str">
        <f t="array" ref="L577">INDEX(postDEL!$A$2:$AL799,$O577,38)</f>
        <v/>
      </c>
      <c r="M577" s="219" t="str">
        <f t="array" ref="M577">INDEX(postDEL!$A$2:$AL799,$O577,15)</f>
        <v/>
      </c>
      <c r="N577" s="110">
        <f>COUNTIF(postDEL!$A$2:$A799,A577)</f>
        <v>1</v>
      </c>
      <c r="O577" s="19">
        <f>MATCH(A577,postDEL!A$2:A799,0)</f>
        <v>576</v>
      </c>
      <c r="P577" s="10" t="str">
        <f t="shared" si="1"/>
        <v/>
      </c>
      <c r="Q577" s="220">
        <f t="shared" si="2"/>
        <v>6</v>
      </c>
      <c r="R577" s="5"/>
    </row>
    <row r="578">
      <c r="A578" s="221" t="s">
        <v>1771</v>
      </c>
      <c r="B578" s="217">
        <f t="array" ref="B578">INDEX(postDEL!$A$2:$P799,$O578,2)</f>
        <v>44621</v>
      </c>
      <c r="C578" s="218">
        <f t="array" ref="C578">INDEX(postDEL!$A$2:$P799,$O578,3)</f>
        <v>0.3067708333</v>
      </c>
      <c r="D578" s="219" t="str">
        <f t="array" ref="D578">INDEX(postDEL!$A$2:$AN799,$O578,39)</f>
        <v>SpBEND445560</v>
      </c>
      <c r="E578" s="219" t="str">
        <f t="array" ref="E578">INDEX(postDEL!$A$2:$P799,$O578,4)</f>
        <v/>
      </c>
      <c r="F578" s="219" t="str">
        <f t="array" ref="F578">INDEX(postDEL!$A$2:$P799,$O578,5)</f>
        <v/>
      </c>
      <c r="G578" s="219" t="str">
        <f t="array" ref="G578">INDEX(postDEL!$A$2:$P799,$O578,11)</f>
        <v>Negative</v>
      </c>
      <c r="H578" s="219" t="str">
        <f t="array" ref="H578">INDEX(postDEL!$A$2:$AL799,$O578,37)</f>
        <v>Negative</v>
      </c>
      <c r="I578" s="217">
        <f t="array" ref="I578">INDEX(postDEL!$A$2:$AL799,$O578,12)</f>
        <v>44627</v>
      </c>
      <c r="J578" s="218">
        <f t="array" ref="J578">INDEX(postDEL!$A$2:$AL799,$O578,13)</f>
        <v>0.4779166667</v>
      </c>
      <c r="K578" s="219" t="str">
        <f t="array" ref="K578">INDEX(postDEL!$A$2:$AL799,$O578,36)</f>
        <v/>
      </c>
      <c r="L578" s="219" t="str">
        <f t="array" ref="L578">INDEX(postDEL!$A$2:$AL799,$O578,38)</f>
        <v/>
      </c>
      <c r="M578" s="219" t="str">
        <f t="array" ref="M578">INDEX(postDEL!$A$2:$AL799,$O578,15)</f>
        <v/>
      </c>
      <c r="N578" s="110">
        <f>COUNTIF(postDEL!$A$2:$A799,A578)</f>
        <v>1</v>
      </c>
      <c r="O578" s="19">
        <f>MATCH(A578,postDEL!A$2:A799,0)</f>
        <v>577</v>
      </c>
      <c r="P578" s="10" t="str">
        <f t="shared" si="1"/>
        <v/>
      </c>
      <c r="Q578" s="220">
        <f t="shared" si="2"/>
        <v>6</v>
      </c>
      <c r="R578" s="5"/>
    </row>
    <row r="579">
      <c r="A579" s="221" t="s">
        <v>1773</v>
      </c>
      <c r="B579" s="217">
        <f t="array" ref="B579">INDEX(postDEL!$A$2:$P799,$O579,2)</f>
        <v>44621</v>
      </c>
      <c r="C579" s="218">
        <f t="array" ref="C579">INDEX(postDEL!$A$2:$P799,$O579,3)</f>
        <v>0.3078587963</v>
      </c>
      <c r="D579" s="219" t="str">
        <f t="array" ref="D579">INDEX(postDEL!$A$2:$AN799,$O579,39)</f>
        <v>SpBEND982195</v>
      </c>
      <c r="E579" s="219" t="str">
        <f t="array" ref="E579">INDEX(postDEL!$A$2:$P799,$O579,4)</f>
        <v/>
      </c>
      <c r="F579" s="219" t="str">
        <f t="array" ref="F579">INDEX(postDEL!$A$2:$P799,$O579,5)</f>
        <v/>
      </c>
      <c r="G579" s="219" t="str">
        <f t="array" ref="G579">INDEX(postDEL!$A$2:$P799,$O579,11)</f>
        <v>Negative</v>
      </c>
      <c r="H579" s="219" t="str">
        <f t="array" ref="H579">INDEX(postDEL!$A$2:$AL799,$O579,37)</f>
        <v>Negative</v>
      </c>
      <c r="I579" s="217">
        <f t="array" ref="I579">INDEX(postDEL!$A$2:$AL799,$O579,12)</f>
        <v>44627</v>
      </c>
      <c r="J579" s="218">
        <f t="array" ref="J579">INDEX(postDEL!$A$2:$AL799,$O579,13)</f>
        <v>0.4779166667</v>
      </c>
      <c r="K579" s="219" t="str">
        <f t="array" ref="K579">INDEX(postDEL!$A$2:$AL799,$O579,36)</f>
        <v/>
      </c>
      <c r="L579" s="219" t="str">
        <f t="array" ref="L579">INDEX(postDEL!$A$2:$AL799,$O579,38)</f>
        <v/>
      </c>
      <c r="M579" s="219" t="str">
        <f t="array" ref="M579">INDEX(postDEL!$A$2:$AL799,$O579,15)</f>
        <v/>
      </c>
      <c r="N579" s="110">
        <f>COUNTIF(postDEL!$A$2:$A799,A579)</f>
        <v>1</v>
      </c>
      <c r="O579" s="19">
        <f>MATCH(A579,postDEL!A$2:A799,0)</f>
        <v>578</v>
      </c>
      <c r="P579" s="10" t="str">
        <f t="shared" si="1"/>
        <v/>
      </c>
      <c r="Q579" s="220">
        <f t="shared" si="2"/>
        <v>6</v>
      </c>
      <c r="R579" s="5"/>
    </row>
    <row r="580">
      <c r="A580" s="221" t="s">
        <v>1775</v>
      </c>
      <c r="B580" s="217">
        <f t="array" ref="B580">INDEX(postDEL!$A$2:$P799,$O580,2)</f>
        <v>44621</v>
      </c>
      <c r="C580" s="218">
        <f t="array" ref="C580">INDEX(postDEL!$A$2:$P799,$O580,3)</f>
        <v>0.3086921296</v>
      </c>
      <c r="D580" s="219" t="str">
        <f t="array" ref="D580">INDEX(postDEL!$A$2:$AN799,$O580,39)</f>
        <v>SpBEND713650</v>
      </c>
      <c r="E580" s="219" t="str">
        <f t="array" ref="E580">INDEX(postDEL!$A$2:$P799,$O580,4)</f>
        <v/>
      </c>
      <c r="F580" s="219" t="str">
        <f t="array" ref="F580">INDEX(postDEL!$A$2:$P799,$O580,5)</f>
        <v/>
      </c>
      <c r="G580" s="219" t="str">
        <f t="array" ref="G580">INDEX(postDEL!$A$2:$P799,$O580,11)</f>
        <v>Negative</v>
      </c>
      <c r="H580" s="219" t="str">
        <f t="array" ref="H580">INDEX(postDEL!$A$2:$AL799,$O580,37)</f>
        <v>Negative</v>
      </c>
      <c r="I580" s="217">
        <f t="array" ref="I580">INDEX(postDEL!$A$2:$AL799,$O580,12)</f>
        <v>44627</v>
      </c>
      <c r="J580" s="218">
        <f t="array" ref="J580">INDEX(postDEL!$A$2:$AL799,$O580,13)</f>
        <v>0.4779166667</v>
      </c>
      <c r="K580" s="219" t="str">
        <f t="array" ref="K580">INDEX(postDEL!$A$2:$AL799,$O580,36)</f>
        <v/>
      </c>
      <c r="L580" s="219" t="str">
        <f t="array" ref="L580">INDEX(postDEL!$A$2:$AL799,$O580,38)</f>
        <v/>
      </c>
      <c r="M580" s="219" t="str">
        <f t="array" ref="M580">INDEX(postDEL!$A$2:$AL799,$O580,15)</f>
        <v/>
      </c>
      <c r="N580" s="110">
        <f>COUNTIF(postDEL!$A$2:$A799,A580)</f>
        <v>1</v>
      </c>
      <c r="O580" s="19">
        <f>MATCH(A580,postDEL!A$2:A799,0)</f>
        <v>579</v>
      </c>
      <c r="P580" s="10" t="str">
        <f t="shared" si="1"/>
        <v/>
      </c>
      <c r="Q580" s="220">
        <f t="shared" si="2"/>
        <v>6</v>
      </c>
      <c r="R580" s="5"/>
    </row>
    <row r="581">
      <c r="A581" s="221" t="s">
        <v>1777</v>
      </c>
      <c r="B581" s="217">
        <f t="array" ref="B581">INDEX(postDEL!$A$2:$P799,$O581,2)</f>
        <v>44621</v>
      </c>
      <c r="C581" s="218">
        <f t="array" ref="C581">INDEX(postDEL!$A$2:$P799,$O581,3)</f>
        <v>0.3096875</v>
      </c>
      <c r="D581" s="219" t="str">
        <f t="array" ref="D581">INDEX(postDEL!$A$2:$AN799,$O581,39)</f>
        <v>SpBEND350015</v>
      </c>
      <c r="E581" s="219" t="str">
        <f t="array" ref="E581">INDEX(postDEL!$A$2:$P799,$O581,4)</f>
        <v/>
      </c>
      <c r="F581" s="219" t="str">
        <f t="array" ref="F581">INDEX(postDEL!$A$2:$P799,$O581,5)</f>
        <v/>
      </c>
      <c r="G581" s="219" t="str">
        <f t="array" ref="G581">INDEX(postDEL!$A$2:$P799,$O581,11)</f>
        <v>Negative</v>
      </c>
      <c r="H581" s="219" t="str">
        <f t="array" ref="H581">INDEX(postDEL!$A$2:$AL799,$O581,37)</f>
        <v>Negative</v>
      </c>
      <c r="I581" s="217">
        <f t="array" ref="I581">INDEX(postDEL!$A$2:$AL799,$O581,12)</f>
        <v>44627</v>
      </c>
      <c r="J581" s="218">
        <f t="array" ref="J581">INDEX(postDEL!$A$2:$AL799,$O581,13)</f>
        <v>0.4779166667</v>
      </c>
      <c r="K581" s="219" t="str">
        <f t="array" ref="K581">INDEX(postDEL!$A$2:$AL799,$O581,36)</f>
        <v/>
      </c>
      <c r="L581" s="219" t="str">
        <f t="array" ref="L581">INDEX(postDEL!$A$2:$AL799,$O581,38)</f>
        <v/>
      </c>
      <c r="M581" s="219" t="str">
        <f t="array" ref="M581">INDEX(postDEL!$A$2:$AL799,$O581,15)</f>
        <v/>
      </c>
      <c r="N581" s="110">
        <f>COUNTIF(postDEL!$A$2:$A799,A581)</f>
        <v>1</v>
      </c>
      <c r="O581" s="19">
        <f>MATCH(A581,postDEL!A$2:A799,0)</f>
        <v>580</v>
      </c>
      <c r="P581" s="10" t="str">
        <f t="shared" si="1"/>
        <v/>
      </c>
      <c r="Q581" s="220">
        <f t="shared" si="2"/>
        <v>6</v>
      </c>
      <c r="R581" s="5"/>
    </row>
    <row r="582">
      <c r="A582" s="221" t="s">
        <v>1781</v>
      </c>
      <c r="B582" s="217">
        <f t="array" ref="B582">INDEX(postDEL!$A$2:$P799,$O582,2)</f>
        <v>44621</v>
      </c>
      <c r="C582" s="218">
        <f t="array" ref="C582">INDEX(postDEL!$A$2:$P799,$O582,3)</f>
        <v>0.3111921296</v>
      </c>
      <c r="D582" s="219" t="str">
        <f t="array" ref="D582">INDEX(postDEL!$A$2:$AN799,$O582,39)</f>
        <v>SpBEND967817</v>
      </c>
      <c r="E582" s="219" t="str">
        <f t="array" ref="E582">INDEX(postDEL!$A$2:$P799,$O582,4)</f>
        <v/>
      </c>
      <c r="F582" s="219" t="str">
        <f t="array" ref="F582">INDEX(postDEL!$A$2:$P799,$O582,5)</f>
        <v/>
      </c>
      <c r="G582" s="219" t="str">
        <f t="array" ref="G582">INDEX(postDEL!$A$2:$P799,$O582,11)</f>
        <v>Negative</v>
      </c>
      <c r="H582" s="219" t="str">
        <f t="array" ref="H582">INDEX(postDEL!$A$2:$AL799,$O582,37)</f>
        <v>Negative</v>
      </c>
      <c r="I582" s="217">
        <f t="array" ref="I582">INDEX(postDEL!$A$2:$AL799,$O582,12)</f>
        <v>44627</v>
      </c>
      <c r="J582" s="218">
        <f t="array" ref="J582">INDEX(postDEL!$A$2:$AL799,$O582,13)</f>
        <v>0.4779166667</v>
      </c>
      <c r="K582" s="219" t="str">
        <f t="array" ref="K582">INDEX(postDEL!$A$2:$AL799,$O582,36)</f>
        <v/>
      </c>
      <c r="L582" s="219" t="str">
        <f t="array" ref="L582">INDEX(postDEL!$A$2:$AL799,$O582,38)</f>
        <v/>
      </c>
      <c r="M582" s="219" t="str">
        <f t="array" ref="M582">INDEX(postDEL!$A$2:$AL799,$O582,15)</f>
        <v/>
      </c>
      <c r="N582" s="110">
        <f>COUNTIF(postDEL!$A$2:$A799,A582)</f>
        <v>1</v>
      </c>
      <c r="O582" s="19">
        <f>MATCH(A582,postDEL!A$2:A799,0)</f>
        <v>581</v>
      </c>
      <c r="P582" s="10" t="str">
        <f t="shared" si="1"/>
        <v/>
      </c>
      <c r="Q582" s="220">
        <f t="shared" si="2"/>
        <v>6</v>
      </c>
      <c r="R582" s="5"/>
    </row>
    <row r="583">
      <c r="A583" s="221" t="s">
        <v>1783</v>
      </c>
      <c r="B583" s="217">
        <f t="array" ref="B583">INDEX(postDEL!$A$2:$P799,$O583,2)</f>
        <v>44621</v>
      </c>
      <c r="C583" s="218">
        <f t="array" ref="C583">INDEX(postDEL!$A$2:$P799,$O583,3)</f>
        <v>0.3119675926</v>
      </c>
      <c r="D583" s="219" t="str">
        <f t="array" ref="D583">INDEX(postDEL!$A$2:$AN799,$O583,39)</f>
        <v>SpBEND584950</v>
      </c>
      <c r="E583" s="219" t="str">
        <f t="array" ref="E583">INDEX(postDEL!$A$2:$P799,$O583,4)</f>
        <v/>
      </c>
      <c r="F583" s="219" t="str">
        <f t="array" ref="F583">INDEX(postDEL!$A$2:$P799,$O583,5)</f>
        <v/>
      </c>
      <c r="G583" s="219" t="str">
        <f t="array" ref="G583">INDEX(postDEL!$A$2:$P799,$O583,11)</f>
        <v>Negative</v>
      </c>
      <c r="H583" s="219" t="str">
        <f t="array" ref="H583">INDEX(postDEL!$A$2:$AL799,$O583,37)</f>
        <v>Negative</v>
      </c>
      <c r="I583" s="217">
        <f t="array" ref="I583">INDEX(postDEL!$A$2:$AL799,$O583,12)</f>
        <v>44627</v>
      </c>
      <c r="J583" s="218">
        <f t="array" ref="J583">INDEX(postDEL!$A$2:$AL799,$O583,13)</f>
        <v>0.4779166667</v>
      </c>
      <c r="K583" s="219" t="str">
        <f t="array" ref="K583">INDEX(postDEL!$A$2:$AL799,$O583,36)</f>
        <v/>
      </c>
      <c r="L583" s="219" t="str">
        <f t="array" ref="L583">INDEX(postDEL!$A$2:$AL799,$O583,38)</f>
        <v/>
      </c>
      <c r="M583" s="219" t="str">
        <f t="array" ref="M583">INDEX(postDEL!$A$2:$AL799,$O583,15)</f>
        <v/>
      </c>
      <c r="N583" s="110">
        <f>COUNTIF(postDEL!$A$2:$A799,A583)</f>
        <v>1</v>
      </c>
      <c r="O583" s="19">
        <f>MATCH(A583,postDEL!A$2:A799,0)</f>
        <v>582</v>
      </c>
      <c r="P583" s="10" t="str">
        <f t="shared" si="1"/>
        <v/>
      </c>
      <c r="Q583" s="220">
        <f t="shared" si="2"/>
        <v>6</v>
      </c>
      <c r="R583" s="5"/>
    </row>
    <row r="584">
      <c r="A584" s="221" t="s">
        <v>1785</v>
      </c>
      <c r="B584" s="217">
        <f t="array" ref="B584">INDEX(postDEL!$A$2:$P799,$O584,2)</f>
        <v>44621</v>
      </c>
      <c r="C584" s="218">
        <f t="array" ref="C584">INDEX(postDEL!$A$2:$P799,$O584,3)</f>
        <v>0.3153587963</v>
      </c>
      <c r="D584" s="219" t="str">
        <f t="array" ref="D584">INDEX(postDEL!$A$2:$AN799,$O584,39)</f>
        <v>SpBEND825522</v>
      </c>
      <c r="E584" s="219" t="str">
        <f t="array" ref="E584">INDEX(postDEL!$A$2:$P799,$O584,4)</f>
        <v/>
      </c>
      <c r="F584" s="219" t="str">
        <f t="array" ref="F584">INDEX(postDEL!$A$2:$P799,$O584,5)</f>
        <v/>
      </c>
      <c r="G584" s="219" t="str">
        <f t="array" ref="G584">INDEX(postDEL!$A$2:$P799,$O584,11)</f>
        <v>Negative</v>
      </c>
      <c r="H584" s="219" t="str">
        <f t="array" ref="H584">INDEX(postDEL!$A$2:$AL799,$O584,37)</f>
        <v>Negative</v>
      </c>
      <c r="I584" s="217">
        <f t="array" ref="I584">INDEX(postDEL!$A$2:$AL799,$O584,12)</f>
        <v>44623</v>
      </c>
      <c r="J584" s="218">
        <f t="array" ref="J584">INDEX(postDEL!$A$2:$AL799,$O584,13)</f>
        <v>0.4605787037</v>
      </c>
      <c r="K584" s="219" t="str">
        <f t="array" ref="K584">INDEX(postDEL!$A$2:$AL799,$O584,36)</f>
        <v/>
      </c>
      <c r="L584" s="219" t="str">
        <f t="array" ref="L584">INDEX(postDEL!$A$2:$AL799,$O584,38)</f>
        <v/>
      </c>
      <c r="M584" s="219" t="str">
        <f t="array" ref="M584">INDEX(postDEL!$A$2:$AL799,$O584,15)</f>
        <v/>
      </c>
      <c r="N584" s="110">
        <f>COUNTIF(postDEL!$A$2:$A799,A584)</f>
        <v>1</v>
      </c>
      <c r="O584" s="19">
        <f>MATCH(A584,postDEL!A$2:A799,0)</f>
        <v>583</v>
      </c>
      <c r="P584" s="10" t="str">
        <f t="shared" si="1"/>
        <v/>
      </c>
      <c r="Q584" s="220">
        <f t="shared" si="2"/>
        <v>2</v>
      </c>
      <c r="R584" s="5"/>
    </row>
    <row r="585">
      <c r="A585" s="221" t="s">
        <v>1787</v>
      </c>
      <c r="B585" s="217">
        <f t="array" ref="B585">INDEX(postDEL!$A$2:$P799,$O585,2)</f>
        <v>44621</v>
      </c>
      <c r="C585" s="218">
        <f t="array" ref="C585">INDEX(postDEL!$A$2:$P799,$O585,3)</f>
        <v>0.317349537</v>
      </c>
      <c r="D585" s="219" t="str">
        <f t="array" ref="D585">INDEX(postDEL!$A$2:$AN799,$O585,39)</f>
        <v>SpBEND492052</v>
      </c>
      <c r="E585" s="219" t="str">
        <f t="array" ref="E585">INDEX(postDEL!$A$2:$P799,$O585,4)</f>
        <v/>
      </c>
      <c r="F585" s="219" t="str">
        <f t="array" ref="F585">INDEX(postDEL!$A$2:$P799,$O585,5)</f>
        <v/>
      </c>
      <c r="G585" s="219" t="str">
        <f t="array" ref="G585">INDEX(postDEL!$A$2:$P799,$O585,11)</f>
        <v>Negative</v>
      </c>
      <c r="H585" s="219" t="str">
        <f t="array" ref="H585">INDEX(postDEL!$A$2:$AL799,$O585,37)</f>
        <v>Negative</v>
      </c>
      <c r="I585" s="217">
        <f t="array" ref="I585">INDEX(postDEL!$A$2:$AL799,$O585,12)</f>
        <v>44627</v>
      </c>
      <c r="J585" s="218">
        <f t="array" ref="J585">INDEX(postDEL!$A$2:$AL799,$O585,13)</f>
        <v>0.4779166667</v>
      </c>
      <c r="K585" s="219" t="str">
        <f t="array" ref="K585">INDEX(postDEL!$A$2:$AL799,$O585,36)</f>
        <v/>
      </c>
      <c r="L585" s="219" t="str">
        <f t="array" ref="L585">INDEX(postDEL!$A$2:$AL799,$O585,38)</f>
        <v/>
      </c>
      <c r="M585" s="219" t="str">
        <f t="array" ref="M585">INDEX(postDEL!$A$2:$AL799,$O585,15)</f>
        <v/>
      </c>
      <c r="N585" s="110">
        <f>COUNTIF(postDEL!$A$2:$A799,A585)</f>
        <v>1</v>
      </c>
      <c r="O585" s="19">
        <f>MATCH(A585,postDEL!A$2:A799,0)</f>
        <v>584</v>
      </c>
      <c r="P585" s="10" t="str">
        <f t="shared" si="1"/>
        <v/>
      </c>
      <c r="Q585" s="220">
        <f t="shared" si="2"/>
        <v>6</v>
      </c>
      <c r="R585" s="5"/>
    </row>
    <row r="586">
      <c r="A586" s="221" t="s">
        <v>1789</v>
      </c>
      <c r="B586" s="217">
        <f t="array" ref="B586">INDEX(postDEL!$A$2:$P799,$O586,2)</f>
        <v>44621</v>
      </c>
      <c r="C586" s="218">
        <f t="array" ref="C586">INDEX(postDEL!$A$2:$P799,$O586,3)</f>
        <v>0.3239583333</v>
      </c>
      <c r="D586" s="219" t="str">
        <f t="array" ref="D586">INDEX(postDEL!$A$2:$AN799,$O586,39)</f>
        <v>SpBEND139816</v>
      </c>
      <c r="E586" s="219" t="str">
        <f t="array" ref="E586">INDEX(postDEL!$A$2:$P799,$O586,4)</f>
        <v/>
      </c>
      <c r="F586" s="219" t="str">
        <f t="array" ref="F586">INDEX(postDEL!$A$2:$P799,$O586,5)</f>
        <v/>
      </c>
      <c r="G586" s="219" t="str">
        <f t="array" ref="G586">INDEX(postDEL!$A$2:$P799,$O586,11)</f>
        <v>Negative</v>
      </c>
      <c r="H586" s="219" t="str">
        <f t="array" ref="H586">INDEX(postDEL!$A$2:$AL799,$O586,37)</f>
        <v>Negative</v>
      </c>
      <c r="I586" s="217">
        <f t="array" ref="I586">INDEX(postDEL!$A$2:$AL799,$O586,12)</f>
        <v>44627</v>
      </c>
      <c r="J586" s="218">
        <f t="array" ref="J586">INDEX(postDEL!$A$2:$AL799,$O586,13)</f>
        <v>0.4779166667</v>
      </c>
      <c r="K586" s="219" t="str">
        <f t="array" ref="K586">INDEX(postDEL!$A$2:$AL799,$O586,36)</f>
        <v/>
      </c>
      <c r="L586" s="219" t="str">
        <f t="array" ref="L586">INDEX(postDEL!$A$2:$AL799,$O586,38)</f>
        <v/>
      </c>
      <c r="M586" s="219" t="str">
        <f t="array" ref="M586">INDEX(postDEL!$A$2:$AL799,$O586,15)</f>
        <v/>
      </c>
      <c r="N586" s="110">
        <f>COUNTIF(postDEL!$A$2:$A799,A586)</f>
        <v>1</v>
      </c>
      <c r="O586" s="19">
        <f>MATCH(A586,postDEL!A$2:A799,0)</f>
        <v>585</v>
      </c>
      <c r="P586" s="10" t="str">
        <f t="shared" si="1"/>
        <v/>
      </c>
      <c r="Q586" s="220">
        <f t="shared" si="2"/>
        <v>6</v>
      </c>
      <c r="R586" s="5"/>
    </row>
    <row r="587">
      <c r="A587" s="221" t="s">
        <v>1791</v>
      </c>
      <c r="B587" s="217">
        <f t="array" ref="B587">INDEX(postDEL!$A$2:$P799,$O587,2)</f>
        <v>44621</v>
      </c>
      <c r="C587" s="218">
        <f t="array" ref="C587">INDEX(postDEL!$A$2:$P799,$O587,3)</f>
        <v>0.3244675926</v>
      </c>
      <c r="D587" s="219" t="str">
        <f t="array" ref="D587">INDEX(postDEL!$A$2:$AN799,$O587,39)</f>
        <v>SpBEND328905</v>
      </c>
      <c r="E587" s="219" t="str">
        <f t="array" ref="E587">INDEX(postDEL!$A$2:$P799,$O587,4)</f>
        <v/>
      </c>
      <c r="F587" s="219" t="str">
        <f t="array" ref="F587">INDEX(postDEL!$A$2:$P799,$O587,5)</f>
        <v/>
      </c>
      <c r="G587" s="219" t="str">
        <f t="array" ref="G587">INDEX(postDEL!$A$2:$P799,$O587,11)</f>
        <v>Negative</v>
      </c>
      <c r="H587" s="219" t="str">
        <f t="array" ref="H587">INDEX(postDEL!$A$2:$AL799,$O587,37)</f>
        <v>Negative</v>
      </c>
      <c r="I587" s="217">
        <f t="array" ref="I587">INDEX(postDEL!$A$2:$AL799,$O587,12)</f>
        <v>44627</v>
      </c>
      <c r="J587" s="218">
        <f t="array" ref="J587">INDEX(postDEL!$A$2:$AL799,$O587,13)</f>
        <v>0.4779166667</v>
      </c>
      <c r="K587" s="219" t="str">
        <f t="array" ref="K587">INDEX(postDEL!$A$2:$AL799,$O587,36)</f>
        <v/>
      </c>
      <c r="L587" s="219" t="str">
        <f t="array" ref="L587">INDEX(postDEL!$A$2:$AL799,$O587,38)</f>
        <v/>
      </c>
      <c r="M587" s="219" t="str">
        <f t="array" ref="M587">INDEX(postDEL!$A$2:$AL799,$O587,15)</f>
        <v/>
      </c>
      <c r="N587" s="110">
        <f>COUNTIF(postDEL!$A$2:$A799,A587)</f>
        <v>1</v>
      </c>
      <c r="O587" s="19">
        <f>MATCH(A587,postDEL!A$2:A799,0)</f>
        <v>586</v>
      </c>
      <c r="P587" s="10" t="str">
        <f t="shared" si="1"/>
        <v/>
      </c>
      <c r="Q587" s="220">
        <f t="shared" si="2"/>
        <v>6</v>
      </c>
      <c r="R587" s="5"/>
    </row>
    <row r="588">
      <c r="A588" s="221" t="s">
        <v>1793</v>
      </c>
      <c r="B588" s="217">
        <f t="array" ref="B588">INDEX(postDEL!$A$2:$P799,$O588,2)</f>
        <v>44621</v>
      </c>
      <c r="C588" s="218">
        <f t="array" ref="C588">INDEX(postDEL!$A$2:$P799,$O588,3)</f>
        <v>0.3262962963</v>
      </c>
      <c r="D588" s="219" t="str">
        <f t="array" ref="D588">INDEX(postDEL!$A$2:$AN799,$O588,39)</f>
        <v>SpBEND331858</v>
      </c>
      <c r="E588" s="219" t="str">
        <f t="array" ref="E588">INDEX(postDEL!$A$2:$P799,$O588,4)</f>
        <v/>
      </c>
      <c r="F588" s="219" t="str">
        <f t="array" ref="F588">INDEX(postDEL!$A$2:$P799,$O588,5)</f>
        <v/>
      </c>
      <c r="G588" s="219" t="str">
        <f t="array" ref="G588">INDEX(postDEL!$A$2:$P799,$O588,11)</f>
        <v>Negative</v>
      </c>
      <c r="H588" s="219" t="str">
        <f t="array" ref="H588">INDEX(postDEL!$A$2:$AL799,$O588,37)</f>
        <v>Negative</v>
      </c>
      <c r="I588" s="217">
        <f t="array" ref="I588">INDEX(postDEL!$A$2:$AL799,$O588,12)</f>
        <v>44627</v>
      </c>
      <c r="J588" s="218">
        <f t="array" ref="J588">INDEX(postDEL!$A$2:$AL799,$O588,13)</f>
        <v>0.4779166667</v>
      </c>
      <c r="K588" s="219" t="str">
        <f t="array" ref="K588">INDEX(postDEL!$A$2:$AL799,$O588,36)</f>
        <v/>
      </c>
      <c r="L588" s="219" t="str">
        <f t="array" ref="L588">INDEX(postDEL!$A$2:$AL799,$O588,38)</f>
        <v/>
      </c>
      <c r="M588" s="219" t="str">
        <f t="array" ref="M588">INDEX(postDEL!$A$2:$AL799,$O588,15)</f>
        <v/>
      </c>
      <c r="N588" s="110">
        <f>COUNTIF(postDEL!$A$2:$A799,A588)</f>
        <v>1</v>
      </c>
      <c r="O588" s="19">
        <f>MATCH(A588,postDEL!A$2:A799,0)</f>
        <v>587</v>
      </c>
      <c r="P588" s="10" t="str">
        <f t="shared" si="1"/>
        <v/>
      </c>
      <c r="Q588" s="220">
        <f t="shared" si="2"/>
        <v>6</v>
      </c>
      <c r="R588" s="5"/>
    </row>
    <row r="589">
      <c r="A589" s="221" t="s">
        <v>1795</v>
      </c>
      <c r="B589" s="217">
        <f t="array" ref="B589">INDEX(postDEL!$A$2:$P799,$O589,2)</f>
        <v>44621</v>
      </c>
      <c r="C589" s="218">
        <f t="array" ref="C589">INDEX(postDEL!$A$2:$P799,$O589,3)</f>
        <v>0.3267013889</v>
      </c>
      <c r="D589" s="219" t="str">
        <f t="array" ref="D589">INDEX(postDEL!$A$2:$AN799,$O589,39)</f>
        <v>SpBEND862115</v>
      </c>
      <c r="E589" s="219" t="str">
        <f t="array" ref="E589">INDEX(postDEL!$A$2:$P799,$O589,4)</f>
        <v/>
      </c>
      <c r="F589" s="219" t="str">
        <f t="array" ref="F589">INDEX(postDEL!$A$2:$P799,$O589,5)</f>
        <v/>
      </c>
      <c r="G589" s="219" t="str">
        <f t="array" ref="G589">INDEX(postDEL!$A$2:$P799,$O589,11)</f>
        <v>Negative</v>
      </c>
      <c r="H589" s="219" t="str">
        <f t="array" ref="H589">INDEX(postDEL!$A$2:$AL799,$O589,37)</f>
        <v>Negative</v>
      </c>
      <c r="I589" s="217">
        <f t="array" ref="I589">INDEX(postDEL!$A$2:$AL799,$O589,12)</f>
        <v>44627</v>
      </c>
      <c r="J589" s="218">
        <f t="array" ref="J589">INDEX(postDEL!$A$2:$AL799,$O589,13)</f>
        <v>0.4779166667</v>
      </c>
      <c r="K589" s="219" t="str">
        <f t="array" ref="K589">INDEX(postDEL!$A$2:$AL799,$O589,36)</f>
        <v/>
      </c>
      <c r="L589" s="219" t="str">
        <f t="array" ref="L589">INDEX(postDEL!$A$2:$AL799,$O589,38)</f>
        <v/>
      </c>
      <c r="M589" s="219" t="str">
        <f t="array" ref="M589">INDEX(postDEL!$A$2:$AL799,$O589,15)</f>
        <v/>
      </c>
      <c r="N589" s="110">
        <f>COUNTIF(postDEL!$A$2:$A799,A589)</f>
        <v>1</v>
      </c>
      <c r="O589" s="19">
        <f>MATCH(A589,postDEL!A$2:A799,0)</f>
        <v>588</v>
      </c>
      <c r="P589" s="10" t="str">
        <f t="shared" si="1"/>
        <v/>
      </c>
      <c r="Q589" s="220">
        <f t="shared" si="2"/>
        <v>6</v>
      </c>
      <c r="R589" s="5"/>
    </row>
    <row r="590">
      <c r="A590" s="221" t="s">
        <v>1797</v>
      </c>
      <c r="B590" s="217">
        <f t="array" ref="B590">INDEX(postDEL!$A$2:$P799,$O590,2)</f>
        <v>44621</v>
      </c>
      <c r="C590" s="218">
        <f t="array" ref="C590">INDEX(postDEL!$A$2:$P799,$O590,3)</f>
        <v>0.3271527778</v>
      </c>
      <c r="D590" s="219" t="str">
        <f t="array" ref="D590">INDEX(postDEL!$A$2:$AN799,$O590,39)</f>
        <v>SpBEND982195</v>
      </c>
      <c r="E590" s="219" t="str">
        <f t="array" ref="E590">INDEX(postDEL!$A$2:$P799,$O590,4)</f>
        <v/>
      </c>
      <c r="F590" s="219" t="str">
        <f t="array" ref="F590">INDEX(postDEL!$A$2:$P799,$O590,5)</f>
        <v/>
      </c>
      <c r="G590" s="219" t="str">
        <f t="array" ref="G590">INDEX(postDEL!$A$2:$P799,$O590,11)</f>
        <v>Negative</v>
      </c>
      <c r="H590" s="219" t="str">
        <f t="array" ref="H590">INDEX(postDEL!$A$2:$AL799,$O590,37)</f>
        <v>Negative</v>
      </c>
      <c r="I590" s="217">
        <f t="array" ref="I590">INDEX(postDEL!$A$2:$AL799,$O590,12)</f>
        <v>44627</v>
      </c>
      <c r="J590" s="218">
        <f t="array" ref="J590">INDEX(postDEL!$A$2:$AL799,$O590,13)</f>
        <v>0.4779166667</v>
      </c>
      <c r="K590" s="219" t="str">
        <f t="array" ref="K590">INDEX(postDEL!$A$2:$AL799,$O590,36)</f>
        <v/>
      </c>
      <c r="L590" s="219" t="str">
        <f t="array" ref="L590">INDEX(postDEL!$A$2:$AL799,$O590,38)</f>
        <v/>
      </c>
      <c r="M590" s="219" t="str">
        <f t="array" ref="M590">INDEX(postDEL!$A$2:$AL799,$O590,15)</f>
        <v/>
      </c>
      <c r="N590" s="110">
        <f>COUNTIF(postDEL!$A$2:$A799,A590)</f>
        <v>1</v>
      </c>
      <c r="O590" s="19">
        <f>MATCH(A590,postDEL!A$2:A799,0)</f>
        <v>589</v>
      </c>
      <c r="P590" s="10" t="str">
        <f t="shared" si="1"/>
        <v/>
      </c>
      <c r="Q590" s="220">
        <f t="shared" si="2"/>
        <v>6</v>
      </c>
      <c r="R590" s="5"/>
    </row>
    <row r="591">
      <c r="A591" s="221" t="s">
        <v>1799</v>
      </c>
      <c r="B591" s="217">
        <f t="array" ref="B591">INDEX(postDEL!$A$2:$P799,$O591,2)</f>
        <v>44621</v>
      </c>
      <c r="C591" s="218">
        <f t="array" ref="C591">INDEX(postDEL!$A$2:$P799,$O591,3)</f>
        <v>0.3284953704</v>
      </c>
      <c r="D591" s="219" t="str">
        <f t="array" ref="D591">INDEX(postDEL!$A$2:$AN799,$O591,39)</f>
        <v>SpBEND363177</v>
      </c>
      <c r="E591" s="219" t="str">
        <f t="array" ref="E591">INDEX(postDEL!$A$2:$P799,$O591,4)</f>
        <v/>
      </c>
      <c r="F591" s="219" t="str">
        <f t="array" ref="F591">INDEX(postDEL!$A$2:$P799,$O591,5)</f>
        <v/>
      </c>
      <c r="G591" s="219" t="str">
        <f t="array" ref="G591">INDEX(postDEL!$A$2:$P799,$O591,11)</f>
        <v>Negative</v>
      </c>
      <c r="H591" s="219" t="str">
        <f t="array" ref="H591">INDEX(postDEL!$A$2:$AL799,$O591,37)</f>
        <v>Negative</v>
      </c>
      <c r="I591" s="217">
        <f t="array" ref="I591">INDEX(postDEL!$A$2:$AL799,$O591,12)</f>
        <v>44627</v>
      </c>
      <c r="J591" s="218">
        <f t="array" ref="J591">INDEX(postDEL!$A$2:$AL799,$O591,13)</f>
        <v>0.4779166667</v>
      </c>
      <c r="K591" s="219" t="str">
        <f t="array" ref="K591">INDEX(postDEL!$A$2:$AL799,$O591,36)</f>
        <v/>
      </c>
      <c r="L591" s="219" t="str">
        <f t="array" ref="L591">INDEX(postDEL!$A$2:$AL799,$O591,38)</f>
        <v/>
      </c>
      <c r="M591" s="219" t="str">
        <f t="array" ref="M591">INDEX(postDEL!$A$2:$AL799,$O591,15)</f>
        <v/>
      </c>
      <c r="N591" s="110">
        <f>COUNTIF(postDEL!$A$2:$A799,A591)</f>
        <v>1</v>
      </c>
      <c r="O591" s="19">
        <f>MATCH(A591,postDEL!A$2:A799,0)</f>
        <v>590</v>
      </c>
      <c r="P591" s="10" t="str">
        <f t="shared" si="1"/>
        <v/>
      </c>
      <c r="Q591" s="220">
        <f t="shared" si="2"/>
        <v>6</v>
      </c>
      <c r="R591" s="5"/>
    </row>
    <row r="592">
      <c r="A592" s="221" t="s">
        <v>1801</v>
      </c>
      <c r="B592" s="217">
        <f t="array" ref="B592">INDEX(postDEL!$A$2:$P799,$O592,2)</f>
        <v>44621</v>
      </c>
      <c r="C592" s="218">
        <f t="array" ref="C592">INDEX(postDEL!$A$2:$P799,$O592,3)</f>
        <v>0.3285648148</v>
      </c>
      <c r="D592" s="219" t="str">
        <f t="array" ref="D592">INDEX(postDEL!$A$2:$AN799,$O592,39)</f>
        <v>SpBEND349435</v>
      </c>
      <c r="E592" s="219" t="str">
        <f t="array" ref="E592">INDEX(postDEL!$A$2:$P799,$O592,4)</f>
        <v/>
      </c>
      <c r="F592" s="219" t="str">
        <f t="array" ref="F592">INDEX(postDEL!$A$2:$P799,$O592,5)</f>
        <v/>
      </c>
      <c r="G592" s="219" t="str">
        <f t="array" ref="G592">INDEX(postDEL!$A$2:$P799,$O592,11)</f>
        <v>Negative</v>
      </c>
      <c r="H592" s="219" t="str">
        <f t="array" ref="H592">INDEX(postDEL!$A$2:$AL799,$O592,37)</f>
        <v>Negative</v>
      </c>
      <c r="I592" s="217">
        <f t="array" ref="I592">INDEX(postDEL!$A$2:$AL799,$O592,12)</f>
        <v>44627</v>
      </c>
      <c r="J592" s="218">
        <f t="array" ref="J592">INDEX(postDEL!$A$2:$AL799,$O592,13)</f>
        <v>0.4779282407</v>
      </c>
      <c r="K592" s="219" t="str">
        <f t="array" ref="K592">INDEX(postDEL!$A$2:$AL799,$O592,36)</f>
        <v/>
      </c>
      <c r="L592" s="219" t="str">
        <f t="array" ref="L592">INDEX(postDEL!$A$2:$AL799,$O592,38)</f>
        <v/>
      </c>
      <c r="M592" s="219" t="str">
        <f t="array" ref="M592">INDEX(postDEL!$A$2:$AL799,$O592,15)</f>
        <v/>
      </c>
      <c r="N592" s="110">
        <f>COUNTIF(postDEL!$A$2:$A799,A592)</f>
        <v>1</v>
      </c>
      <c r="O592" s="19">
        <f>MATCH(A592,postDEL!A$2:A799,0)</f>
        <v>591</v>
      </c>
      <c r="P592" s="10" t="str">
        <f t="shared" si="1"/>
        <v/>
      </c>
      <c r="Q592" s="220">
        <f t="shared" si="2"/>
        <v>6</v>
      </c>
      <c r="R592" s="5"/>
    </row>
    <row r="593">
      <c r="A593" s="221" t="s">
        <v>1803</v>
      </c>
      <c r="B593" s="217">
        <f t="array" ref="B593">INDEX(postDEL!$A$2:$P799,$O593,2)</f>
        <v>44621</v>
      </c>
      <c r="C593" s="218">
        <f t="array" ref="C593">INDEX(postDEL!$A$2:$P799,$O593,3)</f>
        <v>0.329224537</v>
      </c>
      <c r="D593" s="219" t="str">
        <f t="array" ref="D593">INDEX(postDEL!$A$2:$AN799,$O593,39)</f>
        <v>SpBEND652059</v>
      </c>
      <c r="E593" s="219" t="str">
        <f t="array" ref="E593">INDEX(postDEL!$A$2:$P799,$O593,4)</f>
        <v/>
      </c>
      <c r="F593" s="219" t="str">
        <f t="array" ref="F593">INDEX(postDEL!$A$2:$P799,$O593,5)</f>
        <v/>
      </c>
      <c r="G593" s="219" t="str">
        <f t="array" ref="G593">INDEX(postDEL!$A$2:$P799,$O593,11)</f>
        <v>Negative</v>
      </c>
      <c r="H593" s="219" t="str">
        <f t="array" ref="H593">INDEX(postDEL!$A$2:$AL799,$O593,37)</f>
        <v>Negative</v>
      </c>
      <c r="I593" s="217">
        <f t="array" ref="I593">INDEX(postDEL!$A$2:$AL799,$O593,12)</f>
        <v>44627</v>
      </c>
      <c r="J593" s="218">
        <f t="array" ref="J593">INDEX(postDEL!$A$2:$AL799,$O593,13)</f>
        <v>0.4779282407</v>
      </c>
      <c r="K593" s="219" t="str">
        <f t="array" ref="K593">INDEX(postDEL!$A$2:$AL799,$O593,36)</f>
        <v/>
      </c>
      <c r="L593" s="219" t="str">
        <f t="array" ref="L593">INDEX(postDEL!$A$2:$AL799,$O593,38)</f>
        <v/>
      </c>
      <c r="M593" s="219" t="str">
        <f t="array" ref="M593">INDEX(postDEL!$A$2:$AL799,$O593,15)</f>
        <v/>
      </c>
      <c r="N593" s="110">
        <f>COUNTIF(postDEL!$A$2:$A799,A593)</f>
        <v>1</v>
      </c>
      <c r="O593" s="19">
        <f>MATCH(A593,postDEL!A$2:A799,0)</f>
        <v>592</v>
      </c>
      <c r="P593" s="10" t="str">
        <f t="shared" si="1"/>
        <v/>
      </c>
      <c r="Q593" s="220">
        <f t="shared" si="2"/>
        <v>6</v>
      </c>
      <c r="R593" s="5"/>
    </row>
    <row r="594">
      <c r="A594" s="221" t="s">
        <v>1805</v>
      </c>
      <c r="B594" s="217">
        <f t="array" ref="B594">INDEX(postDEL!$A$2:$P799,$O594,2)</f>
        <v>44621</v>
      </c>
      <c r="C594" s="218">
        <f t="array" ref="C594">INDEX(postDEL!$A$2:$P799,$O594,3)</f>
        <v>0.329525463</v>
      </c>
      <c r="D594" s="219" t="str">
        <f t="array" ref="D594">INDEX(postDEL!$A$2:$AN799,$O594,39)</f>
        <v>SpBEND914710</v>
      </c>
      <c r="E594" s="219" t="str">
        <f t="array" ref="E594">INDEX(postDEL!$A$2:$P799,$O594,4)</f>
        <v/>
      </c>
      <c r="F594" s="219" t="str">
        <f t="array" ref="F594">INDEX(postDEL!$A$2:$P799,$O594,5)</f>
        <v/>
      </c>
      <c r="G594" s="219" t="str">
        <f t="array" ref="G594">INDEX(postDEL!$A$2:$P799,$O594,11)</f>
        <v>Negative</v>
      </c>
      <c r="H594" s="219" t="str">
        <f t="array" ref="H594">INDEX(postDEL!$A$2:$AL799,$O594,37)</f>
        <v>Negative</v>
      </c>
      <c r="I594" s="217">
        <f t="array" ref="I594">INDEX(postDEL!$A$2:$AL799,$O594,12)</f>
        <v>44627</v>
      </c>
      <c r="J594" s="218">
        <f t="array" ref="J594">INDEX(postDEL!$A$2:$AL799,$O594,13)</f>
        <v>0.4779282407</v>
      </c>
      <c r="K594" s="219" t="str">
        <f t="array" ref="K594">INDEX(postDEL!$A$2:$AL799,$O594,36)</f>
        <v/>
      </c>
      <c r="L594" s="219" t="str">
        <f t="array" ref="L594">INDEX(postDEL!$A$2:$AL799,$O594,38)</f>
        <v/>
      </c>
      <c r="M594" s="219" t="str">
        <f t="array" ref="M594">INDEX(postDEL!$A$2:$AL799,$O594,15)</f>
        <v/>
      </c>
      <c r="N594" s="110">
        <f>COUNTIF(postDEL!$A$2:$A799,A594)</f>
        <v>1</v>
      </c>
      <c r="O594" s="19">
        <f>MATCH(A594,postDEL!A$2:A799,0)</f>
        <v>593</v>
      </c>
      <c r="P594" s="10" t="str">
        <f t="shared" si="1"/>
        <v/>
      </c>
      <c r="Q594" s="220">
        <f t="shared" si="2"/>
        <v>6</v>
      </c>
      <c r="R594" s="5"/>
    </row>
    <row r="595">
      <c r="A595" s="221" t="s">
        <v>1807</v>
      </c>
      <c r="B595" s="217">
        <f t="array" ref="B595">INDEX(postDEL!$A$2:$P799,$O595,2)</f>
        <v>44621</v>
      </c>
      <c r="C595" s="218">
        <f t="array" ref="C595">INDEX(postDEL!$A$2:$P799,$O595,3)</f>
        <v>0.3312384259</v>
      </c>
      <c r="D595" s="219" t="str">
        <f t="array" ref="D595">INDEX(postDEL!$A$2:$AN799,$O595,39)</f>
        <v>SpBEND610784</v>
      </c>
      <c r="E595" s="219" t="str">
        <f t="array" ref="E595">INDEX(postDEL!$A$2:$P799,$O595,4)</f>
        <v/>
      </c>
      <c r="F595" s="219" t="str">
        <f t="array" ref="F595">INDEX(postDEL!$A$2:$P799,$O595,5)</f>
        <v/>
      </c>
      <c r="G595" s="219" t="str">
        <f t="array" ref="G595">INDEX(postDEL!$A$2:$P799,$O595,11)</f>
        <v>Negative</v>
      </c>
      <c r="H595" s="219" t="str">
        <f t="array" ref="H595">INDEX(postDEL!$A$2:$AL799,$O595,37)</f>
        <v>Negative</v>
      </c>
      <c r="I595" s="217">
        <f t="array" ref="I595">INDEX(postDEL!$A$2:$AL799,$O595,12)</f>
        <v>44627</v>
      </c>
      <c r="J595" s="218">
        <f t="array" ref="J595">INDEX(postDEL!$A$2:$AL799,$O595,13)</f>
        <v>0.4779282407</v>
      </c>
      <c r="K595" s="219" t="str">
        <f t="array" ref="K595">INDEX(postDEL!$A$2:$AL799,$O595,36)</f>
        <v/>
      </c>
      <c r="L595" s="219" t="str">
        <f t="array" ref="L595">INDEX(postDEL!$A$2:$AL799,$O595,38)</f>
        <v/>
      </c>
      <c r="M595" s="219" t="str">
        <f t="array" ref="M595">INDEX(postDEL!$A$2:$AL799,$O595,15)</f>
        <v/>
      </c>
      <c r="N595" s="110">
        <f>COUNTIF(postDEL!$A$2:$A799,A595)</f>
        <v>1</v>
      </c>
      <c r="O595" s="19">
        <f>MATCH(A595,postDEL!A$2:A799,0)</f>
        <v>594</v>
      </c>
      <c r="P595" s="10" t="str">
        <f t="shared" si="1"/>
        <v/>
      </c>
      <c r="Q595" s="220">
        <f t="shared" si="2"/>
        <v>6</v>
      </c>
      <c r="R595" s="5"/>
    </row>
    <row r="596">
      <c r="A596" s="221" t="s">
        <v>1809</v>
      </c>
      <c r="B596" s="217">
        <f t="array" ref="B596">INDEX(postDEL!$A$2:$P799,$O596,2)</f>
        <v>44621</v>
      </c>
      <c r="C596" s="218">
        <f t="array" ref="C596">INDEX(postDEL!$A$2:$P799,$O596,3)</f>
        <v>0.3314351852</v>
      </c>
      <c r="D596" s="219" t="str">
        <f t="array" ref="D596">INDEX(postDEL!$A$2:$AN799,$O596,39)</f>
        <v>SpBEND643855</v>
      </c>
      <c r="E596" s="219" t="str">
        <f t="array" ref="E596">INDEX(postDEL!$A$2:$P799,$O596,4)</f>
        <v/>
      </c>
      <c r="F596" s="219" t="str">
        <f t="array" ref="F596">INDEX(postDEL!$A$2:$P799,$O596,5)</f>
        <v/>
      </c>
      <c r="G596" s="219" t="str">
        <f t="array" ref="G596">INDEX(postDEL!$A$2:$P799,$O596,11)</f>
        <v>Negative</v>
      </c>
      <c r="H596" s="219" t="str">
        <f t="array" ref="H596">INDEX(postDEL!$A$2:$AL799,$O596,37)</f>
        <v>Negative</v>
      </c>
      <c r="I596" s="217">
        <f t="array" ref="I596">INDEX(postDEL!$A$2:$AL799,$O596,12)</f>
        <v>44627</v>
      </c>
      <c r="J596" s="218">
        <f t="array" ref="J596">INDEX(postDEL!$A$2:$AL799,$O596,13)</f>
        <v>0.4779282407</v>
      </c>
      <c r="K596" s="219" t="str">
        <f t="array" ref="K596">INDEX(postDEL!$A$2:$AL799,$O596,36)</f>
        <v/>
      </c>
      <c r="L596" s="219" t="str">
        <f t="array" ref="L596">INDEX(postDEL!$A$2:$AL799,$O596,38)</f>
        <v/>
      </c>
      <c r="M596" s="219" t="str">
        <f t="array" ref="M596">INDEX(postDEL!$A$2:$AL799,$O596,15)</f>
        <v/>
      </c>
      <c r="N596" s="110">
        <f>COUNTIF(postDEL!$A$2:$A799,A596)</f>
        <v>1</v>
      </c>
      <c r="O596" s="19">
        <f>MATCH(A596,postDEL!A$2:A799,0)</f>
        <v>595</v>
      </c>
      <c r="P596" s="10" t="str">
        <f t="shared" si="1"/>
        <v/>
      </c>
      <c r="Q596" s="220">
        <f t="shared" si="2"/>
        <v>6</v>
      </c>
      <c r="R596" s="5"/>
    </row>
    <row r="597">
      <c r="A597" s="221" t="s">
        <v>1811</v>
      </c>
      <c r="B597" s="217">
        <f t="array" ref="B597">INDEX(postDEL!$A$2:$P799,$O597,2)</f>
        <v>44621</v>
      </c>
      <c r="C597" s="218">
        <f t="array" ref="C597">INDEX(postDEL!$A$2:$P799,$O597,3)</f>
        <v>0.3319328704</v>
      </c>
      <c r="D597" s="219" t="str">
        <f t="array" ref="D597">INDEX(postDEL!$A$2:$AN799,$O597,39)</f>
        <v>SpBEND292554</v>
      </c>
      <c r="E597" s="219" t="str">
        <f t="array" ref="E597">INDEX(postDEL!$A$2:$P799,$O597,4)</f>
        <v/>
      </c>
      <c r="F597" s="219" t="str">
        <f t="array" ref="F597">INDEX(postDEL!$A$2:$P799,$O597,5)</f>
        <v/>
      </c>
      <c r="G597" s="219" t="str">
        <f t="array" ref="G597">INDEX(postDEL!$A$2:$P799,$O597,11)</f>
        <v>Negative</v>
      </c>
      <c r="H597" s="219" t="str">
        <f t="array" ref="H597">INDEX(postDEL!$A$2:$AL799,$O597,37)</f>
        <v>Negative</v>
      </c>
      <c r="I597" s="217">
        <f t="array" ref="I597">INDEX(postDEL!$A$2:$AL799,$O597,12)</f>
        <v>44627</v>
      </c>
      <c r="J597" s="218">
        <f t="array" ref="J597">INDEX(postDEL!$A$2:$AL799,$O597,13)</f>
        <v>0.4779282407</v>
      </c>
      <c r="K597" s="219" t="str">
        <f t="array" ref="K597">INDEX(postDEL!$A$2:$AL799,$O597,36)</f>
        <v/>
      </c>
      <c r="L597" s="219" t="str">
        <f t="array" ref="L597">INDEX(postDEL!$A$2:$AL799,$O597,38)</f>
        <v/>
      </c>
      <c r="M597" s="219" t="str">
        <f t="array" ref="M597">INDEX(postDEL!$A$2:$AL799,$O597,15)</f>
        <v/>
      </c>
      <c r="N597" s="110">
        <f>COUNTIF(postDEL!$A$2:$A799,A597)</f>
        <v>1</v>
      </c>
      <c r="O597" s="19">
        <f>MATCH(A597,postDEL!A$2:A799,0)</f>
        <v>596</v>
      </c>
      <c r="P597" s="10" t="str">
        <f t="shared" si="1"/>
        <v/>
      </c>
      <c r="Q597" s="220">
        <f t="shared" si="2"/>
        <v>6</v>
      </c>
      <c r="R597" s="5"/>
    </row>
    <row r="598">
      <c r="A598" s="221" t="s">
        <v>1813</v>
      </c>
      <c r="B598" s="217">
        <f t="array" ref="B598">INDEX(postDEL!$A$2:$P799,$O598,2)</f>
        <v>44621</v>
      </c>
      <c r="C598" s="218">
        <f t="array" ref="C598">INDEX(postDEL!$A$2:$P799,$O598,3)</f>
        <v>0.3345949074</v>
      </c>
      <c r="D598" s="219" t="str">
        <f t="array" ref="D598">INDEX(postDEL!$A$2:$AN799,$O598,39)</f>
        <v>SpBEND982485</v>
      </c>
      <c r="E598" s="219" t="str">
        <f t="array" ref="E598">INDEX(postDEL!$A$2:$P799,$O598,4)</f>
        <v/>
      </c>
      <c r="F598" s="219" t="str">
        <f t="array" ref="F598">INDEX(postDEL!$A$2:$P799,$O598,5)</f>
        <v/>
      </c>
      <c r="G598" s="219" t="str">
        <f t="array" ref="G598">INDEX(postDEL!$A$2:$P799,$O598,11)</f>
        <v>Negative</v>
      </c>
      <c r="H598" s="219" t="str">
        <f t="array" ref="H598">INDEX(postDEL!$A$2:$AL799,$O598,37)</f>
        <v>Negative</v>
      </c>
      <c r="I598" s="217">
        <f t="array" ref="I598">INDEX(postDEL!$A$2:$AL799,$O598,12)</f>
        <v>44627</v>
      </c>
      <c r="J598" s="218">
        <f t="array" ref="J598">INDEX(postDEL!$A$2:$AL799,$O598,13)</f>
        <v>0.4779282407</v>
      </c>
      <c r="K598" s="219" t="str">
        <f t="array" ref="K598">INDEX(postDEL!$A$2:$AL799,$O598,36)</f>
        <v/>
      </c>
      <c r="L598" s="219" t="str">
        <f t="array" ref="L598">INDEX(postDEL!$A$2:$AL799,$O598,38)</f>
        <v/>
      </c>
      <c r="M598" s="219" t="str">
        <f t="array" ref="M598">INDEX(postDEL!$A$2:$AL799,$O598,15)</f>
        <v/>
      </c>
      <c r="N598" s="110">
        <f>COUNTIF(postDEL!$A$2:$A799,A598)</f>
        <v>1</v>
      </c>
      <c r="O598" s="19">
        <f>MATCH(A598,postDEL!A$2:A799,0)</f>
        <v>597</v>
      </c>
      <c r="P598" s="10" t="str">
        <f t="shared" si="1"/>
        <v/>
      </c>
      <c r="Q598" s="220">
        <f t="shared" si="2"/>
        <v>6</v>
      </c>
      <c r="R598" s="5"/>
    </row>
    <row r="599">
      <c r="A599" s="221" t="s">
        <v>1815</v>
      </c>
      <c r="B599" s="217">
        <f t="array" ref="B599">INDEX(postDEL!$A$2:$P799,$O599,2)</f>
        <v>44621</v>
      </c>
      <c r="C599" s="218">
        <f t="array" ref="C599">INDEX(postDEL!$A$2:$P799,$O599,3)</f>
        <v>0.3350925926</v>
      </c>
      <c r="D599" s="219" t="str">
        <f t="array" ref="D599">INDEX(postDEL!$A$2:$AN799,$O599,39)</f>
        <v>SpBEND214692</v>
      </c>
      <c r="E599" s="219" t="str">
        <f t="array" ref="E599">INDEX(postDEL!$A$2:$P799,$O599,4)</f>
        <v/>
      </c>
      <c r="F599" s="219" t="str">
        <f t="array" ref="F599">INDEX(postDEL!$A$2:$P799,$O599,5)</f>
        <v/>
      </c>
      <c r="G599" s="219" t="str">
        <f t="array" ref="G599">INDEX(postDEL!$A$2:$P799,$O599,11)</f>
        <v>Negative</v>
      </c>
      <c r="H599" s="219" t="str">
        <f t="array" ref="H599">INDEX(postDEL!$A$2:$AL799,$O599,37)</f>
        <v>Negative</v>
      </c>
      <c r="I599" s="217">
        <f t="array" ref="I599">INDEX(postDEL!$A$2:$AL799,$O599,12)</f>
        <v>44627</v>
      </c>
      <c r="J599" s="218">
        <f t="array" ref="J599">INDEX(postDEL!$A$2:$AL799,$O599,13)</f>
        <v>0.4779282407</v>
      </c>
      <c r="K599" s="219" t="str">
        <f t="array" ref="K599">INDEX(postDEL!$A$2:$AL799,$O599,36)</f>
        <v/>
      </c>
      <c r="L599" s="219" t="str">
        <f t="array" ref="L599">INDEX(postDEL!$A$2:$AL799,$O599,38)</f>
        <v/>
      </c>
      <c r="M599" s="219" t="str">
        <f t="array" ref="M599">INDEX(postDEL!$A$2:$AL799,$O599,15)</f>
        <v/>
      </c>
      <c r="N599" s="110">
        <f>COUNTIF(postDEL!$A$2:$A799,A599)</f>
        <v>1</v>
      </c>
      <c r="O599" s="19">
        <f>MATCH(A599,postDEL!A$2:A799,0)</f>
        <v>598</v>
      </c>
      <c r="P599" s="10" t="str">
        <f t="shared" si="1"/>
        <v/>
      </c>
      <c r="Q599" s="220">
        <f t="shared" si="2"/>
        <v>6</v>
      </c>
      <c r="R599" s="5"/>
    </row>
    <row r="600">
      <c r="A600" s="221" t="s">
        <v>1817</v>
      </c>
      <c r="B600" s="217">
        <f t="array" ref="B600">INDEX(postDEL!$A$2:$P799,$O600,2)</f>
        <v>44621</v>
      </c>
      <c r="C600" s="218">
        <f t="array" ref="C600">INDEX(postDEL!$A$2:$P799,$O600,3)</f>
        <v>0.3414351852</v>
      </c>
      <c r="D600" s="219" t="str">
        <f t="array" ref="D600">INDEX(postDEL!$A$2:$AN799,$O600,39)</f>
        <v>SpBEND541174</v>
      </c>
      <c r="E600" s="219" t="str">
        <f t="array" ref="E600">INDEX(postDEL!$A$2:$P799,$O600,4)</f>
        <v/>
      </c>
      <c r="F600" s="219" t="str">
        <f t="array" ref="F600">INDEX(postDEL!$A$2:$P799,$O600,5)</f>
        <v/>
      </c>
      <c r="G600" s="219" t="str">
        <f t="array" ref="G600">INDEX(postDEL!$A$2:$P799,$O600,11)</f>
        <v>Negative</v>
      </c>
      <c r="H600" s="219" t="str">
        <f t="array" ref="H600">INDEX(postDEL!$A$2:$AL799,$O600,37)</f>
        <v>Negative</v>
      </c>
      <c r="I600" s="217">
        <f t="array" ref="I600">INDEX(postDEL!$A$2:$AL799,$O600,12)</f>
        <v>44627</v>
      </c>
      <c r="J600" s="218">
        <f t="array" ref="J600">INDEX(postDEL!$A$2:$AL799,$O600,13)</f>
        <v>0.4779282407</v>
      </c>
      <c r="K600" s="219" t="str">
        <f t="array" ref="K600">INDEX(postDEL!$A$2:$AL799,$O600,36)</f>
        <v/>
      </c>
      <c r="L600" s="219" t="str">
        <f t="array" ref="L600">INDEX(postDEL!$A$2:$AL799,$O600,38)</f>
        <v/>
      </c>
      <c r="M600" s="219" t="str">
        <f t="array" ref="M600">INDEX(postDEL!$A$2:$AL799,$O600,15)</f>
        <v/>
      </c>
      <c r="N600" s="110">
        <f>COUNTIF(postDEL!$A$2:$A799,A600)</f>
        <v>1</v>
      </c>
      <c r="O600" s="19">
        <f>MATCH(A600,postDEL!A$2:A799,0)</f>
        <v>599</v>
      </c>
      <c r="P600" s="10" t="str">
        <f t="shared" si="1"/>
        <v/>
      </c>
      <c r="Q600" s="220">
        <f t="shared" si="2"/>
        <v>6</v>
      </c>
      <c r="R600" s="5"/>
    </row>
    <row r="601">
      <c r="A601" s="221" t="s">
        <v>1819</v>
      </c>
      <c r="B601" s="217">
        <f t="array" ref="B601">INDEX(postDEL!$A$2:$P799,$O601,2)</f>
        <v>44621</v>
      </c>
      <c r="C601" s="218">
        <f t="array" ref="C601">INDEX(postDEL!$A$2:$P799,$O601,3)</f>
        <v>0.3439699074</v>
      </c>
      <c r="D601" s="219" t="str">
        <f t="array" ref="D601">INDEX(postDEL!$A$2:$AN799,$O601,39)</f>
        <v>SpBEND977859</v>
      </c>
      <c r="E601" s="219" t="str">
        <f t="array" ref="E601">INDEX(postDEL!$A$2:$P799,$O601,4)</f>
        <v/>
      </c>
      <c r="F601" s="219" t="str">
        <f t="array" ref="F601">INDEX(postDEL!$A$2:$P799,$O601,5)</f>
        <v/>
      </c>
      <c r="G601" s="219" t="str">
        <f t="array" ref="G601">INDEX(postDEL!$A$2:$P799,$O601,11)</f>
        <v>Negative</v>
      </c>
      <c r="H601" s="219" t="str">
        <f t="array" ref="H601">INDEX(postDEL!$A$2:$AL799,$O601,37)</f>
        <v>Negative</v>
      </c>
      <c r="I601" s="217">
        <f t="array" ref="I601">INDEX(postDEL!$A$2:$AL799,$O601,12)</f>
        <v>44627</v>
      </c>
      <c r="J601" s="218">
        <f t="array" ref="J601">INDEX(postDEL!$A$2:$AL799,$O601,13)</f>
        <v>0.4779282407</v>
      </c>
      <c r="K601" s="219" t="str">
        <f t="array" ref="K601">INDEX(postDEL!$A$2:$AL799,$O601,36)</f>
        <v/>
      </c>
      <c r="L601" s="219" t="str">
        <f t="array" ref="L601">INDEX(postDEL!$A$2:$AL799,$O601,38)</f>
        <v/>
      </c>
      <c r="M601" s="219" t="str">
        <f t="array" ref="M601">INDEX(postDEL!$A$2:$AL799,$O601,15)</f>
        <v/>
      </c>
      <c r="N601" s="110">
        <f>COUNTIF(postDEL!$A$2:$A799,A601)</f>
        <v>1</v>
      </c>
      <c r="O601" s="19">
        <f>MATCH(A601,postDEL!A$2:A799,0)</f>
        <v>600</v>
      </c>
      <c r="P601" s="10" t="str">
        <f t="shared" si="1"/>
        <v/>
      </c>
      <c r="Q601" s="220">
        <f t="shared" si="2"/>
        <v>6</v>
      </c>
      <c r="R601" s="5"/>
    </row>
    <row r="602">
      <c r="A602" s="221" t="s">
        <v>1821</v>
      </c>
      <c r="B602" s="217">
        <f t="array" ref="B602">INDEX(postDEL!$A$2:$P799,$O602,2)</f>
        <v>44621</v>
      </c>
      <c r="C602" s="218">
        <f t="array" ref="C602">INDEX(postDEL!$A$2:$P799,$O602,3)</f>
        <v>0.3461805556</v>
      </c>
      <c r="D602" s="219" t="str">
        <f t="array" ref="D602">INDEX(postDEL!$A$2:$AN799,$O602,39)</f>
        <v>SpBEND305944</v>
      </c>
      <c r="E602" s="219" t="str">
        <f t="array" ref="E602">INDEX(postDEL!$A$2:$P799,$O602,4)</f>
        <v/>
      </c>
      <c r="F602" s="219" t="str">
        <f t="array" ref="F602">INDEX(postDEL!$A$2:$P799,$O602,5)</f>
        <v/>
      </c>
      <c r="G602" s="219" t="str">
        <f t="array" ref="G602">INDEX(postDEL!$A$2:$P799,$O602,11)</f>
        <v>Negative</v>
      </c>
      <c r="H602" s="219" t="str">
        <f t="array" ref="H602">INDEX(postDEL!$A$2:$AL799,$O602,37)</f>
        <v>Negative</v>
      </c>
      <c r="I602" s="217">
        <f t="array" ref="I602">INDEX(postDEL!$A$2:$AL799,$O602,12)</f>
        <v>44627</v>
      </c>
      <c r="J602" s="218">
        <f t="array" ref="J602">INDEX(postDEL!$A$2:$AL799,$O602,13)</f>
        <v>0.4779282407</v>
      </c>
      <c r="K602" s="219" t="str">
        <f t="array" ref="K602">INDEX(postDEL!$A$2:$AL799,$O602,36)</f>
        <v/>
      </c>
      <c r="L602" s="219" t="str">
        <f t="array" ref="L602">INDEX(postDEL!$A$2:$AL799,$O602,38)</f>
        <v/>
      </c>
      <c r="M602" s="219" t="str">
        <f t="array" ref="M602">INDEX(postDEL!$A$2:$AL799,$O602,15)</f>
        <v/>
      </c>
      <c r="N602" s="110">
        <f>COUNTIF(postDEL!$A$2:$A799,A602)</f>
        <v>1</v>
      </c>
      <c r="O602" s="19">
        <f>MATCH(A602,postDEL!A$2:A799,0)</f>
        <v>601</v>
      </c>
      <c r="P602" s="10" t="str">
        <f t="shared" si="1"/>
        <v/>
      </c>
      <c r="Q602" s="220">
        <f t="shared" si="2"/>
        <v>6</v>
      </c>
      <c r="R602" s="5"/>
    </row>
    <row r="603">
      <c r="A603" s="221" t="s">
        <v>1823</v>
      </c>
      <c r="B603" s="217">
        <f t="array" ref="B603">INDEX(postDEL!$A$2:$P799,$O603,2)</f>
        <v>44621</v>
      </c>
      <c r="C603" s="218">
        <f t="array" ref="C603">INDEX(postDEL!$A$2:$P799,$O603,3)</f>
        <v>0.4451388889</v>
      </c>
      <c r="D603" s="219" t="str">
        <f t="array" ref="D603">INDEX(postDEL!$A$2:$AN799,$O603,39)</f>
        <v>SpBEND914710</v>
      </c>
      <c r="E603" s="219" t="str">
        <f t="array" ref="E603">INDEX(postDEL!$A$2:$P799,$O603,4)</f>
        <v/>
      </c>
      <c r="F603" s="219" t="str">
        <f t="array" ref="F603">INDEX(postDEL!$A$2:$P799,$O603,5)</f>
        <v/>
      </c>
      <c r="G603" s="219" t="str">
        <f t="array" ref="G603">INDEX(postDEL!$A$2:$P799,$O603,11)</f>
        <v>Negative</v>
      </c>
      <c r="H603" s="219" t="str">
        <f t="array" ref="H603">INDEX(postDEL!$A$2:$AL799,$O603,37)</f>
        <v>Negative</v>
      </c>
      <c r="I603" s="217">
        <f t="array" ref="I603">INDEX(postDEL!$A$2:$AL799,$O603,12)</f>
        <v>44623</v>
      </c>
      <c r="J603" s="218">
        <f t="array" ref="J603">INDEX(postDEL!$A$2:$AL799,$O603,13)</f>
        <v>0.4605787037</v>
      </c>
      <c r="K603" s="219" t="str">
        <f t="array" ref="K603">INDEX(postDEL!$A$2:$AL799,$O603,36)</f>
        <v/>
      </c>
      <c r="L603" s="219" t="str">
        <f t="array" ref="L603">INDEX(postDEL!$A$2:$AL799,$O603,38)</f>
        <v/>
      </c>
      <c r="M603" s="219" t="str">
        <f t="array" ref="M603">INDEX(postDEL!$A$2:$AL799,$O603,15)</f>
        <v/>
      </c>
      <c r="N603" s="110">
        <f>COUNTIF(postDEL!$A$2:$A799,A603)</f>
        <v>1</v>
      </c>
      <c r="O603" s="19">
        <f>MATCH(A603,postDEL!A$2:A799,0)</f>
        <v>602</v>
      </c>
      <c r="P603" s="10" t="str">
        <f t="shared" si="1"/>
        <v/>
      </c>
      <c r="Q603" s="220">
        <f t="shared" si="2"/>
        <v>2</v>
      </c>
      <c r="R603" s="5"/>
    </row>
    <row r="604">
      <c r="A604" s="221" t="s">
        <v>1825</v>
      </c>
      <c r="B604" s="217">
        <f t="array" ref="B604">INDEX(postDEL!$A$2:$P799,$O604,2)</f>
        <v>44621</v>
      </c>
      <c r="C604" s="218">
        <f t="array" ref="C604">INDEX(postDEL!$A$2:$P799,$O604,3)</f>
        <v>0.4674652778</v>
      </c>
      <c r="D604" s="219" t="str">
        <f t="array" ref="D604">INDEX(postDEL!$A$2:$AN799,$O604,39)</f>
        <v>SpBEND110967</v>
      </c>
      <c r="E604" s="219" t="str">
        <f t="array" ref="E604">INDEX(postDEL!$A$2:$P799,$O604,4)</f>
        <v/>
      </c>
      <c r="F604" s="219" t="str">
        <f t="array" ref="F604">INDEX(postDEL!$A$2:$P799,$O604,5)</f>
        <v/>
      </c>
      <c r="G604" s="219" t="str">
        <f t="array" ref="G604">INDEX(postDEL!$A$2:$P799,$O604,11)</f>
        <v>Negative</v>
      </c>
      <c r="H604" s="219" t="str">
        <f t="array" ref="H604">INDEX(postDEL!$A$2:$AL799,$O604,37)</f>
        <v>Negative</v>
      </c>
      <c r="I604" s="217">
        <f t="array" ref="I604">INDEX(postDEL!$A$2:$AL799,$O604,12)</f>
        <v>44627</v>
      </c>
      <c r="J604" s="218">
        <f t="array" ref="J604">INDEX(postDEL!$A$2:$AL799,$O604,13)</f>
        <v>0.4779282407</v>
      </c>
      <c r="K604" s="219" t="str">
        <f t="array" ref="K604">INDEX(postDEL!$A$2:$AL799,$O604,36)</f>
        <v/>
      </c>
      <c r="L604" s="219" t="str">
        <f t="array" ref="L604">INDEX(postDEL!$A$2:$AL799,$O604,38)</f>
        <v/>
      </c>
      <c r="M604" s="219" t="str">
        <f t="array" ref="M604">INDEX(postDEL!$A$2:$AL799,$O604,15)</f>
        <v/>
      </c>
      <c r="N604" s="110">
        <f>COUNTIF(postDEL!$A$2:$A799,A604)</f>
        <v>1</v>
      </c>
      <c r="O604" s="19">
        <f>MATCH(A604,postDEL!A$2:A799,0)</f>
        <v>603</v>
      </c>
      <c r="P604" s="10" t="str">
        <f t="shared" si="1"/>
        <v/>
      </c>
      <c r="Q604" s="220">
        <f t="shared" si="2"/>
        <v>6</v>
      </c>
      <c r="R604" s="5"/>
    </row>
    <row r="605">
      <c r="A605" s="221" t="s">
        <v>1827</v>
      </c>
      <c r="B605" s="217">
        <f t="array" ref="B605">INDEX(postDEL!$A$2:$P799,$O605,2)</f>
        <v>44621</v>
      </c>
      <c r="C605" s="218">
        <f t="array" ref="C605">INDEX(postDEL!$A$2:$P799,$O605,3)</f>
        <v>0.4679282407</v>
      </c>
      <c r="D605" s="219" t="str">
        <f t="array" ref="D605">INDEX(postDEL!$A$2:$AN799,$O605,39)</f>
        <v>SpBEND110967</v>
      </c>
      <c r="E605" s="219" t="str">
        <f t="array" ref="E605">INDEX(postDEL!$A$2:$P799,$O605,4)</f>
        <v/>
      </c>
      <c r="F605" s="219" t="str">
        <f t="array" ref="F605">INDEX(postDEL!$A$2:$P799,$O605,5)</f>
        <v/>
      </c>
      <c r="G605" s="219" t="str">
        <f t="array" ref="G605">INDEX(postDEL!$A$2:$P799,$O605,11)</f>
        <v>Negative</v>
      </c>
      <c r="H605" s="219" t="str">
        <f t="array" ref="H605">INDEX(postDEL!$A$2:$AL799,$O605,37)</f>
        <v>Negative</v>
      </c>
      <c r="I605" s="217">
        <f t="array" ref="I605">INDEX(postDEL!$A$2:$AL799,$O605,12)</f>
        <v>44627</v>
      </c>
      <c r="J605" s="218">
        <f t="array" ref="J605">INDEX(postDEL!$A$2:$AL799,$O605,13)</f>
        <v>0.4779398148</v>
      </c>
      <c r="K605" s="219" t="str">
        <f t="array" ref="K605">INDEX(postDEL!$A$2:$AL799,$O605,36)</f>
        <v/>
      </c>
      <c r="L605" s="219" t="str">
        <f t="array" ref="L605">INDEX(postDEL!$A$2:$AL799,$O605,38)</f>
        <v/>
      </c>
      <c r="M605" s="219" t="str">
        <f t="array" ref="M605">INDEX(postDEL!$A$2:$AL799,$O605,15)</f>
        <v/>
      </c>
      <c r="N605" s="110">
        <f>COUNTIF(postDEL!$A$2:$A799,A605)</f>
        <v>1</v>
      </c>
      <c r="O605" s="19">
        <f>MATCH(A605,postDEL!A$2:A799,0)</f>
        <v>604</v>
      </c>
      <c r="P605" s="10" t="str">
        <f t="shared" si="1"/>
        <v/>
      </c>
      <c r="Q605" s="220">
        <f t="shared" si="2"/>
        <v>6</v>
      </c>
      <c r="R605" s="5"/>
    </row>
    <row r="606">
      <c r="A606" s="221" t="s">
        <v>1830</v>
      </c>
      <c r="B606" s="217">
        <f t="array" ref="B606">INDEX(postDEL!$A$2:$P799,$O606,2)</f>
        <v>44621</v>
      </c>
      <c r="C606" s="218">
        <f t="array" ref="C606">INDEX(postDEL!$A$2:$P799,$O606,3)</f>
        <v>0.4681481481</v>
      </c>
      <c r="D606" s="219" t="str">
        <f t="array" ref="D606">INDEX(postDEL!$A$2:$AN799,$O606,39)</f>
        <v>SpBEND110967</v>
      </c>
      <c r="E606" s="219" t="str">
        <f t="array" ref="E606">INDEX(postDEL!$A$2:$P799,$O606,4)</f>
        <v/>
      </c>
      <c r="F606" s="219" t="str">
        <f t="array" ref="F606">INDEX(postDEL!$A$2:$P799,$O606,5)</f>
        <v/>
      </c>
      <c r="G606" s="219" t="str">
        <f t="array" ref="G606">INDEX(postDEL!$A$2:$P799,$O606,11)</f>
        <v>Negative</v>
      </c>
      <c r="H606" s="219" t="str">
        <f t="array" ref="H606">INDEX(postDEL!$A$2:$AL799,$O606,37)</f>
        <v>Negative</v>
      </c>
      <c r="I606" s="217">
        <f t="array" ref="I606">INDEX(postDEL!$A$2:$AL799,$O606,12)</f>
        <v>44627</v>
      </c>
      <c r="J606" s="218">
        <f t="array" ref="J606">INDEX(postDEL!$A$2:$AL799,$O606,13)</f>
        <v>0.4779398148</v>
      </c>
      <c r="K606" s="219" t="str">
        <f t="array" ref="K606">INDEX(postDEL!$A$2:$AL799,$O606,36)</f>
        <v/>
      </c>
      <c r="L606" s="219" t="str">
        <f t="array" ref="L606">INDEX(postDEL!$A$2:$AL799,$O606,38)</f>
        <v/>
      </c>
      <c r="M606" s="219" t="str">
        <f t="array" ref="M606">INDEX(postDEL!$A$2:$AL799,$O606,15)</f>
        <v/>
      </c>
      <c r="N606" s="110">
        <f>COUNTIF(postDEL!$A$2:$A799,A606)</f>
        <v>1</v>
      </c>
      <c r="O606" s="19">
        <f>MATCH(A606,postDEL!A$2:A799,0)</f>
        <v>605</v>
      </c>
      <c r="P606" s="10" t="str">
        <f t="shared" si="1"/>
        <v/>
      </c>
      <c r="Q606" s="220">
        <f t="shared" si="2"/>
        <v>6</v>
      </c>
      <c r="R606" s="5"/>
    </row>
    <row r="607">
      <c r="A607" s="221" t="s">
        <v>1835</v>
      </c>
      <c r="B607" s="217">
        <f t="array" ref="B607">INDEX(postDEL!$A$2:$P799,$O607,2)</f>
        <v>44623</v>
      </c>
      <c r="C607" s="218">
        <f t="array" ref="C607">INDEX(postDEL!$A$2:$P799,$O607,3)</f>
        <v>0.2943287037</v>
      </c>
      <c r="D607" s="219" t="str">
        <f t="array" ref="D607">INDEX(postDEL!$A$2:$AN799,$O607,39)</f>
        <v>SpBEND996809</v>
      </c>
      <c r="E607" s="219" t="str">
        <f t="array" ref="E607">INDEX(postDEL!$A$2:$P799,$O607,4)</f>
        <v/>
      </c>
      <c r="F607" s="219" t="str">
        <f t="array" ref="F607">INDEX(postDEL!$A$2:$P799,$O607,5)</f>
        <v/>
      </c>
      <c r="G607" s="219" t="str">
        <f t="array" ref="G607">INDEX(postDEL!$A$2:$P799,$O607,11)</f>
        <v>Negative</v>
      </c>
      <c r="H607" s="219" t="str">
        <f t="array" ref="H607">INDEX(postDEL!$A$2:$AL799,$O607,37)</f>
        <v>Negative</v>
      </c>
      <c r="I607" s="217">
        <f t="array" ref="I607">INDEX(postDEL!$A$2:$AL799,$O607,12)</f>
        <v>44623</v>
      </c>
      <c r="J607" s="218">
        <f t="array" ref="J607">INDEX(postDEL!$A$2:$AL799,$O607,13)</f>
        <v>0.4605902778</v>
      </c>
      <c r="K607" s="219" t="str">
        <f t="array" ref="K607">INDEX(postDEL!$A$2:$AL799,$O607,36)</f>
        <v/>
      </c>
      <c r="L607" s="219" t="str">
        <f t="array" ref="L607">INDEX(postDEL!$A$2:$AL799,$O607,38)</f>
        <v/>
      </c>
      <c r="M607" s="219" t="str">
        <f t="array" ref="M607">INDEX(postDEL!$A$2:$AL799,$O607,15)</f>
        <v/>
      </c>
      <c r="N607" s="110">
        <f>COUNTIF(postDEL!$A$2:$A799,A607)</f>
        <v>1</v>
      </c>
      <c r="O607" s="19">
        <f>MATCH(A607,postDEL!A$2:A799,0)</f>
        <v>606</v>
      </c>
      <c r="P607" s="10" t="b">
        <f t="shared" si="1"/>
        <v>1</v>
      </c>
      <c r="Q607" s="220">
        <f t="shared" si="2"/>
        <v>0</v>
      </c>
      <c r="R607" s="5"/>
    </row>
    <row r="608">
      <c r="A608" s="221" t="s">
        <v>1837</v>
      </c>
      <c r="B608" s="217">
        <f t="array" ref="B608">INDEX(postDEL!$A$2:$P799,$O608,2)</f>
        <v>44623</v>
      </c>
      <c r="C608" s="218">
        <f t="array" ref="C608">INDEX(postDEL!$A$2:$P799,$O608,3)</f>
        <v>0.2961574074</v>
      </c>
      <c r="D608" s="219" t="str">
        <f t="array" ref="D608">INDEX(postDEL!$A$2:$AN799,$O608,39)</f>
        <v>SpBEND757435</v>
      </c>
      <c r="E608" s="219" t="str">
        <f t="array" ref="E608">INDEX(postDEL!$A$2:$P799,$O608,4)</f>
        <v/>
      </c>
      <c r="F608" s="219" t="str">
        <f t="array" ref="F608">INDEX(postDEL!$A$2:$P799,$O608,5)</f>
        <v/>
      </c>
      <c r="G608" s="219" t="str">
        <f t="array" ref="G608">INDEX(postDEL!$A$2:$P799,$O608,11)</f>
        <v>Negative</v>
      </c>
      <c r="H608" s="219" t="str">
        <f t="array" ref="H608">INDEX(postDEL!$A$2:$AL799,$O608,37)</f>
        <v>Negative</v>
      </c>
      <c r="I608" s="217">
        <f t="array" ref="I608">INDEX(postDEL!$A$2:$AL799,$O608,12)</f>
        <v>44623</v>
      </c>
      <c r="J608" s="218">
        <f t="array" ref="J608">INDEX(postDEL!$A$2:$AL799,$O608,13)</f>
        <v>0.4605902778</v>
      </c>
      <c r="K608" s="219" t="str">
        <f t="array" ref="K608">INDEX(postDEL!$A$2:$AL799,$O608,36)</f>
        <v/>
      </c>
      <c r="L608" s="219" t="str">
        <f t="array" ref="L608">INDEX(postDEL!$A$2:$AL799,$O608,38)</f>
        <v/>
      </c>
      <c r="M608" s="219" t="str">
        <f t="array" ref="M608">INDEX(postDEL!$A$2:$AL799,$O608,15)</f>
        <v/>
      </c>
      <c r="N608" s="110">
        <f>COUNTIF(postDEL!$A$2:$A799,A608)</f>
        <v>1</v>
      </c>
      <c r="O608" s="19">
        <f>MATCH(A608,postDEL!A$2:A799,0)</f>
        <v>607</v>
      </c>
      <c r="P608" s="10" t="str">
        <f t="shared" si="1"/>
        <v/>
      </c>
      <c r="Q608" s="220">
        <f t="shared" si="2"/>
        <v>0</v>
      </c>
      <c r="R608" s="5"/>
    </row>
    <row r="609">
      <c r="A609" s="221" t="s">
        <v>1839</v>
      </c>
      <c r="B609" s="217">
        <f t="array" ref="B609">INDEX(postDEL!$A$2:$P799,$O609,2)</f>
        <v>44623</v>
      </c>
      <c r="C609" s="218">
        <f t="array" ref="C609">INDEX(postDEL!$A$2:$P799,$O609,3)</f>
        <v>0.3038541667</v>
      </c>
      <c r="D609" s="219" t="str">
        <f t="array" ref="D609">INDEX(postDEL!$A$2:$AN799,$O609,39)</f>
        <v>SpBEND139600</v>
      </c>
      <c r="E609" s="219" t="str">
        <f t="array" ref="E609">INDEX(postDEL!$A$2:$P799,$O609,4)</f>
        <v/>
      </c>
      <c r="F609" s="219" t="str">
        <f t="array" ref="F609">INDEX(postDEL!$A$2:$P799,$O609,5)</f>
        <v/>
      </c>
      <c r="G609" s="219" t="str">
        <f t="array" ref="G609">INDEX(postDEL!$A$2:$P799,$O609,11)</f>
        <v>Negative</v>
      </c>
      <c r="H609" s="219" t="str">
        <f t="array" ref="H609">INDEX(postDEL!$A$2:$AL799,$O609,37)</f>
        <v>Negative</v>
      </c>
      <c r="I609" s="217">
        <f t="array" ref="I609">INDEX(postDEL!$A$2:$AL799,$O609,12)</f>
        <v>44623</v>
      </c>
      <c r="J609" s="218">
        <f t="array" ref="J609">INDEX(postDEL!$A$2:$AL799,$O609,13)</f>
        <v>0.4605902778</v>
      </c>
      <c r="K609" s="219" t="str">
        <f t="array" ref="K609">INDEX(postDEL!$A$2:$AL799,$O609,36)</f>
        <v/>
      </c>
      <c r="L609" s="219" t="str">
        <f t="array" ref="L609">INDEX(postDEL!$A$2:$AL799,$O609,38)</f>
        <v/>
      </c>
      <c r="M609" s="219" t="str">
        <f t="array" ref="M609">INDEX(postDEL!$A$2:$AL799,$O609,15)</f>
        <v/>
      </c>
      <c r="N609" s="110">
        <f>COUNTIF(postDEL!$A$2:$A799,A609)</f>
        <v>1</v>
      </c>
      <c r="O609" s="19">
        <f>MATCH(A609,postDEL!A$2:A799,0)</f>
        <v>608</v>
      </c>
      <c r="P609" s="10" t="str">
        <f t="shared" si="1"/>
        <v/>
      </c>
      <c r="Q609" s="220">
        <f t="shared" si="2"/>
        <v>0</v>
      </c>
      <c r="R609" s="5"/>
    </row>
    <row r="610">
      <c r="A610" s="221" t="s">
        <v>1841</v>
      </c>
      <c r="B610" s="217">
        <f t="array" ref="B610">INDEX(postDEL!$A$2:$P799,$O610,2)</f>
        <v>44623</v>
      </c>
      <c r="C610" s="218">
        <f t="array" ref="C610">INDEX(postDEL!$A$2:$P799,$O610,3)</f>
        <v>0.3044791667</v>
      </c>
      <c r="D610" s="219" t="str">
        <f t="array" ref="D610">INDEX(postDEL!$A$2:$AN799,$O610,39)</f>
        <v>SpBEND524085</v>
      </c>
      <c r="E610" s="219" t="str">
        <f t="array" ref="E610">INDEX(postDEL!$A$2:$P799,$O610,4)</f>
        <v/>
      </c>
      <c r="F610" s="219" t="str">
        <f t="array" ref="F610">INDEX(postDEL!$A$2:$P799,$O610,5)</f>
        <v/>
      </c>
      <c r="G610" s="219" t="str">
        <f t="array" ref="G610">INDEX(postDEL!$A$2:$P799,$O610,11)</f>
        <v>Negative</v>
      </c>
      <c r="H610" s="219" t="str">
        <f t="array" ref="H610">INDEX(postDEL!$A$2:$AL799,$O610,37)</f>
        <v>Negative</v>
      </c>
      <c r="I610" s="217">
        <f t="array" ref="I610">INDEX(postDEL!$A$2:$AL799,$O610,12)</f>
        <v>44623</v>
      </c>
      <c r="J610" s="218">
        <f t="array" ref="J610">INDEX(postDEL!$A$2:$AL799,$O610,13)</f>
        <v>0.4605902778</v>
      </c>
      <c r="K610" s="219" t="str">
        <f t="array" ref="K610">INDEX(postDEL!$A$2:$AL799,$O610,36)</f>
        <v/>
      </c>
      <c r="L610" s="219" t="str">
        <f t="array" ref="L610">INDEX(postDEL!$A$2:$AL799,$O610,38)</f>
        <v/>
      </c>
      <c r="M610" s="219" t="str">
        <f t="array" ref="M610">INDEX(postDEL!$A$2:$AL799,$O610,15)</f>
        <v/>
      </c>
      <c r="N610" s="110">
        <f>COUNTIF(postDEL!$A$2:$A799,A610)</f>
        <v>1</v>
      </c>
      <c r="O610" s="19">
        <f>MATCH(A610,postDEL!A$2:A799,0)</f>
        <v>609</v>
      </c>
      <c r="P610" s="10" t="str">
        <f t="shared" si="1"/>
        <v/>
      </c>
      <c r="Q610" s="220">
        <f t="shared" si="2"/>
        <v>0</v>
      </c>
      <c r="R610" s="5"/>
    </row>
    <row r="611">
      <c r="A611" s="221" t="s">
        <v>1843</v>
      </c>
      <c r="B611" s="217">
        <f t="array" ref="B611">INDEX(postDEL!$A$2:$P799,$O611,2)</f>
        <v>44623</v>
      </c>
      <c r="C611" s="218">
        <f t="array" ref="C611">INDEX(postDEL!$A$2:$P799,$O611,3)</f>
        <v>0.3051388889</v>
      </c>
      <c r="D611" s="219" t="str">
        <f t="array" ref="D611">INDEX(postDEL!$A$2:$AN799,$O611,39)</f>
        <v>SpBEND474338</v>
      </c>
      <c r="E611" s="219" t="str">
        <f t="array" ref="E611">INDEX(postDEL!$A$2:$P799,$O611,4)</f>
        <v/>
      </c>
      <c r="F611" s="219" t="str">
        <f t="array" ref="F611">INDEX(postDEL!$A$2:$P799,$O611,5)</f>
        <v/>
      </c>
      <c r="G611" s="219" t="str">
        <f t="array" ref="G611">INDEX(postDEL!$A$2:$P799,$O611,11)</f>
        <v>Negative</v>
      </c>
      <c r="H611" s="219" t="str">
        <f t="array" ref="H611">INDEX(postDEL!$A$2:$AL799,$O611,37)</f>
        <v>Negative</v>
      </c>
      <c r="I611" s="217">
        <f t="array" ref="I611">INDEX(postDEL!$A$2:$AL799,$O611,12)</f>
        <v>44623</v>
      </c>
      <c r="J611" s="218">
        <f t="array" ref="J611">INDEX(postDEL!$A$2:$AL799,$O611,13)</f>
        <v>0.4605902778</v>
      </c>
      <c r="K611" s="219" t="str">
        <f t="array" ref="K611">INDEX(postDEL!$A$2:$AL799,$O611,36)</f>
        <v/>
      </c>
      <c r="L611" s="219" t="str">
        <f t="array" ref="L611">INDEX(postDEL!$A$2:$AL799,$O611,38)</f>
        <v/>
      </c>
      <c r="M611" s="219" t="str">
        <f t="array" ref="M611">INDEX(postDEL!$A$2:$AL799,$O611,15)</f>
        <v/>
      </c>
      <c r="N611" s="110">
        <f>COUNTIF(postDEL!$A$2:$A799,A611)</f>
        <v>1</v>
      </c>
      <c r="O611" s="19">
        <f>MATCH(A611,postDEL!A$2:A799,0)</f>
        <v>610</v>
      </c>
      <c r="P611" s="10" t="str">
        <f t="shared" si="1"/>
        <v/>
      </c>
      <c r="Q611" s="220">
        <f t="shared" si="2"/>
        <v>0</v>
      </c>
      <c r="R611" s="5"/>
    </row>
    <row r="612">
      <c r="A612" s="221" t="s">
        <v>1845</v>
      </c>
      <c r="B612" s="217">
        <f t="array" ref="B612">INDEX(postDEL!$A$2:$P799,$O612,2)</f>
        <v>44623</v>
      </c>
      <c r="C612" s="218">
        <f t="array" ref="C612">INDEX(postDEL!$A$2:$P799,$O612,3)</f>
        <v>0.3095717593</v>
      </c>
      <c r="D612" s="219" t="str">
        <f t="array" ref="D612">INDEX(postDEL!$A$2:$AN799,$O612,39)</f>
        <v>SpBEND637657</v>
      </c>
      <c r="E612" s="219" t="str">
        <f t="array" ref="E612">INDEX(postDEL!$A$2:$P799,$O612,4)</f>
        <v/>
      </c>
      <c r="F612" s="219" t="str">
        <f t="array" ref="F612">INDEX(postDEL!$A$2:$P799,$O612,5)</f>
        <v/>
      </c>
      <c r="G612" s="219" t="str">
        <f t="array" ref="G612">INDEX(postDEL!$A$2:$P799,$O612,11)</f>
        <v>Negative</v>
      </c>
      <c r="H612" s="219" t="str">
        <f t="array" ref="H612">INDEX(postDEL!$A$2:$AL799,$O612,37)</f>
        <v>Negative</v>
      </c>
      <c r="I612" s="217">
        <f t="array" ref="I612">INDEX(postDEL!$A$2:$AL799,$O612,12)</f>
        <v>44623</v>
      </c>
      <c r="J612" s="218">
        <f t="array" ref="J612">INDEX(postDEL!$A$2:$AL799,$O612,13)</f>
        <v>0.4605902778</v>
      </c>
      <c r="K612" s="219" t="str">
        <f t="array" ref="K612">INDEX(postDEL!$A$2:$AL799,$O612,36)</f>
        <v/>
      </c>
      <c r="L612" s="219" t="str">
        <f t="array" ref="L612">INDEX(postDEL!$A$2:$AL799,$O612,38)</f>
        <v/>
      </c>
      <c r="M612" s="219" t="str">
        <f t="array" ref="M612">INDEX(postDEL!$A$2:$AL799,$O612,15)</f>
        <v/>
      </c>
      <c r="N612" s="110">
        <f>COUNTIF(postDEL!$A$2:$A799,A612)</f>
        <v>1</v>
      </c>
      <c r="O612" s="19">
        <f>MATCH(A612,postDEL!A$2:A799,0)</f>
        <v>611</v>
      </c>
      <c r="P612" s="10" t="str">
        <f t="shared" si="1"/>
        <v/>
      </c>
      <c r="Q612" s="220">
        <f t="shared" si="2"/>
        <v>0</v>
      </c>
      <c r="R612" s="5"/>
    </row>
    <row r="613">
      <c r="A613" s="221" t="s">
        <v>1847</v>
      </c>
      <c r="B613" s="217">
        <f t="array" ref="B613">INDEX(postDEL!$A$2:$P799,$O613,2)</f>
        <v>44623</v>
      </c>
      <c r="C613" s="218">
        <f t="array" ref="C613">INDEX(postDEL!$A$2:$P799,$O613,3)</f>
        <v>0.3102662037</v>
      </c>
      <c r="D613" s="219" t="str">
        <f t="array" ref="D613">INDEX(postDEL!$A$2:$AN799,$O613,39)</f>
        <v>SpBEND845509</v>
      </c>
      <c r="E613" s="219" t="str">
        <f t="array" ref="E613">INDEX(postDEL!$A$2:$P799,$O613,4)</f>
        <v/>
      </c>
      <c r="F613" s="219" t="str">
        <f t="array" ref="F613">INDEX(postDEL!$A$2:$P799,$O613,5)</f>
        <v/>
      </c>
      <c r="G613" s="219" t="str">
        <f t="array" ref="G613">INDEX(postDEL!$A$2:$P799,$O613,11)</f>
        <v>Negative</v>
      </c>
      <c r="H613" s="219" t="str">
        <f t="array" ref="H613">INDEX(postDEL!$A$2:$AL799,$O613,37)</f>
        <v>Negative</v>
      </c>
      <c r="I613" s="217">
        <f t="array" ref="I613">INDEX(postDEL!$A$2:$AL799,$O613,12)</f>
        <v>44623</v>
      </c>
      <c r="J613" s="218">
        <f t="array" ref="J613">INDEX(postDEL!$A$2:$AL799,$O613,13)</f>
        <v>0.4605902778</v>
      </c>
      <c r="K613" s="219" t="str">
        <f t="array" ref="K613">INDEX(postDEL!$A$2:$AL799,$O613,36)</f>
        <v/>
      </c>
      <c r="L613" s="219" t="str">
        <f t="array" ref="L613">INDEX(postDEL!$A$2:$AL799,$O613,38)</f>
        <v/>
      </c>
      <c r="M613" s="219" t="str">
        <f t="array" ref="M613">INDEX(postDEL!$A$2:$AL799,$O613,15)</f>
        <v/>
      </c>
      <c r="N613" s="110">
        <f>COUNTIF(postDEL!$A$2:$A799,A613)</f>
        <v>1</v>
      </c>
      <c r="O613" s="19">
        <f>MATCH(A613,postDEL!A$2:A799,0)</f>
        <v>612</v>
      </c>
      <c r="P613" s="10" t="str">
        <f t="shared" si="1"/>
        <v/>
      </c>
      <c r="Q613" s="220">
        <f t="shared" si="2"/>
        <v>0</v>
      </c>
      <c r="R613" s="5"/>
    </row>
    <row r="614">
      <c r="A614" s="221" t="s">
        <v>1849</v>
      </c>
      <c r="B614" s="217">
        <f t="array" ref="B614">INDEX(postDEL!$A$2:$P799,$O614,2)</f>
        <v>44623</v>
      </c>
      <c r="C614" s="218">
        <f t="array" ref="C614">INDEX(postDEL!$A$2:$P799,$O614,3)</f>
        <v>0.3108680556</v>
      </c>
      <c r="D614" s="219" t="str">
        <f t="array" ref="D614">INDEX(postDEL!$A$2:$AN799,$O614,39)</f>
        <v>SpBEND944634</v>
      </c>
      <c r="E614" s="219" t="str">
        <f t="array" ref="E614">INDEX(postDEL!$A$2:$P799,$O614,4)</f>
        <v/>
      </c>
      <c r="F614" s="219" t="str">
        <f t="array" ref="F614">INDEX(postDEL!$A$2:$P799,$O614,5)</f>
        <v/>
      </c>
      <c r="G614" s="219" t="str">
        <f t="array" ref="G614">INDEX(postDEL!$A$2:$P799,$O614,11)</f>
        <v>Negative</v>
      </c>
      <c r="H614" s="219" t="str">
        <f t="array" ref="H614">INDEX(postDEL!$A$2:$AL799,$O614,37)</f>
        <v>Negative</v>
      </c>
      <c r="I614" s="217">
        <f t="array" ref="I614">INDEX(postDEL!$A$2:$AL799,$O614,12)</f>
        <v>44623</v>
      </c>
      <c r="J614" s="218">
        <f t="array" ref="J614">INDEX(postDEL!$A$2:$AL799,$O614,13)</f>
        <v>0.4605902778</v>
      </c>
      <c r="K614" s="219" t="str">
        <f t="array" ref="K614">INDEX(postDEL!$A$2:$AL799,$O614,36)</f>
        <v/>
      </c>
      <c r="L614" s="219" t="str">
        <f t="array" ref="L614">INDEX(postDEL!$A$2:$AL799,$O614,38)</f>
        <v/>
      </c>
      <c r="M614" s="219" t="str">
        <f t="array" ref="M614">INDEX(postDEL!$A$2:$AL799,$O614,15)</f>
        <v/>
      </c>
      <c r="N614" s="110">
        <f>COUNTIF(postDEL!$A$2:$A799,A614)</f>
        <v>1</v>
      </c>
      <c r="O614" s="19">
        <f>MATCH(A614,postDEL!A$2:A799,0)</f>
        <v>613</v>
      </c>
      <c r="P614" s="10" t="str">
        <f t="shared" si="1"/>
        <v/>
      </c>
      <c r="Q614" s="220">
        <f t="shared" si="2"/>
        <v>0</v>
      </c>
      <c r="R614" s="5"/>
    </row>
    <row r="615">
      <c r="A615" s="221" t="s">
        <v>1851</v>
      </c>
      <c r="B615" s="217">
        <f t="array" ref="B615">INDEX(postDEL!$A$2:$P799,$O615,2)</f>
        <v>44623</v>
      </c>
      <c r="C615" s="218">
        <f t="array" ref="C615">INDEX(postDEL!$A$2:$P799,$O615,3)</f>
        <v>0.3110416667</v>
      </c>
      <c r="D615" s="219" t="str">
        <f t="array" ref="D615">INDEX(postDEL!$A$2:$AN799,$O615,39)</f>
        <v>SpBEND985296</v>
      </c>
      <c r="E615" s="219" t="str">
        <f t="array" ref="E615">INDEX(postDEL!$A$2:$P799,$O615,4)</f>
        <v/>
      </c>
      <c r="F615" s="219" t="str">
        <f t="array" ref="F615">INDEX(postDEL!$A$2:$P799,$O615,5)</f>
        <v/>
      </c>
      <c r="G615" s="219" t="str">
        <f t="array" ref="G615">INDEX(postDEL!$A$2:$P799,$O615,11)</f>
        <v>Negative</v>
      </c>
      <c r="H615" s="219" t="str">
        <f t="array" ref="H615">INDEX(postDEL!$A$2:$AL799,$O615,37)</f>
        <v>Negative</v>
      </c>
      <c r="I615" s="217">
        <f t="array" ref="I615">INDEX(postDEL!$A$2:$AL799,$O615,12)</f>
        <v>44623</v>
      </c>
      <c r="J615" s="218">
        <f t="array" ref="J615">INDEX(postDEL!$A$2:$AL799,$O615,13)</f>
        <v>0.4605902778</v>
      </c>
      <c r="K615" s="219" t="str">
        <f t="array" ref="K615">INDEX(postDEL!$A$2:$AL799,$O615,36)</f>
        <v/>
      </c>
      <c r="L615" s="219" t="str">
        <f t="array" ref="L615">INDEX(postDEL!$A$2:$AL799,$O615,38)</f>
        <v/>
      </c>
      <c r="M615" s="219" t="str">
        <f t="array" ref="M615">INDEX(postDEL!$A$2:$AL799,$O615,15)</f>
        <v/>
      </c>
      <c r="N615" s="110">
        <f>COUNTIF(postDEL!$A$2:$A799,A615)</f>
        <v>1</v>
      </c>
      <c r="O615" s="19">
        <f>MATCH(A615,postDEL!A$2:A799,0)</f>
        <v>614</v>
      </c>
      <c r="P615" s="10" t="str">
        <f t="shared" si="1"/>
        <v/>
      </c>
      <c r="Q615" s="220">
        <f t="shared" si="2"/>
        <v>0</v>
      </c>
      <c r="R615" s="5"/>
    </row>
    <row r="616">
      <c r="A616" s="221" t="s">
        <v>1853</v>
      </c>
      <c r="B616" s="217">
        <f t="array" ref="B616">INDEX(postDEL!$A$2:$P799,$O616,2)</f>
        <v>44623</v>
      </c>
      <c r="C616" s="218">
        <f t="array" ref="C616">INDEX(postDEL!$A$2:$P799,$O616,3)</f>
        <v>0.3132523148</v>
      </c>
      <c r="D616" s="219" t="str">
        <f t="array" ref="D616">INDEX(postDEL!$A$2:$AN799,$O616,39)</f>
        <v>SpBEND816435</v>
      </c>
      <c r="E616" s="219" t="str">
        <f t="array" ref="E616">INDEX(postDEL!$A$2:$P799,$O616,4)</f>
        <v/>
      </c>
      <c r="F616" s="219" t="str">
        <f t="array" ref="F616">INDEX(postDEL!$A$2:$P799,$O616,5)</f>
        <v/>
      </c>
      <c r="G616" s="219" t="str">
        <f t="array" ref="G616">INDEX(postDEL!$A$2:$P799,$O616,11)</f>
        <v>Negative</v>
      </c>
      <c r="H616" s="219" t="str">
        <f t="array" ref="H616">INDEX(postDEL!$A$2:$AL799,$O616,37)</f>
        <v>Negative</v>
      </c>
      <c r="I616" s="217">
        <f t="array" ref="I616">INDEX(postDEL!$A$2:$AL799,$O616,12)</f>
        <v>44623</v>
      </c>
      <c r="J616" s="218">
        <f t="array" ref="J616">INDEX(postDEL!$A$2:$AL799,$O616,13)</f>
        <v>0.4605902778</v>
      </c>
      <c r="K616" s="219" t="str">
        <f t="array" ref="K616">INDEX(postDEL!$A$2:$AL799,$O616,36)</f>
        <v/>
      </c>
      <c r="L616" s="219" t="str">
        <f t="array" ref="L616">INDEX(postDEL!$A$2:$AL799,$O616,38)</f>
        <v/>
      </c>
      <c r="M616" s="219" t="str">
        <f t="array" ref="M616">INDEX(postDEL!$A$2:$AL799,$O616,15)</f>
        <v/>
      </c>
      <c r="N616" s="110">
        <f>COUNTIF(postDEL!$A$2:$A799,A616)</f>
        <v>1</v>
      </c>
      <c r="O616" s="19">
        <f>MATCH(A616,postDEL!A$2:A799,0)</f>
        <v>615</v>
      </c>
      <c r="P616" s="10" t="str">
        <f t="shared" si="1"/>
        <v/>
      </c>
      <c r="Q616" s="220">
        <f t="shared" si="2"/>
        <v>0</v>
      </c>
      <c r="R616" s="5"/>
    </row>
    <row r="617">
      <c r="A617" s="221" t="s">
        <v>1855</v>
      </c>
      <c r="B617" s="217">
        <f t="array" ref="B617">INDEX(postDEL!$A$2:$P799,$O617,2)</f>
        <v>44623</v>
      </c>
      <c r="C617" s="218">
        <f t="array" ref="C617">INDEX(postDEL!$A$2:$P799,$O617,3)</f>
        <v>0.3156481481</v>
      </c>
      <c r="D617" s="219" t="str">
        <f t="array" ref="D617">INDEX(postDEL!$A$2:$AN799,$O617,39)</f>
        <v>SpBEND406814</v>
      </c>
      <c r="E617" s="219" t="str">
        <f t="array" ref="E617">INDEX(postDEL!$A$2:$P799,$O617,4)</f>
        <v/>
      </c>
      <c r="F617" s="219" t="str">
        <f t="array" ref="F617">INDEX(postDEL!$A$2:$P799,$O617,5)</f>
        <v/>
      </c>
      <c r="G617" s="219" t="str">
        <f t="array" ref="G617">INDEX(postDEL!$A$2:$P799,$O617,11)</f>
        <v>Negative</v>
      </c>
      <c r="H617" s="219" t="str">
        <f t="array" ref="H617">INDEX(postDEL!$A$2:$AL799,$O617,37)</f>
        <v>Negative</v>
      </c>
      <c r="I617" s="217">
        <f t="array" ref="I617">INDEX(postDEL!$A$2:$AL799,$O617,12)</f>
        <v>44623</v>
      </c>
      <c r="J617" s="218">
        <f t="array" ref="J617">INDEX(postDEL!$A$2:$AL799,$O617,13)</f>
        <v>0.4605902778</v>
      </c>
      <c r="K617" s="219" t="str">
        <f t="array" ref="K617">INDEX(postDEL!$A$2:$AL799,$O617,36)</f>
        <v/>
      </c>
      <c r="L617" s="219" t="str">
        <f t="array" ref="L617">INDEX(postDEL!$A$2:$AL799,$O617,38)</f>
        <v/>
      </c>
      <c r="M617" s="219" t="str">
        <f t="array" ref="M617">INDEX(postDEL!$A$2:$AL799,$O617,15)</f>
        <v/>
      </c>
      <c r="N617" s="110">
        <f>COUNTIF(postDEL!$A$2:$A799,A617)</f>
        <v>1</v>
      </c>
      <c r="O617" s="19">
        <f>MATCH(A617,postDEL!A$2:A799,0)</f>
        <v>616</v>
      </c>
      <c r="P617" s="10" t="str">
        <f t="shared" si="1"/>
        <v/>
      </c>
      <c r="Q617" s="220">
        <f t="shared" si="2"/>
        <v>0</v>
      </c>
      <c r="R617" s="5"/>
    </row>
    <row r="618">
      <c r="A618" s="221" t="s">
        <v>1857</v>
      </c>
      <c r="B618" s="217">
        <f t="array" ref="B618">INDEX(postDEL!$A$2:$P799,$O618,2)</f>
        <v>44623</v>
      </c>
      <c r="C618" s="218">
        <f t="array" ref="C618">INDEX(postDEL!$A$2:$P799,$O618,3)</f>
        <v>0.3174074074</v>
      </c>
      <c r="D618" s="219" t="str">
        <f t="array" ref="D618">INDEX(postDEL!$A$2:$AN799,$O618,39)</f>
        <v>SpBEND436062</v>
      </c>
      <c r="E618" s="219" t="str">
        <f t="array" ref="E618">INDEX(postDEL!$A$2:$P799,$O618,4)</f>
        <v/>
      </c>
      <c r="F618" s="219" t="str">
        <f t="array" ref="F618">INDEX(postDEL!$A$2:$P799,$O618,5)</f>
        <v/>
      </c>
      <c r="G618" s="219" t="str">
        <f t="array" ref="G618">INDEX(postDEL!$A$2:$P799,$O618,11)</f>
        <v>Negative</v>
      </c>
      <c r="H618" s="219" t="str">
        <f t="array" ref="H618">INDEX(postDEL!$A$2:$AL799,$O618,37)</f>
        <v>Negative</v>
      </c>
      <c r="I618" s="217">
        <f t="array" ref="I618">INDEX(postDEL!$A$2:$AL799,$O618,12)</f>
        <v>44623</v>
      </c>
      <c r="J618" s="218">
        <f t="array" ref="J618">INDEX(postDEL!$A$2:$AL799,$O618,13)</f>
        <v>0.4605902778</v>
      </c>
      <c r="K618" s="219" t="str">
        <f t="array" ref="K618">INDEX(postDEL!$A$2:$AL799,$O618,36)</f>
        <v/>
      </c>
      <c r="L618" s="219" t="str">
        <f t="array" ref="L618">INDEX(postDEL!$A$2:$AL799,$O618,38)</f>
        <v/>
      </c>
      <c r="M618" s="219" t="str">
        <f t="array" ref="M618">INDEX(postDEL!$A$2:$AL799,$O618,15)</f>
        <v/>
      </c>
      <c r="N618" s="110">
        <f>COUNTIF(postDEL!$A$2:$A799,A618)</f>
        <v>1</v>
      </c>
      <c r="O618" s="19">
        <f>MATCH(A618,postDEL!A$2:A799,0)</f>
        <v>617</v>
      </c>
      <c r="P618" s="10" t="str">
        <f t="shared" si="1"/>
        <v/>
      </c>
      <c r="Q618" s="220">
        <f t="shared" si="2"/>
        <v>0</v>
      </c>
      <c r="R618" s="5"/>
    </row>
    <row r="619">
      <c r="A619" s="221" t="s">
        <v>1859</v>
      </c>
      <c r="B619" s="217">
        <f t="array" ref="B619">INDEX(postDEL!$A$2:$P799,$O619,2)</f>
        <v>44623</v>
      </c>
      <c r="C619" s="218">
        <f t="array" ref="C619">INDEX(postDEL!$A$2:$P799,$O619,3)</f>
        <v>0.3192824074</v>
      </c>
      <c r="D619" s="219" t="str">
        <f t="array" ref="D619">INDEX(postDEL!$A$2:$AN799,$O619,39)</f>
        <v>SpBEND319298</v>
      </c>
      <c r="E619" s="219" t="str">
        <f t="array" ref="E619">INDEX(postDEL!$A$2:$P799,$O619,4)</f>
        <v/>
      </c>
      <c r="F619" s="219" t="str">
        <f t="array" ref="F619">INDEX(postDEL!$A$2:$P799,$O619,5)</f>
        <v/>
      </c>
      <c r="G619" s="219" t="str">
        <f t="array" ref="G619">INDEX(postDEL!$A$2:$P799,$O619,11)</f>
        <v>Negative</v>
      </c>
      <c r="H619" s="219" t="str">
        <f t="array" ref="H619">INDEX(postDEL!$A$2:$AL799,$O619,37)</f>
        <v>Negative</v>
      </c>
      <c r="I619" s="217">
        <f t="array" ref="I619">INDEX(postDEL!$A$2:$AL799,$O619,12)</f>
        <v>44623</v>
      </c>
      <c r="J619" s="218">
        <f t="array" ref="J619">INDEX(postDEL!$A$2:$AL799,$O619,13)</f>
        <v>0.4605902778</v>
      </c>
      <c r="K619" s="219" t="str">
        <f t="array" ref="K619">INDEX(postDEL!$A$2:$AL799,$O619,36)</f>
        <v/>
      </c>
      <c r="L619" s="219" t="str">
        <f t="array" ref="L619">INDEX(postDEL!$A$2:$AL799,$O619,38)</f>
        <v/>
      </c>
      <c r="M619" s="219" t="str">
        <f t="array" ref="M619">INDEX(postDEL!$A$2:$AL799,$O619,15)</f>
        <v/>
      </c>
      <c r="N619" s="110">
        <f>COUNTIF(postDEL!$A$2:$A799,A619)</f>
        <v>1</v>
      </c>
      <c r="O619" s="19">
        <f>MATCH(A619,postDEL!A$2:A799,0)</f>
        <v>618</v>
      </c>
      <c r="P619" s="10" t="str">
        <f t="shared" si="1"/>
        <v/>
      </c>
      <c r="Q619" s="220">
        <f t="shared" si="2"/>
        <v>0</v>
      </c>
      <c r="R619" s="5"/>
    </row>
    <row r="620">
      <c r="A620" s="221" t="s">
        <v>1861</v>
      </c>
      <c r="B620" s="217">
        <f t="array" ref="B620">INDEX(postDEL!$A$2:$P799,$O620,2)</f>
        <v>44623</v>
      </c>
      <c r="C620" s="218">
        <f t="array" ref="C620">INDEX(postDEL!$A$2:$P799,$O620,3)</f>
        <v>0.3211226852</v>
      </c>
      <c r="D620" s="219" t="str">
        <f t="array" ref="D620">INDEX(postDEL!$A$2:$AN799,$O620,39)</f>
        <v>SpBEND672680</v>
      </c>
      <c r="E620" s="219" t="str">
        <f t="array" ref="E620">INDEX(postDEL!$A$2:$P799,$O620,4)</f>
        <v/>
      </c>
      <c r="F620" s="219" t="str">
        <f t="array" ref="F620">INDEX(postDEL!$A$2:$P799,$O620,5)</f>
        <v/>
      </c>
      <c r="G620" s="219" t="str">
        <f t="array" ref="G620">INDEX(postDEL!$A$2:$P799,$O620,11)</f>
        <v>Negative</v>
      </c>
      <c r="H620" s="219" t="str">
        <f t="array" ref="H620">INDEX(postDEL!$A$2:$AL799,$O620,37)</f>
        <v>Negative</v>
      </c>
      <c r="I620" s="217">
        <f t="array" ref="I620">INDEX(postDEL!$A$2:$AL799,$O620,12)</f>
        <v>44623</v>
      </c>
      <c r="J620" s="218">
        <f t="array" ref="J620">INDEX(postDEL!$A$2:$AL799,$O620,13)</f>
        <v>0.4605902778</v>
      </c>
      <c r="K620" s="219" t="str">
        <f t="array" ref="K620">INDEX(postDEL!$A$2:$AL799,$O620,36)</f>
        <v/>
      </c>
      <c r="L620" s="219" t="str">
        <f t="array" ref="L620">INDEX(postDEL!$A$2:$AL799,$O620,38)</f>
        <v/>
      </c>
      <c r="M620" s="219" t="str">
        <f t="array" ref="M620">INDEX(postDEL!$A$2:$AL799,$O620,15)</f>
        <v/>
      </c>
      <c r="N620" s="110">
        <f>COUNTIF(postDEL!$A$2:$A799,A620)</f>
        <v>1</v>
      </c>
      <c r="O620" s="19">
        <f>MATCH(A620,postDEL!A$2:A799,0)</f>
        <v>619</v>
      </c>
      <c r="P620" s="10" t="str">
        <f t="shared" si="1"/>
        <v/>
      </c>
      <c r="Q620" s="220">
        <f t="shared" si="2"/>
        <v>0</v>
      </c>
      <c r="R620" s="5"/>
    </row>
    <row r="621">
      <c r="A621" s="221" t="s">
        <v>1863</v>
      </c>
      <c r="B621" s="217">
        <f t="array" ref="B621">INDEX(postDEL!$A$2:$P799,$O621,2)</f>
        <v>44623</v>
      </c>
      <c r="C621" s="218">
        <f t="array" ref="C621">INDEX(postDEL!$A$2:$P799,$O621,3)</f>
        <v>0.3217824074</v>
      </c>
      <c r="D621" s="219" t="str">
        <f t="array" ref="D621">INDEX(postDEL!$A$2:$AN799,$O621,39)</f>
        <v>SpBEND183210</v>
      </c>
      <c r="E621" s="219" t="str">
        <f t="array" ref="E621">INDEX(postDEL!$A$2:$P799,$O621,4)</f>
        <v/>
      </c>
      <c r="F621" s="219" t="str">
        <f t="array" ref="F621">INDEX(postDEL!$A$2:$P799,$O621,5)</f>
        <v/>
      </c>
      <c r="G621" s="219" t="str">
        <f t="array" ref="G621">INDEX(postDEL!$A$2:$P799,$O621,11)</f>
        <v>Negative</v>
      </c>
      <c r="H621" s="219" t="str">
        <f t="array" ref="H621">INDEX(postDEL!$A$2:$AL799,$O621,37)</f>
        <v>Negative</v>
      </c>
      <c r="I621" s="217">
        <f t="array" ref="I621">INDEX(postDEL!$A$2:$AL799,$O621,12)</f>
        <v>44623</v>
      </c>
      <c r="J621" s="218">
        <f t="array" ref="J621">INDEX(postDEL!$A$2:$AL799,$O621,13)</f>
        <v>0.4605902778</v>
      </c>
      <c r="K621" s="219" t="str">
        <f t="array" ref="K621">INDEX(postDEL!$A$2:$AL799,$O621,36)</f>
        <v/>
      </c>
      <c r="L621" s="219" t="str">
        <f t="array" ref="L621">INDEX(postDEL!$A$2:$AL799,$O621,38)</f>
        <v/>
      </c>
      <c r="M621" s="219" t="str">
        <f t="array" ref="M621">INDEX(postDEL!$A$2:$AL799,$O621,15)</f>
        <v/>
      </c>
      <c r="N621" s="110">
        <f>COUNTIF(postDEL!$A$2:$A799,A621)</f>
        <v>1</v>
      </c>
      <c r="O621" s="19">
        <f>MATCH(A621,postDEL!A$2:A799,0)</f>
        <v>620</v>
      </c>
      <c r="P621" s="10" t="str">
        <f t="shared" si="1"/>
        <v/>
      </c>
      <c r="Q621" s="220">
        <f t="shared" si="2"/>
        <v>0</v>
      </c>
      <c r="R621" s="5"/>
    </row>
    <row r="622">
      <c r="A622" s="221" t="s">
        <v>1865</v>
      </c>
      <c r="B622" s="217">
        <f t="array" ref="B622">INDEX(postDEL!$A$2:$P799,$O622,2)</f>
        <v>44623</v>
      </c>
      <c r="C622" s="218">
        <f t="array" ref="C622">INDEX(postDEL!$A$2:$P799,$O622,3)</f>
        <v>0.3219791667</v>
      </c>
      <c r="D622" s="219" t="str">
        <f t="array" ref="D622">INDEX(postDEL!$A$2:$AN799,$O622,39)</f>
        <v>SpBEND296258</v>
      </c>
      <c r="E622" s="219" t="str">
        <f t="array" ref="E622">INDEX(postDEL!$A$2:$P799,$O622,4)</f>
        <v/>
      </c>
      <c r="F622" s="219" t="str">
        <f t="array" ref="F622">INDEX(postDEL!$A$2:$P799,$O622,5)</f>
        <v/>
      </c>
      <c r="G622" s="219" t="str">
        <f t="array" ref="G622">INDEX(postDEL!$A$2:$P799,$O622,11)</f>
        <v>Negative</v>
      </c>
      <c r="H622" s="219" t="str">
        <f t="array" ref="H622">INDEX(postDEL!$A$2:$AL799,$O622,37)</f>
        <v>Negative</v>
      </c>
      <c r="I622" s="217">
        <f t="array" ref="I622">INDEX(postDEL!$A$2:$AL799,$O622,12)</f>
        <v>44623</v>
      </c>
      <c r="J622" s="218">
        <f t="array" ref="J622">INDEX(postDEL!$A$2:$AL799,$O622,13)</f>
        <v>0.4605902778</v>
      </c>
      <c r="K622" s="219" t="str">
        <f t="array" ref="K622">INDEX(postDEL!$A$2:$AL799,$O622,36)</f>
        <v/>
      </c>
      <c r="L622" s="219" t="str">
        <f t="array" ref="L622">INDEX(postDEL!$A$2:$AL799,$O622,38)</f>
        <v/>
      </c>
      <c r="M622" s="219" t="str">
        <f t="array" ref="M622">INDEX(postDEL!$A$2:$AL799,$O622,15)</f>
        <v/>
      </c>
      <c r="N622" s="110">
        <f>COUNTIF(postDEL!$A$2:$A799,A622)</f>
        <v>1</v>
      </c>
      <c r="O622" s="19">
        <f>MATCH(A622,postDEL!A$2:A799,0)</f>
        <v>621</v>
      </c>
      <c r="P622" s="10" t="str">
        <f t="shared" si="1"/>
        <v/>
      </c>
      <c r="Q622" s="220">
        <f t="shared" si="2"/>
        <v>0</v>
      </c>
      <c r="R622" s="5"/>
    </row>
    <row r="623">
      <c r="A623" s="221" t="s">
        <v>1867</v>
      </c>
      <c r="B623" s="217">
        <f t="array" ref="B623">INDEX(postDEL!$A$2:$P799,$O623,2)</f>
        <v>44623</v>
      </c>
      <c r="C623" s="218">
        <f t="array" ref="C623">INDEX(postDEL!$A$2:$P799,$O623,3)</f>
        <v>0.3225694444</v>
      </c>
      <c r="D623" s="219" t="str">
        <f t="array" ref="D623">INDEX(postDEL!$A$2:$AN799,$O623,39)</f>
        <v>SpBEND548976</v>
      </c>
      <c r="E623" s="219" t="str">
        <f t="array" ref="E623">INDEX(postDEL!$A$2:$P799,$O623,4)</f>
        <v/>
      </c>
      <c r="F623" s="219" t="str">
        <f t="array" ref="F623">INDEX(postDEL!$A$2:$P799,$O623,5)</f>
        <v/>
      </c>
      <c r="G623" s="219" t="str">
        <f t="array" ref="G623">INDEX(postDEL!$A$2:$P799,$O623,11)</f>
        <v>Negative</v>
      </c>
      <c r="H623" s="219" t="str">
        <f t="array" ref="H623">INDEX(postDEL!$A$2:$AL799,$O623,37)</f>
        <v>Negative</v>
      </c>
      <c r="I623" s="217">
        <f t="array" ref="I623">INDEX(postDEL!$A$2:$AL799,$O623,12)</f>
        <v>44623</v>
      </c>
      <c r="J623" s="218">
        <f t="array" ref="J623">INDEX(postDEL!$A$2:$AL799,$O623,13)</f>
        <v>0.4605902778</v>
      </c>
      <c r="K623" s="219" t="str">
        <f t="array" ref="K623">INDEX(postDEL!$A$2:$AL799,$O623,36)</f>
        <v/>
      </c>
      <c r="L623" s="219" t="str">
        <f t="array" ref="L623">INDEX(postDEL!$A$2:$AL799,$O623,38)</f>
        <v/>
      </c>
      <c r="M623" s="219" t="str">
        <f t="array" ref="M623">INDEX(postDEL!$A$2:$AL799,$O623,15)</f>
        <v/>
      </c>
      <c r="N623" s="110">
        <f>COUNTIF(postDEL!$A$2:$A799,A623)</f>
        <v>1</v>
      </c>
      <c r="O623" s="19">
        <f>MATCH(A623,postDEL!A$2:A799,0)</f>
        <v>622</v>
      </c>
      <c r="P623" s="10" t="str">
        <f t="shared" si="1"/>
        <v/>
      </c>
      <c r="Q623" s="220">
        <f t="shared" si="2"/>
        <v>0</v>
      </c>
      <c r="R623" s="5"/>
    </row>
    <row r="624">
      <c r="A624" s="221" t="s">
        <v>1869</v>
      </c>
      <c r="B624" s="217">
        <f t="array" ref="B624">INDEX(postDEL!$A$2:$P799,$O624,2)</f>
        <v>44623</v>
      </c>
      <c r="C624" s="218">
        <f t="array" ref="C624">INDEX(postDEL!$A$2:$P799,$O624,3)</f>
        <v>0.3226041667</v>
      </c>
      <c r="D624" s="219" t="str">
        <f t="array" ref="D624">INDEX(postDEL!$A$2:$AN799,$O624,39)</f>
        <v>SpBEND198321</v>
      </c>
      <c r="E624" s="219" t="str">
        <f t="array" ref="E624">INDEX(postDEL!$A$2:$P799,$O624,4)</f>
        <v/>
      </c>
      <c r="F624" s="219" t="str">
        <f t="array" ref="F624">INDEX(postDEL!$A$2:$P799,$O624,5)</f>
        <v/>
      </c>
      <c r="G624" s="219" t="str">
        <f t="array" ref="G624">INDEX(postDEL!$A$2:$P799,$O624,11)</f>
        <v>Negative</v>
      </c>
      <c r="H624" s="219" t="str">
        <f t="array" ref="H624">INDEX(postDEL!$A$2:$AL799,$O624,37)</f>
        <v>Negative</v>
      </c>
      <c r="I624" s="217">
        <f t="array" ref="I624">INDEX(postDEL!$A$2:$AL799,$O624,12)</f>
        <v>44623</v>
      </c>
      <c r="J624" s="218">
        <f t="array" ref="J624">INDEX(postDEL!$A$2:$AL799,$O624,13)</f>
        <v>0.4605902778</v>
      </c>
      <c r="K624" s="219" t="str">
        <f t="array" ref="K624">INDEX(postDEL!$A$2:$AL799,$O624,36)</f>
        <v/>
      </c>
      <c r="L624" s="219" t="str">
        <f t="array" ref="L624">INDEX(postDEL!$A$2:$AL799,$O624,38)</f>
        <v/>
      </c>
      <c r="M624" s="219" t="str">
        <f t="array" ref="M624">INDEX(postDEL!$A$2:$AL799,$O624,15)</f>
        <v/>
      </c>
      <c r="N624" s="110">
        <f>COUNTIF(postDEL!$A$2:$A799,A624)</f>
        <v>1</v>
      </c>
      <c r="O624" s="19">
        <f>MATCH(A624,postDEL!A$2:A799,0)</f>
        <v>623</v>
      </c>
      <c r="P624" s="10" t="str">
        <f t="shared" si="1"/>
        <v/>
      </c>
      <c r="Q624" s="220">
        <f t="shared" si="2"/>
        <v>0</v>
      </c>
      <c r="R624" s="5"/>
    </row>
    <row r="625">
      <c r="A625" s="221" t="s">
        <v>1871</v>
      </c>
      <c r="B625" s="217">
        <f t="array" ref="B625">INDEX(postDEL!$A$2:$P799,$O625,2)</f>
        <v>44623</v>
      </c>
      <c r="C625" s="218">
        <f t="array" ref="C625">INDEX(postDEL!$A$2:$P799,$O625,3)</f>
        <v>0.3236342593</v>
      </c>
      <c r="D625" s="219" t="str">
        <f t="array" ref="D625">INDEX(postDEL!$A$2:$AN799,$O625,39)</f>
        <v>SpBEND551372</v>
      </c>
      <c r="E625" s="219" t="str">
        <f t="array" ref="E625">INDEX(postDEL!$A$2:$P799,$O625,4)</f>
        <v/>
      </c>
      <c r="F625" s="219" t="str">
        <f t="array" ref="F625">INDEX(postDEL!$A$2:$P799,$O625,5)</f>
        <v/>
      </c>
      <c r="G625" s="219" t="str">
        <f t="array" ref="G625">INDEX(postDEL!$A$2:$P799,$O625,11)</f>
        <v>Negative</v>
      </c>
      <c r="H625" s="219" t="str">
        <f t="array" ref="H625">INDEX(postDEL!$A$2:$AL799,$O625,37)</f>
        <v>Negative</v>
      </c>
      <c r="I625" s="217">
        <f t="array" ref="I625">INDEX(postDEL!$A$2:$AL799,$O625,12)</f>
        <v>44623</v>
      </c>
      <c r="J625" s="218">
        <f t="array" ref="J625">INDEX(postDEL!$A$2:$AL799,$O625,13)</f>
        <v>0.4605902778</v>
      </c>
      <c r="K625" s="219" t="str">
        <f t="array" ref="K625">INDEX(postDEL!$A$2:$AL799,$O625,36)</f>
        <v/>
      </c>
      <c r="L625" s="219" t="str">
        <f t="array" ref="L625">INDEX(postDEL!$A$2:$AL799,$O625,38)</f>
        <v/>
      </c>
      <c r="M625" s="219" t="str">
        <f t="array" ref="M625">INDEX(postDEL!$A$2:$AL799,$O625,15)</f>
        <v/>
      </c>
      <c r="N625" s="110">
        <f>COUNTIF(postDEL!$A$2:$A799,A625)</f>
        <v>1</v>
      </c>
      <c r="O625" s="19">
        <f>MATCH(A625,postDEL!A$2:A799,0)</f>
        <v>624</v>
      </c>
      <c r="P625" s="10" t="str">
        <f t="shared" si="1"/>
        <v/>
      </c>
      <c r="Q625" s="220">
        <f t="shared" si="2"/>
        <v>0</v>
      </c>
      <c r="R625" s="5"/>
    </row>
    <row r="626">
      <c r="A626" s="221" t="s">
        <v>1873</v>
      </c>
      <c r="B626" s="217">
        <f t="array" ref="B626">INDEX(postDEL!$A$2:$P799,$O626,2)</f>
        <v>44623</v>
      </c>
      <c r="C626" s="218">
        <f t="array" ref="C626">INDEX(postDEL!$A$2:$P799,$O626,3)</f>
        <v>0.3271990741</v>
      </c>
      <c r="D626" s="219" t="str">
        <f t="array" ref="D626">INDEX(postDEL!$A$2:$AN799,$O626,39)</f>
        <v>SpBEND587584</v>
      </c>
      <c r="E626" s="219" t="str">
        <f t="array" ref="E626">INDEX(postDEL!$A$2:$P799,$O626,4)</f>
        <v/>
      </c>
      <c r="F626" s="219" t="str">
        <f t="array" ref="F626">INDEX(postDEL!$A$2:$P799,$O626,5)</f>
        <v/>
      </c>
      <c r="G626" s="219" t="str">
        <f t="array" ref="G626">INDEX(postDEL!$A$2:$P799,$O626,11)</f>
        <v>Negative</v>
      </c>
      <c r="H626" s="219" t="str">
        <f t="array" ref="H626">INDEX(postDEL!$A$2:$AL799,$O626,37)</f>
        <v>Negative</v>
      </c>
      <c r="I626" s="217">
        <f t="array" ref="I626">INDEX(postDEL!$A$2:$AL799,$O626,12)</f>
        <v>44623</v>
      </c>
      <c r="J626" s="218">
        <f t="array" ref="J626">INDEX(postDEL!$A$2:$AL799,$O626,13)</f>
        <v>0.4605902778</v>
      </c>
      <c r="K626" s="219" t="str">
        <f t="array" ref="K626">INDEX(postDEL!$A$2:$AL799,$O626,36)</f>
        <v/>
      </c>
      <c r="L626" s="219" t="str">
        <f t="array" ref="L626">INDEX(postDEL!$A$2:$AL799,$O626,38)</f>
        <v/>
      </c>
      <c r="M626" s="219" t="str">
        <f t="array" ref="M626">INDEX(postDEL!$A$2:$AL799,$O626,15)</f>
        <v/>
      </c>
      <c r="N626" s="110">
        <f>COUNTIF(postDEL!$A$2:$A799,A626)</f>
        <v>1</v>
      </c>
      <c r="O626" s="19">
        <f>MATCH(A626,postDEL!A$2:A799,0)</f>
        <v>625</v>
      </c>
      <c r="P626" s="10" t="str">
        <f t="shared" si="1"/>
        <v/>
      </c>
      <c r="Q626" s="220">
        <f t="shared" si="2"/>
        <v>0</v>
      </c>
      <c r="R626" s="5"/>
    </row>
    <row r="627">
      <c r="A627" s="221" t="s">
        <v>1875</v>
      </c>
      <c r="B627" s="217">
        <f t="array" ref="B627">INDEX(postDEL!$A$2:$P799,$O627,2)</f>
        <v>44623</v>
      </c>
      <c r="C627" s="218">
        <f t="array" ref="C627">INDEX(postDEL!$A$2:$P799,$O627,3)</f>
        <v>0.3344212963</v>
      </c>
      <c r="D627" s="219" t="str">
        <f t="array" ref="D627">INDEX(postDEL!$A$2:$AN799,$O627,39)</f>
        <v>SpBEND643855</v>
      </c>
      <c r="E627" s="219" t="str">
        <f t="array" ref="E627">INDEX(postDEL!$A$2:$P799,$O627,4)</f>
        <v/>
      </c>
      <c r="F627" s="219" t="str">
        <f t="array" ref="F627">INDEX(postDEL!$A$2:$P799,$O627,5)</f>
        <v/>
      </c>
      <c r="G627" s="219" t="str">
        <f t="array" ref="G627">INDEX(postDEL!$A$2:$P799,$O627,11)</f>
        <v>Negative</v>
      </c>
      <c r="H627" s="219" t="str">
        <f t="array" ref="H627">INDEX(postDEL!$A$2:$AL799,$O627,37)</f>
        <v>Negative</v>
      </c>
      <c r="I627" s="217">
        <f t="array" ref="I627">INDEX(postDEL!$A$2:$AL799,$O627,12)</f>
        <v>44623</v>
      </c>
      <c r="J627" s="218">
        <f t="array" ref="J627">INDEX(postDEL!$A$2:$AL799,$O627,13)</f>
        <v>0.4606018519</v>
      </c>
      <c r="K627" s="219" t="str">
        <f t="array" ref="K627">INDEX(postDEL!$A$2:$AL799,$O627,36)</f>
        <v/>
      </c>
      <c r="L627" s="219" t="str">
        <f t="array" ref="L627">INDEX(postDEL!$A$2:$AL799,$O627,38)</f>
        <v/>
      </c>
      <c r="M627" s="219" t="str">
        <f t="array" ref="M627">INDEX(postDEL!$A$2:$AL799,$O627,15)</f>
        <v/>
      </c>
      <c r="N627" s="110">
        <f>COUNTIF(postDEL!$A$2:$A799,A627)</f>
        <v>1</v>
      </c>
      <c r="O627" s="19">
        <f>MATCH(A627,postDEL!A$2:A799,0)</f>
        <v>626</v>
      </c>
      <c r="P627" s="10" t="str">
        <f t="shared" si="1"/>
        <v/>
      </c>
      <c r="Q627" s="220">
        <f t="shared" si="2"/>
        <v>0</v>
      </c>
      <c r="R627" s="5"/>
    </row>
    <row r="628">
      <c r="A628" s="221" t="s">
        <v>1877</v>
      </c>
      <c r="B628" s="217">
        <f t="array" ref="B628">INDEX(postDEL!$A$2:$P799,$O628,2)</f>
        <v>44623</v>
      </c>
      <c r="C628" s="218">
        <f t="array" ref="C628">INDEX(postDEL!$A$2:$P799,$O628,3)</f>
        <v>0.3357291667</v>
      </c>
      <c r="D628" s="219" t="str">
        <f t="array" ref="D628">INDEX(postDEL!$A$2:$AN799,$O628,39)</f>
        <v>SpBEND385421</v>
      </c>
      <c r="E628" s="219" t="str">
        <f t="array" ref="E628">INDEX(postDEL!$A$2:$P799,$O628,4)</f>
        <v/>
      </c>
      <c r="F628" s="219" t="str">
        <f t="array" ref="F628">INDEX(postDEL!$A$2:$P799,$O628,5)</f>
        <v/>
      </c>
      <c r="G628" s="219" t="str">
        <f t="array" ref="G628">INDEX(postDEL!$A$2:$P799,$O628,11)</f>
        <v>Negative</v>
      </c>
      <c r="H628" s="219" t="str">
        <f t="array" ref="H628">INDEX(postDEL!$A$2:$AL799,$O628,37)</f>
        <v>Negative</v>
      </c>
      <c r="I628" s="217">
        <f t="array" ref="I628">INDEX(postDEL!$A$2:$AL799,$O628,12)</f>
        <v>44623</v>
      </c>
      <c r="J628" s="218">
        <f t="array" ref="J628">INDEX(postDEL!$A$2:$AL799,$O628,13)</f>
        <v>0.4606018519</v>
      </c>
      <c r="K628" s="219" t="str">
        <f t="array" ref="K628">INDEX(postDEL!$A$2:$AL799,$O628,36)</f>
        <v/>
      </c>
      <c r="L628" s="219" t="str">
        <f t="array" ref="L628">INDEX(postDEL!$A$2:$AL799,$O628,38)</f>
        <v/>
      </c>
      <c r="M628" s="219" t="str">
        <f t="array" ref="M628">INDEX(postDEL!$A$2:$AL799,$O628,15)</f>
        <v/>
      </c>
      <c r="N628" s="110">
        <f>COUNTIF(postDEL!$A$2:$A799,A628)</f>
        <v>1</v>
      </c>
      <c r="O628" s="19">
        <f>MATCH(A628,postDEL!A$2:A799,0)</f>
        <v>627</v>
      </c>
      <c r="P628" s="10" t="str">
        <f t="shared" si="1"/>
        <v/>
      </c>
      <c r="Q628" s="220">
        <f t="shared" si="2"/>
        <v>0</v>
      </c>
      <c r="R628" s="5"/>
    </row>
    <row r="629">
      <c r="A629" s="221" t="s">
        <v>1879</v>
      </c>
      <c r="B629" s="217">
        <f t="array" ref="B629">INDEX(postDEL!$A$2:$P799,$O629,2)</f>
        <v>44623</v>
      </c>
      <c r="C629" s="218">
        <f t="array" ref="C629">INDEX(postDEL!$A$2:$P799,$O629,3)</f>
        <v>0.336400463</v>
      </c>
      <c r="D629" s="219" t="str">
        <f t="array" ref="D629">INDEX(postDEL!$A$2:$AN799,$O629,39)</f>
        <v>SpBEND292554</v>
      </c>
      <c r="E629" s="219" t="str">
        <f t="array" ref="E629">INDEX(postDEL!$A$2:$P799,$O629,4)</f>
        <v/>
      </c>
      <c r="F629" s="219" t="str">
        <f t="array" ref="F629">INDEX(postDEL!$A$2:$P799,$O629,5)</f>
        <v/>
      </c>
      <c r="G629" s="219" t="str">
        <f t="array" ref="G629">INDEX(postDEL!$A$2:$P799,$O629,11)</f>
        <v>Negative</v>
      </c>
      <c r="H629" s="219" t="str">
        <f t="array" ref="H629">INDEX(postDEL!$A$2:$AL799,$O629,37)</f>
        <v>Negative</v>
      </c>
      <c r="I629" s="217">
        <f t="array" ref="I629">INDEX(postDEL!$A$2:$AL799,$O629,12)</f>
        <v>44623</v>
      </c>
      <c r="J629" s="218">
        <f t="array" ref="J629">INDEX(postDEL!$A$2:$AL799,$O629,13)</f>
        <v>0.4606018519</v>
      </c>
      <c r="K629" s="219" t="str">
        <f t="array" ref="K629">INDEX(postDEL!$A$2:$AL799,$O629,36)</f>
        <v/>
      </c>
      <c r="L629" s="219" t="str">
        <f t="array" ref="L629">INDEX(postDEL!$A$2:$AL799,$O629,38)</f>
        <v/>
      </c>
      <c r="M629" s="219" t="str">
        <f t="array" ref="M629">INDEX(postDEL!$A$2:$AL799,$O629,15)</f>
        <v/>
      </c>
      <c r="N629" s="110">
        <f>COUNTIF(postDEL!$A$2:$A799,A629)</f>
        <v>1</v>
      </c>
      <c r="O629" s="19">
        <f>MATCH(A629,postDEL!A$2:A799,0)</f>
        <v>628</v>
      </c>
      <c r="P629" s="10" t="str">
        <f t="shared" si="1"/>
        <v/>
      </c>
      <c r="Q629" s="220">
        <f t="shared" si="2"/>
        <v>0</v>
      </c>
      <c r="R629" s="5"/>
    </row>
    <row r="630">
      <c r="A630" s="221" t="s">
        <v>1881</v>
      </c>
      <c r="B630" s="217">
        <f t="array" ref="B630">INDEX(postDEL!$A$2:$P799,$O630,2)</f>
        <v>44623</v>
      </c>
      <c r="C630" s="218">
        <f t="array" ref="C630">INDEX(postDEL!$A$2:$P799,$O630,3)</f>
        <v>0.3459143519</v>
      </c>
      <c r="D630" s="219" t="str">
        <f t="array" ref="D630">INDEX(postDEL!$A$2:$AN799,$O630,39)</f>
        <v>SpBEND721986</v>
      </c>
      <c r="E630" s="219" t="str">
        <f t="array" ref="E630">INDEX(postDEL!$A$2:$P799,$O630,4)</f>
        <v/>
      </c>
      <c r="F630" s="219" t="str">
        <f t="array" ref="F630">INDEX(postDEL!$A$2:$P799,$O630,5)</f>
        <v/>
      </c>
      <c r="G630" s="219" t="str">
        <f t="array" ref="G630">INDEX(postDEL!$A$2:$P799,$O630,11)</f>
        <v>Negative</v>
      </c>
      <c r="H630" s="219" t="str">
        <f t="array" ref="H630">INDEX(postDEL!$A$2:$AL799,$O630,37)</f>
        <v>Negative</v>
      </c>
      <c r="I630" s="217">
        <f t="array" ref="I630">INDEX(postDEL!$A$2:$AL799,$O630,12)</f>
        <v>44623</v>
      </c>
      <c r="J630" s="218">
        <f t="array" ref="J630">INDEX(postDEL!$A$2:$AL799,$O630,13)</f>
        <v>0.4606018519</v>
      </c>
      <c r="K630" s="219" t="str">
        <f t="array" ref="K630">INDEX(postDEL!$A$2:$AL799,$O630,36)</f>
        <v/>
      </c>
      <c r="L630" s="219" t="str">
        <f t="array" ref="L630">INDEX(postDEL!$A$2:$AL799,$O630,38)</f>
        <v/>
      </c>
      <c r="M630" s="219" t="str">
        <f t="array" ref="M630">INDEX(postDEL!$A$2:$AL799,$O630,15)</f>
        <v/>
      </c>
      <c r="N630" s="110">
        <f>COUNTIF(postDEL!$A$2:$A799,A630)</f>
        <v>1</v>
      </c>
      <c r="O630" s="19">
        <f>MATCH(A630,postDEL!A$2:A799,0)</f>
        <v>629</v>
      </c>
      <c r="P630" s="10" t="str">
        <f t="shared" si="1"/>
        <v/>
      </c>
      <c r="Q630" s="220">
        <f t="shared" si="2"/>
        <v>0</v>
      </c>
      <c r="R630" s="5"/>
    </row>
    <row r="631">
      <c r="A631" s="221" t="s">
        <v>1883</v>
      </c>
      <c r="B631" s="217">
        <f t="array" ref="B631">INDEX(postDEL!$A$2:$P799,$O631,2)</f>
        <v>44623</v>
      </c>
      <c r="C631" s="218">
        <f t="array" ref="C631">INDEX(postDEL!$A$2:$P799,$O631,3)</f>
        <v>0.3548032407</v>
      </c>
      <c r="D631" s="219" t="str">
        <f t="array" ref="D631">INDEX(postDEL!$A$2:$AN799,$O631,39)</f>
        <v>SpBEND425753</v>
      </c>
      <c r="E631" s="219" t="str">
        <f t="array" ref="E631">INDEX(postDEL!$A$2:$P799,$O631,4)</f>
        <v/>
      </c>
      <c r="F631" s="219" t="str">
        <f t="array" ref="F631">INDEX(postDEL!$A$2:$P799,$O631,5)</f>
        <v/>
      </c>
      <c r="G631" s="219" t="str">
        <f t="array" ref="G631">INDEX(postDEL!$A$2:$P799,$O631,11)</f>
        <v>Negative</v>
      </c>
      <c r="H631" s="219" t="str">
        <f t="array" ref="H631">INDEX(postDEL!$A$2:$AL799,$O631,37)</f>
        <v>Negative</v>
      </c>
      <c r="I631" s="217">
        <f t="array" ref="I631">INDEX(postDEL!$A$2:$AL799,$O631,12)</f>
        <v>44623</v>
      </c>
      <c r="J631" s="218">
        <f t="array" ref="J631">INDEX(postDEL!$A$2:$AL799,$O631,13)</f>
        <v>0.4606018519</v>
      </c>
      <c r="K631" s="219" t="str">
        <f t="array" ref="K631">INDEX(postDEL!$A$2:$AL799,$O631,36)</f>
        <v/>
      </c>
      <c r="L631" s="219" t="str">
        <f t="array" ref="L631">INDEX(postDEL!$A$2:$AL799,$O631,38)</f>
        <v/>
      </c>
      <c r="M631" s="219" t="str">
        <f t="array" ref="M631">INDEX(postDEL!$A$2:$AL799,$O631,15)</f>
        <v/>
      </c>
      <c r="N631" s="110">
        <f>COUNTIF(postDEL!$A$2:$A799,A631)</f>
        <v>1</v>
      </c>
      <c r="O631" s="19">
        <f>MATCH(A631,postDEL!A$2:A799,0)</f>
        <v>630</v>
      </c>
      <c r="P631" s="10" t="str">
        <f t="shared" si="1"/>
        <v/>
      </c>
      <c r="Q631" s="220">
        <f t="shared" si="2"/>
        <v>0</v>
      </c>
      <c r="R631" s="5"/>
    </row>
    <row r="632">
      <c r="A632" s="221" t="s">
        <v>1885</v>
      </c>
      <c r="B632" s="217">
        <f t="array" ref="B632">INDEX(postDEL!$A$2:$P799,$O632,2)</f>
        <v>44623</v>
      </c>
      <c r="C632" s="218">
        <f t="array" ref="C632">INDEX(postDEL!$A$2:$P799,$O632,3)</f>
        <v>0.3894097222</v>
      </c>
      <c r="D632" s="219" t="str">
        <f t="array" ref="D632">INDEX(postDEL!$A$2:$AN799,$O632,39)</f>
        <v>SpBEND110967</v>
      </c>
      <c r="E632" s="219" t="str">
        <f t="array" ref="E632">INDEX(postDEL!$A$2:$P799,$O632,4)</f>
        <v/>
      </c>
      <c r="F632" s="219" t="str">
        <f t="array" ref="F632">INDEX(postDEL!$A$2:$P799,$O632,5)</f>
        <v/>
      </c>
      <c r="G632" s="219" t="str">
        <f t="array" ref="G632">INDEX(postDEL!$A$2:$P799,$O632,11)</f>
        <v>Negative</v>
      </c>
      <c r="H632" s="219" t="str">
        <f t="array" ref="H632">INDEX(postDEL!$A$2:$AL799,$O632,37)</f>
        <v>Negative</v>
      </c>
      <c r="I632" s="217">
        <f t="array" ref="I632">INDEX(postDEL!$A$2:$AL799,$O632,12)</f>
        <v>44623</v>
      </c>
      <c r="J632" s="218">
        <f t="array" ref="J632">INDEX(postDEL!$A$2:$AL799,$O632,13)</f>
        <v>0.4606018519</v>
      </c>
      <c r="K632" s="219" t="str">
        <f t="array" ref="K632">INDEX(postDEL!$A$2:$AL799,$O632,36)</f>
        <v/>
      </c>
      <c r="L632" s="219" t="str">
        <f t="array" ref="L632">INDEX(postDEL!$A$2:$AL799,$O632,38)</f>
        <v/>
      </c>
      <c r="M632" s="219" t="str">
        <f t="array" ref="M632">INDEX(postDEL!$A$2:$AL799,$O632,15)</f>
        <v/>
      </c>
      <c r="N632" s="110">
        <f>COUNTIF(postDEL!$A$2:$A799,A632)</f>
        <v>1</v>
      </c>
      <c r="O632" s="19">
        <f>MATCH(A632,postDEL!A$2:A799,0)</f>
        <v>631</v>
      </c>
      <c r="P632" s="10" t="str">
        <f t="shared" si="1"/>
        <v/>
      </c>
      <c r="Q632" s="220">
        <f t="shared" si="2"/>
        <v>0</v>
      </c>
      <c r="R632" s="5"/>
    </row>
    <row r="633">
      <c r="A633" s="221" t="s">
        <v>1887</v>
      </c>
      <c r="B633" s="217">
        <f t="array" ref="B633">INDEX(postDEL!$A$2:$P799,$O633,2)</f>
        <v>44623</v>
      </c>
      <c r="C633" s="218">
        <f t="array" ref="C633">INDEX(postDEL!$A$2:$P799,$O633,3)</f>
        <v>0.3907638889</v>
      </c>
      <c r="D633" s="219" t="str">
        <f t="array" ref="D633">INDEX(postDEL!$A$2:$AN799,$O633,39)</f>
        <v>SpBEND110967</v>
      </c>
      <c r="E633" s="219" t="str">
        <f t="array" ref="E633">INDEX(postDEL!$A$2:$P799,$O633,4)</f>
        <v/>
      </c>
      <c r="F633" s="219" t="str">
        <f t="array" ref="F633">INDEX(postDEL!$A$2:$P799,$O633,5)</f>
        <v/>
      </c>
      <c r="G633" s="219" t="str">
        <f t="array" ref="G633">INDEX(postDEL!$A$2:$P799,$O633,11)</f>
        <v>Negative</v>
      </c>
      <c r="H633" s="219" t="str">
        <f t="array" ref="H633">INDEX(postDEL!$A$2:$AL799,$O633,37)</f>
        <v>Negative</v>
      </c>
      <c r="I633" s="217">
        <f t="array" ref="I633">INDEX(postDEL!$A$2:$AL799,$O633,12)</f>
        <v>44623</v>
      </c>
      <c r="J633" s="218">
        <f t="array" ref="J633">INDEX(postDEL!$A$2:$AL799,$O633,13)</f>
        <v>0.4606018519</v>
      </c>
      <c r="K633" s="219" t="str">
        <f t="array" ref="K633">INDEX(postDEL!$A$2:$AL799,$O633,36)</f>
        <v/>
      </c>
      <c r="L633" s="219" t="str">
        <f t="array" ref="L633">INDEX(postDEL!$A$2:$AL799,$O633,38)</f>
        <v/>
      </c>
      <c r="M633" s="219" t="str">
        <f t="array" ref="M633">INDEX(postDEL!$A$2:$AL799,$O633,15)</f>
        <v/>
      </c>
      <c r="N633" s="110">
        <f>COUNTIF(postDEL!$A$2:$A799,A633)</f>
        <v>1</v>
      </c>
      <c r="O633" s="19">
        <f>MATCH(A633,postDEL!A$2:A799,0)</f>
        <v>632</v>
      </c>
      <c r="P633" s="10" t="str">
        <f t="shared" si="1"/>
        <v/>
      </c>
      <c r="Q633" s="220">
        <f t="shared" si="2"/>
        <v>0</v>
      </c>
      <c r="R633" s="5"/>
    </row>
    <row r="634">
      <c r="A634" s="221" t="s">
        <v>1890</v>
      </c>
      <c r="B634" s="217">
        <f t="array" ref="B634">INDEX(postDEL!$A$2:$P799,$O634,2)</f>
        <v>44623</v>
      </c>
      <c r="C634" s="218">
        <f t="array" ref="C634">INDEX(postDEL!$A$2:$P799,$O634,3)</f>
        <v>0.3910416667</v>
      </c>
      <c r="D634" s="219" t="str">
        <f t="array" ref="D634">INDEX(postDEL!$A$2:$AN799,$O634,39)</f>
        <v>SpBEND110967</v>
      </c>
      <c r="E634" s="219" t="str">
        <f t="array" ref="E634">INDEX(postDEL!$A$2:$P799,$O634,4)</f>
        <v/>
      </c>
      <c r="F634" s="219" t="str">
        <f t="array" ref="F634">INDEX(postDEL!$A$2:$P799,$O634,5)</f>
        <v/>
      </c>
      <c r="G634" s="219" t="str">
        <f t="array" ref="G634">INDEX(postDEL!$A$2:$P799,$O634,11)</f>
        <v>Positive</v>
      </c>
      <c r="H634" s="219" t="str">
        <f t="array" ref="H634">INDEX(postDEL!$A$2:$AL799,$O634,37)</f>
        <v>Positive</v>
      </c>
      <c r="I634" s="217">
        <f t="array" ref="I634">INDEX(postDEL!$A$2:$AL799,$O634,12)</f>
        <v>44623</v>
      </c>
      <c r="J634" s="218">
        <f t="array" ref="J634">INDEX(postDEL!$A$2:$AL799,$O634,13)</f>
        <v>0.4603819444</v>
      </c>
      <c r="K634" s="219" t="str">
        <f t="array" ref="K634">INDEX(postDEL!$A$2:$AL799,$O634,36)</f>
        <v/>
      </c>
      <c r="L634" s="219" t="str">
        <f t="array" ref="L634">INDEX(postDEL!$A$2:$AL799,$O634,38)</f>
        <v/>
      </c>
      <c r="M634" s="219" t="str">
        <f t="array" ref="M634">INDEX(postDEL!$A$2:$AL799,$O634,15)</f>
        <v/>
      </c>
      <c r="N634" s="110">
        <f>COUNTIF(postDEL!$A$2:$A799,A634)</f>
        <v>1</v>
      </c>
      <c r="O634" s="19">
        <f>MATCH(A634,postDEL!A$2:A799,0)</f>
        <v>633</v>
      </c>
      <c r="P634" s="10" t="str">
        <f t="shared" si="1"/>
        <v/>
      </c>
      <c r="Q634" s="220">
        <f t="shared" si="2"/>
        <v>0</v>
      </c>
      <c r="R634" s="5"/>
    </row>
    <row r="635">
      <c r="A635" s="221" t="s">
        <v>1893</v>
      </c>
      <c r="B635" s="217">
        <f t="array" ref="B635">INDEX(postDEL!$A$2:$P799,$O635,2)</f>
        <v>44623</v>
      </c>
      <c r="C635" s="218">
        <f t="array" ref="C635">INDEX(postDEL!$A$2:$P799,$O635,3)</f>
        <v>0.3912731481</v>
      </c>
      <c r="D635" s="219" t="str">
        <f t="array" ref="D635">INDEX(postDEL!$A$2:$AN799,$O635,39)</f>
        <v>SpBEND110967</v>
      </c>
      <c r="E635" s="219" t="str">
        <f t="array" ref="E635">INDEX(postDEL!$A$2:$P799,$O635,4)</f>
        <v/>
      </c>
      <c r="F635" s="219" t="str">
        <f t="array" ref="F635">INDEX(postDEL!$A$2:$P799,$O635,5)</f>
        <v/>
      </c>
      <c r="G635" s="219" t="str">
        <f t="array" ref="G635">INDEX(postDEL!$A$2:$P799,$O635,11)</f>
        <v>Negative</v>
      </c>
      <c r="H635" s="219" t="str">
        <f t="array" ref="H635">INDEX(postDEL!$A$2:$AL799,$O635,37)</f>
        <v>Negative</v>
      </c>
      <c r="I635" s="217">
        <f t="array" ref="I635">INDEX(postDEL!$A$2:$AL799,$O635,12)</f>
        <v>44623</v>
      </c>
      <c r="J635" s="218">
        <f t="array" ref="J635">INDEX(postDEL!$A$2:$AL799,$O635,13)</f>
        <v>0.4606018519</v>
      </c>
      <c r="K635" s="219" t="str">
        <f t="array" ref="K635">INDEX(postDEL!$A$2:$AL799,$O635,36)</f>
        <v/>
      </c>
      <c r="L635" s="219" t="str">
        <f t="array" ref="L635">INDEX(postDEL!$A$2:$AL799,$O635,38)</f>
        <v/>
      </c>
      <c r="M635" s="219" t="str">
        <f t="array" ref="M635">INDEX(postDEL!$A$2:$AL799,$O635,15)</f>
        <v/>
      </c>
      <c r="N635" s="110">
        <f>COUNTIF(postDEL!$A$2:$A799,A635)</f>
        <v>1</v>
      </c>
      <c r="O635" s="19">
        <f>MATCH(A635,postDEL!A$2:A799,0)</f>
        <v>634</v>
      </c>
      <c r="P635" s="10" t="str">
        <f t="shared" si="1"/>
        <v/>
      </c>
      <c r="Q635" s="220">
        <f t="shared" si="2"/>
        <v>0</v>
      </c>
      <c r="R635" s="5"/>
    </row>
    <row r="636">
      <c r="A636" s="221" t="s">
        <v>1896</v>
      </c>
      <c r="B636" s="217">
        <f t="array" ref="B636">INDEX(postDEL!$A$2:$P799,$O636,2)</f>
        <v>44623</v>
      </c>
      <c r="C636" s="218">
        <f t="array" ref="C636">INDEX(postDEL!$A$2:$P799,$O636,3)</f>
        <v>0.3914930556</v>
      </c>
      <c r="D636" s="219" t="str">
        <f t="array" ref="D636">INDEX(postDEL!$A$2:$AN799,$O636,39)</f>
        <v>SpBEND110967</v>
      </c>
      <c r="E636" s="219" t="str">
        <f t="array" ref="E636">INDEX(postDEL!$A$2:$P799,$O636,4)</f>
        <v/>
      </c>
      <c r="F636" s="219" t="str">
        <f t="array" ref="F636">INDEX(postDEL!$A$2:$P799,$O636,5)</f>
        <v/>
      </c>
      <c r="G636" s="219" t="str">
        <f t="array" ref="G636">INDEX(postDEL!$A$2:$P799,$O636,11)</f>
        <v>Positive</v>
      </c>
      <c r="H636" s="219" t="str">
        <f t="array" ref="H636">INDEX(postDEL!$A$2:$AL799,$O636,37)</f>
        <v>Positive</v>
      </c>
      <c r="I636" s="217">
        <f t="array" ref="I636">INDEX(postDEL!$A$2:$AL799,$O636,12)</f>
        <v>44623</v>
      </c>
      <c r="J636" s="218">
        <f t="array" ref="J636">INDEX(postDEL!$A$2:$AL799,$O636,13)</f>
        <v>0.4603819444</v>
      </c>
      <c r="K636" s="219" t="str">
        <f t="array" ref="K636">INDEX(postDEL!$A$2:$AL799,$O636,36)</f>
        <v/>
      </c>
      <c r="L636" s="219" t="str">
        <f t="array" ref="L636">INDEX(postDEL!$A$2:$AL799,$O636,38)</f>
        <v/>
      </c>
      <c r="M636" s="219" t="str">
        <f t="array" ref="M636">INDEX(postDEL!$A$2:$AL799,$O636,15)</f>
        <v/>
      </c>
      <c r="N636" s="110">
        <f>COUNTIF(postDEL!$A$2:$A799,A636)</f>
        <v>1</v>
      </c>
      <c r="O636" s="19">
        <f>MATCH(A636,postDEL!A$2:A799,0)</f>
        <v>635</v>
      </c>
      <c r="P636" s="10" t="str">
        <f t="shared" si="1"/>
        <v/>
      </c>
      <c r="Q636" s="220">
        <f t="shared" si="2"/>
        <v>0</v>
      </c>
      <c r="R636" s="5"/>
    </row>
    <row r="637">
      <c r="A637" s="221" t="s">
        <v>1899</v>
      </c>
      <c r="B637" s="217">
        <f t="array" ref="B637">INDEX(postDEL!$A$2:$P799,$O637,2)</f>
        <v>44623</v>
      </c>
      <c r="C637" s="218">
        <f t="array" ref="C637">INDEX(postDEL!$A$2:$P799,$O637,3)</f>
        <v>0.4114699074</v>
      </c>
      <c r="D637" s="219" t="str">
        <f t="array" ref="D637">INDEX(postDEL!$A$2:$AN799,$O637,39)</f>
        <v>SpBEND110967</v>
      </c>
      <c r="E637" s="219" t="str">
        <f t="array" ref="E637">INDEX(postDEL!$A$2:$P799,$O637,4)</f>
        <v/>
      </c>
      <c r="F637" s="219" t="str">
        <f t="array" ref="F637">INDEX(postDEL!$A$2:$P799,$O637,5)</f>
        <v/>
      </c>
      <c r="G637" s="219" t="str">
        <f t="array" ref="G637">INDEX(postDEL!$A$2:$P799,$O637,11)</f>
        <v>Negative</v>
      </c>
      <c r="H637" s="219" t="str">
        <f t="array" ref="H637">INDEX(postDEL!$A$2:$AL799,$O637,37)</f>
        <v>Negative</v>
      </c>
      <c r="I637" s="217">
        <f t="array" ref="I637">INDEX(postDEL!$A$2:$AL799,$O637,12)</f>
        <v>44623</v>
      </c>
      <c r="J637" s="218">
        <f t="array" ref="J637">INDEX(postDEL!$A$2:$AL799,$O637,13)</f>
        <v>0.4606018519</v>
      </c>
      <c r="K637" s="219" t="str">
        <f t="array" ref="K637">INDEX(postDEL!$A$2:$AL799,$O637,36)</f>
        <v/>
      </c>
      <c r="L637" s="219" t="str">
        <f t="array" ref="L637">INDEX(postDEL!$A$2:$AL799,$O637,38)</f>
        <v/>
      </c>
      <c r="M637" s="219" t="str">
        <f t="array" ref="M637">INDEX(postDEL!$A$2:$AL799,$O637,15)</f>
        <v/>
      </c>
      <c r="N637" s="110">
        <f>COUNTIF(postDEL!$A$2:$A799,A637)</f>
        <v>1</v>
      </c>
      <c r="O637" s="19">
        <f>MATCH(A637,postDEL!A$2:A799,0)</f>
        <v>636</v>
      </c>
      <c r="P637" s="10" t="str">
        <f t="shared" si="1"/>
        <v/>
      </c>
      <c r="Q637" s="220">
        <f t="shared" si="2"/>
        <v>0</v>
      </c>
      <c r="R637" s="5"/>
    </row>
    <row r="638">
      <c r="A638" s="221" t="s">
        <v>1902</v>
      </c>
      <c r="B638" s="217">
        <f t="array" ref="B638">INDEX(postDEL!$A$2:$P799,$O638,2)</f>
        <v>44623</v>
      </c>
      <c r="C638" s="218">
        <f t="array" ref="C638">INDEX(postDEL!$A$2:$P799,$O638,3)</f>
        <v>0.4583564815</v>
      </c>
      <c r="D638" s="219" t="str">
        <f t="array" ref="D638">INDEX(postDEL!$A$2:$AN799,$O638,39)</f>
        <v>SpBEND110967</v>
      </c>
      <c r="E638" s="219" t="str">
        <f t="array" ref="E638">INDEX(postDEL!$A$2:$P799,$O638,4)</f>
        <v/>
      </c>
      <c r="F638" s="219" t="str">
        <f t="array" ref="F638">INDEX(postDEL!$A$2:$P799,$O638,5)</f>
        <v/>
      </c>
      <c r="G638" s="219" t="str">
        <f t="array" ref="G638">INDEX(postDEL!$A$2:$P799,$O638,11)</f>
        <v>Negative</v>
      </c>
      <c r="H638" s="219" t="str">
        <f t="array" ref="H638">INDEX(postDEL!$A$2:$AL799,$O638,37)</f>
        <v>Negative</v>
      </c>
      <c r="I638" s="217">
        <f t="array" ref="I638">INDEX(postDEL!$A$2:$AL799,$O638,12)</f>
        <v>44623</v>
      </c>
      <c r="J638" s="218">
        <f t="array" ref="J638">INDEX(postDEL!$A$2:$AL799,$O638,13)</f>
        <v>0.4606018519</v>
      </c>
      <c r="K638" s="219" t="str">
        <f t="array" ref="K638">INDEX(postDEL!$A$2:$AL799,$O638,36)</f>
        <v/>
      </c>
      <c r="L638" s="219" t="str">
        <f t="array" ref="L638">INDEX(postDEL!$A$2:$AL799,$O638,38)</f>
        <v/>
      </c>
      <c r="M638" s="219" t="str">
        <f t="array" ref="M638">INDEX(postDEL!$A$2:$AL799,$O638,15)</f>
        <v/>
      </c>
      <c r="N638" s="110">
        <f>COUNTIF(postDEL!$A$2:$A799,A638)</f>
        <v>1</v>
      </c>
      <c r="O638" s="19">
        <f>MATCH(A638,postDEL!A$2:A799,0)</f>
        <v>637</v>
      </c>
      <c r="P638" s="10" t="str">
        <f t="shared" si="1"/>
        <v/>
      </c>
      <c r="Q638" s="220">
        <f t="shared" si="2"/>
        <v>0</v>
      </c>
      <c r="R638" s="5"/>
    </row>
    <row r="639">
      <c r="A639" s="221" t="s">
        <v>1904</v>
      </c>
      <c r="B639" s="217">
        <f t="array" ref="B639">INDEX(postDEL!$A$2:$P799,$O639,2)</f>
        <v>44623</v>
      </c>
      <c r="C639" s="218">
        <f t="array" ref="C639">INDEX(postDEL!$A$2:$P799,$O639,3)</f>
        <v>0.4691666667</v>
      </c>
      <c r="D639" s="219" t="str">
        <f t="array" ref="D639">INDEX(postDEL!$A$2:$AN799,$O639,39)</f>
        <v>SpBEND110967</v>
      </c>
      <c r="E639" s="219" t="str">
        <f t="array" ref="E639">INDEX(postDEL!$A$2:$P799,$O639,4)</f>
        <v/>
      </c>
      <c r="F639" s="219" t="str">
        <f t="array" ref="F639">INDEX(postDEL!$A$2:$P799,$O639,5)</f>
        <v/>
      </c>
      <c r="G639" s="219" t="str">
        <f t="array" ref="G639">INDEX(postDEL!$A$2:$P799,$O639,11)</f>
        <v>Null</v>
      </c>
      <c r="H639" s="219" t="str">
        <f t="array" ref="H639">INDEX(postDEL!$A$2:$AL799,$O639,37)</f>
        <v>Negative</v>
      </c>
      <c r="I639" s="217" t="str">
        <f t="array" ref="I639">INDEX(postDEL!$A$2:$AL799,$O639,12)</f>
        <v/>
      </c>
      <c r="J639" s="218" t="str">
        <f t="array" ref="J639">INDEX(postDEL!$A$2:$AL799,$O639,13)</f>
        <v/>
      </c>
      <c r="K639" s="219">
        <f t="array" ref="K639">INDEX(postDEL!$A$2:$AL799,$O639,36)</f>
        <v>2</v>
      </c>
      <c r="L639" s="219" t="str">
        <f t="array" ref="L639">INDEX(postDEL!$A$2:$AL799,$O639,38)</f>
        <v/>
      </c>
      <c r="M639" s="219" t="str">
        <f t="array" ref="M639">INDEX(postDEL!$A$2:$AL799,$O639,15)</f>
        <v/>
      </c>
      <c r="N639" s="110">
        <f>COUNTIF(postDEL!$A$2:$A799,A639)</f>
        <v>1</v>
      </c>
      <c r="O639" s="19">
        <f>MATCH(A639,postDEL!A$2:A799,0)</f>
        <v>638</v>
      </c>
      <c r="P639" s="10" t="str">
        <f t="shared" si="1"/>
        <v/>
      </c>
      <c r="Q639" s="220">
        <f t="shared" si="2"/>
        <v>-1</v>
      </c>
      <c r="R639" s="5"/>
    </row>
    <row r="640">
      <c r="A640" s="221" t="s">
        <v>1907</v>
      </c>
      <c r="B640" s="217">
        <f t="array" ref="B640">INDEX(postDEL!$A$2:$P799,$O640,2)</f>
        <v>44625</v>
      </c>
      <c r="C640" s="218">
        <f t="array" ref="C640">INDEX(postDEL!$A$2:$P799,$O640,3)</f>
        <v>0.2652893519</v>
      </c>
      <c r="D640" s="219" t="str">
        <f t="array" ref="D640">INDEX(postDEL!$A$2:$AN799,$O640,39)</f>
        <v>SpBEND670368</v>
      </c>
      <c r="E640" s="219" t="str">
        <f t="array" ref="E640">INDEX(postDEL!$A$2:$P799,$O640,4)</f>
        <v/>
      </c>
      <c r="F640" s="219" t="str">
        <f t="array" ref="F640">INDEX(postDEL!$A$2:$P799,$O640,5)</f>
        <v/>
      </c>
      <c r="G640" s="219" t="str">
        <f t="array" ref="G640">INDEX(postDEL!$A$2:$P799,$O640,11)</f>
        <v>Negative</v>
      </c>
      <c r="H640" s="219" t="str">
        <f t="array" ref="H640">INDEX(postDEL!$A$2:$AL799,$O640,37)</f>
        <v>Negative</v>
      </c>
      <c r="I640" s="217">
        <f t="array" ref="I640">INDEX(postDEL!$A$2:$AL799,$O640,12)</f>
        <v>44625</v>
      </c>
      <c r="J640" s="218">
        <f t="array" ref="J640">INDEX(postDEL!$A$2:$AL799,$O640,13)</f>
        <v>0.4897453704</v>
      </c>
      <c r="K640" s="219" t="str">
        <f t="array" ref="K640">INDEX(postDEL!$A$2:$AL799,$O640,36)</f>
        <v/>
      </c>
      <c r="L640" s="219" t="str">
        <f t="array" ref="L640">INDEX(postDEL!$A$2:$AL799,$O640,38)</f>
        <v/>
      </c>
      <c r="M640" s="219" t="str">
        <f t="array" ref="M640">INDEX(postDEL!$A$2:$AL799,$O640,15)</f>
        <v/>
      </c>
      <c r="N640" s="110">
        <f>COUNTIF(postDEL!$A$2:$A799,A640)</f>
        <v>1</v>
      </c>
      <c r="O640" s="19">
        <f>MATCH(A640,postDEL!A$2:A799,0)</f>
        <v>639</v>
      </c>
      <c r="P640" s="10" t="b">
        <f t="shared" si="1"/>
        <v>1</v>
      </c>
      <c r="Q640" s="220">
        <f t="shared" si="2"/>
        <v>0</v>
      </c>
      <c r="R640" s="5"/>
    </row>
    <row r="641">
      <c r="A641" s="221" t="s">
        <v>1909</v>
      </c>
      <c r="B641" s="217">
        <f t="array" ref="B641">INDEX(postDEL!$A$2:$P799,$O641,2)</f>
        <v>44625</v>
      </c>
      <c r="C641" s="218">
        <f t="array" ref="C641">INDEX(postDEL!$A$2:$P799,$O641,3)</f>
        <v>0.2703587963</v>
      </c>
      <c r="D641" s="219" t="str">
        <f t="array" ref="D641">INDEX(postDEL!$A$2:$AN799,$O641,39)</f>
        <v>SpBEND947055</v>
      </c>
      <c r="E641" s="219" t="str">
        <f t="array" ref="E641">INDEX(postDEL!$A$2:$P799,$O641,4)</f>
        <v/>
      </c>
      <c r="F641" s="219" t="str">
        <f t="array" ref="F641">INDEX(postDEL!$A$2:$P799,$O641,5)</f>
        <v/>
      </c>
      <c r="G641" s="219" t="str">
        <f t="array" ref="G641">INDEX(postDEL!$A$2:$P799,$O641,11)</f>
        <v>Negative</v>
      </c>
      <c r="H641" s="219" t="str">
        <f t="array" ref="H641">INDEX(postDEL!$A$2:$AL799,$O641,37)</f>
        <v>Negative</v>
      </c>
      <c r="I641" s="217">
        <f t="array" ref="I641">INDEX(postDEL!$A$2:$AL799,$O641,12)</f>
        <v>44625</v>
      </c>
      <c r="J641" s="218">
        <f t="array" ref="J641">INDEX(postDEL!$A$2:$AL799,$O641,13)</f>
        <v>0.4897453704</v>
      </c>
      <c r="K641" s="219" t="str">
        <f t="array" ref="K641">INDEX(postDEL!$A$2:$AL799,$O641,36)</f>
        <v/>
      </c>
      <c r="L641" s="219" t="str">
        <f t="array" ref="L641">INDEX(postDEL!$A$2:$AL799,$O641,38)</f>
        <v/>
      </c>
      <c r="M641" s="219" t="str">
        <f t="array" ref="M641">INDEX(postDEL!$A$2:$AL799,$O641,15)</f>
        <v/>
      </c>
      <c r="N641" s="110">
        <f>COUNTIF(postDEL!$A$2:$A799,A641)</f>
        <v>1</v>
      </c>
      <c r="O641" s="19">
        <f>MATCH(A641,postDEL!A$2:A799,0)</f>
        <v>640</v>
      </c>
      <c r="P641" s="10" t="str">
        <f t="shared" si="1"/>
        <v/>
      </c>
      <c r="Q641" s="220">
        <f t="shared" si="2"/>
        <v>0</v>
      </c>
      <c r="R641" s="5"/>
    </row>
    <row r="642">
      <c r="A642" s="221" t="s">
        <v>1911</v>
      </c>
      <c r="B642" s="217">
        <f t="array" ref="B642">INDEX(postDEL!$A$2:$P799,$O642,2)</f>
        <v>44625</v>
      </c>
      <c r="C642" s="218">
        <f t="array" ref="C642">INDEX(postDEL!$A$2:$P799,$O642,3)</f>
        <v>0.2726851852</v>
      </c>
      <c r="D642" s="219" t="str">
        <f t="array" ref="D642">INDEX(postDEL!$A$2:$AN799,$O642,39)</f>
        <v>SpBEND734943</v>
      </c>
      <c r="E642" s="219" t="str">
        <f t="array" ref="E642">INDEX(postDEL!$A$2:$P799,$O642,4)</f>
        <v/>
      </c>
      <c r="F642" s="219" t="str">
        <f t="array" ref="F642">INDEX(postDEL!$A$2:$P799,$O642,5)</f>
        <v/>
      </c>
      <c r="G642" s="219" t="str">
        <f t="array" ref="G642">INDEX(postDEL!$A$2:$P799,$O642,11)</f>
        <v>Negative</v>
      </c>
      <c r="H642" s="219" t="str">
        <f t="array" ref="H642">INDEX(postDEL!$A$2:$AL799,$O642,37)</f>
        <v>Negative</v>
      </c>
      <c r="I642" s="217">
        <f t="array" ref="I642">INDEX(postDEL!$A$2:$AL799,$O642,12)</f>
        <v>44625</v>
      </c>
      <c r="J642" s="218">
        <f t="array" ref="J642">INDEX(postDEL!$A$2:$AL799,$O642,13)</f>
        <v>0.4897453704</v>
      </c>
      <c r="K642" s="219" t="str">
        <f t="array" ref="K642">INDEX(postDEL!$A$2:$AL799,$O642,36)</f>
        <v/>
      </c>
      <c r="L642" s="219" t="str">
        <f t="array" ref="L642">INDEX(postDEL!$A$2:$AL799,$O642,38)</f>
        <v/>
      </c>
      <c r="M642" s="219" t="str">
        <f t="array" ref="M642">INDEX(postDEL!$A$2:$AL799,$O642,15)</f>
        <v/>
      </c>
      <c r="N642" s="110">
        <f>COUNTIF(postDEL!$A$2:$A799,A642)</f>
        <v>1</v>
      </c>
      <c r="O642" s="19">
        <f>MATCH(A642,postDEL!A$2:A799,0)</f>
        <v>641</v>
      </c>
      <c r="P642" s="10" t="str">
        <f t="shared" si="1"/>
        <v/>
      </c>
      <c r="Q642" s="220">
        <f t="shared" si="2"/>
        <v>0</v>
      </c>
      <c r="R642" s="5"/>
    </row>
    <row r="643">
      <c r="A643" s="221" t="s">
        <v>1913</v>
      </c>
      <c r="B643" s="217">
        <f t="array" ref="B643">INDEX(postDEL!$A$2:$P799,$O643,2)</f>
        <v>44625</v>
      </c>
      <c r="C643" s="218">
        <f t="array" ref="C643">INDEX(postDEL!$A$2:$P799,$O643,3)</f>
        <v>0.2876967593</v>
      </c>
      <c r="D643" s="219" t="str">
        <f t="array" ref="D643">INDEX(postDEL!$A$2:$AN799,$O643,39)</f>
        <v>SpBEND737678</v>
      </c>
      <c r="E643" s="219" t="str">
        <f t="array" ref="E643">INDEX(postDEL!$A$2:$P799,$O643,4)</f>
        <v/>
      </c>
      <c r="F643" s="219" t="str">
        <f t="array" ref="F643">INDEX(postDEL!$A$2:$P799,$O643,5)</f>
        <v/>
      </c>
      <c r="G643" s="219" t="str">
        <f t="array" ref="G643">INDEX(postDEL!$A$2:$P799,$O643,11)</f>
        <v>Negative</v>
      </c>
      <c r="H643" s="219" t="str">
        <f t="array" ref="H643">INDEX(postDEL!$A$2:$AL799,$O643,37)</f>
        <v>Negative</v>
      </c>
      <c r="I643" s="217">
        <f t="array" ref="I643">INDEX(postDEL!$A$2:$AL799,$O643,12)</f>
        <v>44625</v>
      </c>
      <c r="J643" s="218">
        <f t="array" ref="J643">INDEX(postDEL!$A$2:$AL799,$O643,13)</f>
        <v>0.4897453704</v>
      </c>
      <c r="K643" s="219" t="str">
        <f t="array" ref="K643">INDEX(postDEL!$A$2:$AL799,$O643,36)</f>
        <v/>
      </c>
      <c r="L643" s="219" t="str">
        <f t="array" ref="L643">INDEX(postDEL!$A$2:$AL799,$O643,38)</f>
        <v/>
      </c>
      <c r="M643" s="219" t="str">
        <f t="array" ref="M643">INDEX(postDEL!$A$2:$AL799,$O643,15)</f>
        <v/>
      </c>
      <c r="N643" s="110">
        <f>COUNTIF(postDEL!$A$2:$A799,A643)</f>
        <v>1</v>
      </c>
      <c r="O643" s="19">
        <f>MATCH(A643,postDEL!A$2:A799,0)</f>
        <v>642</v>
      </c>
      <c r="P643" s="10" t="str">
        <f t="shared" si="1"/>
        <v/>
      </c>
      <c r="Q643" s="220">
        <f t="shared" si="2"/>
        <v>0</v>
      </c>
      <c r="R643" s="5"/>
    </row>
    <row r="644">
      <c r="A644" s="221" t="s">
        <v>1915</v>
      </c>
      <c r="B644" s="217">
        <f t="array" ref="B644">INDEX(postDEL!$A$2:$P799,$O644,2)</f>
        <v>44625</v>
      </c>
      <c r="C644" s="218">
        <f t="array" ref="C644">INDEX(postDEL!$A$2:$P799,$O644,3)</f>
        <v>0.2926851852</v>
      </c>
      <c r="D644" s="219" t="str">
        <f t="array" ref="D644">INDEX(postDEL!$A$2:$AN799,$O644,39)</f>
        <v>SpBEND321883</v>
      </c>
      <c r="E644" s="219" t="str">
        <f t="array" ref="E644">INDEX(postDEL!$A$2:$P799,$O644,4)</f>
        <v/>
      </c>
      <c r="F644" s="219" t="str">
        <f t="array" ref="F644">INDEX(postDEL!$A$2:$P799,$O644,5)</f>
        <v/>
      </c>
      <c r="G644" s="219" t="str">
        <f t="array" ref="G644">INDEX(postDEL!$A$2:$P799,$O644,11)</f>
        <v>Negative</v>
      </c>
      <c r="H644" s="219" t="str">
        <f t="array" ref="H644">INDEX(postDEL!$A$2:$AL799,$O644,37)</f>
        <v>Negative</v>
      </c>
      <c r="I644" s="217">
        <f t="array" ref="I644">INDEX(postDEL!$A$2:$AL799,$O644,12)</f>
        <v>44625</v>
      </c>
      <c r="J644" s="218">
        <f t="array" ref="J644">INDEX(postDEL!$A$2:$AL799,$O644,13)</f>
        <v>0.4899884259</v>
      </c>
      <c r="K644" s="219" t="str">
        <f t="array" ref="K644">INDEX(postDEL!$A$2:$AL799,$O644,36)</f>
        <v/>
      </c>
      <c r="L644" s="219" t="str">
        <f t="array" ref="L644">INDEX(postDEL!$A$2:$AL799,$O644,38)</f>
        <v/>
      </c>
      <c r="M644" s="219" t="str">
        <f t="array" ref="M644">INDEX(postDEL!$A$2:$AL799,$O644,15)</f>
        <v/>
      </c>
      <c r="N644" s="110">
        <f>COUNTIF(postDEL!$A$2:$A799,A644)</f>
        <v>1</v>
      </c>
      <c r="O644" s="19">
        <f>MATCH(A644,postDEL!A$2:A799,0)</f>
        <v>643</v>
      </c>
      <c r="P644" s="10" t="str">
        <f t="shared" si="1"/>
        <v/>
      </c>
      <c r="Q644" s="220">
        <f t="shared" si="2"/>
        <v>0</v>
      </c>
      <c r="R644" s="5"/>
    </row>
    <row r="645">
      <c r="A645" s="221" t="s">
        <v>1917</v>
      </c>
      <c r="B645" s="217">
        <f t="array" ref="B645">INDEX(postDEL!$A$2:$P799,$O645,2)</f>
        <v>44625</v>
      </c>
      <c r="C645" s="218">
        <f t="array" ref="C645">INDEX(postDEL!$A$2:$P799,$O645,3)</f>
        <v>0.2944328704</v>
      </c>
      <c r="D645" s="219" t="str">
        <f t="array" ref="D645">INDEX(postDEL!$A$2:$AN799,$O645,39)</f>
        <v>SpBEND610784</v>
      </c>
      <c r="E645" s="219" t="str">
        <f t="array" ref="E645">INDEX(postDEL!$A$2:$P799,$O645,4)</f>
        <v/>
      </c>
      <c r="F645" s="219" t="str">
        <f t="array" ref="F645">INDEX(postDEL!$A$2:$P799,$O645,5)</f>
        <v/>
      </c>
      <c r="G645" s="219" t="str">
        <f t="array" ref="G645">INDEX(postDEL!$A$2:$P799,$O645,11)</f>
        <v>Negative</v>
      </c>
      <c r="H645" s="219" t="str">
        <f t="array" ref="H645">INDEX(postDEL!$A$2:$AL799,$O645,37)</f>
        <v>Negative</v>
      </c>
      <c r="I645" s="217">
        <f t="array" ref="I645">INDEX(postDEL!$A$2:$AL799,$O645,12)</f>
        <v>44625</v>
      </c>
      <c r="J645" s="218">
        <f t="array" ref="J645">INDEX(postDEL!$A$2:$AL799,$O645,13)</f>
        <v>0.4897453704</v>
      </c>
      <c r="K645" s="219" t="str">
        <f t="array" ref="K645">INDEX(postDEL!$A$2:$AL799,$O645,36)</f>
        <v/>
      </c>
      <c r="L645" s="219" t="str">
        <f t="array" ref="L645">INDEX(postDEL!$A$2:$AL799,$O645,38)</f>
        <v/>
      </c>
      <c r="M645" s="219" t="str">
        <f t="array" ref="M645">INDEX(postDEL!$A$2:$AL799,$O645,15)</f>
        <v/>
      </c>
      <c r="N645" s="110">
        <f>COUNTIF(postDEL!$A$2:$A799,A645)</f>
        <v>1</v>
      </c>
      <c r="O645" s="19">
        <f>MATCH(A645,postDEL!A$2:A799,0)</f>
        <v>644</v>
      </c>
      <c r="P645" s="10" t="str">
        <f t="shared" si="1"/>
        <v/>
      </c>
      <c r="Q645" s="220">
        <f t="shared" si="2"/>
        <v>0</v>
      </c>
      <c r="R645" s="5"/>
    </row>
    <row r="646">
      <c r="A646" s="221" t="s">
        <v>1919</v>
      </c>
      <c r="B646" s="217">
        <f t="array" ref="B646">INDEX(postDEL!$A$2:$P799,$O646,2)</f>
        <v>44625</v>
      </c>
      <c r="C646" s="218">
        <f t="array" ref="C646">INDEX(postDEL!$A$2:$P799,$O646,3)</f>
        <v>0.3011574074</v>
      </c>
      <c r="D646" s="219" t="str">
        <f t="array" ref="D646">INDEX(postDEL!$A$2:$AN799,$O646,39)</f>
        <v>SpBEND691307</v>
      </c>
      <c r="E646" s="219" t="str">
        <f t="array" ref="E646">INDEX(postDEL!$A$2:$P799,$O646,4)</f>
        <v/>
      </c>
      <c r="F646" s="219" t="str">
        <f t="array" ref="F646">INDEX(postDEL!$A$2:$P799,$O646,5)</f>
        <v/>
      </c>
      <c r="G646" s="219" t="str">
        <f t="array" ref="G646">INDEX(postDEL!$A$2:$P799,$O646,11)</f>
        <v>Negative</v>
      </c>
      <c r="H646" s="219" t="str">
        <f t="array" ref="H646">INDEX(postDEL!$A$2:$AL799,$O646,37)</f>
        <v>Negative</v>
      </c>
      <c r="I646" s="217">
        <f t="array" ref="I646">INDEX(postDEL!$A$2:$AL799,$O646,12)</f>
        <v>44625</v>
      </c>
      <c r="J646" s="218">
        <f t="array" ref="J646">INDEX(postDEL!$A$2:$AL799,$O646,13)</f>
        <v>0.4897453704</v>
      </c>
      <c r="K646" s="219" t="str">
        <f t="array" ref="K646">INDEX(postDEL!$A$2:$AL799,$O646,36)</f>
        <v/>
      </c>
      <c r="L646" s="219" t="str">
        <f t="array" ref="L646">INDEX(postDEL!$A$2:$AL799,$O646,38)</f>
        <v/>
      </c>
      <c r="M646" s="219" t="str">
        <f t="array" ref="M646">INDEX(postDEL!$A$2:$AL799,$O646,15)</f>
        <v/>
      </c>
      <c r="N646" s="110">
        <f>COUNTIF(postDEL!$A$2:$A799,A646)</f>
        <v>1</v>
      </c>
      <c r="O646" s="19">
        <f>MATCH(A646,postDEL!A$2:A799,0)</f>
        <v>645</v>
      </c>
      <c r="P646" s="10" t="str">
        <f t="shared" si="1"/>
        <v/>
      </c>
      <c r="Q646" s="220">
        <f t="shared" si="2"/>
        <v>0</v>
      </c>
      <c r="R646" s="5"/>
    </row>
    <row r="647">
      <c r="A647" s="221" t="s">
        <v>1921</v>
      </c>
      <c r="B647" s="217">
        <f t="array" ref="B647">INDEX(postDEL!$A$2:$P799,$O647,2)</f>
        <v>44625</v>
      </c>
      <c r="C647" s="218">
        <f t="array" ref="C647">INDEX(postDEL!$A$2:$P799,$O647,3)</f>
        <v>0.3053009259</v>
      </c>
      <c r="D647" s="219" t="str">
        <f t="array" ref="D647">INDEX(postDEL!$A$2:$AN799,$O647,39)</f>
        <v>SpBEND490402</v>
      </c>
      <c r="E647" s="219" t="str">
        <f t="array" ref="E647">INDEX(postDEL!$A$2:$P799,$O647,4)</f>
        <v/>
      </c>
      <c r="F647" s="219" t="str">
        <f t="array" ref="F647">INDEX(postDEL!$A$2:$P799,$O647,5)</f>
        <v/>
      </c>
      <c r="G647" s="219" t="str">
        <f t="array" ref="G647">INDEX(postDEL!$A$2:$P799,$O647,11)</f>
        <v>Negative</v>
      </c>
      <c r="H647" s="219" t="str">
        <f t="array" ref="H647">INDEX(postDEL!$A$2:$AL799,$O647,37)</f>
        <v>Negative</v>
      </c>
      <c r="I647" s="217">
        <f t="array" ref="I647">INDEX(postDEL!$A$2:$AL799,$O647,12)</f>
        <v>44625</v>
      </c>
      <c r="J647" s="218">
        <f t="array" ref="J647">INDEX(postDEL!$A$2:$AL799,$O647,13)</f>
        <v>0.4897453704</v>
      </c>
      <c r="K647" s="219" t="str">
        <f t="array" ref="K647">INDEX(postDEL!$A$2:$AL799,$O647,36)</f>
        <v/>
      </c>
      <c r="L647" s="219" t="str">
        <f t="array" ref="L647">INDEX(postDEL!$A$2:$AL799,$O647,38)</f>
        <v/>
      </c>
      <c r="M647" s="219" t="str">
        <f t="array" ref="M647">INDEX(postDEL!$A$2:$AL799,$O647,15)</f>
        <v/>
      </c>
      <c r="N647" s="110">
        <f>COUNTIF(postDEL!$A$2:$A799,A647)</f>
        <v>1</v>
      </c>
      <c r="O647" s="19">
        <f>MATCH(A647,postDEL!A$2:A799,0)</f>
        <v>646</v>
      </c>
      <c r="P647" s="10" t="str">
        <f t="shared" si="1"/>
        <v/>
      </c>
      <c r="Q647" s="220">
        <f t="shared" si="2"/>
        <v>0</v>
      </c>
      <c r="R647" s="5"/>
    </row>
    <row r="648">
      <c r="A648" s="221" t="s">
        <v>1923</v>
      </c>
      <c r="B648" s="217">
        <f t="array" ref="B648">INDEX(postDEL!$A$2:$P799,$O648,2)</f>
        <v>44625</v>
      </c>
      <c r="C648" s="218">
        <f t="array" ref="C648">INDEX(postDEL!$A$2:$P799,$O648,3)</f>
        <v>0.3078935185</v>
      </c>
      <c r="D648" s="219" t="str">
        <f t="array" ref="D648">INDEX(postDEL!$A$2:$AN799,$O648,39)</f>
        <v>SpBEND611299</v>
      </c>
      <c r="E648" s="219" t="str">
        <f t="array" ref="E648">INDEX(postDEL!$A$2:$P799,$O648,4)</f>
        <v/>
      </c>
      <c r="F648" s="219" t="str">
        <f t="array" ref="F648">INDEX(postDEL!$A$2:$P799,$O648,5)</f>
        <v/>
      </c>
      <c r="G648" s="219" t="str">
        <f t="array" ref="G648">INDEX(postDEL!$A$2:$P799,$O648,11)</f>
        <v>Negative</v>
      </c>
      <c r="H648" s="219" t="str">
        <f t="array" ref="H648">INDEX(postDEL!$A$2:$AL799,$O648,37)</f>
        <v>Negative</v>
      </c>
      <c r="I648" s="217">
        <f t="array" ref="I648">INDEX(postDEL!$A$2:$AL799,$O648,12)</f>
        <v>44625</v>
      </c>
      <c r="J648" s="218">
        <f t="array" ref="J648">INDEX(postDEL!$A$2:$AL799,$O648,13)</f>
        <v>0.4897453704</v>
      </c>
      <c r="K648" s="219" t="str">
        <f t="array" ref="K648">INDEX(postDEL!$A$2:$AL799,$O648,36)</f>
        <v/>
      </c>
      <c r="L648" s="219" t="str">
        <f t="array" ref="L648">INDEX(postDEL!$A$2:$AL799,$O648,38)</f>
        <v/>
      </c>
      <c r="M648" s="219" t="str">
        <f t="array" ref="M648">INDEX(postDEL!$A$2:$AL799,$O648,15)</f>
        <v/>
      </c>
      <c r="N648" s="110">
        <f>COUNTIF(postDEL!$A$2:$A799,A648)</f>
        <v>1</v>
      </c>
      <c r="O648" s="19">
        <f>MATCH(A648,postDEL!A$2:A799,0)</f>
        <v>647</v>
      </c>
      <c r="P648" s="10" t="str">
        <f t="shared" si="1"/>
        <v/>
      </c>
      <c r="Q648" s="220">
        <f t="shared" si="2"/>
        <v>0</v>
      </c>
      <c r="R648" s="5"/>
    </row>
    <row r="649">
      <c r="A649" s="221" t="s">
        <v>1925</v>
      </c>
      <c r="B649" s="217">
        <f t="array" ref="B649">INDEX(postDEL!$A$2:$P799,$O649,2)</f>
        <v>44625</v>
      </c>
      <c r="C649" s="218">
        <f t="array" ref="C649">INDEX(postDEL!$A$2:$P799,$O649,3)</f>
        <v>0.3079861111</v>
      </c>
      <c r="D649" s="219" t="str">
        <f t="array" ref="D649">INDEX(postDEL!$A$2:$AN799,$O649,39)</f>
        <v>SpBEND672680</v>
      </c>
      <c r="E649" s="219" t="str">
        <f t="array" ref="E649">INDEX(postDEL!$A$2:$P799,$O649,4)</f>
        <v/>
      </c>
      <c r="F649" s="219" t="str">
        <f t="array" ref="F649">INDEX(postDEL!$A$2:$P799,$O649,5)</f>
        <v/>
      </c>
      <c r="G649" s="219" t="str">
        <f t="array" ref="G649">INDEX(postDEL!$A$2:$P799,$O649,11)</f>
        <v>Negative</v>
      </c>
      <c r="H649" s="219" t="str">
        <f t="array" ref="H649">INDEX(postDEL!$A$2:$AL799,$O649,37)</f>
        <v>Negative</v>
      </c>
      <c r="I649" s="217">
        <f t="array" ref="I649">INDEX(postDEL!$A$2:$AL799,$O649,12)</f>
        <v>44625</v>
      </c>
      <c r="J649" s="218">
        <f t="array" ref="J649">INDEX(postDEL!$A$2:$AL799,$O649,13)</f>
        <v>0.4897453704</v>
      </c>
      <c r="K649" s="219" t="str">
        <f t="array" ref="K649">INDEX(postDEL!$A$2:$AL799,$O649,36)</f>
        <v/>
      </c>
      <c r="L649" s="219" t="str">
        <f t="array" ref="L649">INDEX(postDEL!$A$2:$AL799,$O649,38)</f>
        <v/>
      </c>
      <c r="M649" s="219" t="str">
        <f t="array" ref="M649">INDEX(postDEL!$A$2:$AL799,$O649,15)</f>
        <v/>
      </c>
      <c r="N649" s="110">
        <f>COUNTIF(postDEL!$A$2:$A799,A649)</f>
        <v>1</v>
      </c>
      <c r="O649" s="19">
        <f>MATCH(A649,postDEL!A$2:A799,0)</f>
        <v>648</v>
      </c>
      <c r="P649" s="10" t="str">
        <f t="shared" si="1"/>
        <v/>
      </c>
      <c r="Q649" s="220">
        <f t="shared" si="2"/>
        <v>0</v>
      </c>
      <c r="R649" s="5"/>
    </row>
    <row r="650">
      <c r="A650" s="221" t="s">
        <v>1927</v>
      </c>
      <c r="B650" s="217">
        <f t="array" ref="B650">INDEX(postDEL!$A$2:$P799,$O650,2)</f>
        <v>44625</v>
      </c>
      <c r="C650" s="218">
        <f t="array" ref="C650">INDEX(postDEL!$A$2:$P799,$O650,3)</f>
        <v>0.308599537</v>
      </c>
      <c r="D650" s="219" t="str">
        <f t="array" ref="D650">INDEX(postDEL!$A$2:$AN799,$O650,39)</f>
        <v>SpBEND591184</v>
      </c>
      <c r="E650" s="219" t="str">
        <f t="array" ref="E650">INDEX(postDEL!$A$2:$P799,$O650,4)</f>
        <v/>
      </c>
      <c r="F650" s="219" t="str">
        <f t="array" ref="F650">INDEX(postDEL!$A$2:$P799,$O650,5)</f>
        <v/>
      </c>
      <c r="G650" s="219" t="str">
        <f t="array" ref="G650">INDEX(postDEL!$A$2:$P799,$O650,11)</f>
        <v>Negative</v>
      </c>
      <c r="H650" s="219" t="str">
        <f t="array" ref="H650">INDEX(postDEL!$A$2:$AL799,$O650,37)</f>
        <v>Negative</v>
      </c>
      <c r="I650" s="217">
        <f t="array" ref="I650">INDEX(postDEL!$A$2:$AL799,$O650,12)</f>
        <v>44625</v>
      </c>
      <c r="J650" s="218">
        <f t="array" ref="J650">INDEX(postDEL!$A$2:$AL799,$O650,13)</f>
        <v>0.4897453704</v>
      </c>
      <c r="K650" s="219" t="str">
        <f t="array" ref="K650">INDEX(postDEL!$A$2:$AL799,$O650,36)</f>
        <v/>
      </c>
      <c r="L650" s="219" t="str">
        <f t="array" ref="L650">INDEX(postDEL!$A$2:$AL799,$O650,38)</f>
        <v/>
      </c>
      <c r="M650" s="219" t="str">
        <f t="array" ref="M650">INDEX(postDEL!$A$2:$AL799,$O650,15)</f>
        <v/>
      </c>
      <c r="N650" s="110">
        <f>COUNTIF(postDEL!$A$2:$A799,A650)</f>
        <v>1</v>
      </c>
      <c r="O650" s="19">
        <f>MATCH(A650,postDEL!A$2:A799,0)</f>
        <v>649</v>
      </c>
      <c r="P650" s="10" t="str">
        <f t="shared" si="1"/>
        <v/>
      </c>
      <c r="Q650" s="220">
        <f t="shared" si="2"/>
        <v>0</v>
      </c>
      <c r="R650" s="5"/>
    </row>
    <row r="651">
      <c r="A651" s="221" t="s">
        <v>1929</v>
      </c>
      <c r="B651" s="217">
        <f t="array" ref="B651">INDEX(postDEL!$A$2:$P799,$O651,2)</f>
        <v>44625</v>
      </c>
      <c r="C651" s="218">
        <f t="array" ref="C651">INDEX(postDEL!$A$2:$P799,$O651,3)</f>
        <v>0.3088657407</v>
      </c>
      <c r="D651" s="219" t="str">
        <f t="array" ref="D651">INDEX(postDEL!$A$2:$AN799,$O651,39)</f>
        <v>SpBEND634692</v>
      </c>
      <c r="E651" s="219" t="str">
        <f t="array" ref="E651">INDEX(postDEL!$A$2:$P799,$O651,4)</f>
        <v/>
      </c>
      <c r="F651" s="219" t="str">
        <f t="array" ref="F651">INDEX(postDEL!$A$2:$P799,$O651,5)</f>
        <v/>
      </c>
      <c r="G651" s="219" t="str">
        <f t="array" ref="G651">INDEX(postDEL!$A$2:$P799,$O651,11)</f>
        <v>Negative</v>
      </c>
      <c r="H651" s="219" t="str">
        <f t="array" ref="H651">INDEX(postDEL!$A$2:$AL799,$O651,37)</f>
        <v>Negative</v>
      </c>
      <c r="I651" s="217">
        <f t="array" ref="I651">INDEX(postDEL!$A$2:$AL799,$O651,12)</f>
        <v>44625</v>
      </c>
      <c r="J651" s="218">
        <f t="array" ref="J651">INDEX(postDEL!$A$2:$AL799,$O651,13)</f>
        <v>0.4897453704</v>
      </c>
      <c r="K651" s="219" t="str">
        <f t="array" ref="K651">INDEX(postDEL!$A$2:$AL799,$O651,36)</f>
        <v/>
      </c>
      <c r="L651" s="219" t="str">
        <f t="array" ref="L651">INDEX(postDEL!$A$2:$AL799,$O651,38)</f>
        <v/>
      </c>
      <c r="M651" s="219" t="str">
        <f t="array" ref="M651">INDEX(postDEL!$A$2:$AL799,$O651,15)</f>
        <v/>
      </c>
      <c r="N651" s="110">
        <f>COUNTIF(postDEL!$A$2:$A799,A651)</f>
        <v>1</v>
      </c>
      <c r="O651" s="19">
        <f>MATCH(A651,postDEL!A$2:A799,0)</f>
        <v>650</v>
      </c>
      <c r="P651" s="10" t="str">
        <f t="shared" si="1"/>
        <v/>
      </c>
      <c r="Q651" s="220">
        <f t="shared" si="2"/>
        <v>0</v>
      </c>
      <c r="R651" s="5"/>
    </row>
    <row r="652">
      <c r="A652" s="221" t="s">
        <v>1931</v>
      </c>
      <c r="B652" s="217">
        <f t="array" ref="B652">INDEX(postDEL!$A$2:$P799,$O652,2)</f>
        <v>44625</v>
      </c>
      <c r="C652" s="218">
        <f t="array" ref="C652">INDEX(postDEL!$A$2:$P799,$O652,3)</f>
        <v>0.3098148148</v>
      </c>
      <c r="D652" s="219" t="str">
        <f t="array" ref="D652">INDEX(postDEL!$A$2:$AN799,$O652,39)</f>
        <v>SpBEND279112</v>
      </c>
      <c r="E652" s="219" t="str">
        <f t="array" ref="E652">INDEX(postDEL!$A$2:$P799,$O652,4)</f>
        <v/>
      </c>
      <c r="F652" s="219" t="str">
        <f t="array" ref="F652">INDEX(postDEL!$A$2:$P799,$O652,5)</f>
        <v/>
      </c>
      <c r="G652" s="219" t="str">
        <f t="array" ref="G652">INDEX(postDEL!$A$2:$P799,$O652,11)</f>
        <v>Negative</v>
      </c>
      <c r="H652" s="219" t="str">
        <f t="array" ref="H652">INDEX(postDEL!$A$2:$AL799,$O652,37)</f>
        <v>Negative</v>
      </c>
      <c r="I652" s="217">
        <f t="array" ref="I652">INDEX(postDEL!$A$2:$AL799,$O652,12)</f>
        <v>44625</v>
      </c>
      <c r="J652" s="218">
        <f t="array" ref="J652">INDEX(postDEL!$A$2:$AL799,$O652,13)</f>
        <v>0.4897453704</v>
      </c>
      <c r="K652" s="219" t="str">
        <f t="array" ref="K652">INDEX(postDEL!$A$2:$AL799,$O652,36)</f>
        <v/>
      </c>
      <c r="L652" s="219" t="str">
        <f t="array" ref="L652">INDEX(postDEL!$A$2:$AL799,$O652,38)</f>
        <v/>
      </c>
      <c r="M652" s="219" t="str">
        <f t="array" ref="M652">INDEX(postDEL!$A$2:$AL799,$O652,15)</f>
        <v/>
      </c>
      <c r="N652" s="110">
        <f>COUNTIF(postDEL!$A$2:$A799,A652)</f>
        <v>1</v>
      </c>
      <c r="O652" s="19">
        <f>MATCH(A652,postDEL!A$2:A799,0)</f>
        <v>651</v>
      </c>
      <c r="P652" s="10" t="str">
        <f t="shared" si="1"/>
        <v/>
      </c>
      <c r="Q652" s="220">
        <f t="shared" si="2"/>
        <v>0</v>
      </c>
      <c r="R652" s="5"/>
    </row>
    <row r="653">
      <c r="A653" s="221" t="s">
        <v>1933</v>
      </c>
      <c r="B653" s="217">
        <f t="array" ref="B653">INDEX(postDEL!$A$2:$P799,$O653,2)</f>
        <v>44625</v>
      </c>
      <c r="C653" s="218">
        <f t="array" ref="C653">INDEX(postDEL!$A$2:$P799,$O653,3)</f>
        <v>0.3107523148</v>
      </c>
      <c r="D653" s="219" t="str">
        <f t="array" ref="D653">INDEX(postDEL!$A$2:$AN799,$O653,39)</f>
        <v>SpBEND815974</v>
      </c>
      <c r="E653" s="219" t="str">
        <f t="array" ref="E653">INDEX(postDEL!$A$2:$P799,$O653,4)</f>
        <v/>
      </c>
      <c r="F653" s="219" t="str">
        <f t="array" ref="F653">INDEX(postDEL!$A$2:$P799,$O653,5)</f>
        <v/>
      </c>
      <c r="G653" s="219" t="str">
        <f t="array" ref="G653">INDEX(postDEL!$A$2:$P799,$O653,11)</f>
        <v>Negative</v>
      </c>
      <c r="H653" s="219" t="str">
        <f t="array" ref="H653">INDEX(postDEL!$A$2:$AL799,$O653,37)</f>
        <v>Negative</v>
      </c>
      <c r="I653" s="217">
        <f t="array" ref="I653">INDEX(postDEL!$A$2:$AL799,$O653,12)</f>
        <v>44625</v>
      </c>
      <c r="J653" s="218">
        <f t="array" ref="J653">INDEX(postDEL!$A$2:$AL799,$O653,13)</f>
        <v>0.4897453704</v>
      </c>
      <c r="K653" s="219" t="str">
        <f t="array" ref="K653">INDEX(postDEL!$A$2:$AL799,$O653,36)</f>
        <v/>
      </c>
      <c r="L653" s="219" t="str">
        <f t="array" ref="L653">INDEX(postDEL!$A$2:$AL799,$O653,38)</f>
        <v/>
      </c>
      <c r="M653" s="219" t="str">
        <f t="array" ref="M653">INDEX(postDEL!$A$2:$AL799,$O653,15)</f>
        <v/>
      </c>
      <c r="N653" s="110">
        <f>COUNTIF(postDEL!$A$2:$A799,A653)</f>
        <v>1</v>
      </c>
      <c r="O653" s="19">
        <f>MATCH(A653,postDEL!A$2:A799,0)</f>
        <v>652</v>
      </c>
      <c r="P653" s="10" t="str">
        <f t="shared" si="1"/>
        <v/>
      </c>
      <c r="Q653" s="220">
        <f t="shared" si="2"/>
        <v>0</v>
      </c>
      <c r="R653" s="5"/>
    </row>
    <row r="654">
      <c r="A654" s="221" t="s">
        <v>1935</v>
      </c>
      <c r="B654" s="217">
        <f t="array" ref="B654">INDEX(postDEL!$A$2:$P799,$O654,2)</f>
        <v>44625</v>
      </c>
      <c r="C654" s="218">
        <f t="array" ref="C654">INDEX(postDEL!$A$2:$P799,$O654,3)</f>
        <v>0.3109953704</v>
      </c>
      <c r="D654" s="219" t="str">
        <f t="array" ref="D654">INDEX(postDEL!$A$2:$AN799,$O654,39)</f>
        <v>SpBEND372845</v>
      </c>
      <c r="E654" s="219" t="str">
        <f t="array" ref="E654">INDEX(postDEL!$A$2:$P799,$O654,4)</f>
        <v/>
      </c>
      <c r="F654" s="219" t="str">
        <f t="array" ref="F654">INDEX(postDEL!$A$2:$P799,$O654,5)</f>
        <v/>
      </c>
      <c r="G654" s="219" t="str">
        <f t="array" ref="G654">INDEX(postDEL!$A$2:$P799,$O654,11)</f>
        <v>Negative</v>
      </c>
      <c r="H654" s="219" t="str">
        <f t="array" ref="H654">INDEX(postDEL!$A$2:$AL799,$O654,37)</f>
        <v>Negative</v>
      </c>
      <c r="I654" s="217">
        <f t="array" ref="I654">INDEX(postDEL!$A$2:$AL799,$O654,12)</f>
        <v>44625</v>
      </c>
      <c r="J654" s="218">
        <f t="array" ref="J654">INDEX(postDEL!$A$2:$AL799,$O654,13)</f>
        <v>0.4897453704</v>
      </c>
      <c r="K654" s="219" t="str">
        <f t="array" ref="K654">INDEX(postDEL!$A$2:$AL799,$O654,36)</f>
        <v/>
      </c>
      <c r="L654" s="219" t="str">
        <f t="array" ref="L654">INDEX(postDEL!$A$2:$AL799,$O654,38)</f>
        <v/>
      </c>
      <c r="M654" s="219" t="str">
        <f t="array" ref="M654">INDEX(postDEL!$A$2:$AL799,$O654,15)</f>
        <v/>
      </c>
      <c r="N654" s="110">
        <f>COUNTIF(postDEL!$A$2:$A799,A654)</f>
        <v>1</v>
      </c>
      <c r="O654" s="19">
        <f>MATCH(A654,postDEL!A$2:A799,0)</f>
        <v>653</v>
      </c>
      <c r="P654" s="10" t="str">
        <f t="shared" si="1"/>
        <v/>
      </c>
      <c r="Q654" s="220">
        <f t="shared" si="2"/>
        <v>0</v>
      </c>
      <c r="R654" s="5"/>
    </row>
    <row r="655">
      <c r="A655" s="221" t="s">
        <v>1937</v>
      </c>
      <c r="B655" s="217">
        <f t="array" ref="B655">INDEX(postDEL!$A$2:$P799,$O655,2)</f>
        <v>44625</v>
      </c>
      <c r="C655" s="218">
        <f t="array" ref="C655">INDEX(postDEL!$A$2:$P799,$O655,3)</f>
        <v>0.3150115741</v>
      </c>
      <c r="D655" s="219" t="str">
        <f t="array" ref="D655">INDEX(postDEL!$A$2:$AN799,$O655,39)</f>
        <v>SpBEND824412</v>
      </c>
      <c r="E655" s="219" t="str">
        <f t="array" ref="E655">INDEX(postDEL!$A$2:$P799,$O655,4)</f>
        <v/>
      </c>
      <c r="F655" s="219" t="str">
        <f t="array" ref="F655">INDEX(postDEL!$A$2:$P799,$O655,5)</f>
        <v/>
      </c>
      <c r="G655" s="219" t="str">
        <f t="array" ref="G655">INDEX(postDEL!$A$2:$P799,$O655,11)</f>
        <v>Negative</v>
      </c>
      <c r="H655" s="219" t="str">
        <f t="array" ref="H655">INDEX(postDEL!$A$2:$AL799,$O655,37)</f>
        <v>Negative</v>
      </c>
      <c r="I655" s="217">
        <f t="array" ref="I655">INDEX(postDEL!$A$2:$AL799,$O655,12)</f>
        <v>44625</v>
      </c>
      <c r="J655" s="218">
        <f t="array" ref="J655">INDEX(postDEL!$A$2:$AL799,$O655,13)</f>
        <v>0.4897453704</v>
      </c>
      <c r="K655" s="219" t="str">
        <f t="array" ref="K655">INDEX(postDEL!$A$2:$AL799,$O655,36)</f>
        <v/>
      </c>
      <c r="L655" s="219" t="str">
        <f t="array" ref="L655">INDEX(postDEL!$A$2:$AL799,$O655,38)</f>
        <v/>
      </c>
      <c r="M655" s="219" t="str">
        <f t="array" ref="M655">INDEX(postDEL!$A$2:$AL799,$O655,15)</f>
        <v/>
      </c>
      <c r="N655" s="110">
        <f>COUNTIF(postDEL!$A$2:$A799,A655)</f>
        <v>1</v>
      </c>
      <c r="O655" s="19">
        <f>MATCH(A655,postDEL!A$2:A799,0)</f>
        <v>654</v>
      </c>
      <c r="P655" s="10" t="str">
        <f t="shared" si="1"/>
        <v/>
      </c>
      <c r="Q655" s="220">
        <f t="shared" si="2"/>
        <v>0</v>
      </c>
      <c r="R655" s="5"/>
    </row>
    <row r="656">
      <c r="A656" s="221" t="s">
        <v>1939</v>
      </c>
      <c r="B656" s="217">
        <f t="array" ref="B656">INDEX(postDEL!$A$2:$P799,$O656,2)</f>
        <v>44625</v>
      </c>
      <c r="C656" s="218">
        <f t="array" ref="C656">INDEX(postDEL!$A$2:$P799,$O656,3)</f>
        <v>0.3158564815</v>
      </c>
      <c r="D656" s="219" t="str">
        <f t="array" ref="D656">INDEX(postDEL!$A$2:$AN799,$O656,39)</f>
        <v>SpBEND436062</v>
      </c>
      <c r="E656" s="219" t="str">
        <f t="array" ref="E656">INDEX(postDEL!$A$2:$P799,$O656,4)</f>
        <v/>
      </c>
      <c r="F656" s="219" t="str">
        <f t="array" ref="F656">INDEX(postDEL!$A$2:$P799,$O656,5)</f>
        <v/>
      </c>
      <c r="G656" s="219" t="str">
        <f t="array" ref="G656">INDEX(postDEL!$A$2:$P799,$O656,11)</f>
        <v>Negative</v>
      </c>
      <c r="H656" s="219" t="str">
        <f t="array" ref="H656">INDEX(postDEL!$A$2:$AL799,$O656,37)</f>
        <v>Negative</v>
      </c>
      <c r="I656" s="217">
        <f t="array" ref="I656">INDEX(postDEL!$A$2:$AL799,$O656,12)</f>
        <v>44625</v>
      </c>
      <c r="J656" s="218">
        <f t="array" ref="J656">INDEX(postDEL!$A$2:$AL799,$O656,13)</f>
        <v>0.4897453704</v>
      </c>
      <c r="K656" s="219" t="str">
        <f t="array" ref="K656">INDEX(postDEL!$A$2:$AL799,$O656,36)</f>
        <v/>
      </c>
      <c r="L656" s="219" t="str">
        <f t="array" ref="L656">INDEX(postDEL!$A$2:$AL799,$O656,38)</f>
        <v/>
      </c>
      <c r="M656" s="219" t="str">
        <f t="array" ref="M656">INDEX(postDEL!$A$2:$AL799,$O656,15)</f>
        <v/>
      </c>
      <c r="N656" s="110">
        <f>COUNTIF(postDEL!$A$2:$A799,A656)</f>
        <v>1</v>
      </c>
      <c r="O656" s="19">
        <f>MATCH(A656,postDEL!A$2:A799,0)</f>
        <v>655</v>
      </c>
      <c r="P656" s="10" t="str">
        <f t="shared" si="1"/>
        <v/>
      </c>
      <c r="Q656" s="220">
        <f t="shared" si="2"/>
        <v>0</v>
      </c>
      <c r="R656" s="5"/>
    </row>
    <row r="657">
      <c r="A657" s="221" t="s">
        <v>1941</v>
      </c>
      <c r="B657" s="217">
        <f t="array" ref="B657">INDEX(postDEL!$A$2:$P799,$O657,2)</f>
        <v>44625</v>
      </c>
      <c r="C657" s="218">
        <f t="array" ref="C657">INDEX(postDEL!$A$2:$P799,$O657,3)</f>
        <v>0.3159259259</v>
      </c>
      <c r="D657" s="219" t="str">
        <f t="array" ref="D657">INDEX(postDEL!$A$2:$AN799,$O657,39)</f>
        <v>SpBEND302553</v>
      </c>
      <c r="E657" s="219" t="str">
        <f t="array" ref="E657">INDEX(postDEL!$A$2:$P799,$O657,4)</f>
        <v/>
      </c>
      <c r="F657" s="219" t="str">
        <f t="array" ref="F657">INDEX(postDEL!$A$2:$P799,$O657,5)</f>
        <v/>
      </c>
      <c r="G657" s="219" t="str">
        <f t="array" ref="G657">INDEX(postDEL!$A$2:$P799,$O657,11)</f>
        <v>Negative</v>
      </c>
      <c r="H657" s="219" t="str">
        <f t="array" ref="H657">INDEX(postDEL!$A$2:$AL799,$O657,37)</f>
        <v>Negative</v>
      </c>
      <c r="I657" s="217">
        <f t="array" ref="I657">INDEX(postDEL!$A$2:$AL799,$O657,12)</f>
        <v>44625</v>
      </c>
      <c r="J657" s="218">
        <f t="array" ref="J657">INDEX(postDEL!$A$2:$AL799,$O657,13)</f>
        <v>0.4897569444</v>
      </c>
      <c r="K657" s="219" t="str">
        <f t="array" ref="K657">INDEX(postDEL!$A$2:$AL799,$O657,36)</f>
        <v/>
      </c>
      <c r="L657" s="219" t="str">
        <f t="array" ref="L657">INDEX(postDEL!$A$2:$AL799,$O657,38)</f>
        <v/>
      </c>
      <c r="M657" s="219" t="str">
        <f t="array" ref="M657">INDEX(postDEL!$A$2:$AL799,$O657,15)</f>
        <v/>
      </c>
      <c r="N657" s="110">
        <f>COUNTIF(postDEL!$A$2:$A799,A657)</f>
        <v>1</v>
      </c>
      <c r="O657" s="19">
        <f>MATCH(A657,postDEL!A$2:A799,0)</f>
        <v>656</v>
      </c>
      <c r="P657" s="10" t="str">
        <f t="shared" si="1"/>
        <v/>
      </c>
      <c r="Q657" s="220">
        <f t="shared" si="2"/>
        <v>0</v>
      </c>
      <c r="R657" s="5"/>
    </row>
    <row r="658">
      <c r="A658" s="221" t="s">
        <v>1943</v>
      </c>
      <c r="B658" s="217">
        <f t="array" ref="B658">INDEX(postDEL!$A$2:$P799,$O658,2)</f>
        <v>44625</v>
      </c>
      <c r="C658" s="218">
        <f t="array" ref="C658">INDEX(postDEL!$A$2:$P799,$O658,3)</f>
        <v>0.3188888889</v>
      </c>
      <c r="D658" s="219" t="str">
        <f t="array" ref="D658">INDEX(postDEL!$A$2:$AN799,$O658,39)</f>
        <v>SpBEND435789</v>
      </c>
      <c r="E658" s="219" t="str">
        <f t="array" ref="E658">INDEX(postDEL!$A$2:$P799,$O658,4)</f>
        <v/>
      </c>
      <c r="F658" s="219" t="str">
        <f t="array" ref="F658">INDEX(postDEL!$A$2:$P799,$O658,5)</f>
        <v/>
      </c>
      <c r="G658" s="219" t="str">
        <f t="array" ref="G658">INDEX(postDEL!$A$2:$P799,$O658,11)</f>
        <v>Negative</v>
      </c>
      <c r="H658" s="219" t="str">
        <f t="array" ref="H658">INDEX(postDEL!$A$2:$AL799,$O658,37)</f>
        <v>Negative</v>
      </c>
      <c r="I658" s="217">
        <f t="array" ref="I658">INDEX(postDEL!$A$2:$AL799,$O658,12)</f>
        <v>44627</v>
      </c>
      <c r="J658" s="218">
        <f t="array" ref="J658">INDEX(postDEL!$A$2:$AL799,$O658,13)</f>
        <v>0.4778819444</v>
      </c>
      <c r="K658" s="219" t="str">
        <f t="array" ref="K658">INDEX(postDEL!$A$2:$AL799,$O658,36)</f>
        <v/>
      </c>
      <c r="L658" s="219" t="str">
        <f t="array" ref="L658">INDEX(postDEL!$A$2:$AL799,$O658,38)</f>
        <v/>
      </c>
      <c r="M658" s="219" t="str">
        <f t="array" ref="M658">INDEX(postDEL!$A$2:$AL799,$O658,15)</f>
        <v/>
      </c>
      <c r="N658" s="110">
        <f>COUNTIF(postDEL!$A$2:$A799,A658)</f>
        <v>1</v>
      </c>
      <c r="O658" s="19">
        <f>MATCH(A658,postDEL!A$2:A799,0)</f>
        <v>657</v>
      </c>
      <c r="P658" s="10" t="str">
        <f t="shared" si="1"/>
        <v/>
      </c>
      <c r="Q658" s="220">
        <f t="shared" si="2"/>
        <v>2</v>
      </c>
      <c r="R658" s="5"/>
    </row>
    <row r="659">
      <c r="A659" s="221" t="s">
        <v>1945</v>
      </c>
      <c r="B659" s="217">
        <f t="array" ref="B659">INDEX(postDEL!$A$2:$P799,$O659,2)</f>
        <v>44625</v>
      </c>
      <c r="C659" s="218">
        <f t="array" ref="C659">INDEX(postDEL!$A$2:$P799,$O659,3)</f>
        <v>0.3190277778</v>
      </c>
      <c r="D659" s="219" t="str">
        <f t="array" ref="D659">INDEX(postDEL!$A$2:$AN799,$O659,39)</f>
        <v>SpBEND551372</v>
      </c>
      <c r="E659" s="219" t="str">
        <f t="array" ref="E659">INDEX(postDEL!$A$2:$P799,$O659,4)</f>
        <v/>
      </c>
      <c r="F659" s="219" t="str">
        <f t="array" ref="F659">INDEX(postDEL!$A$2:$P799,$O659,5)</f>
        <v/>
      </c>
      <c r="G659" s="219" t="str">
        <f t="array" ref="G659">INDEX(postDEL!$A$2:$P799,$O659,11)</f>
        <v>Negative</v>
      </c>
      <c r="H659" s="219" t="str">
        <f t="array" ref="H659">INDEX(postDEL!$A$2:$AL799,$O659,37)</f>
        <v>Negative</v>
      </c>
      <c r="I659" s="217">
        <f t="array" ref="I659">INDEX(postDEL!$A$2:$AL799,$O659,12)</f>
        <v>44625</v>
      </c>
      <c r="J659" s="218">
        <f t="array" ref="J659">INDEX(postDEL!$A$2:$AL799,$O659,13)</f>
        <v>0.4897569444</v>
      </c>
      <c r="K659" s="219" t="str">
        <f t="array" ref="K659">INDEX(postDEL!$A$2:$AL799,$O659,36)</f>
        <v/>
      </c>
      <c r="L659" s="219" t="str">
        <f t="array" ref="L659">INDEX(postDEL!$A$2:$AL799,$O659,38)</f>
        <v/>
      </c>
      <c r="M659" s="219" t="str">
        <f t="array" ref="M659">INDEX(postDEL!$A$2:$AL799,$O659,15)</f>
        <v/>
      </c>
      <c r="N659" s="110">
        <f>COUNTIF(postDEL!$A$2:$A799,A659)</f>
        <v>1</v>
      </c>
      <c r="O659" s="19">
        <f>MATCH(A659,postDEL!A$2:A799,0)</f>
        <v>658</v>
      </c>
      <c r="P659" s="10" t="str">
        <f t="shared" si="1"/>
        <v/>
      </c>
      <c r="Q659" s="220">
        <f t="shared" si="2"/>
        <v>0</v>
      </c>
      <c r="R659" s="5"/>
    </row>
    <row r="660">
      <c r="A660" s="221" t="s">
        <v>1947</v>
      </c>
      <c r="B660" s="217">
        <f t="array" ref="B660">INDEX(postDEL!$A$2:$P799,$O660,2)</f>
        <v>44625</v>
      </c>
      <c r="C660" s="218">
        <f t="array" ref="C660">INDEX(postDEL!$A$2:$P799,$O660,3)</f>
        <v>0.3232175926</v>
      </c>
      <c r="D660" s="219" t="str">
        <f t="array" ref="D660">INDEX(postDEL!$A$2:$AN799,$O660,39)</f>
        <v>SpBEND904348</v>
      </c>
      <c r="E660" s="219" t="str">
        <f t="array" ref="E660">INDEX(postDEL!$A$2:$P799,$O660,4)</f>
        <v/>
      </c>
      <c r="F660" s="219" t="str">
        <f t="array" ref="F660">INDEX(postDEL!$A$2:$P799,$O660,5)</f>
        <v/>
      </c>
      <c r="G660" s="219" t="str">
        <f t="array" ref="G660">INDEX(postDEL!$A$2:$P799,$O660,11)</f>
        <v>Negative</v>
      </c>
      <c r="H660" s="219" t="str">
        <f t="array" ref="H660">INDEX(postDEL!$A$2:$AL799,$O660,37)</f>
        <v>Negative</v>
      </c>
      <c r="I660" s="217">
        <f t="array" ref="I660">INDEX(postDEL!$A$2:$AL799,$O660,12)</f>
        <v>44625</v>
      </c>
      <c r="J660" s="218">
        <f t="array" ref="J660">INDEX(postDEL!$A$2:$AL799,$O660,13)</f>
        <v>0.4899768519</v>
      </c>
      <c r="K660" s="219" t="str">
        <f t="array" ref="K660">INDEX(postDEL!$A$2:$AL799,$O660,36)</f>
        <v/>
      </c>
      <c r="L660" s="219" t="str">
        <f t="array" ref="L660">INDEX(postDEL!$A$2:$AL799,$O660,38)</f>
        <v/>
      </c>
      <c r="M660" s="219" t="str">
        <f t="array" ref="M660">INDEX(postDEL!$A$2:$AL799,$O660,15)</f>
        <v/>
      </c>
      <c r="N660" s="110">
        <f>COUNTIF(postDEL!$A$2:$A799,A660)</f>
        <v>1</v>
      </c>
      <c r="O660" s="19">
        <f>MATCH(A660,postDEL!A$2:A799,0)</f>
        <v>659</v>
      </c>
      <c r="P660" s="10" t="str">
        <f t="shared" si="1"/>
        <v/>
      </c>
      <c r="Q660" s="220">
        <f t="shared" si="2"/>
        <v>0</v>
      </c>
      <c r="R660" s="5"/>
    </row>
    <row r="661">
      <c r="A661" s="221" t="s">
        <v>1949</v>
      </c>
      <c r="B661" s="217">
        <f t="array" ref="B661">INDEX(postDEL!$A$2:$P799,$O661,2)</f>
        <v>44625</v>
      </c>
      <c r="C661" s="218">
        <f t="array" ref="C661">INDEX(postDEL!$A$2:$P799,$O661,3)</f>
        <v>0.3318865741</v>
      </c>
      <c r="D661" s="219" t="str">
        <f t="array" ref="D661">INDEX(postDEL!$A$2:$AN799,$O661,39)</f>
        <v>SpBEND708976</v>
      </c>
      <c r="E661" s="219" t="str">
        <f t="array" ref="E661">INDEX(postDEL!$A$2:$P799,$O661,4)</f>
        <v/>
      </c>
      <c r="F661" s="219" t="str">
        <f t="array" ref="F661">INDEX(postDEL!$A$2:$P799,$O661,5)</f>
        <v/>
      </c>
      <c r="G661" s="219" t="str">
        <f t="array" ref="G661">INDEX(postDEL!$A$2:$P799,$O661,11)</f>
        <v>Negative</v>
      </c>
      <c r="H661" s="219" t="str">
        <f t="array" ref="H661">INDEX(postDEL!$A$2:$AL799,$O661,37)</f>
        <v>Negative</v>
      </c>
      <c r="I661" s="217">
        <f t="array" ref="I661">INDEX(postDEL!$A$2:$AL799,$O661,12)</f>
        <v>44625</v>
      </c>
      <c r="J661" s="218">
        <f t="array" ref="J661">INDEX(postDEL!$A$2:$AL799,$O661,13)</f>
        <v>0.4897569444</v>
      </c>
      <c r="K661" s="219" t="str">
        <f t="array" ref="K661">INDEX(postDEL!$A$2:$AL799,$O661,36)</f>
        <v/>
      </c>
      <c r="L661" s="219" t="str">
        <f t="array" ref="L661">INDEX(postDEL!$A$2:$AL799,$O661,38)</f>
        <v/>
      </c>
      <c r="M661" s="219" t="str">
        <f t="array" ref="M661">INDEX(postDEL!$A$2:$AL799,$O661,15)</f>
        <v/>
      </c>
      <c r="N661" s="110">
        <f>COUNTIF(postDEL!$A$2:$A799,A661)</f>
        <v>1</v>
      </c>
      <c r="O661" s="19">
        <f>MATCH(A661,postDEL!A$2:A799,0)</f>
        <v>660</v>
      </c>
      <c r="P661" s="10" t="str">
        <f t="shared" si="1"/>
        <v/>
      </c>
      <c r="Q661" s="220">
        <f t="shared" si="2"/>
        <v>0</v>
      </c>
      <c r="R661" s="5"/>
    </row>
    <row r="662">
      <c r="A662" s="221" t="s">
        <v>1951</v>
      </c>
      <c r="B662" s="217">
        <f t="array" ref="B662">INDEX(postDEL!$A$2:$P799,$O662,2)</f>
        <v>44625</v>
      </c>
      <c r="C662" s="218">
        <f t="array" ref="C662">INDEX(postDEL!$A$2:$P799,$O662,3)</f>
        <v>0.3324884259</v>
      </c>
      <c r="D662" s="219" t="str">
        <f t="array" ref="D662">INDEX(postDEL!$A$2:$AN799,$O662,39)</f>
        <v>SpBEND296258</v>
      </c>
      <c r="E662" s="219" t="str">
        <f t="array" ref="E662">INDEX(postDEL!$A$2:$P799,$O662,4)</f>
        <v/>
      </c>
      <c r="F662" s="219" t="str">
        <f t="array" ref="F662">INDEX(postDEL!$A$2:$P799,$O662,5)</f>
        <v/>
      </c>
      <c r="G662" s="219" t="str">
        <f t="array" ref="G662">INDEX(postDEL!$A$2:$P799,$O662,11)</f>
        <v>Negative</v>
      </c>
      <c r="H662" s="219" t="str">
        <f t="array" ref="H662">INDEX(postDEL!$A$2:$AL799,$O662,37)</f>
        <v>Negative</v>
      </c>
      <c r="I662" s="217">
        <f t="array" ref="I662">INDEX(postDEL!$A$2:$AL799,$O662,12)</f>
        <v>44625</v>
      </c>
      <c r="J662" s="218">
        <f t="array" ref="J662">INDEX(postDEL!$A$2:$AL799,$O662,13)</f>
        <v>0.4897569444</v>
      </c>
      <c r="K662" s="219" t="str">
        <f t="array" ref="K662">INDEX(postDEL!$A$2:$AL799,$O662,36)</f>
        <v/>
      </c>
      <c r="L662" s="219" t="str">
        <f t="array" ref="L662">INDEX(postDEL!$A$2:$AL799,$O662,38)</f>
        <v/>
      </c>
      <c r="M662" s="219" t="str">
        <f t="array" ref="M662">INDEX(postDEL!$A$2:$AL799,$O662,15)</f>
        <v/>
      </c>
      <c r="N662" s="110">
        <f>COUNTIF(postDEL!$A$2:$A799,A662)</f>
        <v>1</v>
      </c>
      <c r="O662" s="19">
        <f>MATCH(A662,postDEL!A$2:A799,0)</f>
        <v>661</v>
      </c>
      <c r="P662" s="10" t="str">
        <f t="shared" si="1"/>
        <v/>
      </c>
      <c r="Q662" s="220">
        <f t="shared" si="2"/>
        <v>0</v>
      </c>
      <c r="R662" s="5"/>
    </row>
    <row r="663">
      <c r="A663" s="221" t="s">
        <v>1953</v>
      </c>
      <c r="B663" s="217">
        <f t="array" ref="B663">INDEX(postDEL!$A$2:$P799,$O663,2)</f>
        <v>44625</v>
      </c>
      <c r="C663" s="218">
        <f t="array" ref="C663">INDEX(postDEL!$A$2:$P799,$O663,3)</f>
        <v>0.3350462963</v>
      </c>
      <c r="D663" s="219" t="str">
        <f t="array" ref="D663">INDEX(postDEL!$A$2:$AN799,$O663,39)</f>
        <v>SpBEND845568</v>
      </c>
      <c r="E663" s="219" t="str">
        <f t="array" ref="E663">INDEX(postDEL!$A$2:$P799,$O663,4)</f>
        <v/>
      </c>
      <c r="F663" s="219" t="str">
        <f t="array" ref="F663">INDEX(postDEL!$A$2:$P799,$O663,5)</f>
        <v/>
      </c>
      <c r="G663" s="219" t="str">
        <f t="array" ref="G663">INDEX(postDEL!$A$2:$P799,$O663,11)</f>
        <v>Negative</v>
      </c>
      <c r="H663" s="219" t="str">
        <f t="array" ref="H663">INDEX(postDEL!$A$2:$AL799,$O663,37)</f>
        <v>Negative</v>
      </c>
      <c r="I663" s="217">
        <f t="array" ref="I663">INDEX(postDEL!$A$2:$AL799,$O663,12)</f>
        <v>44625</v>
      </c>
      <c r="J663" s="218">
        <f t="array" ref="J663">INDEX(postDEL!$A$2:$AL799,$O663,13)</f>
        <v>0.4897569444</v>
      </c>
      <c r="K663" s="219" t="str">
        <f t="array" ref="K663">INDEX(postDEL!$A$2:$AL799,$O663,36)</f>
        <v/>
      </c>
      <c r="L663" s="219" t="str">
        <f t="array" ref="L663">INDEX(postDEL!$A$2:$AL799,$O663,38)</f>
        <v/>
      </c>
      <c r="M663" s="219" t="str">
        <f t="array" ref="M663">INDEX(postDEL!$A$2:$AL799,$O663,15)</f>
        <v/>
      </c>
      <c r="N663" s="110">
        <f>COUNTIF(postDEL!$A$2:$A799,A663)</f>
        <v>1</v>
      </c>
      <c r="O663" s="19">
        <f>MATCH(A663,postDEL!A$2:A799,0)</f>
        <v>662</v>
      </c>
      <c r="P663" s="10" t="str">
        <f t="shared" si="1"/>
        <v/>
      </c>
      <c r="Q663" s="220">
        <f t="shared" si="2"/>
        <v>0</v>
      </c>
      <c r="R663" s="5"/>
    </row>
    <row r="664">
      <c r="A664" s="221" t="s">
        <v>1955</v>
      </c>
      <c r="B664" s="217">
        <f t="array" ref="B664">INDEX(postDEL!$A$2:$P799,$O664,2)</f>
        <v>44625</v>
      </c>
      <c r="C664" s="218">
        <f t="array" ref="C664">INDEX(postDEL!$A$2:$P799,$O664,3)</f>
        <v>0.3416666667</v>
      </c>
      <c r="D664" s="219" t="str">
        <f t="array" ref="D664">INDEX(postDEL!$A$2:$AN799,$O664,39)</f>
        <v>SpBEND524085</v>
      </c>
      <c r="E664" s="219" t="str">
        <f t="array" ref="E664">INDEX(postDEL!$A$2:$P799,$O664,4)</f>
        <v/>
      </c>
      <c r="F664" s="219" t="str">
        <f t="array" ref="F664">INDEX(postDEL!$A$2:$P799,$O664,5)</f>
        <v/>
      </c>
      <c r="G664" s="219" t="str">
        <f t="array" ref="G664">INDEX(postDEL!$A$2:$P799,$O664,11)</f>
        <v>Negative</v>
      </c>
      <c r="H664" s="219" t="str">
        <f t="array" ref="H664">INDEX(postDEL!$A$2:$AL799,$O664,37)</f>
        <v>Negative</v>
      </c>
      <c r="I664" s="217">
        <f t="array" ref="I664">INDEX(postDEL!$A$2:$AL799,$O664,12)</f>
        <v>44625</v>
      </c>
      <c r="J664" s="218">
        <f t="array" ref="J664">INDEX(postDEL!$A$2:$AL799,$O664,13)</f>
        <v>0.4897569444</v>
      </c>
      <c r="K664" s="219" t="str">
        <f t="array" ref="K664">INDEX(postDEL!$A$2:$AL799,$O664,36)</f>
        <v/>
      </c>
      <c r="L664" s="219" t="str">
        <f t="array" ref="L664">INDEX(postDEL!$A$2:$AL799,$O664,38)</f>
        <v/>
      </c>
      <c r="M664" s="219" t="str">
        <f t="array" ref="M664">INDEX(postDEL!$A$2:$AL799,$O664,15)</f>
        <v/>
      </c>
      <c r="N664" s="110">
        <f>COUNTIF(postDEL!$A$2:$A799,A664)</f>
        <v>1</v>
      </c>
      <c r="O664" s="19">
        <f>MATCH(A664,postDEL!A$2:A799,0)</f>
        <v>663</v>
      </c>
      <c r="P664" s="10" t="str">
        <f t="shared" si="1"/>
        <v/>
      </c>
      <c r="Q664" s="220">
        <f t="shared" si="2"/>
        <v>0</v>
      </c>
      <c r="R664" s="5"/>
    </row>
    <row r="665">
      <c r="A665" s="221" t="s">
        <v>1957</v>
      </c>
      <c r="B665" s="217">
        <f t="array" ref="B665">INDEX(postDEL!$A$2:$P799,$O665,2)</f>
        <v>44625</v>
      </c>
      <c r="C665" s="218">
        <f t="array" ref="C665">INDEX(postDEL!$A$2:$P799,$O665,3)</f>
        <v>0.3419328704</v>
      </c>
      <c r="D665" s="219" t="str">
        <f t="array" ref="D665">INDEX(postDEL!$A$2:$AN799,$O665,39)</f>
        <v>SpBEND481988</v>
      </c>
      <c r="E665" s="219" t="str">
        <f t="array" ref="E665">INDEX(postDEL!$A$2:$P799,$O665,4)</f>
        <v/>
      </c>
      <c r="F665" s="219" t="str">
        <f t="array" ref="F665">INDEX(postDEL!$A$2:$P799,$O665,5)</f>
        <v/>
      </c>
      <c r="G665" s="219" t="str">
        <f t="array" ref="G665">INDEX(postDEL!$A$2:$P799,$O665,11)</f>
        <v>Negative</v>
      </c>
      <c r="H665" s="219" t="str">
        <f t="array" ref="H665">INDEX(postDEL!$A$2:$AL799,$O665,37)</f>
        <v>Negative</v>
      </c>
      <c r="I665" s="217">
        <f t="array" ref="I665">INDEX(postDEL!$A$2:$AL799,$O665,12)</f>
        <v>44625</v>
      </c>
      <c r="J665" s="218">
        <f t="array" ref="J665">INDEX(postDEL!$A$2:$AL799,$O665,13)</f>
        <v>0.4897569444</v>
      </c>
      <c r="K665" s="219" t="str">
        <f t="array" ref="K665">INDEX(postDEL!$A$2:$AL799,$O665,36)</f>
        <v/>
      </c>
      <c r="L665" s="219" t="str">
        <f t="array" ref="L665">INDEX(postDEL!$A$2:$AL799,$O665,38)</f>
        <v/>
      </c>
      <c r="M665" s="219" t="str">
        <f t="array" ref="M665">INDEX(postDEL!$A$2:$AL799,$O665,15)</f>
        <v/>
      </c>
      <c r="N665" s="110">
        <f>COUNTIF(postDEL!$A$2:$A799,A665)</f>
        <v>1</v>
      </c>
      <c r="O665" s="19">
        <f>MATCH(A665,postDEL!A$2:A799,0)</f>
        <v>664</v>
      </c>
      <c r="P665" s="10" t="str">
        <f t="shared" si="1"/>
        <v/>
      </c>
      <c r="Q665" s="220">
        <f t="shared" si="2"/>
        <v>0</v>
      </c>
      <c r="R665" s="5"/>
    </row>
    <row r="666">
      <c r="A666" s="221" t="s">
        <v>1959</v>
      </c>
      <c r="B666" s="217">
        <f t="array" ref="B666">INDEX(postDEL!$A$2:$P799,$O666,2)</f>
        <v>44625</v>
      </c>
      <c r="C666" s="218">
        <f t="array" ref="C666">INDEX(postDEL!$A$2:$P799,$O666,3)</f>
        <v>0.3421875</v>
      </c>
      <c r="D666" s="219" t="str">
        <f t="array" ref="D666">INDEX(postDEL!$A$2:$AN799,$O666,39)</f>
        <v>SpBEND842248</v>
      </c>
      <c r="E666" s="219" t="str">
        <f t="array" ref="E666">INDEX(postDEL!$A$2:$P799,$O666,4)</f>
        <v/>
      </c>
      <c r="F666" s="219" t="str">
        <f t="array" ref="F666">INDEX(postDEL!$A$2:$P799,$O666,5)</f>
        <v/>
      </c>
      <c r="G666" s="219" t="str">
        <f t="array" ref="G666">INDEX(postDEL!$A$2:$P799,$O666,11)</f>
        <v>Negative</v>
      </c>
      <c r="H666" s="219" t="str">
        <f t="array" ref="H666">INDEX(postDEL!$A$2:$AL799,$O666,37)</f>
        <v>Negative</v>
      </c>
      <c r="I666" s="217">
        <f t="array" ref="I666">INDEX(postDEL!$A$2:$AL799,$O666,12)</f>
        <v>44625</v>
      </c>
      <c r="J666" s="218">
        <f t="array" ref="J666">INDEX(postDEL!$A$2:$AL799,$O666,13)</f>
        <v>0.4897569444</v>
      </c>
      <c r="K666" s="219" t="str">
        <f t="array" ref="K666">INDEX(postDEL!$A$2:$AL799,$O666,36)</f>
        <v/>
      </c>
      <c r="L666" s="219" t="str">
        <f t="array" ref="L666">INDEX(postDEL!$A$2:$AL799,$O666,38)</f>
        <v/>
      </c>
      <c r="M666" s="219" t="str">
        <f t="array" ref="M666">INDEX(postDEL!$A$2:$AL799,$O666,15)</f>
        <v/>
      </c>
      <c r="N666" s="110">
        <f>COUNTIF(postDEL!$A$2:$A799,A666)</f>
        <v>1</v>
      </c>
      <c r="O666" s="19">
        <f>MATCH(A666,postDEL!A$2:A799,0)</f>
        <v>665</v>
      </c>
      <c r="P666" s="10" t="str">
        <f t="shared" si="1"/>
        <v/>
      </c>
      <c r="Q666" s="220">
        <f t="shared" si="2"/>
        <v>0</v>
      </c>
      <c r="R666" s="5"/>
    </row>
    <row r="667">
      <c r="A667" s="221" t="s">
        <v>1961</v>
      </c>
      <c r="B667" s="217">
        <f t="array" ref="B667">INDEX(postDEL!$A$2:$P799,$O667,2)</f>
        <v>44625</v>
      </c>
      <c r="C667" s="218">
        <f t="array" ref="C667">INDEX(postDEL!$A$2:$P799,$O667,3)</f>
        <v>0.3553009259</v>
      </c>
      <c r="D667" s="219" t="str">
        <f t="array" ref="D667">INDEX(postDEL!$A$2:$AN799,$O667,39)</f>
        <v>SpBEND350015</v>
      </c>
      <c r="E667" s="219" t="str">
        <f t="array" ref="E667">INDEX(postDEL!$A$2:$P799,$O667,4)</f>
        <v/>
      </c>
      <c r="F667" s="219" t="str">
        <f t="array" ref="F667">INDEX(postDEL!$A$2:$P799,$O667,5)</f>
        <v/>
      </c>
      <c r="G667" s="219" t="str">
        <f t="array" ref="G667">INDEX(postDEL!$A$2:$P799,$O667,11)</f>
        <v>Positive</v>
      </c>
      <c r="H667" s="219" t="str">
        <f t="array" ref="H667">INDEX(postDEL!$A$2:$AL799,$O667,37)</f>
        <v>Positive</v>
      </c>
      <c r="I667" s="217">
        <f t="array" ref="I667">INDEX(postDEL!$A$2:$AL799,$O667,12)</f>
        <v>44627</v>
      </c>
      <c r="J667" s="218">
        <f t="array" ref="J667">INDEX(postDEL!$A$2:$AL799,$O667,13)</f>
        <v>0.4779861111</v>
      </c>
      <c r="K667" s="219" t="str">
        <f t="array" ref="K667">INDEX(postDEL!$A$2:$AL799,$O667,36)</f>
        <v/>
      </c>
      <c r="L667" s="219" t="str">
        <f t="array" ref="L667">INDEX(postDEL!$A$2:$AL799,$O667,38)</f>
        <v/>
      </c>
      <c r="M667" s="219" t="str">
        <f t="array" ref="M667">INDEX(postDEL!$A$2:$AL799,$O667,15)</f>
        <v/>
      </c>
      <c r="N667" s="110">
        <f>COUNTIF(postDEL!$A$2:$A799,A667)</f>
        <v>1</v>
      </c>
      <c r="O667" s="19">
        <f>MATCH(A667,postDEL!A$2:A799,0)</f>
        <v>666</v>
      </c>
      <c r="P667" s="10" t="str">
        <f t="shared" si="1"/>
        <v/>
      </c>
      <c r="Q667" s="220">
        <f t="shared" si="2"/>
        <v>2</v>
      </c>
      <c r="R667" s="5"/>
    </row>
    <row r="668">
      <c r="A668" s="221" t="s">
        <v>1963</v>
      </c>
      <c r="B668" s="217">
        <f t="array" ref="B668">INDEX(postDEL!$A$2:$P799,$O668,2)</f>
        <v>44625</v>
      </c>
      <c r="C668" s="218">
        <f t="array" ref="C668">INDEX(postDEL!$A$2:$P799,$O668,3)</f>
        <v>0.3676851852</v>
      </c>
      <c r="D668" s="219" t="str">
        <f t="array" ref="D668">INDEX(postDEL!$A$2:$AN799,$O668,39)</f>
        <v>SpBEND387578</v>
      </c>
      <c r="E668" s="219" t="str">
        <f t="array" ref="E668">INDEX(postDEL!$A$2:$P799,$O668,4)</f>
        <v/>
      </c>
      <c r="F668" s="219" t="str">
        <f t="array" ref="F668">INDEX(postDEL!$A$2:$P799,$O668,5)</f>
        <v/>
      </c>
      <c r="G668" s="219" t="str">
        <f t="array" ref="G668">INDEX(postDEL!$A$2:$P799,$O668,11)</f>
        <v>Negative</v>
      </c>
      <c r="H668" s="219" t="str">
        <f t="array" ref="H668">INDEX(postDEL!$A$2:$AL799,$O668,37)</f>
        <v>Negative</v>
      </c>
      <c r="I668" s="217">
        <f t="array" ref="I668">INDEX(postDEL!$A$2:$AL799,$O668,12)</f>
        <v>44625</v>
      </c>
      <c r="J668" s="218">
        <f t="array" ref="J668">INDEX(postDEL!$A$2:$AL799,$O668,13)</f>
        <v>0.4897569444</v>
      </c>
      <c r="K668" s="219" t="str">
        <f t="array" ref="K668">INDEX(postDEL!$A$2:$AL799,$O668,36)</f>
        <v/>
      </c>
      <c r="L668" s="219" t="str">
        <f t="array" ref="L668">INDEX(postDEL!$A$2:$AL799,$O668,38)</f>
        <v/>
      </c>
      <c r="M668" s="219" t="str">
        <f t="array" ref="M668">INDEX(postDEL!$A$2:$AL799,$O668,15)</f>
        <v/>
      </c>
      <c r="N668" s="110">
        <f>COUNTIF(postDEL!$A$2:$A799,A668)</f>
        <v>1</v>
      </c>
      <c r="O668" s="19">
        <f>MATCH(A668,postDEL!A$2:A799,0)</f>
        <v>667</v>
      </c>
      <c r="P668" s="10" t="str">
        <f t="shared" si="1"/>
        <v/>
      </c>
      <c r="Q668" s="220">
        <f t="shared" si="2"/>
        <v>0</v>
      </c>
      <c r="R668" s="5"/>
    </row>
    <row r="669">
      <c r="A669" s="221" t="s">
        <v>1965</v>
      </c>
      <c r="B669" s="217">
        <f t="array" ref="B669">INDEX(postDEL!$A$2:$P799,$O669,2)</f>
        <v>44625</v>
      </c>
      <c r="C669" s="218">
        <f t="array" ref="C669">INDEX(postDEL!$A$2:$P799,$O669,3)</f>
        <v>0.3858333333</v>
      </c>
      <c r="D669" s="219" t="str">
        <f t="array" ref="D669">INDEX(postDEL!$A$2:$AN799,$O669,39)</f>
        <v>SpBEND899578</v>
      </c>
      <c r="E669" s="219" t="str">
        <f t="array" ref="E669">INDEX(postDEL!$A$2:$P799,$O669,4)</f>
        <v/>
      </c>
      <c r="F669" s="219" t="str">
        <f t="array" ref="F669">INDEX(postDEL!$A$2:$P799,$O669,5)</f>
        <v/>
      </c>
      <c r="G669" s="219" t="str">
        <f t="array" ref="G669">INDEX(postDEL!$A$2:$P799,$O669,11)</f>
        <v>Negative</v>
      </c>
      <c r="H669" s="219" t="str">
        <f t="array" ref="H669">INDEX(postDEL!$A$2:$AL799,$O669,37)</f>
        <v>Negative</v>
      </c>
      <c r="I669" s="217">
        <f t="array" ref="I669">INDEX(postDEL!$A$2:$AL799,$O669,12)</f>
        <v>44625</v>
      </c>
      <c r="J669" s="218">
        <f t="array" ref="J669">INDEX(postDEL!$A$2:$AL799,$O669,13)</f>
        <v>0.4897569444</v>
      </c>
      <c r="K669" s="219" t="str">
        <f t="array" ref="K669">INDEX(postDEL!$A$2:$AL799,$O669,36)</f>
        <v/>
      </c>
      <c r="L669" s="219" t="str">
        <f t="array" ref="L669">INDEX(postDEL!$A$2:$AL799,$O669,38)</f>
        <v/>
      </c>
      <c r="M669" s="219" t="str">
        <f t="array" ref="M669">INDEX(postDEL!$A$2:$AL799,$O669,15)</f>
        <v/>
      </c>
      <c r="N669" s="110">
        <f>COUNTIF(postDEL!$A$2:$A799,A669)</f>
        <v>1</v>
      </c>
      <c r="O669" s="19">
        <f>MATCH(A669,postDEL!A$2:A799,0)</f>
        <v>668</v>
      </c>
      <c r="P669" s="10" t="str">
        <f t="shared" si="1"/>
        <v/>
      </c>
      <c r="Q669" s="220">
        <f t="shared" si="2"/>
        <v>0</v>
      </c>
      <c r="R669" s="5"/>
    </row>
    <row r="670">
      <c r="A670" s="221" t="s">
        <v>1967</v>
      </c>
      <c r="B670" s="217">
        <f t="array" ref="B670">INDEX(postDEL!$A$2:$P799,$O670,2)</f>
        <v>44625</v>
      </c>
      <c r="C670" s="218">
        <f t="array" ref="C670">INDEX(postDEL!$A$2:$P799,$O670,3)</f>
        <v>0.3939930556</v>
      </c>
      <c r="D670" s="219" t="str">
        <f t="array" ref="D670">INDEX(postDEL!$A$2:$AN799,$O670,39)</f>
        <v>SpBEND151586</v>
      </c>
      <c r="E670" s="219" t="str">
        <f t="array" ref="E670">INDEX(postDEL!$A$2:$P799,$O670,4)</f>
        <v/>
      </c>
      <c r="F670" s="219" t="str">
        <f t="array" ref="F670">INDEX(postDEL!$A$2:$P799,$O670,5)</f>
        <v/>
      </c>
      <c r="G670" s="219" t="str">
        <f t="array" ref="G670">INDEX(postDEL!$A$2:$P799,$O670,11)</f>
        <v>Negative</v>
      </c>
      <c r="H670" s="219" t="str">
        <f t="array" ref="H670">INDEX(postDEL!$A$2:$AL799,$O670,37)</f>
        <v>Negative</v>
      </c>
      <c r="I670" s="217">
        <f t="array" ref="I670">INDEX(postDEL!$A$2:$AL799,$O670,12)</f>
        <v>44625</v>
      </c>
      <c r="J670" s="218">
        <f t="array" ref="J670">INDEX(postDEL!$A$2:$AL799,$O670,13)</f>
        <v>0.4899884259</v>
      </c>
      <c r="K670" s="219" t="str">
        <f t="array" ref="K670">INDEX(postDEL!$A$2:$AL799,$O670,36)</f>
        <v/>
      </c>
      <c r="L670" s="219" t="str">
        <f t="array" ref="L670">INDEX(postDEL!$A$2:$AL799,$O670,38)</f>
        <v/>
      </c>
      <c r="M670" s="219" t="str">
        <f t="array" ref="M670">INDEX(postDEL!$A$2:$AL799,$O670,15)</f>
        <v/>
      </c>
      <c r="N670" s="110">
        <f>COUNTIF(postDEL!$A$2:$A799,A670)</f>
        <v>1</v>
      </c>
      <c r="O670" s="19">
        <f>MATCH(A670,postDEL!A$2:A799,0)</f>
        <v>669</v>
      </c>
      <c r="P670" s="10" t="str">
        <f t="shared" si="1"/>
        <v/>
      </c>
      <c r="Q670" s="220">
        <f t="shared" si="2"/>
        <v>0</v>
      </c>
      <c r="R670" s="5"/>
    </row>
    <row r="671">
      <c r="A671" s="221" t="s">
        <v>1969</v>
      </c>
      <c r="B671" s="217">
        <f t="array" ref="B671">INDEX(postDEL!$A$2:$P799,$O671,2)</f>
        <v>44625</v>
      </c>
      <c r="C671" s="218">
        <f t="array" ref="C671">INDEX(postDEL!$A$2:$P799,$O671,3)</f>
        <v>0.3943171296</v>
      </c>
      <c r="D671" s="219" t="str">
        <f t="array" ref="D671">INDEX(postDEL!$A$2:$AN799,$O671,39)</f>
        <v>SpBEND151586</v>
      </c>
      <c r="E671" s="219" t="str">
        <f t="array" ref="E671">INDEX(postDEL!$A$2:$P799,$O671,4)</f>
        <v/>
      </c>
      <c r="F671" s="219" t="str">
        <f t="array" ref="F671">INDEX(postDEL!$A$2:$P799,$O671,5)</f>
        <v/>
      </c>
      <c r="G671" s="219" t="str">
        <f t="array" ref="G671">INDEX(postDEL!$A$2:$P799,$O671,11)</f>
        <v>Negative</v>
      </c>
      <c r="H671" s="219" t="str">
        <f t="array" ref="H671">INDEX(postDEL!$A$2:$AL799,$O671,37)</f>
        <v>Negative</v>
      </c>
      <c r="I671" s="217">
        <f t="array" ref="I671">INDEX(postDEL!$A$2:$AL799,$O671,12)</f>
        <v>44625</v>
      </c>
      <c r="J671" s="218">
        <f t="array" ref="J671">INDEX(postDEL!$A$2:$AL799,$O671,13)</f>
        <v>0.4897569444</v>
      </c>
      <c r="K671" s="219" t="str">
        <f t="array" ref="K671">INDEX(postDEL!$A$2:$AL799,$O671,36)</f>
        <v/>
      </c>
      <c r="L671" s="219" t="str">
        <f t="array" ref="L671">INDEX(postDEL!$A$2:$AL799,$O671,38)</f>
        <v/>
      </c>
      <c r="M671" s="219" t="str">
        <f t="array" ref="M671">INDEX(postDEL!$A$2:$AL799,$O671,15)</f>
        <v/>
      </c>
      <c r="N671" s="110">
        <f>COUNTIF(postDEL!$A$2:$A799,A671)</f>
        <v>1</v>
      </c>
      <c r="O671" s="19">
        <f>MATCH(A671,postDEL!A$2:A799,0)</f>
        <v>670</v>
      </c>
      <c r="P671" s="10" t="str">
        <f t="shared" si="1"/>
        <v/>
      </c>
      <c r="Q671" s="220">
        <f t="shared" si="2"/>
        <v>0</v>
      </c>
      <c r="R671" s="5"/>
    </row>
    <row r="672">
      <c r="A672" s="221" t="s">
        <v>1971</v>
      </c>
      <c r="B672" s="217">
        <f t="array" ref="B672">INDEX(postDEL!$A$2:$P799,$O672,2)</f>
        <v>44625</v>
      </c>
      <c r="C672" s="218">
        <f t="array" ref="C672">INDEX(postDEL!$A$2:$P799,$O672,3)</f>
        <v>0.3945717593</v>
      </c>
      <c r="D672" s="219" t="str">
        <f t="array" ref="D672">INDEX(postDEL!$A$2:$AN799,$O672,39)</f>
        <v>SpBEND151586</v>
      </c>
      <c r="E672" s="219" t="str">
        <f t="array" ref="E672">INDEX(postDEL!$A$2:$P799,$O672,4)</f>
        <v/>
      </c>
      <c r="F672" s="219" t="str">
        <f t="array" ref="F672">INDEX(postDEL!$A$2:$P799,$O672,5)</f>
        <v/>
      </c>
      <c r="G672" s="219" t="str">
        <f t="array" ref="G672">INDEX(postDEL!$A$2:$P799,$O672,11)</f>
        <v>Negative</v>
      </c>
      <c r="H672" s="219" t="str">
        <f t="array" ref="H672">INDEX(postDEL!$A$2:$AL799,$O672,37)</f>
        <v>Negative</v>
      </c>
      <c r="I672" s="217">
        <f t="array" ref="I672">INDEX(postDEL!$A$2:$AL799,$O672,12)</f>
        <v>44625</v>
      </c>
      <c r="J672" s="218">
        <f t="array" ref="J672">INDEX(postDEL!$A$2:$AL799,$O672,13)</f>
        <v>0.4897569444</v>
      </c>
      <c r="K672" s="219" t="str">
        <f t="array" ref="K672">INDEX(postDEL!$A$2:$AL799,$O672,36)</f>
        <v/>
      </c>
      <c r="L672" s="219" t="str">
        <f t="array" ref="L672">INDEX(postDEL!$A$2:$AL799,$O672,38)</f>
        <v/>
      </c>
      <c r="M672" s="219" t="str">
        <f t="array" ref="M672">INDEX(postDEL!$A$2:$AL799,$O672,15)</f>
        <v/>
      </c>
      <c r="N672" s="110">
        <f>COUNTIF(postDEL!$A$2:$A799,A672)</f>
        <v>1</v>
      </c>
      <c r="O672" s="19">
        <f>MATCH(A672,postDEL!A$2:A799,0)</f>
        <v>671</v>
      </c>
      <c r="P672" s="10" t="str">
        <f t="shared" si="1"/>
        <v/>
      </c>
      <c r="Q672" s="220">
        <f t="shared" si="2"/>
        <v>0</v>
      </c>
      <c r="R672" s="5"/>
    </row>
    <row r="673">
      <c r="A673" s="221" t="s">
        <v>1973</v>
      </c>
      <c r="B673" s="217">
        <f t="array" ref="B673">INDEX(postDEL!$A$2:$P799,$O673,2)</f>
        <v>44625</v>
      </c>
      <c r="C673" s="218">
        <f t="array" ref="C673">INDEX(postDEL!$A$2:$P799,$O673,3)</f>
        <v>0.4318171296</v>
      </c>
      <c r="D673" s="219" t="str">
        <f t="array" ref="D673">INDEX(postDEL!$A$2:$AN799,$O673,39)</f>
        <v>SpBEND151586</v>
      </c>
      <c r="E673" s="219" t="str">
        <f t="array" ref="E673">INDEX(postDEL!$A$2:$P799,$O673,4)</f>
        <v/>
      </c>
      <c r="F673" s="219" t="str">
        <f t="array" ref="F673">INDEX(postDEL!$A$2:$P799,$O673,5)</f>
        <v/>
      </c>
      <c r="G673" s="219" t="str">
        <f t="array" ref="G673">INDEX(postDEL!$A$2:$P799,$O673,11)</f>
        <v>Negative</v>
      </c>
      <c r="H673" s="219" t="str">
        <f t="array" ref="H673">INDEX(postDEL!$A$2:$AL799,$O673,37)</f>
        <v>Negative</v>
      </c>
      <c r="I673" s="217">
        <f t="array" ref="I673">INDEX(postDEL!$A$2:$AL799,$O673,12)</f>
        <v>44625</v>
      </c>
      <c r="J673" s="218">
        <f t="array" ref="J673">INDEX(postDEL!$A$2:$AL799,$O673,13)</f>
        <v>0.4897569444</v>
      </c>
      <c r="K673" s="219" t="str">
        <f t="array" ref="K673">INDEX(postDEL!$A$2:$AL799,$O673,36)</f>
        <v/>
      </c>
      <c r="L673" s="219" t="str">
        <f t="array" ref="L673">INDEX(postDEL!$A$2:$AL799,$O673,38)</f>
        <v/>
      </c>
      <c r="M673" s="219" t="str">
        <f t="array" ref="M673">INDEX(postDEL!$A$2:$AL799,$O673,15)</f>
        <v/>
      </c>
      <c r="N673" s="110">
        <f>COUNTIF(postDEL!$A$2:$A799,A673)</f>
        <v>1</v>
      </c>
      <c r="O673" s="19">
        <f>MATCH(A673,postDEL!A$2:A799,0)</f>
        <v>672</v>
      </c>
      <c r="P673" s="10" t="str">
        <f t="shared" si="1"/>
        <v/>
      </c>
      <c r="Q673" s="220">
        <f t="shared" si="2"/>
        <v>0</v>
      </c>
      <c r="R673" s="5"/>
    </row>
    <row r="674">
      <c r="A674" s="221" t="s">
        <v>1976</v>
      </c>
      <c r="B674" s="217">
        <f t="array" ref="B674">INDEX(postDEL!$A$2:$P799,$O674,2)</f>
        <v>44627</v>
      </c>
      <c r="C674" s="218">
        <f t="array" ref="C674">INDEX(postDEL!$A$2:$P799,$O674,3)</f>
        <v>0.2761805556</v>
      </c>
      <c r="D674" s="219" t="str">
        <f t="array" ref="D674">INDEX(postDEL!$A$2:$AN799,$O674,39)</f>
        <v>SpBEND914710</v>
      </c>
      <c r="E674" s="219" t="str">
        <f t="array" ref="E674">INDEX(postDEL!$A$2:$P799,$O674,4)</f>
        <v/>
      </c>
      <c r="F674" s="219" t="str">
        <f t="array" ref="F674">INDEX(postDEL!$A$2:$P799,$O674,5)</f>
        <v/>
      </c>
      <c r="G674" s="219" t="str">
        <f t="array" ref="G674">INDEX(postDEL!$A$2:$P799,$O674,11)</f>
        <v>Negative</v>
      </c>
      <c r="H674" s="219" t="str">
        <f t="array" ref="H674">INDEX(postDEL!$A$2:$AL799,$O674,37)</f>
        <v>Negative</v>
      </c>
      <c r="I674" s="217">
        <f t="array" ref="I674">INDEX(postDEL!$A$2:$AL799,$O674,12)</f>
        <v>44627</v>
      </c>
      <c r="J674" s="218">
        <f t="array" ref="J674">INDEX(postDEL!$A$2:$AL799,$O674,13)</f>
        <v>0.4778935185</v>
      </c>
      <c r="K674" s="219" t="str">
        <f t="array" ref="K674">INDEX(postDEL!$A$2:$AL799,$O674,36)</f>
        <v/>
      </c>
      <c r="L674" s="219" t="str">
        <f t="array" ref="L674">INDEX(postDEL!$A$2:$AL799,$O674,38)</f>
        <v/>
      </c>
      <c r="M674" s="219" t="str">
        <f t="array" ref="M674">INDEX(postDEL!$A$2:$AL799,$O674,15)</f>
        <v/>
      </c>
      <c r="N674" s="110">
        <f>COUNTIF(postDEL!$A$2:$A799,A674)</f>
        <v>1</v>
      </c>
      <c r="O674" s="19">
        <f>MATCH(A674,postDEL!A$2:A799,0)</f>
        <v>673</v>
      </c>
      <c r="P674" s="10" t="b">
        <f t="shared" si="1"/>
        <v>1</v>
      </c>
      <c r="Q674" s="220">
        <f t="shared" si="2"/>
        <v>0</v>
      </c>
      <c r="R674" s="5"/>
    </row>
    <row r="675">
      <c r="A675" s="221" t="s">
        <v>1978</v>
      </c>
      <c r="B675" s="217">
        <f t="array" ref="B675">INDEX(postDEL!$A$2:$P799,$O675,2)</f>
        <v>44627</v>
      </c>
      <c r="C675" s="218">
        <f t="array" ref="C675">INDEX(postDEL!$A$2:$P799,$O675,3)</f>
        <v>0.2890393519</v>
      </c>
      <c r="D675" s="219" t="str">
        <f t="array" ref="D675">INDEX(postDEL!$A$2:$AN799,$O675,39)</f>
        <v>SpBEND953422</v>
      </c>
      <c r="E675" s="219" t="str">
        <f t="array" ref="E675">INDEX(postDEL!$A$2:$P799,$O675,4)</f>
        <v/>
      </c>
      <c r="F675" s="219" t="str">
        <f t="array" ref="F675">INDEX(postDEL!$A$2:$P799,$O675,5)</f>
        <v/>
      </c>
      <c r="G675" s="219" t="str">
        <f t="array" ref="G675">INDEX(postDEL!$A$2:$P799,$O675,11)</f>
        <v>Negative</v>
      </c>
      <c r="H675" s="219" t="str">
        <f t="array" ref="H675">INDEX(postDEL!$A$2:$AL799,$O675,37)</f>
        <v>Negative</v>
      </c>
      <c r="I675" s="217">
        <f t="array" ref="I675">INDEX(postDEL!$A$2:$AL799,$O675,12)</f>
        <v>44627</v>
      </c>
      <c r="J675" s="218">
        <f t="array" ref="J675">INDEX(postDEL!$A$2:$AL799,$O675,13)</f>
        <v>0.4778935185</v>
      </c>
      <c r="K675" s="219" t="str">
        <f t="array" ref="K675">INDEX(postDEL!$A$2:$AL799,$O675,36)</f>
        <v/>
      </c>
      <c r="L675" s="219" t="str">
        <f t="array" ref="L675">INDEX(postDEL!$A$2:$AL799,$O675,38)</f>
        <v/>
      </c>
      <c r="M675" s="219" t="str">
        <f t="array" ref="M675">INDEX(postDEL!$A$2:$AL799,$O675,15)</f>
        <v/>
      </c>
      <c r="N675" s="110">
        <f>COUNTIF(postDEL!$A$2:$A799,A675)</f>
        <v>1</v>
      </c>
      <c r="O675" s="19">
        <f>MATCH(A675,postDEL!A$2:A799,0)</f>
        <v>674</v>
      </c>
      <c r="P675" s="10" t="str">
        <f t="shared" si="1"/>
        <v/>
      </c>
      <c r="Q675" s="220">
        <f t="shared" si="2"/>
        <v>0</v>
      </c>
      <c r="R675" s="5"/>
    </row>
    <row r="676">
      <c r="A676" s="221" t="s">
        <v>1980</v>
      </c>
      <c r="B676" s="217">
        <f t="array" ref="B676">INDEX(postDEL!$A$2:$P799,$O676,2)</f>
        <v>44627</v>
      </c>
      <c r="C676" s="218">
        <f t="array" ref="C676">INDEX(postDEL!$A$2:$P799,$O676,3)</f>
        <v>0.2940972222</v>
      </c>
      <c r="D676" s="219" t="str">
        <f t="array" ref="D676">INDEX(postDEL!$A$2:$AN799,$O676,39)</f>
        <v>SpBEND292213</v>
      </c>
      <c r="E676" s="219" t="str">
        <f t="array" ref="E676">INDEX(postDEL!$A$2:$P799,$O676,4)</f>
        <v/>
      </c>
      <c r="F676" s="219" t="str">
        <f t="array" ref="F676">INDEX(postDEL!$A$2:$P799,$O676,5)</f>
        <v/>
      </c>
      <c r="G676" s="219" t="str">
        <f t="array" ref="G676">INDEX(postDEL!$A$2:$P799,$O676,11)</f>
        <v>Negative</v>
      </c>
      <c r="H676" s="219" t="str">
        <f t="array" ref="H676">INDEX(postDEL!$A$2:$AL799,$O676,37)</f>
        <v>Negative</v>
      </c>
      <c r="I676" s="217">
        <f t="array" ref="I676">INDEX(postDEL!$A$2:$AL799,$O676,12)</f>
        <v>44627</v>
      </c>
      <c r="J676" s="218">
        <f t="array" ref="J676">INDEX(postDEL!$A$2:$AL799,$O676,13)</f>
        <v>0.4778935185</v>
      </c>
      <c r="K676" s="219" t="str">
        <f t="array" ref="K676">INDEX(postDEL!$A$2:$AL799,$O676,36)</f>
        <v/>
      </c>
      <c r="L676" s="219" t="str">
        <f t="array" ref="L676">INDEX(postDEL!$A$2:$AL799,$O676,38)</f>
        <v/>
      </c>
      <c r="M676" s="219" t="str">
        <f t="array" ref="M676">INDEX(postDEL!$A$2:$AL799,$O676,15)</f>
        <v/>
      </c>
      <c r="N676" s="110">
        <f>COUNTIF(postDEL!$A$2:$A799,A676)</f>
        <v>1</v>
      </c>
      <c r="O676" s="19">
        <f>MATCH(A676,postDEL!A$2:A799,0)</f>
        <v>675</v>
      </c>
      <c r="P676" s="10" t="str">
        <f t="shared" si="1"/>
        <v/>
      </c>
      <c r="Q676" s="220">
        <f t="shared" si="2"/>
        <v>0</v>
      </c>
      <c r="R676" s="5"/>
    </row>
    <row r="677">
      <c r="A677" s="221" t="s">
        <v>1982</v>
      </c>
      <c r="B677" s="217">
        <f t="array" ref="B677">INDEX(postDEL!$A$2:$P799,$O677,2)</f>
        <v>44627</v>
      </c>
      <c r="C677" s="218">
        <f t="array" ref="C677">INDEX(postDEL!$A$2:$P799,$O677,3)</f>
        <v>0.2957175926</v>
      </c>
      <c r="D677" s="219" t="str">
        <f t="array" ref="D677">INDEX(postDEL!$A$2:$AN799,$O677,39)</f>
        <v>SpBEND264858</v>
      </c>
      <c r="E677" s="219" t="str">
        <f t="array" ref="E677">INDEX(postDEL!$A$2:$P799,$O677,4)</f>
        <v/>
      </c>
      <c r="F677" s="219" t="str">
        <f t="array" ref="F677">INDEX(postDEL!$A$2:$P799,$O677,5)</f>
        <v/>
      </c>
      <c r="G677" s="219" t="str">
        <f t="array" ref="G677">INDEX(postDEL!$A$2:$P799,$O677,11)</f>
        <v>Negative</v>
      </c>
      <c r="H677" s="219" t="str">
        <f t="array" ref="H677">INDEX(postDEL!$A$2:$AL799,$O677,37)</f>
        <v>Negative</v>
      </c>
      <c r="I677" s="217">
        <f t="array" ref="I677">INDEX(postDEL!$A$2:$AL799,$O677,12)</f>
        <v>44627</v>
      </c>
      <c r="J677" s="218">
        <f t="array" ref="J677">INDEX(postDEL!$A$2:$AL799,$O677,13)</f>
        <v>0.4778935185</v>
      </c>
      <c r="K677" s="219" t="str">
        <f t="array" ref="K677">INDEX(postDEL!$A$2:$AL799,$O677,36)</f>
        <v/>
      </c>
      <c r="L677" s="219" t="str">
        <f t="array" ref="L677">INDEX(postDEL!$A$2:$AL799,$O677,38)</f>
        <v/>
      </c>
      <c r="M677" s="219" t="str">
        <f t="array" ref="M677">INDEX(postDEL!$A$2:$AL799,$O677,15)</f>
        <v/>
      </c>
      <c r="N677" s="110">
        <f>COUNTIF(postDEL!$A$2:$A799,A677)</f>
        <v>1</v>
      </c>
      <c r="O677" s="19">
        <f>MATCH(A677,postDEL!A$2:A799,0)</f>
        <v>676</v>
      </c>
      <c r="P677" s="10" t="str">
        <f t="shared" si="1"/>
        <v/>
      </c>
      <c r="Q677" s="220">
        <f t="shared" si="2"/>
        <v>0</v>
      </c>
      <c r="R677" s="5"/>
    </row>
    <row r="678">
      <c r="A678" s="221" t="s">
        <v>1984</v>
      </c>
      <c r="B678" s="217">
        <f t="array" ref="B678">INDEX(postDEL!$A$2:$P799,$O678,2)</f>
        <v>44627</v>
      </c>
      <c r="C678" s="218">
        <f t="array" ref="C678">INDEX(postDEL!$A$2:$P799,$O678,3)</f>
        <v>0.2964351852</v>
      </c>
      <c r="D678" s="219" t="str">
        <f t="array" ref="D678">INDEX(postDEL!$A$2:$AN799,$O678,39)</f>
        <v>SpBEND363177</v>
      </c>
      <c r="E678" s="219" t="str">
        <f t="array" ref="E678">INDEX(postDEL!$A$2:$P799,$O678,4)</f>
        <v/>
      </c>
      <c r="F678" s="219" t="str">
        <f t="array" ref="F678">INDEX(postDEL!$A$2:$P799,$O678,5)</f>
        <v/>
      </c>
      <c r="G678" s="219" t="str">
        <f t="array" ref="G678">INDEX(postDEL!$A$2:$P799,$O678,11)</f>
        <v>Negative</v>
      </c>
      <c r="H678" s="219" t="str">
        <f t="array" ref="H678">INDEX(postDEL!$A$2:$AL799,$O678,37)</f>
        <v>Negative</v>
      </c>
      <c r="I678" s="217">
        <f t="array" ref="I678">INDEX(postDEL!$A$2:$AL799,$O678,12)</f>
        <v>44627</v>
      </c>
      <c r="J678" s="218">
        <f t="array" ref="J678">INDEX(postDEL!$A$2:$AL799,$O678,13)</f>
        <v>0.4778935185</v>
      </c>
      <c r="K678" s="219" t="str">
        <f t="array" ref="K678">INDEX(postDEL!$A$2:$AL799,$O678,36)</f>
        <v/>
      </c>
      <c r="L678" s="219" t="str">
        <f t="array" ref="L678">INDEX(postDEL!$A$2:$AL799,$O678,38)</f>
        <v/>
      </c>
      <c r="M678" s="219" t="str">
        <f t="array" ref="M678">INDEX(postDEL!$A$2:$AL799,$O678,15)</f>
        <v/>
      </c>
      <c r="N678" s="110">
        <f>COUNTIF(postDEL!$A$2:$A799,A678)</f>
        <v>1</v>
      </c>
      <c r="O678" s="19">
        <f>MATCH(A678,postDEL!A$2:A799,0)</f>
        <v>677</v>
      </c>
      <c r="P678" s="10" t="str">
        <f t="shared" si="1"/>
        <v/>
      </c>
      <c r="Q678" s="220">
        <f t="shared" si="2"/>
        <v>0</v>
      </c>
      <c r="R678" s="5"/>
    </row>
    <row r="679">
      <c r="A679" s="221" t="s">
        <v>1986</v>
      </c>
      <c r="B679" s="217">
        <f t="array" ref="B679">INDEX(postDEL!$A$2:$P799,$O679,2)</f>
        <v>44627</v>
      </c>
      <c r="C679" s="218">
        <f t="array" ref="C679">INDEX(postDEL!$A$2:$P799,$O679,3)</f>
        <v>0.2971412037</v>
      </c>
      <c r="D679" s="219" t="str">
        <f t="array" ref="D679">INDEX(postDEL!$A$2:$AN799,$O679,39)</f>
        <v>SpBEND713650</v>
      </c>
      <c r="E679" s="219" t="str">
        <f t="array" ref="E679">INDEX(postDEL!$A$2:$P799,$O679,4)</f>
        <v/>
      </c>
      <c r="F679" s="219" t="str">
        <f t="array" ref="F679">INDEX(postDEL!$A$2:$P799,$O679,5)</f>
        <v/>
      </c>
      <c r="G679" s="219" t="str">
        <f t="array" ref="G679">INDEX(postDEL!$A$2:$P799,$O679,11)</f>
        <v>Negative</v>
      </c>
      <c r="H679" s="219" t="str">
        <f t="array" ref="H679">INDEX(postDEL!$A$2:$AL799,$O679,37)</f>
        <v>Negative</v>
      </c>
      <c r="I679" s="217">
        <f t="array" ref="I679">INDEX(postDEL!$A$2:$AL799,$O679,12)</f>
        <v>44627</v>
      </c>
      <c r="J679" s="218">
        <f t="array" ref="J679">INDEX(postDEL!$A$2:$AL799,$O679,13)</f>
        <v>0.4778935185</v>
      </c>
      <c r="K679" s="219" t="str">
        <f t="array" ref="K679">INDEX(postDEL!$A$2:$AL799,$O679,36)</f>
        <v/>
      </c>
      <c r="L679" s="219" t="str">
        <f t="array" ref="L679">INDEX(postDEL!$A$2:$AL799,$O679,38)</f>
        <v/>
      </c>
      <c r="M679" s="219" t="str">
        <f t="array" ref="M679">INDEX(postDEL!$A$2:$AL799,$O679,15)</f>
        <v/>
      </c>
      <c r="N679" s="110">
        <f>COUNTIF(postDEL!$A$2:$A799,A679)</f>
        <v>1</v>
      </c>
      <c r="O679" s="19">
        <f>MATCH(A679,postDEL!A$2:A799,0)</f>
        <v>678</v>
      </c>
      <c r="P679" s="10" t="str">
        <f t="shared" si="1"/>
        <v/>
      </c>
      <c r="Q679" s="220">
        <f t="shared" si="2"/>
        <v>0</v>
      </c>
      <c r="R679" s="5"/>
    </row>
    <row r="680">
      <c r="A680" s="221" t="s">
        <v>1988</v>
      </c>
      <c r="B680" s="217">
        <f t="array" ref="B680">INDEX(postDEL!$A$2:$P799,$O680,2)</f>
        <v>44627</v>
      </c>
      <c r="C680" s="218">
        <f t="array" ref="C680">INDEX(postDEL!$A$2:$P799,$O680,3)</f>
        <v>0.3037152778</v>
      </c>
      <c r="D680" s="219" t="str">
        <f t="array" ref="D680">INDEX(postDEL!$A$2:$AN799,$O680,39)</f>
        <v>SpBEND982195</v>
      </c>
      <c r="E680" s="219" t="str">
        <f t="array" ref="E680">INDEX(postDEL!$A$2:$P799,$O680,4)</f>
        <v/>
      </c>
      <c r="F680" s="219" t="str">
        <f t="array" ref="F680">INDEX(postDEL!$A$2:$P799,$O680,5)</f>
        <v/>
      </c>
      <c r="G680" s="219" t="str">
        <f t="array" ref="G680">INDEX(postDEL!$A$2:$P799,$O680,11)</f>
        <v>Negative</v>
      </c>
      <c r="H680" s="219" t="str">
        <f t="array" ref="H680">INDEX(postDEL!$A$2:$AL799,$O680,37)</f>
        <v>Negative</v>
      </c>
      <c r="I680" s="217">
        <f t="array" ref="I680">INDEX(postDEL!$A$2:$AL799,$O680,12)</f>
        <v>44627</v>
      </c>
      <c r="J680" s="218">
        <f t="array" ref="J680">INDEX(postDEL!$A$2:$AL799,$O680,13)</f>
        <v>0.4778935185</v>
      </c>
      <c r="K680" s="219" t="str">
        <f t="array" ref="K680">INDEX(postDEL!$A$2:$AL799,$O680,36)</f>
        <v/>
      </c>
      <c r="L680" s="219" t="str">
        <f t="array" ref="L680">INDEX(postDEL!$A$2:$AL799,$O680,38)</f>
        <v/>
      </c>
      <c r="M680" s="219" t="str">
        <f t="array" ref="M680">INDEX(postDEL!$A$2:$AL799,$O680,15)</f>
        <v/>
      </c>
      <c r="N680" s="110">
        <f>COUNTIF(postDEL!$A$2:$A799,A680)</f>
        <v>1</v>
      </c>
      <c r="O680" s="19">
        <f>MATCH(A680,postDEL!A$2:A799,0)</f>
        <v>679</v>
      </c>
      <c r="P680" s="10" t="str">
        <f t="shared" si="1"/>
        <v/>
      </c>
      <c r="Q680" s="220">
        <f t="shared" si="2"/>
        <v>0</v>
      </c>
      <c r="R680" s="5"/>
    </row>
    <row r="681">
      <c r="A681" s="221" t="s">
        <v>1990</v>
      </c>
      <c r="B681" s="217">
        <f t="array" ref="B681">INDEX(postDEL!$A$2:$P799,$O681,2)</f>
        <v>44627</v>
      </c>
      <c r="C681" s="218">
        <f t="array" ref="C681">INDEX(postDEL!$A$2:$P799,$O681,3)</f>
        <v>0.3088194444</v>
      </c>
      <c r="D681" s="219" t="str">
        <f t="array" ref="D681">INDEX(postDEL!$A$2:$AN799,$O681,39)</f>
        <v>SpBEND768497</v>
      </c>
      <c r="E681" s="219" t="str">
        <f t="array" ref="E681">INDEX(postDEL!$A$2:$P799,$O681,4)</f>
        <v/>
      </c>
      <c r="F681" s="219" t="str">
        <f t="array" ref="F681">INDEX(postDEL!$A$2:$P799,$O681,5)</f>
        <v/>
      </c>
      <c r="G681" s="219" t="str">
        <f t="array" ref="G681">INDEX(postDEL!$A$2:$P799,$O681,11)</f>
        <v>Negative</v>
      </c>
      <c r="H681" s="219" t="str">
        <f t="array" ref="H681">INDEX(postDEL!$A$2:$AL799,$O681,37)</f>
        <v>Negative</v>
      </c>
      <c r="I681" s="217">
        <f t="array" ref="I681">INDEX(postDEL!$A$2:$AL799,$O681,12)</f>
        <v>44627</v>
      </c>
      <c r="J681" s="218">
        <f t="array" ref="J681">INDEX(postDEL!$A$2:$AL799,$O681,13)</f>
        <v>0.4778935185</v>
      </c>
      <c r="K681" s="219" t="str">
        <f t="array" ref="K681">INDEX(postDEL!$A$2:$AL799,$O681,36)</f>
        <v/>
      </c>
      <c r="L681" s="219" t="str">
        <f t="array" ref="L681">INDEX(postDEL!$A$2:$AL799,$O681,38)</f>
        <v/>
      </c>
      <c r="M681" s="219" t="str">
        <f t="array" ref="M681">INDEX(postDEL!$A$2:$AL799,$O681,15)</f>
        <v/>
      </c>
      <c r="N681" s="110">
        <f>COUNTIF(postDEL!$A$2:$A799,A681)</f>
        <v>1</v>
      </c>
      <c r="O681" s="19">
        <f>MATCH(A681,postDEL!A$2:A799,0)</f>
        <v>680</v>
      </c>
      <c r="P681" s="10" t="str">
        <f t="shared" si="1"/>
        <v/>
      </c>
      <c r="Q681" s="220">
        <f t="shared" si="2"/>
        <v>0</v>
      </c>
      <c r="R681" s="5"/>
    </row>
    <row r="682">
      <c r="A682" s="221" t="s">
        <v>1992</v>
      </c>
      <c r="B682" s="217">
        <f t="array" ref="B682">INDEX(postDEL!$A$2:$P799,$O682,2)</f>
        <v>44627</v>
      </c>
      <c r="C682" s="218">
        <f t="array" ref="C682">INDEX(postDEL!$A$2:$P799,$O682,3)</f>
        <v>0.3127777778</v>
      </c>
      <c r="D682" s="219" t="str">
        <f t="array" ref="D682">INDEX(postDEL!$A$2:$AN799,$O682,39)</f>
        <v>SpBEND445560</v>
      </c>
      <c r="E682" s="219" t="str">
        <f t="array" ref="E682">INDEX(postDEL!$A$2:$P799,$O682,4)</f>
        <v/>
      </c>
      <c r="F682" s="219" t="str">
        <f t="array" ref="F682">INDEX(postDEL!$A$2:$P799,$O682,5)</f>
        <v/>
      </c>
      <c r="G682" s="219" t="str">
        <f t="array" ref="G682">INDEX(postDEL!$A$2:$P799,$O682,11)</f>
        <v>Negative</v>
      </c>
      <c r="H682" s="219" t="str">
        <f t="array" ref="H682">INDEX(postDEL!$A$2:$AL799,$O682,37)</f>
        <v>Negative</v>
      </c>
      <c r="I682" s="217">
        <f t="array" ref="I682">INDEX(postDEL!$A$2:$AL799,$O682,12)</f>
        <v>44627</v>
      </c>
      <c r="J682" s="218">
        <f t="array" ref="J682">INDEX(postDEL!$A$2:$AL799,$O682,13)</f>
        <v>0.4778935185</v>
      </c>
      <c r="K682" s="219" t="str">
        <f t="array" ref="K682">INDEX(postDEL!$A$2:$AL799,$O682,36)</f>
        <v/>
      </c>
      <c r="L682" s="219" t="str">
        <f t="array" ref="L682">INDEX(postDEL!$A$2:$AL799,$O682,38)</f>
        <v/>
      </c>
      <c r="M682" s="219" t="str">
        <f t="array" ref="M682">INDEX(postDEL!$A$2:$AL799,$O682,15)</f>
        <v/>
      </c>
      <c r="N682" s="110">
        <f>COUNTIF(postDEL!$A$2:$A799,A682)</f>
        <v>1</v>
      </c>
      <c r="O682" s="19">
        <f>MATCH(A682,postDEL!A$2:A799,0)</f>
        <v>681</v>
      </c>
      <c r="P682" s="10" t="str">
        <f t="shared" si="1"/>
        <v/>
      </c>
      <c r="Q682" s="220">
        <f t="shared" si="2"/>
        <v>0</v>
      </c>
      <c r="R682" s="5"/>
    </row>
    <row r="683">
      <c r="A683" s="221" t="s">
        <v>1994</v>
      </c>
      <c r="B683" s="217">
        <f t="array" ref="B683">INDEX(postDEL!$A$2:$P799,$O683,2)</f>
        <v>44627</v>
      </c>
      <c r="C683" s="218">
        <f t="array" ref="C683">INDEX(postDEL!$A$2:$P799,$O683,3)</f>
        <v>0.3136342593</v>
      </c>
      <c r="D683" s="219" t="str">
        <f t="array" ref="D683">INDEX(postDEL!$A$2:$AN799,$O683,39)</f>
        <v>SpBEND967817</v>
      </c>
      <c r="E683" s="219" t="str">
        <f t="array" ref="E683">INDEX(postDEL!$A$2:$P799,$O683,4)</f>
        <v/>
      </c>
      <c r="F683" s="219" t="str">
        <f t="array" ref="F683">INDEX(postDEL!$A$2:$P799,$O683,5)</f>
        <v/>
      </c>
      <c r="G683" s="219" t="str">
        <f t="array" ref="G683">INDEX(postDEL!$A$2:$P799,$O683,11)</f>
        <v>Negative</v>
      </c>
      <c r="H683" s="219" t="str">
        <f t="array" ref="H683">INDEX(postDEL!$A$2:$AL799,$O683,37)</f>
        <v>Negative</v>
      </c>
      <c r="I683" s="217">
        <f t="array" ref="I683">INDEX(postDEL!$A$2:$AL799,$O683,12)</f>
        <v>44627</v>
      </c>
      <c r="J683" s="218">
        <f t="array" ref="J683">INDEX(postDEL!$A$2:$AL799,$O683,13)</f>
        <v>0.4778935185</v>
      </c>
      <c r="K683" s="219" t="str">
        <f t="array" ref="K683">INDEX(postDEL!$A$2:$AL799,$O683,36)</f>
        <v/>
      </c>
      <c r="L683" s="219" t="str">
        <f t="array" ref="L683">INDEX(postDEL!$A$2:$AL799,$O683,38)</f>
        <v/>
      </c>
      <c r="M683" s="219" t="str">
        <f t="array" ref="M683">INDEX(postDEL!$A$2:$AL799,$O683,15)</f>
        <v/>
      </c>
      <c r="N683" s="110">
        <f>COUNTIF(postDEL!$A$2:$A799,A683)</f>
        <v>1</v>
      </c>
      <c r="O683" s="19">
        <f>MATCH(A683,postDEL!A$2:A799,0)</f>
        <v>682</v>
      </c>
      <c r="P683" s="10" t="str">
        <f t="shared" si="1"/>
        <v/>
      </c>
      <c r="Q683" s="220">
        <f t="shared" si="2"/>
        <v>0</v>
      </c>
      <c r="R683" s="5"/>
    </row>
    <row r="684">
      <c r="A684" s="221" t="s">
        <v>1996</v>
      </c>
      <c r="B684" s="217">
        <f t="array" ref="B684">INDEX(postDEL!$A$2:$P799,$O684,2)</f>
        <v>44627</v>
      </c>
      <c r="C684" s="218">
        <f t="array" ref="C684">INDEX(postDEL!$A$2:$P799,$O684,3)</f>
        <v>0.3145833333</v>
      </c>
      <c r="D684" s="219" t="str">
        <f t="array" ref="D684">INDEX(postDEL!$A$2:$AN799,$O684,39)</f>
        <v>SpBEND637657</v>
      </c>
      <c r="E684" s="219" t="str">
        <f t="array" ref="E684">INDEX(postDEL!$A$2:$P799,$O684,4)</f>
        <v/>
      </c>
      <c r="F684" s="219" t="str">
        <f t="array" ref="F684">INDEX(postDEL!$A$2:$P799,$O684,5)</f>
        <v/>
      </c>
      <c r="G684" s="219" t="str">
        <f t="array" ref="G684">INDEX(postDEL!$A$2:$P799,$O684,11)</f>
        <v>Negative</v>
      </c>
      <c r="H684" s="219" t="str">
        <f t="array" ref="H684">INDEX(postDEL!$A$2:$AL799,$O684,37)</f>
        <v>Negative</v>
      </c>
      <c r="I684" s="217">
        <f t="array" ref="I684">INDEX(postDEL!$A$2:$AL799,$O684,12)</f>
        <v>44627</v>
      </c>
      <c r="J684" s="218">
        <f t="array" ref="J684">INDEX(postDEL!$A$2:$AL799,$O684,13)</f>
        <v>0.4778935185</v>
      </c>
      <c r="K684" s="219" t="str">
        <f t="array" ref="K684">INDEX(postDEL!$A$2:$AL799,$O684,36)</f>
        <v/>
      </c>
      <c r="L684" s="219" t="str">
        <f t="array" ref="L684">INDEX(postDEL!$A$2:$AL799,$O684,38)</f>
        <v/>
      </c>
      <c r="M684" s="219" t="str">
        <f t="array" ref="M684">INDEX(postDEL!$A$2:$AL799,$O684,15)</f>
        <v/>
      </c>
      <c r="N684" s="110">
        <f>COUNTIF(postDEL!$A$2:$A799,A684)</f>
        <v>1</v>
      </c>
      <c r="O684" s="19">
        <f>MATCH(A684,postDEL!A$2:A799,0)</f>
        <v>683</v>
      </c>
      <c r="P684" s="10" t="str">
        <f t="shared" si="1"/>
        <v/>
      </c>
      <c r="Q684" s="220">
        <f t="shared" si="2"/>
        <v>0</v>
      </c>
      <c r="R684" s="5"/>
    </row>
    <row r="685">
      <c r="A685" s="221" t="s">
        <v>1998</v>
      </c>
      <c r="B685" s="217">
        <f t="array" ref="B685">INDEX(postDEL!$A$2:$P799,$O685,2)</f>
        <v>44627</v>
      </c>
      <c r="C685" s="218">
        <f t="array" ref="C685">INDEX(postDEL!$A$2:$P799,$O685,3)</f>
        <v>0.318125</v>
      </c>
      <c r="D685" s="219" t="str">
        <f t="array" ref="D685">INDEX(postDEL!$A$2:$AN799,$O685,39)</f>
        <v>SpBEND492052</v>
      </c>
      <c r="E685" s="219" t="str">
        <f t="array" ref="E685">INDEX(postDEL!$A$2:$P799,$O685,4)</f>
        <v/>
      </c>
      <c r="F685" s="219" t="str">
        <f t="array" ref="F685">INDEX(postDEL!$A$2:$P799,$O685,5)</f>
        <v/>
      </c>
      <c r="G685" s="219" t="str">
        <f t="array" ref="G685">INDEX(postDEL!$A$2:$P799,$O685,11)</f>
        <v>Negative</v>
      </c>
      <c r="H685" s="219" t="str">
        <f t="array" ref="H685">INDEX(postDEL!$A$2:$AL799,$O685,37)</f>
        <v>Negative</v>
      </c>
      <c r="I685" s="217">
        <f t="array" ref="I685">INDEX(postDEL!$A$2:$AL799,$O685,12)</f>
        <v>44627</v>
      </c>
      <c r="J685" s="218">
        <f t="array" ref="J685">INDEX(postDEL!$A$2:$AL799,$O685,13)</f>
        <v>0.4778935185</v>
      </c>
      <c r="K685" s="219" t="str">
        <f t="array" ref="K685">INDEX(postDEL!$A$2:$AL799,$O685,36)</f>
        <v/>
      </c>
      <c r="L685" s="219" t="str">
        <f t="array" ref="L685">INDEX(postDEL!$A$2:$AL799,$O685,38)</f>
        <v/>
      </c>
      <c r="M685" s="219" t="str">
        <f t="array" ref="M685">INDEX(postDEL!$A$2:$AL799,$O685,15)</f>
        <v/>
      </c>
      <c r="N685" s="110">
        <f>COUNTIF(postDEL!$A$2:$A799,A685)</f>
        <v>1</v>
      </c>
      <c r="O685" s="19">
        <f>MATCH(A685,postDEL!A$2:A799,0)</f>
        <v>684</v>
      </c>
      <c r="P685" s="10" t="str">
        <f t="shared" si="1"/>
        <v/>
      </c>
      <c r="Q685" s="220">
        <f t="shared" si="2"/>
        <v>0</v>
      </c>
      <c r="R685" s="5"/>
    </row>
    <row r="686">
      <c r="A686" s="221" t="s">
        <v>2000</v>
      </c>
      <c r="B686" s="217">
        <f t="array" ref="B686">INDEX(postDEL!$A$2:$P799,$O686,2)</f>
        <v>44627</v>
      </c>
      <c r="C686" s="218">
        <f t="array" ref="C686">INDEX(postDEL!$A$2:$P799,$O686,3)</f>
        <v>0.319849537</v>
      </c>
      <c r="D686" s="219" t="str">
        <f t="array" ref="D686">INDEX(postDEL!$A$2:$AN799,$O686,39)</f>
        <v>SpBEND387578</v>
      </c>
      <c r="E686" s="219" t="str">
        <f t="array" ref="E686">INDEX(postDEL!$A$2:$P799,$O686,4)</f>
        <v/>
      </c>
      <c r="F686" s="219" t="str">
        <f t="array" ref="F686">INDEX(postDEL!$A$2:$P799,$O686,5)</f>
        <v/>
      </c>
      <c r="G686" s="219" t="str">
        <f t="array" ref="G686">INDEX(postDEL!$A$2:$P799,$O686,11)</f>
        <v>Negative</v>
      </c>
      <c r="H686" s="219" t="str">
        <f t="array" ref="H686">INDEX(postDEL!$A$2:$AL799,$O686,37)</f>
        <v>Negative</v>
      </c>
      <c r="I686" s="217">
        <f t="array" ref="I686">INDEX(postDEL!$A$2:$AL799,$O686,12)</f>
        <v>44627</v>
      </c>
      <c r="J686" s="218">
        <f t="array" ref="J686">INDEX(postDEL!$A$2:$AL799,$O686,13)</f>
        <v>0.4778935185</v>
      </c>
      <c r="K686" s="219" t="str">
        <f t="array" ref="K686">INDEX(postDEL!$A$2:$AL799,$O686,36)</f>
        <v/>
      </c>
      <c r="L686" s="219" t="str">
        <f t="array" ref="L686">INDEX(postDEL!$A$2:$AL799,$O686,38)</f>
        <v/>
      </c>
      <c r="M686" s="219" t="str">
        <f t="array" ref="M686">INDEX(postDEL!$A$2:$AL799,$O686,15)</f>
        <v/>
      </c>
      <c r="N686" s="110">
        <f>COUNTIF(postDEL!$A$2:$A799,A686)</f>
        <v>1</v>
      </c>
      <c r="O686" s="19">
        <f>MATCH(A686,postDEL!A$2:A799,0)</f>
        <v>685</v>
      </c>
      <c r="P686" s="10" t="str">
        <f t="shared" si="1"/>
        <v/>
      </c>
      <c r="Q686" s="220">
        <f t="shared" si="2"/>
        <v>0</v>
      </c>
      <c r="R686" s="5"/>
    </row>
    <row r="687">
      <c r="A687" s="221" t="s">
        <v>2002</v>
      </c>
      <c r="B687" s="217">
        <f t="array" ref="B687">INDEX(postDEL!$A$2:$P799,$O687,2)</f>
        <v>44627</v>
      </c>
      <c r="C687" s="218">
        <f t="array" ref="C687">INDEX(postDEL!$A$2:$P799,$O687,3)</f>
        <v>0.3199768519</v>
      </c>
      <c r="D687" s="219" t="str">
        <f t="array" ref="D687">INDEX(postDEL!$A$2:$AN799,$O687,39)</f>
        <v>SpBEND305944</v>
      </c>
      <c r="E687" s="219" t="str">
        <f t="array" ref="E687">INDEX(postDEL!$A$2:$P799,$O687,4)</f>
        <v/>
      </c>
      <c r="F687" s="219" t="str">
        <f t="array" ref="F687">INDEX(postDEL!$A$2:$P799,$O687,5)</f>
        <v/>
      </c>
      <c r="G687" s="219" t="str">
        <f t="array" ref="G687">INDEX(postDEL!$A$2:$P799,$O687,11)</f>
        <v>Negative</v>
      </c>
      <c r="H687" s="219" t="str">
        <f t="array" ref="H687">INDEX(postDEL!$A$2:$AL799,$O687,37)</f>
        <v>Negative</v>
      </c>
      <c r="I687" s="217">
        <f t="array" ref="I687">INDEX(postDEL!$A$2:$AL799,$O687,12)</f>
        <v>44627</v>
      </c>
      <c r="J687" s="218">
        <f t="array" ref="J687">INDEX(postDEL!$A$2:$AL799,$O687,13)</f>
        <v>0.4778935185</v>
      </c>
      <c r="K687" s="219" t="str">
        <f t="array" ref="K687">INDEX(postDEL!$A$2:$AL799,$O687,36)</f>
        <v/>
      </c>
      <c r="L687" s="219" t="str">
        <f t="array" ref="L687">INDEX(postDEL!$A$2:$AL799,$O687,38)</f>
        <v/>
      </c>
      <c r="M687" s="219" t="str">
        <f t="array" ref="M687">INDEX(postDEL!$A$2:$AL799,$O687,15)</f>
        <v/>
      </c>
      <c r="N687" s="110">
        <f>COUNTIF(postDEL!$A$2:$A799,A687)</f>
        <v>1</v>
      </c>
      <c r="O687" s="19">
        <f>MATCH(A687,postDEL!A$2:A799,0)</f>
        <v>686</v>
      </c>
      <c r="P687" s="10" t="str">
        <f t="shared" si="1"/>
        <v/>
      </c>
      <c r="Q687" s="220">
        <f t="shared" si="2"/>
        <v>0</v>
      </c>
      <c r="R687" s="5"/>
    </row>
    <row r="688">
      <c r="A688" s="221" t="s">
        <v>2004</v>
      </c>
      <c r="B688" s="217">
        <f t="array" ref="B688">INDEX(postDEL!$A$2:$P799,$O688,2)</f>
        <v>44627</v>
      </c>
      <c r="C688" s="218">
        <f t="array" ref="C688">INDEX(postDEL!$A$2:$P799,$O688,3)</f>
        <v>0.3200925926</v>
      </c>
      <c r="D688" s="219" t="str">
        <f t="array" ref="D688">INDEX(postDEL!$A$2:$AN799,$O688,39)</f>
        <v>SpBEND559802</v>
      </c>
      <c r="E688" s="219" t="str">
        <f t="array" ref="E688">INDEX(postDEL!$A$2:$P799,$O688,4)</f>
        <v/>
      </c>
      <c r="F688" s="219" t="str">
        <f t="array" ref="F688">INDEX(postDEL!$A$2:$P799,$O688,5)</f>
        <v/>
      </c>
      <c r="G688" s="219" t="str">
        <f t="array" ref="G688">INDEX(postDEL!$A$2:$P799,$O688,11)</f>
        <v>Negative</v>
      </c>
      <c r="H688" s="219" t="str">
        <f t="array" ref="H688">INDEX(postDEL!$A$2:$AL799,$O688,37)</f>
        <v>Negative</v>
      </c>
      <c r="I688" s="217">
        <f t="array" ref="I688">INDEX(postDEL!$A$2:$AL799,$O688,12)</f>
        <v>44627</v>
      </c>
      <c r="J688" s="218">
        <f t="array" ref="J688">INDEX(postDEL!$A$2:$AL799,$O688,13)</f>
        <v>0.4778935185</v>
      </c>
      <c r="K688" s="219" t="str">
        <f t="array" ref="K688">INDEX(postDEL!$A$2:$AL799,$O688,36)</f>
        <v/>
      </c>
      <c r="L688" s="219" t="str">
        <f t="array" ref="L688">INDEX(postDEL!$A$2:$AL799,$O688,38)</f>
        <v/>
      </c>
      <c r="M688" s="219" t="str">
        <f t="array" ref="M688">INDEX(postDEL!$A$2:$AL799,$O688,15)</f>
        <v/>
      </c>
      <c r="N688" s="110">
        <f>COUNTIF(postDEL!$A$2:$A799,A688)</f>
        <v>1</v>
      </c>
      <c r="O688" s="19">
        <f>MATCH(A688,postDEL!A$2:A799,0)</f>
        <v>687</v>
      </c>
      <c r="P688" s="10" t="str">
        <f t="shared" si="1"/>
        <v/>
      </c>
      <c r="Q688" s="220">
        <f t="shared" si="2"/>
        <v>0</v>
      </c>
      <c r="R688" s="5"/>
    </row>
    <row r="689">
      <c r="A689" s="221" t="s">
        <v>2008</v>
      </c>
      <c r="B689" s="217">
        <f t="array" ref="B689">INDEX(postDEL!$A$2:$P799,$O689,2)</f>
        <v>44627</v>
      </c>
      <c r="C689" s="218">
        <f t="array" ref="C689">INDEX(postDEL!$A$2:$P799,$O689,3)</f>
        <v>0.320474537</v>
      </c>
      <c r="D689" s="219" t="str">
        <f t="array" ref="D689">INDEX(postDEL!$A$2:$AN799,$O689,39)</f>
        <v>SpBEND977859</v>
      </c>
      <c r="E689" s="219" t="str">
        <f t="array" ref="E689">INDEX(postDEL!$A$2:$P799,$O689,4)</f>
        <v/>
      </c>
      <c r="F689" s="219" t="str">
        <f t="array" ref="F689">INDEX(postDEL!$A$2:$P799,$O689,5)</f>
        <v/>
      </c>
      <c r="G689" s="219" t="str">
        <f t="array" ref="G689">INDEX(postDEL!$A$2:$P799,$O689,11)</f>
        <v>Negative</v>
      </c>
      <c r="H689" s="219" t="str">
        <f t="array" ref="H689">INDEX(postDEL!$A$2:$AL799,$O689,37)</f>
        <v>Negative</v>
      </c>
      <c r="I689" s="217">
        <f t="array" ref="I689">INDEX(postDEL!$A$2:$AL799,$O689,12)</f>
        <v>44627</v>
      </c>
      <c r="J689" s="218">
        <f t="array" ref="J689">INDEX(postDEL!$A$2:$AL799,$O689,13)</f>
        <v>0.4778935185</v>
      </c>
      <c r="K689" s="219" t="str">
        <f t="array" ref="K689">INDEX(postDEL!$A$2:$AL799,$O689,36)</f>
        <v/>
      </c>
      <c r="L689" s="219" t="str">
        <f t="array" ref="L689">INDEX(postDEL!$A$2:$AL799,$O689,38)</f>
        <v/>
      </c>
      <c r="M689" s="219" t="str">
        <f t="array" ref="M689">INDEX(postDEL!$A$2:$AL799,$O689,15)</f>
        <v/>
      </c>
      <c r="N689" s="110">
        <f>COUNTIF(postDEL!$A$2:$A799,A689)</f>
        <v>1</v>
      </c>
      <c r="O689" s="19">
        <f>MATCH(A689,postDEL!A$2:A799,0)</f>
        <v>688</v>
      </c>
      <c r="P689" s="10" t="str">
        <f t="shared" si="1"/>
        <v/>
      </c>
      <c r="Q689" s="220">
        <f t="shared" si="2"/>
        <v>0</v>
      </c>
      <c r="R689" s="5"/>
    </row>
    <row r="690">
      <c r="A690" s="221" t="s">
        <v>2010</v>
      </c>
      <c r="B690" s="217">
        <f t="array" ref="B690">INDEX(postDEL!$A$2:$P799,$O690,2)</f>
        <v>44627</v>
      </c>
      <c r="C690" s="218">
        <f t="array" ref="C690">INDEX(postDEL!$A$2:$P799,$O690,3)</f>
        <v>0.3215740741</v>
      </c>
      <c r="D690" s="219" t="str">
        <f t="array" ref="D690">INDEX(postDEL!$A$2:$AN799,$O690,39)</f>
        <v>SpBEND842248</v>
      </c>
      <c r="E690" s="219" t="str">
        <f t="array" ref="E690">INDEX(postDEL!$A$2:$P799,$O690,4)</f>
        <v/>
      </c>
      <c r="F690" s="219" t="str">
        <f t="array" ref="F690">INDEX(postDEL!$A$2:$P799,$O690,5)</f>
        <v/>
      </c>
      <c r="G690" s="219" t="str">
        <f t="array" ref="G690">INDEX(postDEL!$A$2:$P799,$O690,11)</f>
        <v>Negative</v>
      </c>
      <c r="H690" s="219" t="str">
        <f t="array" ref="H690">INDEX(postDEL!$A$2:$AL799,$O690,37)</f>
        <v>Negative</v>
      </c>
      <c r="I690" s="217">
        <f t="array" ref="I690">INDEX(postDEL!$A$2:$AL799,$O690,12)</f>
        <v>44627</v>
      </c>
      <c r="J690" s="218">
        <f t="array" ref="J690">INDEX(postDEL!$A$2:$AL799,$O690,13)</f>
        <v>0.4779050926</v>
      </c>
      <c r="K690" s="219" t="str">
        <f t="array" ref="K690">INDEX(postDEL!$A$2:$AL799,$O690,36)</f>
        <v/>
      </c>
      <c r="L690" s="219" t="str">
        <f t="array" ref="L690">INDEX(postDEL!$A$2:$AL799,$O690,38)</f>
        <v/>
      </c>
      <c r="M690" s="219" t="str">
        <f t="array" ref="M690">INDEX(postDEL!$A$2:$AL799,$O690,15)</f>
        <v/>
      </c>
      <c r="N690" s="110">
        <f>COUNTIF(postDEL!$A$2:$A799,A690)</f>
        <v>1</v>
      </c>
      <c r="O690" s="19">
        <f>MATCH(A690,postDEL!A$2:A799,0)</f>
        <v>689</v>
      </c>
      <c r="P690" s="10" t="str">
        <f t="shared" si="1"/>
        <v/>
      </c>
      <c r="Q690" s="220">
        <f t="shared" si="2"/>
        <v>0</v>
      </c>
      <c r="R690" s="5"/>
    </row>
    <row r="691">
      <c r="A691" s="221" t="s">
        <v>2012</v>
      </c>
      <c r="B691" s="217">
        <f t="array" ref="B691">INDEX(postDEL!$A$2:$P799,$O691,2)</f>
        <v>44627</v>
      </c>
      <c r="C691" s="218">
        <f t="array" ref="C691">INDEX(postDEL!$A$2:$P799,$O691,3)</f>
        <v>0.3216087963</v>
      </c>
      <c r="D691" s="219" t="str">
        <f t="array" ref="D691">INDEX(postDEL!$A$2:$AN799,$O691,39)</f>
        <v>SpBEND481988</v>
      </c>
      <c r="E691" s="219" t="str">
        <f t="array" ref="E691">INDEX(postDEL!$A$2:$P799,$O691,4)</f>
        <v/>
      </c>
      <c r="F691" s="219" t="str">
        <f t="array" ref="F691">INDEX(postDEL!$A$2:$P799,$O691,5)</f>
        <v/>
      </c>
      <c r="G691" s="219" t="str">
        <f t="array" ref="G691">INDEX(postDEL!$A$2:$P799,$O691,11)</f>
        <v>Negative</v>
      </c>
      <c r="H691" s="219" t="str">
        <f t="array" ref="H691">INDEX(postDEL!$A$2:$AL799,$O691,37)</f>
        <v>Negative</v>
      </c>
      <c r="I691" s="217">
        <f t="array" ref="I691">INDEX(postDEL!$A$2:$AL799,$O691,12)</f>
        <v>44627</v>
      </c>
      <c r="J691" s="218">
        <f t="array" ref="J691">INDEX(postDEL!$A$2:$AL799,$O691,13)</f>
        <v>0.4779050926</v>
      </c>
      <c r="K691" s="219" t="str">
        <f t="array" ref="K691">INDEX(postDEL!$A$2:$AL799,$O691,36)</f>
        <v/>
      </c>
      <c r="L691" s="219" t="str">
        <f t="array" ref="L691">INDEX(postDEL!$A$2:$AL799,$O691,38)</f>
        <v/>
      </c>
      <c r="M691" s="219" t="str">
        <f t="array" ref="M691">INDEX(postDEL!$A$2:$AL799,$O691,15)</f>
        <v/>
      </c>
      <c r="N691" s="110">
        <f>COUNTIF(postDEL!$A$2:$A799,A691)</f>
        <v>1</v>
      </c>
      <c r="O691" s="19">
        <f>MATCH(A691,postDEL!A$2:A799,0)</f>
        <v>690</v>
      </c>
      <c r="P691" s="10" t="str">
        <f t="shared" si="1"/>
        <v/>
      </c>
      <c r="Q691" s="220">
        <f t="shared" si="2"/>
        <v>0</v>
      </c>
      <c r="R691" s="5"/>
    </row>
    <row r="692">
      <c r="A692" s="221" t="s">
        <v>2014</v>
      </c>
      <c r="B692" s="217">
        <f t="array" ref="B692">INDEX(postDEL!$A$2:$P799,$O692,2)</f>
        <v>44627</v>
      </c>
      <c r="C692" s="218">
        <f t="array" ref="C692">INDEX(postDEL!$A$2:$P799,$O692,3)</f>
        <v>0.3231018519</v>
      </c>
      <c r="D692" s="219" t="str">
        <f t="array" ref="D692">INDEX(postDEL!$A$2:$AN799,$O692,39)</f>
        <v>SpBEND387532</v>
      </c>
      <c r="E692" s="219" t="str">
        <f t="array" ref="E692">INDEX(postDEL!$A$2:$P799,$O692,4)</f>
        <v/>
      </c>
      <c r="F692" s="219" t="str">
        <f t="array" ref="F692">INDEX(postDEL!$A$2:$P799,$O692,5)</f>
        <v/>
      </c>
      <c r="G692" s="219" t="str">
        <f t="array" ref="G692">INDEX(postDEL!$A$2:$P799,$O692,11)</f>
        <v>Negative</v>
      </c>
      <c r="H692" s="219" t="str">
        <f t="array" ref="H692">INDEX(postDEL!$A$2:$AL799,$O692,37)</f>
        <v>Negative</v>
      </c>
      <c r="I692" s="217">
        <f t="array" ref="I692">INDEX(postDEL!$A$2:$AL799,$O692,12)</f>
        <v>44627</v>
      </c>
      <c r="J692" s="218">
        <f t="array" ref="J692">INDEX(postDEL!$A$2:$AL799,$O692,13)</f>
        <v>0.4779050926</v>
      </c>
      <c r="K692" s="219" t="str">
        <f t="array" ref="K692">INDEX(postDEL!$A$2:$AL799,$O692,36)</f>
        <v/>
      </c>
      <c r="L692" s="219" t="str">
        <f t="array" ref="L692">INDEX(postDEL!$A$2:$AL799,$O692,38)</f>
        <v/>
      </c>
      <c r="M692" s="219" t="str">
        <f t="array" ref="M692">INDEX(postDEL!$A$2:$AL799,$O692,15)</f>
        <v/>
      </c>
      <c r="N692" s="110">
        <f>COUNTIF(postDEL!$A$2:$A799,A692)</f>
        <v>1</v>
      </c>
      <c r="O692" s="19">
        <f>MATCH(A692,postDEL!A$2:A799,0)</f>
        <v>691</v>
      </c>
      <c r="P692" s="10" t="str">
        <f t="shared" si="1"/>
        <v/>
      </c>
      <c r="Q692" s="220">
        <f t="shared" si="2"/>
        <v>0</v>
      </c>
      <c r="R692" s="5"/>
    </row>
    <row r="693">
      <c r="A693" s="221" t="s">
        <v>2016</v>
      </c>
      <c r="B693" s="217">
        <f t="array" ref="B693">INDEX(postDEL!$A$2:$P799,$O693,2)</f>
        <v>44627</v>
      </c>
      <c r="C693" s="218">
        <f t="array" ref="C693">INDEX(postDEL!$A$2:$P799,$O693,3)</f>
        <v>0.3245023148</v>
      </c>
      <c r="D693" s="219" t="str">
        <f t="array" ref="D693">INDEX(postDEL!$A$2:$AN799,$O693,39)</f>
        <v>SpBEND328905</v>
      </c>
      <c r="E693" s="219" t="str">
        <f t="array" ref="E693">INDEX(postDEL!$A$2:$P799,$O693,4)</f>
        <v/>
      </c>
      <c r="F693" s="219" t="str">
        <f t="array" ref="F693">INDEX(postDEL!$A$2:$P799,$O693,5)</f>
        <v/>
      </c>
      <c r="G693" s="219" t="str">
        <f t="array" ref="G693">INDEX(postDEL!$A$2:$P799,$O693,11)</f>
        <v>Negative</v>
      </c>
      <c r="H693" s="219" t="str">
        <f t="array" ref="H693">INDEX(postDEL!$A$2:$AL799,$O693,37)</f>
        <v>Negative</v>
      </c>
      <c r="I693" s="217">
        <f t="array" ref="I693">INDEX(postDEL!$A$2:$AL799,$O693,12)</f>
        <v>44627</v>
      </c>
      <c r="J693" s="218">
        <f t="array" ref="J693">INDEX(postDEL!$A$2:$AL799,$O693,13)</f>
        <v>0.4779050926</v>
      </c>
      <c r="K693" s="219" t="str">
        <f t="array" ref="K693">INDEX(postDEL!$A$2:$AL799,$O693,36)</f>
        <v/>
      </c>
      <c r="L693" s="219" t="str">
        <f t="array" ref="L693">INDEX(postDEL!$A$2:$AL799,$O693,38)</f>
        <v/>
      </c>
      <c r="M693" s="219" t="str">
        <f t="array" ref="M693">INDEX(postDEL!$A$2:$AL799,$O693,15)</f>
        <v/>
      </c>
      <c r="N693" s="110">
        <f>COUNTIF(postDEL!$A$2:$A799,A693)</f>
        <v>1</v>
      </c>
      <c r="O693" s="19">
        <f>MATCH(A693,postDEL!A$2:A799,0)</f>
        <v>692</v>
      </c>
      <c r="P693" s="10" t="str">
        <f t="shared" si="1"/>
        <v/>
      </c>
      <c r="Q693" s="220">
        <f t="shared" si="2"/>
        <v>0</v>
      </c>
      <c r="R693" s="5"/>
    </row>
    <row r="694">
      <c r="A694" s="221" t="s">
        <v>2018</v>
      </c>
      <c r="B694" s="217">
        <f t="array" ref="B694">INDEX(postDEL!$A$2:$P799,$O694,2)</f>
        <v>44627</v>
      </c>
      <c r="C694" s="218">
        <f t="array" ref="C694">INDEX(postDEL!$A$2:$P799,$O694,3)</f>
        <v>0.3253125</v>
      </c>
      <c r="D694" s="219" t="str">
        <f t="array" ref="D694">INDEX(postDEL!$A$2:$AN799,$O694,39)</f>
        <v>SpBEND643855</v>
      </c>
      <c r="E694" s="219" t="str">
        <f t="array" ref="E694">INDEX(postDEL!$A$2:$P799,$O694,4)</f>
        <v/>
      </c>
      <c r="F694" s="219" t="str">
        <f t="array" ref="F694">INDEX(postDEL!$A$2:$P799,$O694,5)</f>
        <v/>
      </c>
      <c r="G694" s="219" t="str">
        <f t="array" ref="G694">INDEX(postDEL!$A$2:$P799,$O694,11)</f>
        <v>Negative</v>
      </c>
      <c r="H694" s="219" t="str">
        <f t="array" ref="H694">INDEX(postDEL!$A$2:$AL799,$O694,37)</f>
        <v>Negative</v>
      </c>
      <c r="I694" s="217">
        <f t="array" ref="I694">INDEX(postDEL!$A$2:$AL799,$O694,12)</f>
        <v>44627</v>
      </c>
      <c r="J694" s="218">
        <f t="array" ref="J694">INDEX(postDEL!$A$2:$AL799,$O694,13)</f>
        <v>0.4779050926</v>
      </c>
      <c r="K694" s="219" t="str">
        <f t="array" ref="K694">INDEX(postDEL!$A$2:$AL799,$O694,36)</f>
        <v/>
      </c>
      <c r="L694" s="219" t="str">
        <f t="array" ref="L694">INDEX(postDEL!$A$2:$AL799,$O694,38)</f>
        <v/>
      </c>
      <c r="M694" s="219" t="str">
        <f t="array" ref="M694">INDEX(postDEL!$A$2:$AL799,$O694,15)</f>
        <v/>
      </c>
      <c r="N694" s="110">
        <f>COUNTIF(postDEL!$A$2:$A799,A694)</f>
        <v>1</v>
      </c>
      <c r="O694" s="19">
        <f>MATCH(A694,postDEL!A$2:A799,0)</f>
        <v>693</v>
      </c>
      <c r="P694" s="10" t="str">
        <f t="shared" si="1"/>
        <v/>
      </c>
      <c r="Q694" s="220">
        <f t="shared" si="2"/>
        <v>0</v>
      </c>
      <c r="R694" s="5"/>
    </row>
    <row r="695">
      <c r="A695" s="221" t="s">
        <v>2020</v>
      </c>
      <c r="B695" s="217">
        <f t="array" ref="B695">INDEX(postDEL!$A$2:$P799,$O695,2)</f>
        <v>44627</v>
      </c>
      <c r="C695" s="218">
        <f t="array" ref="C695">INDEX(postDEL!$A$2:$P799,$O695,3)</f>
        <v>0.3256712963</v>
      </c>
      <c r="D695" s="219" t="str">
        <f t="array" ref="D695">INDEX(postDEL!$A$2:$AN799,$O695,39)</f>
        <v>SpBEND541174</v>
      </c>
      <c r="E695" s="219" t="str">
        <f t="array" ref="E695">INDEX(postDEL!$A$2:$P799,$O695,4)</f>
        <v/>
      </c>
      <c r="F695" s="219" t="str">
        <f t="array" ref="F695">INDEX(postDEL!$A$2:$P799,$O695,5)</f>
        <v/>
      </c>
      <c r="G695" s="219" t="str">
        <f t="array" ref="G695">INDEX(postDEL!$A$2:$P799,$O695,11)</f>
        <v>Negative</v>
      </c>
      <c r="H695" s="219" t="str">
        <f t="array" ref="H695">INDEX(postDEL!$A$2:$AL799,$O695,37)</f>
        <v>Negative</v>
      </c>
      <c r="I695" s="217">
        <f t="array" ref="I695">INDEX(postDEL!$A$2:$AL799,$O695,12)</f>
        <v>44627</v>
      </c>
      <c r="J695" s="218">
        <f t="array" ref="J695">INDEX(postDEL!$A$2:$AL799,$O695,13)</f>
        <v>0.4779050926</v>
      </c>
      <c r="K695" s="219" t="str">
        <f t="array" ref="K695">INDEX(postDEL!$A$2:$AL799,$O695,36)</f>
        <v/>
      </c>
      <c r="L695" s="219" t="str">
        <f t="array" ref="L695">INDEX(postDEL!$A$2:$AL799,$O695,38)</f>
        <v/>
      </c>
      <c r="M695" s="219" t="str">
        <f t="array" ref="M695">INDEX(postDEL!$A$2:$AL799,$O695,15)</f>
        <v/>
      </c>
      <c r="N695" s="110">
        <f>COUNTIF(postDEL!$A$2:$A799,A695)</f>
        <v>1</v>
      </c>
      <c r="O695" s="19">
        <f>MATCH(A695,postDEL!A$2:A799,0)</f>
        <v>694</v>
      </c>
      <c r="P695" s="10" t="str">
        <f t="shared" si="1"/>
        <v/>
      </c>
      <c r="Q695" s="220">
        <f t="shared" si="2"/>
        <v>0</v>
      </c>
      <c r="R695" s="5"/>
    </row>
    <row r="696">
      <c r="A696" s="221" t="s">
        <v>2022</v>
      </c>
      <c r="B696" s="217">
        <f t="array" ref="B696">INDEX(postDEL!$A$2:$P799,$O696,2)</f>
        <v>44627</v>
      </c>
      <c r="C696" s="218">
        <f t="array" ref="C696">INDEX(postDEL!$A$2:$P799,$O696,3)</f>
        <v>0.3267939815</v>
      </c>
      <c r="D696" s="219" t="str">
        <f t="array" ref="D696">INDEX(postDEL!$A$2:$AN799,$O696,39)</f>
        <v>SpBEND862115</v>
      </c>
      <c r="E696" s="219" t="str">
        <f t="array" ref="E696">INDEX(postDEL!$A$2:$P799,$O696,4)</f>
        <v/>
      </c>
      <c r="F696" s="219" t="str">
        <f t="array" ref="F696">INDEX(postDEL!$A$2:$P799,$O696,5)</f>
        <v/>
      </c>
      <c r="G696" s="219" t="str">
        <f t="array" ref="G696">INDEX(postDEL!$A$2:$P799,$O696,11)</f>
        <v>Negative</v>
      </c>
      <c r="H696" s="219" t="str">
        <f t="array" ref="H696">INDEX(postDEL!$A$2:$AL799,$O696,37)</f>
        <v>Negative</v>
      </c>
      <c r="I696" s="217">
        <f t="array" ref="I696">INDEX(postDEL!$A$2:$AL799,$O696,12)</f>
        <v>44627</v>
      </c>
      <c r="J696" s="218">
        <f t="array" ref="J696">INDEX(postDEL!$A$2:$AL799,$O696,13)</f>
        <v>0.4779050926</v>
      </c>
      <c r="K696" s="219" t="str">
        <f t="array" ref="K696">INDEX(postDEL!$A$2:$AL799,$O696,36)</f>
        <v/>
      </c>
      <c r="L696" s="219" t="str">
        <f t="array" ref="L696">INDEX(postDEL!$A$2:$AL799,$O696,38)</f>
        <v/>
      </c>
      <c r="M696" s="219" t="str">
        <f t="array" ref="M696">INDEX(postDEL!$A$2:$AL799,$O696,15)</f>
        <v/>
      </c>
      <c r="N696" s="110">
        <f>COUNTIF(postDEL!$A$2:$A799,A696)</f>
        <v>1</v>
      </c>
      <c r="O696" s="19">
        <f>MATCH(A696,postDEL!A$2:A799,0)</f>
        <v>695</v>
      </c>
      <c r="P696" s="10" t="str">
        <f t="shared" si="1"/>
        <v/>
      </c>
      <c r="Q696" s="220">
        <f t="shared" si="2"/>
        <v>0</v>
      </c>
      <c r="R696" s="5"/>
    </row>
    <row r="697">
      <c r="A697" s="221" t="s">
        <v>2024</v>
      </c>
      <c r="B697" s="217">
        <f t="array" ref="B697">INDEX(postDEL!$A$2:$P799,$O697,2)</f>
        <v>44627</v>
      </c>
      <c r="C697" s="218">
        <f t="array" ref="C697">INDEX(postDEL!$A$2:$P799,$O697,3)</f>
        <v>0.3278240741</v>
      </c>
      <c r="D697" s="219" t="str">
        <f t="array" ref="D697">INDEX(postDEL!$A$2:$AN799,$O697,39)</f>
        <v>SpBEND522465</v>
      </c>
      <c r="E697" s="219" t="str">
        <f t="array" ref="E697">INDEX(postDEL!$A$2:$P799,$O697,4)</f>
        <v/>
      </c>
      <c r="F697" s="219" t="str">
        <f t="array" ref="F697">INDEX(postDEL!$A$2:$P799,$O697,5)</f>
        <v/>
      </c>
      <c r="G697" s="219" t="str">
        <f t="array" ref="G697">INDEX(postDEL!$A$2:$P799,$O697,11)</f>
        <v>Negative</v>
      </c>
      <c r="H697" s="219" t="str">
        <f t="array" ref="H697">INDEX(postDEL!$A$2:$AL799,$O697,37)</f>
        <v>Negative</v>
      </c>
      <c r="I697" s="217">
        <f t="array" ref="I697">INDEX(postDEL!$A$2:$AL799,$O697,12)</f>
        <v>44627</v>
      </c>
      <c r="J697" s="218">
        <f t="array" ref="J697">INDEX(postDEL!$A$2:$AL799,$O697,13)</f>
        <v>0.4779050926</v>
      </c>
      <c r="K697" s="219" t="str">
        <f t="array" ref="K697">INDEX(postDEL!$A$2:$AL799,$O697,36)</f>
        <v/>
      </c>
      <c r="L697" s="219" t="str">
        <f t="array" ref="L697">INDEX(postDEL!$A$2:$AL799,$O697,38)</f>
        <v/>
      </c>
      <c r="M697" s="219" t="str">
        <f t="array" ref="M697">INDEX(postDEL!$A$2:$AL799,$O697,15)</f>
        <v/>
      </c>
      <c r="N697" s="110">
        <f>COUNTIF(postDEL!$A$2:$A799,A697)</f>
        <v>1</v>
      </c>
      <c r="O697" s="19">
        <f>MATCH(A697,postDEL!A$2:A799,0)</f>
        <v>696</v>
      </c>
      <c r="P697" s="10" t="str">
        <f t="shared" si="1"/>
        <v/>
      </c>
      <c r="Q697" s="220">
        <f t="shared" si="2"/>
        <v>0</v>
      </c>
      <c r="R697" s="5"/>
    </row>
    <row r="698">
      <c r="A698" s="221" t="s">
        <v>2026</v>
      </c>
      <c r="B698" s="217">
        <f t="array" ref="B698">INDEX(postDEL!$A$2:$P799,$O698,2)</f>
        <v>44627</v>
      </c>
      <c r="C698" s="218">
        <f t="array" ref="C698">INDEX(postDEL!$A$2:$P799,$O698,3)</f>
        <v>0.3370023148</v>
      </c>
      <c r="D698" s="219" t="str">
        <f t="array" ref="D698">INDEX(postDEL!$A$2:$AN799,$O698,39)</f>
        <v>SpBEND982485</v>
      </c>
      <c r="E698" s="219" t="str">
        <f t="array" ref="E698">INDEX(postDEL!$A$2:$P799,$O698,4)</f>
        <v/>
      </c>
      <c r="F698" s="219" t="str">
        <f t="array" ref="F698">INDEX(postDEL!$A$2:$P799,$O698,5)</f>
        <v/>
      </c>
      <c r="G698" s="219" t="str">
        <f t="array" ref="G698">INDEX(postDEL!$A$2:$P799,$O698,11)</f>
        <v>Negative</v>
      </c>
      <c r="H698" s="219" t="str">
        <f t="array" ref="H698">INDEX(postDEL!$A$2:$AL799,$O698,37)</f>
        <v>Negative</v>
      </c>
      <c r="I698" s="217">
        <f t="array" ref="I698">INDEX(postDEL!$A$2:$AL799,$O698,12)</f>
        <v>44627</v>
      </c>
      <c r="J698" s="218">
        <f t="array" ref="J698">INDEX(postDEL!$A$2:$AL799,$O698,13)</f>
        <v>0.4779050926</v>
      </c>
      <c r="K698" s="219" t="str">
        <f t="array" ref="K698">INDEX(postDEL!$A$2:$AL799,$O698,36)</f>
        <v/>
      </c>
      <c r="L698" s="219" t="str">
        <f t="array" ref="L698">INDEX(postDEL!$A$2:$AL799,$O698,38)</f>
        <v/>
      </c>
      <c r="M698" s="219" t="str">
        <f t="array" ref="M698">INDEX(postDEL!$A$2:$AL799,$O698,15)</f>
        <v/>
      </c>
      <c r="N698" s="110">
        <f>COUNTIF(postDEL!$A$2:$A799,A698)</f>
        <v>1</v>
      </c>
      <c r="O698" s="19">
        <f>MATCH(A698,postDEL!A$2:A799,0)</f>
        <v>697</v>
      </c>
      <c r="P698" s="10" t="str">
        <f t="shared" si="1"/>
        <v/>
      </c>
      <c r="Q698" s="220">
        <f t="shared" si="2"/>
        <v>0</v>
      </c>
      <c r="R698" s="5"/>
    </row>
    <row r="699">
      <c r="A699" s="221" t="s">
        <v>2028</v>
      </c>
      <c r="B699" s="217">
        <f t="array" ref="B699">INDEX(postDEL!$A$2:$P799,$O699,2)</f>
        <v>44627</v>
      </c>
      <c r="C699" s="218">
        <f t="array" ref="C699">INDEX(postDEL!$A$2:$P799,$O699,3)</f>
        <v>0.3383449074</v>
      </c>
      <c r="D699" s="219" t="str">
        <f t="array" ref="D699">INDEX(postDEL!$A$2:$AN799,$O699,39)</f>
        <v>SpBEND982485</v>
      </c>
      <c r="E699" s="219" t="str">
        <f t="array" ref="E699">INDEX(postDEL!$A$2:$P799,$O699,4)</f>
        <v/>
      </c>
      <c r="F699" s="219" t="str">
        <f t="array" ref="F699">INDEX(postDEL!$A$2:$P799,$O699,5)</f>
        <v/>
      </c>
      <c r="G699" s="219" t="str">
        <f t="array" ref="G699">INDEX(postDEL!$A$2:$P799,$O699,11)</f>
        <v>Negative</v>
      </c>
      <c r="H699" s="219" t="str">
        <f t="array" ref="H699">INDEX(postDEL!$A$2:$AL799,$O699,37)</f>
        <v>Negative</v>
      </c>
      <c r="I699" s="217">
        <f t="array" ref="I699">INDEX(postDEL!$A$2:$AL799,$O699,12)</f>
        <v>44627</v>
      </c>
      <c r="J699" s="218">
        <f t="array" ref="J699">INDEX(postDEL!$A$2:$AL799,$O699,13)</f>
        <v>0.4779050926</v>
      </c>
      <c r="K699" s="219" t="str">
        <f t="array" ref="K699">INDEX(postDEL!$A$2:$AL799,$O699,36)</f>
        <v/>
      </c>
      <c r="L699" s="219" t="str">
        <f t="array" ref="L699">INDEX(postDEL!$A$2:$AL799,$O699,38)</f>
        <v/>
      </c>
      <c r="M699" s="219" t="str">
        <f t="array" ref="M699">INDEX(postDEL!$A$2:$AL799,$O699,15)</f>
        <v/>
      </c>
      <c r="N699" s="110">
        <f>COUNTIF(postDEL!$A$2:$A799,A699)</f>
        <v>1</v>
      </c>
      <c r="O699" s="19">
        <f>MATCH(A699,postDEL!A$2:A799,0)</f>
        <v>698</v>
      </c>
      <c r="P699" s="10" t="str">
        <f t="shared" si="1"/>
        <v/>
      </c>
      <c r="Q699" s="220">
        <f t="shared" si="2"/>
        <v>0</v>
      </c>
      <c r="R699" s="5"/>
    </row>
    <row r="700">
      <c r="A700" s="221" t="s">
        <v>2030</v>
      </c>
      <c r="B700" s="217">
        <f t="array" ref="B700">INDEX(postDEL!$A$2:$P799,$O700,2)</f>
        <v>44627</v>
      </c>
      <c r="C700" s="218">
        <f t="array" ref="C700">INDEX(postDEL!$A$2:$P799,$O700,3)</f>
        <v>0.3385300926</v>
      </c>
      <c r="D700" s="219" t="str">
        <f t="array" ref="D700">INDEX(postDEL!$A$2:$AN799,$O700,39)</f>
        <v>SpBEND331858</v>
      </c>
      <c r="E700" s="219" t="str">
        <f t="array" ref="E700">INDEX(postDEL!$A$2:$P799,$O700,4)</f>
        <v/>
      </c>
      <c r="F700" s="219" t="str">
        <f t="array" ref="F700">INDEX(postDEL!$A$2:$P799,$O700,5)</f>
        <v/>
      </c>
      <c r="G700" s="219" t="str">
        <f t="array" ref="G700">INDEX(postDEL!$A$2:$P799,$O700,11)</f>
        <v>Negative</v>
      </c>
      <c r="H700" s="219" t="str">
        <f t="array" ref="H700">INDEX(postDEL!$A$2:$AL799,$O700,37)</f>
        <v>Negative</v>
      </c>
      <c r="I700" s="217">
        <f t="array" ref="I700">INDEX(postDEL!$A$2:$AL799,$O700,12)</f>
        <v>44627</v>
      </c>
      <c r="J700" s="218">
        <f t="array" ref="J700">INDEX(postDEL!$A$2:$AL799,$O700,13)</f>
        <v>0.4779050926</v>
      </c>
      <c r="K700" s="219" t="str">
        <f t="array" ref="K700">INDEX(postDEL!$A$2:$AL799,$O700,36)</f>
        <v/>
      </c>
      <c r="L700" s="219" t="str">
        <f t="array" ref="L700">INDEX(postDEL!$A$2:$AL799,$O700,38)</f>
        <v/>
      </c>
      <c r="M700" s="219" t="str">
        <f t="array" ref="M700">INDEX(postDEL!$A$2:$AL799,$O700,15)</f>
        <v/>
      </c>
      <c r="N700" s="110">
        <f>COUNTIF(postDEL!$A$2:$A799,A700)</f>
        <v>1</v>
      </c>
      <c r="O700" s="19">
        <f>MATCH(A700,postDEL!A$2:A799,0)</f>
        <v>699</v>
      </c>
      <c r="P700" s="10" t="str">
        <f t="shared" si="1"/>
        <v/>
      </c>
      <c r="Q700" s="220">
        <f t="shared" si="2"/>
        <v>0</v>
      </c>
      <c r="R700" s="5"/>
    </row>
    <row r="701">
      <c r="A701" s="221" t="s">
        <v>2032</v>
      </c>
      <c r="B701" s="217">
        <f t="array" ref="B701">INDEX(postDEL!$A$2:$P799,$O701,2)</f>
        <v>44627</v>
      </c>
      <c r="C701" s="218">
        <f t="array" ref="C701">INDEX(postDEL!$A$2:$P799,$O701,3)</f>
        <v>0.3386458333</v>
      </c>
      <c r="D701" s="219" t="str">
        <f t="array" ref="D701">INDEX(postDEL!$A$2:$AN799,$O701,39)</f>
        <v>SpBEND652059</v>
      </c>
      <c r="E701" s="219" t="str">
        <f t="array" ref="E701">INDEX(postDEL!$A$2:$P799,$O701,4)</f>
        <v/>
      </c>
      <c r="F701" s="219" t="str">
        <f t="array" ref="F701">INDEX(postDEL!$A$2:$P799,$O701,5)</f>
        <v/>
      </c>
      <c r="G701" s="219" t="str">
        <f t="array" ref="G701">INDEX(postDEL!$A$2:$P799,$O701,11)</f>
        <v>Negative</v>
      </c>
      <c r="H701" s="219" t="str">
        <f t="array" ref="H701">INDEX(postDEL!$A$2:$AL799,$O701,37)</f>
        <v>Negative</v>
      </c>
      <c r="I701" s="217">
        <f t="array" ref="I701">INDEX(postDEL!$A$2:$AL799,$O701,12)</f>
        <v>44627</v>
      </c>
      <c r="J701" s="218">
        <f t="array" ref="J701">INDEX(postDEL!$A$2:$AL799,$O701,13)</f>
        <v>0.4779050926</v>
      </c>
      <c r="K701" s="219" t="str">
        <f t="array" ref="K701">INDEX(postDEL!$A$2:$AL799,$O701,36)</f>
        <v/>
      </c>
      <c r="L701" s="219" t="str">
        <f t="array" ref="L701">INDEX(postDEL!$A$2:$AL799,$O701,38)</f>
        <v/>
      </c>
      <c r="M701" s="219" t="str">
        <f t="array" ref="M701">INDEX(postDEL!$A$2:$AL799,$O701,15)</f>
        <v/>
      </c>
      <c r="N701" s="110">
        <f>COUNTIF(postDEL!$A$2:$A799,A701)</f>
        <v>1</v>
      </c>
      <c r="O701" s="19">
        <f>MATCH(A701,postDEL!A$2:A799,0)</f>
        <v>700</v>
      </c>
      <c r="P701" s="10" t="str">
        <f t="shared" si="1"/>
        <v/>
      </c>
      <c r="Q701" s="220">
        <f t="shared" si="2"/>
        <v>0</v>
      </c>
      <c r="R701" s="5"/>
    </row>
    <row r="702">
      <c r="A702" s="221" t="s">
        <v>2034</v>
      </c>
      <c r="B702" s="217">
        <f t="array" ref="B702">INDEX(postDEL!$A$2:$P799,$O702,2)</f>
        <v>44627</v>
      </c>
      <c r="C702" s="218">
        <f t="array" ref="C702">INDEX(postDEL!$A$2:$P799,$O702,3)</f>
        <v>0.3476967593</v>
      </c>
      <c r="D702" s="219" t="str">
        <f t="array" ref="D702">INDEX(postDEL!$A$2:$AN799,$O702,39)</f>
        <v>SpBEND985296</v>
      </c>
      <c r="E702" s="219" t="str">
        <f t="array" ref="E702">INDEX(postDEL!$A$2:$P799,$O702,4)</f>
        <v/>
      </c>
      <c r="F702" s="219" t="str">
        <f t="array" ref="F702">INDEX(postDEL!$A$2:$P799,$O702,5)</f>
        <v/>
      </c>
      <c r="G702" s="219" t="str">
        <f t="array" ref="G702">INDEX(postDEL!$A$2:$P799,$O702,11)</f>
        <v>Negative</v>
      </c>
      <c r="H702" s="219" t="str">
        <f t="array" ref="H702">INDEX(postDEL!$A$2:$AL799,$O702,37)</f>
        <v>Negative</v>
      </c>
      <c r="I702" s="217">
        <f t="array" ref="I702">INDEX(postDEL!$A$2:$AL799,$O702,12)</f>
        <v>44627</v>
      </c>
      <c r="J702" s="218">
        <f t="array" ref="J702">INDEX(postDEL!$A$2:$AL799,$O702,13)</f>
        <v>0.4779050926</v>
      </c>
      <c r="K702" s="219" t="str">
        <f t="array" ref="K702">INDEX(postDEL!$A$2:$AL799,$O702,36)</f>
        <v/>
      </c>
      <c r="L702" s="219" t="str">
        <f t="array" ref="L702">INDEX(postDEL!$A$2:$AL799,$O702,38)</f>
        <v/>
      </c>
      <c r="M702" s="219" t="str">
        <f t="array" ref="M702">INDEX(postDEL!$A$2:$AL799,$O702,15)</f>
        <v/>
      </c>
      <c r="N702" s="110">
        <f>COUNTIF(postDEL!$A$2:$A799,A702)</f>
        <v>1</v>
      </c>
      <c r="O702" s="19">
        <f>MATCH(A702,postDEL!A$2:A799,0)</f>
        <v>701</v>
      </c>
      <c r="P702" s="10" t="str">
        <f t="shared" si="1"/>
        <v/>
      </c>
      <c r="Q702" s="220">
        <f t="shared" si="2"/>
        <v>0</v>
      </c>
      <c r="R702" s="5"/>
    </row>
    <row r="703">
      <c r="A703" s="221" t="s">
        <v>2036</v>
      </c>
      <c r="B703" s="217">
        <f t="array" ref="B703">INDEX(postDEL!$A$2:$P799,$O703,2)</f>
        <v>44627</v>
      </c>
      <c r="C703" s="218">
        <f t="array" ref="C703">INDEX(postDEL!$A$2:$P799,$O703,3)</f>
        <v>0.3519560185</v>
      </c>
      <c r="D703" s="219" t="str">
        <f t="array" ref="D703">INDEX(postDEL!$A$2:$AN799,$O703,39)</f>
        <v>SpBEND611299</v>
      </c>
      <c r="E703" s="219" t="str">
        <f t="array" ref="E703">INDEX(postDEL!$A$2:$P799,$O703,4)</f>
        <v/>
      </c>
      <c r="F703" s="219" t="str">
        <f t="array" ref="F703">INDEX(postDEL!$A$2:$P799,$O703,5)</f>
        <v/>
      </c>
      <c r="G703" s="219" t="str">
        <f t="array" ref="G703">INDEX(postDEL!$A$2:$P799,$O703,11)</f>
        <v>Negative</v>
      </c>
      <c r="H703" s="219" t="str">
        <f t="array" ref="H703">INDEX(postDEL!$A$2:$AL799,$O703,37)</f>
        <v>Negative</v>
      </c>
      <c r="I703" s="217">
        <f t="array" ref="I703">INDEX(postDEL!$A$2:$AL799,$O703,12)</f>
        <v>44627</v>
      </c>
      <c r="J703" s="218">
        <f t="array" ref="J703">INDEX(postDEL!$A$2:$AL799,$O703,13)</f>
        <v>0.4779050926</v>
      </c>
      <c r="K703" s="219" t="str">
        <f t="array" ref="K703">INDEX(postDEL!$A$2:$AL799,$O703,36)</f>
        <v/>
      </c>
      <c r="L703" s="219" t="str">
        <f t="array" ref="L703">INDEX(postDEL!$A$2:$AL799,$O703,38)</f>
        <v/>
      </c>
      <c r="M703" s="219" t="str">
        <f t="array" ref="M703">INDEX(postDEL!$A$2:$AL799,$O703,15)</f>
        <v/>
      </c>
      <c r="N703" s="110">
        <f>COUNTIF(postDEL!$A$2:$A799,A703)</f>
        <v>1</v>
      </c>
      <c r="O703" s="19">
        <f>MATCH(A703,postDEL!A$2:A799,0)</f>
        <v>702</v>
      </c>
      <c r="P703" s="10" t="str">
        <f t="shared" si="1"/>
        <v/>
      </c>
      <c r="Q703" s="220">
        <f t="shared" si="2"/>
        <v>0</v>
      </c>
      <c r="R703" s="5"/>
    </row>
    <row r="704">
      <c r="A704" s="221" t="s">
        <v>2038</v>
      </c>
      <c r="B704" s="217">
        <f t="array" ref="B704">INDEX(postDEL!$A$2:$P799,$O704,2)</f>
        <v>44629</v>
      </c>
      <c r="C704" s="218">
        <f t="array" ref="C704">INDEX(postDEL!$A$2:$P799,$O704,3)</f>
        <v>0.2939699074</v>
      </c>
      <c r="D704" s="219" t="str">
        <f t="array" ref="D704">INDEX(postDEL!$A$2:$AN799,$O704,39)</f>
        <v>SpBEND757435</v>
      </c>
      <c r="E704" s="219" t="str">
        <f t="array" ref="E704">INDEX(postDEL!$A$2:$P799,$O704,4)</f>
        <v/>
      </c>
      <c r="F704" s="219" t="str">
        <f t="array" ref="F704">INDEX(postDEL!$A$2:$P799,$O704,5)</f>
        <v/>
      </c>
      <c r="G704" s="219" t="str">
        <f t="array" ref="G704">INDEX(postDEL!$A$2:$P799,$O704,11)</f>
        <v>Negative</v>
      </c>
      <c r="H704" s="219" t="str">
        <f t="array" ref="H704">INDEX(postDEL!$A$2:$AL799,$O704,37)</f>
        <v>Negative</v>
      </c>
      <c r="I704" s="217">
        <f t="array" ref="I704">INDEX(postDEL!$A$2:$AL799,$O704,12)</f>
        <v>44629</v>
      </c>
      <c r="J704" s="218">
        <f t="array" ref="J704">INDEX(postDEL!$A$2:$AL799,$O704,13)</f>
        <v>0.4994328704</v>
      </c>
      <c r="K704" s="219" t="str">
        <f t="array" ref="K704">INDEX(postDEL!$A$2:$AL799,$O704,36)</f>
        <v/>
      </c>
      <c r="L704" s="219" t="str">
        <f t="array" ref="L704">INDEX(postDEL!$A$2:$AL799,$O704,38)</f>
        <v/>
      </c>
      <c r="M704" s="219" t="str">
        <f t="array" ref="M704">INDEX(postDEL!$A$2:$AL799,$O704,15)</f>
        <v/>
      </c>
      <c r="N704" s="110">
        <f>COUNTIF(postDEL!$A$2:$A799,A704)</f>
        <v>1</v>
      </c>
      <c r="O704" s="19">
        <f>MATCH(A704,postDEL!A$2:A799,0)</f>
        <v>703</v>
      </c>
      <c r="P704" s="10" t="b">
        <f t="shared" si="1"/>
        <v>1</v>
      </c>
      <c r="Q704" s="220">
        <f t="shared" si="2"/>
        <v>0</v>
      </c>
      <c r="R704" s="5"/>
    </row>
    <row r="705">
      <c r="A705" s="221" t="s">
        <v>2040</v>
      </c>
      <c r="B705" s="217">
        <f t="array" ref="B705">INDEX(postDEL!$A$2:$P799,$O705,2)</f>
        <v>44629</v>
      </c>
      <c r="C705" s="218">
        <f t="array" ref="C705">INDEX(postDEL!$A$2:$P799,$O705,3)</f>
        <v>0.3113657407</v>
      </c>
      <c r="D705" s="219" t="str">
        <f t="array" ref="D705">INDEX(postDEL!$A$2:$AN799,$O705,39)</f>
        <v>SpBEND548976</v>
      </c>
      <c r="E705" s="219" t="str">
        <f t="array" ref="E705">INDEX(postDEL!$A$2:$P799,$O705,4)</f>
        <v/>
      </c>
      <c r="F705" s="219" t="str">
        <f t="array" ref="F705">INDEX(postDEL!$A$2:$P799,$O705,5)</f>
        <v/>
      </c>
      <c r="G705" s="219" t="str">
        <f t="array" ref="G705">INDEX(postDEL!$A$2:$P799,$O705,11)</f>
        <v>Null</v>
      </c>
      <c r="H705" s="219" t="str">
        <f t="array" ref="H705">INDEX(postDEL!$A$2:$AL799,$O705,37)</f>
        <v>Negative</v>
      </c>
      <c r="I705" s="217" t="str">
        <f t="array" ref="I705">INDEX(postDEL!$A$2:$AL799,$O705,12)</f>
        <v/>
      </c>
      <c r="J705" s="218" t="str">
        <f t="array" ref="J705">INDEX(postDEL!$A$2:$AL799,$O705,13)</f>
        <v/>
      </c>
      <c r="K705" s="219">
        <f t="array" ref="K705">INDEX(postDEL!$A$2:$AL799,$O705,36)</f>
        <v>2</v>
      </c>
      <c r="L705" s="219" t="str">
        <f t="array" ref="L705">INDEX(postDEL!$A$2:$AL799,$O705,38)</f>
        <v/>
      </c>
      <c r="M705" s="219" t="str">
        <f t="array" ref="M705">INDEX(postDEL!$A$2:$AL799,$O705,15)</f>
        <v/>
      </c>
      <c r="N705" s="110">
        <f>COUNTIF(postDEL!$A$2:$A799,A705)</f>
        <v>1</v>
      </c>
      <c r="O705" s="19">
        <f>MATCH(A705,postDEL!A$2:A799,0)</f>
        <v>704</v>
      </c>
      <c r="P705" s="10" t="str">
        <f t="shared" si="1"/>
        <v/>
      </c>
      <c r="Q705" s="220">
        <f t="shared" si="2"/>
        <v>-1</v>
      </c>
      <c r="R705" s="5"/>
    </row>
    <row r="706">
      <c r="A706" s="221" t="s">
        <v>2042</v>
      </c>
      <c r="B706" s="217">
        <f t="array" ref="B706">INDEX(postDEL!$A$2:$P799,$O706,2)</f>
        <v>44629</v>
      </c>
      <c r="C706" s="218">
        <f t="array" ref="C706">INDEX(postDEL!$A$2:$P799,$O706,3)</f>
        <v>0.3117708333</v>
      </c>
      <c r="D706" s="219" t="str">
        <f t="array" ref="D706">INDEX(postDEL!$A$2:$AN799,$O706,39)</f>
        <v>SpBEND183210</v>
      </c>
      <c r="E706" s="219" t="str">
        <f t="array" ref="E706">INDEX(postDEL!$A$2:$P799,$O706,4)</f>
        <v/>
      </c>
      <c r="F706" s="219" t="str">
        <f t="array" ref="F706">INDEX(postDEL!$A$2:$P799,$O706,5)</f>
        <v/>
      </c>
      <c r="G706" s="219" t="str">
        <f t="array" ref="G706">INDEX(postDEL!$A$2:$P799,$O706,11)</f>
        <v>Negative</v>
      </c>
      <c r="H706" s="219" t="str">
        <f t="array" ref="H706">INDEX(postDEL!$A$2:$AL799,$O706,37)</f>
        <v>Negative</v>
      </c>
      <c r="I706" s="217">
        <f t="array" ref="I706">INDEX(postDEL!$A$2:$AL799,$O706,12)</f>
        <v>44629</v>
      </c>
      <c r="J706" s="218">
        <f t="array" ref="J706">INDEX(postDEL!$A$2:$AL799,$O706,13)</f>
        <v>0.4994444444</v>
      </c>
      <c r="K706" s="219" t="str">
        <f t="array" ref="K706">INDEX(postDEL!$A$2:$AL799,$O706,36)</f>
        <v/>
      </c>
      <c r="L706" s="219" t="str">
        <f t="array" ref="L706">INDEX(postDEL!$A$2:$AL799,$O706,38)</f>
        <v/>
      </c>
      <c r="M706" s="219" t="str">
        <f t="array" ref="M706">INDEX(postDEL!$A$2:$AL799,$O706,15)</f>
        <v/>
      </c>
      <c r="N706" s="110">
        <f>COUNTIF(postDEL!$A$2:$A799,A706)</f>
        <v>1</v>
      </c>
      <c r="O706" s="19">
        <f>MATCH(A706,postDEL!A$2:A799,0)</f>
        <v>705</v>
      </c>
      <c r="P706" s="10" t="str">
        <f t="shared" si="1"/>
        <v/>
      </c>
      <c r="Q706" s="220">
        <f t="shared" si="2"/>
        <v>0</v>
      </c>
      <c r="R706" s="5"/>
    </row>
    <row r="707">
      <c r="A707" s="221" t="s">
        <v>2044</v>
      </c>
      <c r="B707" s="217">
        <f t="array" ref="B707">INDEX(postDEL!$A$2:$P799,$O707,2)</f>
        <v>44629</v>
      </c>
      <c r="C707" s="218">
        <f t="array" ref="C707">INDEX(postDEL!$A$2:$P799,$O707,3)</f>
        <v>0.3121527778</v>
      </c>
      <c r="D707" s="219" t="str">
        <f t="array" ref="D707">INDEX(postDEL!$A$2:$AN799,$O707,39)</f>
        <v>SpBEND816435</v>
      </c>
      <c r="E707" s="219" t="str">
        <f t="array" ref="E707">INDEX(postDEL!$A$2:$P799,$O707,4)</f>
        <v/>
      </c>
      <c r="F707" s="219" t="str">
        <f t="array" ref="F707">INDEX(postDEL!$A$2:$P799,$O707,5)</f>
        <v/>
      </c>
      <c r="G707" s="219" t="str">
        <f t="array" ref="G707">INDEX(postDEL!$A$2:$P799,$O707,11)</f>
        <v>Negative</v>
      </c>
      <c r="H707" s="219" t="str">
        <f t="array" ref="H707">INDEX(postDEL!$A$2:$AL799,$O707,37)</f>
        <v>Negative</v>
      </c>
      <c r="I707" s="217">
        <f t="array" ref="I707">INDEX(postDEL!$A$2:$AL799,$O707,12)</f>
        <v>44629</v>
      </c>
      <c r="J707" s="218">
        <f t="array" ref="J707">INDEX(postDEL!$A$2:$AL799,$O707,13)</f>
        <v>0.4994444444</v>
      </c>
      <c r="K707" s="219" t="str">
        <f t="array" ref="K707">INDEX(postDEL!$A$2:$AL799,$O707,36)</f>
        <v/>
      </c>
      <c r="L707" s="219" t="str">
        <f t="array" ref="L707">INDEX(postDEL!$A$2:$AL799,$O707,38)</f>
        <v/>
      </c>
      <c r="M707" s="219" t="str">
        <f t="array" ref="M707">INDEX(postDEL!$A$2:$AL799,$O707,15)</f>
        <v/>
      </c>
      <c r="N707" s="110">
        <f>COUNTIF(postDEL!$A$2:$A799,A707)</f>
        <v>1</v>
      </c>
      <c r="O707" s="19">
        <f>MATCH(A707,postDEL!A$2:A799,0)</f>
        <v>706</v>
      </c>
      <c r="P707" s="10" t="str">
        <f t="shared" si="1"/>
        <v/>
      </c>
      <c r="Q707" s="220">
        <f t="shared" si="2"/>
        <v>0</v>
      </c>
      <c r="R707" s="5"/>
    </row>
    <row r="708">
      <c r="A708" s="221" t="s">
        <v>2046</v>
      </c>
      <c r="B708" s="217">
        <f t="array" ref="B708">INDEX(postDEL!$A$2:$P799,$O708,2)</f>
        <v>44629</v>
      </c>
      <c r="C708" s="218">
        <f t="array" ref="C708">INDEX(postDEL!$A$2:$P799,$O708,3)</f>
        <v>0.3122569444</v>
      </c>
      <c r="D708" s="219" t="str">
        <f t="array" ref="D708">INDEX(postDEL!$A$2:$AN799,$O708,39)</f>
        <v>SpBEND296258</v>
      </c>
      <c r="E708" s="219" t="str">
        <f t="array" ref="E708">INDEX(postDEL!$A$2:$P799,$O708,4)</f>
        <v/>
      </c>
      <c r="F708" s="219" t="str">
        <f t="array" ref="F708">INDEX(postDEL!$A$2:$P799,$O708,5)</f>
        <v/>
      </c>
      <c r="G708" s="219" t="str">
        <f t="array" ref="G708">INDEX(postDEL!$A$2:$P799,$O708,11)</f>
        <v>Negative</v>
      </c>
      <c r="H708" s="219" t="str">
        <f t="array" ref="H708">INDEX(postDEL!$A$2:$AL799,$O708,37)</f>
        <v>Negative</v>
      </c>
      <c r="I708" s="217">
        <f t="array" ref="I708">INDEX(postDEL!$A$2:$AL799,$O708,12)</f>
        <v>44629</v>
      </c>
      <c r="J708" s="218">
        <f t="array" ref="J708">INDEX(postDEL!$A$2:$AL799,$O708,13)</f>
        <v>0.4994444444</v>
      </c>
      <c r="K708" s="219" t="str">
        <f t="array" ref="K708">INDEX(postDEL!$A$2:$AL799,$O708,36)</f>
        <v/>
      </c>
      <c r="L708" s="219" t="str">
        <f t="array" ref="L708">INDEX(postDEL!$A$2:$AL799,$O708,38)</f>
        <v/>
      </c>
      <c r="M708" s="219" t="str">
        <f t="array" ref="M708">INDEX(postDEL!$A$2:$AL799,$O708,15)</f>
        <v/>
      </c>
      <c r="N708" s="110">
        <f>COUNTIF(postDEL!$A$2:$A799,A708)</f>
        <v>1</v>
      </c>
      <c r="O708" s="19">
        <f>MATCH(A708,postDEL!A$2:A799,0)</f>
        <v>707</v>
      </c>
      <c r="P708" s="10" t="str">
        <f t="shared" si="1"/>
        <v/>
      </c>
      <c r="Q708" s="220">
        <f t="shared" si="2"/>
        <v>0</v>
      </c>
      <c r="R708" s="5"/>
    </row>
    <row r="709">
      <c r="A709" s="221" t="s">
        <v>2048</v>
      </c>
      <c r="B709" s="217">
        <f t="array" ref="B709">INDEX(postDEL!$A$2:$P799,$O709,2)</f>
        <v>44629</v>
      </c>
      <c r="C709" s="218">
        <f t="array" ref="C709">INDEX(postDEL!$A$2:$P799,$O709,3)</f>
        <v>0.312962963</v>
      </c>
      <c r="D709" s="219" t="str">
        <f t="array" ref="D709">INDEX(postDEL!$A$2:$AN799,$O709,39)</f>
        <v>SpBEND110967</v>
      </c>
      <c r="E709" s="219" t="str">
        <f t="array" ref="E709">INDEX(postDEL!$A$2:$P799,$O709,4)</f>
        <v/>
      </c>
      <c r="F709" s="219" t="str">
        <f t="array" ref="F709">INDEX(postDEL!$A$2:$P799,$O709,5)</f>
        <v/>
      </c>
      <c r="G709" s="219" t="str">
        <f t="array" ref="G709">INDEX(postDEL!$A$2:$P799,$O709,11)</f>
        <v>Negative</v>
      </c>
      <c r="H709" s="219" t="str">
        <f t="array" ref="H709">INDEX(postDEL!$A$2:$AL799,$O709,37)</f>
        <v>Negative</v>
      </c>
      <c r="I709" s="217">
        <f t="array" ref="I709">INDEX(postDEL!$A$2:$AL799,$O709,12)</f>
        <v>44629</v>
      </c>
      <c r="J709" s="218">
        <f t="array" ref="J709">INDEX(postDEL!$A$2:$AL799,$O709,13)</f>
        <v>0.4994444444</v>
      </c>
      <c r="K709" s="219" t="str">
        <f t="array" ref="K709">INDEX(postDEL!$A$2:$AL799,$O709,36)</f>
        <v/>
      </c>
      <c r="L709" s="219" t="str">
        <f t="array" ref="L709">INDEX(postDEL!$A$2:$AL799,$O709,38)</f>
        <v/>
      </c>
      <c r="M709" s="219" t="str">
        <f t="array" ref="M709">INDEX(postDEL!$A$2:$AL799,$O709,15)</f>
        <v/>
      </c>
      <c r="N709" s="110">
        <f>COUNTIF(postDEL!$A$2:$A799,A709)</f>
        <v>1</v>
      </c>
      <c r="O709" s="19">
        <f>MATCH(A709,postDEL!A$2:A799,0)</f>
        <v>708</v>
      </c>
      <c r="P709" s="10" t="str">
        <f t="shared" si="1"/>
        <v/>
      </c>
      <c r="Q709" s="220">
        <f t="shared" si="2"/>
        <v>0</v>
      </c>
      <c r="R709" s="5"/>
    </row>
    <row r="710">
      <c r="A710" s="221" t="s">
        <v>2050</v>
      </c>
      <c r="B710" s="217">
        <f t="array" ref="B710">INDEX(postDEL!$A$2:$P799,$O710,2)</f>
        <v>44629</v>
      </c>
      <c r="C710" s="218">
        <f t="array" ref="C710">INDEX(postDEL!$A$2:$P799,$O710,3)</f>
        <v>0.3130902778</v>
      </c>
      <c r="D710" s="219" t="str">
        <f t="array" ref="D710">INDEX(postDEL!$A$2:$AN799,$O710,39)</f>
        <v>SpBEND406814</v>
      </c>
      <c r="E710" s="219" t="str">
        <f t="array" ref="E710">INDEX(postDEL!$A$2:$P799,$O710,4)</f>
        <v/>
      </c>
      <c r="F710" s="219" t="str">
        <f t="array" ref="F710">INDEX(postDEL!$A$2:$P799,$O710,5)</f>
        <v/>
      </c>
      <c r="G710" s="219" t="str">
        <f t="array" ref="G710">INDEX(postDEL!$A$2:$P799,$O710,11)</f>
        <v>Negative</v>
      </c>
      <c r="H710" s="219" t="str">
        <f t="array" ref="H710">INDEX(postDEL!$A$2:$AL799,$O710,37)</f>
        <v>Negative</v>
      </c>
      <c r="I710" s="217">
        <f t="array" ref="I710">INDEX(postDEL!$A$2:$AL799,$O710,12)</f>
        <v>44629</v>
      </c>
      <c r="J710" s="218">
        <f t="array" ref="J710">INDEX(postDEL!$A$2:$AL799,$O710,13)</f>
        <v>0.4994444444</v>
      </c>
      <c r="K710" s="219" t="str">
        <f t="array" ref="K710">INDEX(postDEL!$A$2:$AL799,$O710,36)</f>
        <v/>
      </c>
      <c r="L710" s="219" t="str">
        <f t="array" ref="L710">INDEX(postDEL!$A$2:$AL799,$O710,38)</f>
        <v/>
      </c>
      <c r="M710" s="219" t="str">
        <f t="array" ref="M710">INDEX(postDEL!$A$2:$AL799,$O710,15)</f>
        <v/>
      </c>
      <c r="N710" s="110">
        <f>COUNTIF(postDEL!$A$2:$A799,A710)</f>
        <v>1</v>
      </c>
      <c r="O710" s="19">
        <f>MATCH(A710,postDEL!A$2:A799,0)</f>
        <v>709</v>
      </c>
      <c r="P710" s="10" t="str">
        <f t="shared" si="1"/>
        <v/>
      </c>
      <c r="Q710" s="220">
        <f t="shared" si="2"/>
        <v>0</v>
      </c>
      <c r="R710" s="5"/>
    </row>
    <row r="711">
      <c r="A711" s="221" t="s">
        <v>2052</v>
      </c>
      <c r="B711" s="217">
        <f t="array" ref="B711">INDEX(postDEL!$A$2:$P799,$O711,2)</f>
        <v>44629</v>
      </c>
      <c r="C711" s="218">
        <f t="array" ref="C711">INDEX(postDEL!$A$2:$P799,$O711,3)</f>
        <v>0.3144097222</v>
      </c>
      <c r="D711" s="219" t="str">
        <f t="array" ref="D711">INDEX(postDEL!$A$2:$AN799,$O711,39)</f>
        <v>SpBEND198321</v>
      </c>
      <c r="E711" s="219" t="str">
        <f t="array" ref="E711">INDEX(postDEL!$A$2:$P799,$O711,4)</f>
        <v/>
      </c>
      <c r="F711" s="219" t="str">
        <f t="array" ref="F711">INDEX(postDEL!$A$2:$P799,$O711,5)</f>
        <v/>
      </c>
      <c r="G711" s="219" t="str">
        <f t="array" ref="G711">INDEX(postDEL!$A$2:$P799,$O711,11)</f>
        <v>Negative</v>
      </c>
      <c r="H711" s="219" t="str">
        <f t="array" ref="H711">INDEX(postDEL!$A$2:$AL799,$O711,37)</f>
        <v>Negative</v>
      </c>
      <c r="I711" s="217">
        <f t="array" ref="I711">INDEX(postDEL!$A$2:$AL799,$O711,12)</f>
        <v>44629</v>
      </c>
      <c r="J711" s="218">
        <f t="array" ref="J711">INDEX(postDEL!$A$2:$AL799,$O711,13)</f>
        <v>0.4994444444</v>
      </c>
      <c r="K711" s="219" t="str">
        <f t="array" ref="K711">INDEX(postDEL!$A$2:$AL799,$O711,36)</f>
        <v/>
      </c>
      <c r="L711" s="219" t="str">
        <f t="array" ref="L711">INDEX(postDEL!$A$2:$AL799,$O711,38)</f>
        <v/>
      </c>
      <c r="M711" s="219" t="str">
        <f t="array" ref="M711">INDEX(postDEL!$A$2:$AL799,$O711,15)</f>
        <v/>
      </c>
      <c r="N711" s="110">
        <f>COUNTIF(postDEL!$A$2:$A799,A711)</f>
        <v>1</v>
      </c>
      <c r="O711" s="19">
        <f>MATCH(A711,postDEL!A$2:A799,0)</f>
        <v>710</v>
      </c>
      <c r="P711" s="10" t="str">
        <f t="shared" si="1"/>
        <v/>
      </c>
      <c r="Q711" s="220">
        <f t="shared" si="2"/>
        <v>0</v>
      </c>
      <c r="R711" s="5"/>
    </row>
    <row r="712">
      <c r="A712" s="221" t="s">
        <v>2054</v>
      </c>
      <c r="B712" s="217">
        <f t="array" ref="B712">INDEX(postDEL!$A$2:$P799,$O712,2)</f>
        <v>44629</v>
      </c>
      <c r="C712" s="218">
        <f t="array" ref="C712">INDEX(postDEL!$A$2:$P799,$O712,3)</f>
        <v>0.3148263889</v>
      </c>
      <c r="D712" s="219" t="str">
        <f t="array" ref="D712">INDEX(postDEL!$A$2:$AN799,$O712,39)</f>
        <v>SpBEND551372</v>
      </c>
      <c r="E712" s="219" t="str">
        <f t="array" ref="E712">INDEX(postDEL!$A$2:$P799,$O712,4)</f>
        <v/>
      </c>
      <c r="F712" s="219" t="str">
        <f t="array" ref="F712">INDEX(postDEL!$A$2:$P799,$O712,5)</f>
        <v/>
      </c>
      <c r="G712" s="219" t="str">
        <f t="array" ref="G712">INDEX(postDEL!$A$2:$P799,$O712,11)</f>
        <v>Negative</v>
      </c>
      <c r="H712" s="219" t="str">
        <f t="array" ref="H712">INDEX(postDEL!$A$2:$AL799,$O712,37)</f>
        <v>Negative</v>
      </c>
      <c r="I712" s="217">
        <f t="array" ref="I712">INDEX(postDEL!$A$2:$AL799,$O712,12)</f>
        <v>44629</v>
      </c>
      <c r="J712" s="218">
        <f t="array" ref="J712">INDEX(postDEL!$A$2:$AL799,$O712,13)</f>
        <v>0.4994444444</v>
      </c>
      <c r="K712" s="219" t="str">
        <f t="array" ref="K712">INDEX(postDEL!$A$2:$AL799,$O712,36)</f>
        <v/>
      </c>
      <c r="L712" s="219" t="str">
        <f t="array" ref="L712">INDEX(postDEL!$A$2:$AL799,$O712,38)</f>
        <v/>
      </c>
      <c r="M712" s="219" t="str">
        <f t="array" ref="M712">INDEX(postDEL!$A$2:$AL799,$O712,15)</f>
        <v/>
      </c>
      <c r="N712" s="110">
        <f>COUNTIF(postDEL!$A$2:$A799,A712)</f>
        <v>1</v>
      </c>
      <c r="O712" s="19">
        <f>MATCH(A712,postDEL!A$2:A799,0)</f>
        <v>711</v>
      </c>
      <c r="P712" s="10" t="str">
        <f t="shared" si="1"/>
        <v/>
      </c>
      <c r="Q712" s="220">
        <f t="shared" si="2"/>
        <v>0</v>
      </c>
      <c r="R712" s="5"/>
    </row>
    <row r="713">
      <c r="A713" s="221" t="s">
        <v>2056</v>
      </c>
      <c r="B713" s="217">
        <f t="array" ref="B713">INDEX(postDEL!$A$2:$P799,$O713,2)</f>
        <v>44629</v>
      </c>
      <c r="C713" s="218">
        <f t="array" ref="C713">INDEX(postDEL!$A$2:$P799,$O713,3)</f>
        <v>0.3169328704</v>
      </c>
      <c r="D713" s="219" t="str">
        <f t="array" ref="D713">INDEX(postDEL!$A$2:$AN799,$O713,39)</f>
        <v>SpBEND474338</v>
      </c>
      <c r="E713" s="219" t="str">
        <f t="array" ref="E713">INDEX(postDEL!$A$2:$P799,$O713,4)</f>
        <v/>
      </c>
      <c r="F713" s="219" t="str">
        <f t="array" ref="F713">INDEX(postDEL!$A$2:$P799,$O713,5)</f>
        <v/>
      </c>
      <c r="G713" s="219" t="str">
        <f t="array" ref="G713">INDEX(postDEL!$A$2:$P799,$O713,11)</f>
        <v>Negative</v>
      </c>
      <c r="H713" s="219" t="str">
        <f t="array" ref="H713">INDEX(postDEL!$A$2:$AL799,$O713,37)</f>
        <v>Negative</v>
      </c>
      <c r="I713" s="217">
        <f t="array" ref="I713">INDEX(postDEL!$A$2:$AL799,$O713,12)</f>
        <v>44629</v>
      </c>
      <c r="J713" s="218">
        <f t="array" ref="J713">INDEX(postDEL!$A$2:$AL799,$O713,13)</f>
        <v>0.4994444444</v>
      </c>
      <c r="K713" s="219" t="str">
        <f t="array" ref="K713">INDEX(postDEL!$A$2:$AL799,$O713,36)</f>
        <v/>
      </c>
      <c r="L713" s="219" t="str">
        <f t="array" ref="L713">INDEX(postDEL!$A$2:$AL799,$O713,38)</f>
        <v/>
      </c>
      <c r="M713" s="219" t="str">
        <f t="array" ref="M713">INDEX(postDEL!$A$2:$AL799,$O713,15)</f>
        <v/>
      </c>
      <c r="N713" s="110">
        <f>COUNTIF(postDEL!$A$2:$A799,A713)</f>
        <v>1</v>
      </c>
      <c r="O713" s="19">
        <f>MATCH(A713,postDEL!A$2:A799,0)</f>
        <v>712</v>
      </c>
      <c r="P713" s="10" t="str">
        <f t="shared" si="1"/>
        <v/>
      </c>
      <c r="Q713" s="220">
        <f t="shared" si="2"/>
        <v>0</v>
      </c>
      <c r="R713" s="5"/>
    </row>
    <row r="714">
      <c r="A714" s="221" t="s">
        <v>2058</v>
      </c>
      <c r="B714" s="217">
        <f t="array" ref="B714">INDEX(postDEL!$A$2:$P799,$O714,2)</f>
        <v>44629</v>
      </c>
      <c r="C714" s="218">
        <f t="array" ref="C714">INDEX(postDEL!$A$2:$P799,$O714,3)</f>
        <v>0.317349537</v>
      </c>
      <c r="D714" s="219" t="str">
        <f t="array" ref="D714">INDEX(postDEL!$A$2:$AN799,$O714,39)</f>
        <v>SpBEND139600</v>
      </c>
      <c r="E714" s="219" t="str">
        <f t="array" ref="E714">INDEX(postDEL!$A$2:$P799,$O714,4)</f>
        <v/>
      </c>
      <c r="F714" s="219" t="str">
        <f t="array" ref="F714">INDEX(postDEL!$A$2:$P799,$O714,5)</f>
        <v/>
      </c>
      <c r="G714" s="219" t="str">
        <f t="array" ref="G714">INDEX(postDEL!$A$2:$P799,$O714,11)</f>
        <v>Negative</v>
      </c>
      <c r="H714" s="219" t="str">
        <f t="array" ref="H714">INDEX(postDEL!$A$2:$AL799,$O714,37)</f>
        <v>Negative</v>
      </c>
      <c r="I714" s="217">
        <f t="array" ref="I714">INDEX(postDEL!$A$2:$AL799,$O714,12)</f>
        <v>44629</v>
      </c>
      <c r="J714" s="218">
        <f t="array" ref="J714">INDEX(postDEL!$A$2:$AL799,$O714,13)</f>
        <v>0.4994444444</v>
      </c>
      <c r="K714" s="219" t="str">
        <f t="array" ref="K714">INDEX(postDEL!$A$2:$AL799,$O714,36)</f>
        <v/>
      </c>
      <c r="L714" s="219" t="str">
        <f t="array" ref="L714">INDEX(postDEL!$A$2:$AL799,$O714,38)</f>
        <v/>
      </c>
      <c r="M714" s="219" t="str">
        <f t="array" ref="M714">INDEX(postDEL!$A$2:$AL799,$O714,15)</f>
        <v/>
      </c>
      <c r="N714" s="110">
        <f>COUNTIF(postDEL!$A$2:$A799,A714)</f>
        <v>1</v>
      </c>
      <c r="O714" s="19">
        <f>MATCH(A714,postDEL!A$2:A799,0)</f>
        <v>713</v>
      </c>
      <c r="P714" s="10" t="str">
        <f t="shared" si="1"/>
        <v/>
      </c>
      <c r="Q714" s="220">
        <f t="shared" si="2"/>
        <v>0</v>
      </c>
      <c r="R714" s="5"/>
    </row>
    <row r="715">
      <c r="A715" s="221" t="s">
        <v>2060</v>
      </c>
      <c r="B715" s="217">
        <f t="array" ref="B715">INDEX(postDEL!$A$2:$P799,$O715,2)</f>
        <v>44629</v>
      </c>
      <c r="C715" s="218">
        <f t="array" ref="C715">INDEX(postDEL!$A$2:$P799,$O715,3)</f>
        <v>0.3182407407</v>
      </c>
      <c r="D715" s="219" t="str">
        <f t="array" ref="D715">INDEX(postDEL!$A$2:$AN799,$O715,39)</f>
        <v>SpBEND292554</v>
      </c>
      <c r="E715" s="219" t="str">
        <f t="array" ref="E715">INDEX(postDEL!$A$2:$P799,$O715,4)</f>
        <v/>
      </c>
      <c r="F715" s="219" t="str">
        <f t="array" ref="F715">INDEX(postDEL!$A$2:$P799,$O715,5)</f>
        <v/>
      </c>
      <c r="G715" s="219" t="str">
        <f t="array" ref="G715">INDEX(postDEL!$A$2:$P799,$O715,11)</f>
        <v>Negative</v>
      </c>
      <c r="H715" s="219" t="str">
        <f t="array" ref="H715">INDEX(postDEL!$A$2:$AL799,$O715,37)</f>
        <v>Negative</v>
      </c>
      <c r="I715" s="217">
        <f t="array" ref="I715">INDEX(postDEL!$A$2:$AL799,$O715,12)</f>
        <v>44629</v>
      </c>
      <c r="J715" s="218">
        <f t="array" ref="J715">INDEX(postDEL!$A$2:$AL799,$O715,13)</f>
        <v>0.4994444444</v>
      </c>
      <c r="K715" s="219" t="str">
        <f t="array" ref="K715">INDEX(postDEL!$A$2:$AL799,$O715,36)</f>
        <v/>
      </c>
      <c r="L715" s="219" t="str">
        <f t="array" ref="L715">INDEX(postDEL!$A$2:$AL799,$O715,38)</f>
        <v/>
      </c>
      <c r="M715" s="219" t="str">
        <f t="array" ref="M715">INDEX(postDEL!$A$2:$AL799,$O715,15)</f>
        <v/>
      </c>
      <c r="N715" s="110">
        <f>COUNTIF(postDEL!$A$2:$A799,A715)</f>
        <v>1</v>
      </c>
      <c r="O715" s="19">
        <f>MATCH(A715,postDEL!A$2:A799,0)</f>
        <v>714</v>
      </c>
      <c r="P715" s="10" t="str">
        <f t="shared" si="1"/>
        <v/>
      </c>
      <c r="Q715" s="220">
        <f t="shared" si="2"/>
        <v>0</v>
      </c>
      <c r="R715" s="5"/>
    </row>
    <row r="716">
      <c r="A716" s="221" t="s">
        <v>2062</v>
      </c>
      <c r="B716" s="217">
        <f t="array" ref="B716">INDEX(postDEL!$A$2:$P799,$O716,2)</f>
        <v>44629</v>
      </c>
      <c r="C716" s="218">
        <f t="array" ref="C716">INDEX(postDEL!$A$2:$P799,$O716,3)</f>
        <v>0.3201851852</v>
      </c>
      <c r="D716" s="219" t="str">
        <f t="array" ref="D716">INDEX(postDEL!$A$2:$AN799,$O716,39)</f>
        <v>SpBEND445560</v>
      </c>
      <c r="E716" s="219" t="str">
        <f t="array" ref="E716">INDEX(postDEL!$A$2:$P799,$O716,4)</f>
        <v/>
      </c>
      <c r="F716" s="219" t="str">
        <f t="array" ref="F716">INDEX(postDEL!$A$2:$P799,$O716,5)</f>
        <v/>
      </c>
      <c r="G716" s="219" t="str">
        <f t="array" ref="G716">INDEX(postDEL!$A$2:$P799,$O716,11)</f>
        <v>Negative</v>
      </c>
      <c r="H716" s="219" t="str">
        <f t="array" ref="H716">INDEX(postDEL!$A$2:$AL799,$O716,37)</f>
        <v>Negative</v>
      </c>
      <c r="I716" s="217">
        <f t="array" ref="I716">INDEX(postDEL!$A$2:$AL799,$O716,12)</f>
        <v>44629</v>
      </c>
      <c r="J716" s="218">
        <f t="array" ref="J716">INDEX(postDEL!$A$2:$AL799,$O716,13)</f>
        <v>0.4994444444</v>
      </c>
      <c r="K716" s="219" t="str">
        <f t="array" ref="K716">INDEX(postDEL!$A$2:$AL799,$O716,36)</f>
        <v/>
      </c>
      <c r="L716" s="219" t="str">
        <f t="array" ref="L716">INDEX(postDEL!$A$2:$AL799,$O716,38)</f>
        <v/>
      </c>
      <c r="M716" s="219" t="str">
        <f t="array" ref="M716">INDEX(postDEL!$A$2:$AL799,$O716,15)</f>
        <v/>
      </c>
      <c r="N716" s="110">
        <f>COUNTIF(postDEL!$A$2:$A799,A716)</f>
        <v>1</v>
      </c>
      <c r="O716" s="19">
        <f>MATCH(A716,postDEL!A$2:A799,0)</f>
        <v>715</v>
      </c>
      <c r="P716" s="10" t="str">
        <f t="shared" si="1"/>
        <v/>
      </c>
      <c r="Q716" s="220">
        <f t="shared" si="2"/>
        <v>0</v>
      </c>
      <c r="R716" s="5"/>
    </row>
    <row r="717">
      <c r="A717" s="221" t="s">
        <v>2064</v>
      </c>
      <c r="B717" s="217">
        <f t="array" ref="B717">INDEX(postDEL!$A$2:$P799,$O717,2)</f>
        <v>44629</v>
      </c>
      <c r="C717" s="218">
        <f t="array" ref="C717">INDEX(postDEL!$A$2:$P799,$O717,3)</f>
        <v>0.3218634259</v>
      </c>
      <c r="D717" s="219" t="str">
        <f t="array" ref="D717">INDEX(postDEL!$A$2:$AN799,$O717,39)</f>
        <v>SpBEND637657</v>
      </c>
      <c r="E717" s="219" t="str">
        <f t="array" ref="E717">INDEX(postDEL!$A$2:$P799,$O717,4)</f>
        <v/>
      </c>
      <c r="F717" s="219" t="str">
        <f t="array" ref="F717">INDEX(postDEL!$A$2:$P799,$O717,5)</f>
        <v/>
      </c>
      <c r="G717" s="219" t="str">
        <f t="array" ref="G717">INDEX(postDEL!$A$2:$P799,$O717,11)</f>
        <v>Negative</v>
      </c>
      <c r="H717" s="219" t="str">
        <f t="array" ref="H717">INDEX(postDEL!$A$2:$AL799,$O717,37)</f>
        <v>Negative</v>
      </c>
      <c r="I717" s="217">
        <f t="array" ref="I717">INDEX(postDEL!$A$2:$AL799,$O717,12)</f>
        <v>44629</v>
      </c>
      <c r="J717" s="218">
        <f t="array" ref="J717">INDEX(postDEL!$A$2:$AL799,$O717,13)</f>
        <v>0.4994444444</v>
      </c>
      <c r="K717" s="219" t="str">
        <f t="array" ref="K717">INDEX(postDEL!$A$2:$AL799,$O717,36)</f>
        <v/>
      </c>
      <c r="L717" s="219" t="str">
        <f t="array" ref="L717">INDEX(postDEL!$A$2:$AL799,$O717,38)</f>
        <v/>
      </c>
      <c r="M717" s="219" t="str">
        <f t="array" ref="M717">INDEX(postDEL!$A$2:$AL799,$O717,15)</f>
        <v/>
      </c>
      <c r="N717" s="110">
        <f>COUNTIF(postDEL!$A$2:$A799,A717)</f>
        <v>1</v>
      </c>
      <c r="O717" s="19">
        <f>MATCH(A717,postDEL!A$2:A799,0)</f>
        <v>716</v>
      </c>
      <c r="P717" s="10" t="str">
        <f t="shared" si="1"/>
        <v/>
      </c>
      <c r="Q717" s="220">
        <f t="shared" si="2"/>
        <v>0</v>
      </c>
      <c r="R717" s="5"/>
    </row>
    <row r="718">
      <c r="A718" s="221" t="s">
        <v>2066</v>
      </c>
      <c r="B718" s="217">
        <f t="array" ref="B718">INDEX(postDEL!$A$2:$P799,$O718,2)</f>
        <v>44629</v>
      </c>
      <c r="C718" s="218">
        <f t="array" ref="C718">INDEX(postDEL!$A$2:$P799,$O718,3)</f>
        <v>0.3237847222</v>
      </c>
      <c r="D718" s="219" t="str">
        <f t="array" ref="D718">INDEX(postDEL!$A$2:$AN799,$O718,39)</f>
        <v>SpBEND980783</v>
      </c>
      <c r="E718" s="219" t="str">
        <f t="array" ref="E718">INDEX(postDEL!$A$2:$P799,$O718,4)</f>
        <v/>
      </c>
      <c r="F718" s="219" t="str">
        <f t="array" ref="F718">INDEX(postDEL!$A$2:$P799,$O718,5)</f>
        <v/>
      </c>
      <c r="G718" s="219" t="str">
        <f t="array" ref="G718">INDEX(postDEL!$A$2:$P799,$O718,11)</f>
        <v>Negative</v>
      </c>
      <c r="H718" s="219" t="str">
        <f t="array" ref="H718">INDEX(postDEL!$A$2:$AL799,$O718,37)</f>
        <v>Negative</v>
      </c>
      <c r="I718" s="217">
        <f t="array" ref="I718">INDEX(postDEL!$A$2:$AL799,$O718,12)</f>
        <v>44629</v>
      </c>
      <c r="J718" s="218">
        <f t="array" ref="J718">INDEX(postDEL!$A$2:$AL799,$O718,13)</f>
        <v>0.4994444444</v>
      </c>
      <c r="K718" s="219" t="str">
        <f t="array" ref="K718">INDEX(postDEL!$A$2:$AL799,$O718,36)</f>
        <v/>
      </c>
      <c r="L718" s="219" t="str">
        <f t="array" ref="L718">INDEX(postDEL!$A$2:$AL799,$O718,38)</f>
        <v/>
      </c>
      <c r="M718" s="219" t="str">
        <f t="array" ref="M718">INDEX(postDEL!$A$2:$AL799,$O718,15)</f>
        <v/>
      </c>
      <c r="N718" s="110">
        <f>COUNTIF(postDEL!$A$2:$A799,A718)</f>
        <v>1</v>
      </c>
      <c r="O718" s="19">
        <f>MATCH(A718,postDEL!A$2:A799,0)</f>
        <v>717</v>
      </c>
      <c r="P718" s="10" t="str">
        <f t="shared" si="1"/>
        <v/>
      </c>
      <c r="Q718" s="220">
        <f t="shared" si="2"/>
        <v>0</v>
      </c>
      <c r="R718" s="5"/>
    </row>
    <row r="719">
      <c r="A719" s="221" t="s">
        <v>2068</v>
      </c>
      <c r="B719" s="217">
        <f t="array" ref="B719">INDEX(postDEL!$A$2:$P799,$O719,2)</f>
        <v>44629</v>
      </c>
      <c r="C719" s="218">
        <f t="array" ref="C719">INDEX(postDEL!$A$2:$P799,$O719,3)</f>
        <v>0.3240162037</v>
      </c>
      <c r="D719" s="219" t="str">
        <f t="array" ref="D719">INDEX(postDEL!$A$2:$AN799,$O719,39)</f>
        <v>SpBEND387578</v>
      </c>
      <c r="E719" s="219" t="str">
        <f t="array" ref="E719">INDEX(postDEL!$A$2:$P799,$O719,4)</f>
        <v/>
      </c>
      <c r="F719" s="219" t="str">
        <f t="array" ref="F719">INDEX(postDEL!$A$2:$P799,$O719,5)</f>
        <v/>
      </c>
      <c r="G719" s="219" t="str">
        <f t="array" ref="G719">INDEX(postDEL!$A$2:$P799,$O719,11)</f>
        <v>Negative</v>
      </c>
      <c r="H719" s="219" t="str">
        <f t="array" ref="H719">INDEX(postDEL!$A$2:$AL799,$O719,37)</f>
        <v>Negative</v>
      </c>
      <c r="I719" s="217">
        <f t="array" ref="I719">INDEX(postDEL!$A$2:$AL799,$O719,12)</f>
        <v>44629</v>
      </c>
      <c r="J719" s="218">
        <f t="array" ref="J719">INDEX(postDEL!$A$2:$AL799,$O719,13)</f>
        <v>0.4994560185</v>
      </c>
      <c r="K719" s="219" t="str">
        <f t="array" ref="K719">INDEX(postDEL!$A$2:$AL799,$O719,36)</f>
        <v/>
      </c>
      <c r="L719" s="219" t="str">
        <f t="array" ref="L719">INDEX(postDEL!$A$2:$AL799,$O719,38)</f>
        <v/>
      </c>
      <c r="M719" s="219" t="str">
        <f t="array" ref="M719">INDEX(postDEL!$A$2:$AL799,$O719,15)</f>
        <v/>
      </c>
      <c r="N719" s="110">
        <f>COUNTIF(postDEL!$A$2:$A799,A719)</f>
        <v>1</v>
      </c>
      <c r="O719" s="19">
        <f>MATCH(A719,postDEL!A$2:A799,0)</f>
        <v>718</v>
      </c>
      <c r="P719" s="10" t="str">
        <f t="shared" si="1"/>
        <v/>
      </c>
      <c r="Q719" s="220">
        <f t="shared" si="2"/>
        <v>0</v>
      </c>
      <c r="R719" s="5"/>
    </row>
    <row r="720">
      <c r="A720" s="221" t="s">
        <v>2070</v>
      </c>
      <c r="B720" s="217">
        <f t="array" ref="B720">INDEX(postDEL!$A$2:$P799,$O720,2)</f>
        <v>44629</v>
      </c>
      <c r="C720" s="218">
        <f t="array" ref="C720">INDEX(postDEL!$A$2:$P799,$O720,3)</f>
        <v>0.328287037</v>
      </c>
      <c r="D720" s="219" t="str">
        <f t="array" ref="D720">INDEX(postDEL!$A$2:$AN799,$O720,39)</f>
        <v>SpBEND437215</v>
      </c>
      <c r="E720" s="219" t="str">
        <f t="array" ref="E720">INDEX(postDEL!$A$2:$P799,$O720,4)</f>
        <v/>
      </c>
      <c r="F720" s="219" t="str">
        <f t="array" ref="F720">INDEX(postDEL!$A$2:$P799,$O720,5)</f>
        <v/>
      </c>
      <c r="G720" s="219" t="str">
        <f t="array" ref="G720">INDEX(postDEL!$A$2:$P799,$O720,11)</f>
        <v>Negative</v>
      </c>
      <c r="H720" s="219" t="str">
        <f t="array" ref="H720">INDEX(postDEL!$A$2:$AL799,$O720,37)</f>
        <v>Negative</v>
      </c>
      <c r="I720" s="217">
        <f t="array" ref="I720">INDEX(postDEL!$A$2:$AL799,$O720,12)</f>
        <v>44629</v>
      </c>
      <c r="J720" s="218">
        <f t="array" ref="J720">INDEX(postDEL!$A$2:$AL799,$O720,13)</f>
        <v>0.4994560185</v>
      </c>
      <c r="K720" s="219" t="str">
        <f t="array" ref="K720">INDEX(postDEL!$A$2:$AL799,$O720,36)</f>
        <v/>
      </c>
      <c r="L720" s="219" t="str">
        <f t="array" ref="L720">INDEX(postDEL!$A$2:$AL799,$O720,38)</f>
        <v/>
      </c>
      <c r="M720" s="219" t="str">
        <f t="array" ref="M720">INDEX(postDEL!$A$2:$AL799,$O720,15)</f>
        <v/>
      </c>
      <c r="N720" s="110">
        <f>COUNTIF(postDEL!$A$2:$A799,A720)</f>
        <v>1</v>
      </c>
      <c r="O720" s="19">
        <f>MATCH(A720,postDEL!A$2:A799,0)</f>
        <v>719</v>
      </c>
      <c r="P720" s="10" t="str">
        <f t="shared" si="1"/>
        <v/>
      </c>
      <c r="Q720" s="220">
        <f t="shared" si="2"/>
        <v>0</v>
      </c>
      <c r="R720" s="5"/>
    </row>
    <row r="721">
      <c r="A721" s="221" t="s">
        <v>2072</v>
      </c>
      <c r="B721" s="217">
        <f t="array" ref="B721">INDEX(postDEL!$A$2:$P799,$O721,2)</f>
        <v>44629</v>
      </c>
      <c r="C721" s="218">
        <f t="array" ref="C721">INDEX(postDEL!$A$2:$P799,$O721,3)</f>
        <v>0.3285300926</v>
      </c>
      <c r="D721" s="219" t="str">
        <f t="array" ref="D721">INDEX(postDEL!$A$2:$AN799,$O721,39)</f>
        <v>SpBEND996809</v>
      </c>
      <c r="E721" s="219" t="str">
        <f t="array" ref="E721">INDEX(postDEL!$A$2:$P799,$O721,4)</f>
        <v/>
      </c>
      <c r="F721" s="219" t="str">
        <f t="array" ref="F721">INDEX(postDEL!$A$2:$P799,$O721,5)</f>
        <v/>
      </c>
      <c r="G721" s="219" t="str">
        <f t="array" ref="G721">INDEX(postDEL!$A$2:$P799,$O721,11)</f>
        <v>Negative</v>
      </c>
      <c r="H721" s="219" t="str">
        <f t="array" ref="H721">INDEX(postDEL!$A$2:$AL799,$O721,37)</f>
        <v>Negative</v>
      </c>
      <c r="I721" s="217">
        <f t="array" ref="I721">INDEX(postDEL!$A$2:$AL799,$O721,12)</f>
        <v>44629</v>
      </c>
      <c r="J721" s="218">
        <f t="array" ref="J721">INDEX(postDEL!$A$2:$AL799,$O721,13)</f>
        <v>0.4994560185</v>
      </c>
      <c r="K721" s="219" t="str">
        <f t="array" ref="K721">INDEX(postDEL!$A$2:$AL799,$O721,36)</f>
        <v/>
      </c>
      <c r="L721" s="219" t="str">
        <f t="array" ref="L721">INDEX(postDEL!$A$2:$AL799,$O721,38)</f>
        <v/>
      </c>
      <c r="M721" s="219" t="str">
        <f t="array" ref="M721">INDEX(postDEL!$A$2:$AL799,$O721,15)</f>
        <v/>
      </c>
      <c r="N721" s="110">
        <f>COUNTIF(postDEL!$A$2:$A799,A721)</f>
        <v>1</v>
      </c>
      <c r="O721" s="19">
        <f>MATCH(A721,postDEL!A$2:A799,0)</f>
        <v>720</v>
      </c>
      <c r="P721" s="10" t="str">
        <f t="shared" si="1"/>
        <v/>
      </c>
      <c r="Q721" s="220">
        <f t="shared" si="2"/>
        <v>0</v>
      </c>
      <c r="R721" s="5"/>
    </row>
    <row r="722">
      <c r="A722" s="221" t="s">
        <v>2074</v>
      </c>
      <c r="B722" s="217">
        <f t="array" ref="B722">INDEX(postDEL!$A$2:$P799,$O722,2)</f>
        <v>44629</v>
      </c>
      <c r="C722" s="218">
        <f t="array" ref="C722">INDEX(postDEL!$A$2:$P799,$O722,3)</f>
        <v>0.3330324074</v>
      </c>
      <c r="D722" s="219" t="str">
        <f t="array" ref="D722">INDEX(postDEL!$A$2:$AN799,$O722,39)</f>
        <v>SpBEND147819</v>
      </c>
      <c r="E722" s="219" t="str">
        <f t="array" ref="E722">INDEX(postDEL!$A$2:$P799,$O722,4)</f>
        <v/>
      </c>
      <c r="F722" s="219" t="str">
        <f t="array" ref="F722">INDEX(postDEL!$A$2:$P799,$O722,5)</f>
        <v/>
      </c>
      <c r="G722" s="219" t="str">
        <f t="array" ref="G722">INDEX(postDEL!$A$2:$P799,$O722,11)</f>
        <v>Negative</v>
      </c>
      <c r="H722" s="219" t="str">
        <f t="array" ref="H722">INDEX(postDEL!$A$2:$AL799,$O722,37)</f>
        <v>Negative</v>
      </c>
      <c r="I722" s="217">
        <f t="array" ref="I722">INDEX(postDEL!$A$2:$AL799,$O722,12)</f>
        <v>44629</v>
      </c>
      <c r="J722" s="218">
        <f t="array" ref="J722">INDEX(postDEL!$A$2:$AL799,$O722,13)</f>
        <v>0.4994560185</v>
      </c>
      <c r="K722" s="219" t="str">
        <f t="array" ref="K722">INDEX(postDEL!$A$2:$AL799,$O722,36)</f>
        <v/>
      </c>
      <c r="L722" s="219" t="str">
        <f t="array" ref="L722">INDEX(postDEL!$A$2:$AL799,$O722,38)</f>
        <v/>
      </c>
      <c r="M722" s="219" t="str">
        <f t="array" ref="M722">INDEX(postDEL!$A$2:$AL799,$O722,15)</f>
        <v/>
      </c>
      <c r="N722" s="110">
        <f>COUNTIF(postDEL!$A$2:$A799,A722)</f>
        <v>1</v>
      </c>
      <c r="O722" s="19">
        <f>MATCH(A722,postDEL!A$2:A799,0)</f>
        <v>721</v>
      </c>
      <c r="P722" s="10" t="str">
        <f t="shared" si="1"/>
        <v/>
      </c>
      <c r="Q722" s="220">
        <f t="shared" si="2"/>
        <v>0</v>
      </c>
      <c r="R722" s="5"/>
    </row>
    <row r="723">
      <c r="A723" s="221" t="s">
        <v>2076</v>
      </c>
      <c r="B723" s="217">
        <f t="array" ref="B723">INDEX(postDEL!$A$2:$P799,$O723,2)</f>
        <v>44629</v>
      </c>
      <c r="C723" s="218">
        <f t="array" ref="C723">INDEX(postDEL!$A$2:$P799,$O723,3)</f>
        <v>0.334837963</v>
      </c>
      <c r="D723" s="219" t="str">
        <f t="array" ref="D723">INDEX(postDEL!$A$2:$AN799,$O723,39)</f>
        <v>SpBEND721986</v>
      </c>
      <c r="E723" s="219" t="str">
        <f t="array" ref="E723">INDEX(postDEL!$A$2:$P799,$O723,4)</f>
        <v/>
      </c>
      <c r="F723" s="219" t="str">
        <f t="array" ref="F723">INDEX(postDEL!$A$2:$P799,$O723,5)</f>
        <v/>
      </c>
      <c r="G723" s="219" t="str">
        <f t="array" ref="G723">INDEX(postDEL!$A$2:$P799,$O723,11)</f>
        <v>Negative</v>
      </c>
      <c r="H723" s="219" t="str">
        <f t="array" ref="H723">INDEX(postDEL!$A$2:$AL799,$O723,37)</f>
        <v>Negative</v>
      </c>
      <c r="I723" s="217">
        <f t="array" ref="I723">INDEX(postDEL!$A$2:$AL799,$O723,12)</f>
        <v>44629</v>
      </c>
      <c r="J723" s="218">
        <f t="array" ref="J723">INDEX(postDEL!$A$2:$AL799,$O723,13)</f>
        <v>0.4994560185</v>
      </c>
      <c r="K723" s="219" t="str">
        <f t="array" ref="K723">INDEX(postDEL!$A$2:$AL799,$O723,36)</f>
        <v/>
      </c>
      <c r="L723" s="219" t="str">
        <f t="array" ref="L723">INDEX(postDEL!$A$2:$AL799,$O723,38)</f>
        <v/>
      </c>
      <c r="M723" s="219" t="str">
        <f t="array" ref="M723">INDEX(postDEL!$A$2:$AL799,$O723,15)</f>
        <v/>
      </c>
      <c r="N723" s="110">
        <f>COUNTIF(postDEL!$A$2:$A799,A723)</f>
        <v>1</v>
      </c>
      <c r="O723" s="19">
        <f>MATCH(A723,postDEL!A$2:A799,0)</f>
        <v>722</v>
      </c>
      <c r="P723" s="10" t="str">
        <f t="shared" si="1"/>
        <v/>
      </c>
      <c r="Q723" s="220">
        <f t="shared" si="2"/>
        <v>0</v>
      </c>
      <c r="R723" s="5"/>
    </row>
    <row r="724">
      <c r="A724" s="221" t="s">
        <v>2078</v>
      </c>
      <c r="B724" s="217">
        <f t="array" ref="B724">INDEX(postDEL!$A$2:$P799,$O724,2)</f>
        <v>44629</v>
      </c>
      <c r="C724" s="218">
        <f t="array" ref="C724">INDEX(postDEL!$A$2:$P799,$O724,3)</f>
        <v>0.3349074074</v>
      </c>
      <c r="D724" s="219" t="str">
        <f t="array" ref="D724">INDEX(postDEL!$A$2:$AN799,$O724,39)</f>
        <v>SpBEND522465</v>
      </c>
      <c r="E724" s="219" t="str">
        <f t="array" ref="E724">INDEX(postDEL!$A$2:$P799,$O724,4)</f>
        <v/>
      </c>
      <c r="F724" s="219" t="str">
        <f t="array" ref="F724">INDEX(postDEL!$A$2:$P799,$O724,5)</f>
        <v/>
      </c>
      <c r="G724" s="219" t="str">
        <f t="array" ref="G724">INDEX(postDEL!$A$2:$P799,$O724,11)</f>
        <v>Negative</v>
      </c>
      <c r="H724" s="219" t="str">
        <f t="array" ref="H724">INDEX(postDEL!$A$2:$AL799,$O724,37)</f>
        <v>Negative</v>
      </c>
      <c r="I724" s="217">
        <f t="array" ref="I724">INDEX(postDEL!$A$2:$AL799,$O724,12)</f>
        <v>44629</v>
      </c>
      <c r="J724" s="218">
        <f t="array" ref="J724">INDEX(postDEL!$A$2:$AL799,$O724,13)</f>
        <v>0.4994560185</v>
      </c>
      <c r="K724" s="219" t="str">
        <f t="array" ref="K724">INDEX(postDEL!$A$2:$AL799,$O724,36)</f>
        <v/>
      </c>
      <c r="L724" s="219" t="str">
        <f t="array" ref="L724">INDEX(postDEL!$A$2:$AL799,$O724,38)</f>
        <v/>
      </c>
      <c r="M724" s="219" t="str">
        <f t="array" ref="M724">INDEX(postDEL!$A$2:$AL799,$O724,15)</f>
        <v/>
      </c>
      <c r="N724" s="110">
        <f>COUNTIF(postDEL!$A$2:$A799,A724)</f>
        <v>1</v>
      </c>
      <c r="O724" s="19">
        <f>MATCH(A724,postDEL!A$2:A799,0)</f>
        <v>723</v>
      </c>
      <c r="P724" s="10" t="str">
        <f t="shared" si="1"/>
        <v/>
      </c>
      <c r="Q724" s="220">
        <f t="shared" si="2"/>
        <v>0</v>
      </c>
      <c r="R724" s="5"/>
    </row>
    <row r="725">
      <c r="A725" s="221" t="s">
        <v>2080</v>
      </c>
      <c r="B725" s="217">
        <f t="array" ref="B725">INDEX(postDEL!$A$2:$P799,$O725,2)</f>
        <v>44629</v>
      </c>
      <c r="C725" s="218">
        <f t="array" ref="C725">INDEX(postDEL!$A$2:$P799,$O725,3)</f>
        <v>0.3370949074</v>
      </c>
      <c r="D725" s="219" t="str">
        <f t="array" ref="D725">INDEX(postDEL!$A$2:$AN799,$O725,39)</f>
        <v>SpBEND643855</v>
      </c>
      <c r="E725" s="219" t="str">
        <f t="array" ref="E725">INDEX(postDEL!$A$2:$P799,$O725,4)</f>
        <v/>
      </c>
      <c r="F725" s="219" t="str">
        <f t="array" ref="F725">INDEX(postDEL!$A$2:$P799,$O725,5)</f>
        <v/>
      </c>
      <c r="G725" s="219" t="str">
        <f t="array" ref="G725">INDEX(postDEL!$A$2:$P799,$O725,11)</f>
        <v>Negative</v>
      </c>
      <c r="H725" s="219" t="str">
        <f t="array" ref="H725">INDEX(postDEL!$A$2:$AL799,$O725,37)</f>
        <v>Negative</v>
      </c>
      <c r="I725" s="217">
        <f t="array" ref="I725">INDEX(postDEL!$A$2:$AL799,$O725,12)</f>
        <v>44629</v>
      </c>
      <c r="J725" s="218">
        <f t="array" ref="J725">INDEX(postDEL!$A$2:$AL799,$O725,13)</f>
        <v>0.4994560185</v>
      </c>
      <c r="K725" s="219" t="str">
        <f t="array" ref="K725">INDEX(postDEL!$A$2:$AL799,$O725,36)</f>
        <v/>
      </c>
      <c r="L725" s="219" t="str">
        <f t="array" ref="L725">INDEX(postDEL!$A$2:$AL799,$O725,38)</f>
        <v/>
      </c>
      <c r="M725" s="219" t="str">
        <f t="array" ref="M725">INDEX(postDEL!$A$2:$AL799,$O725,15)</f>
        <v/>
      </c>
      <c r="N725" s="110">
        <f>COUNTIF(postDEL!$A$2:$A799,A725)</f>
        <v>1</v>
      </c>
      <c r="O725" s="19">
        <f>MATCH(A725,postDEL!A$2:A799,0)</f>
        <v>724</v>
      </c>
      <c r="P725" s="10" t="str">
        <f t="shared" si="1"/>
        <v/>
      </c>
      <c r="Q725" s="220">
        <f t="shared" si="2"/>
        <v>0</v>
      </c>
      <c r="R725" s="5"/>
    </row>
    <row r="726">
      <c r="A726" s="221" t="s">
        <v>2082</v>
      </c>
      <c r="B726" s="217">
        <f t="array" ref="B726">INDEX(postDEL!$A$2:$P799,$O726,2)</f>
        <v>44629</v>
      </c>
      <c r="C726" s="218">
        <f t="array" ref="C726">INDEX(postDEL!$A$2:$P799,$O726,3)</f>
        <v>0.4018287037</v>
      </c>
      <c r="D726" s="219" t="str">
        <f t="array" ref="D726">INDEX(postDEL!$A$2:$AN799,$O726,39)</f>
        <v>SpBEND425753</v>
      </c>
      <c r="E726" s="219" t="str">
        <f t="array" ref="E726">INDEX(postDEL!$A$2:$P799,$O726,4)</f>
        <v/>
      </c>
      <c r="F726" s="219" t="str">
        <f t="array" ref="F726">INDEX(postDEL!$A$2:$P799,$O726,5)</f>
        <v/>
      </c>
      <c r="G726" s="219" t="str">
        <f t="array" ref="G726">INDEX(postDEL!$A$2:$P799,$O726,11)</f>
        <v>Negative</v>
      </c>
      <c r="H726" s="219" t="str">
        <f t="array" ref="H726">INDEX(postDEL!$A$2:$AL799,$O726,37)</f>
        <v>Negative</v>
      </c>
      <c r="I726" s="217">
        <f t="array" ref="I726">INDEX(postDEL!$A$2:$AL799,$O726,12)</f>
        <v>44629</v>
      </c>
      <c r="J726" s="218">
        <f t="array" ref="J726">INDEX(postDEL!$A$2:$AL799,$O726,13)</f>
        <v>0.4994560185</v>
      </c>
      <c r="K726" s="219" t="str">
        <f t="array" ref="K726">INDEX(postDEL!$A$2:$AL799,$O726,36)</f>
        <v/>
      </c>
      <c r="L726" s="219" t="str">
        <f t="array" ref="L726">INDEX(postDEL!$A$2:$AL799,$O726,38)</f>
        <v/>
      </c>
      <c r="M726" s="219" t="str">
        <f t="array" ref="M726">INDEX(postDEL!$A$2:$AL799,$O726,15)</f>
        <v/>
      </c>
      <c r="N726" s="110">
        <f>COUNTIF(postDEL!$A$2:$A799,A726)</f>
        <v>1</v>
      </c>
      <c r="O726" s="19">
        <f>MATCH(A726,postDEL!A$2:A799,0)</f>
        <v>725</v>
      </c>
      <c r="P726" s="10" t="str">
        <f t="shared" si="1"/>
        <v/>
      </c>
      <c r="Q726" s="220">
        <f t="shared" si="2"/>
        <v>0</v>
      </c>
      <c r="R726" s="5"/>
    </row>
    <row r="727">
      <c r="A727" s="221" t="s">
        <v>2084</v>
      </c>
      <c r="B727" s="217">
        <f t="array" ref="B727">INDEX(postDEL!$A$2:$P799,$O727,2)</f>
        <v>44629</v>
      </c>
      <c r="C727" s="218">
        <f t="array" ref="C727">INDEX(postDEL!$A$2:$P799,$O727,3)</f>
        <v>0.4059606481</v>
      </c>
      <c r="D727" s="219" t="str">
        <f t="array" ref="D727">INDEX(postDEL!$A$2:$AN799,$O727,39)</f>
        <v>SpBEND183210</v>
      </c>
      <c r="E727" s="219" t="str">
        <f t="array" ref="E727">INDEX(postDEL!$A$2:$P799,$O727,4)</f>
        <v/>
      </c>
      <c r="F727" s="219" t="str">
        <f t="array" ref="F727">INDEX(postDEL!$A$2:$P799,$O727,5)</f>
        <v/>
      </c>
      <c r="G727" s="219" t="str">
        <f t="array" ref="G727">INDEX(postDEL!$A$2:$P799,$O727,11)</f>
        <v>Negative</v>
      </c>
      <c r="H727" s="219" t="str">
        <f t="array" ref="H727">INDEX(postDEL!$A$2:$AL799,$O727,37)</f>
        <v>Negative</v>
      </c>
      <c r="I727" s="217">
        <f t="array" ref="I727">INDEX(postDEL!$A$2:$AL799,$O727,12)</f>
        <v>44629</v>
      </c>
      <c r="J727" s="218">
        <f t="array" ref="J727">INDEX(postDEL!$A$2:$AL799,$O727,13)</f>
        <v>0.4994560185</v>
      </c>
      <c r="K727" s="219" t="str">
        <f t="array" ref="K727">INDEX(postDEL!$A$2:$AL799,$O727,36)</f>
        <v/>
      </c>
      <c r="L727" s="219" t="str">
        <f t="array" ref="L727">INDEX(postDEL!$A$2:$AL799,$O727,38)</f>
        <v/>
      </c>
      <c r="M727" s="219" t="str">
        <f t="array" ref="M727">INDEX(postDEL!$A$2:$AL799,$O727,15)</f>
        <v/>
      </c>
      <c r="N727" s="110">
        <f>COUNTIF(postDEL!$A$2:$A799,A727)</f>
        <v>1</v>
      </c>
      <c r="O727" s="19">
        <f>MATCH(A727,postDEL!A$2:A799,0)</f>
        <v>726</v>
      </c>
      <c r="P727" s="10" t="str">
        <f t="shared" si="1"/>
        <v/>
      </c>
      <c r="Q727" s="220">
        <f t="shared" si="2"/>
        <v>0</v>
      </c>
      <c r="R727" s="5"/>
    </row>
    <row r="728">
      <c r="A728" s="221" t="s">
        <v>2086</v>
      </c>
      <c r="B728" s="217">
        <f t="array" ref="B728">INDEX(postDEL!$A$2:$P799,$O728,2)</f>
        <v>44629</v>
      </c>
      <c r="C728" s="218">
        <f t="array" ref="C728">INDEX(postDEL!$A$2:$P799,$O728,3)</f>
        <v>0.407349537</v>
      </c>
      <c r="D728" s="219" t="str">
        <f t="array" ref="D728">INDEX(postDEL!$A$2:$AN799,$O728,39)</f>
        <v>SpBEND587584</v>
      </c>
      <c r="E728" s="219" t="str">
        <f t="array" ref="E728">INDEX(postDEL!$A$2:$P799,$O728,4)</f>
        <v/>
      </c>
      <c r="F728" s="219" t="str">
        <f t="array" ref="F728">INDEX(postDEL!$A$2:$P799,$O728,5)</f>
        <v/>
      </c>
      <c r="G728" s="219" t="str">
        <f t="array" ref="G728">INDEX(postDEL!$A$2:$P799,$O728,11)</f>
        <v>Null</v>
      </c>
      <c r="H728" s="219" t="str">
        <f t="array" ref="H728">INDEX(postDEL!$A$2:$AL799,$O728,37)</f>
        <v>Negative</v>
      </c>
      <c r="I728" s="217">
        <f t="array" ref="I728">INDEX(postDEL!$A$2:$AL799,$O728,12)</f>
        <v>44861</v>
      </c>
      <c r="J728" s="218">
        <f t="array" ref="J728">INDEX(postDEL!$A$2:$AL799,$O728,13)</f>
        <v>0.4895023148</v>
      </c>
      <c r="K728" s="219">
        <f t="array" ref="K728">INDEX(postDEL!$A$2:$AL799,$O728,36)</f>
        <v>2</v>
      </c>
      <c r="L728" s="219" t="str">
        <f t="array" ref="L728">INDEX(postDEL!$A$2:$AL799,$O728,38)</f>
        <v/>
      </c>
      <c r="M728" s="219" t="str">
        <f t="array" ref="M728">INDEX(postDEL!$A$2:$AL799,$O728,15)</f>
        <v/>
      </c>
      <c r="N728" s="110">
        <f>COUNTIF(postDEL!$A$2:$A799,A728)</f>
        <v>1</v>
      </c>
      <c r="O728" s="19">
        <f>MATCH(A728,postDEL!A$2:A799,0)</f>
        <v>727</v>
      </c>
      <c r="P728" s="10" t="str">
        <f t="shared" si="1"/>
        <v/>
      </c>
      <c r="Q728" s="220">
        <f t="shared" si="2"/>
        <v>232</v>
      </c>
      <c r="R728" s="5"/>
    </row>
    <row r="729">
      <c r="A729" s="221" t="s">
        <v>2088</v>
      </c>
      <c r="B729" s="217">
        <f t="array" ref="B729">INDEX(postDEL!$A$2:$P799,$O729,2)</f>
        <v>44629</v>
      </c>
      <c r="C729" s="218">
        <f t="array" ref="C729">INDEX(postDEL!$A$2:$P799,$O729,3)</f>
        <v>0.4893287037</v>
      </c>
      <c r="D729" s="219" t="str">
        <f t="array" ref="D729">INDEX(postDEL!$A$2:$AN799,$O729,39)</f>
        <v>SpBEND394154</v>
      </c>
      <c r="E729" s="219" t="str">
        <f t="array" ref="E729">INDEX(postDEL!$A$2:$P799,$O729,4)</f>
        <v/>
      </c>
      <c r="F729" s="219" t="str">
        <f t="array" ref="F729">INDEX(postDEL!$A$2:$P799,$O729,5)</f>
        <v/>
      </c>
      <c r="G729" s="219" t="str">
        <f t="array" ref="G729">INDEX(postDEL!$A$2:$P799,$O729,11)</f>
        <v>Negative</v>
      </c>
      <c r="H729" s="219" t="str">
        <f t="array" ref="H729">INDEX(postDEL!$A$2:$AL799,$O729,37)</f>
        <v>Negative</v>
      </c>
      <c r="I729" s="217">
        <f t="array" ref="I729">INDEX(postDEL!$A$2:$AL799,$O729,12)</f>
        <v>44629</v>
      </c>
      <c r="J729" s="218">
        <f t="array" ref="J729">INDEX(postDEL!$A$2:$AL799,$O729,13)</f>
        <v>0.4994560185</v>
      </c>
      <c r="K729" s="219" t="str">
        <f t="array" ref="K729">INDEX(postDEL!$A$2:$AL799,$O729,36)</f>
        <v/>
      </c>
      <c r="L729" s="219" t="str">
        <f t="array" ref="L729">INDEX(postDEL!$A$2:$AL799,$O729,38)</f>
        <v/>
      </c>
      <c r="M729" s="219" t="str">
        <f t="array" ref="M729">INDEX(postDEL!$A$2:$AL799,$O729,15)</f>
        <v/>
      </c>
      <c r="N729" s="110">
        <f>COUNTIF(postDEL!$A$2:$A799,A729)</f>
        <v>1</v>
      </c>
      <c r="O729" s="19">
        <f>MATCH(A729,postDEL!A$2:A799,0)</f>
        <v>728</v>
      </c>
      <c r="P729" s="10" t="str">
        <f t="shared" si="1"/>
        <v/>
      </c>
      <c r="Q729" s="220">
        <f t="shared" si="2"/>
        <v>0</v>
      </c>
      <c r="R729" s="5"/>
    </row>
    <row r="730">
      <c r="A730" s="221" t="s">
        <v>2090</v>
      </c>
      <c r="B730" s="217">
        <f t="array" ref="B730">INDEX(postDEL!$A$2:$P799,$O730,2)</f>
        <v>44629</v>
      </c>
      <c r="C730" s="218">
        <f t="array" ref="C730">INDEX(postDEL!$A$2:$P799,$O730,3)</f>
        <v>0.4899074074</v>
      </c>
      <c r="D730" s="219" t="str">
        <f t="array" ref="D730">INDEX(postDEL!$A$2:$AN799,$O730,39)</f>
        <v>SpBEND394154</v>
      </c>
      <c r="E730" s="219" t="str">
        <f t="array" ref="E730">INDEX(postDEL!$A$2:$P799,$O730,4)</f>
        <v/>
      </c>
      <c r="F730" s="219" t="str">
        <f t="array" ref="F730">INDEX(postDEL!$A$2:$P799,$O730,5)</f>
        <v/>
      </c>
      <c r="G730" s="219" t="str">
        <f t="array" ref="G730">INDEX(postDEL!$A$2:$P799,$O730,11)</f>
        <v>Negative</v>
      </c>
      <c r="H730" s="219" t="str">
        <f t="array" ref="H730">INDEX(postDEL!$A$2:$AL799,$O730,37)</f>
        <v>Negative</v>
      </c>
      <c r="I730" s="217">
        <f t="array" ref="I730">INDEX(postDEL!$A$2:$AL799,$O730,12)</f>
        <v>44629</v>
      </c>
      <c r="J730" s="218">
        <f t="array" ref="J730">INDEX(postDEL!$A$2:$AL799,$O730,13)</f>
        <v>0.4994560185</v>
      </c>
      <c r="K730" s="219" t="str">
        <f t="array" ref="K730">INDEX(postDEL!$A$2:$AL799,$O730,36)</f>
        <v/>
      </c>
      <c r="L730" s="219" t="str">
        <f t="array" ref="L730">INDEX(postDEL!$A$2:$AL799,$O730,38)</f>
        <v/>
      </c>
      <c r="M730" s="219" t="str">
        <f t="array" ref="M730">INDEX(postDEL!$A$2:$AL799,$O730,15)</f>
        <v/>
      </c>
      <c r="N730" s="110">
        <f>COUNTIF(postDEL!$A$2:$A799,A730)</f>
        <v>1</v>
      </c>
      <c r="O730" s="19">
        <f>MATCH(A730,postDEL!A$2:A799,0)</f>
        <v>729</v>
      </c>
      <c r="P730" s="10" t="str">
        <f t="shared" si="1"/>
        <v/>
      </c>
      <c r="Q730" s="220">
        <f t="shared" si="2"/>
        <v>0</v>
      </c>
      <c r="R730" s="5"/>
    </row>
    <row r="731">
      <c r="A731" s="221" t="s">
        <v>2092</v>
      </c>
      <c r="B731" s="217">
        <f t="array" ref="B731">INDEX(postDEL!$A$2:$P799,$O731,2)</f>
        <v>44631</v>
      </c>
      <c r="C731" s="218">
        <f t="array" ref="C731">INDEX(postDEL!$A$2:$P799,$O731,3)</f>
        <v>0.2678009259</v>
      </c>
      <c r="D731" s="219" t="str">
        <f t="array" ref="D731">INDEX(postDEL!$A$2:$AN799,$O731,39)</f>
        <v>SpBEND302553</v>
      </c>
      <c r="E731" s="219" t="str">
        <f t="array" ref="E731">INDEX(postDEL!$A$2:$P799,$O731,4)</f>
        <v/>
      </c>
      <c r="F731" s="219" t="str">
        <f t="array" ref="F731">INDEX(postDEL!$A$2:$P799,$O731,5)</f>
        <v/>
      </c>
      <c r="G731" s="219" t="str">
        <f t="array" ref="G731">INDEX(postDEL!$A$2:$P799,$O731,11)</f>
        <v>Negative</v>
      </c>
      <c r="H731" s="219" t="str">
        <f t="array" ref="H731">INDEX(postDEL!$A$2:$AL799,$O731,37)</f>
        <v>Negative</v>
      </c>
      <c r="I731" s="217">
        <f t="array" ref="I731">INDEX(postDEL!$A$2:$AL799,$O731,12)</f>
        <v>44631</v>
      </c>
      <c r="J731" s="218">
        <f t="array" ref="J731">INDEX(postDEL!$A$2:$AL799,$O731,13)</f>
        <v>0.4860763889</v>
      </c>
      <c r="K731" s="219" t="str">
        <f t="array" ref="K731">INDEX(postDEL!$A$2:$AL799,$O731,36)</f>
        <v/>
      </c>
      <c r="L731" s="219" t="str">
        <f t="array" ref="L731">INDEX(postDEL!$A$2:$AL799,$O731,38)</f>
        <v/>
      </c>
      <c r="M731" s="219" t="str">
        <f t="array" ref="M731">INDEX(postDEL!$A$2:$AL799,$O731,15)</f>
        <v/>
      </c>
      <c r="N731" s="110">
        <f>COUNTIF(postDEL!$A$2:$A799,A731)</f>
        <v>1</v>
      </c>
      <c r="O731" s="19">
        <f>MATCH(A731,postDEL!A$2:A799,0)</f>
        <v>730</v>
      </c>
      <c r="P731" s="10" t="b">
        <f t="shared" si="1"/>
        <v>1</v>
      </c>
      <c r="Q731" s="220">
        <f t="shared" si="2"/>
        <v>0</v>
      </c>
      <c r="R731" s="5"/>
    </row>
    <row r="732">
      <c r="A732" s="221" t="s">
        <v>2094</v>
      </c>
      <c r="B732" s="217">
        <f t="array" ref="B732">INDEX(postDEL!$A$2:$P799,$O732,2)</f>
        <v>44631</v>
      </c>
      <c r="C732" s="218">
        <f t="array" ref="C732">INDEX(postDEL!$A$2:$P799,$O732,3)</f>
        <v>0.2694328704</v>
      </c>
      <c r="D732" s="219" t="str">
        <f t="array" ref="D732">INDEX(postDEL!$A$2:$AN799,$O732,39)</f>
        <v>SpBEND302553</v>
      </c>
      <c r="E732" s="219" t="str">
        <f t="array" ref="E732">INDEX(postDEL!$A$2:$P799,$O732,4)</f>
        <v/>
      </c>
      <c r="F732" s="219" t="str">
        <f t="array" ref="F732">INDEX(postDEL!$A$2:$P799,$O732,5)</f>
        <v/>
      </c>
      <c r="G732" s="219" t="str">
        <f t="array" ref="G732">INDEX(postDEL!$A$2:$P799,$O732,11)</f>
        <v>Negative</v>
      </c>
      <c r="H732" s="219" t="str">
        <f t="array" ref="H732">INDEX(postDEL!$A$2:$AL799,$O732,37)</f>
        <v>Negative</v>
      </c>
      <c r="I732" s="217">
        <f t="array" ref="I732">INDEX(postDEL!$A$2:$AL799,$O732,12)</f>
        <v>44631</v>
      </c>
      <c r="J732" s="218">
        <f t="array" ref="J732">INDEX(postDEL!$A$2:$AL799,$O732,13)</f>
        <v>0.4860763889</v>
      </c>
      <c r="K732" s="219" t="str">
        <f t="array" ref="K732">INDEX(postDEL!$A$2:$AL799,$O732,36)</f>
        <v/>
      </c>
      <c r="L732" s="219" t="str">
        <f t="array" ref="L732">INDEX(postDEL!$A$2:$AL799,$O732,38)</f>
        <v/>
      </c>
      <c r="M732" s="219" t="str">
        <f t="array" ref="M732">INDEX(postDEL!$A$2:$AL799,$O732,15)</f>
        <v/>
      </c>
      <c r="N732" s="110">
        <f>COUNTIF(postDEL!$A$2:$A799,A732)</f>
        <v>1</v>
      </c>
      <c r="O732" s="19">
        <f>MATCH(A732,postDEL!A$2:A799,0)</f>
        <v>731</v>
      </c>
      <c r="P732" s="10" t="str">
        <f t="shared" si="1"/>
        <v/>
      </c>
      <c r="Q732" s="220">
        <f t="shared" si="2"/>
        <v>0</v>
      </c>
      <c r="R732" s="5"/>
    </row>
    <row r="733">
      <c r="A733" s="221" t="s">
        <v>2097</v>
      </c>
      <c r="B733" s="217">
        <f t="array" ref="B733">INDEX(postDEL!$A$2:$P799,$O733,2)</f>
        <v>44631</v>
      </c>
      <c r="C733" s="218">
        <f t="array" ref="C733">INDEX(postDEL!$A$2:$P799,$O733,3)</f>
        <v>0.2769097222</v>
      </c>
      <c r="D733" s="219" t="str">
        <f t="array" ref="D733">INDEX(postDEL!$A$2:$AN799,$O733,39)</f>
        <v>SpBEND670368</v>
      </c>
      <c r="E733" s="219" t="str">
        <f t="array" ref="E733">INDEX(postDEL!$A$2:$P799,$O733,4)</f>
        <v/>
      </c>
      <c r="F733" s="219" t="str">
        <f t="array" ref="F733">INDEX(postDEL!$A$2:$P799,$O733,5)</f>
        <v/>
      </c>
      <c r="G733" s="219" t="str">
        <f t="array" ref="G733">INDEX(postDEL!$A$2:$P799,$O733,11)</f>
        <v>Negative</v>
      </c>
      <c r="H733" s="219" t="str">
        <f t="array" ref="H733">INDEX(postDEL!$A$2:$AL799,$O733,37)</f>
        <v>Negative</v>
      </c>
      <c r="I733" s="217">
        <f t="array" ref="I733">INDEX(postDEL!$A$2:$AL799,$O733,12)</f>
        <v>44631</v>
      </c>
      <c r="J733" s="218">
        <f t="array" ref="J733">INDEX(postDEL!$A$2:$AL799,$O733,13)</f>
        <v>0.4860763889</v>
      </c>
      <c r="K733" s="219" t="str">
        <f t="array" ref="K733">INDEX(postDEL!$A$2:$AL799,$O733,36)</f>
        <v/>
      </c>
      <c r="L733" s="219" t="str">
        <f t="array" ref="L733">INDEX(postDEL!$A$2:$AL799,$O733,38)</f>
        <v/>
      </c>
      <c r="M733" s="219" t="str">
        <f t="array" ref="M733">INDEX(postDEL!$A$2:$AL799,$O733,15)</f>
        <v/>
      </c>
      <c r="N733" s="110">
        <f>COUNTIF(postDEL!$A$2:$A799,A733)</f>
        <v>1</v>
      </c>
      <c r="O733" s="19">
        <f>MATCH(A733,postDEL!A$2:A799,0)</f>
        <v>732</v>
      </c>
      <c r="P733" s="10" t="str">
        <f t="shared" si="1"/>
        <v/>
      </c>
      <c r="Q733" s="220">
        <f t="shared" si="2"/>
        <v>0</v>
      </c>
      <c r="R733" s="5"/>
    </row>
    <row r="734">
      <c r="A734" s="221" t="s">
        <v>2099</v>
      </c>
      <c r="B734" s="217">
        <f t="array" ref="B734">INDEX(postDEL!$A$2:$P799,$O734,2)</f>
        <v>44631</v>
      </c>
      <c r="C734" s="218">
        <f t="array" ref="C734">INDEX(postDEL!$A$2:$P799,$O734,3)</f>
        <v>0.287662037</v>
      </c>
      <c r="D734" s="219" t="str">
        <f t="array" ref="D734">INDEX(postDEL!$A$2:$AN799,$O734,39)</f>
        <v>SpBEND321883</v>
      </c>
      <c r="E734" s="219" t="str">
        <f t="array" ref="E734">INDEX(postDEL!$A$2:$P799,$O734,4)</f>
        <v/>
      </c>
      <c r="F734" s="219" t="str">
        <f t="array" ref="F734">INDEX(postDEL!$A$2:$P799,$O734,5)</f>
        <v/>
      </c>
      <c r="G734" s="219" t="str">
        <f t="array" ref="G734">INDEX(postDEL!$A$2:$P799,$O734,11)</f>
        <v>Negative</v>
      </c>
      <c r="H734" s="219" t="str">
        <f t="array" ref="H734">INDEX(postDEL!$A$2:$AL799,$O734,37)</f>
        <v>Negative</v>
      </c>
      <c r="I734" s="217">
        <f t="array" ref="I734">INDEX(postDEL!$A$2:$AL799,$O734,12)</f>
        <v>44631</v>
      </c>
      <c r="J734" s="218">
        <f t="array" ref="J734">INDEX(postDEL!$A$2:$AL799,$O734,13)</f>
        <v>0.4860763889</v>
      </c>
      <c r="K734" s="219" t="str">
        <f t="array" ref="K734">INDEX(postDEL!$A$2:$AL799,$O734,36)</f>
        <v/>
      </c>
      <c r="L734" s="219" t="str">
        <f t="array" ref="L734">INDEX(postDEL!$A$2:$AL799,$O734,38)</f>
        <v/>
      </c>
      <c r="M734" s="219" t="str">
        <f t="array" ref="M734">INDEX(postDEL!$A$2:$AL799,$O734,15)</f>
        <v/>
      </c>
      <c r="N734" s="110">
        <f>COUNTIF(postDEL!$A$2:$A799,A734)</f>
        <v>1</v>
      </c>
      <c r="O734" s="19">
        <f>MATCH(A734,postDEL!A$2:A799,0)</f>
        <v>733</v>
      </c>
      <c r="P734" s="10" t="str">
        <f t="shared" si="1"/>
        <v/>
      </c>
      <c r="Q734" s="220">
        <f t="shared" si="2"/>
        <v>0</v>
      </c>
      <c r="R734" s="5"/>
    </row>
    <row r="735">
      <c r="A735" s="221" t="s">
        <v>2101</v>
      </c>
      <c r="B735" s="217">
        <f t="array" ref="B735">INDEX(postDEL!$A$2:$P799,$O735,2)</f>
        <v>44631</v>
      </c>
      <c r="C735" s="218">
        <f t="array" ref="C735">INDEX(postDEL!$A$2:$P799,$O735,3)</f>
        <v>0.2908101852</v>
      </c>
      <c r="D735" s="219" t="str">
        <f t="array" ref="D735">INDEX(postDEL!$A$2:$AN799,$O735,39)</f>
        <v>SpBEND845568</v>
      </c>
      <c r="E735" s="219" t="str">
        <f t="array" ref="E735">INDEX(postDEL!$A$2:$P799,$O735,4)</f>
        <v/>
      </c>
      <c r="F735" s="219" t="str">
        <f t="array" ref="F735">INDEX(postDEL!$A$2:$P799,$O735,5)</f>
        <v/>
      </c>
      <c r="G735" s="219" t="str">
        <f t="array" ref="G735">INDEX(postDEL!$A$2:$P799,$O735,11)</f>
        <v>Negative</v>
      </c>
      <c r="H735" s="219" t="str">
        <f t="array" ref="H735">INDEX(postDEL!$A$2:$AL799,$O735,37)</f>
        <v>Negative</v>
      </c>
      <c r="I735" s="217">
        <f t="array" ref="I735">INDEX(postDEL!$A$2:$AL799,$O735,12)</f>
        <v>44631</v>
      </c>
      <c r="J735" s="218">
        <f t="array" ref="J735">INDEX(postDEL!$A$2:$AL799,$O735,13)</f>
        <v>0.4860763889</v>
      </c>
      <c r="K735" s="219" t="str">
        <f t="array" ref="K735">INDEX(postDEL!$A$2:$AL799,$O735,36)</f>
        <v/>
      </c>
      <c r="L735" s="219" t="str">
        <f t="array" ref="L735">INDEX(postDEL!$A$2:$AL799,$O735,38)</f>
        <v/>
      </c>
      <c r="M735" s="219" t="str">
        <f t="array" ref="M735">INDEX(postDEL!$A$2:$AL799,$O735,15)</f>
        <v/>
      </c>
      <c r="N735" s="110">
        <f>COUNTIF(postDEL!$A$2:$A799,A735)</f>
        <v>1</v>
      </c>
      <c r="O735" s="19">
        <f>MATCH(A735,postDEL!A$2:A799,0)</f>
        <v>734</v>
      </c>
      <c r="P735" s="10" t="str">
        <f t="shared" si="1"/>
        <v/>
      </c>
      <c r="Q735" s="220">
        <f t="shared" si="2"/>
        <v>0</v>
      </c>
      <c r="R735" s="5"/>
    </row>
    <row r="736">
      <c r="A736" s="221" t="s">
        <v>2103</v>
      </c>
      <c r="B736" s="217">
        <f t="array" ref="B736">INDEX(postDEL!$A$2:$P799,$O736,2)</f>
        <v>44631</v>
      </c>
      <c r="C736" s="218">
        <f t="array" ref="C736">INDEX(postDEL!$A$2:$P799,$O736,3)</f>
        <v>0.2971875</v>
      </c>
      <c r="D736" s="219" t="str">
        <f t="array" ref="D736">INDEX(postDEL!$A$2:$AN799,$O736,39)</f>
        <v>SpBEND815974</v>
      </c>
      <c r="E736" s="219" t="str">
        <f t="array" ref="E736">INDEX(postDEL!$A$2:$P799,$O736,4)</f>
        <v/>
      </c>
      <c r="F736" s="219" t="str">
        <f t="array" ref="F736">INDEX(postDEL!$A$2:$P799,$O736,5)</f>
        <v/>
      </c>
      <c r="G736" s="219" t="str">
        <f t="array" ref="G736">INDEX(postDEL!$A$2:$P799,$O736,11)</f>
        <v>Negative</v>
      </c>
      <c r="H736" s="219" t="str">
        <f t="array" ref="H736">INDEX(postDEL!$A$2:$AL799,$O736,37)</f>
        <v>Negative</v>
      </c>
      <c r="I736" s="217">
        <f t="array" ref="I736">INDEX(postDEL!$A$2:$AL799,$O736,12)</f>
        <v>44631</v>
      </c>
      <c r="J736" s="218">
        <f t="array" ref="J736">INDEX(postDEL!$A$2:$AL799,$O736,13)</f>
        <v>0.486087963</v>
      </c>
      <c r="K736" s="219" t="str">
        <f t="array" ref="K736">INDEX(postDEL!$A$2:$AL799,$O736,36)</f>
        <v/>
      </c>
      <c r="L736" s="219" t="str">
        <f t="array" ref="L736">INDEX(postDEL!$A$2:$AL799,$O736,38)</f>
        <v/>
      </c>
      <c r="M736" s="219" t="str">
        <f t="array" ref="M736">INDEX(postDEL!$A$2:$AL799,$O736,15)</f>
        <v/>
      </c>
      <c r="N736" s="110">
        <f>COUNTIF(postDEL!$A$2:$A799,A736)</f>
        <v>1</v>
      </c>
      <c r="O736" s="19">
        <f>MATCH(A736,postDEL!A$2:A799,0)</f>
        <v>735</v>
      </c>
      <c r="P736" s="10" t="str">
        <f t="shared" si="1"/>
        <v/>
      </c>
      <c r="Q736" s="220">
        <f t="shared" si="2"/>
        <v>0</v>
      </c>
      <c r="R736" s="5"/>
    </row>
    <row r="737">
      <c r="A737" s="221" t="s">
        <v>2105</v>
      </c>
      <c r="B737" s="217">
        <f t="array" ref="B737">INDEX(postDEL!$A$2:$P799,$O737,2)</f>
        <v>44631</v>
      </c>
      <c r="C737" s="218">
        <f t="array" ref="C737">INDEX(postDEL!$A$2:$P799,$O737,3)</f>
        <v>0.3004166667</v>
      </c>
      <c r="D737" s="219" t="str">
        <f t="array" ref="D737">INDEX(postDEL!$A$2:$AN799,$O737,39)</f>
        <v>SpBEND734943</v>
      </c>
      <c r="E737" s="219" t="str">
        <f t="array" ref="E737">INDEX(postDEL!$A$2:$P799,$O737,4)</f>
        <v/>
      </c>
      <c r="F737" s="219" t="str">
        <f t="array" ref="F737">INDEX(postDEL!$A$2:$P799,$O737,5)</f>
        <v/>
      </c>
      <c r="G737" s="219" t="str">
        <f t="array" ref="G737">INDEX(postDEL!$A$2:$P799,$O737,11)</f>
        <v>Negative</v>
      </c>
      <c r="H737" s="219" t="str">
        <f t="array" ref="H737">INDEX(postDEL!$A$2:$AL799,$O737,37)</f>
        <v>Negative</v>
      </c>
      <c r="I737" s="217">
        <f t="array" ref="I737">INDEX(postDEL!$A$2:$AL799,$O737,12)</f>
        <v>44631</v>
      </c>
      <c r="J737" s="218">
        <f t="array" ref="J737">INDEX(postDEL!$A$2:$AL799,$O737,13)</f>
        <v>0.486087963</v>
      </c>
      <c r="K737" s="219" t="str">
        <f t="array" ref="K737">INDEX(postDEL!$A$2:$AL799,$O737,36)</f>
        <v/>
      </c>
      <c r="L737" s="219" t="str">
        <f t="array" ref="L737">INDEX(postDEL!$A$2:$AL799,$O737,38)</f>
        <v/>
      </c>
      <c r="M737" s="219" t="str">
        <f t="array" ref="M737">INDEX(postDEL!$A$2:$AL799,$O737,15)</f>
        <v/>
      </c>
      <c r="N737" s="110">
        <f>COUNTIF(postDEL!$A$2:$A799,A737)</f>
        <v>1</v>
      </c>
      <c r="O737" s="19">
        <f>MATCH(A737,postDEL!A$2:A799,0)</f>
        <v>736</v>
      </c>
      <c r="P737" s="10" t="str">
        <f t="shared" si="1"/>
        <v/>
      </c>
      <c r="Q737" s="220">
        <f t="shared" si="2"/>
        <v>0</v>
      </c>
      <c r="R737" s="5"/>
    </row>
    <row r="738">
      <c r="A738" s="221" t="s">
        <v>2107</v>
      </c>
      <c r="B738" s="217">
        <f t="array" ref="B738">INDEX(postDEL!$A$2:$P799,$O738,2)</f>
        <v>44631</v>
      </c>
      <c r="C738" s="218">
        <f t="array" ref="C738">INDEX(postDEL!$A$2:$P799,$O738,3)</f>
        <v>0.3006712963</v>
      </c>
      <c r="D738" s="219" t="str">
        <f t="array" ref="D738">INDEX(postDEL!$A$2:$AN799,$O738,39)</f>
        <v>SpBEND501019</v>
      </c>
      <c r="E738" s="219" t="str">
        <f t="array" ref="E738">INDEX(postDEL!$A$2:$P799,$O738,4)</f>
        <v/>
      </c>
      <c r="F738" s="219" t="str">
        <f t="array" ref="F738">INDEX(postDEL!$A$2:$P799,$O738,5)</f>
        <v/>
      </c>
      <c r="G738" s="219" t="str">
        <f t="array" ref="G738">INDEX(postDEL!$A$2:$P799,$O738,11)</f>
        <v>Negative</v>
      </c>
      <c r="H738" s="219" t="str">
        <f t="array" ref="H738">INDEX(postDEL!$A$2:$AL799,$O738,37)</f>
        <v>Negative</v>
      </c>
      <c r="I738" s="217">
        <f t="array" ref="I738">INDEX(postDEL!$A$2:$AL799,$O738,12)</f>
        <v>44631</v>
      </c>
      <c r="J738" s="218">
        <f t="array" ref="J738">INDEX(postDEL!$A$2:$AL799,$O738,13)</f>
        <v>0.486087963</v>
      </c>
      <c r="K738" s="219" t="str">
        <f t="array" ref="K738">INDEX(postDEL!$A$2:$AL799,$O738,36)</f>
        <v/>
      </c>
      <c r="L738" s="219" t="str">
        <f t="array" ref="L738">INDEX(postDEL!$A$2:$AL799,$O738,38)</f>
        <v/>
      </c>
      <c r="M738" s="219" t="str">
        <f t="array" ref="M738">INDEX(postDEL!$A$2:$AL799,$O738,15)</f>
        <v/>
      </c>
      <c r="N738" s="110">
        <f>COUNTIF(postDEL!$A$2:$A799,A738)</f>
        <v>1</v>
      </c>
      <c r="O738" s="19">
        <f>MATCH(A738,postDEL!A$2:A799,0)</f>
        <v>737</v>
      </c>
      <c r="P738" s="10" t="str">
        <f t="shared" si="1"/>
        <v/>
      </c>
      <c r="Q738" s="220">
        <f t="shared" si="2"/>
        <v>0</v>
      </c>
      <c r="R738" s="5"/>
    </row>
    <row r="739">
      <c r="A739" s="221" t="s">
        <v>2109</v>
      </c>
      <c r="B739" s="217">
        <f t="array" ref="B739">INDEX(postDEL!$A$2:$P799,$O739,2)</f>
        <v>44631</v>
      </c>
      <c r="C739" s="218">
        <f t="array" ref="C739">INDEX(postDEL!$A$2:$P799,$O739,3)</f>
        <v>0.3019444444</v>
      </c>
      <c r="D739" s="219" t="str">
        <f t="array" ref="D739">INDEX(postDEL!$A$2:$AN799,$O739,39)</f>
        <v>SpBEND435789</v>
      </c>
      <c r="E739" s="219" t="str">
        <f t="array" ref="E739">INDEX(postDEL!$A$2:$P799,$O739,4)</f>
        <v/>
      </c>
      <c r="F739" s="219" t="str">
        <f t="array" ref="F739">INDEX(postDEL!$A$2:$P799,$O739,5)</f>
        <v/>
      </c>
      <c r="G739" s="219" t="str">
        <f t="array" ref="G739">INDEX(postDEL!$A$2:$P799,$O739,11)</f>
        <v>Negative</v>
      </c>
      <c r="H739" s="219" t="str">
        <f t="array" ref="H739">INDEX(postDEL!$A$2:$AL799,$O739,37)</f>
        <v>Negative</v>
      </c>
      <c r="I739" s="217">
        <f t="array" ref="I739">INDEX(postDEL!$A$2:$AL799,$O739,12)</f>
        <v>44631</v>
      </c>
      <c r="J739" s="218">
        <f t="array" ref="J739">INDEX(postDEL!$A$2:$AL799,$O739,13)</f>
        <v>0.486087963</v>
      </c>
      <c r="K739" s="219" t="str">
        <f t="array" ref="K739">INDEX(postDEL!$A$2:$AL799,$O739,36)</f>
        <v/>
      </c>
      <c r="L739" s="219" t="str">
        <f t="array" ref="L739">INDEX(postDEL!$A$2:$AL799,$O739,38)</f>
        <v/>
      </c>
      <c r="M739" s="219" t="str">
        <f t="array" ref="M739">INDEX(postDEL!$A$2:$AL799,$O739,15)</f>
        <v/>
      </c>
      <c r="N739" s="110">
        <f>COUNTIF(postDEL!$A$2:$A799,A739)</f>
        <v>1</v>
      </c>
      <c r="O739" s="19">
        <f>MATCH(A739,postDEL!A$2:A799,0)</f>
        <v>738</v>
      </c>
      <c r="P739" s="10" t="str">
        <f t="shared" si="1"/>
        <v/>
      </c>
      <c r="Q739" s="220">
        <f t="shared" si="2"/>
        <v>0</v>
      </c>
      <c r="R739" s="5"/>
    </row>
    <row r="740">
      <c r="A740" s="221" t="s">
        <v>2111</v>
      </c>
      <c r="B740" s="217">
        <f t="array" ref="B740">INDEX(postDEL!$A$2:$P799,$O740,2)</f>
        <v>44631</v>
      </c>
      <c r="C740" s="218">
        <f t="array" ref="C740">INDEX(postDEL!$A$2:$P799,$O740,3)</f>
        <v>0.3019560185</v>
      </c>
      <c r="D740" s="219" t="str">
        <f t="array" ref="D740">INDEX(postDEL!$A$2:$AN799,$O740,39)</f>
        <v>SpBEND824412</v>
      </c>
      <c r="E740" s="219" t="str">
        <f t="array" ref="E740">INDEX(postDEL!$A$2:$P799,$O740,4)</f>
        <v/>
      </c>
      <c r="F740" s="219" t="str">
        <f t="array" ref="F740">INDEX(postDEL!$A$2:$P799,$O740,5)</f>
        <v/>
      </c>
      <c r="G740" s="219" t="str">
        <f t="array" ref="G740">INDEX(postDEL!$A$2:$P799,$O740,11)</f>
        <v>Negative</v>
      </c>
      <c r="H740" s="219" t="str">
        <f t="array" ref="H740">INDEX(postDEL!$A$2:$AL799,$O740,37)</f>
        <v>Negative</v>
      </c>
      <c r="I740" s="217">
        <f t="array" ref="I740">INDEX(postDEL!$A$2:$AL799,$O740,12)</f>
        <v>44631</v>
      </c>
      <c r="J740" s="218">
        <f t="array" ref="J740">INDEX(postDEL!$A$2:$AL799,$O740,13)</f>
        <v>0.486087963</v>
      </c>
      <c r="K740" s="219" t="str">
        <f t="array" ref="K740">INDEX(postDEL!$A$2:$AL799,$O740,36)</f>
        <v/>
      </c>
      <c r="L740" s="219" t="str">
        <f t="array" ref="L740">INDEX(postDEL!$A$2:$AL799,$O740,38)</f>
        <v/>
      </c>
      <c r="M740" s="219" t="str">
        <f t="array" ref="M740">INDEX(postDEL!$A$2:$AL799,$O740,15)</f>
        <v/>
      </c>
      <c r="N740" s="110">
        <f>COUNTIF(postDEL!$A$2:$A799,A740)</f>
        <v>1</v>
      </c>
      <c r="O740" s="19">
        <f>MATCH(A740,postDEL!A$2:A799,0)</f>
        <v>739</v>
      </c>
      <c r="P740" s="10" t="str">
        <f t="shared" si="1"/>
        <v/>
      </c>
      <c r="Q740" s="220">
        <f t="shared" si="2"/>
        <v>0</v>
      </c>
      <c r="R740" s="5"/>
    </row>
    <row r="741">
      <c r="A741" s="221" t="s">
        <v>2113</v>
      </c>
      <c r="B741" s="217">
        <f t="array" ref="B741">INDEX(postDEL!$A$2:$P799,$O741,2)</f>
        <v>44631</v>
      </c>
      <c r="C741" s="218">
        <f t="array" ref="C741">INDEX(postDEL!$A$2:$P799,$O741,3)</f>
        <v>0.3064467593</v>
      </c>
      <c r="D741" s="219" t="str">
        <f t="array" ref="D741">INDEX(postDEL!$A$2:$AN799,$O741,39)</f>
        <v>SpBEND842248</v>
      </c>
      <c r="E741" s="219" t="str">
        <f t="array" ref="E741">INDEX(postDEL!$A$2:$P799,$O741,4)</f>
        <v/>
      </c>
      <c r="F741" s="219" t="str">
        <f t="array" ref="F741">INDEX(postDEL!$A$2:$P799,$O741,5)</f>
        <v/>
      </c>
      <c r="G741" s="219" t="str">
        <f t="array" ref="G741">INDEX(postDEL!$A$2:$P799,$O741,11)</f>
        <v>Negative</v>
      </c>
      <c r="H741" s="219" t="str">
        <f t="array" ref="H741">INDEX(postDEL!$A$2:$AL799,$O741,37)</f>
        <v>Negative</v>
      </c>
      <c r="I741" s="217">
        <f t="array" ref="I741">INDEX(postDEL!$A$2:$AL799,$O741,12)</f>
        <v>44631</v>
      </c>
      <c r="J741" s="218">
        <f t="array" ref="J741">INDEX(postDEL!$A$2:$AL799,$O741,13)</f>
        <v>0.486087963</v>
      </c>
      <c r="K741" s="219" t="str">
        <f t="array" ref="K741">INDEX(postDEL!$A$2:$AL799,$O741,36)</f>
        <v/>
      </c>
      <c r="L741" s="219" t="str">
        <f t="array" ref="L741">INDEX(postDEL!$A$2:$AL799,$O741,38)</f>
        <v/>
      </c>
      <c r="M741" s="219" t="str">
        <f t="array" ref="M741">INDEX(postDEL!$A$2:$AL799,$O741,15)</f>
        <v/>
      </c>
      <c r="N741" s="110">
        <f>COUNTIF(postDEL!$A$2:$A799,A741)</f>
        <v>1</v>
      </c>
      <c r="O741" s="19">
        <f>MATCH(A741,postDEL!A$2:A799,0)</f>
        <v>740</v>
      </c>
      <c r="P741" s="10" t="str">
        <f t="shared" si="1"/>
        <v/>
      </c>
      <c r="Q741" s="220">
        <f t="shared" si="2"/>
        <v>0</v>
      </c>
      <c r="R741" s="5"/>
    </row>
    <row r="742">
      <c r="A742" s="221" t="s">
        <v>2115</v>
      </c>
      <c r="B742" s="217">
        <f t="array" ref="B742">INDEX(postDEL!$A$2:$P799,$O742,2)</f>
        <v>44631</v>
      </c>
      <c r="C742" s="218">
        <f t="array" ref="C742">INDEX(postDEL!$A$2:$P799,$O742,3)</f>
        <v>0.3066898148</v>
      </c>
      <c r="D742" s="219" t="str">
        <f t="array" ref="D742">INDEX(postDEL!$A$2:$AN799,$O742,39)</f>
        <v>SpBEND868438</v>
      </c>
      <c r="E742" s="219" t="str">
        <f t="array" ref="E742">INDEX(postDEL!$A$2:$P799,$O742,4)</f>
        <v/>
      </c>
      <c r="F742" s="219" t="str">
        <f t="array" ref="F742">INDEX(postDEL!$A$2:$P799,$O742,5)</f>
        <v/>
      </c>
      <c r="G742" s="219" t="str">
        <f t="array" ref="G742">INDEX(postDEL!$A$2:$P799,$O742,11)</f>
        <v>Negative</v>
      </c>
      <c r="H742" s="219" t="str">
        <f t="array" ref="H742">INDEX(postDEL!$A$2:$AL799,$O742,37)</f>
        <v>Negative</v>
      </c>
      <c r="I742" s="217">
        <f t="array" ref="I742">INDEX(postDEL!$A$2:$AL799,$O742,12)</f>
        <v>44631</v>
      </c>
      <c r="J742" s="218">
        <f t="array" ref="J742">INDEX(postDEL!$A$2:$AL799,$O742,13)</f>
        <v>0.486087963</v>
      </c>
      <c r="K742" s="219" t="str">
        <f t="array" ref="K742">INDEX(postDEL!$A$2:$AL799,$O742,36)</f>
        <v/>
      </c>
      <c r="L742" s="219" t="str">
        <f t="array" ref="L742">INDEX(postDEL!$A$2:$AL799,$O742,38)</f>
        <v/>
      </c>
      <c r="M742" s="219" t="str">
        <f t="array" ref="M742">INDEX(postDEL!$A$2:$AL799,$O742,15)</f>
        <v/>
      </c>
      <c r="N742" s="110">
        <f>COUNTIF(postDEL!$A$2:$A799,A742)</f>
        <v>1</v>
      </c>
      <c r="O742" s="19">
        <f>MATCH(A742,postDEL!A$2:A799,0)</f>
        <v>741</v>
      </c>
      <c r="P742" s="10" t="str">
        <f t="shared" si="1"/>
        <v/>
      </c>
      <c r="Q742" s="220">
        <f t="shared" si="2"/>
        <v>0</v>
      </c>
      <c r="R742" s="5"/>
    </row>
    <row r="743">
      <c r="A743" s="221" t="s">
        <v>2118</v>
      </c>
      <c r="B743" s="217">
        <f t="array" ref="B743">INDEX(postDEL!$A$2:$P799,$O743,2)</f>
        <v>44631</v>
      </c>
      <c r="C743" s="218">
        <f t="array" ref="C743">INDEX(postDEL!$A$2:$P799,$O743,3)</f>
        <v>0.3084953704</v>
      </c>
      <c r="D743" s="219" t="str">
        <f t="array" ref="D743">INDEX(postDEL!$A$2:$AN799,$O743,39)</f>
        <v>SpBEND904348</v>
      </c>
      <c r="E743" s="219" t="str">
        <f t="array" ref="E743">INDEX(postDEL!$A$2:$P799,$O743,4)</f>
        <v/>
      </c>
      <c r="F743" s="219" t="str">
        <f t="array" ref="F743">INDEX(postDEL!$A$2:$P799,$O743,5)</f>
        <v/>
      </c>
      <c r="G743" s="219" t="str">
        <f t="array" ref="G743">INDEX(postDEL!$A$2:$P799,$O743,11)</f>
        <v>Negative</v>
      </c>
      <c r="H743" s="219" t="str">
        <f t="array" ref="H743">INDEX(postDEL!$A$2:$AL799,$O743,37)</f>
        <v>Negative</v>
      </c>
      <c r="I743" s="217">
        <f t="array" ref="I743">INDEX(postDEL!$A$2:$AL799,$O743,12)</f>
        <v>44631</v>
      </c>
      <c r="J743" s="218">
        <f t="array" ref="J743">INDEX(postDEL!$A$2:$AL799,$O743,13)</f>
        <v>0.486087963</v>
      </c>
      <c r="K743" s="219" t="str">
        <f t="array" ref="K743">INDEX(postDEL!$A$2:$AL799,$O743,36)</f>
        <v/>
      </c>
      <c r="L743" s="219" t="str">
        <f t="array" ref="L743">INDEX(postDEL!$A$2:$AL799,$O743,38)</f>
        <v/>
      </c>
      <c r="M743" s="219" t="str">
        <f t="array" ref="M743">INDEX(postDEL!$A$2:$AL799,$O743,15)</f>
        <v/>
      </c>
      <c r="N743" s="110">
        <f>COUNTIF(postDEL!$A$2:$A799,A743)</f>
        <v>1</v>
      </c>
      <c r="O743" s="19">
        <f>MATCH(A743,postDEL!A$2:A799,0)</f>
        <v>742</v>
      </c>
      <c r="P743" s="10" t="str">
        <f t="shared" si="1"/>
        <v/>
      </c>
      <c r="Q743" s="220">
        <f t="shared" si="2"/>
        <v>0</v>
      </c>
      <c r="R743" s="5"/>
    </row>
    <row r="744">
      <c r="A744" s="221" t="s">
        <v>2120</v>
      </c>
      <c r="B744" s="217">
        <f t="array" ref="B744">INDEX(postDEL!$A$2:$P799,$O744,2)</f>
        <v>44631</v>
      </c>
      <c r="C744" s="218">
        <f t="array" ref="C744">INDEX(postDEL!$A$2:$P799,$O744,3)</f>
        <v>0.3091782407</v>
      </c>
      <c r="D744" s="219" t="str">
        <f t="array" ref="D744">INDEX(postDEL!$A$2:$AN799,$O744,39)</f>
        <v>SpBEND904348</v>
      </c>
      <c r="E744" s="219" t="str">
        <f t="array" ref="E744">INDEX(postDEL!$A$2:$P799,$O744,4)</f>
        <v/>
      </c>
      <c r="F744" s="219" t="str">
        <f t="array" ref="F744">INDEX(postDEL!$A$2:$P799,$O744,5)</f>
        <v/>
      </c>
      <c r="G744" s="219" t="str">
        <f t="array" ref="G744">INDEX(postDEL!$A$2:$P799,$O744,11)</f>
        <v>Negative</v>
      </c>
      <c r="H744" s="219" t="str">
        <f t="array" ref="H744">INDEX(postDEL!$A$2:$AL799,$O744,37)</f>
        <v>Negative</v>
      </c>
      <c r="I744" s="217">
        <f t="array" ref="I744">INDEX(postDEL!$A$2:$AL799,$O744,12)</f>
        <v>44631</v>
      </c>
      <c r="J744" s="218">
        <f t="array" ref="J744">INDEX(postDEL!$A$2:$AL799,$O744,13)</f>
        <v>0.486087963</v>
      </c>
      <c r="K744" s="219" t="str">
        <f t="array" ref="K744">INDEX(postDEL!$A$2:$AL799,$O744,36)</f>
        <v/>
      </c>
      <c r="L744" s="219" t="str">
        <f t="array" ref="L744">INDEX(postDEL!$A$2:$AL799,$O744,38)</f>
        <v/>
      </c>
      <c r="M744" s="219" t="str">
        <f t="array" ref="M744">INDEX(postDEL!$A$2:$AL799,$O744,15)</f>
        <v/>
      </c>
      <c r="N744" s="110">
        <f>COUNTIF(postDEL!$A$2:$A799,A744)</f>
        <v>1</v>
      </c>
      <c r="O744" s="19">
        <f>MATCH(A744,postDEL!A$2:A799,0)</f>
        <v>743</v>
      </c>
      <c r="P744" s="10" t="str">
        <f t="shared" si="1"/>
        <v/>
      </c>
      <c r="Q744" s="220">
        <f t="shared" si="2"/>
        <v>0</v>
      </c>
      <c r="R744" s="5"/>
    </row>
    <row r="745">
      <c r="A745" s="221" t="s">
        <v>2122</v>
      </c>
      <c r="B745" s="217">
        <f t="array" ref="B745">INDEX(postDEL!$A$2:$P799,$O745,2)</f>
        <v>44631</v>
      </c>
      <c r="C745" s="218">
        <f t="array" ref="C745">INDEX(postDEL!$A$2:$P799,$O745,3)</f>
        <v>0.3173032407</v>
      </c>
      <c r="D745" s="219" t="str">
        <f t="array" ref="D745">INDEX(postDEL!$A$2:$AN799,$O745,39)</f>
        <v>SpBEND387578</v>
      </c>
      <c r="E745" s="219" t="str">
        <f t="array" ref="E745">INDEX(postDEL!$A$2:$P799,$O745,4)</f>
        <v/>
      </c>
      <c r="F745" s="219" t="str">
        <f t="array" ref="F745">INDEX(postDEL!$A$2:$P799,$O745,5)</f>
        <v/>
      </c>
      <c r="G745" s="219" t="str">
        <f t="array" ref="G745">INDEX(postDEL!$A$2:$P799,$O745,11)</f>
        <v>Negative</v>
      </c>
      <c r="H745" s="219" t="str">
        <f t="array" ref="H745">INDEX(postDEL!$A$2:$AL799,$O745,37)</f>
        <v>Negative</v>
      </c>
      <c r="I745" s="217">
        <f t="array" ref="I745">INDEX(postDEL!$A$2:$AL799,$O745,12)</f>
        <v>44631</v>
      </c>
      <c r="J745" s="218">
        <f t="array" ref="J745">INDEX(postDEL!$A$2:$AL799,$O745,13)</f>
        <v>0.486087963</v>
      </c>
      <c r="K745" s="219" t="str">
        <f t="array" ref="K745">INDEX(postDEL!$A$2:$AL799,$O745,36)</f>
        <v/>
      </c>
      <c r="L745" s="219" t="str">
        <f t="array" ref="L745">INDEX(postDEL!$A$2:$AL799,$O745,38)</f>
        <v/>
      </c>
      <c r="M745" s="219" t="str">
        <f t="array" ref="M745">INDEX(postDEL!$A$2:$AL799,$O745,15)</f>
        <v/>
      </c>
      <c r="N745" s="110">
        <f>COUNTIF(postDEL!$A$2:$A799,A745)</f>
        <v>1</v>
      </c>
      <c r="O745" s="19">
        <f>MATCH(A745,postDEL!A$2:A799,0)</f>
        <v>744</v>
      </c>
      <c r="P745" s="10" t="str">
        <f t="shared" si="1"/>
        <v/>
      </c>
      <c r="Q745" s="220">
        <f t="shared" si="2"/>
        <v>0</v>
      </c>
      <c r="R745" s="5"/>
    </row>
    <row r="746">
      <c r="A746" s="221" t="s">
        <v>2124</v>
      </c>
      <c r="B746" s="217">
        <f t="array" ref="B746">INDEX(postDEL!$A$2:$P799,$O746,2)</f>
        <v>44631</v>
      </c>
      <c r="C746" s="218">
        <f t="array" ref="C746">INDEX(postDEL!$A$2:$P799,$O746,3)</f>
        <v>0.3235763889</v>
      </c>
      <c r="D746" s="219" t="str">
        <f t="array" ref="D746">INDEX(postDEL!$A$2:$AN799,$O746,39)</f>
        <v>SpBEND643855</v>
      </c>
      <c r="E746" s="219" t="str">
        <f t="array" ref="E746">INDEX(postDEL!$A$2:$P799,$O746,4)</f>
        <v/>
      </c>
      <c r="F746" s="219" t="str">
        <f t="array" ref="F746">INDEX(postDEL!$A$2:$P799,$O746,5)</f>
        <v/>
      </c>
      <c r="G746" s="219" t="str">
        <f t="array" ref="G746">INDEX(postDEL!$A$2:$P799,$O746,11)</f>
        <v>Negative</v>
      </c>
      <c r="H746" s="219" t="str">
        <f t="array" ref="H746">INDEX(postDEL!$A$2:$AL799,$O746,37)</f>
        <v>Negative</v>
      </c>
      <c r="I746" s="217">
        <f t="array" ref="I746">INDEX(postDEL!$A$2:$AL799,$O746,12)</f>
        <v>44631</v>
      </c>
      <c r="J746" s="218">
        <f t="array" ref="J746">INDEX(postDEL!$A$2:$AL799,$O746,13)</f>
        <v>0.486087963</v>
      </c>
      <c r="K746" s="219" t="str">
        <f t="array" ref="K746">INDEX(postDEL!$A$2:$AL799,$O746,36)</f>
        <v/>
      </c>
      <c r="L746" s="219" t="str">
        <f t="array" ref="L746">INDEX(postDEL!$A$2:$AL799,$O746,38)</f>
        <v/>
      </c>
      <c r="M746" s="219" t="str">
        <f t="array" ref="M746">INDEX(postDEL!$A$2:$AL799,$O746,15)</f>
        <v/>
      </c>
      <c r="N746" s="110">
        <f>COUNTIF(postDEL!$A$2:$A799,A746)</f>
        <v>1</v>
      </c>
      <c r="O746" s="19">
        <f>MATCH(A746,postDEL!A$2:A799,0)</f>
        <v>745</v>
      </c>
      <c r="P746" s="10" t="str">
        <f t="shared" si="1"/>
        <v/>
      </c>
      <c r="Q746" s="220">
        <f t="shared" si="2"/>
        <v>0</v>
      </c>
      <c r="R746" s="5"/>
    </row>
    <row r="747">
      <c r="A747" s="221" t="s">
        <v>2126</v>
      </c>
      <c r="B747" s="217">
        <f t="array" ref="B747">INDEX(postDEL!$A$2:$P799,$O747,2)</f>
        <v>44631</v>
      </c>
      <c r="C747" s="218">
        <f t="array" ref="C747">INDEX(postDEL!$A$2:$P799,$O747,3)</f>
        <v>0.323587963</v>
      </c>
      <c r="D747" s="219" t="str">
        <f t="array" ref="D747">INDEX(postDEL!$A$2:$AN799,$O747,39)</f>
        <v>SpBEND481988</v>
      </c>
      <c r="E747" s="219" t="str">
        <f t="array" ref="E747">INDEX(postDEL!$A$2:$P799,$O747,4)</f>
        <v/>
      </c>
      <c r="F747" s="219" t="str">
        <f t="array" ref="F747">INDEX(postDEL!$A$2:$P799,$O747,5)</f>
        <v/>
      </c>
      <c r="G747" s="219" t="str">
        <f t="array" ref="G747">INDEX(postDEL!$A$2:$P799,$O747,11)</f>
        <v>Negative</v>
      </c>
      <c r="H747" s="219" t="str">
        <f t="array" ref="H747">INDEX(postDEL!$A$2:$AL799,$O747,37)</f>
        <v>Negative</v>
      </c>
      <c r="I747" s="217">
        <f t="array" ref="I747">INDEX(postDEL!$A$2:$AL799,$O747,12)</f>
        <v>44631</v>
      </c>
      <c r="J747" s="218">
        <f t="array" ref="J747">INDEX(postDEL!$A$2:$AL799,$O747,13)</f>
        <v>0.486087963</v>
      </c>
      <c r="K747" s="219" t="str">
        <f t="array" ref="K747">INDEX(postDEL!$A$2:$AL799,$O747,36)</f>
        <v/>
      </c>
      <c r="L747" s="219" t="str">
        <f t="array" ref="L747">INDEX(postDEL!$A$2:$AL799,$O747,38)</f>
        <v/>
      </c>
      <c r="M747" s="219" t="str">
        <f t="array" ref="M747">INDEX(postDEL!$A$2:$AL799,$O747,15)</f>
        <v/>
      </c>
      <c r="N747" s="110">
        <f>COUNTIF(postDEL!$A$2:$A799,A747)</f>
        <v>1</v>
      </c>
      <c r="O747" s="19">
        <f>MATCH(A747,postDEL!A$2:A799,0)</f>
        <v>746</v>
      </c>
      <c r="P747" s="10" t="str">
        <f t="shared" si="1"/>
        <v/>
      </c>
      <c r="Q747" s="220">
        <f t="shared" si="2"/>
        <v>0</v>
      </c>
      <c r="R747" s="5"/>
    </row>
    <row r="748">
      <c r="A748" s="221" t="s">
        <v>2128</v>
      </c>
      <c r="B748" s="217">
        <f t="array" ref="B748">INDEX(postDEL!$A$2:$P799,$O748,2)</f>
        <v>44631</v>
      </c>
      <c r="C748" s="218">
        <f t="array" ref="C748">INDEX(postDEL!$A$2:$P799,$O748,3)</f>
        <v>0.3240740741</v>
      </c>
      <c r="D748" s="219" t="str">
        <f t="array" ref="D748">INDEX(postDEL!$A$2:$AN799,$O748,39)</f>
        <v>SpBEND136234</v>
      </c>
      <c r="E748" s="219" t="str">
        <f t="array" ref="E748">INDEX(postDEL!$A$2:$P799,$O748,4)</f>
        <v/>
      </c>
      <c r="F748" s="219" t="str">
        <f t="array" ref="F748">INDEX(postDEL!$A$2:$P799,$O748,5)</f>
        <v/>
      </c>
      <c r="G748" s="219" t="str">
        <f t="array" ref="G748">INDEX(postDEL!$A$2:$P799,$O748,11)</f>
        <v>Negative</v>
      </c>
      <c r="H748" s="219" t="str">
        <f t="array" ref="H748">INDEX(postDEL!$A$2:$AL799,$O748,37)</f>
        <v>Negative</v>
      </c>
      <c r="I748" s="217">
        <f t="array" ref="I748">INDEX(postDEL!$A$2:$AL799,$O748,12)</f>
        <v>44631</v>
      </c>
      <c r="J748" s="218">
        <f t="array" ref="J748">INDEX(postDEL!$A$2:$AL799,$O748,13)</f>
        <v>0.486099537</v>
      </c>
      <c r="K748" s="219" t="str">
        <f t="array" ref="K748">INDEX(postDEL!$A$2:$AL799,$O748,36)</f>
        <v/>
      </c>
      <c r="L748" s="219" t="str">
        <f t="array" ref="L748">INDEX(postDEL!$A$2:$AL799,$O748,38)</f>
        <v/>
      </c>
      <c r="M748" s="219" t="str">
        <f t="array" ref="M748">INDEX(postDEL!$A$2:$AL799,$O748,15)</f>
        <v/>
      </c>
      <c r="N748" s="110">
        <f>COUNTIF(postDEL!$A$2:$A799,A748)</f>
        <v>1</v>
      </c>
      <c r="O748" s="19">
        <f>MATCH(A748,postDEL!A$2:A799,0)</f>
        <v>747</v>
      </c>
      <c r="P748" s="10" t="str">
        <f t="shared" si="1"/>
        <v/>
      </c>
      <c r="Q748" s="220">
        <f t="shared" si="2"/>
        <v>0</v>
      </c>
      <c r="R748" s="5"/>
    </row>
    <row r="749">
      <c r="A749" s="221" t="s">
        <v>2130</v>
      </c>
      <c r="B749" s="217">
        <f t="array" ref="B749">INDEX(postDEL!$A$2:$P799,$O749,2)</f>
        <v>44631</v>
      </c>
      <c r="C749" s="218">
        <f t="array" ref="C749">INDEX(postDEL!$A$2:$P799,$O749,3)</f>
        <v>0.3271064815</v>
      </c>
      <c r="D749" s="219" t="str">
        <f t="array" ref="D749">INDEX(postDEL!$A$2:$AN799,$O749,39)</f>
        <v>SpBEND672680</v>
      </c>
      <c r="E749" s="219" t="str">
        <f t="array" ref="E749">INDEX(postDEL!$A$2:$P799,$O749,4)</f>
        <v/>
      </c>
      <c r="F749" s="219" t="str">
        <f t="array" ref="F749">INDEX(postDEL!$A$2:$P799,$O749,5)</f>
        <v/>
      </c>
      <c r="G749" s="219" t="str">
        <f t="array" ref="G749">INDEX(postDEL!$A$2:$P799,$O749,11)</f>
        <v>Negative</v>
      </c>
      <c r="H749" s="219" t="str">
        <f t="array" ref="H749">INDEX(postDEL!$A$2:$AL799,$O749,37)</f>
        <v>Negative</v>
      </c>
      <c r="I749" s="217">
        <f t="array" ref="I749">INDEX(postDEL!$A$2:$AL799,$O749,12)</f>
        <v>44631</v>
      </c>
      <c r="J749" s="218">
        <f t="array" ref="J749">INDEX(postDEL!$A$2:$AL799,$O749,13)</f>
        <v>0.486099537</v>
      </c>
      <c r="K749" s="219" t="str">
        <f t="array" ref="K749">INDEX(postDEL!$A$2:$AL799,$O749,36)</f>
        <v/>
      </c>
      <c r="L749" s="219" t="str">
        <f t="array" ref="L749">INDEX(postDEL!$A$2:$AL799,$O749,38)</f>
        <v/>
      </c>
      <c r="M749" s="219" t="str">
        <f t="array" ref="M749">INDEX(postDEL!$A$2:$AL799,$O749,15)</f>
        <v/>
      </c>
      <c r="N749" s="110">
        <f>COUNTIF(postDEL!$A$2:$A799,A749)</f>
        <v>1</v>
      </c>
      <c r="O749" s="19">
        <f>MATCH(A749,postDEL!A$2:A799,0)</f>
        <v>748</v>
      </c>
      <c r="P749" s="10" t="str">
        <f t="shared" si="1"/>
        <v/>
      </c>
      <c r="Q749" s="220">
        <f t="shared" si="2"/>
        <v>0</v>
      </c>
      <c r="R749" s="5"/>
    </row>
    <row r="750">
      <c r="A750" s="221" t="s">
        <v>2132</v>
      </c>
      <c r="B750" s="217">
        <f t="array" ref="B750">INDEX(postDEL!$A$2:$P799,$O750,2)</f>
        <v>44631</v>
      </c>
      <c r="C750" s="218">
        <f t="array" ref="C750">INDEX(postDEL!$A$2:$P799,$O750,3)</f>
        <v>0.3299884259</v>
      </c>
      <c r="D750" s="219" t="str">
        <f t="array" ref="D750">INDEX(postDEL!$A$2:$AN799,$O750,39)</f>
        <v>SpBEND642175</v>
      </c>
      <c r="E750" s="219" t="str">
        <f t="array" ref="E750">INDEX(postDEL!$A$2:$P799,$O750,4)</f>
        <v/>
      </c>
      <c r="F750" s="219" t="str">
        <f t="array" ref="F750">INDEX(postDEL!$A$2:$P799,$O750,5)</f>
        <v/>
      </c>
      <c r="G750" s="219" t="str">
        <f t="array" ref="G750">INDEX(postDEL!$A$2:$P799,$O750,11)</f>
        <v>Negative</v>
      </c>
      <c r="H750" s="219" t="str">
        <f t="array" ref="H750">INDEX(postDEL!$A$2:$AL799,$O750,37)</f>
        <v>Negative</v>
      </c>
      <c r="I750" s="217">
        <f t="array" ref="I750">INDEX(postDEL!$A$2:$AL799,$O750,12)</f>
        <v>44631</v>
      </c>
      <c r="J750" s="218">
        <f t="array" ref="J750">INDEX(postDEL!$A$2:$AL799,$O750,13)</f>
        <v>0.486099537</v>
      </c>
      <c r="K750" s="219" t="str">
        <f t="array" ref="K750">INDEX(postDEL!$A$2:$AL799,$O750,36)</f>
        <v/>
      </c>
      <c r="L750" s="219" t="str">
        <f t="array" ref="L750">INDEX(postDEL!$A$2:$AL799,$O750,38)</f>
        <v/>
      </c>
      <c r="M750" s="219" t="str">
        <f t="array" ref="M750">INDEX(postDEL!$A$2:$AL799,$O750,15)</f>
        <v/>
      </c>
      <c r="N750" s="110">
        <f>COUNTIF(postDEL!$A$2:$A799,A750)</f>
        <v>1</v>
      </c>
      <c r="O750" s="19">
        <f>MATCH(A750,postDEL!A$2:A799,0)</f>
        <v>749</v>
      </c>
      <c r="P750" s="10" t="str">
        <f t="shared" si="1"/>
        <v/>
      </c>
      <c r="Q750" s="220">
        <f t="shared" si="2"/>
        <v>0</v>
      </c>
      <c r="R750" s="5"/>
    </row>
    <row r="751">
      <c r="A751" s="221" t="s">
        <v>2134</v>
      </c>
      <c r="B751" s="217">
        <f t="array" ref="B751">INDEX(postDEL!$A$2:$P799,$O751,2)</f>
        <v>44631</v>
      </c>
      <c r="C751" s="218">
        <f t="array" ref="C751">INDEX(postDEL!$A$2:$P799,$O751,3)</f>
        <v>0.3314236111</v>
      </c>
      <c r="D751" s="219" t="str">
        <f t="array" ref="D751">INDEX(postDEL!$A$2:$AN799,$O751,39)</f>
        <v>SpBEND634692</v>
      </c>
      <c r="E751" s="219" t="str">
        <f t="array" ref="E751">INDEX(postDEL!$A$2:$P799,$O751,4)</f>
        <v/>
      </c>
      <c r="F751" s="219" t="str">
        <f t="array" ref="F751">INDEX(postDEL!$A$2:$P799,$O751,5)</f>
        <v/>
      </c>
      <c r="G751" s="219" t="str">
        <f t="array" ref="G751">INDEX(postDEL!$A$2:$P799,$O751,11)</f>
        <v>Negative</v>
      </c>
      <c r="H751" s="219" t="str">
        <f t="array" ref="H751">INDEX(postDEL!$A$2:$AL799,$O751,37)</f>
        <v>Negative</v>
      </c>
      <c r="I751" s="217">
        <f t="array" ref="I751">INDEX(postDEL!$A$2:$AL799,$O751,12)</f>
        <v>44631</v>
      </c>
      <c r="J751" s="218">
        <f t="array" ref="J751">INDEX(postDEL!$A$2:$AL799,$O751,13)</f>
        <v>0.486099537</v>
      </c>
      <c r="K751" s="219" t="str">
        <f t="array" ref="K751">INDEX(postDEL!$A$2:$AL799,$O751,36)</f>
        <v/>
      </c>
      <c r="L751" s="219" t="str">
        <f t="array" ref="L751">INDEX(postDEL!$A$2:$AL799,$O751,38)</f>
        <v/>
      </c>
      <c r="M751" s="219" t="str">
        <f t="array" ref="M751">INDEX(postDEL!$A$2:$AL799,$O751,15)</f>
        <v/>
      </c>
      <c r="N751" s="110">
        <f>COUNTIF(postDEL!$A$2:$A799,A751)</f>
        <v>1</v>
      </c>
      <c r="O751" s="19">
        <f>MATCH(A751,postDEL!A$2:A799,0)</f>
        <v>750</v>
      </c>
      <c r="P751" s="10" t="str">
        <f t="shared" si="1"/>
        <v/>
      </c>
      <c r="Q751" s="220">
        <f t="shared" si="2"/>
        <v>0</v>
      </c>
      <c r="R751" s="5"/>
    </row>
    <row r="752">
      <c r="A752" s="221" t="s">
        <v>2136</v>
      </c>
      <c r="B752" s="217">
        <f t="array" ref="B752">INDEX(postDEL!$A$2:$P799,$O752,2)</f>
        <v>44631</v>
      </c>
      <c r="C752" s="218">
        <f t="array" ref="C752">INDEX(postDEL!$A$2:$P799,$O752,3)</f>
        <v>0.3362962963</v>
      </c>
      <c r="D752" s="219" t="str">
        <f t="array" ref="D752">INDEX(postDEL!$A$2:$AN799,$O752,39)</f>
        <v>SpBEND899578</v>
      </c>
      <c r="E752" s="219" t="str">
        <f t="array" ref="E752">INDEX(postDEL!$A$2:$P799,$O752,4)</f>
        <v/>
      </c>
      <c r="F752" s="219" t="str">
        <f t="array" ref="F752">INDEX(postDEL!$A$2:$P799,$O752,5)</f>
        <v/>
      </c>
      <c r="G752" s="219" t="str">
        <f t="array" ref="G752">INDEX(postDEL!$A$2:$P799,$O752,11)</f>
        <v>Negative</v>
      </c>
      <c r="H752" s="219" t="str">
        <f t="array" ref="H752">INDEX(postDEL!$A$2:$AL799,$O752,37)</f>
        <v>Negative</v>
      </c>
      <c r="I752" s="217">
        <f t="array" ref="I752">INDEX(postDEL!$A$2:$AL799,$O752,12)</f>
        <v>44631</v>
      </c>
      <c r="J752" s="218">
        <f t="array" ref="J752">INDEX(postDEL!$A$2:$AL799,$O752,13)</f>
        <v>0.486099537</v>
      </c>
      <c r="K752" s="219" t="str">
        <f t="array" ref="K752">INDEX(postDEL!$A$2:$AL799,$O752,36)</f>
        <v/>
      </c>
      <c r="L752" s="219" t="str">
        <f t="array" ref="L752">INDEX(postDEL!$A$2:$AL799,$O752,38)</f>
        <v/>
      </c>
      <c r="M752" s="219" t="str">
        <f t="array" ref="M752">INDEX(postDEL!$A$2:$AL799,$O752,15)</f>
        <v/>
      </c>
      <c r="N752" s="110">
        <f>COUNTIF(postDEL!$A$2:$A799,A752)</f>
        <v>1</v>
      </c>
      <c r="O752" s="19">
        <f>MATCH(A752,postDEL!A$2:A799,0)</f>
        <v>751</v>
      </c>
      <c r="P752" s="10" t="str">
        <f t="shared" si="1"/>
        <v/>
      </c>
      <c r="Q752" s="220">
        <f t="shared" si="2"/>
        <v>0</v>
      </c>
      <c r="R752" s="5"/>
    </row>
    <row r="753">
      <c r="A753" s="221" t="s">
        <v>2138</v>
      </c>
      <c r="B753" s="217">
        <f t="array" ref="B753">INDEX(postDEL!$A$2:$P799,$O753,2)</f>
        <v>44631</v>
      </c>
      <c r="C753" s="218">
        <f t="array" ref="C753">INDEX(postDEL!$A$2:$P799,$O753,3)</f>
        <v>0.340625</v>
      </c>
      <c r="D753" s="219" t="str">
        <f t="array" ref="D753">INDEX(postDEL!$A$2:$AN799,$O753,39)</f>
        <v>SpBEND372845</v>
      </c>
      <c r="E753" s="219" t="str">
        <f t="array" ref="E753">INDEX(postDEL!$A$2:$P799,$O753,4)</f>
        <v/>
      </c>
      <c r="F753" s="219" t="str">
        <f t="array" ref="F753">INDEX(postDEL!$A$2:$P799,$O753,5)</f>
        <v/>
      </c>
      <c r="G753" s="219" t="str">
        <f t="array" ref="G753">INDEX(postDEL!$A$2:$P799,$O753,11)</f>
        <v>Negative</v>
      </c>
      <c r="H753" s="219" t="str">
        <f t="array" ref="H753">INDEX(postDEL!$A$2:$AL799,$O753,37)</f>
        <v>Negative</v>
      </c>
      <c r="I753" s="217">
        <f t="array" ref="I753">INDEX(postDEL!$A$2:$AL799,$O753,12)</f>
        <v>44631</v>
      </c>
      <c r="J753" s="218">
        <f t="array" ref="J753">INDEX(postDEL!$A$2:$AL799,$O753,13)</f>
        <v>0.486099537</v>
      </c>
      <c r="K753" s="219" t="str">
        <f t="array" ref="K753">INDEX(postDEL!$A$2:$AL799,$O753,36)</f>
        <v/>
      </c>
      <c r="L753" s="219" t="str">
        <f t="array" ref="L753">INDEX(postDEL!$A$2:$AL799,$O753,38)</f>
        <v/>
      </c>
      <c r="M753" s="219" t="str">
        <f t="array" ref="M753">INDEX(postDEL!$A$2:$AL799,$O753,15)</f>
        <v/>
      </c>
      <c r="N753" s="110">
        <f>COUNTIF(postDEL!$A$2:$A799,A753)</f>
        <v>1</v>
      </c>
      <c r="O753" s="19">
        <f>MATCH(A753,postDEL!A$2:A799,0)</f>
        <v>752</v>
      </c>
      <c r="P753" s="10" t="str">
        <f t="shared" si="1"/>
        <v/>
      </c>
      <c r="Q753" s="220">
        <f t="shared" si="2"/>
        <v>0</v>
      </c>
      <c r="R753" s="5"/>
    </row>
    <row r="754">
      <c r="A754" s="221" t="s">
        <v>2140</v>
      </c>
      <c r="B754" s="217">
        <f t="array" ref="B754">INDEX(postDEL!$A$2:$P799,$O754,2)</f>
        <v>44631</v>
      </c>
      <c r="C754" s="218">
        <f t="array" ref="C754">INDEX(postDEL!$A$2:$P799,$O754,3)</f>
        <v>0.3409606481</v>
      </c>
      <c r="D754" s="219" t="str">
        <f t="array" ref="D754">INDEX(postDEL!$A$2:$AN799,$O754,39)</f>
        <v>SpBEND279112</v>
      </c>
      <c r="E754" s="219" t="str">
        <f t="array" ref="E754">INDEX(postDEL!$A$2:$P799,$O754,4)</f>
        <v/>
      </c>
      <c r="F754" s="219" t="str">
        <f t="array" ref="F754">INDEX(postDEL!$A$2:$P799,$O754,5)</f>
        <v/>
      </c>
      <c r="G754" s="219" t="str">
        <f t="array" ref="G754">INDEX(postDEL!$A$2:$P799,$O754,11)</f>
        <v>Negative</v>
      </c>
      <c r="H754" s="219" t="str">
        <f t="array" ref="H754">INDEX(postDEL!$A$2:$AL799,$O754,37)</f>
        <v>Negative</v>
      </c>
      <c r="I754" s="217">
        <f t="array" ref="I754">INDEX(postDEL!$A$2:$AL799,$O754,12)</f>
        <v>44631</v>
      </c>
      <c r="J754" s="218">
        <f t="array" ref="J754">INDEX(postDEL!$A$2:$AL799,$O754,13)</f>
        <v>0.486099537</v>
      </c>
      <c r="K754" s="219" t="str">
        <f t="array" ref="K754">INDEX(postDEL!$A$2:$AL799,$O754,36)</f>
        <v/>
      </c>
      <c r="L754" s="219" t="str">
        <f t="array" ref="L754">INDEX(postDEL!$A$2:$AL799,$O754,38)</f>
        <v/>
      </c>
      <c r="M754" s="219" t="str">
        <f t="array" ref="M754">INDEX(postDEL!$A$2:$AL799,$O754,15)</f>
        <v/>
      </c>
      <c r="N754" s="110">
        <f>COUNTIF(postDEL!$A$2:$A799,A754)</f>
        <v>1</v>
      </c>
      <c r="O754" s="19">
        <f>MATCH(A754,postDEL!A$2:A799,0)</f>
        <v>753</v>
      </c>
      <c r="P754" s="10" t="str">
        <f t="shared" si="1"/>
        <v/>
      </c>
      <c r="Q754" s="220">
        <f t="shared" si="2"/>
        <v>0</v>
      </c>
      <c r="R754" s="5"/>
    </row>
    <row r="755">
      <c r="A755" s="221" t="s">
        <v>2142</v>
      </c>
      <c r="B755" s="217">
        <f t="array" ref="B755">INDEX(postDEL!$A$2:$P799,$O755,2)</f>
        <v>44631</v>
      </c>
      <c r="C755" s="218">
        <f t="array" ref="C755">INDEX(postDEL!$A$2:$P799,$O755,3)</f>
        <v>0.3429398148</v>
      </c>
      <c r="D755" s="219" t="str">
        <f t="array" ref="D755">INDEX(postDEL!$A$2:$AN799,$O755,39)</f>
        <v>SpBEND985296</v>
      </c>
      <c r="E755" s="219" t="str">
        <f t="array" ref="E755">INDEX(postDEL!$A$2:$P799,$O755,4)</f>
        <v/>
      </c>
      <c r="F755" s="219" t="str">
        <f t="array" ref="F755">INDEX(postDEL!$A$2:$P799,$O755,5)</f>
        <v/>
      </c>
      <c r="G755" s="219" t="str">
        <f t="array" ref="G755">INDEX(postDEL!$A$2:$P799,$O755,11)</f>
        <v>Negative</v>
      </c>
      <c r="H755" s="219" t="str">
        <f t="array" ref="H755">INDEX(postDEL!$A$2:$AL799,$O755,37)</f>
        <v>Negative</v>
      </c>
      <c r="I755" s="217">
        <f t="array" ref="I755">INDEX(postDEL!$A$2:$AL799,$O755,12)</f>
        <v>44631</v>
      </c>
      <c r="J755" s="218">
        <f t="array" ref="J755">INDEX(postDEL!$A$2:$AL799,$O755,13)</f>
        <v>0.486099537</v>
      </c>
      <c r="K755" s="219" t="str">
        <f t="array" ref="K755">INDEX(postDEL!$A$2:$AL799,$O755,36)</f>
        <v/>
      </c>
      <c r="L755" s="219" t="str">
        <f t="array" ref="L755">INDEX(postDEL!$A$2:$AL799,$O755,38)</f>
        <v/>
      </c>
      <c r="M755" s="219" t="str">
        <f t="array" ref="M755">INDEX(postDEL!$A$2:$AL799,$O755,15)</f>
        <v/>
      </c>
      <c r="N755" s="110">
        <f>COUNTIF(postDEL!$A$2:$A799,A755)</f>
        <v>1</v>
      </c>
      <c r="O755" s="19">
        <f>MATCH(A755,postDEL!A$2:A799,0)</f>
        <v>754</v>
      </c>
      <c r="P755" s="10" t="str">
        <f t="shared" si="1"/>
        <v/>
      </c>
      <c r="Q755" s="220">
        <f t="shared" si="2"/>
        <v>0</v>
      </c>
      <c r="R755" s="5"/>
    </row>
    <row r="756">
      <c r="A756" s="221" t="s">
        <v>2144</v>
      </c>
      <c r="B756" s="217">
        <f t="array" ref="B756">INDEX(postDEL!$A$2:$P799,$O756,2)</f>
        <v>44631</v>
      </c>
      <c r="C756" s="218">
        <f t="array" ref="C756">INDEX(postDEL!$A$2:$P799,$O756,3)</f>
        <v>0.3450115741</v>
      </c>
      <c r="D756" s="219" t="str">
        <f t="array" ref="D756">INDEX(postDEL!$A$2:$AN799,$O756,39)</f>
        <v>SpBEND977859</v>
      </c>
      <c r="E756" s="219" t="str">
        <f t="array" ref="E756">INDEX(postDEL!$A$2:$P799,$O756,4)</f>
        <v/>
      </c>
      <c r="F756" s="219" t="str">
        <f t="array" ref="F756">INDEX(postDEL!$A$2:$P799,$O756,5)</f>
        <v/>
      </c>
      <c r="G756" s="219" t="str">
        <f t="array" ref="G756">INDEX(postDEL!$A$2:$P799,$O756,11)</f>
        <v>Negative</v>
      </c>
      <c r="H756" s="219" t="str">
        <f t="array" ref="H756">INDEX(postDEL!$A$2:$AL799,$O756,37)</f>
        <v>Negative</v>
      </c>
      <c r="I756" s="217">
        <f t="array" ref="I756">INDEX(postDEL!$A$2:$AL799,$O756,12)</f>
        <v>44631</v>
      </c>
      <c r="J756" s="218">
        <f t="array" ref="J756">INDEX(postDEL!$A$2:$AL799,$O756,13)</f>
        <v>0.486099537</v>
      </c>
      <c r="K756" s="219" t="str">
        <f t="array" ref="K756">INDEX(postDEL!$A$2:$AL799,$O756,36)</f>
        <v/>
      </c>
      <c r="L756" s="219" t="str">
        <f t="array" ref="L756">INDEX(postDEL!$A$2:$AL799,$O756,38)</f>
        <v/>
      </c>
      <c r="M756" s="219" t="str">
        <f t="array" ref="M756">INDEX(postDEL!$A$2:$AL799,$O756,15)</f>
        <v/>
      </c>
      <c r="N756" s="110">
        <f>COUNTIF(postDEL!$A$2:$A799,A756)</f>
        <v>1</v>
      </c>
      <c r="O756" s="19">
        <f>MATCH(A756,postDEL!A$2:A799,0)</f>
        <v>755</v>
      </c>
      <c r="P756" s="10" t="str">
        <f t="shared" si="1"/>
        <v/>
      </c>
      <c r="Q756" s="220">
        <f t="shared" si="2"/>
        <v>0</v>
      </c>
      <c r="R756" s="5"/>
    </row>
    <row r="757">
      <c r="A757" s="221" t="s">
        <v>2146</v>
      </c>
      <c r="B757" s="217">
        <f t="array" ref="B757">INDEX(postDEL!$A$2:$P799,$O757,2)</f>
        <v>44631</v>
      </c>
      <c r="C757" s="218">
        <f t="array" ref="C757">INDEX(postDEL!$A$2:$P799,$O757,3)</f>
        <v>0.3989583333</v>
      </c>
      <c r="D757" s="219" t="str">
        <f t="array" ref="D757">INDEX(postDEL!$A$2:$AN799,$O757,39)</f>
        <v>SpBEND269695</v>
      </c>
      <c r="E757" s="219" t="str">
        <f t="array" ref="E757">INDEX(postDEL!$A$2:$P799,$O757,4)</f>
        <v/>
      </c>
      <c r="F757" s="219" t="str">
        <f t="array" ref="F757">INDEX(postDEL!$A$2:$P799,$O757,5)</f>
        <v/>
      </c>
      <c r="G757" s="219" t="str">
        <f t="array" ref="G757">INDEX(postDEL!$A$2:$P799,$O757,11)</f>
        <v>Negative</v>
      </c>
      <c r="H757" s="219" t="str">
        <f t="array" ref="H757">INDEX(postDEL!$A$2:$AL799,$O757,37)</f>
        <v>Negative</v>
      </c>
      <c r="I757" s="217">
        <f t="array" ref="I757">INDEX(postDEL!$A$2:$AL799,$O757,12)</f>
        <v>44631</v>
      </c>
      <c r="J757" s="218">
        <f t="array" ref="J757">INDEX(postDEL!$A$2:$AL799,$O757,13)</f>
        <v>0.486099537</v>
      </c>
      <c r="K757" s="219" t="str">
        <f t="array" ref="K757">INDEX(postDEL!$A$2:$AL799,$O757,36)</f>
        <v/>
      </c>
      <c r="L757" s="219" t="str">
        <f t="array" ref="L757">INDEX(postDEL!$A$2:$AL799,$O757,38)</f>
        <v/>
      </c>
      <c r="M757" s="219" t="str">
        <f t="array" ref="M757">INDEX(postDEL!$A$2:$AL799,$O757,15)</f>
        <v/>
      </c>
      <c r="N757" s="110">
        <f>COUNTIF(postDEL!$A$2:$A799,A757)</f>
        <v>1</v>
      </c>
      <c r="O757" s="19">
        <f>MATCH(A757,postDEL!A$2:A799,0)</f>
        <v>756</v>
      </c>
      <c r="P757" s="10" t="str">
        <f t="shared" si="1"/>
        <v/>
      </c>
      <c r="Q757" s="220">
        <f t="shared" si="2"/>
        <v>0</v>
      </c>
      <c r="R757" s="5"/>
    </row>
    <row r="758">
      <c r="A758" s="221" t="s">
        <v>2148</v>
      </c>
      <c r="B758" s="217">
        <f t="array" ref="B758">INDEX(postDEL!$A$2:$P799,$O758,2)</f>
        <v>44631</v>
      </c>
      <c r="C758" s="218">
        <f t="array" ref="C758">INDEX(postDEL!$A$2:$P799,$O758,3)</f>
        <v>0.4051388889</v>
      </c>
      <c r="D758" s="219" t="str">
        <f t="array" ref="D758">INDEX(postDEL!$A$2:$AN799,$O758,39)</f>
        <v>SpBEND382241</v>
      </c>
      <c r="E758" s="219" t="str">
        <f t="array" ref="E758">INDEX(postDEL!$A$2:$P799,$O758,4)</f>
        <v/>
      </c>
      <c r="F758" s="219" t="str">
        <f t="array" ref="F758">INDEX(postDEL!$A$2:$P799,$O758,5)</f>
        <v/>
      </c>
      <c r="G758" s="219" t="str">
        <f t="array" ref="G758">INDEX(postDEL!$A$2:$P799,$O758,11)</f>
        <v>Negative</v>
      </c>
      <c r="H758" s="219" t="str">
        <f t="array" ref="H758">INDEX(postDEL!$A$2:$AL799,$O758,37)</f>
        <v>Negative</v>
      </c>
      <c r="I758" s="217">
        <f t="array" ref="I758">INDEX(postDEL!$A$2:$AL799,$O758,12)</f>
        <v>44631</v>
      </c>
      <c r="J758" s="218">
        <f t="array" ref="J758">INDEX(postDEL!$A$2:$AL799,$O758,13)</f>
        <v>0.486099537</v>
      </c>
      <c r="K758" s="219" t="str">
        <f t="array" ref="K758">INDEX(postDEL!$A$2:$AL799,$O758,36)</f>
        <v/>
      </c>
      <c r="L758" s="219" t="str">
        <f t="array" ref="L758">INDEX(postDEL!$A$2:$AL799,$O758,38)</f>
        <v/>
      </c>
      <c r="M758" s="219" t="str">
        <f t="array" ref="M758">INDEX(postDEL!$A$2:$AL799,$O758,15)</f>
        <v/>
      </c>
      <c r="N758" s="110">
        <f>COUNTIF(postDEL!$A$2:$A799,A758)</f>
        <v>1</v>
      </c>
      <c r="O758" s="19">
        <f>MATCH(A758,postDEL!A$2:A799,0)</f>
        <v>757</v>
      </c>
      <c r="P758" s="10" t="str">
        <f t="shared" si="1"/>
        <v/>
      </c>
      <c r="Q758" s="220">
        <f t="shared" si="2"/>
        <v>0</v>
      </c>
      <c r="R758" s="5"/>
    </row>
    <row r="759">
      <c r="A759" s="221" t="s">
        <v>2164</v>
      </c>
      <c r="B759" s="217">
        <f t="array" ref="B759">INDEX(postDEL!$A$2:$P799,$O759,2)</f>
        <v>44665</v>
      </c>
      <c r="C759" s="218">
        <f t="array" ref="C759">INDEX(postDEL!$A$2:$P799,$O759,3)</f>
        <v>0.3220023148</v>
      </c>
      <c r="D759" s="219" t="str">
        <f t="array" ref="D759">INDEX(postDEL!$A$2:$AN799,$O759,39)</f>
        <v>SpBEND394154</v>
      </c>
      <c r="E759" s="219" t="str">
        <f t="array" ref="E759">INDEX(postDEL!$A$2:$P799,$O759,4)</f>
        <v/>
      </c>
      <c r="F759" s="219" t="str">
        <f t="array" ref="F759">INDEX(postDEL!$A$2:$P799,$O759,5)</f>
        <v/>
      </c>
      <c r="G759" s="219" t="str">
        <f t="array" ref="G759">INDEX(postDEL!$A$2:$P799,$O759,11)</f>
        <v>Negative</v>
      </c>
      <c r="H759" s="219" t="str">
        <f t="array" ref="H759">INDEX(postDEL!$A$2:$AL799,$O759,37)</f>
        <v>Negative</v>
      </c>
      <c r="I759" s="217">
        <f t="array" ref="I759">INDEX(postDEL!$A$2:$AL799,$O759,12)</f>
        <v>44665</v>
      </c>
      <c r="J759" s="218">
        <f t="array" ref="J759">INDEX(postDEL!$A$2:$AL799,$O759,13)</f>
        <v>0.3664930556</v>
      </c>
      <c r="K759" s="219" t="str">
        <f t="array" ref="K759">INDEX(postDEL!$A$2:$AL799,$O759,36)</f>
        <v/>
      </c>
      <c r="L759" s="219" t="str">
        <f t="array" ref="L759">INDEX(postDEL!$A$2:$AL799,$O759,38)</f>
        <v/>
      </c>
      <c r="M759" s="219" t="str">
        <f t="array" ref="M759">INDEX(postDEL!$A$2:$AL799,$O759,15)</f>
        <v/>
      </c>
      <c r="N759" s="110">
        <f>COUNTIF(postDEL!$A$2:$A799,A759)</f>
        <v>1</v>
      </c>
      <c r="O759" s="19">
        <f>MATCH(A759,postDEL!A$2:A799,0)</f>
        <v>758</v>
      </c>
      <c r="P759" s="10" t="b">
        <f t="shared" si="1"/>
        <v>1</v>
      </c>
      <c r="Q759" s="220">
        <f t="shared" si="2"/>
        <v>0</v>
      </c>
      <c r="R759" s="5"/>
    </row>
    <row r="760">
      <c r="A760" s="221" t="s">
        <v>2166</v>
      </c>
      <c r="B760" s="217">
        <f t="array" ref="B760">INDEX(postDEL!$A$2:$P799,$O760,2)</f>
        <v>44692</v>
      </c>
      <c r="C760" s="218">
        <f t="array" ref="C760">INDEX(postDEL!$A$2:$P799,$O760,3)</f>
        <v>0.2778703704</v>
      </c>
      <c r="D760" s="219" t="str">
        <f t="array" ref="D760">INDEX(postDEL!$A$2:$AN799,$O760,39)</f>
        <v>SpBEND394154</v>
      </c>
      <c r="E760" s="219" t="str">
        <f t="array" ref="E760">INDEX(postDEL!$A$2:$P799,$O760,4)</f>
        <v/>
      </c>
      <c r="F760" s="219" t="str">
        <f t="array" ref="F760">INDEX(postDEL!$A$2:$P799,$O760,5)</f>
        <v/>
      </c>
      <c r="G760" s="219" t="str">
        <f t="array" ref="G760">INDEX(postDEL!$A$2:$P799,$O760,11)</f>
        <v>Negative</v>
      </c>
      <c r="H760" s="219" t="str">
        <f t="array" ref="H760">INDEX(postDEL!$A$2:$AL799,$O760,37)</f>
        <v>Negative</v>
      </c>
      <c r="I760" s="217">
        <f t="array" ref="I760">INDEX(postDEL!$A$2:$AL799,$O760,12)</f>
        <v>44692</v>
      </c>
      <c r="J760" s="218">
        <f t="array" ref="J760">INDEX(postDEL!$A$2:$AL799,$O760,13)</f>
        <v>0.5025115741</v>
      </c>
      <c r="K760" s="219" t="str">
        <f t="array" ref="K760">INDEX(postDEL!$A$2:$AL799,$O760,36)</f>
        <v/>
      </c>
      <c r="L760" s="219" t="str">
        <f t="array" ref="L760">INDEX(postDEL!$A$2:$AL799,$O760,38)</f>
        <v/>
      </c>
      <c r="M760" s="219" t="str">
        <f t="array" ref="M760">INDEX(postDEL!$A$2:$AL799,$O760,15)</f>
        <v/>
      </c>
      <c r="N760" s="110">
        <f>COUNTIF(postDEL!$A$2:$A799,A760)</f>
        <v>1</v>
      </c>
      <c r="O760" s="19">
        <f>MATCH(A760,postDEL!A$2:A799,0)</f>
        <v>759</v>
      </c>
      <c r="P760" s="10" t="b">
        <f t="shared" si="1"/>
        <v>1</v>
      </c>
      <c r="Q760" s="220">
        <f t="shared" si="2"/>
        <v>0</v>
      </c>
      <c r="R760" s="5"/>
    </row>
    <row r="761">
      <c r="A761" s="221" t="s">
        <v>2168</v>
      </c>
      <c r="B761" s="217">
        <f t="array" ref="B761">INDEX(postDEL!$A$2:$P799,$O761,2)</f>
        <v>44692</v>
      </c>
      <c r="C761" s="218">
        <f t="array" ref="C761">INDEX(postDEL!$A$2:$P799,$O761,3)</f>
        <v>0.2784259259</v>
      </c>
      <c r="D761" s="219" t="str">
        <f t="array" ref="D761">INDEX(postDEL!$A$2:$AN799,$O761,39)</f>
        <v>SpBEND394154</v>
      </c>
      <c r="E761" s="219" t="str">
        <f t="array" ref="E761">INDEX(postDEL!$A$2:$P799,$O761,4)</f>
        <v/>
      </c>
      <c r="F761" s="219" t="str">
        <f t="array" ref="F761">INDEX(postDEL!$A$2:$P799,$O761,5)</f>
        <v/>
      </c>
      <c r="G761" s="219" t="str">
        <f t="array" ref="G761">INDEX(postDEL!$A$2:$P799,$O761,11)</f>
        <v>Negative</v>
      </c>
      <c r="H761" s="219" t="str">
        <f t="array" ref="H761">INDEX(postDEL!$A$2:$AL799,$O761,37)</f>
        <v>Negative</v>
      </c>
      <c r="I761" s="217">
        <f t="array" ref="I761">INDEX(postDEL!$A$2:$AL799,$O761,12)</f>
        <v>44692</v>
      </c>
      <c r="J761" s="218">
        <f t="array" ref="J761">INDEX(postDEL!$A$2:$AL799,$O761,13)</f>
        <v>0.5025115741</v>
      </c>
      <c r="K761" s="219" t="str">
        <f t="array" ref="K761">INDEX(postDEL!$A$2:$AL799,$O761,36)</f>
        <v/>
      </c>
      <c r="L761" s="219" t="str">
        <f t="array" ref="L761">INDEX(postDEL!$A$2:$AL799,$O761,38)</f>
        <v/>
      </c>
      <c r="M761" s="219" t="str">
        <f t="array" ref="M761">INDEX(postDEL!$A$2:$AL799,$O761,15)</f>
        <v/>
      </c>
      <c r="N761" s="110">
        <f>COUNTIF(postDEL!$A$2:$A799,A761)</f>
        <v>1</v>
      </c>
      <c r="O761" s="19">
        <f>MATCH(A761,postDEL!A$2:A799,0)</f>
        <v>760</v>
      </c>
      <c r="P761" s="10" t="str">
        <f t="shared" si="1"/>
        <v/>
      </c>
      <c r="Q761" s="220">
        <f t="shared" si="2"/>
        <v>0</v>
      </c>
      <c r="R761" s="5"/>
    </row>
    <row r="762">
      <c r="A762" s="221" t="s">
        <v>2170</v>
      </c>
      <c r="B762" s="217">
        <f t="array" ref="B762">INDEX(postDEL!$A$2:$P799,$O762,2)</f>
        <v>44692</v>
      </c>
      <c r="C762" s="218">
        <f t="array" ref="C762">INDEX(postDEL!$A$2:$P799,$O762,3)</f>
        <v>0.2788773148</v>
      </c>
      <c r="D762" s="219" t="str">
        <f t="array" ref="D762">INDEX(postDEL!$A$2:$AN799,$O762,39)</f>
        <v>SpBEND394154</v>
      </c>
      <c r="E762" s="219" t="str">
        <f t="array" ref="E762">INDEX(postDEL!$A$2:$P799,$O762,4)</f>
        <v/>
      </c>
      <c r="F762" s="219" t="str">
        <f t="array" ref="F762">INDEX(postDEL!$A$2:$P799,$O762,5)</f>
        <v/>
      </c>
      <c r="G762" s="219" t="str">
        <f t="array" ref="G762">INDEX(postDEL!$A$2:$P799,$O762,11)</f>
        <v>Negative</v>
      </c>
      <c r="H762" s="219" t="str">
        <f t="array" ref="H762">INDEX(postDEL!$A$2:$AL799,$O762,37)</f>
        <v>Negative</v>
      </c>
      <c r="I762" s="217">
        <f t="array" ref="I762">INDEX(postDEL!$A$2:$AL799,$O762,12)</f>
        <v>44692</v>
      </c>
      <c r="J762" s="218">
        <f t="array" ref="J762">INDEX(postDEL!$A$2:$AL799,$O762,13)</f>
        <v>0.5025231481</v>
      </c>
      <c r="K762" s="219" t="str">
        <f t="array" ref="K762">INDEX(postDEL!$A$2:$AL799,$O762,36)</f>
        <v/>
      </c>
      <c r="L762" s="219" t="str">
        <f t="array" ref="L762">INDEX(postDEL!$A$2:$AL799,$O762,38)</f>
        <v/>
      </c>
      <c r="M762" s="219" t="str">
        <f t="array" ref="M762">INDEX(postDEL!$A$2:$AL799,$O762,15)</f>
        <v/>
      </c>
      <c r="N762" s="110">
        <f>COUNTIF(postDEL!$A$2:$A799,A762)</f>
        <v>1</v>
      </c>
      <c r="O762" s="19">
        <f>MATCH(A762,postDEL!A$2:A799,0)</f>
        <v>761</v>
      </c>
      <c r="P762" s="10" t="str">
        <f t="shared" si="1"/>
        <v/>
      </c>
      <c r="Q762" s="220">
        <f t="shared" si="2"/>
        <v>0</v>
      </c>
      <c r="R762" s="5"/>
    </row>
    <row r="763">
      <c r="A763" s="221" t="s">
        <v>2172</v>
      </c>
      <c r="B763" s="217">
        <f t="array" ref="B763">INDEX(postDEL!$A$2:$P799,$O763,2)</f>
        <v>44692</v>
      </c>
      <c r="C763" s="218">
        <f t="array" ref="C763">INDEX(postDEL!$A$2:$P799,$O763,3)</f>
        <v>0.2888541667</v>
      </c>
      <c r="D763" s="219" t="str">
        <f t="array" ref="D763">INDEX(postDEL!$A$2:$AN799,$O763,39)</f>
        <v>SpBEND394154</v>
      </c>
      <c r="E763" s="219" t="str">
        <f t="array" ref="E763">INDEX(postDEL!$A$2:$P799,$O763,4)</f>
        <v/>
      </c>
      <c r="F763" s="219" t="str">
        <f t="array" ref="F763">INDEX(postDEL!$A$2:$P799,$O763,5)</f>
        <v/>
      </c>
      <c r="G763" s="219" t="str">
        <f t="array" ref="G763">INDEX(postDEL!$A$2:$P799,$O763,11)</f>
        <v>Negative</v>
      </c>
      <c r="H763" s="219" t="str">
        <f t="array" ref="H763">INDEX(postDEL!$A$2:$AL799,$O763,37)</f>
        <v>Negative</v>
      </c>
      <c r="I763" s="217">
        <f t="array" ref="I763">INDEX(postDEL!$A$2:$AL799,$O763,12)</f>
        <v>44692</v>
      </c>
      <c r="J763" s="218">
        <f t="array" ref="J763">INDEX(postDEL!$A$2:$AL799,$O763,13)</f>
        <v>0.5025231481</v>
      </c>
      <c r="K763" s="219" t="str">
        <f t="array" ref="K763">INDEX(postDEL!$A$2:$AL799,$O763,36)</f>
        <v/>
      </c>
      <c r="L763" s="219" t="str">
        <f t="array" ref="L763">INDEX(postDEL!$A$2:$AL799,$O763,38)</f>
        <v/>
      </c>
      <c r="M763" s="219" t="str">
        <f t="array" ref="M763">INDEX(postDEL!$A$2:$AL799,$O763,15)</f>
        <v/>
      </c>
      <c r="N763" s="110">
        <f>COUNTIF(postDEL!$A$2:$A799,A763)</f>
        <v>1</v>
      </c>
      <c r="O763" s="19">
        <f>MATCH(A763,postDEL!A$2:A799,0)</f>
        <v>762</v>
      </c>
      <c r="P763" s="10" t="str">
        <f t="shared" si="1"/>
        <v/>
      </c>
      <c r="Q763" s="220">
        <f t="shared" si="2"/>
        <v>0</v>
      </c>
      <c r="R763" s="5"/>
    </row>
    <row r="764">
      <c r="A764" s="221" t="s">
        <v>2174</v>
      </c>
      <c r="B764" s="217">
        <f t="array" ref="B764">INDEX(postDEL!$A$2:$P799,$O764,2)</f>
        <v>44692</v>
      </c>
      <c r="C764" s="218">
        <f t="array" ref="C764">INDEX(postDEL!$A$2:$P799,$O764,3)</f>
        <v>0.2918981481</v>
      </c>
      <c r="D764" s="219" t="str">
        <f t="array" ref="D764">INDEX(postDEL!$A$2:$AN799,$O764,39)</f>
        <v>SpBEND394154</v>
      </c>
      <c r="E764" s="219" t="str">
        <f t="array" ref="E764">INDEX(postDEL!$A$2:$P799,$O764,4)</f>
        <v/>
      </c>
      <c r="F764" s="219" t="str">
        <f t="array" ref="F764">INDEX(postDEL!$A$2:$P799,$O764,5)</f>
        <v/>
      </c>
      <c r="G764" s="219" t="str">
        <f t="array" ref="G764">INDEX(postDEL!$A$2:$P799,$O764,11)</f>
        <v>Negative</v>
      </c>
      <c r="H764" s="219" t="str">
        <f t="array" ref="H764">INDEX(postDEL!$A$2:$AL799,$O764,37)</f>
        <v>Negative</v>
      </c>
      <c r="I764" s="217">
        <f t="array" ref="I764">INDEX(postDEL!$A$2:$AL799,$O764,12)</f>
        <v>44692</v>
      </c>
      <c r="J764" s="218">
        <f t="array" ref="J764">INDEX(postDEL!$A$2:$AL799,$O764,13)</f>
        <v>0.5025231481</v>
      </c>
      <c r="K764" s="219" t="str">
        <f t="array" ref="K764">INDEX(postDEL!$A$2:$AL799,$O764,36)</f>
        <v/>
      </c>
      <c r="L764" s="219" t="str">
        <f t="array" ref="L764">INDEX(postDEL!$A$2:$AL799,$O764,38)</f>
        <v/>
      </c>
      <c r="M764" s="219" t="str">
        <f t="array" ref="M764">INDEX(postDEL!$A$2:$AL799,$O764,15)</f>
        <v/>
      </c>
      <c r="N764" s="110">
        <f>COUNTIF(postDEL!$A$2:$A799,A764)</f>
        <v>1</v>
      </c>
      <c r="O764" s="19">
        <f>MATCH(A764,postDEL!A$2:A799,0)</f>
        <v>763</v>
      </c>
      <c r="P764" s="10" t="str">
        <f t="shared" si="1"/>
        <v/>
      </c>
      <c r="Q764" s="220">
        <f t="shared" si="2"/>
        <v>0</v>
      </c>
      <c r="R764" s="5"/>
    </row>
    <row r="765">
      <c r="A765" s="221" t="s">
        <v>2175</v>
      </c>
      <c r="B765" s="217">
        <f t="array" ref="B765">INDEX(postDEL!$A$2:$P799,$O765,2)</f>
        <v>44692</v>
      </c>
      <c r="C765" s="218">
        <f t="array" ref="C765">INDEX(postDEL!$A$2:$P799,$O765,3)</f>
        <v>0.3086342593</v>
      </c>
      <c r="D765" s="219" t="str">
        <f t="array" ref="D765">INDEX(postDEL!$A$2:$AN799,$O765,39)</f>
        <v>SpBEND394154</v>
      </c>
      <c r="E765" s="219" t="str">
        <f t="array" ref="E765">INDEX(postDEL!$A$2:$P799,$O765,4)</f>
        <v/>
      </c>
      <c r="F765" s="219" t="str">
        <f t="array" ref="F765">INDEX(postDEL!$A$2:$P799,$O765,5)</f>
        <v/>
      </c>
      <c r="G765" s="219" t="str">
        <f t="array" ref="G765">INDEX(postDEL!$A$2:$P799,$O765,11)</f>
        <v>Negative</v>
      </c>
      <c r="H765" s="219" t="str">
        <f t="array" ref="H765">INDEX(postDEL!$A$2:$AL799,$O765,37)</f>
        <v>Negative</v>
      </c>
      <c r="I765" s="217">
        <f t="array" ref="I765">INDEX(postDEL!$A$2:$AL799,$O765,12)</f>
        <v>44692</v>
      </c>
      <c r="J765" s="218">
        <f t="array" ref="J765">INDEX(postDEL!$A$2:$AL799,$O765,13)</f>
        <v>0.5025231481</v>
      </c>
      <c r="K765" s="219" t="str">
        <f t="array" ref="K765">INDEX(postDEL!$A$2:$AL799,$O765,36)</f>
        <v/>
      </c>
      <c r="L765" s="219" t="str">
        <f t="array" ref="L765">INDEX(postDEL!$A$2:$AL799,$O765,38)</f>
        <v/>
      </c>
      <c r="M765" s="219" t="str">
        <f t="array" ref="M765">INDEX(postDEL!$A$2:$AL799,$O765,15)</f>
        <v/>
      </c>
      <c r="N765" s="110">
        <f>COUNTIF(postDEL!$A$2:$A799,A765)</f>
        <v>1</v>
      </c>
      <c r="O765" s="19">
        <f>MATCH(A765,postDEL!A$2:A799,0)</f>
        <v>764</v>
      </c>
      <c r="P765" s="10" t="str">
        <f t="shared" si="1"/>
        <v/>
      </c>
      <c r="Q765" s="220">
        <f t="shared" si="2"/>
        <v>0</v>
      </c>
      <c r="R765" s="5"/>
    </row>
    <row r="766">
      <c r="A766" s="221" t="s">
        <v>2177</v>
      </c>
      <c r="B766" s="217">
        <f t="array" ref="B766">INDEX(postDEL!$A$2:$P799,$O766,2)</f>
        <v>44692</v>
      </c>
      <c r="C766" s="218">
        <f t="array" ref="C766">INDEX(postDEL!$A$2:$P799,$O766,3)</f>
        <v>0.3090393519</v>
      </c>
      <c r="D766" s="219" t="str">
        <f t="array" ref="D766">INDEX(postDEL!$A$2:$AN799,$O766,39)</f>
        <v>SpBEND394154</v>
      </c>
      <c r="E766" s="219" t="str">
        <f t="array" ref="E766">INDEX(postDEL!$A$2:$P799,$O766,4)</f>
        <v/>
      </c>
      <c r="F766" s="219" t="str">
        <f t="array" ref="F766">INDEX(postDEL!$A$2:$P799,$O766,5)</f>
        <v/>
      </c>
      <c r="G766" s="219" t="str">
        <f t="array" ref="G766">INDEX(postDEL!$A$2:$P799,$O766,11)</f>
        <v>Negative</v>
      </c>
      <c r="H766" s="219" t="str">
        <f t="array" ref="H766">INDEX(postDEL!$A$2:$AL799,$O766,37)</f>
        <v>Negative</v>
      </c>
      <c r="I766" s="217">
        <f t="array" ref="I766">INDEX(postDEL!$A$2:$AL799,$O766,12)</f>
        <v>44692</v>
      </c>
      <c r="J766" s="218">
        <f t="array" ref="J766">INDEX(postDEL!$A$2:$AL799,$O766,13)</f>
        <v>0.5025231481</v>
      </c>
      <c r="K766" s="219" t="str">
        <f t="array" ref="K766">INDEX(postDEL!$A$2:$AL799,$O766,36)</f>
        <v/>
      </c>
      <c r="L766" s="219" t="str">
        <f t="array" ref="L766">INDEX(postDEL!$A$2:$AL799,$O766,38)</f>
        <v/>
      </c>
      <c r="M766" s="219" t="str">
        <f t="array" ref="M766">INDEX(postDEL!$A$2:$AL799,$O766,15)</f>
        <v/>
      </c>
      <c r="N766" s="110">
        <f>COUNTIF(postDEL!$A$2:$A799,A766)</f>
        <v>1</v>
      </c>
      <c r="O766" s="19">
        <f>MATCH(A766,postDEL!A$2:A799,0)</f>
        <v>765</v>
      </c>
      <c r="P766" s="10" t="str">
        <f t="shared" si="1"/>
        <v/>
      </c>
      <c r="Q766" s="220">
        <f t="shared" si="2"/>
        <v>0</v>
      </c>
      <c r="R766" s="5"/>
    </row>
    <row r="767">
      <c r="A767" s="221" t="s">
        <v>2179</v>
      </c>
      <c r="B767" s="217">
        <f t="array" ref="B767">INDEX(postDEL!$A$2:$P799,$O767,2)</f>
        <v>44692</v>
      </c>
      <c r="C767" s="218">
        <f t="array" ref="C767">INDEX(postDEL!$A$2:$P799,$O767,3)</f>
        <v>0.3093634259</v>
      </c>
      <c r="D767" s="219" t="str">
        <f t="array" ref="D767">INDEX(postDEL!$A$2:$AN799,$O767,39)</f>
        <v>SpBEND394154</v>
      </c>
      <c r="E767" s="219" t="str">
        <f t="array" ref="E767">INDEX(postDEL!$A$2:$P799,$O767,4)</f>
        <v/>
      </c>
      <c r="F767" s="219" t="str">
        <f t="array" ref="F767">INDEX(postDEL!$A$2:$P799,$O767,5)</f>
        <v/>
      </c>
      <c r="G767" s="219" t="str">
        <f t="array" ref="G767">INDEX(postDEL!$A$2:$P799,$O767,11)</f>
        <v>Negative</v>
      </c>
      <c r="H767" s="219" t="str">
        <f t="array" ref="H767">INDEX(postDEL!$A$2:$AL799,$O767,37)</f>
        <v>Negative</v>
      </c>
      <c r="I767" s="217">
        <f t="array" ref="I767">INDEX(postDEL!$A$2:$AL799,$O767,12)</f>
        <v>44692</v>
      </c>
      <c r="J767" s="218">
        <f t="array" ref="J767">INDEX(postDEL!$A$2:$AL799,$O767,13)</f>
        <v>0.5025231481</v>
      </c>
      <c r="K767" s="219" t="str">
        <f t="array" ref="K767">INDEX(postDEL!$A$2:$AL799,$O767,36)</f>
        <v/>
      </c>
      <c r="L767" s="219" t="str">
        <f t="array" ref="L767">INDEX(postDEL!$A$2:$AL799,$O767,38)</f>
        <v/>
      </c>
      <c r="M767" s="219" t="str">
        <f t="array" ref="M767">INDEX(postDEL!$A$2:$AL799,$O767,15)</f>
        <v/>
      </c>
      <c r="N767" s="110">
        <f>COUNTIF(postDEL!$A$2:$A799,A767)</f>
        <v>1</v>
      </c>
      <c r="O767" s="19">
        <f>MATCH(A767,postDEL!A$2:A799,0)</f>
        <v>766</v>
      </c>
      <c r="P767" s="10" t="str">
        <f t="shared" si="1"/>
        <v/>
      </c>
      <c r="Q767" s="220">
        <f t="shared" si="2"/>
        <v>0</v>
      </c>
      <c r="R767" s="5"/>
    </row>
    <row r="768">
      <c r="A768" s="221" t="s">
        <v>2181</v>
      </c>
      <c r="B768" s="217">
        <f t="array" ref="B768">INDEX(postDEL!$A$2:$P799,$O768,2)</f>
        <v>44692</v>
      </c>
      <c r="C768" s="218">
        <f t="array" ref="C768">INDEX(postDEL!$A$2:$P799,$O768,3)</f>
        <v>0.3456597222</v>
      </c>
      <c r="D768" s="219" t="str">
        <f t="array" ref="D768">INDEX(postDEL!$A$2:$AN799,$O768,39)</f>
        <v>SpBEND918395</v>
      </c>
      <c r="E768" s="219" t="str">
        <f t="array" ref="E768">INDEX(postDEL!$A$2:$P799,$O768,4)</f>
        <v/>
      </c>
      <c r="F768" s="219" t="str">
        <f t="array" ref="F768">INDEX(postDEL!$A$2:$P799,$O768,5)</f>
        <v/>
      </c>
      <c r="G768" s="219" t="str">
        <f t="array" ref="G768">INDEX(postDEL!$A$2:$P799,$O768,11)</f>
        <v>Negative</v>
      </c>
      <c r="H768" s="219" t="str">
        <f t="array" ref="H768">INDEX(postDEL!$A$2:$AL799,$O768,37)</f>
        <v>Negative</v>
      </c>
      <c r="I768" s="217">
        <f t="array" ref="I768">INDEX(postDEL!$A$2:$AL799,$O768,12)</f>
        <v>44692</v>
      </c>
      <c r="J768" s="218">
        <f t="array" ref="J768">INDEX(postDEL!$A$2:$AL799,$O768,13)</f>
        <v>0.5025231481</v>
      </c>
      <c r="K768" s="219" t="str">
        <f t="array" ref="K768">INDEX(postDEL!$A$2:$AL799,$O768,36)</f>
        <v/>
      </c>
      <c r="L768" s="219" t="str">
        <f t="array" ref="L768">INDEX(postDEL!$A$2:$AL799,$O768,38)</f>
        <v/>
      </c>
      <c r="M768" s="219" t="str">
        <f t="array" ref="M768">INDEX(postDEL!$A$2:$AL799,$O768,15)</f>
        <v/>
      </c>
      <c r="N768" s="110">
        <f>COUNTIF(postDEL!$A$2:$A799,A768)</f>
        <v>1</v>
      </c>
      <c r="O768" s="19">
        <f>MATCH(A768,postDEL!A$2:A799,0)</f>
        <v>767</v>
      </c>
      <c r="P768" s="10" t="str">
        <f t="shared" si="1"/>
        <v/>
      </c>
      <c r="Q768" s="220">
        <f t="shared" si="2"/>
        <v>0</v>
      </c>
      <c r="R768" s="5"/>
    </row>
    <row r="769">
      <c r="A769" s="201"/>
      <c r="B769" s="44"/>
      <c r="C769" s="150"/>
      <c r="D769" s="5"/>
      <c r="E769" s="5"/>
      <c r="F769" s="5"/>
      <c r="G769" s="5"/>
      <c r="H769" s="5"/>
      <c r="I769" s="44"/>
      <c r="J769" s="150"/>
      <c r="K769" s="5"/>
      <c r="L769" s="5"/>
      <c r="M769" s="5"/>
      <c r="N769" s="10"/>
      <c r="O769" s="19"/>
      <c r="P769" s="10"/>
      <c r="Q769" s="222"/>
      <c r="R769" s="5"/>
    </row>
    <row r="770">
      <c r="A770" s="201"/>
      <c r="B770" s="44"/>
      <c r="C770" s="150"/>
      <c r="D770" s="5"/>
      <c r="E770" s="5"/>
      <c r="F770" s="5"/>
      <c r="G770" s="5"/>
      <c r="H770" s="5"/>
      <c r="I770" s="44"/>
      <c r="J770" s="150"/>
      <c r="K770" s="5"/>
      <c r="L770" s="5"/>
      <c r="M770" s="5"/>
      <c r="N770" s="10"/>
      <c r="O770" s="19"/>
      <c r="P770" s="10"/>
      <c r="Q770" s="68"/>
      <c r="R770" s="5"/>
    </row>
    <row r="771">
      <c r="A771" s="201"/>
      <c r="B771" s="44"/>
      <c r="C771" s="150"/>
      <c r="D771" s="5"/>
      <c r="E771" s="5"/>
      <c r="F771" s="5"/>
      <c r="G771" s="5"/>
      <c r="H771" s="5"/>
      <c r="I771" s="44"/>
      <c r="J771" s="150"/>
      <c r="K771" s="5"/>
      <c r="L771" s="5"/>
      <c r="M771" s="5"/>
      <c r="N771" s="10"/>
      <c r="O771" s="19"/>
      <c r="P771" s="10"/>
      <c r="Q771" s="68"/>
      <c r="R771" s="5"/>
    </row>
    <row r="772">
      <c r="A772" s="201"/>
      <c r="B772" s="44"/>
      <c r="C772" s="150"/>
      <c r="D772" s="5"/>
      <c r="E772" s="5"/>
      <c r="F772" s="5"/>
      <c r="G772" s="5"/>
      <c r="H772" s="5"/>
      <c r="I772" s="44"/>
      <c r="J772" s="150"/>
      <c r="K772" s="5"/>
      <c r="L772" s="5"/>
      <c r="M772" s="5"/>
      <c r="N772" s="10"/>
      <c r="O772" s="19"/>
      <c r="P772" s="10"/>
      <c r="Q772" s="68"/>
      <c r="R772" s="5"/>
    </row>
    <row r="773">
      <c r="A773" s="201"/>
      <c r="B773" s="44"/>
      <c r="C773" s="150"/>
      <c r="D773" s="5"/>
      <c r="E773" s="5"/>
      <c r="F773" s="5"/>
      <c r="G773" s="5"/>
      <c r="H773" s="5"/>
      <c r="I773" s="44"/>
      <c r="J773" s="150"/>
      <c r="K773" s="5"/>
      <c r="L773" s="5"/>
      <c r="M773" s="5"/>
      <c r="N773" s="10"/>
      <c r="O773" s="19"/>
      <c r="P773" s="10"/>
      <c r="Q773" s="68"/>
      <c r="R773" s="5"/>
    </row>
    <row r="774">
      <c r="A774" s="201"/>
      <c r="B774" s="44"/>
      <c r="C774" s="150"/>
      <c r="D774" s="5"/>
      <c r="E774" s="5"/>
      <c r="F774" s="5"/>
      <c r="G774" s="5"/>
      <c r="H774" s="5"/>
      <c r="I774" s="44"/>
      <c r="J774" s="150"/>
      <c r="K774" s="5"/>
      <c r="L774" s="5"/>
      <c r="M774" s="5"/>
      <c r="N774" s="10"/>
      <c r="O774" s="19"/>
      <c r="P774" s="10"/>
      <c r="Q774" s="68"/>
      <c r="R774" s="5"/>
    </row>
    <row r="775">
      <c r="A775" s="201"/>
      <c r="B775" s="44"/>
      <c r="C775" s="150"/>
      <c r="D775" s="5"/>
      <c r="E775" s="5"/>
      <c r="F775" s="5"/>
      <c r="G775" s="5"/>
      <c r="H775" s="5"/>
      <c r="I775" s="44"/>
      <c r="J775" s="150"/>
      <c r="K775" s="5"/>
      <c r="L775" s="5"/>
      <c r="M775" s="5"/>
      <c r="N775" s="10"/>
      <c r="O775" s="19"/>
      <c r="P775" s="10"/>
      <c r="Q775" s="68"/>
      <c r="R775" s="5"/>
    </row>
    <row r="776">
      <c r="A776" s="201"/>
      <c r="B776" s="44"/>
      <c r="C776" s="150"/>
      <c r="D776" s="5"/>
      <c r="E776" s="5"/>
      <c r="F776" s="5"/>
      <c r="G776" s="5"/>
      <c r="H776" s="5"/>
      <c r="I776" s="44"/>
      <c r="J776" s="150"/>
      <c r="K776" s="5"/>
      <c r="L776" s="5"/>
      <c r="M776" s="5"/>
      <c r="N776" s="10"/>
      <c r="O776" s="19"/>
      <c r="P776" s="10"/>
      <c r="Q776" s="68"/>
      <c r="R776" s="5"/>
    </row>
    <row r="777">
      <c r="A777" s="201"/>
      <c r="B777" s="44"/>
      <c r="C777" s="150"/>
      <c r="D777" s="5"/>
      <c r="E777" s="5"/>
      <c r="F777" s="5"/>
      <c r="G777" s="5"/>
      <c r="H777" s="5"/>
      <c r="I777" s="44"/>
      <c r="J777" s="150"/>
      <c r="K777" s="5"/>
      <c r="L777" s="5"/>
      <c r="M777" s="5"/>
      <c r="N777" s="10"/>
      <c r="O777" s="19"/>
      <c r="P777" s="10"/>
      <c r="Q777" s="68"/>
      <c r="R777" s="5"/>
    </row>
    <row r="778">
      <c r="A778" s="201"/>
      <c r="B778" s="44"/>
      <c r="C778" s="150"/>
      <c r="D778" s="5"/>
      <c r="E778" s="5"/>
      <c r="F778" s="5"/>
      <c r="G778" s="5"/>
      <c r="H778" s="5"/>
      <c r="I778" s="44"/>
      <c r="J778" s="150"/>
      <c r="K778" s="5"/>
      <c r="L778" s="5"/>
      <c r="M778" s="5"/>
      <c r="N778" s="10"/>
      <c r="O778" s="19"/>
      <c r="P778" s="10"/>
      <c r="Q778" s="68"/>
      <c r="R778" s="5"/>
    </row>
    <row r="779">
      <c r="A779" s="201"/>
      <c r="B779" s="44"/>
      <c r="C779" s="150"/>
      <c r="D779" s="5"/>
      <c r="E779" s="5"/>
      <c r="F779" s="5"/>
      <c r="G779" s="5"/>
      <c r="H779" s="5"/>
      <c r="I779" s="44"/>
      <c r="J779" s="150"/>
      <c r="K779" s="5"/>
      <c r="L779" s="5"/>
      <c r="M779" s="5"/>
      <c r="N779" s="10"/>
      <c r="O779" s="19"/>
      <c r="P779" s="10"/>
      <c r="Q779" s="68"/>
      <c r="R779" s="5"/>
    </row>
    <row r="780">
      <c r="A780" s="201"/>
      <c r="B780" s="44"/>
      <c r="C780" s="150"/>
      <c r="D780" s="5"/>
      <c r="E780" s="5"/>
      <c r="F780" s="5"/>
      <c r="G780" s="5"/>
      <c r="H780" s="5"/>
      <c r="I780" s="44"/>
      <c r="J780" s="150"/>
      <c r="K780" s="5"/>
      <c r="L780" s="5"/>
      <c r="M780" s="5"/>
      <c r="N780" s="10"/>
      <c r="O780" s="19"/>
      <c r="P780" s="10"/>
      <c r="Q780" s="68"/>
      <c r="R780" s="5"/>
    </row>
    <row r="781">
      <c r="A781" s="201"/>
      <c r="B781" s="44"/>
      <c r="C781" s="150"/>
      <c r="D781" s="5"/>
      <c r="E781" s="5"/>
      <c r="F781" s="5"/>
      <c r="G781" s="5"/>
      <c r="H781" s="5"/>
      <c r="I781" s="44"/>
      <c r="J781" s="150"/>
      <c r="K781" s="5"/>
      <c r="L781" s="5"/>
      <c r="M781" s="5"/>
      <c r="N781" s="10"/>
      <c r="O781" s="19"/>
      <c r="P781" s="10"/>
      <c r="Q781" s="68"/>
      <c r="R781" s="5"/>
    </row>
    <row r="782">
      <c r="A782" s="201"/>
      <c r="B782" s="44"/>
      <c r="C782" s="150"/>
      <c r="D782" s="5"/>
      <c r="E782" s="5"/>
      <c r="F782" s="5"/>
      <c r="G782" s="5"/>
      <c r="H782" s="5"/>
      <c r="I782" s="44"/>
      <c r="J782" s="150"/>
      <c r="K782" s="5"/>
      <c r="L782" s="5"/>
      <c r="M782" s="5"/>
      <c r="N782" s="10"/>
      <c r="O782" s="19"/>
      <c r="P782" s="10"/>
      <c r="Q782" s="68"/>
      <c r="R782" s="5"/>
    </row>
    <row r="783">
      <c r="A783" s="201"/>
      <c r="B783" s="44"/>
      <c r="C783" s="150"/>
      <c r="D783" s="5"/>
      <c r="E783" s="5"/>
      <c r="F783" s="5"/>
      <c r="G783" s="5"/>
      <c r="H783" s="5"/>
      <c r="I783" s="44"/>
      <c r="J783" s="150"/>
      <c r="K783" s="5"/>
      <c r="L783" s="5"/>
      <c r="M783" s="5"/>
      <c r="N783" s="10"/>
      <c r="O783" s="19"/>
      <c r="P783" s="10"/>
      <c r="Q783" s="68"/>
      <c r="R783" s="5"/>
    </row>
    <row r="784">
      <c r="A784" s="201"/>
      <c r="B784" s="44"/>
      <c r="C784" s="150"/>
      <c r="D784" s="5"/>
      <c r="E784" s="5"/>
      <c r="F784" s="5"/>
      <c r="G784" s="5"/>
      <c r="H784" s="5"/>
      <c r="I784" s="44"/>
      <c r="J784" s="150"/>
      <c r="K784" s="5"/>
      <c r="L784" s="5"/>
      <c r="M784" s="5"/>
      <c r="N784" s="10"/>
      <c r="O784" s="19"/>
      <c r="P784" s="10"/>
      <c r="Q784" s="68"/>
      <c r="R784" s="5"/>
    </row>
    <row r="785">
      <c r="A785" s="201"/>
      <c r="B785" s="44"/>
      <c r="C785" s="150"/>
      <c r="D785" s="5"/>
      <c r="E785" s="5"/>
      <c r="F785" s="5"/>
      <c r="G785" s="5"/>
      <c r="H785" s="5"/>
      <c r="I785" s="44"/>
      <c r="J785" s="150"/>
      <c r="K785" s="5"/>
      <c r="L785" s="5"/>
      <c r="M785" s="5"/>
      <c r="N785" s="10"/>
      <c r="O785" s="19"/>
      <c r="P785" s="10"/>
      <c r="Q785" s="68"/>
      <c r="R785" s="5"/>
    </row>
    <row r="786">
      <c r="A786" s="201"/>
      <c r="B786" s="44"/>
      <c r="C786" s="150"/>
      <c r="D786" s="5"/>
      <c r="E786" s="5"/>
      <c r="F786" s="5"/>
      <c r="G786" s="5"/>
      <c r="H786" s="5"/>
      <c r="I786" s="44"/>
      <c r="J786" s="150"/>
      <c r="K786" s="5"/>
      <c r="L786" s="5"/>
      <c r="M786" s="5"/>
      <c r="N786" s="10"/>
      <c r="O786" s="19"/>
      <c r="P786" s="10"/>
      <c r="Q786" s="68"/>
      <c r="R786" s="5"/>
    </row>
    <row r="787">
      <c r="A787" s="201"/>
      <c r="B787" s="44"/>
      <c r="C787" s="150"/>
      <c r="D787" s="5"/>
      <c r="E787" s="5"/>
      <c r="F787" s="5"/>
      <c r="G787" s="5"/>
      <c r="H787" s="5"/>
      <c r="I787" s="44"/>
      <c r="J787" s="150"/>
      <c r="K787" s="5"/>
      <c r="L787" s="5"/>
      <c r="M787" s="5"/>
      <c r="N787" s="10"/>
      <c r="O787" s="19"/>
      <c r="P787" s="10"/>
      <c r="Q787" s="68"/>
      <c r="R787" s="5"/>
    </row>
    <row r="788">
      <c r="A788" s="201"/>
      <c r="B788" s="44"/>
      <c r="C788" s="150"/>
      <c r="D788" s="5"/>
      <c r="E788" s="5"/>
      <c r="F788" s="5"/>
      <c r="G788" s="5"/>
      <c r="H788" s="5"/>
      <c r="I788" s="44"/>
      <c r="J788" s="150"/>
      <c r="K788" s="5"/>
      <c r="L788" s="5"/>
      <c r="M788" s="5"/>
      <c r="N788" s="10"/>
      <c r="O788" s="19"/>
      <c r="P788" s="10"/>
      <c r="Q788" s="68"/>
      <c r="R788" s="5"/>
    </row>
    <row r="789">
      <c r="A789" s="201"/>
      <c r="B789" s="44"/>
      <c r="C789" s="150"/>
      <c r="D789" s="5"/>
      <c r="E789" s="5"/>
      <c r="F789" s="5"/>
      <c r="G789" s="5"/>
      <c r="H789" s="5"/>
      <c r="I789" s="44"/>
      <c r="J789" s="150"/>
      <c r="K789" s="5"/>
      <c r="L789" s="5"/>
      <c r="M789" s="5"/>
      <c r="N789" s="10"/>
      <c r="O789" s="19"/>
      <c r="P789" s="10"/>
      <c r="Q789" s="68"/>
      <c r="R789" s="5"/>
    </row>
    <row r="790">
      <c r="A790" s="201"/>
      <c r="B790" s="44"/>
      <c r="C790" s="150"/>
      <c r="D790" s="5"/>
      <c r="E790" s="5"/>
      <c r="F790" s="5"/>
      <c r="G790" s="5"/>
      <c r="H790" s="5"/>
      <c r="I790" s="44"/>
      <c r="J790" s="150"/>
      <c r="K790" s="5"/>
      <c r="L790" s="5"/>
      <c r="M790" s="5"/>
      <c r="N790" s="10"/>
      <c r="O790" s="19"/>
      <c r="P790" s="10"/>
      <c r="Q790" s="68"/>
      <c r="R790" s="5"/>
    </row>
    <row r="791">
      <c r="A791" s="201"/>
      <c r="B791" s="44"/>
      <c r="C791" s="150"/>
      <c r="D791" s="5"/>
      <c r="E791" s="5"/>
      <c r="F791" s="5"/>
      <c r="G791" s="5"/>
      <c r="H791" s="5"/>
      <c r="I791" s="44"/>
      <c r="J791" s="150"/>
      <c r="K791" s="5"/>
      <c r="L791" s="5"/>
      <c r="M791" s="5"/>
      <c r="N791" s="10"/>
      <c r="O791" s="19"/>
      <c r="P791" s="10"/>
      <c r="Q791" s="68"/>
      <c r="R791" s="5"/>
    </row>
    <row r="792">
      <c r="A792" s="201"/>
      <c r="B792" s="44"/>
      <c r="C792" s="150"/>
      <c r="D792" s="5"/>
      <c r="E792" s="5"/>
      <c r="F792" s="5"/>
      <c r="G792" s="5"/>
      <c r="H792" s="5"/>
      <c r="I792" s="44"/>
      <c r="J792" s="150"/>
      <c r="K792" s="5"/>
      <c r="L792" s="5"/>
      <c r="M792" s="5"/>
      <c r="N792" s="10"/>
      <c r="O792" s="19"/>
      <c r="P792" s="10"/>
      <c r="Q792" s="68"/>
      <c r="R792" s="5"/>
    </row>
    <row r="793">
      <c r="A793" s="201"/>
      <c r="B793" s="44"/>
      <c r="C793" s="150"/>
      <c r="D793" s="5"/>
      <c r="E793" s="5"/>
      <c r="F793" s="5"/>
      <c r="G793" s="5"/>
      <c r="H793" s="5"/>
      <c r="I793" s="44"/>
      <c r="J793" s="150"/>
      <c r="K793" s="5"/>
      <c r="L793" s="5"/>
      <c r="M793" s="5"/>
      <c r="N793" s="10"/>
      <c r="O793" s="19"/>
      <c r="P793" s="10"/>
      <c r="Q793" s="68"/>
      <c r="R793" s="5"/>
    </row>
    <row r="794">
      <c r="A794" s="201"/>
      <c r="B794" s="44"/>
      <c r="C794" s="150"/>
      <c r="D794" s="5"/>
      <c r="E794" s="5"/>
      <c r="F794" s="5"/>
      <c r="G794" s="5"/>
      <c r="H794" s="5"/>
      <c r="I794" s="44"/>
      <c r="J794" s="150"/>
      <c r="K794" s="5"/>
      <c r="L794" s="5"/>
      <c r="M794" s="5"/>
      <c r="N794" s="10"/>
      <c r="O794" s="19"/>
      <c r="P794" s="10"/>
      <c r="Q794" s="68"/>
      <c r="R794" s="5"/>
    </row>
    <row r="795">
      <c r="A795" s="201"/>
      <c r="B795" s="44"/>
      <c r="C795" s="150"/>
      <c r="D795" s="5"/>
      <c r="E795" s="5"/>
      <c r="F795" s="5"/>
      <c r="G795" s="5"/>
      <c r="H795" s="5"/>
      <c r="I795" s="44"/>
      <c r="J795" s="150"/>
      <c r="K795" s="5"/>
      <c r="L795" s="5"/>
      <c r="M795" s="5"/>
      <c r="N795" s="10"/>
      <c r="O795" s="19"/>
      <c r="P795" s="10"/>
      <c r="Q795" s="68"/>
      <c r="R795" s="5"/>
    </row>
    <row r="796">
      <c r="A796" s="201"/>
      <c r="B796" s="44"/>
      <c r="C796" s="150"/>
      <c r="D796" s="5"/>
      <c r="E796" s="5"/>
      <c r="F796" s="5"/>
      <c r="G796" s="5"/>
      <c r="H796" s="5"/>
      <c r="I796" s="44"/>
      <c r="J796" s="150"/>
      <c r="K796" s="5"/>
      <c r="L796" s="5"/>
      <c r="M796" s="5"/>
      <c r="N796" s="10"/>
      <c r="O796" s="19"/>
      <c r="P796" s="10"/>
      <c r="Q796" s="68"/>
      <c r="R796" s="5"/>
    </row>
    <row r="797">
      <c r="A797" s="201"/>
      <c r="B797" s="44"/>
      <c r="C797" s="150"/>
      <c r="D797" s="5"/>
      <c r="E797" s="5"/>
      <c r="F797" s="5"/>
      <c r="G797" s="5"/>
      <c r="H797" s="5"/>
      <c r="I797" s="44"/>
      <c r="J797" s="150"/>
      <c r="K797" s="5"/>
      <c r="L797" s="5"/>
      <c r="M797" s="5"/>
      <c r="N797" s="10"/>
      <c r="O797" s="19"/>
      <c r="P797" s="10"/>
      <c r="Q797" s="68"/>
      <c r="R797" s="5"/>
    </row>
    <row r="798">
      <c r="A798" s="201"/>
      <c r="B798" s="44"/>
      <c r="C798" s="150"/>
      <c r="D798" s="5"/>
      <c r="E798" s="5"/>
      <c r="F798" s="5"/>
      <c r="G798" s="5"/>
      <c r="H798" s="5"/>
      <c r="I798" s="44"/>
      <c r="J798" s="150"/>
      <c r="K798" s="5"/>
      <c r="L798" s="5"/>
      <c r="M798" s="5"/>
      <c r="N798" s="10"/>
      <c r="O798" s="19"/>
      <c r="P798" s="10"/>
      <c r="Q798" s="68"/>
      <c r="R798" s="5"/>
    </row>
    <row r="799">
      <c r="A799" s="201"/>
      <c r="B799" s="44"/>
      <c r="C799" s="150"/>
      <c r="D799" s="5"/>
      <c r="E799" s="5"/>
      <c r="F799" s="5"/>
      <c r="G799" s="5"/>
      <c r="H799" s="5"/>
      <c r="I799" s="44"/>
      <c r="J799" s="150"/>
      <c r="K799" s="5"/>
      <c r="L799" s="5"/>
      <c r="M799" s="5"/>
      <c r="N799" s="10"/>
      <c r="O799" s="19"/>
      <c r="P799" s="10"/>
      <c r="Q799" s="68"/>
      <c r="R799" s="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outlineLevelCol="1"/>
  <cols>
    <col customWidth="1" min="1" max="1" width="10.63"/>
    <col customWidth="1" min="2" max="2" width="10.88"/>
    <col customWidth="1" min="3" max="3" width="5.63"/>
    <col customWidth="1" min="4" max="4" width="6.0"/>
    <col customWidth="1" min="5" max="5" width="5.5"/>
    <col customWidth="1" min="6" max="8" width="6.0"/>
    <col customWidth="1" min="9" max="9" width="9.0"/>
    <col customWidth="1" min="10" max="10" width="8.63"/>
    <col customWidth="1" min="11" max="11" width="12.88"/>
    <col customWidth="1" min="12" max="12" width="11.0"/>
    <col customWidth="1" min="13" max="13" width="12.38"/>
    <col customWidth="1" min="14" max="14" width="10.88" outlineLevel="1"/>
    <col customWidth="1" min="15" max="15" width="11.0" outlineLevel="1"/>
    <col customWidth="1" min="16" max="16" width="10.88" outlineLevel="1"/>
    <col customWidth="1" min="17" max="17" width="8.25" outlineLevel="1"/>
    <col customWidth="1" min="18" max="18" width="10.88" outlineLevel="1"/>
    <col customWidth="1" min="19" max="19" width="2.0"/>
    <col customWidth="1" min="20" max="20" width="11.25" outlineLevel="1"/>
    <col customWidth="1" min="21" max="21" width="10.88" outlineLevel="1"/>
    <col customWidth="1" min="22" max="22" width="6.75" outlineLevel="1"/>
    <col customWidth="1" min="23" max="23" width="6.0" outlineLevel="1"/>
    <col customWidth="1" min="24" max="24" width="5.38" outlineLevel="1"/>
    <col customWidth="1" min="25" max="27" width="6.0" outlineLevel="1"/>
    <col customWidth="1" min="28" max="28" width="8.88" outlineLevel="1"/>
    <col customWidth="1" min="29" max="29" width="8.63" outlineLevel="1"/>
    <col customWidth="1" min="30" max="30" width="9.5"/>
    <col customWidth="1" min="31" max="31" width="13.5"/>
  </cols>
  <sheetData>
    <row r="1">
      <c r="A1" s="59" t="s">
        <v>2420</v>
      </c>
      <c r="B1" s="59" t="str">
        <f>CONCATENATE("NUM TUBES ",SUM(B2:B79))</f>
        <v>NUM TUBES 767</v>
      </c>
      <c r="C1" s="59" t="str">
        <f>CONCATENATE("NEG ",SUM(C2:C79))</f>
        <v>NEG 694</v>
      </c>
      <c r="D1" s="59" t="str">
        <f>CONCATENATE("POS  ",SUM(D2:D79))</f>
        <v>POS  71</v>
      </c>
      <c r="E1" s="59" t="str">
        <f>CONCATENATE("INC  ",SUM(E2:E79))</f>
        <v>INC  2</v>
      </c>
      <c r="F1" s="59" t="str">
        <f>CONCATENATE("NULL  ",SUM(F2:F79))</f>
        <v>NULL  0</v>
      </c>
      <c r="G1" s="59" t="str">
        <f>CONCATENATE("INVL  ",SUM(G2:G79))</f>
        <v>INVL  0</v>
      </c>
      <c r="H1" s="59" t="str">
        <f>CONCATENATE("FAIL  ",SUM(H2:H79))</f>
        <v>FAIL  0</v>
      </c>
      <c r="I1" s="60" t="s">
        <v>2421</v>
      </c>
      <c r="J1" s="223" t="str">
        <f>IF(COUNTIF(J2:J79,FALSE)&gt;0, "ERROR!! MATCH NUMS", "MATCH NUMS OK")</f>
        <v>MATCH NUMS OK</v>
      </c>
      <c r="K1" s="59" t="s">
        <v>2422</v>
      </c>
      <c r="L1" s="59" t="s">
        <v>2423</v>
      </c>
      <c r="M1" s="59" t="s">
        <v>2424</v>
      </c>
      <c r="N1" s="187" t="s">
        <v>2425</v>
      </c>
      <c r="O1" s="187" t="s">
        <v>2426</v>
      </c>
      <c r="P1" s="59" t="s">
        <v>2427</v>
      </c>
      <c r="Q1" s="59" t="str">
        <f>CONCATENATE("NUM TUBES ",SUM(Q2:Q79))</f>
        <v>NUM TUBES 762</v>
      </c>
      <c r="R1" s="187" t="s">
        <v>2428</v>
      </c>
      <c r="S1" s="210"/>
      <c r="T1" s="59" t="s">
        <v>2427</v>
      </c>
      <c r="U1" s="59" t="str">
        <f>CONCATENATE("NUM TUBES ",SUM(U2:U79))</f>
        <v>NUM TUBES 763</v>
      </c>
      <c r="V1" s="59" t="str">
        <f>CONCATENATE("NEG ",SUM(V2:V79))</f>
        <v>NEG 690</v>
      </c>
      <c r="W1" s="59" t="str">
        <f>CONCATENATE("POS  ",SUM(W2:W79))</f>
        <v>POS  71</v>
      </c>
      <c r="X1" s="59" t="str">
        <f>CONCATENATE("INC  ",SUM(X2:X79))</f>
        <v>INC  2</v>
      </c>
      <c r="Y1" s="59" t="str">
        <f>CONCATENATE("NULL  ",SUM(Y2:Y79))</f>
        <v>NULL  0</v>
      </c>
      <c r="Z1" s="59" t="str">
        <f>CONCATENATE("INVL  ",SUM(Z2:Z79))</f>
        <v>INVL  0</v>
      </c>
      <c r="AA1" s="59" t="str">
        <f>CONCATENATE("FAIL  ",SUM(AA2:AA79))</f>
        <v>FAIL  0</v>
      </c>
      <c r="AB1" s="60" t="s">
        <v>2421</v>
      </c>
      <c r="AC1" s="223" t="str">
        <f>IF(COUNTIF(AC2:AC79,FALSE)&gt;0, "ERROR!! MATCH NUMS", "MATCH NUMS OK")</f>
        <v>MATCH NUMS OK</v>
      </c>
      <c r="AD1" s="59"/>
      <c r="AE1" s="3"/>
      <c r="AF1" s="5"/>
      <c r="AG1" s="5"/>
      <c r="AH1" s="5"/>
      <c r="AI1" s="5"/>
      <c r="AJ1" s="5"/>
      <c r="AK1" s="5"/>
      <c r="AL1" s="5"/>
    </row>
    <row r="2">
      <c r="A2" s="224">
        <f t="array" ref="A2:A54">SORT(UNIQUE('APS Tubes'!$B2:$B79))</f>
        <v>44540</v>
      </c>
      <c r="B2" s="10">
        <f>IFERROR(__xludf.DUMMYFUNCTION("COUNTUNIQUEIFS('APS Tubes'!$A$2:$A79,'APS Tubes'!$B$2:$B79,A2)"),5.0)</f>
        <v>5</v>
      </c>
      <c r="C2" s="10">
        <f>COUNTIFS('APS Tubes'!$B$2:$B79,A2,'APS Tubes'!$H$2:$H79,"Negative")</f>
        <v>5</v>
      </c>
      <c r="D2" s="10">
        <f>COUNTIFS('APS Tubes'!$B$2:$B79,$A2,'APS Tubes'!$H$2:$H79,"Positive")</f>
        <v>0</v>
      </c>
      <c r="E2" s="10">
        <f>COUNTIFS('APS Tubes'!$B$2:$B79,$A2,'APS Tubes'!$H$2:$H79,"Inconclusive")</f>
        <v>0</v>
      </c>
      <c r="F2" s="10">
        <f>COUNTIFS('APS Tubes'!$B$2:$B79,$A2,'APS Tubes'!$H$2:$H79,"Null")</f>
        <v>0</v>
      </c>
      <c r="G2" s="10">
        <f>COUNTIFS('APS Tubes'!$B$2:$B79,$A2,'APS Tubes'!$H$2:$H79,"Invalid")</f>
        <v>0</v>
      </c>
      <c r="H2" s="10">
        <f>COUNTIFS('APS Tubes'!$B$2:$B79,$A2,'APS Tubes'!$H$2:$H79,"Fail")</f>
        <v>0</v>
      </c>
      <c r="I2" s="10">
        <f t="shared" ref="I2:I53" si="1">SUM(C2:H2)</f>
        <v>5</v>
      </c>
      <c r="J2" s="10" t="b">
        <f t="shared" ref="J2:J53" si="2">IF(I2=B2,TRUE,FALSE)</f>
        <v>1</v>
      </c>
      <c r="K2" s="10" t="str">
        <f t="shared" ref="K2:K53" si="3">IFNA(VLOOKUP($A2,$T$2:$AA79,2,FALSE),"")</f>
        <v/>
      </c>
      <c r="L2" s="10" t="str">
        <f t="shared" ref="L2:L53" si="4">IF(NOT(ISBLANK(K2)),K2-B2,IFERROR(0/0,""))</f>
        <v/>
      </c>
      <c r="M2" s="10" t="str">
        <f t="shared" ref="M2:M53" si="5">IF(AND(NOT(ISBLANK(L2)),L2=0),TRUE,IFERROR(0/0,""))</f>
        <v/>
      </c>
      <c r="N2" s="10">
        <f>COUNTIFS('APS Tubes'!$B$2:$B79,A2,'APS Tubes'!Q$2:Q79,"&lt;=0")</f>
        <v>0</v>
      </c>
      <c r="O2" s="10" t="str">
        <f t="shared" ref="O2:O53" si="6">IF(N2=B2,TRUE,IFERROR(0/0,""))</f>
        <v/>
      </c>
      <c r="P2" s="10" t="str">
        <f t="shared" ref="P2:P53" si="7">IF(IFNA(COUNTIF(T$2:T79,A2)&gt;0,""),A2,IFERROR(0/0,""))</f>
        <v/>
      </c>
      <c r="Q2" s="10" t="str">
        <f>IFERROR(__xludf.DUMMYFUNCTION("IF(COUNTUNIQUEIFS('APS Tubes'!$A$2:$A79,'APS Tubes'!$I$2:$I79,P2)&gt;0,COUNTUNIQUEIFS('APS Tubes'!$A$2:$A79,'APS Tubes'!$I$2:$I79,P2),IFERROR(0/0))"),"")</f>
        <v/>
      </c>
      <c r="R2" s="10" t="str">
        <f t="shared" ref="R2:R53" si="8">IF(Q2=B2,TRUE,IFERROR(0/0,""))</f>
        <v/>
      </c>
      <c r="S2" s="210"/>
      <c r="T2" s="170">
        <f t="array" ref="T2:T43">SORT(UNIQUE('APS Tubes'!$I2:$I79))</f>
        <v>44543</v>
      </c>
      <c r="U2" s="10">
        <f>IFERROR(__xludf.DUMMYFUNCTION("COUNTUNIQUEIFS('APS Tubes'!$A$2:$A79,'APS Tubes'!$I$2:$I79,T2)"),12.0)</f>
        <v>12</v>
      </c>
      <c r="V2" s="10">
        <f>COUNTIFS('APS Tubes'!$I$2:$I79,T2,'APS Tubes'!$H$2:$H79,"Negative")</f>
        <v>12</v>
      </c>
      <c r="W2" s="10">
        <f>COUNTIFS('APS Tubes'!$I$2:$I79,T2,'APS Tubes'!$H$2:$H79,"Positive")</f>
        <v>0</v>
      </c>
      <c r="X2" s="10">
        <f>COUNTIFS('APS Tubes'!$I$2:$I79,T2,'APS Tubes'!$H$2:$H79,"Inconclusive")</f>
        <v>0</v>
      </c>
      <c r="Y2" s="10">
        <f>COUNTIFS('APS Tubes'!$I$2:$I79,T2,'APS Tubes'!$H$2:$H79,"Null")</f>
        <v>0</v>
      </c>
      <c r="Z2" s="10">
        <f>COUNTIFS('APS Tubes'!$I$2:$I79,T2,'APS Tubes'!$H$2:$H79,"Invalid")</f>
        <v>0</v>
      </c>
      <c r="AA2" s="10">
        <f>COUNTIFS('APS Tubes'!$I$2:$I79,T2,'APS Tubes'!$H$2:$H79,"Fail")</f>
        <v>0</v>
      </c>
      <c r="AB2" s="10">
        <f t="shared" ref="AB2:AB42" si="9">SUM(V2:AA2)</f>
        <v>12</v>
      </c>
      <c r="AC2" s="10" t="b">
        <f t="shared" ref="AC2:AC42" si="10">IF(AB2=U2,TRUE,FALSE)</f>
        <v>1</v>
      </c>
      <c r="AD2" s="184"/>
      <c r="AE2" s="184"/>
      <c r="AF2" s="5"/>
      <c r="AG2" s="5"/>
      <c r="AH2" s="5"/>
      <c r="AI2" s="5"/>
      <c r="AJ2" s="5"/>
      <c r="AK2" s="5"/>
      <c r="AL2" s="5"/>
    </row>
    <row r="3">
      <c r="A3" s="184">
        <v>44543.0</v>
      </c>
      <c r="B3" s="10">
        <f>IFERROR(__xludf.DUMMYFUNCTION("COUNTUNIQUEIFS('APS Tubes'!$A$2:$A79,'APS Tubes'!$B$2:$B79,A3)"),7.0)</f>
        <v>7</v>
      </c>
      <c r="C3" s="10">
        <f>COUNTIFS('APS Tubes'!$B$2:$B79,A3,'APS Tubes'!$H$2:$H79,"Negative")</f>
        <v>7</v>
      </c>
      <c r="D3" s="10">
        <f>COUNTIFS('APS Tubes'!$B$2:$B79,$A3,'APS Tubes'!$H$2:$H79,"Positive")</f>
        <v>0</v>
      </c>
      <c r="E3" s="10">
        <f>COUNTIFS('APS Tubes'!$B$2:$B79,$A3,'APS Tubes'!$H$2:$H79,"Inconclusive")</f>
        <v>0</v>
      </c>
      <c r="F3" s="10">
        <f>COUNTIFS('APS Tubes'!$B$2:$B79,$A3,'APS Tubes'!$H$2:$H79,"Null")</f>
        <v>0</v>
      </c>
      <c r="G3" s="10">
        <f>COUNTIFS('APS Tubes'!$B$2:$B79,$A3,'APS Tubes'!$H$2:$H79,"Invalid")</f>
        <v>0</v>
      </c>
      <c r="H3" s="10">
        <f>COUNTIFS('APS Tubes'!$B$2:$B79,$A3,'APS Tubes'!$H$2:$H79,"Fail")</f>
        <v>0</v>
      </c>
      <c r="I3" s="10">
        <f t="shared" si="1"/>
        <v>7</v>
      </c>
      <c r="J3" s="10" t="b">
        <f t="shared" si="2"/>
        <v>1</v>
      </c>
      <c r="K3" s="10">
        <f t="shared" si="3"/>
        <v>12</v>
      </c>
      <c r="L3" s="10">
        <f t="shared" si="4"/>
        <v>5</v>
      </c>
      <c r="M3" s="10" t="str">
        <f t="shared" si="5"/>
        <v/>
      </c>
      <c r="N3" s="10">
        <f>COUNTIFS('APS Tubes'!$B$2:$B79,A3,'APS Tubes'!Q$2:Q79,"&lt;=0")</f>
        <v>7</v>
      </c>
      <c r="O3" s="10" t="b">
        <f t="shared" si="6"/>
        <v>1</v>
      </c>
      <c r="P3" s="225">
        <f t="shared" si="7"/>
        <v>44543</v>
      </c>
      <c r="Q3" s="10">
        <f>IFERROR(__xludf.DUMMYFUNCTION("IF(COUNTUNIQUEIFS('APS Tubes'!$A$2:$A79,'APS Tubes'!$I$2:$I79,P3)&gt;0,COUNTUNIQUEIFS('APS Tubes'!$A$2:$A79,'APS Tubes'!$I$2:$I79,P3),IFERROR(0/0))"),12.0)</f>
        <v>12</v>
      </c>
      <c r="R3" s="10" t="str">
        <f t="shared" si="8"/>
        <v/>
      </c>
      <c r="S3" s="200"/>
      <c r="T3" s="44">
        <v>44545.0</v>
      </c>
      <c r="U3" s="10">
        <f>IFERROR(__xludf.DUMMYFUNCTION("COUNTUNIQUEIFS('APS Tubes'!$A$2:$A79,'APS Tubes'!$I$2:$I79,T3)"),3.0)</f>
        <v>3</v>
      </c>
      <c r="V3" s="10">
        <f>COUNTIFS('APS Tubes'!$I$2:$I79,T3,'APS Tubes'!$H$2:$H79,"Negative")</f>
        <v>3</v>
      </c>
      <c r="W3" s="10">
        <f>COUNTIFS('APS Tubes'!$I$2:$I79,T3,'APS Tubes'!$H$2:$H79,"Positive")</f>
        <v>0</v>
      </c>
      <c r="X3" s="10">
        <f>COUNTIFS('APS Tubes'!$I$2:$I79,T3,'APS Tubes'!$H$2:$H79,"Inconclusive")</f>
        <v>0</v>
      </c>
      <c r="Y3" s="10">
        <f>COUNTIFS('APS Tubes'!$I$2:$I79,T3,'APS Tubes'!$H$2:$H79,"Null")</f>
        <v>0</v>
      </c>
      <c r="Z3" s="10">
        <f>COUNTIFS('APS Tubes'!$I$2:$I79,T3,'APS Tubes'!$H$2:$H79,"Invalid")</f>
        <v>0</v>
      </c>
      <c r="AA3" s="10">
        <f>COUNTIFS('APS Tubes'!$I$2:$I79,T3,'APS Tubes'!$H$2:$H79,"Fail")</f>
        <v>0</v>
      </c>
      <c r="AB3" s="10">
        <f t="shared" si="9"/>
        <v>3</v>
      </c>
      <c r="AC3" s="10" t="b">
        <f t="shared" si="10"/>
        <v>1</v>
      </c>
      <c r="AD3" s="44"/>
      <c r="AE3" s="44"/>
    </row>
    <row r="4">
      <c r="A4" s="184">
        <v>44545.0</v>
      </c>
      <c r="B4" s="10">
        <f>IFERROR(__xludf.DUMMYFUNCTION("COUNTUNIQUEIFS('APS Tubes'!$A$2:$A79,'APS Tubes'!$B$2:$B79,A4)"),4.0)</f>
        <v>4</v>
      </c>
      <c r="C4" s="10">
        <f>COUNTIFS('APS Tubes'!$B$2:$B79,A4,'APS Tubes'!$H$2:$H79,"Negative")</f>
        <v>4</v>
      </c>
      <c r="D4" s="10">
        <f>COUNTIFS('APS Tubes'!$B$2:$B79,$A4,'APS Tubes'!$H$2:$H79,"Positive")</f>
        <v>0</v>
      </c>
      <c r="E4" s="10">
        <f>COUNTIFS('APS Tubes'!$B$2:$B79,$A4,'APS Tubes'!$H$2:$H79,"Inconclusive")</f>
        <v>0</v>
      </c>
      <c r="F4" s="10">
        <f>COUNTIFS('APS Tubes'!$B$2:$B79,$A4,'APS Tubes'!$H$2:$H79,"Null")</f>
        <v>0</v>
      </c>
      <c r="G4" s="10">
        <f>COUNTIFS('APS Tubes'!$B$2:$B79,$A4,'APS Tubes'!$H$2:$H79,"Invalid")</f>
        <v>0</v>
      </c>
      <c r="H4" s="10">
        <f>COUNTIFS('APS Tubes'!$B$2:$B79,$A4,'APS Tubes'!$H$2:$H79,"Fail")</f>
        <v>0</v>
      </c>
      <c r="I4" s="10">
        <f t="shared" si="1"/>
        <v>4</v>
      </c>
      <c r="J4" s="10" t="b">
        <f t="shared" si="2"/>
        <v>1</v>
      </c>
      <c r="K4" s="10">
        <f t="shared" si="3"/>
        <v>3</v>
      </c>
      <c r="L4" s="10">
        <f t="shared" si="4"/>
        <v>-1</v>
      </c>
      <c r="M4" s="10" t="str">
        <f t="shared" si="5"/>
        <v/>
      </c>
      <c r="N4" s="10">
        <f>COUNTIFS('APS Tubes'!$B$2:$B79,A4,'APS Tubes'!Q$2:Q79,"&lt;=0")</f>
        <v>3</v>
      </c>
      <c r="O4" s="10" t="str">
        <f t="shared" si="6"/>
        <v/>
      </c>
      <c r="P4" s="225">
        <f t="shared" si="7"/>
        <v>44545</v>
      </c>
      <c r="Q4" s="10">
        <f>IFERROR(__xludf.DUMMYFUNCTION("IF(COUNTUNIQUEIFS('APS Tubes'!$A$2:$A79,'APS Tubes'!$I$2:$I79,P4)&gt;0,COUNTUNIQUEIFS('APS Tubes'!$A$2:$A79,'APS Tubes'!$I$2:$I79,P4),IFERROR(0/0))"),3.0)</f>
        <v>3</v>
      </c>
      <c r="R4" s="10" t="str">
        <f t="shared" si="8"/>
        <v/>
      </c>
      <c r="S4" s="200"/>
      <c r="T4" s="44">
        <v>44547.0</v>
      </c>
      <c r="U4" s="10">
        <f>IFERROR(__xludf.DUMMYFUNCTION("COUNTUNIQUEIFS('APS Tubes'!$A$2:$A79,'APS Tubes'!$I$2:$I79,T4)"),2.0)</f>
        <v>2</v>
      </c>
      <c r="V4" s="10">
        <f>COUNTIFS('APS Tubes'!$I$2:$I79,T4,'APS Tubes'!$H$2:$H79,"Negative")</f>
        <v>1</v>
      </c>
      <c r="W4" s="10">
        <f>COUNTIFS('APS Tubes'!$I$2:$I79,T4,'APS Tubes'!$H$2:$H79,"Positive")</f>
        <v>1</v>
      </c>
      <c r="X4" s="10">
        <f>COUNTIFS('APS Tubes'!$I$2:$I79,T4,'APS Tubes'!$H$2:$H79,"Inconclusive")</f>
        <v>0</v>
      </c>
      <c r="Y4" s="10">
        <f>COUNTIFS('APS Tubes'!$I$2:$I79,T4,'APS Tubes'!$H$2:$H79,"Null")</f>
        <v>0</v>
      </c>
      <c r="Z4" s="10">
        <f>COUNTIFS('APS Tubes'!$I$2:$I79,T4,'APS Tubes'!$H$2:$H79,"Invalid")</f>
        <v>0</v>
      </c>
      <c r="AA4" s="10">
        <f>COUNTIFS('APS Tubes'!$I$2:$I79,T4,'APS Tubes'!$H$2:$H79,"Fail")</f>
        <v>0</v>
      </c>
      <c r="AB4" s="10">
        <f t="shared" si="9"/>
        <v>2</v>
      </c>
      <c r="AC4" s="10" t="b">
        <f t="shared" si="10"/>
        <v>1</v>
      </c>
      <c r="AD4" s="44"/>
      <c r="AE4" s="44"/>
    </row>
    <row r="5">
      <c r="A5" s="184">
        <v>44547.0</v>
      </c>
      <c r="B5" s="10">
        <f>IFERROR(__xludf.DUMMYFUNCTION("COUNTUNIQUEIFS('APS Tubes'!$A$2:$A79,'APS Tubes'!$B$2:$B79,A5)"),2.0)</f>
        <v>2</v>
      </c>
      <c r="C5" s="10">
        <f>COUNTIFS('APS Tubes'!$B$2:$B79,A5,'APS Tubes'!$H$2:$H79,"Negative")</f>
        <v>1</v>
      </c>
      <c r="D5" s="10">
        <f>COUNTIFS('APS Tubes'!$B$2:$B79,$A5,'APS Tubes'!$H$2:$H79,"Positive")</f>
        <v>1</v>
      </c>
      <c r="E5" s="10">
        <f>COUNTIFS('APS Tubes'!$B$2:$B79,$A5,'APS Tubes'!$H$2:$H79,"Inconclusive")</f>
        <v>0</v>
      </c>
      <c r="F5" s="10">
        <f>COUNTIFS('APS Tubes'!$B$2:$B79,$A5,'APS Tubes'!$H$2:$H79,"Null")</f>
        <v>0</v>
      </c>
      <c r="G5" s="10">
        <f>COUNTIFS('APS Tubes'!$B$2:$B79,$A5,'APS Tubes'!$H$2:$H79,"Invalid")</f>
        <v>0</v>
      </c>
      <c r="H5" s="10">
        <f>COUNTIFS('APS Tubes'!$B$2:$B79,$A5,'APS Tubes'!$H$2:$H79,"Fail")</f>
        <v>0</v>
      </c>
      <c r="I5" s="10">
        <f t="shared" si="1"/>
        <v>2</v>
      </c>
      <c r="J5" s="10" t="b">
        <f t="shared" si="2"/>
        <v>1</v>
      </c>
      <c r="K5" s="10">
        <f t="shared" si="3"/>
        <v>2</v>
      </c>
      <c r="L5" s="10">
        <f t="shared" si="4"/>
        <v>0</v>
      </c>
      <c r="M5" s="10" t="b">
        <f t="shared" si="5"/>
        <v>1</v>
      </c>
      <c r="N5" s="10">
        <f>COUNTIFS('APS Tubes'!$B$2:$B79,A5,'APS Tubes'!Q$2:Q79,"&lt;=0")</f>
        <v>2</v>
      </c>
      <c r="O5" s="10" t="b">
        <f t="shared" si="6"/>
        <v>1</v>
      </c>
      <c r="P5" s="225">
        <f t="shared" si="7"/>
        <v>44547</v>
      </c>
      <c r="Q5" s="10">
        <f>IFERROR(__xludf.DUMMYFUNCTION("IF(COUNTUNIQUEIFS('APS Tubes'!$A$2:$A79,'APS Tubes'!$I$2:$I79,P5)&gt;0,COUNTUNIQUEIFS('APS Tubes'!$A$2:$A79,'APS Tubes'!$I$2:$I79,P5),IFERROR(0/0))"),2.0)</f>
        <v>2</v>
      </c>
      <c r="R5" s="10" t="b">
        <f t="shared" si="8"/>
        <v>1</v>
      </c>
      <c r="S5" s="200"/>
      <c r="T5" s="44">
        <v>44550.0</v>
      </c>
      <c r="U5" s="10">
        <f>IFERROR(__xludf.DUMMYFUNCTION("COUNTUNIQUEIFS('APS Tubes'!$A$2:$A79,'APS Tubes'!$I$2:$I79,T5)"),8.0)</f>
        <v>8</v>
      </c>
      <c r="V5" s="10">
        <f>COUNTIFS('APS Tubes'!$I$2:$I79,T5,'APS Tubes'!$H$2:$H79,"Negative")</f>
        <v>8</v>
      </c>
      <c r="W5" s="10">
        <f>COUNTIFS('APS Tubes'!$I$2:$I79,T5,'APS Tubes'!$H$2:$H79,"Positive")</f>
        <v>0</v>
      </c>
      <c r="X5" s="10">
        <f>COUNTIFS('APS Tubes'!$I$2:$I79,T5,'APS Tubes'!$H$2:$H79,"Inconclusive")</f>
        <v>0</v>
      </c>
      <c r="Y5" s="10">
        <f>COUNTIFS('APS Tubes'!$I$2:$I79,T5,'APS Tubes'!$H$2:$H79,"Null")</f>
        <v>0</v>
      </c>
      <c r="Z5" s="10">
        <f>COUNTIFS('APS Tubes'!$I$2:$I79,T5,'APS Tubes'!$H$2:$H79,"Invalid")</f>
        <v>0</v>
      </c>
      <c r="AA5" s="10">
        <f>COUNTIFS('APS Tubes'!$I$2:$I79,T5,'APS Tubes'!$H$2:$H79,"Fail")</f>
        <v>0</v>
      </c>
      <c r="AB5" s="10">
        <f t="shared" si="9"/>
        <v>8</v>
      </c>
      <c r="AC5" s="10" t="b">
        <f t="shared" si="10"/>
        <v>1</v>
      </c>
      <c r="AD5" s="44"/>
      <c r="AE5" s="44"/>
    </row>
    <row r="6">
      <c r="A6" s="184">
        <v>44549.0</v>
      </c>
      <c r="B6" s="10">
        <f>IFERROR(__xludf.DUMMYFUNCTION("COUNTUNIQUEIFS('APS Tubes'!$A$2:$A79,'APS Tubes'!$B$2:$B79,A6)"),1.0)</f>
        <v>1</v>
      </c>
      <c r="C6" s="10">
        <f>COUNTIFS('APS Tubes'!$B$2:$B79,A6,'APS Tubes'!$H$2:$H79,"Negative")</f>
        <v>1</v>
      </c>
      <c r="D6" s="10">
        <f>COUNTIFS('APS Tubes'!$B$2:$B79,$A6,'APS Tubes'!$H$2:$H79,"Positive")</f>
        <v>0</v>
      </c>
      <c r="E6" s="10">
        <f>COUNTIFS('APS Tubes'!$B$2:$B79,$A6,'APS Tubes'!$H$2:$H79,"Inconclusive")</f>
        <v>0</v>
      </c>
      <c r="F6" s="10">
        <f>COUNTIFS('APS Tubes'!$B$2:$B79,$A6,'APS Tubes'!$H$2:$H79,"Null")</f>
        <v>0</v>
      </c>
      <c r="G6" s="10">
        <f>COUNTIFS('APS Tubes'!$B$2:$B79,$A6,'APS Tubes'!$H$2:$H79,"Invalid")</f>
        <v>0</v>
      </c>
      <c r="H6" s="10">
        <f>COUNTIFS('APS Tubes'!$B$2:$B79,$A6,'APS Tubes'!$H$2:$H79,"Fail")</f>
        <v>0</v>
      </c>
      <c r="I6" s="10">
        <f t="shared" si="1"/>
        <v>1</v>
      </c>
      <c r="J6" s="10" t="b">
        <f t="shared" si="2"/>
        <v>1</v>
      </c>
      <c r="K6" s="10" t="str">
        <f t="shared" si="3"/>
        <v/>
      </c>
      <c r="L6" s="10" t="str">
        <f t="shared" si="4"/>
        <v/>
      </c>
      <c r="M6" s="10" t="str">
        <f t="shared" si="5"/>
        <v/>
      </c>
      <c r="N6" s="10">
        <f>COUNTIFS('APS Tubes'!$B$2:$B79,A6,'APS Tubes'!Q$2:Q79,"&lt;=0")</f>
        <v>0</v>
      </c>
      <c r="O6" s="10" t="str">
        <f t="shared" si="6"/>
        <v/>
      </c>
      <c r="P6" s="10" t="str">
        <f t="shared" si="7"/>
        <v/>
      </c>
      <c r="Q6" s="10" t="str">
        <f>IFERROR(__xludf.DUMMYFUNCTION("IF(COUNTUNIQUEIFS('APS Tubes'!$A$2:$A79,'APS Tubes'!$I$2:$I79,P6)&gt;0,COUNTUNIQUEIFS('APS Tubes'!$A$2:$A79,'APS Tubes'!$I$2:$I79,P6),IFERROR(0/0))"),"")</f>
        <v/>
      </c>
      <c r="R6" s="10" t="str">
        <f t="shared" si="8"/>
        <v/>
      </c>
      <c r="S6" s="200"/>
      <c r="T6" s="44">
        <v>44552.0</v>
      </c>
      <c r="U6" s="10">
        <f>IFERROR(__xludf.DUMMYFUNCTION("COUNTUNIQUEIFS('APS Tubes'!$A$2:$A79,'APS Tubes'!$I$2:$I79,T6)"),4.0)</f>
        <v>4</v>
      </c>
      <c r="V6" s="10">
        <f>COUNTIFS('APS Tubes'!$I$2:$I79,T6,'APS Tubes'!$H$2:$H79,"Negative")</f>
        <v>4</v>
      </c>
      <c r="W6" s="10">
        <f>COUNTIFS('APS Tubes'!$I$2:$I79,T6,'APS Tubes'!$H$2:$H79,"Positive")</f>
        <v>0</v>
      </c>
      <c r="X6" s="10">
        <f>COUNTIFS('APS Tubes'!$I$2:$I79,T6,'APS Tubes'!$H$2:$H79,"Inconclusive")</f>
        <v>0</v>
      </c>
      <c r="Y6" s="10">
        <f>COUNTIFS('APS Tubes'!$I$2:$I79,T6,'APS Tubes'!$H$2:$H79,"Null")</f>
        <v>0</v>
      </c>
      <c r="Z6" s="10">
        <f>COUNTIFS('APS Tubes'!$I$2:$I79,T6,'APS Tubes'!$H$2:$H79,"Invalid")</f>
        <v>0</v>
      </c>
      <c r="AA6" s="10">
        <f>COUNTIFS('APS Tubes'!$I$2:$I79,T6,'APS Tubes'!$H$2:$H79,"Fail")</f>
        <v>0</v>
      </c>
      <c r="AB6" s="10">
        <f t="shared" si="9"/>
        <v>4</v>
      </c>
      <c r="AC6" s="10" t="b">
        <f t="shared" si="10"/>
        <v>1</v>
      </c>
      <c r="AD6" s="44"/>
      <c r="AE6" s="44"/>
    </row>
    <row r="7">
      <c r="A7" s="184">
        <v>44550.0</v>
      </c>
      <c r="B7" s="10">
        <f>IFERROR(__xludf.DUMMYFUNCTION("COUNTUNIQUEIFS('APS Tubes'!$A$2:$A79,'APS Tubes'!$B$2:$B79,A7)"),6.0)</f>
        <v>6</v>
      </c>
      <c r="C7" s="10">
        <f>COUNTIFS('APS Tubes'!$B$2:$B79,A7,'APS Tubes'!$H$2:$H79,"Negative")</f>
        <v>6</v>
      </c>
      <c r="D7" s="10">
        <f>COUNTIFS('APS Tubes'!$B$2:$B79,$A7,'APS Tubes'!$H$2:$H79,"Positive")</f>
        <v>0</v>
      </c>
      <c r="E7" s="10">
        <f>COUNTIFS('APS Tubes'!$B$2:$B79,$A7,'APS Tubes'!$H$2:$H79,"Inconclusive")</f>
        <v>0</v>
      </c>
      <c r="F7" s="10">
        <f>COUNTIFS('APS Tubes'!$B$2:$B79,$A7,'APS Tubes'!$H$2:$H79,"Null")</f>
        <v>0</v>
      </c>
      <c r="G7" s="10">
        <f>COUNTIFS('APS Tubes'!$B$2:$B79,$A7,'APS Tubes'!$H$2:$H79,"Invalid")</f>
        <v>0</v>
      </c>
      <c r="H7" s="10">
        <f>COUNTIFS('APS Tubes'!$B$2:$B79,$A7,'APS Tubes'!$H$2:$H79,"Fail")</f>
        <v>0</v>
      </c>
      <c r="I7" s="10">
        <f t="shared" si="1"/>
        <v>6</v>
      </c>
      <c r="J7" s="10" t="b">
        <f t="shared" si="2"/>
        <v>1</v>
      </c>
      <c r="K7" s="10">
        <f t="shared" si="3"/>
        <v>8</v>
      </c>
      <c r="L7" s="10">
        <f t="shared" si="4"/>
        <v>2</v>
      </c>
      <c r="M7" s="10" t="str">
        <f t="shared" si="5"/>
        <v/>
      </c>
      <c r="N7" s="10">
        <f>COUNTIFS('APS Tubes'!$B$2:$B79,A7,'APS Tubes'!Q$2:Q79,"&lt;=0")</f>
        <v>6</v>
      </c>
      <c r="O7" s="10" t="b">
        <f t="shared" si="6"/>
        <v>1</v>
      </c>
      <c r="P7" s="225">
        <f t="shared" si="7"/>
        <v>44550</v>
      </c>
      <c r="Q7" s="10">
        <f>IFERROR(__xludf.DUMMYFUNCTION("IF(COUNTUNIQUEIFS('APS Tubes'!$A$2:$A79,'APS Tubes'!$I$2:$I79,P7)&gt;0,COUNTUNIQUEIFS('APS Tubes'!$A$2:$A79,'APS Tubes'!$I$2:$I79,P7),IFERROR(0/0))"),8.0)</f>
        <v>8</v>
      </c>
      <c r="R7" s="10" t="str">
        <f t="shared" si="8"/>
        <v/>
      </c>
      <c r="S7" s="200"/>
      <c r="T7" s="44">
        <v>44557.0</v>
      </c>
      <c r="U7" s="10">
        <f>IFERROR(__xludf.DUMMYFUNCTION("COUNTUNIQUEIFS('APS Tubes'!$A$2:$A79,'APS Tubes'!$I$2:$I79,T7)"),15.0)</f>
        <v>15</v>
      </c>
      <c r="V7" s="10">
        <f>COUNTIFS('APS Tubes'!$I$2:$I79,T7,'APS Tubes'!$H$2:$H79,"Negative")</f>
        <v>15</v>
      </c>
      <c r="W7" s="10">
        <f>COUNTIFS('APS Tubes'!$I$2:$I79,T7,'APS Tubes'!$H$2:$H79,"Positive")</f>
        <v>0</v>
      </c>
      <c r="X7" s="10">
        <f>COUNTIFS('APS Tubes'!$I$2:$I79,T7,'APS Tubes'!$H$2:$H79,"Inconclusive")</f>
        <v>0</v>
      </c>
      <c r="Y7" s="10">
        <f>COUNTIFS('APS Tubes'!$I$2:$I79,T7,'APS Tubes'!$H$2:$H79,"Null")</f>
        <v>0</v>
      </c>
      <c r="Z7" s="10">
        <f>COUNTIFS('APS Tubes'!$I$2:$I79,T7,'APS Tubes'!$H$2:$H79,"Invalid")</f>
        <v>0</v>
      </c>
      <c r="AA7" s="10">
        <f>COUNTIFS('APS Tubes'!$I$2:$I79,T7,'APS Tubes'!$H$2:$H79,"Fail")</f>
        <v>0</v>
      </c>
      <c r="AB7" s="10">
        <f t="shared" si="9"/>
        <v>15</v>
      </c>
      <c r="AC7" s="10" t="b">
        <f t="shared" si="10"/>
        <v>1</v>
      </c>
      <c r="AD7" s="44"/>
      <c r="AE7" s="44"/>
    </row>
    <row r="8">
      <c r="A8" s="184">
        <v>44551.0</v>
      </c>
      <c r="B8" s="10">
        <f>IFERROR(__xludf.DUMMYFUNCTION("COUNTUNIQUEIFS('APS Tubes'!$A$2:$A79,'APS Tubes'!$B$2:$B79,A8)"),2.0)</f>
        <v>2</v>
      </c>
      <c r="C8" s="10">
        <f>COUNTIFS('APS Tubes'!$B$2:$B79,A8,'APS Tubes'!$H$2:$H79,"Negative")</f>
        <v>2</v>
      </c>
      <c r="D8" s="10">
        <f>COUNTIFS('APS Tubes'!$B$2:$B79,$A8,'APS Tubes'!$H$2:$H79,"Positive")</f>
        <v>0</v>
      </c>
      <c r="E8" s="10">
        <f>COUNTIFS('APS Tubes'!$B$2:$B79,$A8,'APS Tubes'!$H$2:$H79,"Inconclusive")</f>
        <v>0</v>
      </c>
      <c r="F8" s="10">
        <f>COUNTIFS('APS Tubes'!$B$2:$B79,$A8,'APS Tubes'!$H$2:$H79,"Null")</f>
        <v>0</v>
      </c>
      <c r="G8" s="10">
        <f>COUNTIFS('APS Tubes'!$B$2:$B79,$A8,'APS Tubes'!$H$2:$H79,"Invalid")</f>
        <v>0</v>
      </c>
      <c r="H8" s="10">
        <f>COUNTIFS('APS Tubes'!$B$2:$B79,$A8,'APS Tubes'!$H$2:$H79,"Fail")</f>
        <v>0</v>
      </c>
      <c r="I8" s="10">
        <f t="shared" si="1"/>
        <v>2</v>
      </c>
      <c r="J8" s="10" t="b">
        <f t="shared" si="2"/>
        <v>1</v>
      </c>
      <c r="K8" s="10" t="str">
        <f t="shared" si="3"/>
        <v/>
      </c>
      <c r="L8" s="10" t="str">
        <f t="shared" si="4"/>
        <v/>
      </c>
      <c r="M8" s="10" t="str">
        <f t="shared" si="5"/>
        <v/>
      </c>
      <c r="N8" s="10">
        <f>COUNTIFS('APS Tubes'!$B$2:$B79,A8,'APS Tubes'!Q$2:Q79,"&lt;=0")</f>
        <v>0</v>
      </c>
      <c r="O8" s="10" t="str">
        <f t="shared" si="6"/>
        <v/>
      </c>
      <c r="P8" s="10" t="str">
        <f t="shared" si="7"/>
        <v/>
      </c>
      <c r="Q8" s="10" t="str">
        <f>IFERROR(__xludf.DUMMYFUNCTION("IF(COUNTUNIQUEIFS('APS Tubes'!$A$2:$A79,'APS Tubes'!$I$2:$I79,P8)&gt;0,COUNTUNIQUEIFS('APS Tubes'!$A$2:$A79,'APS Tubes'!$I$2:$I79,P8),IFERROR(0/0))"),"")</f>
        <v/>
      </c>
      <c r="R8" s="10" t="str">
        <f t="shared" si="8"/>
        <v/>
      </c>
      <c r="S8" s="200"/>
      <c r="T8" s="44">
        <v>44559.0</v>
      </c>
      <c r="U8" s="10">
        <f>IFERROR(__xludf.DUMMYFUNCTION("COUNTUNIQUEIFS('APS Tubes'!$A$2:$A79,'APS Tubes'!$I$2:$I79,T8)"),4.0)</f>
        <v>4</v>
      </c>
      <c r="V8" s="10">
        <f>COUNTIFS('APS Tubes'!$I$2:$I79,T8,'APS Tubes'!$H$2:$H79,"Negative")</f>
        <v>4</v>
      </c>
      <c r="W8" s="10">
        <f>COUNTIFS('APS Tubes'!$I$2:$I79,T8,'APS Tubes'!$H$2:$H79,"Positive")</f>
        <v>0</v>
      </c>
      <c r="X8" s="10">
        <f>COUNTIFS('APS Tubes'!$I$2:$I79,T8,'APS Tubes'!$H$2:$H79,"Inconclusive")</f>
        <v>0</v>
      </c>
      <c r="Y8" s="10">
        <f>COUNTIFS('APS Tubes'!$I$2:$I79,T8,'APS Tubes'!$H$2:$H79,"Null")</f>
        <v>0</v>
      </c>
      <c r="Z8" s="10">
        <f>COUNTIFS('APS Tubes'!$I$2:$I79,T8,'APS Tubes'!$H$2:$H79,"Invalid")</f>
        <v>0</v>
      </c>
      <c r="AA8" s="10">
        <f>COUNTIFS('APS Tubes'!$I$2:$I79,T8,'APS Tubes'!$H$2:$H79,"Fail")</f>
        <v>0</v>
      </c>
      <c r="AB8" s="10">
        <f t="shared" si="9"/>
        <v>4</v>
      </c>
      <c r="AC8" s="10" t="b">
        <f t="shared" si="10"/>
        <v>1</v>
      </c>
      <c r="AD8" s="44"/>
      <c r="AE8" s="44"/>
    </row>
    <row r="9">
      <c r="A9" s="184">
        <v>44552.0</v>
      </c>
      <c r="B9" s="10">
        <f>IFERROR(__xludf.DUMMYFUNCTION("COUNTUNIQUEIFS('APS Tubes'!$A$2:$A79,'APS Tubes'!$B$2:$B79,A9)"),3.0)</f>
        <v>3</v>
      </c>
      <c r="C9" s="10">
        <f>COUNTIFS('APS Tubes'!$B$2:$B79,A9,'APS Tubes'!$H$2:$H79,"Negative")</f>
        <v>3</v>
      </c>
      <c r="D9" s="10">
        <f>COUNTIFS('APS Tubes'!$B$2:$B79,$A9,'APS Tubes'!$H$2:$H79,"Positive")</f>
        <v>0</v>
      </c>
      <c r="E9" s="10">
        <f>COUNTIFS('APS Tubes'!$B$2:$B79,$A9,'APS Tubes'!$H$2:$H79,"Inconclusive")</f>
        <v>0</v>
      </c>
      <c r="F9" s="10">
        <f>COUNTIFS('APS Tubes'!$B$2:$B79,$A9,'APS Tubes'!$H$2:$H79,"Null")</f>
        <v>0</v>
      </c>
      <c r="G9" s="10">
        <f>COUNTIFS('APS Tubes'!$B$2:$B79,$A9,'APS Tubes'!$H$2:$H79,"Invalid")</f>
        <v>0</v>
      </c>
      <c r="H9" s="10">
        <f>COUNTIFS('APS Tubes'!$B$2:$B79,$A9,'APS Tubes'!$H$2:$H79,"Fail")</f>
        <v>0</v>
      </c>
      <c r="I9" s="10">
        <f t="shared" si="1"/>
        <v>3</v>
      </c>
      <c r="J9" s="10" t="b">
        <f t="shared" si="2"/>
        <v>1</v>
      </c>
      <c r="K9" s="10">
        <f t="shared" si="3"/>
        <v>4</v>
      </c>
      <c r="L9" s="10">
        <f t="shared" si="4"/>
        <v>1</v>
      </c>
      <c r="M9" s="10" t="str">
        <f t="shared" si="5"/>
        <v/>
      </c>
      <c r="N9" s="10">
        <f>COUNTIFS('APS Tubes'!$B$2:$B79,A9,'APS Tubes'!Q$2:Q79,"&lt;=0")</f>
        <v>3</v>
      </c>
      <c r="O9" s="10" t="b">
        <f t="shared" si="6"/>
        <v>1</v>
      </c>
      <c r="P9" s="225">
        <f t="shared" si="7"/>
        <v>44552</v>
      </c>
      <c r="Q9" s="10">
        <f>IFERROR(__xludf.DUMMYFUNCTION("IF(COUNTUNIQUEIFS('APS Tubes'!$A$2:$A79,'APS Tubes'!$I$2:$I79,P9)&gt;0,COUNTUNIQUEIFS('APS Tubes'!$A$2:$A79,'APS Tubes'!$I$2:$I79,P9),IFERROR(0/0))"),4.0)</f>
        <v>4</v>
      </c>
      <c r="R9" s="10" t="str">
        <f t="shared" si="8"/>
        <v/>
      </c>
      <c r="S9" s="200"/>
      <c r="T9" s="44">
        <v>44561.0</v>
      </c>
      <c r="U9" s="10">
        <f>IFERROR(__xludf.DUMMYFUNCTION("COUNTUNIQUEIFS('APS Tubes'!$A$2:$A79,'APS Tubes'!$I$2:$I79,T9)"),8.0)</f>
        <v>8</v>
      </c>
      <c r="V9" s="10">
        <f>COUNTIFS('APS Tubes'!$I$2:$I79,T9,'APS Tubes'!$H$2:$H79,"Negative")</f>
        <v>6</v>
      </c>
      <c r="W9" s="10">
        <f>COUNTIFS('APS Tubes'!$I$2:$I79,T9,'APS Tubes'!$H$2:$H79,"Positive")</f>
        <v>2</v>
      </c>
      <c r="X9" s="10">
        <f>COUNTIFS('APS Tubes'!$I$2:$I79,T9,'APS Tubes'!$H$2:$H79,"Inconclusive")</f>
        <v>0</v>
      </c>
      <c r="Y9" s="10">
        <f>COUNTIFS('APS Tubes'!$I$2:$I79,T9,'APS Tubes'!$H$2:$H79,"Null")</f>
        <v>0</v>
      </c>
      <c r="Z9" s="10">
        <f>COUNTIFS('APS Tubes'!$I$2:$I79,T9,'APS Tubes'!$H$2:$H79,"Invalid")</f>
        <v>0</v>
      </c>
      <c r="AA9" s="10">
        <f>COUNTIFS('APS Tubes'!$I$2:$I79,T9,'APS Tubes'!$H$2:$H79,"Fail")</f>
        <v>0</v>
      </c>
      <c r="AB9" s="10">
        <f t="shared" si="9"/>
        <v>8</v>
      </c>
      <c r="AC9" s="10" t="b">
        <f t="shared" si="10"/>
        <v>1</v>
      </c>
      <c r="AD9" s="44"/>
      <c r="AE9" s="44"/>
    </row>
    <row r="10">
      <c r="A10" s="184">
        <v>44556.0</v>
      </c>
      <c r="B10" s="10">
        <f>IFERROR(__xludf.DUMMYFUNCTION("COUNTUNIQUEIFS('APS Tubes'!$A$2:$A79,'APS Tubes'!$B$2:$B79,A10)"),1.0)</f>
        <v>1</v>
      </c>
      <c r="C10" s="10">
        <f>COUNTIFS('APS Tubes'!$B$2:$B79,A10,'APS Tubes'!$H$2:$H79,"Negative")</f>
        <v>1</v>
      </c>
      <c r="D10" s="10">
        <f>COUNTIFS('APS Tubes'!$B$2:$B79,$A10,'APS Tubes'!$H$2:$H79,"Positive")</f>
        <v>0</v>
      </c>
      <c r="E10" s="10">
        <f>COUNTIFS('APS Tubes'!$B$2:$B79,$A10,'APS Tubes'!$H$2:$H79,"Inconclusive")</f>
        <v>0</v>
      </c>
      <c r="F10" s="10">
        <f>COUNTIFS('APS Tubes'!$B$2:$B79,$A10,'APS Tubes'!$H$2:$H79,"Null")</f>
        <v>0</v>
      </c>
      <c r="G10" s="10">
        <f>COUNTIFS('APS Tubes'!$B$2:$B79,$A10,'APS Tubes'!$H$2:$H79,"Invalid")</f>
        <v>0</v>
      </c>
      <c r="H10" s="10">
        <f>COUNTIFS('APS Tubes'!$B$2:$B79,$A10,'APS Tubes'!$H$2:$H79,"Fail")</f>
        <v>0</v>
      </c>
      <c r="I10" s="10">
        <f t="shared" si="1"/>
        <v>1</v>
      </c>
      <c r="J10" s="10" t="b">
        <f t="shared" si="2"/>
        <v>1</v>
      </c>
      <c r="K10" s="10" t="str">
        <f t="shared" si="3"/>
        <v/>
      </c>
      <c r="L10" s="10" t="str">
        <f t="shared" si="4"/>
        <v/>
      </c>
      <c r="M10" s="10" t="str">
        <f t="shared" si="5"/>
        <v/>
      </c>
      <c r="N10" s="10">
        <f>COUNTIFS('APS Tubes'!$B$2:$B79,A10,'APS Tubes'!Q$2:Q79,"&lt;=0")</f>
        <v>0</v>
      </c>
      <c r="O10" s="10" t="str">
        <f t="shared" si="6"/>
        <v/>
      </c>
      <c r="P10" s="10" t="str">
        <f t="shared" si="7"/>
        <v/>
      </c>
      <c r="Q10" s="10" t="str">
        <f>IFERROR(__xludf.DUMMYFUNCTION("IF(COUNTUNIQUEIFS('APS Tubes'!$A$2:$A79,'APS Tubes'!$I$2:$I79,P10)&gt;0,COUNTUNIQUEIFS('APS Tubes'!$A$2:$A79,'APS Tubes'!$I$2:$I79,P10),IFERROR(0/0))"),"")</f>
        <v/>
      </c>
      <c r="R10" s="10" t="str">
        <f t="shared" si="8"/>
        <v/>
      </c>
      <c r="S10" s="200"/>
      <c r="T10" s="44">
        <v>44564.0</v>
      </c>
      <c r="U10" s="10">
        <f>IFERROR(__xludf.DUMMYFUNCTION("COUNTUNIQUEIFS('APS Tubes'!$A$2:$A79,'APS Tubes'!$I$2:$I79,T10)"),14.0)</f>
        <v>14</v>
      </c>
      <c r="V10" s="10">
        <f>COUNTIFS('APS Tubes'!$I$2:$I79,T10,'APS Tubes'!$H$2:$H79,"Negative")</f>
        <v>10</v>
      </c>
      <c r="W10" s="10">
        <f>COUNTIFS('APS Tubes'!$I$2:$I79,T10,'APS Tubes'!$H$2:$H79,"Positive")</f>
        <v>4</v>
      </c>
      <c r="X10" s="10">
        <f>COUNTIFS('APS Tubes'!$I$2:$I79,T10,'APS Tubes'!$H$2:$H79,"Inconclusive")</f>
        <v>0</v>
      </c>
      <c r="Y10" s="10">
        <f>COUNTIFS('APS Tubes'!$I$2:$I79,T10,'APS Tubes'!$H$2:$H79,"Null")</f>
        <v>0</v>
      </c>
      <c r="Z10" s="10">
        <f>COUNTIFS('APS Tubes'!$I$2:$I79,T10,'APS Tubes'!$H$2:$H79,"Invalid")</f>
        <v>0</v>
      </c>
      <c r="AA10" s="10">
        <f>COUNTIFS('APS Tubes'!$I$2:$I79,T10,'APS Tubes'!$H$2:$H79,"Fail")</f>
        <v>0</v>
      </c>
      <c r="AB10" s="10">
        <f t="shared" si="9"/>
        <v>14</v>
      </c>
      <c r="AC10" s="10" t="b">
        <f t="shared" si="10"/>
        <v>1</v>
      </c>
      <c r="AD10" s="44"/>
      <c r="AE10" s="44"/>
    </row>
    <row r="11">
      <c r="A11" s="184">
        <v>44557.0</v>
      </c>
      <c r="B11" s="10">
        <f>IFERROR(__xludf.DUMMYFUNCTION("COUNTUNIQUEIFS('APS Tubes'!$A$2:$A79,'APS Tubes'!$B$2:$B79,A11)"),14.0)</f>
        <v>14</v>
      </c>
      <c r="C11" s="10">
        <f>COUNTIFS('APS Tubes'!$B$2:$B79,A11,'APS Tubes'!$H$2:$H79,"Negative")</f>
        <v>14</v>
      </c>
      <c r="D11" s="10">
        <f>COUNTIFS('APS Tubes'!$B$2:$B79,$A11,'APS Tubes'!$H$2:$H79,"Positive")</f>
        <v>0</v>
      </c>
      <c r="E11" s="10">
        <f>COUNTIFS('APS Tubes'!$B$2:$B79,$A11,'APS Tubes'!$H$2:$H79,"Inconclusive")</f>
        <v>0</v>
      </c>
      <c r="F11" s="10">
        <f>COUNTIFS('APS Tubes'!$B$2:$B79,$A11,'APS Tubes'!$H$2:$H79,"Null")</f>
        <v>0</v>
      </c>
      <c r="G11" s="10">
        <f>COUNTIFS('APS Tubes'!$B$2:$B79,$A11,'APS Tubes'!$H$2:$H79,"Invalid")</f>
        <v>0</v>
      </c>
      <c r="H11" s="10">
        <f>COUNTIFS('APS Tubes'!$B$2:$B79,$A11,'APS Tubes'!$H$2:$H79,"Fail")</f>
        <v>0</v>
      </c>
      <c r="I11" s="10">
        <f t="shared" si="1"/>
        <v>14</v>
      </c>
      <c r="J11" s="10" t="b">
        <f t="shared" si="2"/>
        <v>1</v>
      </c>
      <c r="K11" s="10">
        <f t="shared" si="3"/>
        <v>15</v>
      </c>
      <c r="L11" s="10">
        <f t="shared" si="4"/>
        <v>1</v>
      </c>
      <c r="M11" s="10" t="str">
        <f t="shared" si="5"/>
        <v/>
      </c>
      <c r="N11" s="10">
        <f>COUNTIFS('APS Tubes'!$B$2:$B79,A11,'APS Tubes'!Q$2:Q79,"&lt;=0")</f>
        <v>14</v>
      </c>
      <c r="O11" s="10" t="b">
        <f t="shared" si="6"/>
        <v>1</v>
      </c>
      <c r="P11" s="225">
        <f t="shared" si="7"/>
        <v>44557</v>
      </c>
      <c r="Q11" s="10">
        <f>IFERROR(__xludf.DUMMYFUNCTION("IF(COUNTUNIQUEIFS('APS Tubes'!$A$2:$A79,'APS Tubes'!$I$2:$I79,P11)&gt;0,COUNTUNIQUEIFS('APS Tubes'!$A$2:$A79,'APS Tubes'!$I$2:$I79,P11),IFERROR(0/0))"),15.0)</f>
        <v>15</v>
      </c>
      <c r="R11" s="10" t="str">
        <f t="shared" si="8"/>
        <v/>
      </c>
      <c r="S11" s="200"/>
      <c r="T11" s="44">
        <v>44566.0</v>
      </c>
      <c r="U11" s="10">
        <f>IFERROR(__xludf.DUMMYFUNCTION("COUNTUNIQUEIFS('APS Tubes'!$A$2:$A79,'APS Tubes'!$I$2:$I79,T11)"),17.0)</f>
        <v>17</v>
      </c>
      <c r="V11" s="10">
        <f>COUNTIFS('APS Tubes'!$I$2:$I79,T11,'APS Tubes'!$H$2:$H79,"Negative")</f>
        <v>17</v>
      </c>
      <c r="W11" s="10">
        <f>COUNTIFS('APS Tubes'!$I$2:$I79,T11,'APS Tubes'!$H$2:$H79,"Positive")</f>
        <v>0</v>
      </c>
      <c r="X11" s="10">
        <f>COUNTIFS('APS Tubes'!$I$2:$I79,T11,'APS Tubes'!$H$2:$H79,"Inconclusive")</f>
        <v>0</v>
      </c>
      <c r="Y11" s="10">
        <f>COUNTIFS('APS Tubes'!$I$2:$I79,T11,'APS Tubes'!$H$2:$H79,"Null")</f>
        <v>0</v>
      </c>
      <c r="Z11" s="10">
        <f>COUNTIFS('APS Tubes'!$I$2:$I79,T11,'APS Tubes'!$H$2:$H79,"Invalid")</f>
        <v>0</v>
      </c>
      <c r="AA11" s="10">
        <f>COUNTIFS('APS Tubes'!$I$2:$I79,T11,'APS Tubes'!$H$2:$H79,"Fail")</f>
        <v>0</v>
      </c>
      <c r="AB11" s="10">
        <f t="shared" si="9"/>
        <v>17</v>
      </c>
      <c r="AC11" s="10" t="b">
        <f t="shared" si="10"/>
        <v>1</v>
      </c>
      <c r="AD11" s="44"/>
      <c r="AE11" s="44"/>
    </row>
    <row r="12">
      <c r="A12" s="184">
        <v>44559.0</v>
      </c>
      <c r="B12" s="10">
        <f>IFERROR(__xludf.DUMMYFUNCTION("COUNTUNIQUEIFS('APS Tubes'!$A$2:$A79,'APS Tubes'!$B$2:$B79,A12)"),4.0)</f>
        <v>4</v>
      </c>
      <c r="C12" s="10">
        <f>COUNTIFS('APS Tubes'!$B$2:$B79,A12,'APS Tubes'!$H$2:$H79,"Negative")</f>
        <v>4</v>
      </c>
      <c r="D12" s="10">
        <f>COUNTIFS('APS Tubes'!$B$2:$B79,$A12,'APS Tubes'!$H$2:$H79,"Positive")</f>
        <v>0</v>
      </c>
      <c r="E12" s="10">
        <f>COUNTIFS('APS Tubes'!$B$2:$B79,$A12,'APS Tubes'!$H$2:$H79,"Inconclusive")</f>
        <v>0</v>
      </c>
      <c r="F12" s="10">
        <f>COUNTIFS('APS Tubes'!$B$2:$B79,$A12,'APS Tubes'!$H$2:$H79,"Null")</f>
        <v>0</v>
      </c>
      <c r="G12" s="10">
        <f>COUNTIFS('APS Tubes'!$B$2:$B79,$A12,'APS Tubes'!$H$2:$H79,"Invalid")</f>
        <v>0</v>
      </c>
      <c r="H12" s="10">
        <f>COUNTIFS('APS Tubes'!$B$2:$B79,$A12,'APS Tubes'!$H$2:$H79,"Fail")</f>
        <v>0</v>
      </c>
      <c r="I12" s="10">
        <f t="shared" si="1"/>
        <v>4</v>
      </c>
      <c r="J12" s="10" t="b">
        <f t="shared" si="2"/>
        <v>1</v>
      </c>
      <c r="K12" s="10">
        <f t="shared" si="3"/>
        <v>4</v>
      </c>
      <c r="L12" s="10">
        <f t="shared" si="4"/>
        <v>0</v>
      </c>
      <c r="M12" s="10" t="b">
        <f t="shared" si="5"/>
        <v>1</v>
      </c>
      <c r="N12" s="10">
        <f>COUNTIFS('APS Tubes'!$B$2:$B79,A12,'APS Tubes'!Q$2:Q79,"&lt;=0")</f>
        <v>4</v>
      </c>
      <c r="O12" s="10" t="b">
        <f t="shared" si="6"/>
        <v>1</v>
      </c>
      <c r="P12" s="225">
        <f t="shared" si="7"/>
        <v>44559</v>
      </c>
      <c r="Q12" s="10">
        <f>IFERROR(__xludf.DUMMYFUNCTION("IF(COUNTUNIQUEIFS('APS Tubes'!$A$2:$A79,'APS Tubes'!$I$2:$I79,P12)&gt;0,COUNTUNIQUEIFS('APS Tubes'!$A$2:$A79,'APS Tubes'!$I$2:$I79,P12),IFERROR(0/0))"),4.0)</f>
        <v>4</v>
      </c>
      <c r="R12" s="10" t="b">
        <f t="shared" si="8"/>
        <v>1</v>
      </c>
      <c r="S12" s="200"/>
      <c r="T12" s="44">
        <v>44568.0</v>
      </c>
      <c r="U12" s="10">
        <f>IFERROR(__xludf.DUMMYFUNCTION("COUNTUNIQUEIFS('APS Tubes'!$A$2:$A79,'APS Tubes'!$I$2:$I79,T12)"),23.0)</f>
        <v>23</v>
      </c>
      <c r="V12" s="10">
        <f>COUNTIFS('APS Tubes'!$I$2:$I79,T12,'APS Tubes'!$H$2:$H79,"Negative")</f>
        <v>16</v>
      </c>
      <c r="W12" s="10">
        <f>COUNTIFS('APS Tubes'!$I$2:$I79,T12,'APS Tubes'!$H$2:$H79,"Positive")</f>
        <v>6</v>
      </c>
      <c r="X12" s="10">
        <f>COUNTIFS('APS Tubes'!$I$2:$I79,T12,'APS Tubes'!$H$2:$H79,"Inconclusive")</f>
        <v>1</v>
      </c>
      <c r="Y12" s="10">
        <f>COUNTIFS('APS Tubes'!$I$2:$I79,T12,'APS Tubes'!$H$2:$H79,"Null")</f>
        <v>0</v>
      </c>
      <c r="Z12" s="10">
        <f>COUNTIFS('APS Tubes'!$I$2:$I79,T12,'APS Tubes'!$H$2:$H79,"Invalid")</f>
        <v>0</v>
      </c>
      <c r="AA12" s="10">
        <f>COUNTIFS('APS Tubes'!$I$2:$I79,T12,'APS Tubes'!$H$2:$H79,"Fail")</f>
        <v>0</v>
      </c>
      <c r="AB12" s="10">
        <f t="shared" si="9"/>
        <v>23</v>
      </c>
      <c r="AC12" s="10" t="b">
        <f t="shared" si="10"/>
        <v>1</v>
      </c>
      <c r="AD12" s="44"/>
      <c r="AE12" s="44"/>
    </row>
    <row r="13">
      <c r="A13" s="184">
        <v>44561.0</v>
      </c>
      <c r="B13" s="10">
        <f>IFERROR(__xludf.DUMMYFUNCTION("COUNTUNIQUEIFS('APS Tubes'!$A$2:$A79,'APS Tubes'!$B$2:$B79,A13)"),8.0)</f>
        <v>8</v>
      </c>
      <c r="C13" s="10">
        <f>COUNTIFS('APS Tubes'!$B$2:$B79,A13,'APS Tubes'!$H$2:$H79,"Negative")</f>
        <v>6</v>
      </c>
      <c r="D13" s="10">
        <f>COUNTIFS('APS Tubes'!$B$2:$B79,$A13,'APS Tubes'!$H$2:$H79,"Positive")</f>
        <v>2</v>
      </c>
      <c r="E13" s="10">
        <f>COUNTIFS('APS Tubes'!$B$2:$B79,$A13,'APS Tubes'!$H$2:$H79,"Inconclusive")</f>
        <v>0</v>
      </c>
      <c r="F13" s="10">
        <f>COUNTIFS('APS Tubes'!$B$2:$B79,$A13,'APS Tubes'!$H$2:$H79,"Null")</f>
        <v>0</v>
      </c>
      <c r="G13" s="10">
        <f>COUNTIFS('APS Tubes'!$B$2:$B79,$A13,'APS Tubes'!$H$2:$H79,"Invalid")</f>
        <v>0</v>
      </c>
      <c r="H13" s="10">
        <f>COUNTIFS('APS Tubes'!$B$2:$B79,$A13,'APS Tubes'!$H$2:$H79,"Fail")</f>
        <v>0</v>
      </c>
      <c r="I13" s="10">
        <f t="shared" si="1"/>
        <v>8</v>
      </c>
      <c r="J13" s="10" t="b">
        <f t="shared" si="2"/>
        <v>1</v>
      </c>
      <c r="K13" s="10">
        <f t="shared" si="3"/>
        <v>8</v>
      </c>
      <c r="L13" s="10">
        <f t="shared" si="4"/>
        <v>0</v>
      </c>
      <c r="M13" s="10" t="b">
        <f t="shared" si="5"/>
        <v>1</v>
      </c>
      <c r="N13" s="10">
        <f>COUNTIFS('APS Tubes'!$B$2:$B79,A13,'APS Tubes'!Q$2:Q79,"&lt;=0")</f>
        <v>8</v>
      </c>
      <c r="O13" s="10" t="b">
        <f t="shared" si="6"/>
        <v>1</v>
      </c>
      <c r="P13" s="225">
        <f t="shared" si="7"/>
        <v>44561</v>
      </c>
      <c r="Q13" s="10">
        <f>IFERROR(__xludf.DUMMYFUNCTION("IF(COUNTUNIQUEIFS('APS Tubes'!$A$2:$A79,'APS Tubes'!$I$2:$I79,P13)&gt;0,COUNTUNIQUEIFS('APS Tubes'!$A$2:$A79,'APS Tubes'!$I$2:$I79,P13),IFERROR(0/0))"),8.0)</f>
        <v>8</v>
      </c>
      <c r="R13" s="10" t="b">
        <f t="shared" si="8"/>
        <v>1</v>
      </c>
      <c r="S13" s="200"/>
      <c r="T13" s="44">
        <v>44571.0</v>
      </c>
      <c r="U13" s="10">
        <f>IFERROR(__xludf.DUMMYFUNCTION("COUNTUNIQUEIFS('APS Tubes'!$A$2:$A79,'APS Tubes'!$I$2:$I79,T13)"),24.0)</f>
        <v>24</v>
      </c>
      <c r="V13" s="10">
        <f>COUNTIFS('APS Tubes'!$I$2:$I79,T13,'APS Tubes'!$H$2:$H79,"Negative")</f>
        <v>24</v>
      </c>
      <c r="W13" s="10">
        <f>COUNTIFS('APS Tubes'!$I$2:$I79,T13,'APS Tubes'!$H$2:$H79,"Positive")</f>
        <v>0</v>
      </c>
      <c r="X13" s="10">
        <f>COUNTIFS('APS Tubes'!$I$2:$I79,T13,'APS Tubes'!$H$2:$H79,"Inconclusive")</f>
        <v>0</v>
      </c>
      <c r="Y13" s="10">
        <f>COUNTIFS('APS Tubes'!$I$2:$I79,T13,'APS Tubes'!$H$2:$H79,"Null")</f>
        <v>0</v>
      </c>
      <c r="Z13" s="10">
        <f>COUNTIFS('APS Tubes'!$I$2:$I79,T13,'APS Tubes'!$H$2:$H79,"Invalid")</f>
        <v>0</v>
      </c>
      <c r="AA13" s="10">
        <f>COUNTIFS('APS Tubes'!$I$2:$I79,T13,'APS Tubes'!$H$2:$H79,"Fail")</f>
        <v>0</v>
      </c>
      <c r="AB13" s="10">
        <f t="shared" si="9"/>
        <v>24</v>
      </c>
      <c r="AC13" s="10" t="b">
        <f t="shared" si="10"/>
        <v>1</v>
      </c>
      <c r="AD13" s="44"/>
      <c r="AE13" s="44"/>
    </row>
    <row r="14">
      <c r="A14" s="184">
        <v>44564.0</v>
      </c>
      <c r="B14" s="10">
        <f>IFERROR(__xludf.DUMMYFUNCTION("COUNTUNIQUEIFS('APS Tubes'!$A$2:$A79,'APS Tubes'!$B$2:$B79,A14)"),14.0)</f>
        <v>14</v>
      </c>
      <c r="C14" s="10">
        <f>COUNTIFS('APS Tubes'!$B$2:$B79,A14,'APS Tubes'!$H$2:$H79,"Negative")</f>
        <v>10</v>
      </c>
      <c r="D14" s="10">
        <f>COUNTIFS('APS Tubes'!$B$2:$B79,$A14,'APS Tubes'!$H$2:$H79,"Positive")</f>
        <v>4</v>
      </c>
      <c r="E14" s="10">
        <f>COUNTIFS('APS Tubes'!$B$2:$B79,$A14,'APS Tubes'!$H$2:$H79,"Inconclusive")</f>
        <v>0</v>
      </c>
      <c r="F14" s="10">
        <f>COUNTIFS('APS Tubes'!$B$2:$B79,$A14,'APS Tubes'!$H$2:$H79,"Null")</f>
        <v>0</v>
      </c>
      <c r="G14" s="10">
        <f>COUNTIFS('APS Tubes'!$B$2:$B79,$A14,'APS Tubes'!$H$2:$H79,"Invalid")</f>
        <v>0</v>
      </c>
      <c r="H14" s="10">
        <f>COUNTIFS('APS Tubes'!$B$2:$B79,$A14,'APS Tubes'!$H$2:$H79,"Fail")</f>
        <v>0</v>
      </c>
      <c r="I14" s="10">
        <f t="shared" si="1"/>
        <v>14</v>
      </c>
      <c r="J14" s="10" t="b">
        <f t="shared" si="2"/>
        <v>1</v>
      </c>
      <c r="K14" s="10">
        <f t="shared" si="3"/>
        <v>14</v>
      </c>
      <c r="L14" s="10">
        <f t="shared" si="4"/>
        <v>0</v>
      </c>
      <c r="M14" s="10" t="b">
        <f t="shared" si="5"/>
        <v>1</v>
      </c>
      <c r="N14" s="10">
        <f>COUNTIFS('APS Tubes'!$B$2:$B79,A14,'APS Tubes'!Q$2:Q79,"&lt;=0")</f>
        <v>14</v>
      </c>
      <c r="O14" s="10" t="b">
        <f t="shared" si="6"/>
        <v>1</v>
      </c>
      <c r="P14" s="225">
        <f t="shared" si="7"/>
        <v>44564</v>
      </c>
      <c r="Q14" s="10">
        <f>IFERROR(__xludf.DUMMYFUNCTION("IF(COUNTUNIQUEIFS('APS Tubes'!$A$2:$A79,'APS Tubes'!$I$2:$I79,P14)&gt;0,COUNTUNIQUEIFS('APS Tubes'!$A$2:$A79,'APS Tubes'!$I$2:$I79,P14),IFERROR(0/0))"),14.0)</f>
        <v>14</v>
      </c>
      <c r="R14" s="10" t="b">
        <f t="shared" si="8"/>
        <v>1</v>
      </c>
      <c r="S14" s="200"/>
      <c r="T14" s="44">
        <v>44575.0</v>
      </c>
      <c r="U14" s="10">
        <f>IFERROR(__xludf.DUMMYFUNCTION("COUNTUNIQUEIFS('APS Tubes'!$A$2:$A79,'APS Tubes'!$I$2:$I79,T14)"),33.0)</f>
        <v>33</v>
      </c>
      <c r="V14" s="10">
        <f>COUNTIFS('APS Tubes'!$I$2:$I79,T14,'APS Tubes'!$H$2:$H79,"Negative")</f>
        <v>33</v>
      </c>
      <c r="W14" s="10">
        <f>COUNTIFS('APS Tubes'!$I$2:$I79,T14,'APS Tubes'!$H$2:$H79,"Positive")</f>
        <v>0</v>
      </c>
      <c r="X14" s="10">
        <f>COUNTIFS('APS Tubes'!$I$2:$I79,T14,'APS Tubes'!$H$2:$H79,"Inconclusive")</f>
        <v>0</v>
      </c>
      <c r="Y14" s="10">
        <f>COUNTIFS('APS Tubes'!$I$2:$I79,T14,'APS Tubes'!$H$2:$H79,"Null")</f>
        <v>0</v>
      </c>
      <c r="Z14" s="10">
        <f>COUNTIFS('APS Tubes'!$I$2:$I79,T14,'APS Tubes'!$H$2:$H79,"Invalid")</f>
        <v>0</v>
      </c>
      <c r="AA14" s="10">
        <f>COUNTIFS('APS Tubes'!$I$2:$I79,T14,'APS Tubes'!$H$2:$H79,"Fail")</f>
        <v>0</v>
      </c>
      <c r="AB14" s="10">
        <f t="shared" si="9"/>
        <v>33</v>
      </c>
      <c r="AC14" s="10" t="b">
        <f t="shared" si="10"/>
        <v>1</v>
      </c>
      <c r="AD14" s="44"/>
      <c r="AE14" s="44"/>
    </row>
    <row r="15">
      <c r="A15" s="184">
        <v>44565.0</v>
      </c>
      <c r="B15" s="10">
        <f>IFERROR(__xludf.DUMMYFUNCTION("COUNTUNIQUEIFS('APS Tubes'!$A$2:$A79,'APS Tubes'!$B$2:$B79,A15)"),2.0)</f>
        <v>2</v>
      </c>
      <c r="C15" s="10">
        <f>COUNTIFS('APS Tubes'!$B$2:$B79,A15,'APS Tubes'!$H$2:$H79,"Negative")</f>
        <v>2</v>
      </c>
      <c r="D15" s="10">
        <f>COUNTIFS('APS Tubes'!$B$2:$B79,$A15,'APS Tubes'!$H$2:$H79,"Positive")</f>
        <v>0</v>
      </c>
      <c r="E15" s="10">
        <f>COUNTIFS('APS Tubes'!$B$2:$B79,$A15,'APS Tubes'!$H$2:$H79,"Inconclusive")</f>
        <v>0</v>
      </c>
      <c r="F15" s="10">
        <f>COUNTIFS('APS Tubes'!$B$2:$B79,$A15,'APS Tubes'!$H$2:$H79,"Null")</f>
        <v>0</v>
      </c>
      <c r="G15" s="10">
        <f>COUNTIFS('APS Tubes'!$B$2:$B79,$A15,'APS Tubes'!$H$2:$H79,"Invalid")</f>
        <v>0</v>
      </c>
      <c r="H15" s="10">
        <f>COUNTIFS('APS Tubes'!$B$2:$B79,$A15,'APS Tubes'!$H$2:$H79,"Fail")</f>
        <v>0</v>
      </c>
      <c r="I15" s="10">
        <f t="shared" si="1"/>
        <v>2</v>
      </c>
      <c r="J15" s="10" t="b">
        <f t="shared" si="2"/>
        <v>1</v>
      </c>
      <c r="K15" s="10" t="str">
        <f t="shared" si="3"/>
        <v/>
      </c>
      <c r="L15" s="10" t="str">
        <f t="shared" si="4"/>
        <v/>
      </c>
      <c r="M15" s="10" t="str">
        <f t="shared" si="5"/>
        <v/>
      </c>
      <c r="N15" s="10">
        <f>COUNTIFS('APS Tubes'!$B$2:$B79,A15,'APS Tubes'!Q$2:Q79,"&lt;=0")</f>
        <v>0</v>
      </c>
      <c r="O15" s="10" t="str">
        <f t="shared" si="6"/>
        <v/>
      </c>
      <c r="P15" s="10" t="str">
        <f t="shared" si="7"/>
        <v/>
      </c>
      <c r="Q15" s="10" t="str">
        <f>IFERROR(__xludf.DUMMYFUNCTION("IF(COUNTUNIQUEIFS('APS Tubes'!$A$2:$A79,'APS Tubes'!$I$2:$I79,P15)&gt;0,COUNTUNIQUEIFS('APS Tubes'!$A$2:$A79,'APS Tubes'!$I$2:$I79,P15),IFERROR(0/0))"),"")</f>
        <v/>
      </c>
      <c r="R15" s="10" t="str">
        <f t="shared" si="8"/>
        <v/>
      </c>
      <c r="S15" s="200"/>
      <c r="T15" s="44">
        <v>44579.0</v>
      </c>
      <c r="U15" s="10">
        <f>IFERROR(__xludf.DUMMYFUNCTION("COUNTUNIQUEIFS('APS Tubes'!$A$2:$A79,'APS Tubes'!$I$2:$I79,T15)"),28.0)</f>
        <v>28</v>
      </c>
      <c r="V15" s="10">
        <f>COUNTIFS('APS Tubes'!$I$2:$I79,T15,'APS Tubes'!$H$2:$H79,"Negative")</f>
        <v>1</v>
      </c>
      <c r="W15" s="10">
        <f>COUNTIFS('APS Tubes'!$I$2:$I79,T15,'APS Tubes'!$H$2:$H79,"Positive")</f>
        <v>27</v>
      </c>
      <c r="X15" s="10">
        <f>COUNTIFS('APS Tubes'!$I$2:$I79,T15,'APS Tubes'!$H$2:$H79,"Inconclusive")</f>
        <v>0</v>
      </c>
      <c r="Y15" s="10">
        <f>COUNTIFS('APS Tubes'!$I$2:$I79,T15,'APS Tubes'!$H$2:$H79,"Null")</f>
        <v>0</v>
      </c>
      <c r="Z15" s="10">
        <f>COUNTIFS('APS Tubes'!$I$2:$I79,T15,'APS Tubes'!$H$2:$H79,"Invalid")</f>
        <v>0</v>
      </c>
      <c r="AA15" s="10">
        <f>COUNTIFS('APS Tubes'!$I$2:$I79,T15,'APS Tubes'!$H$2:$H79,"Fail")</f>
        <v>0</v>
      </c>
      <c r="AB15" s="10">
        <f t="shared" si="9"/>
        <v>28</v>
      </c>
      <c r="AC15" s="10" t="b">
        <f t="shared" si="10"/>
        <v>1</v>
      </c>
      <c r="AD15" s="44"/>
      <c r="AE15" s="44"/>
    </row>
    <row r="16">
      <c r="A16" s="184">
        <v>44566.0</v>
      </c>
      <c r="B16" s="10">
        <f>IFERROR(__xludf.DUMMYFUNCTION("COUNTUNIQUEIFS('APS Tubes'!$A$2:$A79,'APS Tubes'!$B$2:$B79,A16)"),18.0)</f>
        <v>18</v>
      </c>
      <c r="C16" s="10">
        <f>COUNTIFS('APS Tubes'!$B$2:$B79,A16,'APS Tubes'!$H$2:$H79,"Negative")</f>
        <v>15</v>
      </c>
      <c r="D16" s="10">
        <f>COUNTIFS('APS Tubes'!$B$2:$B79,$A16,'APS Tubes'!$H$2:$H79,"Positive")</f>
        <v>3</v>
      </c>
      <c r="E16" s="10">
        <f>COUNTIFS('APS Tubes'!$B$2:$B79,$A16,'APS Tubes'!$H$2:$H79,"Inconclusive")</f>
        <v>0</v>
      </c>
      <c r="F16" s="10">
        <f>COUNTIFS('APS Tubes'!$B$2:$B79,$A16,'APS Tubes'!$H$2:$H79,"Null")</f>
        <v>0</v>
      </c>
      <c r="G16" s="10">
        <f>COUNTIFS('APS Tubes'!$B$2:$B79,$A16,'APS Tubes'!$H$2:$H79,"Invalid")</f>
        <v>0</v>
      </c>
      <c r="H16" s="10">
        <f>COUNTIFS('APS Tubes'!$B$2:$B79,$A16,'APS Tubes'!$H$2:$H79,"Fail")</f>
        <v>0</v>
      </c>
      <c r="I16" s="10">
        <f t="shared" si="1"/>
        <v>18</v>
      </c>
      <c r="J16" s="10" t="b">
        <f t="shared" si="2"/>
        <v>1</v>
      </c>
      <c r="K16" s="10">
        <f t="shared" si="3"/>
        <v>17</v>
      </c>
      <c r="L16" s="10">
        <f t="shared" si="4"/>
        <v>-1</v>
      </c>
      <c r="M16" s="10" t="str">
        <f t="shared" si="5"/>
        <v/>
      </c>
      <c r="N16" s="10">
        <f>COUNTIFS('APS Tubes'!$B$2:$B79,A16,'APS Tubes'!Q$2:Q79,"&lt;=0")</f>
        <v>15</v>
      </c>
      <c r="O16" s="10" t="str">
        <f t="shared" si="6"/>
        <v/>
      </c>
      <c r="P16" s="225">
        <f t="shared" si="7"/>
        <v>44566</v>
      </c>
      <c r="Q16" s="10">
        <f>IFERROR(__xludf.DUMMYFUNCTION("IF(COUNTUNIQUEIFS('APS Tubes'!$A$2:$A79,'APS Tubes'!$I$2:$I79,P16)&gt;0,COUNTUNIQUEIFS('APS Tubes'!$A$2:$A79,'APS Tubes'!$I$2:$I79,P16),IFERROR(0/0))"),17.0)</f>
        <v>17</v>
      </c>
      <c r="R16" s="10" t="str">
        <f t="shared" si="8"/>
        <v/>
      </c>
      <c r="S16" s="200"/>
      <c r="T16" s="44">
        <v>44580.0</v>
      </c>
      <c r="U16" s="10">
        <f>IFERROR(__xludf.DUMMYFUNCTION("COUNTUNIQUEIFS('APS Tubes'!$A$2:$A79,'APS Tubes'!$I$2:$I79,T16)"),38.0)</f>
        <v>38</v>
      </c>
      <c r="V16" s="10">
        <f>COUNTIFS('APS Tubes'!$I$2:$I79,T16,'APS Tubes'!$H$2:$H79,"Negative")</f>
        <v>32</v>
      </c>
      <c r="W16" s="10">
        <f>COUNTIFS('APS Tubes'!$I$2:$I79,T16,'APS Tubes'!$H$2:$H79,"Positive")</f>
        <v>6</v>
      </c>
      <c r="X16" s="10">
        <f>COUNTIFS('APS Tubes'!$I$2:$I79,T16,'APS Tubes'!$H$2:$H79,"Inconclusive")</f>
        <v>0</v>
      </c>
      <c r="Y16" s="10">
        <f>COUNTIFS('APS Tubes'!$I$2:$I79,T16,'APS Tubes'!$H$2:$H79,"Null")</f>
        <v>0</v>
      </c>
      <c r="Z16" s="10">
        <f>COUNTIFS('APS Tubes'!$I$2:$I79,T16,'APS Tubes'!$H$2:$H79,"Invalid")</f>
        <v>0</v>
      </c>
      <c r="AA16" s="10">
        <f>COUNTIFS('APS Tubes'!$I$2:$I79,T16,'APS Tubes'!$H$2:$H79,"Fail")</f>
        <v>0</v>
      </c>
      <c r="AB16" s="10">
        <f t="shared" si="9"/>
        <v>38</v>
      </c>
      <c r="AC16" s="10" t="b">
        <f t="shared" si="10"/>
        <v>1</v>
      </c>
      <c r="AD16" s="44"/>
      <c r="AE16" s="44"/>
    </row>
    <row r="17">
      <c r="A17" s="184">
        <v>44567.0</v>
      </c>
      <c r="B17" s="10">
        <f>IFERROR(__xludf.DUMMYFUNCTION("COUNTUNIQUEIFS('APS Tubes'!$A$2:$A79,'APS Tubes'!$B$2:$B79,A17)"),4.0)</f>
        <v>4</v>
      </c>
      <c r="C17" s="10">
        <f>COUNTIFS('APS Tubes'!$B$2:$B79,A17,'APS Tubes'!$H$2:$H79,"Negative")</f>
        <v>4</v>
      </c>
      <c r="D17" s="10">
        <f>COUNTIFS('APS Tubes'!$B$2:$B79,$A17,'APS Tubes'!$H$2:$H79,"Positive")</f>
        <v>0</v>
      </c>
      <c r="E17" s="10">
        <f>COUNTIFS('APS Tubes'!$B$2:$B79,$A17,'APS Tubes'!$H$2:$H79,"Inconclusive")</f>
        <v>0</v>
      </c>
      <c r="F17" s="10">
        <f>COUNTIFS('APS Tubes'!$B$2:$B79,$A17,'APS Tubes'!$H$2:$H79,"Null")</f>
        <v>0</v>
      </c>
      <c r="G17" s="10">
        <f>COUNTIFS('APS Tubes'!$B$2:$B79,$A17,'APS Tubes'!$H$2:$H79,"Invalid")</f>
        <v>0</v>
      </c>
      <c r="H17" s="10">
        <f>COUNTIFS('APS Tubes'!$B$2:$B79,$A17,'APS Tubes'!$H$2:$H79,"Fail")</f>
        <v>0</v>
      </c>
      <c r="I17" s="10">
        <f t="shared" si="1"/>
        <v>4</v>
      </c>
      <c r="J17" s="10" t="b">
        <f t="shared" si="2"/>
        <v>1</v>
      </c>
      <c r="K17" s="10" t="str">
        <f t="shared" si="3"/>
        <v/>
      </c>
      <c r="L17" s="10" t="str">
        <f t="shared" si="4"/>
        <v/>
      </c>
      <c r="M17" s="10" t="str">
        <f t="shared" si="5"/>
        <v/>
      </c>
      <c r="N17" s="10">
        <f>COUNTIFS('APS Tubes'!$B$2:$B79,A17,'APS Tubes'!Q$2:Q79,"&lt;=0")</f>
        <v>0</v>
      </c>
      <c r="O17" s="10" t="str">
        <f t="shared" si="6"/>
        <v/>
      </c>
      <c r="P17" s="10" t="str">
        <f t="shared" si="7"/>
        <v/>
      </c>
      <c r="Q17" s="10" t="str">
        <f>IFERROR(__xludf.DUMMYFUNCTION("IF(COUNTUNIQUEIFS('APS Tubes'!$A$2:$A79,'APS Tubes'!$I$2:$I79,P17)&gt;0,COUNTUNIQUEIFS('APS Tubes'!$A$2:$A79,'APS Tubes'!$I$2:$I79,P17),IFERROR(0/0))"),"")</f>
        <v/>
      </c>
      <c r="R17" s="10" t="str">
        <f t="shared" si="8"/>
        <v/>
      </c>
      <c r="S17" s="200"/>
      <c r="T17" s="44">
        <v>44582.0</v>
      </c>
      <c r="U17" s="10">
        <f>IFERROR(__xludf.DUMMYFUNCTION("COUNTUNIQUEIFS('APS Tubes'!$A$2:$A79,'APS Tubes'!$I$2:$I79,T17)"),15.0)</f>
        <v>15</v>
      </c>
      <c r="V17" s="10">
        <f>COUNTIFS('APS Tubes'!$I$2:$I79,T17,'APS Tubes'!$H$2:$H79,"Negative")</f>
        <v>7</v>
      </c>
      <c r="W17" s="10">
        <f>COUNTIFS('APS Tubes'!$I$2:$I79,T17,'APS Tubes'!$H$2:$H79,"Positive")</f>
        <v>8</v>
      </c>
      <c r="X17" s="10">
        <f>COUNTIFS('APS Tubes'!$I$2:$I79,T17,'APS Tubes'!$H$2:$H79,"Inconclusive")</f>
        <v>0</v>
      </c>
      <c r="Y17" s="10">
        <f>COUNTIFS('APS Tubes'!$I$2:$I79,T17,'APS Tubes'!$H$2:$H79,"Null")</f>
        <v>0</v>
      </c>
      <c r="Z17" s="10">
        <f>COUNTIFS('APS Tubes'!$I$2:$I79,T17,'APS Tubes'!$H$2:$H79,"Invalid")</f>
        <v>0</v>
      </c>
      <c r="AA17" s="10">
        <f>COUNTIFS('APS Tubes'!$I$2:$I79,T17,'APS Tubes'!$H$2:$H79,"Fail")</f>
        <v>0</v>
      </c>
      <c r="AB17" s="10">
        <f t="shared" si="9"/>
        <v>15</v>
      </c>
      <c r="AC17" s="10" t="b">
        <f t="shared" si="10"/>
        <v>1</v>
      </c>
      <c r="AD17" s="44"/>
      <c r="AE17" s="44"/>
    </row>
    <row r="18">
      <c r="A18" s="184">
        <v>44568.0</v>
      </c>
      <c r="B18" s="10">
        <f>IFERROR(__xludf.DUMMYFUNCTION("COUNTUNIQUEIFS('APS Tubes'!$A$2:$A79,'APS Tubes'!$B$2:$B79,A18)"),16.0)</f>
        <v>16</v>
      </c>
      <c r="C18" s="10">
        <f>COUNTIFS('APS Tubes'!$B$2:$B79,A18,'APS Tubes'!$H$2:$H79,"Negative")</f>
        <v>12</v>
      </c>
      <c r="D18" s="10">
        <f>COUNTIFS('APS Tubes'!$B$2:$B79,$A18,'APS Tubes'!$H$2:$H79,"Positive")</f>
        <v>3</v>
      </c>
      <c r="E18" s="10">
        <f>COUNTIFS('APS Tubes'!$B$2:$B79,$A18,'APS Tubes'!$H$2:$H79,"Inconclusive")</f>
        <v>1</v>
      </c>
      <c r="F18" s="10">
        <f>COUNTIFS('APS Tubes'!$B$2:$B79,$A18,'APS Tubes'!$H$2:$H79,"Null")</f>
        <v>0</v>
      </c>
      <c r="G18" s="10">
        <f>COUNTIFS('APS Tubes'!$B$2:$B79,$A18,'APS Tubes'!$H$2:$H79,"Invalid")</f>
        <v>0</v>
      </c>
      <c r="H18" s="10">
        <f>COUNTIFS('APS Tubes'!$B$2:$B79,$A18,'APS Tubes'!$H$2:$H79,"Fail")</f>
        <v>0</v>
      </c>
      <c r="I18" s="10">
        <f t="shared" si="1"/>
        <v>16</v>
      </c>
      <c r="J18" s="10" t="b">
        <f t="shared" si="2"/>
        <v>1</v>
      </c>
      <c r="K18" s="10">
        <f t="shared" si="3"/>
        <v>23</v>
      </c>
      <c r="L18" s="10">
        <f t="shared" si="4"/>
        <v>7</v>
      </c>
      <c r="M18" s="10" t="str">
        <f t="shared" si="5"/>
        <v/>
      </c>
      <c r="N18" s="10">
        <f>COUNTIFS('APS Tubes'!$B$2:$B79,A18,'APS Tubes'!Q$2:Q79,"&lt;=0")</f>
        <v>16</v>
      </c>
      <c r="O18" s="10" t="b">
        <f t="shared" si="6"/>
        <v>1</v>
      </c>
      <c r="P18" s="225">
        <f t="shared" si="7"/>
        <v>44568</v>
      </c>
      <c r="Q18" s="10">
        <f>IFERROR(__xludf.DUMMYFUNCTION("IF(COUNTUNIQUEIFS('APS Tubes'!$A$2:$A79,'APS Tubes'!$I$2:$I79,P18)&gt;0,COUNTUNIQUEIFS('APS Tubes'!$A$2:$A79,'APS Tubes'!$I$2:$I79,P18),IFERROR(0/0))"),23.0)</f>
        <v>23</v>
      </c>
      <c r="R18" s="10" t="str">
        <f t="shared" si="8"/>
        <v/>
      </c>
      <c r="S18" s="200"/>
      <c r="T18" s="44">
        <v>44585.0</v>
      </c>
      <c r="U18" s="10">
        <f>IFERROR(__xludf.DUMMYFUNCTION("COUNTUNIQUEIFS('APS Tubes'!$A$2:$A79,'APS Tubes'!$I$2:$I79,T18)"),12.0)</f>
        <v>12</v>
      </c>
      <c r="V18" s="10">
        <f>COUNTIFS('APS Tubes'!$I$2:$I79,T18,'APS Tubes'!$H$2:$H79,"Negative")</f>
        <v>12</v>
      </c>
      <c r="W18" s="10">
        <f>COUNTIFS('APS Tubes'!$I$2:$I79,T18,'APS Tubes'!$H$2:$H79,"Positive")</f>
        <v>0</v>
      </c>
      <c r="X18" s="10">
        <f>COUNTIFS('APS Tubes'!$I$2:$I79,T18,'APS Tubes'!$H$2:$H79,"Inconclusive")</f>
        <v>0</v>
      </c>
      <c r="Y18" s="10">
        <f>COUNTIFS('APS Tubes'!$I$2:$I79,T18,'APS Tubes'!$H$2:$H79,"Null")</f>
        <v>0</v>
      </c>
      <c r="Z18" s="10">
        <f>COUNTIFS('APS Tubes'!$I$2:$I79,T18,'APS Tubes'!$H$2:$H79,"Invalid")</f>
        <v>0</v>
      </c>
      <c r="AA18" s="10">
        <f>COUNTIFS('APS Tubes'!$I$2:$I79,T18,'APS Tubes'!$H$2:$H79,"Fail")</f>
        <v>0</v>
      </c>
      <c r="AB18" s="10">
        <f t="shared" si="9"/>
        <v>12</v>
      </c>
      <c r="AC18" s="10" t="b">
        <f t="shared" si="10"/>
        <v>1</v>
      </c>
      <c r="AD18" s="44"/>
      <c r="AE18" s="44"/>
    </row>
    <row r="19">
      <c r="A19" s="184">
        <v>44571.0</v>
      </c>
      <c r="B19" s="10">
        <f>IFERROR(__xludf.DUMMYFUNCTION("COUNTUNIQUEIFS('APS Tubes'!$A$2:$A79,'APS Tubes'!$B$2:$B79,A19)"),31.0)</f>
        <v>31</v>
      </c>
      <c r="C19" s="10">
        <f>COUNTIFS('APS Tubes'!$B$2:$B79,A19,'APS Tubes'!$H$2:$H79,"Negative")</f>
        <v>24</v>
      </c>
      <c r="D19" s="10">
        <f>COUNTIFS('APS Tubes'!$B$2:$B79,$A19,'APS Tubes'!$H$2:$H79,"Positive")</f>
        <v>7</v>
      </c>
      <c r="E19" s="10">
        <f>COUNTIFS('APS Tubes'!$B$2:$B79,$A19,'APS Tubes'!$H$2:$H79,"Inconclusive")</f>
        <v>0</v>
      </c>
      <c r="F19" s="10">
        <f>COUNTIFS('APS Tubes'!$B$2:$B79,$A19,'APS Tubes'!$H$2:$H79,"Null")</f>
        <v>0</v>
      </c>
      <c r="G19" s="10">
        <f>COUNTIFS('APS Tubes'!$B$2:$B79,$A19,'APS Tubes'!$H$2:$H79,"Invalid")</f>
        <v>0</v>
      </c>
      <c r="H19" s="10">
        <f>COUNTIFS('APS Tubes'!$B$2:$B79,$A19,'APS Tubes'!$H$2:$H79,"Fail")</f>
        <v>0</v>
      </c>
      <c r="I19" s="10">
        <f t="shared" si="1"/>
        <v>31</v>
      </c>
      <c r="J19" s="10" t="b">
        <f t="shared" si="2"/>
        <v>1</v>
      </c>
      <c r="K19" s="10">
        <f t="shared" si="3"/>
        <v>24</v>
      </c>
      <c r="L19" s="10">
        <f t="shared" si="4"/>
        <v>-7</v>
      </c>
      <c r="M19" s="10" t="str">
        <f t="shared" si="5"/>
        <v/>
      </c>
      <c r="N19" s="10">
        <f>COUNTIFS('APS Tubes'!$B$2:$B79,A19,'APS Tubes'!Q$2:Q79,"&lt;=0")</f>
        <v>24</v>
      </c>
      <c r="O19" s="10" t="str">
        <f t="shared" si="6"/>
        <v/>
      </c>
      <c r="P19" s="225">
        <f t="shared" si="7"/>
        <v>44571</v>
      </c>
      <c r="Q19" s="10">
        <f>IFERROR(__xludf.DUMMYFUNCTION("IF(COUNTUNIQUEIFS('APS Tubes'!$A$2:$A79,'APS Tubes'!$I$2:$I79,P19)&gt;0,COUNTUNIQUEIFS('APS Tubes'!$A$2:$A79,'APS Tubes'!$I$2:$I79,P19),IFERROR(0/0))"),24.0)</f>
        <v>24</v>
      </c>
      <c r="R19" s="10" t="str">
        <f t="shared" si="8"/>
        <v/>
      </c>
      <c r="S19" s="200"/>
      <c r="T19" s="44">
        <v>44587.0</v>
      </c>
      <c r="U19" s="10">
        <f>IFERROR(__xludf.DUMMYFUNCTION("COUNTUNIQUEIFS('APS Tubes'!$A$2:$A79,'APS Tubes'!$I$2:$I79,T19)"),17.0)</f>
        <v>17</v>
      </c>
      <c r="V19" s="10">
        <f>COUNTIFS('APS Tubes'!$I$2:$I79,T19,'APS Tubes'!$H$2:$H79,"Negative")</f>
        <v>13</v>
      </c>
      <c r="W19" s="10">
        <f>COUNTIFS('APS Tubes'!$I$2:$I79,T19,'APS Tubes'!$H$2:$H79,"Positive")</f>
        <v>4</v>
      </c>
      <c r="X19" s="10">
        <f>COUNTIFS('APS Tubes'!$I$2:$I79,T19,'APS Tubes'!$H$2:$H79,"Inconclusive")</f>
        <v>0</v>
      </c>
      <c r="Y19" s="10">
        <f>COUNTIFS('APS Tubes'!$I$2:$I79,T19,'APS Tubes'!$H$2:$H79,"Null")</f>
        <v>0</v>
      </c>
      <c r="Z19" s="10">
        <f>COUNTIFS('APS Tubes'!$I$2:$I79,T19,'APS Tubes'!$H$2:$H79,"Invalid")</f>
        <v>0</v>
      </c>
      <c r="AA19" s="10">
        <f>COUNTIFS('APS Tubes'!$I$2:$I79,T19,'APS Tubes'!$H$2:$H79,"Fail")</f>
        <v>0</v>
      </c>
      <c r="AB19" s="10">
        <f t="shared" si="9"/>
        <v>17</v>
      </c>
      <c r="AC19" s="10" t="b">
        <f t="shared" si="10"/>
        <v>1</v>
      </c>
      <c r="AD19" s="44"/>
      <c r="AE19" s="44"/>
    </row>
    <row r="20">
      <c r="A20" s="184">
        <v>44573.0</v>
      </c>
      <c r="B20" s="10">
        <f>IFERROR(__xludf.DUMMYFUNCTION("COUNTUNIQUEIFS('APS Tubes'!$A$2:$A79,'APS Tubes'!$B$2:$B79,A20)"),22.0)</f>
        <v>22</v>
      </c>
      <c r="C20" s="10">
        <f>COUNTIFS('APS Tubes'!$B$2:$B79,A20,'APS Tubes'!$H$2:$H79,"Negative")</f>
        <v>18</v>
      </c>
      <c r="D20" s="10">
        <f>COUNTIFS('APS Tubes'!$B$2:$B79,$A20,'APS Tubes'!$H$2:$H79,"Positive")</f>
        <v>4</v>
      </c>
      <c r="E20" s="10">
        <f>COUNTIFS('APS Tubes'!$B$2:$B79,$A20,'APS Tubes'!$H$2:$H79,"Inconclusive")</f>
        <v>0</v>
      </c>
      <c r="F20" s="10">
        <f>COUNTIFS('APS Tubes'!$B$2:$B79,$A20,'APS Tubes'!$H$2:$H79,"Null")</f>
        <v>0</v>
      </c>
      <c r="G20" s="10">
        <f>COUNTIFS('APS Tubes'!$B$2:$B79,$A20,'APS Tubes'!$H$2:$H79,"Invalid")</f>
        <v>0</v>
      </c>
      <c r="H20" s="10">
        <f>COUNTIFS('APS Tubes'!$B$2:$B79,$A20,'APS Tubes'!$H$2:$H79,"Fail")</f>
        <v>0</v>
      </c>
      <c r="I20" s="10">
        <f t="shared" si="1"/>
        <v>22</v>
      </c>
      <c r="J20" s="10" t="b">
        <f t="shared" si="2"/>
        <v>1</v>
      </c>
      <c r="K20" s="10" t="str">
        <f t="shared" si="3"/>
        <v/>
      </c>
      <c r="L20" s="10" t="str">
        <f t="shared" si="4"/>
        <v/>
      </c>
      <c r="M20" s="10" t="str">
        <f t="shared" si="5"/>
        <v/>
      </c>
      <c r="N20" s="10">
        <f>COUNTIFS('APS Tubes'!$B$2:$B79,A20,'APS Tubes'!Q$2:Q79,"&lt;=0")</f>
        <v>0</v>
      </c>
      <c r="O20" s="10" t="str">
        <f t="shared" si="6"/>
        <v/>
      </c>
      <c r="P20" s="10" t="str">
        <f t="shared" si="7"/>
        <v/>
      </c>
      <c r="Q20" s="10" t="str">
        <f>IFERROR(__xludf.DUMMYFUNCTION("IF(COUNTUNIQUEIFS('APS Tubes'!$A$2:$A79,'APS Tubes'!$I$2:$I79,P20)&gt;0,COUNTUNIQUEIFS('APS Tubes'!$A$2:$A79,'APS Tubes'!$I$2:$I79,P20),IFERROR(0/0))"),"")</f>
        <v/>
      </c>
      <c r="R20" s="10" t="str">
        <f t="shared" si="8"/>
        <v/>
      </c>
      <c r="S20" s="200"/>
      <c r="T20" s="44">
        <v>44589.0</v>
      </c>
      <c r="U20" s="10">
        <f>IFERROR(__xludf.DUMMYFUNCTION("COUNTUNIQUEIFS('APS Tubes'!$A$2:$A79,'APS Tubes'!$I$2:$I79,T20)"),7.0)</f>
        <v>7</v>
      </c>
      <c r="V20" s="10">
        <f>COUNTIFS('APS Tubes'!$I$2:$I79,T20,'APS Tubes'!$H$2:$H79,"Negative")</f>
        <v>7</v>
      </c>
      <c r="W20" s="10">
        <f>COUNTIFS('APS Tubes'!$I$2:$I79,T20,'APS Tubes'!$H$2:$H79,"Positive")</f>
        <v>0</v>
      </c>
      <c r="X20" s="10">
        <f>COUNTIFS('APS Tubes'!$I$2:$I79,T20,'APS Tubes'!$H$2:$H79,"Inconclusive")</f>
        <v>0</v>
      </c>
      <c r="Y20" s="10">
        <f>COUNTIFS('APS Tubes'!$I$2:$I79,T20,'APS Tubes'!$H$2:$H79,"Null")</f>
        <v>0</v>
      </c>
      <c r="Z20" s="10">
        <f>COUNTIFS('APS Tubes'!$I$2:$I79,T20,'APS Tubes'!$H$2:$H79,"Invalid")</f>
        <v>0</v>
      </c>
      <c r="AA20" s="10">
        <f>COUNTIFS('APS Tubes'!$I$2:$I79,T20,'APS Tubes'!$H$2:$H79,"Fail")</f>
        <v>0</v>
      </c>
      <c r="AB20" s="10">
        <f t="shared" si="9"/>
        <v>7</v>
      </c>
      <c r="AC20" s="10" t="b">
        <f t="shared" si="10"/>
        <v>1</v>
      </c>
      <c r="AD20" s="44"/>
      <c r="AE20" s="44"/>
    </row>
    <row r="21">
      <c r="A21" s="184">
        <v>44574.0</v>
      </c>
      <c r="B21" s="10">
        <f>IFERROR(__xludf.DUMMYFUNCTION("COUNTUNIQUEIFS('APS Tubes'!$A$2:$A79,'APS Tubes'!$B$2:$B79,A21)"),5.0)</f>
        <v>5</v>
      </c>
      <c r="C21" s="10">
        <f>COUNTIFS('APS Tubes'!$B$2:$B79,A21,'APS Tubes'!$H$2:$H79,"Negative")</f>
        <v>3</v>
      </c>
      <c r="D21" s="10">
        <f>COUNTIFS('APS Tubes'!$B$2:$B79,$A21,'APS Tubes'!$H$2:$H79,"Positive")</f>
        <v>2</v>
      </c>
      <c r="E21" s="10">
        <f>COUNTIFS('APS Tubes'!$B$2:$B79,$A21,'APS Tubes'!$H$2:$H79,"Inconclusive")</f>
        <v>0</v>
      </c>
      <c r="F21" s="10">
        <f>COUNTIFS('APS Tubes'!$B$2:$B79,$A21,'APS Tubes'!$H$2:$H79,"Null")</f>
        <v>0</v>
      </c>
      <c r="G21" s="10">
        <f>COUNTIFS('APS Tubes'!$B$2:$B79,$A21,'APS Tubes'!$H$2:$H79,"Invalid")</f>
        <v>0</v>
      </c>
      <c r="H21" s="10">
        <f>COUNTIFS('APS Tubes'!$B$2:$B79,$A21,'APS Tubes'!$H$2:$H79,"Fail")</f>
        <v>0</v>
      </c>
      <c r="I21" s="10">
        <f t="shared" si="1"/>
        <v>5</v>
      </c>
      <c r="J21" s="10" t="b">
        <f t="shared" si="2"/>
        <v>1</v>
      </c>
      <c r="K21" s="10" t="str">
        <f t="shared" si="3"/>
        <v/>
      </c>
      <c r="L21" s="10" t="str">
        <f t="shared" si="4"/>
        <v/>
      </c>
      <c r="M21" s="10" t="str">
        <f t="shared" si="5"/>
        <v/>
      </c>
      <c r="N21" s="10">
        <f>COUNTIFS('APS Tubes'!$B$2:$B79,A21,'APS Tubes'!Q$2:Q79,"&lt;=0")</f>
        <v>0</v>
      </c>
      <c r="O21" s="10" t="str">
        <f t="shared" si="6"/>
        <v/>
      </c>
      <c r="P21" s="10" t="str">
        <f t="shared" si="7"/>
        <v/>
      </c>
      <c r="Q21" s="10" t="str">
        <f>IFERROR(__xludf.DUMMYFUNCTION("IF(COUNTUNIQUEIFS('APS Tubes'!$A$2:$A79,'APS Tubes'!$I$2:$I79,P21)&gt;0,COUNTUNIQUEIFS('APS Tubes'!$A$2:$A79,'APS Tubes'!$I$2:$I79,P21),IFERROR(0/0))"),"")</f>
        <v/>
      </c>
      <c r="R21" s="10" t="str">
        <f t="shared" si="8"/>
        <v/>
      </c>
      <c r="S21" s="200"/>
      <c r="T21" s="44">
        <v>44592.0</v>
      </c>
      <c r="U21" s="10">
        <f>IFERROR(__xludf.DUMMYFUNCTION("COUNTUNIQUEIFS('APS Tubes'!$A$2:$A79,'APS Tubes'!$I$2:$I79,T21)"),10.0)</f>
        <v>10</v>
      </c>
      <c r="V21" s="10">
        <f>COUNTIFS('APS Tubes'!$I$2:$I79,T21,'APS Tubes'!$H$2:$H79,"Negative")</f>
        <v>10</v>
      </c>
      <c r="W21" s="10">
        <f>COUNTIFS('APS Tubes'!$I$2:$I79,T21,'APS Tubes'!$H$2:$H79,"Positive")</f>
        <v>0</v>
      </c>
      <c r="X21" s="10">
        <f>COUNTIFS('APS Tubes'!$I$2:$I79,T21,'APS Tubes'!$H$2:$H79,"Inconclusive")</f>
        <v>0</v>
      </c>
      <c r="Y21" s="10">
        <f>COUNTIFS('APS Tubes'!$I$2:$I79,T21,'APS Tubes'!$H$2:$H79,"Null")</f>
        <v>0</v>
      </c>
      <c r="Z21" s="10">
        <f>COUNTIFS('APS Tubes'!$I$2:$I79,T21,'APS Tubes'!$H$2:$H79,"Invalid")</f>
        <v>0</v>
      </c>
      <c r="AA21" s="10">
        <f>COUNTIFS('APS Tubes'!$I$2:$I79,T21,'APS Tubes'!$H$2:$H79,"Fail")</f>
        <v>0</v>
      </c>
      <c r="AB21" s="10">
        <f t="shared" si="9"/>
        <v>10</v>
      </c>
      <c r="AC21" s="10" t="b">
        <f t="shared" si="10"/>
        <v>1</v>
      </c>
      <c r="AD21" s="44"/>
      <c r="AE21" s="44"/>
    </row>
    <row r="22">
      <c r="A22" s="184">
        <v>44575.0</v>
      </c>
      <c r="B22" s="10">
        <f>IFERROR(__xludf.DUMMYFUNCTION("COUNTUNIQUEIFS('APS Tubes'!$A$2:$A79,'APS Tubes'!$B$2:$B79,A22)"),17.0)</f>
        <v>17</v>
      </c>
      <c r="C22" s="10">
        <f>COUNTIFS('APS Tubes'!$B$2:$B79,A22,'APS Tubes'!$H$2:$H79,"Negative")</f>
        <v>12</v>
      </c>
      <c r="D22" s="10">
        <f>COUNTIFS('APS Tubes'!$B$2:$B79,$A22,'APS Tubes'!$H$2:$H79,"Positive")</f>
        <v>5</v>
      </c>
      <c r="E22" s="10">
        <f>COUNTIFS('APS Tubes'!$B$2:$B79,$A22,'APS Tubes'!$H$2:$H79,"Inconclusive")</f>
        <v>0</v>
      </c>
      <c r="F22" s="10">
        <f>COUNTIFS('APS Tubes'!$B$2:$B79,$A22,'APS Tubes'!$H$2:$H79,"Null")</f>
        <v>0</v>
      </c>
      <c r="G22" s="10">
        <f>COUNTIFS('APS Tubes'!$B$2:$B79,$A22,'APS Tubes'!$H$2:$H79,"Invalid")</f>
        <v>0</v>
      </c>
      <c r="H22" s="10">
        <f>COUNTIFS('APS Tubes'!$B$2:$B79,$A22,'APS Tubes'!$H$2:$H79,"Fail")</f>
        <v>0</v>
      </c>
      <c r="I22" s="10">
        <f t="shared" si="1"/>
        <v>17</v>
      </c>
      <c r="J22" s="10" t="b">
        <f t="shared" si="2"/>
        <v>1</v>
      </c>
      <c r="K22" s="10">
        <f t="shared" si="3"/>
        <v>33</v>
      </c>
      <c r="L22" s="10">
        <f t="shared" si="4"/>
        <v>16</v>
      </c>
      <c r="M22" s="10" t="str">
        <f t="shared" si="5"/>
        <v/>
      </c>
      <c r="N22" s="10">
        <f>COUNTIFS('APS Tubes'!$B$2:$B79,A22,'APS Tubes'!Q$2:Q79,"&lt;=0")</f>
        <v>12</v>
      </c>
      <c r="O22" s="10" t="str">
        <f t="shared" si="6"/>
        <v/>
      </c>
      <c r="P22" s="225">
        <f t="shared" si="7"/>
        <v>44575</v>
      </c>
      <c r="Q22" s="10">
        <f>IFERROR(__xludf.DUMMYFUNCTION("IF(COUNTUNIQUEIFS('APS Tubes'!$A$2:$A79,'APS Tubes'!$I$2:$I79,P22)&gt;0,COUNTUNIQUEIFS('APS Tubes'!$A$2:$A79,'APS Tubes'!$I$2:$I79,P22),IFERROR(0/0))"),33.0)</f>
        <v>33</v>
      </c>
      <c r="R22" s="10" t="str">
        <f t="shared" si="8"/>
        <v/>
      </c>
      <c r="S22" s="200"/>
      <c r="T22" s="44">
        <v>44594.0</v>
      </c>
      <c r="U22" s="10">
        <f>IFERROR(__xludf.DUMMYFUNCTION("COUNTUNIQUEIFS('APS Tubes'!$A$2:$A79,'APS Tubes'!$I$2:$I79,T22)"),1.0)</f>
        <v>1</v>
      </c>
      <c r="V22" s="10">
        <f>COUNTIFS('APS Tubes'!$I$2:$I79,T22,'APS Tubes'!$H$2:$H79,"Negative")</f>
        <v>0</v>
      </c>
      <c r="W22" s="10">
        <f>COUNTIFS('APS Tubes'!$I$2:$I79,T22,'APS Tubes'!$H$2:$H79,"Positive")</f>
        <v>1</v>
      </c>
      <c r="X22" s="10">
        <f>COUNTIFS('APS Tubes'!$I$2:$I79,T22,'APS Tubes'!$H$2:$H79,"Inconclusive")</f>
        <v>0</v>
      </c>
      <c r="Y22" s="10">
        <f>COUNTIFS('APS Tubes'!$I$2:$I79,T22,'APS Tubes'!$H$2:$H79,"Null")</f>
        <v>0</v>
      </c>
      <c r="Z22" s="10">
        <f>COUNTIFS('APS Tubes'!$I$2:$I79,T22,'APS Tubes'!$H$2:$H79,"Invalid")</f>
        <v>0</v>
      </c>
      <c r="AA22" s="10">
        <f>COUNTIFS('APS Tubes'!$I$2:$I79,T22,'APS Tubes'!$H$2:$H79,"Fail")</f>
        <v>0</v>
      </c>
      <c r="AB22" s="10">
        <f t="shared" si="9"/>
        <v>1</v>
      </c>
      <c r="AC22" s="10" t="b">
        <f t="shared" si="10"/>
        <v>1</v>
      </c>
      <c r="AD22" s="44"/>
      <c r="AE22" s="44"/>
    </row>
    <row r="23">
      <c r="A23" s="184">
        <v>44578.0</v>
      </c>
      <c r="B23" s="10">
        <f>IFERROR(__xludf.DUMMYFUNCTION("COUNTUNIQUEIFS('APS Tubes'!$A$2:$A79,'APS Tubes'!$B$2:$B79,A23)"),1.0)</f>
        <v>1</v>
      </c>
      <c r="C23" s="10">
        <f>COUNTIFS('APS Tubes'!$B$2:$B79,A23,'APS Tubes'!$H$2:$H79,"Negative")</f>
        <v>1</v>
      </c>
      <c r="D23" s="10">
        <f>COUNTIFS('APS Tubes'!$B$2:$B79,$A23,'APS Tubes'!$H$2:$H79,"Positive")</f>
        <v>0</v>
      </c>
      <c r="E23" s="10">
        <f>COUNTIFS('APS Tubes'!$B$2:$B79,$A23,'APS Tubes'!$H$2:$H79,"Inconclusive")</f>
        <v>0</v>
      </c>
      <c r="F23" s="10">
        <f>COUNTIFS('APS Tubes'!$B$2:$B79,$A23,'APS Tubes'!$H$2:$H79,"Null")</f>
        <v>0</v>
      </c>
      <c r="G23" s="10">
        <f>COUNTIFS('APS Tubes'!$B$2:$B79,$A23,'APS Tubes'!$H$2:$H79,"Invalid")</f>
        <v>0</v>
      </c>
      <c r="H23" s="10">
        <f>COUNTIFS('APS Tubes'!$B$2:$B79,$A23,'APS Tubes'!$H$2:$H79,"Fail")</f>
        <v>0</v>
      </c>
      <c r="I23" s="10">
        <f t="shared" si="1"/>
        <v>1</v>
      </c>
      <c r="J23" s="10" t="b">
        <f t="shared" si="2"/>
        <v>1</v>
      </c>
      <c r="K23" s="10" t="str">
        <f t="shared" si="3"/>
        <v/>
      </c>
      <c r="L23" s="10" t="str">
        <f t="shared" si="4"/>
        <v/>
      </c>
      <c r="M23" s="10" t="str">
        <f t="shared" si="5"/>
        <v/>
      </c>
      <c r="N23" s="10">
        <f>COUNTIFS('APS Tubes'!$B$2:$B79,A23,'APS Tubes'!Q$2:Q79,"&lt;=0")</f>
        <v>0</v>
      </c>
      <c r="O23" s="10" t="str">
        <f t="shared" si="6"/>
        <v/>
      </c>
      <c r="P23" s="10" t="str">
        <f t="shared" si="7"/>
        <v/>
      </c>
      <c r="Q23" s="10" t="str">
        <f>IFERROR(__xludf.DUMMYFUNCTION("IF(COUNTUNIQUEIFS('APS Tubes'!$A$2:$A79,'APS Tubes'!$I$2:$I79,P23)&gt;0,COUNTUNIQUEIFS('APS Tubes'!$A$2:$A79,'APS Tubes'!$I$2:$I79,P23),IFERROR(0/0))"),"")</f>
        <v/>
      </c>
      <c r="R23" s="10" t="str">
        <f t="shared" si="8"/>
        <v/>
      </c>
      <c r="S23" s="200"/>
      <c r="T23" s="44">
        <v>44596.0</v>
      </c>
      <c r="U23" s="10">
        <f>IFERROR(__xludf.DUMMYFUNCTION("COUNTUNIQUEIFS('APS Tubes'!$A$2:$A79,'APS Tubes'!$I$2:$I79,T23)"),13.0)</f>
        <v>13</v>
      </c>
      <c r="V23" s="10">
        <f>COUNTIFS('APS Tubes'!$I$2:$I79,T23,'APS Tubes'!$H$2:$H79,"Negative")</f>
        <v>13</v>
      </c>
      <c r="W23" s="10">
        <f>COUNTIFS('APS Tubes'!$I$2:$I79,T23,'APS Tubes'!$H$2:$H79,"Positive")</f>
        <v>0</v>
      </c>
      <c r="X23" s="10">
        <f>COUNTIFS('APS Tubes'!$I$2:$I79,T23,'APS Tubes'!$H$2:$H79,"Inconclusive")</f>
        <v>0</v>
      </c>
      <c r="Y23" s="10">
        <f>COUNTIFS('APS Tubes'!$I$2:$I79,T23,'APS Tubes'!$H$2:$H79,"Null")</f>
        <v>0</v>
      </c>
      <c r="Z23" s="10">
        <f>COUNTIFS('APS Tubes'!$I$2:$I79,T23,'APS Tubes'!$H$2:$H79,"Invalid")</f>
        <v>0</v>
      </c>
      <c r="AA23" s="10">
        <f>COUNTIFS('APS Tubes'!$I$2:$I79,T23,'APS Tubes'!$H$2:$H79,"Fail")</f>
        <v>0</v>
      </c>
      <c r="AB23" s="10">
        <f t="shared" si="9"/>
        <v>13</v>
      </c>
      <c r="AC23" s="10" t="b">
        <f t="shared" si="10"/>
        <v>1</v>
      </c>
      <c r="AD23" s="44"/>
      <c r="AE23" s="44"/>
    </row>
    <row r="24">
      <c r="A24" s="184">
        <v>44579.0</v>
      </c>
      <c r="B24" s="10">
        <f>IFERROR(__xludf.DUMMYFUNCTION("COUNTUNIQUEIFS('APS Tubes'!$A$2:$A79,'APS Tubes'!$B$2:$B79,A24)"),33.0)</f>
        <v>33</v>
      </c>
      <c r="C24" s="10">
        <f>COUNTIFS('APS Tubes'!$B$2:$B79,A24,'APS Tubes'!$H$2:$H79,"Negative")</f>
        <v>24</v>
      </c>
      <c r="D24" s="10">
        <f>COUNTIFS('APS Tubes'!$B$2:$B79,$A24,'APS Tubes'!$H$2:$H79,"Positive")</f>
        <v>9</v>
      </c>
      <c r="E24" s="10">
        <f>COUNTIFS('APS Tubes'!$B$2:$B79,$A24,'APS Tubes'!$H$2:$H79,"Inconclusive")</f>
        <v>0</v>
      </c>
      <c r="F24" s="10">
        <f>COUNTIFS('APS Tubes'!$B$2:$B79,$A24,'APS Tubes'!$H$2:$H79,"Null")</f>
        <v>0</v>
      </c>
      <c r="G24" s="10">
        <f>COUNTIFS('APS Tubes'!$B$2:$B79,$A24,'APS Tubes'!$H$2:$H79,"Invalid")</f>
        <v>0</v>
      </c>
      <c r="H24" s="10">
        <f>COUNTIFS('APS Tubes'!$B$2:$B79,$A24,'APS Tubes'!$H$2:$H79,"Fail")</f>
        <v>0</v>
      </c>
      <c r="I24" s="10">
        <f t="shared" si="1"/>
        <v>33</v>
      </c>
      <c r="J24" s="10" t="b">
        <f t="shared" si="2"/>
        <v>1</v>
      </c>
      <c r="K24" s="10">
        <f t="shared" si="3"/>
        <v>28</v>
      </c>
      <c r="L24" s="10">
        <f t="shared" si="4"/>
        <v>-5</v>
      </c>
      <c r="M24" s="10" t="str">
        <f t="shared" si="5"/>
        <v/>
      </c>
      <c r="N24" s="10">
        <f>COUNTIFS('APS Tubes'!$B$2:$B79,A24,'APS Tubes'!Q$2:Q79,"&lt;=0")</f>
        <v>10</v>
      </c>
      <c r="O24" s="10" t="str">
        <f t="shared" si="6"/>
        <v/>
      </c>
      <c r="P24" s="225">
        <f t="shared" si="7"/>
        <v>44579</v>
      </c>
      <c r="Q24" s="10">
        <f>IFERROR(__xludf.DUMMYFUNCTION("IF(COUNTUNIQUEIFS('APS Tubes'!$A$2:$A79,'APS Tubes'!$I$2:$I79,P24)&gt;0,COUNTUNIQUEIFS('APS Tubes'!$A$2:$A79,'APS Tubes'!$I$2:$I79,P24),IFERROR(0/0))"),28.0)</f>
        <v>28</v>
      </c>
      <c r="R24" s="10" t="str">
        <f t="shared" si="8"/>
        <v/>
      </c>
      <c r="S24" s="200"/>
      <c r="T24" s="44">
        <v>44599.0</v>
      </c>
      <c r="U24" s="10">
        <f>IFERROR(__xludf.DUMMYFUNCTION("COUNTUNIQUEIFS('APS Tubes'!$A$2:$A79,'APS Tubes'!$I$2:$I79,T24)"),13.0)</f>
        <v>13</v>
      </c>
      <c r="V24" s="10">
        <f>COUNTIFS('APS Tubes'!$I$2:$I79,T24,'APS Tubes'!$H$2:$H79,"Negative")</f>
        <v>12</v>
      </c>
      <c r="W24" s="10">
        <f>COUNTIFS('APS Tubes'!$I$2:$I79,T24,'APS Tubes'!$H$2:$H79,"Positive")</f>
        <v>1</v>
      </c>
      <c r="X24" s="10">
        <f>COUNTIFS('APS Tubes'!$I$2:$I79,T24,'APS Tubes'!$H$2:$H79,"Inconclusive")</f>
        <v>0</v>
      </c>
      <c r="Y24" s="10">
        <f>COUNTIFS('APS Tubes'!$I$2:$I79,T24,'APS Tubes'!$H$2:$H79,"Null")</f>
        <v>0</v>
      </c>
      <c r="Z24" s="10">
        <f>COUNTIFS('APS Tubes'!$I$2:$I79,T24,'APS Tubes'!$H$2:$H79,"Invalid")</f>
        <v>0</v>
      </c>
      <c r="AA24" s="10">
        <f>COUNTIFS('APS Tubes'!$I$2:$I79,T24,'APS Tubes'!$H$2:$H79,"Fail")</f>
        <v>0</v>
      </c>
      <c r="AB24" s="10">
        <f t="shared" si="9"/>
        <v>13</v>
      </c>
      <c r="AC24" s="10" t="b">
        <f t="shared" si="10"/>
        <v>1</v>
      </c>
      <c r="AD24" s="44"/>
      <c r="AE24" s="44"/>
    </row>
    <row r="25">
      <c r="A25" s="184">
        <v>44580.0</v>
      </c>
      <c r="B25" s="10">
        <f>IFERROR(__xludf.DUMMYFUNCTION("COUNTUNIQUEIFS('APS Tubes'!$A$2:$A79,'APS Tubes'!$B$2:$B79,A25)"),14.0)</f>
        <v>14</v>
      </c>
      <c r="C25" s="10">
        <f>COUNTIFS('APS Tubes'!$B$2:$B79,A25,'APS Tubes'!$H$2:$H79,"Negative")</f>
        <v>8</v>
      </c>
      <c r="D25" s="10">
        <f>COUNTIFS('APS Tubes'!$B$2:$B79,$A25,'APS Tubes'!$H$2:$H79,"Positive")</f>
        <v>6</v>
      </c>
      <c r="E25" s="10">
        <f>COUNTIFS('APS Tubes'!$B$2:$B79,$A25,'APS Tubes'!$H$2:$H79,"Inconclusive")</f>
        <v>0</v>
      </c>
      <c r="F25" s="10">
        <f>COUNTIFS('APS Tubes'!$B$2:$B79,$A25,'APS Tubes'!$H$2:$H79,"Null")</f>
        <v>0</v>
      </c>
      <c r="G25" s="10">
        <f>COUNTIFS('APS Tubes'!$B$2:$B79,$A25,'APS Tubes'!$H$2:$H79,"Invalid")</f>
        <v>0</v>
      </c>
      <c r="H25" s="10">
        <f>COUNTIFS('APS Tubes'!$B$2:$B79,$A25,'APS Tubes'!$H$2:$H79,"Fail")</f>
        <v>0</v>
      </c>
      <c r="I25" s="10">
        <f t="shared" si="1"/>
        <v>14</v>
      </c>
      <c r="J25" s="10" t="b">
        <f t="shared" si="2"/>
        <v>1</v>
      </c>
      <c r="K25" s="10">
        <f t="shared" si="3"/>
        <v>38</v>
      </c>
      <c r="L25" s="10">
        <f t="shared" si="4"/>
        <v>24</v>
      </c>
      <c r="M25" s="10" t="str">
        <f t="shared" si="5"/>
        <v/>
      </c>
      <c r="N25" s="10">
        <f>COUNTIFS('APS Tubes'!$B$2:$B79,A25,'APS Tubes'!Q$2:Q79,"&lt;=0")</f>
        <v>14</v>
      </c>
      <c r="O25" s="10" t="b">
        <f t="shared" si="6"/>
        <v>1</v>
      </c>
      <c r="P25" s="225">
        <f t="shared" si="7"/>
        <v>44580</v>
      </c>
      <c r="Q25" s="10">
        <f>IFERROR(__xludf.DUMMYFUNCTION("IF(COUNTUNIQUEIFS('APS Tubes'!$A$2:$A79,'APS Tubes'!$I$2:$I79,P25)&gt;0,COUNTUNIQUEIFS('APS Tubes'!$A$2:$A79,'APS Tubes'!$I$2:$I79,P25),IFERROR(0/0))"),38.0)</f>
        <v>38</v>
      </c>
      <c r="R25" s="10" t="str">
        <f t="shared" si="8"/>
        <v/>
      </c>
      <c r="S25" s="200"/>
      <c r="T25" s="44">
        <v>44601.0</v>
      </c>
      <c r="U25" s="10">
        <f>IFERROR(__xludf.DUMMYFUNCTION("COUNTUNIQUEIFS('APS Tubes'!$A$2:$A79,'APS Tubes'!$I$2:$I79,T25)"),14.0)</f>
        <v>14</v>
      </c>
      <c r="V25" s="10">
        <f>COUNTIFS('APS Tubes'!$I$2:$I79,T25,'APS Tubes'!$H$2:$H79,"Negative")</f>
        <v>13</v>
      </c>
      <c r="W25" s="10">
        <f>COUNTIFS('APS Tubes'!$I$2:$I79,T25,'APS Tubes'!$H$2:$H79,"Positive")</f>
        <v>1</v>
      </c>
      <c r="X25" s="10">
        <f>COUNTIFS('APS Tubes'!$I$2:$I79,T25,'APS Tubes'!$H$2:$H79,"Inconclusive")</f>
        <v>0</v>
      </c>
      <c r="Y25" s="10">
        <f>COUNTIFS('APS Tubes'!$I$2:$I79,T25,'APS Tubes'!$H$2:$H79,"Null")</f>
        <v>0</v>
      </c>
      <c r="Z25" s="10">
        <f>COUNTIFS('APS Tubes'!$I$2:$I79,T25,'APS Tubes'!$H$2:$H79,"Invalid")</f>
        <v>0</v>
      </c>
      <c r="AA25" s="10">
        <f>COUNTIFS('APS Tubes'!$I$2:$I79,T25,'APS Tubes'!$H$2:$H79,"Fail")</f>
        <v>0</v>
      </c>
      <c r="AB25" s="10">
        <f t="shared" si="9"/>
        <v>14</v>
      </c>
      <c r="AC25" s="10" t="b">
        <f t="shared" si="10"/>
        <v>1</v>
      </c>
      <c r="AD25" s="44"/>
      <c r="AE25" s="44"/>
    </row>
    <row r="26">
      <c r="A26" s="184">
        <v>44581.0</v>
      </c>
      <c r="B26" s="10">
        <f>IFERROR(__xludf.DUMMYFUNCTION("COUNTUNIQUEIFS('APS Tubes'!$A$2:$A79,'APS Tubes'!$B$2:$B79,A26)"),1.0)</f>
        <v>1</v>
      </c>
      <c r="C26" s="10">
        <f>COUNTIFS('APS Tubes'!$B$2:$B79,A26,'APS Tubes'!$H$2:$H79,"Negative")</f>
        <v>0</v>
      </c>
      <c r="D26" s="10">
        <f>COUNTIFS('APS Tubes'!$B$2:$B79,$A26,'APS Tubes'!$H$2:$H79,"Positive")</f>
        <v>1</v>
      </c>
      <c r="E26" s="10">
        <f>COUNTIFS('APS Tubes'!$B$2:$B79,$A26,'APS Tubes'!$H$2:$H79,"Inconclusive")</f>
        <v>0</v>
      </c>
      <c r="F26" s="10">
        <f>COUNTIFS('APS Tubes'!$B$2:$B79,$A26,'APS Tubes'!$H$2:$H79,"Null")</f>
        <v>0</v>
      </c>
      <c r="G26" s="10">
        <f>COUNTIFS('APS Tubes'!$B$2:$B79,$A26,'APS Tubes'!$H$2:$H79,"Invalid")</f>
        <v>0</v>
      </c>
      <c r="H26" s="10">
        <f>COUNTIFS('APS Tubes'!$B$2:$B79,$A26,'APS Tubes'!$H$2:$H79,"Fail")</f>
        <v>0</v>
      </c>
      <c r="I26" s="10">
        <f t="shared" si="1"/>
        <v>1</v>
      </c>
      <c r="J26" s="10" t="b">
        <f t="shared" si="2"/>
        <v>1</v>
      </c>
      <c r="K26" s="10" t="str">
        <f t="shared" si="3"/>
        <v/>
      </c>
      <c r="L26" s="10" t="str">
        <f t="shared" si="4"/>
        <v/>
      </c>
      <c r="M26" s="10" t="str">
        <f t="shared" si="5"/>
        <v/>
      </c>
      <c r="N26" s="10">
        <f>COUNTIFS('APS Tubes'!$B$2:$B79,A26,'APS Tubes'!Q$2:Q79,"&lt;=0")</f>
        <v>0</v>
      </c>
      <c r="O26" s="10" t="str">
        <f t="shared" si="6"/>
        <v/>
      </c>
      <c r="P26" s="10" t="str">
        <f t="shared" si="7"/>
        <v/>
      </c>
      <c r="Q26" s="10" t="str">
        <f>IFERROR(__xludf.DUMMYFUNCTION("IF(COUNTUNIQUEIFS('APS Tubes'!$A$2:$A79,'APS Tubes'!$I$2:$I79,P26)&gt;0,COUNTUNIQUEIFS('APS Tubes'!$A$2:$A79,'APS Tubes'!$I$2:$I79,P26),IFERROR(0/0))"),"")</f>
        <v/>
      </c>
      <c r="R26" s="10" t="str">
        <f t="shared" si="8"/>
        <v/>
      </c>
      <c r="S26" s="200"/>
      <c r="T26" s="44">
        <v>44603.0</v>
      </c>
      <c r="U26" s="10">
        <f>IFERROR(__xludf.DUMMYFUNCTION("COUNTUNIQUEIFS('APS Tubes'!$A$2:$A79,'APS Tubes'!$I$2:$I79,T26)"),9.0)</f>
        <v>9</v>
      </c>
      <c r="V26" s="10">
        <f>COUNTIFS('APS Tubes'!$I$2:$I79,T26,'APS Tubes'!$H$2:$H79,"Negative")</f>
        <v>7</v>
      </c>
      <c r="W26" s="10">
        <f>COUNTIFS('APS Tubes'!$I$2:$I79,T26,'APS Tubes'!$H$2:$H79,"Positive")</f>
        <v>2</v>
      </c>
      <c r="X26" s="10">
        <f>COUNTIFS('APS Tubes'!$I$2:$I79,T26,'APS Tubes'!$H$2:$H79,"Inconclusive")</f>
        <v>0</v>
      </c>
      <c r="Y26" s="10">
        <f>COUNTIFS('APS Tubes'!$I$2:$I79,T26,'APS Tubes'!$H$2:$H79,"Null")</f>
        <v>0</v>
      </c>
      <c r="Z26" s="10">
        <f>COUNTIFS('APS Tubes'!$I$2:$I79,T26,'APS Tubes'!$H$2:$H79,"Invalid")</f>
        <v>0</v>
      </c>
      <c r="AA26" s="10">
        <f>COUNTIFS('APS Tubes'!$I$2:$I79,T26,'APS Tubes'!$H$2:$H79,"Fail")</f>
        <v>0</v>
      </c>
      <c r="AB26" s="10">
        <f t="shared" si="9"/>
        <v>9</v>
      </c>
      <c r="AC26" s="10" t="b">
        <f t="shared" si="10"/>
        <v>1</v>
      </c>
      <c r="AD26" s="44"/>
      <c r="AE26" s="44"/>
    </row>
    <row r="27">
      <c r="A27" s="184">
        <v>44582.0</v>
      </c>
      <c r="B27" s="10">
        <f>IFERROR(__xludf.DUMMYFUNCTION("COUNTUNIQUEIFS('APS Tubes'!$A$2:$A79,'APS Tubes'!$B$2:$B79,A27)"),14.0)</f>
        <v>14</v>
      </c>
      <c r="C27" s="10">
        <f>COUNTIFS('APS Tubes'!$B$2:$B79,A27,'APS Tubes'!$H$2:$H79,"Negative")</f>
        <v>7</v>
      </c>
      <c r="D27" s="10">
        <f>COUNTIFS('APS Tubes'!$B$2:$B79,$A27,'APS Tubes'!$H$2:$H79,"Positive")</f>
        <v>7</v>
      </c>
      <c r="E27" s="10">
        <f>COUNTIFS('APS Tubes'!$B$2:$B79,$A27,'APS Tubes'!$H$2:$H79,"Inconclusive")</f>
        <v>0</v>
      </c>
      <c r="F27" s="10">
        <f>COUNTIFS('APS Tubes'!$B$2:$B79,$A27,'APS Tubes'!$H$2:$H79,"Null")</f>
        <v>0</v>
      </c>
      <c r="G27" s="10">
        <f>COUNTIFS('APS Tubes'!$B$2:$B79,$A27,'APS Tubes'!$H$2:$H79,"Invalid")</f>
        <v>0</v>
      </c>
      <c r="H27" s="10">
        <f>COUNTIFS('APS Tubes'!$B$2:$B79,$A27,'APS Tubes'!$H$2:$H79,"Fail")</f>
        <v>0</v>
      </c>
      <c r="I27" s="10">
        <f t="shared" si="1"/>
        <v>14</v>
      </c>
      <c r="J27" s="10" t="b">
        <f t="shared" si="2"/>
        <v>1</v>
      </c>
      <c r="K27" s="10">
        <f t="shared" si="3"/>
        <v>15</v>
      </c>
      <c r="L27" s="10">
        <f t="shared" si="4"/>
        <v>1</v>
      </c>
      <c r="M27" s="10" t="str">
        <f t="shared" si="5"/>
        <v/>
      </c>
      <c r="N27" s="10">
        <f>COUNTIFS('APS Tubes'!$B$2:$B79,A27,'APS Tubes'!Q$2:Q79,"&lt;=0")</f>
        <v>14</v>
      </c>
      <c r="O27" s="10" t="b">
        <f t="shared" si="6"/>
        <v>1</v>
      </c>
      <c r="P27" s="225">
        <f t="shared" si="7"/>
        <v>44582</v>
      </c>
      <c r="Q27" s="10">
        <f>IFERROR(__xludf.DUMMYFUNCTION("IF(COUNTUNIQUEIFS('APS Tubes'!$A$2:$A79,'APS Tubes'!$I$2:$I79,P27)&gt;0,COUNTUNIQUEIFS('APS Tubes'!$A$2:$A79,'APS Tubes'!$I$2:$I79,P27),IFERROR(0/0))"),15.0)</f>
        <v>15</v>
      </c>
      <c r="R27" s="10" t="str">
        <f t="shared" si="8"/>
        <v/>
      </c>
      <c r="S27" s="200"/>
      <c r="T27" s="44">
        <v>44604.0</v>
      </c>
      <c r="U27" s="10">
        <f>IFERROR(__xludf.DUMMYFUNCTION("COUNTUNIQUEIFS('APS Tubes'!$A$2:$A79,'APS Tubes'!$I$2:$I79,T27)"),2.0)</f>
        <v>2</v>
      </c>
      <c r="V27" s="10">
        <f>COUNTIFS('APS Tubes'!$I$2:$I79,T27,'APS Tubes'!$H$2:$H79,"Negative")</f>
        <v>0</v>
      </c>
      <c r="W27" s="10">
        <f>COUNTIFS('APS Tubes'!$I$2:$I79,T27,'APS Tubes'!$H$2:$H79,"Positive")</f>
        <v>2</v>
      </c>
      <c r="X27" s="10">
        <f>COUNTIFS('APS Tubes'!$I$2:$I79,T27,'APS Tubes'!$H$2:$H79,"Inconclusive")</f>
        <v>0</v>
      </c>
      <c r="Y27" s="10">
        <f>COUNTIFS('APS Tubes'!$I$2:$I79,T27,'APS Tubes'!$H$2:$H79,"Null")</f>
        <v>0</v>
      </c>
      <c r="Z27" s="10">
        <f>COUNTIFS('APS Tubes'!$I$2:$I79,T27,'APS Tubes'!$H$2:$H79,"Invalid")</f>
        <v>0</v>
      </c>
      <c r="AA27" s="10">
        <f>COUNTIFS('APS Tubes'!$I$2:$I79,T27,'APS Tubes'!$H$2:$H79,"Fail")</f>
        <v>0</v>
      </c>
      <c r="AB27" s="10">
        <f t="shared" si="9"/>
        <v>2</v>
      </c>
      <c r="AC27" s="10" t="b">
        <f t="shared" si="10"/>
        <v>1</v>
      </c>
      <c r="AD27" s="44"/>
      <c r="AE27" s="44"/>
    </row>
    <row r="28">
      <c r="A28" s="184">
        <v>44585.0</v>
      </c>
      <c r="B28" s="10">
        <f>IFERROR(__xludf.DUMMYFUNCTION("COUNTUNIQUEIFS('APS Tubes'!$A$2:$A79,'APS Tubes'!$B$2:$B79,A28)"),16.0)</f>
        <v>16</v>
      </c>
      <c r="C28" s="10">
        <f>COUNTIFS('APS Tubes'!$B$2:$B79,A28,'APS Tubes'!$H$2:$H79,"Negative")</f>
        <v>12</v>
      </c>
      <c r="D28" s="10">
        <f>COUNTIFS('APS Tubes'!$B$2:$B79,$A28,'APS Tubes'!$H$2:$H79,"Positive")</f>
        <v>4</v>
      </c>
      <c r="E28" s="10">
        <f>COUNTIFS('APS Tubes'!$B$2:$B79,$A28,'APS Tubes'!$H$2:$H79,"Inconclusive")</f>
        <v>0</v>
      </c>
      <c r="F28" s="10">
        <f>COUNTIFS('APS Tubes'!$B$2:$B79,$A28,'APS Tubes'!$H$2:$H79,"Null")</f>
        <v>0</v>
      </c>
      <c r="G28" s="10">
        <f>COUNTIFS('APS Tubes'!$B$2:$B79,$A28,'APS Tubes'!$H$2:$H79,"Invalid")</f>
        <v>0</v>
      </c>
      <c r="H28" s="10">
        <f>COUNTIFS('APS Tubes'!$B$2:$B79,$A28,'APS Tubes'!$H$2:$H79,"Fail")</f>
        <v>0</v>
      </c>
      <c r="I28" s="10">
        <f t="shared" si="1"/>
        <v>16</v>
      </c>
      <c r="J28" s="10" t="b">
        <f t="shared" si="2"/>
        <v>1</v>
      </c>
      <c r="K28" s="10">
        <f t="shared" si="3"/>
        <v>12</v>
      </c>
      <c r="L28" s="10">
        <f t="shared" si="4"/>
        <v>-4</v>
      </c>
      <c r="M28" s="10" t="str">
        <f t="shared" si="5"/>
        <v/>
      </c>
      <c r="N28" s="10">
        <f>COUNTIFS('APS Tubes'!$B$2:$B79,A28,'APS Tubes'!Q$2:Q79,"&lt;=0")</f>
        <v>12</v>
      </c>
      <c r="O28" s="10" t="str">
        <f t="shared" si="6"/>
        <v/>
      </c>
      <c r="P28" s="225">
        <f t="shared" si="7"/>
        <v>44585</v>
      </c>
      <c r="Q28" s="10">
        <f>IFERROR(__xludf.DUMMYFUNCTION("IF(COUNTUNIQUEIFS('APS Tubes'!$A$2:$A79,'APS Tubes'!$I$2:$I79,P28)&gt;0,COUNTUNIQUEIFS('APS Tubes'!$A$2:$A79,'APS Tubes'!$I$2:$I79,P28),IFERROR(0/0))"),12.0)</f>
        <v>12</v>
      </c>
      <c r="R28" s="10" t="str">
        <f t="shared" si="8"/>
        <v/>
      </c>
      <c r="S28" s="200"/>
      <c r="T28" s="44">
        <v>44607.0</v>
      </c>
      <c r="U28" s="10">
        <f>IFERROR(__xludf.DUMMYFUNCTION("COUNTUNIQUEIFS('APS Tubes'!$A$2:$A79,'APS Tubes'!$I$2:$I79,T28)"),32.0)</f>
        <v>32</v>
      </c>
      <c r="V28" s="10">
        <f>COUNTIFS('APS Tubes'!$I$2:$I79,T28,'APS Tubes'!$H$2:$H79,"Negative")</f>
        <v>32</v>
      </c>
      <c r="W28" s="10">
        <f>COUNTIFS('APS Tubes'!$I$2:$I79,T28,'APS Tubes'!$H$2:$H79,"Positive")</f>
        <v>0</v>
      </c>
      <c r="X28" s="10">
        <f>COUNTIFS('APS Tubes'!$I$2:$I79,T28,'APS Tubes'!$H$2:$H79,"Inconclusive")</f>
        <v>0</v>
      </c>
      <c r="Y28" s="10">
        <f>COUNTIFS('APS Tubes'!$I$2:$I79,T28,'APS Tubes'!$H$2:$H79,"Null")</f>
        <v>0</v>
      </c>
      <c r="Z28" s="10">
        <f>COUNTIFS('APS Tubes'!$I$2:$I79,T28,'APS Tubes'!$H$2:$H79,"Invalid")</f>
        <v>0</v>
      </c>
      <c r="AA28" s="10">
        <f>COUNTIFS('APS Tubes'!$I$2:$I79,T28,'APS Tubes'!$H$2:$H79,"Fail")</f>
        <v>0</v>
      </c>
      <c r="AB28" s="10">
        <f t="shared" si="9"/>
        <v>32</v>
      </c>
      <c r="AC28" s="10" t="b">
        <f t="shared" si="10"/>
        <v>1</v>
      </c>
      <c r="AD28" s="44"/>
      <c r="AE28" s="44"/>
    </row>
    <row r="29">
      <c r="A29" s="184">
        <v>44587.0</v>
      </c>
      <c r="B29" s="10">
        <f>IFERROR(__xludf.DUMMYFUNCTION("COUNTUNIQUEIFS('APS Tubes'!$A$2:$A79,'APS Tubes'!$B$2:$B79,A29)"),13.0)</f>
        <v>13</v>
      </c>
      <c r="C29" s="10">
        <f>COUNTIFS('APS Tubes'!$B$2:$B79,A29,'APS Tubes'!$H$2:$H79,"Negative")</f>
        <v>13</v>
      </c>
      <c r="D29" s="10">
        <f>COUNTIFS('APS Tubes'!$B$2:$B79,$A29,'APS Tubes'!$H$2:$H79,"Positive")</f>
        <v>0</v>
      </c>
      <c r="E29" s="10">
        <f>COUNTIFS('APS Tubes'!$B$2:$B79,$A29,'APS Tubes'!$H$2:$H79,"Inconclusive")</f>
        <v>0</v>
      </c>
      <c r="F29" s="10">
        <f>COUNTIFS('APS Tubes'!$B$2:$B79,$A29,'APS Tubes'!$H$2:$H79,"Null")</f>
        <v>0</v>
      </c>
      <c r="G29" s="10">
        <f>COUNTIFS('APS Tubes'!$B$2:$B79,$A29,'APS Tubes'!$H$2:$H79,"Invalid")</f>
        <v>0</v>
      </c>
      <c r="H29" s="10">
        <f>COUNTIFS('APS Tubes'!$B$2:$B79,$A29,'APS Tubes'!$H$2:$H79,"Fail")</f>
        <v>0</v>
      </c>
      <c r="I29" s="10">
        <f t="shared" si="1"/>
        <v>13</v>
      </c>
      <c r="J29" s="10" t="b">
        <f t="shared" si="2"/>
        <v>1</v>
      </c>
      <c r="K29" s="10">
        <f t="shared" si="3"/>
        <v>17</v>
      </c>
      <c r="L29" s="10">
        <f t="shared" si="4"/>
        <v>4</v>
      </c>
      <c r="M29" s="10" t="str">
        <f t="shared" si="5"/>
        <v/>
      </c>
      <c r="N29" s="10">
        <f>COUNTIFS('APS Tubes'!$B$2:$B79,A29,'APS Tubes'!Q$2:Q79,"&lt;=0")</f>
        <v>13</v>
      </c>
      <c r="O29" s="10" t="b">
        <f t="shared" si="6"/>
        <v>1</v>
      </c>
      <c r="P29" s="225">
        <f t="shared" si="7"/>
        <v>44587</v>
      </c>
      <c r="Q29" s="10">
        <f>IFERROR(__xludf.DUMMYFUNCTION("IF(COUNTUNIQUEIFS('APS Tubes'!$A$2:$A79,'APS Tubes'!$I$2:$I79,P29)&gt;0,COUNTUNIQUEIFS('APS Tubes'!$A$2:$A79,'APS Tubes'!$I$2:$I79,P29),IFERROR(0/0))"),17.0)</f>
        <v>17</v>
      </c>
      <c r="R29" s="10" t="str">
        <f t="shared" si="8"/>
        <v/>
      </c>
      <c r="S29" s="200"/>
      <c r="T29" s="44">
        <v>44611.0</v>
      </c>
      <c r="U29" s="10">
        <f>IFERROR(__xludf.DUMMYFUNCTION("COUNTUNIQUEIFS('APS Tubes'!$A$2:$A79,'APS Tubes'!$I$2:$I79,T29)"),64.0)</f>
        <v>64</v>
      </c>
      <c r="V29" s="10">
        <f>COUNTIFS('APS Tubes'!$I$2:$I79,T29,'APS Tubes'!$H$2:$H79,"Negative")</f>
        <v>63</v>
      </c>
      <c r="W29" s="10">
        <f>COUNTIFS('APS Tubes'!$I$2:$I79,T29,'APS Tubes'!$H$2:$H79,"Positive")</f>
        <v>0</v>
      </c>
      <c r="X29" s="10">
        <f>COUNTIFS('APS Tubes'!$I$2:$I79,T29,'APS Tubes'!$H$2:$H79,"Inconclusive")</f>
        <v>1</v>
      </c>
      <c r="Y29" s="10">
        <f>COUNTIFS('APS Tubes'!$I$2:$I79,T29,'APS Tubes'!$H$2:$H79,"Null")</f>
        <v>0</v>
      </c>
      <c r="Z29" s="10">
        <f>COUNTIFS('APS Tubes'!$I$2:$I79,T29,'APS Tubes'!$H$2:$H79,"Invalid")</f>
        <v>0</v>
      </c>
      <c r="AA29" s="10">
        <f>COUNTIFS('APS Tubes'!$I$2:$I79,T29,'APS Tubes'!$H$2:$H79,"Fail")</f>
        <v>0</v>
      </c>
      <c r="AB29" s="10">
        <f t="shared" si="9"/>
        <v>64</v>
      </c>
      <c r="AC29" s="10" t="b">
        <f t="shared" si="10"/>
        <v>1</v>
      </c>
      <c r="AD29" s="44"/>
      <c r="AE29" s="44"/>
    </row>
    <row r="30">
      <c r="A30" s="184">
        <v>44589.0</v>
      </c>
      <c r="B30" s="10">
        <f>IFERROR(__xludf.DUMMYFUNCTION("COUNTUNIQUEIFS('APS Tubes'!$A$2:$A79,'APS Tubes'!$B$2:$B79,A30)"),7.0)</f>
        <v>7</v>
      </c>
      <c r="C30" s="10">
        <f>COUNTIFS('APS Tubes'!$B$2:$B79,A30,'APS Tubes'!$H$2:$H79,"Negative")</f>
        <v>7</v>
      </c>
      <c r="D30" s="10">
        <f>COUNTIFS('APS Tubes'!$B$2:$B79,$A30,'APS Tubes'!$H$2:$H79,"Positive")</f>
        <v>0</v>
      </c>
      <c r="E30" s="10">
        <f>COUNTIFS('APS Tubes'!$B$2:$B79,$A30,'APS Tubes'!$H$2:$H79,"Inconclusive")</f>
        <v>0</v>
      </c>
      <c r="F30" s="10">
        <f>COUNTIFS('APS Tubes'!$B$2:$B79,$A30,'APS Tubes'!$H$2:$H79,"Null")</f>
        <v>0</v>
      </c>
      <c r="G30" s="10">
        <f>COUNTIFS('APS Tubes'!$B$2:$B79,$A30,'APS Tubes'!$H$2:$H79,"Invalid")</f>
        <v>0</v>
      </c>
      <c r="H30" s="10">
        <f>COUNTIFS('APS Tubes'!$B$2:$B79,$A30,'APS Tubes'!$H$2:$H79,"Fail")</f>
        <v>0</v>
      </c>
      <c r="I30" s="10">
        <f t="shared" si="1"/>
        <v>7</v>
      </c>
      <c r="J30" s="10" t="b">
        <f t="shared" si="2"/>
        <v>1</v>
      </c>
      <c r="K30" s="10">
        <f t="shared" si="3"/>
        <v>7</v>
      </c>
      <c r="L30" s="10">
        <f t="shared" si="4"/>
        <v>0</v>
      </c>
      <c r="M30" s="10" t="b">
        <f t="shared" si="5"/>
        <v>1</v>
      </c>
      <c r="N30" s="10">
        <f>COUNTIFS('APS Tubes'!$B$2:$B79,A30,'APS Tubes'!Q$2:Q79,"&lt;=0")</f>
        <v>7</v>
      </c>
      <c r="O30" s="10" t="b">
        <f t="shared" si="6"/>
        <v>1</v>
      </c>
      <c r="P30" s="225">
        <f t="shared" si="7"/>
        <v>44589</v>
      </c>
      <c r="Q30" s="10">
        <f>IFERROR(__xludf.DUMMYFUNCTION("IF(COUNTUNIQUEIFS('APS Tubes'!$A$2:$A79,'APS Tubes'!$I$2:$I79,P30)&gt;0,COUNTUNIQUEIFS('APS Tubes'!$A$2:$A79,'APS Tubes'!$I$2:$I79,P30),IFERROR(0/0))"),7.0)</f>
        <v>7</v>
      </c>
      <c r="R30" s="10" t="b">
        <f t="shared" si="8"/>
        <v>1</v>
      </c>
      <c r="S30" s="200"/>
      <c r="T30" s="44">
        <v>44613.0</v>
      </c>
      <c r="U30" s="10">
        <f>IFERROR(__xludf.DUMMYFUNCTION("COUNTUNIQUEIFS('APS Tubes'!$A$2:$A79,'APS Tubes'!$I$2:$I79,T30)"),28.0)</f>
        <v>28</v>
      </c>
      <c r="V30" s="10">
        <f>COUNTIFS('APS Tubes'!$I$2:$I79,T30,'APS Tubes'!$H$2:$H79,"Negative")</f>
        <v>28</v>
      </c>
      <c r="W30" s="10">
        <f>COUNTIFS('APS Tubes'!$I$2:$I79,T30,'APS Tubes'!$H$2:$H79,"Positive")</f>
        <v>0</v>
      </c>
      <c r="X30" s="10">
        <f>COUNTIFS('APS Tubes'!$I$2:$I79,T30,'APS Tubes'!$H$2:$H79,"Inconclusive")</f>
        <v>0</v>
      </c>
      <c r="Y30" s="10">
        <f>COUNTIFS('APS Tubes'!$I$2:$I79,T30,'APS Tubes'!$H$2:$H79,"Null")</f>
        <v>0</v>
      </c>
      <c r="Z30" s="10">
        <f>COUNTIFS('APS Tubes'!$I$2:$I79,T30,'APS Tubes'!$H$2:$H79,"Invalid")</f>
        <v>0</v>
      </c>
      <c r="AA30" s="10">
        <f>COUNTIFS('APS Tubes'!$I$2:$I79,T30,'APS Tubes'!$H$2:$H79,"Fail")</f>
        <v>0</v>
      </c>
      <c r="AB30" s="10">
        <f t="shared" si="9"/>
        <v>28</v>
      </c>
      <c r="AC30" s="10" t="b">
        <f t="shared" si="10"/>
        <v>1</v>
      </c>
      <c r="AD30" s="44"/>
      <c r="AE30" s="44"/>
    </row>
    <row r="31">
      <c r="A31" s="184">
        <v>44592.0</v>
      </c>
      <c r="B31" s="10">
        <f>IFERROR(__xludf.DUMMYFUNCTION("COUNTUNIQUEIFS('APS Tubes'!$A$2:$A79,'APS Tubes'!$B$2:$B79,A31)"),10.0)</f>
        <v>10</v>
      </c>
      <c r="C31" s="10">
        <f>COUNTIFS('APS Tubes'!$B$2:$B79,A31,'APS Tubes'!$H$2:$H79,"Negative")</f>
        <v>10</v>
      </c>
      <c r="D31" s="10">
        <f>COUNTIFS('APS Tubes'!$B$2:$B79,$A31,'APS Tubes'!$H$2:$H79,"Positive")</f>
        <v>0</v>
      </c>
      <c r="E31" s="10">
        <f>COUNTIFS('APS Tubes'!$B$2:$B79,$A31,'APS Tubes'!$H$2:$H79,"Inconclusive")</f>
        <v>0</v>
      </c>
      <c r="F31" s="10">
        <f>COUNTIFS('APS Tubes'!$B$2:$B79,$A31,'APS Tubes'!$H$2:$H79,"Null")</f>
        <v>0</v>
      </c>
      <c r="G31" s="10">
        <f>COUNTIFS('APS Tubes'!$B$2:$B79,$A31,'APS Tubes'!$H$2:$H79,"Invalid")</f>
        <v>0</v>
      </c>
      <c r="H31" s="10">
        <f>COUNTIFS('APS Tubes'!$B$2:$B79,$A31,'APS Tubes'!$H$2:$H79,"Fail")</f>
        <v>0</v>
      </c>
      <c r="I31" s="10">
        <f t="shared" si="1"/>
        <v>10</v>
      </c>
      <c r="J31" s="10" t="b">
        <f t="shared" si="2"/>
        <v>1</v>
      </c>
      <c r="K31" s="10">
        <f t="shared" si="3"/>
        <v>10</v>
      </c>
      <c r="L31" s="10">
        <f t="shared" si="4"/>
        <v>0</v>
      </c>
      <c r="M31" s="10" t="b">
        <f t="shared" si="5"/>
        <v>1</v>
      </c>
      <c r="N31" s="10">
        <f>COUNTIFS('APS Tubes'!$B$2:$B79,A31,'APS Tubes'!Q$2:Q79,"&lt;=0")</f>
        <v>10</v>
      </c>
      <c r="O31" s="10" t="b">
        <f t="shared" si="6"/>
        <v>1</v>
      </c>
      <c r="P31" s="225">
        <f t="shared" si="7"/>
        <v>44592</v>
      </c>
      <c r="Q31" s="10">
        <f>IFERROR(__xludf.DUMMYFUNCTION("IF(COUNTUNIQUEIFS('APS Tubes'!$A$2:$A79,'APS Tubes'!$I$2:$I79,P31)&gt;0,COUNTUNIQUEIFS('APS Tubes'!$A$2:$A79,'APS Tubes'!$I$2:$I79,P31),IFERROR(0/0))"),10.0)</f>
        <v>10</v>
      </c>
      <c r="R31" s="10" t="b">
        <f t="shared" si="8"/>
        <v>1</v>
      </c>
      <c r="S31" s="200"/>
      <c r="T31" s="44">
        <v>44614.0</v>
      </c>
      <c r="U31" s="10">
        <f>IFERROR(__xludf.DUMMYFUNCTION("COUNTUNIQUEIFS('APS Tubes'!$A$2:$A79,'APS Tubes'!$I$2:$I79,T31)"),1.0)</f>
        <v>1</v>
      </c>
      <c r="V31" s="10">
        <f>COUNTIFS('APS Tubes'!$I$2:$I79,T31,'APS Tubes'!$H$2:$H79,"Negative")</f>
        <v>0</v>
      </c>
      <c r="W31" s="10">
        <f>COUNTIFS('APS Tubes'!$I$2:$I79,T31,'APS Tubes'!$H$2:$H79,"Positive")</f>
        <v>1</v>
      </c>
      <c r="X31" s="10">
        <f>COUNTIFS('APS Tubes'!$I$2:$I79,T31,'APS Tubes'!$H$2:$H79,"Inconclusive")</f>
        <v>0</v>
      </c>
      <c r="Y31" s="10">
        <f>COUNTIFS('APS Tubes'!$I$2:$I79,T31,'APS Tubes'!$H$2:$H79,"Null")</f>
        <v>0</v>
      </c>
      <c r="Z31" s="10">
        <f>COUNTIFS('APS Tubes'!$I$2:$I79,T31,'APS Tubes'!$H$2:$H79,"Invalid")</f>
        <v>0</v>
      </c>
      <c r="AA31" s="10">
        <f>COUNTIFS('APS Tubes'!$I$2:$I79,T31,'APS Tubes'!$H$2:$H79,"Fail")</f>
        <v>0</v>
      </c>
      <c r="AB31" s="10">
        <f t="shared" si="9"/>
        <v>1</v>
      </c>
      <c r="AC31" s="10" t="b">
        <f t="shared" si="10"/>
        <v>1</v>
      </c>
      <c r="AD31" s="44"/>
      <c r="AE31" s="44"/>
    </row>
    <row r="32">
      <c r="A32" s="184">
        <v>44594.0</v>
      </c>
      <c r="B32" s="10">
        <f>IFERROR(__xludf.DUMMYFUNCTION("COUNTUNIQUEIFS('APS Tubes'!$A$2:$A79,'APS Tubes'!$B$2:$B79,A32)"),9.0)</f>
        <v>9</v>
      </c>
      <c r="C32" s="10">
        <f>COUNTIFS('APS Tubes'!$B$2:$B79,A32,'APS Tubes'!$H$2:$H79,"Negative")</f>
        <v>8</v>
      </c>
      <c r="D32" s="10">
        <f>COUNTIFS('APS Tubes'!$B$2:$B79,$A32,'APS Tubes'!$H$2:$H79,"Positive")</f>
        <v>1</v>
      </c>
      <c r="E32" s="10">
        <f>COUNTIFS('APS Tubes'!$B$2:$B79,$A32,'APS Tubes'!$H$2:$H79,"Inconclusive")</f>
        <v>0</v>
      </c>
      <c r="F32" s="10">
        <f>COUNTIFS('APS Tubes'!$B$2:$B79,$A32,'APS Tubes'!$H$2:$H79,"Null")</f>
        <v>0</v>
      </c>
      <c r="G32" s="10">
        <f>COUNTIFS('APS Tubes'!$B$2:$B79,$A32,'APS Tubes'!$H$2:$H79,"Invalid")</f>
        <v>0</v>
      </c>
      <c r="H32" s="10">
        <f>COUNTIFS('APS Tubes'!$B$2:$B79,$A32,'APS Tubes'!$H$2:$H79,"Fail")</f>
        <v>0</v>
      </c>
      <c r="I32" s="10">
        <f t="shared" si="1"/>
        <v>9</v>
      </c>
      <c r="J32" s="10" t="b">
        <f t="shared" si="2"/>
        <v>1</v>
      </c>
      <c r="K32" s="10">
        <f t="shared" si="3"/>
        <v>1</v>
      </c>
      <c r="L32" s="10">
        <f t="shared" si="4"/>
        <v>-8</v>
      </c>
      <c r="M32" s="10" t="str">
        <f t="shared" si="5"/>
        <v/>
      </c>
      <c r="N32" s="10">
        <f>COUNTIFS('APS Tubes'!$B$2:$B79,A32,'APS Tubes'!Q$2:Q79,"&lt;=0")</f>
        <v>1</v>
      </c>
      <c r="O32" s="10" t="str">
        <f t="shared" si="6"/>
        <v/>
      </c>
      <c r="P32" s="225">
        <f t="shared" si="7"/>
        <v>44594</v>
      </c>
      <c r="Q32" s="10">
        <f>IFERROR(__xludf.DUMMYFUNCTION("IF(COUNTUNIQUEIFS('APS Tubes'!$A$2:$A79,'APS Tubes'!$I$2:$I79,P32)&gt;0,COUNTUNIQUEIFS('APS Tubes'!$A$2:$A79,'APS Tubes'!$I$2:$I79,P32),IFERROR(0/0))"),1.0)</f>
        <v>1</v>
      </c>
      <c r="R32" s="10" t="str">
        <f t="shared" si="8"/>
        <v/>
      </c>
      <c r="S32" s="200"/>
      <c r="T32" s="44">
        <v>44615.0</v>
      </c>
      <c r="U32" s="10">
        <f>IFERROR(__xludf.DUMMYFUNCTION("COUNTUNIQUEIFS('APS Tubes'!$A$2:$A79,'APS Tubes'!$I$2:$I79,T32)"),34.0)</f>
        <v>34</v>
      </c>
      <c r="V32" s="10">
        <f>COUNTIFS('APS Tubes'!$I$2:$I79,T32,'APS Tubes'!$H$2:$H79,"Negative")</f>
        <v>34</v>
      </c>
      <c r="W32" s="10">
        <f>COUNTIFS('APS Tubes'!$I$2:$I79,T32,'APS Tubes'!$H$2:$H79,"Positive")</f>
        <v>0</v>
      </c>
      <c r="X32" s="10">
        <f>COUNTIFS('APS Tubes'!$I$2:$I79,T32,'APS Tubes'!$H$2:$H79,"Inconclusive")</f>
        <v>0</v>
      </c>
      <c r="Y32" s="10">
        <f>COUNTIFS('APS Tubes'!$I$2:$I79,T32,'APS Tubes'!$H$2:$H79,"Null")</f>
        <v>0</v>
      </c>
      <c r="Z32" s="10">
        <f>COUNTIFS('APS Tubes'!$I$2:$I79,T32,'APS Tubes'!$H$2:$H79,"Invalid")</f>
        <v>0</v>
      </c>
      <c r="AA32" s="10">
        <f>COUNTIFS('APS Tubes'!$I$2:$I79,T32,'APS Tubes'!$H$2:$H79,"Fail")</f>
        <v>0</v>
      </c>
      <c r="AB32" s="10">
        <f t="shared" si="9"/>
        <v>34</v>
      </c>
      <c r="AC32" s="10" t="b">
        <f t="shared" si="10"/>
        <v>1</v>
      </c>
      <c r="AD32" s="44"/>
      <c r="AE32" s="44"/>
    </row>
    <row r="33">
      <c r="A33" s="184">
        <v>44596.0</v>
      </c>
      <c r="B33" s="10">
        <f>IFERROR(__xludf.DUMMYFUNCTION("COUNTUNIQUEIFS('APS Tubes'!$A$2:$A79,'APS Tubes'!$B$2:$B79,A33)"),5.0)</f>
        <v>5</v>
      </c>
      <c r="C33" s="10">
        <f>COUNTIFS('APS Tubes'!$B$2:$B79,A33,'APS Tubes'!$H$2:$H79,"Negative")</f>
        <v>5</v>
      </c>
      <c r="D33" s="10">
        <f>COUNTIFS('APS Tubes'!$B$2:$B79,$A33,'APS Tubes'!$H$2:$H79,"Positive")</f>
        <v>0</v>
      </c>
      <c r="E33" s="10">
        <f>COUNTIFS('APS Tubes'!$B$2:$B79,$A33,'APS Tubes'!$H$2:$H79,"Inconclusive")</f>
        <v>0</v>
      </c>
      <c r="F33" s="10">
        <f>COUNTIFS('APS Tubes'!$B$2:$B79,$A33,'APS Tubes'!$H$2:$H79,"Null")</f>
        <v>0</v>
      </c>
      <c r="G33" s="10">
        <f>COUNTIFS('APS Tubes'!$B$2:$B79,$A33,'APS Tubes'!$H$2:$H79,"Invalid")</f>
        <v>0</v>
      </c>
      <c r="H33" s="10">
        <f>COUNTIFS('APS Tubes'!$B$2:$B79,$A33,'APS Tubes'!$H$2:$H79,"Fail")</f>
        <v>0</v>
      </c>
      <c r="I33" s="10">
        <f t="shared" si="1"/>
        <v>5</v>
      </c>
      <c r="J33" s="10" t="b">
        <f t="shared" si="2"/>
        <v>1</v>
      </c>
      <c r="K33" s="10">
        <f t="shared" si="3"/>
        <v>13</v>
      </c>
      <c r="L33" s="10">
        <f t="shared" si="4"/>
        <v>8</v>
      </c>
      <c r="M33" s="10" t="str">
        <f t="shared" si="5"/>
        <v/>
      </c>
      <c r="N33" s="10">
        <f>COUNTIFS('APS Tubes'!$B$2:$B79,A33,'APS Tubes'!Q$2:Q79,"&lt;=0")</f>
        <v>5</v>
      </c>
      <c r="O33" s="10" t="b">
        <f t="shared" si="6"/>
        <v>1</v>
      </c>
      <c r="P33" s="225">
        <f t="shared" si="7"/>
        <v>44596</v>
      </c>
      <c r="Q33" s="10">
        <f>IFERROR(__xludf.DUMMYFUNCTION("IF(COUNTUNIQUEIFS('APS Tubes'!$A$2:$A79,'APS Tubes'!$I$2:$I79,P33)&gt;0,COUNTUNIQUEIFS('APS Tubes'!$A$2:$A79,'APS Tubes'!$I$2:$I79,P33),IFERROR(0/0))"),13.0)</f>
        <v>13</v>
      </c>
      <c r="R33" s="10" t="str">
        <f t="shared" si="8"/>
        <v/>
      </c>
      <c r="S33" s="200"/>
      <c r="T33" s="44">
        <v>44617.0</v>
      </c>
      <c r="U33" s="10">
        <f>IFERROR(__xludf.DUMMYFUNCTION("COUNTUNIQUEIFS('APS Tubes'!$A$2:$A79,'APS Tubes'!$I$2:$I79,T33)"),33.0)</f>
        <v>33</v>
      </c>
      <c r="V33" s="10">
        <f>COUNTIFS('APS Tubes'!$I$2:$I79,T33,'APS Tubes'!$H$2:$H79,"Negative")</f>
        <v>33</v>
      </c>
      <c r="W33" s="10">
        <f>COUNTIFS('APS Tubes'!$I$2:$I79,T33,'APS Tubes'!$H$2:$H79,"Positive")</f>
        <v>0</v>
      </c>
      <c r="X33" s="10">
        <f>COUNTIFS('APS Tubes'!$I$2:$I79,T33,'APS Tubes'!$H$2:$H79,"Inconclusive")</f>
        <v>0</v>
      </c>
      <c r="Y33" s="10">
        <f>COUNTIFS('APS Tubes'!$I$2:$I79,T33,'APS Tubes'!$H$2:$H79,"Null")</f>
        <v>0</v>
      </c>
      <c r="Z33" s="10">
        <f>COUNTIFS('APS Tubes'!$I$2:$I79,T33,'APS Tubes'!$H$2:$H79,"Invalid")</f>
        <v>0</v>
      </c>
      <c r="AA33" s="10">
        <f>COUNTIFS('APS Tubes'!$I$2:$I79,T33,'APS Tubes'!$H$2:$H79,"Fail")</f>
        <v>0</v>
      </c>
      <c r="AB33" s="10">
        <f t="shared" si="9"/>
        <v>33</v>
      </c>
      <c r="AC33" s="10" t="b">
        <f t="shared" si="10"/>
        <v>1</v>
      </c>
      <c r="AD33" s="44"/>
      <c r="AE33" s="44"/>
    </row>
    <row r="34">
      <c r="A34" s="184">
        <v>44599.0</v>
      </c>
      <c r="B34" s="10">
        <f>IFERROR(__xludf.DUMMYFUNCTION("COUNTUNIQUEIFS('APS Tubes'!$A$2:$A79,'APS Tubes'!$B$2:$B79,A34)"),13.0)</f>
        <v>13</v>
      </c>
      <c r="C34" s="10">
        <f>COUNTIFS('APS Tubes'!$B$2:$B79,A34,'APS Tubes'!$H$2:$H79,"Negative")</f>
        <v>12</v>
      </c>
      <c r="D34" s="10">
        <f>COUNTIFS('APS Tubes'!$B$2:$B79,$A34,'APS Tubes'!$H$2:$H79,"Positive")</f>
        <v>1</v>
      </c>
      <c r="E34" s="10">
        <f>COUNTIFS('APS Tubes'!$B$2:$B79,$A34,'APS Tubes'!$H$2:$H79,"Inconclusive")</f>
        <v>0</v>
      </c>
      <c r="F34" s="10">
        <f>COUNTIFS('APS Tubes'!$B$2:$B79,$A34,'APS Tubes'!$H$2:$H79,"Null")</f>
        <v>0</v>
      </c>
      <c r="G34" s="10">
        <f>COUNTIFS('APS Tubes'!$B$2:$B79,$A34,'APS Tubes'!$H$2:$H79,"Invalid")</f>
        <v>0</v>
      </c>
      <c r="H34" s="10">
        <f>COUNTIFS('APS Tubes'!$B$2:$B79,$A34,'APS Tubes'!$H$2:$H79,"Fail")</f>
        <v>0</v>
      </c>
      <c r="I34" s="10">
        <f t="shared" si="1"/>
        <v>13</v>
      </c>
      <c r="J34" s="10" t="b">
        <f t="shared" si="2"/>
        <v>1</v>
      </c>
      <c r="K34" s="10">
        <f t="shared" si="3"/>
        <v>13</v>
      </c>
      <c r="L34" s="10">
        <f t="shared" si="4"/>
        <v>0</v>
      </c>
      <c r="M34" s="10" t="b">
        <f t="shared" si="5"/>
        <v>1</v>
      </c>
      <c r="N34" s="10">
        <f>COUNTIFS('APS Tubes'!$B$2:$B79,A34,'APS Tubes'!Q$2:Q79,"&lt;=0")</f>
        <v>13</v>
      </c>
      <c r="O34" s="10" t="b">
        <f t="shared" si="6"/>
        <v>1</v>
      </c>
      <c r="P34" s="225">
        <f t="shared" si="7"/>
        <v>44599</v>
      </c>
      <c r="Q34" s="10">
        <f>IFERROR(__xludf.DUMMYFUNCTION("IF(COUNTUNIQUEIFS('APS Tubes'!$A$2:$A79,'APS Tubes'!$I$2:$I79,P34)&gt;0,COUNTUNIQUEIFS('APS Tubes'!$A$2:$A79,'APS Tubes'!$I$2:$I79,P34),IFERROR(0/0))"),13.0)</f>
        <v>13</v>
      </c>
      <c r="R34" s="10" t="b">
        <f t="shared" si="8"/>
        <v>1</v>
      </c>
      <c r="S34" s="200"/>
      <c r="T34" s="44">
        <v>44621.0</v>
      </c>
      <c r="U34" s="10">
        <f>IFERROR(__xludf.DUMMYFUNCTION("COUNTUNIQUEIFS('APS Tubes'!$A$2:$A79,'APS Tubes'!$I$2:$I79,T34)"),30.0)</f>
        <v>30</v>
      </c>
      <c r="V34" s="10">
        <f>COUNTIFS('APS Tubes'!$I$2:$I79,T34,'APS Tubes'!$H$2:$H79,"Negative")</f>
        <v>30</v>
      </c>
      <c r="W34" s="10">
        <f>COUNTIFS('APS Tubes'!$I$2:$I79,T34,'APS Tubes'!$H$2:$H79,"Positive")</f>
        <v>0</v>
      </c>
      <c r="X34" s="10">
        <f>COUNTIFS('APS Tubes'!$I$2:$I79,T34,'APS Tubes'!$H$2:$H79,"Inconclusive")</f>
        <v>0</v>
      </c>
      <c r="Y34" s="10">
        <f>COUNTIFS('APS Tubes'!$I$2:$I79,T34,'APS Tubes'!$H$2:$H79,"Null")</f>
        <v>0</v>
      </c>
      <c r="Z34" s="10">
        <f>COUNTIFS('APS Tubes'!$I$2:$I79,T34,'APS Tubes'!$H$2:$H79,"Invalid")</f>
        <v>0</v>
      </c>
      <c r="AA34" s="10">
        <f>COUNTIFS('APS Tubes'!$I$2:$I79,T34,'APS Tubes'!$H$2:$H79,"Fail")</f>
        <v>0</v>
      </c>
      <c r="AB34" s="10">
        <f t="shared" si="9"/>
        <v>30</v>
      </c>
      <c r="AC34" s="10" t="b">
        <f t="shared" si="10"/>
        <v>1</v>
      </c>
      <c r="AD34" s="44"/>
      <c r="AE34" s="44"/>
    </row>
    <row r="35">
      <c r="A35" s="184">
        <v>44601.0</v>
      </c>
      <c r="B35" s="10">
        <f>IFERROR(__xludf.DUMMYFUNCTION("COUNTUNIQUEIFS('APS Tubes'!$A$2:$A79,'APS Tubes'!$B$2:$B79,A35)"),14.0)</f>
        <v>14</v>
      </c>
      <c r="C35" s="10">
        <f>COUNTIFS('APS Tubes'!$B$2:$B79,A35,'APS Tubes'!$H$2:$H79,"Negative")</f>
        <v>13</v>
      </c>
      <c r="D35" s="10">
        <f>COUNTIFS('APS Tubes'!$B$2:$B79,$A35,'APS Tubes'!$H$2:$H79,"Positive")</f>
        <v>1</v>
      </c>
      <c r="E35" s="10">
        <f>COUNTIFS('APS Tubes'!$B$2:$B79,$A35,'APS Tubes'!$H$2:$H79,"Inconclusive")</f>
        <v>0</v>
      </c>
      <c r="F35" s="10">
        <f>COUNTIFS('APS Tubes'!$B$2:$B79,$A35,'APS Tubes'!$H$2:$H79,"Null")</f>
        <v>0</v>
      </c>
      <c r="G35" s="10">
        <f>COUNTIFS('APS Tubes'!$B$2:$B79,$A35,'APS Tubes'!$H$2:$H79,"Invalid")</f>
        <v>0</v>
      </c>
      <c r="H35" s="10">
        <f>COUNTIFS('APS Tubes'!$B$2:$B79,$A35,'APS Tubes'!$H$2:$H79,"Fail")</f>
        <v>0</v>
      </c>
      <c r="I35" s="10">
        <f t="shared" si="1"/>
        <v>14</v>
      </c>
      <c r="J35" s="10" t="b">
        <f t="shared" si="2"/>
        <v>1</v>
      </c>
      <c r="K35" s="10">
        <f t="shared" si="3"/>
        <v>14</v>
      </c>
      <c r="L35" s="10">
        <f t="shared" si="4"/>
        <v>0</v>
      </c>
      <c r="M35" s="10" t="b">
        <f t="shared" si="5"/>
        <v>1</v>
      </c>
      <c r="N35" s="10">
        <f>COUNTIFS('APS Tubes'!$B$2:$B79,A35,'APS Tubes'!Q$2:Q79,"&lt;=0")</f>
        <v>14</v>
      </c>
      <c r="O35" s="10" t="b">
        <f t="shared" si="6"/>
        <v>1</v>
      </c>
      <c r="P35" s="225">
        <f t="shared" si="7"/>
        <v>44601</v>
      </c>
      <c r="Q35" s="10">
        <f>IFERROR(__xludf.DUMMYFUNCTION("IF(COUNTUNIQUEIFS('APS Tubes'!$A$2:$A79,'APS Tubes'!$I$2:$I79,P35)&gt;0,COUNTUNIQUEIFS('APS Tubes'!$A$2:$A79,'APS Tubes'!$I$2:$I79,P35),IFERROR(0/0))"),14.0)</f>
        <v>14</v>
      </c>
      <c r="R35" s="10" t="b">
        <f t="shared" si="8"/>
        <v>1</v>
      </c>
      <c r="S35" s="200"/>
      <c r="T35" s="44">
        <v>44623.0</v>
      </c>
      <c r="U35" s="10">
        <f>IFERROR(__xludf.DUMMYFUNCTION("COUNTUNIQUEIFS('APS Tubes'!$A$2:$A79,'APS Tubes'!$I$2:$I79,T35)"),34.0)</f>
        <v>34</v>
      </c>
      <c r="V35" s="10">
        <f>COUNTIFS('APS Tubes'!$I$2:$I79,T35,'APS Tubes'!$H$2:$H79,"Negative")</f>
        <v>32</v>
      </c>
      <c r="W35" s="10">
        <f>COUNTIFS('APS Tubes'!$I$2:$I79,T35,'APS Tubes'!$H$2:$H79,"Positive")</f>
        <v>2</v>
      </c>
      <c r="X35" s="10">
        <f>COUNTIFS('APS Tubes'!$I$2:$I79,T35,'APS Tubes'!$H$2:$H79,"Inconclusive")</f>
        <v>0</v>
      </c>
      <c r="Y35" s="10">
        <f>COUNTIFS('APS Tubes'!$I$2:$I79,T35,'APS Tubes'!$H$2:$H79,"Null")</f>
        <v>0</v>
      </c>
      <c r="Z35" s="10">
        <f>COUNTIFS('APS Tubes'!$I$2:$I79,T35,'APS Tubes'!$H$2:$H79,"Invalid")</f>
        <v>0</v>
      </c>
      <c r="AA35" s="10">
        <f>COUNTIFS('APS Tubes'!$I$2:$I79,T35,'APS Tubes'!$H$2:$H79,"Fail")</f>
        <v>0</v>
      </c>
      <c r="AB35" s="10">
        <f t="shared" si="9"/>
        <v>34</v>
      </c>
      <c r="AC35" s="10" t="b">
        <f t="shared" si="10"/>
        <v>1</v>
      </c>
      <c r="AD35" s="44"/>
      <c r="AE35" s="44"/>
    </row>
    <row r="36">
      <c r="A36" s="184">
        <v>44603.0</v>
      </c>
      <c r="B36" s="10">
        <f>IFERROR(__xludf.DUMMYFUNCTION("COUNTUNIQUEIFS('APS Tubes'!$A$2:$A79,'APS Tubes'!$B$2:$B79,A36)"),9.0)</f>
        <v>9</v>
      </c>
      <c r="C36" s="10">
        <f>COUNTIFS('APS Tubes'!$B$2:$B79,A36,'APS Tubes'!$H$2:$H79,"Negative")</f>
        <v>7</v>
      </c>
      <c r="D36" s="10">
        <f>COUNTIFS('APS Tubes'!$B$2:$B79,$A36,'APS Tubes'!$H$2:$H79,"Positive")</f>
        <v>2</v>
      </c>
      <c r="E36" s="10">
        <f>COUNTIFS('APS Tubes'!$B$2:$B79,$A36,'APS Tubes'!$H$2:$H79,"Inconclusive")</f>
        <v>0</v>
      </c>
      <c r="F36" s="10">
        <f>COUNTIFS('APS Tubes'!$B$2:$B79,$A36,'APS Tubes'!$H$2:$H79,"Null")</f>
        <v>0</v>
      </c>
      <c r="G36" s="10">
        <f>COUNTIFS('APS Tubes'!$B$2:$B79,$A36,'APS Tubes'!$H$2:$H79,"Invalid")</f>
        <v>0</v>
      </c>
      <c r="H36" s="10">
        <f>COUNTIFS('APS Tubes'!$B$2:$B79,$A36,'APS Tubes'!$H$2:$H79,"Fail")</f>
        <v>0</v>
      </c>
      <c r="I36" s="10">
        <f t="shared" si="1"/>
        <v>9</v>
      </c>
      <c r="J36" s="10" t="b">
        <f t="shared" si="2"/>
        <v>1</v>
      </c>
      <c r="K36" s="10">
        <f t="shared" si="3"/>
        <v>9</v>
      </c>
      <c r="L36" s="10">
        <f t="shared" si="4"/>
        <v>0</v>
      </c>
      <c r="M36" s="10" t="b">
        <f t="shared" si="5"/>
        <v>1</v>
      </c>
      <c r="N36" s="10">
        <f>COUNTIFS('APS Tubes'!$B$2:$B79,A36,'APS Tubes'!Q$2:Q79,"&lt;=0")</f>
        <v>9</v>
      </c>
      <c r="O36" s="10" t="b">
        <f t="shared" si="6"/>
        <v>1</v>
      </c>
      <c r="P36" s="225">
        <f t="shared" si="7"/>
        <v>44603</v>
      </c>
      <c r="Q36" s="10">
        <f>IFERROR(__xludf.DUMMYFUNCTION("IF(COUNTUNIQUEIFS('APS Tubes'!$A$2:$A79,'APS Tubes'!$I$2:$I79,P36)&gt;0,COUNTUNIQUEIFS('APS Tubes'!$A$2:$A79,'APS Tubes'!$I$2:$I79,P36),IFERROR(0/0))"),9.0)</f>
        <v>9</v>
      </c>
      <c r="R36" s="10" t="b">
        <f t="shared" si="8"/>
        <v>1</v>
      </c>
      <c r="S36" s="200"/>
      <c r="T36" s="44">
        <v>44625.0</v>
      </c>
      <c r="U36" s="10">
        <f>IFERROR(__xludf.DUMMYFUNCTION("COUNTUNIQUEIFS('APS Tubes'!$A$2:$A79,'APS Tubes'!$I$2:$I79,T36)"),32.0)</f>
        <v>32</v>
      </c>
      <c r="V36" s="10">
        <f>COUNTIFS('APS Tubes'!$I$2:$I79,T36,'APS Tubes'!$H$2:$H79,"Negative")</f>
        <v>32</v>
      </c>
      <c r="W36" s="10">
        <f>COUNTIFS('APS Tubes'!$I$2:$I79,T36,'APS Tubes'!$H$2:$H79,"Positive")</f>
        <v>0</v>
      </c>
      <c r="X36" s="10">
        <f>COUNTIFS('APS Tubes'!$I$2:$I79,T36,'APS Tubes'!$H$2:$H79,"Inconclusive")</f>
        <v>0</v>
      </c>
      <c r="Y36" s="10">
        <f>COUNTIFS('APS Tubes'!$I$2:$I79,T36,'APS Tubes'!$H$2:$H79,"Null")</f>
        <v>0</v>
      </c>
      <c r="Z36" s="10">
        <f>COUNTIFS('APS Tubes'!$I$2:$I79,T36,'APS Tubes'!$H$2:$H79,"Invalid")</f>
        <v>0</v>
      </c>
      <c r="AA36" s="10">
        <f>COUNTIFS('APS Tubes'!$I$2:$I79,T36,'APS Tubes'!$H$2:$H79,"Fail")</f>
        <v>0</v>
      </c>
      <c r="AB36" s="10">
        <f t="shared" si="9"/>
        <v>32</v>
      </c>
      <c r="AC36" s="10" t="b">
        <f t="shared" si="10"/>
        <v>1</v>
      </c>
      <c r="AD36" s="44"/>
      <c r="AE36" s="44"/>
    </row>
    <row r="37">
      <c r="A37" s="184">
        <v>44604.0</v>
      </c>
      <c r="B37" s="10">
        <f>IFERROR(__xludf.DUMMYFUNCTION("COUNTUNIQUEIFS('APS Tubes'!$A$2:$A79,'APS Tubes'!$B$2:$B79,A37)"),2.0)</f>
        <v>2</v>
      </c>
      <c r="C37" s="10">
        <f>COUNTIFS('APS Tubes'!$B$2:$B79,A37,'APS Tubes'!$H$2:$H79,"Negative")</f>
        <v>0</v>
      </c>
      <c r="D37" s="10">
        <f>COUNTIFS('APS Tubes'!$B$2:$B79,$A37,'APS Tubes'!$H$2:$H79,"Positive")</f>
        <v>2</v>
      </c>
      <c r="E37" s="10">
        <f>COUNTIFS('APS Tubes'!$B$2:$B79,$A37,'APS Tubes'!$H$2:$H79,"Inconclusive")</f>
        <v>0</v>
      </c>
      <c r="F37" s="10">
        <f>COUNTIFS('APS Tubes'!$B$2:$B79,$A37,'APS Tubes'!$H$2:$H79,"Null")</f>
        <v>0</v>
      </c>
      <c r="G37" s="10">
        <f>COUNTIFS('APS Tubes'!$B$2:$B79,$A37,'APS Tubes'!$H$2:$H79,"Invalid")</f>
        <v>0</v>
      </c>
      <c r="H37" s="10">
        <f>COUNTIFS('APS Tubes'!$B$2:$B79,$A37,'APS Tubes'!$H$2:$H79,"Fail")</f>
        <v>0</v>
      </c>
      <c r="I37" s="10">
        <f t="shared" si="1"/>
        <v>2</v>
      </c>
      <c r="J37" s="10" t="b">
        <f t="shared" si="2"/>
        <v>1</v>
      </c>
      <c r="K37" s="10">
        <f t="shared" si="3"/>
        <v>2</v>
      </c>
      <c r="L37" s="10">
        <f t="shared" si="4"/>
        <v>0</v>
      </c>
      <c r="M37" s="10" t="b">
        <f t="shared" si="5"/>
        <v>1</v>
      </c>
      <c r="N37" s="10">
        <f>COUNTIFS('APS Tubes'!$B$2:$B79,A37,'APS Tubes'!Q$2:Q79,"&lt;=0")</f>
        <v>2</v>
      </c>
      <c r="O37" s="10" t="b">
        <f t="shared" si="6"/>
        <v>1</v>
      </c>
      <c r="P37" s="225">
        <f t="shared" si="7"/>
        <v>44604</v>
      </c>
      <c r="Q37" s="10">
        <f>IFERROR(__xludf.DUMMYFUNCTION("IF(COUNTUNIQUEIFS('APS Tubes'!$A$2:$A79,'APS Tubes'!$I$2:$I79,P37)&gt;0,COUNTUNIQUEIFS('APS Tubes'!$A$2:$A79,'APS Tubes'!$I$2:$I79,P37),IFERROR(0/0))"),2.0)</f>
        <v>2</v>
      </c>
      <c r="R37" s="10" t="b">
        <f t="shared" si="8"/>
        <v>1</v>
      </c>
      <c r="S37" s="200"/>
      <c r="T37" s="44">
        <v>44627.0</v>
      </c>
      <c r="U37" s="10">
        <f>IFERROR(__xludf.DUMMYFUNCTION("COUNTUNIQUEIFS('APS Tubes'!$A$2:$A79,'APS Tubes'!$I$2:$I79,T37)"),65.0)</f>
        <v>65</v>
      </c>
      <c r="V37" s="10">
        <f>COUNTIFS('APS Tubes'!$I$2:$I79,T37,'APS Tubes'!$H$2:$H79,"Negative")</f>
        <v>62</v>
      </c>
      <c r="W37" s="10">
        <f>COUNTIFS('APS Tubes'!$I$2:$I79,T37,'APS Tubes'!$H$2:$H79,"Positive")</f>
        <v>3</v>
      </c>
      <c r="X37" s="10">
        <f>COUNTIFS('APS Tubes'!$I$2:$I79,T37,'APS Tubes'!$H$2:$H79,"Inconclusive")</f>
        <v>0</v>
      </c>
      <c r="Y37" s="10">
        <f>COUNTIFS('APS Tubes'!$I$2:$I79,T37,'APS Tubes'!$H$2:$H79,"Null")</f>
        <v>0</v>
      </c>
      <c r="Z37" s="10">
        <f>COUNTIFS('APS Tubes'!$I$2:$I79,T37,'APS Tubes'!$H$2:$H79,"Invalid")</f>
        <v>0</v>
      </c>
      <c r="AA37" s="10">
        <f>COUNTIFS('APS Tubes'!$I$2:$I79,T37,'APS Tubes'!$H$2:$H79,"Fail")</f>
        <v>0</v>
      </c>
      <c r="AB37" s="10">
        <f t="shared" si="9"/>
        <v>65</v>
      </c>
      <c r="AC37" s="10" t="b">
        <f t="shared" si="10"/>
        <v>1</v>
      </c>
      <c r="AD37" s="44"/>
      <c r="AE37" s="44"/>
    </row>
    <row r="38">
      <c r="A38" s="184">
        <v>44607.0</v>
      </c>
      <c r="B38" s="10">
        <f>IFERROR(__xludf.DUMMYFUNCTION("COUNTUNIQUEIFS('APS Tubes'!$A$2:$A79,'APS Tubes'!$B$2:$B79,A38)"),33.0)</f>
        <v>33</v>
      </c>
      <c r="C38" s="10">
        <f>COUNTIFS('APS Tubes'!$B$2:$B79,A38,'APS Tubes'!$H$2:$H79,"Negative")</f>
        <v>33</v>
      </c>
      <c r="D38" s="10">
        <f>COUNTIFS('APS Tubes'!$B$2:$B79,$A38,'APS Tubes'!$H$2:$H79,"Positive")</f>
        <v>0</v>
      </c>
      <c r="E38" s="10">
        <f>COUNTIFS('APS Tubes'!$B$2:$B79,$A38,'APS Tubes'!$H$2:$H79,"Inconclusive")</f>
        <v>0</v>
      </c>
      <c r="F38" s="10">
        <f>COUNTIFS('APS Tubes'!$B$2:$B79,$A38,'APS Tubes'!$H$2:$H79,"Null")</f>
        <v>0</v>
      </c>
      <c r="G38" s="10">
        <f>COUNTIFS('APS Tubes'!$B$2:$B79,$A38,'APS Tubes'!$H$2:$H79,"Invalid")</f>
        <v>0</v>
      </c>
      <c r="H38" s="10">
        <f>COUNTIFS('APS Tubes'!$B$2:$B79,$A38,'APS Tubes'!$H$2:$H79,"Fail")</f>
        <v>0</v>
      </c>
      <c r="I38" s="10">
        <f t="shared" si="1"/>
        <v>33</v>
      </c>
      <c r="J38" s="10" t="b">
        <f t="shared" si="2"/>
        <v>1</v>
      </c>
      <c r="K38" s="10">
        <f t="shared" si="3"/>
        <v>32</v>
      </c>
      <c r="L38" s="10">
        <f t="shared" si="4"/>
        <v>-1</v>
      </c>
      <c r="M38" s="10" t="str">
        <f t="shared" si="5"/>
        <v/>
      </c>
      <c r="N38" s="10">
        <f>COUNTIFS('APS Tubes'!$B$2:$B79,A38,'APS Tubes'!Q$2:Q79,"&lt;=0")</f>
        <v>33</v>
      </c>
      <c r="O38" s="10" t="b">
        <f t="shared" si="6"/>
        <v>1</v>
      </c>
      <c r="P38" s="225">
        <f t="shared" si="7"/>
        <v>44607</v>
      </c>
      <c r="Q38" s="10">
        <f>IFERROR(__xludf.DUMMYFUNCTION("IF(COUNTUNIQUEIFS('APS Tubes'!$A$2:$A79,'APS Tubes'!$I$2:$I79,P38)&gt;0,COUNTUNIQUEIFS('APS Tubes'!$A$2:$A79,'APS Tubes'!$I$2:$I79,P38),IFERROR(0/0))"),32.0)</f>
        <v>32</v>
      </c>
      <c r="R38" s="10" t="str">
        <f t="shared" si="8"/>
        <v/>
      </c>
      <c r="S38" s="200"/>
      <c r="T38" s="44">
        <v>44629.0</v>
      </c>
      <c r="U38" s="10">
        <f>IFERROR(__xludf.DUMMYFUNCTION("COUNTUNIQUEIFS('APS Tubes'!$A$2:$A79,'APS Tubes'!$I$2:$I79,T38)"),25.0)</f>
        <v>25</v>
      </c>
      <c r="V38" s="10">
        <f>COUNTIFS('APS Tubes'!$I$2:$I79,T38,'APS Tubes'!$H$2:$H79,"Negative")</f>
        <v>25</v>
      </c>
      <c r="W38" s="10">
        <f>COUNTIFS('APS Tubes'!$I$2:$I79,T38,'APS Tubes'!$H$2:$H79,"Positive")</f>
        <v>0</v>
      </c>
      <c r="X38" s="10">
        <f>COUNTIFS('APS Tubes'!$I$2:$I79,T38,'APS Tubes'!$H$2:$H79,"Inconclusive")</f>
        <v>0</v>
      </c>
      <c r="Y38" s="10">
        <f>COUNTIFS('APS Tubes'!$I$2:$I79,T38,'APS Tubes'!$H$2:$H79,"Null")</f>
        <v>0</v>
      </c>
      <c r="Z38" s="10">
        <f>COUNTIFS('APS Tubes'!$I$2:$I79,T38,'APS Tubes'!$H$2:$H79,"Invalid")</f>
        <v>0</v>
      </c>
      <c r="AA38" s="10">
        <f>COUNTIFS('APS Tubes'!$I$2:$I79,T38,'APS Tubes'!$H$2:$H79,"Fail")</f>
        <v>0</v>
      </c>
      <c r="AB38" s="10">
        <f t="shared" si="9"/>
        <v>25</v>
      </c>
      <c r="AC38" s="10" t="b">
        <f t="shared" si="10"/>
        <v>1</v>
      </c>
      <c r="AD38" s="44"/>
      <c r="AE38" s="44"/>
    </row>
    <row r="39">
      <c r="A39" s="184">
        <v>44609.0</v>
      </c>
      <c r="B39" s="10">
        <f>IFERROR(__xludf.DUMMYFUNCTION("COUNTUNIQUEIFS('APS Tubes'!$A$2:$A79,'APS Tubes'!$B$2:$B79,A39)"),33.0)</f>
        <v>33</v>
      </c>
      <c r="C39" s="10">
        <f>COUNTIFS('APS Tubes'!$B$2:$B79,A39,'APS Tubes'!$H$2:$H79,"Negative")</f>
        <v>32</v>
      </c>
      <c r="D39" s="10">
        <f>COUNTIFS('APS Tubes'!$B$2:$B79,$A39,'APS Tubes'!$H$2:$H79,"Positive")</f>
        <v>0</v>
      </c>
      <c r="E39" s="10">
        <f>COUNTIFS('APS Tubes'!$B$2:$B79,$A39,'APS Tubes'!$H$2:$H79,"Inconclusive")</f>
        <v>1</v>
      </c>
      <c r="F39" s="10">
        <f>COUNTIFS('APS Tubes'!$B$2:$B79,$A39,'APS Tubes'!$H$2:$H79,"Null")</f>
        <v>0</v>
      </c>
      <c r="G39" s="10">
        <f>COUNTIFS('APS Tubes'!$B$2:$B79,$A39,'APS Tubes'!$H$2:$H79,"Invalid")</f>
        <v>0</v>
      </c>
      <c r="H39" s="10">
        <f>COUNTIFS('APS Tubes'!$B$2:$B79,$A39,'APS Tubes'!$H$2:$H79,"Fail")</f>
        <v>0</v>
      </c>
      <c r="I39" s="10">
        <f t="shared" si="1"/>
        <v>33</v>
      </c>
      <c r="J39" s="10" t="b">
        <f t="shared" si="2"/>
        <v>1</v>
      </c>
      <c r="K39" s="10" t="str">
        <f t="shared" si="3"/>
        <v/>
      </c>
      <c r="L39" s="10" t="str">
        <f t="shared" si="4"/>
        <v/>
      </c>
      <c r="M39" s="10" t="str">
        <f t="shared" si="5"/>
        <v/>
      </c>
      <c r="N39" s="10">
        <f>COUNTIFS('APS Tubes'!$B$2:$B79,A39,'APS Tubes'!Q$2:Q79,"&lt;=0")</f>
        <v>0</v>
      </c>
      <c r="O39" s="10" t="str">
        <f t="shared" si="6"/>
        <v/>
      </c>
      <c r="P39" s="10" t="str">
        <f t="shared" si="7"/>
        <v/>
      </c>
      <c r="Q39" s="10" t="str">
        <f>IFERROR(__xludf.DUMMYFUNCTION("IF(COUNTUNIQUEIFS('APS Tubes'!$A$2:$A79,'APS Tubes'!$I$2:$I79,P39)&gt;0,COUNTUNIQUEIFS('APS Tubes'!$A$2:$A79,'APS Tubes'!$I$2:$I79,P39),IFERROR(0/0))"),"")</f>
        <v/>
      </c>
      <c r="R39" s="10" t="str">
        <f t="shared" si="8"/>
        <v/>
      </c>
      <c r="S39" s="200"/>
      <c r="T39" s="44">
        <v>44631.0</v>
      </c>
      <c r="U39" s="10">
        <f>IFERROR(__xludf.DUMMYFUNCTION("COUNTUNIQUEIFS('APS Tubes'!$A$2:$A79,'APS Tubes'!$I$2:$I79,T39)"),28.0)</f>
        <v>28</v>
      </c>
      <c r="V39" s="10">
        <f>COUNTIFS('APS Tubes'!$I$2:$I79,T39,'APS Tubes'!$H$2:$H79,"Negative")</f>
        <v>28</v>
      </c>
      <c r="W39" s="10">
        <f>COUNTIFS('APS Tubes'!$I$2:$I79,T39,'APS Tubes'!$H$2:$H79,"Positive")</f>
        <v>0</v>
      </c>
      <c r="X39" s="10">
        <f>COUNTIFS('APS Tubes'!$I$2:$I79,T39,'APS Tubes'!$H$2:$H79,"Inconclusive")</f>
        <v>0</v>
      </c>
      <c r="Y39" s="10">
        <f>COUNTIFS('APS Tubes'!$I$2:$I79,T39,'APS Tubes'!$H$2:$H79,"Null")</f>
        <v>0</v>
      </c>
      <c r="Z39" s="10">
        <f>COUNTIFS('APS Tubes'!$I$2:$I79,T39,'APS Tubes'!$H$2:$H79,"Invalid")</f>
        <v>0</v>
      </c>
      <c r="AA39" s="10">
        <f>COUNTIFS('APS Tubes'!$I$2:$I79,T39,'APS Tubes'!$H$2:$H79,"Fail")</f>
        <v>0</v>
      </c>
      <c r="AB39" s="10">
        <f t="shared" si="9"/>
        <v>28</v>
      </c>
      <c r="AC39" s="10" t="b">
        <f t="shared" si="10"/>
        <v>1</v>
      </c>
      <c r="AD39" s="44"/>
      <c r="AE39" s="44"/>
    </row>
    <row r="40">
      <c r="A40" s="184">
        <v>44611.0</v>
      </c>
      <c r="B40" s="10">
        <f>IFERROR(__xludf.DUMMYFUNCTION("COUNTUNIQUEIFS('APS Tubes'!$A$2:$A79,'APS Tubes'!$B$2:$B79,A40)"),31.0)</f>
        <v>31</v>
      </c>
      <c r="C40" s="10">
        <f>COUNTIFS('APS Tubes'!$B$2:$B79,A40,'APS Tubes'!$H$2:$H79,"Negative")</f>
        <v>31</v>
      </c>
      <c r="D40" s="10">
        <f>COUNTIFS('APS Tubes'!$B$2:$B79,$A40,'APS Tubes'!$H$2:$H79,"Positive")</f>
        <v>0</v>
      </c>
      <c r="E40" s="10">
        <f>COUNTIFS('APS Tubes'!$B$2:$B79,$A40,'APS Tubes'!$H$2:$H79,"Inconclusive")</f>
        <v>0</v>
      </c>
      <c r="F40" s="10">
        <f>COUNTIFS('APS Tubes'!$B$2:$B79,$A40,'APS Tubes'!$H$2:$H79,"Null")</f>
        <v>0</v>
      </c>
      <c r="G40" s="10">
        <f>COUNTIFS('APS Tubes'!$B$2:$B79,$A40,'APS Tubes'!$H$2:$H79,"Invalid")</f>
        <v>0</v>
      </c>
      <c r="H40" s="10">
        <f>COUNTIFS('APS Tubes'!$B$2:$B79,$A40,'APS Tubes'!$H$2:$H79,"Fail")</f>
        <v>0</v>
      </c>
      <c r="I40" s="10">
        <f t="shared" si="1"/>
        <v>31</v>
      </c>
      <c r="J40" s="10" t="b">
        <f t="shared" si="2"/>
        <v>1</v>
      </c>
      <c r="K40" s="10">
        <f t="shared" si="3"/>
        <v>64</v>
      </c>
      <c r="L40" s="10">
        <f t="shared" si="4"/>
        <v>33</v>
      </c>
      <c r="M40" s="10" t="str">
        <f t="shared" si="5"/>
        <v/>
      </c>
      <c r="N40" s="10">
        <f>COUNTIFS('APS Tubes'!$B$2:$B79,A40,'APS Tubes'!Q$2:Q79,"&lt;=0")</f>
        <v>31</v>
      </c>
      <c r="O40" s="10" t="b">
        <f t="shared" si="6"/>
        <v>1</v>
      </c>
      <c r="P40" s="225">
        <f t="shared" si="7"/>
        <v>44611</v>
      </c>
      <c r="Q40" s="10">
        <f>IFERROR(__xludf.DUMMYFUNCTION("IF(COUNTUNIQUEIFS('APS Tubes'!$A$2:$A79,'APS Tubes'!$I$2:$I79,P40)&gt;0,COUNTUNIQUEIFS('APS Tubes'!$A$2:$A79,'APS Tubes'!$I$2:$I79,P40),IFERROR(0/0))"),64.0)</f>
        <v>64</v>
      </c>
      <c r="R40" s="10" t="str">
        <f t="shared" si="8"/>
        <v/>
      </c>
      <c r="S40" s="200"/>
      <c r="T40" s="44">
        <v>44665.0</v>
      </c>
      <c r="U40" s="10">
        <f>IFERROR(__xludf.DUMMYFUNCTION("COUNTUNIQUEIFS('APS Tubes'!$A$2:$A79,'APS Tubes'!$I$2:$I79,T40)"),1.0)</f>
        <v>1</v>
      </c>
      <c r="V40" s="10">
        <f>COUNTIFS('APS Tubes'!$I$2:$I79,T40,'APS Tubes'!$H$2:$H79,"Negative")</f>
        <v>1</v>
      </c>
      <c r="W40" s="10">
        <f>COUNTIFS('APS Tubes'!$I$2:$I79,T40,'APS Tubes'!$H$2:$H79,"Positive")</f>
        <v>0</v>
      </c>
      <c r="X40" s="10">
        <f>COUNTIFS('APS Tubes'!$I$2:$I79,T40,'APS Tubes'!$H$2:$H79,"Inconclusive")</f>
        <v>0</v>
      </c>
      <c r="Y40" s="10">
        <f>COUNTIFS('APS Tubes'!$I$2:$I79,T40,'APS Tubes'!$H$2:$H79,"Null")</f>
        <v>0</v>
      </c>
      <c r="Z40" s="10">
        <f>COUNTIFS('APS Tubes'!$I$2:$I79,T40,'APS Tubes'!$H$2:$H79,"Invalid")</f>
        <v>0</v>
      </c>
      <c r="AA40" s="10">
        <f>COUNTIFS('APS Tubes'!$I$2:$I79,T40,'APS Tubes'!$H$2:$H79,"Fail")</f>
        <v>0</v>
      </c>
      <c r="AB40" s="10">
        <f t="shared" si="9"/>
        <v>1</v>
      </c>
      <c r="AC40" s="10" t="b">
        <f t="shared" si="10"/>
        <v>1</v>
      </c>
      <c r="AD40" s="44"/>
      <c r="AE40" s="44"/>
    </row>
    <row r="41">
      <c r="A41" s="184">
        <v>44613.0</v>
      </c>
      <c r="B41" s="10">
        <f>IFERROR(__xludf.DUMMYFUNCTION("COUNTUNIQUEIFS('APS Tubes'!$A$2:$A79,'APS Tubes'!$B$2:$B79,A41)"),28.0)</f>
        <v>28</v>
      </c>
      <c r="C41" s="10">
        <f>COUNTIFS('APS Tubes'!$B$2:$B79,A41,'APS Tubes'!$H$2:$H79,"Negative")</f>
        <v>28</v>
      </c>
      <c r="D41" s="10">
        <f>COUNTIFS('APS Tubes'!$B$2:$B79,$A41,'APS Tubes'!$H$2:$H79,"Positive")</f>
        <v>0</v>
      </c>
      <c r="E41" s="10">
        <f>COUNTIFS('APS Tubes'!$B$2:$B79,$A41,'APS Tubes'!$H$2:$H79,"Inconclusive")</f>
        <v>0</v>
      </c>
      <c r="F41" s="10">
        <f>COUNTIFS('APS Tubes'!$B$2:$B79,$A41,'APS Tubes'!$H$2:$H79,"Null")</f>
        <v>0</v>
      </c>
      <c r="G41" s="10">
        <f>COUNTIFS('APS Tubes'!$B$2:$B79,$A41,'APS Tubes'!$H$2:$H79,"Invalid")</f>
        <v>0</v>
      </c>
      <c r="H41" s="10">
        <f>COUNTIFS('APS Tubes'!$B$2:$B79,$A41,'APS Tubes'!$H$2:$H79,"Fail")</f>
        <v>0</v>
      </c>
      <c r="I41" s="10">
        <f t="shared" si="1"/>
        <v>28</v>
      </c>
      <c r="J41" s="10" t="b">
        <f t="shared" si="2"/>
        <v>1</v>
      </c>
      <c r="K41" s="10">
        <f t="shared" si="3"/>
        <v>28</v>
      </c>
      <c r="L41" s="10">
        <f t="shared" si="4"/>
        <v>0</v>
      </c>
      <c r="M41" s="10" t="b">
        <f t="shared" si="5"/>
        <v>1</v>
      </c>
      <c r="N41" s="10">
        <f>COUNTIFS('APS Tubes'!$B$2:$B79,A41,'APS Tubes'!Q$2:Q79,"&lt;=0")</f>
        <v>28</v>
      </c>
      <c r="O41" s="10" t="b">
        <f t="shared" si="6"/>
        <v>1</v>
      </c>
      <c r="P41" s="225">
        <f t="shared" si="7"/>
        <v>44613</v>
      </c>
      <c r="Q41" s="10">
        <f>IFERROR(__xludf.DUMMYFUNCTION("IF(COUNTUNIQUEIFS('APS Tubes'!$A$2:$A79,'APS Tubes'!$I$2:$I79,P41)&gt;0,COUNTUNIQUEIFS('APS Tubes'!$A$2:$A79,'APS Tubes'!$I$2:$I79,P41),IFERROR(0/0))"),28.0)</f>
        <v>28</v>
      </c>
      <c r="R41" s="10" t="b">
        <f t="shared" si="8"/>
        <v>1</v>
      </c>
      <c r="S41" s="200"/>
      <c r="T41" s="44">
        <v>44692.0</v>
      </c>
      <c r="U41" s="10">
        <f>IFERROR(__xludf.DUMMYFUNCTION("COUNTUNIQUEIFS('APS Tubes'!$A$2:$A79,'APS Tubes'!$I$2:$I79,T41)"),9.0)</f>
        <v>9</v>
      </c>
      <c r="V41" s="10">
        <f>COUNTIFS('APS Tubes'!$I$2:$I79,T41,'APS Tubes'!$H$2:$H79,"Negative")</f>
        <v>9</v>
      </c>
      <c r="W41" s="10">
        <f>COUNTIFS('APS Tubes'!$I$2:$I79,T41,'APS Tubes'!$H$2:$H79,"Positive")</f>
        <v>0</v>
      </c>
      <c r="X41" s="10">
        <f>COUNTIFS('APS Tubes'!$I$2:$I79,T41,'APS Tubes'!$H$2:$H79,"Inconclusive")</f>
        <v>0</v>
      </c>
      <c r="Y41" s="10">
        <f>COUNTIFS('APS Tubes'!$I$2:$I79,T41,'APS Tubes'!$H$2:$H79,"Null")</f>
        <v>0</v>
      </c>
      <c r="Z41" s="10">
        <f>COUNTIFS('APS Tubes'!$I$2:$I79,T41,'APS Tubes'!$H$2:$H79,"Invalid")</f>
        <v>0</v>
      </c>
      <c r="AA41" s="10">
        <f>COUNTIFS('APS Tubes'!$I$2:$I79,T41,'APS Tubes'!$H$2:$H79,"Fail")</f>
        <v>0</v>
      </c>
      <c r="AB41" s="10">
        <f t="shared" si="9"/>
        <v>9</v>
      </c>
      <c r="AC41" s="10" t="b">
        <f t="shared" si="10"/>
        <v>1</v>
      </c>
      <c r="AD41" s="44"/>
      <c r="AE41" s="44"/>
    </row>
    <row r="42">
      <c r="A42" s="184">
        <v>44614.0</v>
      </c>
      <c r="B42" s="10">
        <f>IFERROR(__xludf.DUMMYFUNCTION("COUNTUNIQUEIFS('APS Tubes'!$A$2:$A79,'APS Tubes'!$B$2:$B79,A42)"),1.0)</f>
        <v>1</v>
      </c>
      <c r="C42" s="10">
        <f>COUNTIFS('APS Tubes'!$B$2:$B79,A42,'APS Tubes'!$H$2:$H79,"Negative")</f>
        <v>0</v>
      </c>
      <c r="D42" s="10">
        <f>COUNTIFS('APS Tubes'!$B$2:$B79,$A42,'APS Tubes'!$H$2:$H79,"Positive")</f>
        <v>1</v>
      </c>
      <c r="E42" s="10">
        <f>COUNTIFS('APS Tubes'!$B$2:$B79,$A42,'APS Tubes'!$H$2:$H79,"Inconclusive")</f>
        <v>0</v>
      </c>
      <c r="F42" s="10">
        <f>COUNTIFS('APS Tubes'!$B$2:$B79,$A42,'APS Tubes'!$H$2:$H79,"Null")</f>
        <v>0</v>
      </c>
      <c r="G42" s="10">
        <f>COUNTIFS('APS Tubes'!$B$2:$B79,$A42,'APS Tubes'!$H$2:$H79,"Invalid")</f>
        <v>0</v>
      </c>
      <c r="H42" s="10">
        <f>COUNTIFS('APS Tubes'!$B$2:$B79,$A42,'APS Tubes'!$H$2:$H79,"Fail")</f>
        <v>0</v>
      </c>
      <c r="I42" s="10">
        <f t="shared" si="1"/>
        <v>1</v>
      </c>
      <c r="J42" s="10" t="b">
        <f t="shared" si="2"/>
        <v>1</v>
      </c>
      <c r="K42" s="10">
        <f t="shared" si="3"/>
        <v>1</v>
      </c>
      <c r="L42" s="10">
        <f t="shared" si="4"/>
        <v>0</v>
      </c>
      <c r="M42" s="10" t="b">
        <f t="shared" si="5"/>
        <v>1</v>
      </c>
      <c r="N42" s="10">
        <f>COUNTIFS('APS Tubes'!$B$2:$B79,A42,'APS Tubes'!Q$2:Q79,"&lt;=0")</f>
        <v>1</v>
      </c>
      <c r="O42" s="10" t="b">
        <f t="shared" si="6"/>
        <v>1</v>
      </c>
      <c r="P42" s="225">
        <f t="shared" si="7"/>
        <v>44614</v>
      </c>
      <c r="Q42" s="10">
        <f>IFERROR(__xludf.DUMMYFUNCTION("IF(COUNTUNIQUEIFS('APS Tubes'!$A$2:$A79,'APS Tubes'!$I$2:$I79,P42)&gt;0,COUNTUNIQUEIFS('APS Tubes'!$A$2:$A79,'APS Tubes'!$I$2:$I79,P42),IFERROR(0/0))"),1.0)</f>
        <v>1</v>
      </c>
      <c r="R42" s="10" t="b">
        <f t="shared" si="8"/>
        <v>1</v>
      </c>
      <c r="S42" s="200"/>
      <c r="T42" s="226">
        <v>44861.0</v>
      </c>
      <c r="U42" s="185">
        <f>IFERROR(__xludf.DUMMYFUNCTION("COUNTUNIQUEIFS('APS Tubes'!$A$2:$A79,'APS Tubes'!$I$2:$I79,T42)"),1.0)</f>
        <v>1</v>
      </c>
      <c r="V42" s="10">
        <f>COUNTIFS('APS Tubes'!$I$2:$I79,T42,'APS Tubes'!$H$2:$H79,"Negative")</f>
        <v>1</v>
      </c>
      <c r="W42" s="10">
        <f>COUNTIFS('APS Tubes'!$I$2:$I79,T42,'APS Tubes'!$H$2:$H79,"Positive")</f>
        <v>0</v>
      </c>
      <c r="X42" s="10">
        <f>COUNTIFS('APS Tubes'!$I$2:$I79,T42,'APS Tubes'!$H$2:$H79,"Inconclusive")</f>
        <v>0</v>
      </c>
      <c r="Y42" s="10">
        <f>COUNTIFS('APS Tubes'!$I$2:$I79,T42,'APS Tubes'!$H$2:$H79,"Null")</f>
        <v>0</v>
      </c>
      <c r="Z42" s="10">
        <f>COUNTIFS('APS Tubes'!$I$2:$I79,T42,'APS Tubes'!$H$2:$H79,"Invalid")</f>
        <v>0</v>
      </c>
      <c r="AA42" s="10">
        <f>COUNTIFS('APS Tubes'!$I$2:$I79,T42,'APS Tubes'!$H$2:$H79,"Fail")</f>
        <v>0</v>
      </c>
      <c r="AB42" s="10">
        <f t="shared" si="9"/>
        <v>1</v>
      </c>
      <c r="AC42" s="10" t="b">
        <f t="shared" si="10"/>
        <v>1</v>
      </c>
      <c r="AD42" s="44"/>
      <c r="AE42" s="44"/>
    </row>
    <row r="43">
      <c r="A43" s="184">
        <v>44615.0</v>
      </c>
      <c r="B43" s="10">
        <f>IFERROR(__xludf.DUMMYFUNCTION("COUNTUNIQUEIFS('APS Tubes'!$A$2:$A79,'APS Tubes'!$B$2:$B79,A43)"),34.0)</f>
        <v>34</v>
      </c>
      <c r="C43" s="10">
        <f>COUNTIFS('APS Tubes'!$B$2:$B79,A43,'APS Tubes'!$H$2:$H79,"Negative")</f>
        <v>34</v>
      </c>
      <c r="D43" s="10">
        <f>COUNTIFS('APS Tubes'!$B$2:$B79,$A43,'APS Tubes'!$H$2:$H79,"Positive")</f>
        <v>0</v>
      </c>
      <c r="E43" s="10">
        <f>COUNTIFS('APS Tubes'!$B$2:$B79,$A43,'APS Tubes'!$H$2:$H79,"Inconclusive")</f>
        <v>0</v>
      </c>
      <c r="F43" s="10">
        <f>COUNTIFS('APS Tubes'!$B$2:$B79,$A43,'APS Tubes'!$H$2:$H79,"Null")</f>
        <v>0</v>
      </c>
      <c r="G43" s="10">
        <f>COUNTIFS('APS Tubes'!$B$2:$B79,$A43,'APS Tubes'!$H$2:$H79,"Invalid")</f>
        <v>0</v>
      </c>
      <c r="H43" s="10">
        <f>COUNTIFS('APS Tubes'!$B$2:$B79,$A43,'APS Tubes'!$H$2:$H79,"Fail")</f>
        <v>0</v>
      </c>
      <c r="I43" s="10">
        <f t="shared" si="1"/>
        <v>34</v>
      </c>
      <c r="J43" s="10" t="b">
        <f t="shared" si="2"/>
        <v>1</v>
      </c>
      <c r="K43" s="10">
        <f t="shared" si="3"/>
        <v>34</v>
      </c>
      <c r="L43" s="10">
        <f t="shared" si="4"/>
        <v>0</v>
      </c>
      <c r="M43" s="10" t="b">
        <f t="shared" si="5"/>
        <v>1</v>
      </c>
      <c r="N43" s="10">
        <f>COUNTIFS('APS Tubes'!$B$2:$B79,A43,'APS Tubes'!Q$2:Q79,"&lt;=0")</f>
        <v>34</v>
      </c>
      <c r="O43" s="10" t="b">
        <f t="shared" si="6"/>
        <v>1</v>
      </c>
      <c r="P43" s="225">
        <f t="shared" si="7"/>
        <v>44615</v>
      </c>
      <c r="Q43" s="10">
        <f>IFERROR(__xludf.DUMMYFUNCTION("IF(COUNTUNIQUEIFS('APS Tubes'!$A$2:$A79,'APS Tubes'!$I$2:$I79,P43)&gt;0,COUNTUNIQUEIFS('APS Tubes'!$A$2:$A79,'APS Tubes'!$I$2:$I79,P43),IFERROR(0/0))"),34.0)</f>
        <v>34</v>
      </c>
      <c r="R43" s="10" t="b">
        <f t="shared" si="8"/>
        <v>1</v>
      </c>
      <c r="S43" s="200"/>
      <c r="T43" s="44"/>
      <c r="U43" s="10"/>
      <c r="V43" s="10"/>
      <c r="W43" s="10"/>
      <c r="X43" s="10"/>
      <c r="Y43" s="10"/>
      <c r="Z43" s="10"/>
      <c r="AA43" s="10"/>
      <c r="AB43" s="10"/>
      <c r="AC43" s="10"/>
      <c r="AD43" s="44"/>
      <c r="AE43" s="44"/>
    </row>
    <row r="44">
      <c r="A44" s="184">
        <v>44617.0</v>
      </c>
      <c r="B44" s="10">
        <f>IFERROR(__xludf.DUMMYFUNCTION("COUNTUNIQUEIFS('APS Tubes'!$A$2:$A79,'APS Tubes'!$B$2:$B79,A44)"),33.0)</f>
        <v>33</v>
      </c>
      <c r="C44" s="10">
        <f>COUNTIFS('APS Tubes'!$B$2:$B79,A44,'APS Tubes'!$H$2:$H79,"Negative")</f>
        <v>33</v>
      </c>
      <c r="D44" s="10">
        <f>COUNTIFS('APS Tubes'!$B$2:$B79,$A44,'APS Tubes'!$H$2:$H79,"Positive")</f>
        <v>0</v>
      </c>
      <c r="E44" s="10">
        <f>COUNTIFS('APS Tubes'!$B$2:$B79,$A44,'APS Tubes'!$H$2:$H79,"Inconclusive")</f>
        <v>0</v>
      </c>
      <c r="F44" s="10">
        <f>COUNTIFS('APS Tubes'!$B$2:$B79,$A44,'APS Tubes'!$H$2:$H79,"Null")</f>
        <v>0</v>
      </c>
      <c r="G44" s="10">
        <f>COUNTIFS('APS Tubes'!$B$2:$B79,$A44,'APS Tubes'!$H$2:$H79,"Invalid")</f>
        <v>0</v>
      </c>
      <c r="H44" s="10">
        <f>COUNTIFS('APS Tubes'!$B$2:$B79,$A44,'APS Tubes'!$H$2:$H79,"Fail")</f>
        <v>0</v>
      </c>
      <c r="I44" s="10">
        <f t="shared" si="1"/>
        <v>33</v>
      </c>
      <c r="J44" s="10" t="b">
        <f t="shared" si="2"/>
        <v>1</v>
      </c>
      <c r="K44" s="10">
        <f t="shared" si="3"/>
        <v>33</v>
      </c>
      <c r="L44" s="10">
        <f t="shared" si="4"/>
        <v>0</v>
      </c>
      <c r="M44" s="10" t="b">
        <f t="shared" si="5"/>
        <v>1</v>
      </c>
      <c r="N44" s="10">
        <f>COUNTIFS('APS Tubes'!$B$2:$B79,A44,'APS Tubes'!Q$2:Q79,"&lt;=0")</f>
        <v>33</v>
      </c>
      <c r="O44" s="10" t="b">
        <f t="shared" si="6"/>
        <v>1</v>
      </c>
      <c r="P44" s="225">
        <f t="shared" si="7"/>
        <v>44617</v>
      </c>
      <c r="Q44" s="10">
        <f>IFERROR(__xludf.DUMMYFUNCTION("IF(COUNTUNIQUEIFS('APS Tubes'!$A$2:$A79,'APS Tubes'!$I$2:$I79,P44)&gt;0,COUNTUNIQUEIFS('APS Tubes'!$A$2:$A79,'APS Tubes'!$I$2:$I79,P44),IFERROR(0/0))"),33.0)</f>
        <v>33</v>
      </c>
      <c r="R44" s="10" t="b">
        <f t="shared" si="8"/>
        <v>1</v>
      </c>
      <c r="S44" s="200"/>
      <c r="T44" s="44"/>
      <c r="U44" s="10"/>
      <c r="V44" s="10"/>
      <c r="W44" s="10"/>
      <c r="X44" s="10"/>
      <c r="Y44" s="10"/>
      <c r="Z44" s="10"/>
      <c r="AA44" s="10"/>
      <c r="AB44" s="10"/>
      <c r="AC44" s="10"/>
      <c r="AD44" s="44"/>
      <c r="AE44" s="44"/>
    </row>
    <row r="45">
      <c r="A45" s="184">
        <v>44619.0</v>
      </c>
      <c r="B45" s="10">
        <f>IFERROR(__xludf.DUMMYFUNCTION("COUNTUNIQUEIFS('APS Tubes'!$A$2:$A79,'APS Tubes'!$B$2:$B79,A45)"),32.0)</f>
        <v>32</v>
      </c>
      <c r="C45" s="10">
        <f>COUNTIFS('APS Tubes'!$B$2:$B79,A45,'APS Tubes'!$H$2:$H79,"Negative")</f>
        <v>30</v>
      </c>
      <c r="D45" s="10">
        <f>COUNTIFS('APS Tubes'!$B$2:$B79,$A45,'APS Tubes'!$H$2:$H79,"Positive")</f>
        <v>2</v>
      </c>
      <c r="E45" s="10">
        <f>COUNTIFS('APS Tubes'!$B$2:$B79,$A45,'APS Tubes'!$H$2:$H79,"Inconclusive")</f>
        <v>0</v>
      </c>
      <c r="F45" s="10">
        <f>COUNTIFS('APS Tubes'!$B$2:$B79,$A45,'APS Tubes'!$H$2:$H79,"Null")</f>
        <v>0</v>
      </c>
      <c r="G45" s="10">
        <f>COUNTIFS('APS Tubes'!$B$2:$B79,$A45,'APS Tubes'!$H$2:$H79,"Invalid")</f>
        <v>0</v>
      </c>
      <c r="H45" s="10">
        <f>COUNTIFS('APS Tubes'!$B$2:$B79,$A45,'APS Tubes'!$H$2:$H79,"Fail")</f>
        <v>0</v>
      </c>
      <c r="I45" s="10">
        <f t="shared" si="1"/>
        <v>32</v>
      </c>
      <c r="J45" s="10" t="b">
        <f t="shared" si="2"/>
        <v>1</v>
      </c>
      <c r="K45" s="10" t="str">
        <f t="shared" si="3"/>
        <v/>
      </c>
      <c r="L45" s="10" t="str">
        <f t="shared" si="4"/>
        <v/>
      </c>
      <c r="M45" s="10" t="str">
        <f t="shared" si="5"/>
        <v/>
      </c>
      <c r="N45" s="10">
        <f>COUNTIFS('APS Tubes'!$B$2:$B79,A45,'APS Tubes'!Q$2:Q79,"&lt;=0")</f>
        <v>0</v>
      </c>
      <c r="O45" s="10" t="str">
        <f t="shared" si="6"/>
        <v/>
      </c>
      <c r="P45" s="10" t="str">
        <f t="shared" si="7"/>
        <v/>
      </c>
      <c r="Q45" s="10" t="str">
        <f>IFERROR(__xludf.DUMMYFUNCTION("IF(COUNTUNIQUEIFS('APS Tubes'!$A$2:$A79,'APS Tubes'!$I$2:$I79,P45)&gt;0,COUNTUNIQUEIFS('APS Tubes'!$A$2:$A79,'APS Tubes'!$I$2:$I79,P45),IFERROR(0/0))"),"")</f>
        <v/>
      </c>
      <c r="R45" s="10" t="str">
        <f t="shared" si="8"/>
        <v/>
      </c>
      <c r="S45" s="200"/>
      <c r="T45" s="44"/>
      <c r="U45" s="10"/>
      <c r="V45" s="10"/>
      <c r="W45" s="10"/>
      <c r="X45" s="10"/>
      <c r="Y45" s="10"/>
      <c r="Z45" s="10"/>
      <c r="AA45" s="10"/>
      <c r="AB45" s="10"/>
      <c r="AC45" s="10"/>
      <c r="AD45" s="44"/>
      <c r="AE45" s="44"/>
    </row>
    <row r="46">
      <c r="A46" s="184">
        <v>44621.0</v>
      </c>
      <c r="B46" s="10">
        <f>IFERROR(__xludf.DUMMYFUNCTION("COUNTUNIQUEIFS('APS Tubes'!$A$2:$A79,'APS Tubes'!$B$2:$B79,A46)"),33.0)</f>
        <v>33</v>
      </c>
      <c r="C46" s="10">
        <f>COUNTIFS('APS Tubes'!$B$2:$B79,A46,'APS Tubes'!$H$2:$H79,"Negative")</f>
        <v>33</v>
      </c>
      <c r="D46" s="10">
        <f>COUNTIFS('APS Tubes'!$B$2:$B79,$A46,'APS Tubes'!$H$2:$H79,"Positive")</f>
        <v>0</v>
      </c>
      <c r="E46" s="10">
        <f>COUNTIFS('APS Tubes'!$B$2:$B79,$A46,'APS Tubes'!$H$2:$H79,"Inconclusive")</f>
        <v>0</v>
      </c>
      <c r="F46" s="10">
        <f>COUNTIFS('APS Tubes'!$B$2:$B79,$A46,'APS Tubes'!$H$2:$H79,"Null")</f>
        <v>0</v>
      </c>
      <c r="G46" s="10">
        <f>COUNTIFS('APS Tubes'!$B$2:$B79,$A46,'APS Tubes'!$H$2:$H79,"Invalid")</f>
        <v>0</v>
      </c>
      <c r="H46" s="10">
        <f>COUNTIFS('APS Tubes'!$B$2:$B79,$A46,'APS Tubes'!$H$2:$H79,"Fail")</f>
        <v>0</v>
      </c>
      <c r="I46" s="10">
        <f t="shared" si="1"/>
        <v>33</v>
      </c>
      <c r="J46" s="10" t="b">
        <f t="shared" si="2"/>
        <v>1</v>
      </c>
      <c r="K46" s="10">
        <f t="shared" si="3"/>
        <v>30</v>
      </c>
      <c r="L46" s="10">
        <f t="shared" si="4"/>
        <v>-3</v>
      </c>
      <c r="M46" s="10" t="str">
        <f t="shared" si="5"/>
        <v/>
      </c>
      <c r="N46" s="10">
        <f>COUNTIFS('APS Tubes'!$B$2:$B79,A46,'APS Tubes'!Q$2:Q79,"&lt;=0")</f>
        <v>0</v>
      </c>
      <c r="O46" s="10" t="str">
        <f t="shared" si="6"/>
        <v/>
      </c>
      <c r="P46" s="225">
        <f t="shared" si="7"/>
        <v>44621</v>
      </c>
      <c r="Q46" s="10">
        <f>IFERROR(__xludf.DUMMYFUNCTION("IF(COUNTUNIQUEIFS('APS Tubes'!$A$2:$A79,'APS Tubes'!$I$2:$I79,P46)&gt;0,COUNTUNIQUEIFS('APS Tubes'!$A$2:$A79,'APS Tubes'!$I$2:$I79,P46),IFERROR(0/0))"),30.0)</f>
        <v>30</v>
      </c>
      <c r="R46" s="10" t="str">
        <f t="shared" si="8"/>
        <v/>
      </c>
      <c r="S46" s="200"/>
      <c r="T46" s="44"/>
      <c r="U46" s="10"/>
      <c r="V46" s="10"/>
      <c r="W46" s="10"/>
      <c r="X46" s="10"/>
      <c r="Y46" s="10"/>
      <c r="Z46" s="10"/>
      <c r="AA46" s="10"/>
      <c r="AB46" s="10"/>
      <c r="AC46" s="10"/>
      <c r="AD46" s="44"/>
      <c r="AE46" s="44"/>
    </row>
    <row r="47">
      <c r="A47" s="184">
        <v>44623.0</v>
      </c>
      <c r="B47" s="10">
        <f>IFERROR(__xludf.DUMMYFUNCTION("COUNTUNIQUEIFS('APS Tubes'!$A$2:$A79,'APS Tubes'!$B$2:$B79,A47)"),33.0)</f>
        <v>33</v>
      </c>
      <c r="C47" s="10">
        <f>COUNTIFS('APS Tubes'!$B$2:$B79,A47,'APS Tubes'!$H$2:$H79,"Negative")</f>
        <v>31</v>
      </c>
      <c r="D47" s="10">
        <f>COUNTIFS('APS Tubes'!$B$2:$B79,$A47,'APS Tubes'!$H$2:$H79,"Positive")</f>
        <v>2</v>
      </c>
      <c r="E47" s="10">
        <f>COUNTIFS('APS Tubes'!$B$2:$B79,$A47,'APS Tubes'!$H$2:$H79,"Inconclusive")</f>
        <v>0</v>
      </c>
      <c r="F47" s="10">
        <f>COUNTIFS('APS Tubes'!$B$2:$B79,$A47,'APS Tubes'!$H$2:$H79,"Null")</f>
        <v>0</v>
      </c>
      <c r="G47" s="10">
        <f>COUNTIFS('APS Tubes'!$B$2:$B79,$A47,'APS Tubes'!$H$2:$H79,"Invalid")</f>
        <v>0</v>
      </c>
      <c r="H47" s="10">
        <f>COUNTIFS('APS Tubes'!$B$2:$B79,$A47,'APS Tubes'!$H$2:$H79,"Fail")</f>
        <v>0</v>
      </c>
      <c r="I47" s="10">
        <f t="shared" si="1"/>
        <v>33</v>
      </c>
      <c r="J47" s="10" t="b">
        <f t="shared" si="2"/>
        <v>1</v>
      </c>
      <c r="K47" s="10">
        <f t="shared" si="3"/>
        <v>34</v>
      </c>
      <c r="L47" s="10">
        <f t="shared" si="4"/>
        <v>1</v>
      </c>
      <c r="M47" s="10" t="str">
        <f t="shared" si="5"/>
        <v/>
      </c>
      <c r="N47" s="10">
        <f>COUNTIFS('APS Tubes'!$B$2:$B79,A47,'APS Tubes'!Q$2:Q79,"&lt;=0")</f>
        <v>33</v>
      </c>
      <c r="O47" s="10" t="b">
        <f t="shared" si="6"/>
        <v>1</v>
      </c>
      <c r="P47" s="225">
        <f t="shared" si="7"/>
        <v>44623</v>
      </c>
      <c r="Q47" s="10">
        <f>IFERROR(__xludf.DUMMYFUNCTION("IF(COUNTUNIQUEIFS('APS Tubes'!$A$2:$A79,'APS Tubes'!$I$2:$I79,P47)&gt;0,COUNTUNIQUEIFS('APS Tubes'!$A$2:$A79,'APS Tubes'!$I$2:$I79,P47),IFERROR(0/0))"),34.0)</f>
        <v>34</v>
      </c>
      <c r="R47" s="10" t="str">
        <f t="shared" si="8"/>
        <v/>
      </c>
      <c r="S47" s="200"/>
      <c r="T47" s="44"/>
      <c r="U47" s="10"/>
      <c r="V47" s="10"/>
      <c r="W47" s="10"/>
      <c r="X47" s="10"/>
      <c r="Y47" s="10"/>
      <c r="Z47" s="10"/>
      <c r="AA47" s="10"/>
      <c r="AB47" s="10"/>
      <c r="AC47" s="10"/>
      <c r="AD47" s="44"/>
      <c r="AE47" s="44"/>
    </row>
    <row r="48">
      <c r="A48" s="184">
        <v>44625.0</v>
      </c>
      <c r="B48" s="10">
        <f>IFERROR(__xludf.DUMMYFUNCTION("COUNTUNIQUEIFS('APS Tubes'!$A$2:$A79,'APS Tubes'!$B$2:$B79,A48)"),34.0)</f>
        <v>34</v>
      </c>
      <c r="C48" s="10">
        <f>COUNTIFS('APS Tubes'!$B$2:$B79,A48,'APS Tubes'!$H$2:$H79,"Negative")</f>
        <v>33</v>
      </c>
      <c r="D48" s="10">
        <f>COUNTIFS('APS Tubes'!$B$2:$B79,$A48,'APS Tubes'!$H$2:$H79,"Positive")</f>
        <v>1</v>
      </c>
      <c r="E48" s="10">
        <f>COUNTIFS('APS Tubes'!$B$2:$B79,$A48,'APS Tubes'!$H$2:$H79,"Inconclusive")</f>
        <v>0</v>
      </c>
      <c r="F48" s="10">
        <f>COUNTIFS('APS Tubes'!$B$2:$B79,$A48,'APS Tubes'!$H$2:$H79,"Null")</f>
        <v>0</v>
      </c>
      <c r="G48" s="10">
        <f>COUNTIFS('APS Tubes'!$B$2:$B79,$A48,'APS Tubes'!$H$2:$H79,"Invalid")</f>
        <v>0</v>
      </c>
      <c r="H48" s="10">
        <f>COUNTIFS('APS Tubes'!$B$2:$B79,$A48,'APS Tubes'!$H$2:$H79,"Fail")</f>
        <v>0</v>
      </c>
      <c r="I48" s="10">
        <f t="shared" si="1"/>
        <v>34</v>
      </c>
      <c r="J48" s="10" t="b">
        <f t="shared" si="2"/>
        <v>1</v>
      </c>
      <c r="K48" s="10">
        <f t="shared" si="3"/>
        <v>32</v>
      </c>
      <c r="L48" s="10">
        <f t="shared" si="4"/>
        <v>-2</v>
      </c>
      <c r="M48" s="10" t="str">
        <f t="shared" si="5"/>
        <v/>
      </c>
      <c r="N48" s="10">
        <f>COUNTIFS('APS Tubes'!$B$2:$B79,A48,'APS Tubes'!Q$2:Q79,"&lt;=0")</f>
        <v>32</v>
      </c>
      <c r="O48" s="10" t="str">
        <f t="shared" si="6"/>
        <v/>
      </c>
      <c r="P48" s="225">
        <f t="shared" si="7"/>
        <v>44625</v>
      </c>
      <c r="Q48" s="10">
        <f>IFERROR(__xludf.DUMMYFUNCTION("IF(COUNTUNIQUEIFS('APS Tubes'!$A$2:$A79,'APS Tubes'!$I$2:$I79,P48)&gt;0,COUNTUNIQUEIFS('APS Tubes'!$A$2:$A79,'APS Tubes'!$I$2:$I79,P48),IFERROR(0/0))"),32.0)</f>
        <v>32</v>
      </c>
      <c r="R48" s="10" t="str">
        <f t="shared" si="8"/>
        <v/>
      </c>
      <c r="S48" s="200"/>
      <c r="T48" s="44"/>
      <c r="U48" s="10"/>
      <c r="V48" s="10"/>
      <c r="W48" s="10"/>
      <c r="X48" s="10"/>
      <c r="Y48" s="10"/>
      <c r="Z48" s="10"/>
      <c r="AA48" s="10"/>
      <c r="AB48" s="10"/>
      <c r="AC48" s="10"/>
      <c r="AD48" s="44"/>
      <c r="AE48" s="44"/>
    </row>
    <row r="49">
      <c r="A49" s="184">
        <v>44627.0</v>
      </c>
      <c r="B49" s="10">
        <f>IFERROR(__xludf.DUMMYFUNCTION("COUNTUNIQUEIFS('APS Tubes'!$A$2:$A79,'APS Tubes'!$B$2:$B79,A49)"),30.0)</f>
        <v>30</v>
      </c>
      <c r="C49" s="10">
        <f>COUNTIFS('APS Tubes'!$B$2:$B79,A49,'APS Tubes'!$H$2:$H79,"Negative")</f>
        <v>30</v>
      </c>
      <c r="D49" s="10">
        <f>COUNTIFS('APS Tubes'!$B$2:$B79,$A49,'APS Tubes'!$H$2:$H79,"Positive")</f>
        <v>0</v>
      </c>
      <c r="E49" s="10">
        <f>COUNTIFS('APS Tubes'!$B$2:$B79,$A49,'APS Tubes'!$H$2:$H79,"Inconclusive")</f>
        <v>0</v>
      </c>
      <c r="F49" s="10">
        <f>COUNTIFS('APS Tubes'!$B$2:$B79,$A49,'APS Tubes'!$H$2:$H79,"Null")</f>
        <v>0</v>
      </c>
      <c r="G49" s="10">
        <f>COUNTIFS('APS Tubes'!$B$2:$B79,$A49,'APS Tubes'!$H$2:$H79,"Invalid")</f>
        <v>0</v>
      </c>
      <c r="H49" s="10">
        <f>COUNTIFS('APS Tubes'!$B$2:$B79,$A49,'APS Tubes'!$H$2:$H79,"Fail")</f>
        <v>0</v>
      </c>
      <c r="I49" s="10">
        <f t="shared" si="1"/>
        <v>30</v>
      </c>
      <c r="J49" s="10" t="b">
        <f t="shared" si="2"/>
        <v>1</v>
      </c>
      <c r="K49" s="10">
        <f t="shared" si="3"/>
        <v>65</v>
      </c>
      <c r="L49" s="10">
        <f t="shared" si="4"/>
        <v>35</v>
      </c>
      <c r="M49" s="10" t="str">
        <f t="shared" si="5"/>
        <v/>
      </c>
      <c r="N49" s="10">
        <f>COUNTIFS('APS Tubes'!$B$2:$B79,A49,'APS Tubes'!Q$2:Q79,"&lt;=0")</f>
        <v>30</v>
      </c>
      <c r="O49" s="10" t="b">
        <f t="shared" si="6"/>
        <v>1</v>
      </c>
      <c r="P49" s="225">
        <f t="shared" si="7"/>
        <v>44627</v>
      </c>
      <c r="Q49" s="10">
        <f>IFERROR(__xludf.DUMMYFUNCTION("IF(COUNTUNIQUEIFS('APS Tubes'!$A$2:$A79,'APS Tubes'!$I$2:$I79,P49)&gt;0,COUNTUNIQUEIFS('APS Tubes'!$A$2:$A79,'APS Tubes'!$I$2:$I79,P49),IFERROR(0/0))"),65.0)</f>
        <v>65</v>
      </c>
      <c r="R49" s="10" t="str">
        <f t="shared" si="8"/>
        <v/>
      </c>
      <c r="S49" s="200"/>
      <c r="T49" s="44"/>
      <c r="U49" s="10"/>
      <c r="V49" s="10"/>
      <c r="W49" s="10"/>
      <c r="X49" s="10"/>
      <c r="Y49" s="10"/>
      <c r="Z49" s="10"/>
      <c r="AA49" s="10"/>
      <c r="AB49" s="10"/>
      <c r="AC49" s="10"/>
      <c r="AD49" s="44"/>
      <c r="AE49" s="44"/>
    </row>
    <row r="50">
      <c r="A50" s="184">
        <v>44629.0</v>
      </c>
      <c r="B50" s="10">
        <f>IFERROR(__xludf.DUMMYFUNCTION("COUNTUNIQUEIFS('APS Tubes'!$A$2:$A79,'APS Tubes'!$B$2:$B79,A50)"),27.0)</f>
        <v>27</v>
      </c>
      <c r="C50" s="10">
        <f>COUNTIFS('APS Tubes'!$B$2:$B79,A50,'APS Tubes'!$H$2:$H79,"Negative")</f>
        <v>27</v>
      </c>
      <c r="D50" s="10">
        <f>COUNTIFS('APS Tubes'!$B$2:$B79,$A50,'APS Tubes'!$H$2:$H79,"Positive")</f>
        <v>0</v>
      </c>
      <c r="E50" s="10">
        <f>COUNTIFS('APS Tubes'!$B$2:$B79,$A50,'APS Tubes'!$H$2:$H79,"Inconclusive")</f>
        <v>0</v>
      </c>
      <c r="F50" s="10">
        <f>COUNTIFS('APS Tubes'!$B$2:$B79,$A50,'APS Tubes'!$H$2:$H79,"Null")</f>
        <v>0</v>
      </c>
      <c r="G50" s="10">
        <f>COUNTIFS('APS Tubes'!$B$2:$B79,$A50,'APS Tubes'!$H$2:$H79,"Invalid")</f>
        <v>0</v>
      </c>
      <c r="H50" s="10">
        <f>COUNTIFS('APS Tubes'!$B$2:$B79,$A50,'APS Tubes'!$H$2:$H79,"Fail")</f>
        <v>0</v>
      </c>
      <c r="I50" s="10">
        <f t="shared" si="1"/>
        <v>27</v>
      </c>
      <c r="J50" s="10" t="b">
        <f t="shared" si="2"/>
        <v>1</v>
      </c>
      <c r="K50" s="10">
        <f t="shared" si="3"/>
        <v>25</v>
      </c>
      <c r="L50" s="10">
        <f t="shared" si="4"/>
        <v>-2</v>
      </c>
      <c r="M50" s="10" t="str">
        <f t="shared" si="5"/>
        <v/>
      </c>
      <c r="N50" s="10">
        <f>COUNTIFS('APS Tubes'!$B$2:$B79,A50,'APS Tubes'!Q$2:Q79,"&lt;=0")</f>
        <v>26</v>
      </c>
      <c r="O50" s="10" t="str">
        <f t="shared" si="6"/>
        <v/>
      </c>
      <c r="P50" s="225">
        <f t="shared" si="7"/>
        <v>44629</v>
      </c>
      <c r="Q50" s="10">
        <f>IFERROR(__xludf.DUMMYFUNCTION("IF(COUNTUNIQUEIFS('APS Tubes'!$A$2:$A79,'APS Tubes'!$I$2:$I79,P50)&gt;0,COUNTUNIQUEIFS('APS Tubes'!$A$2:$A79,'APS Tubes'!$I$2:$I79,P50),IFERROR(0/0))"),25.0)</f>
        <v>25</v>
      </c>
      <c r="R50" s="10" t="str">
        <f t="shared" si="8"/>
        <v/>
      </c>
      <c r="S50" s="200"/>
      <c r="T50" s="44"/>
      <c r="U50" s="10"/>
      <c r="V50" s="10"/>
      <c r="W50" s="10"/>
      <c r="X50" s="10"/>
      <c r="Y50" s="10"/>
      <c r="Z50" s="10"/>
      <c r="AA50" s="10"/>
      <c r="AB50" s="10"/>
      <c r="AC50" s="10"/>
      <c r="AD50" s="44"/>
      <c r="AE50" s="44"/>
    </row>
    <row r="51">
      <c r="A51" s="184">
        <v>44631.0</v>
      </c>
      <c r="B51" s="10">
        <f>IFERROR(__xludf.DUMMYFUNCTION("COUNTUNIQUEIFS('APS Tubes'!$A$2:$A79,'APS Tubes'!$B$2:$B79,A51)"),28.0)</f>
        <v>28</v>
      </c>
      <c r="C51" s="10">
        <f>COUNTIFS('APS Tubes'!$B$2:$B79,A51,'APS Tubes'!$H$2:$H79,"Negative")</f>
        <v>28</v>
      </c>
      <c r="D51" s="10">
        <f>COUNTIFS('APS Tubes'!$B$2:$B79,$A51,'APS Tubes'!$H$2:$H79,"Positive")</f>
        <v>0</v>
      </c>
      <c r="E51" s="10">
        <f>COUNTIFS('APS Tubes'!$B$2:$B79,$A51,'APS Tubes'!$H$2:$H79,"Inconclusive")</f>
        <v>0</v>
      </c>
      <c r="F51" s="10">
        <f>COUNTIFS('APS Tubes'!$B$2:$B79,$A51,'APS Tubes'!$H$2:$H79,"Null")</f>
        <v>0</v>
      </c>
      <c r="G51" s="10">
        <f>COUNTIFS('APS Tubes'!$B$2:$B79,$A51,'APS Tubes'!$H$2:$H79,"Invalid")</f>
        <v>0</v>
      </c>
      <c r="H51" s="10">
        <f>COUNTIFS('APS Tubes'!$B$2:$B79,$A51,'APS Tubes'!$H$2:$H79,"Fail")</f>
        <v>0</v>
      </c>
      <c r="I51" s="10">
        <f t="shared" si="1"/>
        <v>28</v>
      </c>
      <c r="J51" s="10" t="b">
        <f t="shared" si="2"/>
        <v>1</v>
      </c>
      <c r="K51" s="10">
        <f t="shared" si="3"/>
        <v>28</v>
      </c>
      <c r="L51" s="10">
        <f t="shared" si="4"/>
        <v>0</v>
      </c>
      <c r="M51" s="10" t="b">
        <f t="shared" si="5"/>
        <v>1</v>
      </c>
      <c r="N51" s="10">
        <f>COUNTIFS('APS Tubes'!$B$2:$B79,A51,'APS Tubes'!Q$2:Q79,"&lt;=0")</f>
        <v>28</v>
      </c>
      <c r="O51" s="10" t="b">
        <f t="shared" si="6"/>
        <v>1</v>
      </c>
      <c r="P51" s="225">
        <f t="shared" si="7"/>
        <v>44631</v>
      </c>
      <c r="Q51" s="10">
        <f>IFERROR(__xludf.DUMMYFUNCTION("IF(COUNTUNIQUEIFS('APS Tubes'!$A$2:$A79,'APS Tubes'!$I$2:$I79,P51)&gt;0,COUNTUNIQUEIFS('APS Tubes'!$A$2:$A79,'APS Tubes'!$I$2:$I79,P51),IFERROR(0/0))"),28.0)</f>
        <v>28</v>
      </c>
      <c r="R51" s="10" t="b">
        <f t="shared" si="8"/>
        <v>1</v>
      </c>
      <c r="S51" s="200"/>
      <c r="T51" s="44"/>
      <c r="U51" s="10"/>
      <c r="V51" s="10"/>
      <c r="W51" s="10"/>
      <c r="X51" s="10"/>
      <c r="Y51" s="10"/>
      <c r="Z51" s="10"/>
      <c r="AA51" s="10"/>
      <c r="AB51" s="10"/>
      <c r="AC51" s="10"/>
      <c r="AD51" s="44"/>
      <c r="AE51" s="44"/>
    </row>
    <row r="52">
      <c r="A52" s="184">
        <v>44665.0</v>
      </c>
      <c r="B52" s="10">
        <f>IFERROR(__xludf.DUMMYFUNCTION("COUNTUNIQUEIFS('APS Tubes'!$A$2:$A79,'APS Tubes'!$B$2:$B79,A52)"),1.0)</f>
        <v>1</v>
      </c>
      <c r="C52" s="10">
        <f>COUNTIFS('APS Tubes'!$B$2:$B79,A52,'APS Tubes'!$H$2:$H79,"Negative")</f>
        <v>1</v>
      </c>
      <c r="D52" s="10">
        <f>COUNTIFS('APS Tubes'!$B$2:$B79,$A52,'APS Tubes'!$H$2:$H79,"Positive")</f>
        <v>0</v>
      </c>
      <c r="E52" s="10">
        <f>COUNTIFS('APS Tubes'!$B$2:$B79,$A52,'APS Tubes'!$H$2:$H79,"Inconclusive")</f>
        <v>0</v>
      </c>
      <c r="F52" s="10">
        <f>COUNTIFS('APS Tubes'!$B$2:$B79,$A52,'APS Tubes'!$H$2:$H79,"Null")</f>
        <v>0</v>
      </c>
      <c r="G52" s="10">
        <f>COUNTIFS('APS Tubes'!$B$2:$B79,$A52,'APS Tubes'!$H$2:$H79,"Invalid")</f>
        <v>0</v>
      </c>
      <c r="H52" s="10">
        <f>COUNTIFS('APS Tubes'!$B$2:$B79,$A52,'APS Tubes'!$H$2:$H79,"Fail")</f>
        <v>0</v>
      </c>
      <c r="I52" s="10">
        <f t="shared" si="1"/>
        <v>1</v>
      </c>
      <c r="J52" s="10" t="b">
        <f t="shared" si="2"/>
        <v>1</v>
      </c>
      <c r="K52" s="10">
        <f t="shared" si="3"/>
        <v>1</v>
      </c>
      <c r="L52" s="10">
        <f t="shared" si="4"/>
        <v>0</v>
      </c>
      <c r="M52" s="10" t="b">
        <f t="shared" si="5"/>
        <v>1</v>
      </c>
      <c r="N52" s="10">
        <f>COUNTIFS('APS Tubes'!$B$2:$B79,A52,'APS Tubes'!Q$2:Q79,"&lt;=0")</f>
        <v>1</v>
      </c>
      <c r="O52" s="10" t="b">
        <f t="shared" si="6"/>
        <v>1</v>
      </c>
      <c r="P52" s="225">
        <f t="shared" si="7"/>
        <v>44665</v>
      </c>
      <c r="Q52" s="10">
        <f>IFERROR(__xludf.DUMMYFUNCTION("IF(COUNTUNIQUEIFS('APS Tubes'!$A$2:$A79,'APS Tubes'!$I$2:$I79,P52)&gt;0,COUNTUNIQUEIFS('APS Tubes'!$A$2:$A79,'APS Tubes'!$I$2:$I79,P52),IFERROR(0/0))"),1.0)</f>
        <v>1</v>
      </c>
      <c r="R52" s="10" t="b">
        <f t="shared" si="8"/>
        <v>1</v>
      </c>
      <c r="S52" s="200"/>
      <c r="T52" s="44"/>
      <c r="U52" s="10"/>
      <c r="V52" s="10"/>
      <c r="W52" s="10"/>
      <c r="X52" s="10"/>
      <c r="Y52" s="10"/>
      <c r="Z52" s="10"/>
      <c r="AA52" s="10"/>
      <c r="AB52" s="10"/>
      <c r="AC52" s="10"/>
      <c r="AD52" s="44"/>
      <c r="AE52" s="44"/>
    </row>
    <row r="53">
      <c r="A53" s="184">
        <v>44692.0</v>
      </c>
      <c r="B53" s="10">
        <f>IFERROR(__xludf.DUMMYFUNCTION("COUNTUNIQUEIFS('APS Tubes'!$A$2:$A79,'APS Tubes'!$B$2:$B79,A53)"),9.0)</f>
        <v>9</v>
      </c>
      <c r="C53" s="10">
        <f>COUNTIFS('APS Tubes'!$B$2:$B79,A53,'APS Tubes'!$H$2:$H79,"Negative")</f>
        <v>9</v>
      </c>
      <c r="D53" s="10">
        <f>COUNTIFS('APS Tubes'!$B$2:$B79,$A53,'APS Tubes'!$H$2:$H79,"Positive")</f>
        <v>0</v>
      </c>
      <c r="E53" s="10">
        <f>COUNTIFS('APS Tubes'!$B$2:$B79,$A53,'APS Tubes'!$H$2:$H79,"Inconclusive")</f>
        <v>0</v>
      </c>
      <c r="F53" s="10">
        <f>COUNTIFS('APS Tubes'!$B$2:$B79,$A53,'APS Tubes'!$H$2:$H79,"Null")</f>
        <v>0</v>
      </c>
      <c r="G53" s="10">
        <f>COUNTIFS('APS Tubes'!$B$2:$B79,$A53,'APS Tubes'!$H$2:$H79,"Invalid")</f>
        <v>0</v>
      </c>
      <c r="H53" s="10">
        <f>COUNTIFS('APS Tubes'!$B$2:$B79,$A53,'APS Tubes'!$H$2:$H79,"Fail")</f>
        <v>0</v>
      </c>
      <c r="I53" s="10">
        <f t="shared" si="1"/>
        <v>9</v>
      </c>
      <c r="J53" s="10" t="b">
        <f t="shared" si="2"/>
        <v>1</v>
      </c>
      <c r="K53" s="10">
        <f t="shared" si="3"/>
        <v>9</v>
      </c>
      <c r="L53" s="10">
        <f t="shared" si="4"/>
        <v>0</v>
      </c>
      <c r="M53" s="10" t="b">
        <f t="shared" si="5"/>
        <v>1</v>
      </c>
      <c r="N53" s="10">
        <f>COUNTIFS('APS Tubes'!$B$2:$B79,A53,'APS Tubes'!Q$2:Q79,"&lt;=0")</f>
        <v>9</v>
      </c>
      <c r="O53" s="10" t="b">
        <f t="shared" si="6"/>
        <v>1</v>
      </c>
      <c r="P53" s="225">
        <f t="shared" si="7"/>
        <v>44692</v>
      </c>
      <c r="Q53" s="10">
        <f>IFERROR(__xludf.DUMMYFUNCTION("IF(COUNTUNIQUEIFS('APS Tubes'!$A$2:$A79,'APS Tubes'!$I$2:$I79,P53)&gt;0,COUNTUNIQUEIFS('APS Tubes'!$A$2:$A79,'APS Tubes'!$I$2:$I79,P53),IFERROR(0/0))"),9.0)</f>
        <v>9</v>
      </c>
      <c r="R53" s="10" t="b">
        <f t="shared" si="8"/>
        <v>1</v>
      </c>
      <c r="S53" s="200"/>
      <c r="T53" s="44"/>
      <c r="U53" s="10"/>
      <c r="V53" s="10"/>
      <c r="W53" s="10"/>
      <c r="X53" s="10"/>
      <c r="Y53" s="10"/>
      <c r="Z53" s="10"/>
      <c r="AA53" s="10"/>
      <c r="AB53" s="10"/>
      <c r="AC53" s="10"/>
      <c r="AD53" s="44"/>
      <c r="AE53" s="44"/>
    </row>
    <row r="54">
      <c r="A54" s="184"/>
      <c r="B54" s="10"/>
      <c r="C54" s="10"/>
      <c r="D54" s="10"/>
      <c r="E54" s="10"/>
      <c r="F54" s="10"/>
      <c r="G54" s="10"/>
      <c r="H54" s="10"/>
      <c r="I54" s="10"/>
      <c r="J54" s="10"/>
      <c r="K54" s="10"/>
      <c r="L54" s="10"/>
      <c r="M54" s="10"/>
      <c r="N54" s="10"/>
      <c r="O54" s="10"/>
      <c r="P54" s="10"/>
      <c r="Q54" s="10"/>
      <c r="R54" s="10"/>
      <c r="S54" s="200"/>
      <c r="T54" s="44"/>
      <c r="U54" s="10"/>
      <c r="V54" s="10"/>
      <c r="W54" s="10"/>
      <c r="X54" s="10"/>
      <c r="Y54" s="10"/>
      <c r="Z54" s="10"/>
      <c r="AA54" s="10"/>
      <c r="AB54" s="10"/>
      <c r="AC54" s="10"/>
      <c r="AD54" s="44"/>
      <c r="AE54" s="44"/>
    </row>
    <row r="55">
      <c r="A55" s="184"/>
      <c r="B55" s="10"/>
      <c r="C55" s="10"/>
      <c r="D55" s="10"/>
      <c r="E55" s="10"/>
      <c r="F55" s="10"/>
      <c r="G55" s="10"/>
      <c r="H55" s="10"/>
      <c r="I55" s="10"/>
      <c r="J55" s="10"/>
      <c r="K55" s="10"/>
      <c r="L55" s="10"/>
      <c r="M55" s="10"/>
      <c r="N55" s="10"/>
      <c r="O55" s="10"/>
      <c r="P55" s="10"/>
      <c r="Q55" s="10"/>
      <c r="R55" s="10"/>
      <c r="S55" s="200"/>
      <c r="T55" s="44"/>
      <c r="U55" s="10"/>
      <c r="V55" s="10"/>
      <c r="W55" s="10"/>
      <c r="X55" s="10"/>
      <c r="Y55" s="10"/>
      <c r="Z55" s="10"/>
      <c r="AA55" s="10"/>
      <c r="AB55" s="10"/>
      <c r="AC55" s="10"/>
      <c r="AD55" s="44"/>
      <c r="AE55" s="44"/>
    </row>
    <row r="56">
      <c r="A56" s="184"/>
      <c r="B56" s="10"/>
      <c r="C56" s="10"/>
      <c r="D56" s="10"/>
      <c r="E56" s="10"/>
      <c r="F56" s="10"/>
      <c r="G56" s="10"/>
      <c r="H56" s="10"/>
      <c r="I56" s="10"/>
      <c r="J56" s="10"/>
      <c r="K56" s="10"/>
      <c r="L56" s="10"/>
      <c r="M56" s="10"/>
      <c r="N56" s="10"/>
      <c r="O56" s="10"/>
      <c r="P56" s="10"/>
      <c r="Q56" s="10"/>
      <c r="R56" s="10"/>
      <c r="S56" s="200"/>
      <c r="T56" s="44"/>
      <c r="U56" s="10"/>
      <c r="V56" s="10"/>
      <c r="W56" s="10"/>
      <c r="X56" s="10"/>
      <c r="Y56" s="10"/>
      <c r="Z56" s="10"/>
      <c r="AA56" s="10"/>
      <c r="AB56" s="10"/>
      <c r="AC56" s="10"/>
      <c r="AD56" s="44"/>
      <c r="AE56" s="44"/>
    </row>
    <row r="57">
      <c r="A57" s="184"/>
      <c r="B57" s="10"/>
      <c r="C57" s="10"/>
      <c r="D57" s="10"/>
      <c r="E57" s="10"/>
      <c r="F57" s="10"/>
      <c r="G57" s="10"/>
      <c r="H57" s="10"/>
      <c r="I57" s="10"/>
      <c r="J57" s="10"/>
      <c r="K57" s="10"/>
      <c r="L57" s="10"/>
      <c r="M57" s="10"/>
      <c r="N57" s="10"/>
      <c r="O57" s="10"/>
      <c r="P57" s="10"/>
      <c r="Q57" s="10"/>
      <c r="R57" s="10"/>
      <c r="S57" s="200"/>
      <c r="T57" s="44"/>
      <c r="U57" s="10"/>
      <c r="V57" s="10"/>
      <c r="W57" s="10"/>
      <c r="X57" s="10"/>
      <c r="Y57" s="10"/>
      <c r="Z57" s="10"/>
      <c r="AA57" s="10"/>
      <c r="AB57" s="10"/>
      <c r="AC57" s="10"/>
      <c r="AD57" s="44"/>
      <c r="AE57" s="44"/>
    </row>
    <row r="58">
      <c r="A58" s="184"/>
      <c r="B58" s="10"/>
      <c r="C58" s="10"/>
      <c r="D58" s="10"/>
      <c r="E58" s="10"/>
      <c r="F58" s="10"/>
      <c r="G58" s="10"/>
      <c r="H58" s="10"/>
      <c r="I58" s="10"/>
      <c r="J58" s="10"/>
      <c r="K58" s="10"/>
      <c r="L58" s="10"/>
      <c r="M58" s="10"/>
      <c r="N58" s="10"/>
      <c r="O58" s="10"/>
      <c r="P58" s="10"/>
      <c r="Q58" s="10"/>
      <c r="R58" s="10"/>
      <c r="S58" s="200"/>
      <c r="T58" s="44"/>
      <c r="U58" s="10"/>
      <c r="V58" s="10"/>
      <c r="W58" s="10"/>
      <c r="X58" s="10"/>
      <c r="Y58" s="10"/>
      <c r="Z58" s="10"/>
      <c r="AA58" s="10"/>
      <c r="AB58" s="10"/>
      <c r="AC58" s="10"/>
      <c r="AD58" s="44"/>
      <c r="AE58" s="44"/>
    </row>
    <row r="59">
      <c r="A59" s="184"/>
      <c r="B59" s="10"/>
      <c r="C59" s="10"/>
      <c r="D59" s="10"/>
      <c r="E59" s="10"/>
      <c r="F59" s="10"/>
      <c r="G59" s="10"/>
      <c r="H59" s="10"/>
      <c r="I59" s="10"/>
      <c r="J59" s="10"/>
      <c r="K59" s="10"/>
      <c r="L59" s="10"/>
      <c r="M59" s="10"/>
      <c r="N59" s="10"/>
      <c r="O59" s="10"/>
      <c r="P59" s="10"/>
      <c r="Q59" s="10"/>
      <c r="R59" s="10"/>
      <c r="S59" s="200"/>
      <c r="T59" s="44"/>
      <c r="U59" s="10"/>
      <c r="V59" s="10"/>
      <c r="W59" s="10"/>
      <c r="X59" s="10"/>
      <c r="Y59" s="10"/>
      <c r="Z59" s="10"/>
      <c r="AA59" s="10"/>
      <c r="AB59" s="10"/>
      <c r="AC59" s="10"/>
      <c r="AD59" s="44"/>
      <c r="AE59" s="44"/>
    </row>
    <row r="60">
      <c r="A60" s="184"/>
      <c r="B60" s="10"/>
      <c r="C60" s="10"/>
      <c r="D60" s="10"/>
      <c r="E60" s="10"/>
      <c r="F60" s="10"/>
      <c r="G60" s="10"/>
      <c r="H60" s="10"/>
      <c r="I60" s="10"/>
      <c r="J60" s="10"/>
      <c r="K60" s="10"/>
      <c r="L60" s="10"/>
      <c r="M60" s="10"/>
      <c r="N60" s="10"/>
      <c r="O60" s="10"/>
      <c r="P60" s="10"/>
      <c r="Q60" s="10"/>
      <c r="R60" s="10"/>
      <c r="S60" s="200"/>
      <c r="T60" s="44"/>
      <c r="U60" s="10"/>
      <c r="V60" s="10"/>
      <c r="W60" s="10"/>
      <c r="X60" s="10"/>
      <c r="Y60" s="10"/>
      <c r="Z60" s="10"/>
      <c r="AA60" s="10"/>
      <c r="AB60" s="10"/>
      <c r="AC60" s="10"/>
      <c r="AD60" s="44"/>
      <c r="AE60" s="44"/>
    </row>
    <row r="61">
      <c r="A61" s="184"/>
      <c r="B61" s="10"/>
      <c r="C61" s="10"/>
      <c r="D61" s="10"/>
      <c r="E61" s="10"/>
      <c r="F61" s="10"/>
      <c r="G61" s="10"/>
      <c r="H61" s="10"/>
      <c r="I61" s="10"/>
      <c r="J61" s="10"/>
      <c r="K61" s="10"/>
      <c r="L61" s="10"/>
      <c r="M61" s="10"/>
      <c r="N61" s="10"/>
      <c r="O61" s="10"/>
      <c r="P61" s="10"/>
      <c r="Q61" s="10"/>
      <c r="R61" s="10"/>
      <c r="S61" s="200"/>
      <c r="T61" s="44"/>
      <c r="U61" s="10"/>
      <c r="V61" s="10"/>
      <c r="W61" s="10"/>
      <c r="X61" s="10"/>
      <c r="Y61" s="10"/>
      <c r="Z61" s="10"/>
      <c r="AA61" s="10"/>
      <c r="AB61" s="10"/>
      <c r="AC61" s="10"/>
      <c r="AD61" s="44"/>
      <c r="AE61" s="44"/>
    </row>
    <row r="62">
      <c r="A62" s="184"/>
      <c r="B62" s="10"/>
      <c r="C62" s="10"/>
      <c r="D62" s="10"/>
      <c r="E62" s="10"/>
      <c r="F62" s="10"/>
      <c r="G62" s="10"/>
      <c r="H62" s="10"/>
      <c r="I62" s="10"/>
      <c r="J62" s="10"/>
      <c r="K62" s="10"/>
      <c r="L62" s="10"/>
      <c r="M62" s="10"/>
      <c r="N62" s="10"/>
      <c r="O62" s="10"/>
      <c r="P62" s="10"/>
      <c r="Q62" s="10"/>
      <c r="R62" s="10"/>
      <c r="S62" s="200"/>
      <c r="T62" s="44"/>
      <c r="U62" s="10"/>
      <c r="V62" s="10"/>
      <c r="W62" s="10"/>
      <c r="X62" s="10"/>
      <c r="Y62" s="10"/>
      <c r="Z62" s="10"/>
      <c r="AA62" s="10"/>
      <c r="AB62" s="10"/>
      <c r="AC62" s="10"/>
      <c r="AD62" s="44"/>
      <c r="AE62" s="44"/>
    </row>
    <row r="63">
      <c r="A63" s="184"/>
      <c r="B63" s="10"/>
      <c r="C63" s="10"/>
      <c r="D63" s="10"/>
      <c r="E63" s="10"/>
      <c r="F63" s="10"/>
      <c r="G63" s="10"/>
      <c r="H63" s="10"/>
      <c r="I63" s="10"/>
      <c r="J63" s="10"/>
      <c r="K63" s="10"/>
      <c r="L63" s="10"/>
      <c r="M63" s="10"/>
      <c r="N63" s="10"/>
      <c r="O63" s="10"/>
      <c r="P63" s="10"/>
      <c r="Q63" s="10"/>
      <c r="R63" s="10"/>
      <c r="S63" s="200"/>
      <c r="T63" s="44"/>
      <c r="U63" s="10"/>
      <c r="V63" s="10"/>
      <c r="W63" s="10"/>
      <c r="X63" s="10"/>
      <c r="Y63" s="10"/>
      <c r="Z63" s="10"/>
      <c r="AA63" s="10"/>
      <c r="AB63" s="10"/>
      <c r="AC63" s="10"/>
      <c r="AD63" s="44"/>
      <c r="AE63" s="44"/>
    </row>
    <row r="64">
      <c r="A64" s="184"/>
      <c r="B64" s="10"/>
      <c r="C64" s="10"/>
      <c r="D64" s="10"/>
      <c r="E64" s="10"/>
      <c r="F64" s="10"/>
      <c r="G64" s="10"/>
      <c r="H64" s="10"/>
      <c r="I64" s="10"/>
      <c r="J64" s="10"/>
      <c r="K64" s="10"/>
      <c r="L64" s="10"/>
      <c r="M64" s="10"/>
      <c r="N64" s="10"/>
      <c r="O64" s="10"/>
      <c r="P64" s="10"/>
      <c r="Q64" s="10"/>
      <c r="R64" s="10"/>
      <c r="S64" s="200"/>
      <c r="T64" s="44"/>
      <c r="U64" s="10"/>
      <c r="V64" s="10"/>
      <c r="W64" s="10"/>
      <c r="X64" s="10"/>
      <c r="Y64" s="10"/>
      <c r="Z64" s="10"/>
      <c r="AA64" s="10"/>
      <c r="AB64" s="10"/>
      <c r="AC64" s="10"/>
      <c r="AD64" s="44"/>
      <c r="AE64" s="44"/>
    </row>
    <row r="65">
      <c r="A65" s="184"/>
      <c r="B65" s="10"/>
      <c r="C65" s="10"/>
      <c r="D65" s="10"/>
      <c r="E65" s="10"/>
      <c r="F65" s="10"/>
      <c r="G65" s="10"/>
      <c r="H65" s="10"/>
      <c r="I65" s="10"/>
      <c r="J65" s="10"/>
      <c r="K65" s="10"/>
      <c r="L65" s="10"/>
      <c r="M65" s="10"/>
      <c r="N65" s="10"/>
      <c r="O65" s="10"/>
      <c r="P65" s="10"/>
      <c r="Q65" s="10"/>
      <c r="R65" s="10"/>
      <c r="S65" s="200"/>
      <c r="T65" s="44"/>
      <c r="U65" s="10"/>
      <c r="V65" s="10"/>
      <c r="W65" s="10"/>
      <c r="X65" s="10"/>
      <c r="Y65" s="10"/>
      <c r="Z65" s="10"/>
      <c r="AA65" s="10"/>
      <c r="AB65" s="10"/>
      <c r="AC65" s="10"/>
      <c r="AD65" s="44"/>
      <c r="AE65" s="44"/>
    </row>
    <row r="66">
      <c r="A66" s="184"/>
      <c r="B66" s="10"/>
      <c r="C66" s="10"/>
      <c r="D66" s="10"/>
      <c r="E66" s="10"/>
      <c r="F66" s="10"/>
      <c r="G66" s="10"/>
      <c r="H66" s="10"/>
      <c r="I66" s="10"/>
      <c r="J66" s="10"/>
      <c r="K66" s="10"/>
      <c r="L66" s="10"/>
      <c r="M66" s="10"/>
      <c r="N66" s="10"/>
      <c r="O66" s="10"/>
      <c r="P66" s="10"/>
      <c r="Q66" s="10"/>
      <c r="R66" s="10"/>
      <c r="S66" s="200"/>
      <c r="T66" s="44"/>
      <c r="U66" s="10"/>
      <c r="V66" s="10"/>
      <c r="W66" s="10"/>
      <c r="X66" s="10"/>
      <c r="Y66" s="10"/>
      <c r="Z66" s="10"/>
      <c r="AA66" s="10"/>
      <c r="AB66" s="10"/>
      <c r="AC66" s="10"/>
      <c r="AD66" s="44"/>
      <c r="AE66" s="44"/>
    </row>
    <row r="67">
      <c r="A67" s="184"/>
      <c r="B67" s="10"/>
      <c r="C67" s="10"/>
      <c r="D67" s="10"/>
      <c r="E67" s="10"/>
      <c r="F67" s="10"/>
      <c r="G67" s="10"/>
      <c r="H67" s="10"/>
      <c r="I67" s="10"/>
      <c r="J67" s="10"/>
      <c r="K67" s="10"/>
      <c r="L67" s="10"/>
      <c r="M67" s="10"/>
      <c r="N67" s="10"/>
      <c r="O67" s="10"/>
      <c r="P67" s="10"/>
      <c r="Q67" s="10"/>
      <c r="R67" s="10"/>
      <c r="S67" s="200"/>
      <c r="T67" s="44"/>
      <c r="U67" s="10"/>
      <c r="V67" s="10"/>
      <c r="W67" s="10"/>
      <c r="X67" s="10"/>
      <c r="Y67" s="10"/>
      <c r="Z67" s="10"/>
      <c r="AA67" s="10"/>
      <c r="AB67" s="10"/>
      <c r="AC67" s="10"/>
      <c r="AD67" s="44"/>
      <c r="AE67" s="44"/>
    </row>
    <row r="68">
      <c r="A68" s="184"/>
      <c r="B68" s="10"/>
      <c r="C68" s="10"/>
      <c r="D68" s="10"/>
      <c r="E68" s="10"/>
      <c r="F68" s="10"/>
      <c r="G68" s="10"/>
      <c r="H68" s="10"/>
      <c r="I68" s="10"/>
      <c r="J68" s="10"/>
      <c r="K68" s="10"/>
      <c r="L68" s="10"/>
      <c r="M68" s="10"/>
      <c r="N68" s="10"/>
      <c r="O68" s="10"/>
      <c r="P68" s="10"/>
      <c r="Q68" s="10"/>
      <c r="R68" s="10"/>
      <c r="S68" s="200"/>
      <c r="T68" s="44"/>
      <c r="U68" s="10"/>
      <c r="V68" s="10"/>
      <c r="W68" s="10"/>
      <c r="X68" s="10"/>
      <c r="Y68" s="10"/>
      <c r="Z68" s="10"/>
      <c r="AA68" s="10"/>
      <c r="AB68" s="10"/>
      <c r="AC68" s="10"/>
      <c r="AD68" s="44"/>
      <c r="AE68" s="44"/>
    </row>
    <row r="69">
      <c r="A69" s="184"/>
      <c r="B69" s="10"/>
      <c r="C69" s="10"/>
      <c r="D69" s="10"/>
      <c r="E69" s="10"/>
      <c r="F69" s="10"/>
      <c r="G69" s="10"/>
      <c r="H69" s="10"/>
      <c r="I69" s="10"/>
      <c r="J69" s="10"/>
      <c r="K69" s="10"/>
      <c r="L69" s="10"/>
      <c r="M69" s="10"/>
      <c r="N69" s="10"/>
      <c r="O69" s="10"/>
      <c r="P69" s="10"/>
      <c r="Q69" s="10"/>
      <c r="R69" s="10"/>
      <c r="S69" s="200"/>
      <c r="T69" s="44"/>
      <c r="U69" s="10"/>
      <c r="V69" s="10"/>
      <c r="W69" s="10"/>
      <c r="X69" s="10"/>
      <c r="Y69" s="10"/>
      <c r="Z69" s="10"/>
      <c r="AA69" s="10"/>
      <c r="AB69" s="10"/>
      <c r="AC69" s="10"/>
      <c r="AD69" s="44"/>
      <c r="AE69" s="44"/>
    </row>
    <row r="70">
      <c r="A70" s="184"/>
      <c r="B70" s="10"/>
      <c r="C70" s="10"/>
      <c r="D70" s="10"/>
      <c r="E70" s="10"/>
      <c r="F70" s="10"/>
      <c r="G70" s="10"/>
      <c r="H70" s="10"/>
      <c r="I70" s="10"/>
      <c r="J70" s="10"/>
      <c r="K70" s="10"/>
      <c r="L70" s="10"/>
      <c r="M70" s="10"/>
      <c r="N70" s="10"/>
      <c r="O70" s="10"/>
      <c r="P70" s="10"/>
      <c r="Q70" s="10"/>
      <c r="R70" s="10"/>
      <c r="S70" s="200"/>
      <c r="T70" s="44"/>
      <c r="U70" s="10"/>
      <c r="V70" s="10"/>
      <c r="W70" s="10"/>
      <c r="X70" s="10"/>
      <c r="Y70" s="10"/>
      <c r="Z70" s="10"/>
      <c r="AA70" s="10"/>
      <c r="AB70" s="10"/>
      <c r="AC70" s="10"/>
      <c r="AD70" s="44"/>
      <c r="AE70" s="44"/>
    </row>
    <row r="71">
      <c r="A71" s="184"/>
      <c r="B71" s="10"/>
      <c r="C71" s="10"/>
      <c r="D71" s="10"/>
      <c r="E71" s="10"/>
      <c r="F71" s="10"/>
      <c r="G71" s="10"/>
      <c r="H71" s="10"/>
      <c r="I71" s="10"/>
      <c r="J71" s="10"/>
      <c r="K71" s="10"/>
      <c r="L71" s="10"/>
      <c r="M71" s="10"/>
      <c r="N71" s="10"/>
      <c r="O71" s="10"/>
      <c r="P71" s="10"/>
      <c r="Q71" s="10"/>
      <c r="R71" s="10"/>
      <c r="S71" s="200"/>
      <c r="T71" s="44"/>
      <c r="U71" s="10"/>
      <c r="V71" s="10"/>
      <c r="W71" s="10"/>
      <c r="X71" s="10"/>
      <c r="Y71" s="10"/>
      <c r="Z71" s="10"/>
      <c r="AA71" s="10"/>
      <c r="AB71" s="10"/>
      <c r="AC71" s="10"/>
      <c r="AD71" s="44"/>
      <c r="AE71" s="44"/>
    </row>
    <row r="72">
      <c r="A72" s="184"/>
      <c r="B72" s="10"/>
      <c r="C72" s="10"/>
      <c r="D72" s="10"/>
      <c r="E72" s="10"/>
      <c r="F72" s="10"/>
      <c r="G72" s="10"/>
      <c r="H72" s="10"/>
      <c r="I72" s="10"/>
      <c r="J72" s="10"/>
      <c r="K72" s="10"/>
      <c r="L72" s="10"/>
      <c r="M72" s="10"/>
      <c r="N72" s="10"/>
      <c r="O72" s="10"/>
      <c r="P72" s="10"/>
      <c r="Q72" s="10"/>
      <c r="R72" s="10"/>
      <c r="S72" s="200"/>
      <c r="T72" s="44"/>
      <c r="U72" s="10"/>
      <c r="V72" s="10"/>
      <c r="W72" s="10"/>
      <c r="X72" s="10"/>
      <c r="Y72" s="10"/>
      <c r="Z72" s="10"/>
      <c r="AA72" s="10"/>
      <c r="AB72" s="10"/>
      <c r="AC72" s="10"/>
      <c r="AD72" s="44"/>
      <c r="AE72" s="44"/>
    </row>
    <row r="73">
      <c r="A73" s="184"/>
      <c r="B73" s="10"/>
      <c r="C73" s="10"/>
      <c r="D73" s="10"/>
      <c r="E73" s="10"/>
      <c r="F73" s="10"/>
      <c r="G73" s="10"/>
      <c r="H73" s="10"/>
      <c r="I73" s="10"/>
      <c r="J73" s="10"/>
      <c r="K73" s="10"/>
      <c r="L73" s="10"/>
      <c r="M73" s="10"/>
      <c r="N73" s="10"/>
      <c r="O73" s="10"/>
      <c r="P73" s="10"/>
      <c r="Q73" s="10"/>
      <c r="R73" s="10"/>
      <c r="S73" s="200"/>
      <c r="T73" s="44"/>
      <c r="U73" s="10"/>
      <c r="V73" s="10"/>
      <c r="W73" s="10"/>
      <c r="X73" s="10"/>
      <c r="Y73" s="10"/>
      <c r="Z73" s="10"/>
      <c r="AA73" s="10"/>
      <c r="AB73" s="10"/>
      <c r="AC73" s="10"/>
      <c r="AD73" s="44"/>
      <c r="AE73" s="44"/>
    </row>
    <row r="74">
      <c r="A74" s="184"/>
      <c r="B74" s="10"/>
      <c r="C74" s="10"/>
      <c r="D74" s="10"/>
      <c r="E74" s="10"/>
      <c r="F74" s="10"/>
      <c r="G74" s="10"/>
      <c r="H74" s="10"/>
      <c r="I74" s="10"/>
      <c r="J74" s="10"/>
      <c r="K74" s="10"/>
      <c r="L74" s="10"/>
      <c r="M74" s="10"/>
      <c r="N74" s="10"/>
      <c r="O74" s="10"/>
      <c r="P74" s="10"/>
      <c r="Q74" s="10"/>
      <c r="R74" s="10"/>
      <c r="S74" s="200"/>
      <c r="T74" s="44"/>
      <c r="U74" s="10"/>
      <c r="V74" s="10"/>
      <c r="W74" s="10"/>
      <c r="X74" s="10"/>
      <c r="Y74" s="10"/>
      <c r="Z74" s="10"/>
      <c r="AA74" s="10"/>
      <c r="AB74" s="10"/>
      <c r="AC74" s="10"/>
      <c r="AD74" s="44"/>
      <c r="AE74" s="44"/>
    </row>
    <row r="75">
      <c r="A75" s="184"/>
      <c r="B75" s="10"/>
      <c r="C75" s="10"/>
      <c r="D75" s="10"/>
      <c r="E75" s="10"/>
      <c r="F75" s="10"/>
      <c r="G75" s="10"/>
      <c r="H75" s="10"/>
      <c r="I75" s="10"/>
      <c r="J75" s="10"/>
      <c r="K75" s="10"/>
      <c r="L75" s="10"/>
      <c r="M75" s="10"/>
      <c r="N75" s="10"/>
      <c r="O75" s="10"/>
      <c r="P75" s="10"/>
      <c r="Q75" s="10"/>
      <c r="R75" s="10"/>
      <c r="S75" s="200"/>
      <c r="T75" s="44"/>
      <c r="U75" s="10"/>
      <c r="V75" s="10"/>
      <c r="W75" s="10"/>
      <c r="X75" s="10"/>
      <c r="Y75" s="10"/>
      <c r="Z75" s="10"/>
      <c r="AA75" s="10"/>
      <c r="AB75" s="10"/>
      <c r="AC75" s="10"/>
      <c r="AD75" s="44"/>
      <c r="AE75" s="44"/>
    </row>
    <row r="76">
      <c r="A76" s="184"/>
      <c r="B76" s="10"/>
      <c r="C76" s="10"/>
      <c r="D76" s="10"/>
      <c r="E76" s="10"/>
      <c r="F76" s="10"/>
      <c r="G76" s="10"/>
      <c r="H76" s="10"/>
      <c r="I76" s="10"/>
      <c r="J76" s="10"/>
      <c r="K76" s="10"/>
      <c r="L76" s="10"/>
      <c r="M76" s="10"/>
      <c r="N76" s="10"/>
      <c r="O76" s="10"/>
      <c r="P76" s="10"/>
      <c r="Q76" s="10"/>
      <c r="R76" s="10"/>
      <c r="S76" s="200"/>
      <c r="T76" s="44"/>
      <c r="U76" s="10"/>
      <c r="V76" s="10"/>
      <c r="W76" s="10"/>
      <c r="X76" s="10"/>
      <c r="Y76" s="10"/>
      <c r="Z76" s="10"/>
      <c r="AA76" s="10"/>
      <c r="AB76" s="10"/>
      <c r="AC76" s="10"/>
      <c r="AD76" s="44"/>
      <c r="AE76" s="44"/>
    </row>
    <row r="77">
      <c r="A77" s="184"/>
      <c r="B77" s="10"/>
      <c r="C77" s="10"/>
      <c r="D77" s="10"/>
      <c r="E77" s="10"/>
      <c r="F77" s="10"/>
      <c r="G77" s="10"/>
      <c r="H77" s="10"/>
      <c r="I77" s="10"/>
      <c r="J77" s="10"/>
      <c r="K77" s="10"/>
      <c r="L77" s="10"/>
      <c r="M77" s="10"/>
      <c r="N77" s="10"/>
      <c r="O77" s="10"/>
      <c r="P77" s="10"/>
      <c r="Q77" s="10"/>
      <c r="R77" s="10"/>
      <c r="S77" s="200"/>
      <c r="T77" s="44"/>
      <c r="U77" s="10"/>
      <c r="V77" s="10"/>
      <c r="W77" s="10"/>
      <c r="X77" s="10"/>
      <c r="Y77" s="10"/>
      <c r="Z77" s="10"/>
      <c r="AA77" s="10"/>
      <c r="AB77" s="10"/>
      <c r="AC77" s="10"/>
      <c r="AD77" s="44"/>
      <c r="AE77" s="44"/>
    </row>
    <row r="78">
      <c r="A78" s="184"/>
      <c r="B78" s="10"/>
      <c r="C78" s="10"/>
      <c r="D78" s="10"/>
      <c r="E78" s="10"/>
      <c r="F78" s="10"/>
      <c r="G78" s="10"/>
      <c r="H78" s="10"/>
      <c r="I78" s="10"/>
      <c r="J78" s="10"/>
      <c r="K78" s="10"/>
      <c r="L78" s="10"/>
      <c r="M78" s="10"/>
      <c r="N78" s="10"/>
      <c r="O78" s="10"/>
      <c r="P78" s="10"/>
      <c r="Q78" s="10"/>
      <c r="R78" s="10"/>
      <c r="S78" s="200"/>
      <c r="T78" s="44"/>
      <c r="U78" s="10"/>
      <c r="V78" s="10"/>
      <c r="W78" s="10"/>
      <c r="X78" s="10"/>
      <c r="Y78" s="10"/>
      <c r="Z78" s="10"/>
      <c r="AA78" s="10"/>
      <c r="AB78" s="10"/>
      <c r="AC78" s="10"/>
      <c r="AD78" s="44"/>
      <c r="AE78" s="44"/>
    </row>
    <row r="79">
      <c r="A79" s="184"/>
      <c r="B79" s="10"/>
      <c r="C79" s="10"/>
      <c r="D79" s="10"/>
      <c r="E79" s="10"/>
      <c r="F79" s="10"/>
      <c r="G79" s="10"/>
      <c r="H79" s="10"/>
      <c r="I79" s="10"/>
      <c r="J79" s="10"/>
      <c r="K79" s="10"/>
      <c r="L79" s="10"/>
      <c r="M79" s="10"/>
      <c r="N79" s="10"/>
      <c r="O79" s="10"/>
      <c r="P79" s="10"/>
      <c r="Q79" s="10"/>
      <c r="R79" s="10"/>
      <c r="S79" s="200"/>
      <c r="T79" s="44"/>
      <c r="U79" s="10"/>
      <c r="V79" s="10"/>
      <c r="W79" s="10"/>
      <c r="X79" s="10"/>
      <c r="Y79" s="10"/>
      <c r="Z79" s="10"/>
      <c r="AA79" s="10"/>
      <c r="AB79" s="10"/>
      <c r="AC79" s="10"/>
      <c r="AD79" s="44"/>
      <c r="AE79" s="44"/>
    </row>
  </sheetData>
  <conditionalFormatting sqref="W2:W79">
    <cfRule type="cellIs" dxfId="6" priority="1" operator="greaterThan">
      <formula>0</formula>
    </cfRule>
  </conditionalFormatting>
  <conditionalFormatting sqref="X2:X79">
    <cfRule type="cellIs" dxfId="7" priority="2" operator="greaterThan">
      <formula>0</formula>
    </cfRule>
  </conditionalFormatting>
  <conditionalFormatting sqref="Y2:Y79">
    <cfRule type="cellIs" dxfId="8" priority="3" operator="greaterThan">
      <formula>0</formula>
    </cfRule>
  </conditionalFormatting>
  <conditionalFormatting sqref="Z2:Z79">
    <cfRule type="cellIs" dxfId="9" priority="4" operator="greaterThan">
      <formula>0</formula>
    </cfRule>
  </conditionalFormatting>
  <conditionalFormatting sqref="AA2:AA79">
    <cfRule type="cellIs" dxfId="10" priority="5" operator="greaterThan">
      <formula>0</formula>
    </cfRule>
  </conditionalFormatting>
  <conditionalFormatting sqref="D2:D79">
    <cfRule type="cellIs" dxfId="6" priority="6" operator="greaterThan">
      <formula>0</formula>
    </cfRule>
  </conditionalFormatting>
  <conditionalFormatting sqref="E2:E79">
    <cfRule type="cellIs" dxfId="7" priority="7" operator="greaterThan">
      <formula>0</formula>
    </cfRule>
  </conditionalFormatting>
  <conditionalFormatting sqref="F2:F79">
    <cfRule type="cellIs" dxfId="8" priority="8" operator="greaterThan">
      <formula>0</formula>
    </cfRule>
  </conditionalFormatting>
  <conditionalFormatting sqref="G2:G79">
    <cfRule type="cellIs" dxfId="9" priority="9" operator="greaterThan">
      <formula>0</formula>
    </cfRule>
  </conditionalFormatting>
  <conditionalFormatting sqref="H2:H79">
    <cfRule type="cellIs" dxfId="11" priority="10" operator="greaterThan">
      <formula>0</formula>
    </cfRule>
  </conditionalFormatting>
  <conditionalFormatting sqref="J1 AC1">
    <cfRule type="containsText" dxfId="0" priority="11" operator="containsText" text="ERROR">
      <formula>NOT(ISERROR(SEARCH(("ERROR"),(J1))))</formula>
    </cfRule>
  </conditionalFormatting>
  <conditionalFormatting sqref="J1 AC1">
    <cfRule type="notContainsText" dxfId="1" priority="12" operator="notContains" text="ERROR">
      <formula>ISERROR(SEARCH(("ERROR"),(J1)))</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2" t="s">
        <v>2429</v>
      </c>
      <c r="C1" s="2" t="s">
        <v>2430</v>
      </c>
      <c r="H1" s="227"/>
      <c r="O1" s="227"/>
    </row>
    <row r="2">
      <c r="A2" s="58" t="s">
        <v>196</v>
      </c>
      <c r="B2" s="58" t="s">
        <v>156</v>
      </c>
      <c r="C2" s="58" t="s">
        <v>157</v>
      </c>
      <c r="D2" s="58" t="s">
        <v>159</v>
      </c>
      <c r="E2" s="58" t="s">
        <v>160</v>
      </c>
      <c r="F2" s="58" t="s">
        <v>197</v>
      </c>
      <c r="G2" s="58" t="s">
        <v>198</v>
      </c>
      <c r="H2" s="58" t="s">
        <v>199</v>
      </c>
      <c r="I2" s="58" t="s">
        <v>200</v>
      </c>
      <c r="J2" s="58" t="s">
        <v>201</v>
      </c>
      <c r="K2" s="58" t="s">
        <v>2431</v>
      </c>
      <c r="L2" s="58" t="s">
        <v>163</v>
      </c>
      <c r="M2" s="58" t="s">
        <v>164</v>
      </c>
      <c r="N2" s="58" t="s">
        <v>2432</v>
      </c>
      <c r="O2" s="58" t="s">
        <v>167</v>
      </c>
      <c r="P2" s="228"/>
      <c r="Q2" s="228"/>
    </row>
    <row r="3">
      <c r="A3" s="2" t="s">
        <v>2181</v>
      </c>
      <c r="B3" s="100">
        <v>44692.0</v>
      </c>
      <c r="C3" s="101">
        <v>0.34565972222222224</v>
      </c>
      <c r="H3" s="229"/>
      <c r="K3" s="2" t="s">
        <v>244</v>
      </c>
      <c r="L3" s="100">
        <v>44692.0</v>
      </c>
      <c r="M3" s="101">
        <v>0.5025231481481481</v>
      </c>
      <c r="O3" s="227"/>
    </row>
    <row r="4">
      <c r="A4" s="2" t="s">
        <v>2179</v>
      </c>
      <c r="B4" s="100">
        <v>44692.0</v>
      </c>
      <c r="C4" s="101">
        <v>0.3093634259259259</v>
      </c>
      <c r="H4" s="229"/>
      <c r="K4" s="2" t="s">
        <v>244</v>
      </c>
      <c r="L4" s="100">
        <v>44692.0</v>
      </c>
      <c r="M4" s="101">
        <v>0.5025231481481481</v>
      </c>
      <c r="O4" s="229"/>
    </row>
    <row r="5">
      <c r="A5" s="2" t="s">
        <v>2177</v>
      </c>
      <c r="B5" s="100">
        <v>44692.0</v>
      </c>
      <c r="C5" s="101">
        <v>0.30903935185185183</v>
      </c>
      <c r="H5" s="229"/>
      <c r="K5" s="2" t="s">
        <v>244</v>
      </c>
      <c r="L5" s="100">
        <v>44692.0</v>
      </c>
      <c r="M5" s="101">
        <v>0.5025231481481481</v>
      </c>
      <c r="O5" s="229"/>
    </row>
    <row r="6">
      <c r="A6" s="2" t="s">
        <v>2175</v>
      </c>
      <c r="B6" s="100">
        <v>44692.0</v>
      </c>
      <c r="C6" s="101">
        <v>0.30863425925925925</v>
      </c>
      <c r="H6" s="229"/>
      <c r="K6" s="2" t="s">
        <v>244</v>
      </c>
      <c r="L6" s="100">
        <v>44692.0</v>
      </c>
      <c r="M6" s="101">
        <v>0.5025231481481481</v>
      </c>
      <c r="O6" s="229"/>
    </row>
    <row r="7">
      <c r="A7" s="2" t="s">
        <v>2174</v>
      </c>
      <c r="B7" s="100">
        <v>44692.0</v>
      </c>
      <c r="C7" s="101">
        <v>0.29189814814814813</v>
      </c>
      <c r="H7" s="229"/>
      <c r="K7" s="2" t="s">
        <v>244</v>
      </c>
      <c r="L7" s="100">
        <v>44692.0</v>
      </c>
      <c r="M7" s="101">
        <v>0.5025231481481481</v>
      </c>
      <c r="O7" s="229"/>
    </row>
    <row r="8">
      <c r="A8" s="2" t="s">
        <v>2172</v>
      </c>
      <c r="B8" s="100">
        <v>44692.0</v>
      </c>
      <c r="C8" s="101">
        <v>0.2888541666666667</v>
      </c>
      <c r="H8" s="229"/>
      <c r="K8" s="2" t="s">
        <v>244</v>
      </c>
      <c r="L8" s="100">
        <v>44692.0</v>
      </c>
      <c r="M8" s="101">
        <v>0.5025231481481481</v>
      </c>
      <c r="O8" s="229"/>
    </row>
    <row r="9">
      <c r="A9" s="2" t="s">
        <v>2170</v>
      </c>
      <c r="B9" s="100">
        <v>44692.0</v>
      </c>
      <c r="C9" s="101">
        <v>0.2788773148148148</v>
      </c>
      <c r="H9" s="229"/>
      <c r="K9" s="2" t="s">
        <v>244</v>
      </c>
      <c r="L9" s="100">
        <v>44692.0</v>
      </c>
      <c r="M9" s="101">
        <v>0.5025231481481481</v>
      </c>
      <c r="O9" s="229"/>
    </row>
    <row r="10">
      <c r="A10" s="2" t="s">
        <v>2168</v>
      </c>
      <c r="B10" s="100">
        <v>44692.0</v>
      </c>
      <c r="C10" s="101">
        <v>0.2784259259259259</v>
      </c>
      <c r="H10" s="229"/>
      <c r="K10" s="2" t="s">
        <v>244</v>
      </c>
      <c r="L10" s="100">
        <v>44692.0</v>
      </c>
      <c r="M10" s="101">
        <v>0.5025115740740741</v>
      </c>
      <c r="O10" s="229"/>
    </row>
    <row r="11">
      <c r="A11" s="2" t="s">
        <v>2166</v>
      </c>
      <c r="B11" s="100">
        <v>44692.0</v>
      </c>
      <c r="C11" s="101">
        <v>0.2778703703703704</v>
      </c>
      <c r="H11" s="229"/>
      <c r="K11" s="2" t="s">
        <v>244</v>
      </c>
      <c r="L11" s="100">
        <v>44692.0</v>
      </c>
      <c r="M11" s="101">
        <v>0.5025115740740741</v>
      </c>
      <c r="O11" s="227"/>
    </row>
    <row r="12">
      <c r="A12" s="2" t="s">
        <v>2164</v>
      </c>
      <c r="B12" s="100">
        <v>44665.0</v>
      </c>
      <c r="C12" s="101">
        <v>0.32200231481481484</v>
      </c>
      <c r="H12" s="229"/>
      <c r="K12" s="2" t="s">
        <v>244</v>
      </c>
      <c r="L12" s="100">
        <v>44665.0</v>
      </c>
      <c r="M12" s="101">
        <v>0.36649305555555556</v>
      </c>
      <c r="O12" s="227"/>
    </row>
    <row r="13">
      <c r="A13" s="2" t="s">
        <v>2162</v>
      </c>
      <c r="B13" s="100">
        <v>44657.0</v>
      </c>
      <c r="C13" s="101">
        <v>0.3511458333333333</v>
      </c>
      <c r="H13" s="229"/>
      <c r="K13" s="2" t="s">
        <v>254</v>
      </c>
      <c r="O13" s="229"/>
    </row>
    <row r="14">
      <c r="A14" s="2" t="s">
        <v>2160</v>
      </c>
      <c r="B14" s="100">
        <v>44637.0</v>
      </c>
      <c r="C14" s="101">
        <v>0.2895949074074074</v>
      </c>
      <c r="H14" s="229"/>
      <c r="K14" s="2" t="s">
        <v>254</v>
      </c>
      <c r="O14" s="227"/>
    </row>
    <row r="15">
      <c r="A15" s="2" t="s">
        <v>2158</v>
      </c>
      <c r="B15" s="100">
        <v>44635.0</v>
      </c>
      <c r="C15" s="101">
        <v>0.29900462962962965</v>
      </c>
      <c r="H15" s="229"/>
      <c r="K15" s="2" t="s">
        <v>254</v>
      </c>
      <c r="O15" s="227"/>
    </row>
    <row r="16">
      <c r="A16" s="2" t="s">
        <v>2156</v>
      </c>
      <c r="B16" s="100">
        <v>44633.0</v>
      </c>
      <c r="C16" s="101">
        <v>0.3531712962962963</v>
      </c>
      <c r="H16" s="229"/>
      <c r="K16" s="2" t="s">
        <v>254</v>
      </c>
      <c r="O16" s="227"/>
    </row>
    <row r="17">
      <c r="A17" s="2" t="s">
        <v>2152</v>
      </c>
      <c r="B17" s="100">
        <v>44633.0</v>
      </c>
      <c r="C17" s="101">
        <v>0.29672453703703705</v>
      </c>
      <c r="H17" s="229"/>
      <c r="K17" s="2" t="s">
        <v>254</v>
      </c>
      <c r="O17" s="227"/>
    </row>
    <row r="18">
      <c r="A18" s="2" t="s">
        <v>2150</v>
      </c>
      <c r="B18" s="100">
        <v>44632.0</v>
      </c>
      <c r="C18" s="101">
        <v>0.32890046296296294</v>
      </c>
      <c r="H18" s="229"/>
      <c r="K18" s="2" t="s">
        <v>254</v>
      </c>
      <c r="O18" s="227"/>
    </row>
    <row r="19">
      <c r="A19" s="2" t="s">
        <v>2148</v>
      </c>
      <c r="B19" s="100">
        <v>44631.0</v>
      </c>
      <c r="C19" s="101">
        <v>0.4051388888888889</v>
      </c>
      <c r="H19" s="229"/>
      <c r="K19" s="2" t="s">
        <v>244</v>
      </c>
      <c r="L19" s="100">
        <v>44631.0</v>
      </c>
      <c r="M19" s="101">
        <v>0.486099537037037</v>
      </c>
      <c r="O19" s="227"/>
    </row>
    <row r="20">
      <c r="A20" s="2" t="s">
        <v>2144</v>
      </c>
      <c r="B20" s="100">
        <v>44631.0</v>
      </c>
      <c r="C20" s="101">
        <v>0.34501157407407407</v>
      </c>
      <c r="H20" s="229"/>
      <c r="K20" s="2" t="s">
        <v>244</v>
      </c>
      <c r="L20" s="100">
        <v>44631.0</v>
      </c>
      <c r="M20" s="101">
        <v>0.486099537037037</v>
      </c>
      <c r="O20" s="227"/>
    </row>
    <row r="21">
      <c r="A21" s="2" t="s">
        <v>2142</v>
      </c>
      <c r="B21" s="100">
        <v>44631.0</v>
      </c>
      <c r="C21" s="101">
        <v>0.34293981481481484</v>
      </c>
      <c r="H21" s="229"/>
      <c r="K21" s="2" t="s">
        <v>244</v>
      </c>
      <c r="L21" s="100">
        <v>44631.0</v>
      </c>
      <c r="M21" s="101">
        <v>0.486099537037037</v>
      </c>
      <c r="O21" s="227"/>
    </row>
    <row r="22">
      <c r="A22" s="2" t="s">
        <v>2140</v>
      </c>
      <c r="B22" s="100">
        <v>44631.0</v>
      </c>
      <c r="C22" s="101">
        <v>0.34096064814814814</v>
      </c>
      <c r="H22" s="229"/>
      <c r="K22" s="2" t="s">
        <v>244</v>
      </c>
      <c r="L22" s="100">
        <v>44631.0</v>
      </c>
      <c r="M22" s="101">
        <v>0.486099537037037</v>
      </c>
      <c r="O22" s="227"/>
    </row>
    <row r="23">
      <c r="A23" s="2" t="s">
        <v>2138</v>
      </c>
      <c r="B23" s="100">
        <v>44631.0</v>
      </c>
      <c r="C23" s="101">
        <v>0.340625</v>
      </c>
      <c r="H23" s="229"/>
      <c r="K23" s="2" t="s">
        <v>244</v>
      </c>
      <c r="L23" s="100">
        <v>44631.0</v>
      </c>
      <c r="M23" s="101">
        <v>0.486099537037037</v>
      </c>
      <c r="O23" s="227"/>
    </row>
    <row r="24">
      <c r="A24" s="2" t="s">
        <v>2136</v>
      </c>
      <c r="B24" s="100">
        <v>44631.0</v>
      </c>
      <c r="C24" s="101">
        <v>0.3362962962962963</v>
      </c>
      <c r="H24" s="229"/>
      <c r="K24" s="2" t="s">
        <v>244</v>
      </c>
      <c r="L24" s="100">
        <v>44631.0</v>
      </c>
      <c r="M24" s="101">
        <v>0.486099537037037</v>
      </c>
      <c r="O24" s="227"/>
    </row>
    <row r="25">
      <c r="A25" s="2" t="s">
        <v>2134</v>
      </c>
      <c r="B25" s="100">
        <v>44631.0</v>
      </c>
      <c r="C25" s="101">
        <v>0.3314236111111111</v>
      </c>
      <c r="H25" s="229"/>
      <c r="K25" s="2" t="s">
        <v>244</v>
      </c>
      <c r="L25" s="100">
        <v>44631.0</v>
      </c>
      <c r="M25" s="101">
        <v>0.486099537037037</v>
      </c>
      <c r="O25" s="227"/>
    </row>
    <row r="26">
      <c r="A26" s="2" t="s">
        <v>2132</v>
      </c>
      <c r="B26" s="100">
        <v>44631.0</v>
      </c>
      <c r="C26" s="101">
        <v>0.3299884259259259</v>
      </c>
      <c r="H26" s="229"/>
      <c r="K26" s="2" t="s">
        <v>244</v>
      </c>
      <c r="L26" s="100">
        <v>44631.0</v>
      </c>
      <c r="M26" s="101">
        <v>0.486099537037037</v>
      </c>
      <c r="O26" s="227"/>
    </row>
    <row r="27">
      <c r="A27" s="2" t="s">
        <v>2130</v>
      </c>
      <c r="B27" s="100">
        <v>44631.0</v>
      </c>
      <c r="C27" s="101">
        <v>0.32710648148148147</v>
      </c>
      <c r="H27" s="229"/>
      <c r="K27" s="2" t="s">
        <v>244</v>
      </c>
      <c r="L27" s="100">
        <v>44631.0</v>
      </c>
      <c r="M27" s="101">
        <v>0.486099537037037</v>
      </c>
      <c r="O27" s="227"/>
    </row>
    <row r="28">
      <c r="A28" s="2" t="s">
        <v>2126</v>
      </c>
      <c r="B28" s="100">
        <v>44631.0</v>
      </c>
      <c r="C28" s="101">
        <v>0.32358796296296294</v>
      </c>
      <c r="H28" s="229"/>
      <c r="K28" s="2" t="s">
        <v>244</v>
      </c>
      <c r="L28" s="100">
        <v>44631.0</v>
      </c>
      <c r="M28" s="101">
        <v>0.48608796296296297</v>
      </c>
      <c r="O28" s="227"/>
    </row>
    <row r="29">
      <c r="A29" s="2" t="s">
        <v>2124</v>
      </c>
      <c r="B29" s="100">
        <v>44631.0</v>
      </c>
      <c r="C29" s="101">
        <v>0.3235763888888889</v>
      </c>
      <c r="H29" s="229"/>
      <c r="K29" s="2" t="s">
        <v>244</v>
      </c>
      <c r="L29" s="100">
        <v>44631.0</v>
      </c>
      <c r="M29" s="101">
        <v>0.48608796296296297</v>
      </c>
      <c r="O29" s="227"/>
    </row>
    <row r="30">
      <c r="A30" s="2" t="s">
        <v>2122</v>
      </c>
      <c r="B30" s="100">
        <v>44631.0</v>
      </c>
      <c r="C30" s="101">
        <v>0.31730324074074073</v>
      </c>
      <c r="H30" s="229"/>
      <c r="K30" s="2" t="s">
        <v>244</v>
      </c>
      <c r="L30" s="100">
        <v>44631.0</v>
      </c>
      <c r="M30" s="101">
        <v>0.48608796296296297</v>
      </c>
      <c r="O30" s="227"/>
    </row>
    <row r="31">
      <c r="A31" s="2" t="s">
        <v>2120</v>
      </c>
      <c r="B31" s="100">
        <v>44631.0</v>
      </c>
      <c r="C31" s="101">
        <v>0.30917824074074074</v>
      </c>
      <c r="H31" s="229"/>
      <c r="K31" s="2" t="s">
        <v>244</v>
      </c>
      <c r="L31" s="100">
        <v>44631.0</v>
      </c>
      <c r="M31" s="101">
        <v>0.48608796296296297</v>
      </c>
      <c r="O31" s="229"/>
    </row>
    <row r="32">
      <c r="A32" s="2" t="s">
        <v>2118</v>
      </c>
      <c r="B32" s="100">
        <v>44631.0</v>
      </c>
      <c r="C32" s="101">
        <v>0.3084953703703704</v>
      </c>
      <c r="H32" s="229"/>
      <c r="K32" s="2" t="s">
        <v>244</v>
      </c>
      <c r="L32" s="100">
        <v>44631.0</v>
      </c>
      <c r="M32" s="101">
        <v>0.48608796296296297</v>
      </c>
      <c r="O32" s="227"/>
    </row>
    <row r="33">
      <c r="A33" s="2" t="s">
        <v>2115</v>
      </c>
      <c r="B33" s="100">
        <v>44631.0</v>
      </c>
      <c r="C33" s="101">
        <v>0.30668981481481483</v>
      </c>
      <c r="H33" s="229"/>
      <c r="K33" s="2" t="s">
        <v>244</v>
      </c>
      <c r="L33" s="100">
        <v>44631.0</v>
      </c>
      <c r="M33" s="101">
        <v>0.48608796296296297</v>
      </c>
      <c r="O33" s="227"/>
    </row>
    <row r="34">
      <c r="A34" s="2" t="s">
        <v>2113</v>
      </c>
      <c r="B34" s="100">
        <v>44631.0</v>
      </c>
      <c r="C34" s="101">
        <v>0.30644675925925924</v>
      </c>
      <c r="H34" s="229"/>
      <c r="K34" s="2" t="s">
        <v>244</v>
      </c>
      <c r="L34" s="100">
        <v>44631.0</v>
      </c>
      <c r="M34" s="101">
        <v>0.48608796296296297</v>
      </c>
      <c r="O34" s="227"/>
    </row>
    <row r="35">
      <c r="A35" s="2" t="s">
        <v>2111</v>
      </c>
      <c r="B35" s="100">
        <v>44631.0</v>
      </c>
      <c r="C35" s="101">
        <v>0.3019560185185185</v>
      </c>
      <c r="H35" s="229"/>
      <c r="K35" s="2" t="s">
        <v>244</v>
      </c>
      <c r="L35" s="100">
        <v>44631.0</v>
      </c>
      <c r="M35" s="101">
        <v>0.48608796296296297</v>
      </c>
      <c r="O35" s="227"/>
    </row>
    <row r="36">
      <c r="A36" s="2" t="s">
        <v>2109</v>
      </c>
      <c r="B36" s="100">
        <v>44631.0</v>
      </c>
      <c r="C36" s="101">
        <v>0.30194444444444446</v>
      </c>
      <c r="H36" s="229"/>
      <c r="K36" s="2" t="s">
        <v>244</v>
      </c>
      <c r="L36" s="100">
        <v>44631.0</v>
      </c>
      <c r="M36" s="101">
        <v>0.48608796296296297</v>
      </c>
      <c r="O36" s="227"/>
    </row>
    <row r="37">
      <c r="A37" s="2" t="s">
        <v>2107</v>
      </c>
      <c r="B37" s="100">
        <v>44631.0</v>
      </c>
      <c r="C37" s="101">
        <v>0.3006712962962963</v>
      </c>
      <c r="H37" s="229"/>
      <c r="K37" s="2" t="s">
        <v>244</v>
      </c>
      <c r="L37" s="100">
        <v>44631.0</v>
      </c>
      <c r="M37" s="101">
        <v>0.48608796296296297</v>
      </c>
      <c r="O37" s="227"/>
    </row>
    <row r="38">
      <c r="A38" s="2" t="s">
        <v>2105</v>
      </c>
      <c r="B38" s="100">
        <v>44631.0</v>
      </c>
      <c r="C38" s="101">
        <v>0.30041666666666667</v>
      </c>
      <c r="H38" s="229"/>
      <c r="K38" s="2" t="s">
        <v>244</v>
      </c>
      <c r="L38" s="100">
        <v>44631.0</v>
      </c>
      <c r="M38" s="101">
        <v>0.48608796296296297</v>
      </c>
      <c r="O38" s="227"/>
    </row>
    <row r="39">
      <c r="A39" s="2" t="s">
        <v>2103</v>
      </c>
      <c r="B39" s="100">
        <v>44631.0</v>
      </c>
      <c r="C39" s="101">
        <v>0.2971875</v>
      </c>
      <c r="H39" s="229"/>
      <c r="K39" s="2" t="s">
        <v>244</v>
      </c>
      <c r="L39" s="100">
        <v>44631.0</v>
      </c>
      <c r="M39" s="101">
        <v>0.48608796296296297</v>
      </c>
      <c r="O39" s="227"/>
    </row>
    <row r="40">
      <c r="A40" s="2" t="s">
        <v>2101</v>
      </c>
      <c r="B40" s="100">
        <v>44631.0</v>
      </c>
      <c r="C40" s="101">
        <v>0.2908101851851852</v>
      </c>
      <c r="H40" s="229"/>
      <c r="K40" s="2" t="s">
        <v>244</v>
      </c>
      <c r="L40" s="100">
        <v>44631.0</v>
      </c>
      <c r="M40" s="101">
        <v>0.4860763888888889</v>
      </c>
      <c r="O40" s="229"/>
    </row>
    <row r="41">
      <c r="A41" s="2" t="s">
        <v>2099</v>
      </c>
      <c r="B41" s="100">
        <v>44631.0</v>
      </c>
      <c r="C41" s="101">
        <v>0.287662037037037</v>
      </c>
      <c r="H41" s="229"/>
      <c r="K41" s="2" t="s">
        <v>244</v>
      </c>
      <c r="L41" s="100">
        <v>44631.0</v>
      </c>
      <c r="M41" s="101">
        <v>0.4860763888888889</v>
      </c>
      <c r="O41" s="227"/>
    </row>
    <row r="42">
      <c r="A42" s="2" t="s">
        <v>2097</v>
      </c>
      <c r="B42" s="100">
        <v>44631.0</v>
      </c>
      <c r="C42" s="101">
        <v>0.2769097222222222</v>
      </c>
      <c r="H42" s="229"/>
      <c r="K42" s="2" t="s">
        <v>244</v>
      </c>
      <c r="L42" s="100">
        <v>44631.0</v>
      </c>
      <c r="M42" s="101">
        <v>0.4860763888888889</v>
      </c>
      <c r="O42" s="227"/>
    </row>
    <row r="43">
      <c r="A43" s="2" t="s">
        <v>2094</v>
      </c>
      <c r="B43" s="100">
        <v>44631.0</v>
      </c>
      <c r="C43" s="101">
        <v>0.2694328703703704</v>
      </c>
      <c r="H43" s="229"/>
      <c r="K43" s="2" t="s">
        <v>244</v>
      </c>
      <c r="L43" s="100">
        <v>44631.0</v>
      </c>
      <c r="M43" s="101">
        <v>0.4860763888888889</v>
      </c>
      <c r="O43" s="229"/>
    </row>
    <row r="44">
      <c r="A44" s="2" t="s">
        <v>2092</v>
      </c>
      <c r="B44" s="100">
        <v>44631.0</v>
      </c>
      <c r="C44" s="101">
        <v>0.2678009259259259</v>
      </c>
      <c r="H44" s="229"/>
      <c r="K44" s="2" t="s">
        <v>244</v>
      </c>
      <c r="L44" s="100">
        <v>44631.0</v>
      </c>
      <c r="M44" s="101">
        <v>0.4860763888888889</v>
      </c>
      <c r="O44" s="227"/>
    </row>
    <row r="45">
      <c r="A45" s="2" t="s">
        <v>2090</v>
      </c>
      <c r="B45" s="100">
        <v>44629.0</v>
      </c>
      <c r="C45" s="101">
        <v>0.4899074074074074</v>
      </c>
      <c r="H45" s="229"/>
      <c r="K45" s="2" t="s">
        <v>244</v>
      </c>
      <c r="L45" s="100">
        <v>44629.0</v>
      </c>
      <c r="M45" s="101">
        <v>0.4994560185185185</v>
      </c>
      <c r="O45" s="227"/>
    </row>
    <row r="46">
      <c r="A46" s="2" t="s">
        <v>2088</v>
      </c>
      <c r="B46" s="100">
        <v>44629.0</v>
      </c>
      <c r="C46" s="101">
        <v>0.4893287037037037</v>
      </c>
      <c r="H46" s="229"/>
      <c r="K46" s="2" t="s">
        <v>244</v>
      </c>
      <c r="L46" s="100">
        <v>44629.0</v>
      </c>
      <c r="M46" s="101">
        <v>0.4994560185185185</v>
      </c>
      <c r="O46" s="227"/>
    </row>
    <row r="47">
      <c r="A47" s="2" t="s">
        <v>2084</v>
      </c>
      <c r="B47" s="100">
        <v>44629.0</v>
      </c>
      <c r="C47" s="101">
        <v>0.40596064814814814</v>
      </c>
      <c r="H47" s="229"/>
      <c r="K47" s="2" t="s">
        <v>244</v>
      </c>
      <c r="L47" s="100">
        <v>44629.0</v>
      </c>
      <c r="M47" s="101">
        <v>0.4994560185185185</v>
      </c>
      <c r="O47" s="227"/>
    </row>
    <row r="48">
      <c r="A48" s="2" t="s">
        <v>2082</v>
      </c>
      <c r="B48" s="100">
        <v>44629.0</v>
      </c>
      <c r="C48" s="101">
        <v>0.4018287037037037</v>
      </c>
      <c r="H48" s="229"/>
      <c r="K48" s="2" t="s">
        <v>244</v>
      </c>
      <c r="L48" s="100">
        <v>44629.0</v>
      </c>
      <c r="M48" s="101">
        <v>0.4994560185185185</v>
      </c>
      <c r="O48" s="227"/>
    </row>
    <row r="49">
      <c r="A49" s="2" t="s">
        <v>2080</v>
      </c>
      <c r="B49" s="100">
        <v>44629.0</v>
      </c>
      <c r="C49" s="101">
        <v>0.3370949074074074</v>
      </c>
      <c r="H49" s="229"/>
      <c r="K49" s="2" t="s">
        <v>244</v>
      </c>
      <c r="L49" s="100">
        <v>44629.0</v>
      </c>
      <c r="M49" s="101">
        <v>0.4994560185185185</v>
      </c>
      <c r="O49" s="227"/>
    </row>
    <row r="50">
      <c r="A50" s="2" t="s">
        <v>2078</v>
      </c>
      <c r="B50" s="100">
        <v>44629.0</v>
      </c>
      <c r="C50" s="101">
        <v>0.33490740740740743</v>
      </c>
      <c r="H50" s="229"/>
      <c r="K50" s="2" t="s">
        <v>244</v>
      </c>
      <c r="L50" s="100">
        <v>44629.0</v>
      </c>
      <c r="M50" s="101">
        <v>0.4994560185185185</v>
      </c>
      <c r="O50" s="227"/>
    </row>
    <row r="51">
      <c r="A51" s="2" t="s">
        <v>2076</v>
      </c>
      <c r="B51" s="100">
        <v>44629.0</v>
      </c>
      <c r="C51" s="101">
        <v>0.334837962962963</v>
      </c>
      <c r="H51" s="229"/>
      <c r="K51" s="2" t="s">
        <v>244</v>
      </c>
      <c r="L51" s="100">
        <v>44629.0</v>
      </c>
      <c r="M51" s="101">
        <v>0.4994560185185185</v>
      </c>
      <c r="O51" s="227"/>
    </row>
    <row r="52">
      <c r="A52" s="2" t="s">
        <v>2074</v>
      </c>
      <c r="B52" s="100">
        <v>44629.0</v>
      </c>
      <c r="C52" s="101">
        <v>0.3330324074074074</v>
      </c>
      <c r="H52" s="229"/>
      <c r="K52" s="2" t="s">
        <v>244</v>
      </c>
      <c r="L52" s="100">
        <v>44629.0</v>
      </c>
      <c r="M52" s="101">
        <v>0.4994560185185185</v>
      </c>
      <c r="O52" s="227"/>
    </row>
    <row r="53">
      <c r="A53" s="2" t="s">
        <v>2072</v>
      </c>
      <c r="B53" s="100">
        <v>44629.0</v>
      </c>
      <c r="C53" s="101">
        <v>0.3285300925925926</v>
      </c>
      <c r="H53" s="229"/>
      <c r="K53" s="2" t="s">
        <v>244</v>
      </c>
      <c r="L53" s="100">
        <v>44629.0</v>
      </c>
      <c r="M53" s="101">
        <v>0.4994560185185185</v>
      </c>
      <c r="O53" s="227"/>
    </row>
    <row r="54">
      <c r="A54" s="2" t="s">
        <v>2070</v>
      </c>
      <c r="B54" s="100">
        <v>44629.0</v>
      </c>
      <c r="C54" s="101">
        <v>0.32828703703703704</v>
      </c>
      <c r="H54" s="229"/>
      <c r="K54" s="2" t="s">
        <v>244</v>
      </c>
      <c r="L54" s="100">
        <v>44629.0</v>
      </c>
      <c r="M54" s="101">
        <v>0.4994560185185185</v>
      </c>
      <c r="O54" s="227"/>
    </row>
    <row r="55">
      <c r="A55" s="2" t="s">
        <v>2068</v>
      </c>
      <c r="B55" s="100">
        <v>44629.0</v>
      </c>
      <c r="C55" s="101">
        <v>0.3240162037037037</v>
      </c>
      <c r="H55" s="229"/>
      <c r="K55" s="2" t="s">
        <v>244</v>
      </c>
      <c r="L55" s="100">
        <v>44629.0</v>
      </c>
      <c r="M55" s="101">
        <v>0.4994560185185185</v>
      </c>
      <c r="O55" s="227"/>
    </row>
    <row r="56">
      <c r="A56" s="2" t="s">
        <v>2066</v>
      </c>
      <c r="B56" s="100">
        <v>44629.0</v>
      </c>
      <c r="C56" s="101">
        <v>0.3237847222222222</v>
      </c>
      <c r="H56" s="229"/>
      <c r="K56" s="2" t="s">
        <v>244</v>
      </c>
      <c r="L56" s="100">
        <v>44629.0</v>
      </c>
      <c r="M56" s="101">
        <v>0.49944444444444447</v>
      </c>
      <c r="O56" s="227"/>
    </row>
    <row r="57">
      <c r="A57" s="2" t="s">
        <v>2064</v>
      </c>
      <c r="B57" s="100">
        <v>44629.0</v>
      </c>
      <c r="C57" s="101">
        <v>0.32186342592592593</v>
      </c>
      <c r="H57" s="229"/>
      <c r="K57" s="2" t="s">
        <v>244</v>
      </c>
      <c r="L57" s="100">
        <v>44629.0</v>
      </c>
      <c r="M57" s="101">
        <v>0.49944444444444447</v>
      </c>
      <c r="O57" s="227"/>
    </row>
    <row r="58">
      <c r="A58" s="2" t="s">
        <v>2062</v>
      </c>
      <c r="B58" s="100">
        <v>44629.0</v>
      </c>
      <c r="C58" s="101">
        <v>0.3201851851851852</v>
      </c>
      <c r="H58" s="229"/>
      <c r="K58" s="2" t="s">
        <v>244</v>
      </c>
      <c r="L58" s="100">
        <v>44629.0</v>
      </c>
      <c r="M58" s="101">
        <v>0.49944444444444447</v>
      </c>
      <c r="O58" s="227"/>
    </row>
    <row r="59">
      <c r="A59" s="2" t="s">
        <v>2060</v>
      </c>
      <c r="B59" s="100">
        <v>44629.0</v>
      </c>
      <c r="C59" s="101">
        <v>0.31824074074074077</v>
      </c>
      <c r="H59" s="229"/>
      <c r="K59" s="2" t="s">
        <v>244</v>
      </c>
      <c r="L59" s="100">
        <v>44629.0</v>
      </c>
      <c r="M59" s="101">
        <v>0.49944444444444447</v>
      </c>
      <c r="O59" s="227"/>
    </row>
    <row r="60">
      <c r="A60" s="2" t="s">
        <v>2058</v>
      </c>
      <c r="B60" s="100">
        <v>44629.0</v>
      </c>
      <c r="C60" s="101">
        <v>0.31734953703703705</v>
      </c>
      <c r="H60" s="229"/>
      <c r="K60" s="2" t="s">
        <v>244</v>
      </c>
      <c r="L60" s="100">
        <v>44629.0</v>
      </c>
      <c r="M60" s="101">
        <v>0.49944444444444447</v>
      </c>
      <c r="O60" s="227"/>
    </row>
    <row r="61">
      <c r="A61" s="2" t="s">
        <v>2056</v>
      </c>
      <c r="B61" s="100">
        <v>44629.0</v>
      </c>
      <c r="C61" s="101">
        <v>0.3169328703703704</v>
      </c>
      <c r="H61" s="229"/>
      <c r="K61" s="2" t="s">
        <v>244</v>
      </c>
      <c r="L61" s="100">
        <v>44629.0</v>
      </c>
      <c r="M61" s="101">
        <v>0.49944444444444447</v>
      </c>
      <c r="O61" s="227"/>
    </row>
    <row r="62">
      <c r="A62" s="2" t="s">
        <v>2054</v>
      </c>
      <c r="B62" s="100">
        <v>44629.0</v>
      </c>
      <c r="C62" s="101">
        <v>0.31482638888888886</v>
      </c>
      <c r="H62" s="229"/>
      <c r="K62" s="2" t="s">
        <v>244</v>
      </c>
      <c r="L62" s="100">
        <v>44629.0</v>
      </c>
      <c r="M62" s="101">
        <v>0.49944444444444447</v>
      </c>
      <c r="O62" s="227"/>
    </row>
    <row r="63">
      <c r="A63" s="2" t="s">
        <v>2052</v>
      </c>
      <c r="B63" s="100">
        <v>44629.0</v>
      </c>
      <c r="C63" s="101">
        <v>0.31440972222222224</v>
      </c>
      <c r="H63" s="229"/>
      <c r="K63" s="2" t="s">
        <v>244</v>
      </c>
      <c r="L63" s="100">
        <v>44629.0</v>
      </c>
      <c r="M63" s="101">
        <v>0.49944444444444447</v>
      </c>
      <c r="O63" s="227"/>
    </row>
    <row r="64">
      <c r="A64" s="2" t="s">
        <v>2050</v>
      </c>
      <c r="B64" s="100">
        <v>44629.0</v>
      </c>
      <c r="C64" s="101">
        <v>0.31309027777777776</v>
      </c>
      <c r="H64" s="229"/>
      <c r="K64" s="2" t="s">
        <v>244</v>
      </c>
      <c r="L64" s="100">
        <v>44629.0</v>
      </c>
      <c r="M64" s="101">
        <v>0.49944444444444447</v>
      </c>
      <c r="O64" s="227"/>
    </row>
    <row r="65">
      <c r="A65" s="2" t="s">
        <v>2048</v>
      </c>
      <c r="B65" s="100">
        <v>44629.0</v>
      </c>
      <c r="C65" s="101">
        <v>0.31296296296296294</v>
      </c>
      <c r="H65" s="229"/>
      <c r="K65" s="2" t="s">
        <v>244</v>
      </c>
      <c r="L65" s="100">
        <v>44629.0</v>
      </c>
      <c r="M65" s="101">
        <v>0.49944444444444447</v>
      </c>
      <c r="O65" s="227"/>
    </row>
    <row r="66">
      <c r="A66" s="2" t="s">
        <v>2046</v>
      </c>
      <c r="B66" s="100">
        <v>44629.0</v>
      </c>
      <c r="C66" s="101">
        <v>0.31225694444444446</v>
      </c>
      <c r="H66" s="229"/>
      <c r="K66" s="2" t="s">
        <v>244</v>
      </c>
      <c r="L66" s="100">
        <v>44629.0</v>
      </c>
      <c r="M66" s="101">
        <v>0.49944444444444447</v>
      </c>
      <c r="O66" s="227"/>
    </row>
    <row r="67">
      <c r="A67" s="2" t="s">
        <v>2044</v>
      </c>
      <c r="B67" s="100">
        <v>44629.0</v>
      </c>
      <c r="C67" s="101">
        <v>0.3121527777777778</v>
      </c>
      <c r="H67" s="229"/>
      <c r="K67" s="2" t="s">
        <v>244</v>
      </c>
      <c r="L67" s="100">
        <v>44629.0</v>
      </c>
      <c r="M67" s="101">
        <v>0.49944444444444447</v>
      </c>
      <c r="O67" s="227"/>
    </row>
    <row r="68">
      <c r="A68" s="2" t="s">
        <v>2042</v>
      </c>
      <c r="B68" s="100">
        <v>44629.0</v>
      </c>
      <c r="C68" s="101">
        <v>0.31177083333333333</v>
      </c>
      <c r="H68" s="229"/>
      <c r="K68" s="2" t="s">
        <v>244</v>
      </c>
      <c r="L68" s="100">
        <v>44629.0</v>
      </c>
      <c r="M68" s="101">
        <v>0.49944444444444447</v>
      </c>
      <c r="O68" s="227"/>
    </row>
    <row r="69">
      <c r="A69" s="2" t="s">
        <v>2040</v>
      </c>
      <c r="B69" s="100">
        <v>44629.0</v>
      </c>
      <c r="C69" s="101">
        <v>0.31136574074074075</v>
      </c>
      <c r="H69" s="229"/>
      <c r="K69" s="2" t="s">
        <v>254</v>
      </c>
      <c r="O69" s="227"/>
    </row>
    <row r="70">
      <c r="A70" s="2" t="s">
        <v>2038</v>
      </c>
      <c r="B70" s="100">
        <v>44629.0</v>
      </c>
      <c r="C70" s="101">
        <v>0.2939699074074074</v>
      </c>
      <c r="H70" s="229"/>
      <c r="K70" s="2" t="s">
        <v>244</v>
      </c>
      <c r="L70" s="100">
        <v>44629.0</v>
      </c>
      <c r="M70" s="101">
        <v>0.4994328703703704</v>
      </c>
      <c r="O70" s="227"/>
    </row>
    <row r="71">
      <c r="A71" s="2" t="s">
        <v>2036</v>
      </c>
      <c r="B71" s="100">
        <v>44627.0</v>
      </c>
      <c r="C71" s="101">
        <v>0.35195601851851854</v>
      </c>
      <c r="H71" s="229"/>
      <c r="K71" s="2" t="s">
        <v>244</v>
      </c>
      <c r="L71" s="100">
        <v>44627.0</v>
      </c>
      <c r="M71" s="101">
        <v>0.4779050925925926</v>
      </c>
      <c r="O71" s="227"/>
    </row>
    <row r="72">
      <c r="A72" s="2" t="s">
        <v>2034</v>
      </c>
      <c r="B72" s="100">
        <v>44627.0</v>
      </c>
      <c r="C72" s="101">
        <v>0.34769675925925925</v>
      </c>
      <c r="H72" s="229"/>
      <c r="K72" s="2" t="s">
        <v>244</v>
      </c>
      <c r="L72" s="100">
        <v>44627.0</v>
      </c>
      <c r="M72" s="101">
        <v>0.4779050925925926</v>
      </c>
      <c r="O72" s="227"/>
    </row>
    <row r="73">
      <c r="A73" s="2" t="s">
        <v>2182</v>
      </c>
      <c r="H73" s="229"/>
      <c r="K73" s="2" t="s">
        <v>254</v>
      </c>
      <c r="O73" s="227"/>
    </row>
    <row r="74">
      <c r="A74" s="2" t="s">
        <v>2032</v>
      </c>
      <c r="B74" s="100">
        <v>44627.0</v>
      </c>
      <c r="C74" s="101">
        <v>0.3386458333333333</v>
      </c>
      <c r="H74" s="229"/>
      <c r="K74" s="2" t="s">
        <v>244</v>
      </c>
      <c r="L74" s="100">
        <v>44627.0</v>
      </c>
      <c r="M74" s="101">
        <v>0.4779050925925926</v>
      </c>
      <c r="O74" s="227"/>
    </row>
    <row r="75">
      <c r="A75" s="2" t="s">
        <v>2030</v>
      </c>
      <c r="B75" s="100">
        <v>44627.0</v>
      </c>
      <c r="C75" s="101">
        <v>0.3385300925925926</v>
      </c>
      <c r="H75" s="229"/>
      <c r="K75" s="2" t="s">
        <v>244</v>
      </c>
      <c r="L75" s="100">
        <v>44627.0</v>
      </c>
      <c r="M75" s="101">
        <v>0.4779050925925926</v>
      </c>
      <c r="O75" s="227"/>
    </row>
    <row r="76">
      <c r="A76" s="2" t="s">
        <v>2028</v>
      </c>
      <c r="B76" s="100">
        <v>44627.0</v>
      </c>
      <c r="C76" s="101">
        <v>0.3383449074074074</v>
      </c>
      <c r="H76" s="229"/>
      <c r="K76" s="2" t="s">
        <v>244</v>
      </c>
      <c r="L76" s="100">
        <v>44627.0</v>
      </c>
      <c r="M76" s="101">
        <v>0.4779050925925926</v>
      </c>
      <c r="O76" s="227"/>
    </row>
    <row r="77">
      <c r="A77" s="2" t="s">
        <v>2026</v>
      </c>
      <c r="B77" s="100">
        <v>44627.0</v>
      </c>
      <c r="C77" s="101">
        <v>0.3370023148148148</v>
      </c>
      <c r="H77" s="229"/>
      <c r="K77" s="2" t="s">
        <v>244</v>
      </c>
      <c r="L77" s="100">
        <v>44627.0</v>
      </c>
      <c r="M77" s="101">
        <v>0.4779050925925926</v>
      </c>
      <c r="O77" s="227"/>
    </row>
    <row r="78">
      <c r="A78" s="2" t="s">
        <v>2024</v>
      </c>
      <c r="B78" s="100">
        <v>44627.0</v>
      </c>
      <c r="C78" s="101">
        <v>0.3278240740740741</v>
      </c>
      <c r="H78" s="229"/>
      <c r="K78" s="2" t="s">
        <v>244</v>
      </c>
      <c r="L78" s="100">
        <v>44627.0</v>
      </c>
      <c r="M78" s="101">
        <v>0.4779050925925926</v>
      </c>
      <c r="O78" s="227"/>
    </row>
    <row r="79">
      <c r="A79" s="2" t="s">
        <v>2022</v>
      </c>
      <c r="B79" s="100">
        <v>44627.0</v>
      </c>
      <c r="C79" s="101">
        <v>0.3267939814814815</v>
      </c>
      <c r="H79" s="229"/>
      <c r="K79" s="2" t="s">
        <v>244</v>
      </c>
      <c r="L79" s="100">
        <v>44627.0</v>
      </c>
      <c r="M79" s="101">
        <v>0.4779050925925926</v>
      </c>
      <c r="O79" s="227"/>
    </row>
    <row r="80">
      <c r="A80" s="2" t="s">
        <v>2020</v>
      </c>
      <c r="B80" s="100">
        <v>44627.0</v>
      </c>
      <c r="C80" s="101">
        <v>0.3256712962962963</v>
      </c>
      <c r="H80" s="229"/>
      <c r="K80" s="2" t="s">
        <v>244</v>
      </c>
      <c r="L80" s="100">
        <v>44627.0</v>
      </c>
      <c r="M80" s="101">
        <v>0.4779050925925926</v>
      </c>
      <c r="O80" s="227"/>
    </row>
    <row r="81">
      <c r="A81" s="2" t="s">
        <v>2018</v>
      </c>
      <c r="B81" s="100">
        <v>44627.0</v>
      </c>
      <c r="C81" s="101">
        <v>0.3253125</v>
      </c>
      <c r="H81" s="229"/>
      <c r="K81" s="2" t="s">
        <v>244</v>
      </c>
      <c r="L81" s="100">
        <v>44627.0</v>
      </c>
      <c r="M81" s="101">
        <v>0.4779050925925926</v>
      </c>
      <c r="O81" s="227"/>
    </row>
    <row r="82">
      <c r="A82" s="2" t="s">
        <v>2016</v>
      </c>
      <c r="B82" s="100">
        <v>44627.0</v>
      </c>
      <c r="C82" s="101">
        <v>0.32450231481481484</v>
      </c>
      <c r="H82" s="229"/>
      <c r="K82" s="2" t="s">
        <v>244</v>
      </c>
      <c r="L82" s="100">
        <v>44627.0</v>
      </c>
      <c r="M82" s="101">
        <v>0.4779050925925926</v>
      </c>
      <c r="O82" s="227"/>
    </row>
    <row r="83">
      <c r="A83" s="2" t="s">
        <v>2014</v>
      </c>
      <c r="B83" s="100">
        <v>44627.0</v>
      </c>
      <c r="C83" s="101">
        <v>0.32310185185185186</v>
      </c>
      <c r="H83" s="229"/>
      <c r="K83" s="2" t="s">
        <v>244</v>
      </c>
      <c r="L83" s="100">
        <v>44627.0</v>
      </c>
      <c r="M83" s="101">
        <v>0.4779050925925926</v>
      </c>
      <c r="O83" s="227"/>
    </row>
    <row r="84">
      <c r="A84" s="2" t="s">
        <v>2012</v>
      </c>
      <c r="B84" s="100">
        <v>44627.0</v>
      </c>
      <c r="C84" s="101">
        <v>0.3216087962962963</v>
      </c>
      <c r="H84" s="229"/>
      <c r="K84" s="2" t="s">
        <v>244</v>
      </c>
      <c r="L84" s="100">
        <v>44627.0</v>
      </c>
      <c r="M84" s="101">
        <v>0.4779050925925926</v>
      </c>
      <c r="O84" s="227"/>
    </row>
    <row r="85">
      <c r="A85" s="2" t="s">
        <v>2010</v>
      </c>
      <c r="B85" s="100">
        <v>44627.0</v>
      </c>
      <c r="C85" s="101">
        <v>0.32157407407407407</v>
      </c>
      <c r="H85" s="229"/>
      <c r="K85" s="2" t="s">
        <v>244</v>
      </c>
      <c r="L85" s="100">
        <v>44627.0</v>
      </c>
      <c r="M85" s="101">
        <v>0.4779050925925926</v>
      </c>
      <c r="O85" s="227"/>
    </row>
    <row r="86">
      <c r="A86" s="2" t="s">
        <v>2008</v>
      </c>
      <c r="B86" s="100">
        <v>44627.0</v>
      </c>
      <c r="C86" s="101">
        <v>0.32047453703703704</v>
      </c>
      <c r="H86" s="229"/>
      <c r="K86" s="2" t="s">
        <v>244</v>
      </c>
      <c r="L86" s="100">
        <v>44627.0</v>
      </c>
      <c r="M86" s="101">
        <v>0.4778935185185185</v>
      </c>
      <c r="O86" s="227"/>
    </row>
    <row r="87">
      <c r="A87" s="2" t="s">
        <v>2004</v>
      </c>
      <c r="B87" s="100">
        <v>44627.0</v>
      </c>
      <c r="C87" s="101">
        <v>0.3200925925925926</v>
      </c>
      <c r="H87" s="229"/>
      <c r="K87" s="2" t="s">
        <v>244</v>
      </c>
      <c r="L87" s="100">
        <v>44627.0</v>
      </c>
      <c r="M87" s="101">
        <v>0.4778935185185185</v>
      </c>
      <c r="O87" s="227"/>
    </row>
    <row r="88">
      <c r="A88" s="2" t="s">
        <v>2002</v>
      </c>
      <c r="B88" s="100">
        <v>44627.0</v>
      </c>
      <c r="C88" s="101">
        <v>0.3199768518518519</v>
      </c>
      <c r="H88" s="229"/>
      <c r="K88" s="2" t="s">
        <v>244</v>
      </c>
      <c r="L88" s="100">
        <v>44627.0</v>
      </c>
      <c r="M88" s="101">
        <v>0.4778935185185185</v>
      </c>
      <c r="O88" s="227"/>
    </row>
    <row r="89">
      <c r="A89" s="2" t="s">
        <v>2000</v>
      </c>
      <c r="B89" s="100">
        <v>44627.0</v>
      </c>
      <c r="C89" s="101">
        <v>0.31984953703703706</v>
      </c>
      <c r="H89" s="229"/>
      <c r="K89" s="2" t="s">
        <v>244</v>
      </c>
      <c r="L89" s="100">
        <v>44627.0</v>
      </c>
      <c r="M89" s="101">
        <v>0.4778935185185185</v>
      </c>
      <c r="O89" s="227"/>
    </row>
    <row r="90">
      <c r="A90" s="2" t="s">
        <v>1998</v>
      </c>
      <c r="B90" s="100">
        <v>44627.0</v>
      </c>
      <c r="C90" s="101">
        <v>0.318125</v>
      </c>
      <c r="H90" s="229"/>
      <c r="K90" s="2" t="s">
        <v>244</v>
      </c>
      <c r="L90" s="100">
        <v>44627.0</v>
      </c>
      <c r="M90" s="101">
        <v>0.4778935185185185</v>
      </c>
      <c r="O90" s="227"/>
    </row>
    <row r="91">
      <c r="A91" s="2" t="s">
        <v>1996</v>
      </c>
      <c r="B91" s="100">
        <v>44627.0</v>
      </c>
      <c r="C91" s="101">
        <v>0.3145833333333333</v>
      </c>
      <c r="H91" s="229"/>
      <c r="K91" s="2" t="s">
        <v>244</v>
      </c>
      <c r="L91" s="100">
        <v>44627.0</v>
      </c>
      <c r="M91" s="101">
        <v>0.4778935185185185</v>
      </c>
      <c r="O91" s="227"/>
    </row>
    <row r="92">
      <c r="A92" s="2" t="s">
        <v>1994</v>
      </c>
      <c r="B92" s="100">
        <v>44627.0</v>
      </c>
      <c r="C92" s="101">
        <v>0.31363425925925925</v>
      </c>
      <c r="H92" s="229"/>
      <c r="K92" s="2" t="s">
        <v>244</v>
      </c>
      <c r="L92" s="100">
        <v>44627.0</v>
      </c>
      <c r="M92" s="101">
        <v>0.4778935185185185</v>
      </c>
      <c r="O92" s="227"/>
    </row>
    <row r="93">
      <c r="A93" s="2" t="s">
        <v>1992</v>
      </c>
      <c r="B93" s="100">
        <v>44627.0</v>
      </c>
      <c r="C93" s="101">
        <v>0.31277777777777777</v>
      </c>
      <c r="H93" s="229"/>
      <c r="K93" s="2" t="s">
        <v>244</v>
      </c>
      <c r="L93" s="100">
        <v>44627.0</v>
      </c>
      <c r="M93" s="101">
        <v>0.4778935185185185</v>
      </c>
      <c r="O93" s="227"/>
    </row>
    <row r="94">
      <c r="A94" s="2" t="s">
        <v>1990</v>
      </c>
      <c r="B94" s="100">
        <v>44627.0</v>
      </c>
      <c r="C94" s="101">
        <v>0.3088194444444444</v>
      </c>
      <c r="H94" s="229"/>
      <c r="K94" s="2" t="s">
        <v>244</v>
      </c>
      <c r="L94" s="100">
        <v>44627.0</v>
      </c>
      <c r="M94" s="101">
        <v>0.4778935185185185</v>
      </c>
      <c r="O94" s="227"/>
    </row>
    <row r="95">
      <c r="A95" s="2" t="s">
        <v>1988</v>
      </c>
      <c r="B95" s="100">
        <v>44627.0</v>
      </c>
      <c r="C95" s="101">
        <v>0.3037152777777778</v>
      </c>
      <c r="H95" s="229"/>
      <c r="K95" s="2" t="s">
        <v>244</v>
      </c>
      <c r="L95" s="100">
        <v>44627.0</v>
      </c>
      <c r="M95" s="101">
        <v>0.4778935185185185</v>
      </c>
      <c r="O95" s="227"/>
    </row>
    <row r="96">
      <c r="A96" s="2" t="s">
        <v>1982</v>
      </c>
      <c r="B96" s="100">
        <v>44627.0</v>
      </c>
      <c r="C96" s="101">
        <v>0.2957175925925926</v>
      </c>
      <c r="H96" s="229"/>
      <c r="K96" s="2" t="s">
        <v>244</v>
      </c>
      <c r="L96" s="100">
        <v>44627.0</v>
      </c>
      <c r="M96" s="101">
        <v>0.4778935185185185</v>
      </c>
      <c r="O96" s="227"/>
    </row>
    <row r="97">
      <c r="A97" s="2" t="s">
        <v>1986</v>
      </c>
      <c r="B97" s="100">
        <v>44627.0</v>
      </c>
      <c r="C97" s="101">
        <v>0.2971412037037037</v>
      </c>
      <c r="H97" s="229"/>
      <c r="K97" s="2" t="s">
        <v>244</v>
      </c>
      <c r="L97" s="100">
        <v>44627.0</v>
      </c>
      <c r="M97" s="101">
        <v>0.4778935185185185</v>
      </c>
      <c r="O97" s="227"/>
    </row>
    <row r="98">
      <c r="A98" s="2" t="s">
        <v>1984</v>
      </c>
      <c r="B98" s="100">
        <v>44627.0</v>
      </c>
      <c r="C98" s="101">
        <v>0.2964351851851852</v>
      </c>
      <c r="H98" s="229"/>
      <c r="K98" s="2" t="s">
        <v>244</v>
      </c>
      <c r="L98" s="100">
        <v>44627.0</v>
      </c>
      <c r="M98" s="101">
        <v>0.4778935185185185</v>
      </c>
      <c r="O98" s="227"/>
    </row>
    <row r="99">
      <c r="A99" s="2" t="s">
        <v>1980</v>
      </c>
      <c r="B99" s="100">
        <v>44627.0</v>
      </c>
      <c r="C99" s="101">
        <v>0.29409722222222223</v>
      </c>
      <c r="H99" s="229"/>
      <c r="K99" s="2" t="s">
        <v>244</v>
      </c>
      <c r="L99" s="100">
        <v>44627.0</v>
      </c>
      <c r="M99" s="101">
        <v>0.4778935185185185</v>
      </c>
      <c r="O99" s="227"/>
    </row>
    <row r="100">
      <c r="A100" s="2" t="s">
        <v>1978</v>
      </c>
      <c r="B100" s="100">
        <v>44627.0</v>
      </c>
      <c r="C100" s="101">
        <v>0.28903935185185187</v>
      </c>
      <c r="H100" s="229"/>
      <c r="K100" s="2" t="s">
        <v>244</v>
      </c>
      <c r="L100" s="100">
        <v>44627.0</v>
      </c>
      <c r="M100" s="101">
        <v>0.4778935185185185</v>
      </c>
      <c r="O100" s="227"/>
    </row>
    <row r="101">
      <c r="A101" s="2" t="s">
        <v>1976</v>
      </c>
      <c r="B101" s="100">
        <v>44627.0</v>
      </c>
      <c r="C101" s="101">
        <v>0.27618055555555554</v>
      </c>
      <c r="H101" s="229"/>
      <c r="K101" s="2" t="s">
        <v>244</v>
      </c>
      <c r="L101" s="100">
        <v>44627.0</v>
      </c>
      <c r="M101" s="101">
        <v>0.4778935185185185</v>
      </c>
      <c r="O101" s="227"/>
    </row>
    <row r="102">
      <c r="A102" s="2" t="s">
        <v>1973</v>
      </c>
      <c r="B102" s="100">
        <v>44625.0</v>
      </c>
      <c r="C102" s="101">
        <v>0.43181712962962965</v>
      </c>
      <c r="H102" s="229"/>
      <c r="K102" s="2" t="s">
        <v>244</v>
      </c>
      <c r="L102" s="100">
        <v>44625.0</v>
      </c>
      <c r="M102" s="101">
        <v>0.48975694444444445</v>
      </c>
      <c r="O102" s="229"/>
    </row>
    <row r="103">
      <c r="A103" s="2" t="s">
        <v>1971</v>
      </c>
      <c r="B103" s="100">
        <v>44625.0</v>
      </c>
      <c r="C103" s="101">
        <v>0.39457175925925925</v>
      </c>
      <c r="H103" s="229"/>
      <c r="K103" s="2" t="s">
        <v>244</v>
      </c>
      <c r="L103" s="100">
        <v>44625.0</v>
      </c>
      <c r="M103" s="101">
        <v>0.48975694444444445</v>
      </c>
      <c r="O103" s="229"/>
    </row>
    <row r="104">
      <c r="A104" s="2" t="s">
        <v>1969</v>
      </c>
      <c r="B104" s="100">
        <v>44625.0</v>
      </c>
      <c r="C104" s="101">
        <v>0.3943171296296296</v>
      </c>
      <c r="H104" s="229"/>
      <c r="K104" s="2" t="s">
        <v>244</v>
      </c>
      <c r="L104" s="100">
        <v>44625.0</v>
      </c>
      <c r="M104" s="101">
        <v>0.48975694444444445</v>
      </c>
      <c r="O104" s="229"/>
    </row>
    <row r="105">
      <c r="A105" s="2" t="s">
        <v>1967</v>
      </c>
      <c r="B105" s="100">
        <v>44625.0</v>
      </c>
      <c r="C105" s="101">
        <v>0.3939930555555556</v>
      </c>
      <c r="H105" s="229"/>
      <c r="K105" s="2" t="s">
        <v>244</v>
      </c>
      <c r="L105" s="100">
        <v>44625.0</v>
      </c>
      <c r="M105" s="101">
        <v>0.48998842592592595</v>
      </c>
      <c r="O105" s="229"/>
    </row>
    <row r="106">
      <c r="A106" s="2" t="s">
        <v>1965</v>
      </c>
      <c r="B106" s="100">
        <v>44625.0</v>
      </c>
      <c r="C106" s="101">
        <v>0.3858333333333333</v>
      </c>
      <c r="H106" s="229"/>
      <c r="K106" s="2" t="s">
        <v>244</v>
      </c>
      <c r="L106" s="100">
        <v>44625.0</v>
      </c>
      <c r="M106" s="101">
        <v>0.48975694444444445</v>
      </c>
      <c r="O106" s="227"/>
    </row>
    <row r="107">
      <c r="A107" s="2" t="s">
        <v>1963</v>
      </c>
      <c r="B107" s="100">
        <v>44625.0</v>
      </c>
      <c r="C107" s="101">
        <v>0.36768518518518517</v>
      </c>
      <c r="H107" s="229"/>
      <c r="K107" s="2" t="s">
        <v>244</v>
      </c>
      <c r="L107" s="100">
        <v>44625.0</v>
      </c>
      <c r="M107" s="101">
        <v>0.48975694444444445</v>
      </c>
      <c r="O107" s="227"/>
    </row>
    <row r="108">
      <c r="A108" s="2" t="s">
        <v>1961</v>
      </c>
      <c r="B108" s="100">
        <v>44625.0</v>
      </c>
      <c r="C108" s="101">
        <v>0.35530092592592594</v>
      </c>
      <c r="H108" s="229"/>
      <c r="K108" s="2" t="s">
        <v>52</v>
      </c>
      <c r="L108" s="100">
        <v>44627.0</v>
      </c>
      <c r="M108" s="101">
        <v>0.4779861111111111</v>
      </c>
      <c r="O108" s="229"/>
    </row>
    <row r="109">
      <c r="A109" s="2" t="s">
        <v>1959</v>
      </c>
      <c r="B109" s="100">
        <v>44625.0</v>
      </c>
      <c r="C109" s="101">
        <v>0.3421875</v>
      </c>
      <c r="H109" s="229"/>
      <c r="K109" s="2" t="s">
        <v>244</v>
      </c>
      <c r="L109" s="100">
        <v>44625.0</v>
      </c>
      <c r="M109" s="101">
        <v>0.48975694444444445</v>
      </c>
      <c r="O109" s="227"/>
    </row>
    <row r="110">
      <c r="A110" s="2" t="s">
        <v>1957</v>
      </c>
      <c r="B110" s="100">
        <v>44625.0</v>
      </c>
      <c r="C110" s="101">
        <v>0.34193287037037035</v>
      </c>
      <c r="H110" s="229"/>
      <c r="K110" s="2" t="s">
        <v>244</v>
      </c>
      <c r="L110" s="100">
        <v>44625.0</v>
      </c>
      <c r="M110" s="101">
        <v>0.48975694444444445</v>
      </c>
      <c r="O110" s="227"/>
    </row>
    <row r="111">
      <c r="A111" s="2" t="s">
        <v>1955</v>
      </c>
      <c r="B111" s="100">
        <v>44625.0</v>
      </c>
      <c r="C111" s="101">
        <v>0.3416666666666667</v>
      </c>
      <c r="H111" s="229"/>
      <c r="K111" s="2" t="s">
        <v>244</v>
      </c>
      <c r="L111" s="100">
        <v>44625.0</v>
      </c>
      <c r="M111" s="101">
        <v>0.48975694444444445</v>
      </c>
      <c r="O111" s="227"/>
    </row>
    <row r="112">
      <c r="A112" s="2" t="s">
        <v>1953</v>
      </c>
      <c r="B112" s="100">
        <v>44625.0</v>
      </c>
      <c r="C112" s="101">
        <v>0.3350462962962963</v>
      </c>
      <c r="H112" s="229"/>
      <c r="K112" s="2" t="s">
        <v>244</v>
      </c>
      <c r="L112" s="100">
        <v>44625.0</v>
      </c>
      <c r="M112" s="101">
        <v>0.48975694444444445</v>
      </c>
      <c r="O112" s="229"/>
    </row>
    <row r="113">
      <c r="A113" s="2" t="s">
        <v>1951</v>
      </c>
      <c r="B113" s="100">
        <v>44625.0</v>
      </c>
      <c r="C113" s="101">
        <v>0.3324884259259259</v>
      </c>
      <c r="H113" s="229"/>
      <c r="K113" s="2" t="s">
        <v>244</v>
      </c>
      <c r="L113" s="100">
        <v>44625.0</v>
      </c>
      <c r="M113" s="101">
        <v>0.48975694444444445</v>
      </c>
      <c r="O113" s="227"/>
    </row>
    <row r="114">
      <c r="A114" s="2" t="s">
        <v>1949</v>
      </c>
      <c r="B114" s="100">
        <v>44625.0</v>
      </c>
      <c r="C114" s="101">
        <v>0.33188657407407407</v>
      </c>
      <c r="H114" s="229"/>
      <c r="K114" s="2" t="s">
        <v>244</v>
      </c>
      <c r="L114" s="100">
        <v>44625.0</v>
      </c>
      <c r="M114" s="101">
        <v>0.48975694444444445</v>
      </c>
      <c r="O114" s="227"/>
    </row>
    <row r="115">
      <c r="A115" s="2" t="s">
        <v>1947</v>
      </c>
      <c r="B115" s="100">
        <v>44625.0</v>
      </c>
      <c r="C115" s="101">
        <v>0.3232175925925926</v>
      </c>
      <c r="H115" s="229"/>
      <c r="K115" s="2" t="s">
        <v>244</v>
      </c>
      <c r="L115" s="100">
        <v>44625.0</v>
      </c>
      <c r="M115" s="101">
        <v>0.48997685185185186</v>
      </c>
      <c r="O115" s="227"/>
    </row>
    <row r="116">
      <c r="A116" s="2" t="s">
        <v>1945</v>
      </c>
      <c r="B116" s="100">
        <v>44625.0</v>
      </c>
      <c r="C116" s="101">
        <v>0.3190277777777778</v>
      </c>
      <c r="H116" s="229"/>
      <c r="K116" s="2" t="s">
        <v>244</v>
      </c>
      <c r="L116" s="100">
        <v>44625.0</v>
      </c>
      <c r="M116" s="101">
        <v>0.48975694444444445</v>
      </c>
      <c r="O116" s="227"/>
    </row>
    <row r="117">
      <c r="A117" s="2" t="s">
        <v>1943</v>
      </c>
      <c r="B117" s="100">
        <v>44625.0</v>
      </c>
      <c r="C117" s="101">
        <v>0.3188888888888889</v>
      </c>
      <c r="H117" s="229"/>
      <c r="K117" s="2" t="s">
        <v>244</v>
      </c>
      <c r="L117" s="100">
        <v>44627.0</v>
      </c>
      <c r="M117" s="101">
        <v>0.47788194444444443</v>
      </c>
      <c r="O117" s="227"/>
    </row>
    <row r="118">
      <c r="A118" s="2" t="s">
        <v>1941</v>
      </c>
      <c r="B118" s="100">
        <v>44625.0</v>
      </c>
      <c r="C118" s="101">
        <v>0.31592592592592594</v>
      </c>
      <c r="H118" s="229"/>
      <c r="K118" s="2" t="s">
        <v>244</v>
      </c>
      <c r="L118" s="100">
        <v>44625.0</v>
      </c>
      <c r="M118" s="101">
        <v>0.48975694444444445</v>
      </c>
      <c r="O118" s="227"/>
    </row>
    <row r="119">
      <c r="A119" s="2" t="s">
        <v>1939</v>
      </c>
      <c r="B119" s="100">
        <v>44625.0</v>
      </c>
      <c r="C119" s="101">
        <v>0.3158564814814815</v>
      </c>
      <c r="H119" s="229"/>
      <c r="K119" s="2" t="s">
        <v>244</v>
      </c>
      <c r="L119" s="100">
        <v>44625.0</v>
      </c>
      <c r="M119" s="101">
        <v>0.48974537037037036</v>
      </c>
      <c r="O119" s="227"/>
    </row>
    <row r="120">
      <c r="A120" s="2" t="s">
        <v>1937</v>
      </c>
      <c r="B120" s="100">
        <v>44625.0</v>
      </c>
      <c r="C120" s="101">
        <v>0.3150115740740741</v>
      </c>
      <c r="H120" s="229"/>
      <c r="K120" s="2" t="s">
        <v>244</v>
      </c>
      <c r="L120" s="100">
        <v>44625.0</v>
      </c>
      <c r="M120" s="101">
        <v>0.48974537037037036</v>
      </c>
      <c r="O120" s="227"/>
    </row>
    <row r="121">
      <c r="A121" s="2" t="s">
        <v>1935</v>
      </c>
      <c r="B121" s="100">
        <v>44625.0</v>
      </c>
      <c r="C121" s="101">
        <v>0.3109953703703704</v>
      </c>
      <c r="H121" s="229"/>
      <c r="K121" s="2" t="s">
        <v>244</v>
      </c>
      <c r="L121" s="100">
        <v>44625.0</v>
      </c>
      <c r="M121" s="101">
        <v>0.48974537037037036</v>
      </c>
      <c r="O121" s="227"/>
    </row>
    <row r="122">
      <c r="A122" s="2" t="s">
        <v>1933</v>
      </c>
      <c r="B122" s="100">
        <v>44625.0</v>
      </c>
      <c r="C122" s="101">
        <v>0.3107523148148148</v>
      </c>
      <c r="H122" s="229"/>
      <c r="K122" s="2" t="s">
        <v>244</v>
      </c>
      <c r="L122" s="100">
        <v>44625.0</v>
      </c>
      <c r="M122" s="101">
        <v>0.48974537037037036</v>
      </c>
      <c r="O122" s="227"/>
    </row>
    <row r="123">
      <c r="A123" s="2" t="s">
        <v>1931</v>
      </c>
      <c r="B123" s="100">
        <v>44625.0</v>
      </c>
      <c r="C123" s="101">
        <v>0.3098148148148148</v>
      </c>
      <c r="H123" s="229"/>
      <c r="K123" s="2" t="s">
        <v>244</v>
      </c>
      <c r="L123" s="100">
        <v>44625.0</v>
      </c>
      <c r="M123" s="101">
        <v>0.48974537037037036</v>
      </c>
      <c r="O123" s="227"/>
    </row>
    <row r="124">
      <c r="A124" s="2" t="s">
        <v>1929</v>
      </c>
      <c r="B124" s="100">
        <v>44625.0</v>
      </c>
      <c r="C124" s="101">
        <v>0.30886574074074075</v>
      </c>
      <c r="H124" s="229"/>
      <c r="K124" s="2" t="s">
        <v>244</v>
      </c>
      <c r="L124" s="100">
        <v>44625.0</v>
      </c>
      <c r="M124" s="101">
        <v>0.48974537037037036</v>
      </c>
      <c r="O124" s="227"/>
    </row>
    <row r="125">
      <c r="A125" s="2" t="s">
        <v>1927</v>
      </c>
      <c r="B125" s="100">
        <v>44625.0</v>
      </c>
      <c r="C125" s="101">
        <v>0.308599537037037</v>
      </c>
      <c r="H125" s="229"/>
      <c r="K125" s="2" t="s">
        <v>244</v>
      </c>
      <c r="L125" s="100">
        <v>44625.0</v>
      </c>
      <c r="M125" s="101">
        <v>0.48974537037037036</v>
      </c>
      <c r="O125" s="227"/>
    </row>
    <row r="126">
      <c r="A126" s="2" t="s">
        <v>1925</v>
      </c>
      <c r="B126" s="100">
        <v>44625.0</v>
      </c>
      <c r="C126" s="101">
        <v>0.3079861111111111</v>
      </c>
      <c r="H126" s="229"/>
      <c r="K126" s="2" t="s">
        <v>244</v>
      </c>
      <c r="L126" s="100">
        <v>44625.0</v>
      </c>
      <c r="M126" s="101">
        <v>0.48974537037037036</v>
      </c>
      <c r="O126" s="227"/>
    </row>
    <row r="127">
      <c r="A127" s="2" t="s">
        <v>1923</v>
      </c>
      <c r="B127" s="100">
        <v>44625.0</v>
      </c>
      <c r="C127" s="101">
        <v>0.30789351851851854</v>
      </c>
      <c r="H127" s="229"/>
      <c r="K127" s="2" t="s">
        <v>244</v>
      </c>
      <c r="L127" s="100">
        <v>44625.0</v>
      </c>
      <c r="M127" s="101">
        <v>0.48974537037037036</v>
      </c>
      <c r="O127" s="227"/>
    </row>
    <row r="128">
      <c r="A128" s="2" t="s">
        <v>1921</v>
      </c>
      <c r="B128" s="100">
        <v>44625.0</v>
      </c>
      <c r="C128" s="101">
        <v>0.30530092592592595</v>
      </c>
      <c r="H128" s="229"/>
      <c r="K128" s="2" t="s">
        <v>244</v>
      </c>
      <c r="L128" s="100">
        <v>44625.0</v>
      </c>
      <c r="M128" s="101">
        <v>0.48974537037037036</v>
      </c>
      <c r="O128" s="227"/>
    </row>
    <row r="129">
      <c r="A129" s="2" t="s">
        <v>1919</v>
      </c>
      <c r="B129" s="100">
        <v>44625.0</v>
      </c>
      <c r="C129" s="101">
        <v>0.30115740740740743</v>
      </c>
      <c r="H129" s="229"/>
      <c r="K129" s="2" t="s">
        <v>244</v>
      </c>
      <c r="L129" s="100">
        <v>44625.0</v>
      </c>
      <c r="M129" s="101">
        <v>0.48974537037037036</v>
      </c>
      <c r="O129" s="227"/>
    </row>
    <row r="130">
      <c r="A130" s="2" t="s">
        <v>1917</v>
      </c>
      <c r="B130" s="100">
        <v>44625.0</v>
      </c>
      <c r="C130" s="101">
        <v>0.29443287037037036</v>
      </c>
      <c r="H130" s="229"/>
      <c r="K130" s="2" t="s">
        <v>244</v>
      </c>
      <c r="L130" s="100">
        <v>44625.0</v>
      </c>
      <c r="M130" s="101">
        <v>0.48974537037037036</v>
      </c>
      <c r="O130" s="227"/>
    </row>
    <row r="131">
      <c r="A131" s="2" t="s">
        <v>1915</v>
      </c>
      <c r="B131" s="100">
        <v>44625.0</v>
      </c>
      <c r="C131" s="101">
        <v>0.29268518518518516</v>
      </c>
      <c r="H131" s="229"/>
      <c r="K131" s="2" t="s">
        <v>244</v>
      </c>
      <c r="L131" s="100">
        <v>44625.0</v>
      </c>
      <c r="M131" s="101">
        <v>0.48998842592592595</v>
      </c>
      <c r="O131" s="227"/>
    </row>
    <row r="132">
      <c r="A132" s="2" t="s">
        <v>1913</v>
      </c>
      <c r="B132" s="100">
        <v>44625.0</v>
      </c>
      <c r="C132" s="101">
        <v>0.28769675925925925</v>
      </c>
      <c r="H132" s="229"/>
      <c r="K132" s="2" t="s">
        <v>244</v>
      </c>
      <c r="L132" s="100">
        <v>44625.0</v>
      </c>
      <c r="M132" s="101">
        <v>0.48974537037037036</v>
      </c>
      <c r="O132" s="227"/>
    </row>
    <row r="133">
      <c r="A133" s="2" t="s">
        <v>1911</v>
      </c>
      <c r="B133" s="100">
        <v>44625.0</v>
      </c>
      <c r="C133" s="101">
        <v>0.2726851851851852</v>
      </c>
      <c r="H133" s="229"/>
      <c r="K133" s="2" t="s">
        <v>244</v>
      </c>
      <c r="L133" s="100">
        <v>44625.0</v>
      </c>
      <c r="M133" s="101">
        <v>0.48974537037037036</v>
      </c>
      <c r="O133" s="227"/>
    </row>
    <row r="134">
      <c r="A134" s="2" t="s">
        <v>1909</v>
      </c>
      <c r="B134" s="100">
        <v>44625.0</v>
      </c>
      <c r="C134" s="101">
        <v>0.2703587962962963</v>
      </c>
      <c r="H134" s="229"/>
      <c r="K134" s="2" t="s">
        <v>244</v>
      </c>
      <c r="L134" s="100">
        <v>44625.0</v>
      </c>
      <c r="M134" s="101">
        <v>0.48974537037037036</v>
      </c>
      <c r="O134" s="227"/>
    </row>
    <row r="135">
      <c r="A135" s="2" t="s">
        <v>1907</v>
      </c>
      <c r="B135" s="100">
        <v>44625.0</v>
      </c>
      <c r="C135" s="101">
        <v>0.2652893518518519</v>
      </c>
      <c r="H135" s="229"/>
      <c r="K135" s="2" t="s">
        <v>244</v>
      </c>
      <c r="L135" s="100">
        <v>44625.0</v>
      </c>
      <c r="M135" s="101">
        <v>0.48974537037037036</v>
      </c>
      <c r="O135" s="227"/>
    </row>
    <row r="136">
      <c r="A136" s="2" t="s">
        <v>1904</v>
      </c>
      <c r="B136" s="100">
        <v>44623.0</v>
      </c>
      <c r="C136" s="101">
        <v>0.4691666666666667</v>
      </c>
      <c r="H136" s="229"/>
      <c r="K136" s="2" t="s">
        <v>254</v>
      </c>
      <c r="O136" s="229"/>
    </row>
    <row r="137">
      <c r="A137" s="2" t="s">
        <v>1902</v>
      </c>
      <c r="B137" s="100">
        <v>44623.0</v>
      </c>
      <c r="C137" s="101">
        <v>0.4583564814814815</v>
      </c>
      <c r="H137" s="229"/>
      <c r="K137" s="2" t="s">
        <v>244</v>
      </c>
      <c r="L137" s="100">
        <v>44623.0</v>
      </c>
      <c r="M137" s="101">
        <v>0.4606018518518519</v>
      </c>
      <c r="O137" s="227"/>
    </row>
    <row r="138">
      <c r="A138" s="2" t="s">
        <v>1899</v>
      </c>
      <c r="B138" s="100">
        <v>44623.0</v>
      </c>
      <c r="C138" s="101">
        <v>0.4114699074074074</v>
      </c>
      <c r="H138" s="229"/>
      <c r="K138" s="2" t="s">
        <v>244</v>
      </c>
      <c r="L138" s="100">
        <v>44623.0</v>
      </c>
      <c r="M138" s="101">
        <v>0.4606018518518519</v>
      </c>
      <c r="O138" s="227"/>
    </row>
    <row r="139">
      <c r="A139" s="2" t="s">
        <v>1885</v>
      </c>
      <c r="B139" s="100">
        <v>44623.0</v>
      </c>
      <c r="C139" s="101">
        <v>0.3894097222222222</v>
      </c>
      <c r="H139" s="229"/>
      <c r="K139" s="2" t="s">
        <v>244</v>
      </c>
      <c r="L139" s="100">
        <v>44623.0</v>
      </c>
      <c r="M139" s="101">
        <v>0.4606018518518519</v>
      </c>
      <c r="O139" s="227"/>
    </row>
    <row r="140">
      <c r="A140" s="2" t="s">
        <v>1883</v>
      </c>
      <c r="B140" s="100">
        <v>44623.0</v>
      </c>
      <c r="C140" s="101">
        <v>0.35480324074074077</v>
      </c>
      <c r="H140" s="229"/>
      <c r="K140" s="2" t="s">
        <v>244</v>
      </c>
      <c r="L140" s="100">
        <v>44623.0</v>
      </c>
      <c r="M140" s="101">
        <v>0.4606018518518519</v>
      </c>
      <c r="O140" s="227"/>
    </row>
    <row r="141">
      <c r="A141" s="2" t="s">
        <v>1881</v>
      </c>
      <c r="B141" s="100">
        <v>44623.0</v>
      </c>
      <c r="C141" s="101">
        <v>0.3459143518518519</v>
      </c>
      <c r="H141" s="229"/>
      <c r="K141" s="2" t="s">
        <v>244</v>
      </c>
      <c r="L141" s="100">
        <v>44623.0</v>
      </c>
      <c r="M141" s="101">
        <v>0.4606018518518519</v>
      </c>
      <c r="O141" s="227"/>
    </row>
    <row r="142">
      <c r="A142" s="2" t="s">
        <v>1879</v>
      </c>
      <c r="B142" s="100">
        <v>44623.0</v>
      </c>
      <c r="C142" s="101">
        <v>0.33640046296296294</v>
      </c>
      <c r="H142" s="229"/>
      <c r="K142" s="2" t="s">
        <v>244</v>
      </c>
      <c r="L142" s="100">
        <v>44623.0</v>
      </c>
      <c r="M142" s="101">
        <v>0.4606018518518519</v>
      </c>
      <c r="O142" s="227"/>
    </row>
    <row r="143">
      <c r="A143" s="2" t="s">
        <v>1877</v>
      </c>
      <c r="B143" s="100">
        <v>44623.0</v>
      </c>
      <c r="C143" s="101">
        <v>0.3357291666666667</v>
      </c>
      <c r="H143" s="229"/>
      <c r="K143" s="2" t="s">
        <v>244</v>
      </c>
      <c r="L143" s="100">
        <v>44623.0</v>
      </c>
      <c r="M143" s="101">
        <v>0.4606018518518519</v>
      </c>
      <c r="O143" s="227"/>
    </row>
    <row r="144">
      <c r="A144" s="2" t="s">
        <v>1875</v>
      </c>
      <c r="B144" s="100">
        <v>44623.0</v>
      </c>
      <c r="C144" s="101">
        <v>0.3344212962962963</v>
      </c>
      <c r="H144" s="229"/>
      <c r="K144" s="2" t="s">
        <v>244</v>
      </c>
      <c r="L144" s="100">
        <v>44623.0</v>
      </c>
      <c r="M144" s="101">
        <v>0.4606018518518519</v>
      </c>
      <c r="O144" s="227"/>
    </row>
    <row r="145">
      <c r="A145" s="2" t="s">
        <v>1871</v>
      </c>
      <c r="B145" s="100">
        <v>44623.0</v>
      </c>
      <c r="C145" s="101">
        <v>0.32363425925925926</v>
      </c>
      <c r="H145" s="229"/>
      <c r="K145" s="2" t="s">
        <v>244</v>
      </c>
      <c r="L145" s="100">
        <v>44623.0</v>
      </c>
      <c r="M145" s="101">
        <v>0.4605902777777778</v>
      </c>
      <c r="O145" s="227"/>
    </row>
    <row r="146">
      <c r="A146" s="2" t="s">
        <v>1869</v>
      </c>
      <c r="B146" s="100">
        <v>44623.0</v>
      </c>
      <c r="C146" s="101">
        <v>0.3226041666666667</v>
      </c>
      <c r="H146" s="229"/>
      <c r="K146" s="2" t="s">
        <v>244</v>
      </c>
      <c r="L146" s="100">
        <v>44623.0</v>
      </c>
      <c r="M146" s="101">
        <v>0.4605902777777778</v>
      </c>
      <c r="O146" s="227"/>
    </row>
    <row r="147">
      <c r="A147" s="2" t="s">
        <v>1867</v>
      </c>
      <c r="B147" s="100">
        <v>44623.0</v>
      </c>
      <c r="C147" s="101">
        <v>0.32256944444444446</v>
      </c>
      <c r="H147" s="229"/>
      <c r="K147" s="2" t="s">
        <v>244</v>
      </c>
      <c r="L147" s="100">
        <v>44623.0</v>
      </c>
      <c r="M147" s="101">
        <v>0.4605902777777778</v>
      </c>
      <c r="O147" s="227"/>
    </row>
    <row r="148">
      <c r="A148" s="2" t="s">
        <v>1865</v>
      </c>
      <c r="B148" s="100">
        <v>44623.0</v>
      </c>
      <c r="C148" s="101">
        <v>0.32197916666666665</v>
      </c>
      <c r="H148" s="229"/>
      <c r="K148" s="2" t="s">
        <v>244</v>
      </c>
      <c r="L148" s="100">
        <v>44623.0</v>
      </c>
      <c r="M148" s="101">
        <v>0.4605902777777778</v>
      </c>
      <c r="O148" s="227"/>
    </row>
    <row r="149">
      <c r="A149" s="2" t="s">
        <v>1863</v>
      </c>
      <c r="B149" s="100">
        <v>44623.0</v>
      </c>
      <c r="C149" s="101">
        <v>0.32178240740740743</v>
      </c>
      <c r="H149" s="229"/>
      <c r="K149" s="2" t="s">
        <v>244</v>
      </c>
      <c r="L149" s="100">
        <v>44623.0</v>
      </c>
      <c r="M149" s="101">
        <v>0.4605902777777778</v>
      </c>
      <c r="O149" s="227"/>
    </row>
    <row r="150">
      <c r="A150" s="2" t="s">
        <v>1861</v>
      </c>
      <c r="B150" s="100">
        <v>44623.0</v>
      </c>
      <c r="C150" s="101">
        <v>0.32112268518518516</v>
      </c>
      <c r="H150" s="229"/>
      <c r="K150" s="2" t="s">
        <v>244</v>
      </c>
      <c r="L150" s="100">
        <v>44623.0</v>
      </c>
      <c r="M150" s="101">
        <v>0.4605902777777778</v>
      </c>
      <c r="O150" s="227"/>
    </row>
    <row r="151">
      <c r="A151" s="2" t="s">
        <v>1859</v>
      </c>
      <c r="B151" s="100">
        <v>44623.0</v>
      </c>
      <c r="C151" s="101">
        <v>0.31928240740740743</v>
      </c>
      <c r="H151" s="229"/>
      <c r="K151" s="2" t="s">
        <v>244</v>
      </c>
      <c r="L151" s="100">
        <v>44623.0</v>
      </c>
      <c r="M151" s="101">
        <v>0.4605902777777778</v>
      </c>
      <c r="O151" s="227"/>
    </row>
    <row r="152">
      <c r="A152" s="2" t="s">
        <v>1857</v>
      </c>
      <c r="B152" s="100">
        <v>44623.0</v>
      </c>
      <c r="C152" s="101">
        <v>0.3174074074074074</v>
      </c>
      <c r="H152" s="229"/>
      <c r="K152" s="2" t="s">
        <v>244</v>
      </c>
      <c r="L152" s="100">
        <v>44623.0</v>
      </c>
      <c r="M152" s="101">
        <v>0.4605902777777778</v>
      </c>
      <c r="O152" s="227"/>
    </row>
    <row r="153">
      <c r="A153" s="2" t="s">
        <v>1855</v>
      </c>
      <c r="B153" s="100">
        <v>44623.0</v>
      </c>
      <c r="C153" s="101">
        <v>0.3156481481481481</v>
      </c>
      <c r="H153" s="229"/>
      <c r="K153" s="2" t="s">
        <v>244</v>
      </c>
      <c r="L153" s="100">
        <v>44623.0</v>
      </c>
      <c r="M153" s="101">
        <v>0.4605902777777778</v>
      </c>
      <c r="O153" s="227"/>
    </row>
    <row r="154">
      <c r="A154" s="2" t="s">
        <v>1853</v>
      </c>
      <c r="B154" s="100">
        <v>44623.0</v>
      </c>
      <c r="C154" s="101">
        <v>0.3132523148148148</v>
      </c>
      <c r="H154" s="229"/>
      <c r="K154" s="2" t="s">
        <v>244</v>
      </c>
      <c r="L154" s="100">
        <v>44623.0</v>
      </c>
      <c r="M154" s="101">
        <v>0.4605902777777778</v>
      </c>
      <c r="O154" s="227"/>
    </row>
    <row r="155">
      <c r="A155" s="2" t="s">
        <v>1851</v>
      </c>
      <c r="B155" s="100">
        <v>44623.0</v>
      </c>
      <c r="C155" s="101">
        <v>0.31104166666666666</v>
      </c>
      <c r="H155" s="229"/>
      <c r="K155" s="2" t="s">
        <v>244</v>
      </c>
      <c r="L155" s="100">
        <v>44623.0</v>
      </c>
      <c r="M155" s="101">
        <v>0.4605902777777778</v>
      </c>
      <c r="O155" s="227"/>
    </row>
    <row r="156">
      <c r="A156" s="2" t="s">
        <v>1849</v>
      </c>
      <c r="B156" s="100">
        <v>44623.0</v>
      </c>
      <c r="C156" s="101">
        <v>0.3108680555555556</v>
      </c>
      <c r="H156" s="229"/>
      <c r="K156" s="2" t="s">
        <v>244</v>
      </c>
      <c r="L156" s="100">
        <v>44623.0</v>
      </c>
      <c r="M156" s="101">
        <v>0.4605902777777778</v>
      </c>
      <c r="O156" s="227"/>
    </row>
    <row r="157">
      <c r="A157" s="2" t="s">
        <v>1847</v>
      </c>
      <c r="B157" s="100">
        <v>44623.0</v>
      </c>
      <c r="C157" s="101">
        <v>0.3102662037037037</v>
      </c>
      <c r="H157" s="229"/>
      <c r="K157" s="2" t="s">
        <v>244</v>
      </c>
      <c r="L157" s="100">
        <v>44623.0</v>
      </c>
      <c r="M157" s="101">
        <v>0.4605902777777778</v>
      </c>
      <c r="O157" s="227"/>
    </row>
    <row r="158">
      <c r="A158" s="2" t="s">
        <v>1845</v>
      </c>
      <c r="B158" s="100">
        <v>44623.0</v>
      </c>
      <c r="C158" s="101">
        <v>0.3095717592592593</v>
      </c>
      <c r="H158" s="229"/>
      <c r="K158" s="2" t="s">
        <v>244</v>
      </c>
      <c r="L158" s="100">
        <v>44623.0</v>
      </c>
      <c r="M158" s="101">
        <v>0.4605902777777778</v>
      </c>
      <c r="O158" s="227"/>
    </row>
    <row r="159">
      <c r="A159" s="2" t="s">
        <v>1843</v>
      </c>
      <c r="B159" s="100">
        <v>44623.0</v>
      </c>
      <c r="C159" s="101">
        <v>0.3051388888888889</v>
      </c>
      <c r="H159" s="229"/>
      <c r="K159" s="2" t="s">
        <v>244</v>
      </c>
      <c r="L159" s="100">
        <v>44623.0</v>
      </c>
      <c r="M159" s="101">
        <v>0.4605902777777778</v>
      </c>
      <c r="O159" s="227"/>
    </row>
    <row r="160">
      <c r="A160" s="2" t="s">
        <v>1841</v>
      </c>
      <c r="B160" s="100">
        <v>44623.0</v>
      </c>
      <c r="C160" s="101">
        <v>0.3044791666666667</v>
      </c>
      <c r="H160" s="229"/>
      <c r="K160" s="2" t="s">
        <v>244</v>
      </c>
      <c r="L160" s="100">
        <v>44623.0</v>
      </c>
      <c r="M160" s="101">
        <v>0.4605902777777778</v>
      </c>
      <c r="O160" s="227"/>
    </row>
    <row r="161">
      <c r="A161" s="2" t="s">
        <v>1839</v>
      </c>
      <c r="B161" s="100">
        <v>44623.0</v>
      </c>
      <c r="C161" s="101">
        <v>0.30385416666666665</v>
      </c>
      <c r="H161" s="229"/>
      <c r="K161" s="2" t="s">
        <v>244</v>
      </c>
      <c r="L161" s="100">
        <v>44623.0</v>
      </c>
      <c r="M161" s="101">
        <v>0.4605902777777778</v>
      </c>
      <c r="O161" s="227"/>
    </row>
    <row r="162">
      <c r="A162" s="2" t="s">
        <v>1837</v>
      </c>
      <c r="B162" s="100">
        <v>44623.0</v>
      </c>
      <c r="C162" s="101">
        <v>0.2961574074074074</v>
      </c>
      <c r="H162" s="229"/>
      <c r="K162" s="2" t="s">
        <v>244</v>
      </c>
      <c r="L162" s="100">
        <v>44623.0</v>
      </c>
      <c r="M162" s="101">
        <v>0.4605902777777778</v>
      </c>
      <c r="O162" s="227"/>
    </row>
    <row r="163">
      <c r="A163" s="2" t="s">
        <v>1835</v>
      </c>
      <c r="B163" s="100">
        <v>44623.0</v>
      </c>
      <c r="C163" s="101">
        <v>0.29432870370370373</v>
      </c>
      <c r="H163" s="229"/>
      <c r="K163" s="2" t="s">
        <v>244</v>
      </c>
      <c r="L163" s="100">
        <v>44623.0</v>
      </c>
      <c r="M163" s="101">
        <v>0.4605902777777778</v>
      </c>
      <c r="O163" s="227"/>
    </row>
    <row r="164">
      <c r="A164" s="2" t="s">
        <v>1833</v>
      </c>
      <c r="B164" s="100">
        <v>44621.0</v>
      </c>
      <c r="C164" s="101">
        <v>0.5343287037037037</v>
      </c>
      <c r="H164" s="229"/>
      <c r="K164" s="2" t="s">
        <v>254</v>
      </c>
      <c r="L164" s="100">
        <v>44621.0</v>
      </c>
      <c r="M164" s="101">
        <v>0.5345023148148148</v>
      </c>
      <c r="O164" s="227"/>
    </row>
    <row r="165">
      <c r="A165" s="2" t="s">
        <v>1825</v>
      </c>
      <c r="B165" s="100">
        <v>44621.0</v>
      </c>
      <c r="C165" s="101">
        <v>0.4674652777777778</v>
      </c>
      <c r="H165" s="229"/>
      <c r="K165" s="2" t="s">
        <v>244</v>
      </c>
      <c r="L165" s="100">
        <v>44627.0</v>
      </c>
      <c r="M165" s="101">
        <v>0.47792824074074075</v>
      </c>
      <c r="O165" s="227"/>
    </row>
    <row r="166">
      <c r="A166" s="2" t="s">
        <v>1823</v>
      </c>
      <c r="B166" s="100">
        <v>44621.0</v>
      </c>
      <c r="C166" s="101">
        <v>0.44513888888888886</v>
      </c>
      <c r="H166" s="229"/>
      <c r="K166" s="2" t="s">
        <v>244</v>
      </c>
      <c r="L166" s="100">
        <v>44623.0</v>
      </c>
      <c r="M166" s="101">
        <v>0.4605787037037037</v>
      </c>
      <c r="O166" s="227"/>
    </row>
    <row r="167">
      <c r="A167" s="2" t="s">
        <v>1821</v>
      </c>
      <c r="B167" s="100">
        <v>44621.0</v>
      </c>
      <c r="C167" s="101">
        <v>0.34618055555555555</v>
      </c>
      <c r="H167" s="229"/>
      <c r="K167" s="2" t="s">
        <v>244</v>
      </c>
      <c r="L167" s="100">
        <v>44627.0</v>
      </c>
      <c r="M167" s="101">
        <v>0.47792824074074075</v>
      </c>
      <c r="O167" s="227"/>
    </row>
    <row r="168">
      <c r="A168" s="2" t="s">
        <v>1819</v>
      </c>
      <c r="B168" s="100">
        <v>44621.0</v>
      </c>
      <c r="C168" s="101">
        <v>0.3439699074074074</v>
      </c>
      <c r="H168" s="229"/>
      <c r="K168" s="2" t="s">
        <v>244</v>
      </c>
      <c r="L168" s="100">
        <v>44627.0</v>
      </c>
      <c r="M168" s="101">
        <v>0.47792824074074075</v>
      </c>
      <c r="O168" s="227"/>
    </row>
    <row r="169">
      <c r="A169" s="2" t="s">
        <v>1817</v>
      </c>
      <c r="B169" s="100">
        <v>44621.0</v>
      </c>
      <c r="C169" s="101">
        <v>0.3414351851851852</v>
      </c>
      <c r="H169" s="229"/>
      <c r="K169" s="2" t="s">
        <v>244</v>
      </c>
      <c r="L169" s="100">
        <v>44627.0</v>
      </c>
      <c r="M169" s="101">
        <v>0.47792824074074075</v>
      </c>
      <c r="O169" s="227"/>
    </row>
    <row r="170">
      <c r="A170" s="2" t="s">
        <v>1815</v>
      </c>
      <c r="B170" s="100">
        <v>44621.0</v>
      </c>
      <c r="C170" s="101">
        <v>0.3350925925925926</v>
      </c>
      <c r="H170" s="229"/>
      <c r="K170" s="2" t="s">
        <v>244</v>
      </c>
      <c r="L170" s="100">
        <v>44627.0</v>
      </c>
      <c r="M170" s="101">
        <v>0.47792824074074075</v>
      </c>
      <c r="O170" s="227"/>
    </row>
    <row r="171">
      <c r="A171" s="2" t="s">
        <v>1813</v>
      </c>
      <c r="B171" s="100">
        <v>44621.0</v>
      </c>
      <c r="C171" s="101">
        <v>0.3345949074074074</v>
      </c>
      <c r="H171" s="229"/>
      <c r="K171" s="2" t="s">
        <v>244</v>
      </c>
      <c r="L171" s="100">
        <v>44627.0</v>
      </c>
      <c r="M171" s="101">
        <v>0.47792824074074075</v>
      </c>
      <c r="O171" s="227"/>
    </row>
    <row r="172">
      <c r="A172" s="2" t="s">
        <v>1811</v>
      </c>
      <c r="B172" s="100">
        <v>44621.0</v>
      </c>
      <c r="C172" s="101">
        <v>0.3319328703703704</v>
      </c>
      <c r="H172" s="229"/>
      <c r="K172" s="2" t="s">
        <v>244</v>
      </c>
      <c r="L172" s="100">
        <v>44627.0</v>
      </c>
      <c r="M172" s="101">
        <v>0.47792824074074075</v>
      </c>
      <c r="O172" s="227"/>
    </row>
    <row r="173">
      <c r="A173" s="2" t="s">
        <v>1809</v>
      </c>
      <c r="B173" s="100">
        <v>44621.0</v>
      </c>
      <c r="C173" s="101">
        <v>0.33143518518518517</v>
      </c>
      <c r="H173" s="229"/>
      <c r="K173" s="2" t="s">
        <v>244</v>
      </c>
      <c r="L173" s="100">
        <v>44627.0</v>
      </c>
      <c r="M173" s="101">
        <v>0.47792824074074075</v>
      </c>
      <c r="O173" s="227"/>
    </row>
    <row r="174">
      <c r="A174" s="2" t="s">
        <v>1807</v>
      </c>
      <c r="B174" s="100">
        <v>44621.0</v>
      </c>
      <c r="C174" s="101">
        <v>0.33123842592592595</v>
      </c>
      <c r="H174" s="229"/>
      <c r="K174" s="2" t="s">
        <v>244</v>
      </c>
      <c r="L174" s="100">
        <v>44627.0</v>
      </c>
      <c r="M174" s="101">
        <v>0.47792824074074075</v>
      </c>
      <c r="O174" s="227"/>
    </row>
    <row r="175">
      <c r="A175" s="2" t="s">
        <v>1805</v>
      </c>
      <c r="B175" s="100">
        <v>44621.0</v>
      </c>
      <c r="C175" s="101">
        <v>0.329525462962963</v>
      </c>
      <c r="H175" s="229"/>
      <c r="K175" s="2" t="s">
        <v>244</v>
      </c>
      <c r="L175" s="100">
        <v>44627.0</v>
      </c>
      <c r="M175" s="101">
        <v>0.47792824074074075</v>
      </c>
      <c r="O175" s="227"/>
    </row>
    <row r="176">
      <c r="A176" s="2" t="s">
        <v>1803</v>
      </c>
      <c r="B176" s="100">
        <v>44621.0</v>
      </c>
      <c r="C176" s="101">
        <v>0.329224537037037</v>
      </c>
      <c r="H176" s="229"/>
      <c r="K176" s="2" t="s">
        <v>244</v>
      </c>
      <c r="L176" s="100">
        <v>44627.0</v>
      </c>
      <c r="M176" s="101">
        <v>0.47792824074074075</v>
      </c>
      <c r="O176" s="227"/>
    </row>
    <row r="177">
      <c r="A177" s="2" t="s">
        <v>1801</v>
      </c>
      <c r="B177" s="100">
        <v>44621.0</v>
      </c>
      <c r="C177" s="101">
        <v>0.3285648148148148</v>
      </c>
      <c r="H177" s="229"/>
      <c r="K177" s="2" t="s">
        <v>244</v>
      </c>
      <c r="L177" s="100">
        <v>44627.0</v>
      </c>
      <c r="M177" s="101">
        <v>0.47792824074074075</v>
      </c>
      <c r="O177" s="227"/>
    </row>
    <row r="178">
      <c r="A178" s="2" t="s">
        <v>1799</v>
      </c>
      <c r="B178" s="100">
        <v>44621.0</v>
      </c>
      <c r="C178" s="101">
        <v>0.32849537037037035</v>
      </c>
      <c r="H178" s="229"/>
      <c r="K178" s="2" t="s">
        <v>244</v>
      </c>
      <c r="L178" s="100">
        <v>44627.0</v>
      </c>
      <c r="M178" s="101">
        <v>0.47791666666666666</v>
      </c>
      <c r="O178" s="227"/>
    </row>
    <row r="179">
      <c r="A179" s="2" t="s">
        <v>1797</v>
      </c>
      <c r="B179" s="100">
        <v>44621.0</v>
      </c>
      <c r="C179" s="101">
        <v>0.3271527777777778</v>
      </c>
      <c r="H179" s="229"/>
      <c r="K179" s="2" t="s">
        <v>244</v>
      </c>
      <c r="L179" s="100">
        <v>44627.0</v>
      </c>
      <c r="M179" s="101">
        <v>0.47791666666666666</v>
      </c>
      <c r="O179" s="227"/>
    </row>
    <row r="180">
      <c r="A180" s="2" t="s">
        <v>1795</v>
      </c>
      <c r="B180" s="100">
        <v>44621.0</v>
      </c>
      <c r="C180" s="101">
        <v>0.3267013888888889</v>
      </c>
      <c r="H180" s="229"/>
      <c r="K180" s="2" t="s">
        <v>244</v>
      </c>
      <c r="L180" s="100">
        <v>44627.0</v>
      </c>
      <c r="M180" s="101">
        <v>0.47791666666666666</v>
      </c>
      <c r="O180" s="227"/>
    </row>
    <row r="181">
      <c r="A181" s="2" t="s">
        <v>1793</v>
      </c>
      <c r="B181" s="100">
        <v>44621.0</v>
      </c>
      <c r="C181" s="101">
        <v>0.3262962962962963</v>
      </c>
      <c r="H181" s="229"/>
      <c r="K181" s="2" t="s">
        <v>244</v>
      </c>
      <c r="L181" s="100">
        <v>44627.0</v>
      </c>
      <c r="M181" s="101">
        <v>0.47791666666666666</v>
      </c>
      <c r="O181" s="227"/>
    </row>
    <row r="182">
      <c r="A182" s="2" t="s">
        <v>1791</v>
      </c>
      <c r="B182" s="100">
        <v>44621.0</v>
      </c>
      <c r="C182" s="101">
        <v>0.3244675925925926</v>
      </c>
      <c r="H182" s="229"/>
      <c r="K182" s="2" t="s">
        <v>244</v>
      </c>
      <c r="L182" s="100">
        <v>44627.0</v>
      </c>
      <c r="M182" s="101">
        <v>0.47791666666666666</v>
      </c>
      <c r="O182" s="227"/>
    </row>
    <row r="183">
      <c r="A183" s="2" t="s">
        <v>1789</v>
      </c>
      <c r="B183" s="100">
        <v>44621.0</v>
      </c>
      <c r="C183" s="101">
        <v>0.32395833333333335</v>
      </c>
      <c r="H183" s="229"/>
      <c r="K183" s="2" t="s">
        <v>244</v>
      </c>
      <c r="L183" s="100">
        <v>44627.0</v>
      </c>
      <c r="M183" s="101">
        <v>0.47791666666666666</v>
      </c>
      <c r="O183" s="227"/>
    </row>
    <row r="184">
      <c r="A184" s="2" t="s">
        <v>1787</v>
      </c>
      <c r="B184" s="100">
        <v>44621.0</v>
      </c>
      <c r="C184" s="101">
        <v>0.31734953703703705</v>
      </c>
      <c r="H184" s="229"/>
      <c r="K184" s="2" t="s">
        <v>244</v>
      </c>
      <c r="L184" s="100">
        <v>44627.0</v>
      </c>
      <c r="M184" s="101">
        <v>0.47791666666666666</v>
      </c>
      <c r="O184" s="227"/>
    </row>
    <row r="185">
      <c r="A185" s="2" t="s">
        <v>1785</v>
      </c>
      <c r="B185" s="100">
        <v>44621.0</v>
      </c>
      <c r="C185" s="101">
        <v>0.3153587962962963</v>
      </c>
      <c r="H185" s="229"/>
      <c r="K185" s="2" t="s">
        <v>244</v>
      </c>
      <c r="L185" s="100">
        <v>44623.0</v>
      </c>
      <c r="M185" s="101">
        <v>0.4605787037037037</v>
      </c>
      <c r="O185" s="227"/>
    </row>
    <row r="186">
      <c r="A186" s="2" t="s">
        <v>1783</v>
      </c>
      <c r="B186" s="100">
        <v>44621.0</v>
      </c>
      <c r="C186" s="101">
        <v>0.3119675925925926</v>
      </c>
      <c r="H186" s="229"/>
      <c r="K186" s="2" t="s">
        <v>244</v>
      </c>
      <c r="L186" s="100">
        <v>44627.0</v>
      </c>
      <c r="M186" s="101">
        <v>0.47791666666666666</v>
      </c>
      <c r="O186" s="227"/>
    </row>
    <row r="187">
      <c r="A187" s="2" t="s">
        <v>1781</v>
      </c>
      <c r="B187" s="100">
        <v>44621.0</v>
      </c>
      <c r="C187" s="101">
        <v>0.3111921296296296</v>
      </c>
      <c r="H187" s="229"/>
      <c r="K187" s="2" t="s">
        <v>244</v>
      </c>
      <c r="L187" s="100">
        <v>44627.0</v>
      </c>
      <c r="M187" s="101">
        <v>0.47791666666666666</v>
      </c>
      <c r="O187" s="227"/>
    </row>
    <row r="188">
      <c r="A188" s="2" t="s">
        <v>1779</v>
      </c>
      <c r="B188" s="100">
        <v>44621.0</v>
      </c>
      <c r="C188" s="101">
        <v>0.30995370370370373</v>
      </c>
      <c r="H188" s="229"/>
      <c r="K188" s="2" t="s">
        <v>254</v>
      </c>
      <c r="O188" s="227"/>
    </row>
    <row r="189">
      <c r="A189" s="2" t="s">
        <v>1777</v>
      </c>
      <c r="B189" s="100">
        <v>44621.0</v>
      </c>
      <c r="C189" s="101">
        <v>0.3096875</v>
      </c>
      <c r="H189" s="229"/>
      <c r="K189" s="2" t="s">
        <v>244</v>
      </c>
      <c r="L189" s="100">
        <v>44627.0</v>
      </c>
      <c r="M189" s="101">
        <v>0.47791666666666666</v>
      </c>
      <c r="O189" s="229"/>
    </row>
    <row r="190">
      <c r="A190" s="2" t="s">
        <v>1775</v>
      </c>
      <c r="B190" s="100">
        <v>44621.0</v>
      </c>
      <c r="C190" s="101">
        <v>0.3086921296296296</v>
      </c>
      <c r="H190" s="229"/>
      <c r="K190" s="2" t="s">
        <v>244</v>
      </c>
      <c r="L190" s="100">
        <v>44627.0</v>
      </c>
      <c r="M190" s="101">
        <v>0.47791666666666666</v>
      </c>
      <c r="O190" s="227"/>
    </row>
    <row r="191">
      <c r="A191" s="2" t="s">
        <v>1773</v>
      </c>
      <c r="B191" s="100">
        <v>44621.0</v>
      </c>
      <c r="C191" s="101">
        <v>0.3078587962962963</v>
      </c>
      <c r="H191" s="229"/>
      <c r="K191" s="2" t="s">
        <v>244</v>
      </c>
      <c r="L191" s="100">
        <v>44627.0</v>
      </c>
      <c r="M191" s="101">
        <v>0.47791666666666666</v>
      </c>
      <c r="O191" s="227"/>
    </row>
    <row r="192">
      <c r="A192" s="2" t="s">
        <v>1771</v>
      </c>
      <c r="B192" s="100">
        <v>44621.0</v>
      </c>
      <c r="C192" s="101">
        <v>0.3067708333333333</v>
      </c>
      <c r="H192" s="229"/>
      <c r="K192" s="2" t="s">
        <v>244</v>
      </c>
      <c r="L192" s="100">
        <v>44627.0</v>
      </c>
      <c r="M192" s="101">
        <v>0.47791666666666666</v>
      </c>
      <c r="O192" s="227"/>
    </row>
    <row r="193">
      <c r="A193" s="2" t="s">
        <v>1769</v>
      </c>
      <c r="B193" s="100">
        <v>44621.0</v>
      </c>
      <c r="C193" s="101">
        <v>0.3062152777777778</v>
      </c>
      <c r="H193" s="229"/>
      <c r="K193" s="2" t="s">
        <v>244</v>
      </c>
      <c r="L193" s="100">
        <v>44627.0</v>
      </c>
      <c r="M193" s="101">
        <v>0.47791666666666666</v>
      </c>
      <c r="O193" s="227"/>
    </row>
    <row r="194">
      <c r="A194" s="2" t="s">
        <v>1767</v>
      </c>
      <c r="B194" s="100">
        <v>44621.0</v>
      </c>
      <c r="C194" s="101">
        <v>0.3004513888888889</v>
      </c>
      <c r="H194" s="229"/>
      <c r="K194" s="2" t="s">
        <v>244</v>
      </c>
      <c r="L194" s="100">
        <v>44627.0</v>
      </c>
      <c r="M194" s="101">
        <v>0.4779050925925926</v>
      </c>
      <c r="O194" s="227"/>
    </row>
    <row r="195">
      <c r="A195" s="2" t="s">
        <v>1765</v>
      </c>
      <c r="B195" s="100">
        <v>44621.0</v>
      </c>
      <c r="C195" s="101">
        <v>0.2941435185185185</v>
      </c>
      <c r="H195" s="229"/>
      <c r="K195" s="2" t="s">
        <v>244</v>
      </c>
      <c r="L195" s="100">
        <v>44627.0</v>
      </c>
      <c r="M195" s="101">
        <v>0.4779050925925926</v>
      </c>
      <c r="O195" s="227"/>
    </row>
    <row r="196">
      <c r="A196" s="2" t="s">
        <v>1763</v>
      </c>
      <c r="B196" s="100">
        <v>44621.0</v>
      </c>
      <c r="C196" s="101">
        <v>0.2698611111111111</v>
      </c>
      <c r="H196" s="229"/>
      <c r="K196" s="2" t="s">
        <v>244</v>
      </c>
      <c r="L196" s="100">
        <v>44627.0</v>
      </c>
      <c r="M196" s="101">
        <v>0.4779050925925926</v>
      </c>
      <c r="O196" s="227"/>
    </row>
    <row r="197">
      <c r="A197" s="2" t="s">
        <v>1760</v>
      </c>
      <c r="B197" s="100">
        <v>44619.0</v>
      </c>
      <c r="C197" s="101">
        <v>0.5154282407407408</v>
      </c>
      <c r="H197" s="229"/>
      <c r="K197" s="2" t="s">
        <v>244</v>
      </c>
      <c r="L197" s="100">
        <v>44621.0</v>
      </c>
      <c r="M197" s="101">
        <v>0.47836805555555556</v>
      </c>
      <c r="O197" s="229"/>
    </row>
    <row r="198">
      <c r="A198" s="2" t="s">
        <v>1756</v>
      </c>
      <c r="B198" s="100">
        <v>44619.0</v>
      </c>
      <c r="C198" s="101">
        <v>0.5150231481481482</v>
      </c>
      <c r="H198" s="229"/>
      <c r="K198" s="2" t="s">
        <v>244</v>
      </c>
      <c r="L198" s="100">
        <v>44621.0</v>
      </c>
      <c r="M198" s="101">
        <v>0.47836805555555556</v>
      </c>
      <c r="O198" s="229"/>
    </row>
    <row r="199">
      <c r="A199" s="2" t="s">
        <v>1754</v>
      </c>
      <c r="B199" s="100">
        <v>44619.0</v>
      </c>
      <c r="C199" s="101">
        <v>0.47260416666666666</v>
      </c>
      <c r="H199" s="229"/>
      <c r="K199" s="2" t="s">
        <v>244</v>
      </c>
      <c r="L199" s="100">
        <v>44621.0</v>
      </c>
      <c r="M199" s="101">
        <v>0.47836805555555556</v>
      </c>
      <c r="O199" s="227"/>
    </row>
    <row r="200">
      <c r="A200" s="2" t="s">
        <v>1751</v>
      </c>
      <c r="B200" s="100">
        <v>44619.0</v>
      </c>
      <c r="C200" s="101">
        <v>0.47225694444444444</v>
      </c>
      <c r="H200" s="229"/>
      <c r="K200" s="2" t="s">
        <v>244</v>
      </c>
      <c r="L200" s="100">
        <v>44621.0</v>
      </c>
      <c r="M200" s="101">
        <v>0.47836805555555556</v>
      </c>
      <c r="O200" s="229"/>
    </row>
    <row r="201">
      <c r="A201" s="2" t="s">
        <v>1748</v>
      </c>
      <c r="B201" s="100">
        <v>44619.0</v>
      </c>
      <c r="C201" s="101">
        <v>0.4717476851851852</v>
      </c>
      <c r="H201" s="229"/>
      <c r="K201" s="2" t="s">
        <v>244</v>
      </c>
      <c r="L201" s="100">
        <v>44621.0</v>
      </c>
      <c r="M201" s="101">
        <v>0.47836805555555556</v>
      </c>
      <c r="O201" s="229"/>
    </row>
    <row r="202">
      <c r="A202" s="2" t="s">
        <v>1745</v>
      </c>
      <c r="B202" s="100">
        <v>44619.0</v>
      </c>
      <c r="C202" s="101">
        <v>0.47128472222222223</v>
      </c>
      <c r="H202" s="229"/>
      <c r="K202" s="2" t="s">
        <v>244</v>
      </c>
      <c r="L202" s="100">
        <v>44621.0</v>
      </c>
      <c r="M202" s="101">
        <v>0.47835648148148147</v>
      </c>
      <c r="O202" s="229"/>
    </row>
    <row r="203">
      <c r="A203" s="2" t="s">
        <v>1742</v>
      </c>
      <c r="B203" s="100">
        <v>44619.0</v>
      </c>
      <c r="C203" s="101">
        <v>0.47077546296296297</v>
      </c>
      <c r="H203" s="229"/>
      <c r="K203" s="2" t="s">
        <v>52</v>
      </c>
      <c r="L203" s="100">
        <v>44627.0</v>
      </c>
      <c r="M203" s="101">
        <v>0.4778935185185185</v>
      </c>
      <c r="O203" s="229"/>
    </row>
    <row r="204">
      <c r="A204" s="2" t="s">
        <v>1740</v>
      </c>
      <c r="B204" s="100">
        <v>44619.0</v>
      </c>
      <c r="C204" s="101">
        <v>0.3654513888888889</v>
      </c>
      <c r="H204" s="229"/>
      <c r="K204" s="2" t="s">
        <v>244</v>
      </c>
      <c r="L204" s="100">
        <v>44621.0</v>
      </c>
      <c r="M204" s="101">
        <v>0.47835648148148147</v>
      </c>
      <c r="O204" s="227"/>
    </row>
    <row r="205">
      <c r="A205" s="2" t="s">
        <v>1738</v>
      </c>
      <c r="B205" s="100">
        <v>44619.0</v>
      </c>
      <c r="C205" s="101">
        <v>0.3628587962962963</v>
      </c>
      <c r="H205" s="229"/>
      <c r="K205" s="2" t="s">
        <v>244</v>
      </c>
      <c r="L205" s="100">
        <v>44621.0</v>
      </c>
      <c r="M205" s="101">
        <v>0.47835648148148147</v>
      </c>
      <c r="O205" s="227"/>
    </row>
    <row r="206">
      <c r="A206" s="2" t="s">
        <v>1736</v>
      </c>
      <c r="B206" s="100">
        <v>44619.0</v>
      </c>
      <c r="C206" s="101">
        <v>0.3563773148148148</v>
      </c>
      <c r="H206" s="229"/>
      <c r="K206" s="2" t="s">
        <v>244</v>
      </c>
      <c r="L206" s="100">
        <v>44621.0</v>
      </c>
      <c r="M206" s="101">
        <v>0.47835648148148147</v>
      </c>
      <c r="O206" s="227"/>
    </row>
    <row r="207">
      <c r="A207" s="2" t="s">
        <v>1734</v>
      </c>
      <c r="B207" s="100">
        <v>44619.0</v>
      </c>
      <c r="C207" s="101">
        <v>0.35575231481481484</v>
      </c>
      <c r="H207" s="229"/>
      <c r="K207" s="2" t="s">
        <v>244</v>
      </c>
      <c r="L207" s="100">
        <v>44621.0</v>
      </c>
      <c r="M207" s="101">
        <v>0.47835648148148147</v>
      </c>
      <c r="O207" s="227"/>
    </row>
    <row r="208">
      <c r="A208" s="2" t="s">
        <v>1732</v>
      </c>
      <c r="B208" s="100">
        <v>44619.0</v>
      </c>
      <c r="C208" s="101">
        <v>0.35444444444444445</v>
      </c>
      <c r="H208" s="229"/>
      <c r="K208" s="2" t="s">
        <v>52</v>
      </c>
      <c r="L208" s="100">
        <v>44627.0</v>
      </c>
      <c r="M208" s="101">
        <v>0.4778935185185185</v>
      </c>
      <c r="O208" s="227"/>
    </row>
    <row r="209">
      <c r="A209" s="2" t="s">
        <v>1730</v>
      </c>
      <c r="B209" s="100">
        <v>44619.0</v>
      </c>
      <c r="C209" s="101">
        <v>0.3393055555555556</v>
      </c>
      <c r="H209" s="229"/>
      <c r="K209" s="2" t="s">
        <v>244</v>
      </c>
      <c r="L209" s="100">
        <v>44621.0</v>
      </c>
      <c r="M209" s="101">
        <v>0.47835648148148147</v>
      </c>
      <c r="O209" s="227"/>
    </row>
    <row r="210">
      <c r="A210" s="2" t="s">
        <v>1728</v>
      </c>
      <c r="B210" s="100">
        <v>44619.0</v>
      </c>
      <c r="C210" s="101">
        <v>0.3308564814814815</v>
      </c>
      <c r="H210" s="229"/>
      <c r="K210" s="2" t="s">
        <v>244</v>
      </c>
      <c r="L210" s="100">
        <v>44621.0</v>
      </c>
      <c r="M210" s="101">
        <v>0.47835648148148147</v>
      </c>
      <c r="O210" s="227"/>
    </row>
    <row r="211">
      <c r="A211" s="2" t="s">
        <v>1726</v>
      </c>
      <c r="B211" s="100">
        <v>44619.0</v>
      </c>
      <c r="C211" s="101">
        <v>0.3308449074074074</v>
      </c>
      <c r="H211" s="229"/>
      <c r="K211" s="2" t="s">
        <v>244</v>
      </c>
      <c r="L211" s="100">
        <v>44621.0</v>
      </c>
      <c r="M211" s="101">
        <v>0.47835648148148147</v>
      </c>
      <c r="O211" s="227"/>
    </row>
    <row r="212">
      <c r="A212" s="2" t="s">
        <v>1724</v>
      </c>
      <c r="B212" s="100">
        <v>44619.0</v>
      </c>
      <c r="C212" s="101">
        <v>0.33024305555555555</v>
      </c>
      <c r="H212" s="229"/>
      <c r="K212" s="2" t="s">
        <v>244</v>
      </c>
      <c r="L212" s="100">
        <v>44621.0</v>
      </c>
      <c r="M212" s="101">
        <v>0.47835648148148147</v>
      </c>
      <c r="O212" s="227"/>
    </row>
    <row r="213">
      <c r="A213" s="2" t="s">
        <v>1722</v>
      </c>
      <c r="B213" s="100">
        <v>44619.0</v>
      </c>
      <c r="C213" s="101">
        <v>0.32743055555555556</v>
      </c>
      <c r="H213" s="229"/>
      <c r="K213" s="2" t="s">
        <v>244</v>
      </c>
      <c r="L213" s="100">
        <v>44621.0</v>
      </c>
      <c r="M213" s="101">
        <v>0.47835648148148147</v>
      </c>
      <c r="O213" s="227"/>
    </row>
    <row r="214">
      <c r="A214" s="2" t="s">
        <v>1720</v>
      </c>
      <c r="B214" s="100">
        <v>44619.0</v>
      </c>
      <c r="C214" s="101">
        <v>0.3249768518518519</v>
      </c>
      <c r="H214" s="229"/>
      <c r="K214" s="2" t="s">
        <v>244</v>
      </c>
      <c r="L214" s="100">
        <v>44621.0</v>
      </c>
      <c r="M214" s="101">
        <v>0.47835648148148147</v>
      </c>
      <c r="O214" s="227"/>
    </row>
    <row r="215">
      <c r="A215" s="2" t="s">
        <v>1718</v>
      </c>
      <c r="B215" s="100">
        <v>44619.0</v>
      </c>
      <c r="C215" s="101">
        <v>0.3246759259259259</v>
      </c>
      <c r="H215" s="229"/>
      <c r="K215" s="2" t="s">
        <v>244</v>
      </c>
      <c r="L215" s="100">
        <v>44621.0</v>
      </c>
      <c r="M215" s="101">
        <v>0.47835648148148147</v>
      </c>
      <c r="O215" s="227"/>
    </row>
    <row r="216">
      <c r="A216" s="2" t="s">
        <v>1715</v>
      </c>
      <c r="B216" s="100">
        <v>44619.0</v>
      </c>
      <c r="C216" s="101">
        <v>0.32320601851851855</v>
      </c>
      <c r="H216" s="229"/>
      <c r="K216" s="2" t="s">
        <v>244</v>
      </c>
      <c r="L216" s="100">
        <v>44621.0</v>
      </c>
      <c r="M216" s="101">
        <v>0.4783449074074074</v>
      </c>
      <c r="O216" s="227"/>
    </row>
    <row r="217">
      <c r="A217" s="2" t="s">
        <v>1715</v>
      </c>
      <c r="B217" s="100">
        <v>44619.0</v>
      </c>
      <c r="C217" s="101">
        <v>0.32320601851851855</v>
      </c>
      <c r="H217" s="229"/>
      <c r="K217" s="2" t="s">
        <v>244</v>
      </c>
      <c r="L217" s="100">
        <v>44621.0</v>
      </c>
      <c r="M217" s="101">
        <v>0.4783449074074074</v>
      </c>
      <c r="O217" s="227"/>
    </row>
    <row r="218">
      <c r="A218" s="2" t="s">
        <v>1711</v>
      </c>
      <c r="B218" s="100">
        <v>44619.0</v>
      </c>
      <c r="C218" s="101">
        <v>0.32261574074074073</v>
      </c>
      <c r="H218" s="229"/>
      <c r="K218" s="2" t="s">
        <v>244</v>
      </c>
      <c r="L218" s="100">
        <v>44621.0</v>
      </c>
      <c r="M218" s="101">
        <v>0.4783449074074074</v>
      </c>
      <c r="O218" s="227"/>
    </row>
    <row r="219">
      <c r="A219" s="2" t="s">
        <v>1711</v>
      </c>
      <c r="B219" s="100">
        <v>44619.0</v>
      </c>
      <c r="C219" s="101">
        <v>0.32261574074074073</v>
      </c>
      <c r="H219" s="229"/>
      <c r="K219" s="2" t="s">
        <v>244</v>
      </c>
      <c r="L219" s="100">
        <v>44621.0</v>
      </c>
      <c r="M219" s="101">
        <v>0.4783449074074074</v>
      </c>
      <c r="O219" s="227"/>
    </row>
    <row r="220">
      <c r="A220" s="2" t="s">
        <v>1707</v>
      </c>
      <c r="B220" s="100">
        <v>44619.0</v>
      </c>
      <c r="C220" s="101">
        <v>0.3200462962962963</v>
      </c>
      <c r="H220" s="229"/>
      <c r="K220" s="2" t="s">
        <v>244</v>
      </c>
      <c r="L220" s="100">
        <v>44621.0</v>
      </c>
      <c r="M220" s="101">
        <v>0.4783449074074074</v>
      </c>
      <c r="O220" s="227"/>
    </row>
    <row r="221">
      <c r="A221" s="2" t="s">
        <v>1705</v>
      </c>
      <c r="B221" s="100">
        <v>44619.0</v>
      </c>
      <c r="C221" s="101">
        <v>0.3194212962962963</v>
      </c>
      <c r="H221" s="229"/>
      <c r="K221" s="2" t="s">
        <v>244</v>
      </c>
      <c r="L221" s="100">
        <v>44621.0</v>
      </c>
      <c r="M221" s="101">
        <v>0.4783449074074074</v>
      </c>
      <c r="O221" s="229"/>
    </row>
    <row r="222">
      <c r="A222" s="2" t="s">
        <v>1701</v>
      </c>
      <c r="B222" s="100">
        <v>44619.0</v>
      </c>
      <c r="C222" s="101">
        <v>0.3128587962962963</v>
      </c>
      <c r="H222" s="229"/>
      <c r="K222" s="2" t="s">
        <v>244</v>
      </c>
      <c r="L222" s="100">
        <v>44621.0</v>
      </c>
      <c r="M222" s="101">
        <v>0.4783449074074074</v>
      </c>
      <c r="O222" s="227"/>
    </row>
    <row r="223">
      <c r="A223" s="2" t="s">
        <v>1699</v>
      </c>
      <c r="B223" s="100">
        <v>44619.0</v>
      </c>
      <c r="C223" s="101">
        <v>0.2973032407407407</v>
      </c>
      <c r="H223" s="229"/>
      <c r="K223" s="2" t="s">
        <v>244</v>
      </c>
      <c r="L223" s="100">
        <v>44621.0</v>
      </c>
      <c r="M223" s="101">
        <v>0.4783449074074074</v>
      </c>
      <c r="O223" s="227"/>
    </row>
    <row r="224">
      <c r="A224" s="2" t="s">
        <v>1697</v>
      </c>
      <c r="B224" s="100">
        <v>44619.0</v>
      </c>
      <c r="C224" s="101">
        <v>0.29094907407407405</v>
      </c>
      <c r="H224" s="229"/>
      <c r="K224" s="2" t="s">
        <v>244</v>
      </c>
      <c r="L224" s="100">
        <v>44621.0</v>
      </c>
      <c r="M224" s="101">
        <v>0.4783449074074074</v>
      </c>
      <c r="O224" s="227"/>
    </row>
    <row r="225">
      <c r="A225" s="2" t="s">
        <v>1695</v>
      </c>
      <c r="B225" s="100">
        <v>44619.0</v>
      </c>
      <c r="C225" s="101">
        <v>0.28791666666666665</v>
      </c>
      <c r="H225" s="229"/>
      <c r="K225" s="2" t="s">
        <v>244</v>
      </c>
      <c r="L225" s="100">
        <v>44621.0</v>
      </c>
      <c r="M225" s="101">
        <v>0.4783449074074074</v>
      </c>
      <c r="O225" s="227"/>
    </row>
    <row r="226">
      <c r="A226" s="2" t="s">
        <v>1693</v>
      </c>
      <c r="B226" s="100">
        <v>44619.0</v>
      </c>
      <c r="C226" s="101">
        <v>0.28652777777777777</v>
      </c>
      <c r="H226" s="229"/>
      <c r="K226" s="2" t="s">
        <v>244</v>
      </c>
      <c r="L226" s="100">
        <v>44621.0</v>
      </c>
      <c r="M226" s="101">
        <v>0.4783449074074074</v>
      </c>
      <c r="O226" s="227"/>
    </row>
    <row r="227">
      <c r="A227" s="2" t="s">
        <v>1691</v>
      </c>
      <c r="B227" s="100">
        <v>44619.0</v>
      </c>
      <c r="C227" s="101">
        <v>0.27760416666666665</v>
      </c>
      <c r="H227" s="229"/>
      <c r="K227" s="2" t="s">
        <v>244</v>
      </c>
      <c r="L227" s="100">
        <v>44621.0</v>
      </c>
      <c r="M227" s="101">
        <v>0.4783449074074074</v>
      </c>
      <c r="O227" s="227"/>
    </row>
    <row r="228">
      <c r="A228" s="2" t="s">
        <v>1689</v>
      </c>
      <c r="B228" s="100">
        <v>44619.0</v>
      </c>
      <c r="C228" s="101">
        <v>0.26229166666666665</v>
      </c>
      <c r="H228" s="229"/>
      <c r="K228" s="2" t="s">
        <v>244</v>
      </c>
      <c r="L228" s="100">
        <v>44621.0</v>
      </c>
      <c r="M228" s="101">
        <v>0.47833333333333333</v>
      </c>
      <c r="O228" s="227"/>
    </row>
    <row r="229">
      <c r="A229" s="2" t="s">
        <v>1687</v>
      </c>
      <c r="B229" s="100">
        <v>44617.0</v>
      </c>
      <c r="C229" s="101">
        <v>0.41888888888888887</v>
      </c>
      <c r="H229" s="229"/>
      <c r="K229" s="2" t="s">
        <v>244</v>
      </c>
      <c r="L229" s="100">
        <v>44617.0</v>
      </c>
      <c r="M229" s="101">
        <v>0.5033912037037037</v>
      </c>
      <c r="O229" s="227"/>
    </row>
    <row r="230">
      <c r="A230" s="2" t="s">
        <v>1684</v>
      </c>
      <c r="B230" s="100">
        <v>44617.0</v>
      </c>
      <c r="C230" s="101">
        <v>0.3496412037037037</v>
      </c>
      <c r="H230" s="229"/>
      <c r="K230" s="2" t="s">
        <v>244</v>
      </c>
      <c r="L230" s="100">
        <v>44617.0</v>
      </c>
      <c r="M230" s="101">
        <v>0.5033796296296297</v>
      </c>
      <c r="O230" s="229"/>
    </row>
    <row r="231">
      <c r="A231" s="2" t="s">
        <v>1682</v>
      </c>
      <c r="B231" s="100">
        <v>44617.0</v>
      </c>
      <c r="C231" s="101">
        <v>0.3486342592592593</v>
      </c>
      <c r="H231" s="229"/>
      <c r="K231" s="2" t="s">
        <v>244</v>
      </c>
      <c r="L231" s="100">
        <v>44617.0</v>
      </c>
      <c r="M231" s="101">
        <v>0.5033796296296297</v>
      </c>
      <c r="O231" s="227"/>
    </row>
    <row r="232">
      <c r="A232" s="2" t="s">
        <v>1679</v>
      </c>
      <c r="B232" s="100">
        <v>44617.0</v>
      </c>
      <c r="C232" s="101">
        <v>0.34774305555555557</v>
      </c>
      <c r="H232" s="229"/>
      <c r="K232" s="2" t="s">
        <v>244</v>
      </c>
      <c r="L232" s="100">
        <v>44617.0</v>
      </c>
      <c r="M232" s="101">
        <v>0.5033796296296297</v>
      </c>
      <c r="O232" s="229"/>
    </row>
    <row r="233">
      <c r="A233" s="2" t="s">
        <v>1677</v>
      </c>
      <c r="B233" s="100">
        <v>44617.0</v>
      </c>
      <c r="C233" s="101">
        <v>0.34032407407407406</v>
      </c>
      <c r="H233" s="229"/>
      <c r="K233" s="2" t="s">
        <v>244</v>
      </c>
      <c r="L233" s="100">
        <v>44617.0</v>
      </c>
      <c r="M233" s="101">
        <v>0.5033796296296297</v>
      </c>
      <c r="O233" s="227"/>
    </row>
    <row r="234">
      <c r="A234" s="2" t="s">
        <v>1675</v>
      </c>
      <c r="B234" s="100">
        <v>44617.0</v>
      </c>
      <c r="C234" s="101">
        <v>0.3387847222222222</v>
      </c>
      <c r="H234" s="229"/>
      <c r="K234" s="2" t="s">
        <v>244</v>
      </c>
      <c r="L234" s="100">
        <v>44617.0</v>
      </c>
      <c r="M234" s="101">
        <v>0.5033796296296297</v>
      </c>
      <c r="O234" s="227"/>
    </row>
    <row r="235">
      <c r="A235" s="2" t="s">
        <v>1673</v>
      </c>
      <c r="B235" s="100">
        <v>44617.0</v>
      </c>
      <c r="C235" s="101">
        <v>0.3329050925925926</v>
      </c>
      <c r="H235" s="229"/>
      <c r="K235" s="2" t="s">
        <v>244</v>
      </c>
      <c r="L235" s="100">
        <v>44617.0</v>
      </c>
      <c r="M235" s="101">
        <v>0.5033796296296297</v>
      </c>
      <c r="O235" s="227"/>
    </row>
    <row r="236">
      <c r="A236" s="2" t="s">
        <v>1671</v>
      </c>
      <c r="B236" s="100">
        <v>44617.0</v>
      </c>
      <c r="C236" s="101">
        <v>0.3321875</v>
      </c>
      <c r="H236" s="229"/>
      <c r="K236" s="2" t="s">
        <v>244</v>
      </c>
      <c r="L236" s="100">
        <v>44617.0</v>
      </c>
      <c r="M236" s="101">
        <v>0.5033796296296297</v>
      </c>
      <c r="O236" s="227"/>
    </row>
    <row r="237">
      <c r="A237" s="2" t="s">
        <v>1669</v>
      </c>
      <c r="B237" s="100">
        <v>44617.0</v>
      </c>
      <c r="C237" s="101">
        <v>0.3319328703703704</v>
      </c>
      <c r="H237" s="229"/>
      <c r="K237" s="2" t="s">
        <v>244</v>
      </c>
      <c r="L237" s="100">
        <v>44617.0</v>
      </c>
      <c r="M237" s="101">
        <v>0.5033796296296297</v>
      </c>
      <c r="O237" s="227"/>
    </row>
    <row r="238">
      <c r="A238" s="2" t="s">
        <v>1667</v>
      </c>
      <c r="B238" s="100">
        <v>44617.0</v>
      </c>
      <c r="C238" s="101">
        <v>0.33167824074074076</v>
      </c>
      <c r="H238" s="229"/>
      <c r="K238" s="2" t="s">
        <v>244</v>
      </c>
      <c r="L238" s="100">
        <v>44617.0</v>
      </c>
      <c r="M238" s="101">
        <v>0.5033796296296297</v>
      </c>
      <c r="O238" s="227"/>
    </row>
    <row r="239">
      <c r="A239" s="2" t="s">
        <v>1665</v>
      </c>
      <c r="B239" s="100">
        <v>44617.0</v>
      </c>
      <c r="C239" s="101">
        <v>0.3313773148148148</v>
      </c>
      <c r="H239" s="229"/>
      <c r="K239" s="2" t="s">
        <v>244</v>
      </c>
      <c r="L239" s="100">
        <v>44617.0</v>
      </c>
      <c r="M239" s="101">
        <v>0.5033796296296297</v>
      </c>
      <c r="O239" s="227"/>
    </row>
    <row r="240">
      <c r="A240" s="2" t="s">
        <v>1661</v>
      </c>
      <c r="B240" s="100">
        <v>44617.0</v>
      </c>
      <c r="C240" s="101">
        <v>0.3313425925925926</v>
      </c>
      <c r="H240" s="229"/>
      <c r="K240" s="2" t="s">
        <v>244</v>
      </c>
      <c r="L240" s="100">
        <v>44617.0</v>
      </c>
      <c r="M240" s="101">
        <v>0.5033796296296297</v>
      </c>
      <c r="O240" s="227"/>
    </row>
    <row r="241">
      <c r="A241" s="2" t="s">
        <v>1659</v>
      </c>
      <c r="B241" s="100">
        <v>44617.0</v>
      </c>
      <c r="C241" s="101">
        <v>0.3303935185185185</v>
      </c>
      <c r="H241" s="229"/>
      <c r="K241" s="2" t="s">
        <v>244</v>
      </c>
      <c r="L241" s="100">
        <v>44617.0</v>
      </c>
      <c r="M241" s="101">
        <v>0.5033796296296297</v>
      </c>
      <c r="O241" s="227"/>
    </row>
    <row r="242">
      <c r="A242" s="2" t="s">
        <v>1655</v>
      </c>
      <c r="B242" s="100">
        <v>44617.0</v>
      </c>
      <c r="C242" s="101">
        <v>0.3297453703703704</v>
      </c>
      <c r="H242" s="229"/>
      <c r="K242" s="2" t="s">
        <v>244</v>
      </c>
      <c r="L242" s="100">
        <v>44617.0</v>
      </c>
      <c r="M242" s="101">
        <v>0.5033796296296297</v>
      </c>
      <c r="O242" s="227"/>
    </row>
    <row r="243">
      <c r="A243" s="2" t="s">
        <v>1653</v>
      </c>
      <c r="B243" s="100">
        <v>44617.0</v>
      </c>
      <c r="C243" s="101">
        <v>0.32384259259259257</v>
      </c>
      <c r="H243" s="229"/>
      <c r="K243" s="2" t="s">
        <v>244</v>
      </c>
      <c r="L243" s="100">
        <v>44617.0</v>
      </c>
      <c r="M243" s="101">
        <v>0.5033796296296297</v>
      </c>
      <c r="O243" s="227"/>
    </row>
    <row r="244">
      <c r="A244" s="2" t="s">
        <v>1651</v>
      </c>
      <c r="B244" s="100">
        <v>44617.0</v>
      </c>
      <c r="C244" s="101">
        <v>0.3227083333333333</v>
      </c>
      <c r="H244" s="229"/>
      <c r="K244" s="2" t="s">
        <v>244</v>
      </c>
      <c r="L244" s="100">
        <v>44617.0</v>
      </c>
      <c r="M244" s="101">
        <v>0.5033796296296297</v>
      </c>
      <c r="O244" s="227"/>
    </row>
    <row r="245">
      <c r="A245" s="2" t="s">
        <v>1649</v>
      </c>
      <c r="B245" s="100">
        <v>44617.0</v>
      </c>
      <c r="C245" s="101">
        <v>0.32081018518518517</v>
      </c>
      <c r="H245" s="229"/>
      <c r="K245" s="2" t="s">
        <v>244</v>
      </c>
      <c r="L245" s="100">
        <v>44617.0</v>
      </c>
      <c r="M245" s="101">
        <v>0.5033796296296297</v>
      </c>
      <c r="O245" s="227"/>
    </row>
    <row r="246">
      <c r="A246" s="2" t="s">
        <v>1647</v>
      </c>
      <c r="B246" s="100">
        <v>44617.0</v>
      </c>
      <c r="C246" s="101">
        <v>0.3203472222222222</v>
      </c>
      <c r="H246" s="229"/>
      <c r="K246" s="2" t="s">
        <v>244</v>
      </c>
      <c r="L246" s="100">
        <v>44617.0</v>
      </c>
      <c r="M246" s="101">
        <v>0.5033680555555555</v>
      </c>
      <c r="O246" s="227"/>
    </row>
    <row r="247">
      <c r="A247" s="2" t="s">
        <v>1645</v>
      </c>
      <c r="B247" s="100">
        <v>44617.0</v>
      </c>
      <c r="C247" s="101">
        <v>0.32025462962962964</v>
      </c>
      <c r="H247" s="229"/>
      <c r="K247" s="2" t="s">
        <v>244</v>
      </c>
      <c r="L247" s="100">
        <v>44617.0</v>
      </c>
      <c r="M247" s="101">
        <v>0.5033796296296297</v>
      </c>
      <c r="O247" s="227"/>
    </row>
    <row r="248">
      <c r="A248" s="2" t="s">
        <v>1643</v>
      </c>
      <c r="B248" s="100">
        <v>44617.0</v>
      </c>
      <c r="C248" s="101">
        <v>0.32024305555555554</v>
      </c>
      <c r="H248" s="229"/>
      <c r="K248" s="2" t="s">
        <v>244</v>
      </c>
      <c r="L248" s="100">
        <v>44617.0</v>
      </c>
      <c r="M248" s="101">
        <v>0.5033680555555555</v>
      </c>
      <c r="O248" s="227"/>
    </row>
    <row r="249">
      <c r="A249" s="2" t="s">
        <v>1641</v>
      </c>
      <c r="B249" s="100">
        <v>44617.0</v>
      </c>
      <c r="C249" s="101">
        <v>0.3202199074074074</v>
      </c>
      <c r="H249" s="229"/>
      <c r="K249" s="2" t="s">
        <v>244</v>
      </c>
      <c r="L249" s="100">
        <v>44617.0</v>
      </c>
      <c r="M249" s="101">
        <v>0.5033680555555555</v>
      </c>
      <c r="O249" s="227"/>
    </row>
    <row r="250">
      <c r="A250" s="2" t="s">
        <v>1637</v>
      </c>
      <c r="B250" s="100">
        <v>44617.0</v>
      </c>
      <c r="C250" s="101">
        <v>0.31871527777777775</v>
      </c>
      <c r="H250" s="229"/>
      <c r="K250" s="2" t="s">
        <v>244</v>
      </c>
      <c r="L250" s="100">
        <v>44617.0</v>
      </c>
      <c r="M250" s="101">
        <v>0.5033680555555555</v>
      </c>
      <c r="O250" s="227"/>
    </row>
    <row r="251">
      <c r="A251" s="2" t="s">
        <v>1635</v>
      </c>
      <c r="B251" s="100">
        <v>44617.0</v>
      </c>
      <c r="C251" s="101">
        <v>0.31829861111111113</v>
      </c>
      <c r="H251" s="229"/>
      <c r="K251" s="2" t="s">
        <v>244</v>
      </c>
      <c r="L251" s="100">
        <v>44617.0</v>
      </c>
      <c r="M251" s="101">
        <v>0.5033680555555555</v>
      </c>
      <c r="O251" s="227"/>
    </row>
    <row r="252">
      <c r="A252" s="2" t="s">
        <v>1633</v>
      </c>
      <c r="B252" s="100">
        <v>44617.0</v>
      </c>
      <c r="C252" s="101">
        <v>0.31754629629629627</v>
      </c>
      <c r="H252" s="229"/>
      <c r="K252" s="2" t="s">
        <v>244</v>
      </c>
      <c r="L252" s="100">
        <v>44617.0</v>
      </c>
      <c r="M252" s="101">
        <v>0.5033680555555555</v>
      </c>
      <c r="O252" s="227"/>
    </row>
    <row r="253">
      <c r="A253" s="2" t="s">
        <v>1629</v>
      </c>
      <c r="B253" s="100">
        <v>44617.0</v>
      </c>
      <c r="C253" s="101">
        <v>0.3128009259259259</v>
      </c>
      <c r="H253" s="229"/>
      <c r="K253" s="2" t="s">
        <v>244</v>
      </c>
      <c r="L253" s="100">
        <v>44617.0</v>
      </c>
      <c r="M253" s="101">
        <v>0.5033680555555555</v>
      </c>
      <c r="O253" s="227"/>
    </row>
    <row r="254">
      <c r="A254" s="2" t="s">
        <v>1627</v>
      </c>
      <c r="B254" s="100">
        <v>44617.0</v>
      </c>
      <c r="C254" s="101">
        <v>0.30627314814814816</v>
      </c>
      <c r="H254" s="229"/>
      <c r="K254" s="2" t="s">
        <v>244</v>
      </c>
      <c r="L254" s="100">
        <v>44617.0</v>
      </c>
      <c r="M254" s="101">
        <v>0.5033680555555555</v>
      </c>
      <c r="O254" s="227"/>
    </row>
    <row r="255">
      <c r="A255" s="2" t="s">
        <v>1625</v>
      </c>
      <c r="B255" s="100">
        <v>44617.0</v>
      </c>
      <c r="C255" s="101">
        <v>0.30461805555555554</v>
      </c>
      <c r="H255" s="229"/>
      <c r="K255" s="2" t="s">
        <v>244</v>
      </c>
      <c r="L255" s="100">
        <v>44617.0</v>
      </c>
      <c r="M255" s="101">
        <v>0.5033680555555555</v>
      </c>
      <c r="O255" s="227"/>
    </row>
    <row r="256">
      <c r="A256" s="2" t="s">
        <v>1623</v>
      </c>
      <c r="B256" s="100">
        <v>44617.0</v>
      </c>
      <c r="C256" s="101">
        <v>0.3043518518518519</v>
      </c>
      <c r="H256" s="229"/>
      <c r="K256" s="2" t="s">
        <v>244</v>
      </c>
      <c r="L256" s="100">
        <v>44617.0</v>
      </c>
      <c r="M256" s="101">
        <v>0.5033680555555555</v>
      </c>
      <c r="O256" s="227"/>
    </row>
    <row r="257">
      <c r="A257" s="2" t="s">
        <v>1621</v>
      </c>
      <c r="B257" s="100">
        <v>44617.0</v>
      </c>
      <c r="C257" s="101">
        <v>0.30302083333333335</v>
      </c>
      <c r="H257" s="229"/>
      <c r="K257" s="2" t="s">
        <v>244</v>
      </c>
      <c r="L257" s="100">
        <v>44617.0</v>
      </c>
      <c r="M257" s="101">
        <v>0.5033680555555555</v>
      </c>
      <c r="O257" s="227"/>
    </row>
    <row r="258">
      <c r="A258" s="2" t="s">
        <v>1619</v>
      </c>
      <c r="B258" s="100">
        <v>44617.0</v>
      </c>
      <c r="C258" s="101">
        <v>0.3025115740740741</v>
      </c>
      <c r="H258" s="229"/>
      <c r="K258" s="2" t="s">
        <v>244</v>
      </c>
      <c r="L258" s="100">
        <v>44617.0</v>
      </c>
      <c r="M258" s="101">
        <v>0.5033680555555555</v>
      </c>
      <c r="O258" s="227"/>
    </row>
    <row r="259">
      <c r="A259" s="2" t="s">
        <v>1617</v>
      </c>
      <c r="B259" s="100">
        <v>44617.0</v>
      </c>
      <c r="C259" s="101">
        <v>0.3017476851851852</v>
      </c>
      <c r="H259" s="229"/>
      <c r="K259" s="2" t="s">
        <v>244</v>
      </c>
      <c r="L259" s="100">
        <v>44617.0</v>
      </c>
      <c r="M259" s="101">
        <v>0.5033680555555555</v>
      </c>
      <c r="O259" s="227"/>
    </row>
    <row r="260">
      <c r="A260" s="2" t="s">
        <v>1615</v>
      </c>
      <c r="B260" s="100">
        <v>44617.0</v>
      </c>
      <c r="C260" s="101">
        <v>0.29310185185185184</v>
      </c>
      <c r="H260" s="229"/>
      <c r="K260" s="2" t="s">
        <v>244</v>
      </c>
      <c r="L260" s="100">
        <v>44617.0</v>
      </c>
      <c r="M260" s="101">
        <v>0.5033680555555555</v>
      </c>
      <c r="O260" s="227"/>
    </row>
    <row r="261">
      <c r="A261" s="2" t="s">
        <v>1613</v>
      </c>
      <c r="B261" s="100">
        <v>44615.0</v>
      </c>
      <c r="C261" s="101">
        <v>0.41844907407407406</v>
      </c>
      <c r="H261" s="229"/>
      <c r="K261" s="2" t="s">
        <v>52</v>
      </c>
      <c r="L261" s="100">
        <v>44615.0</v>
      </c>
      <c r="M261" s="101">
        <v>0.49126157407407406</v>
      </c>
      <c r="O261" s="227"/>
    </row>
    <row r="262">
      <c r="A262" s="2" t="s">
        <v>1611</v>
      </c>
      <c r="B262" s="100">
        <v>44615.0</v>
      </c>
      <c r="C262" s="101">
        <v>0.4183912037037037</v>
      </c>
      <c r="H262" s="229"/>
      <c r="K262" s="2" t="s">
        <v>52</v>
      </c>
      <c r="L262" s="100">
        <v>44615.0</v>
      </c>
      <c r="M262" s="101">
        <v>0.49126157407407406</v>
      </c>
      <c r="O262" s="227"/>
    </row>
    <row r="263">
      <c r="A263" s="2" t="s">
        <v>1609</v>
      </c>
      <c r="B263" s="100">
        <v>44615.0</v>
      </c>
      <c r="C263" s="101">
        <v>0.39533564814814814</v>
      </c>
      <c r="H263" s="229"/>
      <c r="K263" s="2" t="s">
        <v>52</v>
      </c>
      <c r="L263" s="100">
        <v>44615.0</v>
      </c>
      <c r="M263" s="101">
        <v>0.49126157407407406</v>
      </c>
      <c r="O263" s="227"/>
    </row>
    <row r="264">
      <c r="A264" s="2" t="s">
        <v>1607</v>
      </c>
      <c r="B264" s="100">
        <v>44615.0</v>
      </c>
      <c r="C264" s="101">
        <v>0.38722222222222225</v>
      </c>
      <c r="H264" s="229"/>
      <c r="K264" s="2" t="s">
        <v>52</v>
      </c>
      <c r="L264" s="100">
        <v>44615.0</v>
      </c>
      <c r="M264" s="101">
        <v>0.49126157407407406</v>
      </c>
      <c r="O264" s="227"/>
    </row>
    <row r="265">
      <c r="A265" s="2" t="s">
        <v>1605</v>
      </c>
      <c r="B265" s="100">
        <v>44615.0</v>
      </c>
      <c r="C265" s="101">
        <v>0.3441782407407407</v>
      </c>
      <c r="H265" s="229"/>
      <c r="K265" s="2" t="s">
        <v>52</v>
      </c>
      <c r="L265" s="100">
        <v>44615.0</v>
      </c>
      <c r="M265" s="101">
        <v>0.49126157407407406</v>
      </c>
      <c r="O265" s="227"/>
    </row>
    <row r="266">
      <c r="A266" s="2" t="s">
        <v>1603</v>
      </c>
      <c r="B266" s="100">
        <v>44615.0</v>
      </c>
      <c r="C266" s="101">
        <v>0.3433217592592593</v>
      </c>
      <c r="H266" s="229"/>
      <c r="K266" s="2" t="s">
        <v>52</v>
      </c>
      <c r="L266" s="100">
        <v>44615.0</v>
      </c>
      <c r="M266" s="101">
        <v>0.49126157407407406</v>
      </c>
      <c r="O266" s="227"/>
    </row>
    <row r="267">
      <c r="A267" s="2" t="s">
        <v>1601</v>
      </c>
      <c r="B267" s="100">
        <v>44615.0</v>
      </c>
      <c r="C267" s="101">
        <v>0.3431828703703704</v>
      </c>
      <c r="H267" s="229"/>
      <c r="K267" s="2" t="s">
        <v>52</v>
      </c>
      <c r="L267" s="100">
        <v>44615.0</v>
      </c>
      <c r="M267" s="101">
        <v>0.49125</v>
      </c>
      <c r="O267" s="227"/>
    </row>
    <row r="268">
      <c r="A268" s="2" t="s">
        <v>1599</v>
      </c>
      <c r="B268" s="100">
        <v>44615.0</v>
      </c>
      <c r="C268" s="101">
        <v>0.34300925925925924</v>
      </c>
      <c r="H268" s="229"/>
      <c r="K268" s="2" t="s">
        <v>52</v>
      </c>
      <c r="L268" s="100">
        <v>44615.0</v>
      </c>
      <c r="M268" s="101">
        <v>0.49125</v>
      </c>
      <c r="O268" s="227"/>
    </row>
    <row r="269">
      <c r="A269" s="2" t="s">
        <v>1597</v>
      </c>
      <c r="B269" s="100">
        <v>44615.0</v>
      </c>
      <c r="C269" s="101">
        <v>0.342349537037037</v>
      </c>
      <c r="H269" s="229"/>
      <c r="K269" s="2" t="s">
        <v>52</v>
      </c>
      <c r="L269" s="100">
        <v>44615.0</v>
      </c>
      <c r="M269" s="101">
        <v>0.49125</v>
      </c>
      <c r="O269" s="227"/>
    </row>
    <row r="270">
      <c r="A270" s="2" t="s">
        <v>1595</v>
      </c>
      <c r="B270" s="100">
        <v>44615.0</v>
      </c>
      <c r="C270" s="101">
        <v>0.3422685185185185</v>
      </c>
      <c r="H270" s="229"/>
      <c r="K270" s="2" t="s">
        <v>52</v>
      </c>
      <c r="L270" s="100">
        <v>44615.0</v>
      </c>
      <c r="M270" s="101">
        <v>0.49125</v>
      </c>
      <c r="O270" s="227"/>
    </row>
    <row r="271">
      <c r="A271" s="2" t="s">
        <v>1593</v>
      </c>
      <c r="B271" s="100">
        <v>44615.0</v>
      </c>
      <c r="C271" s="101">
        <v>0.33788194444444447</v>
      </c>
      <c r="H271" s="229"/>
      <c r="K271" s="2" t="s">
        <v>52</v>
      </c>
      <c r="L271" s="100">
        <v>44615.0</v>
      </c>
      <c r="M271" s="101">
        <v>0.49125</v>
      </c>
      <c r="O271" s="227"/>
    </row>
    <row r="272">
      <c r="A272" s="2" t="s">
        <v>1591</v>
      </c>
      <c r="B272" s="100">
        <v>44615.0</v>
      </c>
      <c r="C272" s="101">
        <v>0.33663194444444444</v>
      </c>
      <c r="H272" s="229"/>
      <c r="K272" s="2" t="s">
        <v>52</v>
      </c>
      <c r="L272" s="100">
        <v>44615.0</v>
      </c>
      <c r="M272" s="101">
        <v>0.49125</v>
      </c>
      <c r="O272" s="227"/>
    </row>
    <row r="273">
      <c r="A273" s="2" t="s">
        <v>1589</v>
      </c>
      <c r="B273" s="100">
        <v>44615.0</v>
      </c>
      <c r="C273" s="101">
        <v>0.3352893518518518</v>
      </c>
      <c r="H273" s="229"/>
      <c r="K273" s="2" t="s">
        <v>52</v>
      </c>
      <c r="L273" s="100">
        <v>44615.0</v>
      </c>
      <c r="M273" s="101">
        <v>0.49125</v>
      </c>
      <c r="O273" s="227"/>
    </row>
    <row r="274">
      <c r="A274" s="2" t="s">
        <v>1587</v>
      </c>
      <c r="B274" s="100">
        <v>44615.0</v>
      </c>
      <c r="C274" s="101">
        <v>0.33490740740740743</v>
      </c>
      <c r="H274" s="229"/>
      <c r="K274" s="2" t="s">
        <v>52</v>
      </c>
      <c r="L274" s="100">
        <v>44615.0</v>
      </c>
      <c r="M274" s="101">
        <v>0.49125</v>
      </c>
      <c r="O274" s="227"/>
    </row>
    <row r="275">
      <c r="A275" s="2" t="s">
        <v>1585</v>
      </c>
      <c r="B275" s="100">
        <v>44615.0</v>
      </c>
      <c r="C275" s="101">
        <v>0.33231481481481484</v>
      </c>
      <c r="H275" s="229"/>
      <c r="K275" s="2" t="s">
        <v>52</v>
      </c>
      <c r="L275" s="100">
        <v>44615.0</v>
      </c>
      <c r="M275" s="101">
        <v>0.49125</v>
      </c>
      <c r="O275" s="227"/>
    </row>
    <row r="276">
      <c r="A276" s="2" t="s">
        <v>1583</v>
      </c>
      <c r="B276" s="100">
        <v>44615.0</v>
      </c>
      <c r="C276" s="101">
        <v>0.3322569444444444</v>
      </c>
      <c r="H276" s="229"/>
      <c r="K276" s="2" t="s">
        <v>52</v>
      </c>
      <c r="L276" s="100">
        <v>44615.0</v>
      </c>
      <c r="M276" s="101">
        <v>0.49125</v>
      </c>
      <c r="O276" s="227"/>
    </row>
    <row r="277">
      <c r="A277" s="2" t="s">
        <v>1581</v>
      </c>
      <c r="B277" s="100">
        <v>44615.0</v>
      </c>
      <c r="C277" s="101">
        <v>0.33125</v>
      </c>
      <c r="H277" s="229"/>
      <c r="K277" s="2" t="s">
        <v>52</v>
      </c>
      <c r="L277" s="100">
        <v>44615.0</v>
      </c>
      <c r="M277" s="101">
        <v>0.49125</v>
      </c>
      <c r="O277" s="227"/>
    </row>
    <row r="278">
      <c r="A278" s="2" t="s">
        <v>1579</v>
      </c>
      <c r="B278" s="100">
        <v>44615.0</v>
      </c>
      <c r="C278" s="101">
        <v>0.3284375</v>
      </c>
      <c r="H278" s="229"/>
      <c r="K278" s="2" t="s">
        <v>52</v>
      </c>
      <c r="L278" s="100">
        <v>44615.0</v>
      </c>
      <c r="M278" s="101">
        <v>0.49125</v>
      </c>
      <c r="O278" s="227"/>
    </row>
    <row r="279">
      <c r="A279" s="2" t="s">
        <v>1577</v>
      </c>
      <c r="B279" s="100">
        <v>44615.0</v>
      </c>
      <c r="C279" s="101">
        <v>0.3237962962962963</v>
      </c>
      <c r="H279" s="229"/>
      <c r="K279" s="2" t="s">
        <v>52</v>
      </c>
      <c r="L279" s="100">
        <v>44615.0</v>
      </c>
      <c r="M279" s="101">
        <v>0.49125</v>
      </c>
      <c r="O279" s="227"/>
    </row>
    <row r="280">
      <c r="A280" s="2" t="s">
        <v>1574</v>
      </c>
      <c r="B280" s="100">
        <v>44615.0</v>
      </c>
      <c r="C280" s="101">
        <v>0.321712962962963</v>
      </c>
      <c r="H280" s="229"/>
      <c r="K280" s="2" t="s">
        <v>52</v>
      </c>
      <c r="L280" s="100">
        <v>44615.0</v>
      </c>
      <c r="M280" s="101">
        <v>0.49125</v>
      </c>
      <c r="O280" s="227"/>
    </row>
    <row r="281">
      <c r="A281" s="2" t="s">
        <v>1572</v>
      </c>
      <c r="B281" s="100">
        <v>44615.0</v>
      </c>
      <c r="C281" s="101">
        <v>0.32104166666666667</v>
      </c>
      <c r="H281" s="229"/>
      <c r="K281" s="2" t="s">
        <v>52</v>
      </c>
      <c r="L281" s="100">
        <v>44615.0</v>
      </c>
      <c r="M281" s="101">
        <v>0.49125</v>
      </c>
      <c r="O281" s="227"/>
    </row>
    <row r="282">
      <c r="A282" s="2" t="s">
        <v>1570</v>
      </c>
      <c r="B282" s="100">
        <v>44615.0</v>
      </c>
      <c r="C282" s="101">
        <v>0.31958333333333333</v>
      </c>
      <c r="H282" s="229"/>
      <c r="K282" s="2" t="s">
        <v>52</v>
      </c>
      <c r="L282" s="100">
        <v>44615.0</v>
      </c>
      <c r="M282" s="101">
        <v>0.4912384259259259</v>
      </c>
      <c r="O282" s="227"/>
    </row>
    <row r="283">
      <c r="A283" s="2" t="s">
        <v>1568</v>
      </c>
      <c r="B283" s="100">
        <v>44615.0</v>
      </c>
      <c r="C283" s="101">
        <v>0.3146412037037037</v>
      </c>
      <c r="H283" s="229"/>
      <c r="K283" s="2" t="s">
        <v>52</v>
      </c>
      <c r="L283" s="100">
        <v>44615.0</v>
      </c>
      <c r="M283" s="101">
        <v>0.4912384259259259</v>
      </c>
      <c r="O283" s="227"/>
    </row>
    <row r="284">
      <c r="A284" s="2" t="s">
        <v>1566</v>
      </c>
      <c r="B284" s="100">
        <v>44615.0</v>
      </c>
      <c r="C284" s="101">
        <v>0.31449074074074074</v>
      </c>
      <c r="H284" s="229"/>
      <c r="K284" s="2" t="s">
        <v>52</v>
      </c>
      <c r="L284" s="100">
        <v>44615.0</v>
      </c>
      <c r="M284" s="101">
        <v>0.4912384259259259</v>
      </c>
      <c r="O284" s="227"/>
    </row>
    <row r="285">
      <c r="A285" s="2" t="s">
        <v>1564</v>
      </c>
      <c r="B285" s="100">
        <v>44615.0</v>
      </c>
      <c r="C285" s="101">
        <v>0.3108912037037037</v>
      </c>
      <c r="H285" s="229"/>
      <c r="K285" s="2" t="s">
        <v>52</v>
      </c>
      <c r="L285" s="100">
        <v>44615.0</v>
      </c>
      <c r="M285" s="101">
        <v>0.4912384259259259</v>
      </c>
      <c r="O285" s="227"/>
    </row>
    <row r="286">
      <c r="A286" s="2" t="s">
        <v>1560</v>
      </c>
      <c r="B286" s="100">
        <v>44615.0</v>
      </c>
      <c r="C286" s="101">
        <v>0.3097800925925926</v>
      </c>
      <c r="H286" s="229"/>
      <c r="K286" s="2" t="s">
        <v>52</v>
      </c>
      <c r="L286" s="100">
        <v>44615.0</v>
      </c>
      <c r="M286" s="101">
        <v>0.4912384259259259</v>
      </c>
      <c r="O286" s="227"/>
    </row>
    <row r="287">
      <c r="A287" s="2" t="s">
        <v>1558</v>
      </c>
      <c r="B287" s="100">
        <v>44615.0</v>
      </c>
      <c r="C287" s="101">
        <v>0.30931712962962965</v>
      </c>
      <c r="H287" s="229"/>
      <c r="K287" s="2" t="s">
        <v>52</v>
      </c>
      <c r="L287" s="100">
        <v>44615.0</v>
      </c>
      <c r="M287" s="101">
        <v>0.4912384259259259</v>
      </c>
      <c r="O287" s="227"/>
    </row>
    <row r="288">
      <c r="A288" s="2" t="s">
        <v>1556</v>
      </c>
      <c r="B288" s="100">
        <v>44615.0</v>
      </c>
      <c r="C288" s="101">
        <v>0.3092361111111111</v>
      </c>
      <c r="H288" s="229"/>
      <c r="K288" s="2" t="s">
        <v>52</v>
      </c>
      <c r="L288" s="100">
        <v>44615.0</v>
      </c>
      <c r="M288" s="101">
        <v>0.4912384259259259</v>
      </c>
      <c r="O288" s="227"/>
    </row>
    <row r="289">
      <c r="A289" s="2" t="s">
        <v>1554</v>
      </c>
      <c r="B289" s="100">
        <v>44615.0</v>
      </c>
      <c r="C289" s="101">
        <v>0.3086689814814815</v>
      </c>
      <c r="H289" s="229"/>
      <c r="K289" s="2" t="s">
        <v>52</v>
      </c>
      <c r="L289" s="100">
        <v>44615.0</v>
      </c>
      <c r="M289" s="101">
        <v>0.4912384259259259</v>
      </c>
      <c r="O289" s="227"/>
    </row>
    <row r="290">
      <c r="A290" s="2" t="s">
        <v>1552</v>
      </c>
      <c r="B290" s="100">
        <v>44615.0</v>
      </c>
      <c r="C290" s="101">
        <v>0.30679398148148146</v>
      </c>
      <c r="H290" s="229"/>
      <c r="K290" s="2" t="s">
        <v>52</v>
      </c>
      <c r="L290" s="100">
        <v>44615.0</v>
      </c>
      <c r="M290" s="101">
        <v>0.4912384259259259</v>
      </c>
      <c r="O290" s="227"/>
    </row>
    <row r="291">
      <c r="A291" s="2" t="s">
        <v>1550</v>
      </c>
      <c r="B291" s="100">
        <v>44615.0</v>
      </c>
      <c r="C291" s="101">
        <v>0.3012384259259259</v>
      </c>
      <c r="H291" s="229"/>
      <c r="K291" s="2" t="s">
        <v>52</v>
      </c>
      <c r="L291" s="100">
        <v>44615.0</v>
      </c>
      <c r="M291" s="101">
        <v>0.4912384259259259</v>
      </c>
      <c r="O291" s="227"/>
    </row>
    <row r="292">
      <c r="A292" s="2" t="s">
        <v>1548</v>
      </c>
      <c r="B292" s="100">
        <v>44615.0</v>
      </c>
      <c r="C292" s="101">
        <v>0.2953587962962963</v>
      </c>
      <c r="H292" s="229"/>
      <c r="K292" s="2" t="s">
        <v>52</v>
      </c>
      <c r="L292" s="100">
        <v>44615.0</v>
      </c>
      <c r="M292" s="101">
        <v>0.4912384259259259</v>
      </c>
      <c r="O292" s="227"/>
    </row>
    <row r="293">
      <c r="A293" s="2" t="s">
        <v>1546</v>
      </c>
      <c r="B293" s="100">
        <v>44615.0</v>
      </c>
      <c r="C293" s="101">
        <v>0.29224537037037035</v>
      </c>
      <c r="H293" s="229"/>
      <c r="K293" s="2" t="s">
        <v>52</v>
      </c>
      <c r="L293" s="100">
        <v>44615.0</v>
      </c>
      <c r="M293" s="101">
        <v>0.4912384259259259</v>
      </c>
      <c r="O293" s="227"/>
    </row>
    <row r="294">
      <c r="A294" s="2" t="s">
        <v>1543</v>
      </c>
      <c r="B294" s="100">
        <v>44615.0</v>
      </c>
      <c r="C294" s="101">
        <v>0.2632523148148148</v>
      </c>
      <c r="H294" s="229"/>
      <c r="K294" s="2" t="s">
        <v>52</v>
      </c>
      <c r="L294" s="100">
        <v>44615.0</v>
      </c>
      <c r="M294" s="101">
        <v>0.49122685185185183</v>
      </c>
      <c r="O294" s="229"/>
    </row>
    <row r="295">
      <c r="A295" s="2" t="s">
        <v>1541</v>
      </c>
      <c r="B295" s="100">
        <v>44614.0</v>
      </c>
      <c r="C295" s="101">
        <v>0.3566898148148148</v>
      </c>
      <c r="H295" s="229"/>
      <c r="K295" s="2" t="s">
        <v>52</v>
      </c>
      <c r="L295" s="100">
        <v>44614.0</v>
      </c>
      <c r="M295" s="101">
        <v>0.6649768518518518</v>
      </c>
      <c r="O295" s="227"/>
    </row>
    <row r="296">
      <c r="A296" s="2" t="s">
        <v>1539</v>
      </c>
      <c r="B296" s="100">
        <v>44613.0</v>
      </c>
      <c r="C296" s="101">
        <v>0.3566898148148148</v>
      </c>
      <c r="H296" s="229"/>
      <c r="K296" s="2" t="s">
        <v>244</v>
      </c>
      <c r="L296" s="100">
        <v>44613.0</v>
      </c>
      <c r="M296" s="101">
        <v>0.4694212962962963</v>
      </c>
      <c r="O296" s="227"/>
    </row>
    <row r="297">
      <c r="A297" s="2" t="s">
        <v>1537</v>
      </c>
      <c r="B297" s="100">
        <v>44613.0</v>
      </c>
      <c r="C297" s="101">
        <v>0.3421064814814815</v>
      </c>
      <c r="H297" s="229"/>
      <c r="K297" s="2" t="s">
        <v>244</v>
      </c>
      <c r="L297" s="100">
        <v>44613.0</v>
      </c>
      <c r="M297" s="101">
        <v>0.4694212962962963</v>
      </c>
      <c r="O297" s="227"/>
    </row>
    <row r="298">
      <c r="A298" s="2" t="s">
        <v>1535</v>
      </c>
      <c r="B298" s="100">
        <v>44613.0</v>
      </c>
      <c r="C298" s="101">
        <v>0.32894675925925926</v>
      </c>
      <c r="H298" s="229"/>
      <c r="K298" s="2" t="s">
        <v>244</v>
      </c>
      <c r="L298" s="100">
        <v>44613.0</v>
      </c>
      <c r="M298" s="101">
        <v>0.4694097222222222</v>
      </c>
      <c r="O298" s="227"/>
    </row>
    <row r="299">
      <c r="A299" s="2" t="s">
        <v>1533</v>
      </c>
      <c r="B299" s="100">
        <v>44613.0</v>
      </c>
      <c r="C299" s="101">
        <v>0.3271875</v>
      </c>
      <c r="H299" s="229"/>
      <c r="K299" s="2" t="s">
        <v>244</v>
      </c>
      <c r="L299" s="100">
        <v>44613.0</v>
      </c>
      <c r="M299" s="101">
        <v>0.4694097222222222</v>
      </c>
      <c r="O299" s="227"/>
    </row>
    <row r="300">
      <c r="A300" s="2" t="s">
        <v>1531</v>
      </c>
      <c r="B300" s="100">
        <v>44613.0</v>
      </c>
      <c r="C300" s="101">
        <v>0.3244097222222222</v>
      </c>
      <c r="H300" s="229"/>
      <c r="K300" s="2" t="s">
        <v>244</v>
      </c>
      <c r="L300" s="100">
        <v>44613.0</v>
      </c>
      <c r="M300" s="101">
        <v>0.4694097222222222</v>
      </c>
      <c r="O300" s="227"/>
    </row>
    <row r="301">
      <c r="A301" s="2" t="s">
        <v>1529</v>
      </c>
      <c r="B301" s="100">
        <v>44613.0</v>
      </c>
      <c r="C301" s="101">
        <v>0.3222685185185185</v>
      </c>
      <c r="H301" s="229"/>
      <c r="K301" s="2" t="s">
        <v>244</v>
      </c>
      <c r="L301" s="100">
        <v>44613.0</v>
      </c>
      <c r="M301" s="101">
        <v>0.4694097222222222</v>
      </c>
      <c r="O301" s="227"/>
    </row>
    <row r="302">
      <c r="A302" s="2" t="s">
        <v>1527</v>
      </c>
      <c r="B302" s="100">
        <v>44613.0</v>
      </c>
      <c r="C302" s="101">
        <v>0.3221643518518518</v>
      </c>
      <c r="H302" s="229"/>
      <c r="K302" s="2" t="s">
        <v>244</v>
      </c>
      <c r="L302" s="100">
        <v>44613.0</v>
      </c>
      <c r="M302" s="101">
        <v>0.4694097222222222</v>
      </c>
      <c r="O302" s="227"/>
    </row>
    <row r="303">
      <c r="A303" s="2" t="s">
        <v>1525</v>
      </c>
      <c r="B303" s="100">
        <v>44613.0</v>
      </c>
      <c r="C303" s="101">
        <v>0.3212037037037037</v>
      </c>
      <c r="H303" s="229"/>
      <c r="K303" s="2" t="s">
        <v>244</v>
      </c>
      <c r="L303" s="100">
        <v>44613.0</v>
      </c>
      <c r="M303" s="101">
        <v>0.4694097222222222</v>
      </c>
      <c r="O303" s="227"/>
    </row>
    <row r="304">
      <c r="A304" s="2" t="s">
        <v>1523</v>
      </c>
      <c r="B304" s="100">
        <v>44613.0</v>
      </c>
      <c r="C304" s="101">
        <v>0.32101851851851854</v>
      </c>
      <c r="H304" s="229"/>
      <c r="K304" s="2" t="s">
        <v>244</v>
      </c>
      <c r="L304" s="100">
        <v>44613.0</v>
      </c>
      <c r="M304" s="101">
        <v>0.4694097222222222</v>
      </c>
      <c r="O304" s="227"/>
    </row>
    <row r="305">
      <c r="A305" s="2" t="s">
        <v>1521</v>
      </c>
      <c r="B305" s="100">
        <v>44613.0</v>
      </c>
      <c r="C305" s="101">
        <v>0.32069444444444445</v>
      </c>
      <c r="H305" s="229"/>
      <c r="K305" s="2" t="s">
        <v>244</v>
      </c>
      <c r="L305" s="100">
        <v>44613.0</v>
      </c>
      <c r="M305" s="101">
        <v>0.4694097222222222</v>
      </c>
      <c r="O305" s="227"/>
    </row>
    <row r="306">
      <c r="A306" s="2" t="s">
        <v>1519</v>
      </c>
      <c r="B306" s="100">
        <v>44613.0</v>
      </c>
      <c r="C306" s="101">
        <v>0.3198611111111111</v>
      </c>
      <c r="H306" s="229"/>
      <c r="K306" s="2" t="s">
        <v>244</v>
      </c>
      <c r="L306" s="100">
        <v>44613.0</v>
      </c>
      <c r="M306" s="101">
        <v>0.4694097222222222</v>
      </c>
      <c r="O306" s="227"/>
    </row>
    <row r="307">
      <c r="A307" s="2" t="s">
        <v>1515</v>
      </c>
      <c r="B307" s="100">
        <v>44613.0</v>
      </c>
      <c r="C307" s="101">
        <v>0.3193634259259259</v>
      </c>
      <c r="H307" s="229"/>
      <c r="K307" s="2" t="s">
        <v>244</v>
      </c>
      <c r="L307" s="100">
        <v>44613.0</v>
      </c>
      <c r="M307" s="101">
        <v>0.4694097222222222</v>
      </c>
      <c r="O307" s="227"/>
    </row>
    <row r="308">
      <c r="A308" s="2" t="s">
        <v>1511</v>
      </c>
      <c r="B308" s="100">
        <v>44613.0</v>
      </c>
      <c r="C308" s="101">
        <v>0.3174652777777778</v>
      </c>
      <c r="H308" s="229"/>
      <c r="K308" s="2" t="s">
        <v>244</v>
      </c>
      <c r="L308" s="100">
        <v>44613.0</v>
      </c>
      <c r="M308" s="101">
        <v>0.4693981481481482</v>
      </c>
      <c r="O308" s="227"/>
    </row>
    <row r="309">
      <c r="A309" s="2" t="s">
        <v>1509</v>
      </c>
      <c r="B309" s="100">
        <v>44613.0</v>
      </c>
      <c r="C309" s="101">
        <v>0.316724537037037</v>
      </c>
      <c r="H309" s="229"/>
      <c r="K309" s="2" t="s">
        <v>244</v>
      </c>
      <c r="L309" s="100">
        <v>44613.0</v>
      </c>
      <c r="M309" s="101">
        <v>0.4693981481481482</v>
      </c>
      <c r="O309" s="229"/>
    </row>
    <row r="310">
      <c r="A310" s="2" t="s">
        <v>1507</v>
      </c>
      <c r="B310" s="100">
        <v>44613.0</v>
      </c>
      <c r="C310" s="101">
        <v>0.3159722222222222</v>
      </c>
      <c r="H310" s="229"/>
      <c r="K310" s="2" t="s">
        <v>244</v>
      </c>
      <c r="L310" s="100">
        <v>44613.0</v>
      </c>
      <c r="M310" s="101">
        <v>0.4693981481481482</v>
      </c>
      <c r="O310" s="227"/>
    </row>
    <row r="311">
      <c r="A311" s="2" t="s">
        <v>1505</v>
      </c>
      <c r="B311" s="100">
        <v>44613.0</v>
      </c>
      <c r="C311" s="101">
        <v>0.3150115740740741</v>
      </c>
      <c r="H311" s="229"/>
      <c r="K311" s="2" t="s">
        <v>244</v>
      </c>
      <c r="L311" s="100">
        <v>44613.0</v>
      </c>
      <c r="M311" s="101">
        <v>0.4693981481481482</v>
      </c>
      <c r="O311" s="227"/>
    </row>
    <row r="312">
      <c r="A312" s="2" t="s">
        <v>1503</v>
      </c>
      <c r="B312" s="100">
        <v>44613.0</v>
      </c>
      <c r="C312" s="101">
        <v>0.3148726851851852</v>
      </c>
      <c r="H312" s="229"/>
      <c r="K312" s="2" t="s">
        <v>244</v>
      </c>
      <c r="L312" s="100">
        <v>44613.0</v>
      </c>
      <c r="M312" s="101">
        <v>0.4693981481481482</v>
      </c>
      <c r="O312" s="227"/>
    </row>
    <row r="313">
      <c r="A313" s="2" t="s">
        <v>1499</v>
      </c>
      <c r="B313" s="100">
        <v>44613.0</v>
      </c>
      <c r="C313" s="101">
        <v>0.3089351851851852</v>
      </c>
      <c r="H313" s="229"/>
      <c r="K313" s="2" t="s">
        <v>244</v>
      </c>
      <c r="L313" s="100">
        <v>44613.0</v>
      </c>
      <c r="M313" s="101">
        <v>0.4693981481481482</v>
      </c>
      <c r="O313" s="227"/>
    </row>
    <row r="314">
      <c r="A314" s="2" t="s">
        <v>1497</v>
      </c>
      <c r="B314" s="100">
        <v>44613.0</v>
      </c>
      <c r="C314" s="101">
        <v>0.30733796296296295</v>
      </c>
      <c r="H314" s="229"/>
      <c r="K314" s="2" t="s">
        <v>244</v>
      </c>
      <c r="L314" s="100">
        <v>44613.0</v>
      </c>
      <c r="M314" s="101">
        <v>0.4693981481481482</v>
      </c>
      <c r="O314" s="227"/>
    </row>
    <row r="315">
      <c r="A315" s="2" t="s">
        <v>1495</v>
      </c>
      <c r="B315" s="100">
        <v>44613.0</v>
      </c>
      <c r="C315" s="101">
        <v>0.3065509259259259</v>
      </c>
      <c r="H315" s="229"/>
      <c r="K315" s="2" t="s">
        <v>244</v>
      </c>
      <c r="L315" s="100">
        <v>44613.0</v>
      </c>
      <c r="M315" s="101">
        <v>0.4693981481481482</v>
      </c>
      <c r="O315" s="227"/>
    </row>
    <row r="316">
      <c r="A316" s="2" t="s">
        <v>1493</v>
      </c>
      <c r="B316" s="100">
        <v>44613.0</v>
      </c>
      <c r="C316" s="101">
        <v>0.3007175925925926</v>
      </c>
      <c r="H316" s="229"/>
      <c r="K316" s="2" t="s">
        <v>244</v>
      </c>
      <c r="L316" s="100">
        <v>44613.0</v>
      </c>
      <c r="M316" s="101">
        <v>0.4693981481481482</v>
      </c>
      <c r="O316" s="227"/>
    </row>
    <row r="317">
      <c r="A317" s="2" t="s">
        <v>1489</v>
      </c>
      <c r="B317" s="100">
        <v>44613.0</v>
      </c>
      <c r="C317" s="101">
        <v>0.2935763888888889</v>
      </c>
      <c r="H317" s="229"/>
      <c r="K317" s="2" t="s">
        <v>244</v>
      </c>
      <c r="L317" s="100">
        <v>44613.0</v>
      </c>
      <c r="M317" s="101">
        <v>0.4693981481481482</v>
      </c>
      <c r="O317" s="227"/>
    </row>
    <row r="318">
      <c r="A318" s="2" t="s">
        <v>1487</v>
      </c>
      <c r="B318" s="100">
        <v>44613.0</v>
      </c>
      <c r="C318" s="101">
        <v>0.2888425925925926</v>
      </c>
      <c r="H318" s="229"/>
      <c r="K318" s="2" t="s">
        <v>244</v>
      </c>
      <c r="L318" s="100">
        <v>44613.0</v>
      </c>
      <c r="M318" s="101">
        <v>0.4693981481481482</v>
      </c>
      <c r="O318" s="227"/>
    </row>
    <row r="319">
      <c r="A319" s="2" t="s">
        <v>1484</v>
      </c>
      <c r="B319" s="100">
        <v>44613.0</v>
      </c>
      <c r="C319" s="101">
        <v>0.27609953703703705</v>
      </c>
      <c r="H319" s="229"/>
      <c r="K319" s="2" t="s">
        <v>244</v>
      </c>
      <c r="L319" s="100">
        <v>44613.0</v>
      </c>
      <c r="M319" s="101">
        <v>0.4693981481481482</v>
      </c>
      <c r="O319" s="227"/>
    </row>
    <row r="320">
      <c r="A320" s="2" t="s">
        <v>1482</v>
      </c>
      <c r="B320" s="100">
        <v>44613.0</v>
      </c>
      <c r="C320" s="101">
        <v>0.266724537037037</v>
      </c>
      <c r="H320" s="229"/>
      <c r="K320" s="2" t="s">
        <v>244</v>
      </c>
      <c r="L320" s="100">
        <v>44613.0</v>
      </c>
      <c r="M320" s="101">
        <v>0.4693981481481482</v>
      </c>
      <c r="O320" s="227"/>
    </row>
    <row r="321">
      <c r="A321" s="2" t="s">
        <v>1480</v>
      </c>
      <c r="B321" s="100">
        <v>44613.0</v>
      </c>
      <c r="C321" s="101">
        <v>0.26516203703703706</v>
      </c>
      <c r="H321" s="229"/>
      <c r="K321" s="2" t="s">
        <v>244</v>
      </c>
      <c r="L321" s="100">
        <v>44613.0</v>
      </c>
      <c r="M321" s="101">
        <v>0.4693865740740741</v>
      </c>
      <c r="O321" s="227"/>
    </row>
    <row r="322">
      <c r="A322" s="2" t="s">
        <v>1478</v>
      </c>
      <c r="B322" s="100">
        <v>44613.0</v>
      </c>
      <c r="C322" s="101">
        <v>0.26121527777777775</v>
      </c>
      <c r="H322" s="229"/>
      <c r="K322" s="2" t="s">
        <v>244</v>
      </c>
      <c r="L322" s="100">
        <v>44613.0</v>
      </c>
      <c r="M322" s="101">
        <v>0.4693865740740741</v>
      </c>
      <c r="O322" s="227"/>
    </row>
    <row r="323">
      <c r="A323" s="2" t="s">
        <v>1476</v>
      </c>
      <c r="B323" s="100">
        <v>44611.0</v>
      </c>
      <c r="C323" s="101">
        <v>0.4735300925925926</v>
      </c>
      <c r="H323" s="229"/>
      <c r="K323" s="2" t="s">
        <v>244</v>
      </c>
      <c r="L323" s="100">
        <v>44611.0</v>
      </c>
      <c r="M323" s="101">
        <v>0.4882638888888889</v>
      </c>
      <c r="O323" s="227"/>
    </row>
    <row r="324">
      <c r="A324" s="2" t="s">
        <v>1472</v>
      </c>
      <c r="B324" s="100">
        <v>44611.0</v>
      </c>
      <c r="C324" s="101">
        <v>0.3456018518518518</v>
      </c>
      <c r="H324" s="229"/>
      <c r="K324" s="2" t="s">
        <v>244</v>
      </c>
      <c r="L324" s="100">
        <v>44611.0</v>
      </c>
      <c r="M324" s="101">
        <v>0.4882638888888889</v>
      </c>
      <c r="O324" s="227"/>
    </row>
    <row r="325">
      <c r="A325" s="2" t="s">
        <v>1467</v>
      </c>
      <c r="B325" s="100">
        <v>44611.0</v>
      </c>
      <c r="C325" s="101">
        <v>0.3349537037037037</v>
      </c>
      <c r="H325" s="229"/>
      <c r="K325" s="2" t="s">
        <v>244</v>
      </c>
      <c r="L325" s="100">
        <v>44611.0</v>
      </c>
      <c r="M325" s="101">
        <v>0.5041203703703704</v>
      </c>
      <c r="O325" s="229"/>
    </row>
    <row r="326">
      <c r="A326" s="2" t="s">
        <v>1464</v>
      </c>
      <c r="B326" s="100">
        <v>44611.0</v>
      </c>
      <c r="C326" s="101">
        <v>0.33471064814814816</v>
      </c>
      <c r="H326" s="229"/>
      <c r="K326" s="2" t="s">
        <v>244</v>
      </c>
      <c r="L326" s="100">
        <v>44611.0</v>
      </c>
      <c r="M326" s="101">
        <v>0.4882638888888889</v>
      </c>
      <c r="O326" s="227"/>
    </row>
    <row r="327">
      <c r="A327" s="2" t="s">
        <v>1462</v>
      </c>
      <c r="B327" s="100">
        <v>44611.0</v>
      </c>
      <c r="C327" s="101">
        <v>0.3342824074074074</v>
      </c>
      <c r="H327" s="229"/>
      <c r="K327" s="2" t="s">
        <v>244</v>
      </c>
      <c r="L327" s="100">
        <v>44611.0</v>
      </c>
      <c r="M327" s="101">
        <v>0.4882638888888889</v>
      </c>
      <c r="O327" s="227"/>
    </row>
    <row r="328">
      <c r="A328" s="2" t="s">
        <v>1459</v>
      </c>
      <c r="B328" s="100">
        <v>44611.0</v>
      </c>
      <c r="C328" s="101">
        <v>0.3335763888888889</v>
      </c>
      <c r="H328" s="229"/>
      <c r="K328" s="2" t="s">
        <v>244</v>
      </c>
      <c r="L328" s="100">
        <v>44611.0</v>
      </c>
      <c r="M328" s="101">
        <v>0.4882638888888889</v>
      </c>
      <c r="O328" s="229"/>
    </row>
    <row r="329">
      <c r="A329" s="2" t="s">
        <v>1457</v>
      </c>
      <c r="B329" s="100">
        <v>44611.0</v>
      </c>
      <c r="C329" s="101">
        <v>0.3321875</v>
      </c>
      <c r="H329" s="229"/>
      <c r="K329" s="2" t="s">
        <v>244</v>
      </c>
      <c r="L329" s="100">
        <v>44611.0</v>
      </c>
      <c r="M329" s="101">
        <v>0.5041203703703704</v>
      </c>
      <c r="O329" s="229"/>
    </row>
    <row r="330">
      <c r="A330" s="2" t="s">
        <v>1453</v>
      </c>
      <c r="B330" s="100">
        <v>44611.0</v>
      </c>
      <c r="C330" s="101">
        <v>0.3321875</v>
      </c>
      <c r="H330" s="229"/>
      <c r="K330" s="2" t="s">
        <v>244</v>
      </c>
      <c r="L330" s="100">
        <v>44611.0</v>
      </c>
      <c r="M330" s="101">
        <v>0.4882638888888889</v>
      </c>
      <c r="O330" s="227"/>
    </row>
    <row r="331">
      <c r="A331" s="2" t="s">
        <v>1451</v>
      </c>
      <c r="B331" s="100">
        <v>44611.0</v>
      </c>
      <c r="C331" s="101">
        <v>0.32890046296296294</v>
      </c>
      <c r="H331" s="229"/>
      <c r="K331" s="2" t="s">
        <v>244</v>
      </c>
      <c r="L331" s="100">
        <v>44611.0</v>
      </c>
      <c r="M331" s="101">
        <v>0.4882638888888889</v>
      </c>
      <c r="O331" s="227"/>
    </row>
    <row r="332">
      <c r="A332" s="2" t="s">
        <v>1449</v>
      </c>
      <c r="B332" s="100">
        <v>44611.0</v>
      </c>
      <c r="C332" s="101">
        <v>0.32788194444444446</v>
      </c>
      <c r="H332" s="229"/>
      <c r="K332" s="2" t="s">
        <v>244</v>
      </c>
      <c r="L332" s="100">
        <v>44611.0</v>
      </c>
      <c r="M332" s="101">
        <v>0.4882638888888889</v>
      </c>
      <c r="O332" s="227"/>
    </row>
    <row r="333">
      <c r="A333" s="2" t="s">
        <v>1447</v>
      </c>
      <c r="B333" s="100">
        <v>44611.0</v>
      </c>
      <c r="C333" s="101">
        <v>0.32633101851851853</v>
      </c>
      <c r="H333" s="229"/>
      <c r="K333" s="2" t="s">
        <v>244</v>
      </c>
      <c r="L333" s="100">
        <v>44611.0</v>
      </c>
      <c r="M333" s="101">
        <v>0.4882523148148148</v>
      </c>
      <c r="O333" s="227"/>
    </row>
    <row r="334">
      <c r="A334" s="2" t="s">
        <v>1445</v>
      </c>
      <c r="B334" s="100">
        <v>44611.0</v>
      </c>
      <c r="C334" s="101">
        <v>0.32579861111111114</v>
      </c>
      <c r="H334" s="229"/>
      <c r="K334" s="2" t="s">
        <v>244</v>
      </c>
      <c r="L334" s="100">
        <v>44611.0</v>
      </c>
      <c r="M334" s="101">
        <v>0.4882523148148148</v>
      </c>
      <c r="O334" s="227"/>
    </row>
    <row r="335">
      <c r="A335" s="2" t="s">
        <v>1443</v>
      </c>
      <c r="B335" s="100">
        <v>44611.0</v>
      </c>
      <c r="C335" s="101">
        <v>0.3233333333333333</v>
      </c>
      <c r="H335" s="229"/>
      <c r="K335" s="2" t="s">
        <v>244</v>
      </c>
      <c r="L335" s="100">
        <v>44611.0</v>
      </c>
      <c r="M335" s="101">
        <v>0.4882523148148148</v>
      </c>
      <c r="O335" s="227"/>
    </row>
    <row r="336">
      <c r="A336" s="2" t="s">
        <v>1441</v>
      </c>
      <c r="B336" s="100">
        <v>44611.0</v>
      </c>
      <c r="C336" s="101">
        <v>0.3225925925925926</v>
      </c>
      <c r="H336" s="229"/>
      <c r="K336" s="2" t="s">
        <v>244</v>
      </c>
      <c r="L336" s="100">
        <v>44611.0</v>
      </c>
      <c r="M336" s="101">
        <v>0.4882523148148148</v>
      </c>
      <c r="O336" s="227"/>
    </row>
    <row r="337">
      <c r="A337" s="2" t="s">
        <v>1439</v>
      </c>
      <c r="B337" s="100">
        <v>44611.0</v>
      </c>
      <c r="C337" s="101">
        <v>0.3209606481481482</v>
      </c>
      <c r="H337" s="229"/>
      <c r="K337" s="2" t="s">
        <v>244</v>
      </c>
      <c r="L337" s="100">
        <v>44611.0</v>
      </c>
      <c r="M337" s="101">
        <v>0.4882523148148148</v>
      </c>
      <c r="O337" s="227"/>
    </row>
    <row r="338">
      <c r="A338" s="2" t="s">
        <v>1437</v>
      </c>
      <c r="B338" s="100">
        <v>44611.0</v>
      </c>
      <c r="C338" s="101">
        <v>0.318912037037037</v>
      </c>
      <c r="H338" s="229"/>
      <c r="K338" s="2" t="s">
        <v>244</v>
      </c>
      <c r="L338" s="100">
        <v>44611.0</v>
      </c>
      <c r="M338" s="101">
        <v>0.4882523148148148</v>
      </c>
      <c r="O338" s="227"/>
    </row>
    <row r="339">
      <c r="A339" s="2" t="s">
        <v>1433</v>
      </c>
      <c r="B339" s="100">
        <v>44611.0</v>
      </c>
      <c r="C339" s="101">
        <v>0.3173611111111111</v>
      </c>
      <c r="H339" s="229"/>
      <c r="K339" s="2" t="s">
        <v>244</v>
      </c>
      <c r="L339" s="100">
        <v>44611.0</v>
      </c>
      <c r="M339" s="101">
        <v>0.4882523148148148</v>
      </c>
      <c r="O339" s="227"/>
    </row>
    <row r="340">
      <c r="A340" s="2" t="s">
        <v>1429</v>
      </c>
      <c r="B340" s="100">
        <v>44611.0</v>
      </c>
      <c r="C340" s="101">
        <v>0.3154282407407407</v>
      </c>
      <c r="H340" s="229"/>
      <c r="K340" s="2" t="s">
        <v>244</v>
      </c>
      <c r="L340" s="100">
        <v>44611.0</v>
      </c>
      <c r="M340" s="101">
        <v>0.4882523148148148</v>
      </c>
      <c r="O340" s="227"/>
    </row>
    <row r="341">
      <c r="A341" s="2" t="s">
        <v>1427</v>
      </c>
      <c r="B341" s="100">
        <v>44611.0</v>
      </c>
      <c r="C341" s="101">
        <v>0.3153587962962963</v>
      </c>
      <c r="H341" s="229"/>
      <c r="K341" s="2" t="s">
        <v>244</v>
      </c>
      <c r="L341" s="100">
        <v>44611.0</v>
      </c>
      <c r="M341" s="101">
        <v>0.4882523148148148</v>
      </c>
      <c r="O341" s="227"/>
    </row>
    <row r="342">
      <c r="A342" s="2" t="s">
        <v>1425</v>
      </c>
      <c r="B342" s="100">
        <v>44611.0</v>
      </c>
      <c r="C342" s="101">
        <v>0.3148842592592593</v>
      </c>
      <c r="H342" s="229"/>
      <c r="K342" s="2" t="s">
        <v>244</v>
      </c>
      <c r="L342" s="100">
        <v>44611.0</v>
      </c>
      <c r="M342" s="101">
        <v>0.4882523148148148</v>
      </c>
      <c r="O342" s="227"/>
    </row>
    <row r="343">
      <c r="A343" s="2" t="s">
        <v>1419</v>
      </c>
      <c r="B343" s="100">
        <v>44611.0</v>
      </c>
      <c r="C343" s="101">
        <v>0.3116550925925926</v>
      </c>
      <c r="H343" s="229"/>
      <c r="K343" s="2" t="s">
        <v>244</v>
      </c>
      <c r="L343" s="100">
        <v>44611.0</v>
      </c>
      <c r="M343" s="101">
        <v>0.4882523148148148</v>
      </c>
      <c r="O343" s="227"/>
    </row>
    <row r="344">
      <c r="A344" s="2" t="s">
        <v>1417</v>
      </c>
      <c r="B344" s="100">
        <v>44611.0</v>
      </c>
      <c r="C344" s="101">
        <v>0.3114236111111111</v>
      </c>
      <c r="H344" s="229"/>
      <c r="K344" s="2" t="s">
        <v>244</v>
      </c>
      <c r="L344" s="100">
        <v>44611.0</v>
      </c>
      <c r="M344" s="101">
        <v>0.4882523148148148</v>
      </c>
      <c r="O344" s="227"/>
    </row>
    <row r="345">
      <c r="A345" s="2" t="s">
        <v>1413</v>
      </c>
      <c r="B345" s="100">
        <v>44611.0</v>
      </c>
      <c r="C345" s="101">
        <v>0.3107523148148148</v>
      </c>
      <c r="H345" s="229"/>
      <c r="K345" s="2" t="s">
        <v>244</v>
      </c>
      <c r="L345" s="100">
        <v>44611.0</v>
      </c>
      <c r="M345" s="101">
        <v>0.48824074074074075</v>
      </c>
      <c r="O345" s="227"/>
    </row>
    <row r="346">
      <c r="A346" s="2" t="s">
        <v>1413</v>
      </c>
      <c r="B346" s="100">
        <v>44611.0</v>
      </c>
      <c r="C346" s="101">
        <v>0.3107523148148148</v>
      </c>
      <c r="H346" s="229"/>
      <c r="K346" s="2" t="s">
        <v>244</v>
      </c>
      <c r="L346" s="100">
        <v>44611.0</v>
      </c>
      <c r="M346" s="101">
        <v>0.48824074074074075</v>
      </c>
      <c r="O346" s="227"/>
    </row>
    <row r="347">
      <c r="A347" s="2" t="s">
        <v>1411</v>
      </c>
      <c r="B347" s="100">
        <v>44611.0</v>
      </c>
      <c r="C347" s="101">
        <v>0.30855324074074075</v>
      </c>
      <c r="H347" s="229"/>
      <c r="K347" s="2" t="s">
        <v>244</v>
      </c>
      <c r="L347" s="100">
        <v>44611.0</v>
      </c>
      <c r="M347" s="101">
        <v>0.48824074074074075</v>
      </c>
      <c r="O347" s="227"/>
    </row>
    <row r="348">
      <c r="A348" s="2" t="s">
        <v>1407</v>
      </c>
      <c r="B348" s="100">
        <v>44611.0</v>
      </c>
      <c r="C348" s="101">
        <v>0.30069444444444443</v>
      </c>
      <c r="H348" s="229"/>
      <c r="K348" s="2" t="s">
        <v>244</v>
      </c>
      <c r="L348" s="100">
        <v>44611.0</v>
      </c>
      <c r="M348" s="101">
        <v>0.48824074074074075</v>
      </c>
      <c r="O348" s="227"/>
    </row>
    <row r="349">
      <c r="A349" s="2" t="s">
        <v>1405</v>
      </c>
      <c r="B349" s="100">
        <v>44611.0</v>
      </c>
      <c r="C349" s="101">
        <v>0.2972337962962963</v>
      </c>
      <c r="H349" s="229"/>
      <c r="K349" s="2" t="s">
        <v>244</v>
      </c>
      <c r="L349" s="100">
        <v>44611.0</v>
      </c>
      <c r="M349" s="101">
        <v>0.48824074074074075</v>
      </c>
      <c r="O349" s="227"/>
    </row>
    <row r="350">
      <c r="A350" s="2" t="s">
        <v>1401</v>
      </c>
      <c r="B350" s="100">
        <v>44609.0</v>
      </c>
      <c r="C350" s="101">
        <v>0.3872685185185185</v>
      </c>
      <c r="H350" s="229"/>
      <c r="K350" s="2" t="s">
        <v>244</v>
      </c>
      <c r="L350" s="100">
        <v>44611.0</v>
      </c>
      <c r="M350" s="101">
        <v>0.48824074074074075</v>
      </c>
      <c r="O350" s="227"/>
    </row>
    <row r="351">
      <c r="A351" s="2" t="s">
        <v>1397</v>
      </c>
      <c r="B351" s="100">
        <v>44609.0</v>
      </c>
      <c r="C351" s="101">
        <v>0.35497685185185185</v>
      </c>
      <c r="H351" s="229"/>
      <c r="K351" s="2" t="s">
        <v>244</v>
      </c>
      <c r="L351" s="100">
        <v>44611.0</v>
      </c>
      <c r="M351" s="101">
        <v>0.38958333333333334</v>
      </c>
      <c r="O351" s="227"/>
    </row>
    <row r="352">
      <c r="A352" s="2" t="s">
        <v>1394</v>
      </c>
      <c r="B352" s="100">
        <v>44609.0</v>
      </c>
      <c r="C352" s="101">
        <v>0.3441666666666667</v>
      </c>
      <c r="H352" s="229"/>
      <c r="K352" s="2" t="s">
        <v>244</v>
      </c>
      <c r="L352" s="100">
        <v>44611.0</v>
      </c>
      <c r="M352" s="101">
        <v>0.38958333333333334</v>
      </c>
      <c r="O352" s="229"/>
    </row>
    <row r="353">
      <c r="A353" s="2" t="s">
        <v>1392</v>
      </c>
      <c r="B353" s="100">
        <v>44609.0</v>
      </c>
      <c r="C353" s="101">
        <v>0.3439814814814815</v>
      </c>
      <c r="H353" s="229"/>
      <c r="K353" s="2" t="s">
        <v>244</v>
      </c>
      <c r="L353" s="100">
        <v>44611.0</v>
      </c>
      <c r="M353" s="101">
        <v>0.38958333333333334</v>
      </c>
      <c r="O353" s="227"/>
    </row>
    <row r="354">
      <c r="A354" s="2" t="s">
        <v>1389</v>
      </c>
      <c r="B354" s="100">
        <v>44609.0</v>
      </c>
      <c r="C354" s="101">
        <v>0.34019675925925924</v>
      </c>
      <c r="H354" s="229"/>
      <c r="K354" s="2" t="s">
        <v>244</v>
      </c>
      <c r="L354" s="100">
        <v>44611.0</v>
      </c>
      <c r="M354" s="101">
        <v>0.38958333333333334</v>
      </c>
      <c r="O354" s="227"/>
    </row>
    <row r="355">
      <c r="A355" s="2" t="s">
        <v>1387</v>
      </c>
      <c r="B355" s="100">
        <v>44609.0</v>
      </c>
      <c r="C355" s="101">
        <v>0.33719907407407407</v>
      </c>
      <c r="H355" s="229"/>
      <c r="K355" s="2" t="s">
        <v>244</v>
      </c>
      <c r="L355" s="100">
        <v>44611.0</v>
      </c>
      <c r="M355" s="101">
        <v>0.38958333333333334</v>
      </c>
      <c r="O355" s="227"/>
    </row>
    <row r="356">
      <c r="A356" s="2" t="s">
        <v>1383</v>
      </c>
      <c r="B356" s="100">
        <v>44609.0</v>
      </c>
      <c r="C356" s="101">
        <v>0.33414351851851853</v>
      </c>
      <c r="H356" s="229"/>
      <c r="K356" s="2" t="s">
        <v>244</v>
      </c>
      <c r="L356" s="100">
        <v>44611.0</v>
      </c>
      <c r="M356" s="101">
        <v>0.38958333333333334</v>
      </c>
      <c r="O356" s="227"/>
    </row>
    <row r="357">
      <c r="A357" s="2" t="s">
        <v>1379</v>
      </c>
      <c r="B357" s="100">
        <v>44609.0</v>
      </c>
      <c r="C357" s="101">
        <v>0.33399305555555553</v>
      </c>
      <c r="H357" s="229"/>
      <c r="K357" s="2" t="s">
        <v>244</v>
      </c>
      <c r="L357" s="100">
        <v>44611.0</v>
      </c>
      <c r="M357" s="101">
        <v>0.38958333333333334</v>
      </c>
      <c r="O357" s="227"/>
    </row>
    <row r="358">
      <c r="A358" s="2" t="s">
        <v>1377</v>
      </c>
      <c r="B358" s="100">
        <v>44609.0</v>
      </c>
      <c r="C358" s="101">
        <v>0.3327199074074074</v>
      </c>
      <c r="H358" s="229"/>
      <c r="K358" s="2" t="s">
        <v>244</v>
      </c>
      <c r="L358" s="100">
        <v>44611.0</v>
      </c>
      <c r="M358" s="101">
        <v>0.38958333333333334</v>
      </c>
      <c r="O358" s="227"/>
    </row>
    <row r="359">
      <c r="A359" s="2" t="s">
        <v>1373</v>
      </c>
      <c r="B359" s="100">
        <v>44609.0</v>
      </c>
      <c r="C359" s="101">
        <v>0.33189814814814816</v>
      </c>
      <c r="H359" s="229"/>
      <c r="K359" s="2" t="s">
        <v>244</v>
      </c>
      <c r="L359" s="100">
        <v>44611.0</v>
      </c>
      <c r="M359" s="101">
        <v>0.38958333333333334</v>
      </c>
      <c r="O359" s="227"/>
    </row>
    <row r="360">
      <c r="A360" s="2" t="s">
        <v>1369</v>
      </c>
      <c r="B360" s="100">
        <v>44609.0</v>
      </c>
      <c r="C360" s="101">
        <v>0.3283101851851852</v>
      </c>
      <c r="H360" s="229"/>
      <c r="K360" s="2" t="s">
        <v>244</v>
      </c>
      <c r="L360" s="100">
        <v>44611.0</v>
      </c>
      <c r="M360" s="101">
        <v>0.38958333333333334</v>
      </c>
      <c r="O360" s="227"/>
    </row>
    <row r="361">
      <c r="A361" s="2" t="s">
        <v>1367</v>
      </c>
      <c r="B361" s="100">
        <v>44609.0</v>
      </c>
      <c r="C361" s="101">
        <v>0.32766203703703706</v>
      </c>
      <c r="H361" s="229"/>
      <c r="K361" s="2" t="s">
        <v>244</v>
      </c>
      <c r="L361" s="100">
        <v>44611.0</v>
      </c>
      <c r="M361" s="101">
        <v>0.38958333333333334</v>
      </c>
      <c r="O361" s="227"/>
    </row>
    <row r="362">
      <c r="A362" s="2" t="s">
        <v>1365</v>
      </c>
      <c r="B362" s="100">
        <v>44609.0</v>
      </c>
      <c r="C362" s="101">
        <v>0.32760416666666664</v>
      </c>
      <c r="H362" s="229"/>
      <c r="K362" s="2" t="s">
        <v>244</v>
      </c>
      <c r="L362" s="100">
        <v>44611.0</v>
      </c>
      <c r="M362" s="101">
        <v>0.38958333333333334</v>
      </c>
      <c r="O362" s="227"/>
    </row>
    <row r="363">
      <c r="A363" s="2" t="s">
        <v>1363</v>
      </c>
      <c r="B363" s="100">
        <v>44609.0</v>
      </c>
      <c r="C363" s="101">
        <v>0.3275578703703704</v>
      </c>
      <c r="H363" s="229"/>
      <c r="K363" s="2" t="s">
        <v>244</v>
      </c>
      <c r="L363" s="100">
        <v>44611.0</v>
      </c>
      <c r="M363" s="101">
        <v>0.38957175925925924</v>
      </c>
      <c r="O363" s="227"/>
    </row>
    <row r="364">
      <c r="A364" s="2" t="s">
        <v>185</v>
      </c>
      <c r="B364" s="100">
        <v>44609.0</v>
      </c>
      <c r="C364" s="101">
        <v>0.3274884259259259</v>
      </c>
      <c r="H364" s="229"/>
      <c r="K364" s="2" t="s">
        <v>244</v>
      </c>
      <c r="L364" s="100">
        <v>44611.0</v>
      </c>
      <c r="M364" s="101">
        <v>0.3895601851851852</v>
      </c>
      <c r="O364" s="227"/>
    </row>
    <row r="365">
      <c r="A365" s="2" t="s">
        <v>1357</v>
      </c>
      <c r="B365" s="100">
        <v>44609.0</v>
      </c>
      <c r="C365" s="101">
        <v>0.3199768518518519</v>
      </c>
      <c r="H365" s="229"/>
      <c r="K365" s="2" t="s">
        <v>244</v>
      </c>
      <c r="L365" s="100">
        <v>44611.0</v>
      </c>
      <c r="M365" s="101">
        <v>0.38957175925925924</v>
      </c>
      <c r="O365" s="227"/>
    </row>
    <row r="366">
      <c r="A366" s="2" t="s">
        <v>1351</v>
      </c>
      <c r="B366" s="100">
        <v>44609.0</v>
      </c>
      <c r="C366" s="101">
        <v>0.31873842592592594</v>
      </c>
      <c r="H366" s="229"/>
      <c r="K366" s="2" t="s">
        <v>244</v>
      </c>
      <c r="L366" s="100">
        <v>44611.0</v>
      </c>
      <c r="M366" s="101">
        <v>0.38957175925925924</v>
      </c>
      <c r="O366" s="227"/>
    </row>
    <row r="367">
      <c r="A367" s="2" t="s">
        <v>1353</v>
      </c>
      <c r="B367" s="100">
        <v>44609.0</v>
      </c>
      <c r="C367" s="101">
        <v>0.3194328703703704</v>
      </c>
      <c r="H367" s="229"/>
      <c r="K367" s="2" t="s">
        <v>244</v>
      </c>
      <c r="L367" s="100">
        <v>44611.0</v>
      </c>
      <c r="M367" s="101">
        <v>0.38957175925925924</v>
      </c>
      <c r="O367" s="227"/>
    </row>
    <row r="368">
      <c r="A368" s="2" t="s">
        <v>1349</v>
      </c>
      <c r="B368" s="100">
        <v>44609.0</v>
      </c>
      <c r="C368" s="101">
        <v>0.31753472222222223</v>
      </c>
      <c r="H368" s="229"/>
      <c r="K368" s="2" t="s">
        <v>244</v>
      </c>
      <c r="L368" s="100">
        <v>44611.0</v>
      </c>
      <c r="M368" s="101">
        <v>0.38957175925925924</v>
      </c>
      <c r="O368" s="227"/>
    </row>
    <row r="369">
      <c r="A369" s="2" t="s">
        <v>1347</v>
      </c>
      <c r="B369" s="100">
        <v>44609.0</v>
      </c>
      <c r="C369" s="101">
        <v>0.31603009259259257</v>
      </c>
      <c r="H369" s="229"/>
      <c r="K369" s="2" t="s">
        <v>244</v>
      </c>
      <c r="L369" s="100">
        <v>44611.0</v>
      </c>
      <c r="M369" s="101">
        <v>0.38957175925925924</v>
      </c>
      <c r="O369" s="227"/>
    </row>
    <row r="370">
      <c r="A370" s="2" t="s">
        <v>1345</v>
      </c>
      <c r="B370" s="100">
        <v>44609.0</v>
      </c>
      <c r="C370" s="101">
        <v>0.3156365740740741</v>
      </c>
      <c r="H370" s="229"/>
      <c r="K370" s="2" t="s">
        <v>244</v>
      </c>
      <c r="L370" s="100">
        <v>44611.0</v>
      </c>
      <c r="M370" s="101">
        <v>0.38957175925925924</v>
      </c>
      <c r="O370" s="227"/>
    </row>
    <row r="371">
      <c r="A371" s="2" t="s">
        <v>1341</v>
      </c>
      <c r="B371" s="100">
        <v>44609.0</v>
      </c>
      <c r="C371" s="101">
        <v>0.31559027777777776</v>
      </c>
      <c r="H371" s="229"/>
      <c r="K371" s="2" t="s">
        <v>244</v>
      </c>
      <c r="L371" s="100">
        <v>44611.0</v>
      </c>
      <c r="M371" s="101">
        <v>0.38957175925925924</v>
      </c>
      <c r="O371" s="227"/>
    </row>
    <row r="372">
      <c r="A372" s="2" t="s">
        <v>1339</v>
      </c>
      <c r="B372" s="100">
        <v>44609.0</v>
      </c>
      <c r="C372" s="101">
        <v>0.31168981481481484</v>
      </c>
      <c r="H372" s="229"/>
      <c r="K372" s="2" t="s">
        <v>244</v>
      </c>
      <c r="L372" s="100">
        <v>44611.0</v>
      </c>
      <c r="M372" s="101">
        <v>0.38957175925925924</v>
      </c>
      <c r="O372" s="227"/>
    </row>
    <row r="373">
      <c r="A373" s="2" t="s">
        <v>1337</v>
      </c>
      <c r="B373" s="100">
        <v>44609.0</v>
      </c>
      <c r="C373" s="101">
        <v>0.3115625</v>
      </c>
      <c r="H373" s="229"/>
      <c r="K373" s="2" t="s">
        <v>244</v>
      </c>
      <c r="L373" s="100">
        <v>44611.0</v>
      </c>
      <c r="M373" s="101">
        <v>0.38957175925925924</v>
      </c>
      <c r="O373" s="227"/>
    </row>
    <row r="374">
      <c r="A374" s="2" t="s">
        <v>1333</v>
      </c>
      <c r="B374" s="100">
        <v>44609.0</v>
      </c>
      <c r="C374" s="101">
        <v>0.3095833333333333</v>
      </c>
      <c r="H374" s="229"/>
      <c r="K374" s="2" t="s">
        <v>244</v>
      </c>
      <c r="L374" s="100">
        <v>44611.0</v>
      </c>
      <c r="M374" s="101">
        <v>0.38957175925925924</v>
      </c>
      <c r="O374" s="227"/>
    </row>
    <row r="375">
      <c r="A375" s="2" t="s">
        <v>1331</v>
      </c>
      <c r="B375" s="100">
        <v>44609.0</v>
      </c>
      <c r="C375" s="101">
        <v>0.3083680555555556</v>
      </c>
      <c r="H375" s="229"/>
      <c r="K375" s="2" t="s">
        <v>244</v>
      </c>
      <c r="L375" s="100">
        <v>44611.0</v>
      </c>
      <c r="M375" s="101">
        <v>0.38957175925925924</v>
      </c>
      <c r="O375" s="227"/>
    </row>
    <row r="376">
      <c r="A376" s="2" t="s">
        <v>1329</v>
      </c>
      <c r="B376" s="100">
        <v>44609.0</v>
      </c>
      <c r="C376" s="101">
        <v>0.3059953703703704</v>
      </c>
      <c r="H376" s="229"/>
      <c r="K376" s="2" t="s">
        <v>244</v>
      </c>
      <c r="L376" s="100">
        <v>44611.0</v>
      </c>
      <c r="M376" s="101">
        <v>0.38957175925925924</v>
      </c>
      <c r="O376" s="227"/>
    </row>
    <row r="377">
      <c r="A377" s="2" t="s">
        <v>1327</v>
      </c>
      <c r="B377" s="100">
        <v>44609.0</v>
      </c>
      <c r="C377" s="101">
        <v>0.3042824074074074</v>
      </c>
      <c r="H377" s="229"/>
      <c r="K377" s="2" t="s">
        <v>244</v>
      </c>
      <c r="L377" s="100">
        <v>44611.0</v>
      </c>
      <c r="M377" s="101">
        <v>0.3895601851851852</v>
      </c>
      <c r="O377" s="227"/>
    </row>
    <row r="378">
      <c r="A378" s="2" t="s">
        <v>1319</v>
      </c>
      <c r="B378" s="100">
        <v>44609.0</v>
      </c>
      <c r="C378" s="101">
        <v>0.29255787037037034</v>
      </c>
      <c r="H378" s="229"/>
      <c r="K378" s="2" t="s">
        <v>244</v>
      </c>
      <c r="L378" s="100">
        <v>44611.0</v>
      </c>
      <c r="M378" s="101">
        <v>0.3895601851851852</v>
      </c>
      <c r="O378" s="227"/>
    </row>
    <row r="379">
      <c r="A379" s="2" t="s">
        <v>1325</v>
      </c>
      <c r="B379" s="100">
        <v>44609.0</v>
      </c>
      <c r="C379" s="101">
        <v>0.2951736111111111</v>
      </c>
      <c r="H379" s="229"/>
      <c r="K379" s="2" t="s">
        <v>244</v>
      </c>
      <c r="L379" s="100">
        <v>44611.0</v>
      </c>
      <c r="M379" s="101">
        <v>0.3895601851851852</v>
      </c>
      <c r="O379" s="227"/>
    </row>
    <row r="380">
      <c r="A380" s="2" t="s">
        <v>1323</v>
      </c>
      <c r="B380" s="100">
        <v>44609.0</v>
      </c>
      <c r="C380" s="101">
        <v>0.2938541666666667</v>
      </c>
      <c r="H380" s="229"/>
      <c r="K380" s="2" t="s">
        <v>244</v>
      </c>
      <c r="L380" s="100">
        <v>44611.0</v>
      </c>
      <c r="M380" s="101">
        <v>0.3895601851851852</v>
      </c>
      <c r="O380" s="229"/>
    </row>
    <row r="381">
      <c r="A381" s="2" t="s">
        <v>1321</v>
      </c>
      <c r="B381" s="100">
        <v>44609.0</v>
      </c>
      <c r="C381" s="101">
        <v>0.2935185185185185</v>
      </c>
      <c r="H381" s="229"/>
      <c r="K381" s="2" t="s">
        <v>244</v>
      </c>
      <c r="L381" s="100">
        <v>44611.0</v>
      </c>
      <c r="M381" s="101">
        <v>0.3895601851851852</v>
      </c>
      <c r="O381" s="229"/>
    </row>
    <row r="382">
      <c r="A382" s="2" t="s">
        <v>1317</v>
      </c>
      <c r="B382" s="100">
        <v>44609.0</v>
      </c>
      <c r="C382" s="101">
        <v>0.28282407407407406</v>
      </c>
      <c r="H382" s="229"/>
      <c r="K382" s="2" t="s">
        <v>244</v>
      </c>
      <c r="L382" s="100">
        <v>44611.0</v>
      </c>
      <c r="M382" s="101">
        <v>0.3895601851851852</v>
      </c>
      <c r="O382" s="227"/>
    </row>
    <row r="383">
      <c r="A383" s="2" t="s">
        <v>1315</v>
      </c>
      <c r="B383" s="100">
        <v>44607.0</v>
      </c>
      <c r="C383" s="101">
        <v>0.5372106481481481</v>
      </c>
      <c r="H383" s="229"/>
      <c r="K383" s="2" t="s">
        <v>254</v>
      </c>
      <c r="O383" s="229"/>
    </row>
    <row r="384">
      <c r="A384" s="2" t="s">
        <v>1309</v>
      </c>
      <c r="B384" s="100">
        <v>44607.0</v>
      </c>
      <c r="C384" s="101">
        <v>0.3924884259259259</v>
      </c>
      <c r="H384" s="229"/>
      <c r="K384" s="2" t="s">
        <v>244</v>
      </c>
      <c r="L384" s="100">
        <v>44607.0</v>
      </c>
      <c r="M384" s="101">
        <v>0.5868171296296296</v>
      </c>
      <c r="O384" s="227"/>
    </row>
    <row r="385">
      <c r="A385" s="2" t="s">
        <v>1309</v>
      </c>
      <c r="B385" s="100">
        <v>44607.0</v>
      </c>
      <c r="C385" s="101">
        <v>0.3924884259259259</v>
      </c>
      <c r="H385" s="229"/>
      <c r="K385" s="2" t="s">
        <v>244</v>
      </c>
      <c r="L385" s="100">
        <v>44607.0</v>
      </c>
      <c r="M385" s="101">
        <v>0.5868171296296296</v>
      </c>
      <c r="O385" s="227"/>
    </row>
    <row r="386">
      <c r="A386" s="2" t="s">
        <v>1309</v>
      </c>
      <c r="B386" s="100">
        <v>44607.0</v>
      </c>
      <c r="C386" s="101">
        <v>0.3924884259259259</v>
      </c>
      <c r="H386" s="229"/>
      <c r="K386" s="2" t="s">
        <v>244</v>
      </c>
      <c r="L386" s="100">
        <v>44607.0</v>
      </c>
      <c r="M386" s="101">
        <v>0.5868171296296296</v>
      </c>
      <c r="O386" s="227"/>
    </row>
    <row r="387">
      <c r="A387" s="2" t="s">
        <v>1309</v>
      </c>
      <c r="B387" s="100">
        <v>44607.0</v>
      </c>
      <c r="C387" s="101">
        <v>0.3924884259259259</v>
      </c>
      <c r="H387" s="229"/>
      <c r="K387" s="2" t="s">
        <v>244</v>
      </c>
      <c r="L387" s="100">
        <v>44607.0</v>
      </c>
      <c r="M387" s="101">
        <v>0.5868171296296296</v>
      </c>
      <c r="O387" s="227"/>
    </row>
    <row r="388">
      <c r="A388" s="2" t="s">
        <v>1305</v>
      </c>
      <c r="B388" s="100">
        <v>44607.0</v>
      </c>
      <c r="C388" s="101">
        <v>0.3717361111111111</v>
      </c>
      <c r="H388" s="229"/>
      <c r="K388" s="2" t="s">
        <v>244</v>
      </c>
      <c r="L388" s="100">
        <v>44607.0</v>
      </c>
      <c r="M388" s="101">
        <v>0.5868171296296296</v>
      </c>
      <c r="O388" s="227"/>
    </row>
    <row r="389">
      <c r="A389" s="2" t="s">
        <v>1303</v>
      </c>
      <c r="B389" s="100">
        <v>44607.0</v>
      </c>
      <c r="C389" s="101">
        <v>0.3477546296296296</v>
      </c>
      <c r="H389" s="229"/>
      <c r="K389" s="2" t="s">
        <v>244</v>
      </c>
      <c r="L389" s="100">
        <v>44607.0</v>
      </c>
      <c r="M389" s="101">
        <v>0.5868171296296296</v>
      </c>
      <c r="O389" s="227"/>
    </row>
    <row r="390">
      <c r="A390" s="2" t="s">
        <v>1301</v>
      </c>
      <c r="B390" s="100">
        <v>44607.0</v>
      </c>
      <c r="C390" s="101">
        <v>0.3449537037037037</v>
      </c>
      <c r="H390" s="229"/>
      <c r="K390" s="2" t="s">
        <v>244</v>
      </c>
      <c r="L390" s="100">
        <v>44607.0</v>
      </c>
      <c r="M390" s="101">
        <v>0.5868171296296296</v>
      </c>
      <c r="O390" s="227"/>
    </row>
    <row r="391">
      <c r="A391" s="2" t="s">
        <v>1297</v>
      </c>
      <c r="B391" s="100">
        <v>44607.0</v>
      </c>
      <c r="C391" s="101">
        <v>0.34164351851851854</v>
      </c>
      <c r="H391" s="229"/>
      <c r="K391" s="2" t="s">
        <v>244</v>
      </c>
      <c r="L391" s="100">
        <v>44607.0</v>
      </c>
      <c r="M391" s="101">
        <v>0.5868171296296296</v>
      </c>
      <c r="O391" s="227"/>
    </row>
    <row r="392">
      <c r="A392" s="2" t="s">
        <v>1293</v>
      </c>
      <c r="B392" s="100">
        <v>44607.0</v>
      </c>
      <c r="C392" s="101">
        <v>0.33814814814814814</v>
      </c>
      <c r="H392" s="229"/>
      <c r="K392" s="2" t="s">
        <v>244</v>
      </c>
      <c r="L392" s="100">
        <v>44607.0</v>
      </c>
      <c r="M392" s="101">
        <v>0.5868171296296296</v>
      </c>
      <c r="O392" s="227"/>
    </row>
    <row r="393">
      <c r="A393" s="2" t="s">
        <v>1289</v>
      </c>
      <c r="B393" s="100">
        <v>44607.0</v>
      </c>
      <c r="C393" s="101">
        <v>0.33417824074074076</v>
      </c>
      <c r="H393" s="229"/>
      <c r="K393" s="2" t="s">
        <v>244</v>
      </c>
      <c r="L393" s="100">
        <v>44607.0</v>
      </c>
      <c r="M393" s="101">
        <v>0.5868171296296296</v>
      </c>
      <c r="O393" s="227"/>
    </row>
    <row r="394">
      <c r="A394" s="2" t="s">
        <v>1285</v>
      </c>
      <c r="B394" s="100">
        <v>44607.0</v>
      </c>
      <c r="C394" s="101">
        <v>0.33239583333333333</v>
      </c>
      <c r="H394" s="229"/>
      <c r="K394" s="2" t="s">
        <v>244</v>
      </c>
      <c r="L394" s="100">
        <v>44607.0</v>
      </c>
      <c r="M394" s="101">
        <v>0.5868171296296296</v>
      </c>
      <c r="O394" s="227"/>
    </row>
    <row r="395">
      <c r="A395" s="2" t="s">
        <v>1283</v>
      </c>
      <c r="B395" s="100">
        <v>44607.0</v>
      </c>
      <c r="C395" s="101">
        <v>0.3297685185185185</v>
      </c>
      <c r="H395" s="229"/>
      <c r="K395" s="2" t="s">
        <v>244</v>
      </c>
      <c r="L395" s="100">
        <v>44607.0</v>
      </c>
      <c r="M395" s="101">
        <v>0.5868171296296296</v>
      </c>
      <c r="O395" s="227"/>
    </row>
    <row r="396">
      <c r="A396" s="2" t="s">
        <v>1281</v>
      </c>
      <c r="B396" s="100">
        <v>44607.0</v>
      </c>
      <c r="C396" s="101">
        <v>0.32873842592592595</v>
      </c>
      <c r="H396" s="229"/>
      <c r="K396" s="2" t="s">
        <v>244</v>
      </c>
      <c r="L396" s="100">
        <v>44607.0</v>
      </c>
      <c r="M396" s="101">
        <v>0.5868055555555556</v>
      </c>
      <c r="O396" s="229"/>
    </row>
    <row r="397">
      <c r="A397" s="2" t="s">
        <v>1279</v>
      </c>
      <c r="B397" s="100">
        <v>44607.0</v>
      </c>
      <c r="C397" s="101">
        <v>0.3281712962962963</v>
      </c>
      <c r="H397" s="229"/>
      <c r="K397" s="2" t="s">
        <v>254</v>
      </c>
      <c r="O397" s="227"/>
    </row>
    <row r="398">
      <c r="A398" s="2" t="s">
        <v>1277</v>
      </c>
      <c r="B398" s="100">
        <v>44607.0</v>
      </c>
      <c r="C398" s="101">
        <v>0.32666666666666666</v>
      </c>
      <c r="H398" s="229"/>
      <c r="K398" s="2" t="s">
        <v>244</v>
      </c>
      <c r="L398" s="100">
        <v>44607.0</v>
      </c>
      <c r="M398" s="101">
        <v>0.5868055555555556</v>
      </c>
      <c r="O398" s="227"/>
    </row>
    <row r="399">
      <c r="A399" s="2" t="s">
        <v>1273</v>
      </c>
      <c r="B399" s="100">
        <v>44607.0</v>
      </c>
      <c r="C399" s="101">
        <v>0.3254398148148148</v>
      </c>
      <c r="H399" s="229"/>
      <c r="K399" s="2" t="s">
        <v>244</v>
      </c>
      <c r="L399" s="100">
        <v>44607.0</v>
      </c>
      <c r="M399" s="101">
        <v>0.5868055555555556</v>
      </c>
      <c r="O399" s="227"/>
    </row>
    <row r="400">
      <c r="A400" s="2" t="s">
        <v>1269</v>
      </c>
      <c r="B400" s="100">
        <v>44607.0</v>
      </c>
      <c r="C400" s="101">
        <v>0.32538194444444446</v>
      </c>
      <c r="H400" s="229"/>
      <c r="K400" s="2" t="s">
        <v>244</v>
      </c>
      <c r="L400" s="100">
        <v>44607.0</v>
      </c>
      <c r="M400" s="101">
        <v>0.5868055555555556</v>
      </c>
      <c r="O400" s="227"/>
    </row>
    <row r="401">
      <c r="A401" s="2" t="s">
        <v>1267</v>
      </c>
      <c r="B401" s="100">
        <v>44607.0</v>
      </c>
      <c r="C401" s="101">
        <v>0.3248726851851852</v>
      </c>
      <c r="H401" s="229"/>
      <c r="K401" s="2" t="s">
        <v>244</v>
      </c>
      <c r="L401" s="100">
        <v>44607.0</v>
      </c>
      <c r="M401" s="101">
        <v>0.5868055555555556</v>
      </c>
      <c r="O401" s="227"/>
    </row>
    <row r="402">
      <c r="A402" s="2" t="s">
        <v>1265</v>
      </c>
      <c r="B402" s="100">
        <v>44607.0</v>
      </c>
      <c r="C402" s="101">
        <v>0.32350694444444444</v>
      </c>
      <c r="H402" s="229"/>
      <c r="K402" s="2" t="s">
        <v>244</v>
      </c>
      <c r="L402" s="100">
        <v>44607.0</v>
      </c>
      <c r="M402" s="101">
        <v>0.5868055555555556</v>
      </c>
      <c r="O402" s="227"/>
    </row>
    <row r="403">
      <c r="A403" s="2" t="s">
        <v>1263</v>
      </c>
      <c r="B403" s="100">
        <v>44607.0</v>
      </c>
      <c r="C403" s="101">
        <v>0.32314814814814813</v>
      </c>
      <c r="H403" s="229"/>
      <c r="K403" s="2" t="s">
        <v>244</v>
      </c>
      <c r="L403" s="100">
        <v>44607.0</v>
      </c>
      <c r="M403" s="101">
        <v>0.5868055555555556</v>
      </c>
      <c r="O403" s="227"/>
    </row>
    <row r="404">
      <c r="A404" s="2" t="s">
        <v>1259</v>
      </c>
      <c r="B404" s="100">
        <v>44607.0</v>
      </c>
      <c r="C404" s="101">
        <v>0.32024305555555554</v>
      </c>
      <c r="H404" s="229"/>
      <c r="K404" s="2" t="s">
        <v>244</v>
      </c>
      <c r="L404" s="100">
        <v>44607.0</v>
      </c>
      <c r="M404" s="101">
        <v>0.5868055555555556</v>
      </c>
      <c r="O404" s="227"/>
    </row>
    <row r="405">
      <c r="A405" s="2" t="s">
        <v>1257</v>
      </c>
      <c r="B405" s="100">
        <v>44607.0</v>
      </c>
      <c r="C405" s="101">
        <v>0.31958333333333333</v>
      </c>
      <c r="H405" s="229"/>
      <c r="K405" s="2" t="s">
        <v>244</v>
      </c>
      <c r="L405" s="100">
        <v>44607.0</v>
      </c>
      <c r="M405" s="101">
        <v>0.5868055555555556</v>
      </c>
      <c r="O405" s="227"/>
    </row>
    <row r="406">
      <c r="A406" s="2" t="s">
        <v>1253</v>
      </c>
      <c r="B406" s="100">
        <v>44607.0</v>
      </c>
      <c r="C406" s="101">
        <v>0.3147337962962963</v>
      </c>
      <c r="H406" s="229"/>
      <c r="K406" s="2" t="s">
        <v>244</v>
      </c>
      <c r="L406" s="100">
        <v>44607.0</v>
      </c>
      <c r="M406" s="101">
        <v>0.5868055555555556</v>
      </c>
      <c r="O406" s="227"/>
    </row>
    <row r="407">
      <c r="A407" s="2" t="s">
        <v>1251</v>
      </c>
      <c r="B407" s="100">
        <v>44607.0</v>
      </c>
      <c r="C407" s="101">
        <v>0.314224537037037</v>
      </c>
      <c r="H407" s="229"/>
      <c r="K407" s="2" t="s">
        <v>244</v>
      </c>
      <c r="L407" s="100">
        <v>44607.0</v>
      </c>
      <c r="M407" s="101">
        <v>0.5868055555555556</v>
      </c>
      <c r="O407" s="227"/>
    </row>
    <row r="408">
      <c r="A408" s="2" t="s">
        <v>1247</v>
      </c>
      <c r="B408" s="100">
        <v>44607.0</v>
      </c>
      <c r="C408" s="101">
        <v>0.3134953703703704</v>
      </c>
      <c r="H408" s="229"/>
      <c r="K408" s="2" t="s">
        <v>244</v>
      </c>
      <c r="L408" s="100">
        <v>44607.0</v>
      </c>
      <c r="M408" s="101">
        <v>0.5868055555555556</v>
      </c>
      <c r="O408" s="227"/>
    </row>
    <row r="409">
      <c r="A409" s="2" t="s">
        <v>1245</v>
      </c>
      <c r="B409" s="100">
        <v>44607.0</v>
      </c>
      <c r="C409" s="101">
        <v>0.31342592592592594</v>
      </c>
      <c r="H409" s="229"/>
      <c r="K409" s="2" t="s">
        <v>244</v>
      </c>
      <c r="L409" s="100">
        <v>44607.0</v>
      </c>
      <c r="M409" s="101">
        <v>0.5868055555555556</v>
      </c>
      <c r="O409" s="227"/>
    </row>
    <row r="410">
      <c r="A410" s="2" t="s">
        <v>1241</v>
      </c>
      <c r="B410" s="100">
        <v>44607.0</v>
      </c>
      <c r="C410" s="101">
        <v>0.31328703703703703</v>
      </c>
      <c r="H410" s="229"/>
      <c r="K410" s="2" t="s">
        <v>244</v>
      </c>
      <c r="L410" s="100">
        <v>44607.0</v>
      </c>
      <c r="M410" s="101">
        <v>0.5868055555555556</v>
      </c>
      <c r="O410" s="227"/>
    </row>
    <row r="411">
      <c r="A411" s="2" t="s">
        <v>1239</v>
      </c>
      <c r="B411" s="100">
        <v>44607.0</v>
      </c>
      <c r="C411" s="101">
        <v>0.31320601851851854</v>
      </c>
      <c r="H411" s="229"/>
      <c r="K411" s="2" t="s">
        <v>244</v>
      </c>
      <c r="L411" s="100">
        <v>44607.0</v>
      </c>
      <c r="M411" s="101">
        <v>0.5868055555555556</v>
      </c>
      <c r="O411" s="227"/>
    </row>
    <row r="412">
      <c r="A412" s="2" t="s">
        <v>1237</v>
      </c>
      <c r="B412" s="100">
        <v>44607.0</v>
      </c>
      <c r="C412" s="101">
        <v>0.3127083333333333</v>
      </c>
      <c r="H412" s="229"/>
      <c r="K412" s="2" t="s">
        <v>244</v>
      </c>
      <c r="L412" s="100">
        <v>44607.0</v>
      </c>
      <c r="M412" s="101">
        <v>0.5867939814814814</v>
      </c>
      <c r="O412" s="227"/>
    </row>
    <row r="413">
      <c r="A413" s="2" t="s">
        <v>1235</v>
      </c>
      <c r="B413" s="100">
        <v>44607.0</v>
      </c>
      <c r="C413" s="101">
        <v>0.31167824074074074</v>
      </c>
      <c r="H413" s="229"/>
      <c r="K413" s="2" t="s">
        <v>244</v>
      </c>
      <c r="L413" s="100">
        <v>44607.0</v>
      </c>
      <c r="M413" s="101">
        <v>0.5867939814814814</v>
      </c>
      <c r="O413" s="227"/>
    </row>
    <row r="414">
      <c r="A414" s="2" t="s">
        <v>1233</v>
      </c>
      <c r="B414" s="100">
        <v>44607.0</v>
      </c>
      <c r="C414" s="101">
        <v>0.30743055555555554</v>
      </c>
      <c r="H414" s="229"/>
      <c r="K414" s="2" t="s">
        <v>254</v>
      </c>
      <c r="O414" s="227"/>
    </row>
    <row r="415">
      <c r="A415" s="2" t="s">
        <v>1231</v>
      </c>
      <c r="B415" s="100">
        <v>44607.0</v>
      </c>
      <c r="C415" s="101">
        <v>0.30033564814814817</v>
      </c>
      <c r="H415" s="229"/>
      <c r="K415" s="2" t="s">
        <v>244</v>
      </c>
      <c r="L415" s="100">
        <v>44607.0</v>
      </c>
      <c r="M415" s="101">
        <v>0.5867939814814814</v>
      </c>
      <c r="O415" s="227"/>
    </row>
    <row r="416">
      <c r="A416" s="2" t="s">
        <v>1229</v>
      </c>
      <c r="B416" s="100">
        <v>44607.0</v>
      </c>
      <c r="C416" s="101">
        <v>0.2989583333333333</v>
      </c>
      <c r="H416" s="229"/>
      <c r="K416" s="2" t="s">
        <v>244</v>
      </c>
      <c r="L416" s="100">
        <v>44607.0</v>
      </c>
      <c r="M416" s="101">
        <v>0.5867939814814814</v>
      </c>
      <c r="O416" s="227"/>
    </row>
    <row r="417">
      <c r="A417" s="2" t="s">
        <v>1227</v>
      </c>
      <c r="B417" s="100">
        <v>44607.0</v>
      </c>
      <c r="C417" s="101">
        <v>0.2986226851851852</v>
      </c>
      <c r="H417" s="229"/>
      <c r="K417" s="2" t="s">
        <v>244</v>
      </c>
      <c r="L417" s="100">
        <v>44607.0</v>
      </c>
      <c r="M417" s="101">
        <v>0.5867939814814814</v>
      </c>
      <c r="O417" s="227"/>
    </row>
    <row r="418">
      <c r="A418" s="2" t="s">
        <v>1224</v>
      </c>
      <c r="B418" s="100">
        <v>44607.0</v>
      </c>
      <c r="C418" s="101">
        <v>0.29532407407407407</v>
      </c>
      <c r="H418" s="229"/>
      <c r="K418" s="2" t="s">
        <v>244</v>
      </c>
      <c r="L418" s="100">
        <v>44607.0</v>
      </c>
      <c r="M418" s="101">
        <v>0.5867939814814814</v>
      </c>
      <c r="O418" s="227"/>
    </row>
    <row r="419">
      <c r="A419" s="2" t="s">
        <v>1222</v>
      </c>
      <c r="B419" s="100">
        <v>44607.0</v>
      </c>
      <c r="C419" s="101">
        <v>0.29422453703703705</v>
      </c>
      <c r="H419" s="229"/>
      <c r="K419" s="2" t="s">
        <v>254</v>
      </c>
      <c r="O419" s="227"/>
    </row>
    <row r="420">
      <c r="A420" s="2" t="s">
        <v>1220</v>
      </c>
      <c r="B420" s="100">
        <v>44607.0</v>
      </c>
      <c r="C420" s="101">
        <v>0.2941435185185185</v>
      </c>
      <c r="H420" s="229"/>
      <c r="K420" s="2" t="s">
        <v>254</v>
      </c>
      <c r="O420" s="227"/>
    </row>
    <row r="421">
      <c r="A421" s="2" t="s">
        <v>1218</v>
      </c>
      <c r="B421" s="100">
        <v>44607.0</v>
      </c>
      <c r="C421" s="101">
        <v>0.2821412037037037</v>
      </c>
      <c r="H421" s="229"/>
      <c r="K421" s="2" t="s">
        <v>244</v>
      </c>
      <c r="L421" s="100">
        <v>44607.0</v>
      </c>
      <c r="M421" s="101">
        <v>0.5867939814814814</v>
      </c>
      <c r="O421" s="227"/>
    </row>
    <row r="422">
      <c r="A422" s="2" t="s">
        <v>1216</v>
      </c>
      <c r="B422" s="100">
        <v>44607.0</v>
      </c>
      <c r="C422" s="101">
        <v>0.2629282407407407</v>
      </c>
      <c r="H422" s="229"/>
      <c r="K422" s="2" t="s">
        <v>244</v>
      </c>
      <c r="L422" s="100">
        <v>44607.0</v>
      </c>
      <c r="M422" s="101">
        <v>0.5867939814814814</v>
      </c>
      <c r="O422" s="227"/>
    </row>
    <row r="423">
      <c r="A423" s="2" t="s">
        <v>1214</v>
      </c>
      <c r="B423" s="100">
        <v>44606.0</v>
      </c>
      <c r="C423" s="101">
        <v>0.3616087962962963</v>
      </c>
      <c r="H423" s="229"/>
      <c r="K423" s="2" t="s">
        <v>254</v>
      </c>
      <c r="O423" s="229"/>
    </row>
    <row r="424">
      <c r="A424" s="2" t="s">
        <v>1212</v>
      </c>
      <c r="B424" s="100">
        <v>44606.0</v>
      </c>
      <c r="C424" s="101">
        <v>0.3375</v>
      </c>
      <c r="H424" s="229"/>
      <c r="K424" s="2" t="s">
        <v>254</v>
      </c>
      <c r="O424" s="229"/>
    </row>
    <row r="425">
      <c r="A425" s="2" t="s">
        <v>1210</v>
      </c>
      <c r="B425" s="100">
        <v>44606.0</v>
      </c>
      <c r="C425" s="101">
        <v>0.3229050925925926</v>
      </c>
      <c r="H425" s="229"/>
      <c r="K425" s="2" t="s">
        <v>254</v>
      </c>
      <c r="O425" s="227"/>
    </row>
    <row r="426">
      <c r="A426" s="2" t="s">
        <v>1208</v>
      </c>
      <c r="B426" s="100">
        <v>44606.0</v>
      </c>
      <c r="C426" s="101">
        <v>0.3206712962962963</v>
      </c>
      <c r="H426" s="229"/>
      <c r="K426" s="2" t="s">
        <v>254</v>
      </c>
      <c r="O426" s="227"/>
    </row>
    <row r="427">
      <c r="A427" s="2" t="s">
        <v>1205</v>
      </c>
      <c r="B427" s="100">
        <v>44605.0</v>
      </c>
      <c r="C427" s="101">
        <v>0.3327893518518519</v>
      </c>
      <c r="H427" s="229"/>
      <c r="K427" s="2" t="s">
        <v>254</v>
      </c>
      <c r="O427" s="227"/>
    </row>
    <row r="428">
      <c r="A428" s="2" t="s">
        <v>1202</v>
      </c>
      <c r="B428" s="100">
        <v>44604.0</v>
      </c>
      <c r="C428" s="101">
        <v>0.3247569444444444</v>
      </c>
      <c r="H428" s="229"/>
      <c r="K428" s="2" t="s">
        <v>52</v>
      </c>
      <c r="L428" s="100">
        <v>44604.0</v>
      </c>
      <c r="M428" s="101">
        <v>0.3936689814814815</v>
      </c>
      <c r="O428" s="229"/>
    </row>
    <row r="429">
      <c r="A429" s="2" t="s">
        <v>1200</v>
      </c>
      <c r="B429" s="100">
        <v>44604.0</v>
      </c>
      <c r="C429" s="101">
        <v>0.3235763888888889</v>
      </c>
      <c r="H429" s="229"/>
      <c r="K429" s="2" t="s">
        <v>52</v>
      </c>
      <c r="L429" s="100">
        <v>44604.0</v>
      </c>
      <c r="M429" s="101">
        <v>0.3936689814814815</v>
      </c>
      <c r="O429" s="227"/>
    </row>
    <row r="430">
      <c r="A430" s="2" t="s">
        <v>1198</v>
      </c>
      <c r="B430" s="100">
        <v>44603.0</v>
      </c>
      <c r="C430" s="101">
        <v>0.42311342592592593</v>
      </c>
      <c r="H430" s="229"/>
      <c r="K430" s="2" t="s">
        <v>244</v>
      </c>
      <c r="L430" s="100">
        <v>44603.0</v>
      </c>
      <c r="M430" s="101">
        <v>0.46979166666666666</v>
      </c>
      <c r="O430" s="227"/>
    </row>
    <row r="431">
      <c r="A431" s="2" t="s">
        <v>1196</v>
      </c>
      <c r="B431" s="100">
        <v>44603.0</v>
      </c>
      <c r="C431" s="101">
        <v>0.3788888888888889</v>
      </c>
      <c r="H431" s="229"/>
      <c r="K431" s="2" t="s">
        <v>244</v>
      </c>
      <c r="L431" s="100">
        <v>44603.0</v>
      </c>
      <c r="M431" s="101">
        <v>0.46979166666666666</v>
      </c>
      <c r="O431" s="227"/>
    </row>
    <row r="432">
      <c r="A432" s="2" t="s">
        <v>1194</v>
      </c>
      <c r="B432" s="100">
        <v>44603.0</v>
      </c>
      <c r="C432" s="101">
        <v>0.33946759259259257</v>
      </c>
      <c r="H432" s="229"/>
      <c r="K432" s="2" t="s">
        <v>52</v>
      </c>
      <c r="L432" s="100">
        <v>44603.0</v>
      </c>
      <c r="M432" s="101">
        <v>0.46979166666666666</v>
      </c>
      <c r="O432" s="227"/>
    </row>
    <row r="433">
      <c r="A433" s="2" t="s">
        <v>1190</v>
      </c>
      <c r="B433" s="100">
        <v>44603.0</v>
      </c>
      <c r="C433" s="101">
        <v>0.3391550925925926</v>
      </c>
      <c r="H433" s="229"/>
      <c r="K433" s="2" t="s">
        <v>52</v>
      </c>
      <c r="L433" s="100">
        <v>44603.0</v>
      </c>
      <c r="M433" s="101">
        <v>0.46979166666666666</v>
      </c>
      <c r="O433" s="227"/>
    </row>
    <row r="434">
      <c r="A434" s="2" t="s">
        <v>1188</v>
      </c>
      <c r="B434" s="100">
        <v>44603.0</v>
      </c>
      <c r="C434" s="101">
        <v>0.3376851851851852</v>
      </c>
      <c r="H434" s="229"/>
      <c r="K434" s="2" t="s">
        <v>244</v>
      </c>
      <c r="L434" s="100">
        <v>44603.0</v>
      </c>
      <c r="M434" s="101">
        <v>0.46979166666666666</v>
      </c>
      <c r="O434" s="227"/>
    </row>
    <row r="435">
      <c r="A435" s="2" t="s">
        <v>1186</v>
      </c>
      <c r="B435" s="100">
        <v>44603.0</v>
      </c>
      <c r="C435" s="101">
        <v>0.3190972222222222</v>
      </c>
      <c r="H435" s="229"/>
      <c r="K435" s="2" t="s">
        <v>244</v>
      </c>
      <c r="L435" s="100">
        <v>44603.0</v>
      </c>
      <c r="M435" s="101">
        <v>0.46979166666666666</v>
      </c>
      <c r="O435" s="227"/>
    </row>
    <row r="436">
      <c r="A436" s="2" t="s">
        <v>1184</v>
      </c>
      <c r="B436" s="100">
        <v>44603.0</v>
      </c>
      <c r="C436" s="101">
        <v>0.31798611111111114</v>
      </c>
      <c r="H436" s="229"/>
      <c r="K436" s="2" t="s">
        <v>244</v>
      </c>
      <c r="L436" s="100">
        <v>44603.0</v>
      </c>
      <c r="M436" s="101">
        <v>0.46979166666666666</v>
      </c>
      <c r="O436" s="227"/>
    </row>
    <row r="437">
      <c r="A437" s="2" t="s">
        <v>1182</v>
      </c>
      <c r="B437" s="100">
        <v>44603.0</v>
      </c>
      <c r="C437" s="101">
        <v>0.3151736111111111</v>
      </c>
      <c r="H437" s="229"/>
      <c r="K437" s="2" t="s">
        <v>244</v>
      </c>
      <c r="L437" s="100">
        <v>44603.0</v>
      </c>
      <c r="M437" s="101">
        <v>0.46979166666666666</v>
      </c>
      <c r="O437" s="229"/>
    </row>
    <row r="438">
      <c r="A438" s="2" t="s">
        <v>1180</v>
      </c>
      <c r="B438" s="100">
        <v>44603.0</v>
      </c>
      <c r="C438" s="101">
        <v>0.28810185185185183</v>
      </c>
      <c r="H438" s="229"/>
      <c r="K438" s="2" t="s">
        <v>244</v>
      </c>
      <c r="L438" s="100">
        <v>44603.0</v>
      </c>
      <c r="M438" s="101">
        <v>0.46979166666666666</v>
      </c>
      <c r="O438" s="227"/>
    </row>
    <row r="439">
      <c r="A439" s="2" t="s">
        <v>1177</v>
      </c>
      <c r="B439" s="100">
        <v>44601.0</v>
      </c>
      <c r="C439" s="101">
        <v>0.3924884259259259</v>
      </c>
      <c r="H439" s="229"/>
      <c r="K439" s="2" t="s">
        <v>244</v>
      </c>
      <c r="L439" s="100">
        <v>44601.0</v>
      </c>
      <c r="M439" s="101">
        <v>0.48203703703703704</v>
      </c>
      <c r="O439" s="229"/>
    </row>
    <row r="440">
      <c r="A440" s="2" t="s">
        <v>1175</v>
      </c>
      <c r="B440" s="100">
        <v>44601.0</v>
      </c>
      <c r="C440" s="101">
        <v>0.3908912037037037</v>
      </c>
      <c r="H440" s="229"/>
      <c r="K440" s="2" t="s">
        <v>244</v>
      </c>
      <c r="L440" s="100">
        <v>44601.0</v>
      </c>
      <c r="M440" s="101">
        <v>0.48203703703703704</v>
      </c>
      <c r="O440" s="227"/>
    </row>
    <row r="441">
      <c r="A441" s="2" t="s">
        <v>1172</v>
      </c>
      <c r="B441" s="100">
        <v>44601.0</v>
      </c>
      <c r="C441" s="101">
        <v>0.34619212962962964</v>
      </c>
      <c r="H441" s="229"/>
      <c r="K441" s="2" t="s">
        <v>244</v>
      </c>
      <c r="L441" s="100">
        <v>44601.0</v>
      </c>
      <c r="M441" s="101">
        <v>0.48203703703703704</v>
      </c>
      <c r="O441" s="229"/>
    </row>
    <row r="442">
      <c r="A442" s="2" t="s">
        <v>1169</v>
      </c>
      <c r="B442" s="100">
        <v>44601.0</v>
      </c>
      <c r="C442" s="101">
        <v>0.34578703703703706</v>
      </c>
      <c r="H442" s="229"/>
      <c r="K442" s="2" t="s">
        <v>244</v>
      </c>
      <c r="L442" s="100">
        <v>44601.0</v>
      </c>
      <c r="M442" s="101">
        <v>0.48203703703703704</v>
      </c>
      <c r="O442" s="229"/>
    </row>
    <row r="443">
      <c r="A443" s="2" t="s">
        <v>1166</v>
      </c>
      <c r="B443" s="100">
        <v>44601.0</v>
      </c>
      <c r="C443" s="101">
        <v>0.34546296296296297</v>
      </c>
      <c r="H443" s="229"/>
      <c r="K443" s="2" t="s">
        <v>244</v>
      </c>
      <c r="L443" s="100">
        <v>44601.0</v>
      </c>
      <c r="M443" s="101">
        <v>0.48203703703703704</v>
      </c>
      <c r="O443" s="229"/>
    </row>
    <row r="444">
      <c r="A444" s="2" t="s">
        <v>1164</v>
      </c>
      <c r="B444" s="100">
        <v>44601.0</v>
      </c>
      <c r="C444" s="101">
        <v>0.3448726851851852</v>
      </c>
      <c r="H444" s="229"/>
      <c r="K444" s="2" t="s">
        <v>244</v>
      </c>
      <c r="L444" s="100">
        <v>44601.0</v>
      </c>
      <c r="M444" s="101">
        <v>0.48203703703703704</v>
      </c>
      <c r="O444" s="227"/>
    </row>
    <row r="445">
      <c r="A445" s="2" t="s">
        <v>1161</v>
      </c>
      <c r="B445" s="100">
        <v>44601.0</v>
      </c>
      <c r="C445" s="101">
        <v>0.3444212962962963</v>
      </c>
      <c r="H445" s="229"/>
      <c r="K445" s="2" t="s">
        <v>244</v>
      </c>
      <c r="L445" s="100">
        <v>44601.0</v>
      </c>
      <c r="M445" s="101">
        <v>0.48203703703703704</v>
      </c>
      <c r="O445" s="227"/>
    </row>
    <row r="446">
      <c r="A446" s="2" t="s">
        <v>1159</v>
      </c>
      <c r="B446" s="100">
        <v>44601.0</v>
      </c>
      <c r="C446" s="101">
        <v>0.3438310185185185</v>
      </c>
      <c r="H446" s="229"/>
      <c r="K446" s="2" t="s">
        <v>244</v>
      </c>
      <c r="L446" s="100">
        <v>44601.0</v>
      </c>
      <c r="M446" s="101">
        <v>0.48203703703703704</v>
      </c>
      <c r="O446" s="227"/>
    </row>
    <row r="447">
      <c r="A447" s="2" t="s">
        <v>1157</v>
      </c>
      <c r="B447" s="100">
        <v>44601.0</v>
      </c>
      <c r="C447" s="101">
        <v>0.3174074074074074</v>
      </c>
      <c r="H447" s="229"/>
      <c r="K447" s="2" t="s">
        <v>244</v>
      </c>
      <c r="L447" s="100">
        <v>44601.0</v>
      </c>
      <c r="M447" s="101">
        <v>0.48203703703703704</v>
      </c>
      <c r="O447" s="227"/>
    </row>
    <row r="448">
      <c r="A448" s="2" t="s">
        <v>1155</v>
      </c>
      <c r="B448" s="100">
        <v>44601.0</v>
      </c>
      <c r="C448" s="101">
        <v>0.31181712962962965</v>
      </c>
      <c r="H448" s="229"/>
      <c r="K448" s="2" t="s">
        <v>244</v>
      </c>
      <c r="L448" s="100">
        <v>44601.0</v>
      </c>
      <c r="M448" s="101">
        <v>0.48203703703703704</v>
      </c>
      <c r="O448" s="227"/>
    </row>
    <row r="449">
      <c r="A449" s="2" t="s">
        <v>1153</v>
      </c>
      <c r="B449" s="100">
        <v>44601.0</v>
      </c>
      <c r="C449" s="101">
        <v>0.30150462962962965</v>
      </c>
      <c r="H449" s="229"/>
      <c r="K449" s="2" t="s">
        <v>244</v>
      </c>
      <c r="L449" s="100">
        <v>44601.0</v>
      </c>
      <c r="M449" s="101">
        <v>0.48203703703703704</v>
      </c>
      <c r="O449" s="229"/>
    </row>
    <row r="450">
      <c r="A450" s="2" t="s">
        <v>1151</v>
      </c>
      <c r="B450" s="100">
        <v>44601.0</v>
      </c>
      <c r="C450" s="101">
        <v>0.3012037037037037</v>
      </c>
      <c r="H450" s="229"/>
      <c r="K450" s="2" t="s">
        <v>244</v>
      </c>
      <c r="L450" s="100">
        <v>44601.0</v>
      </c>
      <c r="M450" s="101">
        <v>0.48203703703703704</v>
      </c>
      <c r="O450" s="229"/>
    </row>
    <row r="451">
      <c r="A451" s="2" t="s">
        <v>1149</v>
      </c>
      <c r="B451" s="100">
        <v>44601.0</v>
      </c>
      <c r="C451" s="101">
        <v>0.2634606481481481</v>
      </c>
      <c r="H451" s="229"/>
      <c r="K451" s="2" t="s">
        <v>52</v>
      </c>
      <c r="L451" s="100">
        <v>44601.0</v>
      </c>
      <c r="M451" s="101">
        <v>0.48203703703703704</v>
      </c>
      <c r="O451" s="229"/>
    </row>
    <row r="452">
      <c r="A452" s="2" t="s">
        <v>1147</v>
      </c>
      <c r="B452" s="100">
        <v>44601.0</v>
      </c>
      <c r="C452" s="101">
        <v>0.26310185185185186</v>
      </c>
      <c r="H452" s="229"/>
      <c r="K452" s="2" t="s">
        <v>244</v>
      </c>
      <c r="L452" s="100">
        <v>44601.0</v>
      </c>
      <c r="M452" s="101">
        <v>0.48202546296296295</v>
      </c>
      <c r="O452" s="229"/>
    </row>
    <row r="453">
      <c r="A453" s="2" t="s">
        <v>1145</v>
      </c>
      <c r="B453" s="100">
        <v>44599.0</v>
      </c>
      <c r="C453" s="101">
        <v>0.47069444444444447</v>
      </c>
      <c r="H453" s="229"/>
      <c r="K453" s="2" t="s">
        <v>244</v>
      </c>
      <c r="L453" s="100">
        <v>44599.0</v>
      </c>
      <c r="M453" s="101">
        <v>0.4875462962962963</v>
      </c>
      <c r="O453" s="227"/>
    </row>
    <row r="454">
      <c r="A454" s="2" t="s">
        <v>1142</v>
      </c>
      <c r="B454" s="100">
        <v>44599.0</v>
      </c>
      <c r="C454" s="101">
        <v>0.46304398148148146</v>
      </c>
      <c r="H454" s="229"/>
      <c r="K454" s="2" t="s">
        <v>244</v>
      </c>
      <c r="L454" s="100">
        <v>44599.0</v>
      </c>
      <c r="M454" s="101">
        <v>0.4875462962962963</v>
      </c>
      <c r="O454" s="229"/>
    </row>
    <row r="455">
      <c r="A455" s="2" t="s">
        <v>1139</v>
      </c>
      <c r="B455" s="100">
        <v>44599.0</v>
      </c>
      <c r="C455" s="101">
        <v>0.4626388888888889</v>
      </c>
      <c r="H455" s="229"/>
      <c r="K455" s="2" t="s">
        <v>244</v>
      </c>
      <c r="L455" s="100">
        <v>44599.0</v>
      </c>
      <c r="M455" s="101">
        <v>0.4875462962962963</v>
      </c>
      <c r="O455" s="229"/>
    </row>
    <row r="456">
      <c r="A456" s="2" t="s">
        <v>1137</v>
      </c>
      <c r="B456" s="100">
        <v>44599.0</v>
      </c>
      <c r="C456" s="101">
        <v>0.34703703703703703</v>
      </c>
      <c r="H456" s="229"/>
      <c r="K456" s="2" t="s">
        <v>244</v>
      </c>
      <c r="L456" s="100">
        <v>44599.0</v>
      </c>
      <c r="M456" s="101">
        <v>0.4875462962962963</v>
      </c>
      <c r="O456" s="227"/>
    </row>
    <row r="457">
      <c r="A457" s="2" t="s">
        <v>1135</v>
      </c>
      <c r="B457" s="100">
        <v>44599.0</v>
      </c>
      <c r="C457" s="101">
        <v>0.3376736111111111</v>
      </c>
      <c r="H457" s="229"/>
      <c r="K457" s="2" t="s">
        <v>244</v>
      </c>
      <c r="L457" s="100">
        <v>44599.0</v>
      </c>
      <c r="M457" s="101">
        <v>0.4875462962962963</v>
      </c>
      <c r="O457" s="229"/>
    </row>
    <row r="458">
      <c r="A458" s="2" t="s">
        <v>1133</v>
      </c>
      <c r="B458" s="100">
        <v>44599.0</v>
      </c>
      <c r="C458" s="101">
        <v>0.33288194444444447</v>
      </c>
      <c r="H458" s="229"/>
      <c r="K458" s="2" t="s">
        <v>52</v>
      </c>
      <c r="L458" s="100">
        <v>44599.0</v>
      </c>
      <c r="M458" s="101">
        <v>0.4875347222222222</v>
      </c>
      <c r="O458" s="227"/>
    </row>
    <row r="459">
      <c r="A459" s="2" t="s">
        <v>1131</v>
      </c>
      <c r="B459" s="100">
        <v>44599.0</v>
      </c>
      <c r="C459" s="101">
        <v>0.32459490740740743</v>
      </c>
      <c r="H459" s="229"/>
      <c r="K459" s="2" t="s">
        <v>244</v>
      </c>
      <c r="L459" s="100">
        <v>44599.0</v>
      </c>
      <c r="M459" s="101">
        <v>0.4875462962962963</v>
      </c>
      <c r="O459" s="227"/>
    </row>
    <row r="460">
      <c r="A460" s="2" t="s">
        <v>1129</v>
      </c>
      <c r="B460" s="100">
        <v>44599.0</v>
      </c>
      <c r="C460" s="101">
        <v>0.31884259259259257</v>
      </c>
      <c r="H460" s="229"/>
      <c r="K460" s="2" t="s">
        <v>244</v>
      </c>
      <c r="L460" s="100">
        <v>44599.0</v>
      </c>
      <c r="M460" s="101">
        <v>0.4875462962962963</v>
      </c>
      <c r="O460" s="227"/>
    </row>
    <row r="461">
      <c r="A461" s="2" t="s">
        <v>1127</v>
      </c>
      <c r="B461" s="100">
        <v>44599.0</v>
      </c>
      <c r="C461" s="101">
        <v>0.3181365740740741</v>
      </c>
      <c r="H461" s="229"/>
      <c r="K461" s="2" t="s">
        <v>244</v>
      </c>
      <c r="L461" s="100">
        <v>44599.0</v>
      </c>
      <c r="M461" s="101">
        <v>0.4875462962962963</v>
      </c>
      <c r="O461" s="227"/>
    </row>
    <row r="462">
      <c r="A462" s="2" t="s">
        <v>1125</v>
      </c>
      <c r="B462" s="100">
        <v>44599.0</v>
      </c>
      <c r="C462" s="101">
        <v>0.3065393518518518</v>
      </c>
      <c r="H462" s="229"/>
      <c r="K462" s="2" t="s">
        <v>244</v>
      </c>
      <c r="L462" s="100">
        <v>44599.0</v>
      </c>
      <c r="M462" s="101">
        <v>0.4875347222222222</v>
      </c>
      <c r="O462" s="227"/>
    </row>
    <row r="463">
      <c r="A463" s="2" t="s">
        <v>1123</v>
      </c>
      <c r="B463" s="100">
        <v>44599.0</v>
      </c>
      <c r="C463" s="101">
        <v>0.30591435185185184</v>
      </c>
      <c r="H463" s="229"/>
      <c r="K463" s="2" t="s">
        <v>244</v>
      </c>
      <c r="L463" s="100">
        <v>44599.0</v>
      </c>
      <c r="M463" s="101">
        <v>0.4875347222222222</v>
      </c>
      <c r="O463" s="227"/>
    </row>
    <row r="464">
      <c r="A464" s="2" t="s">
        <v>1121</v>
      </c>
      <c r="B464" s="100">
        <v>44599.0</v>
      </c>
      <c r="C464" s="101">
        <v>0.3005902777777778</v>
      </c>
      <c r="H464" s="229"/>
      <c r="K464" s="2" t="s">
        <v>244</v>
      </c>
      <c r="L464" s="100">
        <v>44599.0</v>
      </c>
      <c r="M464" s="101">
        <v>0.4875347222222222</v>
      </c>
      <c r="O464" s="227"/>
    </row>
    <row r="465">
      <c r="A465" s="2" t="s">
        <v>1119</v>
      </c>
      <c r="B465" s="100">
        <v>44599.0</v>
      </c>
      <c r="C465" s="101">
        <v>0.2763541666666667</v>
      </c>
      <c r="H465" s="229"/>
      <c r="K465" s="2" t="s">
        <v>244</v>
      </c>
      <c r="L465" s="100">
        <v>44599.0</v>
      </c>
      <c r="M465" s="101">
        <v>0.4875347222222222</v>
      </c>
      <c r="O465" s="227"/>
    </row>
    <row r="466">
      <c r="A466" s="2" t="s">
        <v>1117</v>
      </c>
      <c r="B466" s="100">
        <v>44596.0</v>
      </c>
      <c r="C466" s="101">
        <v>0.3524189814814815</v>
      </c>
      <c r="H466" s="229"/>
      <c r="K466" s="2" t="s">
        <v>244</v>
      </c>
      <c r="L466" s="100">
        <v>44596.0</v>
      </c>
      <c r="M466" s="101">
        <v>0.48193287037037036</v>
      </c>
      <c r="O466" s="227"/>
    </row>
    <row r="467">
      <c r="A467" s="2" t="s">
        <v>1115</v>
      </c>
      <c r="B467" s="100">
        <v>44596.0</v>
      </c>
      <c r="C467" s="101">
        <v>0.35225694444444444</v>
      </c>
      <c r="H467" s="229"/>
      <c r="K467" s="2" t="s">
        <v>244</v>
      </c>
      <c r="L467" s="100">
        <v>44596.0</v>
      </c>
      <c r="M467" s="101">
        <v>0.48193287037037036</v>
      </c>
      <c r="O467" s="227"/>
    </row>
    <row r="468">
      <c r="A468" s="2" t="s">
        <v>1112</v>
      </c>
      <c r="B468" s="100">
        <v>44596.0</v>
      </c>
      <c r="C468" s="101">
        <v>0.351875</v>
      </c>
      <c r="H468" s="229"/>
      <c r="K468" s="2" t="s">
        <v>244</v>
      </c>
      <c r="L468" s="100">
        <v>44596.0</v>
      </c>
      <c r="M468" s="101">
        <v>0.48193287037037036</v>
      </c>
      <c r="O468" s="229"/>
    </row>
    <row r="469">
      <c r="A469" s="2" t="s">
        <v>1110</v>
      </c>
      <c r="B469" s="100">
        <v>44596.0</v>
      </c>
      <c r="C469" s="101">
        <v>0.3431712962962963</v>
      </c>
      <c r="H469" s="229"/>
      <c r="K469" s="2" t="s">
        <v>244</v>
      </c>
      <c r="L469" s="100">
        <v>44596.0</v>
      </c>
      <c r="M469" s="101">
        <v>0.48193287037037036</v>
      </c>
      <c r="O469" s="227"/>
    </row>
    <row r="470">
      <c r="A470" s="2" t="s">
        <v>1108</v>
      </c>
      <c r="B470" s="100">
        <v>44596.0</v>
      </c>
      <c r="C470" s="101">
        <v>0.30917824074074074</v>
      </c>
      <c r="H470" s="229"/>
      <c r="K470" s="2" t="s">
        <v>244</v>
      </c>
      <c r="L470" s="100">
        <v>44596.0</v>
      </c>
      <c r="M470" s="101">
        <v>0.48193287037037036</v>
      </c>
      <c r="O470" s="229"/>
    </row>
    <row r="471">
      <c r="A471" s="2" t="s">
        <v>1106</v>
      </c>
      <c r="B471" s="100">
        <v>44594.0</v>
      </c>
      <c r="C471" s="101">
        <v>0.37555555555555553</v>
      </c>
      <c r="H471" s="229"/>
      <c r="K471" s="2" t="s">
        <v>244</v>
      </c>
      <c r="L471" s="100">
        <v>44596.0</v>
      </c>
      <c r="M471" s="101">
        <v>0.48194444444444445</v>
      </c>
      <c r="O471" s="227"/>
    </row>
    <row r="472">
      <c r="A472" s="2" t="s">
        <v>1104</v>
      </c>
      <c r="B472" s="100">
        <v>44594.0</v>
      </c>
      <c r="C472" s="101">
        <v>0.3751157407407407</v>
      </c>
      <c r="H472" s="229"/>
      <c r="K472" s="2" t="s">
        <v>244</v>
      </c>
      <c r="L472" s="100">
        <v>44596.0</v>
      </c>
      <c r="M472" s="101">
        <v>0.48194444444444445</v>
      </c>
      <c r="O472" s="229"/>
    </row>
    <row r="473">
      <c r="A473" s="2" t="s">
        <v>1102</v>
      </c>
      <c r="B473" s="100">
        <v>44594.0</v>
      </c>
      <c r="C473" s="101">
        <v>0.3539351851851852</v>
      </c>
      <c r="H473" s="229"/>
      <c r="K473" s="2" t="s">
        <v>244</v>
      </c>
      <c r="L473" s="100">
        <v>44596.0</v>
      </c>
      <c r="M473" s="101">
        <v>0.48194444444444445</v>
      </c>
      <c r="O473" s="227"/>
    </row>
    <row r="474">
      <c r="A474" s="2" t="s">
        <v>1098</v>
      </c>
      <c r="B474" s="100">
        <v>44594.0</v>
      </c>
      <c r="C474" s="101">
        <v>0.34739583333333335</v>
      </c>
      <c r="H474" s="229"/>
      <c r="K474" s="2" t="s">
        <v>244</v>
      </c>
      <c r="L474" s="100">
        <v>44596.0</v>
      </c>
      <c r="M474" s="101">
        <v>0.48194444444444445</v>
      </c>
      <c r="O474" s="227"/>
    </row>
    <row r="475">
      <c r="A475" s="2" t="s">
        <v>1095</v>
      </c>
      <c r="B475" s="100">
        <v>44594.0</v>
      </c>
      <c r="C475" s="101">
        <v>0.34423611111111113</v>
      </c>
      <c r="H475" s="229"/>
      <c r="K475" s="2" t="s">
        <v>244</v>
      </c>
      <c r="L475" s="100">
        <v>44596.0</v>
      </c>
      <c r="M475" s="101">
        <v>0.48194444444444445</v>
      </c>
      <c r="O475" s="229"/>
    </row>
    <row r="476">
      <c r="A476" s="2" t="s">
        <v>1093</v>
      </c>
      <c r="B476" s="100">
        <v>44594.0</v>
      </c>
      <c r="C476" s="101">
        <v>0.34377314814814813</v>
      </c>
      <c r="H476" s="229"/>
      <c r="K476" s="2" t="s">
        <v>244</v>
      </c>
      <c r="L476" s="100">
        <v>44596.0</v>
      </c>
      <c r="M476" s="101">
        <v>0.48194444444444445</v>
      </c>
      <c r="O476" s="227"/>
    </row>
    <row r="477">
      <c r="A477" s="2" t="s">
        <v>1091</v>
      </c>
      <c r="B477" s="100">
        <v>44594.0</v>
      </c>
      <c r="C477" s="101">
        <v>0.33846064814814814</v>
      </c>
      <c r="H477" s="229"/>
      <c r="K477" s="2" t="s">
        <v>244</v>
      </c>
      <c r="L477" s="100">
        <v>44596.0</v>
      </c>
      <c r="M477" s="101">
        <v>0.48194444444444445</v>
      </c>
      <c r="O477" s="227"/>
    </row>
    <row r="478">
      <c r="A478" s="2" t="s">
        <v>1089</v>
      </c>
      <c r="B478" s="100">
        <v>44594.0</v>
      </c>
      <c r="C478" s="101">
        <v>0.3348263888888889</v>
      </c>
      <c r="H478" s="229"/>
      <c r="K478" s="2" t="s">
        <v>244</v>
      </c>
      <c r="L478" s="100">
        <v>44596.0</v>
      </c>
      <c r="M478" s="101">
        <v>0.48193287037037036</v>
      </c>
      <c r="O478" s="227"/>
    </row>
    <row r="479">
      <c r="A479" s="2" t="s">
        <v>1087</v>
      </c>
      <c r="B479" s="100">
        <v>44594.0</v>
      </c>
      <c r="C479" s="101">
        <v>0.3244675925925926</v>
      </c>
      <c r="H479" s="229"/>
      <c r="K479" s="2" t="s">
        <v>52</v>
      </c>
      <c r="L479" s="100">
        <v>44594.0</v>
      </c>
      <c r="M479" s="101">
        <v>0.48358796296296297</v>
      </c>
      <c r="O479" s="229"/>
    </row>
    <row r="480">
      <c r="A480" s="2" t="s">
        <v>1085</v>
      </c>
      <c r="B480" s="100">
        <v>44592.0</v>
      </c>
      <c r="C480" s="101">
        <v>0.42983796296296295</v>
      </c>
      <c r="H480" s="229"/>
      <c r="K480" s="2" t="s">
        <v>244</v>
      </c>
      <c r="L480" s="100">
        <v>44592.0</v>
      </c>
      <c r="M480" s="101">
        <v>0.46024305555555556</v>
      </c>
      <c r="O480" s="227"/>
    </row>
    <row r="481">
      <c r="A481" s="2" t="s">
        <v>1083</v>
      </c>
      <c r="B481" s="100">
        <v>44592.0</v>
      </c>
      <c r="C481" s="101">
        <v>0.3622800925925926</v>
      </c>
      <c r="H481" s="229"/>
      <c r="K481" s="2" t="s">
        <v>244</v>
      </c>
      <c r="L481" s="100">
        <v>44592.0</v>
      </c>
      <c r="M481" s="101">
        <v>0.46024305555555556</v>
      </c>
      <c r="O481" s="227"/>
    </row>
    <row r="482">
      <c r="A482" s="2" t="s">
        <v>1081</v>
      </c>
      <c r="B482" s="100">
        <v>44592.0</v>
      </c>
      <c r="C482" s="101">
        <v>0.34346064814814814</v>
      </c>
      <c r="H482" s="229"/>
      <c r="K482" s="2" t="s">
        <v>244</v>
      </c>
      <c r="L482" s="100">
        <v>44592.0</v>
      </c>
      <c r="M482" s="101">
        <v>0.46024305555555556</v>
      </c>
      <c r="O482" s="227"/>
    </row>
    <row r="483">
      <c r="A483" s="2" t="s">
        <v>1079</v>
      </c>
      <c r="B483" s="100">
        <v>44592.0</v>
      </c>
      <c r="C483" s="101">
        <v>0.33368055555555554</v>
      </c>
      <c r="H483" s="229"/>
      <c r="K483" s="2" t="s">
        <v>244</v>
      </c>
      <c r="L483" s="100">
        <v>44592.0</v>
      </c>
      <c r="M483" s="101">
        <v>0.46024305555555556</v>
      </c>
      <c r="O483" s="227"/>
    </row>
    <row r="484">
      <c r="A484" s="2" t="s">
        <v>1077</v>
      </c>
      <c r="B484" s="100">
        <v>44592.0</v>
      </c>
      <c r="C484" s="101">
        <v>0.33358796296296295</v>
      </c>
      <c r="H484" s="229"/>
      <c r="K484" s="2" t="s">
        <v>244</v>
      </c>
      <c r="L484" s="100">
        <v>44592.0</v>
      </c>
      <c r="M484" s="101">
        <v>0.46024305555555556</v>
      </c>
      <c r="O484" s="227"/>
    </row>
    <row r="485">
      <c r="A485" s="2" t="s">
        <v>1075</v>
      </c>
      <c r="B485" s="100">
        <v>44592.0</v>
      </c>
      <c r="C485" s="101">
        <v>0.3297337962962963</v>
      </c>
      <c r="H485" s="229"/>
      <c r="K485" s="2" t="s">
        <v>244</v>
      </c>
      <c r="L485" s="100">
        <v>44592.0</v>
      </c>
      <c r="M485" s="101">
        <v>0.46024305555555556</v>
      </c>
      <c r="O485" s="227"/>
    </row>
    <row r="486">
      <c r="A486" s="2" t="s">
        <v>1073</v>
      </c>
      <c r="B486" s="100">
        <v>44592.0</v>
      </c>
      <c r="C486" s="101">
        <v>0.32744212962962965</v>
      </c>
      <c r="H486" s="229"/>
      <c r="K486" s="2" t="s">
        <v>244</v>
      </c>
      <c r="L486" s="100">
        <v>44592.0</v>
      </c>
      <c r="M486" s="101">
        <v>0.46024305555555556</v>
      </c>
      <c r="O486" s="227"/>
    </row>
    <row r="487">
      <c r="A487" s="2" t="s">
        <v>1071</v>
      </c>
      <c r="B487" s="100">
        <v>44592.0</v>
      </c>
      <c r="C487" s="101">
        <v>0.3271759259259259</v>
      </c>
      <c r="H487" s="229"/>
      <c r="K487" s="2" t="s">
        <v>244</v>
      </c>
      <c r="L487" s="100">
        <v>44592.0</v>
      </c>
      <c r="M487" s="101">
        <v>0.46024305555555556</v>
      </c>
      <c r="O487" s="227"/>
    </row>
    <row r="488">
      <c r="A488" s="2" t="s">
        <v>1069</v>
      </c>
      <c r="B488" s="100">
        <v>44592.0</v>
      </c>
      <c r="C488" s="101">
        <v>0.3260416666666667</v>
      </c>
      <c r="H488" s="229"/>
      <c r="K488" s="2" t="s">
        <v>244</v>
      </c>
      <c r="L488" s="100">
        <v>44592.0</v>
      </c>
      <c r="M488" s="101">
        <v>0.46024305555555556</v>
      </c>
      <c r="O488" s="227"/>
    </row>
    <row r="489">
      <c r="A489" s="2" t="s">
        <v>1067</v>
      </c>
      <c r="B489" s="100">
        <v>44592.0</v>
      </c>
      <c r="C489" s="101">
        <v>0.32427083333333334</v>
      </c>
      <c r="H489" s="229"/>
      <c r="K489" s="2" t="s">
        <v>244</v>
      </c>
      <c r="L489" s="100">
        <v>44592.0</v>
      </c>
      <c r="M489" s="101">
        <v>0.46023148148148146</v>
      </c>
      <c r="O489" s="227"/>
    </row>
    <row r="490">
      <c r="A490" s="2" t="s">
        <v>1065</v>
      </c>
      <c r="B490" s="100">
        <v>44589.0</v>
      </c>
      <c r="C490" s="101">
        <v>0.3656828703703704</v>
      </c>
      <c r="H490" s="229"/>
      <c r="K490" s="2" t="s">
        <v>244</v>
      </c>
      <c r="L490" s="100">
        <v>44589.0</v>
      </c>
      <c r="M490" s="101">
        <v>0.48391203703703706</v>
      </c>
      <c r="O490" s="227"/>
    </row>
    <row r="491">
      <c r="A491" s="2" t="s">
        <v>1063</v>
      </c>
      <c r="B491" s="100">
        <v>44589.0</v>
      </c>
      <c r="C491" s="101">
        <v>0.3478819444444444</v>
      </c>
      <c r="H491" s="229"/>
      <c r="K491" s="2" t="s">
        <v>244</v>
      </c>
      <c r="L491" s="100">
        <v>44589.0</v>
      </c>
      <c r="M491" s="101">
        <v>0.48390046296296296</v>
      </c>
      <c r="O491" s="227"/>
    </row>
    <row r="492">
      <c r="A492" s="2" t="s">
        <v>1061</v>
      </c>
      <c r="B492" s="100">
        <v>44589.0</v>
      </c>
      <c r="C492" s="101">
        <v>0.3442013888888889</v>
      </c>
      <c r="H492" s="229"/>
      <c r="K492" s="2" t="s">
        <v>244</v>
      </c>
      <c r="L492" s="100">
        <v>44589.0</v>
      </c>
      <c r="M492" s="101">
        <v>0.48390046296296296</v>
      </c>
      <c r="O492" s="227"/>
    </row>
    <row r="493">
      <c r="A493" s="2" t="s">
        <v>1059</v>
      </c>
      <c r="B493" s="100">
        <v>44589.0</v>
      </c>
      <c r="C493" s="101">
        <v>0.33208333333333334</v>
      </c>
      <c r="H493" s="229"/>
      <c r="K493" s="2" t="s">
        <v>244</v>
      </c>
      <c r="L493" s="100">
        <v>44589.0</v>
      </c>
      <c r="M493" s="101">
        <v>0.48390046296296296</v>
      </c>
      <c r="O493" s="227"/>
    </row>
    <row r="494">
      <c r="A494" s="2" t="s">
        <v>1057</v>
      </c>
      <c r="B494" s="100">
        <v>44589.0</v>
      </c>
      <c r="C494" s="101">
        <v>0.33152777777777775</v>
      </c>
      <c r="H494" s="229"/>
      <c r="K494" s="2" t="s">
        <v>244</v>
      </c>
      <c r="L494" s="100">
        <v>44589.0</v>
      </c>
      <c r="M494" s="101">
        <v>0.48390046296296296</v>
      </c>
      <c r="O494" s="229"/>
    </row>
    <row r="495">
      <c r="A495" s="2" t="s">
        <v>1055</v>
      </c>
      <c r="B495" s="100">
        <v>44589.0</v>
      </c>
      <c r="C495" s="101">
        <v>0.33037037037037037</v>
      </c>
      <c r="H495" s="229"/>
      <c r="K495" s="2" t="s">
        <v>244</v>
      </c>
      <c r="L495" s="100">
        <v>44589.0</v>
      </c>
      <c r="M495" s="101">
        <v>0.48390046296296296</v>
      </c>
      <c r="O495" s="227"/>
    </row>
    <row r="496">
      <c r="A496" s="2" t="s">
        <v>1053</v>
      </c>
      <c r="B496" s="100">
        <v>44589.0</v>
      </c>
      <c r="C496" s="101">
        <v>0.31453703703703706</v>
      </c>
      <c r="H496" s="229"/>
      <c r="K496" s="2" t="s">
        <v>244</v>
      </c>
      <c r="L496" s="100">
        <v>44589.0</v>
      </c>
      <c r="M496" s="101">
        <v>0.48390046296296296</v>
      </c>
      <c r="O496" s="227"/>
    </row>
    <row r="497">
      <c r="A497" s="2" t="s">
        <v>1051</v>
      </c>
      <c r="B497" s="100">
        <v>44587.0</v>
      </c>
      <c r="C497" s="101">
        <v>0.38894675925925926</v>
      </c>
      <c r="H497" s="229"/>
      <c r="K497" s="2" t="s">
        <v>244</v>
      </c>
      <c r="L497" s="100">
        <v>44587.0</v>
      </c>
      <c r="M497" s="101">
        <v>0.5005671296296297</v>
      </c>
      <c r="O497" s="229"/>
    </row>
    <row r="498">
      <c r="A498" s="2" t="s">
        <v>1048</v>
      </c>
      <c r="B498" s="100">
        <v>44587.0</v>
      </c>
      <c r="C498" s="101">
        <v>0.3566898148148148</v>
      </c>
      <c r="H498" s="229"/>
      <c r="K498" s="2" t="s">
        <v>244</v>
      </c>
      <c r="L498" s="100">
        <v>44587.0</v>
      </c>
      <c r="M498" s="101">
        <v>0.5005671296296297</v>
      </c>
      <c r="O498" s="227"/>
    </row>
    <row r="499">
      <c r="A499" s="2" t="s">
        <v>1046</v>
      </c>
      <c r="B499" s="100">
        <v>44587.0</v>
      </c>
      <c r="C499" s="101">
        <v>0.3502314814814815</v>
      </c>
      <c r="H499" s="229"/>
      <c r="K499" s="2" t="s">
        <v>244</v>
      </c>
      <c r="L499" s="100">
        <v>44587.0</v>
      </c>
      <c r="M499" s="101">
        <v>0.5005555555555555</v>
      </c>
      <c r="O499" s="227"/>
    </row>
    <row r="500">
      <c r="A500" s="2" t="s">
        <v>1044</v>
      </c>
      <c r="B500" s="100">
        <v>44587.0</v>
      </c>
      <c r="C500" s="101">
        <v>0.3372222222222222</v>
      </c>
      <c r="H500" s="229"/>
      <c r="K500" s="2" t="s">
        <v>244</v>
      </c>
      <c r="L500" s="100">
        <v>44587.0</v>
      </c>
      <c r="M500" s="101">
        <v>0.5005555555555555</v>
      </c>
      <c r="O500" s="227"/>
    </row>
    <row r="501">
      <c r="A501" s="2" t="s">
        <v>1042</v>
      </c>
      <c r="B501" s="100">
        <v>44587.0</v>
      </c>
      <c r="C501" s="101">
        <v>0.3365972222222222</v>
      </c>
      <c r="H501" s="229"/>
      <c r="K501" s="2" t="s">
        <v>244</v>
      </c>
      <c r="L501" s="100">
        <v>44587.0</v>
      </c>
      <c r="M501" s="101">
        <v>0.5005555555555555</v>
      </c>
      <c r="O501" s="227"/>
    </row>
    <row r="502">
      <c r="A502" s="2" t="s">
        <v>1039</v>
      </c>
      <c r="B502" s="100">
        <v>44587.0</v>
      </c>
      <c r="C502" s="101">
        <v>0.33185185185185184</v>
      </c>
      <c r="H502" s="229"/>
      <c r="K502" s="2" t="s">
        <v>244</v>
      </c>
      <c r="L502" s="100">
        <v>44587.0</v>
      </c>
      <c r="M502" s="101">
        <v>0.5005555555555555</v>
      </c>
      <c r="O502" s="229"/>
    </row>
    <row r="503">
      <c r="A503" s="2" t="s">
        <v>1037</v>
      </c>
      <c r="B503" s="100">
        <v>44587.0</v>
      </c>
      <c r="C503" s="101">
        <v>0.3313425925925926</v>
      </c>
      <c r="H503" s="229"/>
      <c r="K503" s="2" t="s">
        <v>244</v>
      </c>
      <c r="L503" s="100">
        <v>44587.0</v>
      </c>
      <c r="M503" s="101">
        <v>0.5005555555555555</v>
      </c>
      <c r="O503" s="227"/>
    </row>
    <row r="504">
      <c r="A504" s="2" t="s">
        <v>1035</v>
      </c>
      <c r="B504" s="100">
        <v>44587.0</v>
      </c>
      <c r="C504" s="101">
        <v>0.32375</v>
      </c>
      <c r="H504" s="229"/>
      <c r="K504" s="2" t="s">
        <v>244</v>
      </c>
      <c r="L504" s="100">
        <v>44587.0</v>
      </c>
      <c r="M504" s="101">
        <v>0.5005439814814815</v>
      </c>
      <c r="O504" s="229"/>
    </row>
    <row r="505">
      <c r="A505" s="2" t="s">
        <v>1033</v>
      </c>
      <c r="B505" s="100">
        <v>44587.0</v>
      </c>
      <c r="C505" s="101">
        <v>0.32371527777777775</v>
      </c>
      <c r="H505" s="229"/>
      <c r="K505" s="2" t="s">
        <v>244</v>
      </c>
      <c r="L505" s="100">
        <v>44587.0</v>
      </c>
      <c r="M505" s="101">
        <v>0.5005439814814815</v>
      </c>
      <c r="O505" s="227"/>
    </row>
    <row r="506">
      <c r="A506" s="2" t="s">
        <v>1031</v>
      </c>
      <c r="B506" s="100">
        <v>44587.0</v>
      </c>
      <c r="C506" s="101">
        <v>0.32349537037037035</v>
      </c>
      <c r="H506" s="229"/>
      <c r="K506" s="2" t="s">
        <v>244</v>
      </c>
      <c r="L506" s="100">
        <v>44587.0</v>
      </c>
      <c r="M506" s="101">
        <v>0.5005439814814815</v>
      </c>
      <c r="O506" s="227"/>
    </row>
    <row r="507">
      <c r="A507" s="2" t="s">
        <v>1029</v>
      </c>
      <c r="B507" s="100">
        <v>44587.0</v>
      </c>
      <c r="C507" s="101">
        <v>0.3039351851851852</v>
      </c>
      <c r="H507" s="229"/>
      <c r="K507" s="2" t="s">
        <v>244</v>
      </c>
      <c r="L507" s="100">
        <v>44587.0</v>
      </c>
      <c r="M507" s="101">
        <v>0.5005439814814815</v>
      </c>
      <c r="O507" s="227"/>
    </row>
    <row r="508">
      <c r="A508" s="2" t="s">
        <v>1027</v>
      </c>
      <c r="B508" s="100">
        <v>44587.0</v>
      </c>
      <c r="C508" s="101">
        <v>0.2965162037037037</v>
      </c>
      <c r="H508" s="229"/>
      <c r="K508" s="2" t="s">
        <v>244</v>
      </c>
      <c r="L508" s="100">
        <v>44587.0</v>
      </c>
      <c r="M508" s="101">
        <v>0.5005439814814815</v>
      </c>
      <c r="O508" s="229"/>
    </row>
    <row r="509">
      <c r="A509" s="2" t="s">
        <v>1025</v>
      </c>
      <c r="B509" s="100">
        <v>44587.0</v>
      </c>
      <c r="C509" s="101">
        <v>0.29574074074074075</v>
      </c>
      <c r="H509" s="229"/>
      <c r="K509" s="2" t="s">
        <v>244</v>
      </c>
      <c r="L509" s="100">
        <v>44587.0</v>
      </c>
      <c r="M509" s="101">
        <v>0.5005439814814815</v>
      </c>
      <c r="O509" s="227"/>
    </row>
    <row r="510">
      <c r="A510" s="2" t="s">
        <v>1023</v>
      </c>
      <c r="B510" s="100">
        <v>44585.0</v>
      </c>
      <c r="C510" s="101">
        <v>0.43105324074074075</v>
      </c>
      <c r="H510" s="229"/>
      <c r="K510" s="2" t="s">
        <v>244</v>
      </c>
      <c r="L510" s="100">
        <v>44585.0</v>
      </c>
      <c r="M510" s="101">
        <v>0.4705902777777778</v>
      </c>
      <c r="O510" s="227"/>
    </row>
    <row r="511">
      <c r="A511" s="2" t="s">
        <v>1020</v>
      </c>
      <c r="B511" s="100">
        <v>44585.0</v>
      </c>
      <c r="C511" s="101">
        <v>0.4306712962962963</v>
      </c>
      <c r="H511" s="229"/>
      <c r="K511" s="2" t="s">
        <v>244</v>
      </c>
      <c r="L511" s="100">
        <v>44585.0</v>
      </c>
      <c r="M511" s="101">
        <v>0.4705902777777778</v>
      </c>
      <c r="O511" s="229"/>
    </row>
    <row r="512">
      <c r="A512" s="2" t="s">
        <v>1018</v>
      </c>
      <c r="B512" s="100">
        <v>44585.0</v>
      </c>
      <c r="C512" s="101">
        <v>0.38797453703703705</v>
      </c>
      <c r="H512" s="229"/>
      <c r="K512" s="2" t="s">
        <v>52</v>
      </c>
      <c r="L512" s="100">
        <v>44587.0</v>
      </c>
      <c r="M512" s="101">
        <v>0.5008796296296296</v>
      </c>
      <c r="O512" s="227"/>
    </row>
    <row r="513">
      <c r="A513" s="2" t="s">
        <v>1016</v>
      </c>
      <c r="B513" s="100">
        <v>44585.0</v>
      </c>
      <c r="C513" s="101">
        <v>0.38686342592592593</v>
      </c>
      <c r="H513" s="229"/>
      <c r="K513" s="2" t="s">
        <v>52</v>
      </c>
      <c r="L513" s="100">
        <v>44587.0</v>
      </c>
      <c r="M513" s="101">
        <v>0.5008796296296296</v>
      </c>
      <c r="O513" s="227"/>
    </row>
    <row r="514">
      <c r="A514" s="2" t="s">
        <v>1014</v>
      </c>
      <c r="B514" s="100">
        <v>44585.0</v>
      </c>
      <c r="C514" s="101">
        <v>0.3784722222222222</v>
      </c>
      <c r="H514" s="229"/>
      <c r="K514" s="2" t="s">
        <v>244</v>
      </c>
      <c r="L514" s="100">
        <v>44585.0</v>
      </c>
      <c r="M514" s="101">
        <v>0.4705902777777778</v>
      </c>
      <c r="O514" s="227"/>
    </row>
    <row r="515">
      <c r="A515" s="2" t="s">
        <v>1012</v>
      </c>
      <c r="B515" s="100">
        <v>44585.0</v>
      </c>
      <c r="C515" s="101">
        <v>0.3420949074074074</v>
      </c>
      <c r="H515" s="229"/>
      <c r="K515" s="2" t="s">
        <v>52</v>
      </c>
      <c r="L515" s="100">
        <v>44587.0</v>
      </c>
      <c r="M515" s="101">
        <v>0.5008796296296296</v>
      </c>
      <c r="O515" s="227"/>
    </row>
    <row r="516">
      <c r="A516" s="2" t="s">
        <v>1010</v>
      </c>
      <c r="B516" s="100">
        <v>44585.0</v>
      </c>
      <c r="C516" s="101">
        <v>0.33292824074074073</v>
      </c>
      <c r="H516" s="229"/>
      <c r="K516" s="2" t="s">
        <v>244</v>
      </c>
      <c r="L516" s="100">
        <v>44585.0</v>
      </c>
      <c r="M516" s="101">
        <v>0.4705902777777778</v>
      </c>
      <c r="O516" s="227"/>
    </row>
    <row r="517">
      <c r="A517" s="2" t="s">
        <v>1008</v>
      </c>
      <c r="B517" s="100">
        <v>44585.0</v>
      </c>
      <c r="C517" s="101">
        <v>0.33229166666666665</v>
      </c>
      <c r="H517" s="229"/>
      <c r="K517" s="2" t="s">
        <v>244</v>
      </c>
      <c r="L517" s="100">
        <v>44585.0</v>
      </c>
      <c r="M517" s="101">
        <v>0.4705902777777778</v>
      </c>
      <c r="O517" s="227"/>
    </row>
    <row r="518">
      <c r="A518" s="2" t="s">
        <v>1006</v>
      </c>
      <c r="B518" s="100">
        <v>44585.0</v>
      </c>
      <c r="C518" s="101">
        <v>0.32657407407407407</v>
      </c>
      <c r="H518" s="229"/>
      <c r="K518" s="2" t="s">
        <v>244</v>
      </c>
      <c r="L518" s="100">
        <v>44585.0</v>
      </c>
      <c r="M518" s="101">
        <v>0.4705902777777778</v>
      </c>
      <c r="O518" s="227"/>
    </row>
    <row r="519">
      <c r="A519" s="2" t="s">
        <v>1004</v>
      </c>
      <c r="B519" s="100">
        <v>44585.0</v>
      </c>
      <c r="C519" s="101">
        <v>0.3261689814814815</v>
      </c>
      <c r="H519" s="229"/>
      <c r="K519" s="2" t="s">
        <v>244</v>
      </c>
      <c r="L519" s="100">
        <v>44585.0</v>
      </c>
      <c r="M519" s="101">
        <v>0.4705902777777778</v>
      </c>
      <c r="O519" s="227"/>
    </row>
    <row r="520">
      <c r="A520" s="2" t="s">
        <v>1002</v>
      </c>
      <c r="B520" s="100">
        <v>44585.0</v>
      </c>
      <c r="C520" s="101">
        <v>0.31993055555555555</v>
      </c>
      <c r="H520" s="229"/>
      <c r="K520" s="2" t="s">
        <v>244</v>
      </c>
      <c r="L520" s="100">
        <v>44585.0</v>
      </c>
      <c r="M520" s="101">
        <v>0.4705902777777778</v>
      </c>
      <c r="O520" s="227"/>
    </row>
    <row r="521">
      <c r="A521" s="2" t="s">
        <v>1000</v>
      </c>
      <c r="B521" s="100">
        <v>44585.0</v>
      </c>
      <c r="C521" s="101">
        <v>0.3161921296296296</v>
      </c>
      <c r="H521" s="229"/>
      <c r="K521" s="2" t="s">
        <v>244</v>
      </c>
      <c r="L521" s="100">
        <v>44585.0</v>
      </c>
      <c r="M521" s="101">
        <v>0.46827546296296296</v>
      </c>
      <c r="O521" s="227"/>
    </row>
    <row r="522">
      <c r="A522" s="2" t="s">
        <v>998</v>
      </c>
      <c r="B522" s="100">
        <v>44585.0</v>
      </c>
      <c r="C522" s="101">
        <v>0.3088310185185185</v>
      </c>
      <c r="H522" s="229"/>
      <c r="K522" s="2" t="s">
        <v>244</v>
      </c>
      <c r="L522" s="100">
        <v>44585.0</v>
      </c>
      <c r="M522" s="101">
        <v>0.46827546296296296</v>
      </c>
      <c r="O522" s="227"/>
    </row>
    <row r="523">
      <c r="A523" s="2" t="s">
        <v>995</v>
      </c>
      <c r="B523" s="100">
        <v>44585.0</v>
      </c>
      <c r="C523" s="101">
        <v>0.3030555555555556</v>
      </c>
      <c r="H523" s="229"/>
      <c r="K523" s="2" t="s">
        <v>52</v>
      </c>
      <c r="L523" s="100">
        <v>44587.0</v>
      </c>
      <c r="M523" s="101">
        <v>0.5008796296296296</v>
      </c>
      <c r="O523" s="229"/>
    </row>
    <row r="524">
      <c r="A524" s="2" t="s">
        <v>993</v>
      </c>
      <c r="B524" s="100">
        <v>44585.0</v>
      </c>
      <c r="C524" s="101">
        <v>0.30181712962962964</v>
      </c>
      <c r="H524" s="229"/>
      <c r="K524" s="2" t="s">
        <v>244</v>
      </c>
      <c r="L524" s="100">
        <v>44585.0</v>
      </c>
      <c r="M524" s="101">
        <v>0.4705902777777778</v>
      </c>
      <c r="O524" s="229"/>
    </row>
    <row r="525">
      <c r="A525" s="2" t="s">
        <v>991</v>
      </c>
      <c r="B525" s="100">
        <v>44585.0</v>
      </c>
      <c r="C525" s="101">
        <v>0.29939814814814814</v>
      </c>
      <c r="H525" s="229"/>
      <c r="K525" s="2" t="s">
        <v>244</v>
      </c>
      <c r="L525" s="100">
        <v>44585.0</v>
      </c>
      <c r="M525" s="101">
        <v>0.4705902777777778</v>
      </c>
      <c r="O525" s="227"/>
    </row>
    <row r="526">
      <c r="A526" s="2" t="s">
        <v>989</v>
      </c>
      <c r="B526" s="100">
        <v>44582.0</v>
      </c>
      <c r="C526" s="101">
        <v>0.7995138888888889</v>
      </c>
      <c r="H526" s="229"/>
      <c r="K526" s="2" t="s">
        <v>254</v>
      </c>
      <c r="L526" s="100">
        <v>44582.0</v>
      </c>
      <c r="M526" s="101">
        <v>0.8075810185185185</v>
      </c>
      <c r="O526" s="227"/>
    </row>
    <row r="527">
      <c r="A527" s="2" t="s">
        <v>987</v>
      </c>
      <c r="B527" s="100">
        <v>44582.0</v>
      </c>
      <c r="C527" s="101">
        <v>0.7976388888888889</v>
      </c>
      <c r="H527" s="229"/>
      <c r="K527" s="2" t="s">
        <v>254</v>
      </c>
      <c r="L527" s="100">
        <v>44582.0</v>
      </c>
      <c r="M527" s="101">
        <v>0.8075810185185185</v>
      </c>
      <c r="O527" s="227"/>
    </row>
    <row r="528">
      <c r="A528" s="2" t="s">
        <v>985</v>
      </c>
      <c r="B528" s="100">
        <v>44582.0</v>
      </c>
      <c r="C528" s="101">
        <v>0.797349537037037</v>
      </c>
      <c r="H528" s="229"/>
      <c r="K528" s="2" t="s">
        <v>254</v>
      </c>
      <c r="L528" s="100">
        <v>44582.0</v>
      </c>
      <c r="M528" s="101">
        <v>0.8075810185185185</v>
      </c>
      <c r="O528" s="227"/>
    </row>
    <row r="529">
      <c r="A529" s="2" t="s">
        <v>981</v>
      </c>
      <c r="B529" s="100">
        <v>44582.0</v>
      </c>
      <c r="C529" s="101">
        <v>0.3978009259259259</v>
      </c>
      <c r="H529" s="229"/>
      <c r="K529" s="2" t="s">
        <v>52</v>
      </c>
      <c r="L529" s="100">
        <v>44582.0</v>
      </c>
      <c r="M529" s="101">
        <v>0.4884027777777778</v>
      </c>
      <c r="O529" s="227"/>
    </row>
    <row r="530">
      <c r="A530" s="2" t="s">
        <v>975</v>
      </c>
      <c r="B530" s="100">
        <v>44582.0</v>
      </c>
      <c r="C530" s="101">
        <v>0.39101851851851854</v>
      </c>
      <c r="H530" s="229"/>
      <c r="K530" s="2" t="s">
        <v>52</v>
      </c>
      <c r="L530" s="100">
        <v>44582.0</v>
      </c>
      <c r="M530" s="101">
        <v>0.4884027777777778</v>
      </c>
      <c r="O530" s="229"/>
    </row>
    <row r="531">
      <c r="A531" s="2" t="s">
        <v>972</v>
      </c>
      <c r="B531" s="100">
        <v>44582.0</v>
      </c>
      <c r="C531" s="101">
        <v>0.39038194444444446</v>
      </c>
      <c r="H531" s="229"/>
      <c r="K531" s="2" t="s">
        <v>52</v>
      </c>
      <c r="L531" s="100">
        <v>44582.0</v>
      </c>
      <c r="M531" s="101">
        <v>0.4884027777777778</v>
      </c>
      <c r="O531" s="229"/>
    </row>
    <row r="532">
      <c r="A532" s="2" t="s">
        <v>970</v>
      </c>
      <c r="B532" s="100">
        <v>44582.0</v>
      </c>
      <c r="C532" s="101">
        <v>0.3526388888888889</v>
      </c>
      <c r="H532" s="229"/>
      <c r="K532" s="2" t="s">
        <v>52</v>
      </c>
      <c r="L532" s="100">
        <v>44582.0</v>
      </c>
      <c r="M532" s="101">
        <v>0.4884027777777778</v>
      </c>
      <c r="O532" s="227"/>
    </row>
    <row r="533">
      <c r="A533" s="2" t="s">
        <v>968</v>
      </c>
      <c r="B533" s="100">
        <v>44582.0</v>
      </c>
      <c r="C533" s="101">
        <v>0.3514351851851852</v>
      </c>
      <c r="H533" s="229"/>
      <c r="K533" s="2" t="s">
        <v>244</v>
      </c>
      <c r="L533" s="100">
        <v>44582.0</v>
      </c>
      <c r="M533" s="101">
        <v>0.4884027777777778</v>
      </c>
      <c r="O533" s="227"/>
    </row>
    <row r="534">
      <c r="A534" s="2" t="s">
        <v>964</v>
      </c>
      <c r="B534" s="100">
        <v>44582.0</v>
      </c>
      <c r="C534" s="101">
        <v>0.35019675925925925</v>
      </c>
      <c r="H534" s="229"/>
      <c r="K534" s="2" t="s">
        <v>244</v>
      </c>
      <c r="L534" s="100">
        <v>44582.0</v>
      </c>
      <c r="M534" s="101">
        <v>0.4884027777777778</v>
      </c>
      <c r="O534" s="227"/>
    </row>
    <row r="535">
      <c r="A535" s="2" t="s">
        <v>962</v>
      </c>
      <c r="B535" s="100">
        <v>44582.0</v>
      </c>
      <c r="C535" s="101">
        <v>0.34140046296296295</v>
      </c>
      <c r="H535" s="229"/>
      <c r="K535" s="2" t="s">
        <v>244</v>
      </c>
      <c r="L535" s="100">
        <v>44582.0</v>
      </c>
      <c r="M535" s="101">
        <v>0.4884027777777778</v>
      </c>
      <c r="O535" s="229"/>
    </row>
    <row r="536">
      <c r="A536" s="2" t="s">
        <v>959</v>
      </c>
      <c r="B536" s="100">
        <v>44582.0</v>
      </c>
      <c r="C536" s="101">
        <v>0.3404861111111111</v>
      </c>
      <c r="H536" s="229"/>
      <c r="K536" s="2" t="s">
        <v>244</v>
      </c>
      <c r="L536" s="100">
        <v>44582.0</v>
      </c>
      <c r="M536" s="101">
        <v>0.4883912037037037</v>
      </c>
      <c r="O536" s="229"/>
    </row>
    <row r="537">
      <c r="A537" s="2" t="s">
        <v>957</v>
      </c>
      <c r="B537" s="100">
        <v>44582.0</v>
      </c>
      <c r="C537" s="101">
        <v>0.31300925925925926</v>
      </c>
      <c r="H537" s="229"/>
      <c r="K537" s="2" t="s">
        <v>244</v>
      </c>
      <c r="L537" s="100">
        <v>44582.0</v>
      </c>
      <c r="M537" s="101">
        <v>0.4883912037037037</v>
      </c>
      <c r="O537" s="227"/>
    </row>
    <row r="538">
      <c r="A538" s="2" t="s">
        <v>954</v>
      </c>
      <c r="B538" s="100">
        <v>44582.0</v>
      </c>
      <c r="C538" s="101">
        <v>0.28693287037037035</v>
      </c>
      <c r="H538" s="229"/>
      <c r="K538" s="2" t="s">
        <v>52</v>
      </c>
      <c r="L538" s="100">
        <v>44582.0</v>
      </c>
      <c r="M538" s="101">
        <v>0.4884027777777778</v>
      </c>
      <c r="O538" s="229"/>
    </row>
    <row r="539">
      <c r="A539" s="2" t="s">
        <v>952</v>
      </c>
      <c r="B539" s="100">
        <v>44582.0</v>
      </c>
      <c r="C539" s="101">
        <v>0.28474537037037034</v>
      </c>
      <c r="H539" s="229"/>
      <c r="K539" s="2" t="s">
        <v>52</v>
      </c>
      <c r="L539" s="100">
        <v>44582.0</v>
      </c>
      <c r="M539" s="101">
        <v>0.4884027777777778</v>
      </c>
      <c r="O539" s="229"/>
    </row>
    <row r="540">
      <c r="A540" s="2" t="s">
        <v>950</v>
      </c>
      <c r="B540" s="100">
        <v>44582.0</v>
      </c>
      <c r="C540" s="101">
        <v>0.26828703703703705</v>
      </c>
      <c r="H540" s="229"/>
      <c r="K540" s="2" t="s">
        <v>244</v>
      </c>
      <c r="L540" s="100">
        <v>44582.0</v>
      </c>
      <c r="M540" s="101">
        <v>0.4883912037037037</v>
      </c>
      <c r="O540" s="227"/>
    </row>
    <row r="541">
      <c r="A541" s="2" t="s">
        <v>948</v>
      </c>
      <c r="B541" s="100">
        <v>44581.0</v>
      </c>
      <c r="C541" s="101">
        <v>0.3341550925925926</v>
      </c>
      <c r="H541" s="229"/>
      <c r="K541" s="2" t="s">
        <v>254</v>
      </c>
      <c r="O541" s="227"/>
    </row>
    <row r="542">
      <c r="A542" s="2" t="s">
        <v>946</v>
      </c>
      <c r="B542" s="100">
        <v>44581.0</v>
      </c>
      <c r="C542" s="101">
        <v>0.31288194444444445</v>
      </c>
      <c r="H542" s="229"/>
      <c r="K542" s="2" t="s">
        <v>52</v>
      </c>
      <c r="L542" s="100">
        <v>44582.0</v>
      </c>
      <c r="M542" s="101">
        <v>0.4883912037037037</v>
      </c>
      <c r="O542" s="229"/>
    </row>
    <row r="543">
      <c r="A543" s="2" t="s">
        <v>943</v>
      </c>
      <c r="B543" s="100">
        <v>44580.0</v>
      </c>
      <c r="C543" s="101">
        <v>0.4467476851851852</v>
      </c>
      <c r="H543" s="229"/>
      <c r="K543" s="2" t="s">
        <v>244</v>
      </c>
      <c r="L543" s="100">
        <v>44580.0</v>
      </c>
      <c r="M543" s="101">
        <v>0.5080324074074074</v>
      </c>
      <c r="O543" s="227"/>
    </row>
    <row r="544">
      <c r="A544" s="2" t="s">
        <v>941</v>
      </c>
      <c r="B544" s="100">
        <v>44580.0</v>
      </c>
      <c r="C544" s="101">
        <v>0.4436689814814815</v>
      </c>
      <c r="H544" s="229"/>
      <c r="K544" s="2" t="s">
        <v>244</v>
      </c>
      <c r="L544" s="100">
        <v>44580.0</v>
      </c>
      <c r="M544" s="101">
        <v>0.5080324074074074</v>
      </c>
      <c r="O544" s="227"/>
    </row>
    <row r="545">
      <c r="A545" s="2" t="s">
        <v>939</v>
      </c>
      <c r="B545" s="100">
        <v>44580.0</v>
      </c>
      <c r="C545" s="101">
        <v>0.4405208333333333</v>
      </c>
      <c r="H545" s="229"/>
      <c r="K545" s="2" t="s">
        <v>52</v>
      </c>
      <c r="L545" s="100">
        <v>44580.0</v>
      </c>
      <c r="M545" s="101">
        <v>0.5073726851851852</v>
      </c>
      <c r="O545" s="227"/>
    </row>
    <row r="546">
      <c r="A546" s="2" t="s">
        <v>936</v>
      </c>
      <c r="B546" s="100">
        <v>44580.0</v>
      </c>
      <c r="C546" s="101">
        <v>0.43203703703703705</v>
      </c>
      <c r="H546" s="229"/>
      <c r="K546" s="2" t="s">
        <v>52</v>
      </c>
      <c r="L546" s="100">
        <v>44580.0</v>
      </c>
      <c r="M546" s="101">
        <v>0.5073726851851852</v>
      </c>
      <c r="O546" s="227"/>
    </row>
    <row r="547">
      <c r="A547" s="2" t="s">
        <v>934</v>
      </c>
      <c r="B547" s="100">
        <v>44580.0</v>
      </c>
      <c r="C547" s="101">
        <v>0.42681712962962964</v>
      </c>
      <c r="H547" s="229"/>
      <c r="K547" s="2" t="s">
        <v>244</v>
      </c>
      <c r="L547" s="100">
        <v>44580.0</v>
      </c>
      <c r="M547" s="101">
        <v>0.5080324074074074</v>
      </c>
      <c r="O547" s="227"/>
    </row>
    <row r="548">
      <c r="A548" s="2" t="s">
        <v>932</v>
      </c>
      <c r="B548" s="100">
        <v>44580.0</v>
      </c>
      <c r="C548" s="101">
        <v>0.4154398148148148</v>
      </c>
      <c r="H548" s="229"/>
      <c r="K548" s="2" t="s">
        <v>52</v>
      </c>
      <c r="L548" s="100">
        <v>44580.0</v>
      </c>
      <c r="M548" s="101">
        <v>0.5073726851851852</v>
      </c>
      <c r="O548" s="229"/>
    </row>
    <row r="549">
      <c r="A549" s="2" t="s">
        <v>930</v>
      </c>
      <c r="B549" s="100">
        <v>44580.0</v>
      </c>
      <c r="C549" s="101">
        <v>0.415</v>
      </c>
      <c r="H549" s="229"/>
      <c r="K549" s="2" t="s">
        <v>52</v>
      </c>
      <c r="L549" s="100">
        <v>44580.0</v>
      </c>
      <c r="M549" s="101">
        <v>0.5073726851851852</v>
      </c>
      <c r="O549" s="229"/>
    </row>
    <row r="550">
      <c r="A550" s="2" t="s">
        <v>928</v>
      </c>
      <c r="B550" s="100">
        <v>44580.0</v>
      </c>
      <c r="C550" s="101">
        <v>0.41456018518518517</v>
      </c>
      <c r="H550" s="229"/>
      <c r="K550" s="2" t="s">
        <v>52</v>
      </c>
      <c r="L550" s="100">
        <v>44580.0</v>
      </c>
      <c r="M550" s="101">
        <v>0.5073611111111112</v>
      </c>
      <c r="O550" s="227"/>
    </row>
    <row r="551">
      <c r="A551" s="2" t="s">
        <v>925</v>
      </c>
      <c r="B551" s="100">
        <v>44580.0</v>
      </c>
      <c r="C551" s="101">
        <v>0.41006944444444443</v>
      </c>
      <c r="H551" s="229"/>
      <c r="K551" s="2" t="s">
        <v>244</v>
      </c>
      <c r="L551" s="100">
        <v>44580.0</v>
      </c>
      <c r="M551" s="101">
        <v>0.5080208333333334</v>
      </c>
      <c r="O551" s="229"/>
    </row>
    <row r="552">
      <c r="A552" s="2" t="s">
        <v>922</v>
      </c>
      <c r="B552" s="100">
        <v>44580.0</v>
      </c>
      <c r="C552" s="101">
        <v>0.40792824074074074</v>
      </c>
      <c r="H552" s="229"/>
      <c r="K552" s="2" t="s">
        <v>244</v>
      </c>
      <c r="L552" s="100">
        <v>44580.0</v>
      </c>
      <c r="M552" s="101">
        <v>0.5080208333333334</v>
      </c>
      <c r="O552" s="229"/>
    </row>
    <row r="553">
      <c r="A553" s="2" t="s">
        <v>920</v>
      </c>
      <c r="B553" s="100">
        <v>44580.0</v>
      </c>
      <c r="C553" s="101">
        <v>0.3460648148148148</v>
      </c>
      <c r="H553" s="229"/>
      <c r="K553" s="2" t="s">
        <v>52</v>
      </c>
      <c r="L553" s="100">
        <v>44580.0</v>
      </c>
      <c r="M553" s="101">
        <v>0.5073611111111112</v>
      </c>
      <c r="O553" s="227"/>
    </row>
    <row r="554">
      <c r="A554" s="2" t="s">
        <v>915</v>
      </c>
      <c r="B554" s="100">
        <v>44580.0</v>
      </c>
      <c r="C554" s="101">
        <v>0.2900578703703704</v>
      </c>
      <c r="H554" s="229"/>
      <c r="K554" s="2" t="s">
        <v>244</v>
      </c>
      <c r="L554" s="100">
        <v>44580.0</v>
      </c>
      <c r="M554" s="101">
        <v>0.5080208333333334</v>
      </c>
      <c r="O554" s="229"/>
    </row>
    <row r="555">
      <c r="A555" s="2" t="s">
        <v>912</v>
      </c>
      <c r="B555" s="100">
        <v>44580.0</v>
      </c>
      <c r="C555" s="101">
        <v>0.2888310185185185</v>
      </c>
      <c r="H555" s="229"/>
      <c r="K555" s="2" t="s">
        <v>244</v>
      </c>
      <c r="L555" s="100">
        <v>44580.0</v>
      </c>
      <c r="M555" s="101">
        <v>0.5080208333333334</v>
      </c>
      <c r="O555" s="229"/>
    </row>
    <row r="556">
      <c r="A556" s="2" t="s">
        <v>910</v>
      </c>
      <c r="B556" s="100">
        <v>44579.0</v>
      </c>
      <c r="C556" s="101">
        <v>0.4159259259259259</v>
      </c>
      <c r="H556" s="229"/>
      <c r="K556" s="2" t="s">
        <v>52</v>
      </c>
      <c r="L556" s="100">
        <v>44579.0</v>
      </c>
      <c r="M556" s="101">
        <v>0.5015972222222222</v>
      </c>
      <c r="O556" s="227"/>
    </row>
    <row r="557">
      <c r="A557" s="2" t="s">
        <v>907</v>
      </c>
      <c r="B557" s="100">
        <v>44579.0</v>
      </c>
      <c r="C557" s="101">
        <v>0.4153472222222222</v>
      </c>
      <c r="H557" s="229"/>
      <c r="K557" s="2" t="s">
        <v>52</v>
      </c>
      <c r="L557" s="100">
        <v>44579.0</v>
      </c>
      <c r="M557" s="101">
        <v>0.5015972222222222</v>
      </c>
      <c r="O557" s="227"/>
    </row>
    <row r="558">
      <c r="A558" s="2" t="s">
        <v>904</v>
      </c>
      <c r="B558" s="100">
        <v>44579.0</v>
      </c>
      <c r="C558" s="101">
        <v>0.41445601851851854</v>
      </c>
      <c r="H558" s="229"/>
      <c r="K558" s="2" t="s">
        <v>52</v>
      </c>
      <c r="L558" s="100">
        <v>44579.0</v>
      </c>
      <c r="M558" s="101">
        <v>0.5015972222222222</v>
      </c>
      <c r="O558" s="229"/>
    </row>
    <row r="559">
      <c r="A559" s="2" t="s">
        <v>901</v>
      </c>
      <c r="B559" s="100">
        <v>44579.0</v>
      </c>
      <c r="C559" s="101">
        <v>0.4140740740740741</v>
      </c>
      <c r="H559" s="229"/>
      <c r="K559" s="2" t="s">
        <v>52</v>
      </c>
      <c r="L559" s="100">
        <v>44579.0</v>
      </c>
      <c r="M559" s="101">
        <v>0.5015972222222222</v>
      </c>
      <c r="O559" s="229"/>
    </row>
    <row r="560">
      <c r="A560" s="2" t="s">
        <v>898</v>
      </c>
      <c r="B560" s="100">
        <v>44579.0</v>
      </c>
      <c r="C560" s="101">
        <v>0.41368055555555555</v>
      </c>
      <c r="H560" s="229"/>
      <c r="K560" s="2" t="s">
        <v>52</v>
      </c>
      <c r="L560" s="100">
        <v>44579.0</v>
      </c>
      <c r="M560" s="101">
        <v>0.5015972222222222</v>
      </c>
      <c r="O560" s="229"/>
    </row>
    <row r="561">
      <c r="A561" s="2" t="s">
        <v>895</v>
      </c>
      <c r="B561" s="100">
        <v>44579.0</v>
      </c>
      <c r="C561" s="101">
        <v>0.41333333333333333</v>
      </c>
      <c r="H561" s="229"/>
      <c r="K561" s="2" t="s">
        <v>52</v>
      </c>
      <c r="L561" s="100">
        <v>44579.0</v>
      </c>
      <c r="M561" s="101">
        <v>0.5015972222222222</v>
      </c>
      <c r="O561" s="229"/>
    </row>
    <row r="562">
      <c r="A562" s="2" t="s">
        <v>892</v>
      </c>
      <c r="B562" s="100">
        <v>44579.0</v>
      </c>
      <c r="C562" s="101">
        <v>0.41303240740740743</v>
      </c>
      <c r="H562" s="229"/>
      <c r="K562" s="2" t="s">
        <v>244</v>
      </c>
      <c r="L562" s="100">
        <v>44580.0</v>
      </c>
      <c r="M562" s="101">
        <v>0.5080208333333334</v>
      </c>
      <c r="O562" s="227"/>
    </row>
    <row r="563">
      <c r="A563" s="2" t="s">
        <v>890</v>
      </c>
      <c r="B563" s="100">
        <v>44579.0</v>
      </c>
      <c r="C563" s="101">
        <v>0.40466435185185184</v>
      </c>
      <c r="H563" s="229"/>
      <c r="K563" s="2" t="s">
        <v>52</v>
      </c>
      <c r="L563" s="100">
        <v>44579.0</v>
      </c>
      <c r="M563" s="101">
        <v>0.5015972222222222</v>
      </c>
      <c r="O563" s="227"/>
    </row>
    <row r="564">
      <c r="A564" s="2" t="s">
        <v>888</v>
      </c>
      <c r="B564" s="100">
        <v>44579.0</v>
      </c>
      <c r="C564" s="101">
        <v>0.36159722222222224</v>
      </c>
      <c r="H564" s="229"/>
      <c r="K564" s="2" t="s">
        <v>244</v>
      </c>
      <c r="L564" s="100">
        <v>44580.0</v>
      </c>
      <c r="M564" s="101">
        <v>0.5080208333333334</v>
      </c>
      <c r="O564" s="227"/>
    </row>
    <row r="565">
      <c r="A565" s="2" t="s">
        <v>885</v>
      </c>
      <c r="B565" s="100">
        <v>44579.0</v>
      </c>
      <c r="C565" s="101">
        <v>0.35052083333333334</v>
      </c>
      <c r="H565" s="229"/>
      <c r="K565" s="2" t="s">
        <v>244</v>
      </c>
      <c r="L565" s="100">
        <v>44580.0</v>
      </c>
      <c r="M565" s="101">
        <v>0.5080208333333334</v>
      </c>
      <c r="O565" s="229"/>
    </row>
    <row r="566">
      <c r="A566" s="2" t="s">
        <v>883</v>
      </c>
      <c r="B566" s="100">
        <v>44579.0</v>
      </c>
      <c r="C566" s="101">
        <v>0.34877314814814814</v>
      </c>
      <c r="H566" s="229"/>
      <c r="K566" s="2" t="s">
        <v>244</v>
      </c>
      <c r="L566" s="100">
        <v>44580.0</v>
      </c>
      <c r="M566" s="101">
        <v>0.5080208333333334</v>
      </c>
      <c r="O566" s="229"/>
    </row>
    <row r="567">
      <c r="A567" s="2" t="s">
        <v>880</v>
      </c>
      <c r="B567" s="100">
        <v>44579.0</v>
      </c>
      <c r="C567" s="101">
        <v>0.3482060185185185</v>
      </c>
      <c r="H567" s="229"/>
      <c r="K567" s="2" t="s">
        <v>244</v>
      </c>
      <c r="L567" s="100">
        <v>44580.0</v>
      </c>
      <c r="M567" s="101">
        <v>0.5080208333333334</v>
      </c>
      <c r="O567" s="227"/>
    </row>
    <row r="568">
      <c r="A568" s="2" t="s">
        <v>878</v>
      </c>
      <c r="B568" s="100">
        <v>44579.0</v>
      </c>
      <c r="C568" s="101">
        <v>0.34629629629629627</v>
      </c>
      <c r="H568" s="229"/>
      <c r="K568" s="2" t="s">
        <v>244</v>
      </c>
      <c r="L568" s="100">
        <v>44580.0</v>
      </c>
      <c r="M568" s="101">
        <v>0.5080208333333334</v>
      </c>
      <c r="O568" s="227"/>
    </row>
    <row r="569">
      <c r="A569" s="2" t="s">
        <v>874</v>
      </c>
      <c r="B569" s="100">
        <v>44579.0</v>
      </c>
      <c r="C569" s="101">
        <v>0.3413888888888889</v>
      </c>
      <c r="H569" s="229"/>
      <c r="K569" s="2" t="s">
        <v>244</v>
      </c>
      <c r="L569" s="100">
        <v>44580.0</v>
      </c>
      <c r="M569" s="101">
        <v>0.5080208333333334</v>
      </c>
      <c r="O569" s="227"/>
    </row>
    <row r="570">
      <c r="A570" s="2" t="s">
        <v>872</v>
      </c>
      <c r="B570" s="100">
        <v>44579.0</v>
      </c>
      <c r="C570" s="101">
        <v>0.34042824074074074</v>
      </c>
      <c r="H570" s="229"/>
      <c r="K570" s="2" t="s">
        <v>244</v>
      </c>
      <c r="L570" s="100">
        <v>44580.0</v>
      </c>
      <c r="M570" s="101">
        <v>0.5080092592592592</v>
      </c>
      <c r="O570" s="227"/>
    </row>
    <row r="571">
      <c r="A571" s="2" t="s">
        <v>869</v>
      </c>
      <c r="B571" s="100">
        <v>44579.0</v>
      </c>
      <c r="C571" s="101">
        <v>0.3325462962962963</v>
      </c>
      <c r="H571" s="229"/>
      <c r="K571" s="2" t="s">
        <v>244</v>
      </c>
      <c r="L571" s="100">
        <v>44580.0</v>
      </c>
      <c r="M571" s="101">
        <v>0.5080092592592592</v>
      </c>
      <c r="O571" s="227"/>
    </row>
    <row r="572">
      <c r="A572" s="2" t="s">
        <v>867</v>
      </c>
      <c r="B572" s="100">
        <v>44579.0</v>
      </c>
      <c r="C572" s="101">
        <v>0.3324884259259259</v>
      </c>
      <c r="H572" s="229"/>
      <c r="K572" s="2" t="s">
        <v>244</v>
      </c>
      <c r="L572" s="100">
        <v>44580.0</v>
      </c>
      <c r="M572" s="101">
        <v>0.5080092592592592</v>
      </c>
      <c r="O572" s="227"/>
    </row>
    <row r="573">
      <c r="A573" s="2" t="s">
        <v>2433</v>
      </c>
      <c r="B573" s="100">
        <v>44579.0</v>
      </c>
      <c r="C573" s="101">
        <v>0.3321296296296296</v>
      </c>
      <c r="H573" s="229"/>
      <c r="K573" s="2" t="s">
        <v>244</v>
      </c>
      <c r="L573" s="100">
        <v>44580.0</v>
      </c>
      <c r="M573" s="101">
        <v>0.5080092592592592</v>
      </c>
      <c r="O573" s="227"/>
    </row>
    <row r="574">
      <c r="A574" s="2" t="s">
        <v>861</v>
      </c>
      <c r="B574" s="100">
        <v>44579.0</v>
      </c>
      <c r="C574" s="101">
        <v>0.332025462962963</v>
      </c>
      <c r="H574" s="229"/>
      <c r="K574" s="2" t="s">
        <v>244</v>
      </c>
      <c r="L574" s="100">
        <v>44580.0</v>
      </c>
      <c r="M574" s="101">
        <v>0.5080092592592592</v>
      </c>
      <c r="O574" s="227"/>
    </row>
    <row r="575">
      <c r="A575" s="2" t="s">
        <v>2434</v>
      </c>
      <c r="B575" s="100">
        <v>44579.0</v>
      </c>
      <c r="C575" s="101">
        <v>0.3317824074074074</v>
      </c>
      <c r="H575" s="229"/>
      <c r="K575" s="2" t="s">
        <v>244</v>
      </c>
      <c r="L575" s="100">
        <v>44580.0</v>
      </c>
      <c r="M575" s="101">
        <v>0.5080092592592592</v>
      </c>
      <c r="O575" s="227"/>
    </row>
    <row r="576">
      <c r="A576" s="2" t="s">
        <v>856</v>
      </c>
      <c r="B576" s="100">
        <v>44579.0</v>
      </c>
      <c r="C576" s="101">
        <v>0.33121527777777776</v>
      </c>
      <c r="H576" s="229"/>
      <c r="K576" s="2" t="s">
        <v>244</v>
      </c>
      <c r="L576" s="100">
        <v>44580.0</v>
      </c>
      <c r="M576" s="101">
        <v>0.5080092592592592</v>
      </c>
      <c r="O576" s="227"/>
    </row>
    <row r="577">
      <c r="A577" s="2" t="s">
        <v>853</v>
      </c>
      <c r="B577" s="100">
        <v>44579.0</v>
      </c>
      <c r="C577" s="101">
        <v>0.33101851851851855</v>
      </c>
      <c r="H577" s="229"/>
      <c r="K577" s="2" t="s">
        <v>244</v>
      </c>
      <c r="L577" s="100">
        <v>44580.0</v>
      </c>
      <c r="M577" s="101">
        <v>0.5080092592592592</v>
      </c>
      <c r="O577" s="227"/>
    </row>
    <row r="578">
      <c r="A578" s="2" t="s">
        <v>849</v>
      </c>
      <c r="B578" s="100">
        <v>44579.0</v>
      </c>
      <c r="C578" s="101">
        <v>0.33091435185185186</v>
      </c>
      <c r="H578" s="229"/>
      <c r="K578" s="2" t="s">
        <v>52</v>
      </c>
      <c r="L578" s="100">
        <v>44579.0</v>
      </c>
      <c r="M578" s="101">
        <v>0.5015972222222222</v>
      </c>
      <c r="O578" s="227"/>
    </row>
    <row r="579">
      <c r="A579" s="2" t="s">
        <v>847</v>
      </c>
      <c r="B579" s="100">
        <v>44579.0</v>
      </c>
      <c r="C579" s="101">
        <v>0.32914351851851853</v>
      </c>
      <c r="H579" s="229"/>
      <c r="K579" s="2" t="s">
        <v>244</v>
      </c>
      <c r="L579" s="100">
        <v>44580.0</v>
      </c>
      <c r="M579" s="101">
        <v>0.5080092592592592</v>
      </c>
      <c r="O579" s="227"/>
    </row>
    <row r="580">
      <c r="A580" s="2" t="s">
        <v>845</v>
      </c>
      <c r="B580" s="100">
        <v>44579.0</v>
      </c>
      <c r="C580" s="101">
        <v>0.3278935185185185</v>
      </c>
      <c r="H580" s="229"/>
      <c r="K580" s="2" t="s">
        <v>244</v>
      </c>
      <c r="L580" s="100">
        <v>44580.0</v>
      </c>
      <c r="M580" s="101">
        <v>0.5080092592592592</v>
      </c>
      <c r="O580" s="227"/>
    </row>
    <row r="581">
      <c r="A581" s="2" t="s">
        <v>843</v>
      </c>
      <c r="B581" s="100">
        <v>44579.0</v>
      </c>
      <c r="C581" s="101">
        <v>0.3233101851851852</v>
      </c>
      <c r="H581" s="229"/>
      <c r="K581" s="2" t="s">
        <v>244</v>
      </c>
      <c r="L581" s="100">
        <v>44580.0</v>
      </c>
      <c r="M581" s="101">
        <v>0.5080092592592592</v>
      </c>
      <c r="O581" s="227"/>
    </row>
    <row r="582">
      <c r="A582" s="2" t="s">
        <v>838</v>
      </c>
      <c r="B582" s="100">
        <v>44579.0</v>
      </c>
      <c r="C582" s="101">
        <v>0.32251157407407405</v>
      </c>
      <c r="H582" s="229"/>
      <c r="K582" s="2" t="s">
        <v>52</v>
      </c>
      <c r="L582" s="100">
        <v>44579.0</v>
      </c>
      <c r="M582" s="101">
        <v>0.5015972222222222</v>
      </c>
      <c r="O582" s="227"/>
    </row>
    <row r="583">
      <c r="A583" s="2" t="s">
        <v>841</v>
      </c>
      <c r="B583" s="100">
        <v>44579.0</v>
      </c>
      <c r="C583" s="101">
        <v>0.3232175925925926</v>
      </c>
      <c r="H583" s="229"/>
      <c r="K583" s="2" t="s">
        <v>244</v>
      </c>
      <c r="L583" s="100">
        <v>44580.0</v>
      </c>
      <c r="M583" s="101">
        <v>0.5080092592592592</v>
      </c>
      <c r="O583" s="227"/>
    </row>
    <row r="584">
      <c r="A584" s="2" t="s">
        <v>835</v>
      </c>
      <c r="B584" s="100">
        <v>44579.0</v>
      </c>
      <c r="C584" s="101">
        <v>0.3205324074074074</v>
      </c>
      <c r="H584" s="229"/>
      <c r="K584" s="2" t="s">
        <v>244</v>
      </c>
      <c r="L584" s="100">
        <v>44580.0</v>
      </c>
      <c r="M584" s="101">
        <v>0.5080092592592592</v>
      </c>
      <c r="O584" s="227"/>
    </row>
    <row r="585">
      <c r="A585" s="2" t="s">
        <v>833</v>
      </c>
      <c r="B585" s="100">
        <v>44579.0</v>
      </c>
      <c r="C585" s="101">
        <v>0.3162037037037037</v>
      </c>
      <c r="H585" s="229"/>
      <c r="K585" s="2" t="s">
        <v>244</v>
      </c>
      <c r="L585" s="100">
        <v>44580.0</v>
      </c>
      <c r="M585" s="101">
        <v>0.5080092592592592</v>
      </c>
      <c r="O585" s="227"/>
    </row>
    <row r="586">
      <c r="A586" s="2" t="s">
        <v>830</v>
      </c>
      <c r="B586" s="100">
        <v>44579.0</v>
      </c>
      <c r="C586" s="101">
        <v>0.3112847222222222</v>
      </c>
      <c r="H586" s="229"/>
      <c r="K586" s="2" t="s">
        <v>63</v>
      </c>
      <c r="L586" s="100">
        <v>44579.0</v>
      </c>
      <c r="M586" s="101">
        <v>0.5014930555555556</v>
      </c>
      <c r="O586" s="227"/>
    </row>
    <row r="587">
      <c r="A587" s="2" t="s">
        <v>826</v>
      </c>
      <c r="B587" s="100">
        <v>44579.0</v>
      </c>
      <c r="C587" s="101">
        <v>0.3022685185185185</v>
      </c>
      <c r="H587" s="229"/>
      <c r="K587" s="2" t="s">
        <v>244</v>
      </c>
      <c r="L587" s="100">
        <v>44580.0</v>
      </c>
      <c r="M587" s="101">
        <v>0.5079976851851852</v>
      </c>
      <c r="O587" s="227"/>
    </row>
    <row r="588">
      <c r="A588" s="2" t="s">
        <v>2435</v>
      </c>
      <c r="B588" s="100">
        <v>44579.0</v>
      </c>
      <c r="C588" s="101">
        <v>0.2984837962962963</v>
      </c>
      <c r="H588" s="229"/>
      <c r="K588" s="2" t="s">
        <v>244</v>
      </c>
      <c r="L588" s="100">
        <v>44580.0</v>
      </c>
      <c r="M588" s="101">
        <v>0.5079976851851852</v>
      </c>
      <c r="O588" s="227"/>
    </row>
    <row r="589">
      <c r="A589" s="2" t="s">
        <v>822</v>
      </c>
      <c r="B589" s="100">
        <v>44578.0</v>
      </c>
      <c r="C589" s="101">
        <v>0.35052083333333334</v>
      </c>
      <c r="H589" s="229"/>
      <c r="K589" s="2" t="s">
        <v>244</v>
      </c>
      <c r="L589" s="100">
        <v>44580.0</v>
      </c>
      <c r="M589" s="101">
        <v>0.5079976851851852</v>
      </c>
      <c r="O589" s="227"/>
    </row>
    <row r="590">
      <c r="A590" s="2" t="s">
        <v>818</v>
      </c>
      <c r="B590" s="100">
        <v>44575.0</v>
      </c>
      <c r="C590" s="101">
        <v>0.40739583333333335</v>
      </c>
      <c r="H590" s="229"/>
      <c r="K590" s="2" t="s">
        <v>244</v>
      </c>
      <c r="L590" s="100">
        <v>44575.0</v>
      </c>
      <c r="M590" s="101">
        <v>0.4820601851851852</v>
      </c>
      <c r="O590" s="229"/>
    </row>
    <row r="591">
      <c r="A591" s="2" t="s">
        <v>816</v>
      </c>
      <c r="B591" s="100">
        <v>44575.0</v>
      </c>
      <c r="C591" s="101">
        <v>0.38960648148148147</v>
      </c>
      <c r="H591" s="229"/>
      <c r="K591" s="2" t="s">
        <v>244</v>
      </c>
      <c r="L591" s="100">
        <v>44575.0</v>
      </c>
      <c r="M591" s="101">
        <v>0.4820601851851852</v>
      </c>
      <c r="O591" s="227"/>
    </row>
    <row r="592">
      <c r="A592" s="2" t="s">
        <v>814</v>
      </c>
      <c r="B592" s="100">
        <v>44575.0</v>
      </c>
      <c r="C592" s="101">
        <v>0.3866550925925926</v>
      </c>
      <c r="H592" s="229"/>
      <c r="K592" s="2" t="s">
        <v>52</v>
      </c>
      <c r="L592" s="100">
        <v>44579.0</v>
      </c>
      <c r="M592" s="101">
        <v>0.5015856481481481</v>
      </c>
      <c r="O592" s="227"/>
    </row>
    <row r="593">
      <c r="A593" s="2" t="s">
        <v>811</v>
      </c>
      <c r="B593" s="100">
        <v>44575.0</v>
      </c>
      <c r="C593" s="101">
        <v>0.38623842592592594</v>
      </c>
      <c r="H593" s="229"/>
      <c r="K593" s="2" t="s">
        <v>52</v>
      </c>
      <c r="L593" s="100">
        <v>44579.0</v>
      </c>
      <c r="M593" s="101">
        <v>0.5015856481481481</v>
      </c>
      <c r="O593" s="227"/>
    </row>
    <row r="594">
      <c r="A594" s="2" t="s">
        <v>809</v>
      </c>
      <c r="B594" s="100">
        <v>44575.0</v>
      </c>
      <c r="C594" s="101">
        <v>0.3859722222222222</v>
      </c>
      <c r="H594" s="229"/>
      <c r="K594" s="2" t="s">
        <v>52</v>
      </c>
      <c r="L594" s="100">
        <v>44579.0</v>
      </c>
      <c r="M594" s="101">
        <v>0.5015856481481481</v>
      </c>
      <c r="O594" s="229"/>
    </row>
    <row r="595">
      <c r="A595" s="2" t="s">
        <v>805</v>
      </c>
      <c r="B595" s="100">
        <v>44575.0</v>
      </c>
      <c r="C595" s="101">
        <v>0.35594907407407406</v>
      </c>
      <c r="H595" s="229"/>
      <c r="K595" s="2" t="s">
        <v>244</v>
      </c>
      <c r="L595" s="100">
        <v>44575.0</v>
      </c>
      <c r="M595" s="101">
        <v>0.4820601851851852</v>
      </c>
      <c r="O595" s="227"/>
    </row>
    <row r="596">
      <c r="A596" s="2" t="s">
        <v>803</v>
      </c>
      <c r="B596" s="100">
        <v>44575.0</v>
      </c>
      <c r="C596" s="101">
        <v>0.3519097222222222</v>
      </c>
      <c r="H596" s="229"/>
      <c r="K596" s="2" t="s">
        <v>244</v>
      </c>
      <c r="L596" s="100">
        <v>44575.0</v>
      </c>
      <c r="M596" s="101">
        <v>0.4820601851851852</v>
      </c>
      <c r="O596" s="227"/>
    </row>
    <row r="597">
      <c r="A597" s="2" t="s">
        <v>800</v>
      </c>
      <c r="B597" s="100">
        <v>44575.0</v>
      </c>
      <c r="C597" s="101">
        <v>0.3471180555555556</v>
      </c>
      <c r="H597" s="229"/>
      <c r="K597" s="2" t="s">
        <v>244</v>
      </c>
      <c r="L597" s="100">
        <v>44575.0</v>
      </c>
      <c r="M597" s="101">
        <v>0.4820601851851852</v>
      </c>
      <c r="O597" s="229"/>
    </row>
    <row r="598">
      <c r="A598" s="2" t="s">
        <v>796</v>
      </c>
      <c r="B598" s="100">
        <v>44575.0</v>
      </c>
      <c r="C598" s="101">
        <v>0.3453703703703704</v>
      </c>
      <c r="H598" s="229"/>
      <c r="K598" s="2" t="s">
        <v>244</v>
      </c>
      <c r="L598" s="100">
        <v>44575.0</v>
      </c>
      <c r="M598" s="101">
        <v>0.4820601851851852</v>
      </c>
      <c r="O598" s="227"/>
    </row>
    <row r="599">
      <c r="A599" s="2" t="s">
        <v>792</v>
      </c>
      <c r="B599" s="100">
        <v>44575.0</v>
      </c>
      <c r="C599" s="101">
        <v>0.3400578703703704</v>
      </c>
      <c r="H599" s="229"/>
      <c r="K599" s="2" t="s">
        <v>52</v>
      </c>
      <c r="L599" s="100">
        <v>44579.0</v>
      </c>
      <c r="M599" s="101">
        <v>0.5015856481481481</v>
      </c>
      <c r="O599" s="229"/>
    </row>
    <row r="600">
      <c r="A600" s="2" t="s">
        <v>790</v>
      </c>
      <c r="B600" s="100">
        <v>44575.0</v>
      </c>
      <c r="C600" s="101">
        <v>0.3307175925925926</v>
      </c>
      <c r="H600" s="229"/>
      <c r="K600" s="2" t="s">
        <v>244</v>
      </c>
      <c r="L600" s="100">
        <v>44575.0</v>
      </c>
      <c r="M600" s="101">
        <v>0.4820601851851852</v>
      </c>
      <c r="O600" s="227"/>
    </row>
    <row r="601">
      <c r="A601" s="2" t="s">
        <v>788</v>
      </c>
      <c r="B601" s="100">
        <v>44575.0</v>
      </c>
      <c r="C601" s="101">
        <v>0.3230439814814815</v>
      </c>
      <c r="H601" s="229"/>
      <c r="K601" s="2" t="s">
        <v>52</v>
      </c>
      <c r="L601" s="100">
        <v>44579.0</v>
      </c>
      <c r="M601" s="101">
        <v>0.5015856481481481</v>
      </c>
      <c r="O601" s="227"/>
    </row>
    <row r="602">
      <c r="A602" s="2" t="s">
        <v>2436</v>
      </c>
      <c r="B602" s="100">
        <v>44575.0</v>
      </c>
      <c r="C602" s="101">
        <v>0.3125925925925926</v>
      </c>
      <c r="H602" s="229"/>
      <c r="K602" s="2" t="s">
        <v>244</v>
      </c>
      <c r="L602" s="100">
        <v>44575.0</v>
      </c>
      <c r="M602" s="101">
        <v>0.4820601851851852</v>
      </c>
      <c r="O602" s="227"/>
    </row>
    <row r="603">
      <c r="A603" s="2" t="s">
        <v>784</v>
      </c>
      <c r="B603" s="100">
        <v>44575.0</v>
      </c>
      <c r="C603" s="101">
        <v>0.3111574074074074</v>
      </c>
      <c r="H603" s="229"/>
      <c r="K603" s="2" t="s">
        <v>244</v>
      </c>
      <c r="L603" s="100">
        <v>44575.0</v>
      </c>
      <c r="M603" s="101">
        <v>0.4820601851851852</v>
      </c>
      <c r="O603" s="227"/>
    </row>
    <row r="604">
      <c r="A604" s="2" t="s">
        <v>782</v>
      </c>
      <c r="B604" s="100">
        <v>44575.0</v>
      </c>
      <c r="C604" s="101">
        <v>0.3110763888888889</v>
      </c>
      <c r="H604" s="229"/>
      <c r="K604" s="2" t="s">
        <v>244</v>
      </c>
      <c r="L604" s="100">
        <v>44575.0</v>
      </c>
      <c r="M604" s="101">
        <v>0.4820601851851852</v>
      </c>
      <c r="O604" s="227"/>
    </row>
    <row r="605">
      <c r="A605" s="2" t="s">
        <v>780</v>
      </c>
      <c r="B605" s="100">
        <v>44575.0</v>
      </c>
      <c r="C605" s="101">
        <v>0.2949421296296296</v>
      </c>
      <c r="H605" s="229"/>
      <c r="K605" s="2" t="s">
        <v>244</v>
      </c>
      <c r="L605" s="100">
        <v>44575.0</v>
      </c>
      <c r="M605" s="101">
        <v>0.4820601851851852</v>
      </c>
      <c r="O605" s="227"/>
    </row>
    <row r="606">
      <c r="A606" s="2" t="s">
        <v>778</v>
      </c>
      <c r="B606" s="100">
        <v>44575.0</v>
      </c>
      <c r="C606" s="101">
        <v>0.22658564814814816</v>
      </c>
      <c r="H606" s="229"/>
      <c r="K606" s="2" t="s">
        <v>244</v>
      </c>
      <c r="L606" s="100">
        <v>44575.0</v>
      </c>
      <c r="M606" s="101">
        <v>0.4820601851851852</v>
      </c>
      <c r="O606" s="227"/>
    </row>
    <row r="607">
      <c r="A607" s="2" t="s">
        <v>775</v>
      </c>
      <c r="B607" s="100">
        <v>44574.0</v>
      </c>
      <c r="C607" s="101">
        <v>0.8491666666666666</v>
      </c>
      <c r="H607" s="229"/>
      <c r="K607" s="2" t="s">
        <v>244</v>
      </c>
      <c r="L607" s="100">
        <v>44575.0</v>
      </c>
      <c r="M607" s="101">
        <v>0.4820601851851852</v>
      </c>
      <c r="O607" s="229"/>
    </row>
    <row r="608">
      <c r="A608" s="2" t="s">
        <v>773</v>
      </c>
      <c r="B608" s="100">
        <v>44574.0</v>
      </c>
      <c r="C608" s="101">
        <v>0.8485069444444444</v>
      </c>
      <c r="H608" s="229"/>
      <c r="K608" s="2" t="s">
        <v>244</v>
      </c>
      <c r="L608" s="100">
        <v>44575.0</v>
      </c>
      <c r="M608" s="101">
        <v>0.48204861111111114</v>
      </c>
      <c r="O608" s="227"/>
    </row>
    <row r="609">
      <c r="A609" s="2" t="s">
        <v>770</v>
      </c>
      <c r="B609" s="100">
        <v>44574.0</v>
      </c>
      <c r="C609" s="101">
        <v>0.6712731481481482</v>
      </c>
      <c r="H609" s="229"/>
      <c r="K609" s="2" t="s">
        <v>244</v>
      </c>
      <c r="L609" s="100">
        <v>44575.0</v>
      </c>
      <c r="M609" s="101">
        <v>0.48204861111111114</v>
      </c>
      <c r="O609" s="229"/>
    </row>
    <row r="610">
      <c r="A610" s="2" t="s">
        <v>767</v>
      </c>
      <c r="B610" s="100">
        <v>44574.0</v>
      </c>
      <c r="C610" s="101">
        <v>0.6161342592592592</v>
      </c>
      <c r="H610" s="227"/>
      <c r="K610" s="2" t="s">
        <v>52</v>
      </c>
      <c r="L610" s="100">
        <v>44579.0</v>
      </c>
      <c r="M610" s="101">
        <v>0.5015856481481481</v>
      </c>
      <c r="O610" s="227"/>
    </row>
    <row r="611">
      <c r="A611" s="2" t="s">
        <v>761</v>
      </c>
      <c r="B611" s="100">
        <v>44574.0</v>
      </c>
      <c r="C611" s="101">
        <v>0.5845023148148148</v>
      </c>
      <c r="H611" s="229"/>
      <c r="K611" s="2" t="s">
        <v>52</v>
      </c>
      <c r="L611" s="100">
        <v>44579.0</v>
      </c>
      <c r="M611" s="101">
        <v>0.5015856481481481</v>
      </c>
      <c r="O611" s="227"/>
    </row>
    <row r="612">
      <c r="A612" s="2" t="s">
        <v>758</v>
      </c>
      <c r="B612" s="100">
        <v>44573.0</v>
      </c>
      <c r="C612" s="101">
        <v>0.444224537037037</v>
      </c>
      <c r="H612" s="229"/>
      <c r="K612" s="2" t="s">
        <v>244</v>
      </c>
      <c r="L612" s="100">
        <v>44575.0</v>
      </c>
      <c r="M612" s="101">
        <v>0.48204861111111114</v>
      </c>
      <c r="O612" s="229"/>
    </row>
    <row r="613">
      <c r="A613" s="2" t="s">
        <v>756</v>
      </c>
      <c r="B613" s="100">
        <v>44573.0</v>
      </c>
      <c r="C613" s="101">
        <v>0.42453703703703705</v>
      </c>
      <c r="H613" s="229"/>
      <c r="K613" s="2" t="s">
        <v>244</v>
      </c>
      <c r="L613" s="100">
        <v>44575.0</v>
      </c>
      <c r="M613" s="101">
        <v>0.48204861111111114</v>
      </c>
      <c r="O613" s="227"/>
    </row>
    <row r="614">
      <c r="A614" s="2" t="s">
        <v>751</v>
      </c>
      <c r="B614" s="100">
        <v>44573.0</v>
      </c>
      <c r="C614" s="101">
        <v>0.4143287037037037</v>
      </c>
      <c r="H614" s="229"/>
      <c r="K614" s="2" t="s">
        <v>244</v>
      </c>
      <c r="L614" s="100">
        <v>44575.0</v>
      </c>
      <c r="M614" s="101">
        <v>0.48204861111111114</v>
      </c>
      <c r="O614" s="229"/>
    </row>
    <row r="615">
      <c r="A615" s="2" t="s">
        <v>749</v>
      </c>
      <c r="B615" s="100">
        <v>44573.0</v>
      </c>
      <c r="C615" s="101">
        <v>0.39944444444444444</v>
      </c>
      <c r="H615" s="229"/>
      <c r="K615" s="2" t="s">
        <v>244</v>
      </c>
      <c r="L615" s="100">
        <v>44575.0</v>
      </c>
      <c r="M615" s="101">
        <v>0.48204861111111114</v>
      </c>
      <c r="O615" s="227"/>
    </row>
    <row r="616">
      <c r="A616" s="2" t="s">
        <v>747</v>
      </c>
      <c r="B616" s="100">
        <v>44573.0</v>
      </c>
      <c r="C616" s="101">
        <v>0.3873263888888889</v>
      </c>
      <c r="H616" s="229"/>
      <c r="K616" s="2" t="s">
        <v>244</v>
      </c>
      <c r="L616" s="100">
        <v>44575.0</v>
      </c>
      <c r="M616" s="101">
        <v>0.48203703703703704</v>
      </c>
      <c r="O616" s="229"/>
    </row>
    <row r="617">
      <c r="A617" s="2" t="s">
        <v>745</v>
      </c>
      <c r="B617" s="100">
        <v>44573.0</v>
      </c>
      <c r="C617" s="101">
        <v>0.3869444444444444</v>
      </c>
      <c r="H617" s="229"/>
      <c r="K617" s="2" t="s">
        <v>52</v>
      </c>
      <c r="L617" s="100">
        <v>44579.0</v>
      </c>
      <c r="M617" s="101">
        <v>0.5015856481481481</v>
      </c>
      <c r="O617" s="229"/>
    </row>
    <row r="618">
      <c r="A618" s="2" t="s">
        <v>743</v>
      </c>
      <c r="B618" s="100">
        <v>44573.0</v>
      </c>
      <c r="C618" s="101">
        <v>0.38631944444444444</v>
      </c>
      <c r="H618" s="229"/>
      <c r="K618" s="2" t="s">
        <v>244</v>
      </c>
      <c r="L618" s="100">
        <v>44575.0</v>
      </c>
      <c r="M618" s="101">
        <v>0.48203703703703704</v>
      </c>
      <c r="O618" s="229"/>
    </row>
    <row r="619">
      <c r="A619" s="2" t="s">
        <v>740</v>
      </c>
      <c r="B619" s="100">
        <v>44573.0</v>
      </c>
      <c r="C619" s="101">
        <v>0.3858564814814815</v>
      </c>
      <c r="H619" s="229"/>
      <c r="K619" s="2" t="s">
        <v>52</v>
      </c>
      <c r="L619" s="100">
        <v>44579.0</v>
      </c>
      <c r="M619" s="101">
        <v>0.5015856481481481</v>
      </c>
      <c r="O619" s="229"/>
    </row>
    <row r="620">
      <c r="A620" s="2" t="s">
        <v>738</v>
      </c>
      <c r="B620" s="100">
        <v>44573.0</v>
      </c>
      <c r="C620" s="101">
        <v>0.38538194444444446</v>
      </c>
      <c r="H620" s="229"/>
      <c r="K620" s="2" t="s">
        <v>244</v>
      </c>
      <c r="L620" s="100">
        <v>44575.0</v>
      </c>
      <c r="M620" s="101">
        <v>0.48203703703703704</v>
      </c>
      <c r="O620" s="227"/>
    </row>
    <row r="621">
      <c r="A621" s="2" t="s">
        <v>736</v>
      </c>
      <c r="B621" s="100">
        <v>44573.0</v>
      </c>
      <c r="C621" s="101">
        <v>0.38359953703703703</v>
      </c>
      <c r="H621" s="229"/>
      <c r="K621" s="2" t="s">
        <v>52</v>
      </c>
      <c r="L621" s="100">
        <v>44579.0</v>
      </c>
      <c r="M621" s="101">
        <v>0.5015856481481481</v>
      </c>
      <c r="O621" s="227"/>
    </row>
    <row r="622">
      <c r="A622" s="2" t="s">
        <v>734</v>
      </c>
      <c r="B622" s="100">
        <v>44573.0</v>
      </c>
      <c r="C622" s="101">
        <v>0.38329861111111113</v>
      </c>
      <c r="H622" s="229"/>
      <c r="K622" s="2" t="s">
        <v>244</v>
      </c>
      <c r="L622" s="100">
        <v>44575.0</v>
      </c>
      <c r="M622" s="101">
        <v>0.48203703703703704</v>
      </c>
      <c r="O622" s="229"/>
    </row>
    <row r="623">
      <c r="A623" s="2" t="s">
        <v>2437</v>
      </c>
      <c r="B623" s="100">
        <v>44573.0</v>
      </c>
      <c r="C623" s="101">
        <v>0.35030092592592593</v>
      </c>
      <c r="H623" s="229"/>
      <c r="K623" s="2" t="s">
        <v>244</v>
      </c>
      <c r="L623" s="100">
        <v>44575.0</v>
      </c>
      <c r="M623" s="101">
        <v>0.48203703703703704</v>
      </c>
      <c r="O623" s="227"/>
    </row>
    <row r="624">
      <c r="A624" s="2" t="s">
        <v>726</v>
      </c>
      <c r="B624" s="100">
        <v>44573.0</v>
      </c>
      <c r="C624" s="101">
        <v>0.3486574074074074</v>
      </c>
      <c r="H624" s="229"/>
      <c r="K624" s="2" t="s">
        <v>244</v>
      </c>
      <c r="L624" s="100">
        <v>44575.0</v>
      </c>
      <c r="M624" s="101">
        <v>0.48202546296296295</v>
      </c>
      <c r="O624" s="227"/>
    </row>
    <row r="625">
      <c r="A625" s="2" t="s">
        <v>2438</v>
      </c>
      <c r="B625" s="100">
        <v>44573.0</v>
      </c>
      <c r="C625" s="101">
        <v>0.347650462962963</v>
      </c>
      <c r="H625" s="229"/>
      <c r="K625" s="2" t="s">
        <v>244</v>
      </c>
      <c r="L625" s="100">
        <v>44575.0</v>
      </c>
      <c r="M625" s="101">
        <v>0.48202546296296295</v>
      </c>
      <c r="O625" s="227"/>
    </row>
    <row r="626">
      <c r="A626" s="2" t="s">
        <v>2439</v>
      </c>
      <c r="B626" s="100">
        <v>44573.0</v>
      </c>
      <c r="C626" s="101">
        <v>0.3347800925925926</v>
      </c>
      <c r="H626" s="229"/>
      <c r="K626" s="2" t="s">
        <v>244</v>
      </c>
      <c r="L626" s="100">
        <v>44575.0</v>
      </c>
      <c r="M626" s="101">
        <v>0.48202546296296295</v>
      </c>
      <c r="O626" s="227"/>
    </row>
    <row r="627">
      <c r="A627" s="2" t="s">
        <v>720</v>
      </c>
      <c r="B627" s="100">
        <v>44573.0</v>
      </c>
      <c r="C627" s="101">
        <v>0.3285532407407407</v>
      </c>
      <c r="H627" s="229"/>
      <c r="K627" s="2" t="s">
        <v>244</v>
      </c>
      <c r="L627" s="100">
        <v>44575.0</v>
      </c>
      <c r="M627" s="101">
        <v>0.48202546296296295</v>
      </c>
      <c r="O627" s="227"/>
    </row>
    <row r="628">
      <c r="A628" s="2" t="s">
        <v>716</v>
      </c>
      <c r="B628" s="100">
        <v>44573.0</v>
      </c>
      <c r="C628" s="101">
        <v>0.32337962962962963</v>
      </c>
      <c r="H628" s="229"/>
      <c r="K628" s="2" t="s">
        <v>52</v>
      </c>
      <c r="L628" s="100">
        <v>44579.0</v>
      </c>
      <c r="M628" s="101">
        <v>0.5015856481481481</v>
      </c>
      <c r="O628" s="227"/>
    </row>
    <row r="629">
      <c r="A629" s="2" t="s">
        <v>714</v>
      </c>
      <c r="B629" s="100">
        <v>44573.0</v>
      </c>
      <c r="C629" s="101">
        <v>0.31827546296296294</v>
      </c>
      <c r="H629" s="229"/>
      <c r="K629" s="2" t="s">
        <v>244</v>
      </c>
      <c r="L629" s="100">
        <v>44575.0</v>
      </c>
      <c r="M629" s="101">
        <v>0.48202546296296295</v>
      </c>
      <c r="O629" s="227"/>
    </row>
    <row r="630">
      <c r="A630" s="2" t="s">
        <v>712</v>
      </c>
      <c r="B630" s="100">
        <v>44573.0</v>
      </c>
      <c r="C630" s="101">
        <v>0.29791666666666666</v>
      </c>
      <c r="H630" s="229"/>
      <c r="K630" s="2" t="s">
        <v>244</v>
      </c>
      <c r="L630" s="100">
        <v>44575.0</v>
      </c>
      <c r="M630" s="101">
        <v>0.48202546296296295</v>
      </c>
      <c r="O630" s="227"/>
    </row>
    <row r="631">
      <c r="A631" s="2" t="s">
        <v>710</v>
      </c>
      <c r="B631" s="100">
        <v>44573.0</v>
      </c>
      <c r="C631" s="101">
        <v>0.2912037037037037</v>
      </c>
      <c r="H631" s="229"/>
      <c r="K631" s="2" t="s">
        <v>244</v>
      </c>
      <c r="L631" s="100">
        <v>44575.0</v>
      </c>
      <c r="M631" s="101">
        <v>0.48202546296296295</v>
      </c>
      <c r="O631" s="227"/>
    </row>
    <row r="632">
      <c r="A632" s="2" t="s">
        <v>707</v>
      </c>
      <c r="B632" s="100">
        <v>44573.0</v>
      </c>
      <c r="C632" s="101">
        <v>0.28774305555555557</v>
      </c>
      <c r="H632" s="229"/>
      <c r="K632" s="2" t="s">
        <v>244</v>
      </c>
      <c r="L632" s="100">
        <v>44575.0</v>
      </c>
      <c r="M632" s="101">
        <v>0.48202546296296295</v>
      </c>
      <c r="O632" s="229"/>
    </row>
    <row r="633">
      <c r="A633" s="2" t="s">
        <v>705</v>
      </c>
      <c r="B633" s="100">
        <v>44573.0</v>
      </c>
      <c r="C633" s="101">
        <v>0.28099537037037037</v>
      </c>
      <c r="H633" s="229"/>
      <c r="K633" s="2" t="s">
        <v>244</v>
      </c>
      <c r="L633" s="100">
        <v>44575.0</v>
      </c>
      <c r="M633" s="101">
        <v>0.48202546296296295</v>
      </c>
      <c r="O633" s="227"/>
    </row>
    <row r="634">
      <c r="A634" s="2" t="s">
        <v>703</v>
      </c>
      <c r="B634" s="100">
        <v>44572.0</v>
      </c>
      <c r="C634" s="101">
        <v>0.5463310185185185</v>
      </c>
      <c r="H634" s="229"/>
      <c r="K634" s="2" t="s">
        <v>254</v>
      </c>
      <c r="O634" s="227"/>
    </row>
    <row r="635">
      <c r="A635" s="2" t="s">
        <v>700</v>
      </c>
      <c r="B635" s="100">
        <v>44572.0</v>
      </c>
      <c r="C635" s="101">
        <v>0.536875</v>
      </c>
      <c r="H635" s="229"/>
      <c r="K635" s="2" t="s">
        <v>254</v>
      </c>
      <c r="O635" s="229"/>
    </row>
    <row r="636">
      <c r="A636" s="2" t="s">
        <v>698</v>
      </c>
      <c r="B636" s="100">
        <v>44571.0</v>
      </c>
      <c r="C636" s="101">
        <v>0.42944444444444446</v>
      </c>
      <c r="H636" s="229"/>
      <c r="K636" s="2" t="s">
        <v>244</v>
      </c>
      <c r="L636" s="100">
        <v>44571.0</v>
      </c>
      <c r="M636" s="101">
        <v>0.46598379629629627</v>
      </c>
      <c r="O636" s="227"/>
    </row>
    <row r="637">
      <c r="A637" s="2" t="s">
        <v>695</v>
      </c>
      <c r="B637" s="100">
        <v>44571.0</v>
      </c>
      <c r="C637" s="101">
        <v>0.4290162037037037</v>
      </c>
      <c r="H637" s="229"/>
      <c r="K637" s="2" t="s">
        <v>244</v>
      </c>
      <c r="L637" s="100">
        <v>44571.0</v>
      </c>
      <c r="M637" s="101">
        <v>0.46598379629629627</v>
      </c>
      <c r="O637" s="227"/>
    </row>
    <row r="638">
      <c r="A638" s="2" t="s">
        <v>693</v>
      </c>
      <c r="B638" s="100">
        <v>44571.0</v>
      </c>
      <c r="C638" s="101">
        <v>0.4286111111111111</v>
      </c>
      <c r="H638" s="229"/>
      <c r="K638" s="2" t="s">
        <v>244</v>
      </c>
      <c r="L638" s="100">
        <v>44571.0</v>
      </c>
      <c r="M638" s="101">
        <v>0.46598379629629627</v>
      </c>
      <c r="O638" s="227"/>
    </row>
    <row r="639">
      <c r="A639" s="2" t="s">
        <v>691</v>
      </c>
      <c r="B639" s="100">
        <v>44571.0</v>
      </c>
      <c r="C639" s="101">
        <v>0.42811342592592594</v>
      </c>
      <c r="H639" s="229"/>
      <c r="K639" s="2" t="s">
        <v>244</v>
      </c>
      <c r="L639" s="100">
        <v>44571.0</v>
      </c>
      <c r="M639" s="101">
        <v>0.46598379629629627</v>
      </c>
      <c r="O639" s="227"/>
    </row>
    <row r="640">
      <c r="A640" s="2" t="s">
        <v>689</v>
      </c>
      <c r="B640" s="100">
        <v>44571.0</v>
      </c>
      <c r="C640" s="101">
        <v>0.42716435185185186</v>
      </c>
      <c r="H640" s="229"/>
      <c r="K640" s="2" t="s">
        <v>52</v>
      </c>
      <c r="L640" s="100">
        <v>44579.0</v>
      </c>
      <c r="M640" s="101">
        <v>0.5015740740740741</v>
      </c>
      <c r="O640" s="227"/>
    </row>
    <row r="641">
      <c r="A641" s="2" t="s">
        <v>686</v>
      </c>
      <c r="B641" s="100">
        <v>44571.0</v>
      </c>
      <c r="C641" s="101">
        <v>0.42594907407407406</v>
      </c>
      <c r="H641" s="229"/>
      <c r="K641" s="2" t="s">
        <v>244</v>
      </c>
      <c r="L641" s="100">
        <v>44571.0</v>
      </c>
      <c r="M641" s="101">
        <v>0.46598379629629627</v>
      </c>
      <c r="O641" s="227"/>
    </row>
    <row r="642">
      <c r="A642" s="2" t="s">
        <v>683</v>
      </c>
      <c r="B642" s="100">
        <v>44571.0</v>
      </c>
      <c r="C642" s="101">
        <v>0.3928935185185185</v>
      </c>
      <c r="H642" s="229"/>
      <c r="K642" s="2" t="s">
        <v>52</v>
      </c>
      <c r="L642" s="100">
        <v>44579.0</v>
      </c>
      <c r="M642" s="101">
        <v>0.5015740740740741</v>
      </c>
      <c r="O642" s="229"/>
    </row>
    <row r="643">
      <c r="A643" s="2" t="s">
        <v>680</v>
      </c>
      <c r="B643" s="100">
        <v>44571.0</v>
      </c>
      <c r="C643" s="101">
        <v>0.3924884259259259</v>
      </c>
      <c r="H643" s="229"/>
      <c r="K643" s="2" t="s">
        <v>244</v>
      </c>
      <c r="L643" s="100">
        <v>44571.0</v>
      </c>
      <c r="M643" s="101">
        <v>0.46598379629629627</v>
      </c>
      <c r="O643" s="229"/>
    </row>
    <row r="644">
      <c r="A644" s="2" t="s">
        <v>677</v>
      </c>
      <c r="B644" s="100">
        <v>44571.0</v>
      </c>
      <c r="C644" s="101">
        <v>0.39194444444444443</v>
      </c>
      <c r="H644" s="229"/>
      <c r="K644" s="2" t="s">
        <v>244</v>
      </c>
      <c r="L644" s="100">
        <v>44571.0</v>
      </c>
      <c r="M644" s="101">
        <v>0.46598379629629627</v>
      </c>
      <c r="O644" s="229"/>
    </row>
    <row r="645">
      <c r="A645" s="2" t="s">
        <v>674</v>
      </c>
      <c r="B645" s="100">
        <v>44571.0</v>
      </c>
      <c r="C645" s="101">
        <v>0.39141203703703703</v>
      </c>
      <c r="H645" s="229"/>
      <c r="K645" s="2" t="s">
        <v>244</v>
      </c>
      <c r="L645" s="100">
        <v>44571.0</v>
      </c>
      <c r="M645" s="101">
        <v>0.46598379629629627</v>
      </c>
      <c r="O645" s="227"/>
    </row>
    <row r="646">
      <c r="A646" s="2" t="s">
        <v>671</v>
      </c>
      <c r="B646" s="100">
        <v>44571.0</v>
      </c>
      <c r="C646" s="101">
        <v>0.3904398148148148</v>
      </c>
      <c r="H646" s="229"/>
      <c r="K646" s="2" t="s">
        <v>244</v>
      </c>
      <c r="L646" s="100">
        <v>44571.0</v>
      </c>
      <c r="M646" s="101">
        <v>0.46598379629629627</v>
      </c>
      <c r="O646" s="229"/>
    </row>
    <row r="647">
      <c r="A647" s="2" t="s">
        <v>668</v>
      </c>
      <c r="B647" s="100">
        <v>44571.0</v>
      </c>
      <c r="C647" s="101">
        <v>0.3899768518518518</v>
      </c>
      <c r="H647" s="229"/>
      <c r="K647" s="2" t="s">
        <v>52</v>
      </c>
      <c r="L647" s="100">
        <v>44579.0</v>
      </c>
      <c r="M647" s="101">
        <v>0.5015740740740741</v>
      </c>
      <c r="O647" s="229"/>
    </row>
    <row r="648">
      <c r="A648" s="2" t="s">
        <v>665</v>
      </c>
      <c r="B648" s="100">
        <v>44571.0</v>
      </c>
      <c r="C648" s="101">
        <v>0.38936342592592593</v>
      </c>
      <c r="H648" s="229"/>
      <c r="K648" s="2" t="s">
        <v>52</v>
      </c>
      <c r="L648" s="100">
        <v>44579.0</v>
      </c>
      <c r="M648" s="101">
        <v>0.5015740740740741</v>
      </c>
      <c r="O648" s="229"/>
    </row>
    <row r="649">
      <c r="A649" s="2" t="s">
        <v>663</v>
      </c>
      <c r="B649" s="100">
        <v>44571.0</v>
      </c>
      <c r="C649" s="101">
        <v>0.38880787037037035</v>
      </c>
      <c r="H649" s="229"/>
      <c r="K649" s="2" t="s">
        <v>52</v>
      </c>
      <c r="L649" s="100">
        <v>44579.0</v>
      </c>
      <c r="M649" s="101">
        <v>0.5015740740740741</v>
      </c>
      <c r="O649" s="227"/>
    </row>
    <row r="650">
      <c r="A650" s="2" t="s">
        <v>657</v>
      </c>
      <c r="B650" s="100">
        <v>44571.0</v>
      </c>
      <c r="C650" s="101">
        <v>0.3882638888888889</v>
      </c>
      <c r="H650" s="229"/>
      <c r="K650" s="2" t="s">
        <v>52</v>
      </c>
      <c r="L650" s="100">
        <v>44579.0</v>
      </c>
      <c r="M650" s="101">
        <v>0.5015740740740741</v>
      </c>
      <c r="O650" s="229"/>
    </row>
    <row r="651">
      <c r="A651" s="2" t="s">
        <v>654</v>
      </c>
      <c r="B651" s="100">
        <v>44571.0</v>
      </c>
      <c r="C651" s="101">
        <v>0.35587962962962966</v>
      </c>
      <c r="H651" s="229"/>
      <c r="K651" s="2" t="s">
        <v>244</v>
      </c>
      <c r="L651" s="100">
        <v>44571.0</v>
      </c>
      <c r="M651" s="101">
        <v>0.46598379629629627</v>
      </c>
      <c r="O651" s="227"/>
    </row>
    <row r="652">
      <c r="A652" s="2" t="s">
        <v>651</v>
      </c>
      <c r="B652" s="100">
        <v>44571.0</v>
      </c>
      <c r="C652" s="101">
        <v>0.35119212962962965</v>
      </c>
      <c r="H652" s="229"/>
      <c r="K652" s="2" t="s">
        <v>52</v>
      </c>
      <c r="L652" s="100">
        <v>44579.0</v>
      </c>
      <c r="M652" s="101">
        <v>0.5015740740740741</v>
      </c>
      <c r="O652" s="229"/>
    </row>
    <row r="653">
      <c r="A653" s="2" t="s">
        <v>648</v>
      </c>
      <c r="B653" s="100">
        <v>44571.0</v>
      </c>
      <c r="C653" s="101">
        <v>0.3492013888888889</v>
      </c>
      <c r="H653" s="229"/>
      <c r="K653" s="2" t="s">
        <v>244</v>
      </c>
      <c r="L653" s="100">
        <v>44571.0</v>
      </c>
      <c r="M653" s="101">
        <v>0.46598379629629627</v>
      </c>
      <c r="O653" s="227"/>
    </row>
    <row r="654">
      <c r="A654" s="2" t="s">
        <v>644</v>
      </c>
      <c r="B654" s="100">
        <v>44571.0</v>
      </c>
      <c r="C654" s="101">
        <v>0.3371412037037037</v>
      </c>
      <c r="H654" s="229"/>
      <c r="K654" s="2" t="s">
        <v>244</v>
      </c>
      <c r="L654" s="100">
        <v>44571.0</v>
      </c>
      <c r="M654" s="101">
        <v>0.46598379629629627</v>
      </c>
      <c r="O654" s="227"/>
    </row>
    <row r="655">
      <c r="A655" s="2" t="s">
        <v>642</v>
      </c>
      <c r="B655" s="100">
        <v>44571.0</v>
      </c>
      <c r="C655" s="101">
        <v>0.3345138888888889</v>
      </c>
      <c r="H655" s="229"/>
      <c r="K655" s="2" t="s">
        <v>244</v>
      </c>
      <c r="L655" s="100">
        <v>44571.0</v>
      </c>
      <c r="M655" s="101">
        <v>0.46598379629629627</v>
      </c>
      <c r="O655" s="227"/>
    </row>
    <row r="656">
      <c r="A656" s="2" t="s">
        <v>638</v>
      </c>
      <c r="B656" s="100">
        <v>44571.0</v>
      </c>
      <c r="C656" s="101">
        <v>0.3337731481481481</v>
      </c>
      <c r="H656" s="229"/>
      <c r="K656" s="2" t="s">
        <v>244</v>
      </c>
      <c r="L656" s="100">
        <v>44571.0</v>
      </c>
      <c r="M656" s="101">
        <v>0.46598379629629627</v>
      </c>
      <c r="O656" s="227"/>
    </row>
    <row r="657">
      <c r="A657" s="2" t="s">
        <v>2440</v>
      </c>
      <c r="B657" s="100">
        <v>44571.0</v>
      </c>
      <c r="C657" s="101">
        <v>0.33339120370370373</v>
      </c>
      <c r="H657" s="229"/>
      <c r="K657" s="2" t="s">
        <v>244</v>
      </c>
      <c r="L657" s="100">
        <v>44571.0</v>
      </c>
      <c r="M657" s="101">
        <v>0.46598379629629627</v>
      </c>
      <c r="O657" s="227"/>
    </row>
    <row r="658">
      <c r="A658" s="2" t="s">
        <v>632</v>
      </c>
      <c r="B658" s="100">
        <v>44571.0</v>
      </c>
      <c r="C658" s="101">
        <v>0.3333101851851852</v>
      </c>
      <c r="H658" s="229"/>
      <c r="K658" s="2" t="s">
        <v>244</v>
      </c>
      <c r="L658" s="100">
        <v>44571.0</v>
      </c>
      <c r="M658" s="101">
        <v>0.46598379629629627</v>
      </c>
      <c r="O658" s="227"/>
    </row>
    <row r="659">
      <c r="A659" s="2" t="s">
        <v>630</v>
      </c>
      <c r="B659" s="100">
        <v>44571.0</v>
      </c>
      <c r="C659" s="101">
        <v>0.32885416666666667</v>
      </c>
      <c r="H659" s="229"/>
      <c r="K659" s="2" t="s">
        <v>244</v>
      </c>
      <c r="L659" s="100">
        <v>44571.0</v>
      </c>
      <c r="M659" s="101">
        <v>0.46598379629629627</v>
      </c>
      <c r="O659" s="227"/>
    </row>
    <row r="660">
      <c r="A660" s="2" t="s">
        <v>623</v>
      </c>
      <c r="B660" s="100">
        <v>44571.0</v>
      </c>
      <c r="C660" s="101">
        <v>0.3181365740740741</v>
      </c>
      <c r="H660" s="229"/>
      <c r="K660" s="2" t="s">
        <v>244</v>
      </c>
      <c r="L660" s="100">
        <v>44571.0</v>
      </c>
      <c r="M660" s="101">
        <v>0.46598379629629627</v>
      </c>
      <c r="O660" s="227"/>
    </row>
    <row r="661">
      <c r="A661" s="2" t="s">
        <v>621</v>
      </c>
      <c r="B661" s="100">
        <v>44571.0</v>
      </c>
      <c r="C661" s="101">
        <v>0.313125</v>
      </c>
      <c r="H661" s="229"/>
      <c r="K661" s="2" t="s">
        <v>244</v>
      </c>
      <c r="L661" s="100">
        <v>44571.0</v>
      </c>
      <c r="M661" s="101">
        <v>0.46598379629629627</v>
      </c>
      <c r="O661" s="227"/>
    </row>
    <row r="662">
      <c r="A662" s="2" t="s">
        <v>617</v>
      </c>
      <c r="B662" s="100">
        <v>44571.0</v>
      </c>
      <c r="C662" s="101">
        <v>0.31167824074074074</v>
      </c>
      <c r="H662" s="229"/>
      <c r="K662" s="2" t="s">
        <v>244</v>
      </c>
      <c r="L662" s="100">
        <v>44571.0</v>
      </c>
      <c r="M662" s="101">
        <v>0.46598379629629627</v>
      </c>
      <c r="O662" s="227"/>
    </row>
    <row r="663">
      <c r="A663" s="2" t="s">
        <v>615</v>
      </c>
      <c r="B663" s="100">
        <v>44571.0</v>
      </c>
      <c r="C663" s="101">
        <v>0.2969212962962963</v>
      </c>
      <c r="H663" s="229"/>
      <c r="K663" s="2" t="s">
        <v>244</v>
      </c>
      <c r="L663" s="100">
        <v>44571.0</v>
      </c>
      <c r="M663" s="101">
        <v>0.46598379629629627</v>
      </c>
      <c r="O663" s="227"/>
    </row>
    <row r="664">
      <c r="A664" s="2" t="s">
        <v>611</v>
      </c>
      <c r="B664" s="100">
        <v>44571.0</v>
      </c>
      <c r="C664" s="101">
        <v>0.2715856481481482</v>
      </c>
      <c r="H664" s="229"/>
      <c r="K664" s="2" t="s">
        <v>244</v>
      </c>
      <c r="L664" s="100">
        <v>44571.0</v>
      </c>
      <c r="M664" s="101">
        <v>0.46598379629629627</v>
      </c>
      <c r="O664" s="227"/>
    </row>
    <row r="665">
      <c r="A665" s="2" t="s">
        <v>608</v>
      </c>
      <c r="B665" s="100">
        <v>44569.0</v>
      </c>
      <c r="C665" s="101">
        <v>0.3123842592592593</v>
      </c>
      <c r="H665" s="229"/>
      <c r="K665" s="2" t="s">
        <v>254</v>
      </c>
      <c r="O665" s="227"/>
    </row>
    <row r="666">
      <c r="A666" s="2" t="s">
        <v>606</v>
      </c>
      <c r="B666" s="100">
        <v>44568.0</v>
      </c>
      <c r="C666" s="101">
        <v>0.5227083333333333</v>
      </c>
      <c r="H666" s="229"/>
      <c r="K666" s="2" t="s">
        <v>254</v>
      </c>
      <c r="O666" s="229"/>
    </row>
    <row r="667">
      <c r="A667" s="2" t="s">
        <v>603</v>
      </c>
      <c r="B667" s="100">
        <v>44568.0</v>
      </c>
      <c r="C667" s="101">
        <v>0.5221759259259259</v>
      </c>
      <c r="H667" s="229"/>
      <c r="K667" s="2" t="s">
        <v>254</v>
      </c>
      <c r="O667" s="227"/>
    </row>
    <row r="668">
      <c r="A668" s="2" t="s">
        <v>601</v>
      </c>
      <c r="B668" s="100">
        <v>44568.0</v>
      </c>
      <c r="C668" s="101">
        <v>0.4141782407407407</v>
      </c>
      <c r="H668" s="229"/>
      <c r="K668" s="2" t="s">
        <v>244</v>
      </c>
      <c r="L668" s="100">
        <v>44568.0</v>
      </c>
      <c r="M668" s="101">
        <v>0.5079166666666667</v>
      </c>
      <c r="O668" s="227"/>
    </row>
    <row r="669">
      <c r="A669" s="2" t="s">
        <v>599</v>
      </c>
      <c r="B669" s="100">
        <v>44568.0</v>
      </c>
      <c r="C669" s="101">
        <v>0.3647800925925926</v>
      </c>
      <c r="H669" s="229"/>
      <c r="K669" s="2" t="s">
        <v>52</v>
      </c>
      <c r="L669" s="100">
        <v>44568.0</v>
      </c>
      <c r="M669" s="101">
        <v>0.508275462962963</v>
      </c>
      <c r="O669" s="227"/>
    </row>
    <row r="670">
      <c r="A670" s="2" t="s">
        <v>596</v>
      </c>
      <c r="B670" s="100">
        <v>44568.0</v>
      </c>
      <c r="C670" s="101">
        <v>0.35561342592592593</v>
      </c>
      <c r="H670" s="229"/>
      <c r="K670" s="2" t="s">
        <v>244</v>
      </c>
      <c r="L670" s="100">
        <v>44568.0</v>
      </c>
      <c r="M670" s="101">
        <v>0.5079166666666667</v>
      </c>
      <c r="O670" s="227"/>
    </row>
    <row r="671">
      <c r="A671" s="2" t="s">
        <v>592</v>
      </c>
      <c r="B671" s="100">
        <v>44568.0</v>
      </c>
      <c r="C671" s="101">
        <v>0.34717592592592594</v>
      </c>
      <c r="H671" s="229"/>
      <c r="K671" s="2" t="s">
        <v>52</v>
      </c>
      <c r="L671" s="100">
        <v>44568.0</v>
      </c>
      <c r="M671" s="101">
        <v>0.5079050925925926</v>
      </c>
      <c r="O671" s="227"/>
    </row>
    <row r="672">
      <c r="A672" s="2" t="s">
        <v>2441</v>
      </c>
      <c r="B672" s="100">
        <v>44568.0</v>
      </c>
      <c r="C672" s="101">
        <v>0.34716435185185185</v>
      </c>
      <c r="H672" s="229"/>
      <c r="K672" s="2" t="s">
        <v>244</v>
      </c>
      <c r="L672" s="100">
        <v>44568.0</v>
      </c>
      <c r="M672" s="101">
        <v>0.5079166666666667</v>
      </c>
      <c r="O672" s="227"/>
    </row>
    <row r="673">
      <c r="A673" s="2" t="s">
        <v>582</v>
      </c>
      <c r="B673" s="100">
        <v>44568.0</v>
      </c>
      <c r="C673" s="101">
        <v>0.34206018518518516</v>
      </c>
      <c r="H673" s="229"/>
      <c r="K673" s="2" t="s">
        <v>63</v>
      </c>
      <c r="L673" s="100">
        <v>44568.0</v>
      </c>
      <c r="M673" s="101">
        <v>0.5079050925925926</v>
      </c>
      <c r="O673" s="227"/>
    </row>
    <row r="674">
      <c r="A674" s="2" t="s">
        <v>586</v>
      </c>
      <c r="B674" s="100">
        <v>44568.0</v>
      </c>
      <c r="C674" s="101">
        <v>0.3421064814814815</v>
      </c>
      <c r="H674" s="229"/>
      <c r="K674" s="2" t="s">
        <v>244</v>
      </c>
      <c r="L674" s="100">
        <v>44568.0</v>
      </c>
      <c r="M674" s="101">
        <v>0.5079050925925926</v>
      </c>
      <c r="O674" s="227"/>
    </row>
    <row r="675">
      <c r="A675" s="2" t="s">
        <v>580</v>
      </c>
      <c r="B675" s="100">
        <v>44568.0</v>
      </c>
      <c r="C675" s="101">
        <v>0.34097222222222223</v>
      </c>
      <c r="H675" s="229"/>
      <c r="K675" s="2" t="s">
        <v>52</v>
      </c>
      <c r="L675" s="100">
        <v>44568.0</v>
      </c>
      <c r="M675" s="101">
        <v>0.5079050925925926</v>
      </c>
      <c r="O675" s="227"/>
    </row>
    <row r="676">
      <c r="A676" s="2" t="s">
        <v>576</v>
      </c>
      <c r="B676" s="100">
        <v>44568.0</v>
      </c>
      <c r="C676" s="101">
        <v>0.3361689814814815</v>
      </c>
      <c r="H676" s="229"/>
      <c r="K676" s="2" t="s">
        <v>244</v>
      </c>
      <c r="L676" s="100">
        <v>44568.0</v>
      </c>
      <c r="M676" s="101">
        <v>0.5079050925925926</v>
      </c>
      <c r="O676" s="227"/>
    </row>
    <row r="677">
      <c r="A677" s="2" t="s">
        <v>572</v>
      </c>
      <c r="B677" s="100">
        <v>44568.0</v>
      </c>
      <c r="C677" s="101">
        <v>0.3309490740740741</v>
      </c>
      <c r="H677" s="229"/>
      <c r="K677" s="2" t="s">
        <v>244</v>
      </c>
      <c r="L677" s="100">
        <v>44568.0</v>
      </c>
      <c r="M677" s="101">
        <v>0.5079050925925926</v>
      </c>
      <c r="O677" s="227"/>
    </row>
    <row r="678">
      <c r="A678" s="2" t="s">
        <v>570</v>
      </c>
      <c r="B678" s="100">
        <v>44568.0</v>
      </c>
      <c r="C678" s="101">
        <v>0.3292824074074074</v>
      </c>
      <c r="H678" s="229"/>
      <c r="K678" s="2" t="s">
        <v>244</v>
      </c>
      <c r="L678" s="100">
        <v>44568.0</v>
      </c>
      <c r="M678" s="101">
        <v>0.5079050925925926</v>
      </c>
      <c r="O678" s="227"/>
    </row>
    <row r="679">
      <c r="A679" s="2" t="s">
        <v>2442</v>
      </c>
      <c r="B679" s="100">
        <v>44568.0</v>
      </c>
      <c r="C679" s="101">
        <v>0.3139351851851852</v>
      </c>
      <c r="H679" s="229"/>
      <c r="K679" s="2" t="s">
        <v>244</v>
      </c>
      <c r="L679" s="100">
        <v>44568.0</v>
      </c>
      <c r="M679" s="101">
        <v>0.5079050925925926</v>
      </c>
      <c r="O679" s="227"/>
    </row>
    <row r="680">
      <c r="A680" s="2" t="s">
        <v>558</v>
      </c>
      <c r="B680" s="100">
        <v>44568.0</v>
      </c>
      <c r="C680" s="101">
        <v>0.022118055555555554</v>
      </c>
      <c r="H680" s="229"/>
      <c r="K680" s="2" t="s">
        <v>244</v>
      </c>
      <c r="L680" s="100">
        <v>44568.0</v>
      </c>
      <c r="M680" s="101">
        <v>0.5079050925925926</v>
      </c>
      <c r="O680" s="227"/>
    </row>
    <row r="681">
      <c r="A681" s="2" t="s">
        <v>556</v>
      </c>
      <c r="B681" s="100">
        <v>44567.0</v>
      </c>
      <c r="C681" s="101">
        <v>0.9922800925925926</v>
      </c>
      <c r="H681" s="229"/>
      <c r="K681" s="2" t="s">
        <v>244</v>
      </c>
      <c r="L681" s="100">
        <v>44568.0</v>
      </c>
      <c r="M681" s="101">
        <v>0.5079050925925926</v>
      </c>
      <c r="O681" s="227"/>
    </row>
    <row r="682">
      <c r="A682" s="2" t="s">
        <v>554</v>
      </c>
      <c r="B682" s="100">
        <v>44567.0</v>
      </c>
      <c r="C682" s="101">
        <v>0.9539351851851852</v>
      </c>
      <c r="H682" s="229"/>
      <c r="K682" s="2" t="s">
        <v>244</v>
      </c>
      <c r="L682" s="100">
        <v>44568.0</v>
      </c>
      <c r="M682" s="101">
        <v>0.5079050925925926</v>
      </c>
      <c r="O682" s="227"/>
    </row>
    <row r="683">
      <c r="A683" s="2" t="s">
        <v>552</v>
      </c>
      <c r="B683" s="100">
        <v>44567.0</v>
      </c>
      <c r="C683" s="101">
        <v>0.3252662037037037</v>
      </c>
      <c r="H683" s="229"/>
      <c r="K683" s="2" t="s">
        <v>244</v>
      </c>
      <c r="L683" s="100">
        <v>44568.0</v>
      </c>
      <c r="M683" s="101">
        <v>0.5079050925925926</v>
      </c>
      <c r="O683" s="227"/>
    </row>
    <row r="684">
      <c r="A684" s="2" t="s">
        <v>2443</v>
      </c>
      <c r="B684" s="100">
        <v>44567.0</v>
      </c>
      <c r="C684" s="101">
        <v>0.32329861111111113</v>
      </c>
      <c r="H684" s="229"/>
      <c r="K684" s="2" t="s">
        <v>244</v>
      </c>
      <c r="L684" s="100">
        <v>44568.0</v>
      </c>
      <c r="M684" s="101">
        <v>0.5079050925925926</v>
      </c>
      <c r="O684" s="227"/>
    </row>
    <row r="685">
      <c r="A685" s="2" t="s">
        <v>529</v>
      </c>
      <c r="B685" s="100">
        <v>44566.0</v>
      </c>
      <c r="C685" s="101">
        <v>0.3824652777777778</v>
      </c>
      <c r="H685" s="229"/>
      <c r="K685" s="2" t="s">
        <v>244</v>
      </c>
      <c r="L685" s="100">
        <v>44566.0</v>
      </c>
      <c r="M685" s="101">
        <v>0.4565625</v>
      </c>
      <c r="O685" s="229"/>
    </row>
    <row r="686">
      <c r="A686" s="2" t="s">
        <v>527</v>
      </c>
      <c r="B686" s="100">
        <v>44566.0</v>
      </c>
      <c r="C686" s="101">
        <v>0.38178240740740743</v>
      </c>
      <c r="H686" s="229"/>
      <c r="K686" s="2" t="s">
        <v>244</v>
      </c>
      <c r="L686" s="100">
        <v>44566.0</v>
      </c>
      <c r="M686" s="101">
        <v>0.4565625</v>
      </c>
      <c r="O686" s="227"/>
    </row>
    <row r="687">
      <c r="A687" s="2" t="s">
        <v>525</v>
      </c>
      <c r="B687" s="100">
        <v>44566.0</v>
      </c>
      <c r="C687" s="101">
        <v>0.3789351851851852</v>
      </c>
      <c r="H687" s="229"/>
      <c r="K687" s="2" t="s">
        <v>244</v>
      </c>
      <c r="L687" s="100">
        <v>44566.0</v>
      </c>
      <c r="M687" s="101">
        <v>0.4565625</v>
      </c>
      <c r="O687" s="227"/>
    </row>
    <row r="688">
      <c r="A688" s="2" t="s">
        <v>523</v>
      </c>
      <c r="B688" s="100">
        <v>44566.0</v>
      </c>
      <c r="C688" s="101">
        <v>0.35116898148148146</v>
      </c>
      <c r="H688" s="229"/>
      <c r="K688" s="2" t="s">
        <v>244</v>
      </c>
      <c r="L688" s="100">
        <v>44566.0</v>
      </c>
      <c r="M688" s="101">
        <v>0.4565625</v>
      </c>
      <c r="O688" s="227"/>
    </row>
    <row r="689">
      <c r="A689" s="2" t="s">
        <v>519</v>
      </c>
      <c r="B689" s="100">
        <v>44566.0</v>
      </c>
      <c r="C689" s="101">
        <v>0.3388888888888889</v>
      </c>
      <c r="H689" s="229"/>
      <c r="K689" s="2" t="s">
        <v>244</v>
      </c>
      <c r="L689" s="100">
        <v>44566.0</v>
      </c>
      <c r="M689" s="101">
        <v>0.4565625</v>
      </c>
      <c r="O689" s="227"/>
    </row>
    <row r="690">
      <c r="A690" s="2" t="s">
        <v>517</v>
      </c>
      <c r="B690" s="100">
        <v>44566.0</v>
      </c>
      <c r="C690" s="101">
        <v>0.33738425925925924</v>
      </c>
      <c r="H690" s="229"/>
      <c r="K690" s="2" t="s">
        <v>244</v>
      </c>
      <c r="L690" s="100">
        <v>44566.0</v>
      </c>
      <c r="M690" s="101">
        <v>0.4565625</v>
      </c>
      <c r="O690" s="227"/>
    </row>
    <row r="691">
      <c r="A691" s="2" t="s">
        <v>515</v>
      </c>
      <c r="B691" s="100">
        <v>44566.0</v>
      </c>
      <c r="C691" s="101">
        <v>0.3307638888888889</v>
      </c>
      <c r="H691" s="229"/>
      <c r="K691" s="2" t="s">
        <v>52</v>
      </c>
      <c r="L691" s="100">
        <v>44568.0</v>
      </c>
      <c r="M691" s="101">
        <v>0.508275462962963</v>
      </c>
      <c r="O691" s="227"/>
    </row>
    <row r="692">
      <c r="A692" s="2" t="s">
        <v>511</v>
      </c>
      <c r="B692" s="100">
        <v>44566.0</v>
      </c>
      <c r="C692" s="101">
        <v>0.3297453703703704</v>
      </c>
      <c r="H692" s="229"/>
      <c r="K692" s="2" t="s">
        <v>52</v>
      </c>
      <c r="L692" s="100">
        <v>44568.0</v>
      </c>
      <c r="M692" s="101">
        <v>0.508275462962963</v>
      </c>
      <c r="O692" s="227"/>
    </row>
    <row r="693">
      <c r="A693" s="2" t="s">
        <v>507</v>
      </c>
      <c r="B693" s="100">
        <v>44566.0</v>
      </c>
      <c r="C693" s="101">
        <v>0.32104166666666667</v>
      </c>
      <c r="H693" s="229"/>
      <c r="K693" s="2" t="s">
        <v>244</v>
      </c>
      <c r="L693" s="100">
        <v>44566.0</v>
      </c>
      <c r="M693" s="101">
        <v>0.4565625</v>
      </c>
      <c r="O693" s="229"/>
    </row>
    <row r="694">
      <c r="A694" s="2" t="s">
        <v>503</v>
      </c>
      <c r="B694" s="100">
        <v>44566.0</v>
      </c>
      <c r="C694" s="101">
        <v>0.3115277777777778</v>
      </c>
      <c r="H694" s="229"/>
      <c r="K694" s="2" t="s">
        <v>244</v>
      </c>
      <c r="L694" s="100">
        <v>44566.0</v>
      </c>
      <c r="M694" s="101">
        <v>0.4565625</v>
      </c>
      <c r="O694" s="227"/>
    </row>
    <row r="695">
      <c r="A695" s="2" t="s">
        <v>497</v>
      </c>
      <c r="B695" s="100">
        <v>44566.0</v>
      </c>
      <c r="C695" s="101">
        <v>0.30583333333333335</v>
      </c>
      <c r="H695" s="229"/>
      <c r="K695" s="2" t="s">
        <v>244</v>
      </c>
      <c r="L695" s="100">
        <v>44566.0</v>
      </c>
      <c r="M695" s="101">
        <v>0.4565625</v>
      </c>
      <c r="O695" s="227"/>
    </row>
    <row r="696">
      <c r="A696" s="2" t="s">
        <v>494</v>
      </c>
      <c r="B696" s="100">
        <v>44565.0</v>
      </c>
      <c r="C696" s="101">
        <v>0.716099537037037</v>
      </c>
      <c r="H696" s="229"/>
      <c r="K696" s="2" t="s">
        <v>244</v>
      </c>
      <c r="L696" s="100">
        <v>44566.0</v>
      </c>
      <c r="M696" s="101">
        <v>0.4565625</v>
      </c>
      <c r="O696" s="227"/>
    </row>
    <row r="697">
      <c r="A697" s="2" t="s">
        <v>490</v>
      </c>
      <c r="B697" s="100">
        <v>44565.0</v>
      </c>
      <c r="C697" s="101">
        <v>0.6911574074074074</v>
      </c>
      <c r="H697" s="229"/>
      <c r="K697" s="2" t="s">
        <v>244</v>
      </c>
      <c r="L697" s="100">
        <v>44566.0</v>
      </c>
      <c r="M697" s="101">
        <v>0.4565625</v>
      </c>
      <c r="O697" s="229"/>
    </row>
    <row r="698">
      <c r="A698" s="2" t="s">
        <v>488</v>
      </c>
      <c r="B698" s="100">
        <v>44564.0</v>
      </c>
      <c r="C698" s="101">
        <v>0.40229166666666666</v>
      </c>
      <c r="H698" s="229"/>
      <c r="K698" s="2" t="s">
        <v>244</v>
      </c>
      <c r="L698" s="100">
        <v>44564.0</v>
      </c>
      <c r="M698" s="101">
        <v>0.5280439814814815</v>
      </c>
      <c r="O698" s="227"/>
    </row>
    <row r="699">
      <c r="A699" s="2" t="s">
        <v>2444</v>
      </c>
      <c r="B699" s="100">
        <v>44564.0</v>
      </c>
      <c r="C699" s="101">
        <v>0.39762731481481484</v>
      </c>
      <c r="H699" s="229"/>
      <c r="K699" s="2" t="s">
        <v>244</v>
      </c>
      <c r="L699" s="100">
        <v>44564.0</v>
      </c>
      <c r="M699" s="101">
        <v>0.5280439814814815</v>
      </c>
      <c r="O699" s="227"/>
    </row>
    <row r="700">
      <c r="A700" s="2" t="s">
        <v>484</v>
      </c>
      <c r="B700" s="100">
        <v>44564.0</v>
      </c>
      <c r="C700" s="101">
        <v>0.38413194444444443</v>
      </c>
      <c r="H700" s="229"/>
      <c r="K700" s="2" t="s">
        <v>244</v>
      </c>
      <c r="L700" s="100">
        <v>44564.0</v>
      </c>
      <c r="M700" s="101">
        <v>0.5280439814814815</v>
      </c>
      <c r="O700" s="227"/>
    </row>
    <row r="701">
      <c r="A701" s="2" t="s">
        <v>482</v>
      </c>
      <c r="B701" s="100">
        <v>44564.0</v>
      </c>
      <c r="C701" s="101">
        <v>0.36962962962962964</v>
      </c>
      <c r="H701" s="229"/>
      <c r="K701" s="2" t="s">
        <v>244</v>
      </c>
      <c r="L701" s="100">
        <v>44564.0</v>
      </c>
      <c r="M701" s="101">
        <v>0.5280439814814815</v>
      </c>
      <c r="O701" s="227"/>
    </row>
    <row r="702">
      <c r="A702" s="2" t="s">
        <v>479</v>
      </c>
      <c r="B702" s="100">
        <v>44564.0</v>
      </c>
      <c r="C702" s="101">
        <v>0.3654513888888889</v>
      </c>
      <c r="H702" s="229"/>
      <c r="K702" s="2" t="s">
        <v>52</v>
      </c>
      <c r="L702" s="100">
        <v>44564.0</v>
      </c>
      <c r="M702" s="101">
        <v>0.5280439814814815</v>
      </c>
      <c r="O702" s="227"/>
    </row>
    <row r="703">
      <c r="A703" s="2" t="s">
        <v>476</v>
      </c>
      <c r="B703" s="100">
        <v>44564.0</v>
      </c>
      <c r="C703" s="101">
        <v>0.35965277777777777</v>
      </c>
      <c r="H703" s="229"/>
      <c r="K703" s="2" t="s">
        <v>52</v>
      </c>
      <c r="L703" s="100">
        <v>44564.0</v>
      </c>
      <c r="M703" s="101">
        <v>0.5280439814814815</v>
      </c>
      <c r="O703" s="227"/>
    </row>
    <row r="704">
      <c r="A704" s="2" t="s">
        <v>474</v>
      </c>
      <c r="B704" s="100">
        <v>44564.0</v>
      </c>
      <c r="C704" s="101">
        <v>0.3515509259259259</v>
      </c>
      <c r="H704" s="229"/>
      <c r="K704" s="2" t="s">
        <v>244</v>
      </c>
      <c r="L704" s="100">
        <v>44564.0</v>
      </c>
      <c r="M704" s="101">
        <v>0.5280439814814815</v>
      </c>
      <c r="O704" s="227"/>
    </row>
    <row r="705">
      <c r="A705" s="2" t="s">
        <v>470</v>
      </c>
      <c r="B705" s="100">
        <v>44564.0</v>
      </c>
      <c r="C705" s="101">
        <v>0.3424074074074074</v>
      </c>
      <c r="H705" s="229"/>
      <c r="K705" s="2" t="s">
        <v>244</v>
      </c>
      <c r="L705" s="100">
        <v>44564.0</v>
      </c>
      <c r="M705" s="101">
        <v>0.5280439814814815</v>
      </c>
      <c r="O705" s="227"/>
    </row>
    <row r="706">
      <c r="A706" s="2" t="s">
        <v>468</v>
      </c>
      <c r="B706" s="100">
        <v>44564.0</v>
      </c>
      <c r="C706" s="101">
        <v>0.33775462962962965</v>
      </c>
      <c r="H706" s="229"/>
      <c r="K706" s="2" t="s">
        <v>52</v>
      </c>
      <c r="L706" s="100">
        <v>44564.0</v>
      </c>
      <c r="M706" s="101">
        <v>0.5280439814814815</v>
      </c>
      <c r="O706" s="227"/>
    </row>
    <row r="707">
      <c r="A707" s="2" t="s">
        <v>464</v>
      </c>
      <c r="B707" s="100">
        <v>44564.0</v>
      </c>
      <c r="C707" s="101">
        <v>0.3261574074074074</v>
      </c>
      <c r="H707" s="229"/>
      <c r="K707" s="2" t="s">
        <v>244</v>
      </c>
      <c r="L707" s="100">
        <v>44564.0</v>
      </c>
      <c r="M707" s="101">
        <v>0.5280439814814815</v>
      </c>
      <c r="O707" s="227"/>
    </row>
    <row r="708">
      <c r="A708" s="2" t="s">
        <v>462</v>
      </c>
      <c r="B708" s="100">
        <v>44564.0</v>
      </c>
      <c r="C708" s="101">
        <v>0.32538194444444446</v>
      </c>
      <c r="H708" s="229"/>
      <c r="K708" s="2" t="s">
        <v>244</v>
      </c>
      <c r="L708" s="100">
        <v>44564.0</v>
      </c>
      <c r="M708" s="101">
        <v>0.5280439814814815</v>
      </c>
      <c r="O708" s="227"/>
    </row>
    <row r="709">
      <c r="A709" s="2" t="s">
        <v>460</v>
      </c>
      <c r="B709" s="100">
        <v>44564.0</v>
      </c>
      <c r="C709" s="101">
        <v>0.31754629629629627</v>
      </c>
      <c r="H709" s="229"/>
      <c r="K709" s="2" t="s">
        <v>244</v>
      </c>
      <c r="L709" s="100">
        <v>44564.0</v>
      </c>
      <c r="M709" s="101">
        <v>0.5280439814814815</v>
      </c>
      <c r="O709" s="227"/>
    </row>
    <row r="710">
      <c r="A710" s="2" t="s">
        <v>456</v>
      </c>
      <c r="B710" s="100">
        <v>44564.0</v>
      </c>
      <c r="C710" s="101">
        <v>0.3048032407407407</v>
      </c>
      <c r="H710" s="229"/>
      <c r="K710" s="2" t="s">
        <v>52</v>
      </c>
      <c r="L710" s="100">
        <v>44564.0</v>
      </c>
      <c r="M710" s="101">
        <v>0.5280439814814815</v>
      </c>
      <c r="O710" s="227"/>
    </row>
    <row r="711">
      <c r="A711" s="2" t="s">
        <v>454</v>
      </c>
      <c r="B711" s="100">
        <v>44564.0</v>
      </c>
      <c r="C711" s="101">
        <v>0.2034837962962963</v>
      </c>
      <c r="H711" s="229"/>
      <c r="K711" s="2" t="s">
        <v>244</v>
      </c>
      <c r="L711" s="100">
        <v>44564.0</v>
      </c>
      <c r="M711" s="101">
        <v>0.5280439814814815</v>
      </c>
      <c r="O711" s="227"/>
    </row>
    <row r="712">
      <c r="A712" s="2" t="s">
        <v>452</v>
      </c>
      <c r="B712" s="100">
        <v>44561.0</v>
      </c>
      <c r="C712" s="101">
        <v>0.4247916666666667</v>
      </c>
      <c r="H712" s="229"/>
      <c r="K712" s="2" t="s">
        <v>254</v>
      </c>
      <c r="O712" s="227"/>
    </row>
    <row r="713">
      <c r="A713" s="2" t="s">
        <v>449</v>
      </c>
      <c r="B713" s="100">
        <v>44561.0</v>
      </c>
      <c r="C713" s="101">
        <v>0.40042824074074074</v>
      </c>
      <c r="H713" s="229"/>
      <c r="K713" s="2" t="s">
        <v>52</v>
      </c>
      <c r="L713" s="100">
        <v>44561.0</v>
      </c>
      <c r="M713" s="101">
        <v>0.44559027777777777</v>
      </c>
      <c r="O713" s="227"/>
    </row>
    <row r="714">
      <c r="A714" s="2" t="s">
        <v>447</v>
      </c>
      <c r="B714" s="100">
        <v>44561.0</v>
      </c>
      <c r="C714" s="101">
        <v>0.38902777777777775</v>
      </c>
      <c r="H714" s="229"/>
      <c r="K714" s="2" t="s">
        <v>254</v>
      </c>
      <c r="O714" s="227"/>
    </row>
    <row r="715">
      <c r="A715" s="2" t="s">
        <v>445</v>
      </c>
      <c r="B715" s="100">
        <v>44561.0</v>
      </c>
      <c r="C715" s="101">
        <v>0.3527777777777778</v>
      </c>
      <c r="H715" s="229"/>
      <c r="K715" s="2" t="s">
        <v>244</v>
      </c>
      <c r="L715" s="100">
        <v>44561.0</v>
      </c>
      <c r="M715" s="101">
        <v>0.44493055555555555</v>
      </c>
      <c r="O715" s="227"/>
    </row>
    <row r="716">
      <c r="A716" s="2" t="s">
        <v>2445</v>
      </c>
      <c r="B716" s="100">
        <v>44561.0</v>
      </c>
      <c r="C716" s="101">
        <v>0.3366898148148148</v>
      </c>
      <c r="H716" s="229"/>
      <c r="K716" s="2" t="s">
        <v>244</v>
      </c>
      <c r="L716" s="100">
        <v>44561.0</v>
      </c>
      <c r="M716" s="101">
        <v>0.44493055555555555</v>
      </c>
      <c r="O716" s="227"/>
    </row>
    <row r="717">
      <c r="A717" s="2" t="s">
        <v>441</v>
      </c>
      <c r="B717" s="100">
        <v>44561.0</v>
      </c>
      <c r="C717" s="101">
        <v>0.33644675925925926</v>
      </c>
      <c r="H717" s="229"/>
      <c r="K717" s="2" t="s">
        <v>244</v>
      </c>
      <c r="L717" s="100">
        <v>44561.0</v>
      </c>
      <c r="M717" s="101">
        <v>0.44493055555555555</v>
      </c>
      <c r="O717" s="227"/>
    </row>
    <row r="718">
      <c r="A718" s="2" t="s">
        <v>439</v>
      </c>
      <c r="B718" s="100">
        <v>44561.0</v>
      </c>
      <c r="C718" s="101">
        <v>0.32719907407407406</v>
      </c>
      <c r="H718" s="229"/>
      <c r="K718" s="2" t="s">
        <v>244</v>
      </c>
      <c r="L718" s="100">
        <v>44561.0</v>
      </c>
      <c r="M718" s="101">
        <v>0.44493055555555555</v>
      </c>
      <c r="O718" s="227"/>
    </row>
    <row r="719">
      <c r="A719" s="2" t="s">
        <v>435</v>
      </c>
      <c r="B719" s="100">
        <v>44561.0</v>
      </c>
      <c r="C719" s="101">
        <v>0.32125</v>
      </c>
      <c r="H719" s="229"/>
      <c r="K719" s="2" t="s">
        <v>244</v>
      </c>
      <c r="L719" s="100">
        <v>44561.0</v>
      </c>
      <c r="M719" s="101">
        <v>0.44493055555555555</v>
      </c>
      <c r="O719" s="229"/>
    </row>
    <row r="720">
      <c r="A720" s="2" t="s">
        <v>2446</v>
      </c>
      <c r="B720" s="100">
        <v>44561.0</v>
      </c>
      <c r="C720" s="101">
        <v>0.3167361111111111</v>
      </c>
      <c r="H720" s="229"/>
      <c r="K720" s="2" t="s">
        <v>244</v>
      </c>
      <c r="L720" s="100">
        <v>44561.0</v>
      </c>
      <c r="M720" s="101">
        <v>0.44493055555555555</v>
      </c>
      <c r="O720" s="227"/>
    </row>
    <row r="721">
      <c r="A721" s="2" t="s">
        <v>429</v>
      </c>
      <c r="B721" s="100">
        <v>44561.0</v>
      </c>
      <c r="C721" s="101">
        <v>0.3053240740740741</v>
      </c>
      <c r="H721" s="229"/>
      <c r="K721" s="2" t="s">
        <v>52</v>
      </c>
      <c r="L721" s="100">
        <v>44561.0</v>
      </c>
      <c r="M721" s="101">
        <v>0.44559027777777777</v>
      </c>
      <c r="O721" s="227"/>
    </row>
    <row r="722">
      <c r="A722" s="2" t="s">
        <v>427</v>
      </c>
      <c r="B722" s="100">
        <v>44559.0</v>
      </c>
      <c r="C722" s="101">
        <v>0.3974421296296296</v>
      </c>
      <c r="H722" s="229"/>
      <c r="K722" s="2" t="s">
        <v>244</v>
      </c>
      <c r="L722" s="100">
        <v>44559.0</v>
      </c>
      <c r="M722" s="101">
        <v>0.4366319444444444</v>
      </c>
      <c r="O722" s="227"/>
    </row>
    <row r="723">
      <c r="A723" s="2" t="s">
        <v>424</v>
      </c>
      <c r="B723" s="100">
        <v>44559.0</v>
      </c>
      <c r="C723" s="101">
        <v>0.3973263888888889</v>
      </c>
      <c r="H723" s="229"/>
      <c r="K723" s="2" t="s">
        <v>244</v>
      </c>
      <c r="L723" s="100">
        <v>44559.0</v>
      </c>
      <c r="M723" s="101">
        <v>0.4366319444444444</v>
      </c>
      <c r="O723" s="227"/>
    </row>
    <row r="724">
      <c r="A724" s="2" t="s">
        <v>422</v>
      </c>
      <c r="B724" s="100">
        <v>44559.0</v>
      </c>
      <c r="C724" s="101">
        <v>0.35658564814814814</v>
      </c>
      <c r="H724" s="229"/>
      <c r="K724" s="2" t="s">
        <v>244</v>
      </c>
      <c r="L724" s="100">
        <v>44559.0</v>
      </c>
      <c r="M724" s="101">
        <v>0.4366319444444444</v>
      </c>
      <c r="O724" s="227"/>
    </row>
    <row r="725">
      <c r="A725" s="2" t="s">
        <v>2447</v>
      </c>
      <c r="B725" s="100">
        <v>44559.0</v>
      </c>
      <c r="C725" s="101">
        <v>0.2964467592592593</v>
      </c>
      <c r="H725" s="229"/>
      <c r="K725" s="2" t="s">
        <v>244</v>
      </c>
      <c r="L725" s="100">
        <v>44559.0</v>
      </c>
      <c r="M725" s="101">
        <v>0.4366319444444444</v>
      </c>
      <c r="O725" s="227"/>
    </row>
    <row r="726">
      <c r="A726" s="2" t="s">
        <v>416</v>
      </c>
      <c r="B726" s="100">
        <v>44557.0</v>
      </c>
      <c r="C726" s="101">
        <v>0.4258796296296296</v>
      </c>
      <c r="H726" s="229"/>
      <c r="K726" s="2" t="s">
        <v>244</v>
      </c>
      <c r="L726" s="100">
        <v>44557.0</v>
      </c>
      <c r="M726" s="101">
        <v>0.4871064814814815</v>
      </c>
      <c r="O726" s="227"/>
    </row>
    <row r="727">
      <c r="A727" s="2" t="s">
        <v>414</v>
      </c>
      <c r="B727" s="100">
        <v>44557.0</v>
      </c>
      <c r="C727" s="101">
        <v>0.4255902777777778</v>
      </c>
      <c r="H727" s="229"/>
      <c r="K727" s="2" t="s">
        <v>244</v>
      </c>
      <c r="L727" s="100">
        <v>44557.0</v>
      </c>
      <c r="M727" s="101">
        <v>0.4871064814814815</v>
      </c>
      <c r="O727" s="227"/>
    </row>
    <row r="728">
      <c r="A728" s="2" t="s">
        <v>412</v>
      </c>
      <c r="B728" s="100">
        <v>44557.0</v>
      </c>
      <c r="C728" s="101">
        <v>0.3893287037037037</v>
      </c>
      <c r="H728" s="229"/>
      <c r="K728" s="2" t="s">
        <v>244</v>
      </c>
      <c r="L728" s="100">
        <v>44557.0</v>
      </c>
      <c r="M728" s="101">
        <v>0.4870949074074074</v>
      </c>
      <c r="O728" s="227"/>
    </row>
    <row r="729">
      <c r="A729" s="2" t="s">
        <v>408</v>
      </c>
      <c r="B729" s="100">
        <v>44557.0</v>
      </c>
      <c r="C729" s="101">
        <v>0.37775462962962963</v>
      </c>
      <c r="H729" s="229"/>
      <c r="K729" s="2" t="s">
        <v>244</v>
      </c>
      <c r="L729" s="100">
        <v>44557.0</v>
      </c>
      <c r="M729" s="101">
        <v>0.4870949074074074</v>
      </c>
      <c r="O729" s="227"/>
    </row>
    <row r="730">
      <c r="A730" s="2" t="s">
        <v>405</v>
      </c>
      <c r="B730" s="100">
        <v>44557.0</v>
      </c>
      <c r="C730" s="101">
        <v>0.36072916666666666</v>
      </c>
      <c r="H730" s="229"/>
      <c r="K730" s="2" t="s">
        <v>244</v>
      </c>
      <c r="L730" s="100">
        <v>44557.0</v>
      </c>
      <c r="M730" s="101">
        <v>0.4870949074074074</v>
      </c>
      <c r="O730" s="227"/>
    </row>
    <row r="731">
      <c r="A731" s="2" t="s">
        <v>2448</v>
      </c>
      <c r="B731" s="100">
        <v>44557.0</v>
      </c>
      <c r="C731" s="101">
        <v>0.35445601851851855</v>
      </c>
      <c r="H731" s="229"/>
      <c r="K731" s="2" t="s">
        <v>244</v>
      </c>
      <c r="L731" s="100">
        <v>44557.0</v>
      </c>
      <c r="M731" s="101">
        <v>0.4870949074074074</v>
      </c>
      <c r="O731" s="227"/>
    </row>
    <row r="732">
      <c r="A732" s="2" t="s">
        <v>401</v>
      </c>
      <c r="B732" s="100">
        <v>44557.0</v>
      </c>
      <c r="C732" s="101">
        <v>0.34118055555555554</v>
      </c>
      <c r="H732" s="229"/>
      <c r="K732" s="2" t="s">
        <v>244</v>
      </c>
      <c r="L732" s="100">
        <v>44557.0</v>
      </c>
      <c r="M732" s="101">
        <v>0.4870949074074074</v>
      </c>
      <c r="O732" s="227"/>
    </row>
    <row r="733">
      <c r="A733" s="2" t="s">
        <v>397</v>
      </c>
      <c r="B733" s="100">
        <v>44557.0</v>
      </c>
      <c r="C733" s="101">
        <v>0.34068287037037037</v>
      </c>
      <c r="H733" s="229"/>
      <c r="K733" s="2" t="s">
        <v>244</v>
      </c>
      <c r="L733" s="100">
        <v>44557.0</v>
      </c>
      <c r="M733" s="101">
        <v>0.4870949074074074</v>
      </c>
      <c r="O733" s="227"/>
    </row>
    <row r="734">
      <c r="A734" s="2" t="s">
        <v>2449</v>
      </c>
      <c r="B734" s="100">
        <v>44557.0</v>
      </c>
      <c r="C734" s="101">
        <v>0.3368865740740741</v>
      </c>
      <c r="H734" s="229"/>
      <c r="K734" s="2" t="s">
        <v>244</v>
      </c>
      <c r="L734" s="100">
        <v>44557.0</v>
      </c>
      <c r="M734" s="101">
        <v>0.4870949074074074</v>
      </c>
      <c r="O734" s="227"/>
    </row>
    <row r="735">
      <c r="A735" s="2" t="s">
        <v>393</v>
      </c>
      <c r="B735" s="100">
        <v>44557.0</v>
      </c>
      <c r="C735" s="101">
        <v>0.3337037037037037</v>
      </c>
      <c r="H735" s="229"/>
      <c r="K735" s="2" t="s">
        <v>244</v>
      </c>
      <c r="L735" s="100">
        <v>44557.0</v>
      </c>
      <c r="M735" s="101">
        <v>0.4870949074074074</v>
      </c>
      <c r="O735" s="227"/>
    </row>
    <row r="736">
      <c r="A736" s="2" t="s">
        <v>389</v>
      </c>
      <c r="B736" s="100">
        <v>44557.0</v>
      </c>
      <c r="C736" s="101">
        <v>0.32893518518518516</v>
      </c>
      <c r="H736" s="229"/>
      <c r="K736" s="2" t="s">
        <v>244</v>
      </c>
      <c r="L736" s="100">
        <v>44557.0</v>
      </c>
      <c r="M736" s="101">
        <v>0.4870949074074074</v>
      </c>
      <c r="O736" s="227"/>
    </row>
    <row r="737">
      <c r="A737" s="2" t="s">
        <v>387</v>
      </c>
      <c r="B737" s="100">
        <v>44557.0</v>
      </c>
      <c r="C737" s="101">
        <v>0.3275462962962963</v>
      </c>
      <c r="H737" s="229"/>
      <c r="K737" s="2" t="s">
        <v>244</v>
      </c>
      <c r="L737" s="100">
        <v>44557.0</v>
      </c>
      <c r="M737" s="101">
        <v>0.4870949074074074</v>
      </c>
      <c r="O737" s="227"/>
    </row>
    <row r="738">
      <c r="A738" s="2" t="s">
        <v>385</v>
      </c>
      <c r="B738" s="100">
        <v>44557.0</v>
      </c>
      <c r="C738" s="101">
        <v>0.31266203703703704</v>
      </c>
      <c r="H738" s="229"/>
      <c r="K738" s="2" t="s">
        <v>244</v>
      </c>
      <c r="L738" s="100">
        <v>44557.0</v>
      </c>
      <c r="M738" s="101">
        <v>0.4870949074074074</v>
      </c>
      <c r="O738" s="227"/>
    </row>
    <row r="739">
      <c r="A739" s="2" t="s">
        <v>383</v>
      </c>
      <c r="B739" s="100">
        <v>44557.0</v>
      </c>
      <c r="C739" s="101">
        <v>0.3123148148148148</v>
      </c>
      <c r="H739" s="229"/>
      <c r="K739" s="2" t="s">
        <v>244</v>
      </c>
      <c r="L739" s="100">
        <v>44557.0</v>
      </c>
      <c r="M739" s="101">
        <v>0.4870949074074074</v>
      </c>
      <c r="O739" s="227"/>
    </row>
    <row r="740">
      <c r="A740" s="2" t="s">
        <v>381</v>
      </c>
      <c r="B740" s="100">
        <v>44556.0</v>
      </c>
      <c r="C740" s="101">
        <v>0.6234837962962962</v>
      </c>
      <c r="H740" s="229"/>
      <c r="K740" s="2" t="s">
        <v>244</v>
      </c>
      <c r="L740" s="100">
        <v>44557.0</v>
      </c>
      <c r="M740" s="101">
        <v>0.4870949074074074</v>
      </c>
      <c r="O740" s="227"/>
    </row>
    <row r="741">
      <c r="A741" s="2" t="s">
        <v>2450</v>
      </c>
      <c r="B741" s="100">
        <v>44552.0</v>
      </c>
      <c r="C741" s="101">
        <v>0.3660185185185185</v>
      </c>
      <c r="H741" s="229"/>
      <c r="K741" s="2" t="s">
        <v>244</v>
      </c>
      <c r="L741" s="100">
        <v>44552.0</v>
      </c>
      <c r="M741" s="101">
        <v>0.4200462962962963</v>
      </c>
      <c r="O741" s="227"/>
    </row>
    <row r="742">
      <c r="A742" s="2" t="s">
        <v>2451</v>
      </c>
      <c r="B742" s="100">
        <v>44552.0</v>
      </c>
      <c r="C742" s="101">
        <v>0.35877314814814815</v>
      </c>
      <c r="H742" s="229"/>
      <c r="K742" s="2" t="s">
        <v>244</v>
      </c>
      <c r="L742" s="100">
        <v>44552.0</v>
      </c>
      <c r="M742" s="101">
        <v>0.4200462962962963</v>
      </c>
      <c r="O742" s="227"/>
    </row>
    <row r="743">
      <c r="A743" s="2" t="s">
        <v>2452</v>
      </c>
      <c r="B743" s="100">
        <v>44552.0</v>
      </c>
      <c r="C743" s="101">
        <v>0.34879629629629627</v>
      </c>
      <c r="H743" s="229"/>
      <c r="K743" s="2" t="s">
        <v>254</v>
      </c>
      <c r="O743" s="227"/>
    </row>
    <row r="744">
      <c r="A744" s="2" t="s">
        <v>371</v>
      </c>
      <c r="B744" s="100">
        <v>44551.0</v>
      </c>
      <c r="C744" s="101">
        <v>0.47054398148148147</v>
      </c>
      <c r="H744" s="229"/>
      <c r="K744" s="2" t="s">
        <v>244</v>
      </c>
      <c r="L744" s="100">
        <v>44552.0</v>
      </c>
      <c r="M744" s="101">
        <v>0.4200462962962963</v>
      </c>
      <c r="O744" s="227"/>
    </row>
    <row r="745">
      <c r="A745" s="2" t="s">
        <v>369</v>
      </c>
      <c r="B745" s="100">
        <v>44551.0</v>
      </c>
      <c r="C745" s="101">
        <v>0.18810185185185185</v>
      </c>
      <c r="H745" s="229"/>
      <c r="K745" s="2" t="s">
        <v>244</v>
      </c>
      <c r="L745" s="100">
        <v>44552.0</v>
      </c>
      <c r="M745" s="101">
        <v>0.4200462962962963</v>
      </c>
      <c r="O745" s="227"/>
    </row>
    <row r="746">
      <c r="A746" s="2" t="s">
        <v>361</v>
      </c>
      <c r="B746" s="100">
        <v>44550.0</v>
      </c>
      <c r="C746" s="101">
        <v>0.4465162037037037</v>
      </c>
      <c r="H746" s="229"/>
      <c r="K746" s="2" t="s">
        <v>244</v>
      </c>
      <c r="L746" s="100">
        <v>44550.0</v>
      </c>
      <c r="M746" s="101">
        <v>0.4883449074074074</v>
      </c>
      <c r="O746" s="227"/>
    </row>
    <row r="747">
      <c r="A747" s="2" t="s">
        <v>355</v>
      </c>
      <c r="B747" s="100">
        <v>44550.0</v>
      </c>
      <c r="C747" s="101">
        <v>0.4460648148148148</v>
      </c>
      <c r="H747" s="229"/>
      <c r="K747" s="2" t="s">
        <v>244</v>
      </c>
      <c r="L747" s="100">
        <v>44550.0</v>
      </c>
      <c r="M747" s="101">
        <v>0.4883449074074074</v>
      </c>
      <c r="O747" s="227"/>
    </row>
    <row r="748">
      <c r="A748" s="2" t="s">
        <v>367</v>
      </c>
      <c r="B748" s="100">
        <v>44550.0</v>
      </c>
      <c r="C748" s="101">
        <v>0.4363425925925926</v>
      </c>
      <c r="H748" s="229"/>
      <c r="K748" s="2" t="s">
        <v>244</v>
      </c>
      <c r="L748" s="100">
        <v>44550.0</v>
      </c>
      <c r="M748" s="101">
        <v>0.4883449074074074</v>
      </c>
      <c r="O748" s="227"/>
    </row>
    <row r="749">
      <c r="A749" s="2" t="s">
        <v>2453</v>
      </c>
      <c r="B749" s="100">
        <v>44550.0</v>
      </c>
      <c r="C749" s="101">
        <v>0.401875</v>
      </c>
      <c r="H749" s="229"/>
      <c r="K749" s="2" t="s">
        <v>254</v>
      </c>
      <c r="O749" s="227"/>
    </row>
    <row r="750">
      <c r="A750" s="2" t="s">
        <v>2454</v>
      </c>
      <c r="B750" s="100">
        <v>44550.0</v>
      </c>
      <c r="C750" s="101">
        <v>0.4013541666666667</v>
      </c>
      <c r="H750" s="229"/>
      <c r="K750" s="2" t="s">
        <v>254</v>
      </c>
      <c r="O750" s="227"/>
    </row>
    <row r="751">
      <c r="A751" s="2" t="s">
        <v>353</v>
      </c>
      <c r="B751" s="100">
        <v>44550.0</v>
      </c>
      <c r="C751" s="101">
        <v>0.3432986111111111</v>
      </c>
      <c r="H751" s="229"/>
      <c r="K751" s="2" t="s">
        <v>244</v>
      </c>
      <c r="L751" s="100">
        <v>44550.0</v>
      </c>
      <c r="M751" s="101">
        <v>0.4883449074074074</v>
      </c>
      <c r="O751" s="227"/>
    </row>
    <row r="752">
      <c r="A752" s="2" t="s">
        <v>351</v>
      </c>
      <c r="B752" s="100">
        <v>44550.0</v>
      </c>
      <c r="C752" s="101">
        <v>0.3403009259259259</v>
      </c>
      <c r="H752" s="229"/>
      <c r="K752" s="2" t="s">
        <v>254</v>
      </c>
      <c r="O752" s="227"/>
    </row>
    <row r="753">
      <c r="A753" s="2" t="s">
        <v>349</v>
      </c>
      <c r="B753" s="100">
        <v>44550.0</v>
      </c>
      <c r="C753" s="101">
        <v>0.33541666666666664</v>
      </c>
      <c r="H753" s="229"/>
      <c r="K753" s="2" t="s">
        <v>244</v>
      </c>
      <c r="L753" s="100">
        <v>44550.0</v>
      </c>
      <c r="M753" s="101">
        <v>0.4883449074074074</v>
      </c>
      <c r="O753" s="227"/>
    </row>
    <row r="754">
      <c r="A754" s="2" t="s">
        <v>347</v>
      </c>
      <c r="B754" s="100">
        <v>44550.0</v>
      </c>
      <c r="C754" s="101">
        <v>0.31734953703703705</v>
      </c>
      <c r="H754" s="229"/>
      <c r="K754" s="2" t="s">
        <v>244</v>
      </c>
      <c r="L754" s="100">
        <v>44550.0</v>
      </c>
      <c r="M754" s="101">
        <v>0.4883449074074074</v>
      </c>
      <c r="O754" s="227"/>
    </row>
    <row r="755">
      <c r="A755" s="2" t="s">
        <v>345</v>
      </c>
      <c r="B755" s="100">
        <v>44549.0</v>
      </c>
      <c r="C755" s="101">
        <v>0.8899537037037037</v>
      </c>
      <c r="H755" s="229"/>
      <c r="K755" s="2" t="s">
        <v>244</v>
      </c>
      <c r="L755" s="100">
        <v>44550.0</v>
      </c>
      <c r="M755" s="101">
        <v>0.4883449074074074</v>
      </c>
      <c r="O755" s="227"/>
    </row>
    <row r="756">
      <c r="A756" s="2" t="s">
        <v>2455</v>
      </c>
      <c r="B756" s="100">
        <v>44549.0</v>
      </c>
      <c r="C756" s="101">
        <v>0.37657407407407406</v>
      </c>
      <c r="H756" s="229"/>
      <c r="K756" s="2" t="s">
        <v>254</v>
      </c>
      <c r="O756" s="227"/>
    </row>
    <row r="757">
      <c r="A757" s="2" t="s">
        <v>341</v>
      </c>
      <c r="B757" s="100">
        <v>44549.0</v>
      </c>
      <c r="C757" s="101">
        <v>0.3750115740740741</v>
      </c>
      <c r="H757" s="229"/>
      <c r="K757" s="2" t="s">
        <v>254</v>
      </c>
      <c r="O757" s="227"/>
    </row>
    <row r="758">
      <c r="A758" s="2" t="s">
        <v>338</v>
      </c>
      <c r="B758" s="100">
        <v>44547.0</v>
      </c>
      <c r="C758" s="101">
        <v>0.4038310185185185</v>
      </c>
      <c r="H758" s="229"/>
      <c r="K758" s="2" t="s">
        <v>339</v>
      </c>
      <c r="L758" s="100">
        <v>44547.0</v>
      </c>
      <c r="M758" s="101">
        <v>0.4971759259259259</v>
      </c>
      <c r="O758" s="227"/>
    </row>
    <row r="759">
      <c r="A759" s="2" t="s">
        <v>2456</v>
      </c>
      <c r="B759" s="100">
        <v>44547.0</v>
      </c>
      <c r="C759" s="101">
        <v>0.4032291666666667</v>
      </c>
      <c r="H759" s="229"/>
      <c r="K759" s="2" t="s">
        <v>52</v>
      </c>
      <c r="L759" s="100">
        <v>44547.0</v>
      </c>
      <c r="M759" s="101">
        <v>0.5028472222222222</v>
      </c>
      <c r="O759" s="227"/>
    </row>
    <row r="760">
      <c r="A760" s="2" t="s">
        <v>335</v>
      </c>
      <c r="B760" s="100">
        <v>44547.0</v>
      </c>
      <c r="C760" s="101">
        <v>0.37118055555555557</v>
      </c>
      <c r="H760" s="229"/>
      <c r="K760" s="2" t="s">
        <v>244</v>
      </c>
      <c r="L760" s="100">
        <v>44547.0</v>
      </c>
      <c r="M760" s="101">
        <v>0.41434027777777777</v>
      </c>
      <c r="O760" s="227"/>
    </row>
    <row r="761">
      <c r="A761" s="2" t="s">
        <v>331</v>
      </c>
      <c r="B761" s="100">
        <v>44547.0</v>
      </c>
      <c r="C761" s="101">
        <v>0.3417824074074074</v>
      </c>
      <c r="H761" s="229"/>
      <c r="K761" s="2" t="s">
        <v>254</v>
      </c>
      <c r="O761" s="227"/>
    </row>
    <row r="762">
      <c r="A762" s="2" t="s">
        <v>321</v>
      </c>
      <c r="B762" s="100">
        <v>44545.0</v>
      </c>
      <c r="C762" s="101">
        <v>0.7007175925925926</v>
      </c>
      <c r="H762" s="229"/>
      <c r="K762" s="2" t="s">
        <v>244</v>
      </c>
      <c r="L762" s="100">
        <v>44545.0</v>
      </c>
      <c r="M762" s="101">
        <v>0.7641550925925926</v>
      </c>
      <c r="O762" s="227"/>
    </row>
    <row r="763">
      <c r="A763" s="2" t="s">
        <v>327</v>
      </c>
      <c r="B763" s="100">
        <v>44545.0</v>
      </c>
      <c r="C763" s="101">
        <v>0.6686805555555555</v>
      </c>
      <c r="H763" s="229"/>
      <c r="K763" s="2" t="s">
        <v>244</v>
      </c>
      <c r="L763" s="100">
        <v>44550.0</v>
      </c>
      <c r="M763" s="101">
        <v>0.4883449074074074</v>
      </c>
      <c r="O763" s="227"/>
    </row>
    <row r="764">
      <c r="A764" s="2" t="s">
        <v>2457</v>
      </c>
      <c r="B764" s="100">
        <v>44545.0</v>
      </c>
      <c r="C764" s="101">
        <v>0.6131944444444445</v>
      </c>
      <c r="H764" s="229"/>
      <c r="K764" s="2" t="s">
        <v>254</v>
      </c>
      <c r="O764" s="227"/>
    </row>
    <row r="765">
      <c r="A765" s="2" t="s">
        <v>317</v>
      </c>
      <c r="B765" s="100">
        <v>44545.0</v>
      </c>
      <c r="C765" s="101">
        <v>0.5862152777777778</v>
      </c>
      <c r="H765" s="229"/>
      <c r="K765" s="2" t="s">
        <v>244</v>
      </c>
      <c r="L765" s="100">
        <v>44545.0</v>
      </c>
      <c r="M765" s="101">
        <v>0.7641550925925926</v>
      </c>
      <c r="O765" s="227"/>
    </row>
    <row r="766">
      <c r="A766" s="2" t="s">
        <v>313</v>
      </c>
      <c r="B766" s="100">
        <v>44545.0</v>
      </c>
      <c r="C766" s="101">
        <v>0.5749768518518519</v>
      </c>
      <c r="H766" s="229"/>
      <c r="K766" s="2" t="s">
        <v>244</v>
      </c>
      <c r="L766" s="100">
        <v>44545.0</v>
      </c>
      <c r="M766" s="101">
        <v>0.7641550925925926</v>
      </c>
      <c r="O766" s="227"/>
    </row>
    <row r="767">
      <c r="A767" s="2" t="s">
        <v>309</v>
      </c>
      <c r="B767" s="100">
        <v>44543.0</v>
      </c>
      <c r="C767" s="101">
        <v>0.6040740740740741</v>
      </c>
      <c r="H767" s="229"/>
      <c r="K767" s="2" t="s">
        <v>244</v>
      </c>
      <c r="L767" s="100">
        <v>44543.0</v>
      </c>
      <c r="M767" s="101">
        <v>0.7849884259259259</v>
      </c>
      <c r="O767" s="227"/>
    </row>
    <row r="768">
      <c r="A768" s="2" t="s">
        <v>306</v>
      </c>
      <c r="B768" s="100">
        <v>44543.0</v>
      </c>
      <c r="C768" s="101">
        <v>0.5984027777777777</v>
      </c>
      <c r="H768" s="229"/>
      <c r="K768" s="2" t="s">
        <v>244</v>
      </c>
      <c r="L768" s="100">
        <v>44543.0</v>
      </c>
      <c r="M768" s="101">
        <v>0.7849884259259259</v>
      </c>
      <c r="O768" s="227"/>
    </row>
    <row r="769">
      <c r="A769" s="2" t="s">
        <v>302</v>
      </c>
      <c r="B769" s="100">
        <v>44543.0</v>
      </c>
      <c r="C769" s="101">
        <v>0.5967476851851852</v>
      </c>
      <c r="H769" s="229"/>
      <c r="K769" s="2" t="s">
        <v>244</v>
      </c>
      <c r="L769" s="100">
        <v>44543.0</v>
      </c>
      <c r="M769" s="101">
        <v>0.7849884259259259</v>
      </c>
      <c r="O769" s="227"/>
    </row>
    <row r="770">
      <c r="A770" s="2" t="s">
        <v>298</v>
      </c>
      <c r="B770" s="100">
        <v>44543.0</v>
      </c>
      <c r="C770" s="101">
        <v>0.5931712962962963</v>
      </c>
      <c r="H770" s="229"/>
      <c r="K770" s="2" t="s">
        <v>244</v>
      </c>
      <c r="L770" s="100">
        <v>44543.0</v>
      </c>
      <c r="M770" s="101">
        <v>0.7849884259259259</v>
      </c>
      <c r="O770" s="227"/>
    </row>
    <row r="771">
      <c r="A771" s="2" t="s">
        <v>294</v>
      </c>
      <c r="B771" s="100">
        <v>44543.0</v>
      </c>
      <c r="C771" s="101">
        <v>0.5630208333333333</v>
      </c>
      <c r="H771" s="229"/>
      <c r="K771" s="2" t="s">
        <v>244</v>
      </c>
      <c r="L771" s="100">
        <v>44543.0</v>
      </c>
      <c r="M771" s="101">
        <v>0.7849884259259259</v>
      </c>
      <c r="O771" s="227"/>
    </row>
    <row r="772">
      <c r="A772" s="2" t="s">
        <v>290</v>
      </c>
      <c r="B772" s="100">
        <v>44543.0</v>
      </c>
      <c r="C772" s="101">
        <v>0.5629166666666666</v>
      </c>
      <c r="H772" s="229"/>
      <c r="K772" s="2" t="s">
        <v>244</v>
      </c>
      <c r="L772" s="100">
        <v>44543.0</v>
      </c>
      <c r="M772" s="101">
        <v>0.7849884259259259</v>
      </c>
      <c r="O772" s="227"/>
    </row>
    <row r="773">
      <c r="A773" s="2" t="s">
        <v>286</v>
      </c>
      <c r="B773" s="100">
        <v>44543.0</v>
      </c>
      <c r="C773" s="101">
        <v>0.4924074074074074</v>
      </c>
      <c r="H773" s="229"/>
      <c r="K773" s="2" t="s">
        <v>244</v>
      </c>
      <c r="L773" s="100">
        <v>44543.0</v>
      </c>
      <c r="M773" s="101">
        <v>0.7849884259259259</v>
      </c>
      <c r="O773" s="227"/>
    </row>
    <row r="774">
      <c r="A774" s="2" t="s">
        <v>284</v>
      </c>
      <c r="B774" s="100">
        <v>44543.0</v>
      </c>
      <c r="C774" s="101">
        <v>0.49180555555555555</v>
      </c>
      <c r="H774" s="229"/>
      <c r="K774" s="2" t="s">
        <v>254</v>
      </c>
      <c r="O774" s="227"/>
    </row>
    <row r="775">
      <c r="A775" s="2" t="s">
        <v>282</v>
      </c>
      <c r="B775" s="100">
        <v>44540.0</v>
      </c>
      <c r="C775" s="101">
        <v>0.38046296296296295</v>
      </c>
      <c r="H775" s="229"/>
      <c r="K775" s="2" t="s">
        <v>254</v>
      </c>
      <c r="O775" s="227"/>
    </row>
    <row r="776">
      <c r="A776" s="2" t="s">
        <v>280</v>
      </c>
      <c r="B776" s="100">
        <v>44540.0</v>
      </c>
      <c r="C776" s="101">
        <v>0.3798726851851852</v>
      </c>
      <c r="H776" s="229"/>
      <c r="K776" s="2" t="s">
        <v>254</v>
      </c>
      <c r="O776" s="227"/>
    </row>
    <row r="777">
      <c r="A777" s="2" t="s">
        <v>278</v>
      </c>
      <c r="B777" s="100">
        <v>44540.0</v>
      </c>
      <c r="C777" s="101">
        <v>0.37935185185185183</v>
      </c>
      <c r="H777" s="229"/>
      <c r="K777" s="2" t="s">
        <v>254</v>
      </c>
      <c r="O777" s="227"/>
    </row>
    <row r="778">
      <c r="A778" s="2" t="s">
        <v>276</v>
      </c>
      <c r="B778" s="100">
        <v>44540.0</v>
      </c>
      <c r="C778" s="101">
        <v>0.37903935185185184</v>
      </c>
      <c r="H778" s="229"/>
      <c r="K778" s="2" t="s">
        <v>254</v>
      </c>
      <c r="O778" s="227"/>
    </row>
    <row r="779">
      <c r="A779" s="2" t="s">
        <v>272</v>
      </c>
      <c r="B779" s="100">
        <v>44540.0</v>
      </c>
      <c r="C779" s="101">
        <v>0.3112847222222222</v>
      </c>
      <c r="H779" s="229"/>
      <c r="K779" s="2" t="s">
        <v>244</v>
      </c>
      <c r="L779" s="100">
        <v>44543.0</v>
      </c>
      <c r="M779" s="101">
        <v>0.7857291666666667</v>
      </c>
      <c r="O779" s="227"/>
    </row>
    <row r="780">
      <c r="A780" s="2" t="s">
        <v>268</v>
      </c>
      <c r="B780" s="100">
        <v>44540.0</v>
      </c>
      <c r="C780" s="101">
        <v>0.30105324074074075</v>
      </c>
      <c r="H780" s="229"/>
      <c r="K780" s="2" t="s">
        <v>244</v>
      </c>
      <c r="L780" s="100">
        <v>44543.0</v>
      </c>
      <c r="M780" s="101">
        <v>0.7857291666666667</v>
      </c>
      <c r="O780" s="227"/>
    </row>
    <row r="781">
      <c r="A781" s="2" t="s">
        <v>264</v>
      </c>
      <c r="B781" s="100">
        <v>44540.0</v>
      </c>
      <c r="C781" s="101">
        <v>0.3005439814814815</v>
      </c>
      <c r="H781" s="229"/>
      <c r="K781" s="2" t="s">
        <v>244</v>
      </c>
      <c r="L781" s="100">
        <v>44543.0</v>
      </c>
      <c r="M781" s="101">
        <v>0.7857175925925926</v>
      </c>
      <c r="O781" s="227"/>
    </row>
    <row r="782">
      <c r="A782" s="2" t="s">
        <v>264</v>
      </c>
      <c r="B782" s="100">
        <v>44540.0</v>
      </c>
      <c r="C782" s="101">
        <v>0.3005439814814815</v>
      </c>
      <c r="H782" s="229"/>
      <c r="K782" s="2" t="s">
        <v>244</v>
      </c>
      <c r="L782" s="100">
        <v>44543.0</v>
      </c>
      <c r="M782" s="101">
        <v>0.7857175925925926</v>
      </c>
      <c r="O782" s="227"/>
    </row>
    <row r="783">
      <c r="A783" s="2" t="s">
        <v>260</v>
      </c>
      <c r="B783" s="100">
        <v>44540.0</v>
      </c>
      <c r="C783" s="101">
        <v>0.29800925925925925</v>
      </c>
      <c r="H783" s="229"/>
      <c r="K783" s="2" t="s">
        <v>244</v>
      </c>
      <c r="L783" s="100">
        <v>44543.0</v>
      </c>
      <c r="M783" s="101">
        <v>0.7857175925925926</v>
      </c>
      <c r="O783" s="227"/>
    </row>
    <row r="784">
      <c r="A784" s="2" t="s">
        <v>256</v>
      </c>
      <c r="B784" s="100">
        <v>44540.0</v>
      </c>
      <c r="C784" s="101">
        <v>0.2940162037037037</v>
      </c>
      <c r="H784" s="229"/>
      <c r="K784" s="2" t="s">
        <v>244</v>
      </c>
      <c r="L784" s="100">
        <v>44543.0</v>
      </c>
      <c r="M784" s="101">
        <v>0.7857175925925926</v>
      </c>
      <c r="O784" s="229"/>
    </row>
    <row r="785">
      <c r="A785" s="2" t="s">
        <v>253</v>
      </c>
      <c r="B785" s="100">
        <v>44537.0</v>
      </c>
      <c r="C785" s="101">
        <v>0.5915393518518518</v>
      </c>
      <c r="H785" s="229"/>
      <c r="K785" s="2" t="s">
        <v>254</v>
      </c>
      <c r="O785" s="227"/>
    </row>
    <row r="786">
      <c r="A786" s="2" t="s">
        <v>249</v>
      </c>
      <c r="B786" s="100">
        <v>44537.0</v>
      </c>
      <c r="C786" s="101">
        <v>0.5438425925925926</v>
      </c>
      <c r="H786" s="229"/>
      <c r="K786" s="2" t="s">
        <v>244</v>
      </c>
      <c r="L786" s="100">
        <v>44537.0</v>
      </c>
      <c r="M786" s="101">
        <v>0.5445601851851852</v>
      </c>
      <c r="O786" s="227"/>
    </row>
    <row r="787">
      <c r="A787" s="2" t="s">
        <v>243</v>
      </c>
      <c r="B787" s="100">
        <v>44537.0</v>
      </c>
      <c r="C787" s="101">
        <v>0.5433217592592593</v>
      </c>
      <c r="H787" s="229"/>
      <c r="K787" s="2" t="s">
        <v>244</v>
      </c>
      <c r="L787" s="100">
        <v>44537.0</v>
      </c>
      <c r="M787" s="101">
        <v>0.5445601851851852</v>
      </c>
      <c r="O787" s="22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6" max="6" width="18.25"/>
    <col customWidth="1" min="11" max="11" width="14.5"/>
    <col customWidth="1" min="15" max="15" width="39.75"/>
  </cols>
  <sheetData>
    <row r="1">
      <c r="A1" s="2" t="s">
        <v>2429</v>
      </c>
      <c r="C1" s="2" t="s">
        <v>2430</v>
      </c>
    </row>
    <row r="2">
      <c r="A2" s="58" t="s">
        <v>196</v>
      </c>
      <c r="B2" s="58" t="s">
        <v>156</v>
      </c>
      <c r="C2" s="58" t="s">
        <v>157</v>
      </c>
      <c r="D2" s="58" t="s">
        <v>159</v>
      </c>
      <c r="E2" s="58" t="s">
        <v>160</v>
      </c>
      <c r="F2" s="58" t="s">
        <v>2458</v>
      </c>
      <c r="G2" s="58" t="s">
        <v>204</v>
      </c>
      <c r="H2" s="58" t="s">
        <v>2431</v>
      </c>
      <c r="I2" s="58" t="s">
        <v>163</v>
      </c>
      <c r="J2" s="58" t="s">
        <v>164</v>
      </c>
      <c r="K2" s="58" t="s">
        <v>2459</v>
      </c>
      <c r="L2" s="58" t="s">
        <v>2460</v>
      </c>
      <c r="M2" s="58" t="s">
        <v>2461</v>
      </c>
      <c r="N2" s="58" t="s">
        <v>2432</v>
      </c>
      <c r="O2" s="58" t="s">
        <v>167</v>
      </c>
      <c r="P2" s="230"/>
      <c r="Q2" s="230"/>
      <c r="R2" s="230"/>
      <c r="S2" s="230"/>
      <c r="T2" s="230"/>
      <c r="U2" s="51"/>
      <c r="V2" s="51"/>
    </row>
    <row r="3">
      <c r="A3" s="2" t="s">
        <v>2181</v>
      </c>
      <c r="B3" s="100">
        <v>44692.0</v>
      </c>
      <c r="C3" s="101">
        <v>0.34565972222222224</v>
      </c>
      <c r="G3" s="2" t="s">
        <v>2184</v>
      </c>
      <c r="H3" s="2" t="s">
        <v>244</v>
      </c>
      <c r="I3" s="100">
        <v>44692.0</v>
      </c>
      <c r="J3" s="101">
        <v>0.5025231481481481</v>
      </c>
      <c r="K3" s="2">
        <v>1.0</v>
      </c>
      <c r="L3" s="2" t="b">
        <v>1</v>
      </c>
      <c r="M3" s="2" t="s">
        <v>2462</v>
      </c>
      <c r="N3" s="2" t="s">
        <v>247</v>
      </c>
      <c r="P3" s="153"/>
    </row>
    <row r="4">
      <c r="A4" s="2" t="s">
        <v>2179</v>
      </c>
      <c r="B4" s="100">
        <v>44692.0</v>
      </c>
      <c r="C4" s="101">
        <v>0.3093634259259259</v>
      </c>
      <c r="G4" s="2" t="s">
        <v>2184</v>
      </c>
      <c r="H4" s="2" t="s">
        <v>244</v>
      </c>
      <c r="I4" s="100">
        <v>44692.0</v>
      </c>
      <c r="J4" s="101">
        <v>0.5025231481481481</v>
      </c>
      <c r="K4" s="2">
        <v>1.0</v>
      </c>
      <c r="L4" s="2" t="b">
        <v>1</v>
      </c>
      <c r="M4" s="2" t="s">
        <v>2462</v>
      </c>
      <c r="N4" s="2" t="s">
        <v>247</v>
      </c>
    </row>
    <row r="5">
      <c r="A5" s="2" t="s">
        <v>2177</v>
      </c>
      <c r="B5" s="100">
        <v>44692.0</v>
      </c>
      <c r="C5" s="101">
        <v>0.30903935185185183</v>
      </c>
      <c r="G5" s="2" t="s">
        <v>2184</v>
      </c>
      <c r="H5" s="2" t="s">
        <v>244</v>
      </c>
      <c r="I5" s="100">
        <v>44692.0</v>
      </c>
      <c r="J5" s="101">
        <v>0.5025231481481481</v>
      </c>
      <c r="K5" s="2">
        <v>1.0</v>
      </c>
      <c r="L5" s="2" t="b">
        <v>1</v>
      </c>
      <c r="M5" s="2" t="s">
        <v>2462</v>
      </c>
      <c r="N5" s="2" t="s">
        <v>247</v>
      </c>
    </row>
    <row r="6">
      <c r="A6" s="2" t="s">
        <v>2175</v>
      </c>
      <c r="B6" s="100">
        <v>44692.0</v>
      </c>
      <c r="C6" s="101">
        <v>0.30863425925925925</v>
      </c>
      <c r="G6" s="2" t="s">
        <v>2184</v>
      </c>
      <c r="H6" s="2" t="s">
        <v>244</v>
      </c>
      <c r="I6" s="100">
        <v>44692.0</v>
      </c>
      <c r="J6" s="101">
        <v>0.5025231481481481</v>
      </c>
      <c r="K6" s="2">
        <v>1.0</v>
      </c>
      <c r="L6" s="2" t="b">
        <v>1</v>
      </c>
      <c r="M6" s="2" t="s">
        <v>2462</v>
      </c>
      <c r="N6" s="2" t="s">
        <v>247</v>
      </c>
    </row>
    <row r="7">
      <c r="A7" s="2" t="s">
        <v>2174</v>
      </c>
      <c r="B7" s="100">
        <v>44692.0</v>
      </c>
      <c r="C7" s="101">
        <v>0.29189814814814813</v>
      </c>
      <c r="G7" s="2" t="s">
        <v>2184</v>
      </c>
      <c r="H7" s="2" t="s">
        <v>244</v>
      </c>
      <c r="I7" s="100">
        <v>44692.0</v>
      </c>
      <c r="J7" s="101">
        <v>0.5025231481481481</v>
      </c>
      <c r="K7" s="2">
        <v>1.0</v>
      </c>
      <c r="L7" s="2" t="b">
        <v>1</v>
      </c>
      <c r="M7" s="2" t="s">
        <v>2462</v>
      </c>
      <c r="N7" s="2" t="s">
        <v>247</v>
      </c>
    </row>
    <row r="8">
      <c r="A8" s="2" t="s">
        <v>2172</v>
      </c>
      <c r="B8" s="100">
        <v>44692.0</v>
      </c>
      <c r="C8" s="101">
        <v>0.2888541666666667</v>
      </c>
      <c r="G8" s="2" t="s">
        <v>2184</v>
      </c>
      <c r="H8" s="2" t="s">
        <v>244</v>
      </c>
      <c r="I8" s="100">
        <v>44692.0</v>
      </c>
      <c r="J8" s="101">
        <v>0.5025231481481481</v>
      </c>
      <c r="K8" s="2">
        <v>1.0</v>
      </c>
      <c r="L8" s="2" t="b">
        <v>1</v>
      </c>
      <c r="M8" s="2" t="s">
        <v>2462</v>
      </c>
      <c r="N8" s="2" t="s">
        <v>247</v>
      </c>
    </row>
    <row r="9">
      <c r="A9" s="2" t="s">
        <v>2170</v>
      </c>
      <c r="B9" s="100">
        <v>44692.0</v>
      </c>
      <c r="C9" s="101">
        <v>0.2788773148148148</v>
      </c>
      <c r="G9" s="2" t="s">
        <v>2184</v>
      </c>
      <c r="H9" s="2" t="s">
        <v>244</v>
      </c>
      <c r="I9" s="100">
        <v>44692.0</v>
      </c>
      <c r="J9" s="101">
        <v>0.5025231481481481</v>
      </c>
      <c r="K9" s="2">
        <v>1.0</v>
      </c>
      <c r="L9" s="2" t="b">
        <v>1</v>
      </c>
      <c r="M9" s="2" t="s">
        <v>2462</v>
      </c>
      <c r="N9" s="2" t="s">
        <v>247</v>
      </c>
    </row>
    <row r="10">
      <c r="A10" s="2" t="s">
        <v>2168</v>
      </c>
      <c r="B10" s="100">
        <v>44692.0</v>
      </c>
      <c r="C10" s="101">
        <v>0.2784259259259259</v>
      </c>
      <c r="G10" s="2" t="s">
        <v>2184</v>
      </c>
      <c r="H10" s="2" t="s">
        <v>244</v>
      </c>
      <c r="I10" s="100">
        <v>44692.0</v>
      </c>
      <c r="J10" s="101">
        <v>0.5025115740740741</v>
      </c>
      <c r="K10" s="2">
        <v>1.0</v>
      </c>
      <c r="L10" s="2" t="b">
        <v>1</v>
      </c>
      <c r="M10" s="2" t="s">
        <v>2462</v>
      </c>
      <c r="N10" s="2" t="s">
        <v>247</v>
      </c>
    </row>
    <row r="11">
      <c r="A11" s="2" t="s">
        <v>2166</v>
      </c>
      <c r="B11" s="100">
        <v>44692.0</v>
      </c>
      <c r="C11" s="101">
        <v>0.2778703703703704</v>
      </c>
      <c r="G11" s="2" t="s">
        <v>2184</v>
      </c>
      <c r="H11" s="2" t="s">
        <v>244</v>
      </c>
      <c r="I11" s="100">
        <v>44692.0</v>
      </c>
      <c r="J11" s="101">
        <v>0.5025115740740741</v>
      </c>
      <c r="K11" s="2">
        <v>1.0</v>
      </c>
      <c r="L11" s="2" t="b">
        <v>1</v>
      </c>
      <c r="M11" s="2" t="s">
        <v>2462</v>
      </c>
      <c r="N11" s="2" t="s">
        <v>247</v>
      </c>
    </row>
    <row r="12">
      <c r="A12" s="2" t="s">
        <v>2164</v>
      </c>
      <c r="B12" s="100">
        <v>44665.0</v>
      </c>
      <c r="C12" s="101">
        <v>0.32200231481481484</v>
      </c>
      <c r="G12" s="2" t="s">
        <v>2184</v>
      </c>
      <c r="H12" s="2" t="s">
        <v>244</v>
      </c>
      <c r="I12" s="100">
        <v>44665.0</v>
      </c>
      <c r="J12" s="101">
        <v>0.36649305555555556</v>
      </c>
      <c r="K12" s="2">
        <v>1.0</v>
      </c>
      <c r="L12" s="2" t="b">
        <v>1</v>
      </c>
      <c r="M12" s="2" t="s">
        <v>2463</v>
      </c>
      <c r="N12" s="2" t="s">
        <v>247</v>
      </c>
    </row>
    <row r="13">
      <c r="A13" s="2" t="s">
        <v>2162</v>
      </c>
      <c r="B13" s="100">
        <v>44657.0</v>
      </c>
      <c r="C13" s="101">
        <v>0.3511458333333333</v>
      </c>
      <c r="G13" s="2" t="s">
        <v>2188</v>
      </c>
      <c r="H13" s="2" t="s">
        <v>254</v>
      </c>
      <c r="I13" s="100">
        <v>44861.0</v>
      </c>
      <c r="J13" s="101">
        <v>0.4895023148148148</v>
      </c>
      <c r="K13" s="2">
        <v>1.0</v>
      </c>
      <c r="N13" s="2" t="s">
        <v>247</v>
      </c>
    </row>
    <row r="14">
      <c r="A14" s="2" t="s">
        <v>2160</v>
      </c>
      <c r="B14" s="100">
        <v>44637.0</v>
      </c>
      <c r="C14" s="101">
        <v>0.2895949074074074</v>
      </c>
      <c r="G14" s="2" t="s">
        <v>2188</v>
      </c>
      <c r="H14" s="2" t="s">
        <v>254</v>
      </c>
      <c r="I14" s="100">
        <v>44861.0</v>
      </c>
      <c r="J14" s="101">
        <v>0.4895023148148148</v>
      </c>
      <c r="K14" s="2">
        <v>1.0</v>
      </c>
      <c r="N14" s="2" t="s">
        <v>247</v>
      </c>
    </row>
    <row r="15">
      <c r="A15" s="2" t="s">
        <v>2158</v>
      </c>
      <c r="B15" s="100">
        <v>44635.0</v>
      </c>
      <c r="C15" s="101">
        <v>0.29900462962962965</v>
      </c>
      <c r="G15" s="2" t="s">
        <v>2188</v>
      </c>
      <c r="H15" s="2" t="s">
        <v>254</v>
      </c>
      <c r="I15" s="100">
        <v>44861.0</v>
      </c>
      <c r="J15" s="101">
        <v>0.4895023148148148</v>
      </c>
      <c r="K15" s="2">
        <v>1.0</v>
      </c>
      <c r="N15" s="2" t="s">
        <v>247</v>
      </c>
    </row>
    <row r="16">
      <c r="A16" s="2" t="s">
        <v>2156</v>
      </c>
      <c r="B16" s="100">
        <v>44633.0</v>
      </c>
      <c r="C16" s="101">
        <v>0.3531712962962963</v>
      </c>
      <c r="G16" s="2" t="s">
        <v>2188</v>
      </c>
      <c r="H16" s="2" t="s">
        <v>254</v>
      </c>
      <c r="I16" s="100">
        <v>44861.0</v>
      </c>
      <c r="J16" s="101">
        <v>0.4895023148148148</v>
      </c>
      <c r="K16" s="2">
        <v>1.0</v>
      </c>
      <c r="N16" s="2" t="s">
        <v>247</v>
      </c>
    </row>
    <row r="17">
      <c r="A17" s="2" t="s">
        <v>2154</v>
      </c>
      <c r="B17" s="100">
        <v>44633.0</v>
      </c>
      <c r="C17" s="101">
        <v>0.3360416666666667</v>
      </c>
      <c r="G17" s="2" t="s">
        <v>2188</v>
      </c>
      <c r="H17" s="2" t="s">
        <v>254</v>
      </c>
      <c r="I17" s="100">
        <v>44861.0</v>
      </c>
      <c r="J17" s="101">
        <v>0.4895023148148148</v>
      </c>
      <c r="K17" s="2">
        <v>0.0</v>
      </c>
      <c r="N17" s="2" t="s">
        <v>247</v>
      </c>
    </row>
    <row r="18">
      <c r="A18" s="2" t="s">
        <v>2152</v>
      </c>
      <c r="B18" s="100">
        <v>44633.0</v>
      </c>
      <c r="C18" s="101">
        <v>0.29672453703703705</v>
      </c>
      <c r="G18" s="2" t="s">
        <v>2188</v>
      </c>
      <c r="H18" s="2" t="s">
        <v>254</v>
      </c>
      <c r="I18" s="100">
        <v>44861.0</v>
      </c>
      <c r="J18" s="101">
        <v>0.4895023148148148</v>
      </c>
      <c r="K18" s="2">
        <v>1.0</v>
      </c>
      <c r="N18" s="2" t="s">
        <v>247</v>
      </c>
    </row>
    <row r="19">
      <c r="A19" s="2" t="s">
        <v>2150</v>
      </c>
      <c r="B19" s="100">
        <v>44632.0</v>
      </c>
      <c r="C19" s="101">
        <v>0.32890046296296294</v>
      </c>
      <c r="G19" s="2" t="s">
        <v>2188</v>
      </c>
      <c r="H19" s="2" t="s">
        <v>254</v>
      </c>
      <c r="I19" s="100">
        <v>44861.0</v>
      </c>
      <c r="J19" s="101">
        <v>0.4895023148148148</v>
      </c>
      <c r="K19" s="2">
        <v>1.0</v>
      </c>
      <c r="N19" s="2" t="s">
        <v>247</v>
      </c>
    </row>
    <row r="20">
      <c r="A20" s="2" t="s">
        <v>2148</v>
      </c>
      <c r="B20" s="100">
        <v>44631.0</v>
      </c>
      <c r="C20" s="101">
        <v>0.4051388888888889</v>
      </c>
      <c r="G20" s="2" t="s">
        <v>2184</v>
      </c>
      <c r="H20" s="2" t="s">
        <v>244</v>
      </c>
      <c r="I20" s="100">
        <v>44631.0</v>
      </c>
      <c r="J20" s="101">
        <v>0.486099537037037</v>
      </c>
      <c r="K20" s="2">
        <v>1.0</v>
      </c>
      <c r="L20" s="2" t="b">
        <v>1</v>
      </c>
      <c r="M20" s="2" t="s">
        <v>2464</v>
      </c>
      <c r="N20" s="2" t="s">
        <v>247</v>
      </c>
    </row>
    <row r="21">
      <c r="A21" s="2" t="s">
        <v>2146</v>
      </c>
      <c r="B21" s="100">
        <v>44631.0</v>
      </c>
      <c r="C21" s="101">
        <v>0.39895833333333336</v>
      </c>
      <c r="G21" s="2" t="s">
        <v>2184</v>
      </c>
      <c r="H21" s="2" t="s">
        <v>244</v>
      </c>
      <c r="I21" s="100">
        <v>44631.0</v>
      </c>
      <c r="J21" s="101">
        <v>0.486099537037037</v>
      </c>
      <c r="K21" s="2">
        <v>0.0</v>
      </c>
      <c r="L21" s="2" t="b">
        <v>1</v>
      </c>
      <c r="M21" s="2" t="s">
        <v>2464</v>
      </c>
      <c r="N21" s="2" t="s">
        <v>247</v>
      </c>
    </row>
    <row r="22">
      <c r="A22" s="2" t="s">
        <v>2144</v>
      </c>
      <c r="B22" s="100">
        <v>44631.0</v>
      </c>
      <c r="C22" s="101">
        <v>0.34501157407407407</v>
      </c>
      <c r="G22" s="2" t="s">
        <v>2184</v>
      </c>
      <c r="H22" s="2" t="s">
        <v>244</v>
      </c>
      <c r="I22" s="100">
        <v>44631.0</v>
      </c>
      <c r="J22" s="101">
        <v>0.486099537037037</v>
      </c>
      <c r="K22" s="2">
        <v>1.0</v>
      </c>
      <c r="L22" s="2" t="b">
        <v>1</v>
      </c>
      <c r="M22" s="2" t="s">
        <v>2464</v>
      </c>
      <c r="N22" s="2" t="s">
        <v>247</v>
      </c>
    </row>
    <row r="23">
      <c r="A23" s="2" t="s">
        <v>2142</v>
      </c>
      <c r="B23" s="100">
        <v>44631.0</v>
      </c>
      <c r="C23" s="101">
        <v>0.34293981481481484</v>
      </c>
      <c r="G23" s="2" t="s">
        <v>2184</v>
      </c>
      <c r="H23" s="2" t="s">
        <v>244</v>
      </c>
      <c r="I23" s="100">
        <v>44631.0</v>
      </c>
      <c r="J23" s="101">
        <v>0.486099537037037</v>
      </c>
      <c r="K23" s="2">
        <v>1.0</v>
      </c>
      <c r="L23" s="2" t="b">
        <v>1</v>
      </c>
      <c r="M23" s="2" t="s">
        <v>2464</v>
      </c>
      <c r="N23" s="2" t="s">
        <v>247</v>
      </c>
    </row>
    <row r="24">
      <c r="A24" s="2" t="s">
        <v>2140</v>
      </c>
      <c r="B24" s="100">
        <v>44631.0</v>
      </c>
      <c r="C24" s="101">
        <v>0.34096064814814814</v>
      </c>
      <c r="G24" s="2" t="s">
        <v>2184</v>
      </c>
      <c r="H24" s="2" t="s">
        <v>244</v>
      </c>
      <c r="I24" s="100">
        <v>44631.0</v>
      </c>
      <c r="J24" s="101">
        <v>0.486099537037037</v>
      </c>
      <c r="K24" s="2">
        <v>1.0</v>
      </c>
      <c r="L24" s="2" t="b">
        <v>1</v>
      </c>
      <c r="M24" s="2" t="s">
        <v>2464</v>
      </c>
      <c r="N24" s="2" t="s">
        <v>247</v>
      </c>
    </row>
    <row r="25">
      <c r="A25" s="2" t="s">
        <v>2138</v>
      </c>
      <c r="B25" s="100">
        <v>44631.0</v>
      </c>
      <c r="C25" s="101">
        <v>0.340625</v>
      </c>
      <c r="G25" s="2" t="s">
        <v>2184</v>
      </c>
      <c r="H25" s="2" t="s">
        <v>244</v>
      </c>
      <c r="I25" s="100">
        <v>44631.0</v>
      </c>
      <c r="J25" s="101">
        <v>0.486099537037037</v>
      </c>
      <c r="K25" s="2">
        <v>1.0</v>
      </c>
      <c r="L25" s="2" t="b">
        <v>1</v>
      </c>
      <c r="M25" s="2" t="s">
        <v>2464</v>
      </c>
      <c r="N25" s="2" t="s">
        <v>247</v>
      </c>
    </row>
    <row r="26">
      <c r="A26" s="2" t="s">
        <v>2136</v>
      </c>
      <c r="B26" s="100">
        <v>44631.0</v>
      </c>
      <c r="C26" s="101">
        <v>0.3362962962962963</v>
      </c>
      <c r="G26" s="2" t="s">
        <v>2184</v>
      </c>
      <c r="H26" s="2" t="s">
        <v>244</v>
      </c>
      <c r="I26" s="100">
        <v>44631.0</v>
      </c>
      <c r="J26" s="101">
        <v>0.486099537037037</v>
      </c>
      <c r="K26" s="2">
        <v>1.0</v>
      </c>
      <c r="L26" s="2" t="b">
        <v>1</v>
      </c>
      <c r="M26" s="2" t="s">
        <v>2464</v>
      </c>
      <c r="N26" s="2" t="s">
        <v>247</v>
      </c>
    </row>
    <row r="27">
      <c r="A27" s="2" t="s">
        <v>2134</v>
      </c>
      <c r="B27" s="100">
        <v>44631.0</v>
      </c>
      <c r="C27" s="101">
        <v>0.3314236111111111</v>
      </c>
      <c r="G27" s="2" t="s">
        <v>2184</v>
      </c>
      <c r="H27" s="2" t="s">
        <v>244</v>
      </c>
      <c r="I27" s="100">
        <v>44631.0</v>
      </c>
      <c r="J27" s="101">
        <v>0.486099537037037</v>
      </c>
      <c r="K27" s="2">
        <v>1.0</v>
      </c>
      <c r="L27" s="2" t="b">
        <v>1</v>
      </c>
      <c r="M27" s="2" t="s">
        <v>2464</v>
      </c>
      <c r="N27" s="2" t="s">
        <v>247</v>
      </c>
    </row>
    <row r="28">
      <c r="A28" s="2" t="s">
        <v>2132</v>
      </c>
      <c r="B28" s="100">
        <v>44631.0</v>
      </c>
      <c r="C28" s="101">
        <v>0.3299884259259259</v>
      </c>
      <c r="G28" s="2" t="s">
        <v>2184</v>
      </c>
      <c r="H28" s="2" t="s">
        <v>244</v>
      </c>
      <c r="I28" s="100">
        <v>44631.0</v>
      </c>
      <c r="J28" s="101">
        <v>0.486099537037037</v>
      </c>
      <c r="K28" s="2">
        <v>1.0</v>
      </c>
      <c r="L28" s="2" t="b">
        <v>1</v>
      </c>
      <c r="M28" s="2" t="s">
        <v>2464</v>
      </c>
      <c r="N28" s="2" t="s">
        <v>247</v>
      </c>
    </row>
    <row r="29">
      <c r="A29" s="2" t="s">
        <v>2130</v>
      </c>
      <c r="B29" s="100">
        <v>44631.0</v>
      </c>
      <c r="C29" s="101">
        <v>0.32710648148148147</v>
      </c>
      <c r="G29" s="2" t="s">
        <v>2184</v>
      </c>
      <c r="H29" s="2" t="s">
        <v>244</v>
      </c>
      <c r="I29" s="100">
        <v>44631.0</v>
      </c>
      <c r="J29" s="101">
        <v>0.486099537037037</v>
      </c>
      <c r="K29" s="2">
        <v>1.0</v>
      </c>
      <c r="L29" s="2" t="b">
        <v>1</v>
      </c>
      <c r="M29" s="2" t="s">
        <v>2464</v>
      </c>
      <c r="N29" s="2" t="s">
        <v>247</v>
      </c>
    </row>
    <row r="30">
      <c r="A30" s="2" t="s">
        <v>2128</v>
      </c>
      <c r="B30" s="100">
        <v>44631.0</v>
      </c>
      <c r="C30" s="101">
        <v>0.32407407407407407</v>
      </c>
      <c r="G30" s="2" t="s">
        <v>2184</v>
      </c>
      <c r="H30" s="2" t="s">
        <v>244</v>
      </c>
      <c r="I30" s="100">
        <v>44631.0</v>
      </c>
      <c r="J30" s="101">
        <v>0.486099537037037</v>
      </c>
      <c r="K30" s="2">
        <v>0.0</v>
      </c>
      <c r="L30" s="2" t="b">
        <v>1</v>
      </c>
      <c r="M30" s="2" t="s">
        <v>2464</v>
      </c>
      <c r="N30" s="2" t="s">
        <v>247</v>
      </c>
    </row>
    <row r="31">
      <c r="A31" s="2" t="s">
        <v>2126</v>
      </c>
      <c r="B31" s="100">
        <v>44631.0</v>
      </c>
      <c r="C31" s="101">
        <v>0.32358796296296294</v>
      </c>
      <c r="G31" s="2" t="s">
        <v>2184</v>
      </c>
      <c r="H31" s="2" t="s">
        <v>244</v>
      </c>
      <c r="I31" s="100">
        <v>44631.0</v>
      </c>
      <c r="J31" s="101">
        <v>0.48608796296296297</v>
      </c>
      <c r="K31" s="2">
        <v>1.0</v>
      </c>
      <c r="L31" s="2" t="b">
        <v>1</v>
      </c>
      <c r="M31" s="2" t="s">
        <v>2464</v>
      </c>
      <c r="N31" s="2" t="s">
        <v>247</v>
      </c>
    </row>
    <row r="32">
      <c r="A32" s="2" t="s">
        <v>2124</v>
      </c>
      <c r="B32" s="100">
        <v>44631.0</v>
      </c>
      <c r="C32" s="101">
        <v>0.3235763888888889</v>
      </c>
      <c r="G32" s="2" t="s">
        <v>2184</v>
      </c>
      <c r="H32" s="2" t="s">
        <v>244</v>
      </c>
      <c r="I32" s="100">
        <v>44631.0</v>
      </c>
      <c r="J32" s="101">
        <v>0.48608796296296297</v>
      </c>
      <c r="K32" s="2">
        <v>1.0</v>
      </c>
      <c r="L32" s="2" t="b">
        <v>1</v>
      </c>
      <c r="M32" s="2" t="s">
        <v>2464</v>
      </c>
      <c r="N32" s="2" t="s">
        <v>247</v>
      </c>
    </row>
    <row r="33">
      <c r="A33" s="2" t="s">
        <v>2122</v>
      </c>
      <c r="B33" s="100">
        <v>44631.0</v>
      </c>
      <c r="C33" s="101">
        <v>0.31730324074074073</v>
      </c>
      <c r="G33" s="2" t="s">
        <v>2184</v>
      </c>
      <c r="H33" s="2" t="s">
        <v>244</v>
      </c>
      <c r="I33" s="100">
        <v>44631.0</v>
      </c>
      <c r="J33" s="101">
        <v>0.48608796296296297</v>
      </c>
      <c r="K33" s="2">
        <v>1.0</v>
      </c>
      <c r="L33" s="2" t="b">
        <v>1</v>
      </c>
      <c r="M33" s="2" t="s">
        <v>2464</v>
      </c>
      <c r="N33" s="2" t="s">
        <v>247</v>
      </c>
    </row>
    <row r="34">
      <c r="A34" s="2" t="s">
        <v>2120</v>
      </c>
      <c r="B34" s="100">
        <v>44631.0</v>
      </c>
      <c r="C34" s="101">
        <v>0.30917824074074074</v>
      </c>
      <c r="G34" s="2" t="s">
        <v>2184</v>
      </c>
      <c r="H34" s="2" t="s">
        <v>244</v>
      </c>
      <c r="I34" s="100">
        <v>44631.0</v>
      </c>
      <c r="J34" s="101">
        <v>0.48608796296296297</v>
      </c>
      <c r="K34" s="2">
        <v>1.0</v>
      </c>
      <c r="L34" s="2" t="b">
        <v>1</v>
      </c>
      <c r="M34" s="2" t="s">
        <v>2464</v>
      </c>
      <c r="N34" s="2" t="s">
        <v>247</v>
      </c>
    </row>
    <row r="35">
      <c r="A35" s="2" t="s">
        <v>2118</v>
      </c>
      <c r="B35" s="100">
        <v>44631.0</v>
      </c>
      <c r="C35" s="101">
        <v>0.3084953703703704</v>
      </c>
      <c r="G35" s="2" t="s">
        <v>2184</v>
      </c>
      <c r="H35" s="2" t="s">
        <v>244</v>
      </c>
      <c r="I35" s="100">
        <v>44631.0</v>
      </c>
      <c r="J35" s="101">
        <v>0.48608796296296297</v>
      </c>
      <c r="K35" s="2">
        <v>1.0</v>
      </c>
      <c r="L35" s="2" t="b">
        <v>1</v>
      </c>
      <c r="M35" s="2" t="s">
        <v>2464</v>
      </c>
      <c r="N35" s="2" t="s">
        <v>247</v>
      </c>
    </row>
    <row r="36">
      <c r="A36" s="2" t="s">
        <v>2115</v>
      </c>
      <c r="B36" s="100">
        <v>44631.0</v>
      </c>
      <c r="C36" s="101">
        <v>0.30668981481481483</v>
      </c>
      <c r="G36" s="2" t="s">
        <v>2184</v>
      </c>
      <c r="H36" s="2" t="s">
        <v>244</v>
      </c>
      <c r="I36" s="100">
        <v>44631.0</v>
      </c>
      <c r="J36" s="101">
        <v>0.48608796296296297</v>
      </c>
      <c r="K36" s="2">
        <v>1.0</v>
      </c>
      <c r="L36" s="2" t="b">
        <v>1</v>
      </c>
      <c r="M36" s="2" t="s">
        <v>2464</v>
      </c>
      <c r="N36" s="2" t="s">
        <v>247</v>
      </c>
    </row>
    <row r="37">
      <c r="A37" s="2" t="s">
        <v>2113</v>
      </c>
      <c r="B37" s="100">
        <v>44631.0</v>
      </c>
      <c r="C37" s="101">
        <v>0.30644675925925924</v>
      </c>
      <c r="G37" s="2" t="s">
        <v>2184</v>
      </c>
      <c r="H37" s="2" t="s">
        <v>244</v>
      </c>
      <c r="I37" s="100">
        <v>44631.0</v>
      </c>
      <c r="J37" s="101">
        <v>0.48608796296296297</v>
      </c>
      <c r="K37" s="2">
        <v>1.0</v>
      </c>
      <c r="L37" s="2" t="b">
        <v>1</v>
      </c>
      <c r="M37" s="2" t="s">
        <v>2464</v>
      </c>
      <c r="N37" s="2" t="s">
        <v>247</v>
      </c>
    </row>
    <row r="38">
      <c r="A38" s="2" t="s">
        <v>2111</v>
      </c>
      <c r="B38" s="100">
        <v>44631.0</v>
      </c>
      <c r="C38" s="101">
        <v>0.3019560185185185</v>
      </c>
      <c r="G38" s="2" t="s">
        <v>2184</v>
      </c>
      <c r="H38" s="2" t="s">
        <v>244</v>
      </c>
      <c r="I38" s="100">
        <v>44631.0</v>
      </c>
      <c r="J38" s="101">
        <v>0.48608796296296297</v>
      </c>
      <c r="K38" s="2">
        <v>1.0</v>
      </c>
      <c r="L38" s="2" t="b">
        <v>1</v>
      </c>
      <c r="M38" s="2" t="s">
        <v>2464</v>
      </c>
      <c r="N38" s="2" t="s">
        <v>247</v>
      </c>
    </row>
    <row r="39">
      <c r="A39" s="2" t="s">
        <v>2109</v>
      </c>
      <c r="B39" s="100">
        <v>44631.0</v>
      </c>
      <c r="C39" s="101">
        <v>0.30194444444444446</v>
      </c>
      <c r="G39" s="2" t="s">
        <v>2184</v>
      </c>
      <c r="H39" s="2" t="s">
        <v>244</v>
      </c>
      <c r="I39" s="100">
        <v>44631.0</v>
      </c>
      <c r="J39" s="101">
        <v>0.48608796296296297</v>
      </c>
      <c r="K39" s="2">
        <v>1.0</v>
      </c>
      <c r="L39" s="2" t="b">
        <v>1</v>
      </c>
      <c r="M39" s="2" t="s">
        <v>2464</v>
      </c>
      <c r="N39" s="2" t="s">
        <v>247</v>
      </c>
    </row>
    <row r="40">
      <c r="A40" s="2" t="s">
        <v>2107</v>
      </c>
      <c r="B40" s="100">
        <v>44631.0</v>
      </c>
      <c r="C40" s="101">
        <v>0.3006712962962963</v>
      </c>
      <c r="G40" s="2" t="s">
        <v>2184</v>
      </c>
      <c r="H40" s="2" t="s">
        <v>244</v>
      </c>
      <c r="I40" s="100">
        <v>44631.0</v>
      </c>
      <c r="J40" s="101">
        <v>0.48608796296296297</v>
      </c>
      <c r="K40" s="2">
        <v>1.0</v>
      </c>
      <c r="L40" s="2" t="b">
        <v>1</v>
      </c>
      <c r="M40" s="2" t="s">
        <v>2464</v>
      </c>
      <c r="N40" s="2" t="s">
        <v>247</v>
      </c>
    </row>
    <row r="41">
      <c r="A41" s="2" t="s">
        <v>2105</v>
      </c>
      <c r="B41" s="100">
        <v>44631.0</v>
      </c>
      <c r="C41" s="101">
        <v>0.30041666666666667</v>
      </c>
      <c r="G41" s="2" t="s">
        <v>2184</v>
      </c>
      <c r="H41" s="2" t="s">
        <v>244</v>
      </c>
      <c r="I41" s="100">
        <v>44631.0</v>
      </c>
      <c r="J41" s="101">
        <v>0.48608796296296297</v>
      </c>
      <c r="K41" s="2">
        <v>1.0</v>
      </c>
      <c r="L41" s="2" t="b">
        <v>1</v>
      </c>
      <c r="M41" s="2" t="s">
        <v>2464</v>
      </c>
      <c r="N41" s="2" t="s">
        <v>247</v>
      </c>
    </row>
    <row r="42">
      <c r="A42" s="2" t="s">
        <v>2103</v>
      </c>
      <c r="B42" s="100">
        <v>44631.0</v>
      </c>
      <c r="C42" s="101">
        <v>0.2971875</v>
      </c>
      <c r="G42" s="2" t="s">
        <v>2184</v>
      </c>
      <c r="H42" s="2" t="s">
        <v>244</v>
      </c>
      <c r="I42" s="100">
        <v>44631.0</v>
      </c>
      <c r="J42" s="101">
        <v>0.48608796296296297</v>
      </c>
      <c r="K42" s="2">
        <v>1.0</v>
      </c>
      <c r="L42" s="2" t="b">
        <v>1</v>
      </c>
      <c r="M42" s="2" t="s">
        <v>2464</v>
      </c>
      <c r="N42" s="2" t="s">
        <v>247</v>
      </c>
    </row>
    <row r="43">
      <c r="A43" s="2" t="s">
        <v>2101</v>
      </c>
      <c r="B43" s="100">
        <v>44631.0</v>
      </c>
      <c r="C43" s="101">
        <v>0.2908101851851852</v>
      </c>
      <c r="G43" s="2" t="s">
        <v>2184</v>
      </c>
      <c r="H43" s="2" t="s">
        <v>244</v>
      </c>
      <c r="I43" s="100">
        <v>44631.0</v>
      </c>
      <c r="J43" s="101">
        <v>0.4860763888888889</v>
      </c>
      <c r="K43" s="2">
        <v>1.0</v>
      </c>
      <c r="L43" s="2" t="b">
        <v>1</v>
      </c>
      <c r="M43" s="2" t="s">
        <v>2464</v>
      </c>
      <c r="N43" s="2" t="s">
        <v>247</v>
      </c>
    </row>
    <row r="44">
      <c r="A44" s="2" t="s">
        <v>2099</v>
      </c>
      <c r="B44" s="100">
        <v>44631.0</v>
      </c>
      <c r="C44" s="101">
        <v>0.287662037037037</v>
      </c>
      <c r="G44" s="2" t="s">
        <v>2184</v>
      </c>
      <c r="H44" s="2" t="s">
        <v>244</v>
      </c>
      <c r="I44" s="100">
        <v>44631.0</v>
      </c>
      <c r="J44" s="101">
        <v>0.4860763888888889</v>
      </c>
      <c r="K44" s="2">
        <v>1.0</v>
      </c>
      <c r="L44" s="2" t="b">
        <v>1</v>
      </c>
      <c r="M44" s="2" t="s">
        <v>2464</v>
      </c>
      <c r="N44" s="2" t="s">
        <v>247</v>
      </c>
    </row>
    <row r="45">
      <c r="A45" s="2" t="s">
        <v>2097</v>
      </c>
      <c r="B45" s="100">
        <v>44631.0</v>
      </c>
      <c r="C45" s="101">
        <v>0.2769097222222222</v>
      </c>
      <c r="G45" s="2" t="s">
        <v>2184</v>
      </c>
      <c r="H45" s="2" t="s">
        <v>244</v>
      </c>
      <c r="I45" s="100">
        <v>44631.0</v>
      </c>
      <c r="J45" s="101">
        <v>0.4860763888888889</v>
      </c>
      <c r="K45" s="2">
        <v>1.0</v>
      </c>
      <c r="L45" s="2" t="b">
        <v>1</v>
      </c>
      <c r="M45" s="2" t="s">
        <v>2464</v>
      </c>
      <c r="N45" s="2" t="s">
        <v>247</v>
      </c>
    </row>
    <row r="46">
      <c r="A46" s="2" t="s">
        <v>2094</v>
      </c>
      <c r="B46" s="100">
        <v>44631.0</v>
      </c>
      <c r="C46" s="101">
        <v>0.2694328703703704</v>
      </c>
      <c r="G46" s="2" t="s">
        <v>2184</v>
      </c>
      <c r="H46" s="2" t="s">
        <v>244</v>
      </c>
      <c r="I46" s="100">
        <v>44631.0</v>
      </c>
      <c r="J46" s="101">
        <v>0.4860763888888889</v>
      </c>
      <c r="K46" s="2">
        <v>1.0</v>
      </c>
      <c r="L46" s="2" t="b">
        <v>1</v>
      </c>
      <c r="M46" s="2" t="s">
        <v>2464</v>
      </c>
      <c r="N46" s="2" t="s">
        <v>247</v>
      </c>
    </row>
    <row r="47">
      <c r="A47" s="2" t="s">
        <v>2092</v>
      </c>
      <c r="B47" s="100">
        <v>44631.0</v>
      </c>
      <c r="C47" s="101">
        <v>0.2678009259259259</v>
      </c>
      <c r="G47" s="2" t="s">
        <v>2184</v>
      </c>
      <c r="H47" s="2" t="s">
        <v>244</v>
      </c>
      <c r="I47" s="100">
        <v>44631.0</v>
      </c>
      <c r="J47" s="101">
        <v>0.4860763888888889</v>
      </c>
      <c r="K47" s="2">
        <v>1.0</v>
      </c>
      <c r="L47" s="2" t="b">
        <v>1</v>
      </c>
      <c r="M47" s="2" t="s">
        <v>2464</v>
      </c>
      <c r="N47" s="2" t="s">
        <v>247</v>
      </c>
    </row>
    <row r="48">
      <c r="A48" s="2" t="s">
        <v>2090</v>
      </c>
      <c r="B48" s="100">
        <v>44629.0</v>
      </c>
      <c r="C48" s="101">
        <v>0.4899074074074074</v>
      </c>
      <c r="G48" s="2" t="s">
        <v>2184</v>
      </c>
      <c r="H48" s="2" t="s">
        <v>244</v>
      </c>
      <c r="I48" s="100">
        <v>44629.0</v>
      </c>
      <c r="J48" s="101">
        <v>0.4994560185185185</v>
      </c>
      <c r="K48" s="2">
        <v>1.0</v>
      </c>
      <c r="L48" s="2" t="b">
        <v>1</v>
      </c>
      <c r="M48" s="2" t="s">
        <v>2465</v>
      </c>
      <c r="N48" s="2" t="s">
        <v>247</v>
      </c>
    </row>
    <row r="49">
      <c r="A49" s="2" t="s">
        <v>2088</v>
      </c>
      <c r="B49" s="100">
        <v>44629.0</v>
      </c>
      <c r="C49" s="101">
        <v>0.4893287037037037</v>
      </c>
      <c r="G49" s="2" t="s">
        <v>2184</v>
      </c>
      <c r="H49" s="2" t="s">
        <v>244</v>
      </c>
      <c r="I49" s="100">
        <v>44629.0</v>
      </c>
      <c r="J49" s="101">
        <v>0.4994560185185185</v>
      </c>
      <c r="K49" s="2">
        <v>1.0</v>
      </c>
      <c r="L49" s="2" t="b">
        <v>1</v>
      </c>
      <c r="M49" s="2" t="s">
        <v>2465</v>
      </c>
      <c r="N49" s="2" t="s">
        <v>247</v>
      </c>
    </row>
    <row r="50">
      <c r="A50" s="2" t="s">
        <v>2086</v>
      </c>
      <c r="B50" s="100">
        <v>44629.0</v>
      </c>
      <c r="C50" s="101">
        <v>0.407349537037037</v>
      </c>
      <c r="G50" s="2" t="s">
        <v>2188</v>
      </c>
      <c r="H50" s="2" t="s">
        <v>254</v>
      </c>
      <c r="I50" s="100">
        <v>44861.0</v>
      </c>
      <c r="J50" s="101">
        <v>0.4895023148148148</v>
      </c>
      <c r="K50" s="2">
        <v>0.0</v>
      </c>
      <c r="N50" s="2" t="s">
        <v>247</v>
      </c>
    </row>
    <row r="51">
      <c r="A51" s="2" t="s">
        <v>2084</v>
      </c>
      <c r="B51" s="100">
        <v>44629.0</v>
      </c>
      <c r="C51" s="101">
        <v>0.40596064814814814</v>
      </c>
      <c r="G51" s="2" t="s">
        <v>2184</v>
      </c>
      <c r="H51" s="2" t="s">
        <v>244</v>
      </c>
      <c r="I51" s="100">
        <v>44629.0</v>
      </c>
      <c r="J51" s="101">
        <v>0.4994560185185185</v>
      </c>
      <c r="K51" s="2">
        <v>1.0</v>
      </c>
      <c r="L51" s="2" t="b">
        <v>1</v>
      </c>
      <c r="M51" s="2" t="s">
        <v>2465</v>
      </c>
      <c r="N51" s="2" t="s">
        <v>247</v>
      </c>
    </row>
    <row r="52">
      <c r="A52" s="2" t="s">
        <v>2082</v>
      </c>
      <c r="B52" s="100">
        <v>44629.0</v>
      </c>
      <c r="C52" s="101">
        <v>0.4018287037037037</v>
      </c>
      <c r="G52" s="2" t="s">
        <v>2184</v>
      </c>
      <c r="H52" s="2" t="s">
        <v>244</v>
      </c>
      <c r="I52" s="100">
        <v>44629.0</v>
      </c>
      <c r="J52" s="101">
        <v>0.4994560185185185</v>
      </c>
      <c r="K52" s="2">
        <v>1.0</v>
      </c>
      <c r="L52" s="2" t="b">
        <v>1</v>
      </c>
      <c r="M52" s="2" t="s">
        <v>2465</v>
      </c>
      <c r="N52" s="2" t="s">
        <v>247</v>
      </c>
    </row>
    <row r="53">
      <c r="A53" s="2" t="s">
        <v>2080</v>
      </c>
      <c r="B53" s="100">
        <v>44629.0</v>
      </c>
      <c r="C53" s="101">
        <v>0.3370949074074074</v>
      </c>
      <c r="G53" s="2" t="s">
        <v>2184</v>
      </c>
      <c r="H53" s="2" t="s">
        <v>244</v>
      </c>
      <c r="I53" s="100">
        <v>44629.0</v>
      </c>
      <c r="J53" s="101">
        <v>0.4994560185185185</v>
      </c>
      <c r="K53" s="2">
        <v>1.0</v>
      </c>
      <c r="L53" s="2" t="b">
        <v>1</v>
      </c>
      <c r="M53" s="2" t="s">
        <v>2465</v>
      </c>
      <c r="N53" s="2" t="s">
        <v>247</v>
      </c>
    </row>
    <row r="54">
      <c r="A54" s="2" t="s">
        <v>2078</v>
      </c>
      <c r="B54" s="100">
        <v>44629.0</v>
      </c>
      <c r="C54" s="101">
        <v>0.33490740740740743</v>
      </c>
      <c r="G54" s="2" t="s">
        <v>2184</v>
      </c>
      <c r="H54" s="2" t="s">
        <v>244</v>
      </c>
      <c r="I54" s="100">
        <v>44629.0</v>
      </c>
      <c r="J54" s="101">
        <v>0.4994560185185185</v>
      </c>
      <c r="K54" s="2">
        <v>1.0</v>
      </c>
      <c r="L54" s="2" t="b">
        <v>1</v>
      </c>
      <c r="M54" s="2" t="s">
        <v>2465</v>
      </c>
      <c r="N54" s="2" t="s">
        <v>247</v>
      </c>
    </row>
    <row r="55">
      <c r="A55" s="2" t="s">
        <v>2076</v>
      </c>
      <c r="B55" s="100">
        <v>44629.0</v>
      </c>
      <c r="C55" s="101">
        <v>0.334837962962963</v>
      </c>
      <c r="G55" s="2" t="s">
        <v>2184</v>
      </c>
      <c r="H55" s="2" t="s">
        <v>244</v>
      </c>
      <c r="I55" s="100">
        <v>44629.0</v>
      </c>
      <c r="J55" s="101">
        <v>0.4994560185185185</v>
      </c>
      <c r="K55" s="2">
        <v>1.0</v>
      </c>
      <c r="L55" s="2" t="b">
        <v>1</v>
      </c>
      <c r="M55" s="2" t="s">
        <v>2465</v>
      </c>
      <c r="N55" s="2" t="s">
        <v>247</v>
      </c>
    </row>
    <row r="56">
      <c r="A56" s="2" t="s">
        <v>2074</v>
      </c>
      <c r="B56" s="100">
        <v>44629.0</v>
      </c>
      <c r="C56" s="101">
        <v>0.3330324074074074</v>
      </c>
      <c r="G56" s="2" t="s">
        <v>2184</v>
      </c>
      <c r="H56" s="2" t="s">
        <v>244</v>
      </c>
      <c r="I56" s="100">
        <v>44629.0</v>
      </c>
      <c r="J56" s="101">
        <v>0.4994560185185185</v>
      </c>
      <c r="K56" s="2">
        <v>1.0</v>
      </c>
      <c r="L56" s="2" t="b">
        <v>1</v>
      </c>
      <c r="M56" s="2" t="s">
        <v>2465</v>
      </c>
      <c r="N56" s="2" t="s">
        <v>247</v>
      </c>
    </row>
    <row r="57">
      <c r="A57" s="2" t="s">
        <v>2072</v>
      </c>
      <c r="B57" s="100">
        <v>44629.0</v>
      </c>
      <c r="C57" s="101">
        <v>0.3285300925925926</v>
      </c>
      <c r="G57" s="2" t="s">
        <v>2184</v>
      </c>
      <c r="H57" s="2" t="s">
        <v>244</v>
      </c>
      <c r="I57" s="100">
        <v>44629.0</v>
      </c>
      <c r="J57" s="101">
        <v>0.4994560185185185</v>
      </c>
      <c r="K57" s="2">
        <v>1.0</v>
      </c>
      <c r="L57" s="2" t="b">
        <v>1</v>
      </c>
      <c r="M57" s="2" t="s">
        <v>2465</v>
      </c>
      <c r="N57" s="2" t="s">
        <v>247</v>
      </c>
    </row>
    <row r="58">
      <c r="A58" s="2" t="s">
        <v>2070</v>
      </c>
      <c r="B58" s="100">
        <v>44629.0</v>
      </c>
      <c r="C58" s="101">
        <v>0.32828703703703704</v>
      </c>
      <c r="G58" s="2" t="s">
        <v>2184</v>
      </c>
      <c r="H58" s="2" t="s">
        <v>244</v>
      </c>
      <c r="I58" s="100">
        <v>44629.0</v>
      </c>
      <c r="J58" s="101">
        <v>0.4994560185185185</v>
      </c>
      <c r="K58" s="2">
        <v>1.0</v>
      </c>
      <c r="L58" s="2" t="b">
        <v>1</v>
      </c>
      <c r="M58" s="2" t="s">
        <v>2465</v>
      </c>
      <c r="N58" s="2" t="s">
        <v>247</v>
      </c>
    </row>
    <row r="59">
      <c r="A59" s="2" t="s">
        <v>2068</v>
      </c>
      <c r="B59" s="100">
        <v>44629.0</v>
      </c>
      <c r="C59" s="101">
        <v>0.3240162037037037</v>
      </c>
      <c r="G59" s="2" t="s">
        <v>2184</v>
      </c>
      <c r="H59" s="2" t="s">
        <v>244</v>
      </c>
      <c r="I59" s="100">
        <v>44629.0</v>
      </c>
      <c r="J59" s="101">
        <v>0.4994560185185185</v>
      </c>
      <c r="K59" s="2">
        <v>1.0</v>
      </c>
      <c r="L59" s="2" t="b">
        <v>1</v>
      </c>
      <c r="M59" s="2" t="s">
        <v>2465</v>
      </c>
      <c r="N59" s="2" t="s">
        <v>247</v>
      </c>
    </row>
    <row r="60">
      <c r="A60" s="2" t="s">
        <v>2066</v>
      </c>
      <c r="B60" s="100">
        <v>44629.0</v>
      </c>
      <c r="C60" s="101">
        <v>0.3237847222222222</v>
      </c>
      <c r="G60" s="2" t="s">
        <v>2184</v>
      </c>
      <c r="H60" s="2" t="s">
        <v>244</v>
      </c>
      <c r="I60" s="100">
        <v>44629.0</v>
      </c>
      <c r="J60" s="101">
        <v>0.49944444444444447</v>
      </c>
      <c r="K60" s="2">
        <v>1.0</v>
      </c>
      <c r="L60" s="2" t="b">
        <v>1</v>
      </c>
      <c r="M60" s="2" t="s">
        <v>2465</v>
      </c>
      <c r="N60" s="2" t="s">
        <v>247</v>
      </c>
    </row>
    <row r="61">
      <c r="A61" s="2" t="s">
        <v>2064</v>
      </c>
      <c r="B61" s="100">
        <v>44629.0</v>
      </c>
      <c r="C61" s="101">
        <v>0.32186342592592593</v>
      </c>
      <c r="G61" s="2" t="s">
        <v>2184</v>
      </c>
      <c r="H61" s="2" t="s">
        <v>244</v>
      </c>
      <c r="I61" s="100">
        <v>44629.0</v>
      </c>
      <c r="J61" s="101">
        <v>0.49944444444444447</v>
      </c>
      <c r="K61" s="2">
        <v>1.0</v>
      </c>
      <c r="L61" s="2" t="b">
        <v>1</v>
      </c>
      <c r="M61" s="2" t="s">
        <v>2465</v>
      </c>
      <c r="N61" s="2" t="s">
        <v>247</v>
      </c>
    </row>
    <row r="62">
      <c r="A62" s="2" t="s">
        <v>2062</v>
      </c>
      <c r="B62" s="100">
        <v>44629.0</v>
      </c>
      <c r="C62" s="101">
        <v>0.3201851851851852</v>
      </c>
      <c r="G62" s="2" t="s">
        <v>2184</v>
      </c>
      <c r="H62" s="2" t="s">
        <v>244</v>
      </c>
      <c r="I62" s="100">
        <v>44629.0</v>
      </c>
      <c r="J62" s="101">
        <v>0.49944444444444447</v>
      </c>
      <c r="K62" s="2">
        <v>1.0</v>
      </c>
      <c r="L62" s="2" t="b">
        <v>1</v>
      </c>
      <c r="M62" s="2" t="s">
        <v>2465</v>
      </c>
      <c r="N62" s="2" t="s">
        <v>247</v>
      </c>
    </row>
    <row r="63">
      <c r="A63" s="2" t="s">
        <v>2060</v>
      </c>
      <c r="B63" s="100">
        <v>44629.0</v>
      </c>
      <c r="C63" s="101">
        <v>0.31824074074074077</v>
      </c>
      <c r="G63" s="2" t="s">
        <v>2184</v>
      </c>
      <c r="H63" s="2" t="s">
        <v>244</v>
      </c>
      <c r="I63" s="100">
        <v>44629.0</v>
      </c>
      <c r="J63" s="101">
        <v>0.49944444444444447</v>
      </c>
      <c r="K63" s="2">
        <v>1.0</v>
      </c>
      <c r="L63" s="2" t="b">
        <v>1</v>
      </c>
      <c r="M63" s="2" t="s">
        <v>2465</v>
      </c>
      <c r="N63" s="2" t="s">
        <v>247</v>
      </c>
    </row>
    <row r="64">
      <c r="A64" s="2" t="s">
        <v>2058</v>
      </c>
      <c r="B64" s="100">
        <v>44629.0</v>
      </c>
      <c r="C64" s="101">
        <v>0.31734953703703705</v>
      </c>
      <c r="G64" s="2" t="s">
        <v>2184</v>
      </c>
      <c r="H64" s="2" t="s">
        <v>244</v>
      </c>
      <c r="I64" s="100">
        <v>44629.0</v>
      </c>
      <c r="J64" s="101">
        <v>0.49944444444444447</v>
      </c>
      <c r="K64" s="2">
        <v>1.0</v>
      </c>
      <c r="L64" s="2" t="b">
        <v>1</v>
      </c>
      <c r="M64" s="2" t="s">
        <v>2465</v>
      </c>
      <c r="N64" s="2" t="s">
        <v>247</v>
      </c>
    </row>
    <row r="65">
      <c r="A65" s="2" t="s">
        <v>2056</v>
      </c>
      <c r="B65" s="100">
        <v>44629.0</v>
      </c>
      <c r="C65" s="101">
        <v>0.3169328703703704</v>
      </c>
      <c r="G65" s="2" t="s">
        <v>2184</v>
      </c>
      <c r="H65" s="2" t="s">
        <v>244</v>
      </c>
      <c r="I65" s="100">
        <v>44629.0</v>
      </c>
      <c r="J65" s="101">
        <v>0.49944444444444447</v>
      </c>
      <c r="K65" s="2">
        <v>1.0</v>
      </c>
      <c r="L65" s="2" t="b">
        <v>1</v>
      </c>
      <c r="M65" s="2" t="s">
        <v>2465</v>
      </c>
      <c r="N65" s="2" t="s">
        <v>247</v>
      </c>
    </row>
    <row r="66">
      <c r="A66" s="2" t="s">
        <v>2054</v>
      </c>
      <c r="B66" s="100">
        <v>44629.0</v>
      </c>
      <c r="C66" s="101">
        <v>0.31482638888888886</v>
      </c>
      <c r="G66" s="2" t="s">
        <v>2184</v>
      </c>
      <c r="H66" s="2" t="s">
        <v>244</v>
      </c>
      <c r="I66" s="100">
        <v>44629.0</v>
      </c>
      <c r="J66" s="101">
        <v>0.49944444444444447</v>
      </c>
      <c r="K66" s="2">
        <v>1.0</v>
      </c>
      <c r="L66" s="2" t="b">
        <v>1</v>
      </c>
      <c r="M66" s="2" t="s">
        <v>2465</v>
      </c>
      <c r="N66" s="2" t="s">
        <v>247</v>
      </c>
    </row>
    <row r="67">
      <c r="A67" s="2" t="s">
        <v>2052</v>
      </c>
      <c r="B67" s="100">
        <v>44629.0</v>
      </c>
      <c r="C67" s="101">
        <v>0.31440972222222224</v>
      </c>
      <c r="G67" s="2" t="s">
        <v>2184</v>
      </c>
      <c r="H67" s="2" t="s">
        <v>244</v>
      </c>
      <c r="I67" s="100">
        <v>44629.0</v>
      </c>
      <c r="J67" s="101">
        <v>0.49944444444444447</v>
      </c>
      <c r="K67" s="2">
        <v>1.0</v>
      </c>
      <c r="L67" s="2" t="b">
        <v>1</v>
      </c>
      <c r="M67" s="2" t="s">
        <v>2465</v>
      </c>
      <c r="N67" s="2" t="s">
        <v>247</v>
      </c>
    </row>
    <row r="68">
      <c r="A68" s="2" t="s">
        <v>2050</v>
      </c>
      <c r="B68" s="100">
        <v>44629.0</v>
      </c>
      <c r="C68" s="101">
        <v>0.31309027777777776</v>
      </c>
      <c r="G68" s="2" t="s">
        <v>2184</v>
      </c>
      <c r="H68" s="2" t="s">
        <v>244</v>
      </c>
      <c r="I68" s="100">
        <v>44629.0</v>
      </c>
      <c r="J68" s="101">
        <v>0.49944444444444447</v>
      </c>
      <c r="K68" s="2">
        <v>1.0</v>
      </c>
      <c r="L68" s="2" t="b">
        <v>1</v>
      </c>
      <c r="M68" s="2" t="s">
        <v>2465</v>
      </c>
      <c r="N68" s="2" t="s">
        <v>247</v>
      </c>
    </row>
    <row r="69">
      <c r="A69" s="2" t="s">
        <v>2048</v>
      </c>
      <c r="B69" s="100">
        <v>44629.0</v>
      </c>
      <c r="C69" s="101">
        <v>0.31296296296296294</v>
      </c>
      <c r="G69" s="2" t="s">
        <v>2184</v>
      </c>
      <c r="H69" s="2" t="s">
        <v>244</v>
      </c>
      <c r="I69" s="100">
        <v>44629.0</v>
      </c>
      <c r="J69" s="101">
        <v>0.49944444444444447</v>
      </c>
      <c r="K69" s="2">
        <v>1.0</v>
      </c>
      <c r="L69" s="2" t="b">
        <v>1</v>
      </c>
      <c r="M69" s="2" t="s">
        <v>2465</v>
      </c>
      <c r="N69" s="2" t="s">
        <v>247</v>
      </c>
    </row>
    <row r="70">
      <c r="A70" s="2" t="s">
        <v>2046</v>
      </c>
      <c r="B70" s="100">
        <v>44629.0</v>
      </c>
      <c r="C70" s="101">
        <v>0.31225694444444446</v>
      </c>
      <c r="G70" s="2" t="s">
        <v>2184</v>
      </c>
      <c r="H70" s="2" t="s">
        <v>244</v>
      </c>
      <c r="I70" s="100">
        <v>44629.0</v>
      </c>
      <c r="J70" s="101">
        <v>0.49944444444444447</v>
      </c>
      <c r="K70" s="2">
        <v>1.0</v>
      </c>
      <c r="L70" s="2" t="b">
        <v>1</v>
      </c>
      <c r="M70" s="2" t="s">
        <v>2465</v>
      </c>
      <c r="N70" s="2" t="s">
        <v>247</v>
      </c>
    </row>
    <row r="71">
      <c r="A71" s="2" t="s">
        <v>2044</v>
      </c>
      <c r="B71" s="100">
        <v>44629.0</v>
      </c>
      <c r="C71" s="101">
        <v>0.3121527777777778</v>
      </c>
      <c r="G71" s="2" t="s">
        <v>2184</v>
      </c>
      <c r="H71" s="2" t="s">
        <v>244</v>
      </c>
      <c r="I71" s="100">
        <v>44629.0</v>
      </c>
      <c r="J71" s="101">
        <v>0.49944444444444447</v>
      </c>
      <c r="K71" s="2">
        <v>1.0</v>
      </c>
      <c r="L71" s="2" t="b">
        <v>1</v>
      </c>
      <c r="M71" s="2" t="s">
        <v>2465</v>
      </c>
      <c r="N71" s="2" t="s">
        <v>247</v>
      </c>
    </row>
    <row r="72">
      <c r="A72" s="2" t="s">
        <v>2042</v>
      </c>
      <c r="B72" s="100">
        <v>44629.0</v>
      </c>
      <c r="C72" s="101">
        <v>0.31177083333333333</v>
      </c>
      <c r="G72" s="2" t="s">
        <v>2184</v>
      </c>
      <c r="H72" s="2" t="s">
        <v>244</v>
      </c>
      <c r="I72" s="100">
        <v>44629.0</v>
      </c>
      <c r="J72" s="101">
        <v>0.49944444444444447</v>
      </c>
      <c r="K72" s="2">
        <v>1.0</v>
      </c>
      <c r="L72" s="2" t="b">
        <v>1</v>
      </c>
      <c r="M72" s="2" t="s">
        <v>2465</v>
      </c>
      <c r="N72" s="2" t="s">
        <v>247</v>
      </c>
    </row>
    <row r="73">
      <c r="A73" s="2" t="s">
        <v>2040</v>
      </c>
      <c r="B73" s="100">
        <v>44629.0</v>
      </c>
      <c r="C73" s="101">
        <v>0.31136574074074075</v>
      </c>
      <c r="G73" s="2" t="s">
        <v>2188</v>
      </c>
      <c r="H73" s="2" t="s">
        <v>254</v>
      </c>
      <c r="I73" s="100">
        <v>44861.0</v>
      </c>
      <c r="J73" s="101">
        <v>0.4895023148148148</v>
      </c>
      <c r="K73" s="2">
        <v>1.0</v>
      </c>
      <c r="N73" s="2" t="s">
        <v>247</v>
      </c>
    </row>
    <row r="74">
      <c r="A74" s="2" t="s">
        <v>2038</v>
      </c>
      <c r="B74" s="100">
        <v>44629.0</v>
      </c>
      <c r="C74" s="101">
        <v>0.2939699074074074</v>
      </c>
      <c r="G74" s="2" t="s">
        <v>2184</v>
      </c>
      <c r="H74" s="2" t="s">
        <v>244</v>
      </c>
      <c r="I74" s="100">
        <v>44629.0</v>
      </c>
      <c r="J74" s="101">
        <v>0.4994328703703704</v>
      </c>
      <c r="K74" s="2">
        <v>1.0</v>
      </c>
      <c r="L74" s="2" t="b">
        <v>1</v>
      </c>
      <c r="M74" s="2" t="s">
        <v>2465</v>
      </c>
      <c r="N74" s="2" t="s">
        <v>247</v>
      </c>
    </row>
    <row r="75">
      <c r="A75" s="2" t="s">
        <v>2036</v>
      </c>
      <c r="B75" s="100">
        <v>44627.0</v>
      </c>
      <c r="C75" s="101">
        <v>0.35195601851851854</v>
      </c>
      <c r="G75" s="2" t="s">
        <v>2184</v>
      </c>
      <c r="H75" s="2" t="s">
        <v>244</v>
      </c>
      <c r="I75" s="100">
        <v>44627.0</v>
      </c>
      <c r="J75" s="101">
        <v>0.4779050925925926</v>
      </c>
      <c r="K75" s="2">
        <v>1.0</v>
      </c>
      <c r="L75" s="2" t="b">
        <v>1</v>
      </c>
      <c r="M75" s="2" t="s">
        <v>2466</v>
      </c>
      <c r="N75" s="2" t="s">
        <v>247</v>
      </c>
    </row>
    <row r="76">
      <c r="A76" s="2" t="s">
        <v>2034</v>
      </c>
      <c r="B76" s="100">
        <v>44627.0</v>
      </c>
      <c r="C76" s="101">
        <v>0.34769675925925925</v>
      </c>
      <c r="G76" s="2" t="s">
        <v>2184</v>
      </c>
      <c r="H76" s="2" t="s">
        <v>244</v>
      </c>
      <c r="I76" s="100">
        <v>44627.0</v>
      </c>
      <c r="J76" s="101">
        <v>0.4779050925925926</v>
      </c>
      <c r="K76" s="2">
        <v>1.0</v>
      </c>
      <c r="L76" s="2" t="b">
        <v>1</v>
      </c>
      <c r="M76" s="2" t="s">
        <v>2466</v>
      </c>
      <c r="N76" s="2" t="s">
        <v>247</v>
      </c>
    </row>
    <row r="77">
      <c r="A77" s="2" t="s">
        <v>2032</v>
      </c>
      <c r="B77" s="100">
        <v>44627.0</v>
      </c>
      <c r="C77" s="101">
        <v>0.3386458333333333</v>
      </c>
      <c r="G77" s="2" t="s">
        <v>2184</v>
      </c>
      <c r="H77" s="2" t="s">
        <v>244</v>
      </c>
      <c r="I77" s="100">
        <v>44627.0</v>
      </c>
      <c r="J77" s="101">
        <v>0.4779050925925926</v>
      </c>
      <c r="K77" s="2">
        <v>1.0</v>
      </c>
      <c r="L77" s="2" t="b">
        <v>1</v>
      </c>
      <c r="M77" s="2" t="s">
        <v>2466</v>
      </c>
      <c r="N77" s="2" t="s">
        <v>247</v>
      </c>
    </row>
    <row r="78">
      <c r="A78" s="2" t="s">
        <v>2030</v>
      </c>
      <c r="B78" s="100">
        <v>44627.0</v>
      </c>
      <c r="C78" s="101">
        <v>0.3385300925925926</v>
      </c>
      <c r="G78" s="2" t="s">
        <v>2184</v>
      </c>
      <c r="H78" s="2" t="s">
        <v>244</v>
      </c>
      <c r="I78" s="100">
        <v>44627.0</v>
      </c>
      <c r="J78" s="101">
        <v>0.4779050925925926</v>
      </c>
      <c r="K78" s="2">
        <v>1.0</v>
      </c>
      <c r="L78" s="2" t="b">
        <v>1</v>
      </c>
      <c r="M78" s="2" t="s">
        <v>2466</v>
      </c>
      <c r="N78" s="2" t="s">
        <v>247</v>
      </c>
    </row>
    <row r="79">
      <c r="A79" s="2" t="s">
        <v>2028</v>
      </c>
      <c r="B79" s="100">
        <v>44627.0</v>
      </c>
      <c r="C79" s="101">
        <v>0.3383449074074074</v>
      </c>
      <c r="G79" s="2" t="s">
        <v>2184</v>
      </c>
      <c r="H79" s="2" t="s">
        <v>244</v>
      </c>
      <c r="I79" s="100">
        <v>44627.0</v>
      </c>
      <c r="J79" s="101">
        <v>0.4779050925925926</v>
      </c>
      <c r="K79" s="2">
        <v>1.0</v>
      </c>
      <c r="L79" s="2" t="b">
        <v>1</v>
      </c>
      <c r="M79" s="2" t="s">
        <v>2466</v>
      </c>
      <c r="N79" s="2" t="s">
        <v>247</v>
      </c>
    </row>
    <row r="80">
      <c r="A80" s="2" t="s">
        <v>2026</v>
      </c>
      <c r="B80" s="100">
        <v>44627.0</v>
      </c>
      <c r="C80" s="101">
        <v>0.3370023148148148</v>
      </c>
      <c r="G80" s="2" t="s">
        <v>2184</v>
      </c>
      <c r="H80" s="2" t="s">
        <v>244</v>
      </c>
      <c r="I80" s="100">
        <v>44627.0</v>
      </c>
      <c r="J80" s="101">
        <v>0.4779050925925926</v>
      </c>
      <c r="K80" s="2">
        <v>1.0</v>
      </c>
      <c r="L80" s="2" t="b">
        <v>1</v>
      </c>
      <c r="M80" s="2" t="s">
        <v>2466</v>
      </c>
      <c r="N80" s="2" t="s">
        <v>247</v>
      </c>
    </row>
    <row r="81">
      <c r="A81" s="2" t="s">
        <v>2024</v>
      </c>
      <c r="B81" s="100">
        <v>44627.0</v>
      </c>
      <c r="C81" s="101">
        <v>0.3278240740740741</v>
      </c>
      <c r="G81" s="2" t="s">
        <v>2184</v>
      </c>
      <c r="H81" s="2" t="s">
        <v>244</v>
      </c>
      <c r="I81" s="100">
        <v>44627.0</v>
      </c>
      <c r="J81" s="101">
        <v>0.4779050925925926</v>
      </c>
      <c r="K81" s="2">
        <v>1.0</v>
      </c>
      <c r="L81" s="2" t="b">
        <v>1</v>
      </c>
      <c r="M81" s="2" t="s">
        <v>2466</v>
      </c>
      <c r="N81" s="2" t="s">
        <v>247</v>
      </c>
    </row>
    <row r="82">
      <c r="A82" s="2" t="s">
        <v>2022</v>
      </c>
      <c r="B82" s="100">
        <v>44627.0</v>
      </c>
      <c r="C82" s="101">
        <v>0.3267939814814815</v>
      </c>
      <c r="G82" s="2" t="s">
        <v>2184</v>
      </c>
      <c r="H82" s="2" t="s">
        <v>244</v>
      </c>
      <c r="I82" s="100">
        <v>44627.0</v>
      </c>
      <c r="J82" s="101">
        <v>0.4779050925925926</v>
      </c>
      <c r="K82" s="2">
        <v>1.0</v>
      </c>
      <c r="L82" s="2" t="b">
        <v>1</v>
      </c>
      <c r="M82" s="2" t="s">
        <v>2466</v>
      </c>
      <c r="N82" s="2" t="s">
        <v>247</v>
      </c>
    </row>
    <row r="83">
      <c r="A83" s="2" t="s">
        <v>2020</v>
      </c>
      <c r="B83" s="100">
        <v>44627.0</v>
      </c>
      <c r="C83" s="101">
        <v>0.3256712962962963</v>
      </c>
      <c r="G83" s="2" t="s">
        <v>2184</v>
      </c>
      <c r="H83" s="2" t="s">
        <v>244</v>
      </c>
      <c r="I83" s="100">
        <v>44627.0</v>
      </c>
      <c r="J83" s="101">
        <v>0.4779050925925926</v>
      </c>
      <c r="K83" s="2">
        <v>1.0</v>
      </c>
      <c r="L83" s="2" t="b">
        <v>1</v>
      </c>
      <c r="M83" s="2" t="s">
        <v>2466</v>
      </c>
      <c r="N83" s="2" t="s">
        <v>247</v>
      </c>
    </row>
    <row r="84">
      <c r="A84" s="2" t="s">
        <v>2018</v>
      </c>
      <c r="B84" s="100">
        <v>44627.0</v>
      </c>
      <c r="C84" s="101">
        <v>0.3253125</v>
      </c>
      <c r="G84" s="2" t="s">
        <v>2184</v>
      </c>
      <c r="H84" s="2" t="s">
        <v>244</v>
      </c>
      <c r="I84" s="100">
        <v>44627.0</v>
      </c>
      <c r="J84" s="101">
        <v>0.4779050925925926</v>
      </c>
      <c r="K84" s="2">
        <v>1.0</v>
      </c>
      <c r="L84" s="2" t="b">
        <v>1</v>
      </c>
      <c r="M84" s="2" t="s">
        <v>2466</v>
      </c>
      <c r="N84" s="2" t="s">
        <v>247</v>
      </c>
    </row>
    <row r="85">
      <c r="A85" s="2" t="s">
        <v>2016</v>
      </c>
      <c r="B85" s="100">
        <v>44627.0</v>
      </c>
      <c r="C85" s="101">
        <v>0.32450231481481484</v>
      </c>
      <c r="G85" s="2" t="s">
        <v>2184</v>
      </c>
      <c r="H85" s="2" t="s">
        <v>244</v>
      </c>
      <c r="I85" s="100">
        <v>44627.0</v>
      </c>
      <c r="J85" s="101">
        <v>0.4779050925925926</v>
      </c>
      <c r="K85" s="2">
        <v>1.0</v>
      </c>
      <c r="L85" s="2" t="b">
        <v>1</v>
      </c>
      <c r="M85" s="2" t="s">
        <v>2466</v>
      </c>
      <c r="N85" s="2" t="s">
        <v>247</v>
      </c>
    </row>
    <row r="86">
      <c r="A86" s="2" t="s">
        <v>2014</v>
      </c>
      <c r="B86" s="100">
        <v>44627.0</v>
      </c>
      <c r="C86" s="101">
        <v>0.32310185185185186</v>
      </c>
      <c r="G86" s="2" t="s">
        <v>2184</v>
      </c>
      <c r="H86" s="2" t="s">
        <v>244</v>
      </c>
      <c r="I86" s="100">
        <v>44627.0</v>
      </c>
      <c r="J86" s="101">
        <v>0.4779050925925926</v>
      </c>
      <c r="K86" s="2">
        <v>1.0</v>
      </c>
      <c r="L86" s="2" t="b">
        <v>1</v>
      </c>
      <c r="M86" s="2" t="s">
        <v>2466</v>
      </c>
      <c r="N86" s="2" t="s">
        <v>247</v>
      </c>
    </row>
    <row r="87">
      <c r="A87" s="2" t="s">
        <v>2012</v>
      </c>
      <c r="B87" s="100">
        <v>44627.0</v>
      </c>
      <c r="C87" s="101">
        <v>0.3216087962962963</v>
      </c>
      <c r="G87" s="2" t="s">
        <v>2184</v>
      </c>
      <c r="H87" s="2" t="s">
        <v>244</v>
      </c>
      <c r="I87" s="100">
        <v>44627.0</v>
      </c>
      <c r="J87" s="101">
        <v>0.4779050925925926</v>
      </c>
      <c r="K87" s="2">
        <v>1.0</v>
      </c>
      <c r="L87" s="2" t="b">
        <v>1</v>
      </c>
      <c r="M87" s="2" t="s">
        <v>2466</v>
      </c>
      <c r="N87" s="2" t="s">
        <v>247</v>
      </c>
    </row>
    <row r="88">
      <c r="A88" s="2" t="s">
        <v>2010</v>
      </c>
      <c r="B88" s="100">
        <v>44627.0</v>
      </c>
      <c r="C88" s="101">
        <v>0.32157407407407407</v>
      </c>
      <c r="G88" s="2" t="s">
        <v>2184</v>
      </c>
      <c r="H88" s="2" t="s">
        <v>244</v>
      </c>
      <c r="I88" s="100">
        <v>44627.0</v>
      </c>
      <c r="J88" s="101">
        <v>0.4779050925925926</v>
      </c>
      <c r="K88" s="2">
        <v>1.0</v>
      </c>
      <c r="L88" s="2" t="b">
        <v>1</v>
      </c>
      <c r="M88" s="2" t="s">
        <v>2466</v>
      </c>
      <c r="N88" s="2" t="s">
        <v>247</v>
      </c>
    </row>
    <row r="89">
      <c r="A89" s="2" t="s">
        <v>2008</v>
      </c>
      <c r="B89" s="100">
        <v>44627.0</v>
      </c>
      <c r="C89" s="101">
        <v>0.32047453703703704</v>
      </c>
      <c r="G89" s="2" t="s">
        <v>2184</v>
      </c>
      <c r="H89" s="2" t="s">
        <v>244</v>
      </c>
      <c r="I89" s="100">
        <v>44627.0</v>
      </c>
      <c r="J89" s="101">
        <v>0.4778935185185185</v>
      </c>
      <c r="K89" s="2">
        <v>1.0</v>
      </c>
      <c r="L89" s="2" t="b">
        <v>1</v>
      </c>
      <c r="M89" s="2" t="s">
        <v>2466</v>
      </c>
      <c r="N89" s="2" t="s">
        <v>247</v>
      </c>
    </row>
    <row r="90">
      <c r="A90" s="2" t="s">
        <v>2004</v>
      </c>
      <c r="B90" s="100">
        <v>44627.0</v>
      </c>
      <c r="C90" s="101">
        <v>0.3200925925925926</v>
      </c>
      <c r="G90" s="2" t="s">
        <v>2184</v>
      </c>
      <c r="H90" s="2" t="s">
        <v>244</v>
      </c>
      <c r="I90" s="100">
        <v>44627.0</v>
      </c>
      <c r="J90" s="101">
        <v>0.4778935185185185</v>
      </c>
      <c r="K90" s="2">
        <v>1.0</v>
      </c>
      <c r="L90" s="2" t="b">
        <v>1</v>
      </c>
      <c r="M90" s="2" t="s">
        <v>2466</v>
      </c>
      <c r="N90" s="2" t="s">
        <v>247</v>
      </c>
    </row>
    <row r="91">
      <c r="A91" s="2" t="s">
        <v>2002</v>
      </c>
      <c r="B91" s="100">
        <v>44627.0</v>
      </c>
      <c r="C91" s="101">
        <v>0.3199768518518519</v>
      </c>
      <c r="G91" s="2" t="s">
        <v>2184</v>
      </c>
      <c r="H91" s="2" t="s">
        <v>244</v>
      </c>
      <c r="I91" s="100">
        <v>44627.0</v>
      </c>
      <c r="J91" s="101">
        <v>0.4778935185185185</v>
      </c>
      <c r="K91" s="2">
        <v>1.0</v>
      </c>
      <c r="L91" s="2" t="b">
        <v>1</v>
      </c>
      <c r="M91" s="2" t="s">
        <v>2466</v>
      </c>
      <c r="N91" s="2" t="s">
        <v>247</v>
      </c>
    </row>
    <row r="92">
      <c r="A92" s="2" t="s">
        <v>2000</v>
      </c>
      <c r="B92" s="100">
        <v>44627.0</v>
      </c>
      <c r="C92" s="101">
        <v>0.31984953703703706</v>
      </c>
      <c r="G92" s="2" t="s">
        <v>2184</v>
      </c>
      <c r="H92" s="2" t="s">
        <v>244</v>
      </c>
      <c r="I92" s="100">
        <v>44627.0</v>
      </c>
      <c r="J92" s="101">
        <v>0.4778935185185185</v>
      </c>
      <c r="K92" s="2">
        <v>1.0</v>
      </c>
      <c r="L92" s="2" t="b">
        <v>1</v>
      </c>
      <c r="M92" s="2" t="s">
        <v>2466</v>
      </c>
      <c r="N92" s="2" t="s">
        <v>247</v>
      </c>
    </row>
    <row r="93">
      <c r="A93" s="2" t="s">
        <v>1998</v>
      </c>
      <c r="B93" s="100">
        <v>44627.0</v>
      </c>
      <c r="C93" s="101">
        <v>0.318125</v>
      </c>
      <c r="G93" s="2" t="s">
        <v>2184</v>
      </c>
      <c r="H93" s="2" t="s">
        <v>244</v>
      </c>
      <c r="I93" s="100">
        <v>44627.0</v>
      </c>
      <c r="J93" s="101">
        <v>0.4778935185185185</v>
      </c>
      <c r="K93" s="2">
        <v>1.0</v>
      </c>
      <c r="L93" s="2" t="b">
        <v>1</v>
      </c>
      <c r="M93" s="2" t="s">
        <v>2466</v>
      </c>
      <c r="N93" s="2" t="s">
        <v>247</v>
      </c>
    </row>
    <row r="94">
      <c r="A94" s="2" t="s">
        <v>1996</v>
      </c>
      <c r="B94" s="100">
        <v>44627.0</v>
      </c>
      <c r="C94" s="101">
        <v>0.3145833333333333</v>
      </c>
      <c r="G94" s="2" t="s">
        <v>2184</v>
      </c>
      <c r="H94" s="2" t="s">
        <v>244</v>
      </c>
      <c r="I94" s="100">
        <v>44627.0</v>
      </c>
      <c r="J94" s="101">
        <v>0.4778935185185185</v>
      </c>
      <c r="K94" s="2">
        <v>1.0</v>
      </c>
      <c r="L94" s="2" t="b">
        <v>1</v>
      </c>
      <c r="M94" s="2" t="s">
        <v>2466</v>
      </c>
      <c r="N94" s="2" t="s">
        <v>247</v>
      </c>
    </row>
    <row r="95">
      <c r="A95" s="2" t="s">
        <v>1994</v>
      </c>
      <c r="B95" s="100">
        <v>44627.0</v>
      </c>
      <c r="C95" s="101">
        <v>0.31363425925925925</v>
      </c>
      <c r="G95" s="2" t="s">
        <v>2184</v>
      </c>
      <c r="H95" s="2" t="s">
        <v>244</v>
      </c>
      <c r="I95" s="100">
        <v>44627.0</v>
      </c>
      <c r="J95" s="101">
        <v>0.4778935185185185</v>
      </c>
      <c r="K95" s="2">
        <v>1.0</v>
      </c>
      <c r="L95" s="2" t="b">
        <v>1</v>
      </c>
      <c r="M95" s="2" t="s">
        <v>2466</v>
      </c>
      <c r="N95" s="2" t="s">
        <v>247</v>
      </c>
    </row>
    <row r="96">
      <c r="A96" s="2" t="s">
        <v>1992</v>
      </c>
      <c r="B96" s="100">
        <v>44627.0</v>
      </c>
      <c r="C96" s="101">
        <v>0.31277777777777777</v>
      </c>
      <c r="G96" s="2" t="s">
        <v>2184</v>
      </c>
      <c r="H96" s="2" t="s">
        <v>244</v>
      </c>
      <c r="I96" s="100">
        <v>44627.0</v>
      </c>
      <c r="J96" s="101">
        <v>0.4778935185185185</v>
      </c>
      <c r="K96" s="2">
        <v>1.0</v>
      </c>
      <c r="L96" s="2" t="b">
        <v>1</v>
      </c>
      <c r="M96" s="2" t="s">
        <v>2466</v>
      </c>
      <c r="N96" s="2" t="s">
        <v>247</v>
      </c>
    </row>
    <row r="97">
      <c r="A97" s="2" t="s">
        <v>1990</v>
      </c>
      <c r="B97" s="100">
        <v>44627.0</v>
      </c>
      <c r="C97" s="101">
        <v>0.3088194444444444</v>
      </c>
      <c r="G97" s="2" t="s">
        <v>2184</v>
      </c>
      <c r="H97" s="2" t="s">
        <v>244</v>
      </c>
      <c r="I97" s="100">
        <v>44627.0</v>
      </c>
      <c r="J97" s="101">
        <v>0.4778935185185185</v>
      </c>
      <c r="K97" s="2">
        <v>1.0</v>
      </c>
      <c r="L97" s="2" t="b">
        <v>1</v>
      </c>
      <c r="M97" s="2" t="s">
        <v>2466</v>
      </c>
      <c r="N97" s="2" t="s">
        <v>247</v>
      </c>
    </row>
    <row r="98">
      <c r="A98" s="2" t="s">
        <v>1988</v>
      </c>
      <c r="B98" s="100">
        <v>44627.0</v>
      </c>
      <c r="C98" s="101">
        <v>0.3037152777777778</v>
      </c>
      <c r="G98" s="2" t="s">
        <v>2184</v>
      </c>
      <c r="H98" s="2" t="s">
        <v>244</v>
      </c>
      <c r="I98" s="100">
        <v>44627.0</v>
      </c>
      <c r="J98" s="101">
        <v>0.4778935185185185</v>
      </c>
      <c r="K98" s="2">
        <v>1.0</v>
      </c>
      <c r="L98" s="2" t="b">
        <v>1</v>
      </c>
      <c r="M98" s="2" t="s">
        <v>2466</v>
      </c>
      <c r="N98" s="2" t="s">
        <v>247</v>
      </c>
    </row>
    <row r="99">
      <c r="A99" s="2" t="s">
        <v>1986</v>
      </c>
      <c r="B99" s="100">
        <v>44627.0</v>
      </c>
      <c r="C99" s="101">
        <v>0.2971412037037037</v>
      </c>
      <c r="G99" s="2" t="s">
        <v>2184</v>
      </c>
      <c r="H99" s="2" t="s">
        <v>244</v>
      </c>
      <c r="I99" s="100">
        <v>44627.0</v>
      </c>
      <c r="J99" s="101">
        <v>0.4778935185185185</v>
      </c>
      <c r="K99" s="2">
        <v>1.0</v>
      </c>
      <c r="L99" s="2" t="b">
        <v>1</v>
      </c>
      <c r="M99" s="2" t="s">
        <v>2466</v>
      </c>
      <c r="N99" s="2" t="s">
        <v>247</v>
      </c>
    </row>
    <row r="100">
      <c r="A100" s="2" t="s">
        <v>1984</v>
      </c>
      <c r="B100" s="100">
        <v>44627.0</v>
      </c>
      <c r="C100" s="101">
        <v>0.2964351851851852</v>
      </c>
      <c r="G100" s="2" t="s">
        <v>2184</v>
      </c>
      <c r="H100" s="2" t="s">
        <v>244</v>
      </c>
      <c r="I100" s="100">
        <v>44627.0</v>
      </c>
      <c r="J100" s="101">
        <v>0.4778935185185185</v>
      </c>
      <c r="K100" s="2">
        <v>1.0</v>
      </c>
      <c r="L100" s="2" t="b">
        <v>1</v>
      </c>
      <c r="M100" s="2" t="s">
        <v>2466</v>
      </c>
      <c r="N100" s="2" t="s">
        <v>247</v>
      </c>
    </row>
    <row r="101">
      <c r="A101" s="2" t="s">
        <v>1982</v>
      </c>
      <c r="B101" s="100">
        <v>44627.0</v>
      </c>
      <c r="C101" s="101">
        <v>0.2957175925925926</v>
      </c>
      <c r="G101" s="2" t="s">
        <v>2184</v>
      </c>
      <c r="H101" s="2" t="s">
        <v>244</v>
      </c>
      <c r="I101" s="100">
        <v>44627.0</v>
      </c>
      <c r="J101" s="101">
        <v>0.4778935185185185</v>
      </c>
      <c r="K101" s="2">
        <v>1.0</v>
      </c>
      <c r="L101" s="2" t="b">
        <v>1</v>
      </c>
      <c r="M101" s="2" t="s">
        <v>2466</v>
      </c>
      <c r="N101" s="2" t="s">
        <v>247</v>
      </c>
    </row>
    <row r="102">
      <c r="A102" s="2" t="s">
        <v>1980</v>
      </c>
      <c r="B102" s="100">
        <v>44627.0</v>
      </c>
      <c r="C102" s="101">
        <v>0.29409722222222223</v>
      </c>
      <c r="G102" s="2" t="s">
        <v>2184</v>
      </c>
      <c r="H102" s="2" t="s">
        <v>244</v>
      </c>
      <c r="I102" s="100">
        <v>44627.0</v>
      </c>
      <c r="J102" s="101">
        <v>0.4778935185185185</v>
      </c>
      <c r="K102" s="2">
        <v>1.0</v>
      </c>
      <c r="L102" s="2" t="b">
        <v>1</v>
      </c>
      <c r="M102" s="2" t="s">
        <v>2466</v>
      </c>
      <c r="N102" s="2" t="s">
        <v>247</v>
      </c>
    </row>
    <row r="103">
      <c r="A103" s="2" t="s">
        <v>1978</v>
      </c>
      <c r="B103" s="100">
        <v>44627.0</v>
      </c>
      <c r="C103" s="101">
        <v>0.28903935185185187</v>
      </c>
      <c r="G103" s="2" t="s">
        <v>2184</v>
      </c>
      <c r="H103" s="2" t="s">
        <v>244</v>
      </c>
      <c r="I103" s="100">
        <v>44627.0</v>
      </c>
      <c r="J103" s="101">
        <v>0.4778935185185185</v>
      </c>
      <c r="K103" s="2">
        <v>1.0</v>
      </c>
      <c r="L103" s="2" t="b">
        <v>1</v>
      </c>
      <c r="M103" s="2" t="s">
        <v>2466</v>
      </c>
      <c r="N103" s="2" t="s">
        <v>247</v>
      </c>
    </row>
    <row r="104">
      <c r="A104" s="2" t="s">
        <v>1976</v>
      </c>
      <c r="B104" s="100">
        <v>44627.0</v>
      </c>
      <c r="C104" s="101">
        <v>0.27618055555555554</v>
      </c>
      <c r="G104" s="2" t="s">
        <v>2184</v>
      </c>
      <c r="H104" s="2" t="s">
        <v>244</v>
      </c>
      <c r="I104" s="100">
        <v>44627.0</v>
      </c>
      <c r="J104" s="101">
        <v>0.4778935185185185</v>
      </c>
      <c r="K104" s="2">
        <v>1.0</v>
      </c>
      <c r="L104" s="2" t="b">
        <v>1</v>
      </c>
      <c r="M104" s="2" t="s">
        <v>2466</v>
      </c>
      <c r="N104" s="2" t="s">
        <v>247</v>
      </c>
    </row>
    <row r="105">
      <c r="A105" s="2" t="s">
        <v>1973</v>
      </c>
      <c r="B105" s="100">
        <v>44625.0</v>
      </c>
      <c r="C105" s="101">
        <v>0.43181712962962965</v>
      </c>
      <c r="G105" s="2" t="s">
        <v>2184</v>
      </c>
      <c r="H105" s="2" t="s">
        <v>244</v>
      </c>
      <c r="I105" s="100">
        <v>44625.0</v>
      </c>
      <c r="J105" s="101">
        <v>0.48975694444444445</v>
      </c>
      <c r="K105" s="2">
        <v>1.0</v>
      </c>
      <c r="L105" s="2" t="b">
        <v>1</v>
      </c>
      <c r="M105" s="2" t="s">
        <v>2467</v>
      </c>
      <c r="N105" s="2" t="s">
        <v>247</v>
      </c>
    </row>
    <row r="106">
      <c r="A106" s="2" t="s">
        <v>1971</v>
      </c>
      <c r="B106" s="100">
        <v>44625.0</v>
      </c>
      <c r="C106" s="101">
        <v>0.39457175925925925</v>
      </c>
      <c r="G106" s="2" t="s">
        <v>2184</v>
      </c>
      <c r="H106" s="2" t="s">
        <v>244</v>
      </c>
      <c r="I106" s="100">
        <v>44625.0</v>
      </c>
      <c r="J106" s="101">
        <v>0.48975694444444445</v>
      </c>
      <c r="K106" s="2">
        <v>1.0</v>
      </c>
      <c r="L106" s="2" t="b">
        <v>1</v>
      </c>
      <c r="M106" s="2" t="s">
        <v>2467</v>
      </c>
      <c r="N106" s="2" t="s">
        <v>247</v>
      </c>
    </row>
    <row r="107">
      <c r="A107" s="2" t="s">
        <v>1969</v>
      </c>
      <c r="B107" s="100">
        <v>44625.0</v>
      </c>
      <c r="C107" s="101">
        <v>0.3943171296296296</v>
      </c>
      <c r="G107" s="2" t="s">
        <v>2184</v>
      </c>
      <c r="H107" s="2" t="s">
        <v>244</v>
      </c>
      <c r="I107" s="100">
        <v>44625.0</v>
      </c>
      <c r="J107" s="101">
        <v>0.48975694444444445</v>
      </c>
      <c r="K107" s="2">
        <v>1.0</v>
      </c>
      <c r="L107" s="2" t="b">
        <v>1</v>
      </c>
      <c r="M107" s="2" t="s">
        <v>2467</v>
      </c>
      <c r="N107" s="2" t="s">
        <v>247</v>
      </c>
    </row>
    <row r="108">
      <c r="A108" s="2" t="s">
        <v>1967</v>
      </c>
      <c r="B108" s="100">
        <v>44625.0</v>
      </c>
      <c r="C108" s="101">
        <v>0.3939930555555556</v>
      </c>
      <c r="G108" s="2" t="s">
        <v>2184</v>
      </c>
      <c r="H108" s="2" t="s">
        <v>244</v>
      </c>
      <c r="I108" s="100">
        <v>44625.0</v>
      </c>
      <c r="J108" s="101">
        <v>0.48998842592592595</v>
      </c>
      <c r="K108" s="2">
        <v>1.0</v>
      </c>
      <c r="L108" s="2" t="b">
        <v>1</v>
      </c>
      <c r="N108" s="2" t="s">
        <v>247</v>
      </c>
    </row>
    <row r="109">
      <c r="A109" s="2" t="s">
        <v>1965</v>
      </c>
      <c r="B109" s="100">
        <v>44625.0</v>
      </c>
      <c r="C109" s="101">
        <v>0.3858333333333333</v>
      </c>
      <c r="G109" s="2" t="s">
        <v>2184</v>
      </c>
      <c r="H109" s="2" t="s">
        <v>244</v>
      </c>
      <c r="I109" s="100">
        <v>44625.0</v>
      </c>
      <c r="J109" s="101">
        <v>0.48975694444444445</v>
      </c>
      <c r="K109" s="2">
        <v>1.0</v>
      </c>
      <c r="L109" s="2" t="b">
        <v>1</v>
      </c>
      <c r="M109" s="2" t="s">
        <v>2467</v>
      </c>
      <c r="N109" s="2" t="s">
        <v>247</v>
      </c>
    </row>
    <row r="110">
      <c r="A110" s="2" t="s">
        <v>1963</v>
      </c>
      <c r="B110" s="100">
        <v>44625.0</v>
      </c>
      <c r="C110" s="101">
        <v>0.36768518518518517</v>
      </c>
      <c r="G110" s="2" t="s">
        <v>2184</v>
      </c>
      <c r="H110" s="2" t="s">
        <v>244</v>
      </c>
      <c r="I110" s="100">
        <v>44625.0</v>
      </c>
      <c r="J110" s="101">
        <v>0.48975694444444445</v>
      </c>
      <c r="K110" s="2">
        <v>1.0</v>
      </c>
      <c r="L110" s="2" t="b">
        <v>1</v>
      </c>
      <c r="M110" s="2" t="s">
        <v>2467</v>
      </c>
      <c r="N110" s="2" t="s">
        <v>247</v>
      </c>
    </row>
    <row r="111">
      <c r="A111" s="2" t="s">
        <v>1961</v>
      </c>
      <c r="B111" s="100">
        <v>44625.0</v>
      </c>
      <c r="C111" s="101">
        <v>0.35530092592592594</v>
      </c>
      <c r="G111" s="2" t="s">
        <v>2184</v>
      </c>
      <c r="H111" s="2" t="s">
        <v>52</v>
      </c>
      <c r="I111" s="100">
        <v>44627.0</v>
      </c>
      <c r="J111" s="101">
        <v>0.4779861111111111</v>
      </c>
      <c r="K111" s="2">
        <v>1.0</v>
      </c>
      <c r="L111" s="2" t="b">
        <v>1</v>
      </c>
      <c r="N111" s="2" t="s">
        <v>247</v>
      </c>
    </row>
    <row r="112">
      <c r="A112" s="2" t="s">
        <v>1959</v>
      </c>
      <c r="B112" s="100">
        <v>44625.0</v>
      </c>
      <c r="C112" s="101">
        <v>0.3421875</v>
      </c>
      <c r="G112" s="2" t="s">
        <v>2184</v>
      </c>
      <c r="H112" s="2" t="s">
        <v>244</v>
      </c>
      <c r="I112" s="100">
        <v>44625.0</v>
      </c>
      <c r="J112" s="101">
        <v>0.48975694444444445</v>
      </c>
      <c r="K112" s="2">
        <v>1.0</v>
      </c>
      <c r="L112" s="2" t="b">
        <v>1</v>
      </c>
      <c r="M112" s="2" t="s">
        <v>2467</v>
      </c>
      <c r="N112" s="2" t="s">
        <v>247</v>
      </c>
    </row>
    <row r="113">
      <c r="A113" s="2" t="s">
        <v>1957</v>
      </c>
      <c r="B113" s="100">
        <v>44625.0</v>
      </c>
      <c r="C113" s="101">
        <v>0.34193287037037035</v>
      </c>
      <c r="G113" s="2" t="s">
        <v>2184</v>
      </c>
      <c r="H113" s="2" t="s">
        <v>244</v>
      </c>
      <c r="I113" s="100">
        <v>44625.0</v>
      </c>
      <c r="J113" s="101">
        <v>0.48975694444444445</v>
      </c>
      <c r="K113" s="2">
        <v>1.0</v>
      </c>
      <c r="L113" s="2" t="b">
        <v>1</v>
      </c>
      <c r="M113" s="2" t="s">
        <v>2467</v>
      </c>
      <c r="N113" s="2" t="s">
        <v>247</v>
      </c>
    </row>
    <row r="114">
      <c r="A114" s="2" t="s">
        <v>1955</v>
      </c>
      <c r="B114" s="100">
        <v>44625.0</v>
      </c>
      <c r="C114" s="101">
        <v>0.3416666666666667</v>
      </c>
      <c r="G114" s="2" t="s">
        <v>2184</v>
      </c>
      <c r="H114" s="2" t="s">
        <v>244</v>
      </c>
      <c r="I114" s="100">
        <v>44625.0</v>
      </c>
      <c r="J114" s="101">
        <v>0.48975694444444445</v>
      </c>
      <c r="K114" s="2">
        <v>1.0</v>
      </c>
      <c r="L114" s="2" t="b">
        <v>1</v>
      </c>
      <c r="M114" s="2" t="s">
        <v>2467</v>
      </c>
      <c r="N114" s="2" t="s">
        <v>247</v>
      </c>
    </row>
    <row r="115">
      <c r="A115" s="2" t="s">
        <v>1953</v>
      </c>
      <c r="B115" s="100">
        <v>44625.0</v>
      </c>
      <c r="C115" s="101">
        <v>0.3350462962962963</v>
      </c>
      <c r="G115" s="2" t="s">
        <v>2184</v>
      </c>
      <c r="H115" s="2" t="s">
        <v>244</v>
      </c>
      <c r="I115" s="100">
        <v>44625.0</v>
      </c>
      <c r="J115" s="101">
        <v>0.48975694444444445</v>
      </c>
      <c r="K115" s="2">
        <v>1.0</v>
      </c>
      <c r="L115" s="2" t="b">
        <v>1</v>
      </c>
      <c r="M115" s="2" t="s">
        <v>2467</v>
      </c>
      <c r="N115" s="2" t="s">
        <v>247</v>
      </c>
    </row>
    <row r="116">
      <c r="A116" s="2" t="s">
        <v>1951</v>
      </c>
      <c r="B116" s="100">
        <v>44625.0</v>
      </c>
      <c r="C116" s="101">
        <v>0.3324884259259259</v>
      </c>
      <c r="G116" s="2" t="s">
        <v>2184</v>
      </c>
      <c r="H116" s="2" t="s">
        <v>244</v>
      </c>
      <c r="I116" s="100">
        <v>44625.0</v>
      </c>
      <c r="J116" s="101">
        <v>0.48975694444444445</v>
      </c>
      <c r="K116" s="2">
        <v>1.0</v>
      </c>
      <c r="L116" s="2" t="b">
        <v>1</v>
      </c>
      <c r="M116" s="2" t="s">
        <v>2467</v>
      </c>
      <c r="N116" s="2" t="s">
        <v>247</v>
      </c>
    </row>
    <row r="117">
      <c r="A117" s="2" t="s">
        <v>1949</v>
      </c>
      <c r="B117" s="100">
        <v>44625.0</v>
      </c>
      <c r="C117" s="101">
        <v>0.33188657407407407</v>
      </c>
      <c r="G117" s="2" t="s">
        <v>2184</v>
      </c>
      <c r="H117" s="2" t="s">
        <v>244</v>
      </c>
      <c r="I117" s="100">
        <v>44625.0</v>
      </c>
      <c r="J117" s="101">
        <v>0.48975694444444445</v>
      </c>
      <c r="K117" s="2">
        <v>1.0</v>
      </c>
      <c r="L117" s="2" t="b">
        <v>1</v>
      </c>
      <c r="M117" s="2" t="s">
        <v>2467</v>
      </c>
      <c r="N117" s="2" t="s">
        <v>247</v>
      </c>
    </row>
    <row r="118">
      <c r="A118" s="2" t="s">
        <v>1947</v>
      </c>
      <c r="B118" s="100">
        <v>44625.0</v>
      </c>
      <c r="C118" s="101">
        <v>0.3232175925925926</v>
      </c>
      <c r="G118" s="2" t="s">
        <v>2184</v>
      </c>
      <c r="H118" s="2" t="s">
        <v>244</v>
      </c>
      <c r="I118" s="100">
        <v>44625.0</v>
      </c>
      <c r="J118" s="101">
        <v>0.48997685185185186</v>
      </c>
      <c r="K118" s="2">
        <v>1.0</v>
      </c>
      <c r="L118" s="2" t="b">
        <v>1</v>
      </c>
      <c r="N118" s="2" t="s">
        <v>247</v>
      </c>
    </row>
    <row r="119">
      <c r="A119" s="2" t="s">
        <v>1945</v>
      </c>
      <c r="B119" s="100">
        <v>44625.0</v>
      </c>
      <c r="C119" s="101">
        <v>0.3190277777777778</v>
      </c>
      <c r="G119" s="2" t="s">
        <v>2184</v>
      </c>
      <c r="H119" s="2" t="s">
        <v>244</v>
      </c>
      <c r="I119" s="100">
        <v>44625.0</v>
      </c>
      <c r="J119" s="101">
        <v>0.48975694444444445</v>
      </c>
      <c r="K119" s="2">
        <v>1.0</v>
      </c>
      <c r="L119" s="2" t="b">
        <v>1</v>
      </c>
      <c r="M119" s="2" t="s">
        <v>2467</v>
      </c>
      <c r="N119" s="2" t="s">
        <v>247</v>
      </c>
    </row>
    <row r="120">
      <c r="A120" s="2" t="s">
        <v>1943</v>
      </c>
      <c r="B120" s="100">
        <v>44625.0</v>
      </c>
      <c r="C120" s="101">
        <v>0.3188888888888889</v>
      </c>
      <c r="G120" s="2" t="s">
        <v>2184</v>
      </c>
      <c r="H120" s="2" t="s">
        <v>244</v>
      </c>
      <c r="I120" s="100">
        <v>44627.0</v>
      </c>
      <c r="J120" s="101">
        <v>0.47788194444444443</v>
      </c>
      <c r="K120" s="2">
        <v>1.0</v>
      </c>
      <c r="L120" s="2" t="b">
        <v>1</v>
      </c>
      <c r="M120" s="2" t="s">
        <v>2466</v>
      </c>
      <c r="N120" s="2" t="s">
        <v>247</v>
      </c>
    </row>
    <row r="121">
      <c r="A121" s="2" t="s">
        <v>1941</v>
      </c>
      <c r="B121" s="100">
        <v>44625.0</v>
      </c>
      <c r="C121" s="101">
        <v>0.31592592592592594</v>
      </c>
      <c r="G121" s="2" t="s">
        <v>2184</v>
      </c>
      <c r="H121" s="2" t="s">
        <v>244</v>
      </c>
      <c r="I121" s="100">
        <v>44625.0</v>
      </c>
      <c r="J121" s="101">
        <v>0.48975694444444445</v>
      </c>
      <c r="K121" s="2">
        <v>1.0</v>
      </c>
      <c r="L121" s="2" t="b">
        <v>1</v>
      </c>
      <c r="M121" s="2" t="s">
        <v>2467</v>
      </c>
      <c r="N121" s="2" t="s">
        <v>247</v>
      </c>
    </row>
    <row r="122">
      <c r="A122" s="2" t="s">
        <v>1939</v>
      </c>
      <c r="B122" s="100">
        <v>44625.0</v>
      </c>
      <c r="C122" s="101">
        <v>0.3158564814814815</v>
      </c>
      <c r="G122" s="2" t="s">
        <v>2184</v>
      </c>
      <c r="H122" s="2" t="s">
        <v>244</v>
      </c>
      <c r="I122" s="100">
        <v>44625.0</v>
      </c>
      <c r="J122" s="101">
        <v>0.48974537037037036</v>
      </c>
      <c r="K122" s="2">
        <v>1.0</v>
      </c>
      <c r="L122" s="2" t="b">
        <v>1</v>
      </c>
      <c r="M122" s="2" t="s">
        <v>2467</v>
      </c>
      <c r="N122" s="2" t="s">
        <v>247</v>
      </c>
    </row>
    <row r="123">
      <c r="A123" s="2" t="s">
        <v>1937</v>
      </c>
      <c r="B123" s="100">
        <v>44625.0</v>
      </c>
      <c r="C123" s="101">
        <v>0.3150115740740741</v>
      </c>
      <c r="G123" s="2" t="s">
        <v>2184</v>
      </c>
      <c r="H123" s="2" t="s">
        <v>244</v>
      </c>
      <c r="I123" s="100">
        <v>44625.0</v>
      </c>
      <c r="J123" s="101">
        <v>0.48974537037037036</v>
      </c>
      <c r="K123" s="2">
        <v>1.0</v>
      </c>
      <c r="L123" s="2" t="b">
        <v>1</v>
      </c>
      <c r="M123" s="2" t="s">
        <v>2467</v>
      </c>
      <c r="N123" s="2" t="s">
        <v>247</v>
      </c>
    </row>
    <row r="124">
      <c r="A124" s="2" t="s">
        <v>1935</v>
      </c>
      <c r="B124" s="100">
        <v>44625.0</v>
      </c>
      <c r="C124" s="101">
        <v>0.3109953703703704</v>
      </c>
      <c r="G124" s="2" t="s">
        <v>2184</v>
      </c>
      <c r="H124" s="2" t="s">
        <v>244</v>
      </c>
      <c r="I124" s="100">
        <v>44625.0</v>
      </c>
      <c r="J124" s="101">
        <v>0.48974537037037036</v>
      </c>
      <c r="K124" s="2">
        <v>1.0</v>
      </c>
      <c r="L124" s="2" t="b">
        <v>1</v>
      </c>
      <c r="M124" s="2" t="s">
        <v>2467</v>
      </c>
      <c r="N124" s="2" t="s">
        <v>247</v>
      </c>
    </row>
    <row r="125">
      <c r="A125" s="2" t="s">
        <v>1933</v>
      </c>
      <c r="B125" s="100">
        <v>44625.0</v>
      </c>
      <c r="C125" s="101">
        <v>0.3107523148148148</v>
      </c>
      <c r="G125" s="2" t="s">
        <v>2184</v>
      </c>
      <c r="H125" s="2" t="s">
        <v>244</v>
      </c>
      <c r="I125" s="100">
        <v>44625.0</v>
      </c>
      <c r="J125" s="101">
        <v>0.48974537037037036</v>
      </c>
      <c r="K125" s="2">
        <v>1.0</v>
      </c>
      <c r="L125" s="2" t="b">
        <v>1</v>
      </c>
      <c r="M125" s="2" t="s">
        <v>2467</v>
      </c>
      <c r="N125" s="2" t="s">
        <v>247</v>
      </c>
    </row>
    <row r="126">
      <c r="A126" s="2" t="s">
        <v>1931</v>
      </c>
      <c r="B126" s="100">
        <v>44625.0</v>
      </c>
      <c r="C126" s="101">
        <v>0.3098148148148148</v>
      </c>
      <c r="G126" s="2" t="s">
        <v>2184</v>
      </c>
      <c r="H126" s="2" t="s">
        <v>244</v>
      </c>
      <c r="I126" s="100">
        <v>44625.0</v>
      </c>
      <c r="J126" s="101">
        <v>0.48974537037037036</v>
      </c>
      <c r="K126" s="2">
        <v>1.0</v>
      </c>
      <c r="L126" s="2" t="b">
        <v>1</v>
      </c>
      <c r="M126" s="2" t="s">
        <v>2467</v>
      </c>
      <c r="N126" s="2" t="s">
        <v>247</v>
      </c>
    </row>
    <row r="127">
      <c r="A127" s="2" t="s">
        <v>1929</v>
      </c>
      <c r="B127" s="100">
        <v>44625.0</v>
      </c>
      <c r="C127" s="101">
        <v>0.30886574074074075</v>
      </c>
      <c r="G127" s="2" t="s">
        <v>2184</v>
      </c>
      <c r="H127" s="2" t="s">
        <v>244</v>
      </c>
      <c r="I127" s="100">
        <v>44625.0</v>
      </c>
      <c r="J127" s="101">
        <v>0.48974537037037036</v>
      </c>
      <c r="K127" s="2">
        <v>1.0</v>
      </c>
      <c r="L127" s="2" t="b">
        <v>1</v>
      </c>
      <c r="M127" s="2" t="s">
        <v>2467</v>
      </c>
      <c r="N127" s="2" t="s">
        <v>247</v>
      </c>
    </row>
    <row r="128">
      <c r="A128" s="2" t="s">
        <v>1927</v>
      </c>
      <c r="B128" s="100">
        <v>44625.0</v>
      </c>
      <c r="C128" s="101">
        <v>0.308599537037037</v>
      </c>
      <c r="G128" s="2" t="s">
        <v>2184</v>
      </c>
      <c r="H128" s="2" t="s">
        <v>244</v>
      </c>
      <c r="I128" s="100">
        <v>44625.0</v>
      </c>
      <c r="J128" s="101">
        <v>0.48974537037037036</v>
      </c>
      <c r="K128" s="2">
        <v>1.0</v>
      </c>
      <c r="L128" s="2" t="b">
        <v>1</v>
      </c>
      <c r="M128" s="2" t="s">
        <v>2467</v>
      </c>
      <c r="N128" s="2" t="s">
        <v>247</v>
      </c>
    </row>
    <row r="129">
      <c r="A129" s="2" t="s">
        <v>1925</v>
      </c>
      <c r="B129" s="100">
        <v>44625.0</v>
      </c>
      <c r="C129" s="101">
        <v>0.3079861111111111</v>
      </c>
      <c r="G129" s="2" t="s">
        <v>2184</v>
      </c>
      <c r="H129" s="2" t="s">
        <v>244</v>
      </c>
      <c r="I129" s="100">
        <v>44625.0</v>
      </c>
      <c r="J129" s="101">
        <v>0.48974537037037036</v>
      </c>
      <c r="K129" s="2">
        <v>1.0</v>
      </c>
      <c r="L129" s="2" t="b">
        <v>1</v>
      </c>
      <c r="M129" s="2" t="s">
        <v>2467</v>
      </c>
      <c r="N129" s="2" t="s">
        <v>247</v>
      </c>
    </row>
    <row r="130">
      <c r="A130" s="2" t="s">
        <v>1923</v>
      </c>
      <c r="B130" s="100">
        <v>44625.0</v>
      </c>
      <c r="C130" s="101">
        <v>0.30789351851851854</v>
      </c>
      <c r="G130" s="2" t="s">
        <v>2184</v>
      </c>
      <c r="H130" s="2" t="s">
        <v>244</v>
      </c>
      <c r="I130" s="100">
        <v>44625.0</v>
      </c>
      <c r="J130" s="101">
        <v>0.48974537037037036</v>
      </c>
      <c r="K130" s="2">
        <v>1.0</v>
      </c>
      <c r="L130" s="2" t="b">
        <v>1</v>
      </c>
      <c r="M130" s="2" t="s">
        <v>2467</v>
      </c>
      <c r="N130" s="2" t="s">
        <v>247</v>
      </c>
    </row>
    <row r="131">
      <c r="A131" s="2" t="s">
        <v>1921</v>
      </c>
      <c r="B131" s="100">
        <v>44625.0</v>
      </c>
      <c r="C131" s="101">
        <v>0.30530092592592595</v>
      </c>
      <c r="G131" s="2" t="s">
        <v>2184</v>
      </c>
      <c r="H131" s="2" t="s">
        <v>244</v>
      </c>
      <c r="I131" s="100">
        <v>44625.0</v>
      </c>
      <c r="J131" s="101">
        <v>0.48974537037037036</v>
      </c>
      <c r="K131" s="2">
        <v>1.0</v>
      </c>
      <c r="L131" s="2" t="b">
        <v>1</v>
      </c>
      <c r="M131" s="2" t="s">
        <v>2467</v>
      </c>
      <c r="N131" s="2" t="s">
        <v>247</v>
      </c>
    </row>
    <row r="132">
      <c r="A132" s="2" t="s">
        <v>1919</v>
      </c>
      <c r="B132" s="100">
        <v>44625.0</v>
      </c>
      <c r="C132" s="101">
        <v>0.30115740740740743</v>
      </c>
      <c r="G132" s="2" t="s">
        <v>2184</v>
      </c>
      <c r="H132" s="2" t="s">
        <v>244</v>
      </c>
      <c r="I132" s="100">
        <v>44625.0</v>
      </c>
      <c r="J132" s="101">
        <v>0.48974537037037036</v>
      </c>
      <c r="K132" s="2">
        <v>1.0</v>
      </c>
      <c r="L132" s="2" t="b">
        <v>1</v>
      </c>
      <c r="M132" s="2" t="s">
        <v>2467</v>
      </c>
      <c r="N132" s="2" t="s">
        <v>247</v>
      </c>
    </row>
    <row r="133">
      <c r="A133" s="2" t="s">
        <v>1917</v>
      </c>
      <c r="B133" s="100">
        <v>44625.0</v>
      </c>
      <c r="C133" s="101">
        <v>0.29443287037037036</v>
      </c>
      <c r="G133" s="2" t="s">
        <v>2184</v>
      </c>
      <c r="H133" s="2" t="s">
        <v>244</v>
      </c>
      <c r="I133" s="100">
        <v>44625.0</v>
      </c>
      <c r="J133" s="101">
        <v>0.48974537037037036</v>
      </c>
      <c r="K133" s="2">
        <v>1.0</v>
      </c>
      <c r="L133" s="2" t="b">
        <v>1</v>
      </c>
      <c r="M133" s="2" t="s">
        <v>2467</v>
      </c>
      <c r="N133" s="2" t="s">
        <v>247</v>
      </c>
    </row>
    <row r="134">
      <c r="A134" s="2" t="s">
        <v>1915</v>
      </c>
      <c r="B134" s="100">
        <v>44625.0</v>
      </c>
      <c r="C134" s="101">
        <v>0.29268518518518516</v>
      </c>
      <c r="G134" s="2" t="s">
        <v>2184</v>
      </c>
      <c r="H134" s="2" t="s">
        <v>244</v>
      </c>
      <c r="I134" s="100">
        <v>44625.0</v>
      </c>
      <c r="J134" s="101">
        <v>0.48998842592592595</v>
      </c>
      <c r="K134" s="2">
        <v>1.0</v>
      </c>
      <c r="L134" s="2" t="b">
        <v>1</v>
      </c>
      <c r="N134" s="2" t="s">
        <v>247</v>
      </c>
    </row>
    <row r="135">
      <c r="A135" s="2" t="s">
        <v>1913</v>
      </c>
      <c r="B135" s="100">
        <v>44625.0</v>
      </c>
      <c r="C135" s="101">
        <v>0.28769675925925925</v>
      </c>
      <c r="G135" s="2" t="s">
        <v>2184</v>
      </c>
      <c r="H135" s="2" t="s">
        <v>244</v>
      </c>
      <c r="I135" s="100">
        <v>44625.0</v>
      </c>
      <c r="J135" s="101">
        <v>0.48974537037037036</v>
      </c>
      <c r="K135" s="2">
        <v>1.0</v>
      </c>
      <c r="L135" s="2" t="b">
        <v>1</v>
      </c>
      <c r="M135" s="2" t="s">
        <v>2467</v>
      </c>
      <c r="N135" s="2" t="s">
        <v>247</v>
      </c>
    </row>
    <row r="136">
      <c r="A136" s="2" t="s">
        <v>1911</v>
      </c>
      <c r="B136" s="100">
        <v>44625.0</v>
      </c>
      <c r="C136" s="101">
        <v>0.2726851851851852</v>
      </c>
      <c r="G136" s="2" t="s">
        <v>2184</v>
      </c>
      <c r="H136" s="2" t="s">
        <v>244</v>
      </c>
      <c r="I136" s="100">
        <v>44625.0</v>
      </c>
      <c r="J136" s="101">
        <v>0.48974537037037036</v>
      </c>
      <c r="K136" s="2">
        <v>1.0</v>
      </c>
      <c r="L136" s="2" t="b">
        <v>1</v>
      </c>
      <c r="M136" s="2" t="s">
        <v>2467</v>
      </c>
      <c r="N136" s="2" t="s">
        <v>247</v>
      </c>
    </row>
    <row r="137">
      <c r="A137" s="2" t="s">
        <v>1909</v>
      </c>
      <c r="B137" s="100">
        <v>44625.0</v>
      </c>
      <c r="C137" s="101">
        <v>0.2703587962962963</v>
      </c>
      <c r="G137" s="2" t="s">
        <v>2184</v>
      </c>
      <c r="H137" s="2" t="s">
        <v>244</v>
      </c>
      <c r="I137" s="100">
        <v>44625.0</v>
      </c>
      <c r="J137" s="101">
        <v>0.48974537037037036</v>
      </c>
      <c r="K137" s="2">
        <v>1.0</v>
      </c>
      <c r="L137" s="2" t="b">
        <v>1</v>
      </c>
      <c r="M137" s="2" t="s">
        <v>2467</v>
      </c>
      <c r="N137" s="2" t="s">
        <v>247</v>
      </c>
    </row>
    <row r="138">
      <c r="A138" s="2" t="s">
        <v>1907</v>
      </c>
      <c r="B138" s="100">
        <v>44625.0</v>
      </c>
      <c r="C138" s="101">
        <v>0.2652893518518519</v>
      </c>
      <c r="G138" s="2" t="s">
        <v>2184</v>
      </c>
      <c r="H138" s="2" t="s">
        <v>244</v>
      </c>
      <c r="I138" s="100">
        <v>44625.0</v>
      </c>
      <c r="J138" s="101">
        <v>0.48974537037037036</v>
      </c>
      <c r="K138" s="2">
        <v>1.0</v>
      </c>
      <c r="L138" s="2" t="b">
        <v>1</v>
      </c>
      <c r="M138" s="2" t="s">
        <v>2467</v>
      </c>
      <c r="N138" s="2" t="s">
        <v>247</v>
      </c>
    </row>
    <row r="139">
      <c r="A139" s="2" t="s">
        <v>1904</v>
      </c>
      <c r="B139" s="100">
        <v>44623.0</v>
      </c>
      <c r="C139" s="101">
        <v>0.4691666666666667</v>
      </c>
      <c r="G139" s="2" t="s">
        <v>2188</v>
      </c>
      <c r="H139" s="2" t="s">
        <v>254</v>
      </c>
      <c r="I139" s="100">
        <v>44861.0</v>
      </c>
      <c r="J139" s="101">
        <v>0.4895023148148148</v>
      </c>
      <c r="K139" s="2">
        <v>1.0</v>
      </c>
      <c r="N139" s="2" t="s">
        <v>247</v>
      </c>
    </row>
    <row r="140">
      <c r="A140" s="2" t="s">
        <v>1902</v>
      </c>
      <c r="B140" s="100">
        <v>44623.0</v>
      </c>
      <c r="C140" s="101">
        <v>0.4583564814814815</v>
      </c>
      <c r="G140" s="2" t="s">
        <v>2184</v>
      </c>
      <c r="H140" s="2" t="s">
        <v>244</v>
      </c>
      <c r="I140" s="100">
        <v>44623.0</v>
      </c>
      <c r="J140" s="101">
        <v>0.4606018518518519</v>
      </c>
      <c r="K140" s="2">
        <v>1.0</v>
      </c>
      <c r="L140" s="2" t="b">
        <v>0</v>
      </c>
      <c r="M140" s="2" t="s">
        <v>2468</v>
      </c>
      <c r="N140" s="2" t="s">
        <v>247</v>
      </c>
    </row>
    <row r="141">
      <c r="A141" s="2" t="s">
        <v>1899</v>
      </c>
      <c r="B141" s="100">
        <v>44623.0</v>
      </c>
      <c r="C141" s="101">
        <v>0.4114699074074074</v>
      </c>
      <c r="G141" s="2" t="s">
        <v>2184</v>
      </c>
      <c r="H141" s="2" t="s">
        <v>244</v>
      </c>
      <c r="I141" s="100">
        <v>44623.0</v>
      </c>
      <c r="J141" s="101">
        <v>0.4606018518518519</v>
      </c>
      <c r="K141" s="2">
        <v>1.0</v>
      </c>
      <c r="L141" s="2" t="b">
        <v>0</v>
      </c>
      <c r="M141" s="2" t="s">
        <v>2468</v>
      </c>
      <c r="N141" s="2" t="s">
        <v>247</v>
      </c>
    </row>
    <row r="142">
      <c r="A142" s="2" t="s">
        <v>1896</v>
      </c>
      <c r="B142" s="100">
        <v>44623.0</v>
      </c>
      <c r="C142" s="101">
        <v>0.3914930555555556</v>
      </c>
      <c r="G142" s="2" t="s">
        <v>2184</v>
      </c>
      <c r="H142" s="2" t="s">
        <v>52</v>
      </c>
      <c r="I142" s="100">
        <v>44623.0</v>
      </c>
      <c r="J142" s="101">
        <v>0.46038194444444447</v>
      </c>
      <c r="K142" s="2">
        <v>0.0</v>
      </c>
      <c r="L142" s="2" t="b">
        <v>0</v>
      </c>
      <c r="M142" s="2" t="s">
        <v>2468</v>
      </c>
      <c r="N142" s="2" t="s">
        <v>247</v>
      </c>
    </row>
    <row r="143">
      <c r="A143" s="2" t="s">
        <v>1893</v>
      </c>
      <c r="B143" s="100">
        <v>44623.0</v>
      </c>
      <c r="C143" s="101">
        <v>0.3912731481481482</v>
      </c>
      <c r="G143" s="2" t="s">
        <v>2184</v>
      </c>
      <c r="H143" s="2" t="s">
        <v>244</v>
      </c>
      <c r="I143" s="100">
        <v>44623.0</v>
      </c>
      <c r="J143" s="101">
        <v>0.4606018518518519</v>
      </c>
      <c r="K143" s="2">
        <v>0.0</v>
      </c>
      <c r="L143" s="2" t="b">
        <v>0</v>
      </c>
      <c r="M143" s="2" t="s">
        <v>2468</v>
      </c>
      <c r="N143" s="2" t="s">
        <v>247</v>
      </c>
    </row>
    <row r="144">
      <c r="A144" s="2" t="s">
        <v>1890</v>
      </c>
      <c r="B144" s="100">
        <v>44623.0</v>
      </c>
      <c r="C144" s="101">
        <v>0.3910416666666667</v>
      </c>
      <c r="G144" s="2" t="s">
        <v>2184</v>
      </c>
      <c r="H144" s="2" t="s">
        <v>52</v>
      </c>
      <c r="I144" s="100">
        <v>44623.0</v>
      </c>
      <c r="J144" s="101">
        <v>0.46038194444444447</v>
      </c>
      <c r="K144" s="2">
        <v>0.0</v>
      </c>
      <c r="L144" s="2" t="b">
        <v>0</v>
      </c>
      <c r="M144" s="2" t="s">
        <v>2468</v>
      </c>
      <c r="N144" s="2" t="s">
        <v>247</v>
      </c>
    </row>
    <row r="145">
      <c r="A145" s="2" t="s">
        <v>1887</v>
      </c>
      <c r="B145" s="100">
        <v>44623.0</v>
      </c>
      <c r="C145" s="101">
        <v>0.3907638888888889</v>
      </c>
      <c r="G145" s="2" t="s">
        <v>2184</v>
      </c>
      <c r="H145" s="2" t="s">
        <v>244</v>
      </c>
      <c r="I145" s="100">
        <v>44623.0</v>
      </c>
      <c r="J145" s="101">
        <v>0.4606018518518519</v>
      </c>
      <c r="K145" s="2">
        <v>0.0</v>
      </c>
      <c r="L145" s="2" t="b">
        <v>0</v>
      </c>
      <c r="M145" s="2" t="s">
        <v>2468</v>
      </c>
      <c r="N145" s="2" t="s">
        <v>247</v>
      </c>
    </row>
    <row r="146">
      <c r="A146" s="2" t="s">
        <v>1885</v>
      </c>
      <c r="B146" s="100">
        <v>44623.0</v>
      </c>
      <c r="C146" s="101">
        <v>0.3894097222222222</v>
      </c>
      <c r="G146" s="2" t="s">
        <v>2184</v>
      </c>
      <c r="H146" s="2" t="s">
        <v>244</v>
      </c>
      <c r="I146" s="100">
        <v>44623.0</v>
      </c>
      <c r="J146" s="101">
        <v>0.4606018518518519</v>
      </c>
      <c r="K146" s="2">
        <v>1.0</v>
      </c>
      <c r="L146" s="2" t="b">
        <v>0</v>
      </c>
      <c r="M146" s="2" t="s">
        <v>2468</v>
      </c>
      <c r="N146" s="2" t="s">
        <v>247</v>
      </c>
    </row>
    <row r="147">
      <c r="A147" s="2" t="s">
        <v>1883</v>
      </c>
      <c r="B147" s="100">
        <v>44623.0</v>
      </c>
      <c r="C147" s="101">
        <v>0.35480324074074077</v>
      </c>
      <c r="G147" s="2" t="s">
        <v>2184</v>
      </c>
      <c r="H147" s="2" t="s">
        <v>244</v>
      </c>
      <c r="I147" s="100">
        <v>44623.0</v>
      </c>
      <c r="J147" s="101">
        <v>0.4606018518518519</v>
      </c>
      <c r="K147" s="2">
        <v>1.0</v>
      </c>
      <c r="L147" s="2" t="b">
        <v>0</v>
      </c>
      <c r="M147" s="2" t="s">
        <v>2468</v>
      </c>
      <c r="N147" s="2" t="s">
        <v>247</v>
      </c>
    </row>
    <row r="148">
      <c r="A148" s="2" t="s">
        <v>1881</v>
      </c>
      <c r="B148" s="100">
        <v>44623.0</v>
      </c>
      <c r="C148" s="101">
        <v>0.3459143518518519</v>
      </c>
      <c r="G148" s="2" t="s">
        <v>2184</v>
      </c>
      <c r="H148" s="2" t="s">
        <v>244</v>
      </c>
      <c r="I148" s="100">
        <v>44623.0</v>
      </c>
      <c r="J148" s="101">
        <v>0.4606018518518519</v>
      </c>
      <c r="K148" s="2">
        <v>1.0</v>
      </c>
      <c r="L148" s="2" t="b">
        <v>0</v>
      </c>
      <c r="M148" s="2" t="s">
        <v>2468</v>
      </c>
      <c r="N148" s="2" t="s">
        <v>247</v>
      </c>
    </row>
    <row r="149">
      <c r="A149" s="2" t="s">
        <v>1879</v>
      </c>
      <c r="B149" s="100">
        <v>44623.0</v>
      </c>
      <c r="C149" s="101">
        <v>0.33640046296296294</v>
      </c>
      <c r="G149" s="2" t="s">
        <v>2184</v>
      </c>
      <c r="H149" s="2" t="s">
        <v>244</v>
      </c>
      <c r="I149" s="100">
        <v>44623.0</v>
      </c>
      <c r="J149" s="101">
        <v>0.4606018518518519</v>
      </c>
      <c r="K149" s="2">
        <v>1.0</v>
      </c>
      <c r="L149" s="2" t="b">
        <v>0</v>
      </c>
      <c r="M149" s="2" t="s">
        <v>2468</v>
      </c>
      <c r="N149" s="2" t="s">
        <v>247</v>
      </c>
    </row>
    <row r="150">
      <c r="A150" s="2" t="s">
        <v>1877</v>
      </c>
      <c r="B150" s="100">
        <v>44623.0</v>
      </c>
      <c r="C150" s="101">
        <v>0.3357291666666667</v>
      </c>
      <c r="G150" s="2" t="s">
        <v>2184</v>
      </c>
      <c r="H150" s="2" t="s">
        <v>244</v>
      </c>
      <c r="I150" s="100">
        <v>44623.0</v>
      </c>
      <c r="J150" s="101">
        <v>0.4606018518518519</v>
      </c>
      <c r="K150" s="2">
        <v>1.0</v>
      </c>
      <c r="L150" s="2" t="b">
        <v>0</v>
      </c>
      <c r="M150" s="2" t="s">
        <v>2468</v>
      </c>
      <c r="N150" s="2" t="s">
        <v>247</v>
      </c>
    </row>
    <row r="151">
      <c r="A151" s="2" t="s">
        <v>1875</v>
      </c>
      <c r="B151" s="100">
        <v>44623.0</v>
      </c>
      <c r="C151" s="101">
        <v>0.3344212962962963</v>
      </c>
      <c r="G151" s="2" t="s">
        <v>2184</v>
      </c>
      <c r="H151" s="2" t="s">
        <v>244</v>
      </c>
      <c r="I151" s="100">
        <v>44623.0</v>
      </c>
      <c r="J151" s="101">
        <v>0.4606018518518519</v>
      </c>
      <c r="K151" s="2">
        <v>1.0</v>
      </c>
      <c r="L151" s="2" t="b">
        <v>0</v>
      </c>
      <c r="M151" s="2" t="s">
        <v>2468</v>
      </c>
      <c r="N151" s="2" t="s">
        <v>247</v>
      </c>
    </row>
    <row r="152">
      <c r="A152" s="2" t="s">
        <v>1873</v>
      </c>
      <c r="B152" s="100">
        <v>44623.0</v>
      </c>
      <c r="C152" s="101">
        <v>0.32719907407407406</v>
      </c>
      <c r="G152" s="2" t="s">
        <v>2184</v>
      </c>
      <c r="H152" s="2" t="s">
        <v>244</v>
      </c>
      <c r="I152" s="100">
        <v>44623.0</v>
      </c>
      <c r="J152" s="101">
        <v>0.4605902777777778</v>
      </c>
      <c r="K152" s="2">
        <v>0.0</v>
      </c>
      <c r="L152" s="2" t="b">
        <v>0</v>
      </c>
      <c r="M152" s="2" t="s">
        <v>2468</v>
      </c>
      <c r="N152" s="2" t="s">
        <v>247</v>
      </c>
    </row>
    <row r="153">
      <c r="A153" s="2" t="s">
        <v>1871</v>
      </c>
      <c r="B153" s="100">
        <v>44623.0</v>
      </c>
      <c r="C153" s="101">
        <v>0.32363425925925926</v>
      </c>
      <c r="G153" s="2" t="s">
        <v>2184</v>
      </c>
      <c r="H153" s="2" t="s">
        <v>244</v>
      </c>
      <c r="I153" s="100">
        <v>44623.0</v>
      </c>
      <c r="J153" s="101">
        <v>0.4605902777777778</v>
      </c>
      <c r="K153" s="2">
        <v>1.0</v>
      </c>
      <c r="L153" s="2" t="b">
        <v>0</v>
      </c>
      <c r="M153" s="2" t="s">
        <v>2468</v>
      </c>
      <c r="N153" s="2" t="s">
        <v>247</v>
      </c>
    </row>
    <row r="154">
      <c r="A154" s="2" t="s">
        <v>1869</v>
      </c>
      <c r="B154" s="100">
        <v>44623.0</v>
      </c>
      <c r="C154" s="101">
        <v>0.3226041666666667</v>
      </c>
      <c r="G154" s="2" t="s">
        <v>2184</v>
      </c>
      <c r="H154" s="2" t="s">
        <v>244</v>
      </c>
      <c r="I154" s="100">
        <v>44623.0</v>
      </c>
      <c r="J154" s="101">
        <v>0.4605902777777778</v>
      </c>
      <c r="K154" s="2">
        <v>1.0</v>
      </c>
      <c r="L154" s="2" t="b">
        <v>0</v>
      </c>
      <c r="M154" s="2" t="s">
        <v>2468</v>
      </c>
      <c r="N154" s="2" t="s">
        <v>247</v>
      </c>
    </row>
    <row r="155">
      <c r="A155" s="2" t="s">
        <v>1867</v>
      </c>
      <c r="B155" s="100">
        <v>44623.0</v>
      </c>
      <c r="C155" s="101">
        <v>0.32256944444444446</v>
      </c>
      <c r="G155" s="2" t="s">
        <v>2184</v>
      </c>
      <c r="H155" s="2" t="s">
        <v>244</v>
      </c>
      <c r="I155" s="100">
        <v>44623.0</v>
      </c>
      <c r="J155" s="101">
        <v>0.4605902777777778</v>
      </c>
      <c r="K155" s="2">
        <v>1.0</v>
      </c>
      <c r="L155" s="2" t="b">
        <v>0</v>
      </c>
      <c r="M155" s="2" t="s">
        <v>2468</v>
      </c>
      <c r="N155" s="2" t="s">
        <v>247</v>
      </c>
    </row>
    <row r="156">
      <c r="A156" s="2" t="s">
        <v>1865</v>
      </c>
      <c r="B156" s="100">
        <v>44623.0</v>
      </c>
      <c r="C156" s="101">
        <v>0.32197916666666665</v>
      </c>
      <c r="G156" s="2" t="s">
        <v>2184</v>
      </c>
      <c r="H156" s="2" t="s">
        <v>244</v>
      </c>
      <c r="I156" s="100">
        <v>44623.0</v>
      </c>
      <c r="J156" s="101">
        <v>0.4605902777777778</v>
      </c>
      <c r="K156" s="2">
        <v>1.0</v>
      </c>
      <c r="L156" s="2" t="b">
        <v>0</v>
      </c>
      <c r="M156" s="2" t="s">
        <v>2468</v>
      </c>
      <c r="N156" s="2" t="s">
        <v>247</v>
      </c>
    </row>
    <row r="157">
      <c r="A157" s="2" t="s">
        <v>1863</v>
      </c>
      <c r="B157" s="100">
        <v>44623.0</v>
      </c>
      <c r="C157" s="101">
        <v>0.32178240740740743</v>
      </c>
      <c r="G157" s="2" t="s">
        <v>2184</v>
      </c>
      <c r="H157" s="2" t="s">
        <v>244</v>
      </c>
      <c r="I157" s="100">
        <v>44623.0</v>
      </c>
      <c r="J157" s="101">
        <v>0.4605902777777778</v>
      </c>
      <c r="K157" s="2">
        <v>1.0</v>
      </c>
      <c r="L157" s="2" t="b">
        <v>0</v>
      </c>
      <c r="M157" s="2" t="s">
        <v>2468</v>
      </c>
      <c r="N157" s="2" t="s">
        <v>247</v>
      </c>
    </row>
    <row r="158">
      <c r="A158" s="2" t="s">
        <v>1861</v>
      </c>
      <c r="B158" s="100">
        <v>44623.0</v>
      </c>
      <c r="C158" s="101">
        <v>0.32112268518518516</v>
      </c>
      <c r="G158" s="2" t="s">
        <v>2184</v>
      </c>
      <c r="H158" s="2" t="s">
        <v>244</v>
      </c>
      <c r="I158" s="100">
        <v>44623.0</v>
      </c>
      <c r="J158" s="101">
        <v>0.4605902777777778</v>
      </c>
      <c r="K158" s="2">
        <v>1.0</v>
      </c>
      <c r="L158" s="2" t="b">
        <v>0</v>
      </c>
      <c r="M158" s="2" t="s">
        <v>2468</v>
      </c>
      <c r="N158" s="2" t="s">
        <v>247</v>
      </c>
    </row>
    <row r="159">
      <c r="A159" s="2" t="s">
        <v>1859</v>
      </c>
      <c r="B159" s="100">
        <v>44623.0</v>
      </c>
      <c r="C159" s="101">
        <v>0.31928240740740743</v>
      </c>
      <c r="G159" s="2" t="s">
        <v>2184</v>
      </c>
      <c r="H159" s="2" t="s">
        <v>244</v>
      </c>
      <c r="I159" s="100">
        <v>44623.0</v>
      </c>
      <c r="J159" s="101">
        <v>0.4605902777777778</v>
      </c>
      <c r="K159" s="2">
        <v>1.0</v>
      </c>
      <c r="L159" s="2" t="b">
        <v>0</v>
      </c>
      <c r="M159" s="2" t="s">
        <v>2468</v>
      </c>
      <c r="N159" s="2" t="s">
        <v>247</v>
      </c>
    </row>
    <row r="160">
      <c r="A160" s="2" t="s">
        <v>1857</v>
      </c>
      <c r="B160" s="100">
        <v>44623.0</v>
      </c>
      <c r="C160" s="101">
        <v>0.3174074074074074</v>
      </c>
      <c r="G160" s="2" t="s">
        <v>2184</v>
      </c>
      <c r="H160" s="2" t="s">
        <v>244</v>
      </c>
      <c r="I160" s="100">
        <v>44623.0</v>
      </c>
      <c r="J160" s="101">
        <v>0.4605902777777778</v>
      </c>
      <c r="K160" s="2">
        <v>1.0</v>
      </c>
      <c r="L160" s="2" t="b">
        <v>0</v>
      </c>
      <c r="M160" s="2" t="s">
        <v>2468</v>
      </c>
      <c r="N160" s="2" t="s">
        <v>247</v>
      </c>
    </row>
    <row r="161">
      <c r="A161" s="2" t="s">
        <v>1855</v>
      </c>
      <c r="B161" s="100">
        <v>44623.0</v>
      </c>
      <c r="C161" s="101">
        <v>0.3156481481481481</v>
      </c>
      <c r="G161" s="2" t="s">
        <v>2184</v>
      </c>
      <c r="H161" s="2" t="s">
        <v>244</v>
      </c>
      <c r="I161" s="100">
        <v>44623.0</v>
      </c>
      <c r="J161" s="101">
        <v>0.4605902777777778</v>
      </c>
      <c r="K161" s="2">
        <v>1.0</v>
      </c>
      <c r="L161" s="2" t="b">
        <v>0</v>
      </c>
      <c r="M161" s="2" t="s">
        <v>2468</v>
      </c>
      <c r="N161" s="2" t="s">
        <v>247</v>
      </c>
    </row>
    <row r="162">
      <c r="A162" s="2" t="s">
        <v>1853</v>
      </c>
      <c r="B162" s="100">
        <v>44623.0</v>
      </c>
      <c r="C162" s="101">
        <v>0.3132523148148148</v>
      </c>
      <c r="G162" s="2" t="s">
        <v>2184</v>
      </c>
      <c r="H162" s="2" t="s">
        <v>244</v>
      </c>
      <c r="I162" s="100">
        <v>44623.0</v>
      </c>
      <c r="J162" s="101">
        <v>0.4605902777777778</v>
      </c>
      <c r="K162" s="2">
        <v>1.0</v>
      </c>
      <c r="L162" s="2" t="b">
        <v>0</v>
      </c>
      <c r="M162" s="2" t="s">
        <v>2468</v>
      </c>
      <c r="N162" s="2" t="s">
        <v>247</v>
      </c>
    </row>
    <row r="163">
      <c r="A163" s="2" t="s">
        <v>1851</v>
      </c>
      <c r="B163" s="100">
        <v>44623.0</v>
      </c>
      <c r="C163" s="101">
        <v>0.31104166666666666</v>
      </c>
      <c r="G163" s="2" t="s">
        <v>2184</v>
      </c>
      <c r="H163" s="2" t="s">
        <v>244</v>
      </c>
      <c r="I163" s="100">
        <v>44623.0</v>
      </c>
      <c r="J163" s="101">
        <v>0.4605902777777778</v>
      </c>
      <c r="K163" s="2">
        <v>1.0</v>
      </c>
      <c r="L163" s="2" t="b">
        <v>0</v>
      </c>
      <c r="M163" s="2" t="s">
        <v>2468</v>
      </c>
      <c r="N163" s="2" t="s">
        <v>247</v>
      </c>
    </row>
    <row r="164">
      <c r="A164" s="2" t="s">
        <v>1849</v>
      </c>
      <c r="B164" s="100">
        <v>44623.0</v>
      </c>
      <c r="C164" s="101">
        <v>0.3108680555555556</v>
      </c>
      <c r="G164" s="2" t="s">
        <v>2184</v>
      </c>
      <c r="H164" s="2" t="s">
        <v>244</v>
      </c>
      <c r="I164" s="100">
        <v>44623.0</v>
      </c>
      <c r="J164" s="101">
        <v>0.4605902777777778</v>
      </c>
      <c r="K164" s="2">
        <v>1.0</v>
      </c>
      <c r="L164" s="2" t="b">
        <v>0</v>
      </c>
      <c r="M164" s="2" t="s">
        <v>2468</v>
      </c>
      <c r="N164" s="2" t="s">
        <v>247</v>
      </c>
    </row>
    <row r="165">
      <c r="A165" s="2" t="s">
        <v>1847</v>
      </c>
      <c r="B165" s="100">
        <v>44623.0</v>
      </c>
      <c r="C165" s="101">
        <v>0.3102662037037037</v>
      </c>
      <c r="G165" s="2" t="s">
        <v>2184</v>
      </c>
      <c r="H165" s="2" t="s">
        <v>244</v>
      </c>
      <c r="I165" s="100">
        <v>44623.0</v>
      </c>
      <c r="J165" s="101">
        <v>0.4605902777777778</v>
      </c>
      <c r="K165" s="2">
        <v>1.0</v>
      </c>
      <c r="L165" s="2" t="b">
        <v>0</v>
      </c>
      <c r="M165" s="2" t="s">
        <v>2468</v>
      </c>
      <c r="N165" s="2" t="s">
        <v>247</v>
      </c>
    </row>
    <row r="166">
      <c r="A166" s="2" t="s">
        <v>1845</v>
      </c>
      <c r="B166" s="100">
        <v>44623.0</v>
      </c>
      <c r="C166" s="101">
        <v>0.3095717592592593</v>
      </c>
      <c r="G166" s="2" t="s">
        <v>2184</v>
      </c>
      <c r="H166" s="2" t="s">
        <v>244</v>
      </c>
      <c r="I166" s="100">
        <v>44623.0</v>
      </c>
      <c r="J166" s="101">
        <v>0.4605902777777778</v>
      </c>
      <c r="K166" s="2">
        <v>1.0</v>
      </c>
      <c r="L166" s="2" t="b">
        <v>0</v>
      </c>
      <c r="M166" s="2" t="s">
        <v>2468</v>
      </c>
      <c r="N166" s="2" t="s">
        <v>247</v>
      </c>
    </row>
    <row r="167">
      <c r="A167" s="2" t="s">
        <v>1843</v>
      </c>
      <c r="B167" s="100">
        <v>44623.0</v>
      </c>
      <c r="C167" s="101">
        <v>0.3051388888888889</v>
      </c>
      <c r="G167" s="2" t="s">
        <v>2184</v>
      </c>
      <c r="H167" s="2" t="s">
        <v>244</v>
      </c>
      <c r="I167" s="100">
        <v>44623.0</v>
      </c>
      <c r="J167" s="101">
        <v>0.4605902777777778</v>
      </c>
      <c r="K167" s="2">
        <v>1.0</v>
      </c>
      <c r="L167" s="2" t="b">
        <v>0</v>
      </c>
      <c r="M167" s="2" t="s">
        <v>2468</v>
      </c>
      <c r="N167" s="2" t="s">
        <v>247</v>
      </c>
    </row>
    <row r="168">
      <c r="A168" s="2" t="s">
        <v>1841</v>
      </c>
      <c r="B168" s="100">
        <v>44623.0</v>
      </c>
      <c r="C168" s="101">
        <v>0.3044791666666667</v>
      </c>
      <c r="G168" s="2" t="s">
        <v>2184</v>
      </c>
      <c r="H168" s="2" t="s">
        <v>244</v>
      </c>
      <c r="I168" s="100">
        <v>44623.0</v>
      </c>
      <c r="J168" s="101">
        <v>0.4605902777777778</v>
      </c>
      <c r="K168" s="2">
        <v>1.0</v>
      </c>
      <c r="L168" s="2" t="b">
        <v>0</v>
      </c>
      <c r="M168" s="2" t="s">
        <v>2468</v>
      </c>
      <c r="N168" s="2" t="s">
        <v>247</v>
      </c>
    </row>
    <row r="169">
      <c r="A169" s="2" t="s">
        <v>1839</v>
      </c>
      <c r="B169" s="100">
        <v>44623.0</v>
      </c>
      <c r="C169" s="101">
        <v>0.30385416666666665</v>
      </c>
      <c r="G169" s="2" t="s">
        <v>2184</v>
      </c>
      <c r="H169" s="2" t="s">
        <v>244</v>
      </c>
      <c r="I169" s="100">
        <v>44623.0</v>
      </c>
      <c r="J169" s="101">
        <v>0.4605902777777778</v>
      </c>
      <c r="K169" s="2">
        <v>1.0</v>
      </c>
      <c r="L169" s="2" t="b">
        <v>0</v>
      </c>
      <c r="M169" s="2" t="s">
        <v>2468</v>
      </c>
      <c r="N169" s="2" t="s">
        <v>247</v>
      </c>
    </row>
    <row r="170">
      <c r="A170" s="2" t="s">
        <v>1837</v>
      </c>
      <c r="B170" s="100">
        <v>44623.0</v>
      </c>
      <c r="C170" s="101">
        <v>0.2961574074074074</v>
      </c>
      <c r="G170" s="2" t="s">
        <v>2184</v>
      </c>
      <c r="H170" s="2" t="s">
        <v>244</v>
      </c>
      <c r="I170" s="100">
        <v>44623.0</v>
      </c>
      <c r="J170" s="101">
        <v>0.4605902777777778</v>
      </c>
      <c r="K170" s="2">
        <v>1.0</v>
      </c>
      <c r="L170" s="2" t="b">
        <v>0</v>
      </c>
      <c r="M170" s="2" t="s">
        <v>2468</v>
      </c>
      <c r="N170" s="2" t="s">
        <v>247</v>
      </c>
    </row>
    <row r="171">
      <c r="A171" s="2" t="s">
        <v>1835</v>
      </c>
      <c r="B171" s="100">
        <v>44623.0</v>
      </c>
      <c r="C171" s="101">
        <v>0.29432870370370373</v>
      </c>
      <c r="G171" s="2" t="s">
        <v>2184</v>
      </c>
      <c r="H171" s="2" t="s">
        <v>244</v>
      </c>
      <c r="I171" s="100">
        <v>44623.0</v>
      </c>
      <c r="J171" s="101">
        <v>0.4605902777777778</v>
      </c>
      <c r="K171" s="2">
        <v>1.0</v>
      </c>
      <c r="L171" s="2" t="b">
        <v>0</v>
      </c>
      <c r="M171" s="2" t="s">
        <v>2468</v>
      </c>
      <c r="N171" s="2" t="s">
        <v>247</v>
      </c>
    </row>
    <row r="172">
      <c r="A172" s="2" t="s">
        <v>1833</v>
      </c>
      <c r="B172" s="100">
        <v>44621.0</v>
      </c>
      <c r="C172" s="101">
        <v>0.5343287037037037</v>
      </c>
      <c r="G172" s="2" t="s">
        <v>2469</v>
      </c>
      <c r="H172" s="2" t="s">
        <v>254</v>
      </c>
      <c r="I172" s="100">
        <v>44621.0</v>
      </c>
      <c r="J172" s="101">
        <v>0.5345023148148148</v>
      </c>
      <c r="K172" s="2">
        <v>1.0</v>
      </c>
      <c r="L172" s="2" t="b">
        <v>0</v>
      </c>
      <c r="N172" s="2" t="s">
        <v>247</v>
      </c>
    </row>
    <row r="173">
      <c r="A173" s="2" t="s">
        <v>1830</v>
      </c>
      <c r="B173" s="100">
        <v>44621.0</v>
      </c>
      <c r="C173" s="101">
        <v>0.46814814814814815</v>
      </c>
      <c r="G173" s="2" t="s">
        <v>2184</v>
      </c>
      <c r="H173" s="2" t="s">
        <v>244</v>
      </c>
      <c r="I173" s="100">
        <v>44627.0</v>
      </c>
      <c r="J173" s="101">
        <v>0.4779398148148148</v>
      </c>
      <c r="K173" s="2">
        <v>0.0</v>
      </c>
      <c r="L173" s="2" t="b">
        <v>1</v>
      </c>
      <c r="M173" s="2" t="s">
        <v>2470</v>
      </c>
      <c r="N173" s="2" t="s">
        <v>247</v>
      </c>
    </row>
    <row r="174">
      <c r="A174" s="2" t="s">
        <v>1827</v>
      </c>
      <c r="B174" s="100">
        <v>44621.0</v>
      </c>
      <c r="C174" s="101">
        <v>0.46792824074074074</v>
      </c>
      <c r="G174" s="2" t="s">
        <v>2184</v>
      </c>
      <c r="H174" s="2" t="s">
        <v>244</v>
      </c>
      <c r="I174" s="100">
        <v>44627.0</v>
      </c>
      <c r="J174" s="101">
        <v>0.4779398148148148</v>
      </c>
      <c r="K174" s="2">
        <v>0.0</v>
      </c>
      <c r="L174" s="2" t="b">
        <v>1</v>
      </c>
      <c r="M174" s="2" t="s">
        <v>2470</v>
      </c>
      <c r="N174" s="2" t="s">
        <v>247</v>
      </c>
    </row>
    <row r="175">
      <c r="A175" s="2" t="s">
        <v>1825</v>
      </c>
      <c r="B175" s="100">
        <v>44621.0</v>
      </c>
      <c r="C175" s="101">
        <v>0.4674652777777778</v>
      </c>
      <c r="G175" s="2" t="s">
        <v>2184</v>
      </c>
      <c r="H175" s="2" t="s">
        <v>244</v>
      </c>
      <c r="I175" s="100">
        <v>44627.0</v>
      </c>
      <c r="J175" s="101">
        <v>0.47792824074074075</v>
      </c>
      <c r="K175" s="2">
        <v>1.0</v>
      </c>
      <c r="L175" s="2" t="b">
        <v>1</v>
      </c>
      <c r="M175" s="2" t="s">
        <v>2470</v>
      </c>
      <c r="N175" s="2" t="s">
        <v>247</v>
      </c>
    </row>
    <row r="176">
      <c r="A176" s="2" t="s">
        <v>1823</v>
      </c>
      <c r="B176" s="100">
        <v>44621.0</v>
      </c>
      <c r="C176" s="101">
        <v>0.44513888888888886</v>
      </c>
      <c r="G176" s="2" t="s">
        <v>2184</v>
      </c>
      <c r="H176" s="2" t="s">
        <v>244</v>
      </c>
      <c r="I176" s="100">
        <v>44623.0</v>
      </c>
      <c r="J176" s="101">
        <v>0.4605787037037037</v>
      </c>
      <c r="K176" s="2">
        <v>1.0</v>
      </c>
      <c r="L176" s="2" t="b">
        <v>0</v>
      </c>
      <c r="M176" s="2" t="s">
        <v>2468</v>
      </c>
      <c r="N176" s="2" t="s">
        <v>247</v>
      </c>
    </row>
    <row r="177">
      <c r="A177" s="2" t="s">
        <v>1821</v>
      </c>
      <c r="B177" s="100">
        <v>44621.0</v>
      </c>
      <c r="C177" s="101">
        <v>0.34618055555555555</v>
      </c>
      <c r="G177" s="2" t="s">
        <v>2184</v>
      </c>
      <c r="H177" s="2" t="s">
        <v>244</v>
      </c>
      <c r="I177" s="100">
        <v>44627.0</v>
      </c>
      <c r="J177" s="101">
        <v>0.47792824074074075</v>
      </c>
      <c r="K177" s="2">
        <v>1.0</v>
      </c>
      <c r="L177" s="2" t="b">
        <v>1</v>
      </c>
      <c r="M177" s="2" t="s">
        <v>2470</v>
      </c>
      <c r="N177" s="2" t="s">
        <v>247</v>
      </c>
    </row>
    <row r="178">
      <c r="A178" s="2" t="s">
        <v>1819</v>
      </c>
      <c r="B178" s="100">
        <v>44621.0</v>
      </c>
      <c r="C178" s="101">
        <v>0.3439699074074074</v>
      </c>
      <c r="G178" s="2" t="s">
        <v>2184</v>
      </c>
      <c r="H178" s="2" t="s">
        <v>244</v>
      </c>
      <c r="I178" s="100">
        <v>44627.0</v>
      </c>
      <c r="J178" s="101">
        <v>0.47792824074074075</v>
      </c>
      <c r="K178" s="2">
        <v>1.0</v>
      </c>
      <c r="L178" s="2" t="b">
        <v>1</v>
      </c>
      <c r="M178" s="2" t="s">
        <v>2470</v>
      </c>
      <c r="N178" s="2" t="s">
        <v>247</v>
      </c>
    </row>
    <row r="179">
      <c r="A179" s="2" t="s">
        <v>1817</v>
      </c>
      <c r="B179" s="100">
        <v>44621.0</v>
      </c>
      <c r="C179" s="101">
        <v>0.3414351851851852</v>
      </c>
      <c r="G179" s="2" t="s">
        <v>2184</v>
      </c>
      <c r="H179" s="2" t="s">
        <v>244</v>
      </c>
      <c r="I179" s="100">
        <v>44627.0</v>
      </c>
      <c r="J179" s="101">
        <v>0.47792824074074075</v>
      </c>
      <c r="K179" s="2">
        <v>1.0</v>
      </c>
      <c r="L179" s="2" t="b">
        <v>1</v>
      </c>
      <c r="M179" s="2" t="s">
        <v>2470</v>
      </c>
      <c r="N179" s="2" t="s">
        <v>247</v>
      </c>
    </row>
    <row r="180">
      <c r="A180" s="2" t="s">
        <v>1815</v>
      </c>
      <c r="B180" s="100">
        <v>44621.0</v>
      </c>
      <c r="C180" s="101">
        <v>0.3350925925925926</v>
      </c>
      <c r="G180" s="2" t="s">
        <v>2184</v>
      </c>
      <c r="H180" s="2" t="s">
        <v>244</v>
      </c>
      <c r="I180" s="100">
        <v>44627.0</v>
      </c>
      <c r="J180" s="101">
        <v>0.47792824074074075</v>
      </c>
      <c r="K180" s="2">
        <v>1.0</v>
      </c>
      <c r="L180" s="2" t="b">
        <v>1</v>
      </c>
      <c r="M180" s="2" t="s">
        <v>2470</v>
      </c>
      <c r="N180" s="2" t="s">
        <v>247</v>
      </c>
    </row>
    <row r="181">
      <c r="A181" s="2" t="s">
        <v>1813</v>
      </c>
      <c r="B181" s="100">
        <v>44621.0</v>
      </c>
      <c r="C181" s="101">
        <v>0.3345949074074074</v>
      </c>
      <c r="G181" s="2" t="s">
        <v>2184</v>
      </c>
      <c r="H181" s="2" t="s">
        <v>244</v>
      </c>
      <c r="I181" s="100">
        <v>44627.0</v>
      </c>
      <c r="J181" s="101">
        <v>0.47792824074074075</v>
      </c>
      <c r="K181" s="2">
        <v>1.0</v>
      </c>
      <c r="L181" s="2" t="b">
        <v>1</v>
      </c>
      <c r="M181" s="2" t="s">
        <v>2470</v>
      </c>
      <c r="N181" s="2" t="s">
        <v>247</v>
      </c>
    </row>
    <row r="182">
      <c r="A182" s="2" t="s">
        <v>1811</v>
      </c>
      <c r="B182" s="100">
        <v>44621.0</v>
      </c>
      <c r="C182" s="101">
        <v>0.3319328703703704</v>
      </c>
      <c r="G182" s="2" t="s">
        <v>2184</v>
      </c>
      <c r="H182" s="2" t="s">
        <v>244</v>
      </c>
      <c r="I182" s="100">
        <v>44627.0</v>
      </c>
      <c r="J182" s="101">
        <v>0.47792824074074075</v>
      </c>
      <c r="K182" s="2">
        <v>1.0</v>
      </c>
      <c r="L182" s="2" t="b">
        <v>1</v>
      </c>
      <c r="M182" s="2" t="s">
        <v>2470</v>
      </c>
      <c r="N182" s="2" t="s">
        <v>247</v>
      </c>
    </row>
    <row r="183">
      <c r="A183" s="2" t="s">
        <v>1809</v>
      </c>
      <c r="B183" s="100">
        <v>44621.0</v>
      </c>
      <c r="C183" s="101">
        <v>0.33143518518518517</v>
      </c>
      <c r="G183" s="2" t="s">
        <v>2184</v>
      </c>
      <c r="H183" s="2" t="s">
        <v>244</v>
      </c>
      <c r="I183" s="100">
        <v>44627.0</v>
      </c>
      <c r="J183" s="101">
        <v>0.47792824074074075</v>
      </c>
      <c r="K183" s="2">
        <v>1.0</v>
      </c>
      <c r="L183" s="2" t="b">
        <v>1</v>
      </c>
      <c r="M183" s="2" t="s">
        <v>2470</v>
      </c>
      <c r="N183" s="2" t="s">
        <v>247</v>
      </c>
    </row>
    <row r="184">
      <c r="A184" s="2" t="s">
        <v>1807</v>
      </c>
      <c r="B184" s="100">
        <v>44621.0</v>
      </c>
      <c r="C184" s="101">
        <v>0.33123842592592595</v>
      </c>
      <c r="G184" s="2" t="s">
        <v>2184</v>
      </c>
      <c r="H184" s="2" t="s">
        <v>244</v>
      </c>
      <c r="I184" s="100">
        <v>44627.0</v>
      </c>
      <c r="J184" s="101">
        <v>0.47792824074074075</v>
      </c>
      <c r="K184" s="2">
        <v>1.0</v>
      </c>
      <c r="L184" s="2" t="b">
        <v>1</v>
      </c>
      <c r="M184" s="2" t="s">
        <v>2470</v>
      </c>
      <c r="N184" s="2" t="s">
        <v>247</v>
      </c>
    </row>
    <row r="185">
      <c r="A185" s="2" t="s">
        <v>1805</v>
      </c>
      <c r="B185" s="100">
        <v>44621.0</v>
      </c>
      <c r="C185" s="101">
        <v>0.329525462962963</v>
      </c>
      <c r="G185" s="2" t="s">
        <v>2184</v>
      </c>
      <c r="H185" s="2" t="s">
        <v>244</v>
      </c>
      <c r="I185" s="100">
        <v>44627.0</v>
      </c>
      <c r="J185" s="101">
        <v>0.47792824074074075</v>
      </c>
      <c r="K185" s="2">
        <v>1.0</v>
      </c>
      <c r="L185" s="2" t="b">
        <v>1</v>
      </c>
      <c r="M185" s="2" t="s">
        <v>2470</v>
      </c>
      <c r="N185" s="2" t="s">
        <v>247</v>
      </c>
    </row>
    <row r="186">
      <c r="A186" s="2" t="s">
        <v>1803</v>
      </c>
      <c r="B186" s="100">
        <v>44621.0</v>
      </c>
      <c r="C186" s="101">
        <v>0.329224537037037</v>
      </c>
      <c r="G186" s="2" t="s">
        <v>2184</v>
      </c>
      <c r="H186" s="2" t="s">
        <v>244</v>
      </c>
      <c r="I186" s="100">
        <v>44627.0</v>
      </c>
      <c r="J186" s="101">
        <v>0.47792824074074075</v>
      </c>
      <c r="K186" s="2">
        <v>1.0</v>
      </c>
      <c r="L186" s="2" t="b">
        <v>1</v>
      </c>
      <c r="M186" s="2" t="s">
        <v>2470</v>
      </c>
      <c r="N186" s="2" t="s">
        <v>247</v>
      </c>
    </row>
    <row r="187">
      <c r="A187" s="2" t="s">
        <v>1801</v>
      </c>
      <c r="B187" s="100">
        <v>44621.0</v>
      </c>
      <c r="C187" s="101">
        <v>0.3285648148148148</v>
      </c>
      <c r="G187" s="2" t="s">
        <v>2184</v>
      </c>
      <c r="H187" s="2" t="s">
        <v>244</v>
      </c>
      <c r="I187" s="100">
        <v>44627.0</v>
      </c>
      <c r="J187" s="101">
        <v>0.47792824074074075</v>
      </c>
      <c r="K187" s="2">
        <v>1.0</v>
      </c>
      <c r="L187" s="2" t="b">
        <v>1</v>
      </c>
      <c r="M187" s="2" t="s">
        <v>2470</v>
      </c>
      <c r="N187" s="2" t="s">
        <v>247</v>
      </c>
    </row>
    <row r="188">
      <c r="A188" s="2" t="s">
        <v>1799</v>
      </c>
      <c r="B188" s="100">
        <v>44621.0</v>
      </c>
      <c r="C188" s="101">
        <v>0.32849537037037035</v>
      </c>
      <c r="G188" s="2" t="s">
        <v>2184</v>
      </c>
      <c r="H188" s="2" t="s">
        <v>244</v>
      </c>
      <c r="I188" s="100">
        <v>44627.0</v>
      </c>
      <c r="J188" s="101">
        <v>0.47791666666666666</v>
      </c>
      <c r="K188" s="2">
        <v>1.0</v>
      </c>
      <c r="L188" s="2" t="b">
        <v>1</v>
      </c>
      <c r="M188" s="2" t="s">
        <v>2470</v>
      </c>
      <c r="N188" s="2" t="s">
        <v>247</v>
      </c>
    </row>
    <row r="189">
      <c r="A189" s="2" t="s">
        <v>1797</v>
      </c>
      <c r="B189" s="100">
        <v>44621.0</v>
      </c>
      <c r="C189" s="101">
        <v>0.3271527777777778</v>
      </c>
      <c r="G189" s="2" t="s">
        <v>2184</v>
      </c>
      <c r="H189" s="2" t="s">
        <v>244</v>
      </c>
      <c r="I189" s="100">
        <v>44627.0</v>
      </c>
      <c r="J189" s="101">
        <v>0.47791666666666666</v>
      </c>
      <c r="K189" s="2">
        <v>1.0</v>
      </c>
      <c r="L189" s="2" t="b">
        <v>1</v>
      </c>
      <c r="M189" s="2" t="s">
        <v>2470</v>
      </c>
      <c r="N189" s="2" t="s">
        <v>247</v>
      </c>
    </row>
    <row r="190">
      <c r="A190" s="2" t="s">
        <v>1795</v>
      </c>
      <c r="B190" s="100">
        <v>44621.0</v>
      </c>
      <c r="C190" s="101">
        <v>0.3267013888888889</v>
      </c>
      <c r="G190" s="2" t="s">
        <v>2184</v>
      </c>
      <c r="H190" s="2" t="s">
        <v>244</v>
      </c>
      <c r="I190" s="100">
        <v>44627.0</v>
      </c>
      <c r="J190" s="101">
        <v>0.47791666666666666</v>
      </c>
      <c r="K190" s="2">
        <v>1.0</v>
      </c>
      <c r="L190" s="2" t="b">
        <v>1</v>
      </c>
      <c r="M190" s="2" t="s">
        <v>2470</v>
      </c>
      <c r="N190" s="2" t="s">
        <v>247</v>
      </c>
    </row>
    <row r="191">
      <c r="A191" s="2" t="s">
        <v>1793</v>
      </c>
      <c r="B191" s="100">
        <v>44621.0</v>
      </c>
      <c r="C191" s="101">
        <v>0.3262962962962963</v>
      </c>
      <c r="G191" s="2" t="s">
        <v>2184</v>
      </c>
      <c r="H191" s="2" t="s">
        <v>244</v>
      </c>
      <c r="I191" s="100">
        <v>44627.0</v>
      </c>
      <c r="J191" s="101">
        <v>0.47791666666666666</v>
      </c>
      <c r="K191" s="2">
        <v>1.0</v>
      </c>
      <c r="L191" s="2" t="b">
        <v>1</v>
      </c>
      <c r="M191" s="2" t="s">
        <v>2470</v>
      </c>
      <c r="N191" s="2" t="s">
        <v>247</v>
      </c>
    </row>
    <row r="192">
      <c r="A192" s="2" t="s">
        <v>1791</v>
      </c>
      <c r="B192" s="100">
        <v>44621.0</v>
      </c>
      <c r="C192" s="101">
        <v>0.3244675925925926</v>
      </c>
      <c r="G192" s="2" t="s">
        <v>2184</v>
      </c>
      <c r="H192" s="2" t="s">
        <v>244</v>
      </c>
      <c r="I192" s="100">
        <v>44627.0</v>
      </c>
      <c r="J192" s="101">
        <v>0.47791666666666666</v>
      </c>
      <c r="K192" s="2">
        <v>1.0</v>
      </c>
      <c r="L192" s="2" t="b">
        <v>1</v>
      </c>
      <c r="M192" s="2" t="s">
        <v>2470</v>
      </c>
      <c r="N192" s="2" t="s">
        <v>247</v>
      </c>
    </row>
    <row r="193">
      <c r="A193" s="2" t="s">
        <v>1789</v>
      </c>
      <c r="B193" s="100">
        <v>44621.0</v>
      </c>
      <c r="C193" s="101">
        <v>0.32395833333333335</v>
      </c>
      <c r="G193" s="2" t="s">
        <v>2184</v>
      </c>
      <c r="H193" s="2" t="s">
        <v>244</v>
      </c>
      <c r="I193" s="100">
        <v>44627.0</v>
      </c>
      <c r="J193" s="101">
        <v>0.47791666666666666</v>
      </c>
      <c r="K193" s="2">
        <v>1.0</v>
      </c>
      <c r="L193" s="2" t="b">
        <v>1</v>
      </c>
      <c r="M193" s="2" t="s">
        <v>2470</v>
      </c>
      <c r="N193" s="2" t="s">
        <v>247</v>
      </c>
    </row>
    <row r="194">
      <c r="A194" s="2" t="s">
        <v>1787</v>
      </c>
      <c r="B194" s="100">
        <v>44621.0</v>
      </c>
      <c r="C194" s="101">
        <v>0.31734953703703705</v>
      </c>
      <c r="G194" s="2" t="s">
        <v>2184</v>
      </c>
      <c r="H194" s="2" t="s">
        <v>244</v>
      </c>
      <c r="I194" s="100">
        <v>44627.0</v>
      </c>
      <c r="J194" s="101">
        <v>0.47791666666666666</v>
      </c>
      <c r="K194" s="2">
        <v>1.0</v>
      </c>
      <c r="L194" s="2" t="b">
        <v>1</v>
      </c>
      <c r="M194" s="2" t="s">
        <v>2470</v>
      </c>
      <c r="N194" s="2" t="s">
        <v>247</v>
      </c>
    </row>
    <row r="195">
      <c r="A195" s="2" t="s">
        <v>1785</v>
      </c>
      <c r="B195" s="100">
        <v>44621.0</v>
      </c>
      <c r="C195" s="101">
        <v>0.3153587962962963</v>
      </c>
      <c r="G195" s="2" t="s">
        <v>2184</v>
      </c>
      <c r="H195" s="2" t="s">
        <v>244</v>
      </c>
      <c r="I195" s="100">
        <v>44623.0</v>
      </c>
      <c r="J195" s="101">
        <v>0.4605787037037037</v>
      </c>
      <c r="K195" s="2">
        <v>1.0</v>
      </c>
      <c r="L195" s="2" t="b">
        <v>0</v>
      </c>
      <c r="M195" s="2" t="s">
        <v>2468</v>
      </c>
      <c r="N195" s="2" t="s">
        <v>247</v>
      </c>
    </row>
    <row r="196">
      <c r="A196" s="2" t="s">
        <v>1783</v>
      </c>
      <c r="B196" s="100">
        <v>44621.0</v>
      </c>
      <c r="C196" s="101">
        <v>0.3119675925925926</v>
      </c>
      <c r="G196" s="2" t="s">
        <v>2184</v>
      </c>
      <c r="H196" s="2" t="s">
        <v>244</v>
      </c>
      <c r="I196" s="100">
        <v>44627.0</v>
      </c>
      <c r="J196" s="101">
        <v>0.47791666666666666</v>
      </c>
      <c r="K196" s="2">
        <v>1.0</v>
      </c>
      <c r="L196" s="2" t="b">
        <v>1</v>
      </c>
      <c r="M196" s="2" t="s">
        <v>2470</v>
      </c>
      <c r="N196" s="2" t="s">
        <v>247</v>
      </c>
    </row>
    <row r="197">
      <c r="A197" s="2" t="s">
        <v>1781</v>
      </c>
      <c r="B197" s="100">
        <v>44621.0</v>
      </c>
      <c r="C197" s="101">
        <v>0.3111921296296296</v>
      </c>
      <c r="G197" s="2" t="s">
        <v>2184</v>
      </c>
      <c r="H197" s="2" t="s">
        <v>244</v>
      </c>
      <c r="I197" s="100">
        <v>44627.0</v>
      </c>
      <c r="J197" s="101">
        <v>0.47791666666666666</v>
      </c>
      <c r="K197" s="2">
        <v>1.0</v>
      </c>
      <c r="L197" s="2" t="b">
        <v>1</v>
      </c>
      <c r="M197" s="2" t="s">
        <v>2470</v>
      </c>
      <c r="N197" s="2" t="s">
        <v>247</v>
      </c>
    </row>
    <row r="198">
      <c r="A198" s="2" t="s">
        <v>1779</v>
      </c>
      <c r="B198" s="100">
        <v>44621.0</v>
      </c>
      <c r="C198" s="101">
        <v>0.30995370370370373</v>
      </c>
      <c r="G198" s="2" t="s">
        <v>2188</v>
      </c>
      <c r="H198" s="2" t="s">
        <v>254</v>
      </c>
      <c r="I198" s="100">
        <v>44861.0</v>
      </c>
      <c r="J198" s="101">
        <v>0.4895023148148148</v>
      </c>
      <c r="K198" s="2">
        <v>1.0</v>
      </c>
      <c r="N198" s="2" t="s">
        <v>247</v>
      </c>
    </row>
    <row r="199">
      <c r="A199" s="2" t="s">
        <v>1777</v>
      </c>
      <c r="B199" s="100">
        <v>44621.0</v>
      </c>
      <c r="C199" s="101">
        <v>0.3096875</v>
      </c>
      <c r="G199" s="2" t="s">
        <v>2184</v>
      </c>
      <c r="H199" s="2" t="s">
        <v>244</v>
      </c>
      <c r="I199" s="100">
        <v>44627.0</v>
      </c>
      <c r="J199" s="101">
        <v>0.47791666666666666</v>
      </c>
      <c r="K199" s="2">
        <v>1.0</v>
      </c>
      <c r="L199" s="2" t="b">
        <v>1</v>
      </c>
      <c r="M199" s="2" t="s">
        <v>2470</v>
      </c>
      <c r="N199" s="2" t="s">
        <v>247</v>
      </c>
    </row>
    <row r="200">
      <c r="A200" s="2" t="s">
        <v>1775</v>
      </c>
      <c r="B200" s="100">
        <v>44621.0</v>
      </c>
      <c r="C200" s="101">
        <v>0.3086921296296296</v>
      </c>
      <c r="G200" s="2" t="s">
        <v>2184</v>
      </c>
      <c r="H200" s="2" t="s">
        <v>244</v>
      </c>
      <c r="I200" s="100">
        <v>44627.0</v>
      </c>
      <c r="J200" s="101">
        <v>0.47791666666666666</v>
      </c>
      <c r="K200" s="2">
        <v>1.0</v>
      </c>
      <c r="L200" s="2" t="b">
        <v>1</v>
      </c>
      <c r="M200" s="2" t="s">
        <v>2470</v>
      </c>
      <c r="N200" s="2" t="s">
        <v>247</v>
      </c>
    </row>
    <row r="201">
      <c r="A201" s="2" t="s">
        <v>1773</v>
      </c>
      <c r="B201" s="100">
        <v>44621.0</v>
      </c>
      <c r="C201" s="101">
        <v>0.3078587962962963</v>
      </c>
      <c r="G201" s="2" t="s">
        <v>2184</v>
      </c>
      <c r="H201" s="2" t="s">
        <v>244</v>
      </c>
      <c r="I201" s="100">
        <v>44627.0</v>
      </c>
      <c r="J201" s="101">
        <v>0.47791666666666666</v>
      </c>
      <c r="K201" s="2">
        <v>1.0</v>
      </c>
      <c r="L201" s="2" t="b">
        <v>1</v>
      </c>
      <c r="M201" s="2" t="s">
        <v>2470</v>
      </c>
      <c r="N201" s="2" t="s">
        <v>247</v>
      </c>
    </row>
    <row r="202">
      <c r="A202" s="2" t="s">
        <v>1771</v>
      </c>
      <c r="B202" s="100">
        <v>44621.0</v>
      </c>
      <c r="C202" s="101">
        <v>0.3067708333333333</v>
      </c>
      <c r="G202" s="2" t="s">
        <v>2184</v>
      </c>
      <c r="H202" s="2" t="s">
        <v>244</v>
      </c>
      <c r="I202" s="100">
        <v>44627.0</v>
      </c>
      <c r="J202" s="101">
        <v>0.47791666666666666</v>
      </c>
      <c r="K202" s="2">
        <v>1.0</v>
      </c>
      <c r="L202" s="2" t="b">
        <v>1</v>
      </c>
      <c r="M202" s="2" t="s">
        <v>2470</v>
      </c>
      <c r="N202" s="2" t="s">
        <v>247</v>
      </c>
    </row>
    <row r="203">
      <c r="A203" s="2" t="s">
        <v>1769</v>
      </c>
      <c r="B203" s="100">
        <v>44621.0</v>
      </c>
      <c r="C203" s="101">
        <v>0.3062152777777778</v>
      </c>
      <c r="G203" s="2" t="s">
        <v>2184</v>
      </c>
      <c r="H203" s="2" t="s">
        <v>244</v>
      </c>
      <c r="I203" s="100">
        <v>44627.0</v>
      </c>
      <c r="J203" s="101">
        <v>0.47791666666666666</v>
      </c>
      <c r="K203" s="2">
        <v>1.0</v>
      </c>
      <c r="L203" s="2" t="b">
        <v>1</v>
      </c>
      <c r="M203" s="2" t="s">
        <v>2470</v>
      </c>
      <c r="N203" s="2" t="s">
        <v>247</v>
      </c>
    </row>
    <row r="204">
      <c r="A204" s="2" t="s">
        <v>1767</v>
      </c>
      <c r="B204" s="100">
        <v>44621.0</v>
      </c>
      <c r="C204" s="101">
        <v>0.3004513888888889</v>
      </c>
      <c r="G204" s="2" t="s">
        <v>2184</v>
      </c>
      <c r="H204" s="2" t="s">
        <v>244</v>
      </c>
      <c r="I204" s="100">
        <v>44627.0</v>
      </c>
      <c r="J204" s="101">
        <v>0.4779050925925926</v>
      </c>
      <c r="K204" s="2">
        <v>1.0</v>
      </c>
      <c r="L204" s="2" t="b">
        <v>1</v>
      </c>
      <c r="M204" s="2" t="s">
        <v>2470</v>
      </c>
      <c r="N204" s="2" t="s">
        <v>247</v>
      </c>
    </row>
    <row r="205">
      <c r="A205" s="2" t="s">
        <v>1765</v>
      </c>
      <c r="B205" s="100">
        <v>44621.0</v>
      </c>
      <c r="C205" s="101">
        <v>0.2941435185185185</v>
      </c>
      <c r="G205" s="2" t="s">
        <v>2184</v>
      </c>
      <c r="H205" s="2" t="s">
        <v>244</v>
      </c>
      <c r="I205" s="100">
        <v>44627.0</v>
      </c>
      <c r="J205" s="101">
        <v>0.4779050925925926</v>
      </c>
      <c r="K205" s="2">
        <v>1.0</v>
      </c>
      <c r="L205" s="2" t="b">
        <v>1</v>
      </c>
      <c r="M205" s="2" t="s">
        <v>2470</v>
      </c>
      <c r="N205" s="2" t="s">
        <v>247</v>
      </c>
    </row>
    <row r="206">
      <c r="A206" s="2" t="s">
        <v>1763</v>
      </c>
      <c r="B206" s="100">
        <v>44621.0</v>
      </c>
      <c r="C206" s="101">
        <v>0.2698611111111111</v>
      </c>
      <c r="G206" s="2" t="s">
        <v>2184</v>
      </c>
      <c r="H206" s="2" t="s">
        <v>244</v>
      </c>
      <c r="I206" s="100">
        <v>44627.0</v>
      </c>
      <c r="J206" s="101">
        <v>0.4779050925925926</v>
      </c>
      <c r="K206" s="2">
        <v>1.0</v>
      </c>
      <c r="L206" s="2" t="b">
        <v>1</v>
      </c>
      <c r="M206" s="2" t="s">
        <v>2470</v>
      </c>
      <c r="N206" s="2" t="s">
        <v>247</v>
      </c>
    </row>
    <row r="207">
      <c r="A207" s="2" t="s">
        <v>1760</v>
      </c>
      <c r="B207" s="100">
        <v>44619.0</v>
      </c>
      <c r="C207" s="101">
        <v>0.5154282407407408</v>
      </c>
      <c r="G207" s="2" t="s">
        <v>2184</v>
      </c>
      <c r="H207" s="2" t="s">
        <v>244</v>
      </c>
      <c r="I207" s="100">
        <v>44621.0</v>
      </c>
      <c r="J207" s="101">
        <v>0.47836805555555556</v>
      </c>
      <c r="K207" s="2">
        <v>1.0</v>
      </c>
      <c r="L207" s="2" t="b">
        <v>1</v>
      </c>
      <c r="M207" s="2" t="s">
        <v>2471</v>
      </c>
      <c r="N207" s="2" t="s">
        <v>247</v>
      </c>
    </row>
    <row r="208">
      <c r="A208" s="2" t="s">
        <v>1756</v>
      </c>
      <c r="B208" s="100">
        <v>44619.0</v>
      </c>
      <c r="C208" s="101">
        <v>0.5150231481481482</v>
      </c>
      <c r="G208" s="2" t="s">
        <v>2184</v>
      </c>
      <c r="H208" s="2" t="s">
        <v>244</v>
      </c>
      <c r="I208" s="100">
        <v>44621.0</v>
      </c>
      <c r="J208" s="101">
        <v>0.47836805555555556</v>
      </c>
      <c r="K208" s="2">
        <v>1.0</v>
      </c>
      <c r="L208" s="2" t="b">
        <v>1</v>
      </c>
      <c r="M208" s="2" t="s">
        <v>2471</v>
      </c>
      <c r="N208" s="2" t="s">
        <v>247</v>
      </c>
    </row>
    <row r="209">
      <c r="A209" s="2" t="s">
        <v>1754</v>
      </c>
      <c r="B209" s="100">
        <v>44619.0</v>
      </c>
      <c r="C209" s="101">
        <v>0.47260416666666666</v>
      </c>
      <c r="G209" s="2" t="s">
        <v>2184</v>
      </c>
      <c r="H209" s="2" t="s">
        <v>244</v>
      </c>
      <c r="I209" s="100">
        <v>44621.0</v>
      </c>
      <c r="J209" s="101">
        <v>0.47836805555555556</v>
      </c>
      <c r="K209" s="2">
        <v>1.0</v>
      </c>
      <c r="L209" s="2" t="b">
        <v>1</v>
      </c>
      <c r="M209" s="2" t="s">
        <v>2472</v>
      </c>
      <c r="N209" s="2" t="s">
        <v>247</v>
      </c>
    </row>
    <row r="210">
      <c r="A210" s="2" t="s">
        <v>1751</v>
      </c>
      <c r="B210" s="100">
        <v>44619.0</v>
      </c>
      <c r="C210" s="101">
        <v>0.47225694444444444</v>
      </c>
      <c r="G210" s="2" t="s">
        <v>2184</v>
      </c>
      <c r="H210" s="2" t="s">
        <v>244</v>
      </c>
      <c r="I210" s="100">
        <v>44621.0</v>
      </c>
      <c r="J210" s="101">
        <v>0.47836805555555556</v>
      </c>
      <c r="K210" s="2">
        <v>1.0</v>
      </c>
      <c r="L210" s="2" t="b">
        <v>1</v>
      </c>
      <c r="M210" s="2" t="s">
        <v>2472</v>
      </c>
      <c r="N210" s="2" t="s">
        <v>247</v>
      </c>
    </row>
    <row r="211">
      <c r="A211" s="2" t="s">
        <v>1748</v>
      </c>
      <c r="B211" s="100">
        <v>44619.0</v>
      </c>
      <c r="C211" s="101">
        <v>0.4717476851851852</v>
      </c>
      <c r="G211" s="2" t="s">
        <v>2184</v>
      </c>
      <c r="H211" s="2" t="s">
        <v>244</v>
      </c>
      <c r="I211" s="100">
        <v>44621.0</v>
      </c>
      <c r="J211" s="101">
        <v>0.47836805555555556</v>
      </c>
      <c r="K211" s="2">
        <v>1.0</v>
      </c>
      <c r="L211" s="2" t="b">
        <v>1</v>
      </c>
      <c r="M211" s="2" t="s">
        <v>2472</v>
      </c>
      <c r="N211" s="2" t="s">
        <v>247</v>
      </c>
    </row>
    <row r="212">
      <c r="A212" s="2" t="s">
        <v>1745</v>
      </c>
      <c r="B212" s="100">
        <v>44619.0</v>
      </c>
      <c r="C212" s="101">
        <v>0.47128472222222223</v>
      </c>
      <c r="G212" s="2" t="s">
        <v>2184</v>
      </c>
      <c r="H212" s="2" t="s">
        <v>244</v>
      </c>
      <c r="I212" s="100">
        <v>44621.0</v>
      </c>
      <c r="J212" s="101">
        <v>0.47835648148148147</v>
      </c>
      <c r="K212" s="2">
        <v>1.0</v>
      </c>
      <c r="L212" s="2" t="b">
        <v>1</v>
      </c>
      <c r="M212" s="2" t="s">
        <v>2472</v>
      </c>
      <c r="N212" s="2" t="s">
        <v>247</v>
      </c>
    </row>
    <row r="213">
      <c r="A213" s="2" t="s">
        <v>1742</v>
      </c>
      <c r="B213" s="100">
        <v>44619.0</v>
      </c>
      <c r="C213" s="101">
        <v>0.47077546296296297</v>
      </c>
      <c r="G213" s="2" t="s">
        <v>2184</v>
      </c>
      <c r="H213" s="2" t="s">
        <v>52</v>
      </c>
      <c r="I213" s="100">
        <v>44627.0</v>
      </c>
      <c r="J213" s="101">
        <v>0.4778935185185185</v>
      </c>
      <c r="K213" s="2">
        <v>1.0</v>
      </c>
      <c r="L213" s="2" t="b">
        <v>1</v>
      </c>
      <c r="N213" s="2" t="s">
        <v>247</v>
      </c>
    </row>
    <row r="214">
      <c r="A214" s="2" t="s">
        <v>1740</v>
      </c>
      <c r="B214" s="100">
        <v>44619.0</v>
      </c>
      <c r="C214" s="101">
        <v>0.3654513888888889</v>
      </c>
      <c r="G214" s="2" t="s">
        <v>2184</v>
      </c>
      <c r="H214" s="2" t="s">
        <v>244</v>
      </c>
      <c r="I214" s="100">
        <v>44621.0</v>
      </c>
      <c r="J214" s="101">
        <v>0.47835648148148147</v>
      </c>
      <c r="K214" s="2">
        <v>1.0</v>
      </c>
      <c r="L214" s="2" t="b">
        <v>1</v>
      </c>
      <c r="M214" s="2" t="s">
        <v>2472</v>
      </c>
      <c r="N214" s="2" t="s">
        <v>247</v>
      </c>
    </row>
    <row r="215">
      <c r="A215" s="2" t="s">
        <v>1738</v>
      </c>
      <c r="B215" s="100">
        <v>44619.0</v>
      </c>
      <c r="C215" s="101">
        <v>0.3628587962962963</v>
      </c>
      <c r="G215" s="2" t="s">
        <v>2184</v>
      </c>
      <c r="H215" s="2" t="s">
        <v>244</v>
      </c>
      <c r="I215" s="100">
        <v>44621.0</v>
      </c>
      <c r="J215" s="101">
        <v>0.47835648148148147</v>
      </c>
      <c r="K215" s="2">
        <v>1.0</v>
      </c>
      <c r="L215" s="2" t="b">
        <v>1</v>
      </c>
      <c r="M215" s="2" t="s">
        <v>2472</v>
      </c>
      <c r="N215" s="2" t="s">
        <v>247</v>
      </c>
    </row>
    <row r="216">
      <c r="A216" s="2" t="s">
        <v>1736</v>
      </c>
      <c r="B216" s="100">
        <v>44619.0</v>
      </c>
      <c r="C216" s="101">
        <v>0.3563773148148148</v>
      </c>
      <c r="G216" s="2" t="s">
        <v>2184</v>
      </c>
      <c r="H216" s="2" t="s">
        <v>244</v>
      </c>
      <c r="I216" s="100">
        <v>44621.0</v>
      </c>
      <c r="J216" s="101">
        <v>0.47835648148148147</v>
      </c>
      <c r="K216" s="2">
        <v>1.0</v>
      </c>
      <c r="L216" s="2" t="b">
        <v>1</v>
      </c>
      <c r="M216" s="2" t="s">
        <v>2472</v>
      </c>
      <c r="N216" s="2" t="s">
        <v>247</v>
      </c>
    </row>
    <row r="217">
      <c r="A217" s="2" t="s">
        <v>1734</v>
      </c>
      <c r="B217" s="100">
        <v>44619.0</v>
      </c>
      <c r="C217" s="101">
        <v>0.35575231481481484</v>
      </c>
      <c r="G217" s="2" t="s">
        <v>2184</v>
      </c>
      <c r="H217" s="2" t="s">
        <v>244</v>
      </c>
      <c r="I217" s="100">
        <v>44621.0</v>
      </c>
      <c r="J217" s="101">
        <v>0.47835648148148147</v>
      </c>
      <c r="K217" s="2">
        <v>1.0</v>
      </c>
      <c r="L217" s="2" t="b">
        <v>1</v>
      </c>
      <c r="M217" s="2" t="s">
        <v>2472</v>
      </c>
      <c r="N217" s="2" t="s">
        <v>247</v>
      </c>
    </row>
    <row r="218">
      <c r="A218" s="2" t="s">
        <v>1732</v>
      </c>
      <c r="B218" s="100">
        <v>44619.0</v>
      </c>
      <c r="C218" s="101">
        <v>0.35444444444444445</v>
      </c>
      <c r="G218" s="2" t="s">
        <v>2184</v>
      </c>
      <c r="H218" s="2" t="s">
        <v>52</v>
      </c>
      <c r="I218" s="100">
        <v>44627.0</v>
      </c>
      <c r="J218" s="101">
        <v>0.4778935185185185</v>
      </c>
      <c r="K218" s="2">
        <v>1.0</v>
      </c>
      <c r="L218" s="2" t="b">
        <v>1</v>
      </c>
      <c r="N218" s="2" t="s">
        <v>247</v>
      </c>
    </row>
    <row r="219">
      <c r="A219" s="2" t="s">
        <v>1730</v>
      </c>
      <c r="B219" s="100">
        <v>44619.0</v>
      </c>
      <c r="C219" s="101">
        <v>0.3393055555555556</v>
      </c>
      <c r="G219" s="2" t="s">
        <v>2184</v>
      </c>
      <c r="H219" s="2" t="s">
        <v>244</v>
      </c>
      <c r="I219" s="100">
        <v>44621.0</v>
      </c>
      <c r="J219" s="101">
        <v>0.47835648148148147</v>
      </c>
      <c r="K219" s="2">
        <v>1.0</v>
      </c>
      <c r="L219" s="2" t="b">
        <v>1</v>
      </c>
      <c r="M219" s="2" t="s">
        <v>2472</v>
      </c>
      <c r="N219" s="2" t="s">
        <v>247</v>
      </c>
    </row>
    <row r="220">
      <c r="A220" s="2" t="s">
        <v>1728</v>
      </c>
      <c r="B220" s="100">
        <v>44619.0</v>
      </c>
      <c r="C220" s="101">
        <v>0.3308564814814815</v>
      </c>
      <c r="G220" s="2" t="s">
        <v>2184</v>
      </c>
      <c r="H220" s="2" t="s">
        <v>244</v>
      </c>
      <c r="I220" s="100">
        <v>44621.0</v>
      </c>
      <c r="J220" s="101">
        <v>0.47835648148148147</v>
      </c>
      <c r="K220" s="2">
        <v>1.0</v>
      </c>
      <c r="L220" s="2" t="b">
        <v>1</v>
      </c>
      <c r="M220" s="2" t="s">
        <v>2472</v>
      </c>
      <c r="N220" s="2" t="s">
        <v>247</v>
      </c>
    </row>
    <row r="221">
      <c r="A221" s="2" t="s">
        <v>1726</v>
      </c>
      <c r="B221" s="100">
        <v>44619.0</v>
      </c>
      <c r="C221" s="101">
        <v>0.3308449074074074</v>
      </c>
      <c r="G221" s="2" t="s">
        <v>2184</v>
      </c>
      <c r="H221" s="2" t="s">
        <v>244</v>
      </c>
      <c r="I221" s="100">
        <v>44621.0</v>
      </c>
      <c r="J221" s="101">
        <v>0.47835648148148147</v>
      </c>
      <c r="K221" s="2">
        <v>1.0</v>
      </c>
      <c r="L221" s="2" t="b">
        <v>1</v>
      </c>
      <c r="M221" s="2" t="s">
        <v>2472</v>
      </c>
      <c r="N221" s="2" t="s">
        <v>247</v>
      </c>
    </row>
    <row r="222">
      <c r="A222" s="2" t="s">
        <v>1724</v>
      </c>
      <c r="B222" s="100">
        <v>44619.0</v>
      </c>
      <c r="C222" s="101">
        <v>0.33024305555555555</v>
      </c>
      <c r="G222" s="2" t="s">
        <v>2184</v>
      </c>
      <c r="H222" s="2" t="s">
        <v>244</v>
      </c>
      <c r="I222" s="100">
        <v>44621.0</v>
      </c>
      <c r="J222" s="101">
        <v>0.47835648148148147</v>
      </c>
      <c r="K222" s="2">
        <v>1.0</v>
      </c>
      <c r="L222" s="2" t="b">
        <v>1</v>
      </c>
      <c r="M222" s="2" t="s">
        <v>2472</v>
      </c>
      <c r="N222" s="2" t="s">
        <v>247</v>
      </c>
    </row>
    <row r="223">
      <c r="A223" s="2" t="s">
        <v>1722</v>
      </c>
      <c r="B223" s="100">
        <v>44619.0</v>
      </c>
      <c r="C223" s="101">
        <v>0.32743055555555556</v>
      </c>
      <c r="G223" s="2" t="s">
        <v>2184</v>
      </c>
      <c r="H223" s="2" t="s">
        <v>244</v>
      </c>
      <c r="I223" s="100">
        <v>44621.0</v>
      </c>
      <c r="J223" s="101">
        <v>0.47835648148148147</v>
      </c>
      <c r="K223" s="2">
        <v>1.0</v>
      </c>
      <c r="L223" s="2" t="b">
        <v>1</v>
      </c>
      <c r="M223" s="2" t="s">
        <v>2472</v>
      </c>
      <c r="N223" s="2" t="s">
        <v>247</v>
      </c>
    </row>
    <row r="224">
      <c r="A224" s="2" t="s">
        <v>1720</v>
      </c>
      <c r="B224" s="100">
        <v>44619.0</v>
      </c>
      <c r="C224" s="101">
        <v>0.3249768518518519</v>
      </c>
      <c r="G224" s="2" t="s">
        <v>2184</v>
      </c>
      <c r="H224" s="2" t="s">
        <v>244</v>
      </c>
      <c r="I224" s="100">
        <v>44621.0</v>
      </c>
      <c r="J224" s="101">
        <v>0.47835648148148147</v>
      </c>
      <c r="K224" s="2">
        <v>1.0</v>
      </c>
      <c r="L224" s="2" t="b">
        <v>1</v>
      </c>
      <c r="M224" s="2" t="s">
        <v>2472</v>
      </c>
      <c r="N224" s="2" t="s">
        <v>247</v>
      </c>
    </row>
    <row r="225">
      <c r="A225" s="2" t="s">
        <v>1718</v>
      </c>
      <c r="B225" s="100">
        <v>44619.0</v>
      </c>
      <c r="C225" s="101">
        <v>0.3246759259259259</v>
      </c>
      <c r="G225" s="2" t="s">
        <v>2184</v>
      </c>
      <c r="H225" s="2" t="s">
        <v>244</v>
      </c>
      <c r="I225" s="100">
        <v>44621.0</v>
      </c>
      <c r="J225" s="101">
        <v>0.47835648148148147</v>
      </c>
      <c r="K225" s="2">
        <v>1.0</v>
      </c>
      <c r="L225" s="2" t="b">
        <v>1</v>
      </c>
      <c r="M225" s="2" t="s">
        <v>2472</v>
      </c>
      <c r="N225" s="2" t="s">
        <v>247</v>
      </c>
    </row>
    <row r="226">
      <c r="A226" s="2" t="s">
        <v>1715</v>
      </c>
      <c r="B226" s="100">
        <v>44619.0</v>
      </c>
      <c r="C226" s="101">
        <v>0.32320601851851855</v>
      </c>
      <c r="G226" s="2" t="s">
        <v>2184</v>
      </c>
      <c r="H226" s="2" t="s">
        <v>244</v>
      </c>
      <c r="I226" s="100">
        <v>44621.0</v>
      </c>
      <c r="J226" s="101">
        <v>0.4783449074074074</v>
      </c>
      <c r="K226" s="2">
        <v>2.0</v>
      </c>
      <c r="L226" s="2" t="b">
        <v>1</v>
      </c>
      <c r="M226" s="2" t="s">
        <v>2472</v>
      </c>
      <c r="N226" s="2" t="s">
        <v>247</v>
      </c>
    </row>
    <row r="227">
      <c r="A227" s="2" t="s">
        <v>1711</v>
      </c>
      <c r="B227" s="100">
        <v>44619.0</v>
      </c>
      <c r="C227" s="101">
        <v>0.32261574074074073</v>
      </c>
      <c r="G227" s="2" t="s">
        <v>2184</v>
      </c>
      <c r="H227" s="2" t="s">
        <v>244</v>
      </c>
      <c r="I227" s="100">
        <v>44621.0</v>
      </c>
      <c r="J227" s="101">
        <v>0.4783449074074074</v>
      </c>
      <c r="K227" s="2">
        <v>2.0</v>
      </c>
      <c r="L227" s="2" t="b">
        <v>1</v>
      </c>
      <c r="M227" s="2" t="s">
        <v>2472</v>
      </c>
      <c r="N227" s="2" t="s">
        <v>247</v>
      </c>
    </row>
    <row r="228">
      <c r="A228" s="2" t="s">
        <v>1709</v>
      </c>
      <c r="B228" s="100">
        <v>44619.0</v>
      </c>
      <c r="C228" s="101">
        <v>0.32108796296296294</v>
      </c>
      <c r="G228" s="2" t="s">
        <v>2184</v>
      </c>
      <c r="H228" s="2" t="s">
        <v>244</v>
      </c>
      <c r="I228" s="100">
        <v>44621.0</v>
      </c>
      <c r="J228" s="101">
        <v>0.4783449074074074</v>
      </c>
      <c r="K228" s="2">
        <v>0.0</v>
      </c>
      <c r="L228" s="2" t="b">
        <v>1</v>
      </c>
      <c r="M228" s="2" t="s">
        <v>2472</v>
      </c>
      <c r="N228" s="2" t="s">
        <v>247</v>
      </c>
    </row>
    <row r="229">
      <c r="A229" s="2" t="s">
        <v>1707</v>
      </c>
      <c r="B229" s="100">
        <v>44619.0</v>
      </c>
      <c r="C229" s="101">
        <v>0.3200462962962963</v>
      </c>
      <c r="G229" s="2" t="s">
        <v>2184</v>
      </c>
      <c r="H229" s="2" t="s">
        <v>244</v>
      </c>
      <c r="I229" s="100">
        <v>44621.0</v>
      </c>
      <c r="J229" s="101">
        <v>0.4783449074074074</v>
      </c>
      <c r="K229" s="2">
        <v>1.0</v>
      </c>
      <c r="L229" s="2" t="b">
        <v>1</v>
      </c>
      <c r="M229" s="2" t="s">
        <v>2472</v>
      </c>
      <c r="N229" s="2" t="s">
        <v>247</v>
      </c>
    </row>
    <row r="230">
      <c r="A230" s="2" t="s">
        <v>1705</v>
      </c>
      <c r="B230" s="100">
        <v>44619.0</v>
      </c>
      <c r="C230" s="101">
        <v>0.3194212962962963</v>
      </c>
      <c r="G230" s="2" t="s">
        <v>2184</v>
      </c>
      <c r="H230" s="2" t="s">
        <v>244</v>
      </c>
      <c r="I230" s="100">
        <v>44621.0</v>
      </c>
      <c r="J230" s="101">
        <v>0.4783449074074074</v>
      </c>
      <c r="K230" s="2">
        <v>1.0</v>
      </c>
      <c r="L230" s="2" t="b">
        <v>1</v>
      </c>
      <c r="M230" s="2" t="s">
        <v>2472</v>
      </c>
      <c r="N230" s="2" t="s">
        <v>247</v>
      </c>
    </row>
    <row r="231">
      <c r="A231" s="2" t="s">
        <v>1703</v>
      </c>
      <c r="B231" s="100">
        <v>44619.0</v>
      </c>
      <c r="C231" s="101">
        <v>0.31364583333333335</v>
      </c>
      <c r="G231" s="2" t="s">
        <v>2184</v>
      </c>
      <c r="H231" s="2" t="s">
        <v>244</v>
      </c>
      <c r="I231" s="100">
        <v>44621.0</v>
      </c>
      <c r="J231" s="101">
        <v>0.4783449074074074</v>
      </c>
      <c r="K231" s="2">
        <v>0.0</v>
      </c>
      <c r="L231" s="2" t="b">
        <v>1</v>
      </c>
      <c r="M231" s="2" t="s">
        <v>2472</v>
      </c>
      <c r="N231" s="2" t="s">
        <v>247</v>
      </c>
    </row>
    <row r="232">
      <c r="A232" s="2" t="s">
        <v>1701</v>
      </c>
      <c r="B232" s="100">
        <v>44619.0</v>
      </c>
      <c r="C232" s="101">
        <v>0.3128587962962963</v>
      </c>
      <c r="G232" s="2" t="s">
        <v>2184</v>
      </c>
      <c r="H232" s="2" t="s">
        <v>244</v>
      </c>
      <c r="I232" s="100">
        <v>44621.0</v>
      </c>
      <c r="J232" s="101">
        <v>0.4783449074074074</v>
      </c>
      <c r="K232" s="2">
        <v>1.0</v>
      </c>
      <c r="L232" s="2" t="b">
        <v>1</v>
      </c>
      <c r="M232" s="2" t="s">
        <v>2472</v>
      </c>
      <c r="N232" s="2" t="s">
        <v>247</v>
      </c>
    </row>
    <row r="233">
      <c r="A233" s="2" t="s">
        <v>1699</v>
      </c>
      <c r="B233" s="100">
        <v>44619.0</v>
      </c>
      <c r="C233" s="101">
        <v>0.2973032407407407</v>
      </c>
      <c r="G233" s="2" t="s">
        <v>2184</v>
      </c>
      <c r="H233" s="2" t="s">
        <v>244</v>
      </c>
      <c r="I233" s="100">
        <v>44621.0</v>
      </c>
      <c r="J233" s="101">
        <v>0.4783449074074074</v>
      </c>
      <c r="K233" s="2">
        <v>1.0</v>
      </c>
      <c r="L233" s="2" t="b">
        <v>1</v>
      </c>
      <c r="M233" s="2" t="s">
        <v>2472</v>
      </c>
      <c r="N233" s="2" t="s">
        <v>247</v>
      </c>
    </row>
    <row r="234">
      <c r="A234" s="2" t="s">
        <v>1697</v>
      </c>
      <c r="B234" s="100">
        <v>44619.0</v>
      </c>
      <c r="C234" s="101">
        <v>0.29094907407407405</v>
      </c>
      <c r="G234" s="2" t="s">
        <v>2184</v>
      </c>
      <c r="H234" s="2" t="s">
        <v>244</v>
      </c>
      <c r="I234" s="100">
        <v>44621.0</v>
      </c>
      <c r="J234" s="101">
        <v>0.4783449074074074</v>
      </c>
      <c r="K234" s="2">
        <v>1.0</v>
      </c>
      <c r="L234" s="2" t="b">
        <v>1</v>
      </c>
      <c r="M234" s="2" t="s">
        <v>2472</v>
      </c>
      <c r="N234" s="2" t="s">
        <v>247</v>
      </c>
    </row>
    <row r="235">
      <c r="A235" s="2" t="s">
        <v>1695</v>
      </c>
      <c r="B235" s="100">
        <v>44619.0</v>
      </c>
      <c r="C235" s="101">
        <v>0.28791666666666665</v>
      </c>
      <c r="G235" s="2" t="s">
        <v>2184</v>
      </c>
      <c r="H235" s="2" t="s">
        <v>244</v>
      </c>
      <c r="I235" s="100">
        <v>44621.0</v>
      </c>
      <c r="J235" s="101">
        <v>0.4783449074074074</v>
      </c>
      <c r="K235" s="2">
        <v>1.0</v>
      </c>
      <c r="L235" s="2" t="b">
        <v>1</v>
      </c>
      <c r="M235" s="2" t="s">
        <v>2472</v>
      </c>
      <c r="N235" s="2" t="s">
        <v>247</v>
      </c>
    </row>
    <row r="236">
      <c r="A236" s="2" t="s">
        <v>1693</v>
      </c>
      <c r="B236" s="100">
        <v>44619.0</v>
      </c>
      <c r="C236" s="101">
        <v>0.28652777777777777</v>
      </c>
      <c r="G236" s="2" t="s">
        <v>2184</v>
      </c>
      <c r="H236" s="2" t="s">
        <v>244</v>
      </c>
      <c r="I236" s="100">
        <v>44621.0</v>
      </c>
      <c r="J236" s="101">
        <v>0.4783449074074074</v>
      </c>
      <c r="K236" s="2">
        <v>1.0</v>
      </c>
      <c r="L236" s="2" t="b">
        <v>1</v>
      </c>
      <c r="M236" s="2" t="s">
        <v>2472</v>
      </c>
      <c r="N236" s="2" t="s">
        <v>247</v>
      </c>
    </row>
    <row r="237">
      <c r="A237" s="2" t="s">
        <v>1691</v>
      </c>
      <c r="B237" s="100">
        <v>44619.0</v>
      </c>
      <c r="C237" s="101">
        <v>0.27760416666666665</v>
      </c>
      <c r="G237" s="2" t="s">
        <v>2184</v>
      </c>
      <c r="H237" s="2" t="s">
        <v>244</v>
      </c>
      <c r="I237" s="100">
        <v>44621.0</v>
      </c>
      <c r="J237" s="101">
        <v>0.4783449074074074</v>
      </c>
      <c r="K237" s="2">
        <v>1.0</v>
      </c>
      <c r="L237" s="2" t="b">
        <v>1</v>
      </c>
      <c r="M237" s="2" t="s">
        <v>2472</v>
      </c>
      <c r="N237" s="2" t="s">
        <v>247</v>
      </c>
    </row>
    <row r="238">
      <c r="A238" s="2" t="s">
        <v>1689</v>
      </c>
      <c r="B238" s="100">
        <v>44619.0</v>
      </c>
      <c r="C238" s="101">
        <v>0.26229166666666665</v>
      </c>
      <c r="G238" s="2" t="s">
        <v>2184</v>
      </c>
      <c r="H238" s="2" t="s">
        <v>244</v>
      </c>
      <c r="I238" s="100">
        <v>44621.0</v>
      </c>
      <c r="J238" s="101">
        <v>0.47833333333333333</v>
      </c>
      <c r="K238" s="2">
        <v>1.0</v>
      </c>
      <c r="L238" s="2" t="b">
        <v>1</v>
      </c>
      <c r="M238" s="2" t="s">
        <v>2472</v>
      </c>
      <c r="N238" s="2" t="s">
        <v>247</v>
      </c>
    </row>
    <row r="239">
      <c r="A239" s="2" t="s">
        <v>1687</v>
      </c>
      <c r="B239" s="100">
        <v>44617.0</v>
      </c>
      <c r="C239" s="101">
        <v>0.41888888888888887</v>
      </c>
      <c r="G239" s="2" t="s">
        <v>2184</v>
      </c>
      <c r="H239" s="2" t="s">
        <v>244</v>
      </c>
      <c r="I239" s="100">
        <v>44617.0</v>
      </c>
      <c r="J239" s="101">
        <v>0.5033912037037037</v>
      </c>
      <c r="K239" s="2">
        <v>1.0</v>
      </c>
      <c r="L239" s="2" t="b">
        <v>1</v>
      </c>
      <c r="M239" s="2" t="s">
        <v>2473</v>
      </c>
      <c r="N239" s="2" t="s">
        <v>247</v>
      </c>
    </row>
    <row r="240">
      <c r="A240" s="2" t="s">
        <v>1684</v>
      </c>
      <c r="B240" s="100">
        <v>44617.0</v>
      </c>
      <c r="C240" s="101">
        <v>0.3496412037037037</v>
      </c>
      <c r="G240" s="2" t="s">
        <v>2184</v>
      </c>
      <c r="H240" s="2" t="s">
        <v>244</v>
      </c>
      <c r="I240" s="100">
        <v>44617.0</v>
      </c>
      <c r="J240" s="101">
        <v>0.5033796296296297</v>
      </c>
      <c r="K240" s="2">
        <v>1.0</v>
      </c>
      <c r="L240" s="2" t="b">
        <v>1</v>
      </c>
      <c r="M240" s="2" t="s">
        <v>2473</v>
      </c>
      <c r="N240" s="2" t="s">
        <v>247</v>
      </c>
    </row>
    <row r="241">
      <c r="A241" s="2" t="s">
        <v>1682</v>
      </c>
      <c r="B241" s="100">
        <v>44617.0</v>
      </c>
      <c r="C241" s="101">
        <v>0.3486342592592593</v>
      </c>
      <c r="G241" s="2" t="s">
        <v>2184</v>
      </c>
      <c r="H241" s="2" t="s">
        <v>244</v>
      </c>
      <c r="I241" s="100">
        <v>44617.0</v>
      </c>
      <c r="J241" s="101">
        <v>0.5033796296296297</v>
      </c>
      <c r="K241" s="2">
        <v>1.0</v>
      </c>
      <c r="L241" s="2" t="b">
        <v>1</v>
      </c>
      <c r="M241" s="2" t="s">
        <v>2473</v>
      </c>
      <c r="N241" s="2" t="s">
        <v>247</v>
      </c>
    </row>
    <row r="242">
      <c r="A242" s="2" t="s">
        <v>1679</v>
      </c>
      <c r="B242" s="100">
        <v>44617.0</v>
      </c>
      <c r="C242" s="101">
        <v>0.34774305555555557</v>
      </c>
      <c r="G242" s="2" t="s">
        <v>2184</v>
      </c>
      <c r="H242" s="2" t="s">
        <v>244</v>
      </c>
      <c r="I242" s="100">
        <v>44617.0</v>
      </c>
      <c r="J242" s="101">
        <v>0.5033796296296297</v>
      </c>
      <c r="K242" s="2">
        <v>1.0</v>
      </c>
      <c r="L242" s="2" t="b">
        <v>1</v>
      </c>
      <c r="M242" s="2" t="s">
        <v>2473</v>
      </c>
      <c r="N242" s="2" t="s">
        <v>247</v>
      </c>
    </row>
    <row r="243">
      <c r="A243" s="2" t="s">
        <v>1677</v>
      </c>
      <c r="B243" s="100">
        <v>44617.0</v>
      </c>
      <c r="C243" s="101">
        <v>0.34032407407407406</v>
      </c>
      <c r="G243" s="2" t="s">
        <v>2184</v>
      </c>
      <c r="H243" s="2" t="s">
        <v>244</v>
      </c>
      <c r="I243" s="100">
        <v>44617.0</v>
      </c>
      <c r="J243" s="101">
        <v>0.5033796296296297</v>
      </c>
      <c r="K243" s="2">
        <v>1.0</v>
      </c>
      <c r="L243" s="2" t="b">
        <v>1</v>
      </c>
      <c r="M243" s="2" t="s">
        <v>2473</v>
      </c>
      <c r="N243" s="2" t="s">
        <v>247</v>
      </c>
    </row>
    <row r="244">
      <c r="A244" s="2" t="s">
        <v>1675</v>
      </c>
      <c r="B244" s="100">
        <v>44617.0</v>
      </c>
      <c r="C244" s="101">
        <v>0.3387847222222222</v>
      </c>
      <c r="G244" s="2" t="s">
        <v>2184</v>
      </c>
      <c r="H244" s="2" t="s">
        <v>244</v>
      </c>
      <c r="I244" s="100">
        <v>44617.0</v>
      </c>
      <c r="J244" s="101">
        <v>0.5033796296296297</v>
      </c>
      <c r="K244" s="2">
        <v>1.0</v>
      </c>
      <c r="L244" s="2" t="b">
        <v>1</v>
      </c>
      <c r="M244" s="2" t="s">
        <v>2473</v>
      </c>
      <c r="N244" s="2" t="s">
        <v>247</v>
      </c>
    </row>
    <row r="245">
      <c r="A245" s="2" t="s">
        <v>1673</v>
      </c>
      <c r="B245" s="100">
        <v>44617.0</v>
      </c>
      <c r="C245" s="101">
        <v>0.3329050925925926</v>
      </c>
      <c r="G245" s="2" t="s">
        <v>2184</v>
      </c>
      <c r="H245" s="2" t="s">
        <v>244</v>
      </c>
      <c r="I245" s="100">
        <v>44617.0</v>
      </c>
      <c r="J245" s="101">
        <v>0.5033796296296297</v>
      </c>
      <c r="K245" s="2">
        <v>1.0</v>
      </c>
      <c r="L245" s="2" t="b">
        <v>1</v>
      </c>
      <c r="M245" s="2" t="s">
        <v>2473</v>
      </c>
      <c r="N245" s="2" t="s">
        <v>247</v>
      </c>
    </row>
    <row r="246">
      <c r="A246" s="2" t="s">
        <v>1671</v>
      </c>
      <c r="B246" s="100">
        <v>44617.0</v>
      </c>
      <c r="C246" s="101">
        <v>0.3321875</v>
      </c>
      <c r="G246" s="2" t="s">
        <v>2184</v>
      </c>
      <c r="H246" s="2" t="s">
        <v>244</v>
      </c>
      <c r="I246" s="100">
        <v>44617.0</v>
      </c>
      <c r="J246" s="101">
        <v>0.5033796296296297</v>
      </c>
      <c r="K246" s="2">
        <v>1.0</v>
      </c>
      <c r="L246" s="2" t="b">
        <v>1</v>
      </c>
      <c r="M246" s="2" t="s">
        <v>2473</v>
      </c>
      <c r="N246" s="2" t="s">
        <v>247</v>
      </c>
    </row>
    <row r="247">
      <c r="A247" s="2" t="s">
        <v>1669</v>
      </c>
      <c r="B247" s="100">
        <v>44617.0</v>
      </c>
      <c r="C247" s="101">
        <v>0.3319328703703704</v>
      </c>
      <c r="G247" s="2" t="s">
        <v>2184</v>
      </c>
      <c r="H247" s="2" t="s">
        <v>244</v>
      </c>
      <c r="I247" s="100">
        <v>44617.0</v>
      </c>
      <c r="J247" s="101">
        <v>0.5033796296296297</v>
      </c>
      <c r="K247" s="2">
        <v>1.0</v>
      </c>
      <c r="L247" s="2" t="b">
        <v>1</v>
      </c>
      <c r="M247" s="2" t="s">
        <v>2473</v>
      </c>
      <c r="N247" s="2" t="s">
        <v>247</v>
      </c>
    </row>
    <row r="248">
      <c r="A248" s="2" t="s">
        <v>1667</v>
      </c>
      <c r="B248" s="100">
        <v>44617.0</v>
      </c>
      <c r="C248" s="101">
        <v>0.33167824074074076</v>
      </c>
      <c r="G248" s="2" t="s">
        <v>2184</v>
      </c>
      <c r="H248" s="2" t="s">
        <v>244</v>
      </c>
      <c r="I248" s="100">
        <v>44617.0</v>
      </c>
      <c r="J248" s="101">
        <v>0.5033796296296297</v>
      </c>
      <c r="K248" s="2">
        <v>1.0</v>
      </c>
      <c r="L248" s="2" t="b">
        <v>1</v>
      </c>
      <c r="M248" s="2" t="s">
        <v>2473</v>
      </c>
      <c r="N248" s="2" t="s">
        <v>247</v>
      </c>
    </row>
    <row r="249">
      <c r="A249" s="2" t="s">
        <v>1665</v>
      </c>
      <c r="B249" s="100">
        <v>44617.0</v>
      </c>
      <c r="C249" s="101">
        <v>0.3313773148148148</v>
      </c>
      <c r="G249" s="2" t="s">
        <v>2184</v>
      </c>
      <c r="H249" s="2" t="s">
        <v>244</v>
      </c>
      <c r="I249" s="100">
        <v>44617.0</v>
      </c>
      <c r="J249" s="101">
        <v>0.5033796296296297</v>
      </c>
      <c r="K249" s="2">
        <v>1.0</v>
      </c>
      <c r="L249" s="2" t="b">
        <v>1</v>
      </c>
      <c r="M249" s="2" t="s">
        <v>2473</v>
      </c>
      <c r="N249" s="2" t="s">
        <v>247</v>
      </c>
    </row>
    <row r="250">
      <c r="A250" s="2" t="s">
        <v>1661</v>
      </c>
      <c r="B250" s="100">
        <v>44617.0</v>
      </c>
      <c r="C250" s="101">
        <v>0.3313425925925926</v>
      </c>
      <c r="G250" s="2" t="s">
        <v>2184</v>
      </c>
      <c r="H250" s="2" t="s">
        <v>244</v>
      </c>
      <c r="I250" s="100">
        <v>44617.0</v>
      </c>
      <c r="J250" s="101">
        <v>0.5033796296296297</v>
      </c>
      <c r="K250" s="2">
        <v>1.0</v>
      </c>
      <c r="L250" s="2" t="b">
        <v>1</v>
      </c>
      <c r="M250" s="2" t="s">
        <v>2473</v>
      </c>
      <c r="N250" s="2" t="s">
        <v>247</v>
      </c>
    </row>
    <row r="251">
      <c r="A251" s="2" t="s">
        <v>1659</v>
      </c>
      <c r="B251" s="100">
        <v>44617.0</v>
      </c>
      <c r="C251" s="101">
        <v>0.3303935185185185</v>
      </c>
      <c r="G251" s="2" t="s">
        <v>2184</v>
      </c>
      <c r="H251" s="2" t="s">
        <v>244</v>
      </c>
      <c r="I251" s="100">
        <v>44617.0</v>
      </c>
      <c r="J251" s="101">
        <v>0.5033796296296297</v>
      </c>
      <c r="K251" s="2">
        <v>1.0</v>
      </c>
      <c r="L251" s="2" t="b">
        <v>1</v>
      </c>
      <c r="M251" s="2" t="s">
        <v>2473</v>
      </c>
      <c r="N251" s="2" t="s">
        <v>247</v>
      </c>
    </row>
    <row r="252">
      <c r="A252" s="2" t="s">
        <v>1655</v>
      </c>
      <c r="B252" s="100">
        <v>44617.0</v>
      </c>
      <c r="C252" s="101">
        <v>0.3297453703703704</v>
      </c>
      <c r="G252" s="2" t="s">
        <v>2184</v>
      </c>
      <c r="H252" s="2" t="s">
        <v>244</v>
      </c>
      <c r="I252" s="100">
        <v>44617.0</v>
      </c>
      <c r="J252" s="101">
        <v>0.5033796296296297</v>
      </c>
      <c r="K252" s="2">
        <v>1.0</v>
      </c>
      <c r="L252" s="2" t="b">
        <v>1</v>
      </c>
      <c r="M252" s="2" t="s">
        <v>2473</v>
      </c>
      <c r="N252" s="2" t="s">
        <v>247</v>
      </c>
    </row>
    <row r="253">
      <c r="A253" s="2" t="s">
        <v>1653</v>
      </c>
      <c r="B253" s="100">
        <v>44617.0</v>
      </c>
      <c r="C253" s="101">
        <v>0.32384259259259257</v>
      </c>
      <c r="G253" s="2" t="s">
        <v>2184</v>
      </c>
      <c r="H253" s="2" t="s">
        <v>244</v>
      </c>
      <c r="I253" s="100">
        <v>44617.0</v>
      </c>
      <c r="J253" s="101">
        <v>0.5033796296296297</v>
      </c>
      <c r="K253" s="2">
        <v>1.0</v>
      </c>
      <c r="L253" s="2" t="b">
        <v>1</v>
      </c>
      <c r="M253" s="2" t="s">
        <v>2473</v>
      </c>
      <c r="N253" s="2" t="s">
        <v>247</v>
      </c>
    </row>
    <row r="254">
      <c r="A254" s="2" t="s">
        <v>1651</v>
      </c>
      <c r="B254" s="100">
        <v>44617.0</v>
      </c>
      <c r="C254" s="101">
        <v>0.3227083333333333</v>
      </c>
      <c r="G254" s="2" t="s">
        <v>2184</v>
      </c>
      <c r="H254" s="2" t="s">
        <v>244</v>
      </c>
      <c r="I254" s="100">
        <v>44617.0</v>
      </c>
      <c r="J254" s="101">
        <v>0.5033796296296297</v>
      </c>
      <c r="K254" s="2">
        <v>1.0</v>
      </c>
      <c r="L254" s="2" t="b">
        <v>1</v>
      </c>
      <c r="M254" s="2" t="s">
        <v>2473</v>
      </c>
      <c r="N254" s="2" t="s">
        <v>247</v>
      </c>
    </row>
    <row r="255">
      <c r="A255" s="2" t="s">
        <v>1649</v>
      </c>
      <c r="B255" s="100">
        <v>44617.0</v>
      </c>
      <c r="C255" s="101">
        <v>0.32081018518518517</v>
      </c>
      <c r="G255" s="2" t="s">
        <v>2184</v>
      </c>
      <c r="H255" s="2" t="s">
        <v>244</v>
      </c>
      <c r="I255" s="100">
        <v>44617.0</v>
      </c>
      <c r="J255" s="101">
        <v>0.5033796296296297</v>
      </c>
      <c r="K255" s="2">
        <v>1.0</v>
      </c>
      <c r="L255" s="2" t="b">
        <v>1</v>
      </c>
      <c r="M255" s="2" t="s">
        <v>2473</v>
      </c>
      <c r="N255" s="2" t="s">
        <v>247</v>
      </c>
    </row>
    <row r="256">
      <c r="A256" s="2" t="s">
        <v>1647</v>
      </c>
      <c r="B256" s="100">
        <v>44617.0</v>
      </c>
      <c r="C256" s="101">
        <v>0.3203472222222222</v>
      </c>
      <c r="G256" s="2" t="s">
        <v>2184</v>
      </c>
      <c r="H256" s="2" t="s">
        <v>244</v>
      </c>
      <c r="I256" s="100">
        <v>44617.0</v>
      </c>
      <c r="J256" s="101">
        <v>0.5033680555555555</v>
      </c>
      <c r="K256" s="2">
        <v>1.0</v>
      </c>
      <c r="L256" s="2" t="b">
        <v>1</v>
      </c>
      <c r="M256" s="2" t="s">
        <v>2473</v>
      </c>
      <c r="N256" s="2" t="s">
        <v>247</v>
      </c>
    </row>
    <row r="257">
      <c r="A257" s="2" t="s">
        <v>1645</v>
      </c>
      <c r="B257" s="100">
        <v>44617.0</v>
      </c>
      <c r="C257" s="101">
        <v>0.32025462962962964</v>
      </c>
      <c r="G257" s="2" t="s">
        <v>2184</v>
      </c>
      <c r="H257" s="2" t="s">
        <v>244</v>
      </c>
      <c r="I257" s="100">
        <v>44617.0</v>
      </c>
      <c r="J257" s="101">
        <v>0.5033796296296297</v>
      </c>
      <c r="K257" s="2">
        <v>1.0</v>
      </c>
      <c r="L257" s="2" t="b">
        <v>1</v>
      </c>
      <c r="M257" s="2" t="s">
        <v>2473</v>
      </c>
      <c r="N257" s="2" t="s">
        <v>247</v>
      </c>
    </row>
    <row r="258">
      <c r="A258" s="2" t="s">
        <v>1643</v>
      </c>
      <c r="B258" s="100">
        <v>44617.0</v>
      </c>
      <c r="C258" s="101">
        <v>0.32024305555555554</v>
      </c>
      <c r="G258" s="2" t="s">
        <v>2184</v>
      </c>
      <c r="H258" s="2" t="s">
        <v>244</v>
      </c>
      <c r="I258" s="100">
        <v>44617.0</v>
      </c>
      <c r="J258" s="101">
        <v>0.5033680555555555</v>
      </c>
      <c r="K258" s="2">
        <v>1.0</v>
      </c>
      <c r="L258" s="2" t="b">
        <v>1</v>
      </c>
      <c r="M258" s="2" t="s">
        <v>2473</v>
      </c>
      <c r="N258" s="2" t="s">
        <v>247</v>
      </c>
    </row>
    <row r="259">
      <c r="A259" s="2" t="s">
        <v>1641</v>
      </c>
      <c r="B259" s="100">
        <v>44617.0</v>
      </c>
      <c r="C259" s="101">
        <v>0.3202199074074074</v>
      </c>
      <c r="G259" s="2" t="s">
        <v>2184</v>
      </c>
      <c r="H259" s="2" t="s">
        <v>244</v>
      </c>
      <c r="I259" s="100">
        <v>44617.0</v>
      </c>
      <c r="J259" s="101">
        <v>0.5033680555555555</v>
      </c>
      <c r="K259" s="2">
        <v>1.0</v>
      </c>
      <c r="L259" s="2" t="b">
        <v>1</v>
      </c>
      <c r="M259" s="2" t="s">
        <v>2473</v>
      </c>
      <c r="N259" s="2" t="s">
        <v>247</v>
      </c>
    </row>
    <row r="260">
      <c r="A260" s="2" t="s">
        <v>1637</v>
      </c>
      <c r="B260" s="100">
        <v>44617.0</v>
      </c>
      <c r="C260" s="101">
        <v>0.31871527777777775</v>
      </c>
      <c r="G260" s="2" t="s">
        <v>2184</v>
      </c>
      <c r="H260" s="2" t="s">
        <v>244</v>
      </c>
      <c r="I260" s="100">
        <v>44617.0</v>
      </c>
      <c r="J260" s="101">
        <v>0.5033680555555555</v>
      </c>
      <c r="K260" s="2">
        <v>1.0</v>
      </c>
      <c r="L260" s="2" t="b">
        <v>1</v>
      </c>
      <c r="M260" s="2" t="s">
        <v>2473</v>
      </c>
      <c r="N260" s="2" t="s">
        <v>247</v>
      </c>
    </row>
    <row r="261">
      <c r="A261" s="2" t="s">
        <v>1635</v>
      </c>
      <c r="B261" s="100">
        <v>44617.0</v>
      </c>
      <c r="C261" s="101">
        <v>0.31829861111111113</v>
      </c>
      <c r="G261" s="2" t="s">
        <v>2184</v>
      </c>
      <c r="H261" s="2" t="s">
        <v>244</v>
      </c>
      <c r="I261" s="100">
        <v>44617.0</v>
      </c>
      <c r="J261" s="101">
        <v>0.5033680555555555</v>
      </c>
      <c r="K261" s="2">
        <v>1.0</v>
      </c>
      <c r="L261" s="2" t="b">
        <v>1</v>
      </c>
      <c r="M261" s="2" t="s">
        <v>2473</v>
      </c>
      <c r="N261" s="2" t="s">
        <v>247</v>
      </c>
    </row>
    <row r="262">
      <c r="A262" s="2" t="s">
        <v>1633</v>
      </c>
      <c r="B262" s="100">
        <v>44617.0</v>
      </c>
      <c r="C262" s="101">
        <v>0.31754629629629627</v>
      </c>
      <c r="G262" s="2" t="s">
        <v>2184</v>
      </c>
      <c r="H262" s="2" t="s">
        <v>244</v>
      </c>
      <c r="I262" s="100">
        <v>44617.0</v>
      </c>
      <c r="J262" s="101">
        <v>0.5033680555555555</v>
      </c>
      <c r="K262" s="2">
        <v>1.0</v>
      </c>
      <c r="L262" s="2" t="b">
        <v>1</v>
      </c>
      <c r="M262" s="2" t="s">
        <v>2473</v>
      </c>
      <c r="N262" s="2" t="s">
        <v>247</v>
      </c>
    </row>
    <row r="263">
      <c r="A263" s="2" t="s">
        <v>1631</v>
      </c>
      <c r="B263" s="100">
        <v>44617.0</v>
      </c>
      <c r="C263" s="101">
        <v>0.3161921296296296</v>
      </c>
      <c r="G263" s="2" t="s">
        <v>2184</v>
      </c>
      <c r="H263" s="2" t="s">
        <v>244</v>
      </c>
      <c r="I263" s="100">
        <v>44617.0</v>
      </c>
      <c r="J263" s="101">
        <v>0.5033680555555555</v>
      </c>
      <c r="K263" s="2">
        <v>0.0</v>
      </c>
      <c r="L263" s="2" t="b">
        <v>1</v>
      </c>
      <c r="M263" s="2" t="s">
        <v>2473</v>
      </c>
      <c r="N263" s="2" t="s">
        <v>247</v>
      </c>
    </row>
    <row r="264">
      <c r="A264" s="2" t="s">
        <v>1629</v>
      </c>
      <c r="B264" s="100">
        <v>44617.0</v>
      </c>
      <c r="C264" s="101">
        <v>0.3128009259259259</v>
      </c>
      <c r="G264" s="2" t="s">
        <v>2184</v>
      </c>
      <c r="H264" s="2" t="s">
        <v>244</v>
      </c>
      <c r="I264" s="100">
        <v>44617.0</v>
      </c>
      <c r="J264" s="101">
        <v>0.5033680555555555</v>
      </c>
      <c r="K264" s="2">
        <v>1.0</v>
      </c>
      <c r="L264" s="2" t="b">
        <v>1</v>
      </c>
      <c r="M264" s="2" t="s">
        <v>2473</v>
      </c>
      <c r="N264" s="2" t="s">
        <v>247</v>
      </c>
    </row>
    <row r="265">
      <c r="A265" s="2" t="s">
        <v>1627</v>
      </c>
      <c r="B265" s="100">
        <v>44617.0</v>
      </c>
      <c r="C265" s="101">
        <v>0.30627314814814816</v>
      </c>
      <c r="G265" s="2" t="s">
        <v>2184</v>
      </c>
      <c r="H265" s="2" t="s">
        <v>244</v>
      </c>
      <c r="I265" s="100">
        <v>44617.0</v>
      </c>
      <c r="J265" s="101">
        <v>0.5033680555555555</v>
      </c>
      <c r="K265" s="2">
        <v>1.0</v>
      </c>
      <c r="L265" s="2" t="b">
        <v>1</v>
      </c>
      <c r="M265" s="2" t="s">
        <v>2473</v>
      </c>
      <c r="N265" s="2" t="s">
        <v>247</v>
      </c>
    </row>
    <row r="266">
      <c r="A266" s="2" t="s">
        <v>1625</v>
      </c>
      <c r="B266" s="100">
        <v>44617.0</v>
      </c>
      <c r="C266" s="101">
        <v>0.30461805555555554</v>
      </c>
      <c r="G266" s="2" t="s">
        <v>2184</v>
      </c>
      <c r="H266" s="2" t="s">
        <v>244</v>
      </c>
      <c r="I266" s="100">
        <v>44617.0</v>
      </c>
      <c r="J266" s="101">
        <v>0.5033680555555555</v>
      </c>
      <c r="K266" s="2">
        <v>1.0</v>
      </c>
      <c r="L266" s="2" t="b">
        <v>1</v>
      </c>
      <c r="M266" s="2" t="s">
        <v>2473</v>
      </c>
      <c r="N266" s="2" t="s">
        <v>247</v>
      </c>
    </row>
    <row r="267">
      <c r="A267" s="2" t="s">
        <v>1623</v>
      </c>
      <c r="B267" s="100">
        <v>44617.0</v>
      </c>
      <c r="C267" s="101">
        <v>0.3043518518518519</v>
      </c>
      <c r="G267" s="2" t="s">
        <v>2184</v>
      </c>
      <c r="H267" s="2" t="s">
        <v>244</v>
      </c>
      <c r="I267" s="100">
        <v>44617.0</v>
      </c>
      <c r="J267" s="101">
        <v>0.5033680555555555</v>
      </c>
      <c r="K267" s="2">
        <v>1.0</v>
      </c>
      <c r="L267" s="2" t="b">
        <v>1</v>
      </c>
      <c r="M267" s="2" t="s">
        <v>2473</v>
      </c>
      <c r="N267" s="2" t="s">
        <v>247</v>
      </c>
    </row>
    <row r="268">
      <c r="A268" s="2" t="s">
        <v>1621</v>
      </c>
      <c r="B268" s="100">
        <v>44617.0</v>
      </c>
      <c r="C268" s="101">
        <v>0.30302083333333335</v>
      </c>
      <c r="G268" s="2" t="s">
        <v>2184</v>
      </c>
      <c r="H268" s="2" t="s">
        <v>244</v>
      </c>
      <c r="I268" s="100">
        <v>44617.0</v>
      </c>
      <c r="J268" s="101">
        <v>0.5033680555555555</v>
      </c>
      <c r="K268" s="2">
        <v>1.0</v>
      </c>
      <c r="L268" s="2" t="b">
        <v>1</v>
      </c>
      <c r="M268" s="2" t="s">
        <v>2473</v>
      </c>
      <c r="N268" s="2" t="s">
        <v>247</v>
      </c>
    </row>
    <row r="269">
      <c r="A269" s="2" t="s">
        <v>1619</v>
      </c>
      <c r="B269" s="100">
        <v>44617.0</v>
      </c>
      <c r="C269" s="101">
        <v>0.3025115740740741</v>
      </c>
      <c r="G269" s="2" t="s">
        <v>2184</v>
      </c>
      <c r="H269" s="2" t="s">
        <v>244</v>
      </c>
      <c r="I269" s="100">
        <v>44617.0</v>
      </c>
      <c r="J269" s="101">
        <v>0.5033680555555555</v>
      </c>
      <c r="K269" s="2">
        <v>1.0</v>
      </c>
      <c r="L269" s="2" t="b">
        <v>1</v>
      </c>
      <c r="M269" s="2" t="s">
        <v>2473</v>
      </c>
      <c r="N269" s="2" t="s">
        <v>247</v>
      </c>
    </row>
    <row r="270">
      <c r="A270" s="2" t="s">
        <v>1617</v>
      </c>
      <c r="B270" s="100">
        <v>44617.0</v>
      </c>
      <c r="C270" s="101">
        <v>0.3017476851851852</v>
      </c>
      <c r="G270" s="2" t="s">
        <v>2184</v>
      </c>
      <c r="H270" s="2" t="s">
        <v>244</v>
      </c>
      <c r="I270" s="100">
        <v>44617.0</v>
      </c>
      <c r="J270" s="101">
        <v>0.5033680555555555</v>
      </c>
      <c r="K270" s="2">
        <v>1.0</v>
      </c>
      <c r="L270" s="2" t="b">
        <v>1</v>
      </c>
      <c r="M270" s="2" t="s">
        <v>2473</v>
      </c>
      <c r="N270" s="2" t="s">
        <v>247</v>
      </c>
    </row>
    <row r="271">
      <c r="A271" s="2" t="s">
        <v>1615</v>
      </c>
      <c r="B271" s="100">
        <v>44617.0</v>
      </c>
      <c r="C271" s="101">
        <v>0.29310185185185184</v>
      </c>
      <c r="G271" s="2" t="s">
        <v>2184</v>
      </c>
      <c r="H271" s="2" t="s">
        <v>244</v>
      </c>
      <c r="I271" s="100">
        <v>44617.0</v>
      </c>
      <c r="J271" s="101">
        <v>0.5033680555555555</v>
      </c>
      <c r="K271" s="2">
        <v>1.0</v>
      </c>
      <c r="L271" s="2" t="b">
        <v>1</v>
      </c>
      <c r="M271" s="2" t="s">
        <v>2473</v>
      </c>
      <c r="N271" s="2" t="s">
        <v>247</v>
      </c>
    </row>
    <row r="272">
      <c r="A272" s="2" t="s">
        <v>1613</v>
      </c>
      <c r="B272" s="100">
        <v>44615.0</v>
      </c>
      <c r="C272" s="101">
        <v>0.41844907407407406</v>
      </c>
      <c r="G272" s="2" t="s">
        <v>2184</v>
      </c>
      <c r="H272" s="2" t="s">
        <v>52</v>
      </c>
      <c r="I272" s="100">
        <v>44615.0</v>
      </c>
      <c r="J272" s="101">
        <v>0.49126157407407406</v>
      </c>
      <c r="K272" s="2">
        <v>1.0</v>
      </c>
      <c r="L272" s="2" t="b">
        <v>1</v>
      </c>
      <c r="M272" s="2" t="s">
        <v>2474</v>
      </c>
      <c r="N272" s="2" t="s">
        <v>247</v>
      </c>
    </row>
    <row r="273">
      <c r="A273" s="2" t="s">
        <v>1611</v>
      </c>
      <c r="B273" s="100">
        <v>44615.0</v>
      </c>
      <c r="C273" s="101">
        <v>0.4183912037037037</v>
      </c>
      <c r="G273" s="2" t="s">
        <v>2184</v>
      </c>
      <c r="H273" s="2" t="s">
        <v>52</v>
      </c>
      <c r="I273" s="100">
        <v>44615.0</v>
      </c>
      <c r="J273" s="101">
        <v>0.49126157407407406</v>
      </c>
      <c r="K273" s="2">
        <v>1.0</v>
      </c>
      <c r="L273" s="2" t="b">
        <v>1</v>
      </c>
      <c r="M273" s="2" t="s">
        <v>2474</v>
      </c>
      <c r="N273" s="2" t="s">
        <v>247</v>
      </c>
    </row>
    <row r="274">
      <c r="A274" s="2" t="s">
        <v>1609</v>
      </c>
      <c r="B274" s="100">
        <v>44615.0</v>
      </c>
      <c r="C274" s="101">
        <v>0.39533564814814814</v>
      </c>
      <c r="G274" s="2" t="s">
        <v>2184</v>
      </c>
      <c r="H274" s="2" t="s">
        <v>52</v>
      </c>
      <c r="I274" s="100">
        <v>44615.0</v>
      </c>
      <c r="J274" s="101">
        <v>0.49126157407407406</v>
      </c>
      <c r="K274" s="2">
        <v>1.0</v>
      </c>
      <c r="L274" s="2" t="b">
        <v>1</v>
      </c>
      <c r="M274" s="2" t="s">
        <v>2474</v>
      </c>
      <c r="N274" s="2" t="s">
        <v>247</v>
      </c>
    </row>
    <row r="275">
      <c r="A275" s="2" t="s">
        <v>1607</v>
      </c>
      <c r="B275" s="100">
        <v>44615.0</v>
      </c>
      <c r="C275" s="101">
        <v>0.38722222222222225</v>
      </c>
      <c r="G275" s="2" t="s">
        <v>2184</v>
      </c>
      <c r="H275" s="2" t="s">
        <v>52</v>
      </c>
      <c r="I275" s="100">
        <v>44615.0</v>
      </c>
      <c r="J275" s="101">
        <v>0.49126157407407406</v>
      </c>
      <c r="K275" s="2">
        <v>1.0</v>
      </c>
      <c r="L275" s="2" t="b">
        <v>1</v>
      </c>
      <c r="M275" s="2" t="s">
        <v>2474</v>
      </c>
      <c r="N275" s="2" t="s">
        <v>247</v>
      </c>
    </row>
    <row r="276">
      <c r="A276" s="2" t="s">
        <v>1605</v>
      </c>
      <c r="B276" s="100">
        <v>44615.0</v>
      </c>
      <c r="C276" s="101">
        <v>0.3441782407407407</v>
      </c>
      <c r="G276" s="2" t="s">
        <v>2184</v>
      </c>
      <c r="H276" s="2" t="s">
        <v>52</v>
      </c>
      <c r="I276" s="100">
        <v>44615.0</v>
      </c>
      <c r="J276" s="101">
        <v>0.49126157407407406</v>
      </c>
      <c r="K276" s="2">
        <v>1.0</v>
      </c>
      <c r="L276" s="2" t="b">
        <v>1</v>
      </c>
      <c r="M276" s="2" t="s">
        <v>2474</v>
      </c>
      <c r="N276" s="2" t="s">
        <v>247</v>
      </c>
    </row>
    <row r="277">
      <c r="A277" s="2" t="s">
        <v>1603</v>
      </c>
      <c r="B277" s="100">
        <v>44615.0</v>
      </c>
      <c r="C277" s="101">
        <v>0.3433217592592593</v>
      </c>
      <c r="G277" s="2" t="s">
        <v>2184</v>
      </c>
      <c r="H277" s="2" t="s">
        <v>52</v>
      </c>
      <c r="I277" s="100">
        <v>44615.0</v>
      </c>
      <c r="J277" s="101">
        <v>0.49126157407407406</v>
      </c>
      <c r="K277" s="2">
        <v>1.0</v>
      </c>
      <c r="L277" s="2" t="b">
        <v>1</v>
      </c>
      <c r="M277" s="2" t="s">
        <v>2474</v>
      </c>
      <c r="N277" s="2" t="s">
        <v>247</v>
      </c>
    </row>
    <row r="278">
      <c r="A278" s="2" t="s">
        <v>1601</v>
      </c>
      <c r="B278" s="100">
        <v>44615.0</v>
      </c>
      <c r="C278" s="101">
        <v>0.3431828703703704</v>
      </c>
      <c r="G278" s="2" t="s">
        <v>2184</v>
      </c>
      <c r="H278" s="2" t="s">
        <v>52</v>
      </c>
      <c r="I278" s="100">
        <v>44615.0</v>
      </c>
      <c r="J278" s="101">
        <v>0.49125</v>
      </c>
      <c r="K278" s="2">
        <v>1.0</v>
      </c>
      <c r="L278" s="2" t="b">
        <v>1</v>
      </c>
      <c r="M278" s="2" t="s">
        <v>2474</v>
      </c>
      <c r="N278" s="2" t="s">
        <v>247</v>
      </c>
    </row>
    <row r="279">
      <c r="A279" s="2" t="s">
        <v>1599</v>
      </c>
      <c r="B279" s="100">
        <v>44615.0</v>
      </c>
      <c r="C279" s="101">
        <v>0.34300925925925924</v>
      </c>
      <c r="G279" s="2" t="s">
        <v>2184</v>
      </c>
      <c r="H279" s="2" t="s">
        <v>52</v>
      </c>
      <c r="I279" s="100">
        <v>44615.0</v>
      </c>
      <c r="J279" s="101">
        <v>0.49125</v>
      </c>
      <c r="K279" s="2">
        <v>1.0</v>
      </c>
      <c r="L279" s="2" t="b">
        <v>1</v>
      </c>
      <c r="M279" s="2" t="s">
        <v>2474</v>
      </c>
      <c r="N279" s="2" t="s">
        <v>247</v>
      </c>
    </row>
    <row r="280">
      <c r="A280" s="2" t="s">
        <v>1597</v>
      </c>
      <c r="B280" s="100">
        <v>44615.0</v>
      </c>
      <c r="C280" s="101">
        <v>0.342349537037037</v>
      </c>
      <c r="G280" s="2" t="s">
        <v>2184</v>
      </c>
      <c r="H280" s="2" t="s">
        <v>52</v>
      </c>
      <c r="I280" s="100">
        <v>44615.0</v>
      </c>
      <c r="J280" s="101">
        <v>0.49125</v>
      </c>
      <c r="K280" s="2">
        <v>1.0</v>
      </c>
      <c r="L280" s="2" t="b">
        <v>1</v>
      </c>
      <c r="M280" s="2" t="s">
        <v>2474</v>
      </c>
      <c r="N280" s="2" t="s">
        <v>247</v>
      </c>
    </row>
    <row r="281">
      <c r="A281" s="2" t="s">
        <v>1595</v>
      </c>
      <c r="B281" s="100">
        <v>44615.0</v>
      </c>
      <c r="C281" s="101">
        <v>0.3422685185185185</v>
      </c>
      <c r="G281" s="2" t="s">
        <v>2184</v>
      </c>
      <c r="H281" s="2" t="s">
        <v>52</v>
      </c>
      <c r="I281" s="100">
        <v>44615.0</v>
      </c>
      <c r="J281" s="101">
        <v>0.49125</v>
      </c>
      <c r="K281" s="2">
        <v>1.0</v>
      </c>
      <c r="L281" s="2" t="b">
        <v>1</v>
      </c>
      <c r="M281" s="2" t="s">
        <v>2474</v>
      </c>
      <c r="N281" s="2" t="s">
        <v>247</v>
      </c>
    </row>
    <row r="282">
      <c r="A282" s="2" t="s">
        <v>1593</v>
      </c>
      <c r="B282" s="100">
        <v>44615.0</v>
      </c>
      <c r="C282" s="101">
        <v>0.33788194444444447</v>
      </c>
      <c r="G282" s="2" t="s">
        <v>2184</v>
      </c>
      <c r="H282" s="2" t="s">
        <v>52</v>
      </c>
      <c r="I282" s="100">
        <v>44615.0</v>
      </c>
      <c r="J282" s="101">
        <v>0.49125</v>
      </c>
      <c r="K282" s="2">
        <v>1.0</v>
      </c>
      <c r="L282" s="2" t="b">
        <v>1</v>
      </c>
      <c r="M282" s="2" t="s">
        <v>2474</v>
      </c>
      <c r="N282" s="2" t="s">
        <v>247</v>
      </c>
    </row>
    <row r="283">
      <c r="A283" s="2" t="s">
        <v>1591</v>
      </c>
      <c r="B283" s="100">
        <v>44615.0</v>
      </c>
      <c r="C283" s="101">
        <v>0.33663194444444444</v>
      </c>
      <c r="G283" s="2" t="s">
        <v>2184</v>
      </c>
      <c r="H283" s="2" t="s">
        <v>52</v>
      </c>
      <c r="I283" s="100">
        <v>44615.0</v>
      </c>
      <c r="J283" s="101">
        <v>0.49125</v>
      </c>
      <c r="K283" s="2">
        <v>1.0</v>
      </c>
      <c r="L283" s="2" t="b">
        <v>1</v>
      </c>
      <c r="M283" s="2" t="s">
        <v>2474</v>
      </c>
      <c r="N283" s="2" t="s">
        <v>247</v>
      </c>
    </row>
    <row r="284">
      <c r="A284" s="2" t="s">
        <v>1589</v>
      </c>
      <c r="B284" s="100">
        <v>44615.0</v>
      </c>
      <c r="C284" s="101">
        <v>0.3352893518518518</v>
      </c>
      <c r="G284" s="2" t="s">
        <v>2184</v>
      </c>
      <c r="H284" s="2" t="s">
        <v>52</v>
      </c>
      <c r="I284" s="100">
        <v>44615.0</v>
      </c>
      <c r="J284" s="101">
        <v>0.49125</v>
      </c>
      <c r="K284" s="2">
        <v>1.0</v>
      </c>
      <c r="L284" s="2" t="b">
        <v>1</v>
      </c>
      <c r="M284" s="2" t="s">
        <v>2474</v>
      </c>
      <c r="N284" s="2" t="s">
        <v>247</v>
      </c>
    </row>
    <row r="285">
      <c r="A285" s="2" t="s">
        <v>1587</v>
      </c>
      <c r="B285" s="100">
        <v>44615.0</v>
      </c>
      <c r="C285" s="101">
        <v>0.33490740740740743</v>
      </c>
      <c r="G285" s="2" t="s">
        <v>2184</v>
      </c>
      <c r="H285" s="2" t="s">
        <v>52</v>
      </c>
      <c r="I285" s="100">
        <v>44615.0</v>
      </c>
      <c r="J285" s="101">
        <v>0.49125</v>
      </c>
      <c r="K285" s="2">
        <v>1.0</v>
      </c>
      <c r="L285" s="2" t="b">
        <v>1</v>
      </c>
      <c r="M285" s="2" t="s">
        <v>2474</v>
      </c>
      <c r="N285" s="2" t="s">
        <v>247</v>
      </c>
    </row>
    <row r="286">
      <c r="A286" s="2" t="s">
        <v>1585</v>
      </c>
      <c r="B286" s="100">
        <v>44615.0</v>
      </c>
      <c r="C286" s="101">
        <v>0.33231481481481484</v>
      </c>
      <c r="G286" s="2" t="s">
        <v>2184</v>
      </c>
      <c r="H286" s="2" t="s">
        <v>52</v>
      </c>
      <c r="I286" s="100">
        <v>44615.0</v>
      </c>
      <c r="J286" s="101">
        <v>0.49125</v>
      </c>
      <c r="K286" s="2">
        <v>1.0</v>
      </c>
      <c r="L286" s="2" t="b">
        <v>1</v>
      </c>
      <c r="M286" s="2" t="s">
        <v>2474</v>
      </c>
      <c r="N286" s="2" t="s">
        <v>247</v>
      </c>
    </row>
    <row r="287">
      <c r="A287" s="2" t="s">
        <v>1583</v>
      </c>
      <c r="B287" s="100">
        <v>44615.0</v>
      </c>
      <c r="C287" s="101">
        <v>0.3322569444444444</v>
      </c>
      <c r="G287" s="2" t="s">
        <v>2184</v>
      </c>
      <c r="H287" s="2" t="s">
        <v>52</v>
      </c>
      <c r="I287" s="100">
        <v>44615.0</v>
      </c>
      <c r="J287" s="101">
        <v>0.49125</v>
      </c>
      <c r="K287" s="2">
        <v>1.0</v>
      </c>
      <c r="L287" s="2" t="b">
        <v>1</v>
      </c>
      <c r="M287" s="2" t="s">
        <v>2474</v>
      </c>
      <c r="N287" s="2" t="s">
        <v>247</v>
      </c>
    </row>
    <row r="288">
      <c r="A288" s="2" t="s">
        <v>1581</v>
      </c>
      <c r="B288" s="100">
        <v>44615.0</v>
      </c>
      <c r="C288" s="101">
        <v>0.33125</v>
      </c>
      <c r="G288" s="2" t="s">
        <v>2184</v>
      </c>
      <c r="H288" s="2" t="s">
        <v>52</v>
      </c>
      <c r="I288" s="100">
        <v>44615.0</v>
      </c>
      <c r="J288" s="101">
        <v>0.49125</v>
      </c>
      <c r="K288" s="2">
        <v>1.0</v>
      </c>
      <c r="L288" s="2" t="b">
        <v>1</v>
      </c>
      <c r="M288" s="2" t="s">
        <v>2474</v>
      </c>
      <c r="N288" s="2" t="s">
        <v>247</v>
      </c>
    </row>
    <row r="289">
      <c r="A289" s="2" t="s">
        <v>1579</v>
      </c>
      <c r="B289" s="100">
        <v>44615.0</v>
      </c>
      <c r="C289" s="101">
        <v>0.3284375</v>
      </c>
      <c r="G289" s="2" t="s">
        <v>2184</v>
      </c>
      <c r="H289" s="2" t="s">
        <v>52</v>
      </c>
      <c r="I289" s="100">
        <v>44615.0</v>
      </c>
      <c r="J289" s="101">
        <v>0.49125</v>
      </c>
      <c r="K289" s="2">
        <v>1.0</v>
      </c>
      <c r="L289" s="2" t="b">
        <v>1</v>
      </c>
      <c r="M289" s="2" t="s">
        <v>2474</v>
      </c>
      <c r="N289" s="2" t="s">
        <v>247</v>
      </c>
    </row>
    <row r="290">
      <c r="A290" s="2" t="s">
        <v>1577</v>
      </c>
      <c r="B290" s="100">
        <v>44615.0</v>
      </c>
      <c r="C290" s="101">
        <v>0.3237962962962963</v>
      </c>
      <c r="G290" s="2" t="s">
        <v>2184</v>
      </c>
      <c r="H290" s="2" t="s">
        <v>52</v>
      </c>
      <c r="I290" s="100">
        <v>44615.0</v>
      </c>
      <c r="J290" s="101">
        <v>0.49125</v>
      </c>
      <c r="K290" s="2">
        <v>1.0</v>
      </c>
      <c r="L290" s="2" t="b">
        <v>1</v>
      </c>
      <c r="M290" s="2" t="s">
        <v>2474</v>
      </c>
      <c r="N290" s="2" t="s">
        <v>247</v>
      </c>
    </row>
    <row r="291">
      <c r="A291" s="2" t="s">
        <v>1574</v>
      </c>
      <c r="B291" s="100">
        <v>44615.0</v>
      </c>
      <c r="C291" s="101">
        <v>0.321712962962963</v>
      </c>
      <c r="G291" s="2" t="s">
        <v>2184</v>
      </c>
      <c r="H291" s="2" t="s">
        <v>52</v>
      </c>
      <c r="I291" s="100">
        <v>44615.0</v>
      </c>
      <c r="J291" s="101">
        <v>0.49125</v>
      </c>
      <c r="K291" s="2">
        <v>1.0</v>
      </c>
      <c r="L291" s="2" t="b">
        <v>1</v>
      </c>
      <c r="M291" s="2" t="s">
        <v>2474</v>
      </c>
      <c r="N291" s="2" t="s">
        <v>247</v>
      </c>
    </row>
    <row r="292">
      <c r="A292" s="2" t="s">
        <v>1572</v>
      </c>
      <c r="B292" s="100">
        <v>44615.0</v>
      </c>
      <c r="C292" s="101">
        <v>0.32104166666666667</v>
      </c>
      <c r="G292" s="2" t="s">
        <v>2184</v>
      </c>
      <c r="H292" s="2" t="s">
        <v>52</v>
      </c>
      <c r="I292" s="100">
        <v>44615.0</v>
      </c>
      <c r="J292" s="101">
        <v>0.49125</v>
      </c>
      <c r="K292" s="2">
        <v>1.0</v>
      </c>
      <c r="L292" s="2" t="b">
        <v>1</v>
      </c>
      <c r="M292" s="2" t="s">
        <v>2474</v>
      </c>
      <c r="N292" s="2" t="s">
        <v>247</v>
      </c>
    </row>
    <row r="293">
      <c r="A293" s="2" t="s">
        <v>1570</v>
      </c>
      <c r="B293" s="100">
        <v>44615.0</v>
      </c>
      <c r="C293" s="101">
        <v>0.31958333333333333</v>
      </c>
      <c r="G293" s="2" t="s">
        <v>2184</v>
      </c>
      <c r="H293" s="2" t="s">
        <v>52</v>
      </c>
      <c r="I293" s="100">
        <v>44615.0</v>
      </c>
      <c r="J293" s="101">
        <v>0.4912384259259259</v>
      </c>
      <c r="K293" s="2">
        <v>1.0</v>
      </c>
      <c r="L293" s="2" t="b">
        <v>1</v>
      </c>
      <c r="M293" s="2" t="s">
        <v>2474</v>
      </c>
      <c r="N293" s="2" t="s">
        <v>247</v>
      </c>
    </row>
    <row r="294">
      <c r="A294" s="2" t="s">
        <v>1568</v>
      </c>
      <c r="B294" s="100">
        <v>44615.0</v>
      </c>
      <c r="C294" s="101">
        <v>0.3146412037037037</v>
      </c>
      <c r="G294" s="2" t="s">
        <v>2184</v>
      </c>
      <c r="H294" s="2" t="s">
        <v>52</v>
      </c>
      <c r="I294" s="100">
        <v>44615.0</v>
      </c>
      <c r="J294" s="101">
        <v>0.4912384259259259</v>
      </c>
      <c r="K294" s="2">
        <v>1.0</v>
      </c>
      <c r="L294" s="2" t="b">
        <v>1</v>
      </c>
      <c r="M294" s="2" t="s">
        <v>2474</v>
      </c>
      <c r="N294" s="2" t="s">
        <v>247</v>
      </c>
    </row>
    <row r="295">
      <c r="A295" s="2" t="s">
        <v>1566</v>
      </c>
      <c r="B295" s="100">
        <v>44615.0</v>
      </c>
      <c r="C295" s="101">
        <v>0.31449074074074074</v>
      </c>
      <c r="G295" s="2" t="s">
        <v>2184</v>
      </c>
      <c r="H295" s="2" t="s">
        <v>52</v>
      </c>
      <c r="I295" s="100">
        <v>44615.0</v>
      </c>
      <c r="J295" s="101">
        <v>0.4912384259259259</v>
      </c>
      <c r="K295" s="2">
        <v>1.0</v>
      </c>
      <c r="L295" s="2" t="b">
        <v>1</v>
      </c>
      <c r="M295" s="2" t="s">
        <v>2474</v>
      </c>
      <c r="N295" s="2" t="s">
        <v>247</v>
      </c>
    </row>
    <row r="296">
      <c r="A296" s="2" t="s">
        <v>1564</v>
      </c>
      <c r="B296" s="100">
        <v>44615.0</v>
      </c>
      <c r="C296" s="101">
        <v>0.3108912037037037</v>
      </c>
      <c r="G296" s="2" t="s">
        <v>2184</v>
      </c>
      <c r="H296" s="2" t="s">
        <v>52</v>
      </c>
      <c r="I296" s="100">
        <v>44615.0</v>
      </c>
      <c r="J296" s="101">
        <v>0.4912384259259259</v>
      </c>
      <c r="K296" s="2">
        <v>1.0</v>
      </c>
      <c r="L296" s="2" t="b">
        <v>1</v>
      </c>
      <c r="M296" s="2" t="s">
        <v>2474</v>
      </c>
      <c r="N296" s="2" t="s">
        <v>247</v>
      </c>
    </row>
    <row r="297">
      <c r="A297" s="2" t="s">
        <v>1560</v>
      </c>
      <c r="B297" s="100">
        <v>44615.0</v>
      </c>
      <c r="C297" s="101">
        <v>0.3097800925925926</v>
      </c>
      <c r="G297" s="2" t="s">
        <v>2184</v>
      </c>
      <c r="H297" s="2" t="s">
        <v>52</v>
      </c>
      <c r="I297" s="100">
        <v>44615.0</v>
      </c>
      <c r="J297" s="101">
        <v>0.4912384259259259</v>
      </c>
      <c r="K297" s="2">
        <v>1.0</v>
      </c>
      <c r="L297" s="2" t="b">
        <v>1</v>
      </c>
      <c r="M297" s="2" t="s">
        <v>2474</v>
      </c>
      <c r="N297" s="2" t="s">
        <v>247</v>
      </c>
    </row>
    <row r="298">
      <c r="A298" s="2" t="s">
        <v>1558</v>
      </c>
      <c r="B298" s="100">
        <v>44615.0</v>
      </c>
      <c r="C298" s="101">
        <v>0.30931712962962965</v>
      </c>
      <c r="G298" s="2" t="s">
        <v>2184</v>
      </c>
      <c r="H298" s="2" t="s">
        <v>52</v>
      </c>
      <c r="I298" s="100">
        <v>44615.0</v>
      </c>
      <c r="J298" s="101">
        <v>0.4912384259259259</v>
      </c>
      <c r="K298" s="2">
        <v>1.0</v>
      </c>
      <c r="L298" s="2" t="b">
        <v>1</v>
      </c>
      <c r="M298" s="2" t="s">
        <v>2474</v>
      </c>
      <c r="N298" s="2" t="s">
        <v>247</v>
      </c>
    </row>
    <row r="299">
      <c r="A299" s="2" t="s">
        <v>1556</v>
      </c>
      <c r="B299" s="100">
        <v>44615.0</v>
      </c>
      <c r="C299" s="101">
        <v>0.3092361111111111</v>
      </c>
      <c r="G299" s="2" t="s">
        <v>2184</v>
      </c>
      <c r="H299" s="2" t="s">
        <v>52</v>
      </c>
      <c r="I299" s="100">
        <v>44615.0</v>
      </c>
      <c r="J299" s="101">
        <v>0.4912384259259259</v>
      </c>
      <c r="K299" s="2">
        <v>1.0</v>
      </c>
      <c r="L299" s="2" t="b">
        <v>1</v>
      </c>
      <c r="M299" s="2" t="s">
        <v>2474</v>
      </c>
      <c r="N299" s="2" t="s">
        <v>247</v>
      </c>
    </row>
    <row r="300">
      <c r="A300" s="2" t="s">
        <v>1554</v>
      </c>
      <c r="B300" s="100">
        <v>44615.0</v>
      </c>
      <c r="C300" s="101">
        <v>0.3086689814814815</v>
      </c>
      <c r="G300" s="2" t="s">
        <v>2184</v>
      </c>
      <c r="H300" s="2" t="s">
        <v>52</v>
      </c>
      <c r="I300" s="100">
        <v>44615.0</v>
      </c>
      <c r="J300" s="101">
        <v>0.4912384259259259</v>
      </c>
      <c r="K300" s="2">
        <v>1.0</v>
      </c>
      <c r="L300" s="2" t="b">
        <v>1</v>
      </c>
      <c r="M300" s="2" t="s">
        <v>2474</v>
      </c>
      <c r="N300" s="2" t="s">
        <v>247</v>
      </c>
    </row>
    <row r="301">
      <c r="A301" s="2" t="s">
        <v>1552</v>
      </c>
      <c r="B301" s="100">
        <v>44615.0</v>
      </c>
      <c r="C301" s="101">
        <v>0.30679398148148146</v>
      </c>
      <c r="G301" s="2" t="s">
        <v>2184</v>
      </c>
      <c r="H301" s="2" t="s">
        <v>52</v>
      </c>
      <c r="I301" s="100">
        <v>44615.0</v>
      </c>
      <c r="J301" s="101">
        <v>0.4912384259259259</v>
      </c>
      <c r="K301" s="2">
        <v>1.0</v>
      </c>
      <c r="L301" s="2" t="b">
        <v>1</v>
      </c>
      <c r="M301" s="2" t="s">
        <v>2474</v>
      </c>
      <c r="N301" s="2" t="s">
        <v>247</v>
      </c>
    </row>
    <row r="302">
      <c r="A302" s="2" t="s">
        <v>1550</v>
      </c>
      <c r="B302" s="100">
        <v>44615.0</v>
      </c>
      <c r="C302" s="101">
        <v>0.3012384259259259</v>
      </c>
      <c r="G302" s="2" t="s">
        <v>2184</v>
      </c>
      <c r="H302" s="2" t="s">
        <v>52</v>
      </c>
      <c r="I302" s="100">
        <v>44615.0</v>
      </c>
      <c r="J302" s="101">
        <v>0.4912384259259259</v>
      </c>
      <c r="K302" s="2">
        <v>1.0</v>
      </c>
      <c r="L302" s="2" t="b">
        <v>1</v>
      </c>
      <c r="M302" s="2" t="s">
        <v>2474</v>
      </c>
      <c r="N302" s="2" t="s">
        <v>247</v>
      </c>
    </row>
    <row r="303">
      <c r="A303" s="2" t="s">
        <v>1548</v>
      </c>
      <c r="B303" s="100">
        <v>44615.0</v>
      </c>
      <c r="C303" s="101">
        <v>0.2953587962962963</v>
      </c>
      <c r="G303" s="2" t="s">
        <v>2184</v>
      </c>
      <c r="H303" s="2" t="s">
        <v>52</v>
      </c>
      <c r="I303" s="100">
        <v>44615.0</v>
      </c>
      <c r="J303" s="101">
        <v>0.4912384259259259</v>
      </c>
      <c r="K303" s="2">
        <v>1.0</v>
      </c>
      <c r="L303" s="2" t="b">
        <v>1</v>
      </c>
      <c r="M303" s="2" t="s">
        <v>2474</v>
      </c>
      <c r="N303" s="2" t="s">
        <v>247</v>
      </c>
    </row>
    <row r="304">
      <c r="A304" s="2" t="s">
        <v>1546</v>
      </c>
      <c r="B304" s="100">
        <v>44615.0</v>
      </c>
      <c r="C304" s="101">
        <v>0.29224537037037035</v>
      </c>
      <c r="G304" s="2" t="s">
        <v>2184</v>
      </c>
      <c r="H304" s="2" t="s">
        <v>52</v>
      </c>
      <c r="I304" s="100">
        <v>44615.0</v>
      </c>
      <c r="J304" s="101">
        <v>0.4912384259259259</v>
      </c>
      <c r="K304" s="2">
        <v>1.0</v>
      </c>
      <c r="L304" s="2" t="b">
        <v>1</v>
      </c>
      <c r="M304" s="2" t="s">
        <v>2474</v>
      </c>
      <c r="N304" s="2" t="s">
        <v>247</v>
      </c>
    </row>
    <row r="305">
      <c r="A305" s="2" t="s">
        <v>1543</v>
      </c>
      <c r="B305" s="100">
        <v>44615.0</v>
      </c>
      <c r="C305" s="101">
        <v>0.2632523148148148</v>
      </c>
      <c r="G305" s="2" t="s">
        <v>2184</v>
      </c>
      <c r="H305" s="2" t="s">
        <v>52</v>
      </c>
      <c r="I305" s="100">
        <v>44615.0</v>
      </c>
      <c r="J305" s="101">
        <v>0.49122685185185183</v>
      </c>
      <c r="K305" s="2">
        <v>1.0</v>
      </c>
      <c r="L305" s="2" t="b">
        <v>1</v>
      </c>
      <c r="M305" s="2" t="s">
        <v>2474</v>
      </c>
      <c r="N305" s="2" t="s">
        <v>247</v>
      </c>
    </row>
    <row r="306">
      <c r="A306" s="2" t="s">
        <v>1541</v>
      </c>
      <c r="B306" s="100">
        <v>44614.0</v>
      </c>
      <c r="C306" s="101">
        <v>0.3566898148148148</v>
      </c>
      <c r="G306" s="2" t="s">
        <v>2184</v>
      </c>
      <c r="H306" s="2" t="s">
        <v>52</v>
      </c>
      <c r="I306" s="100">
        <v>44614.0</v>
      </c>
      <c r="J306" s="101">
        <v>0.6649768518518518</v>
      </c>
      <c r="K306" s="2">
        <v>1.0</v>
      </c>
      <c r="L306" s="2" t="b">
        <v>1</v>
      </c>
      <c r="M306" s="2" t="s">
        <v>2475</v>
      </c>
      <c r="N306" s="2" t="s">
        <v>247</v>
      </c>
    </row>
    <row r="307">
      <c r="A307" s="2" t="s">
        <v>1539</v>
      </c>
      <c r="B307" s="100">
        <v>44613.0</v>
      </c>
      <c r="C307" s="101">
        <v>0.3566898148148148</v>
      </c>
      <c r="G307" s="2" t="s">
        <v>2184</v>
      </c>
      <c r="H307" s="2" t="s">
        <v>244</v>
      </c>
      <c r="I307" s="100">
        <v>44613.0</v>
      </c>
      <c r="J307" s="101">
        <v>0.4694212962962963</v>
      </c>
      <c r="K307" s="2">
        <v>1.0</v>
      </c>
      <c r="L307" s="2" t="b">
        <v>1</v>
      </c>
      <c r="M307" s="2" t="s">
        <v>2476</v>
      </c>
      <c r="N307" s="2" t="s">
        <v>247</v>
      </c>
    </row>
    <row r="308">
      <c r="A308" s="2" t="s">
        <v>1537</v>
      </c>
      <c r="B308" s="100">
        <v>44613.0</v>
      </c>
      <c r="C308" s="101">
        <v>0.3421064814814815</v>
      </c>
      <c r="G308" s="2" t="s">
        <v>2184</v>
      </c>
      <c r="H308" s="2" t="s">
        <v>244</v>
      </c>
      <c r="I308" s="100">
        <v>44613.0</v>
      </c>
      <c r="J308" s="101">
        <v>0.4694212962962963</v>
      </c>
      <c r="K308" s="2">
        <v>1.0</v>
      </c>
      <c r="L308" s="2" t="b">
        <v>1</v>
      </c>
      <c r="M308" s="2" t="s">
        <v>2476</v>
      </c>
      <c r="N308" s="2" t="s">
        <v>247</v>
      </c>
    </row>
    <row r="309">
      <c r="A309" s="2" t="s">
        <v>1535</v>
      </c>
      <c r="B309" s="100">
        <v>44613.0</v>
      </c>
      <c r="C309" s="101">
        <v>0.32894675925925926</v>
      </c>
      <c r="G309" s="2" t="s">
        <v>2184</v>
      </c>
      <c r="H309" s="2" t="s">
        <v>244</v>
      </c>
      <c r="I309" s="100">
        <v>44613.0</v>
      </c>
      <c r="J309" s="101">
        <v>0.4694097222222222</v>
      </c>
      <c r="K309" s="2">
        <v>1.0</v>
      </c>
      <c r="L309" s="2" t="b">
        <v>1</v>
      </c>
      <c r="M309" s="2" t="s">
        <v>2476</v>
      </c>
      <c r="N309" s="2" t="s">
        <v>247</v>
      </c>
    </row>
    <row r="310">
      <c r="A310" s="2" t="s">
        <v>1533</v>
      </c>
      <c r="B310" s="100">
        <v>44613.0</v>
      </c>
      <c r="C310" s="101">
        <v>0.3271875</v>
      </c>
      <c r="G310" s="2" t="s">
        <v>2184</v>
      </c>
      <c r="H310" s="2" t="s">
        <v>244</v>
      </c>
      <c r="I310" s="100">
        <v>44613.0</v>
      </c>
      <c r="J310" s="101">
        <v>0.4694097222222222</v>
      </c>
      <c r="K310" s="2">
        <v>1.0</v>
      </c>
      <c r="L310" s="2" t="b">
        <v>1</v>
      </c>
      <c r="M310" s="2" t="s">
        <v>2476</v>
      </c>
      <c r="N310" s="2" t="s">
        <v>247</v>
      </c>
    </row>
    <row r="311">
      <c r="A311" s="2" t="s">
        <v>1531</v>
      </c>
      <c r="B311" s="100">
        <v>44613.0</v>
      </c>
      <c r="C311" s="101">
        <v>0.3244097222222222</v>
      </c>
      <c r="G311" s="2" t="s">
        <v>2184</v>
      </c>
      <c r="H311" s="2" t="s">
        <v>244</v>
      </c>
      <c r="I311" s="100">
        <v>44613.0</v>
      </c>
      <c r="J311" s="101">
        <v>0.4694097222222222</v>
      </c>
      <c r="K311" s="2">
        <v>1.0</v>
      </c>
      <c r="L311" s="2" t="b">
        <v>1</v>
      </c>
      <c r="M311" s="2" t="s">
        <v>2476</v>
      </c>
      <c r="N311" s="2" t="s">
        <v>247</v>
      </c>
    </row>
    <row r="312">
      <c r="A312" s="2" t="s">
        <v>1529</v>
      </c>
      <c r="B312" s="100">
        <v>44613.0</v>
      </c>
      <c r="C312" s="101">
        <v>0.3222685185185185</v>
      </c>
      <c r="G312" s="2" t="s">
        <v>2184</v>
      </c>
      <c r="H312" s="2" t="s">
        <v>244</v>
      </c>
      <c r="I312" s="100">
        <v>44613.0</v>
      </c>
      <c r="J312" s="101">
        <v>0.4694097222222222</v>
      </c>
      <c r="K312" s="2">
        <v>1.0</v>
      </c>
      <c r="L312" s="2" t="b">
        <v>1</v>
      </c>
      <c r="M312" s="2" t="s">
        <v>2476</v>
      </c>
      <c r="N312" s="2" t="s">
        <v>247</v>
      </c>
    </row>
    <row r="313">
      <c r="A313" s="2" t="s">
        <v>1527</v>
      </c>
      <c r="B313" s="100">
        <v>44613.0</v>
      </c>
      <c r="C313" s="101">
        <v>0.3221643518518518</v>
      </c>
      <c r="G313" s="2" t="s">
        <v>2184</v>
      </c>
      <c r="H313" s="2" t="s">
        <v>244</v>
      </c>
      <c r="I313" s="100">
        <v>44613.0</v>
      </c>
      <c r="J313" s="101">
        <v>0.4694097222222222</v>
      </c>
      <c r="K313" s="2">
        <v>1.0</v>
      </c>
      <c r="L313" s="2" t="b">
        <v>1</v>
      </c>
      <c r="M313" s="2" t="s">
        <v>2476</v>
      </c>
      <c r="N313" s="2" t="s">
        <v>247</v>
      </c>
    </row>
    <row r="314">
      <c r="A314" s="2" t="s">
        <v>1525</v>
      </c>
      <c r="B314" s="100">
        <v>44613.0</v>
      </c>
      <c r="C314" s="101">
        <v>0.3212037037037037</v>
      </c>
      <c r="G314" s="2" t="s">
        <v>2184</v>
      </c>
      <c r="H314" s="2" t="s">
        <v>244</v>
      </c>
      <c r="I314" s="100">
        <v>44613.0</v>
      </c>
      <c r="J314" s="101">
        <v>0.4694097222222222</v>
      </c>
      <c r="K314" s="2">
        <v>1.0</v>
      </c>
      <c r="L314" s="2" t="b">
        <v>1</v>
      </c>
      <c r="M314" s="2" t="s">
        <v>2476</v>
      </c>
      <c r="N314" s="2" t="s">
        <v>247</v>
      </c>
    </row>
    <row r="315">
      <c r="A315" s="2" t="s">
        <v>1523</v>
      </c>
      <c r="B315" s="100">
        <v>44613.0</v>
      </c>
      <c r="C315" s="101">
        <v>0.32101851851851854</v>
      </c>
      <c r="G315" s="2" t="s">
        <v>2184</v>
      </c>
      <c r="H315" s="2" t="s">
        <v>244</v>
      </c>
      <c r="I315" s="100">
        <v>44613.0</v>
      </c>
      <c r="J315" s="101">
        <v>0.4694097222222222</v>
      </c>
      <c r="K315" s="2">
        <v>1.0</v>
      </c>
      <c r="L315" s="2" t="b">
        <v>1</v>
      </c>
      <c r="M315" s="2" t="s">
        <v>2476</v>
      </c>
      <c r="N315" s="2" t="s">
        <v>247</v>
      </c>
    </row>
    <row r="316">
      <c r="A316" s="2" t="s">
        <v>1521</v>
      </c>
      <c r="B316" s="100">
        <v>44613.0</v>
      </c>
      <c r="C316" s="101">
        <v>0.32069444444444445</v>
      </c>
      <c r="G316" s="2" t="s">
        <v>2184</v>
      </c>
      <c r="H316" s="2" t="s">
        <v>244</v>
      </c>
      <c r="I316" s="100">
        <v>44613.0</v>
      </c>
      <c r="J316" s="101">
        <v>0.4694097222222222</v>
      </c>
      <c r="K316" s="2">
        <v>1.0</v>
      </c>
      <c r="L316" s="2" t="b">
        <v>1</v>
      </c>
      <c r="M316" s="2" t="s">
        <v>2476</v>
      </c>
      <c r="N316" s="2" t="s">
        <v>247</v>
      </c>
    </row>
    <row r="317">
      <c r="A317" s="2" t="s">
        <v>1519</v>
      </c>
      <c r="B317" s="100">
        <v>44613.0</v>
      </c>
      <c r="C317" s="101">
        <v>0.3198611111111111</v>
      </c>
      <c r="G317" s="2" t="s">
        <v>2184</v>
      </c>
      <c r="H317" s="2" t="s">
        <v>244</v>
      </c>
      <c r="I317" s="100">
        <v>44613.0</v>
      </c>
      <c r="J317" s="101">
        <v>0.4694097222222222</v>
      </c>
      <c r="K317" s="2">
        <v>1.0</v>
      </c>
      <c r="L317" s="2" t="b">
        <v>1</v>
      </c>
      <c r="M317" s="2" t="s">
        <v>2476</v>
      </c>
      <c r="N317" s="2" t="s">
        <v>247</v>
      </c>
    </row>
    <row r="318">
      <c r="A318" s="2" t="s">
        <v>1515</v>
      </c>
      <c r="B318" s="100">
        <v>44613.0</v>
      </c>
      <c r="C318" s="101">
        <v>0.3193634259259259</v>
      </c>
      <c r="G318" s="2" t="s">
        <v>2184</v>
      </c>
      <c r="H318" s="2" t="s">
        <v>244</v>
      </c>
      <c r="I318" s="100">
        <v>44613.0</v>
      </c>
      <c r="J318" s="101">
        <v>0.4694097222222222</v>
      </c>
      <c r="K318" s="2">
        <v>1.0</v>
      </c>
      <c r="L318" s="2" t="b">
        <v>1</v>
      </c>
      <c r="M318" s="2" t="s">
        <v>2476</v>
      </c>
      <c r="N318" s="2" t="s">
        <v>247</v>
      </c>
    </row>
    <row r="319">
      <c r="A319" s="2" t="s">
        <v>1511</v>
      </c>
      <c r="B319" s="100">
        <v>44613.0</v>
      </c>
      <c r="C319" s="101">
        <v>0.3174652777777778</v>
      </c>
      <c r="G319" s="2" t="s">
        <v>2184</v>
      </c>
      <c r="H319" s="2" t="s">
        <v>244</v>
      </c>
      <c r="I319" s="100">
        <v>44613.0</v>
      </c>
      <c r="J319" s="101">
        <v>0.4693981481481482</v>
      </c>
      <c r="K319" s="2">
        <v>1.0</v>
      </c>
      <c r="L319" s="2" t="b">
        <v>1</v>
      </c>
      <c r="M319" s="2" t="s">
        <v>2476</v>
      </c>
      <c r="N319" s="2" t="s">
        <v>247</v>
      </c>
    </row>
    <row r="320">
      <c r="A320" s="2" t="s">
        <v>1509</v>
      </c>
      <c r="B320" s="100">
        <v>44613.0</v>
      </c>
      <c r="C320" s="101">
        <v>0.316724537037037</v>
      </c>
      <c r="G320" s="2" t="s">
        <v>2184</v>
      </c>
      <c r="H320" s="2" t="s">
        <v>244</v>
      </c>
      <c r="I320" s="100">
        <v>44613.0</v>
      </c>
      <c r="J320" s="101">
        <v>0.4693981481481482</v>
      </c>
      <c r="K320" s="2">
        <v>1.0</v>
      </c>
      <c r="L320" s="2" t="b">
        <v>1</v>
      </c>
      <c r="M320" s="2" t="s">
        <v>2476</v>
      </c>
      <c r="N320" s="2" t="s">
        <v>247</v>
      </c>
    </row>
    <row r="321">
      <c r="A321" s="2" t="s">
        <v>1507</v>
      </c>
      <c r="B321" s="100">
        <v>44613.0</v>
      </c>
      <c r="C321" s="101">
        <v>0.3159722222222222</v>
      </c>
      <c r="G321" s="2" t="s">
        <v>2184</v>
      </c>
      <c r="H321" s="2" t="s">
        <v>244</v>
      </c>
      <c r="I321" s="100">
        <v>44613.0</v>
      </c>
      <c r="J321" s="101">
        <v>0.4693981481481482</v>
      </c>
      <c r="K321" s="2">
        <v>1.0</v>
      </c>
      <c r="L321" s="2" t="b">
        <v>1</v>
      </c>
      <c r="M321" s="2" t="s">
        <v>2476</v>
      </c>
      <c r="N321" s="2" t="s">
        <v>247</v>
      </c>
    </row>
    <row r="322">
      <c r="A322" s="2" t="s">
        <v>1505</v>
      </c>
      <c r="B322" s="100">
        <v>44613.0</v>
      </c>
      <c r="C322" s="101">
        <v>0.3150115740740741</v>
      </c>
      <c r="G322" s="2" t="s">
        <v>2184</v>
      </c>
      <c r="H322" s="2" t="s">
        <v>244</v>
      </c>
      <c r="I322" s="100">
        <v>44613.0</v>
      </c>
      <c r="J322" s="101">
        <v>0.4693981481481482</v>
      </c>
      <c r="K322" s="2">
        <v>1.0</v>
      </c>
      <c r="L322" s="2" t="b">
        <v>1</v>
      </c>
      <c r="M322" s="2" t="s">
        <v>2476</v>
      </c>
      <c r="N322" s="2" t="s">
        <v>247</v>
      </c>
    </row>
    <row r="323">
      <c r="A323" s="2" t="s">
        <v>1503</v>
      </c>
      <c r="B323" s="100">
        <v>44613.0</v>
      </c>
      <c r="C323" s="101">
        <v>0.3148726851851852</v>
      </c>
      <c r="G323" s="2" t="s">
        <v>2184</v>
      </c>
      <c r="H323" s="2" t="s">
        <v>244</v>
      </c>
      <c r="I323" s="100">
        <v>44613.0</v>
      </c>
      <c r="J323" s="101">
        <v>0.4693981481481482</v>
      </c>
      <c r="K323" s="2">
        <v>1.0</v>
      </c>
      <c r="L323" s="2" t="b">
        <v>1</v>
      </c>
      <c r="M323" s="2" t="s">
        <v>2476</v>
      </c>
      <c r="N323" s="2" t="s">
        <v>247</v>
      </c>
    </row>
    <row r="324">
      <c r="A324" s="2" t="s">
        <v>1501</v>
      </c>
      <c r="B324" s="100">
        <v>44613.0</v>
      </c>
      <c r="C324" s="101">
        <v>0.31090277777777775</v>
      </c>
      <c r="G324" s="2" t="s">
        <v>2184</v>
      </c>
      <c r="H324" s="2" t="s">
        <v>244</v>
      </c>
      <c r="I324" s="100">
        <v>44613.0</v>
      </c>
      <c r="J324" s="101">
        <v>0.4693981481481482</v>
      </c>
      <c r="K324" s="2">
        <v>0.0</v>
      </c>
      <c r="L324" s="2" t="b">
        <v>1</v>
      </c>
      <c r="M324" s="2" t="s">
        <v>2476</v>
      </c>
      <c r="N324" s="2" t="s">
        <v>247</v>
      </c>
    </row>
    <row r="325">
      <c r="A325" s="2" t="s">
        <v>1499</v>
      </c>
      <c r="B325" s="100">
        <v>44613.0</v>
      </c>
      <c r="C325" s="101">
        <v>0.3089351851851852</v>
      </c>
      <c r="G325" s="2" t="s">
        <v>2184</v>
      </c>
      <c r="H325" s="2" t="s">
        <v>244</v>
      </c>
      <c r="I325" s="100">
        <v>44613.0</v>
      </c>
      <c r="J325" s="101">
        <v>0.4693981481481482</v>
      </c>
      <c r="K325" s="2">
        <v>1.0</v>
      </c>
      <c r="L325" s="2" t="b">
        <v>1</v>
      </c>
      <c r="M325" s="2" t="s">
        <v>2476</v>
      </c>
      <c r="N325" s="2" t="s">
        <v>247</v>
      </c>
    </row>
    <row r="326">
      <c r="A326" s="2" t="s">
        <v>1497</v>
      </c>
      <c r="B326" s="100">
        <v>44613.0</v>
      </c>
      <c r="C326" s="101">
        <v>0.30733796296296295</v>
      </c>
      <c r="G326" s="2" t="s">
        <v>2184</v>
      </c>
      <c r="H326" s="2" t="s">
        <v>244</v>
      </c>
      <c r="I326" s="100">
        <v>44613.0</v>
      </c>
      <c r="J326" s="101">
        <v>0.4693981481481482</v>
      </c>
      <c r="K326" s="2">
        <v>1.0</v>
      </c>
      <c r="L326" s="2" t="b">
        <v>1</v>
      </c>
      <c r="M326" s="2" t="s">
        <v>2476</v>
      </c>
      <c r="N326" s="2" t="s">
        <v>247</v>
      </c>
    </row>
    <row r="327">
      <c r="A327" s="2" t="s">
        <v>1495</v>
      </c>
      <c r="B327" s="100">
        <v>44613.0</v>
      </c>
      <c r="C327" s="101">
        <v>0.3065509259259259</v>
      </c>
      <c r="G327" s="2" t="s">
        <v>2184</v>
      </c>
      <c r="H327" s="2" t="s">
        <v>244</v>
      </c>
      <c r="I327" s="100">
        <v>44613.0</v>
      </c>
      <c r="J327" s="101">
        <v>0.4693981481481482</v>
      </c>
      <c r="K327" s="2">
        <v>1.0</v>
      </c>
      <c r="L327" s="2" t="b">
        <v>1</v>
      </c>
      <c r="M327" s="2" t="s">
        <v>2476</v>
      </c>
      <c r="N327" s="2" t="s">
        <v>247</v>
      </c>
    </row>
    <row r="328">
      <c r="A328" s="2" t="s">
        <v>1493</v>
      </c>
      <c r="B328" s="100">
        <v>44613.0</v>
      </c>
      <c r="C328" s="101">
        <v>0.3007175925925926</v>
      </c>
      <c r="G328" s="2" t="s">
        <v>2184</v>
      </c>
      <c r="H328" s="2" t="s">
        <v>244</v>
      </c>
      <c r="I328" s="100">
        <v>44613.0</v>
      </c>
      <c r="J328" s="101">
        <v>0.4693981481481482</v>
      </c>
      <c r="K328" s="2">
        <v>1.0</v>
      </c>
      <c r="L328" s="2" t="b">
        <v>1</v>
      </c>
      <c r="M328" s="2" t="s">
        <v>2476</v>
      </c>
      <c r="N328" s="2" t="s">
        <v>247</v>
      </c>
    </row>
    <row r="329">
      <c r="A329" s="2" t="s">
        <v>1489</v>
      </c>
      <c r="B329" s="100">
        <v>44613.0</v>
      </c>
      <c r="C329" s="101">
        <v>0.2935763888888889</v>
      </c>
      <c r="G329" s="2" t="s">
        <v>2184</v>
      </c>
      <c r="H329" s="2" t="s">
        <v>244</v>
      </c>
      <c r="I329" s="100">
        <v>44613.0</v>
      </c>
      <c r="J329" s="101">
        <v>0.4693981481481482</v>
      </c>
      <c r="K329" s="2">
        <v>1.0</v>
      </c>
      <c r="L329" s="2" t="b">
        <v>1</v>
      </c>
      <c r="M329" s="2" t="s">
        <v>2476</v>
      </c>
      <c r="N329" s="2" t="s">
        <v>247</v>
      </c>
    </row>
    <row r="330">
      <c r="A330" s="2" t="s">
        <v>1487</v>
      </c>
      <c r="B330" s="100">
        <v>44613.0</v>
      </c>
      <c r="C330" s="101">
        <v>0.2888425925925926</v>
      </c>
      <c r="G330" s="2" t="s">
        <v>2184</v>
      </c>
      <c r="H330" s="2" t="s">
        <v>244</v>
      </c>
      <c r="I330" s="100">
        <v>44613.0</v>
      </c>
      <c r="J330" s="101">
        <v>0.4693981481481482</v>
      </c>
      <c r="K330" s="2">
        <v>1.0</v>
      </c>
      <c r="L330" s="2" t="b">
        <v>1</v>
      </c>
      <c r="M330" s="2" t="s">
        <v>2476</v>
      </c>
      <c r="N330" s="2" t="s">
        <v>247</v>
      </c>
    </row>
    <row r="331">
      <c r="A331" s="2" t="s">
        <v>1484</v>
      </c>
      <c r="B331" s="100">
        <v>44613.0</v>
      </c>
      <c r="C331" s="101">
        <v>0.27609953703703705</v>
      </c>
      <c r="G331" s="2" t="s">
        <v>2184</v>
      </c>
      <c r="H331" s="2" t="s">
        <v>244</v>
      </c>
      <c r="I331" s="100">
        <v>44613.0</v>
      </c>
      <c r="J331" s="101">
        <v>0.4693981481481482</v>
      </c>
      <c r="K331" s="2">
        <v>1.0</v>
      </c>
      <c r="L331" s="2" t="b">
        <v>1</v>
      </c>
      <c r="M331" s="2" t="s">
        <v>2476</v>
      </c>
      <c r="N331" s="2" t="s">
        <v>247</v>
      </c>
    </row>
    <row r="332">
      <c r="A332" s="2" t="s">
        <v>1482</v>
      </c>
      <c r="B332" s="100">
        <v>44613.0</v>
      </c>
      <c r="C332" s="101">
        <v>0.266724537037037</v>
      </c>
      <c r="G332" s="2" t="s">
        <v>2184</v>
      </c>
      <c r="H332" s="2" t="s">
        <v>244</v>
      </c>
      <c r="I332" s="100">
        <v>44613.0</v>
      </c>
      <c r="J332" s="101">
        <v>0.4693981481481482</v>
      </c>
      <c r="K332" s="2">
        <v>1.0</v>
      </c>
      <c r="L332" s="2" t="b">
        <v>1</v>
      </c>
      <c r="M332" s="2" t="s">
        <v>2476</v>
      </c>
      <c r="N332" s="2" t="s">
        <v>247</v>
      </c>
    </row>
    <row r="333">
      <c r="A333" s="2" t="s">
        <v>1480</v>
      </c>
      <c r="B333" s="100">
        <v>44613.0</v>
      </c>
      <c r="C333" s="101">
        <v>0.26516203703703706</v>
      </c>
      <c r="G333" s="2" t="s">
        <v>2184</v>
      </c>
      <c r="H333" s="2" t="s">
        <v>244</v>
      </c>
      <c r="I333" s="100">
        <v>44613.0</v>
      </c>
      <c r="J333" s="101">
        <v>0.4693865740740741</v>
      </c>
      <c r="K333" s="2">
        <v>1.0</v>
      </c>
      <c r="L333" s="2" t="b">
        <v>1</v>
      </c>
      <c r="M333" s="2" t="s">
        <v>2476</v>
      </c>
      <c r="N333" s="2" t="s">
        <v>247</v>
      </c>
    </row>
    <row r="334">
      <c r="A334" s="2" t="s">
        <v>1478</v>
      </c>
      <c r="B334" s="100">
        <v>44613.0</v>
      </c>
      <c r="C334" s="101">
        <v>0.26121527777777775</v>
      </c>
      <c r="G334" s="2" t="s">
        <v>2184</v>
      </c>
      <c r="H334" s="2" t="s">
        <v>244</v>
      </c>
      <c r="I334" s="100">
        <v>44613.0</v>
      </c>
      <c r="J334" s="101">
        <v>0.4693865740740741</v>
      </c>
      <c r="K334" s="2">
        <v>1.0</v>
      </c>
      <c r="L334" s="2" t="b">
        <v>1</v>
      </c>
      <c r="M334" s="2" t="s">
        <v>2476</v>
      </c>
      <c r="N334" s="2" t="s">
        <v>247</v>
      </c>
    </row>
    <row r="335">
      <c r="A335" s="2" t="s">
        <v>1476</v>
      </c>
      <c r="B335" s="100">
        <v>44611.0</v>
      </c>
      <c r="C335" s="101">
        <v>0.4735300925925926</v>
      </c>
      <c r="G335" s="2" t="s">
        <v>2184</v>
      </c>
      <c r="H335" s="2" t="s">
        <v>244</v>
      </c>
      <c r="I335" s="100">
        <v>44611.0</v>
      </c>
      <c r="J335" s="101">
        <v>0.4882638888888889</v>
      </c>
      <c r="K335" s="2">
        <v>1.0</v>
      </c>
      <c r="L335" s="2" t="b">
        <v>1</v>
      </c>
      <c r="M335" s="2" t="s">
        <v>2477</v>
      </c>
      <c r="N335" s="2" t="s">
        <v>247</v>
      </c>
    </row>
    <row r="336">
      <c r="A336" s="2" t="s">
        <v>1472</v>
      </c>
      <c r="B336" s="100">
        <v>44611.0</v>
      </c>
      <c r="C336" s="101">
        <v>0.3456018518518518</v>
      </c>
      <c r="G336" s="2" t="s">
        <v>2184</v>
      </c>
      <c r="H336" s="2" t="s">
        <v>244</v>
      </c>
      <c r="I336" s="100">
        <v>44611.0</v>
      </c>
      <c r="J336" s="101">
        <v>0.4882638888888889</v>
      </c>
      <c r="K336" s="2">
        <v>1.0</v>
      </c>
      <c r="L336" s="2" t="b">
        <v>1</v>
      </c>
      <c r="M336" s="2" t="s">
        <v>2477</v>
      </c>
      <c r="N336" s="2" t="s">
        <v>247</v>
      </c>
    </row>
    <row r="337">
      <c r="A337" s="2" t="s">
        <v>1470</v>
      </c>
      <c r="B337" s="100">
        <v>44611.0</v>
      </c>
      <c r="C337" s="101">
        <v>0.34528935185185183</v>
      </c>
      <c r="G337" s="2" t="s">
        <v>2184</v>
      </c>
      <c r="H337" s="2" t="s">
        <v>244</v>
      </c>
      <c r="I337" s="100">
        <v>44611.0</v>
      </c>
      <c r="J337" s="101">
        <v>0.4882638888888889</v>
      </c>
      <c r="K337" s="2">
        <v>0.0</v>
      </c>
      <c r="L337" s="2" t="b">
        <v>1</v>
      </c>
      <c r="M337" s="2" t="s">
        <v>2477</v>
      </c>
      <c r="N337" s="2" t="s">
        <v>247</v>
      </c>
    </row>
    <row r="338">
      <c r="A338" s="2" t="s">
        <v>1467</v>
      </c>
      <c r="B338" s="100">
        <v>44611.0</v>
      </c>
      <c r="C338" s="101">
        <v>0.3349537037037037</v>
      </c>
      <c r="G338" s="2" t="s">
        <v>2184</v>
      </c>
      <c r="H338" s="2" t="s">
        <v>244</v>
      </c>
      <c r="I338" s="100">
        <v>44611.0</v>
      </c>
      <c r="J338" s="101">
        <v>0.5041203703703704</v>
      </c>
      <c r="K338" s="2">
        <v>1.0</v>
      </c>
      <c r="L338" s="2" t="b">
        <v>1</v>
      </c>
      <c r="N338" s="2" t="s">
        <v>247</v>
      </c>
    </row>
    <row r="339">
      <c r="A339" s="2" t="s">
        <v>1464</v>
      </c>
      <c r="B339" s="100">
        <v>44611.0</v>
      </c>
      <c r="C339" s="101">
        <v>0.33471064814814816</v>
      </c>
      <c r="G339" s="2" t="s">
        <v>2184</v>
      </c>
      <c r="H339" s="2" t="s">
        <v>244</v>
      </c>
      <c r="I339" s="100">
        <v>44611.0</v>
      </c>
      <c r="J339" s="101">
        <v>0.4882638888888889</v>
      </c>
      <c r="K339" s="2">
        <v>1.0</v>
      </c>
      <c r="L339" s="2" t="b">
        <v>1</v>
      </c>
      <c r="M339" s="2" t="s">
        <v>2477</v>
      </c>
      <c r="N339" s="2" t="s">
        <v>247</v>
      </c>
    </row>
    <row r="340">
      <c r="A340" s="2" t="s">
        <v>1462</v>
      </c>
      <c r="B340" s="100">
        <v>44611.0</v>
      </c>
      <c r="C340" s="101">
        <v>0.3342824074074074</v>
      </c>
      <c r="G340" s="2" t="s">
        <v>2184</v>
      </c>
      <c r="H340" s="2" t="s">
        <v>244</v>
      </c>
      <c r="I340" s="100">
        <v>44611.0</v>
      </c>
      <c r="J340" s="101">
        <v>0.4882638888888889</v>
      </c>
      <c r="K340" s="2">
        <v>1.0</v>
      </c>
      <c r="L340" s="2" t="b">
        <v>1</v>
      </c>
      <c r="M340" s="2" t="s">
        <v>2477</v>
      </c>
      <c r="N340" s="2" t="s">
        <v>247</v>
      </c>
    </row>
    <row r="341">
      <c r="A341" s="2" t="s">
        <v>1459</v>
      </c>
      <c r="B341" s="100">
        <v>44611.0</v>
      </c>
      <c r="C341" s="101">
        <v>0.3335763888888889</v>
      </c>
      <c r="G341" s="2" t="s">
        <v>2184</v>
      </c>
      <c r="H341" s="2" t="s">
        <v>244</v>
      </c>
      <c r="I341" s="100">
        <v>44611.0</v>
      </c>
      <c r="J341" s="101">
        <v>0.4882638888888889</v>
      </c>
      <c r="K341" s="2">
        <v>1.0</v>
      </c>
      <c r="L341" s="2" t="b">
        <v>1</v>
      </c>
      <c r="M341" s="2" t="s">
        <v>2477</v>
      </c>
      <c r="N341" s="2" t="s">
        <v>247</v>
      </c>
    </row>
    <row r="342">
      <c r="A342" s="2" t="s">
        <v>1457</v>
      </c>
      <c r="B342" s="100">
        <v>44611.0</v>
      </c>
      <c r="C342" s="101">
        <v>0.3321875</v>
      </c>
      <c r="G342" s="2" t="s">
        <v>2184</v>
      </c>
      <c r="H342" s="2" t="s">
        <v>244</v>
      </c>
      <c r="I342" s="100">
        <v>44611.0</v>
      </c>
      <c r="J342" s="101">
        <v>0.5041203703703704</v>
      </c>
      <c r="K342" s="2">
        <v>1.0</v>
      </c>
      <c r="L342" s="2" t="b">
        <v>1</v>
      </c>
      <c r="N342" s="2" t="s">
        <v>247</v>
      </c>
    </row>
    <row r="343">
      <c r="A343" s="2" t="s">
        <v>1453</v>
      </c>
      <c r="B343" s="100">
        <v>44611.0</v>
      </c>
      <c r="C343" s="101">
        <v>0.3321875</v>
      </c>
      <c r="G343" s="2" t="s">
        <v>2184</v>
      </c>
      <c r="H343" s="2" t="s">
        <v>244</v>
      </c>
      <c r="I343" s="100">
        <v>44611.0</v>
      </c>
      <c r="J343" s="101">
        <v>0.4882638888888889</v>
      </c>
      <c r="K343" s="2">
        <v>1.0</v>
      </c>
      <c r="L343" s="2" t="b">
        <v>1</v>
      </c>
      <c r="M343" s="2" t="s">
        <v>2477</v>
      </c>
      <c r="N343" s="2" t="s">
        <v>247</v>
      </c>
    </row>
    <row r="344">
      <c r="A344" s="2" t="s">
        <v>1451</v>
      </c>
      <c r="B344" s="100">
        <v>44611.0</v>
      </c>
      <c r="C344" s="101">
        <v>0.32890046296296294</v>
      </c>
      <c r="G344" s="2" t="s">
        <v>2184</v>
      </c>
      <c r="H344" s="2" t="s">
        <v>244</v>
      </c>
      <c r="I344" s="100">
        <v>44611.0</v>
      </c>
      <c r="J344" s="101">
        <v>0.4882638888888889</v>
      </c>
      <c r="K344" s="2">
        <v>1.0</v>
      </c>
      <c r="L344" s="2" t="b">
        <v>1</v>
      </c>
      <c r="M344" s="2" t="s">
        <v>2477</v>
      </c>
      <c r="N344" s="2" t="s">
        <v>247</v>
      </c>
    </row>
    <row r="345">
      <c r="A345" s="2" t="s">
        <v>1449</v>
      </c>
      <c r="B345" s="100">
        <v>44611.0</v>
      </c>
      <c r="C345" s="101">
        <v>0.32788194444444446</v>
      </c>
      <c r="G345" s="2" t="s">
        <v>2184</v>
      </c>
      <c r="H345" s="2" t="s">
        <v>244</v>
      </c>
      <c r="I345" s="100">
        <v>44611.0</v>
      </c>
      <c r="J345" s="101">
        <v>0.4882638888888889</v>
      </c>
      <c r="K345" s="2">
        <v>1.0</v>
      </c>
      <c r="L345" s="2" t="b">
        <v>1</v>
      </c>
      <c r="M345" s="2" t="s">
        <v>2477</v>
      </c>
      <c r="N345" s="2" t="s">
        <v>247</v>
      </c>
    </row>
    <row r="346">
      <c r="A346" s="2" t="s">
        <v>1447</v>
      </c>
      <c r="B346" s="100">
        <v>44611.0</v>
      </c>
      <c r="C346" s="101">
        <v>0.32633101851851853</v>
      </c>
      <c r="G346" s="2" t="s">
        <v>2184</v>
      </c>
      <c r="H346" s="2" t="s">
        <v>244</v>
      </c>
      <c r="I346" s="100">
        <v>44611.0</v>
      </c>
      <c r="J346" s="101">
        <v>0.4882523148148148</v>
      </c>
      <c r="K346" s="2">
        <v>1.0</v>
      </c>
      <c r="L346" s="2" t="b">
        <v>1</v>
      </c>
      <c r="M346" s="2" t="s">
        <v>2477</v>
      </c>
      <c r="N346" s="2" t="s">
        <v>247</v>
      </c>
    </row>
    <row r="347">
      <c r="A347" s="2" t="s">
        <v>1445</v>
      </c>
      <c r="B347" s="100">
        <v>44611.0</v>
      </c>
      <c r="C347" s="101">
        <v>0.32579861111111114</v>
      </c>
      <c r="G347" s="2" t="s">
        <v>2184</v>
      </c>
      <c r="H347" s="2" t="s">
        <v>244</v>
      </c>
      <c r="I347" s="100">
        <v>44611.0</v>
      </c>
      <c r="J347" s="101">
        <v>0.4882523148148148</v>
      </c>
      <c r="K347" s="2">
        <v>1.0</v>
      </c>
      <c r="L347" s="2" t="b">
        <v>1</v>
      </c>
      <c r="M347" s="2" t="s">
        <v>2477</v>
      </c>
      <c r="N347" s="2" t="s">
        <v>247</v>
      </c>
    </row>
    <row r="348">
      <c r="A348" s="2" t="s">
        <v>1443</v>
      </c>
      <c r="B348" s="100">
        <v>44611.0</v>
      </c>
      <c r="C348" s="101">
        <v>0.3233333333333333</v>
      </c>
      <c r="G348" s="2" t="s">
        <v>2184</v>
      </c>
      <c r="H348" s="2" t="s">
        <v>244</v>
      </c>
      <c r="I348" s="100">
        <v>44611.0</v>
      </c>
      <c r="J348" s="101">
        <v>0.4882523148148148</v>
      </c>
      <c r="K348" s="2">
        <v>1.0</v>
      </c>
      <c r="L348" s="2" t="b">
        <v>1</v>
      </c>
      <c r="M348" s="2" t="s">
        <v>2477</v>
      </c>
      <c r="N348" s="2" t="s">
        <v>247</v>
      </c>
    </row>
    <row r="349">
      <c r="A349" s="2" t="s">
        <v>1441</v>
      </c>
      <c r="B349" s="100">
        <v>44611.0</v>
      </c>
      <c r="C349" s="101">
        <v>0.3225925925925926</v>
      </c>
      <c r="G349" s="2" t="s">
        <v>2184</v>
      </c>
      <c r="H349" s="2" t="s">
        <v>244</v>
      </c>
      <c r="I349" s="100">
        <v>44611.0</v>
      </c>
      <c r="J349" s="101">
        <v>0.4882523148148148</v>
      </c>
      <c r="K349" s="2">
        <v>1.0</v>
      </c>
      <c r="L349" s="2" t="b">
        <v>1</v>
      </c>
      <c r="M349" s="2" t="s">
        <v>2477</v>
      </c>
      <c r="N349" s="2" t="s">
        <v>247</v>
      </c>
    </row>
    <row r="350">
      <c r="A350" s="2" t="s">
        <v>1439</v>
      </c>
      <c r="B350" s="100">
        <v>44611.0</v>
      </c>
      <c r="C350" s="101">
        <v>0.3209606481481482</v>
      </c>
      <c r="G350" s="2" t="s">
        <v>2184</v>
      </c>
      <c r="H350" s="2" t="s">
        <v>244</v>
      </c>
      <c r="I350" s="100">
        <v>44611.0</v>
      </c>
      <c r="J350" s="101">
        <v>0.4882523148148148</v>
      </c>
      <c r="K350" s="2">
        <v>1.0</v>
      </c>
      <c r="L350" s="2" t="b">
        <v>1</v>
      </c>
      <c r="M350" s="2" t="s">
        <v>2477</v>
      </c>
      <c r="N350" s="2" t="s">
        <v>247</v>
      </c>
    </row>
    <row r="351">
      <c r="A351" s="2" t="s">
        <v>1437</v>
      </c>
      <c r="B351" s="100">
        <v>44611.0</v>
      </c>
      <c r="C351" s="101">
        <v>0.318912037037037</v>
      </c>
      <c r="G351" s="2" t="s">
        <v>2184</v>
      </c>
      <c r="H351" s="2" t="s">
        <v>244</v>
      </c>
      <c r="I351" s="100">
        <v>44611.0</v>
      </c>
      <c r="J351" s="101">
        <v>0.4882523148148148</v>
      </c>
      <c r="K351" s="2">
        <v>1.0</v>
      </c>
      <c r="L351" s="2" t="b">
        <v>1</v>
      </c>
      <c r="M351" s="2" t="s">
        <v>2477</v>
      </c>
      <c r="N351" s="2" t="s">
        <v>247</v>
      </c>
    </row>
    <row r="352">
      <c r="A352" s="2" t="s">
        <v>1435</v>
      </c>
      <c r="B352" s="100">
        <v>44611.0</v>
      </c>
      <c r="C352" s="101">
        <v>0.3180439814814815</v>
      </c>
      <c r="G352" s="2" t="s">
        <v>2184</v>
      </c>
      <c r="H352" s="2" t="s">
        <v>244</v>
      </c>
      <c r="I352" s="100">
        <v>44611.0</v>
      </c>
      <c r="J352" s="101">
        <v>0.4882523148148148</v>
      </c>
      <c r="K352" s="2">
        <v>0.0</v>
      </c>
      <c r="L352" s="2" t="b">
        <v>1</v>
      </c>
      <c r="M352" s="2" t="s">
        <v>2477</v>
      </c>
      <c r="N352" s="2" t="s">
        <v>247</v>
      </c>
    </row>
    <row r="353">
      <c r="A353" s="2" t="s">
        <v>1433</v>
      </c>
      <c r="B353" s="100">
        <v>44611.0</v>
      </c>
      <c r="C353" s="101">
        <v>0.3173611111111111</v>
      </c>
      <c r="G353" s="2" t="s">
        <v>2184</v>
      </c>
      <c r="H353" s="2" t="s">
        <v>244</v>
      </c>
      <c r="I353" s="100">
        <v>44611.0</v>
      </c>
      <c r="J353" s="101">
        <v>0.4882523148148148</v>
      </c>
      <c r="K353" s="2">
        <v>1.0</v>
      </c>
      <c r="L353" s="2" t="b">
        <v>1</v>
      </c>
      <c r="M353" s="2" t="s">
        <v>2477</v>
      </c>
      <c r="N353" s="2" t="s">
        <v>247</v>
      </c>
    </row>
    <row r="354">
      <c r="A354" s="2" t="s">
        <v>1431</v>
      </c>
      <c r="B354" s="100">
        <v>44611.0</v>
      </c>
      <c r="C354" s="101">
        <v>0.31581018518518517</v>
      </c>
      <c r="G354" s="2" t="s">
        <v>2184</v>
      </c>
      <c r="H354" s="2" t="s">
        <v>244</v>
      </c>
      <c r="I354" s="100">
        <v>44611.0</v>
      </c>
      <c r="J354" s="101">
        <v>0.4882523148148148</v>
      </c>
      <c r="K354" s="2">
        <v>0.0</v>
      </c>
      <c r="L354" s="2" t="b">
        <v>1</v>
      </c>
      <c r="M354" s="2" t="s">
        <v>2477</v>
      </c>
      <c r="N354" s="2" t="s">
        <v>247</v>
      </c>
    </row>
    <row r="355">
      <c r="A355" s="2" t="s">
        <v>1429</v>
      </c>
      <c r="B355" s="100">
        <v>44611.0</v>
      </c>
      <c r="C355" s="101">
        <v>0.3154282407407407</v>
      </c>
      <c r="G355" s="2" t="s">
        <v>2184</v>
      </c>
      <c r="H355" s="2" t="s">
        <v>244</v>
      </c>
      <c r="I355" s="100">
        <v>44611.0</v>
      </c>
      <c r="J355" s="101">
        <v>0.4882523148148148</v>
      </c>
      <c r="K355" s="2">
        <v>1.0</v>
      </c>
      <c r="L355" s="2" t="b">
        <v>1</v>
      </c>
      <c r="M355" s="2" t="s">
        <v>2477</v>
      </c>
      <c r="N355" s="2" t="s">
        <v>247</v>
      </c>
    </row>
    <row r="356">
      <c r="A356" s="2" t="s">
        <v>1427</v>
      </c>
      <c r="B356" s="100">
        <v>44611.0</v>
      </c>
      <c r="C356" s="101">
        <v>0.3153587962962963</v>
      </c>
      <c r="G356" s="2" t="s">
        <v>2184</v>
      </c>
      <c r="H356" s="2" t="s">
        <v>244</v>
      </c>
      <c r="I356" s="100">
        <v>44611.0</v>
      </c>
      <c r="J356" s="101">
        <v>0.4882523148148148</v>
      </c>
      <c r="K356" s="2">
        <v>1.0</v>
      </c>
      <c r="L356" s="2" t="b">
        <v>1</v>
      </c>
      <c r="M356" s="2" t="s">
        <v>2477</v>
      </c>
      <c r="N356" s="2" t="s">
        <v>247</v>
      </c>
    </row>
    <row r="357">
      <c r="A357" s="2" t="s">
        <v>1425</v>
      </c>
      <c r="B357" s="100">
        <v>44611.0</v>
      </c>
      <c r="C357" s="101">
        <v>0.3148842592592593</v>
      </c>
      <c r="G357" s="2" t="s">
        <v>2184</v>
      </c>
      <c r="H357" s="2" t="s">
        <v>244</v>
      </c>
      <c r="I357" s="100">
        <v>44611.0</v>
      </c>
      <c r="J357" s="101">
        <v>0.4882523148148148</v>
      </c>
      <c r="K357" s="2">
        <v>1.0</v>
      </c>
      <c r="L357" s="2" t="b">
        <v>1</v>
      </c>
      <c r="M357" s="2" t="s">
        <v>2477</v>
      </c>
      <c r="N357" s="2" t="s">
        <v>247</v>
      </c>
    </row>
    <row r="358">
      <c r="A358" s="2" t="s">
        <v>1423</v>
      </c>
      <c r="B358" s="100">
        <v>44611.0</v>
      </c>
      <c r="C358" s="101">
        <v>0.3137962962962963</v>
      </c>
      <c r="G358" s="2" t="s">
        <v>2184</v>
      </c>
      <c r="H358" s="2" t="s">
        <v>244</v>
      </c>
      <c r="I358" s="100">
        <v>44611.0</v>
      </c>
      <c r="J358" s="101">
        <v>0.4882523148148148</v>
      </c>
      <c r="K358" s="2">
        <v>0.0</v>
      </c>
      <c r="L358" s="2" t="b">
        <v>1</v>
      </c>
      <c r="M358" s="2" t="s">
        <v>2477</v>
      </c>
      <c r="N358" s="2" t="s">
        <v>247</v>
      </c>
    </row>
    <row r="359">
      <c r="A359" s="2" t="s">
        <v>1419</v>
      </c>
      <c r="B359" s="100">
        <v>44611.0</v>
      </c>
      <c r="C359" s="101">
        <v>0.3116550925925926</v>
      </c>
      <c r="G359" s="2" t="s">
        <v>2184</v>
      </c>
      <c r="H359" s="2" t="s">
        <v>244</v>
      </c>
      <c r="I359" s="100">
        <v>44611.0</v>
      </c>
      <c r="J359" s="101">
        <v>0.4882523148148148</v>
      </c>
      <c r="K359" s="2">
        <v>1.0</v>
      </c>
      <c r="L359" s="2" t="b">
        <v>1</v>
      </c>
      <c r="M359" s="2" t="s">
        <v>2477</v>
      </c>
      <c r="N359" s="2" t="s">
        <v>247</v>
      </c>
    </row>
    <row r="360">
      <c r="A360" s="2" t="s">
        <v>1417</v>
      </c>
      <c r="B360" s="100">
        <v>44611.0</v>
      </c>
      <c r="C360" s="101">
        <v>0.3114236111111111</v>
      </c>
      <c r="G360" s="2" t="s">
        <v>2184</v>
      </c>
      <c r="H360" s="2" t="s">
        <v>244</v>
      </c>
      <c r="I360" s="100">
        <v>44611.0</v>
      </c>
      <c r="J360" s="101">
        <v>0.4882523148148148</v>
      </c>
      <c r="K360" s="2">
        <v>1.0</v>
      </c>
      <c r="L360" s="2" t="b">
        <v>1</v>
      </c>
      <c r="M360" s="2" t="s">
        <v>2477</v>
      </c>
      <c r="N360" s="2" t="s">
        <v>247</v>
      </c>
    </row>
    <row r="361">
      <c r="A361" s="2" t="s">
        <v>1413</v>
      </c>
      <c r="B361" s="100">
        <v>44611.0</v>
      </c>
      <c r="C361" s="101">
        <v>0.3107523148148148</v>
      </c>
      <c r="G361" s="2" t="s">
        <v>2184</v>
      </c>
      <c r="H361" s="2" t="s">
        <v>244</v>
      </c>
      <c r="I361" s="100">
        <v>44611.0</v>
      </c>
      <c r="J361" s="101">
        <v>0.48824074074074075</v>
      </c>
      <c r="K361" s="2">
        <v>2.0</v>
      </c>
      <c r="L361" s="2" t="b">
        <v>1</v>
      </c>
      <c r="M361" s="2" t="s">
        <v>2477</v>
      </c>
      <c r="N361" s="2" t="s">
        <v>247</v>
      </c>
    </row>
    <row r="362">
      <c r="A362" s="2" t="s">
        <v>1411</v>
      </c>
      <c r="B362" s="100">
        <v>44611.0</v>
      </c>
      <c r="C362" s="101">
        <v>0.30855324074074075</v>
      </c>
      <c r="G362" s="2" t="s">
        <v>2184</v>
      </c>
      <c r="H362" s="2" t="s">
        <v>244</v>
      </c>
      <c r="I362" s="100">
        <v>44611.0</v>
      </c>
      <c r="J362" s="101">
        <v>0.48824074074074075</v>
      </c>
      <c r="K362" s="2">
        <v>1.0</v>
      </c>
      <c r="L362" s="2" t="b">
        <v>1</v>
      </c>
      <c r="M362" s="2" t="s">
        <v>2477</v>
      </c>
      <c r="N362" s="2" t="s">
        <v>247</v>
      </c>
    </row>
    <row r="363">
      <c r="A363" s="2" t="s">
        <v>1407</v>
      </c>
      <c r="B363" s="100">
        <v>44611.0</v>
      </c>
      <c r="C363" s="101">
        <v>0.30069444444444443</v>
      </c>
      <c r="G363" s="2" t="s">
        <v>2184</v>
      </c>
      <c r="H363" s="2" t="s">
        <v>244</v>
      </c>
      <c r="I363" s="100">
        <v>44611.0</v>
      </c>
      <c r="J363" s="101">
        <v>0.48824074074074075</v>
      </c>
      <c r="K363" s="2">
        <v>1.0</v>
      </c>
      <c r="L363" s="2" t="b">
        <v>1</v>
      </c>
      <c r="M363" s="2" t="s">
        <v>2477</v>
      </c>
      <c r="N363" s="2" t="s">
        <v>247</v>
      </c>
    </row>
    <row r="364">
      <c r="A364" s="2" t="s">
        <v>1405</v>
      </c>
      <c r="B364" s="100">
        <v>44611.0</v>
      </c>
      <c r="C364" s="101">
        <v>0.2972337962962963</v>
      </c>
      <c r="G364" s="2" t="s">
        <v>2184</v>
      </c>
      <c r="H364" s="2" t="s">
        <v>244</v>
      </c>
      <c r="I364" s="100">
        <v>44611.0</v>
      </c>
      <c r="J364" s="101">
        <v>0.48824074074074075</v>
      </c>
      <c r="K364" s="2">
        <v>1.0</v>
      </c>
      <c r="L364" s="2" t="b">
        <v>1</v>
      </c>
      <c r="M364" s="2" t="s">
        <v>2477</v>
      </c>
      <c r="N364" s="2" t="s">
        <v>247</v>
      </c>
    </row>
    <row r="365">
      <c r="A365" s="2" t="s">
        <v>1401</v>
      </c>
      <c r="B365" s="100">
        <v>44609.0</v>
      </c>
      <c r="C365" s="101">
        <v>0.3872685185185185</v>
      </c>
      <c r="G365" s="2" t="s">
        <v>2184</v>
      </c>
      <c r="H365" s="2" t="s">
        <v>244</v>
      </c>
      <c r="I365" s="100">
        <v>44611.0</v>
      </c>
      <c r="J365" s="101">
        <v>0.48824074074074075</v>
      </c>
      <c r="K365" s="2">
        <v>1.0</v>
      </c>
      <c r="L365" s="2" t="b">
        <v>1</v>
      </c>
      <c r="M365" s="2" t="s">
        <v>2477</v>
      </c>
      <c r="N365" s="2" t="s">
        <v>247</v>
      </c>
    </row>
    <row r="366">
      <c r="A366" s="2" t="s">
        <v>1397</v>
      </c>
      <c r="B366" s="100">
        <v>44609.0</v>
      </c>
      <c r="C366" s="101">
        <v>0.35497685185185185</v>
      </c>
      <c r="G366" s="2" t="s">
        <v>2184</v>
      </c>
      <c r="H366" s="2" t="s">
        <v>244</v>
      </c>
      <c r="I366" s="100">
        <v>44611.0</v>
      </c>
      <c r="J366" s="101">
        <v>0.38958333333333334</v>
      </c>
      <c r="K366" s="2">
        <v>1.0</v>
      </c>
      <c r="L366" s="2" t="b">
        <v>1</v>
      </c>
      <c r="M366" s="2" t="s">
        <v>2478</v>
      </c>
      <c r="N366" s="2" t="s">
        <v>247</v>
      </c>
    </row>
    <row r="367">
      <c r="A367" s="2" t="s">
        <v>1394</v>
      </c>
      <c r="B367" s="100">
        <v>44609.0</v>
      </c>
      <c r="C367" s="101">
        <v>0.3441666666666667</v>
      </c>
      <c r="G367" s="2" t="s">
        <v>2184</v>
      </c>
      <c r="H367" s="2" t="s">
        <v>244</v>
      </c>
      <c r="I367" s="100">
        <v>44611.0</v>
      </c>
      <c r="J367" s="101">
        <v>0.38958333333333334</v>
      </c>
      <c r="K367" s="2">
        <v>1.0</v>
      </c>
      <c r="L367" s="2" t="b">
        <v>1</v>
      </c>
      <c r="M367" s="2" t="s">
        <v>2478</v>
      </c>
      <c r="N367" s="2" t="s">
        <v>247</v>
      </c>
    </row>
    <row r="368">
      <c r="A368" s="2" t="s">
        <v>1392</v>
      </c>
      <c r="B368" s="100">
        <v>44609.0</v>
      </c>
      <c r="C368" s="101">
        <v>0.3439814814814815</v>
      </c>
      <c r="G368" s="2" t="s">
        <v>2184</v>
      </c>
      <c r="H368" s="2" t="s">
        <v>244</v>
      </c>
      <c r="I368" s="100">
        <v>44611.0</v>
      </c>
      <c r="J368" s="101">
        <v>0.38958333333333334</v>
      </c>
      <c r="K368" s="2">
        <v>1.0</v>
      </c>
      <c r="L368" s="2" t="b">
        <v>1</v>
      </c>
      <c r="M368" s="2" t="s">
        <v>2478</v>
      </c>
      <c r="N368" s="2" t="s">
        <v>247</v>
      </c>
    </row>
    <row r="369">
      <c r="A369" s="2" t="s">
        <v>1389</v>
      </c>
      <c r="B369" s="100">
        <v>44609.0</v>
      </c>
      <c r="C369" s="101">
        <v>0.34019675925925924</v>
      </c>
      <c r="G369" s="2" t="s">
        <v>2184</v>
      </c>
      <c r="H369" s="2" t="s">
        <v>244</v>
      </c>
      <c r="I369" s="100">
        <v>44611.0</v>
      </c>
      <c r="J369" s="101">
        <v>0.38958333333333334</v>
      </c>
      <c r="K369" s="2">
        <v>1.0</v>
      </c>
      <c r="L369" s="2" t="b">
        <v>1</v>
      </c>
      <c r="M369" s="2" t="s">
        <v>2478</v>
      </c>
      <c r="N369" s="2" t="s">
        <v>247</v>
      </c>
    </row>
    <row r="370">
      <c r="A370" s="2" t="s">
        <v>1387</v>
      </c>
      <c r="B370" s="100">
        <v>44609.0</v>
      </c>
      <c r="C370" s="101">
        <v>0.33719907407407407</v>
      </c>
      <c r="G370" s="2" t="s">
        <v>2184</v>
      </c>
      <c r="H370" s="2" t="s">
        <v>244</v>
      </c>
      <c r="I370" s="100">
        <v>44611.0</v>
      </c>
      <c r="J370" s="101">
        <v>0.38958333333333334</v>
      </c>
      <c r="K370" s="2">
        <v>1.0</v>
      </c>
      <c r="L370" s="2" t="b">
        <v>1</v>
      </c>
      <c r="M370" s="2" t="s">
        <v>2478</v>
      </c>
      <c r="N370" s="2" t="s">
        <v>247</v>
      </c>
    </row>
    <row r="371">
      <c r="A371" s="2" t="s">
        <v>1383</v>
      </c>
      <c r="B371" s="100">
        <v>44609.0</v>
      </c>
      <c r="C371" s="101">
        <v>0.33414351851851853</v>
      </c>
      <c r="G371" s="2" t="s">
        <v>2184</v>
      </c>
      <c r="H371" s="2" t="s">
        <v>244</v>
      </c>
      <c r="I371" s="100">
        <v>44611.0</v>
      </c>
      <c r="J371" s="101">
        <v>0.38958333333333334</v>
      </c>
      <c r="K371" s="2">
        <v>1.0</v>
      </c>
      <c r="L371" s="2" t="b">
        <v>1</v>
      </c>
      <c r="M371" s="2" t="s">
        <v>2478</v>
      </c>
      <c r="N371" s="2" t="s">
        <v>247</v>
      </c>
    </row>
    <row r="372">
      <c r="A372" s="2" t="s">
        <v>1379</v>
      </c>
      <c r="B372" s="100">
        <v>44609.0</v>
      </c>
      <c r="C372" s="101">
        <v>0.33399305555555553</v>
      </c>
      <c r="G372" s="2" t="s">
        <v>2184</v>
      </c>
      <c r="H372" s="2" t="s">
        <v>244</v>
      </c>
      <c r="I372" s="100">
        <v>44611.0</v>
      </c>
      <c r="J372" s="101">
        <v>0.38958333333333334</v>
      </c>
      <c r="K372" s="2">
        <v>1.0</v>
      </c>
      <c r="L372" s="2" t="b">
        <v>1</v>
      </c>
      <c r="M372" s="2" t="s">
        <v>2478</v>
      </c>
      <c r="N372" s="2" t="s">
        <v>247</v>
      </c>
    </row>
    <row r="373">
      <c r="A373" s="2" t="s">
        <v>1377</v>
      </c>
      <c r="B373" s="100">
        <v>44609.0</v>
      </c>
      <c r="C373" s="101">
        <v>0.3327199074074074</v>
      </c>
      <c r="G373" s="2" t="s">
        <v>2184</v>
      </c>
      <c r="H373" s="2" t="s">
        <v>244</v>
      </c>
      <c r="I373" s="100">
        <v>44611.0</v>
      </c>
      <c r="J373" s="101">
        <v>0.38958333333333334</v>
      </c>
      <c r="K373" s="2">
        <v>1.0</v>
      </c>
      <c r="L373" s="2" t="b">
        <v>1</v>
      </c>
      <c r="M373" s="2" t="s">
        <v>2478</v>
      </c>
      <c r="N373" s="2" t="s">
        <v>247</v>
      </c>
    </row>
    <row r="374">
      <c r="A374" s="2" t="s">
        <v>1373</v>
      </c>
      <c r="B374" s="100">
        <v>44609.0</v>
      </c>
      <c r="C374" s="101">
        <v>0.33189814814814816</v>
      </c>
      <c r="G374" s="2" t="s">
        <v>2184</v>
      </c>
      <c r="H374" s="2" t="s">
        <v>244</v>
      </c>
      <c r="I374" s="100">
        <v>44611.0</v>
      </c>
      <c r="J374" s="101">
        <v>0.38958333333333334</v>
      </c>
      <c r="K374" s="2">
        <v>1.0</v>
      </c>
      <c r="L374" s="2" t="b">
        <v>1</v>
      </c>
      <c r="M374" s="2" t="s">
        <v>2478</v>
      </c>
      <c r="N374" s="2" t="s">
        <v>247</v>
      </c>
    </row>
    <row r="375">
      <c r="A375" s="2" t="s">
        <v>1369</v>
      </c>
      <c r="B375" s="100">
        <v>44609.0</v>
      </c>
      <c r="C375" s="101">
        <v>0.3283101851851852</v>
      </c>
      <c r="G375" s="2" t="s">
        <v>2184</v>
      </c>
      <c r="H375" s="2" t="s">
        <v>244</v>
      </c>
      <c r="I375" s="100">
        <v>44611.0</v>
      </c>
      <c r="J375" s="101">
        <v>0.38958333333333334</v>
      </c>
      <c r="K375" s="2">
        <v>1.0</v>
      </c>
      <c r="L375" s="2" t="b">
        <v>1</v>
      </c>
      <c r="M375" s="2" t="s">
        <v>2478</v>
      </c>
      <c r="N375" s="2" t="s">
        <v>247</v>
      </c>
    </row>
    <row r="376">
      <c r="A376" s="2" t="s">
        <v>1367</v>
      </c>
      <c r="B376" s="100">
        <v>44609.0</v>
      </c>
      <c r="C376" s="101">
        <v>0.32766203703703706</v>
      </c>
      <c r="G376" s="2" t="s">
        <v>2184</v>
      </c>
      <c r="H376" s="2" t="s">
        <v>244</v>
      </c>
      <c r="I376" s="100">
        <v>44611.0</v>
      </c>
      <c r="J376" s="101">
        <v>0.38958333333333334</v>
      </c>
      <c r="K376" s="2">
        <v>1.0</v>
      </c>
      <c r="L376" s="2" t="b">
        <v>1</v>
      </c>
      <c r="M376" s="2" t="s">
        <v>2478</v>
      </c>
      <c r="N376" s="2" t="s">
        <v>247</v>
      </c>
    </row>
    <row r="377">
      <c r="A377" s="2" t="s">
        <v>1365</v>
      </c>
      <c r="B377" s="100">
        <v>44609.0</v>
      </c>
      <c r="C377" s="101">
        <v>0.32760416666666664</v>
      </c>
      <c r="G377" s="2" t="s">
        <v>2184</v>
      </c>
      <c r="H377" s="2" t="s">
        <v>244</v>
      </c>
      <c r="I377" s="100">
        <v>44611.0</v>
      </c>
      <c r="J377" s="101">
        <v>0.38958333333333334</v>
      </c>
      <c r="K377" s="2">
        <v>1.0</v>
      </c>
      <c r="L377" s="2" t="b">
        <v>1</v>
      </c>
      <c r="M377" s="2" t="s">
        <v>2478</v>
      </c>
      <c r="N377" s="2" t="s">
        <v>247</v>
      </c>
    </row>
    <row r="378">
      <c r="A378" s="2" t="s">
        <v>1363</v>
      </c>
      <c r="B378" s="100">
        <v>44609.0</v>
      </c>
      <c r="C378" s="101">
        <v>0.3275578703703704</v>
      </c>
      <c r="G378" s="2" t="s">
        <v>2184</v>
      </c>
      <c r="H378" s="2" t="s">
        <v>244</v>
      </c>
      <c r="I378" s="100">
        <v>44611.0</v>
      </c>
      <c r="J378" s="101">
        <v>0.38957175925925924</v>
      </c>
      <c r="K378" s="2">
        <v>1.0</v>
      </c>
      <c r="L378" s="2" t="b">
        <v>1</v>
      </c>
      <c r="M378" s="2" t="s">
        <v>2478</v>
      </c>
      <c r="N378" s="2" t="s">
        <v>247</v>
      </c>
    </row>
    <row r="379">
      <c r="A379" s="2" t="s">
        <v>185</v>
      </c>
      <c r="B379" s="100">
        <v>44609.0</v>
      </c>
      <c r="C379" s="101">
        <v>0.3274884259259259</v>
      </c>
      <c r="G379" s="2" t="s">
        <v>2184</v>
      </c>
      <c r="H379" s="2" t="s">
        <v>244</v>
      </c>
      <c r="I379" s="100">
        <v>44611.0</v>
      </c>
      <c r="J379" s="101">
        <v>0.3895601851851852</v>
      </c>
      <c r="K379" s="2">
        <v>1.0</v>
      </c>
      <c r="L379" s="2" t="b">
        <v>1</v>
      </c>
      <c r="N379" s="2" t="s">
        <v>247</v>
      </c>
    </row>
    <row r="380">
      <c r="A380" s="2" t="s">
        <v>1357</v>
      </c>
      <c r="B380" s="100">
        <v>44609.0</v>
      </c>
      <c r="C380" s="101">
        <v>0.3199768518518519</v>
      </c>
      <c r="G380" s="2" t="s">
        <v>2184</v>
      </c>
      <c r="H380" s="2" t="s">
        <v>244</v>
      </c>
      <c r="I380" s="100">
        <v>44611.0</v>
      </c>
      <c r="J380" s="101">
        <v>0.38957175925925924</v>
      </c>
      <c r="K380" s="2">
        <v>1.0</v>
      </c>
      <c r="L380" s="2" t="b">
        <v>1</v>
      </c>
      <c r="M380" s="2" t="s">
        <v>2478</v>
      </c>
      <c r="N380" s="2" t="s">
        <v>247</v>
      </c>
    </row>
    <row r="381">
      <c r="A381" s="2" t="s">
        <v>1353</v>
      </c>
      <c r="B381" s="100">
        <v>44609.0</v>
      </c>
      <c r="C381" s="101">
        <v>0.3194328703703704</v>
      </c>
      <c r="G381" s="2" t="s">
        <v>2184</v>
      </c>
      <c r="H381" s="2" t="s">
        <v>244</v>
      </c>
      <c r="I381" s="100">
        <v>44611.0</v>
      </c>
      <c r="J381" s="101">
        <v>0.38957175925925924</v>
      </c>
      <c r="K381" s="2">
        <v>1.0</v>
      </c>
      <c r="L381" s="2" t="b">
        <v>1</v>
      </c>
      <c r="M381" s="2" t="s">
        <v>2478</v>
      </c>
      <c r="N381" s="2" t="s">
        <v>247</v>
      </c>
    </row>
    <row r="382">
      <c r="A382" s="2" t="s">
        <v>1351</v>
      </c>
      <c r="B382" s="100">
        <v>44609.0</v>
      </c>
      <c r="C382" s="101">
        <v>0.31873842592592594</v>
      </c>
      <c r="G382" s="2" t="s">
        <v>2184</v>
      </c>
      <c r="H382" s="2" t="s">
        <v>244</v>
      </c>
      <c r="I382" s="100">
        <v>44611.0</v>
      </c>
      <c r="J382" s="101">
        <v>0.38957175925925924</v>
      </c>
      <c r="K382" s="2">
        <v>1.0</v>
      </c>
      <c r="L382" s="2" t="b">
        <v>1</v>
      </c>
      <c r="M382" s="2" t="s">
        <v>2478</v>
      </c>
      <c r="N382" s="2" t="s">
        <v>247</v>
      </c>
    </row>
    <row r="383">
      <c r="A383" s="2" t="s">
        <v>1349</v>
      </c>
      <c r="B383" s="100">
        <v>44609.0</v>
      </c>
      <c r="C383" s="101">
        <v>0.31753472222222223</v>
      </c>
      <c r="G383" s="2" t="s">
        <v>2184</v>
      </c>
      <c r="H383" s="2" t="s">
        <v>244</v>
      </c>
      <c r="I383" s="100">
        <v>44611.0</v>
      </c>
      <c r="J383" s="101">
        <v>0.38957175925925924</v>
      </c>
      <c r="K383" s="2">
        <v>1.0</v>
      </c>
      <c r="L383" s="2" t="b">
        <v>1</v>
      </c>
      <c r="M383" s="2" t="s">
        <v>2478</v>
      </c>
      <c r="N383" s="2" t="s">
        <v>247</v>
      </c>
    </row>
    <row r="384">
      <c r="A384" s="2" t="s">
        <v>1347</v>
      </c>
      <c r="B384" s="100">
        <v>44609.0</v>
      </c>
      <c r="C384" s="101">
        <v>0.31603009259259257</v>
      </c>
      <c r="G384" s="2" t="s">
        <v>2184</v>
      </c>
      <c r="H384" s="2" t="s">
        <v>244</v>
      </c>
      <c r="I384" s="100">
        <v>44611.0</v>
      </c>
      <c r="J384" s="101">
        <v>0.38957175925925924</v>
      </c>
      <c r="K384" s="2">
        <v>1.0</v>
      </c>
      <c r="L384" s="2" t="b">
        <v>1</v>
      </c>
      <c r="M384" s="2" t="s">
        <v>2478</v>
      </c>
      <c r="N384" s="2" t="s">
        <v>247</v>
      </c>
    </row>
    <row r="385">
      <c r="A385" s="2" t="s">
        <v>1345</v>
      </c>
      <c r="B385" s="100">
        <v>44609.0</v>
      </c>
      <c r="C385" s="101">
        <v>0.3156365740740741</v>
      </c>
      <c r="G385" s="2" t="s">
        <v>2184</v>
      </c>
      <c r="H385" s="2" t="s">
        <v>244</v>
      </c>
      <c r="I385" s="100">
        <v>44611.0</v>
      </c>
      <c r="J385" s="101">
        <v>0.38957175925925924</v>
      </c>
      <c r="K385" s="2">
        <v>1.0</v>
      </c>
      <c r="L385" s="2" t="b">
        <v>1</v>
      </c>
      <c r="M385" s="2" t="s">
        <v>2478</v>
      </c>
      <c r="N385" s="2" t="s">
        <v>247</v>
      </c>
    </row>
    <row r="386">
      <c r="A386" s="2" t="s">
        <v>1341</v>
      </c>
      <c r="B386" s="100">
        <v>44609.0</v>
      </c>
      <c r="C386" s="101">
        <v>0.31559027777777776</v>
      </c>
      <c r="G386" s="2" t="s">
        <v>2184</v>
      </c>
      <c r="H386" s="2" t="s">
        <v>244</v>
      </c>
      <c r="I386" s="100">
        <v>44611.0</v>
      </c>
      <c r="J386" s="101">
        <v>0.38957175925925924</v>
      </c>
      <c r="K386" s="2">
        <v>1.0</v>
      </c>
      <c r="L386" s="2" t="b">
        <v>1</v>
      </c>
      <c r="M386" s="2" t="s">
        <v>2478</v>
      </c>
      <c r="N386" s="2" t="s">
        <v>247</v>
      </c>
    </row>
    <row r="387">
      <c r="A387" s="2" t="s">
        <v>1339</v>
      </c>
      <c r="B387" s="100">
        <v>44609.0</v>
      </c>
      <c r="C387" s="101">
        <v>0.31168981481481484</v>
      </c>
      <c r="G387" s="2" t="s">
        <v>2184</v>
      </c>
      <c r="H387" s="2" t="s">
        <v>244</v>
      </c>
      <c r="I387" s="100">
        <v>44611.0</v>
      </c>
      <c r="J387" s="101">
        <v>0.38957175925925924</v>
      </c>
      <c r="K387" s="2">
        <v>1.0</v>
      </c>
      <c r="L387" s="2" t="b">
        <v>1</v>
      </c>
      <c r="M387" s="2" t="s">
        <v>2478</v>
      </c>
      <c r="N387" s="2" t="s">
        <v>247</v>
      </c>
    </row>
    <row r="388">
      <c r="A388" s="2" t="s">
        <v>1337</v>
      </c>
      <c r="B388" s="100">
        <v>44609.0</v>
      </c>
      <c r="C388" s="101">
        <v>0.3115625</v>
      </c>
      <c r="G388" s="2" t="s">
        <v>2184</v>
      </c>
      <c r="H388" s="2" t="s">
        <v>244</v>
      </c>
      <c r="I388" s="100">
        <v>44611.0</v>
      </c>
      <c r="J388" s="101">
        <v>0.38957175925925924</v>
      </c>
      <c r="K388" s="2">
        <v>1.0</v>
      </c>
      <c r="L388" s="2" t="b">
        <v>1</v>
      </c>
      <c r="M388" s="2" t="s">
        <v>2478</v>
      </c>
      <c r="N388" s="2" t="s">
        <v>247</v>
      </c>
    </row>
    <row r="389">
      <c r="A389" s="2" t="s">
        <v>1333</v>
      </c>
      <c r="B389" s="100">
        <v>44609.0</v>
      </c>
      <c r="C389" s="101">
        <v>0.3095833333333333</v>
      </c>
      <c r="G389" s="2" t="s">
        <v>2184</v>
      </c>
      <c r="H389" s="2" t="s">
        <v>244</v>
      </c>
      <c r="I389" s="100">
        <v>44611.0</v>
      </c>
      <c r="J389" s="101">
        <v>0.38957175925925924</v>
      </c>
      <c r="K389" s="2">
        <v>1.0</v>
      </c>
      <c r="L389" s="2" t="b">
        <v>1</v>
      </c>
      <c r="M389" s="2" t="s">
        <v>2478</v>
      </c>
      <c r="N389" s="2" t="s">
        <v>247</v>
      </c>
    </row>
    <row r="390">
      <c r="A390" s="2" t="s">
        <v>1331</v>
      </c>
      <c r="B390" s="100">
        <v>44609.0</v>
      </c>
      <c r="C390" s="101">
        <v>0.3083680555555556</v>
      </c>
      <c r="G390" s="2" t="s">
        <v>2184</v>
      </c>
      <c r="H390" s="2" t="s">
        <v>244</v>
      </c>
      <c r="I390" s="100">
        <v>44611.0</v>
      </c>
      <c r="J390" s="101">
        <v>0.38957175925925924</v>
      </c>
      <c r="K390" s="2">
        <v>1.0</v>
      </c>
      <c r="L390" s="2" t="b">
        <v>1</v>
      </c>
      <c r="M390" s="2" t="s">
        <v>2478</v>
      </c>
      <c r="N390" s="2" t="s">
        <v>247</v>
      </c>
    </row>
    <row r="391">
      <c r="A391" s="2" t="s">
        <v>1329</v>
      </c>
      <c r="B391" s="100">
        <v>44609.0</v>
      </c>
      <c r="C391" s="101">
        <v>0.3059953703703704</v>
      </c>
      <c r="G391" s="2" t="s">
        <v>2184</v>
      </c>
      <c r="H391" s="2" t="s">
        <v>244</v>
      </c>
      <c r="I391" s="100">
        <v>44611.0</v>
      </c>
      <c r="J391" s="101">
        <v>0.38957175925925924</v>
      </c>
      <c r="K391" s="2">
        <v>1.0</v>
      </c>
      <c r="L391" s="2" t="b">
        <v>1</v>
      </c>
      <c r="M391" s="2" t="s">
        <v>2478</v>
      </c>
      <c r="N391" s="2" t="s">
        <v>247</v>
      </c>
    </row>
    <row r="392">
      <c r="A392" s="2" t="s">
        <v>1327</v>
      </c>
      <c r="B392" s="100">
        <v>44609.0</v>
      </c>
      <c r="C392" s="101">
        <v>0.3042824074074074</v>
      </c>
      <c r="G392" s="2" t="s">
        <v>2184</v>
      </c>
      <c r="H392" s="2" t="s">
        <v>244</v>
      </c>
      <c r="I392" s="100">
        <v>44611.0</v>
      </c>
      <c r="J392" s="101">
        <v>0.3895601851851852</v>
      </c>
      <c r="K392" s="2">
        <v>1.0</v>
      </c>
      <c r="L392" s="2" t="b">
        <v>1</v>
      </c>
      <c r="M392" s="2" t="s">
        <v>2478</v>
      </c>
      <c r="N392" s="2" t="s">
        <v>247</v>
      </c>
    </row>
    <row r="393">
      <c r="A393" s="2" t="s">
        <v>1325</v>
      </c>
      <c r="B393" s="100">
        <v>44609.0</v>
      </c>
      <c r="C393" s="101">
        <v>0.2951736111111111</v>
      </c>
      <c r="G393" s="2" t="s">
        <v>2184</v>
      </c>
      <c r="H393" s="2" t="s">
        <v>244</v>
      </c>
      <c r="I393" s="100">
        <v>44611.0</v>
      </c>
      <c r="J393" s="101">
        <v>0.3895601851851852</v>
      </c>
      <c r="K393" s="2">
        <v>1.0</v>
      </c>
      <c r="L393" s="2" t="b">
        <v>1</v>
      </c>
      <c r="M393" s="2" t="s">
        <v>2478</v>
      </c>
      <c r="N393" s="2" t="s">
        <v>247</v>
      </c>
    </row>
    <row r="394">
      <c r="A394" s="2" t="s">
        <v>1323</v>
      </c>
      <c r="B394" s="100">
        <v>44609.0</v>
      </c>
      <c r="C394" s="101">
        <v>0.2938541666666667</v>
      </c>
      <c r="G394" s="2" t="s">
        <v>2184</v>
      </c>
      <c r="H394" s="2" t="s">
        <v>244</v>
      </c>
      <c r="I394" s="100">
        <v>44611.0</v>
      </c>
      <c r="J394" s="101">
        <v>0.3895601851851852</v>
      </c>
      <c r="K394" s="2">
        <v>1.0</v>
      </c>
      <c r="L394" s="2" t="b">
        <v>1</v>
      </c>
      <c r="M394" s="2" t="s">
        <v>2478</v>
      </c>
      <c r="N394" s="2" t="s">
        <v>247</v>
      </c>
    </row>
    <row r="395">
      <c r="A395" s="2" t="s">
        <v>1321</v>
      </c>
      <c r="B395" s="100">
        <v>44609.0</v>
      </c>
      <c r="C395" s="101">
        <v>0.2935185185185185</v>
      </c>
      <c r="G395" s="2" t="s">
        <v>2184</v>
      </c>
      <c r="H395" s="2" t="s">
        <v>244</v>
      </c>
      <c r="I395" s="100">
        <v>44611.0</v>
      </c>
      <c r="J395" s="101">
        <v>0.3895601851851852</v>
      </c>
      <c r="K395" s="2">
        <v>1.0</v>
      </c>
      <c r="L395" s="2" t="b">
        <v>1</v>
      </c>
      <c r="M395" s="2" t="s">
        <v>2478</v>
      </c>
      <c r="N395" s="2" t="s">
        <v>247</v>
      </c>
    </row>
    <row r="396">
      <c r="A396" s="2" t="s">
        <v>1319</v>
      </c>
      <c r="B396" s="100">
        <v>44609.0</v>
      </c>
      <c r="C396" s="101">
        <v>0.29255787037037034</v>
      </c>
      <c r="G396" s="2" t="s">
        <v>2184</v>
      </c>
      <c r="H396" s="2" t="s">
        <v>244</v>
      </c>
      <c r="I396" s="100">
        <v>44611.0</v>
      </c>
      <c r="J396" s="101">
        <v>0.3895601851851852</v>
      </c>
      <c r="K396" s="2">
        <v>1.0</v>
      </c>
      <c r="L396" s="2" t="b">
        <v>1</v>
      </c>
      <c r="M396" s="2" t="s">
        <v>2478</v>
      </c>
      <c r="N396" s="2" t="s">
        <v>247</v>
      </c>
    </row>
    <row r="397">
      <c r="A397" s="2" t="s">
        <v>1317</v>
      </c>
      <c r="B397" s="100">
        <v>44609.0</v>
      </c>
      <c r="C397" s="101">
        <v>0.28282407407407406</v>
      </c>
      <c r="G397" s="2" t="s">
        <v>2184</v>
      </c>
      <c r="H397" s="2" t="s">
        <v>244</v>
      </c>
      <c r="I397" s="100">
        <v>44611.0</v>
      </c>
      <c r="J397" s="101">
        <v>0.3895601851851852</v>
      </c>
      <c r="K397" s="2">
        <v>1.0</v>
      </c>
      <c r="L397" s="2" t="b">
        <v>1</v>
      </c>
      <c r="M397" s="2" t="s">
        <v>2478</v>
      </c>
      <c r="N397" s="2" t="s">
        <v>247</v>
      </c>
    </row>
    <row r="398">
      <c r="A398" s="2" t="s">
        <v>1315</v>
      </c>
      <c r="B398" s="100">
        <v>44607.0</v>
      </c>
      <c r="C398" s="101">
        <v>0.5372106481481481</v>
      </c>
      <c r="G398" s="2" t="s">
        <v>2188</v>
      </c>
      <c r="H398" s="2" t="s">
        <v>254</v>
      </c>
      <c r="I398" s="100">
        <v>44861.0</v>
      </c>
      <c r="J398" s="101">
        <v>0.4895023148148148</v>
      </c>
      <c r="K398" s="2">
        <v>1.0</v>
      </c>
      <c r="N398" s="2" t="s">
        <v>247</v>
      </c>
    </row>
    <row r="399">
      <c r="A399" s="2" t="s">
        <v>1309</v>
      </c>
      <c r="B399" s="100">
        <v>44607.0</v>
      </c>
      <c r="C399" s="101">
        <v>0.3924884259259259</v>
      </c>
      <c r="G399" s="2" t="s">
        <v>2184</v>
      </c>
      <c r="H399" s="2" t="s">
        <v>244</v>
      </c>
      <c r="I399" s="100">
        <v>44607.0</v>
      </c>
      <c r="J399" s="101">
        <v>0.5868171296296296</v>
      </c>
      <c r="K399" s="2">
        <v>4.0</v>
      </c>
      <c r="L399" s="2" t="b">
        <v>1</v>
      </c>
      <c r="M399" s="2" t="s">
        <v>2479</v>
      </c>
      <c r="N399" s="2" t="s">
        <v>247</v>
      </c>
    </row>
    <row r="400">
      <c r="A400" s="2" t="s">
        <v>1305</v>
      </c>
      <c r="B400" s="100">
        <v>44607.0</v>
      </c>
      <c r="C400" s="101">
        <v>0.3717361111111111</v>
      </c>
      <c r="G400" s="2" t="s">
        <v>2184</v>
      </c>
      <c r="H400" s="2" t="s">
        <v>244</v>
      </c>
      <c r="I400" s="100">
        <v>44607.0</v>
      </c>
      <c r="J400" s="101">
        <v>0.5868171296296296</v>
      </c>
      <c r="K400" s="2">
        <v>1.0</v>
      </c>
      <c r="L400" s="2" t="b">
        <v>1</v>
      </c>
      <c r="M400" s="2" t="s">
        <v>2479</v>
      </c>
      <c r="N400" s="2" t="s">
        <v>247</v>
      </c>
    </row>
    <row r="401">
      <c r="A401" s="2" t="s">
        <v>1303</v>
      </c>
      <c r="B401" s="100">
        <v>44607.0</v>
      </c>
      <c r="C401" s="101">
        <v>0.3477546296296296</v>
      </c>
      <c r="G401" s="2" t="s">
        <v>2184</v>
      </c>
      <c r="H401" s="2" t="s">
        <v>244</v>
      </c>
      <c r="I401" s="100">
        <v>44607.0</v>
      </c>
      <c r="J401" s="101">
        <v>0.5868171296296296</v>
      </c>
      <c r="K401" s="2">
        <v>1.0</v>
      </c>
      <c r="L401" s="2" t="b">
        <v>1</v>
      </c>
      <c r="M401" s="2" t="s">
        <v>2479</v>
      </c>
      <c r="N401" s="2" t="s">
        <v>247</v>
      </c>
    </row>
    <row r="402">
      <c r="A402" s="2" t="s">
        <v>1301</v>
      </c>
      <c r="B402" s="100">
        <v>44607.0</v>
      </c>
      <c r="C402" s="101">
        <v>0.3449537037037037</v>
      </c>
      <c r="G402" s="2" t="s">
        <v>2184</v>
      </c>
      <c r="H402" s="2" t="s">
        <v>244</v>
      </c>
      <c r="I402" s="100">
        <v>44607.0</v>
      </c>
      <c r="J402" s="101">
        <v>0.5868171296296296</v>
      </c>
      <c r="K402" s="2">
        <v>1.0</v>
      </c>
      <c r="L402" s="2" t="b">
        <v>1</v>
      </c>
      <c r="M402" s="2" t="s">
        <v>2479</v>
      </c>
      <c r="N402" s="2" t="s">
        <v>247</v>
      </c>
    </row>
    <row r="403">
      <c r="A403" s="2" t="s">
        <v>1297</v>
      </c>
      <c r="B403" s="100">
        <v>44607.0</v>
      </c>
      <c r="C403" s="101">
        <v>0.34164351851851854</v>
      </c>
      <c r="G403" s="2" t="s">
        <v>2184</v>
      </c>
      <c r="H403" s="2" t="s">
        <v>244</v>
      </c>
      <c r="I403" s="100">
        <v>44607.0</v>
      </c>
      <c r="J403" s="101">
        <v>0.5868171296296296</v>
      </c>
      <c r="K403" s="2">
        <v>1.0</v>
      </c>
      <c r="L403" s="2" t="b">
        <v>1</v>
      </c>
      <c r="M403" s="2" t="s">
        <v>2479</v>
      </c>
      <c r="N403" s="2" t="s">
        <v>247</v>
      </c>
    </row>
    <row r="404">
      <c r="A404" s="2" t="s">
        <v>1293</v>
      </c>
      <c r="B404" s="100">
        <v>44607.0</v>
      </c>
      <c r="C404" s="101">
        <v>0.33814814814814814</v>
      </c>
      <c r="G404" s="2" t="s">
        <v>2184</v>
      </c>
      <c r="H404" s="2" t="s">
        <v>244</v>
      </c>
      <c r="I404" s="100">
        <v>44607.0</v>
      </c>
      <c r="J404" s="101">
        <v>0.5868171296296296</v>
      </c>
      <c r="K404" s="2">
        <v>1.0</v>
      </c>
      <c r="L404" s="2" t="b">
        <v>1</v>
      </c>
      <c r="M404" s="2" t="s">
        <v>2479</v>
      </c>
      <c r="N404" s="2" t="s">
        <v>247</v>
      </c>
    </row>
    <row r="405">
      <c r="A405" s="2" t="s">
        <v>1289</v>
      </c>
      <c r="B405" s="100">
        <v>44607.0</v>
      </c>
      <c r="C405" s="101">
        <v>0.33417824074074076</v>
      </c>
      <c r="G405" s="2" t="s">
        <v>2184</v>
      </c>
      <c r="H405" s="2" t="s">
        <v>244</v>
      </c>
      <c r="I405" s="100">
        <v>44607.0</v>
      </c>
      <c r="J405" s="101">
        <v>0.5868171296296296</v>
      </c>
      <c r="K405" s="2">
        <v>1.0</v>
      </c>
      <c r="L405" s="2" t="b">
        <v>1</v>
      </c>
      <c r="M405" s="2" t="s">
        <v>2479</v>
      </c>
      <c r="N405" s="2" t="s">
        <v>247</v>
      </c>
    </row>
    <row r="406">
      <c r="A406" s="2" t="s">
        <v>1285</v>
      </c>
      <c r="B406" s="100">
        <v>44607.0</v>
      </c>
      <c r="C406" s="101">
        <v>0.33239583333333333</v>
      </c>
      <c r="G406" s="2" t="s">
        <v>2184</v>
      </c>
      <c r="H406" s="2" t="s">
        <v>244</v>
      </c>
      <c r="I406" s="100">
        <v>44607.0</v>
      </c>
      <c r="J406" s="101">
        <v>0.5868171296296296</v>
      </c>
      <c r="K406" s="2">
        <v>1.0</v>
      </c>
      <c r="L406" s="2" t="b">
        <v>1</v>
      </c>
      <c r="M406" s="2" t="s">
        <v>2479</v>
      </c>
      <c r="N406" s="2" t="s">
        <v>247</v>
      </c>
    </row>
    <row r="407">
      <c r="A407" s="2" t="s">
        <v>1283</v>
      </c>
      <c r="B407" s="100">
        <v>44607.0</v>
      </c>
      <c r="C407" s="101">
        <v>0.3297685185185185</v>
      </c>
      <c r="G407" s="2" t="s">
        <v>2184</v>
      </c>
      <c r="H407" s="2" t="s">
        <v>244</v>
      </c>
      <c r="I407" s="100">
        <v>44607.0</v>
      </c>
      <c r="J407" s="101">
        <v>0.5868171296296296</v>
      </c>
      <c r="K407" s="2">
        <v>1.0</v>
      </c>
      <c r="L407" s="2" t="b">
        <v>1</v>
      </c>
      <c r="M407" s="2" t="s">
        <v>2479</v>
      </c>
      <c r="N407" s="2" t="s">
        <v>247</v>
      </c>
    </row>
    <row r="408">
      <c r="A408" s="2" t="s">
        <v>1281</v>
      </c>
      <c r="B408" s="100">
        <v>44607.0</v>
      </c>
      <c r="C408" s="101">
        <v>0.32873842592592595</v>
      </c>
      <c r="G408" s="2" t="s">
        <v>2184</v>
      </c>
      <c r="H408" s="2" t="s">
        <v>244</v>
      </c>
      <c r="I408" s="100">
        <v>44607.0</v>
      </c>
      <c r="J408" s="101">
        <v>0.5868055555555556</v>
      </c>
      <c r="K408" s="2">
        <v>1.0</v>
      </c>
      <c r="L408" s="2" t="b">
        <v>1</v>
      </c>
      <c r="M408" s="2" t="s">
        <v>2479</v>
      </c>
      <c r="N408" s="2" t="s">
        <v>247</v>
      </c>
    </row>
    <row r="409">
      <c r="A409" s="2" t="s">
        <v>1279</v>
      </c>
      <c r="B409" s="100">
        <v>44607.0</v>
      </c>
      <c r="C409" s="101">
        <v>0.3281712962962963</v>
      </c>
      <c r="G409" s="2" t="s">
        <v>2188</v>
      </c>
      <c r="H409" s="2" t="s">
        <v>254</v>
      </c>
      <c r="I409" s="100">
        <v>44861.0</v>
      </c>
      <c r="J409" s="101">
        <v>0.4895023148148148</v>
      </c>
      <c r="K409" s="2">
        <v>1.0</v>
      </c>
      <c r="N409" s="2" t="s">
        <v>247</v>
      </c>
    </row>
    <row r="410">
      <c r="A410" s="2" t="s">
        <v>1277</v>
      </c>
      <c r="B410" s="100">
        <v>44607.0</v>
      </c>
      <c r="C410" s="101">
        <v>0.32666666666666666</v>
      </c>
      <c r="G410" s="2" t="s">
        <v>2184</v>
      </c>
      <c r="H410" s="2" t="s">
        <v>244</v>
      </c>
      <c r="I410" s="100">
        <v>44607.0</v>
      </c>
      <c r="J410" s="101">
        <v>0.5868055555555556</v>
      </c>
      <c r="K410" s="2">
        <v>1.0</v>
      </c>
      <c r="L410" s="2" t="b">
        <v>1</v>
      </c>
      <c r="M410" s="2" t="s">
        <v>2479</v>
      </c>
      <c r="N410" s="2" t="s">
        <v>247</v>
      </c>
    </row>
    <row r="411">
      <c r="A411" s="2" t="s">
        <v>1273</v>
      </c>
      <c r="B411" s="100">
        <v>44607.0</v>
      </c>
      <c r="C411" s="101">
        <v>0.3254398148148148</v>
      </c>
      <c r="G411" s="2" t="s">
        <v>2184</v>
      </c>
      <c r="H411" s="2" t="s">
        <v>244</v>
      </c>
      <c r="I411" s="100">
        <v>44607.0</v>
      </c>
      <c r="J411" s="101">
        <v>0.5868055555555556</v>
      </c>
      <c r="K411" s="2">
        <v>1.0</v>
      </c>
      <c r="L411" s="2" t="b">
        <v>1</v>
      </c>
      <c r="M411" s="2" t="s">
        <v>2479</v>
      </c>
      <c r="N411" s="2" t="s">
        <v>247</v>
      </c>
    </row>
    <row r="412">
      <c r="A412" s="2" t="s">
        <v>1269</v>
      </c>
      <c r="B412" s="100">
        <v>44607.0</v>
      </c>
      <c r="C412" s="101">
        <v>0.32538194444444446</v>
      </c>
      <c r="G412" s="2" t="s">
        <v>2184</v>
      </c>
      <c r="H412" s="2" t="s">
        <v>244</v>
      </c>
      <c r="I412" s="100">
        <v>44607.0</v>
      </c>
      <c r="J412" s="101">
        <v>0.5868055555555556</v>
      </c>
      <c r="K412" s="2">
        <v>1.0</v>
      </c>
      <c r="L412" s="2" t="b">
        <v>1</v>
      </c>
      <c r="M412" s="2" t="s">
        <v>2479</v>
      </c>
      <c r="N412" s="2" t="s">
        <v>247</v>
      </c>
    </row>
    <row r="413">
      <c r="A413" s="2" t="s">
        <v>1267</v>
      </c>
      <c r="B413" s="100">
        <v>44607.0</v>
      </c>
      <c r="C413" s="101">
        <v>0.3248726851851852</v>
      </c>
      <c r="G413" s="2" t="s">
        <v>2184</v>
      </c>
      <c r="H413" s="2" t="s">
        <v>244</v>
      </c>
      <c r="I413" s="100">
        <v>44607.0</v>
      </c>
      <c r="J413" s="101">
        <v>0.5868055555555556</v>
      </c>
      <c r="K413" s="2">
        <v>1.0</v>
      </c>
      <c r="L413" s="2" t="b">
        <v>1</v>
      </c>
      <c r="M413" s="2" t="s">
        <v>2479</v>
      </c>
      <c r="N413" s="2" t="s">
        <v>247</v>
      </c>
    </row>
    <row r="414">
      <c r="A414" s="2" t="s">
        <v>1265</v>
      </c>
      <c r="B414" s="100">
        <v>44607.0</v>
      </c>
      <c r="C414" s="101">
        <v>0.32350694444444444</v>
      </c>
      <c r="G414" s="2" t="s">
        <v>2184</v>
      </c>
      <c r="H414" s="2" t="s">
        <v>244</v>
      </c>
      <c r="I414" s="100">
        <v>44607.0</v>
      </c>
      <c r="J414" s="101">
        <v>0.5868055555555556</v>
      </c>
      <c r="K414" s="2">
        <v>1.0</v>
      </c>
      <c r="L414" s="2" t="b">
        <v>1</v>
      </c>
      <c r="M414" s="2" t="s">
        <v>2479</v>
      </c>
      <c r="N414" s="2" t="s">
        <v>247</v>
      </c>
    </row>
    <row r="415">
      <c r="A415" s="2" t="s">
        <v>1263</v>
      </c>
      <c r="B415" s="100">
        <v>44607.0</v>
      </c>
      <c r="C415" s="101">
        <v>0.32314814814814813</v>
      </c>
      <c r="G415" s="2" t="s">
        <v>2184</v>
      </c>
      <c r="H415" s="2" t="s">
        <v>244</v>
      </c>
      <c r="I415" s="100">
        <v>44607.0</v>
      </c>
      <c r="J415" s="101">
        <v>0.5868055555555556</v>
      </c>
      <c r="K415" s="2">
        <v>1.0</v>
      </c>
      <c r="L415" s="2" t="b">
        <v>1</v>
      </c>
      <c r="M415" s="2" t="s">
        <v>2479</v>
      </c>
      <c r="N415" s="2" t="s">
        <v>247</v>
      </c>
    </row>
    <row r="416">
      <c r="A416" s="2" t="s">
        <v>1259</v>
      </c>
      <c r="B416" s="100">
        <v>44607.0</v>
      </c>
      <c r="C416" s="101">
        <v>0.32024305555555554</v>
      </c>
      <c r="G416" s="2" t="s">
        <v>2184</v>
      </c>
      <c r="H416" s="2" t="s">
        <v>244</v>
      </c>
      <c r="I416" s="100">
        <v>44607.0</v>
      </c>
      <c r="J416" s="101">
        <v>0.5868055555555556</v>
      </c>
      <c r="K416" s="2">
        <v>1.0</v>
      </c>
      <c r="L416" s="2" t="b">
        <v>1</v>
      </c>
      <c r="M416" s="2" t="s">
        <v>2479</v>
      </c>
      <c r="N416" s="2" t="s">
        <v>247</v>
      </c>
    </row>
    <row r="417">
      <c r="A417" s="2" t="s">
        <v>1257</v>
      </c>
      <c r="B417" s="100">
        <v>44607.0</v>
      </c>
      <c r="C417" s="101">
        <v>0.31958333333333333</v>
      </c>
      <c r="G417" s="2" t="s">
        <v>2184</v>
      </c>
      <c r="H417" s="2" t="s">
        <v>244</v>
      </c>
      <c r="I417" s="100">
        <v>44607.0</v>
      </c>
      <c r="J417" s="101">
        <v>0.5868055555555556</v>
      </c>
      <c r="K417" s="2">
        <v>1.0</v>
      </c>
      <c r="L417" s="2" t="b">
        <v>1</v>
      </c>
      <c r="M417" s="2" t="s">
        <v>2479</v>
      </c>
      <c r="N417" s="2" t="s">
        <v>247</v>
      </c>
    </row>
    <row r="418">
      <c r="A418" s="2" t="s">
        <v>1253</v>
      </c>
      <c r="B418" s="100">
        <v>44607.0</v>
      </c>
      <c r="C418" s="101">
        <v>0.3147337962962963</v>
      </c>
      <c r="G418" s="2" t="s">
        <v>2184</v>
      </c>
      <c r="H418" s="2" t="s">
        <v>244</v>
      </c>
      <c r="I418" s="100">
        <v>44607.0</v>
      </c>
      <c r="J418" s="101">
        <v>0.5868055555555556</v>
      </c>
      <c r="K418" s="2">
        <v>1.0</v>
      </c>
      <c r="L418" s="2" t="b">
        <v>1</v>
      </c>
      <c r="M418" s="2" t="s">
        <v>2479</v>
      </c>
      <c r="N418" s="2" t="s">
        <v>247</v>
      </c>
    </row>
    <row r="419">
      <c r="A419" s="2" t="s">
        <v>1251</v>
      </c>
      <c r="B419" s="100">
        <v>44607.0</v>
      </c>
      <c r="C419" s="101">
        <v>0.314224537037037</v>
      </c>
      <c r="G419" s="2" t="s">
        <v>2184</v>
      </c>
      <c r="H419" s="2" t="s">
        <v>244</v>
      </c>
      <c r="I419" s="100">
        <v>44607.0</v>
      </c>
      <c r="J419" s="101">
        <v>0.5868055555555556</v>
      </c>
      <c r="K419" s="2">
        <v>1.0</v>
      </c>
      <c r="L419" s="2" t="b">
        <v>1</v>
      </c>
      <c r="M419" s="2" t="s">
        <v>2479</v>
      </c>
      <c r="N419" s="2" t="s">
        <v>247</v>
      </c>
    </row>
    <row r="420">
      <c r="A420" s="2" t="s">
        <v>1247</v>
      </c>
      <c r="B420" s="100">
        <v>44607.0</v>
      </c>
      <c r="C420" s="101">
        <v>0.3134953703703704</v>
      </c>
      <c r="G420" s="2" t="s">
        <v>2184</v>
      </c>
      <c r="H420" s="2" t="s">
        <v>244</v>
      </c>
      <c r="I420" s="100">
        <v>44607.0</v>
      </c>
      <c r="J420" s="101">
        <v>0.5868055555555556</v>
      </c>
      <c r="K420" s="2">
        <v>1.0</v>
      </c>
      <c r="L420" s="2" t="b">
        <v>1</v>
      </c>
      <c r="M420" s="2" t="s">
        <v>2479</v>
      </c>
      <c r="N420" s="2" t="s">
        <v>247</v>
      </c>
    </row>
    <row r="421">
      <c r="A421" s="2" t="s">
        <v>1245</v>
      </c>
      <c r="B421" s="100">
        <v>44607.0</v>
      </c>
      <c r="C421" s="101">
        <v>0.31342592592592594</v>
      </c>
      <c r="G421" s="2" t="s">
        <v>2184</v>
      </c>
      <c r="H421" s="2" t="s">
        <v>244</v>
      </c>
      <c r="I421" s="100">
        <v>44607.0</v>
      </c>
      <c r="J421" s="101">
        <v>0.5868055555555556</v>
      </c>
      <c r="K421" s="2">
        <v>1.0</v>
      </c>
      <c r="L421" s="2" t="b">
        <v>1</v>
      </c>
      <c r="M421" s="2" t="s">
        <v>2479</v>
      </c>
      <c r="N421" s="2" t="s">
        <v>247</v>
      </c>
    </row>
    <row r="422">
      <c r="A422" s="2" t="s">
        <v>1241</v>
      </c>
      <c r="B422" s="100">
        <v>44607.0</v>
      </c>
      <c r="C422" s="101">
        <v>0.31328703703703703</v>
      </c>
      <c r="G422" s="2" t="s">
        <v>2184</v>
      </c>
      <c r="H422" s="2" t="s">
        <v>244</v>
      </c>
      <c r="I422" s="100">
        <v>44607.0</v>
      </c>
      <c r="J422" s="101">
        <v>0.5868055555555556</v>
      </c>
      <c r="K422" s="2">
        <v>1.0</v>
      </c>
      <c r="L422" s="2" t="b">
        <v>1</v>
      </c>
      <c r="M422" s="2" t="s">
        <v>2479</v>
      </c>
      <c r="N422" s="2" t="s">
        <v>247</v>
      </c>
    </row>
    <row r="423">
      <c r="A423" s="2" t="s">
        <v>1239</v>
      </c>
      <c r="B423" s="100">
        <v>44607.0</v>
      </c>
      <c r="C423" s="101">
        <v>0.31320601851851854</v>
      </c>
      <c r="G423" s="2" t="s">
        <v>2184</v>
      </c>
      <c r="H423" s="2" t="s">
        <v>244</v>
      </c>
      <c r="I423" s="100">
        <v>44607.0</v>
      </c>
      <c r="J423" s="101">
        <v>0.5868055555555556</v>
      </c>
      <c r="K423" s="2">
        <v>1.0</v>
      </c>
      <c r="L423" s="2" t="b">
        <v>1</v>
      </c>
      <c r="M423" s="2" t="s">
        <v>2479</v>
      </c>
      <c r="N423" s="2" t="s">
        <v>247</v>
      </c>
    </row>
    <row r="424">
      <c r="A424" s="2" t="s">
        <v>1237</v>
      </c>
      <c r="B424" s="100">
        <v>44607.0</v>
      </c>
      <c r="C424" s="101">
        <v>0.3127083333333333</v>
      </c>
      <c r="G424" s="2" t="s">
        <v>2184</v>
      </c>
      <c r="H424" s="2" t="s">
        <v>244</v>
      </c>
      <c r="I424" s="100">
        <v>44607.0</v>
      </c>
      <c r="J424" s="101">
        <v>0.5867939814814814</v>
      </c>
      <c r="K424" s="2">
        <v>1.0</v>
      </c>
      <c r="L424" s="2" t="b">
        <v>1</v>
      </c>
      <c r="M424" s="2" t="s">
        <v>2479</v>
      </c>
      <c r="N424" s="2" t="s">
        <v>247</v>
      </c>
    </row>
    <row r="425">
      <c r="A425" s="2" t="s">
        <v>1235</v>
      </c>
      <c r="B425" s="100">
        <v>44607.0</v>
      </c>
      <c r="C425" s="101">
        <v>0.31167824074074074</v>
      </c>
      <c r="G425" s="2" t="s">
        <v>2184</v>
      </c>
      <c r="H425" s="2" t="s">
        <v>244</v>
      </c>
      <c r="I425" s="100">
        <v>44607.0</v>
      </c>
      <c r="J425" s="101">
        <v>0.5867939814814814</v>
      </c>
      <c r="K425" s="2">
        <v>1.0</v>
      </c>
      <c r="L425" s="2" t="b">
        <v>1</v>
      </c>
      <c r="M425" s="2" t="s">
        <v>2479</v>
      </c>
      <c r="N425" s="2" t="s">
        <v>247</v>
      </c>
    </row>
    <row r="426">
      <c r="A426" s="2" t="s">
        <v>1233</v>
      </c>
      <c r="B426" s="100">
        <v>44607.0</v>
      </c>
      <c r="C426" s="101">
        <v>0.30743055555555554</v>
      </c>
      <c r="G426" s="2" t="s">
        <v>2188</v>
      </c>
      <c r="H426" s="2" t="s">
        <v>254</v>
      </c>
      <c r="I426" s="100">
        <v>44861.0</v>
      </c>
      <c r="J426" s="101">
        <v>0.4895023148148148</v>
      </c>
      <c r="K426" s="2">
        <v>1.0</v>
      </c>
      <c r="N426" s="2" t="s">
        <v>247</v>
      </c>
    </row>
    <row r="427">
      <c r="A427" s="2" t="s">
        <v>1231</v>
      </c>
      <c r="B427" s="100">
        <v>44607.0</v>
      </c>
      <c r="C427" s="101">
        <v>0.30033564814814817</v>
      </c>
      <c r="G427" s="2" t="s">
        <v>2184</v>
      </c>
      <c r="H427" s="2" t="s">
        <v>244</v>
      </c>
      <c r="I427" s="100">
        <v>44607.0</v>
      </c>
      <c r="J427" s="101">
        <v>0.5867939814814814</v>
      </c>
      <c r="K427" s="2">
        <v>1.0</v>
      </c>
      <c r="L427" s="2" t="b">
        <v>1</v>
      </c>
      <c r="M427" s="2" t="s">
        <v>2479</v>
      </c>
      <c r="N427" s="2" t="s">
        <v>247</v>
      </c>
    </row>
    <row r="428">
      <c r="A428" s="2" t="s">
        <v>1229</v>
      </c>
      <c r="B428" s="100">
        <v>44607.0</v>
      </c>
      <c r="C428" s="101">
        <v>0.2989583333333333</v>
      </c>
      <c r="G428" s="2" t="s">
        <v>2184</v>
      </c>
      <c r="H428" s="2" t="s">
        <v>244</v>
      </c>
      <c r="I428" s="100">
        <v>44607.0</v>
      </c>
      <c r="J428" s="101">
        <v>0.5867939814814814</v>
      </c>
      <c r="K428" s="2">
        <v>1.0</v>
      </c>
      <c r="L428" s="2" t="b">
        <v>1</v>
      </c>
      <c r="M428" s="2" t="s">
        <v>2479</v>
      </c>
      <c r="N428" s="2" t="s">
        <v>247</v>
      </c>
    </row>
    <row r="429">
      <c r="A429" s="2" t="s">
        <v>1227</v>
      </c>
      <c r="B429" s="100">
        <v>44607.0</v>
      </c>
      <c r="C429" s="101">
        <v>0.2986226851851852</v>
      </c>
      <c r="G429" s="2" t="s">
        <v>2184</v>
      </c>
      <c r="H429" s="2" t="s">
        <v>244</v>
      </c>
      <c r="I429" s="100">
        <v>44607.0</v>
      </c>
      <c r="J429" s="101">
        <v>0.5867939814814814</v>
      </c>
      <c r="K429" s="2">
        <v>1.0</v>
      </c>
      <c r="L429" s="2" t="b">
        <v>1</v>
      </c>
      <c r="M429" s="2" t="s">
        <v>2479</v>
      </c>
      <c r="N429" s="2" t="s">
        <v>247</v>
      </c>
    </row>
    <row r="430">
      <c r="A430" s="2" t="s">
        <v>1224</v>
      </c>
      <c r="B430" s="100">
        <v>44607.0</v>
      </c>
      <c r="C430" s="101">
        <v>0.29532407407407407</v>
      </c>
      <c r="G430" s="2" t="s">
        <v>2184</v>
      </c>
      <c r="H430" s="2" t="s">
        <v>244</v>
      </c>
      <c r="I430" s="100">
        <v>44607.0</v>
      </c>
      <c r="J430" s="101">
        <v>0.5867939814814814</v>
      </c>
      <c r="K430" s="2">
        <v>1.0</v>
      </c>
      <c r="L430" s="2" t="b">
        <v>1</v>
      </c>
      <c r="M430" s="2" t="s">
        <v>2479</v>
      </c>
      <c r="N430" s="2" t="s">
        <v>247</v>
      </c>
    </row>
    <row r="431">
      <c r="A431" s="2" t="s">
        <v>1222</v>
      </c>
      <c r="B431" s="100">
        <v>44607.0</v>
      </c>
      <c r="C431" s="101">
        <v>0.29422453703703705</v>
      </c>
      <c r="G431" s="2" t="s">
        <v>2188</v>
      </c>
      <c r="H431" s="2" t="s">
        <v>254</v>
      </c>
      <c r="I431" s="100">
        <v>44861.0</v>
      </c>
      <c r="J431" s="101">
        <v>0.4895023148148148</v>
      </c>
      <c r="K431" s="2">
        <v>1.0</v>
      </c>
      <c r="N431" s="2" t="s">
        <v>247</v>
      </c>
    </row>
    <row r="432">
      <c r="A432" s="2" t="s">
        <v>1220</v>
      </c>
      <c r="B432" s="100">
        <v>44607.0</v>
      </c>
      <c r="C432" s="101">
        <v>0.2941435185185185</v>
      </c>
      <c r="G432" s="2" t="s">
        <v>2188</v>
      </c>
      <c r="H432" s="2" t="s">
        <v>254</v>
      </c>
      <c r="I432" s="100">
        <v>44861.0</v>
      </c>
      <c r="J432" s="101">
        <v>0.4895023148148148</v>
      </c>
      <c r="K432" s="2">
        <v>1.0</v>
      </c>
      <c r="N432" s="2" t="s">
        <v>247</v>
      </c>
    </row>
    <row r="433">
      <c r="A433" s="2" t="s">
        <v>1218</v>
      </c>
      <c r="B433" s="100">
        <v>44607.0</v>
      </c>
      <c r="C433" s="101">
        <v>0.2821412037037037</v>
      </c>
      <c r="G433" s="2" t="s">
        <v>2184</v>
      </c>
      <c r="H433" s="2" t="s">
        <v>244</v>
      </c>
      <c r="I433" s="100">
        <v>44607.0</v>
      </c>
      <c r="J433" s="101">
        <v>0.5867939814814814</v>
      </c>
      <c r="K433" s="2">
        <v>1.0</v>
      </c>
      <c r="L433" s="2" t="b">
        <v>1</v>
      </c>
      <c r="M433" s="2" t="s">
        <v>2479</v>
      </c>
      <c r="N433" s="2" t="s">
        <v>247</v>
      </c>
    </row>
    <row r="434">
      <c r="A434" s="2" t="s">
        <v>1216</v>
      </c>
      <c r="B434" s="100">
        <v>44607.0</v>
      </c>
      <c r="C434" s="101">
        <v>0.2629282407407407</v>
      </c>
      <c r="G434" s="2" t="s">
        <v>2184</v>
      </c>
      <c r="H434" s="2" t="s">
        <v>244</v>
      </c>
      <c r="I434" s="100">
        <v>44607.0</v>
      </c>
      <c r="J434" s="101">
        <v>0.5867939814814814</v>
      </c>
      <c r="K434" s="2">
        <v>1.0</v>
      </c>
      <c r="L434" s="2" t="b">
        <v>1</v>
      </c>
      <c r="M434" s="2" t="s">
        <v>2479</v>
      </c>
      <c r="N434" s="2" t="s">
        <v>247</v>
      </c>
    </row>
    <row r="435">
      <c r="A435" s="2" t="s">
        <v>1214</v>
      </c>
      <c r="B435" s="100">
        <v>44606.0</v>
      </c>
      <c r="C435" s="101">
        <v>0.3616087962962963</v>
      </c>
      <c r="G435" s="2" t="s">
        <v>2188</v>
      </c>
      <c r="H435" s="2" t="s">
        <v>254</v>
      </c>
      <c r="I435" s="100">
        <v>44861.0</v>
      </c>
      <c r="J435" s="101">
        <v>0.4895023148148148</v>
      </c>
      <c r="K435" s="2">
        <v>1.0</v>
      </c>
      <c r="N435" s="2" t="s">
        <v>247</v>
      </c>
    </row>
    <row r="436">
      <c r="A436" s="2" t="s">
        <v>1212</v>
      </c>
      <c r="B436" s="100">
        <v>44606.0</v>
      </c>
      <c r="C436" s="101">
        <v>0.3375</v>
      </c>
      <c r="G436" s="2" t="s">
        <v>2188</v>
      </c>
      <c r="H436" s="2" t="s">
        <v>254</v>
      </c>
      <c r="I436" s="100">
        <v>44861.0</v>
      </c>
      <c r="J436" s="101">
        <v>0.4895023148148148</v>
      </c>
      <c r="K436" s="2">
        <v>1.0</v>
      </c>
      <c r="N436" s="2" t="s">
        <v>247</v>
      </c>
    </row>
    <row r="437">
      <c r="A437" s="2" t="s">
        <v>1210</v>
      </c>
      <c r="B437" s="100">
        <v>44606.0</v>
      </c>
      <c r="C437" s="101">
        <v>0.3229050925925926</v>
      </c>
      <c r="G437" s="2" t="s">
        <v>2188</v>
      </c>
      <c r="H437" s="2" t="s">
        <v>254</v>
      </c>
      <c r="I437" s="100">
        <v>44861.0</v>
      </c>
      <c r="J437" s="101">
        <v>0.4895023148148148</v>
      </c>
      <c r="K437" s="2">
        <v>1.0</v>
      </c>
      <c r="N437" s="2" t="s">
        <v>247</v>
      </c>
    </row>
    <row r="438">
      <c r="A438" s="2" t="s">
        <v>1208</v>
      </c>
      <c r="B438" s="100">
        <v>44606.0</v>
      </c>
      <c r="C438" s="101">
        <v>0.3206712962962963</v>
      </c>
      <c r="G438" s="2" t="s">
        <v>2188</v>
      </c>
      <c r="H438" s="2" t="s">
        <v>254</v>
      </c>
      <c r="I438" s="100">
        <v>44861.0</v>
      </c>
      <c r="J438" s="101">
        <v>0.4895023148148148</v>
      </c>
      <c r="K438" s="2">
        <v>1.0</v>
      </c>
      <c r="N438" s="2" t="s">
        <v>247</v>
      </c>
    </row>
    <row r="439">
      <c r="A439" s="2" t="s">
        <v>1205</v>
      </c>
      <c r="B439" s="100">
        <v>44605.0</v>
      </c>
      <c r="C439" s="101">
        <v>0.3327893518518519</v>
      </c>
      <c r="G439" s="2" t="s">
        <v>2188</v>
      </c>
      <c r="H439" s="2" t="s">
        <v>254</v>
      </c>
      <c r="I439" s="100">
        <v>44861.0</v>
      </c>
      <c r="J439" s="101">
        <v>0.4895023148148148</v>
      </c>
      <c r="K439" s="2">
        <v>1.0</v>
      </c>
      <c r="N439" s="2" t="s">
        <v>247</v>
      </c>
    </row>
    <row r="440">
      <c r="A440" s="2" t="s">
        <v>1202</v>
      </c>
      <c r="B440" s="100">
        <v>44604.0</v>
      </c>
      <c r="C440" s="101">
        <v>0.3247569444444444</v>
      </c>
      <c r="G440" s="2" t="s">
        <v>2184</v>
      </c>
      <c r="H440" s="2" t="s">
        <v>52</v>
      </c>
      <c r="I440" s="100">
        <v>44604.0</v>
      </c>
      <c r="J440" s="101">
        <v>0.3936689814814815</v>
      </c>
      <c r="K440" s="2">
        <v>1.0</v>
      </c>
      <c r="L440" s="2" t="b">
        <v>1</v>
      </c>
      <c r="M440" s="2" t="s">
        <v>2480</v>
      </c>
      <c r="N440" s="2" t="s">
        <v>247</v>
      </c>
    </row>
    <row r="441">
      <c r="A441" s="2" t="s">
        <v>1200</v>
      </c>
      <c r="B441" s="100">
        <v>44604.0</v>
      </c>
      <c r="C441" s="101">
        <v>0.3235763888888889</v>
      </c>
      <c r="G441" s="2" t="s">
        <v>2184</v>
      </c>
      <c r="H441" s="2" t="s">
        <v>52</v>
      </c>
      <c r="I441" s="100">
        <v>44604.0</v>
      </c>
      <c r="J441" s="101">
        <v>0.3936689814814815</v>
      </c>
      <c r="K441" s="2">
        <v>1.0</v>
      </c>
      <c r="L441" s="2" t="b">
        <v>1</v>
      </c>
      <c r="M441" s="2" t="s">
        <v>2480</v>
      </c>
      <c r="N441" s="2" t="s">
        <v>247</v>
      </c>
    </row>
    <row r="442">
      <c r="A442" s="2" t="s">
        <v>1198</v>
      </c>
      <c r="B442" s="100">
        <v>44603.0</v>
      </c>
      <c r="C442" s="101">
        <v>0.42311342592592593</v>
      </c>
      <c r="G442" s="2" t="s">
        <v>2184</v>
      </c>
      <c r="H442" s="2" t="s">
        <v>244</v>
      </c>
      <c r="I442" s="100">
        <v>44603.0</v>
      </c>
      <c r="J442" s="101">
        <v>0.46979166666666666</v>
      </c>
      <c r="K442" s="2">
        <v>1.0</v>
      </c>
      <c r="L442" s="2" t="b">
        <v>1</v>
      </c>
      <c r="M442" s="2" t="s">
        <v>2481</v>
      </c>
      <c r="N442" s="2" t="s">
        <v>247</v>
      </c>
    </row>
    <row r="443">
      <c r="A443" s="2" t="s">
        <v>1196</v>
      </c>
      <c r="B443" s="100">
        <v>44603.0</v>
      </c>
      <c r="C443" s="101">
        <v>0.3788888888888889</v>
      </c>
      <c r="G443" s="2" t="s">
        <v>2184</v>
      </c>
      <c r="H443" s="2" t="s">
        <v>244</v>
      </c>
      <c r="I443" s="100">
        <v>44603.0</v>
      </c>
      <c r="J443" s="101">
        <v>0.46979166666666666</v>
      </c>
      <c r="K443" s="2">
        <v>1.0</v>
      </c>
      <c r="L443" s="2" t="b">
        <v>1</v>
      </c>
      <c r="M443" s="2" t="s">
        <v>2481</v>
      </c>
      <c r="N443" s="2" t="s">
        <v>247</v>
      </c>
    </row>
    <row r="444">
      <c r="A444" s="2" t="s">
        <v>1194</v>
      </c>
      <c r="B444" s="100">
        <v>44603.0</v>
      </c>
      <c r="C444" s="101">
        <v>0.33946759259259257</v>
      </c>
      <c r="G444" s="2" t="s">
        <v>2184</v>
      </c>
      <c r="H444" s="2" t="s">
        <v>52</v>
      </c>
      <c r="I444" s="100">
        <v>44603.0</v>
      </c>
      <c r="J444" s="101">
        <v>0.46979166666666666</v>
      </c>
      <c r="K444" s="2">
        <v>1.0</v>
      </c>
      <c r="L444" s="2" t="b">
        <v>1</v>
      </c>
      <c r="N444" s="2" t="s">
        <v>247</v>
      </c>
    </row>
    <row r="445">
      <c r="A445" s="2" t="s">
        <v>1190</v>
      </c>
      <c r="B445" s="100">
        <v>44603.0</v>
      </c>
      <c r="C445" s="101">
        <v>0.3391550925925926</v>
      </c>
      <c r="G445" s="2" t="s">
        <v>2184</v>
      </c>
      <c r="H445" s="2" t="s">
        <v>52</v>
      </c>
      <c r="I445" s="100">
        <v>44603.0</v>
      </c>
      <c r="J445" s="101">
        <v>0.46979166666666666</v>
      </c>
      <c r="K445" s="2">
        <v>1.0</v>
      </c>
      <c r="L445" s="2" t="b">
        <v>1</v>
      </c>
      <c r="N445" s="2" t="s">
        <v>247</v>
      </c>
    </row>
    <row r="446">
      <c r="A446" s="2" t="s">
        <v>1188</v>
      </c>
      <c r="B446" s="100">
        <v>44603.0</v>
      </c>
      <c r="C446" s="101">
        <v>0.3376851851851852</v>
      </c>
      <c r="G446" s="2" t="s">
        <v>2184</v>
      </c>
      <c r="H446" s="2" t="s">
        <v>244</v>
      </c>
      <c r="I446" s="100">
        <v>44603.0</v>
      </c>
      <c r="J446" s="101">
        <v>0.46979166666666666</v>
      </c>
      <c r="K446" s="2">
        <v>1.0</v>
      </c>
      <c r="L446" s="2" t="b">
        <v>1</v>
      </c>
      <c r="M446" s="2" t="s">
        <v>2481</v>
      </c>
      <c r="N446" s="2" t="s">
        <v>247</v>
      </c>
    </row>
    <row r="447">
      <c r="A447" s="2" t="s">
        <v>1186</v>
      </c>
      <c r="B447" s="100">
        <v>44603.0</v>
      </c>
      <c r="C447" s="101">
        <v>0.3190972222222222</v>
      </c>
      <c r="G447" s="2" t="s">
        <v>2184</v>
      </c>
      <c r="H447" s="2" t="s">
        <v>244</v>
      </c>
      <c r="I447" s="100">
        <v>44603.0</v>
      </c>
      <c r="J447" s="101">
        <v>0.46979166666666666</v>
      </c>
      <c r="K447" s="2">
        <v>1.0</v>
      </c>
      <c r="L447" s="2" t="b">
        <v>1</v>
      </c>
      <c r="M447" s="2" t="s">
        <v>2481</v>
      </c>
      <c r="N447" s="2" t="s">
        <v>247</v>
      </c>
    </row>
    <row r="448">
      <c r="A448" s="2" t="s">
        <v>1184</v>
      </c>
      <c r="B448" s="100">
        <v>44603.0</v>
      </c>
      <c r="C448" s="101">
        <v>0.31798611111111114</v>
      </c>
      <c r="G448" s="2" t="s">
        <v>2184</v>
      </c>
      <c r="H448" s="2" t="s">
        <v>244</v>
      </c>
      <c r="I448" s="100">
        <v>44603.0</v>
      </c>
      <c r="J448" s="101">
        <v>0.46979166666666666</v>
      </c>
      <c r="K448" s="2">
        <v>1.0</v>
      </c>
      <c r="L448" s="2" t="b">
        <v>1</v>
      </c>
      <c r="M448" s="2" t="s">
        <v>2481</v>
      </c>
      <c r="N448" s="2" t="s">
        <v>247</v>
      </c>
    </row>
    <row r="449">
      <c r="A449" s="2" t="s">
        <v>1182</v>
      </c>
      <c r="B449" s="100">
        <v>44603.0</v>
      </c>
      <c r="C449" s="101">
        <v>0.3151736111111111</v>
      </c>
      <c r="G449" s="2" t="s">
        <v>2184</v>
      </c>
      <c r="H449" s="2" t="s">
        <v>244</v>
      </c>
      <c r="I449" s="100">
        <v>44603.0</v>
      </c>
      <c r="J449" s="101">
        <v>0.46979166666666666</v>
      </c>
      <c r="K449" s="2">
        <v>1.0</v>
      </c>
      <c r="L449" s="2" t="b">
        <v>1</v>
      </c>
      <c r="M449" s="2" t="s">
        <v>2481</v>
      </c>
      <c r="N449" s="2" t="s">
        <v>247</v>
      </c>
    </row>
    <row r="450">
      <c r="A450" s="2" t="s">
        <v>1180</v>
      </c>
      <c r="B450" s="100">
        <v>44603.0</v>
      </c>
      <c r="C450" s="101">
        <v>0.28810185185185183</v>
      </c>
      <c r="G450" s="2" t="s">
        <v>2184</v>
      </c>
      <c r="H450" s="2" t="s">
        <v>244</v>
      </c>
      <c r="I450" s="100">
        <v>44603.0</v>
      </c>
      <c r="J450" s="101">
        <v>0.46979166666666666</v>
      </c>
      <c r="K450" s="2">
        <v>1.0</v>
      </c>
      <c r="L450" s="2" t="b">
        <v>1</v>
      </c>
      <c r="M450" s="2" t="s">
        <v>2481</v>
      </c>
      <c r="N450" s="2" t="s">
        <v>247</v>
      </c>
    </row>
    <row r="451">
      <c r="A451" s="2" t="s">
        <v>1177</v>
      </c>
      <c r="B451" s="100">
        <v>44601.0</v>
      </c>
      <c r="C451" s="101">
        <v>0.3924884259259259</v>
      </c>
      <c r="G451" s="2" t="s">
        <v>2184</v>
      </c>
      <c r="H451" s="2" t="s">
        <v>244</v>
      </c>
      <c r="I451" s="100">
        <v>44601.0</v>
      </c>
      <c r="J451" s="101">
        <v>0.48203703703703704</v>
      </c>
      <c r="K451" s="2">
        <v>1.0</v>
      </c>
      <c r="L451" s="2" t="b">
        <v>1</v>
      </c>
      <c r="M451" s="2" t="s">
        <v>2482</v>
      </c>
      <c r="N451" s="2" t="s">
        <v>247</v>
      </c>
    </row>
    <row r="452">
      <c r="A452" s="2" t="s">
        <v>1175</v>
      </c>
      <c r="B452" s="100">
        <v>44601.0</v>
      </c>
      <c r="C452" s="101">
        <v>0.3908912037037037</v>
      </c>
      <c r="G452" s="2" t="s">
        <v>2184</v>
      </c>
      <c r="H452" s="2" t="s">
        <v>244</v>
      </c>
      <c r="I452" s="100">
        <v>44601.0</v>
      </c>
      <c r="J452" s="101">
        <v>0.48203703703703704</v>
      </c>
      <c r="K452" s="2">
        <v>1.0</v>
      </c>
      <c r="L452" s="2" t="b">
        <v>1</v>
      </c>
      <c r="M452" s="2" t="s">
        <v>2482</v>
      </c>
      <c r="N452" s="2" t="s">
        <v>247</v>
      </c>
    </row>
    <row r="453">
      <c r="A453" s="2" t="s">
        <v>1172</v>
      </c>
      <c r="B453" s="100">
        <v>44601.0</v>
      </c>
      <c r="C453" s="101">
        <v>0.34619212962962964</v>
      </c>
      <c r="G453" s="2" t="s">
        <v>2184</v>
      </c>
      <c r="H453" s="2" t="s">
        <v>244</v>
      </c>
      <c r="I453" s="100">
        <v>44601.0</v>
      </c>
      <c r="J453" s="101">
        <v>0.48203703703703704</v>
      </c>
      <c r="K453" s="2">
        <v>1.0</v>
      </c>
      <c r="L453" s="2" t="b">
        <v>1</v>
      </c>
      <c r="M453" s="2" t="s">
        <v>2482</v>
      </c>
      <c r="N453" s="2" t="s">
        <v>247</v>
      </c>
    </row>
    <row r="454">
      <c r="A454" s="2" t="s">
        <v>1169</v>
      </c>
      <c r="B454" s="100">
        <v>44601.0</v>
      </c>
      <c r="C454" s="101">
        <v>0.34578703703703706</v>
      </c>
      <c r="G454" s="2" t="s">
        <v>2184</v>
      </c>
      <c r="H454" s="2" t="s">
        <v>244</v>
      </c>
      <c r="I454" s="100">
        <v>44601.0</v>
      </c>
      <c r="J454" s="101">
        <v>0.48203703703703704</v>
      </c>
      <c r="K454" s="2">
        <v>1.0</v>
      </c>
      <c r="L454" s="2" t="b">
        <v>1</v>
      </c>
      <c r="M454" s="2" t="s">
        <v>2482</v>
      </c>
      <c r="N454" s="2" t="s">
        <v>247</v>
      </c>
    </row>
    <row r="455">
      <c r="A455" s="2" t="s">
        <v>1166</v>
      </c>
      <c r="B455" s="100">
        <v>44601.0</v>
      </c>
      <c r="C455" s="101">
        <v>0.34546296296296297</v>
      </c>
      <c r="G455" s="2" t="s">
        <v>2184</v>
      </c>
      <c r="H455" s="2" t="s">
        <v>244</v>
      </c>
      <c r="I455" s="100">
        <v>44601.0</v>
      </c>
      <c r="J455" s="101">
        <v>0.48203703703703704</v>
      </c>
      <c r="K455" s="2">
        <v>1.0</v>
      </c>
      <c r="L455" s="2" t="b">
        <v>1</v>
      </c>
      <c r="M455" s="2" t="s">
        <v>2482</v>
      </c>
      <c r="N455" s="2" t="s">
        <v>247</v>
      </c>
    </row>
    <row r="456">
      <c r="A456" s="2" t="s">
        <v>1164</v>
      </c>
      <c r="B456" s="100">
        <v>44601.0</v>
      </c>
      <c r="C456" s="101">
        <v>0.3448726851851852</v>
      </c>
      <c r="G456" s="2" t="s">
        <v>2184</v>
      </c>
      <c r="H456" s="2" t="s">
        <v>244</v>
      </c>
      <c r="I456" s="100">
        <v>44601.0</v>
      </c>
      <c r="J456" s="101">
        <v>0.48203703703703704</v>
      </c>
      <c r="K456" s="2">
        <v>1.0</v>
      </c>
      <c r="L456" s="2" t="b">
        <v>1</v>
      </c>
      <c r="M456" s="2" t="s">
        <v>2482</v>
      </c>
      <c r="N456" s="2" t="s">
        <v>247</v>
      </c>
    </row>
    <row r="457">
      <c r="A457" s="2" t="s">
        <v>1161</v>
      </c>
      <c r="B457" s="100">
        <v>44601.0</v>
      </c>
      <c r="C457" s="101">
        <v>0.3444212962962963</v>
      </c>
      <c r="G457" s="2" t="s">
        <v>2184</v>
      </c>
      <c r="H457" s="2" t="s">
        <v>244</v>
      </c>
      <c r="I457" s="100">
        <v>44601.0</v>
      </c>
      <c r="J457" s="101">
        <v>0.48203703703703704</v>
      </c>
      <c r="K457" s="2">
        <v>1.0</v>
      </c>
      <c r="L457" s="2" t="b">
        <v>1</v>
      </c>
      <c r="M457" s="2" t="s">
        <v>2482</v>
      </c>
      <c r="N457" s="2" t="s">
        <v>247</v>
      </c>
    </row>
    <row r="458">
      <c r="A458" s="2" t="s">
        <v>1159</v>
      </c>
      <c r="B458" s="100">
        <v>44601.0</v>
      </c>
      <c r="C458" s="101">
        <v>0.3438310185185185</v>
      </c>
      <c r="G458" s="2" t="s">
        <v>2184</v>
      </c>
      <c r="H458" s="2" t="s">
        <v>244</v>
      </c>
      <c r="I458" s="100">
        <v>44601.0</v>
      </c>
      <c r="J458" s="101">
        <v>0.48203703703703704</v>
      </c>
      <c r="K458" s="2">
        <v>1.0</v>
      </c>
      <c r="L458" s="2" t="b">
        <v>1</v>
      </c>
      <c r="M458" s="2" t="s">
        <v>2482</v>
      </c>
      <c r="N458" s="2" t="s">
        <v>247</v>
      </c>
    </row>
    <row r="459">
      <c r="A459" s="2" t="s">
        <v>1157</v>
      </c>
      <c r="B459" s="100">
        <v>44601.0</v>
      </c>
      <c r="C459" s="101">
        <v>0.3174074074074074</v>
      </c>
      <c r="G459" s="2" t="s">
        <v>2184</v>
      </c>
      <c r="H459" s="2" t="s">
        <v>244</v>
      </c>
      <c r="I459" s="100">
        <v>44601.0</v>
      </c>
      <c r="J459" s="101">
        <v>0.48203703703703704</v>
      </c>
      <c r="K459" s="2">
        <v>1.0</v>
      </c>
      <c r="L459" s="2" t="b">
        <v>1</v>
      </c>
      <c r="M459" s="2" t="s">
        <v>2482</v>
      </c>
      <c r="N459" s="2" t="s">
        <v>247</v>
      </c>
    </row>
    <row r="460">
      <c r="A460" s="2" t="s">
        <v>1155</v>
      </c>
      <c r="B460" s="100">
        <v>44601.0</v>
      </c>
      <c r="C460" s="101">
        <v>0.31181712962962965</v>
      </c>
      <c r="G460" s="2" t="s">
        <v>2184</v>
      </c>
      <c r="H460" s="2" t="s">
        <v>244</v>
      </c>
      <c r="I460" s="100">
        <v>44601.0</v>
      </c>
      <c r="J460" s="101">
        <v>0.48203703703703704</v>
      </c>
      <c r="K460" s="2">
        <v>1.0</v>
      </c>
      <c r="L460" s="2" t="b">
        <v>1</v>
      </c>
      <c r="M460" s="2" t="s">
        <v>2482</v>
      </c>
      <c r="N460" s="2" t="s">
        <v>247</v>
      </c>
    </row>
    <row r="461">
      <c r="A461" s="2" t="s">
        <v>1153</v>
      </c>
      <c r="B461" s="100">
        <v>44601.0</v>
      </c>
      <c r="C461" s="101">
        <v>0.30150462962962965</v>
      </c>
      <c r="G461" s="2" t="s">
        <v>2184</v>
      </c>
      <c r="H461" s="2" t="s">
        <v>244</v>
      </c>
      <c r="I461" s="100">
        <v>44601.0</v>
      </c>
      <c r="J461" s="101">
        <v>0.48203703703703704</v>
      </c>
      <c r="K461" s="2">
        <v>1.0</v>
      </c>
      <c r="L461" s="2" t="b">
        <v>1</v>
      </c>
      <c r="M461" s="2" t="s">
        <v>2482</v>
      </c>
      <c r="N461" s="2" t="s">
        <v>247</v>
      </c>
    </row>
    <row r="462">
      <c r="A462" s="2" t="s">
        <v>1151</v>
      </c>
      <c r="B462" s="100">
        <v>44601.0</v>
      </c>
      <c r="C462" s="101">
        <v>0.3012037037037037</v>
      </c>
      <c r="G462" s="2" t="s">
        <v>2184</v>
      </c>
      <c r="H462" s="2" t="s">
        <v>244</v>
      </c>
      <c r="I462" s="100">
        <v>44601.0</v>
      </c>
      <c r="J462" s="101">
        <v>0.48203703703703704</v>
      </c>
      <c r="K462" s="2">
        <v>1.0</v>
      </c>
      <c r="L462" s="2" t="b">
        <v>1</v>
      </c>
      <c r="M462" s="2" t="s">
        <v>2482</v>
      </c>
      <c r="N462" s="2" t="s">
        <v>247</v>
      </c>
    </row>
    <row r="463">
      <c r="A463" s="2" t="s">
        <v>1149</v>
      </c>
      <c r="B463" s="100">
        <v>44601.0</v>
      </c>
      <c r="C463" s="101">
        <v>0.2634606481481481</v>
      </c>
      <c r="G463" s="2" t="s">
        <v>2184</v>
      </c>
      <c r="H463" s="2" t="s">
        <v>52</v>
      </c>
      <c r="I463" s="100">
        <v>44601.0</v>
      </c>
      <c r="J463" s="101">
        <v>0.48203703703703704</v>
      </c>
      <c r="K463" s="2">
        <v>1.0</v>
      </c>
      <c r="L463" s="2" t="b">
        <v>1</v>
      </c>
      <c r="N463" s="2" t="s">
        <v>247</v>
      </c>
    </row>
    <row r="464">
      <c r="A464" s="2" t="s">
        <v>1147</v>
      </c>
      <c r="B464" s="100">
        <v>44601.0</v>
      </c>
      <c r="C464" s="101">
        <v>0.26310185185185186</v>
      </c>
      <c r="G464" s="2" t="s">
        <v>2184</v>
      </c>
      <c r="H464" s="2" t="s">
        <v>244</v>
      </c>
      <c r="I464" s="100">
        <v>44601.0</v>
      </c>
      <c r="J464" s="101">
        <v>0.48202546296296295</v>
      </c>
      <c r="K464" s="2">
        <v>1.0</v>
      </c>
      <c r="L464" s="2" t="b">
        <v>1</v>
      </c>
      <c r="M464" s="2" t="s">
        <v>2482</v>
      </c>
      <c r="N464" s="2" t="s">
        <v>247</v>
      </c>
    </row>
    <row r="465">
      <c r="A465" s="2" t="s">
        <v>1145</v>
      </c>
      <c r="B465" s="100">
        <v>44599.0</v>
      </c>
      <c r="C465" s="101">
        <v>0.47069444444444447</v>
      </c>
      <c r="G465" s="2" t="s">
        <v>2184</v>
      </c>
      <c r="H465" s="2" t="s">
        <v>244</v>
      </c>
      <c r="I465" s="100">
        <v>44599.0</v>
      </c>
      <c r="J465" s="101">
        <v>0.4875462962962963</v>
      </c>
      <c r="K465" s="2">
        <v>1.0</v>
      </c>
      <c r="L465" s="2" t="b">
        <v>1</v>
      </c>
      <c r="M465" s="2" t="s">
        <v>2483</v>
      </c>
      <c r="N465" s="2" t="s">
        <v>247</v>
      </c>
    </row>
    <row r="466">
      <c r="A466" s="2" t="s">
        <v>1142</v>
      </c>
      <c r="B466" s="100">
        <v>44599.0</v>
      </c>
      <c r="C466" s="101">
        <v>0.46304398148148146</v>
      </c>
      <c r="G466" s="2" t="s">
        <v>2184</v>
      </c>
      <c r="H466" s="2" t="s">
        <v>244</v>
      </c>
      <c r="I466" s="100">
        <v>44599.0</v>
      </c>
      <c r="J466" s="101">
        <v>0.4875462962962963</v>
      </c>
      <c r="K466" s="2">
        <v>1.0</v>
      </c>
      <c r="L466" s="2" t="b">
        <v>1</v>
      </c>
      <c r="M466" s="2" t="s">
        <v>2483</v>
      </c>
      <c r="N466" s="2" t="s">
        <v>247</v>
      </c>
    </row>
    <row r="467">
      <c r="A467" s="2" t="s">
        <v>1139</v>
      </c>
      <c r="B467" s="100">
        <v>44599.0</v>
      </c>
      <c r="C467" s="101">
        <v>0.4626388888888889</v>
      </c>
      <c r="G467" s="2" t="s">
        <v>2184</v>
      </c>
      <c r="H467" s="2" t="s">
        <v>244</v>
      </c>
      <c r="I467" s="100">
        <v>44599.0</v>
      </c>
      <c r="J467" s="101">
        <v>0.4875462962962963</v>
      </c>
      <c r="K467" s="2">
        <v>1.0</v>
      </c>
      <c r="L467" s="2" t="b">
        <v>1</v>
      </c>
      <c r="M467" s="2" t="s">
        <v>2483</v>
      </c>
      <c r="N467" s="2" t="s">
        <v>247</v>
      </c>
    </row>
    <row r="468">
      <c r="A468" s="2" t="s">
        <v>1137</v>
      </c>
      <c r="B468" s="100">
        <v>44599.0</v>
      </c>
      <c r="C468" s="101">
        <v>0.34703703703703703</v>
      </c>
      <c r="G468" s="2" t="s">
        <v>2184</v>
      </c>
      <c r="H468" s="2" t="s">
        <v>244</v>
      </c>
      <c r="I468" s="100">
        <v>44599.0</v>
      </c>
      <c r="J468" s="101">
        <v>0.4875462962962963</v>
      </c>
      <c r="K468" s="2">
        <v>1.0</v>
      </c>
      <c r="L468" s="2" t="b">
        <v>1</v>
      </c>
      <c r="M468" s="2" t="s">
        <v>2483</v>
      </c>
      <c r="N468" s="2" t="s">
        <v>247</v>
      </c>
    </row>
    <row r="469">
      <c r="A469" s="2" t="s">
        <v>1135</v>
      </c>
      <c r="B469" s="100">
        <v>44599.0</v>
      </c>
      <c r="C469" s="101">
        <v>0.3376736111111111</v>
      </c>
      <c r="G469" s="2" t="s">
        <v>2184</v>
      </c>
      <c r="H469" s="2" t="s">
        <v>244</v>
      </c>
      <c r="I469" s="100">
        <v>44599.0</v>
      </c>
      <c r="J469" s="101">
        <v>0.4875462962962963</v>
      </c>
      <c r="K469" s="2">
        <v>1.0</v>
      </c>
      <c r="L469" s="2" t="b">
        <v>1</v>
      </c>
      <c r="M469" s="2" t="s">
        <v>2483</v>
      </c>
      <c r="N469" s="2" t="s">
        <v>247</v>
      </c>
    </row>
    <row r="470">
      <c r="A470" s="2" t="s">
        <v>1133</v>
      </c>
      <c r="B470" s="100">
        <v>44599.0</v>
      </c>
      <c r="C470" s="101">
        <v>0.33288194444444447</v>
      </c>
      <c r="G470" s="2" t="s">
        <v>2184</v>
      </c>
      <c r="H470" s="2" t="s">
        <v>52</v>
      </c>
      <c r="I470" s="100">
        <v>44599.0</v>
      </c>
      <c r="J470" s="101">
        <v>0.4875347222222222</v>
      </c>
      <c r="K470" s="2">
        <v>1.0</v>
      </c>
      <c r="L470" s="2" t="b">
        <v>1</v>
      </c>
      <c r="N470" s="2" t="s">
        <v>247</v>
      </c>
    </row>
    <row r="471">
      <c r="A471" s="2" t="s">
        <v>1131</v>
      </c>
      <c r="B471" s="100">
        <v>44599.0</v>
      </c>
      <c r="C471" s="101">
        <v>0.32459490740740743</v>
      </c>
      <c r="G471" s="2" t="s">
        <v>2184</v>
      </c>
      <c r="H471" s="2" t="s">
        <v>244</v>
      </c>
      <c r="I471" s="100">
        <v>44599.0</v>
      </c>
      <c r="J471" s="101">
        <v>0.4875462962962963</v>
      </c>
      <c r="K471" s="2">
        <v>1.0</v>
      </c>
      <c r="L471" s="2" t="b">
        <v>1</v>
      </c>
      <c r="M471" s="2" t="s">
        <v>2483</v>
      </c>
      <c r="N471" s="2" t="s">
        <v>247</v>
      </c>
    </row>
    <row r="472">
      <c r="A472" s="2" t="s">
        <v>1129</v>
      </c>
      <c r="B472" s="100">
        <v>44599.0</v>
      </c>
      <c r="C472" s="101">
        <v>0.31884259259259257</v>
      </c>
      <c r="G472" s="2" t="s">
        <v>2184</v>
      </c>
      <c r="H472" s="2" t="s">
        <v>244</v>
      </c>
      <c r="I472" s="100">
        <v>44599.0</v>
      </c>
      <c r="J472" s="101">
        <v>0.4875462962962963</v>
      </c>
      <c r="K472" s="2">
        <v>1.0</v>
      </c>
      <c r="L472" s="2" t="b">
        <v>1</v>
      </c>
      <c r="M472" s="2" t="s">
        <v>2483</v>
      </c>
      <c r="N472" s="2" t="s">
        <v>247</v>
      </c>
    </row>
    <row r="473">
      <c r="A473" s="2" t="s">
        <v>1127</v>
      </c>
      <c r="B473" s="100">
        <v>44599.0</v>
      </c>
      <c r="C473" s="101">
        <v>0.3181365740740741</v>
      </c>
      <c r="G473" s="2" t="s">
        <v>2184</v>
      </c>
      <c r="H473" s="2" t="s">
        <v>244</v>
      </c>
      <c r="I473" s="100">
        <v>44599.0</v>
      </c>
      <c r="J473" s="101">
        <v>0.4875462962962963</v>
      </c>
      <c r="K473" s="2">
        <v>1.0</v>
      </c>
      <c r="L473" s="2" t="b">
        <v>1</v>
      </c>
      <c r="M473" s="2" t="s">
        <v>2483</v>
      </c>
      <c r="N473" s="2" t="s">
        <v>247</v>
      </c>
    </row>
    <row r="474">
      <c r="A474" s="2" t="s">
        <v>1125</v>
      </c>
      <c r="B474" s="100">
        <v>44599.0</v>
      </c>
      <c r="C474" s="101">
        <v>0.3065393518518518</v>
      </c>
      <c r="G474" s="2" t="s">
        <v>2184</v>
      </c>
      <c r="H474" s="2" t="s">
        <v>244</v>
      </c>
      <c r="I474" s="100">
        <v>44599.0</v>
      </c>
      <c r="J474" s="101">
        <v>0.4875347222222222</v>
      </c>
      <c r="K474" s="2">
        <v>1.0</v>
      </c>
      <c r="L474" s="2" t="b">
        <v>1</v>
      </c>
      <c r="M474" s="2" t="s">
        <v>2483</v>
      </c>
      <c r="N474" s="2" t="s">
        <v>247</v>
      </c>
    </row>
    <row r="475">
      <c r="A475" s="2" t="s">
        <v>1123</v>
      </c>
      <c r="B475" s="100">
        <v>44599.0</v>
      </c>
      <c r="C475" s="101">
        <v>0.30591435185185184</v>
      </c>
      <c r="G475" s="2" t="s">
        <v>2184</v>
      </c>
      <c r="H475" s="2" t="s">
        <v>244</v>
      </c>
      <c r="I475" s="100">
        <v>44599.0</v>
      </c>
      <c r="J475" s="101">
        <v>0.4875347222222222</v>
      </c>
      <c r="K475" s="2">
        <v>1.0</v>
      </c>
      <c r="L475" s="2" t="b">
        <v>1</v>
      </c>
      <c r="M475" s="2" t="s">
        <v>2483</v>
      </c>
      <c r="N475" s="2" t="s">
        <v>247</v>
      </c>
    </row>
    <row r="476">
      <c r="A476" s="2" t="s">
        <v>1121</v>
      </c>
      <c r="B476" s="100">
        <v>44599.0</v>
      </c>
      <c r="C476" s="101">
        <v>0.3005902777777778</v>
      </c>
      <c r="G476" s="2" t="s">
        <v>2184</v>
      </c>
      <c r="H476" s="2" t="s">
        <v>244</v>
      </c>
      <c r="I476" s="100">
        <v>44599.0</v>
      </c>
      <c r="J476" s="101">
        <v>0.4875347222222222</v>
      </c>
      <c r="K476" s="2">
        <v>1.0</v>
      </c>
      <c r="L476" s="2" t="b">
        <v>1</v>
      </c>
      <c r="M476" s="2" t="s">
        <v>2483</v>
      </c>
      <c r="N476" s="2" t="s">
        <v>247</v>
      </c>
    </row>
    <row r="477">
      <c r="A477" s="2" t="s">
        <v>1119</v>
      </c>
      <c r="B477" s="100">
        <v>44599.0</v>
      </c>
      <c r="C477" s="101">
        <v>0.2763541666666667</v>
      </c>
      <c r="G477" s="2" t="s">
        <v>2184</v>
      </c>
      <c r="H477" s="2" t="s">
        <v>244</v>
      </c>
      <c r="I477" s="100">
        <v>44599.0</v>
      </c>
      <c r="J477" s="101">
        <v>0.4875347222222222</v>
      </c>
      <c r="K477" s="2">
        <v>1.0</v>
      </c>
      <c r="L477" s="2" t="b">
        <v>1</v>
      </c>
      <c r="M477" s="2" t="s">
        <v>2483</v>
      </c>
      <c r="N477" s="2" t="s">
        <v>247</v>
      </c>
    </row>
    <row r="478">
      <c r="A478" s="2" t="s">
        <v>1117</v>
      </c>
      <c r="B478" s="100">
        <v>44596.0</v>
      </c>
      <c r="C478" s="101">
        <v>0.3524189814814815</v>
      </c>
      <c r="G478" s="2" t="s">
        <v>2184</v>
      </c>
      <c r="H478" s="2" t="s">
        <v>244</v>
      </c>
      <c r="I478" s="100">
        <v>44596.0</v>
      </c>
      <c r="J478" s="101">
        <v>0.48193287037037036</v>
      </c>
      <c r="K478" s="2">
        <v>1.0</v>
      </c>
      <c r="L478" s="2" t="b">
        <v>1</v>
      </c>
      <c r="M478" s="2" t="s">
        <v>2484</v>
      </c>
      <c r="N478" s="2" t="s">
        <v>247</v>
      </c>
    </row>
    <row r="479">
      <c r="A479" s="2" t="s">
        <v>1115</v>
      </c>
      <c r="B479" s="100">
        <v>44596.0</v>
      </c>
      <c r="C479" s="101">
        <v>0.35225694444444444</v>
      </c>
      <c r="G479" s="2" t="s">
        <v>2184</v>
      </c>
      <c r="H479" s="2" t="s">
        <v>244</v>
      </c>
      <c r="I479" s="100">
        <v>44596.0</v>
      </c>
      <c r="J479" s="101">
        <v>0.48193287037037036</v>
      </c>
      <c r="K479" s="2">
        <v>1.0</v>
      </c>
      <c r="L479" s="2" t="b">
        <v>1</v>
      </c>
      <c r="M479" s="2" t="s">
        <v>2484</v>
      </c>
      <c r="N479" s="2" t="s">
        <v>247</v>
      </c>
    </row>
    <row r="480">
      <c r="A480" s="2" t="s">
        <v>1112</v>
      </c>
      <c r="B480" s="100">
        <v>44596.0</v>
      </c>
      <c r="C480" s="101">
        <v>0.351875</v>
      </c>
      <c r="G480" s="2" t="s">
        <v>2184</v>
      </c>
      <c r="H480" s="2" t="s">
        <v>244</v>
      </c>
      <c r="I480" s="100">
        <v>44596.0</v>
      </c>
      <c r="J480" s="101">
        <v>0.48193287037037036</v>
      </c>
      <c r="K480" s="2">
        <v>1.0</v>
      </c>
      <c r="L480" s="2" t="b">
        <v>1</v>
      </c>
      <c r="M480" s="2" t="s">
        <v>2484</v>
      </c>
      <c r="N480" s="2" t="s">
        <v>247</v>
      </c>
    </row>
    <row r="481">
      <c r="A481" s="2" t="s">
        <v>1110</v>
      </c>
      <c r="B481" s="100">
        <v>44596.0</v>
      </c>
      <c r="C481" s="101">
        <v>0.3431712962962963</v>
      </c>
      <c r="G481" s="2" t="s">
        <v>2184</v>
      </c>
      <c r="H481" s="2" t="s">
        <v>244</v>
      </c>
      <c r="I481" s="100">
        <v>44596.0</v>
      </c>
      <c r="J481" s="101">
        <v>0.48193287037037036</v>
      </c>
      <c r="K481" s="2">
        <v>1.0</v>
      </c>
      <c r="L481" s="2" t="b">
        <v>1</v>
      </c>
      <c r="M481" s="2" t="s">
        <v>2484</v>
      </c>
      <c r="N481" s="2" t="s">
        <v>247</v>
      </c>
    </row>
    <row r="482">
      <c r="A482" s="2" t="s">
        <v>1108</v>
      </c>
      <c r="B482" s="100">
        <v>44596.0</v>
      </c>
      <c r="C482" s="101">
        <v>0.30917824074074074</v>
      </c>
      <c r="G482" s="2" t="s">
        <v>2184</v>
      </c>
      <c r="H482" s="2" t="s">
        <v>244</v>
      </c>
      <c r="I482" s="100">
        <v>44596.0</v>
      </c>
      <c r="J482" s="101">
        <v>0.48193287037037036</v>
      </c>
      <c r="K482" s="2">
        <v>1.0</v>
      </c>
      <c r="L482" s="2" t="b">
        <v>1</v>
      </c>
      <c r="M482" s="2" t="s">
        <v>2484</v>
      </c>
      <c r="N482" s="2" t="s">
        <v>247</v>
      </c>
    </row>
    <row r="483">
      <c r="A483" s="2" t="s">
        <v>1106</v>
      </c>
      <c r="B483" s="100">
        <v>44594.0</v>
      </c>
      <c r="C483" s="101">
        <v>0.37555555555555553</v>
      </c>
      <c r="G483" s="2" t="s">
        <v>2184</v>
      </c>
      <c r="H483" s="2" t="s">
        <v>244</v>
      </c>
      <c r="I483" s="100">
        <v>44596.0</v>
      </c>
      <c r="J483" s="101">
        <v>0.48194444444444445</v>
      </c>
      <c r="K483" s="2">
        <v>1.0</v>
      </c>
      <c r="L483" s="2" t="b">
        <v>1</v>
      </c>
      <c r="M483" s="2" t="s">
        <v>2485</v>
      </c>
      <c r="N483" s="2" t="s">
        <v>247</v>
      </c>
    </row>
    <row r="484">
      <c r="A484" s="2" t="s">
        <v>1104</v>
      </c>
      <c r="B484" s="100">
        <v>44594.0</v>
      </c>
      <c r="C484" s="101">
        <v>0.3751157407407407</v>
      </c>
      <c r="G484" s="2" t="s">
        <v>2184</v>
      </c>
      <c r="H484" s="2" t="s">
        <v>244</v>
      </c>
      <c r="I484" s="100">
        <v>44596.0</v>
      </c>
      <c r="J484" s="101">
        <v>0.48194444444444445</v>
      </c>
      <c r="K484" s="2">
        <v>1.0</v>
      </c>
      <c r="L484" s="2" t="b">
        <v>1</v>
      </c>
      <c r="M484" s="2" t="s">
        <v>2485</v>
      </c>
      <c r="N484" s="2" t="s">
        <v>247</v>
      </c>
    </row>
    <row r="485">
      <c r="A485" s="2" t="s">
        <v>1102</v>
      </c>
      <c r="B485" s="100">
        <v>44594.0</v>
      </c>
      <c r="C485" s="101">
        <v>0.3539351851851852</v>
      </c>
      <c r="G485" s="2" t="s">
        <v>2184</v>
      </c>
      <c r="H485" s="2" t="s">
        <v>244</v>
      </c>
      <c r="I485" s="100">
        <v>44596.0</v>
      </c>
      <c r="J485" s="101">
        <v>0.48194444444444445</v>
      </c>
      <c r="K485" s="2">
        <v>1.0</v>
      </c>
      <c r="L485" s="2" t="b">
        <v>1</v>
      </c>
      <c r="M485" s="2" t="s">
        <v>2485</v>
      </c>
      <c r="N485" s="2" t="s">
        <v>247</v>
      </c>
    </row>
    <row r="486">
      <c r="A486" s="2" t="s">
        <v>1098</v>
      </c>
      <c r="B486" s="100">
        <v>44594.0</v>
      </c>
      <c r="C486" s="101">
        <v>0.34739583333333335</v>
      </c>
      <c r="G486" s="2" t="s">
        <v>2184</v>
      </c>
      <c r="H486" s="2" t="s">
        <v>244</v>
      </c>
      <c r="I486" s="100">
        <v>44596.0</v>
      </c>
      <c r="J486" s="101">
        <v>0.48194444444444445</v>
      </c>
      <c r="K486" s="2">
        <v>1.0</v>
      </c>
      <c r="L486" s="2" t="b">
        <v>1</v>
      </c>
      <c r="M486" s="2" t="s">
        <v>2485</v>
      </c>
      <c r="N486" s="2" t="s">
        <v>247</v>
      </c>
    </row>
    <row r="487">
      <c r="A487" s="2" t="s">
        <v>1095</v>
      </c>
      <c r="B487" s="100">
        <v>44594.0</v>
      </c>
      <c r="C487" s="101">
        <v>0.34423611111111113</v>
      </c>
      <c r="G487" s="2" t="s">
        <v>2184</v>
      </c>
      <c r="H487" s="2" t="s">
        <v>244</v>
      </c>
      <c r="I487" s="100">
        <v>44596.0</v>
      </c>
      <c r="J487" s="101">
        <v>0.48194444444444445</v>
      </c>
      <c r="K487" s="2">
        <v>1.0</v>
      </c>
      <c r="L487" s="2" t="b">
        <v>1</v>
      </c>
      <c r="M487" s="2" t="s">
        <v>2485</v>
      </c>
      <c r="N487" s="2" t="s">
        <v>247</v>
      </c>
    </row>
    <row r="488">
      <c r="A488" s="2" t="s">
        <v>1093</v>
      </c>
      <c r="B488" s="100">
        <v>44594.0</v>
      </c>
      <c r="C488" s="101">
        <v>0.34377314814814813</v>
      </c>
      <c r="G488" s="2" t="s">
        <v>2184</v>
      </c>
      <c r="H488" s="2" t="s">
        <v>244</v>
      </c>
      <c r="I488" s="100">
        <v>44596.0</v>
      </c>
      <c r="J488" s="101">
        <v>0.48194444444444445</v>
      </c>
      <c r="K488" s="2">
        <v>1.0</v>
      </c>
      <c r="L488" s="2" t="b">
        <v>1</v>
      </c>
      <c r="M488" s="2" t="s">
        <v>2485</v>
      </c>
      <c r="N488" s="2" t="s">
        <v>247</v>
      </c>
    </row>
    <row r="489">
      <c r="A489" s="2" t="s">
        <v>1091</v>
      </c>
      <c r="B489" s="100">
        <v>44594.0</v>
      </c>
      <c r="C489" s="101">
        <v>0.33846064814814814</v>
      </c>
      <c r="G489" s="2" t="s">
        <v>2184</v>
      </c>
      <c r="H489" s="2" t="s">
        <v>244</v>
      </c>
      <c r="I489" s="100">
        <v>44596.0</v>
      </c>
      <c r="J489" s="101">
        <v>0.48194444444444445</v>
      </c>
      <c r="K489" s="2">
        <v>1.0</v>
      </c>
      <c r="L489" s="2" t="b">
        <v>1</v>
      </c>
      <c r="M489" s="2" t="s">
        <v>2485</v>
      </c>
      <c r="N489" s="2" t="s">
        <v>247</v>
      </c>
    </row>
    <row r="490">
      <c r="A490" s="2" t="s">
        <v>1089</v>
      </c>
      <c r="B490" s="100">
        <v>44594.0</v>
      </c>
      <c r="C490" s="101">
        <v>0.3348263888888889</v>
      </c>
      <c r="G490" s="2" t="s">
        <v>2184</v>
      </c>
      <c r="H490" s="2" t="s">
        <v>244</v>
      </c>
      <c r="I490" s="100">
        <v>44596.0</v>
      </c>
      <c r="J490" s="101">
        <v>0.48193287037037036</v>
      </c>
      <c r="K490" s="2">
        <v>1.0</v>
      </c>
      <c r="L490" s="2" t="b">
        <v>1</v>
      </c>
      <c r="M490" s="2" t="s">
        <v>2485</v>
      </c>
      <c r="N490" s="2" t="s">
        <v>247</v>
      </c>
    </row>
    <row r="491">
      <c r="A491" s="2" t="s">
        <v>1087</v>
      </c>
      <c r="B491" s="100">
        <v>44594.0</v>
      </c>
      <c r="C491" s="101">
        <v>0.3244675925925926</v>
      </c>
      <c r="G491" s="2" t="s">
        <v>2184</v>
      </c>
      <c r="H491" s="2" t="s">
        <v>52</v>
      </c>
      <c r="I491" s="100">
        <v>44594.0</v>
      </c>
      <c r="J491" s="101">
        <v>0.48358796296296297</v>
      </c>
      <c r="K491" s="2">
        <v>1.0</v>
      </c>
      <c r="L491" s="2" t="b">
        <v>1</v>
      </c>
      <c r="N491" s="2" t="s">
        <v>247</v>
      </c>
    </row>
    <row r="492">
      <c r="A492" s="2" t="s">
        <v>1085</v>
      </c>
      <c r="B492" s="100">
        <v>44592.0</v>
      </c>
      <c r="C492" s="101">
        <v>0.42983796296296295</v>
      </c>
      <c r="G492" s="2" t="s">
        <v>2184</v>
      </c>
      <c r="H492" s="2" t="s">
        <v>244</v>
      </c>
      <c r="I492" s="100">
        <v>44592.0</v>
      </c>
      <c r="J492" s="101">
        <v>0.46024305555555556</v>
      </c>
      <c r="K492" s="2">
        <v>1.0</v>
      </c>
      <c r="L492" s="2" t="b">
        <v>1</v>
      </c>
      <c r="M492" s="2" t="s">
        <v>2486</v>
      </c>
      <c r="N492" s="2" t="s">
        <v>247</v>
      </c>
    </row>
    <row r="493">
      <c r="A493" s="2" t="s">
        <v>1083</v>
      </c>
      <c r="B493" s="100">
        <v>44592.0</v>
      </c>
      <c r="C493" s="101">
        <v>0.3622800925925926</v>
      </c>
      <c r="G493" s="2" t="s">
        <v>2184</v>
      </c>
      <c r="H493" s="2" t="s">
        <v>244</v>
      </c>
      <c r="I493" s="100">
        <v>44592.0</v>
      </c>
      <c r="J493" s="101">
        <v>0.46024305555555556</v>
      </c>
      <c r="K493" s="2">
        <v>1.0</v>
      </c>
      <c r="L493" s="2" t="b">
        <v>1</v>
      </c>
      <c r="M493" s="2" t="s">
        <v>2486</v>
      </c>
      <c r="N493" s="2" t="s">
        <v>247</v>
      </c>
    </row>
    <row r="494">
      <c r="A494" s="2" t="s">
        <v>1081</v>
      </c>
      <c r="B494" s="100">
        <v>44592.0</v>
      </c>
      <c r="C494" s="101">
        <v>0.34346064814814814</v>
      </c>
      <c r="G494" s="2" t="s">
        <v>2184</v>
      </c>
      <c r="H494" s="2" t="s">
        <v>244</v>
      </c>
      <c r="I494" s="100">
        <v>44592.0</v>
      </c>
      <c r="J494" s="101">
        <v>0.46024305555555556</v>
      </c>
      <c r="K494" s="2">
        <v>1.0</v>
      </c>
      <c r="L494" s="2" t="b">
        <v>1</v>
      </c>
      <c r="M494" s="2" t="s">
        <v>2486</v>
      </c>
      <c r="N494" s="2" t="s">
        <v>247</v>
      </c>
    </row>
    <row r="495">
      <c r="A495" s="2" t="s">
        <v>1079</v>
      </c>
      <c r="B495" s="100">
        <v>44592.0</v>
      </c>
      <c r="C495" s="101">
        <v>0.33368055555555554</v>
      </c>
      <c r="G495" s="2" t="s">
        <v>2184</v>
      </c>
      <c r="H495" s="2" t="s">
        <v>244</v>
      </c>
      <c r="I495" s="100">
        <v>44592.0</v>
      </c>
      <c r="J495" s="101">
        <v>0.46024305555555556</v>
      </c>
      <c r="K495" s="2">
        <v>1.0</v>
      </c>
      <c r="L495" s="2" t="b">
        <v>1</v>
      </c>
      <c r="M495" s="2" t="s">
        <v>2486</v>
      </c>
      <c r="N495" s="2" t="s">
        <v>247</v>
      </c>
    </row>
    <row r="496">
      <c r="A496" s="2" t="s">
        <v>1077</v>
      </c>
      <c r="B496" s="100">
        <v>44592.0</v>
      </c>
      <c r="C496" s="101">
        <v>0.33358796296296295</v>
      </c>
      <c r="G496" s="2" t="s">
        <v>2184</v>
      </c>
      <c r="H496" s="2" t="s">
        <v>244</v>
      </c>
      <c r="I496" s="100">
        <v>44592.0</v>
      </c>
      <c r="J496" s="101">
        <v>0.46024305555555556</v>
      </c>
      <c r="K496" s="2">
        <v>1.0</v>
      </c>
      <c r="L496" s="2" t="b">
        <v>1</v>
      </c>
      <c r="M496" s="2" t="s">
        <v>2486</v>
      </c>
      <c r="N496" s="2" t="s">
        <v>247</v>
      </c>
    </row>
    <row r="497">
      <c r="A497" s="2" t="s">
        <v>1075</v>
      </c>
      <c r="B497" s="100">
        <v>44592.0</v>
      </c>
      <c r="C497" s="101">
        <v>0.3297337962962963</v>
      </c>
      <c r="G497" s="2" t="s">
        <v>2184</v>
      </c>
      <c r="H497" s="2" t="s">
        <v>244</v>
      </c>
      <c r="I497" s="100">
        <v>44592.0</v>
      </c>
      <c r="J497" s="101">
        <v>0.46024305555555556</v>
      </c>
      <c r="K497" s="2">
        <v>1.0</v>
      </c>
      <c r="L497" s="2" t="b">
        <v>1</v>
      </c>
      <c r="M497" s="2" t="s">
        <v>2486</v>
      </c>
      <c r="N497" s="2" t="s">
        <v>247</v>
      </c>
    </row>
    <row r="498">
      <c r="A498" s="2" t="s">
        <v>1073</v>
      </c>
      <c r="B498" s="100">
        <v>44592.0</v>
      </c>
      <c r="C498" s="101">
        <v>0.32744212962962965</v>
      </c>
      <c r="G498" s="2" t="s">
        <v>2184</v>
      </c>
      <c r="H498" s="2" t="s">
        <v>244</v>
      </c>
      <c r="I498" s="100">
        <v>44592.0</v>
      </c>
      <c r="J498" s="101">
        <v>0.46024305555555556</v>
      </c>
      <c r="K498" s="2">
        <v>1.0</v>
      </c>
      <c r="L498" s="2" t="b">
        <v>1</v>
      </c>
      <c r="M498" s="2" t="s">
        <v>2486</v>
      </c>
      <c r="N498" s="2" t="s">
        <v>247</v>
      </c>
    </row>
    <row r="499">
      <c r="A499" s="2" t="s">
        <v>1071</v>
      </c>
      <c r="B499" s="100">
        <v>44592.0</v>
      </c>
      <c r="C499" s="101">
        <v>0.3271759259259259</v>
      </c>
      <c r="G499" s="2" t="s">
        <v>2184</v>
      </c>
      <c r="H499" s="2" t="s">
        <v>244</v>
      </c>
      <c r="I499" s="100">
        <v>44592.0</v>
      </c>
      <c r="J499" s="101">
        <v>0.46024305555555556</v>
      </c>
      <c r="K499" s="2">
        <v>1.0</v>
      </c>
      <c r="L499" s="2" t="b">
        <v>1</v>
      </c>
      <c r="M499" s="2" t="s">
        <v>2486</v>
      </c>
      <c r="N499" s="2" t="s">
        <v>247</v>
      </c>
    </row>
    <row r="500">
      <c r="A500" s="2" t="s">
        <v>1069</v>
      </c>
      <c r="B500" s="100">
        <v>44592.0</v>
      </c>
      <c r="C500" s="101">
        <v>0.3260416666666667</v>
      </c>
      <c r="G500" s="2" t="s">
        <v>2184</v>
      </c>
      <c r="H500" s="2" t="s">
        <v>244</v>
      </c>
      <c r="I500" s="100">
        <v>44592.0</v>
      </c>
      <c r="J500" s="101">
        <v>0.46024305555555556</v>
      </c>
      <c r="K500" s="2">
        <v>1.0</v>
      </c>
      <c r="L500" s="2" t="b">
        <v>1</v>
      </c>
      <c r="M500" s="2" t="s">
        <v>2486</v>
      </c>
      <c r="N500" s="2" t="s">
        <v>247</v>
      </c>
    </row>
    <row r="501">
      <c r="A501" s="2" t="s">
        <v>1067</v>
      </c>
      <c r="B501" s="100">
        <v>44592.0</v>
      </c>
      <c r="C501" s="101">
        <v>0.32427083333333334</v>
      </c>
      <c r="G501" s="2" t="s">
        <v>2184</v>
      </c>
      <c r="H501" s="2" t="s">
        <v>244</v>
      </c>
      <c r="I501" s="100">
        <v>44592.0</v>
      </c>
      <c r="J501" s="101">
        <v>0.46023148148148146</v>
      </c>
      <c r="K501" s="2">
        <v>1.0</v>
      </c>
      <c r="L501" s="2" t="b">
        <v>1</v>
      </c>
      <c r="M501" s="2" t="s">
        <v>2486</v>
      </c>
      <c r="N501" s="2" t="s">
        <v>247</v>
      </c>
    </row>
    <row r="502">
      <c r="A502" s="2" t="s">
        <v>1065</v>
      </c>
      <c r="B502" s="100">
        <v>44589.0</v>
      </c>
      <c r="C502" s="101">
        <v>0.3656828703703704</v>
      </c>
      <c r="G502" s="2" t="s">
        <v>2184</v>
      </c>
      <c r="H502" s="2" t="s">
        <v>244</v>
      </c>
      <c r="I502" s="100">
        <v>44589.0</v>
      </c>
      <c r="J502" s="101">
        <v>0.48391203703703706</v>
      </c>
      <c r="K502" s="2">
        <v>1.0</v>
      </c>
      <c r="L502" s="2" t="b">
        <v>1</v>
      </c>
      <c r="M502" s="2" t="s">
        <v>2487</v>
      </c>
      <c r="N502" s="2" t="s">
        <v>247</v>
      </c>
    </row>
    <row r="503">
      <c r="A503" s="2" t="s">
        <v>1063</v>
      </c>
      <c r="B503" s="100">
        <v>44589.0</v>
      </c>
      <c r="C503" s="101">
        <v>0.3478819444444444</v>
      </c>
      <c r="G503" s="2" t="s">
        <v>2184</v>
      </c>
      <c r="H503" s="2" t="s">
        <v>244</v>
      </c>
      <c r="I503" s="100">
        <v>44589.0</v>
      </c>
      <c r="J503" s="101">
        <v>0.48390046296296296</v>
      </c>
      <c r="K503" s="2">
        <v>1.0</v>
      </c>
      <c r="L503" s="2" t="b">
        <v>1</v>
      </c>
      <c r="M503" s="2" t="s">
        <v>2487</v>
      </c>
      <c r="N503" s="2" t="s">
        <v>247</v>
      </c>
    </row>
    <row r="504">
      <c r="A504" s="2" t="s">
        <v>1061</v>
      </c>
      <c r="B504" s="100">
        <v>44589.0</v>
      </c>
      <c r="C504" s="101">
        <v>0.3442013888888889</v>
      </c>
      <c r="G504" s="2" t="s">
        <v>2184</v>
      </c>
      <c r="H504" s="2" t="s">
        <v>244</v>
      </c>
      <c r="I504" s="100">
        <v>44589.0</v>
      </c>
      <c r="J504" s="101">
        <v>0.48390046296296296</v>
      </c>
      <c r="K504" s="2">
        <v>1.0</v>
      </c>
      <c r="L504" s="2" t="b">
        <v>1</v>
      </c>
      <c r="M504" s="2" t="s">
        <v>2487</v>
      </c>
      <c r="N504" s="2" t="s">
        <v>247</v>
      </c>
    </row>
    <row r="505">
      <c r="A505" s="2" t="s">
        <v>1059</v>
      </c>
      <c r="B505" s="100">
        <v>44589.0</v>
      </c>
      <c r="C505" s="101">
        <v>0.33208333333333334</v>
      </c>
      <c r="G505" s="2" t="s">
        <v>2184</v>
      </c>
      <c r="H505" s="2" t="s">
        <v>244</v>
      </c>
      <c r="I505" s="100">
        <v>44589.0</v>
      </c>
      <c r="J505" s="101">
        <v>0.48390046296296296</v>
      </c>
      <c r="K505" s="2">
        <v>1.0</v>
      </c>
      <c r="L505" s="2" t="b">
        <v>1</v>
      </c>
      <c r="M505" s="2" t="s">
        <v>2487</v>
      </c>
      <c r="N505" s="2" t="s">
        <v>247</v>
      </c>
    </row>
    <row r="506">
      <c r="A506" s="2" t="s">
        <v>1057</v>
      </c>
      <c r="B506" s="100">
        <v>44589.0</v>
      </c>
      <c r="C506" s="101">
        <v>0.33152777777777775</v>
      </c>
      <c r="G506" s="2" t="s">
        <v>2184</v>
      </c>
      <c r="H506" s="2" t="s">
        <v>244</v>
      </c>
      <c r="I506" s="100">
        <v>44589.0</v>
      </c>
      <c r="J506" s="101">
        <v>0.48390046296296296</v>
      </c>
      <c r="K506" s="2">
        <v>1.0</v>
      </c>
      <c r="L506" s="2" t="b">
        <v>1</v>
      </c>
      <c r="M506" s="2" t="s">
        <v>2487</v>
      </c>
      <c r="N506" s="2" t="s">
        <v>247</v>
      </c>
    </row>
    <row r="507">
      <c r="A507" s="2" t="s">
        <v>1055</v>
      </c>
      <c r="B507" s="100">
        <v>44589.0</v>
      </c>
      <c r="C507" s="101">
        <v>0.33037037037037037</v>
      </c>
      <c r="G507" s="2" t="s">
        <v>2184</v>
      </c>
      <c r="H507" s="2" t="s">
        <v>244</v>
      </c>
      <c r="I507" s="100">
        <v>44589.0</v>
      </c>
      <c r="J507" s="101">
        <v>0.48390046296296296</v>
      </c>
      <c r="K507" s="2">
        <v>1.0</v>
      </c>
      <c r="L507" s="2" t="b">
        <v>1</v>
      </c>
      <c r="M507" s="2" t="s">
        <v>2487</v>
      </c>
      <c r="N507" s="2" t="s">
        <v>247</v>
      </c>
    </row>
    <row r="508">
      <c r="A508" s="2" t="s">
        <v>1053</v>
      </c>
      <c r="B508" s="100">
        <v>44589.0</v>
      </c>
      <c r="C508" s="101">
        <v>0.31453703703703706</v>
      </c>
      <c r="G508" s="2" t="s">
        <v>2184</v>
      </c>
      <c r="H508" s="2" t="s">
        <v>244</v>
      </c>
      <c r="I508" s="100">
        <v>44589.0</v>
      </c>
      <c r="J508" s="101">
        <v>0.48390046296296296</v>
      </c>
      <c r="K508" s="2">
        <v>1.0</v>
      </c>
      <c r="L508" s="2" t="b">
        <v>1</v>
      </c>
      <c r="M508" s="2" t="s">
        <v>2487</v>
      </c>
      <c r="N508" s="2" t="s">
        <v>247</v>
      </c>
    </row>
    <row r="509">
      <c r="A509" s="2" t="s">
        <v>1051</v>
      </c>
      <c r="B509" s="100">
        <v>44587.0</v>
      </c>
      <c r="C509" s="101">
        <v>0.38894675925925926</v>
      </c>
      <c r="G509" s="2" t="s">
        <v>2184</v>
      </c>
      <c r="H509" s="2" t="s">
        <v>244</v>
      </c>
      <c r="I509" s="100">
        <v>44587.0</v>
      </c>
      <c r="J509" s="101">
        <v>0.5005671296296297</v>
      </c>
      <c r="K509" s="2">
        <v>1.0</v>
      </c>
      <c r="L509" s="2" t="b">
        <v>1</v>
      </c>
      <c r="M509" s="2" t="s">
        <v>2488</v>
      </c>
      <c r="N509" s="2" t="s">
        <v>247</v>
      </c>
    </row>
    <row r="510">
      <c r="A510" s="2" t="s">
        <v>1048</v>
      </c>
      <c r="B510" s="100">
        <v>44587.0</v>
      </c>
      <c r="C510" s="101">
        <v>0.3566898148148148</v>
      </c>
      <c r="G510" s="2" t="s">
        <v>2184</v>
      </c>
      <c r="H510" s="2" t="s">
        <v>244</v>
      </c>
      <c r="I510" s="100">
        <v>44587.0</v>
      </c>
      <c r="J510" s="101">
        <v>0.5005671296296297</v>
      </c>
      <c r="K510" s="2">
        <v>1.0</v>
      </c>
      <c r="L510" s="2" t="b">
        <v>1</v>
      </c>
      <c r="M510" s="2" t="s">
        <v>2488</v>
      </c>
      <c r="N510" s="2" t="s">
        <v>247</v>
      </c>
    </row>
    <row r="511">
      <c r="A511" s="2" t="s">
        <v>1046</v>
      </c>
      <c r="B511" s="100">
        <v>44587.0</v>
      </c>
      <c r="C511" s="101">
        <v>0.3502314814814815</v>
      </c>
      <c r="G511" s="2" t="s">
        <v>2184</v>
      </c>
      <c r="H511" s="2" t="s">
        <v>244</v>
      </c>
      <c r="I511" s="100">
        <v>44587.0</v>
      </c>
      <c r="J511" s="101">
        <v>0.5005555555555555</v>
      </c>
      <c r="K511" s="2">
        <v>1.0</v>
      </c>
      <c r="L511" s="2" t="b">
        <v>1</v>
      </c>
      <c r="M511" s="2" t="s">
        <v>2488</v>
      </c>
      <c r="N511" s="2" t="s">
        <v>247</v>
      </c>
    </row>
    <row r="512">
      <c r="A512" s="2" t="s">
        <v>1044</v>
      </c>
      <c r="B512" s="100">
        <v>44587.0</v>
      </c>
      <c r="C512" s="101">
        <v>0.3372222222222222</v>
      </c>
      <c r="G512" s="2" t="s">
        <v>2184</v>
      </c>
      <c r="H512" s="2" t="s">
        <v>244</v>
      </c>
      <c r="I512" s="100">
        <v>44587.0</v>
      </c>
      <c r="J512" s="101">
        <v>0.5005555555555555</v>
      </c>
      <c r="K512" s="2">
        <v>1.0</v>
      </c>
      <c r="L512" s="2" t="b">
        <v>1</v>
      </c>
      <c r="M512" s="2" t="s">
        <v>2488</v>
      </c>
      <c r="N512" s="2" t="s">
        <v>247</v>
      </c>
    </row>
    <row r="513">
      <c r="A513" s="2" t="s">
        <v>1042</v>
      </c>
      <c r="B513" s="100">
        <v>44587.0</v>
      </c>
      <c r="C513" s="101">
        <v>0.3365972222222222</v>
      </c>
      <c r="G513" s="2" t="s">
        <v>2184</v>
      </c>
      <c r="H513" s="2" t="s">
        <v>244</v>
      </c>
      <c r="I513" s="100">
        <v>44587.0</v>
      </c>
      <c r="J513" s="101">
        <v>0.5005555555555555</v>
      </c>
      <c r="K513" s="2">
        <v>1.0</v>
      </c>
      <c r="L513" s="2" t="b">
        <v>1</v>
      </c>
      <c r="M513" s="2" t="s">
        <v>2488</v>
      </c>
      <c r="N513" s="2" t="s">
        <v>247</v>
      </c>
    </row>
    <row r="514">
      <c r="A514" s="2" t="s">
        <v>1039</v>
      </c>
      <c r="B514" s="100">
        <v>44587.0</v>
      </c>
      <c r="C514" s="101">
        <v>0.33185185185185184</v>
      </c>
      <c r="G514" s="2" t="s">
        <v>2184</v>
      </c>
      <c r="H514" s="2" t="s">
        <v>244</v>
      </c>
      <c r="I514" s="100">
        <v>44587.0</v>
      </c>
      <c r="J514" s="101">
        <v>0.5005555555555555</v>
      </c>
      <c r="K514" s="2">
        <v>1.0</v>
      </c>
      <c r="L514" s="2" t="b">
        <v>1</v>
      </c>
      <c r="M514" s="2" t="s">
        <v>2488</v>
      </c>
      <c r="N514" s="2" t="s">
        <v>247</v>
      </c>
    </row>
    <row r="515">
      <c r="A515" s="2" t="s">
        <v>1037</v>
      </c>
      <c r="B515" s="100">
        <v>44587.0</v>
      </c>
      <c r="C515" s="101">
        <v>0.3313425925925926</v>
      </c>
      <c r="G515" s="2" t="s">
        <v>2184</v>
      </c>
      <c r="H515" s="2" t="s">
        <v>244</v>
      </c>
      <c r="I515" s="100">
        <v>44587.0</v>
      </c>
      <c r="J515" s="101">
        <v>0.5005555555555555</v>
      </c>
      <c r="K515" s="2">
        <v>1.0</v>
      </c>
      <c r="L515" s="2" t="b">
        <v>1</v>
      </c>
      <c r="M515" s="2" t="s">
        <v>2488</v>
      </c>
      <c r="N515" s="2" t="s">
        <v>247</v>
      </c>
    </row>
    <row r="516">
      <c r="A516" s="2" t="s">
        <v>1035</v>
      </c>
      <c r="B516" s="100">
        <v>44587.0</v>
      </c>
      <c r="C516" s="101">
        <v>0.32375</v>
      </c>
      <c r="G516" s="2" t="s">
        <v>2184</v>
      </c>
      <c r="H516" s="2" t="s">
        <v>244</v>
      </c>
      <c r="I516" s="100">
        <v>44587.0</v>
      </c>
      <c r="J516" s="101">
        <v>0.5005439814814815</v>
      </c>
      <c r="K516" s="2">
        <v>1.0</v>
      </c>
      <c r="L516" s="2" t="b">
        <v>1</v>
      </c>
      <c r="M516" s="2" t="s">
        <v>2488</v>
      </c>
      <c r="N516" s="2" t="s">
        <v>247</v>
      </c>
    </row>
    <row r="517">
      <c r="A517" s="2" t="s">
        <v>1033</v>
      </c>
      <c r="B517" s="100">
        <v>44587.0</v>
      </c>
      <c r="C517" s="101">
        <v>0.32371527777777775</v>
      </c>
      <c r="G517" s="2" t="s">
        <v>2184</v>
      </c>
      <c r="H517" s="2" t="s">
        <v>244</v>
      </c>
      <c r="I517" s="100">
        <v>44587.0</v>
      </c>
      <c r="J517" s="101">
        <v>0.5005439814814815</v>
      </c>
      <c r="K517" s="2">
        <v>1.0</v>
      </c>
      <c r="L517" s="2" t="b">
        <v>1</v>
      </c>
      <c r="M517" s="2" t="s">
        <v>2488</v>
      </c>
      <c r="N517" s="2" t="s">
        <v>247</v>
      </c>
    </row>
    <row r="518">
      <c r="A518" s="2" t="s">
        <v>1031</v>
      </c>
      <c r="B518" s="100">
        <v>44587.0</v>
      </c>
      <c r="C518" s="101">
        <v>0.32349537037037035</v>
      </c>
      <c r="G518" s="2" t="s">
        <v>2184</v>
      </c>
      <c r="H518" s="2" t="s">
        <v>244</v>
      </c>
      <c r="I518" s="100">
        <v>44587.0</v>
      </c>
      <c r="J518" s="101">
        <v>0.5005439814814815</v>
      </c>
      <c r="K518" s="2">
        <v>1.0</v>
      </c>
      <c r="L518" s="2" t="b">
        <v>1</v>
      </c>
      <c r="M518" s="2" t="s">
        <v>2488</v>
      </c>
      <c r="N518" s="2" t="s">
        <v>247</v>
      </c>
    </row>
    <row r="519">
      <c r="A519" s="2" t="s">
        <v>1029</v>
      </c>
      <c r="B519" s="100">
        <v>44587.0</v>
      </c>
      <c r="C519" s="101">
        <v>0.3039351851851852</v>
      </c>
      <c r="G519" s="2" t="s">
        <v>2184</v>
      </c>
      <c r="H519" s="2" t="s">
        <v>244</v>
      </c>
      <c r="I519" s="100">
        <v>44587.0</v>
      </c>
      <c r="J519" s="101">
        <v>0.5005439814814815</v>
      </c>
      <c r="K519" s="2">
        <v>1.0</v>
      </c>
      <c r="L519" s="2" t="b">
        <v>1</v>
      </c>
      <c r="M519" s="2" t="s">
        <v>2488</v>
      </c>
      <c r="N519" s="2" t="s">
        <v>247</v>
      </c>
    </row>
    <row r="520">
      <c r="A520" s="2" t="s">
        <v>1027</v>
      </c>
      <c r="B520" s="100">
        <v>44587.0</v>
      </c>
      <c r="C520" s="101">
        <v>0.2965162037037037</v>
      </c>
      <c r="G520" s="2" t="s">
        <v>2184</v>
      </c>
      <c r="H520" s="2" t="s">
        <v>244</v>
      </c>
      <c r="I520" s="100">
        <v>44587.0</v>
      </c>
      <c r="J520" s="101">
        <v>0.5005439814814815</v>
      </c>
      <c r="K520" s="2">
        <v>1.0</v>
      </c>
      <c r="L520" s="2" t="b">
        <v>1</v>
      </c>
      <c r="M520" s="2" t="s">
        <v>2488</v>
      </c>
      <c r="N520" s="2" t="s">
        <v>247</v>
      </c>
    </row>
    <row r="521">
      <c r="A521" s="2" t="s">
        <v>1025</v>
      </c>
      <c r="B521" s="100">
        <v>44587.0</v>
      </c>
      <c r="C521" s="101">
        <v>0.29574074074074075</v>
      </c>
      <c r="G521" s="2" t="s">
        <v>2184</v>
      </c>
      <c r="H521" s="2" t="s">
        <v>244</v>
      </c>
      <c r="I521" s="100">
        <v>44587.0</v>
      </c>
      <c r="J521" s="101">
        <v>0.5005439814814815</v>
      </c>
      <c r="K521" s="2">
        <v>1.0</v>
      </c>
      <c r="L521" s="2" t="b">
        <v>1</v>
      </c>
      <c r="M521" s="2" t="s">
        <v>2488</v>
      </c>
      <c r="N521" s="2" t="s">
        <v>247</v>
      </c>
    </row>
    <row r="522">
      <c r="A522" s="2" t="s">
        <v>1023</v>
      </c>
      <c r="B522" s="100">
        <v>44585.0</v>
      </c>
      <c r="C522" s="101">
        <v>0.43105324074074075</v>
      </c>
      <c r="G522" s="2" t="s">
        <v>2184</v>
      </c>
      <c r="H522" s="2" t="s">
        <v>244</v>
      </c>
      <c r="I522" s="100">
        <v>44585.0</v>
      </c>
      <c r="J522" s="101">
        <v>0.4705902777777778</v>
      </c>
      <c r="K522" s="2">
        <v>1.0</v>
      </c>
      <c r="L522" s="2" t="b">
        <v>1</v>
      </c>
      <c r="M522" s="2" t="s">
        <v>2489</v>
      </c>
      <c r="N522" s="2" t="s">
        <v>247</v>
      </c>
    </row>
    <row r="523">
      <c r="A523" s="2" t="s">
        <v>1020</v>
      </c>
      <c r="B523" s="100">
        <v>44585.0</v>
      </c>
      <c r="C523" s="101">
        <v>0.4306712962962963</v>
      </c>
      <c r="G523" s="2" t="s">
        <v>2184</v>
      </c>
      <c r="H523" s="2" t="s">
        <v>244</v>
      </c>
      <c r="I523" s="100">
        <v>44585.0</v>
      </c>
      <c r="J523" s="101">
        <v>0.4705902777777778</v>
      </c>
      <c r="K523" s="2">
        <v>1.0</v>
      </c>
      <c r="L523" s="2" t="b">
        <v>1</v>
      </c>
      <c r="M523" s="2" t="s">
        <v>2489</v>
      </c>
      <c r="N523" s="2" t="s">
        <v>247</v>
      </c>
    </row>
    <row r="524">
      <c r="A524" s="2" t="s">
        <v>1018</v>
      </c>
      <c r="B524" s="100">
        <v>44585.0</v>
      </c>
      <c r="C524" s="101">
        <v>0.38797453703703705</v>
      </c>
      <c r="G524" s="2" t="s">
        <v>2184</v>
      </c>
      <c r="H524" s="2" t="s">
        <v>52</v>
      </c>
      <c r="I524" s="100">
        <v>44587.0</v>
      </c>
      <c r="J524" s="101">
        <v>0.5008796296296296</v>
      </c>
      <c r="K524" s="2">
        <v>1.0</v>
      </c>
      <c r="L524" s="2" t="b">
        <v>1</v>
      </c>
      <c r="N524" s="2" t="s">
        <v>247</v>
      </c>
    </row>
    <row r="525">
      <c r="A525" s="2" t="s">
        <v>1016</v>
      </c>
      <c r="B525" s="100">
        <v>44585.0</v>
      </c>
      <c r="C525" s="101">
        <v>0.38686342592592593</v>
      </c>
      <c r="G525" s="2" t="s">
        <v>2184</v>
      </c>
      <c r="H525" s="2" t="s">
        <v>52</v>
      </c>
      <c r="I525" s="100">
        <v>44587.0</v>
      </c>
      <c r="J525" s="101">
        <v>0.5008796296296296</v>
      </c>
      <c r="K525" s="2">
        <v>1.0</v>
      </c>
      <c r="L525" s="2" t="b">
        <v>1</v>
      </c>
      <c r="N525" s="2" t="s">
        <v>247</v>
      </c>
    </row>
    <row r="526">
      <c r="A526" s="2" t="s">
        <v>1014</v>
      </c>
      <c r="B526" s="100">
        <v>44585.0</v>
      </c>
      <c r="C526" s="101">
        <v>0.3784722222222222</v>
      </c>
      <c r="G526" s="2" t="s">
        <v>2184</v>
      </c>
      <c r="H526" s="2" t="s">
        <v>244</v>
      </c>
      <c r="I526" s="100">
        <v>44585.0</v>
      </c>
      <c r="J526" s="101">
        <v>0.4705902777777778</v>
      </c>
      <c r="K526" s="2">
        <v>1.0</v>
      </c>
      <c r="L526" s="2" t="b">
        <v>1</v>
      </c>
      <c r="M526" s="2" t="s">
        <v>2489</v>
      </c>
      <c r="N526" s="2" t="s">
        <v>247</v>
      </c>
    </row>
    <row r="527">
      <c r="A527" s="2" t="s">
        <v>1012</v>
      </c>
      <c r="B527" s="100">
        <v>44585.0</v>
      </c>
      <c r="C527" s="101">
        <v>0.3420949074074074</v>
      </c>
      <c r="G527" s="2" t="s">
        <v>2184</v>
      </c>
      <c r="H527" s="2" t="s">
        <v>52</v>
      </c>
      <c r="I527" s="100">
        <v>44587.0</v>
      </c>
      <c r="J527" s="101">
        <v>0.5008796296296296</v>
      </c>
      <c r="K527" s="2">
        <v>1.0</v>
      </c>
      <c r="L527" s="2" t="b">
        <v>1</v>
      </c>
      <c r="N527" s="2" t="s">
        <v>247</v>
      </c>
    </row>
    <row r="528">
      <c r="A528" s="2" t="s">
        <v>1010</v>
      </c>
      <c r="B528" s="100">
        <v>44585.0</v>
      </c>
      <c r="C528" s="101">
        <v>0.33292824074074073</v>
      </c>
      <c r="G528" s="2" t="s">
        <v>2184</v>
      </c>
      <c r="H528" s="2" t="s">
        <v>244</v>
      </c>
      <c r="I528" s="100">
        <v>44585.0</v>
      </c>
      <c r="J528" s="101">
        <v>0.4705902777777778</v>
      </c>
      <c r="K528" s="2">
        <v>1.0</v>
      </c>
      <c r="L528" s="2" t="b">
        <v>1</v>
      </c>
      <c r="M528" s="2" t="s">
        <v>2489</v>
      </c>
      <c r="N528" s="2" t="s">
        <v>247</v>
      </c>
    </row>
    <row r="529">
      <c r="A529" s="2" t="s">
        <v>1008</v>
      </c>
      <c r="B529" s="100">
        <v>44585.0</v>
      </c>
      <c r="C529" s="101">
        <v>0.33229166666666665</v>
      </c>
      <c r="G529" s="2" t="s">
        <v>2184</v>
      </c>
      <c r="H529" s="2" t="s">
        <v>244</v>
      </c>
      <c r="I529" s="100">
        <v>44585.0</v>
      </c>
      <c r="J529" s="101">
        <v>0.4705902777777778</v>
      </c>
      <c r="K529" s="2">
        <v>1.0</v>
      </c>
      <c r="L529" s="2" t="b">
        <v>1</v>
      </c>
      <c r="M529" s="2" t="s">
        <v>2489</v>
      </c>
      <c r="N529" s="2" t="s">
        <v>247</v>
      </c>
    </row>
    <row r="530">
      <c r="A530" s="2" t="s">
        <v>1006</v>
      </c>
      <c r="B530" s="100">
        <v>44585.0</v>
      </c>
      <c r="C530" s="101">
        <v>0.32657407407407407</v>
      </c>
      <c r="G530" s="2" t="s">
        <v>2184</v>
      </c>
      <c r="H530" s="2" t="s">
        <v>244</v>
      </c>
      <c r="I530" s="100">
        <v>44585.0</v>
      </c>
      <c r="J530" s="101">
        <v>0.4705902777777778</v>
      </c>
      <c r="K530" s="2">
        <v>1.0</v>
      </c>
      <c r="L530" s="2" t="b">
        <v>1</v>
      </c>
      <c r="M530" s="2" t="s">
        <v>2489</v>
      </c>
      <c r="N530" s="2" t="s">
        <v>247</v>
      </c>
    </row>
    <row r="531">
      <c r="A531" s="2" t="s">
        <v>1004</v>
      </c>
      <c r="B531" s="100">
        <v>44585.0</v>
      </c>
      <c r="C531" s="101">
        <v>0.3261689814814815</v>
      </c>
      <c r="G531" s="2" t="s">
        <v>2184</v>
      </c>
      <c r="H531" s="2" t="s">
        <v>244</v>
      </c>
      <c r="I531" s="100">
        <v>44585.0</v>
      </c>
      <c r="J531" s="101">
        <v>0.4705902777777778</v>
      </c>
      <c r="K531" s="2">
        <v>1.0</v>
      </c>
      <c r="L531" s="2" t="b">
        <v>1</v>
      </c>
      <c r="M531" s="2" t="s">
        <v>2489</v>
      </c>
      <c r="N531" s="2" t="s">
        <v>247</v>
      </c>
    </row>
    <row r="532">
      <c r="A532" s="2" t="s">
        <v>1002</v>
      </c>
      <c r="B532" s="100">
        <v>44585.0</v>
      </c>
      <c r="C532" s="101">
        <v>0.31993055555555555</v>
      </c>
      <c r="G532" s="2" t="s">
        <v>2184</v>
      </c>
      <c r="H532" s="2" t="s">
        <v>244</v>
      </c>
      <c r="I532" s="100">
        <v>44585.0</v>
      </c>
      <c r="J532" s="101">
        <v>0.4705902777777778</v>
      </c>
      <c r="K532" s="2">
        <v>1.0</v>
      </c>
      <c r="L532" s="2" t="b">
        <v>1</v>
      </c>
      <c r="M532" s="2" t="s">
        <v>2489</v>
      </c>
      <c r="N532" s="2" t="s">
        <v>247</v>
      </c>
    </row>
    <row r="533">
      <c r="A533" s="2" t="s">
        <v>1000</v>
      </c>
      <c r="B533" s="100">
        <v>44585.0</v>
      </c>
      <c r="C533" s="101">
        <v>0.3161921296296296</v>
      </c>
      <c r="G533" s="2" t="s">
        <v>2184</v>
      </c>
      <c r="H533" s="2" t="s">
        <v>244</v>
      </c>
      <c r="I533" s="100">
        <v>44585.0</v>
      </c>
      <c r="J533" s="101">
        <v>0.46827546296296296</v>
      </c>
      <c r="K533" s="2">
        <v>1.0</v>
      </c>
      <c r="L533" s="2" t="b">
        <v>1</v>
      </c>
      <c r="N533" s="2" t="s">
        <v>247</v>
      </c>
    </row>
    <row r="534">
      <c r="A534" s="2" t="s">
        <v>998</v>
      </c>
      <c r="B534" s="100">
        <v>44585.0</v>
      </c>
      <c r="C534" s="101">
        <v>0.3088310185185185</v>
      </c>
      <c r="G534" s="2" t="s">
        <v>2184</v>
      </c>
      <c r="H534" s="2" t="s">
        <v>244</v>
      </c>
      <c r="I534" s="100">
        <v>44585.0</v>
      </c>
      <c r="J534" s="101">
        <v>0.46827546296296296</v>
      </c>
      <c r="K534" s="2">
        <v>1.0</v>
      </c>
      <c r="L534" s="2" t="b">
        <v>1</v>
      </c>
      <c r="N534" s="2" t="s">
        <v>247</v>
      </c>
    </row>
    <row r="535">
      <c r="A535" s="2" t="s">
        <v>995</v>
      </c>
      <c r="B535" s="100">
        <v>44585.0</v>
      </c>
      <c r="C535" s="101">
        <v>0.3030555555555556</v>
      </c>
      <c r="G535" s="2" t="s">
        <v>2184</v>
      </c>
      <c r="H535" s="2" t="s">
        <v>52</v>
      </c>
      <c r="I535" s="100">
        <v>44587.0</v>
      </c>
      <c r="J535" s="101">
        <v>0.5008796296296296</v>
      </c>
      <c r="K535" s="2">
        <v>1.0</v>
      </c>
      <c r="L535" s="2" t="b">
        <v>1</v>
      </c>
      <c r="N535" s="2" t="s">
        <v>247</v>
      </c>
    </row>
    <row r="536">
      <c r="A536" s="2" t="s">
        <v>993</v>
      </c>
      <c r="B536" s="100">
        <v>44585.0</v>
      </c>
      <c r="C536" s="101">
        <v>0.30181712962962964</v>
      </c>
      <c r="G536" s="2" t="s">
        <v>2184</v>
      </c>
      <c r="H536" s="2" t="s">
        <v>244</v>
      </c>
      <c r="I536" s="100">
        <v>44585.0</v>
      </c>
      <c r="J536" s="101">
        <v>0.4705902777777778</v>
      </c>
      <c r="K536" s="2">
        <v>1.0</v>
      </c>
      <c r="L536" s="2" t="b">
        <v>1</v>
      </c>
      <c r="M536" s="2" t="s">
        <v>2489</v>
      </c>
      <c r="N536" s="2" t="s">
        <v>247</v>
      </c>
    </row>
    <row r="537">
      <c r="A537" s="2" t="s">
        <v>991</v>
      </c>
      <c r="B537" s="100">
        <v>44585.0</v>
      </c>
      <c r="C537" s="101">
        <v>0.29939814814814814</v>
      </c>
      <c r="G537" s="2" t="s">
        <v>2184</v>
      </c>
      <c r="H537" s="2" t="s">
        <v>244</v>
      </c>
      <c r="I537" s="100">
        <v>44585.0</v>
      </c>
      <c r="J537" s="101">
        <v>0.4705902777777778</v>
      </c>
      <c r="K537" s="2">
        <v>1.0</v>
      </c>
      <c r="L537" s="2" t="b">
        <v>1</v>
      </c>
      <c r="M537" s="2" t="s">
        <v>2489</v>
      </c>
      <c r="N537" s="2" t="s">
        <v>247</v>
      </c>
    </row>
    <row r="538">
      <c r="A538" s="2" t="s">
        <v>989</v>
      </c>
      <c r="B538" s="100">
        <v>44582.0</v>
      </c>
      <c r="C538" s="101">
        <v>0.7995138888888889</v>
      </c>
      <c r="G538" s="2" t="s">
        <v>2184</v>
      </c>
      <c r="H538" s="2" t="s">
        <v>254</v>
      </c>
      <c r="I538" s="100">
        <v>44582.0</v>
      </c>
      <c r="J538" s="101">
        <v>0.8075810185185185</v>
      </c>
      <c r="K538" s="2">
        <v>1.0</v>
      </c>
      <c r="L538" s="2" t="b">
        <v>1</v>
      </c>
      <c r="N538" s="2" t="s">
        <v>247</v>
      </c>
    </row>
    <row r="539">
      <c r="A539" s="2" t="s">
        <v>987</v>
      </c>
      <c r="B539" s="100">
        <v>44582.0</v>
      </c>
      <c r="C539" s="101">
        <v>0.7976388888888889</v>
      </c>
      <c r="G539" s="2" t="s">
        <v>2184</v>
      </c>
      <c r="H539" s="2" t="s">
        <v>254</v>
      </c>
      <c r="I539" s="100">
        <v>44582.0</v>
      </c>
      <c r="J539" s="101">
        <v>0.8075810185185185</v>
      </c>
      <c r="K539" s="2">
        <v>1.0</v>
      </c>
      <c r="L539" s="2" t="b">
        <v>1</v>
      </c>
      <c r="N539" s="2" t="s">
        <v>247</v>
      </c>
    </row>
    <row r="540">
      <c r="A540" s="2" t="s">
        <v>985</v>
      </c>
      <c r="B540" s="100">
        <v>44582.0</v>
      </c>
      <c r="C540" s="101">
        <v>0.797349537037037</v>
      </c>
      <c r="G540" s="2" t="s">
        <v>2184</v>
      </c>
      <c r="H540" s="2" t="s">
        <v>254</v>
      </c>
      <c r="I540" s="100">
        <v>44582.0</v>
      </c>
      <c r="J540" s="101">
        <v>0.8075810185185185</v>
      </c>
      <c r="K540" s="2">
        <v>1.0</v>
      </c>
      <c r="L540" s="2" t="b">
        <v>1</v>
      </c>
      <c r="N540" s="2" t="s">
        <v>247</v>
      </c>
    </row>
    <row r="541">
      <c r="A541" s="2" t="s">
        <v>981</v>
      </c>
      <c r="B541" s="100">
        <v>44582.0</v>
      </c>
      <c r="C541" s="101">
        <v>0.3978009259259259</v>
      </c>
      <c r="G541" s="2" t="s">
        <v>2184</v>
      </c>
      <c r="H541" s="2" t="s">
        <v>52</v>
      </c>
      <c r="I541" s="100">
        <v>44582.0</v>
      </c>
      <c r="J541" s="101">
        <v>0.4884027777777778</v>
      </c>
      <c r="K541" s="2">
        <v>1.0</v>
      </c>
      <c r="L541" s="2" t="b">
        <v>1</v>
      </c>
      <c r="N541" s="2" t="s">
        <v>247</v>
      </c>
    </row>
    <row r="542">
      <c r="A542" s="2" t="s">
        <v>975</v>
      </c>
      <c r="B542" s="100">
        <v>44582.0</v>
      </c>
      <c r="C542" s="101">
        <v>0.39101851851851854</v>
      </c>
      <c r="G542" s="2" t="s">
        <v>2184</v>
      </c>
      <c r="H542" s="2" t="s">
        <v>52</v>
      </c>
      <c r="I542" s="100">
        <v>44582.0</v>
      </c>
      <c r="J542" s="101">
        <v>0.4884027777777778</v>
      </c>
      <c r="K542" s="2">
        <v>1.0</v>
      </c>
      <c r="L542" s="2" t="b">
        <v>1</v>
      </c>
      <c r="N542" s="2" t="s">
        <v>247</v>
      </c>
    </row>
    <row r="543">
      <c r="A543" s="2" t="s">
        <v>972</v>
      </c>
      <c r="B543" s="100">
        <v>44582.0</v>
      </c>
      <c r="C543" s="101">
        <v>0.39038194444444446</v>
      </c>
      <c r="G543" s="2" t="s">
        <v>2184</v>
      </c>
      <c r="H543" s="2" t="s">
        <v>52</v>
      </c>
      <c r="I543" s="100">
        <v>44582.0</v>
      </c>
      <c r="J543" s="101">
        <v>0.4884027777777778</v>
      </c>
      <c r="K543" s="2">
        <v>1.0</v>
      </c>
      <c r="L543" s="2" t="b">
        <v>1</v>
      </c>
      <c r="N543" s="2" t="s">
        <v>247</v>
      </c>
    </row>
    <row r="544">
      <c r="A544" s="2" t="s">
        <v>970</v>
      </c>
      <c r="B544" s="100">
        <v>44582.0</v>
      </c>
      <c r="C544" s="101">
        <v>0.3526388888888889</v>
      </c>
      <c r="G544" s="2" t="s">
        <v>2184</v>
      </c>
      <c r="H544" s="2" t="s">
        <v>52</v>
      </c>
      <c r="I544" s="100">
        <v>44582.0</v>
      </c>
      <c r="J544" s="101">
        <v>0.4884027777777778</v>
      </c>
      <c r="K544" s="2">
        <v>1.0</v>
      </c>
      <c r="L544" s="2" t="b">
        <v>1</v>
      </c>
      <c r="N544" s="2" t="s">
        <v>247</v>
      </c>
    </row>
    <row r="545">
      <c r="A545" s="2" t="s">
        <v>968</v>
      </c>
      <c r="B545" s="100">
        <v>44582.0</v>
      </c>
      <c r="C545" s="101">
        <v>0.3514351851851852</v>
      </c>
      <c r="G545" s="2" t="s">
        <v>2184</v>
      </c>
      <c r="H545" s="2" t="s">
        <v>244</v>
      </c>
      <c r="I545" s="100">
        <v>44582.0</v>
      </c>
      <c r="J545" s="101">
        <v>0.4884027777777778</v>
      </c>
      <c r="K545" s="2">
        <v>1.0</v>
      </c>
      <c r="L545" s="2" t="b">
        <v>1</v>
      </c>
      <c r="M545" s="2" t="s">
        <v>2490</v>
      </c>
      <c r="N545" s="2" t="s">
        <v>247</v>
      </c>
    </row>
    <row r="546">
      <c r="A546" s="2" t="s">
        <v>966</v>
      </c>
      <c r="B546" s="100">
        <v>44582.0</v>
      </c>
      <c r="C546" s="101">
        <v>0.35087962962962965</v>
      </c>
      <c r="G546" s="2" t="s">
        <v>2184</v>
      </c>
      <c r="H546" s="2" t="s">
        <v>244</v>
      </c>
      <c r="I546" s="100">
        <v>44582.0</v>
      </c>
      <c r="J546" s="101">
        <v>0.4884027777777778</v>
      </c>
      <c r="K546" s="2">
        <v>0.0</v>
      </c>
      <c r="L546" s="2" t="b">
        <v>1</v>
      </c>
      <c r="M546" s="2" t="s">
        <v>2490</v>
      </c>
      <c r="N546" s="2" t="s">
        <v>247</v>
      </c>
    </row>
    <row r="547">
      <c r="A547" s="2" t="s">
        <v>964</v>
      </c>
      <c r="B547" s="100">
        <v>44582.0</v>
      </c>
      <c r="C547" s="101">
        <v>0.35019675925925925</v>
      </c>
      <c r="G547" s="2" t="s">
        <v>2184</v>
      </c>
      <c r="H547" s="2" t="s">
        <v>244</v>
      </c>
      <c r="I547" s="100">
        <v>44582.0</v>
      </c>
      <c r="J547" s="101">
        <v>0.4884027777777778</v>
      </c>
      <c r="K547" s="2">
        <v>1.0</v>
      </c>
      <c r="L547" s="2" t="b">
        <v>1</v>
      </c>
      <c r="M547" s="2" t="s">
        <v>2490</v>
      </c>
      <c r="N547" s="2" t="s">
        <v>247</v>
      </c>
    </row>
    <row r="548">
      <c r="A548" s="2" t="s">
        <v>962</v>
      </c>
      <c r="B548" s="100">
        <v>44582.0</v>
      </c>
      <c r="C548" s="101">
        <v>0.34140046296296295</v>
      </c>
      <c r="G548" s="2" t="s">
        <v>2184</v>
      </c>
      <c r="H548" s="2" t="s">
        <v>244</v>
      </c>
      <c r="I548" s="100">
        <v>44582.0</v>
      </c>
      <c r="J548" s="101">
        <v>0.4884027777777778</v>
      </c>
      <c r="K548" s="2">
        <v>1.0</v>
      </c>
      <c r="L548" s="2" t="b">
        <v>1</v>
      </c>
      <c r="M548" s="2" t="s">
        <v>2490</v>
      </c>
      <c r="N548" s="2" t="s">
        <v>247</v>
      </c>
    </row>
    <row r="549">
      <c r="A549" s="2" t="s">
        <v>959</v>
      </c>
      <c r="B549" s="100">
        <v>44582.0</v>
      </c>
      <c r="C549" s="101">
        <v>0.3404861111111111</v>
      </c>
      <c r="G549" s="2" t="s">
        <v>2184</v>
      </c>
      <c r="H549" s="2" t="s">
        <v>244</v>
      </c>
      <c r="I549" s="100">
        <v>44582.0</v>
      </c>
      <c r="J549" s="101">
        <v>0.4883912037037037</v>
      </c>
      <c r="K549" s="2">
        <v>1.0</v>
      </c>
      <c r="L549" s="2" t="b">
        <v>1</v>
      </c>
      <c r="M549" s="2" t="s">
        <v>2490</v>
      </c>
      <c r="N549" s="2" t="s">
        <v>247</v>
      </c>
    </row>
    <row r="550">
      <c r="A550" s="2" t="s">
        <v>957</v>
      </c>
      <c r="B550" s="100">
        <v>44582.0</v>
      </c>
      <c r="C550" s="101">
        <v>0.31300925925925926</v>
      </c>
      <c r="G550" s="2" t="s">
        <v>2184</v>
      </c>
      <c r="H550" s="2" t="s">
        <v>244</v>
      </c>
      <c r="I550" s="100">
        <v>44582.0</v>
      </c>
      <c r="J550" s="101">
        <v>0.4883912037037037</v>
      </c>
      <c r="K550" s="2">
        <v>1.0</v>
      </c>
      <c r="L550" s="2" t="b">
        <v>1</v>
      </c>
      <c r="M550" s="2" t="s">
        <v>2490</v>
      </c>
      <c r="N550" s="2" t="s">
        <v>247</v>
      </c>
    </row>
    <row r="551">
      <c r="A551" s="2" t="s">
        <v>954</v>
      </c>
      <c r="B551" s="100">
        <v>44582.0</v>
      </c>
      <c r="C551" s="101">
        <v>0.28693287037037035</v>
      </c>
      <c r="G551" s="2" t="s">
        <v>2184</v>
      </c>
      <c r="H551" s="2" t="s">
        <v>52</v>
      </c>
      <c r="I551" s="100">
        <v>44582.0</v>
      </c>
      <c r="J551" s="101">
        <v>0.4884027777777778</v>
      </c>
      <c r="K551" s="2">
        <v>1.0</v>
      </c>
      <c r="L551" s="2" t="b">
        <v>1</v>
      </c>
      <c r="N551" s="2" t="s">
        <v>247</v>
      </c>
    </row>
    <row r="552">
      <c r="A552" s="2" t="s">
        <v>952</v>
      </c>
      <c r="B552" s="100">
        <v>44582.0</v>
      </c>
      <c r="C552" s="101">
        <v>0.28474537037037034</v>
      </c>
      <c r="G552" s="2" t="s">
        <v>2184</v>
      </c>
      <c r="H552" s="2" t="s">
        <v>52</v>
      </c>
      <c r="I552" s="100">
        <v>44582.0</v>
      </c>
      <c r="J552" s="101">
        <v>0.4884027777777778</v>
      </c>
      <c r="K552" s="2">
        <v>1.0</v>
      </c>
      <c r="L552" s="2" t="b">
        <v>1</v>
      </c>
      <c r="N552" s="2" t="s">
        <v>247</v>
      </c>
    </row>
    <row r="553">
      <c r="A553" s="2" t="s">
        <v>950</v>
      </c>
      <c r="B553" s="100">
        <v>44582.0</v>
      </c>
      <c r="C553" s="101">
        <v>0.26828703703703705</v>
      </c>
      <c r="G553" s="2" t="s">
        <v>2184</v>
      </c>
      <c r="H553" s="2" t="s">
        <v>244</v>
      </c>
      <c r="I553" s="100">
        <v>44582.0</v>
      </c>
      <c r="J553" s="101">
        <v>0.4883912037037037</v>
      </c>
      <c r="K553" s="2">
        <v>1.0</v>
      </c>
      <c r="L553" s="2" t="b">
        <v>1</v>
      </c>
      <c r="M553" s="2" t="s">
        <v>2490</v>
      </c>
      <c r="N553" s="2" t="s">
        <v>247</v>
      </c>
    </row>
    <row r="554">
      <c r="A554" s="2" t="s">
        <v>948</v>
      </c>
      <c r="B554" s="100">
        <v>44581.0</v>
      </c>
      <c r="C554" s="101">
        <v>0.3341550925925926</v>
      </c>
      <c r="G554" s="2" t="s">
        <v>2188</v>
      </c>
      <c r="H554" s="2" t="s">
        <v>254</v>
      </c>
      <c r="I554" s="100">
        <v>44861.0</v>
      </c>
      <c r="J554" s="101">
        <v>0.4895023148148148</v>
      </c>
      <c r="K554" s="2">
        <v>1.0</v>
      </c>
      <c r="N554" s="2" t="s">
        <v>247</v>
      </c>
    </row>
    <row r="555">
      <c r="A555" s="2" t="s">
        <v>946</v>
      </c>
      <c r="B555" s="100">
        <v>44581.0</v>
      </c>
      <c r="C555" s="101">
        <v>0.31288194444444445</v>
      </c>
      <c r="G555" s="2" t="s">
        <v>2184</v>
      </c>
      <c r="H555" s="2" t="s">
        <v>52</v>
      </c>
      <c r="I555" s="100">
        <v>44582.0</v>
      </c>
      <c r="J555" s="101">
        <v>0.4883912037037037</v>
      </c>
      <c r="K555" s="2">
        <v>1.0</v>
      </c>
      <c r="L555" s="2" t="b">
        <v>1</v>
      </c>
      <c r="N555" s="2" t="s">
        <v>247</v>
      </c>
    </row>
    <row r="556">
      <c r="A556" s="2" t="s">
        <v>943</v>
      </c>
      <c r="B556" s="100">
        <v>44580.0</v>
      </c>
      <c r="C556" s="101">
        <v>0.4467476851851852</v>
      </c>
      <c r="G556" s="2" t="s">
        <v>2184</v>
      </c>
      <c r="H556" s="2" t="s">
        <v>244</v>
      </c>
      <c r="I556" s="100">
        <v>44580.0</v>
      </c>
      <c r="J556" s="101">
        <v>0.5080324074074074</v>
      </c>
      <c r="K556" s="2">
        <v>1.0</v>
      </c>
      <c r="L556" s="2" t="b">
        <v>1</v>
      </c>
      <c r="M556" s="2" t="s">
        <v>2491</v>
      </c>
      <c r="N556" s="2" t="s">
        <v>247</v>
      </c>
    </row>
    <row r="557">
      <c r="A557" s="2" t="s">
        <v>941</v>
      </c>
      <c r="B557" s="100">
        <v>44580.0</v>
      </c>
      <c r="C557" s="101">
        <v>0.4436689814814815</v>
      </c>
      <c r="G557" s="2" t="s">
        <v>2184</v>
      </c>
      <c r="H557" s="2" t="s">
        <v>244</v>
      </c>
      <c r="I557" s="100">
        <v>44580.0</v>
      </c>
      <c r="J557" s="101">
        <v>0.5080324074074074</v>
      </c>
      <c r="K557" s="2">
        <v>1.0</v>
      </c>
      <c r="L557" s="2" t="b">
        <v>1</v>
      </c>
      <c r="M557" s="2" t="s">
        <v>2491</v>
      </c>
      <c r="N557" s="2" t="s">
        <v>247</v>
      </c>
    </row>
    <row r="558">
      <c r="A558" s="2" t="s">
        <v>939</v>
      </c>
      <c r="B558" s="100">
        <v>44580.0</v>
      </c>
      <c r="C558" s="101">
        <v>0.4405208333333333</v>
      </c>
      <c r="G558" s="2" t="s">
        <v>2184</v>
      </c>
      <c r="H558" s="2" t="s">
        <v>52</v>
      </c>
      <c r="I558" s="100">
        <v>44580.0</v>
      </c>
      <c r="J558" s="101">
        <v>0.5073726851851852</v>
      </c>
      <c r="K558" s="2">
        <v>1.0</v>
      </c>
      <c r="L558" s="2" t="b">
        <v>1</v>
      </c>
      <c r="N558" s="2" t="s">
        <v>247</v>
      </c>
    </row>
    <row r="559">
      <c r="A559" s="2" t="s">
        <v>936</v>
      </c>
      <c r="B559" s="100">
        <v>44580.0</v>
      </c>
      <c r="C559" s="101">
        <v>0.43203703703703705</v>
      </c>
      <c r="G559" s="2" t="s">
        <v>2184</v>
      </c>
      <c r="H559" s="2" t="s">
        <v>52</v>
      </c>
      <c r="I559" s="100">
        <v>44580.0</v>
      </c>
      <c r="J559" s="101">
        <v>0.5073726851851852</v>
      </c>
      <c r="K559" s="2">
        <v>1.0</v>
      </c>
      <c r="L559" s="2" t="b">
        <v>1</v>
      </c>
      <c r="N559" s="2" t="s">
        <v>247</v>
      </c>
    </row>
    <row r="560">
      <c r="A560" s="2" t="s">
        <v>934</v>
      </c>
      <c r="B560" s="100">
        <v>44580.0</v>
      </c>
      <c r="C560" s="101">
        <v>0.42681712962962964</v>
      </c>
      <c r="G560" s="2" t="s">
        <v>2184</v>
      </c>
      <c r="H560" s="2" t="s">
        <v>244</v>
      </c>
      <c r="I560" s="100">
        <v>44580.0</v>
      </c>
      <c r="J560" s="101">
        <v>0.5080324074074074</v>
      </c>
      <c r="K560" s="2">
        <v>1.0</v>
      </c>
      <c r="L560" s="2" t="b">
        <v>1</v>
      </c>
      <c r="M560" s="2" t="s">
        <v>2491</v>
      </c>
      <c r="N560" s="2" t="s">
        <v>247</v>
      </c>
    </row>
    <row r="561">
      <c r="A561" s="2" t="s">
        <v>932</v>
      </c>
      <c r="B561" s="100">
        <v>44580.0</v>
      </c>
      <c r="C561" s="101">
        <v>0.4154398148148148</v>
      </c>
      <c r="G561" s="2" t="s">
        <v>2184</v>
      </c>
      <c r="H561" s="2" t="s">
        <v>52</v>
      </c>
      <c r="I561" s="100">
        <v>44580.0</v>
      </c>
      <c r="J561" s="101">
        <v>0.5073726851851852</v>
      </c>
      <c r="K561" s="2">
        <v>1.0</v>
      </c>
      <c r="L561" s="2" t="b">
        <v>1</v>
      </c>
      <c r="N561" s="2" t="s">
        <v>247</v>
      </c>
    </row>
    <row r="562">
      <c r="A562" s="2" t="s">
        <v>930</v>
      </c>
      <c r="B562" s="100">
        <v>44580.0</v>
      </c>
      <c r="C562" s="101">
        <v>0.415</v>
      </c>
      <c r="G562" s="2" t="s">
        <v>2184</v>
      </c>
      <c r="H562" s="2" t="s">
        <v>52</v>
      </c>
      <c r="I562" s="100">
        <v>44580.0</v>
      </c>
      <c r="J562" s="101">
        <v>0.5073726851851852</v>
      </c>
      <c r="K562" s="2">
        <v>1.0</v>
      </c>
      <c r="L562" s="2" t="b">
        <v>1</v>
      </c>
      <c r="N562" s="2" t="s">
        <v>247</v>
      </c>
    </row>
    <row r="563">
      <c r="A563" s="2" t="s">
        <v>928</v>
      </c>
      <c r="B563" s="100">
        <v>44580.0</v>
      </c>
      <c r="C563" s="101">
        <v>0.41456018518518517</v>
      </c>
      <c r="G563" s="2" t="s">
        <v>2184</v>
      </c>
      <c r="H563" s="2" t="s">
        <v>52</v>
      </c>
      <c r="I563" s="100">
        <v>44580.0</v>
      </c>
      <c r="J563" s="101">
        <v>0.5073611111111112</v>
      </c>
      <c r="K563" s="2">
        <v>1.0</v>
      </c>
      <c r="L563" s="2" t="b">
        <v>1</v>
      </c>
      <c r="N563" s="2" t="s">
        <v>247</v>
      </c>
    </row>
    <row r="564">
      <c r="A564" s="2" t="s">
        <v>925</v>
      </c>
      <c r="B564" s="100">
        <v>44580.0</v>
      </c>
      <c r="C564" s="101">
        <v>0.41006944444444443</v>
      </c>
      <c r="G564" s="2" t="s">
        <v>2184</v>
      </c>
      <c r="H564" s="2" t="s">
        <v>244</v>
      </c>
      <c r="I564" s="100">
        <v>44580.0</v>
      </c>
      <c r="J564" s="101">
        <v>0.5080208333333334</v>
      </c>
      <c r="K564" s="2">
        <v>1.0</v>
      </c>
      <c r="L564" s="2" t="b">
        <v>1</v>
      </c>
      <c r="M564" s="2" t="s">
        <v>2491</v>
      </c>
      <c r="N564" s="2" t="s">
        <v>247</v>
      </c>
    </row>
    <row r="565">
      <c r="A565" s="2" t="s">
        <v>922</v>
      </c>
      <c r="B565" s="100">
        <v>44580.0</v>
      </c>
      <c r="C565" s="101">
        <v>0.40792824074074074</v>
      </c>
      <c r="G565" s="2" t="s">
        <v>2184</v>
      </c>
      <c r="H565" s="2" t="s">
        <v>244</v>
      </c>
      <c r="I565" s="100">
        <v>44580.0</v>
      </c>
      <c r="J565" s="101">
        <v>0.5080208333333334</v>
      </c>
      <c r="K565" s="2">
        <v>1.0</v>
      </c>
      <c r="L565" s="2" t="b">
        <v>1</v>
      </c>
      <c r="M565" s="2" t="s">
        <v>2491</v>
      </c>
      <c r="N565" s="2" t="s">
        <v>247</v>
      </c>
    </row>
    <row r="566">
      <c r="A566" s="2" t="s">
        <v>920</v>
      </c>
      <c r="B566" s="100">
        <v>44580.0</v>
      </c>
      <c r="C566" s="101">
        <v>0.3460648148148148</v>
      </c>
      <c r="G566" s="2" t="s">
        <v>2184</v>
      </c>
      <c r="H566" s="2" t="s">
        <v>52</v>
      </c>
      <c r="I566" s="100">
        <v>44580.0</v>
      </c>
      <c r="J566" s="101">
        <v>0.5073611111111112</v>
      </c>
      <c r="K566" s="2">
        <v>1.0</v>
      </c>
      <c r="L566" s="2" t="b">
        <v>1</v>
      </c>
      <c r="N566" s="2" t="s">
        <v>247</v>
      </c>
    </row>
    <row r="567">
      <c r="A567" s="2" t="s">
        <v>917</v>
      </c>
      <c r="B567" s="100">
        <v>44580.0</v>
      </c>
      <c r="C567" s="101">
        <v>0.29824074074074075</v>
      </c>
      <c r="G567" s="2" t="s">
        <v>2184</v>
      </c>
      <c r="H567" s="2" t="s">
        <v>244</v>
      </c>
      <c r="I567" s="100">
        <v>44580.0</v>
      </c>
      <c r="J567" s="101">
        <v>0.5080208333333334</v>
      </c>
      <c r="K567" s="2">
        <v>0.0</v>
      </c>
      <c r="L567" s="2" t="b">
        <v>1</v>
      </c>
      <c r="M567" s="2" t="s">
        <v>2491</v>
      </c>
      <c r="N567" s="2" t="s">
        <v>247</v>
      </c>
    </row>
    <row r="568">
      <c r="A568" s="2" t="s">
        <v>915</v>
      </c>
      <c r="B568" s="100">
        <v>44580.0</v>
      </c>
      <c r="C568" s="101">
        <v>0.2900578703703704</v>
      </c>
      <c r="G568" s="2" t="s">
        <v>2184</v>
      </c>
      <c r="H568" s="2" t="s">
        <v>244</v>
      </c>
      <c r="I568" s="100">
        <v>44580.0</v>
      </c>
      <c r="J568" s="101">
        <v>0.5080208333333334</v>
      </c>
      <c r="K568" s="2">
        <v>1.0</v>
      </c>
      <c r="L568" s="2" t="b">
        <v>1</v>
      </c>
      <c r="M568" s="2" t="s">
        <v>2491</v>
      </c>
      <c r="N568" s="2" t="s">
        <v>247</v>
      </c>
    </row>
    <row r="569">
      <c r="A569" s="2" t="s">
        <v>912</v>
      </c>
      <c r="B569" s="100">
        <v>44580.0</v>
      </c>
      <c r="C569" s="101">
        <v>0.2888310185185185</v>
      </c>
      <c r="G569" s="2" t="s">
        <v>2184</v>
      </c>
      <c r="H569" s="2" t="s">
        <v>244</v>
      </c>
      <c r="I569" s="100">
        <v>44580.0</v>
      </c>
      <c r="J569" s="101">
        <v>0.5080208333333334</v>
      </c>
      <c r="K569" s="2">
        <v>1.0</v>
      </c>
      <c r="L569" s="2" t="b">
        <v>1</v>
      </c>
      <c r="M569" s="2" t="s">
        <v>2491</v>
      </c>
      <c r="N569" s="2" t="s">
        <v>247</v>
      </c>
    </row>
    <row r="570">
      <c r="A570" s="2" t="s">
        <v>910</v>
      </c>
      <c r="B570" s="100">
        <v>44579.0</v>
      </c>
      <c r="C570" s="101">
        <v>0.4159259259259259</v>
      </c>
      <c r="G570" s="2" t="s">
        <v>2184</v>
      </c>
      <c r="H570" s="2" t="s">
        <v>52</v>
      </c>
      <c r="I570" s="100">
        <v>44579.0</v>
      </c>
      <c r="J570" s="101">
        <v>0.5015972222222222</v>
      </c>
      <c r="K570" s="2">
        <v>1.0</v>
      </c>
      <c r="L570" s="2" t="b">
        <v>1</v>
      </c>
      <c r="N570" s="2" t="s">
        <v>247</v>
      </c>
    </row>
    <row r="571">
      <c r="A571" s="2" t="s">
        <v>907</v>
      </c>
      <c r="B571" s="100">
        <v>44579.0</v>
      </c>
      <c r="C571" s="101">
        <v>0.4153472222222222</v>
      </c>
      <c r="G571" s="2" t="s">
        <v>2184</v>
      </c>
      <c r="H571" s="2" t="s">
        <v>52</v>
      </c>
      <c r="I571" s="100">
        <v>44579.0</v>
      </c>
      <c r="J571" s="101">
        <v>0.5015972222222222</v>
      </c>
      <c r="K571" s="2">
        <v>1.0</v>
      </c>
      <c r="L571" s="2" t="b">
        <v>1</v>
      </c>
      <c r="N571" s="2" t="s">
        <v>247</v>
      </c>
    </row>
    <row r="572">
      <c r="A572" s="2" t="s">
        <v>904</v>
      </c>
      <c r="B572" s="100">
        <v>44579.0</v>
      </c>
      <c r="C572" s="101">
        <v>0.41445601851851854</v>
      </c>
      <c r="G572" s="2" t="s">
        <v>2184</v>
      </c>
      <c r="H572" s="2" t="s">
        <v>52</v>
      </c>
      <c r="I572" s="100">
        <v>44579.0</v>
      </c>
      <c r="J572" s="101">
        <v>0.5015972222222222</v>
      </c>
      <c r="K572" s="2">
        <v>1.0</v>
      </c>
      <c r="L572" s="2" t="b">
        <v>1</v>
      </c>
      <c r="N572" s="2" t="s">
        <v>247</v>
      </c>
    </row>
    <row r="573">
      <c r="A573" s="2" t="s">
        <v>901</v>
      </c>
      <c r="B573" s="100">
        <v>44579.0</v>
      </c>
      <c r="C573" s="101">
        <v>0.4140740740740741</v>
      </c>
      <c r="G573" s="2" t="s">
        <v>2184</v>
      </c>
      <c r="H573" s="2" t="s">
        <v>52</v>
      </c>
      <c r="I573" s="100">
        <v>44579.0</v>
      </c>
      <c r="J573" s="101">
        <v>0.5015972222222222</v>
      </c>
      <c r="K573" s="2">
        <v>1.0</v>
      </c>
      <c r="L573" s="2" t="b">
        <v>1</v>
      </c>
      <c r="N573" s="2" t="s">
        <v>247</v>
      </c>
    </row>
    <row r="574">
      <c r="A574" s="2" t="s">
        <v>898</v>
      </c>
      <c r="B574" s="100">
        <v>44579.0</v>
      </c>
      <c r="C574" s="101">
        <v>0.41368055555555555</v>
      </c>
      <c r="G574" s="2" t="s">
        <v>2184</v>
      </c>
      <c r="H574" s="2" t="s">
        <v>52</v>
      </c>
      <c r="I574" s="100">
        <v>44579.0</v>
      </c>
      <c r="J574" s="101">
        <v>0.5015972222222222</v>
      </c>
      <c r="K574" s="2">
        <v>1.0</v>
      </c>
      <c r="L574" s="2" t="b">
        <v>1</v>
      </c>
      <c r="N574" s="2" t="s">
        <v>247</v>
      </c>
    </row>
    <row r="575">
      <c r="A575" s="2" t="s">
        <v>895</v>
      </c>
      <c r="B575" s="100">
        <v>44579.0</v>
      </c>
      <c r="C575" s="101">
        <v>0.41333333333333333</v>
      </c>
      <c r="G575" s="2" t="s">
        <v>2184</v>
      </c>
      <c r="H575" s="2" t="s">
        <v>52</v>
      </c>
      <c r="I575" s="100">
        <v>44579.0</v>
      </c>
      <c r="J575" s="101">
        <v>0.5015972222222222</v>
      </c>
      <c r="K575" s="2">
        <v>1.0</v>
      </c>
      <c r="L575" s="2" t="b">
        <v>1</v>
      </c>
      <c r="N575" s="2" t="s">
        <v>247</v>
      </c>
    </row>
    <row r="576">
      <c r="A576" s="2" t="s">
        <v>892</v>
      </c>
      <c r="B576" s="100">
        <v>44579.0</v>
      </c>
      <c r="C576" s="101">
        <v>0.41303240740740743</v>
      </c>
      <c r="G576" s="2" t="s">
        <v>2184</v>
      </c>
      <c r="H576" s="2" t="s">
        <v>244</v>
      </c>
      <c r="I576" s="100">
        <v>44580.0</v>
      </c>
      <c r="J576" s="101">
        <v>0.5080208333333334</v>
      </c>
      <c r="K576" s="2">
        <v>1.0</v>
      </c>
      <c r="L576" s="2" t="b">
        <v>1</v>
      </c>
      <c r="M576" s="2" t="s">
        <v>2492</v>
      </c>
      <c r="N576" s="2" t="s">
        <v>247</v>
      </c>
    </row>
    <row r="577">
      <c r="A577" s="2" t="s">
        <v>890</v>
      </c>
      <c r="B577" s="100">
        <v>44579.0</v>
      </c>
      <c r="C577" s="101">
        <v>0.40466435185185184</v>
      </c>
      <c r="G577" s="2" t="s">
        <v>2184</v>
      </c>
      <c r="H577" s="2" t="s">
        <v>52</v>
      </c>
      <c r="I577" s="100">
        <v>44579.0</v>
      </c>
      <c r="J577" s="101">
        <v>0.5015972222222222</v>
      </c>
      <c r="K577" s="2">
        <v>1.0</v>
      </c>
      <c r="L577" s="2" t="b">
        <v>1</v>
      </c>
      <c r="N577" s="2" t="s">
        <v>247</v>
      </c>
    </row>
    <row r="578">
      <c r="A578" s="2" t="s">
        <v>888</v>
      </c>
      <c r="B578" s="100">
        <v>44579.0</v>
      </c>
      <c r="C578" s="101">
        <v>0.36159722222222224</v>
      </c>
      <c r="G578" s="2" t="s">
        <v>2184</v>
      </c>
      <c r="H578" s="2" t="s">
        <v>244</v>
      </c>
      <c r="I578" s="100">
        <v>44580.0</v>
      </c>
      <c r="J578" s="101">
        <v>0.5080208333333334</v>
      </c>
      <c r="K578" s="2">
        <v>1.0</v>
      </c>
      <c r="L578" s="2" t="b">
        <v>1</v>
      </c>
      <c r="M578" s="2" t="s">
        <v>2491</v>
      </c>
      <c r="N578" s="2" t="s">
        <v>247</v>
      </c>
    </row>
    <row r="579">
      <c r="A579" s="2" t="s">
        <v>885</v>
      </c>
      <c r="B579" s="100">
        <v>44579.0</v>
      </c>
      <c r="C579" s="101">
        <v>0.35052083333333334</v>
      </c>
      <c r="G579" s="2" t="s">
        <v>2184</v>
      </c>
      <c r="H579" s="2" t="s">
        <v>244</v>
      </c>
      <c r="I579" s="100">
        <v>44580.0</v>
      </c>
      <c r="J579" s="101">
        <v>0.5080208333333334</v>
      </c>
      <c r="K579" s="2">
        <v>1.0</v>
      </c>
      <c r="L579" s="2" t="b">
        <v>1</v>
      </c>
      <c r="M579" s="2" t="s">
        <v>2492</v>
      </c>
      <c r="N579" s="2" t="s">
        <v>247</v>
      </c>
    </row>
    <row r="580">
      <c r="A580" s="2" t="s">
        <v>883</v>
      </c>
      <c r="B580" s="100">
        <v>44579.0</v>
      </c>
      <c r="C580" s="101">
        <v>0.34877314814814814</v>
      </c>
      <c r="G580" s="2" t="s">
        <v>2184</v>
      </c>
      <c r="H580" s="2" t="s">
        <v>244</v>
      </c>
      <c r="I580" s="100">
        <v>44580.0</v>
      </c>
      <c r="J580" s="101">
        <v>0.5080208333333334</v>
      </c>
      <c r="K580" s="2">
        <v>1.0</v>
      </c>
      <c r="L580" s="2" t="b">
        <v>1</v>
      </c>
      <c r="M580" s="2" t="s">
        <v>2492</v>
      </c>
      <c r="N580" s="2" t="s">
        <v>247</v>
      </c>
    </row>
    <row r="581">
      <c r="A581" s="2" t="s">
        <v>880</v>
      </c>
      <c r="B581" s="100">
        <v>44579.0</v>
      </c>
      <c r="C581" s="101">
        <v>0.3482060185185185</v>
      </c>
      <c r="G581" s="2" t="s">
        <v>2184</v>
      </c>
      <c r="H581" s="2" t="s">
        <v>244</v>
      </c>
      <c r="I581" s="100">
        <v>44580.0</v>
      </c>
      <c r="J581" s="101">
        <v>0.5080208333333334</v>
      </c>
      <c r="K581" s="2">
        <v>1.0</v>
      </c>
      <c r="L581" s="2" t="b">
        <v>1</v>
      </c>
      <c r="M581" s="2" t="s">
        <v>2492</v>
      </c>
      <c r="N581" s="2" t="s">
        <v>247</v>
      </c>
    </row>
    <row r="582">
      <c r="A582" s="2" t="s">
        <v>878</v>
      </c>
      <c r="B582" s="100">
        <v>44579.0</v>
      </c>
      <c r="C582" s="101">
        <v>0.34629629629629627</v>
      </c>
      <c r="G582" s="2" t="s">
        <v>2184</v>
      </c>
      <c r="H582" s="2" t="s">
        <v>244</v>
      </c>
      <c r="I582" s="100">
        <v>44580.0</v>
      </c>
      <c r="J582" s="101">
        <v>0.5080208333333334</v>
      </c>
      <c r="K582" s="2">
        <v>1.0</v>
      </c>
      <c r="L582" s="2" t="b">
        <v>1</v>
      </c>
      <c r="M582" s="2" t="s">
        <v>2492</v>
      </c>
      <c r="N582" s="2" t="s">
        <v>247</v>
      </c>
    </row>
    <row r="583">
      <c r="A583" s="2" t="s">
        <v>874</v>
      </c>
      <c r="B583" s="100">
        <v>44579.0</v>
      </c>
      <c r="C583" s="101">
        <v>0.3413888888888889</v>
      </c>
      <c r="G583" s="2" t="s">
        <v>2184</v>
      </c>
      <c r="H583" s="2" t="s">
        <v>244</v>
      </c>
      <c r="I583" s="100">
        <v>44580.0</v>
      </c>
      <c r="J583" s="101">
        <v>0.5080208333333334</v>
      </c>
      <c r="K583" s="2">
        <v>1.0</v>
      </c>
      <c r="L583" s="2" t="b">
        <v>1</v>
      </c>
      <c r="M583" s="2" t="s">
        <v>2492</v>
      </c>
      <c r="N583" s="2" t="s">
        <v>247</v>
      </c>
    </row>
    <row r="584">
      <c r="A584" s="2" t="s">
        <v>872</v>
      </c>
      <c r="B584" s="100">
        <v>44579.0</v>
      </c>
      <c r="C584" s="101">
        <v>0.34042824074074074</v>
      </c>
      <c r="G584" s="2" t="s">
        <v>2184</v>
      </c>
      <c r="H584" s="2" t="s">
        <v>244</v>
      </c>
      <c r="I584" s="100">
        <v>44580.0</v>
      </c>
      <c r="J584" s="101">
        <v>0.5080092592592592</v>
      </c>
      <c r="K584" s="2">
        <v>1.0</v>
      </c>
      <c r="L584" s="2" t="b">
        <v>1</v>
      </c>
      <c r="M584" s="2" t="s">
        <v>2492</v>
      </c>
      <c r="N584" s="2" t="s">
        <v>247</v>
      </c>
    </row>
    <row r="585">
      <c r="A585" s="2" t="s">
        <v>869</v>
      </c>
      <c r="B585" s="100">
        <v>44579.0</v>
      </c>
      <c r="C585" s="101">
        <v>0.3325462962962963</v>
      </c>
      <c r="G585" s="2" t="s">
        <v>2184</v>
      </c>
      <c r="H585" s="2" t="s">
        <v>244</v>
      </c>
      <c r="I585" s="100">
        <v>44580.0</v>
      </c>
      <c r="J585" s="101">
        <v>0.5080092592592592</v>
      </c>
      <c r="K585" s="2">
        <v>1.0</v>
      </c>
      <c r="L585" s="2" t="b">
        <v>1</v>
      </c>
      <c r="M585" s="2" t="s">
        <v>2492</v>
      </c>
      <c r="N585" s="2" t="s">
        <v>247</v>
      </c>
    </row>
    <row r="586">
      <c r="A586" s="2" t="s">
        <v>867</v>
      </c>
      <c r="B586" s="100">
        <v>44579.0</v>
      </c>
      <c r="C586" s="101">
        <v>0.3324884259259259</v>
      </c>
      <c r="G586" s="2" t="s">
        <v>2184</v>
      </c>
      <c r="H586" s="2" t="s">
        <v>244</v>
      </c>
      <c r="I586" s="100">
        <v>44580.0</v>
      </c>
      <c r="J586" s="101">
        <v>0.5080092592592592</v>
      </c>
      <c r="K586" s="2">
        <v>1.0</v>
      </c>
      <c r="L586" s="2" t="b">
        <v>1</v>
      </c>
      <c r="M586" s="2" t="s">
        <v>2492</v>
      </c>
      <c r="N586" s="2" t="s">
        <v>247</v>
      </c>
    </row>
    <row r="587">
      <c r="A587" s="2" t="s">
        <v>2433</v>
      </c>
      <c r="B587" s="100">
        <v>44579.0</v>
      </c>
      <c r="C587" s="101">
        <v>0.3321296296296296</v>
      </c>
      <c r="G587" s="2" t="s">
        <v>2184</v>
      </c>
      <c r="H587" s="2" t="s">
        <v>244</v>
      </c>
      <c r="I587" s="100">
        <v>44580.0</v>
      </c>
      <c r="J587" s="101">
        <v>0.5080092592592592</v>
      </c>
      <c r="K587" s="2">
        <v>1.0</v>
      </c>
      <c r="L587" s="2" t="b">
        <v>1</v>
      </c>
      <c r="M587" s="2" t="s">
        <v>2492</v>
      </c>
      <c r="N587" s="2" t="s">
        <v>247</v>
      </c>
    </row>
    <row r="588">
      <c r="A588" s="2" t="s">
        <v>861</v>
      </c>
      <c r="B588" s="100">
        <v>44579.0</v>
      </c>
      <c r="C588" s="101">
        <v>0.332025462962963</v>
      </c>
      <c r="G588" s="2" t="s">
        <v>2184</v>
      </c>
      <c r="H588" s="2" t="s">
        <v>244</v>
      </c>
      <c r="I588" s="100">
        <v>44580.0</v>
      </c>
      <c r="J588" s="101">
        <v>0.5080092592592592</v>
      </c>
      <c r="K588" s="2">
        <v>1.0</v>
      </c>
      <c r="L588" s="2" t="b">
        <v>1</v>
      </c>
      <c r="M588" s="2" t="s">
        <v>2492</v>
      </c>
      <c r="N588" s="2" t="s">
        <v>247</v>
      </c>
    </row>
    <row r="589">
      <c r="A589" s="2" t="s">
        <v>2434</v>
      </c>
      <c r="B589" s="100">
        <v>44579.0</v>
      </c>
      <c r="C589" s="101">
        <v>0.3317824074074074</v>
      </c>
      <c r="G589" s="2" t="s">
        <v>2184</v>
      </c>
      <c r="H589" s="2" t="s">
        <v>244</v>
      </c>
      <c r="I589" s="100">
        <v>44580.0</v>
      </c>
      <c r="J589" s="101">
        <v>0.5080092592592592</v>
      </c>
      <c r="K589" s="2">
        <v>1.0</v>
      </c>
      <c r="L589" s="2" t="b">
        <v>1</v>
      </c>
      <c r="M589" s="2" t="s">
        <v>2492</v>
      </c>
      <c r="N589" s="2" t="s">
        <v>247</v>
      </c>
    </row>
    <row r="590">
      <c r="A590" s="2" t="s">
        <v>856</v>
      </c>
      <c r="B590" s="100">
        <v>44579.0</v>
      </c>
      <c r="C590" s="101">
        <v>0.33121527777777776</v>
      </c>
      <c r="G590" s="2" t="s">
        <v>2184</v>
      </c>
      <c r="H590" s="2" t="s">
        <v>244</v>
      </c>
      <c r="I590" s="100">
        <v>44580.0</v>
      </c>
      <c r="J590" s="101">
        <v>0.5080092592592592</v>
      </c>
      <c r="K590" s="2">
        <v>1.0</v>
      </c>
      <c r="L590" s="2" t="b">
        <v>1</v>
      </c>
      <c r="M590" s="2" t="s">
        <v>2492</v>
      </c>
      <c r="N590" s="2" t="s">
        <v>247</v>
      </c>
    </row>
    <row r="591">
      <c r="A591" s="2" t="s">
        <v>853</v>
      </c>
      <c r="B591" s="100">
        <v>44579.0</v>
      </c>
      <c r="C591" s="101">
        <v>0.33101851851851855</v>
      </c>
      <c r="G591" s="2" t="s">
        <v>2184</v>
      </c>
      <c r="H591" s="2" t="s">
        <v>244</v>
      </c>
      <c r="I591" s="100">
        <v>44580.0</v>
      </c>
      <c r="J591" s="101">
        <v>0.5080092592592592</v>
      </c>
      <c r="K591" s="2">
        <v>1.0</v>
      </c>
      <c r="L591" s="2" t="b">
        <v>1</v>
      </c>
      <c r="M591" s="2" t="s">
        <v>2492</v>
      </c>
      <c r="N591" s="2" t="s">
        <v>247</v>
      </c>
    </row>
    <row r="592">
      <c r="A592" s="2" t="s">
        <v>849</v>
      </c>
      <c r="B592" s="100">
        <v>44579.0</v>
      </c>
      <c r="C592" s="101">
        <v>0.33091435185185186</v>
      </c>
      <c r="G592" s="2" t="s">
        <v>2184</v>
      </c>
      <c r="H592" s="2" t="s">
        <v>52</v>
      </c>
      <c r="I592" s="100">
        <v>44579.0</v>
      </c>
      <c r="J592" s="101">
        <v>0.5015972222222222</v>
      </c>
      <c r="K592" s="2">
        <v>1.0</v>
      </c>
      <c r="L592" s="2" t="b">
        <v>1</v>
      </c>
      <c r="N592" s="2" t="s">
        <v>247</v>
      </c>
    </row>
    <row r="593">
      <c r="A593" s="2" t="s">
        <v>847</v>
      </c>
      <c r="B593" s="100">
        <v>44579.0</v>
      </c>
      <c r="C593" s="101">
        <v>0.32914351851851853</v>
      </c>
      <c r="G593" s="2" t="s">
        <v>2184</v>
      </c>
      <c r="H593" s="2" t="s">
        <v>244</v>
      </c>
      <c r="I593" s="100">
        <v>44580.0</v>
      </c>
      <c r="J593" s="101">
        <v>0.5080092592592592</v>
      </c>
      <c r="K593" s="2">
        <v>1.0</v>
      </c>
      <c r="L593" s="2" t="b">
        <v>1</v>
      </c>
      <c r="M593" s="2" t="s">
        <v>2492</v>
      </c>
      <c r="N593" s="2" t="s">
        <v>247</v>
      </c>
    </row>
    <row r="594">
      <c r="A594" s="2" t="s">
        <v>845</v>
      </c>
      <c r="B594" s="100">
        <v>44579.0</v>
      </c>
      <c r="C594" s="101">
        <v>0.3278935185185185</v>
      </c>
      <c r="G594" s="2" t="s">
        <v>2184</v>
      </c>
      <c r="H594" s="2" t="s">
        <v>244</v>
      </c>
      <c r="I594" s="100">
        <v>44580.0</v>
      </c>
      <c r="J594" s="101">
        <v>0.5080092592592592</v>
      </c>
      <c r="K594" s="2">
        <v>1.0</v>
      </c>
      <c r="L594" s="2" t="b">
        <v>1</v>
      </c>
      <c r="M594" s="2" t="s">
        <v>2492</v>
      </c>
      <c r="N594" s="2" t="s">
        <v>247</v>
      </c>
    </row>
    <row r="595">
      <c r="A595" s="2" t="s">
        <v>843</v>
      </c>
      <c r="B595" s="100">
        <v>44579.0</v>
      </c>
      <c r="C595" s="101">
        <v>0.3233101851851852</v>
      </c>
      <c r="G595" s="2" t="s">
        <v>2184</v>
      </c>
      <c r="H595" s="2" t="s">
        <v>244</v>
      </c>
      <c r="I595" s="100">
        <v>44580.0</v>
      </c>
      <c r="J595" s="101">
        <v>0.5080092592592592</v>
      </c>
      <c r="K595" s="2">
        <v>1.0</v>
      </c>
      <c r="L595" s="2" t="b">
        <v>1</v>
      </c>
      <c r="M595" s="2" t="s">
        <v>2492</v>
      </c>
      <c r="N595" s="2" t="s">
        <v>247</v>
      </c>
    </row>
    <row r="596">
      <c r="A596" s="2" t="s">
        <v>841</v>
      </c>
      <c r="B596" s="100">
        <v>44579.0</v>
      </c>
      <c r="C596" s="101">
        <v>0.3232175925925926</v>
      </c>
      <c r="G596" s="2" t="s">
        <v>2184</v>
      </c>
      <c r="H596" s="2" t="s">
        <v>244</v>
      </c>
      <c r="I596" s="100">
        <v>44580.0</v>
      </c>
      <c r="J596" s="101">
        <v>0.5080092592592592</v>
      </c>
      <c r="K596" s="2">
        <v>1.0</v>
      </c>
      <c r="L596" s="2" t="b">
        <v>1</v>
      </c>
      <c r="M596" s="2" t="s">
        <v>2492</v>
      </c>
      <c r="N596" s="2" t="s">
        <v>247</v>
      </c>
    </row>
    <row r="597">
      <c r="A597" s="2" t="s">
        <v>838</v>
      </c>
      <c r="B597" s="100">
        <v>44579.0</v>
      </c>
      <c r="C597" s="101">
        <v>0.32251157407407405</v>
      </c>
      <c r="G597" s="2" t="s">
        <v>2184</v>
      </c>
      <c r="H597" s="2" t="s">
        <v>52</v>
      </c>
      <c r="I597" s="100">
        <v>44579.0</v>
      </c>
      <c r="J597" s="101">
        <v>0.5015972222222222</v>
      </c>
      <c r="K597" s="2">
        <v>1.0</v>
      </c>
      <c r="L597" s="2" t="b">
        <v>1</v>
      </c>
      <c r="N597" s="2" t="s">
        <v>247</v>
      </c>
    </row>
    <row r="598">
      <c r="A598" s="2" t="s">
        <v>835</v>
      </c>
      <c r="B598" s="100">
        <v>44579.0</v>
      </c>
      <c r="C598" s="101">
        <v>0.3205324074074074</v>
      </c>
      <c r="G598" s="2" t="s">
        <v>2184</v>
      </c>
      <c r="H598" s="2" t="s">
        <v>244</v>
      </c>
      <c r="I598" s="100">
        <v>44580.0</v>
      </c>
      <c r="J598" s="101">
        <v>0.5080092592592592</v>
      </c>
      <c r="K598" s="2">
        <v>1.0</v>
      </c>
      <c r="L598" s="2" t="b">
        <v>1</v>
      </c>
      <c r="M598" s="2" t="s">
        <v>2492</v>
      </c>
      <c r="N598" s="2" t="s">
        <v>247</v>
      </c>
    </row>
    <row r="599">
      <c r="A599" s="2" t="s">
        <v>833</v>
      </c>
      <c r="B599" s="100">
        <v>44579.0</v>
      </c>
      <c r="C599" s="101">
        <v>0.3162037037037037</v>
      </c>
      <c r="G599" s="2" t="s">
        <v>2184</v>
      </c>
      <c r="H599" s="2" t="s">
        <v>244</v>
      </c>
      <c r="I599" s="100">
        <v>44580.0</v>
      </c>
      <c r="J599" s="101">
        <v>0.5080092592592592</v>
      </c>
      <c r="K599" s="2">
        <v>1.0</v>
      </c>
      <c r="L599" s="2" t="b">
        <v>1</v>
      </c>
      <c r="M599" s="2" t="s">
        <v>2492</v>
      </c>
      <c r="N599" s="2" t="s">
        <v>247</v>
      </c>
    </row>
    <row r="600">
      <c r="A600" s="2" t="s">
        <v>830</v>
      </c>
      <c r="B600" s="100">
        <v>44579.0</v>
      </c>
      <c r="C600" s="101">
        <v>0.3112847222222222</v>
      </c>
      <c r="G600" s="2" t="s">
        <v>2184</v>
      </c>
      <c r="H600" s="2" t="s">
        <v>63</v>
      </c>
      <c r="I600" s="100">
        <v>44579.0</v>
      </c>
      <c r="J600" s="101">
        <v>0.5014930555555556</v>
      </c>
      <c r="K600" s="2">
        <v>1.0</v>
      </c>
      <c r="L600" s="2" t="b">
        <v>1</v>
      </c>
      <c r="N600" s="2" t="s">
        <v>247</v>
      </c>
    </row>
    <row r="601">
      <c r="A601" s="2" t="s">
        <v>826</v>
      </c>
      <c r="B601" s="100">
        <v>44579.0</v>
      </c>
      <c r="C601" s="101">
        <v>0.3022685185185185</v>
      </c>
      <c r="G601" s="2" t="s">
        <v>2184</v>
      </c>
      <c r="H601" s="2" t="s">
        <v>244</v>
      </c>
      <c r="I601" s="100">
        <v>44580.0</v>
      </c>
      <c r="J601" s="101">
        <v>0.5079976851851852</v>
      </c>
      <c r="K601" s="2">
        <v>1.0</v>
      </c>
      <c r="L601" s="2" t="b">
        <v>1</v>
      </c>
      <c r="M601" s="2" t="s">
        <v>2492</v>
      </c>
      <c r="N601" s="2" t="s">
        <v>247</v>
      </c>
    </row>
    <row r="602">
      <c r="A602" s="2" t="s">
        <v>2435</v>
      </c>
      <c r="B602" s="100">
        <v>44579.0</v>
      </c>
      <c r="C602" s="101">
        <v>0.2984837962962963</v>
      </c>
      <c r="G602" s="2" t="s">
        <v>2184</v>
      </c>
      <c r="H602" s="2" t="s">
        <v>244</v>
      </c>
      <c r="I602" s="100">
        <v>44580.0</v>
      </c>
      <c r="J602" s="101">
        <v>0.5079976851851852</v>
      </c>
      <c r="K602" s="2">
        <v>1.0</v>
      </c>
      <c r="L602" s="2" t="b">
        <v>1</v>
      </c>
      <c r="M602" s="2" t="s">
        <v>2492</v>
      </c>
      <c r="N602" s="2" t="s">
        <v>247</v>
      </c>
    </row>
    <row r="603">
      <c r="A603" s="2" t="s">
        <v>822</v>
      </c>
      <c r="B603" s="100">
        <v>44578.0</v>
      </c>
      <c r="C603" s="101">
        <v>0.35052083333333334</v>
      </c>
      <c r="G603" s="2" t="s">
        <v>2184</v>
      </c>
      <c r="H603" s="2" t="s">
        <v>244</v>
      </c>
      <c r="I603" s="100">
        <v>44580.0</v>
      </c>
      <c r="J603" s="101">
        <v>0.5079976851851852</v>
      </c>
      <c r="K603" s="2">
        <v>1.0</v>
      </c>
      <c r="L603" s="2" t="b">
        <v>1</v>
      </c>
      <c r="M603" s="2" t="s">
        <v>2492</v>
      </c>
      <c r="N603" s="2" t="s">
        <v>247</v>
      </c>
    </row>
    <row r="604">
      <c r="A604" s="2" t="s">
        <v>818</v>
      </c>
      <c r="B604" s="100">
        <v>44575.0</v>
      </c>
      <c r="C604" s="101">
        <v>0.40739583333333335</v>
      </c>
      <c r="G604" s="2" t="s">
        <v>2184</v>
      </c>
      <c r="H604" s="2" t="s">
        <v>244</v>
      </c>
      <c r="I604" s="100">
        <v>44575.0</v>
      </c>
      <c r="J604" s="101">
        <v>0.4820601851851852</v>
      </c>
      <c r="K604" s="2">
        <v>1.0</v>
      </c>
      <c r="L604" s="2" t="b">
        <v>1</v>
      </c>
      <c r="M604" s="2" t="s">
        <v>2493</v>
      </c>
      <c r="N604" s="2" t="s">
        <v>247</v>
      </c>
    </row>
    <row r="605">
      <c r="A605" s="2" t="s">
        <v>816</v>
      </c>
      <c r="B605" s="100">
        <v>44575.0</v>
      </c>
      <c r="C605" s="101">
        <v>0.38960648148148147</v>
      </c>
      <c r="G605" s="2" t="s">
        <v>2184</v>
      </c>
      <c r="H605" s="2" t="s">
        <v>244</v>
      </c>
      <c r="I605" s="100">
        <v>44575.0</v>
      </c>
      <c r="J605" s="101">
        <v>0.4820601851851852</v>
      </c>
      <c r="K605" s="2">
        <v>1.0</v>
      </c>
      <c r="L605" s="2" t="b">
        <v>1</v>
      </c>
      <c r="M605" s="2" t="s">
        <v>2493</v>
      </c>
      <c r="N605" s="2" t="s">
        <v>247</v>
      </c>
    </row>
    <row r="606">
      <c r="A606" s="2" t="s">
        <v>814</v>
      </c>
      <c r="B606" s="100">
        <v>44575.0</v>
      </c>
      <c r="C606" s="101">
        <v>0.3866550925925926</v>
      </c>
      <c r="G606" s="2" t="s">
        <v>2184</v>
      </c>
      <c r="H606" s="2" t="s">
        <v>52</v>
      </c>
      <c r="I606" s="100">
        <v>44579.0</v>
      </c>
      <c r="J606" s="101">
        <v>0.5015856481481481</v>
      </c>
      <c r="K606" s="2">
        <v>1.0</v>
      </c>
      <c r="L606" s="2" t="b">
        <v>1</v>
      </c>
      <c r="N606" s="2" t="s">
        <v>247</v>
      </c>
    </row>
    <row r="607">
      <c r="A607" s="2" t="s">
        <v>811</v>
      </c>
      <c r="B607" s="100">
        <v>44575.0</v>
      </c>
      <c r="C607" s="101">
        <v>0.38623842592592594</v>
      </c>
      <c r="G607" s="2" t="s">
        <v>2184</v>
      </c>
      <c r="H607" s="2" t="s">
        <v>52</v>
      </c>
      <c r="I607" s="100">
        <v>44579.0</v>
      </c>
      <c r="J607" s="101">
        <v>0.5015856481481481</v>
      </c>
      <c r="K607" s="2">
        <v>1.0</v>
      </c>
      <c r="L607" s="2" t="b">
        <v>1</v>
      </c>
      <c r="N607" s="2" t="s">
        <v>247</v>
      </c>
    </row>
    <row r="608">
      <c r="A608" s="2" t="s">
        <v>809</v>
      </c>
      <c r="B608" s="100">
        <v>44575.0</v>
      </c>
      <c r="C608" s="101">
        <v>0.3859722222222222</v>
      </c>
      <c r="G608" s="2" t="s">
        <v>2184</v>
      </c>
      <c r="H608" s="2" t="s">
        <v>52</v>
      </c>
      <c r="I608" s="100">
        <v>44579.0</v>
      </c>
      <c r="J608" s="101">
        <v>0.5015856481481481</v>
      </c>
      <c r="K608" s="2">
        <v>1.0</v>
      </c>
      <c r="L608" s="2" t="b">
        <v>1</v>
      </c>
      <c r="N608" s="2" t="s">
        <v>247</v>
      </c>
    </row>
    <row r="609">
      <c r="A609" s="2" t="s">
        <v>805</v>
      </c>
      <c r="B609" s="100">
        <v>44575.0</v>
      </c>
      <c r="C609" s="101">
        <v>0.35594907407407406</v>
      </c>
      <c r="G609" s="2" t="s">
        <v>2184</v>
      </c>
      <c r="H609" s="2" t="s">
        <v>244</v>
      </c>
      <c r="I609" s="100">
        <v>44575.0</v>
      </c>
      <c r="J609" s="101">
        <v>0.4820601851851852</v>
      </c>
      <c r="K609" s="2">
        <v>1.0</v>
      </c>
      <c r="L609" s="2" t="b">
        <v>1</v>
      </c>
      <c r="M609" s="2" t="s">
        <v>2493</v>
      </c>
      <c r="N609" s="2" t="s">
        <v>247</v>
      </c>
    </row>
    <row r="610">
      <c r="A610" s="2" t="s">
        <v>803</v>
      </c>
      <c r="B610" s="100">
        <v>44575.0</v>
      </c>
      <c r="C610" s="101">
        <v>0.3519097222222222</v>
      </c>
      <c r="G610" s="2" t="s">
        <v>2184</v>
      </c>
      <c r="H610" s="2" t="s">
        <v>244</v>
      </c>
      <c r="I610" s="100">
        <v>44575.0</v>
      </c>
      <c r="J610" s="101">
        <v>0.4820601851851852</v>
      </c>
      <c r="K610" s="2">
        <v>1.0</v>
      </c>
      <c r="L610" s="2" t="b">
        <v>1</v>
      </c>
      <c r="M610" s="2" t="s">
        <v>2493</v>
      </c>
      <c r="N610" s="2" t="s">
        <v>247</v>
      </c>
    </row>
    <row r="611">
      <c r="A611" s="2" t="s">
        <v>800</v>
      </c>
      <c r="B611" s="100">
        <v>44575.0</v>
      </c>
      <c r="C611" s="101">
        <v>0.3471180555555556</v>
      </c>
      <c r="G611" s="2" t="s">
        <v>2184</v>
      </c>
      <c r="H611" s="2" t="s">
        <v>244</v>
      </c>
      <c r="I611" s="100">
        <v>44575.0</v>
      </c>
      <c r="J611" s="101">
        <v>0.4820601851851852</v>
      </c>
      <c r="K611" s="2">
        <v>1.0</v>
      </c>
      <c r="L611" s="2" t="b">
        <v>1</v>
      </c>
      <c r="M611" s="2" t="s">
        <v>2493</v>
      </c>
      <c r="N611" s="2" t="s">
        <v>247</v>
      </c>
    </row>
    <row r="612">
      <c r="A612" s="2" t="s">
        <v>796</v>
      </c>
      <c r="B612" s="100">
        <v>44575.0</v>
      </c>
      <c r="C612" s="101">
        <v>0.3453703703703704</v>
      </c>
      <c r="G612" s="2" t="s">
        <v>2184</v>
      </c>
      <c r="H612" s="2" t="s">
        <v>244</v>
      </c>
      <c r="I612" s="100">
        <v>44575.0</v>
      </c>
      <c r="J612" s="101">
        <v>0.4820601851851852</v>
      </c>
      <c r="K612" s="2">
        <v>1.0</v>
      </c>
      <c r="L612" s="2" t="b">
        <v>1</v>
      </c>
      <c r="M612" s="2" t="s">
        <v>2493</v>
      </c>
      <c r="N612" s="2" t="s">
        <v>247</v>
      </c>
    </row>
    <row r="613">
      <c r="A613" s="2" t="s">
        <v>792</v>
      </c>
      <c r="B613" s="100">
        <v>44575.0</v>
      </c>
      <c r="C613" s="101">
        <v>0.3400578703703704</v>
      </c>
      <c r="G613" s="2" t="s">
        <v>2184</v>
      </c>
      <c r="H613" s="2" t="s">
        <v>52</v>
      </c>
      <c r="I613" s="100">
        <v>44579.0</v>
      </c>
      <c r="J613" s="101">
        <v>0.5015856481481481</v>
      </c>
      <c r="K613" s="2">
        <v>1.0</v>
      </c>
      <c r="L613" s="2" t="b">
        <v>1</v>
      </c>
      <c r="N613" s="2" t="s">
        <v>247</v>
      </c>
    </row>
    <row r="614">
      <c r="A614" s="2" t="s">
        <v>790</v>
      </c>
      <c r="B614" s="100">
        <v>44575.0</v>
      </c>
      <c r="C614" s="101">
        <v>0.3307175925925926</v>
      </c>
      <c r="G614" s="2" t="s">
        <v>2184</v>
      </c>
      <c r="H614" s="2" t="s">
        <v>244</v>
      </c>
      <c r="I614" s="100">
        <v>44575.0</v>
      </c>
      <c r="J614" s="101">
        <v>0.4820601851851852</v>
      </c>
      <c r="K614" s="2">
        <v>1.0</v>
      </c>
      <c r="L614" s="2" t="b">
        <v>1</v>
      </c>
      <c r="M614" s="2" t="s">
        <v>2493</v>
      </c>
      <c r="N614" s="2" t="s">
        <v>247</v>
      </c>
    </row>
    <row r="615">
      <c r="A615" s="2" t="s">
        <v>788</v>
      </c>
      <c r="B615" s="100">
        <v>44575.0</v>
      </c>
      <c r="C615" s="101">
        <v>0.3230439814814815</v>
      </c>
      <c r="G615" s="2" t="s">
        <v>2184</v>
      </c>
      <c r="H615" s="2" t="s">
        <v>52</v>
      </c>
      <c r="I615" s="100">
        <v>44579.0</v>
      </c>
      <c r="J615" s="101">
        <v>0.5015856481481481</v>
      </c>
      <c r="K615" s="2">
        <v>1.0</v>
      </c>
      <c r="L615" s="2" t="b">
        <v>1</v>
      </c>
      <c r="N615" s="2" t="s">
        <v>247</v>
      </c>
    </row>
    <row r="616">
      <c r="A616" s="2" t="s">
        <v>2436</v>
      </c>
      <c r="B616" s="100">
        <v>44575.0</v>
      </c>
      <c r="C616" s="101">
        <v>0.3125925925925926</v>
      </c>
      <c r="G616" s="2" t="s">
        <v>2184</v>
      </c>
      <c r="H616" s="2" t="s">
        <v>244</v>
      </c>
      <c r="I616" s="100">
        <v>44575.0</v>
      </c>
      <c r="J616" s="101">
        <v>0.4820601851851852</v>
      </c>
      <c r="K616" s="2">
        <v>1.0</v>
      </c>
      <c r="L616" s="2" t="b">
        <v>1</v>
      </c>
      <c r="M616" s="2" t="s">
        <v>2493</v>
      </c>
      <c r="N616" s="2" t="s">
        <v>247</v>
      </c>
    </row>
    <row r="617">
      <c r="A617" s="2" t="s">
        <v>784</v>
      </c>
      <c r="B617" s="100">
        <v>44575.0</v>
      </c>
      <c r="C617" s="101">
        <v>0.3111574074074074</v>
      </c>
      <c r="G617" s="2" t="s">
        <v>2184</v>
      </c>
      <c r="H617" s="2" t="s">
        <v>244</v>
      </c>
      <c r="I617" s="100">
        <v>44575.0</v>
      </c>
      <c r="J617" s="101">
        <v>0.4820601851851852</v>
      </c>
      <c r="K617" s="2">
        <v>1.0</v>
      </c>
      <c r="L617" s="2" t="b">
        <v>1</v>
      </c>
      <c r="M617" s="2" t="s">
        <v>2493</v>
      </c>
      <c r="N617" s="2" t="s">
        <v>247</v>
      </c>
    </row>
    <row r="618">
      <c r="A618" s="2" t="s">
        <v>782</v>
      </c>
      <c r="B618" s="100">
        <v>44575.0</v>
      </c>
      <c r="C618" s="101">
        <v>0.3110763888888889</v>
      </c>
      <c r="G618" s="2" t="s">
        <v>2184</v>
      </c>
      <c r="H618" s="2" t="s">
        <v>244</v>
      </c>
      <c r="I618" s="100">
        <v>44575.0</v>
      </c>
      <c r="J618" s="101">
        <v>0.4820601851851852</v>
      </c>
      <c r="K618" s="2">
        <v>1.0</v>
      </c>
      <c r="L618" s="2" t="b">
        <v>1</v>
      </c>
      <c r="M618" s="2" t="s">
        <v>2493</v>
      </c>
      <c r="N618" s="2" t="s">
        <v>247</v>
      </c>
    </row>
    <row r="619">
      <c r="A619" s="2" t="s">
        <v>780</v>
      </c>
      <c r="B619" s="100">
        <v>44575.0</v>
      </c>
      <c r="C619" s="101">
        <v>0.2949421296296296</v>
      </c>
      <c r="G619" s="2" t="s">
        <v>2184</v>
      </c>
      <c r="H619" s="2" t="s">
        <v>244</v>
      </c>
      <c r="I619" s="100">
        <v>44575.0</v>
      </c>
      <c r="J619" s="101">
        <v>0.4820601851851852</v>
      </c>
      <c r="K619" s="2">
        <v>1.0</v>
      </c>
      <c r="L619" s="2" t="b">
        <v>1</v>
      </c>
      <c r="M619" s="2" t="s">
        <v>2493</v>
      </c>
      <c r="N619" s="2" t="s">
        <v>247</v>
      </c>
    </row>
    <row r="620">
      <c r="A620" s="2" t="s">
        <v>778</v>
      </c>
      <c r="B620" s="100">
        <v>44575.0</v>
      </c>
      <c r="C620" s="101">
        <v>0.22658564814814816</v>
      </c>
      <c r="G620" s="2" t="s">
        <v>2184</v>
      </c>
      <c r="H620" s="2" t="s">
        <v>244</v>
      </c>
      <c r="I620" s="100">
        <v>44575.0</v>
      </c>
      <c r="J620" s="101">
        <v>0.4820601851851852</v>
      </c>
      <c r="K620" s="2">
        <v>1.0</v>
      </c>
      <c r="L620" s="2" t="b">
        <v>1</v>
      </c>
      <c r="M620" s="2" t="s">
        <v>2493</v>
      </c>
      <c r="N620" s="2" t="s">
        <v>247</v>
      </c>
    </row>
    <row r="621">
      <c r="A621" s="2" t="s">
        <v>775</v>
      </c>
      <c r="B621" s="100">
        <v>44574.0</v>
      </c>
      <c r="C621" s="101">
        <v>0.8491666666666666</v>
      </c>
      <c r="G621" s="2" t="s">
        <v>2184</v>
      </c>
      <c r="H621" s="2" t="s">
        <v>244</v>
      </c>
      <c r="I621" s="100">
        <v>44575.0</v>
      </c>
      <c r="J621" s="101">
        <v>0.4820601851851852</v>
      </c>
      <c r="K621" s="2">
        <v>1.0</v>
      </c>
      <c r="L621" s="2" t="b">
        <v>1</v>
      </c>
      <c r="M621" s="2" t="s">
        <v>2493</v>
      </c>
      <c r="N621" s="2" t="s">
        <v>247</v>
      </c>
    </row>
    <row r="622">
      <c r="A622" s="2" t="s">
        <v>773</v>
      </c>
      <c r="B622" s="100">
        <v>44574.0</v>
      </c>
      <c r="C622" s="101">
        <v>0.8485069444444444</v>
      </c>
      <c r="G622" s="2" t="s">
        <v>2184</v>
      </c>
      <c r="H622" s="2" t="s">
        <v>244</v>
      </c>
      <c r="I622" s="100">
        <v>44575.0</v>
      </c>
      <c r="J622" s="101">
        <v>0.48204861111111114</v>
      </c>
      <c r="K622" s="2">
        <v>1.0</v>
      </c>
      <c r="L622" s="2" t="b">
        <v>1</v>
      </c>
      <c r="M622" s="2" t="s">
        <v>2493</v>
      </c>
      <c r="N622" s="2" t="s">
        <v>247</v>
      </c>
    </row>
    <row r="623">
      <c r="A623" s="2" t="s">
        <v>770</v>
      </c>
      <c r="B623" s="100">
        <v>44574.0</v>
      </c>
      <c r="C623" s="101">
        <v>0.6712731481481482</v>
      </c>
      <c r="G623" s="2" t="s">
        <v>2184</v>
      </c>
      <c r="H623" s="2" t="s">
        <v>244</v>
      </c>
      <c r="I623" s="100">
        <v>44575.0</v>
      </c>
      <c r="J623" s="101">
        <v>0.48204861111111114</v>
      </c>
      <c r="K623" s="2">
        <v>1.0</v>
      </c>
      <c r="L623" s="2" t="b">
        <v>1</v>
      </c>
      <c r="M623" s="2" t="s">
        <v>2493</v>
      </c>
      <c r="N623" s="2" t="s">
        <v>247</v>
      </c>
    </row>
    <row r="624">
      <c r="A624" s="2" t="s">
        <v>767</v>
      </c>
      <c r="B624" s="100">
        <v>44574.0</v>
      </c>
      <c r="C624" s="101">
        <v>0.6161342592592592</v>
      </c>
      <c r="G624" s="2" t="s">
        <v>2184</v>
      </c>
      <c r="H624" s="2" t="s">
        <v>52</v>
      </c>
      <c r="I624" s="100">
        <v>44579.0</v>
      </c>
      <c r="J624" s="101">
        <v>0.5015856481481481</v>
      </c>
      <c r="K624" s="2">
        <v>1.0</v>
      </c>
      <c r="L624" s="2" t="b">
        <v>1</v>
      </c>
      <c r="N624" s="2" t="s">
        <v>247</v>
      </c>
    </row>
    <row r="625">
      <c r="A625" s="2" t="s">
        <v>2494</v>
      </c>
      <c r="B625" s="100">
        <v>44574.0</v>
      </c>
      <c r="C625" s="101">
        <v>0.5852314814814815</v>
      </c>
      <c r="G625" s="2" t="s">
        <v>2188</v>
      </c>
      <c r="H625" s="2" t="s">
        <v>254</v>
      </c>
      <c r="I625" s="100">
        <v>44861.0</v>
      </c>
      <c r="J625" s="101">
        <v>0.4895023148148148</v>
      </c>
      <c r="K625" s="2">
        <v>0.0</v>
      </c>
      <c r="N625" s="2" t="s">
        <v>247</v>
      </c>
    </row>
    <row r="626">
      <c r="A626" s="2" t="s">
        <v>761</v>
      </c>
      <c r="B626" s="100">
        <v>44574.0</v>
      </c>
      <c r="C626" s="101">
        <v>0.5845023148148148</v>
      </c>
      <c r="G626" s="2" t="s">
        <v>2184</v>
      </c>
      <c r="H626" s="2" t="s">
        <v>52</v>
      </c>
      <c r="I626" s="100">
        <v>44579.0</v>
      </c>
      <c r="J626" s="101">
        <v>0.5015856481481481</v>
      </c>
      <c r="K626" s="2">
        <v>1.0</v>
      </c>
      <c r="L626" s="2" t="b">
        <v>1</v>
      </c>
      <c r="N626" s="2" t="s">
        <v>247</v>
      </c>
    </row>
    <row r="627">
      <c r="A627" s="2" t="s">
        <v>758</v>
      </c>
      <c r="B627" s="100">
        <v>44573.0</v>
      </c>
      <c r="C627" s="101">
        <v>0.444224537037037</v>
      </c>
      <c r="G627" s="2" t="s">
        <v>2184</v>
      </c>
      <c r="H627" s="2" t="s">
        <v>244</v>
      </c>
      <c r="I627" s="100">
        <v>44575.0</v>
      </c>
      <c r="J627" s="101">
        <v>0.48204861111111114</v>
      </c>
      <c r="K627" s="2">
        <v>1.0</v>
      </c>
      <c r="L627" s="2" t="b">
        <v>1</v>
      </c>
      <c r="M627" s="2" t="s">
        <v>2495</v>
      </c>
      <c r="N627" s="2" t="s">
        <v>247</v>
      </c>
    </row>
    <row r="628">
      <c r="A628" s="2" t="s">
        <v>756</v>
      </c>
      <c r="B628" s="100">
        <v>44573.0</v>
      </c>
      <c r="C628" s="101">
        <v>0.42453703703703705</v>
      </c>
      <c r="G628" s="2" t="s">
        <v>2184</v>
      </c>
      <c r="H628" s="2" t="s">
        <v>244</v>
      </c>
      <c r="I628" s="100">
        <v>44575.0</v>
      </c>
      <c r="J628" s="101">
        <v>0.48204861111111114</v>
      </c>
      <c r="K628" s="2">
        <v>1.0</v>
      </c>
      <c r="L628" s="2" t="b">
        <v>1</v>
      </c>
      <c r="M628" s="2" t="s">
        <v>2495</v>
      </c>
      <c r="N628" s="2" t="s">
        <v>247</v>
      </c>
    </row>
    <row r="629">
      <c r="A629" s="2" t="s">
        <v>751</v>
      </c>
      <c r="B629" s="100">
        <v>44573.0</v>
      </c>
      <c r="C629" s="101">
        <v>0.4143287037037037</v>
      </c>
      <c r="G629" s="2" t="s">
        <v>2184</v>
      </c>
      <c r="H629" s="2" t="s">
        <v>244</v>
      </c>
      <c r="I629" s="100">
        <v>44575.0</v>
      </c>
      <c r="J629" s="101">
        <v>0.48204861111111114</v>
      </c>
      <c r="K629" s="2">
        <v>1.0</v>
      </c>
      <c r="L629" s="2" t="b">
        <v>1</v>
      </c>
      <c r="M629" s="2" t="s">
        <v>2495</v>
      </c>
      <c r="N629" s="2" t="s">
        <v>247</v>
      </c>
    </row>
    <row r="630">
      <c r="A630" s="2" t="s">
        <v>749</v>
      </c>
      <c r="B630" s="100">
        <v>44573.0</v>
      </c>
      <c r="C630" s="101">
        <v>0.39944444444444444</v>
      </c>
      <c r="G630" s="2" t="s">
        <v>2184</v>
      </c>
      <c r="H630" s="2" t="s">
        <v>244</v>
      </c>
      <c r="I630" s="100">
        <v>44575.0</v>
      </c>
      <c r="J630" s="101">
        <v>0.48204861111111114</v>
      </c>
      <c r="K630" s="2">
        <v>1.0</v>
      </c>
      <c r="L630" s="2" t="b">
        <v>1</v>
      </c>
      <c r="M630" s="2" t="s">
        <v>2495</v>
      </c>
      <c r="N630" s="2" t="s">
        <v>247</v>
      </c>
    </row>
    <row r="631">
      <c r="A631" s="2" t="s">
        <v>747</v>
      </c>
      <c r="B631" s="100">
        <v>44573.0</v>
      </c>
      <c r="C631" s="101">
        <v>0.3873263888888889</v>
      </c>
      <c r="G631" s="2" t="s">
        <v>2184</v>
      </c>
      <c r="H631" s="2" t="s">
        <v>244</v>
      </c>
      <c r="I631" s="100">
        <v>44575.0</v>
      </c>
      <c r="J631" s="101">
        <v>0.48203703703703704</v>
      </c>
      <c r="K631" s="2">
        <v>1.0</v>
      </c>
      <c r="L631" s="2" t="b">
        <v>1</v>
      </c>
      <c r="M631" s="2" t="s">
        <v>2495</v>
      </c>
      <c r="N631" s="2" t="s">
        <v>247</v>
      </c>
    </row>
    <row r="632">
      <c r="A632" s="2" t="s">
        <v>745</v>
      </c>
      <c r="B632" s="100">
        <v>44573.0</v>
      </c>
      <c r="C632" s="101">
        <v>0.3869444444444444</v>
      </c>
      <c r="G632" s="2" t="s">
        <v>2184</v>
      </c>
      <c r="H632" s="2" t="s">
        <v>52</v>
      </c>
      <c r="I632" s="100">
        <v>44579.0</v>
      </c>
      <c r="J632" s="101">
        <v>0.5015856481481481</v>
      </c>
      <c r="K632" s="2">
        <v>1.0</v>
      </c>
      <c r="L632" s="2" t="b">
        <v>1</v>
      </c>
      <c r="N632" s="2" t="s">
        <v>247</v>
      </c>
    </row>
    <row r="633">
      <c r="A633" s="2" t="s">
        <v>743</v>
      </c>
      <c r="B633" s="100">
        <v>44573.0</v>
      </c>
      <c r="C633" s="101">
        <v>0.38631944444444444</v>
      </c>
      <c r="G633" s="2" t="s">
        <v>2184</v>
      </c>
      <c r="H633" s="2" t="s">
        <v>244</v>
      </c>
      <c r="I633" s="100">
        <v>44575.0</v>
      </c>
      <c r="J633" s="101">
        <v>0.48203703703703704</v>
      </c>
      <c r="K633" s="2">
        <v>1.0</v>
      </c>
      <c r="L633" s="2" t="b">
        <v>1</v>
      </c>
      <c r="M633" s="2" t="s">
        <v>2495</v>
      </c>
      <c r="N633" s="2" t="s">
        <v>247</v>
      </c>
    </row>
    <row r="634">
      <c r="A634" s="2" t="s">
        <v>740</v>
      </c>
      <c r="B634" s="100">
        <v>44573.0</v>
      </c>
      <c r="C634" s="101">
        <v>0.3858564814814815</v>
      </c>
      <c r="G634" s="2" t="s">
        <v>2184</v>
      </c>
      <c r="H634" s="2" t="s">
        <v>52</v>
      </c>
      <c r="I634" s="100">
        <v>44579.0</v>
      </c>
      <c r="J634" s="101">
        <v>0.5015856481481481</v>
      </c>
      <c r="K634" s="2">
        <v>1.0</v>
      </c>
      <c r="L634" s="2" t="b">
        <v>1</v>
      </c>
      <c r="N634" s="2" t="s">
        <v>247</v>
      </c>
    </row>
    <row r="635">
      <c r="A635" s="2" t="s">
        <v>738</v>
      </c>
      <c r="B635" s="100">
        <v>44573.0</v>
      </c>
      <c r="C635" s="101">
        <v>0.38538194444444446</v>
      </c>
      <c r="G635" s="2" t="s">
        <v>2184</v>
      </c>
      <c r="H635" s="2" t="s">
        <v>244</v>
      </c>
      <c r="I635" s="100">
        <v>44575.0</v>
      </c>
      <c r="J635" s="101">
        <v>0.48203703703703704</v>
      </c>
      <c r="K635" s="2">
        <v>1.0</v>
      </c>
      <c r="L635" s="2" t="b">
        <v>1</v>
      </c>
      <c r="M635" s="2" t="s">
        <v>2495</v>
      </c>
      <c r="N635" s="2" t="s">
        <v>247</v>
      </c>
    </row>
    <row r="636">
      <c r="A636" s="2" t="s">
        <v>736</v>
      </c>
      <c r="B636" s="100">
        <v>44573.0</v>
      </c>
      <c r="C636" s="101">
        <v>0.38359953703703703</v>
      </c>
      <c r="G636" s="2" t="s">
        <v>2184</v>
      </c>
      <c r="H636" s="2" t="s">
        <v>52</v>
      </c>
      <c r="I636" s="100">
        <v>44579.0</v>
      </c>
      <c r="J636" s="101">
        <v>0.5015856481481481</v>
      </c>
      <c r="K636" s="2">
        <v>1.0</v>
      </c>
      <c r="L636" s="2" t="b">
        <v>1</v>
      </c>
      <c r="N636" s="2" t="s">
        <v>247</v>
      </c>
    </row>
    <row r="637">
      <c r="A637" s="2" t="s">
        <v>734</v>
      </c>
      <c r="B637" s="100">
        <v>44573.0</v>
      </c>
      <c r="C637" s="101">
        <v>0.38329861111111113</v>
      </c>
      <c r="G637" s="2" t="s">
        <v>2184</v>
      </c>
      <c r="H637" s="2" t="s">
        <v>244</v>
      </c>
      <c r="I637" s="100">
        <v>44575.0</v>
      </c>
      <c r="J637" s="101">
        <v>0.48203703703703704</v>
      </c>
      <c r="K637" s="2">
        <v>1.0</v>
      </c>
      <c r="L637" s="2" t="b">
        <v>1</v>
      </c>
      <c r="M637" s="2" t="s">
        <v>2495</v>
      </c>
      <c r="N637" s="2" t="s">
        <v>247</v>
      </c>
    </row>
    <row r="638">
      <c r="A638" s="2" t="s">
        <v>2437</v>
      </c>
      <c r="B638" s="100">
        <v>44573.0</v>
      </c>
      <c r="C638" s="101">
        <v>0.35030092592592593</v>
      </c>
      <c r="G638" s="2" t="s">
        <v>2184</v>
      </c>
      <c r="H638" s="2" t="s">
        <v>244</v>
      </c>
      <c r="I638" s="100">
        <v>44575.0</v>
      </c>
      <c r="J638" s="101">
        <v>0.48203703703703704</v>
      </c>
      <c r="K638" s="2">
        <v>1.0</v>
      </c>
      <c r="L638" s="2" t="b">
        <v>1</v>
      </c>
      <c r="M638" s="2" t="s">
        <v>2495</v>
      </c>
      <c r="N638" s="2" t="s">
        <v>247</v>
      </c>
    </row>
    <row r="639">
      <c r="A639" s="2" t="s">
        <v>726</v>
      </c>
      <c r="B639" s="100">
        <v>44573.0</v>
      </c>
      <c r="C639" s="101">
        <v>0.3486574074074074</v>
      </c>
      <c r="G639" s="2" t="s">
        <v>2184</v>
      </c>
      <c r="H639" s="2" t="s">
        <v>244</v>
      </c>
      <c r="I639" s="100">
        <v>44575.0</v>
      </c>
      <c r="J639" s="101">
        <v>0.48202546296296295</v>
      </c>
      <c r="K639" s="2">
        <v>1.0</v>
      </c>
      <c r="L639" s="2" t="b">
        <v>1</v>
      </c>
      <c r="M639" s="2" t="s">
        <v>2495</v>
      </c>
      <c r="N639" s="2" t="s">
        <v>247</v>
      </c>
    </row>
    <row r="640">
      <c r="A640" s="2" t="s">
        <v>2438</v>
      </c>
      <c r="B640" s="100">
        <v>44573.0</v>
      </c>
      <c r="C640" s="101">
        <v>0.347650462962963</v>
      </c>
      <c r="G640" s="2" t="s">
        <v>2184</v>
      </c>
      <c r="H640" s="2" t="s">
        <v>244</v>
      </c>
      <c r="I640" s="100">
        <v>44575.0</v>
      </c>
      <c r="J640" s="101">
        <v>0.48202546296296295</v>
      </c>
      <c r="K640" s="2">
        <v>1.0</v>
      </c>
      <c r="L640" s="2" t="b">
        <v>1</v>
      </c>
      <c r="M640" s="2" t="s">
        <v>2495</v>
      </c>
      <c r="N640" s="2" t="s">
        <v>247</v>
      </c>
    </row>
    <row r="641">
      <c r="A641" s="2" t="s">
        <v>2439</v>
      </c>
      <c r="B641" s="100">
        <v>44573.0</v>
      </c>
      <c r="C641" s="101">
        <v>0.3347800925925926</v>
      </c>
      <c r="G641" s="2" t="s">
        <v>2184</v>
      </c>
      <c r="H641" s="2" t="s">
        <v>244</v>
      </c>
      <c r="I641" s="100">
        <v>44575.0</v>
      </c>
      <c r="J641" s="101">
        <v>0.48202546296296295</v>
      </c>
      <c r="K641" s="2">
        <v>1.0</v>
      </c>
      <c r="L641" s="2" t="b">
        <v>1</v>
      </c>
      <c r="M641" s="2" t="s">
        <v>2495</v>
      </c>
      <c r="N641" s="2" t="s">
        <v>247</v>
      </c>
    </row>
    <row r="642">
      <c r="A642" s="2" t="s">
        <v>720</v>
      </c>
      <c r="B642" s="100">
        <v>44573.0</v>
      </c>
      <c r="C642" s="101">
        <v>0.3285532407407407</v>
      </c>
      <c r="G642" s="2" t="s">
        <v>2184</v>
      </c>
      <c r="H642" s="2" t="s">
        <v>244</v>
      </c>
      <c r="I642" s="100">
        <v>44575.0</v>
      </c>
      <c r="J642" s="101">
        <v>0.48202546296296295</v>
      </c>
      <c r="K642" s="2">
        <v>1.0</v>
      </c>
      <c r="L642" s="2" t="b">
        <v>1</v>
      </c>
      <c r="M642" s="2" t="s">
        <v>2495</v>
      </c>
      <c r="N642" s="2" t="s">
        <v>247</v>
      </c>
    </row>
    <row r="643">
      <c r="A643" s="2" t="s">
        <v>716</v>
      </c>
      <c r="B643" s="100">
        <v>44573.0</v>
      </c>
      <c r="C643" s="101">
        <v>0.32337962962962963</v>
      </c>
      <c r="G643" s="2" t="s">
        <v>2184</v>
      </c>
      <c r="H643" s="2" t="s">
        <v>52</v>
      </c>
      <c r="I643" s="100">
        <v>44579.0</v>
      </c>
      <c r="J643" s="101">
        <v>0.5015856481481481</v>
      </c>
      <c r="K643" s="2">
        <v>1.0</v>
      </c>
      <c r="L643" s="2" t="b">
        <v>1</v>
      </c>
      <c r="N643" s="2" t="s">
        <v>247</v>
      </c>
    </row>
    <row r="644">
      <c r="A644" s="2" t="s">
        <v>714</v>
      </c>
      <c r="B644" s="100">
        <v>44573.0</v>
      </c>
      <c r="C644" s="101">
        <v>0.31827546296296294</v>
      </c>
      <c r="G644" s="2" t="s">
        <v>2184</v>
      </c>
      <c r="H644" s="2" t="s">
        <v>244</v>
      </c>
      <c r="I644" s="100">
        <v>44575.0</v>
      </c>
      <c r="J644" s="101">
        <v>0.48202546296296295</v>
      </c>
      <c r="K644" s="2">
        <v>1.0</v>
      </c>
      <c r="L644" s="2" t="b">
        <v>1</v>
      </c>
      <c r="M644" s="2" t="s">
        <v>2495</v>
      </c>
      <c r="N644" s="2" t="s">
        <v>247</v>
      </c>
    </row>
    <row r="645">
      <c r="A645" s="2" t="s">
        <v>712</v>
      </c>
      <c r="B645" s="100">
        <v>44573.0</v>
      </c>
      <c r="C645" s="101">
        <v>0.29791666666666666</v>
      </c>
      <c r="G645" s="2" t="s">
        <v>2184</v>
      </c>
      <c r="H645" s="2" t="s">
        <v>244</v>
      </c>
      <c r="I645" s="100">
        <v>44575.0</v>
      </c>
      <c r="J645" s="101">
        <v>0.48202546296296295</v>
      </c>
      <c r="K645" s="2">
        <v>1.0</v>
      </c>
      <c r="L645" s="2" t="b">
        <v>1</v>
      </c>
      <c r="M645" s="2" t="s">
        <v>2495</v>
      </c>
      <c r="N645" s="2" t="s">
        <v>247</v>
      </c>
    </row>
    <row r="646">
      <c r="A646" s="2" t="s">
        <v>710</v>
      </c>
      <c r="B646" s="100">
        <v>44573.0</v>
      </c>
      <c r="C646" s="101">
        <v>0.2912037037037037</v>
      </c>
      <c r="G646" s="2" t="s">
        <v>2184</v>
      </c>
      <c r="H646" s="2" t="s">
        <v>244</v>
      </c>
      <c r="I646" s="100">
        <v>44575.0</v>
      </c>
      <c r="J646" s="101">
        <v>0.48202546296296295</v>
      </c>
      <c r="K646" s="2">
        <v>1.0</v>
      </c>
      <c r="L646" s="2" t="b">
        <v>1</v>
      </c>
      <c r="M646" s="2" t="s">
        <v>2495</v>
      </c>
      <c r="N646" s="2" t="s">
        <v>247</v>
      </c>
    </row>
    <row r="647">
      <c r="A647" s="2" t="s">
        <v>707</v>
      </c>
      <c r="B647" s="100">
        <v>44573.0</v>
      </c>
      <c r="C647" s="101">
        <v>0.28774305555555557</v>
      </c>
      <c r="G647" s="2" t="s">
        <v>2184</v>
      </c>
      <c r="H647" s="2" t="s">
        <v>244</v>
      </c>
      <c r="I647" s="100">
        <v>44575.0</v>
      </c>
      <c r="J647" s="101">
        <v>0.48202546296296295</v>
      </c>
      <c r="K647" s="2">
        <v>1.0</v>
      </c>
      <c r="L647" s="2" t="b">
        <v>1</v>
      </c>
      <c r="M647" s="2" t="s">
        <v>2495</v>
      </c>
      <c r="N647" s="2" t="s">
        <v>247</v>
      </c>
    </row>
    <row r="648">
      <c r="A648" s="2" t="s">
        <v>705</v>
      </c>
      <c r="B648" s="100">
        <v>44573.0</v>
      </c>
      <c r="C648" s="101">
        <v>0.28099537037037037</v>
      </c>
      <c r="G648" s="2" t="s">
        <v>2184</v>
      </c>
      <c r="H648" s="2" t="s">
        <v>244</v>
      </c>
      <c r="I648" s="100">
        <v>44575.0</v>
      </c>
      <c r="J648" s="101">
        <v>0.48202546296296295</v>
      </c>
      <c r="K648" s="2">
        <v>1.0</v>
      </c>
      <c r="L648" s="2" t="b">
        <v>1</v>
      </c>
      <c r="M648" s="2" t="s">
        <v>2495</v>
      </c>
      <c r="N648" s="2" t="s">
        <v>247</v>
      </c>
    </row>
    <row r="649">
      <c r="A649" s="2" t="s">
        <v>703</v>
      </c>
      <c r="B649" s="100">
        <v>44572.0</v>
      </c>
      <c r="C649" s="101">
        <v>0.5463310185185185</v>
      </c>
      <c r="G649" s="2" t="s">
        <v>2188</v>
      </c>
      <c r="H649" s="2" t="s">
        <v>254</v>
      </c>
      <c r="I649" s="100">
        <v>44861.0</v>
      </c>
      <c r="J649" s="101">
        <v>0.4895023148148148</v>
      </c>
      <c r="K649" s="2">
        <v>1.0</v>
      </c>
      <c r="N649" s="2" t="s">
        <v>247</v>
      </c>
    </row>
    <row r="650">
      <c r="A650" s="2" t="s">
        <v>700</v>
      </c>
      <c r="B650" s="100">
        <v>44572.0</v>
      </c>
      <c r="C650" s="101">
        <v>0.536875</v>
      </c>
      <c r="G650" s="2" t="s">
        <v>2188</v>
      </c>
      <c r="H650" s="2" t="s">
        <v>254</v>
      </c>
      <c r="I650" s="100">
        <v>44861.0</v>
      </c>
      <c r="J650" s="101">
        <v>0.4895023148148148</v>
      </c>
      <c r="K650" s="2">
        <v>1.0</v>
      </c>
      <c r="N650" s="2" t="s">
        <v>247</v>
      </c>
    </row>
    <row r="651">
      <c r="A651" s="2" t="s">
        <v>698</v>
      </c>
      <c r="B651" s="100">
        <v>44571.0</v>
      </c>
      <c r="C651" s="101">
        <v>0.42944444444444446</v>
      </c>
      <c r="G651" s="2" t="s">
        <v>2184</v>
      </c>
      <c r="H651" s="2" t="s">
        <v>244</v>
      </c>
      <c r="I651" s="100">
        <v>44571.0</v>
      </c>
      <c r="J651" s="101">
        <v>0.46598379629629627</v>
      </c>
      <c r="K651" s="2">
        <v>1.0</v>
      </c>
      <c r="L651" s="2" t="b">
        <v>1</v>
      </c>
      <c r="M651" s="2" t="s">
        <v>2496</v>
      </c>
      <c r="N651" s="2" t="s">
        <v>247</v>
      </c>
    </row>
    <row r="652">
      <c r="A652" s="2" t="s">
        <v>695</v>
      </c>
      <c r="B652" s="100">
        <v>44571.0</v>
      </c>
      <c r="C652" s="101">
        <v>0.4290162037037037</v>
      </c>
      <c r="G652" s="2" t="s">
        <v>2184</v>
      </c>
      <c r="H652" s="2" t="s">
        <v>244</v>
      </c>
      <c r="I652" s="100">
        <v>44571.0</v>
      </c>
      <c r="J652" s="101">
        <v>0.46598379629629627</v>
      </c>
      <c r="K652" s="2">
        <v>1.0</v>
      </c>
      <c r="L652" s="2" t="b">
        <v>1</v>
      </c>
      <c r="M652" s="2" t="s">
        <v>2496</v>
      </c>
      <c r="N652" s="2" t="s">
        <v>247</v>
      </c>
    </row>
    <row r="653">
      <c r="A653" s="2" t="s">
        <v>693</v>
      </c>
      <c r="B653" s="100">
        <v>44571.0</v>
      </c>
      <c r="C653" s="101">
        <v>0.4286111111111111</v>
      </c>
      <c r="G653" s="2" t="s">
        <v>2184</v>
      </c>
      <c r="H653" s="2" t="s">
        <v>244</v>
      </c>
      <c r="I653" s="100">
        <v>44571.0</v>
      </c>
      <c r="J653" s="101">
        <v>0.46598379629629627</v>
      </c>
      <c r="K653" s="2">
        <v>1.0</v>
      </c>
      <c r="L653" s="2" t="b">
        <v>1</v>
      </c>
      <c r="M653" s="2" t="s">
        <v>2496</v>
      </c>
      <c r="N653" s="2" t="s">
        <v>247</v>
      </c>
    </row>
    <row r="654">
      <c r="A654" s="2" t="s">
        <v>691</v>
      </c>
      <c r="B654" s="100">
        <v>44571.0</v>
      </c>
      <c r="C654" s="101">
        <v>0.42811342592592594</v>
      </c>
      <c r="G654" s="2" t="s">
        <v>2184</v>
      </c>
      <c r="H654" s="2" t="s">
        <v>244</v>
      </c>
      <c r="I654" s="100">
        <v>44571.0</v>
      </c>
      <c r="J654" s="101">
        <v>0.46598379629629627</v>
      </c>
      <c r="K654" s="2">
        <v>1.0</v>
      </c>
      <c r="L654" s="2" t="b">
        <v>1</v>
      </c>
      <c r="M654" s="2" t="s">
        <v>2496</v>
      </c>
      <c r="N654" s="2" t="s">
        <v>247</v>
      </c>
    </row>
    <row r="655">
      <c r="A655" s="2" t="s">
        <v>689</v>
      </c>
      <c r="B655" s="100">
        <v>44571.0</v>
      </c>
      <c r="C655" s="101">
        <v>0.42716435185185186</v>
      </c>
      <c r="G655" s="2" t="s">
        <v>2184</v>
      </c>
      <c r="H655" s="2" t="s">
        <v>52</v>
      </c>
      <c r="I655" s="100">
        <v>44579.0</v>
      </c>
      <c r="J655" s="101">
        <v>0.5015740740740741</v>
      </c>
      <c r="K655" s="2">
        <v>1.0</v>
      </c>
      <c r="L655" s="2" t="b">
        <v>1</v>
      </c>
      <c r="N655" s="2" t="s">
        <v>247</v>
      </c>
    </row>
    <row r="656">
      <c r="A656" s="2" t="s">
        <v>686</v>
      </c>
      <c r="B656" s="100">
        <v>44571.0</v>
      </c>
      <c r="C656" s="101">
        <v>0.42594907407407406</v>
      </c>
      <c r="G656" s="2" t="s">
        <v>2184</v>
      </c>
      <c r="H656" s="2" t="s">
        <v>244</v>
      </c>
      <c r="I656" s="100">
        <v>44571.0</v>
      </c>
      <c r="J656" s="101">
        <v>0.46598379629629627</v>
      </c>
      <c r="K656" s="2">
        <v>1.0</v>
      </c>
      <c r="L656" s="2" t="b">
        <v>1</v>
      </c>
      <c r="M656" s="2" t="s">
        <v>2496</v>
      </c>
      <c r="N656" s="2" t="s">
        <v>247</v>
      </c>
    </row>
    <row r="657">
      <c r="A657" s="2" t="s">
        <v>683</v>
      </c>
      <c r="B657" s="100">
        <v>44571.0</v>
      </c>
      <c r="C657" s="101">
        <v>0.3928935185185185</v>
      </c>
      <c r="G657" s="2" t="s">
        <v>2184</v>
      </c>
      <c r="H657" s="2" t="s">
        <v>52</v>
      </c>
      <c r="I657" s="100">
        <v>44579.0</v>
      </c>
      <c r="J657" s="101">
        <v>0.5015740740740741</v>
      </c>
      <c r="K657" s="2">
        <v>1.0</v>
      </c>
      <c r="L657" s="2" t="b">
        <v>1</v>
      </c>
      <c r="N657" s="2" t="s">
        <v>247</v>
      </c>
    </row>
    <row r="658">
      <c r="A658" s="2" t="s">
        <v>680</v>
      </c>
      <c r="B658" s="100">
        <v>44571.0</v>
      </c>
      <c r="C658" s="101">
        <v>0.3924884259259259</v>
      </c>
      <c r="G658" s="2" t="s">
        <v>2184</v>
      </c>
      <c r="H658" s="2" t="s">
        <v>244</v>
      </c>
      <c r="I658" s="100">
        <v>44571.0</v>
      </c>
      <c r="J658" s="101">
        <v>0.46598379629629627</v>
      </c>
      <c r="K658" s="2">
        <v>1.0</v>
      </c>
      <c r="L658" s="2" t="b">
        <v>1</v>
      </c>
      <c r="M658" s="2" t="s">
        <v>2496</v>
      </c>
      <c r="N658" s="2" t="s">
        <v>247</v>
      </c>
    </row>
    <row r="659">
      <c r="A659" s="2" t="s">
        <v>677</v>
      </c>
      <c r="B659" s="100">
        <v>44571.0</v>
      </c>
      <c r="C659" s="101">
        <v>0.39194444444444443</v>
      </c>
      <c r="G659" s="2" t="s">
        <v>2184</v>
      </c>
      <c r="H659" s="2" t="s">
        <v>244</v>
      </c>
      <c r="I659" s="100">
        <v>44571.0</v>
      </c>
      <c r="J659" s="101">
        <v>0.46598379629629627</v>
      </c>
      <c r="K659" s="2">
        <v>1.0</v>
      </c>
      <c r="L659" s="2" t="b">
        <v>1</v>
      </c>
      <c r="M659" s="2" t="s">
        <v>2496</v>
      </c>
      <c r="N659" s="2" t="s">
        <v>247</v>
      </c>
    </row>
    <row r="660">
      <c r="A660" s="2" t="s">
        <v>674</v>
      </c>
      <c r="B660" s="100">
        <v>44571.0</v>
      </c>
      <c r="C660" s="101">
        <v>0.39141203703703703</v>
      </c>
      <c r="G660" s="2" t="s">
        <v>2184</v>
      </c>
      <c r="H660" s="2" t="s">
        <v>244</v>
      </c>
      <c r="I660" s="100">
        <v>44571.0</v>
      </c>
      <c r="J660" s="101">
        <v>0.46598379629629627</v>
      </c>
      <c r="K660" s="2">
        <v>1.0</v>
      </c>
      <c r="L660" s="2" t="b">
        <v>1</v>
      </c>
      <c r="M660" s="2" t="s">
        <v>2496</v>
      </c>
      <c r="N660" s="2" t="s">
        <v>247</v>
      </c>
    </row>
    <row r="661">
      <c r="A661" s="2" t="s">
        <v>671</v>
      </c>
      <c r="B661" s="100">
        <v>44571.0</v>
      </c>
      <c r="C661" s="101">
        <v>0.3904398148148148</v>
      </c>
      <c r="G661" s="2" t="s">
        <v>2184</v>
      </c>
      <c r="H661" s="2" t="s">
        <v>244</v>
      </c>
      <c r="I661" s="100">
        <v>44571.0</v>
      </c>
      <c r="J661" s="101">
        <v>0.46598379629629627</v>
      </c>
      <c r="K661" s="2">
        <v>1.0</v>
      </c>
      <c r="L661" s="2" t="b">
        <v>1</v>
      </c>
      <c r="M661" s="2" t="s">
        <v>2496</v>
      </c>
      <c r="N661" s="2" t="s">
        <v>247</v>
      </c>
    </row>
    <row r="662">
      <c r="A662" s="2" t="s">
        <v>668</v>
      </c>
      <c r="B662" s="100">
        <v>44571.0</v>
      </c>
      <c r="C662" s="101">
        <v>0.3899768518518518</v>
      </c>
      <c r="G662" s="2" t="s">
        <v>2184</v>
      </c>
      <c r="H662" s="2" t="s">
        <v>52</v>
      </c>
      <c r="I662" s="100">
        <v>44579.0</v>
      </c>
      <c r="J662" s="101">
        <v>0.5015740740740741</v>
      </c>
      <c r="K662" s="2">
        <v>1.0</v>
      </c>
      <c r="L662" s="2" t="b">
        <v>1</v>
      </c>
      <c r="N662" s="2" t="s">
        <v>247</v>
      </c>
    </row>
    <row r="663">
      <c r="A663" s="2" t="s">
        <v>665</v>
      </c>
      <c r="B663" s="100">
        <v>44571.0</v>
      </c>
      <c r="C663" s="101">
        <v>0.38936342592592593</v>
      </c>
      <c r="G663" s="2" t="s">
        <v>2184</v>
      </c>
      <c r="H663" s="2" t="s">
        <v>52</v>
      </c>
      <c r="I663" s="100">
        <v>44579.0</v>
      </c>
      <c r="J663" s="101">
        <v>0.5015740740740741</v>
      </c>
      <c r="K663" s="2">
        <v>1.0</v>
      </c>
      <c r="L663" s="2" t="b">
        <v>1</v>
      </c>
      <c r="N663" s="2" t="s">
        <v>247</v>
      </c>
    </row>
    <row r="664">
      <c r="A664" s="2" t="s">
        <v>663</v>
      </c>
      <c r="B664" s="100">
        <v>44571.0</v>
      </c>
      <c r="C664" s="101">
        <v>0.38880787037037035</v>
      </c>
      <c r="G664" s="2" t="s">
        <v>2184</v>
      </c>
      <c r="H664" s="2" t="s">
        <v>52</v>
      </c>
      <c r="I664" s="100">
        <v>44579.0</v>
      </c>
      <c r="J664" s="101">
        <v>0.5015740740740741</v>
      </c>
      <c r="K664" s="2">
        <v>1.0</v>
      </c>
      <c r="L664" s="2" t="b">
        <v>1</v>
      </c>
      <c r="N664" s="2" t="s">
        <v>247</v>
      </c>
    </row>
    <row r="665">
      <c r="A665" s="231" t="s">
        <v>657</v>
      </c>
      <c r="B665" s="232">
        <v>44571.0</v>
      </c>
      <c r="C665" s="233">
        <v>0.3882638888888889</v>
      </c>
      <c r="D665" s="231"/>
      <c r="E665" s="231"/>
      <c r="F665" s="231"/>
      <c r="G665" s="231" t="s">
        <v>2184</v>
      </c>
      <c r="H665" s="231" t="s">
        <v>52</v>
      </c>
      <c r="I665" s="232">
        <v>44579.0</v>
      </c>
      <c r="J665" s="233">
        <v>0.5015740740740741</v>
      </c>
      <c r="K665" s="231">
        <v>1.0</v>
      </c>
      <c r="L665" s="231" t="b">
        <v>1</v>
      </c>
      <c r="M665" s="234"/>
      <c r="N665" s="231" t="s">
        <v>247</v>
      </c>
      <c r="O665" s="235"/>
    </row>
    <row r="666">
      <c r="A666" s="2" t="s">
        <v>654</v>
      </c>
      <c r="B666" s="100">
        <v>44571.0</v>
      </c>
      <c r="C666" s="101">
        <v>0.35587962962962966</v>
      </c>
      <c r="G666" s="2" t="s">
        <v>2184</v>
      </c>
      <c r="H666" s="2" t="s">
        <v>244</v>
      </c>
      <c r="I666" s="100">
        <v>44571.0</v>
      </c>
      <c r="J666" s="101">
        <v>0.46598379629629627</v>
      </c>
      <c r="K666" s="2">
        <v>1.0</v>
      </c>
      <c r="L666" s="2" t="b">
        <v>1</v>
      </c>
      <c r="M666" s="2" t="s">
        <v>2496</v>
      </c>
      <c r="N666" s="2" t="s">
        <v>247</v>
      </c>
    </row>
    <row r="667">
      <c r="A667" s="2" t="s">
        <v>651</v>
      </c>
      <c r="B667" s="100">
        <v>44571.0</v>
      </c>
      <c r="C667" s="101">
        <v>0.35119212962962965</v>
      </c>
      <c r="G667" s="2" t="s">
        <v>2184</v>
      </c>
      <c r="H667" s="2" t="s">
        <v>52</v>
      </c>
      <c r="I667" s="100">
        <v>44579.0</v>
      </c>
      <c r="J667" s="101">
        <v>0.5015740740740741</v>
      </c>
      <c r="K667" s="2">
        <v>1.0</v>
      </c>
      <c r="L667" s="2" t="b">
        <v>1</v>
      </c>
      <c r="N667" s="2" t="s">
        <v>247</v>
      </c>
    </row>
    <row r="668">
      <c r="A668" s="2" t="s">
        <v>648</v>
      </c>
      <c r="B668" s="100">
        <v>44571.0</v>
      </c>
      <c r="C668" s="101">
        <v>0.3492013888888889</v>
      </c>
      <c r="G668" s="2" t="s">
        <v>2184</v>
      </c>
      <c r="H668" s="2" t="s">
        <v>244</v>
      </c>
      <c r="I668" s="100">
        <v>44571.0</v>
      </c>
      <c r="J668" s="101">
        <v>0.46598379629629627</v>
      </c>
      <c r="K668" s="2">
        <v>1.0</v>
      </c>
      <c r="L668" s="2" t="b">
        <v>1</v>
      </c>
      <c r="M668" s="2" t="s">
        <v>2496</v>
      </c>
      <c r="N668" s="2" t="s">
        <v>247</v>
      </c>
    </row>
    <row r="669">
      <c r="A669" s="2" t="s">
        <v>646</v>
      </c>
      <c r="B669" s="100">
        <v>44571.0</v>
      </c>
      <c r="C669" s="101">
        <v>0.3444212962962963</v>
      </c>
      <c r="G669" s="2" t="s">
        <v>2184</v>
      </c>
      <c r="H669" s="2" t="s">
        <v>244</v>
      </c>
      <c r="I669" s="100">
        <v>44571.0</v>
      </c>
      <c r="J669" s="101">
        <v>0.46598379629629627</v>
      </c>
      <c r="K669" s="2">
        <v>0.0</v>
      </c>
      <c r="L669" s="2" t="b">
        <v>1</v>
      </c>
      <c r="M669" s="2" t="s">
        <v>2496</v>
      </c>
      <c r="N669" s="2" t="s">
        <v>247</v>
      </c>
    </row>
    <row r="670">
      <c r="A670" s="2" t="s">
        <v>644</v>
      </c>
      <c r="B670" s="100">
        <v>44571.0</v>
      </c>
      <c r="C670" s="101">
        <v>0.3371412037037037</v>
      </c>
      <c r="G670" s="2" t="s">
        <v>2184</v>
      </c>
      <c r="H670" s="2" t="s">
        <v>244</v>
      </c>
      <c r="I670" s="100">
        <v>44571.0</v>
      </c>
      <c r="J670" s="101">
        <v>0.46598379629629627</v>
      </c>
      <c r="K670" s="2">
        <v>1.0</v>
      </c>
      <c r="L670" s="2" t="b">
        <v>1</v>
      </c>
      <c r="M670" s="2" t="s">
        <v>2496</v>
      </c>
      <c r="N670" s="2" t="s">
        <v>247</v>
      </c>
    </row>
    <row r="671">
      <c r="A671" s="2" t="s">
        <v>642</v>
      </c>
      <c r="B671" s="100">
        <v>44571.0</v>
      </c>
      <c r="C671" s="101">
        <v>0.3345138888888889</v>
      </c>
      <c r="G671" s="2" t="s">
        <v>2184</v>
      </c>
      <c r="H671" s="2" t="s">
        <v>244</v>
      </c>
      <c r="I671" s="100">
        <v>44571.0</v>
      </c>
      <c r="J671" s="101">
        <v>0.46598379629629627</v>
      </c>
      <c r="K671" s="2">
        <v>1.0</v>
      </c>
      <c r="L671" s="2" t="b">
        <v>1</v>
      </c>
      <c r="M671" s="2" t="s">
        <v>2496</v>
      </c>
      <c r="N671" s="2" t="s">
        <v>247</v>
      </c>
    </row>
    <row r="672">
      <c r="A672" s="2" t="s">
        <v>638</v>
      </c>
      <c r="B672" s="100">
        <v>44571.0</v>
      </c>
      <c r="C672" s="101">
        <v>0.3337731481481481</v>
      </c>
      <c r="G672" s="2" t="s">
        <v>2184</v>
      </c>
      <c r="H672" s="2" t="s">
        <v>244</v>
      </c>
      <c r="I672" s="100">
        <v>44571.0</v>
      </c>
      <c r="J672" s="101">
        <v>0.46598379629629627</v>
      </c>
      <c r="K672" s="2">
        <v>1.0</v>
      </c>
      <c r="L672" s="2" t="b">
        <v>1</v>
      </c>
      <c r="M672" s="2" t="s">
        <v>2496</v>
      </c>
      <c r="N672" s="2" t="s">
        <v>247</v>
      </c>
    </row>
    <row r="673">
      <c r="A673" s="2" t="s">
        <v>2440</v>
      </c>
      <c r="B673" s="100">
        <v>44571.0</v>
      </c>
      <c r="C673" s="101">
        <v>0.33339120370370373</v>
      </c>
      <c r="G673" s="2" t="s">
        <v>2184</v>
      </c>
      <c r="H673" s="2" t="s">
        <v>244</v>
      </c>
      <c r="I673" s="100">
        <v>44571.0</v>
      </c>
      <c r="J673" s="101">
        <v>0.46598379629629627</v>
      </c>
      <c r="K673" s="2">
        <v>1.0</v>
      </c>
      <c r="L673" s="2" t="b">
        <v>1</v>
      </c>
      <c r="M673" s="2" t="s">
        <v>2496</v>
      </c>
      <c r="N673" s="2" t="s">
        <v>247</v>
      </c>
    </row>
    <row r="674">
      <c r="A674" s="2" t="s">
        <v>632</v>
      </c>
      <c r="B674" s="100">
        <v>44571.0</v>
      </c>
      <c r="C674" s="101">
        <v>0.3333101851851852</v>
      </c>
      <c r="G674" s="2" t="s">
        <v>2184</v>
      </c>
      <c r="H674" s="2" t="s">
        <v>244</v>
      </c>
      <c r="I674" s="100">
        <v>44571.0</v>
      </c>
      <c r="J674" s="101">
        <v>0.46598379629629627</v>
      </c>
      <c r="K674" s="2">
        <v>1.0</v>
      </c>
      <c r="L674" s="2" t="b">
        <v>1</v>
      </c>
      <c r="M674" s="2" t="s">
        <v>2496</v>
      </c>
      <c r="N674" s="2" t="s">
        <v>247</v>
      </c>
    </row>
    <row r="675">
      <c r="A675" s="2" t="s">
        <v>630</v>
      </c>
      <c r="B675" s="100">
        <v>44571.0</v>
      </c>
      <c r="C675" s="101">
        <v>0.32885416666666667</v>
      </c>
      <c r="G675" s="2" t="s">
        <v>2184</v>
      </c>
      <c r="H675" s="2" t="s">
        <v>244</v>
      </c>
      <c r="I675" s="100">
        <v>44571.0</v>
      </c>
      <c r="J675" s="101">
        <v>0.46598379629629627</v>
      </c>
      <c r="K675" s="2">
        <v>1.0</v>
      </c>
      <c r="L675" s="2" t="b">
        <v>1</v>
      </c>
      <c r="M675" s="2" t="s">
        <v>2496</v>
      </c>
      <c r="N675" s="2" t="s">
        <v>247</v>
      </c>
    </row>
    <row r="676">
      <c r="A676" s="2" t="s">
        <v>627</v>
      </c>
      <c r="B676" s="100">
        <v>44571.0</v>
      </c>
      <c r="C676" s="101">
        <v>0.3261689814814815</v>
      </c>
      <c r="G676" s="2" t="s">
        <v>2184</v>
      </c>
      <c r="H676" s="2" t="s">
        <v>244</v>
      </c>
      <c r="I676" s="100">
        <v>44571.0</v>
      </c>
      <c r="J676" s="101">
        <v>0.46598379629629627</v>
      </c>
      <c r="K676" s="2">
        <v>0.0</v>
      </c>
      <c r="L676" s="2" t="b">
        <v>1</v>
      </c>
      <c r="M676" s="2" t="s">
        <v>2496</v>
      </c>
      <c r="N676" s="2" t="s">
        <v>247</v>
      </c>
    </row>
    <row r="677">
      <c r="A677" s="2" t="s">
        <v>623</v>
      </c>
      <c r="B677" s="100">
        <v>44571.0</v>
      </c>
      <c r="C677" s="101">
        <v>0.3181365740740741</v>
      </c>
      <c r="G677" s="2" t="s">
        <v>2184</v>
      </c>
      <c r="H677" s="2" t="s">
        <v>244</v>
      </c>
      <c r="I677" s="100">
        <v>44571.0</v>
      </c>
      <c r="J677" s="101">
        <v>0.46598379629629627</v>
      </c>
      <c r="K677" s="2">
        <v>1.0</v>
      </c>
      <c r="L677" s="2" t="b">
        <v>1</v>
      </c>
      <c r="M677" s="2" t="s">
        <v>2496</v>
      </c>
      <c r="N677" s="2" t="s">
        <v>247</v>
      </c>
    </row>
    <row r="678">
      <c r="A678" s="2" t="s">
        <v>621</v>
      </c>
      <c r="B678" s="100">
        <v>44571.0</v>
      </c>
      <c r="C678" s="101">
        <v>0.313125</v>
      </c>
      <c r="G678" s="2" t="s">
        <v>2184</v>
      </c>
      <c r="H678" s="2" t="s">
        <v>244</v>
      </c>
      <c r="I678" s="100">
        <v>44571.0</v>
      </c>
      <c r="J678" s="101">
        <v>0.46598379629629627</v>
      </c>
      <c r="K678" s="2">
        <v>1.0</v>
      </c>
      <c r="L678" s="2" t="b">
        <v>1</v>
      </c>
      <c r="M678" s="2" t="s">
        <v>2496</v>
      </c>
      <c r="N678" s="2" t="s">
        <v>247</v>
      </c>
    </row>
    <row r="679">
      <c r="A679" s="2" t="s">
        <v>617</v>
      </c>
      <c r="B679" s="100">
        <v>44571.0</v>
      </c>
      <c r="C679" s="101">
        <v>0.31167824074074074</v>
      </c>
      <c r="G679" s="2" t="s">
        <v>2184</v>
      </c>
      <c r="H679" s="2" t="s">
        <v>244</v>
      </c>
      <c r="I679" s="100">
        <v>44571.0</v>
      </c>
      <c r="J679" s="101">
        <v>0.46598379629629627</v>
      </c>
      <c r="K679" s="2">
        <v>1.0</v>
      </c>
      <c r="L679" s="2" t="b">
        <v>1</v>
      </c>
      <c r="M679" s="2" t="s">
        <v>2496</v>
      </c>
      <c r="N679" s="2" t="s">
        <v>247</v>
      </c>
    </row>
    <row r="680">
      <c r="A680" s="2" t="s">
        <v>615</v>
      </c>
      <c r="B680" s="100">
        <v>44571.0</v>
      </c>
      <c r="C680" s="101">
        <v>0.2969212962962963</v>
      </c>
      <c r="G680" s="2" t="s">
        <v>2184</v>
      </c>
      <c r="H680" s="2" t="s">
        <v>244</v>
      </c>
      <c r="I680" s="100">
        <v>44571.0</v>
      </c>
      <c r="J680" s="101">
        <v>0.46598379629629627</v>
      </c>
      <c r="K680" s="2">
        <v>1.0</v>
      </c>
      <c r="L680" s="2" t="b">
        <v>1</v>
      </c>
      <c r="M680" s="2" t="s">
        <v>2496</v>
      </c>
      <c r="N680" s="2" t="s">
        <v>247</v>
      </c>
    </row>
    <row r="681">
      <c r="A681" s="2" t="s">
        <v>611</v>
      </c>
      <c r="B681" s="100">
        <v>44571.0</v>
      </c>
      <c r="C681" s="101">
        <v>0.2715856481481482</v>
      </c>
      <c r="G681" s="2" t="s">
        <v>2184</v>
      </c>
      <c r="H681" s="2" t="s">
        <v>244</v>
      </c>
      <c r="I681" s="100">
        <v>44571.0</v>
      </c>
      <c r="J681" s="101">
        <v>0.46598379629629627</v>
      </c>
      <c r="K681" s="2">
        <v>1.0</v>
      </c>
      <c r="L681" s="2" t="b">
        <v>1</v>
      </c>
      <c r="M681" s="2" t="s">
        <v>2496</v>
      </c>
      <c r="N681" s="2" t="s">
        <v>247</v>
      </c>
    </row>
    <row r="682">
      <c r="A682" s="2" t="s">
        <v>608</v>
      </c>
      <c r="B682" s="100">
        <v>44569.0</v>
      </c>
      <c r="C682" s="101">
        <v>0.3123842592592593</v>
      </c>
      <c r="G682" s="2" t="s">
        <v>2188</v>
      </c>
      <c r="H682" s="2" t="s">
        <v>254</v>
      </c>
      <c r="I682" s="100">
        <v>44861.0</v>
      </c>
      <c r="J682" s="101">
        <v>0.4895023148148148</v>
      </c>
      <c r="K682" s="2">
        <v>1.0</v>
      </c>
      <c r="N682" s="2" t="s">
        <v>247</v>
      </c>
    </row>
    <row r="683">
      <c r="A683" s="2" t="s">
        <v>606</v>
      </c>
      <c r="B683" s="100">
        <v>44568.0</v>
      </c>
      <c r="C683" s="101">
        <v>0.5227083333333333</v>
      </c>
      <c r="G683" s="2" t="s">
        <v>2497</v>
      </c>
      <c r="H683" s="2" t="s">
        <v>254</v>
      </c>
      <c r="I683" s="100">
        <v>44861.0</v>
      </c>
      <c r="J683" s="101">
        <v>0.4895023148148148</v>
      </c>
      <c r="K683" s="2">
        <v>1.0</v>
      </c>
      <c r="N683" s="2" t="s">
        <v>247</v>
      </c>
    </row>
    <row r="684">
      <c r="A684" s="2" t="s">
        <v>603</v>
      </c>
      <c r="B684" s="100">
        <v>44568.0</v>
      </c>
      <c r="C684" s="101">
        <v>0.5221759259259259</v>
      </c>
      <c r="G684" s="2" t="s">
        <v>2497</v>
      </c>
      <c r="H684" s="2" t="s">
        <v>254</v>
      </c>
      <c r="I684" s="100">
        <v>44861.0</v>
      </c>
      <c r="J684" s="101">
        <v>0.4895023148148148</v>
      </c>
      <c r="K684" s="2">
        <v>1.0</v>
      </c>
      <c r="N684" s="2" t="s">
        <v>247</v>
      </c>
    </row>
    <row r="685">
      <c r="A685" s="2" t="s">
        <v>601</v>
      </c>
      <c r="B685" s="100">
        <v>44568.0</v>
      </c>
      <c r="C685" s="101">
        <v>0.4141782407407407</v>
      </c>
      <c r="G685" s="2" t="s">
        <v>2184</v>
      </c>
      <c r="H685" s="2" t="s">
        <v>244</v>
      </c>
      <c r="I685" s="100">
        <v>44568.0</v>
      </c>
      <c r="J685" s="101">
        <v>0.5079166666666667</v>
      </c>
      <c r="K685" s="2">
        <v>1.0</v>
      </c>
      <c r="L685" s="2" t="b">
        <v>1</v>
      </c>
      <c r="M685" s="2" t="s">
        <v>2498</v>
      </c>
      <c r="N685" s="2" t="s">
        <v>247</v>
      </c>
    </row>
    <row r="686">
      <c r="A686" s="2" t="s">
        <v>599</v>
      </c>
      <c r="B686" s="100">
        <v>44568.0</v>
      </c>
      <c r="C686" s="101">
        <v>0.3647800925925926</v>
      </c>
      <c r="G686" s="2" t="s">
        <v>2184</v>
      </c>
      <c r="H686" s="2" t="s">
        <v>52</v>
      </c>
      <c r="I686" s="100">
        <v>44568.0</v>
      </c>
      <c r="J686" s="101">
        <v>0.508275462962963</v>
      </c>
      <c r="K686" s="2">
        <v>1.0</v>
      </c>
      <c r="L686" s="2" t="b">
        <v>1</v>
      </c>
      <c r="N686" s="2" t="s">
        <v>247</v>
      </c>
    </row>
    <row r="687">
      <c r="A687" s="2" t="s">
        <v>596</v>
      </c>
      <c r="B687" s="100">
        <v>44568.0</v>
      </c>
      <c r="C687" s="101">
        <v>0.35561342592592593</v>
      </c>
      <c r="G687" s="2" t="s">
        <v>2184</v>
      </c>
      <c r="H687" s="2" t="s">
        <v>244</v>
      </c>
      <c r="I687" s="100">
        <v>44568.0</v>
      </c>
      <c r="J687" s="101">
        <v>0.5079166666666667</v>
      </c>
      <c r="K687" s="2">
        <v>1.0</v>
      </c>
      <c r="L687" s="2" t="b">
        <v>1</v>
      </c>
      <c r="M687" s="2" t="s">
        <v>2498</v>
      </c>
      <c r="N687" s="2" t="s">
        <v>247</v>
      </c>
    </row>
    <row r="688">
      <c r="A688" s="2" t="s">
        <v>592</v>
      </c>
      <c r="B688" s="100">
        <v>44568.0</v>
      </c>
      <c r="C688" s="101">
        <v>0.34717592592592594</v>
      </c>
      <c r="G688" s="2" t="s">
        <v>2184</v>
      </c>
      <c r="H688" s="2" t="s">
        <v>52</v>
      </c>
      <c r="I688" s="100">
        <v>44568.0</v>
      </c>
      <c r="J688" s="101">
        <v>0.5079050925925926</v>
      </c>
      <c r="K688" s="2">
        <v>1.0</v>
      </c>
      <c r="L688" s="2" t="b">
        <v>1</v>
      </c>
      <c r="N688" s="2" t="s">
        <v>247</v>
      </c>
    </row>
    <row r="689">
      <c r="A689" s="2" t="s">
        <v>2441</v>
      </c>
      <c r="B689" s="100">
        <v>44568.0</v>
      </c>
      <c r="C689" s="101">
        <v>0.34716435185185185</v>
      </c>
      <c r="G689" s="2" t="s">
        <v>2184</v>
      </c>
      <c r="H689" s="2" t="s">
        <v>244</v>
      </c>
      <c r="I689" s="100">
        <v>44568.0</v>
      </c>
      <c r="J689" s="101">
        <v>0.5079166666666667</v>
      </c>
      <c r="K689" s="2">
        <v>1.0</v>
      </c>
      <c r="L689" s="2" t="b">
        <v>1</v>
      </c>
      <c r="M689" s="2" t="s">
        <v>2498</v>
      </c>
      <c r="N689" s="2" t="s">
        <v>247</v>
      </c>
    </row>
    <row r="690">
      <c r="A690" s="2" t="s">
        <v>586</v>
      </c>
      <c r="B690" s="100">
        <v>44568.0</v>
      </c>
      <c r="C690" s="101">
        <v>0.3421064814814815</v>
      </c>
      <c r="G690" s="2" t="s">
        <v>2184</v>
      </c>
      <c r="H690" s="2" t="s">
        <v>244</v>
      </c>
      <c r="I690" s="100">
        <v>44568.0</v>
      </c>
      <c r="J690" s="101">
        <v>0.5079050925925926</v>
      </c>
      <c r="K690" s="2">
        <v>1.0</v>
      </c>
      <c r="L690" s="2" t="b">
        <v>1</v>
      </c>
      <c r="M690" s="2" t="s">
        <v>2498</v>
      </c>
      <c r="N690" s="2" t="s">
        <v>247</v>
      </c>
    </row>
    <row r="691">
      <c r="A691" s="2" t="s">
        <v>582</v>
      </c>
      <c r="B691" s="100">
        <v>44568.0</v>
      </c>
      <c r="C691" s="101">
        <v>0.34206018518518516</v>
      </c>
      <c r="G691" s="2" t="s">
        <v>2184</v>
      </c>
      <c r="H691" s="2" t="s">
        <v>63</v>
      </c>
      <c r="I691" s="100">
        <v>44568.0</v>
      </c>
      <c r="J691" s="101">
        <v>0.5079050925925926</v>
      </c>
      <c r="K691" s="2">
        <v>1.0</v>
      </c>
      <c r="L691" s="2" t="b">
        <v>1</v>
      </c>
      <c r="N691" s="2" t="s">
        <v>247</v>
      </c>
    </row>
    <row r="692">
      <c r="A692" s="2" t="s">
        <v>580</v>
      </c>
      <c r="B692" s="100">
        <v>44568.0</v>
      </c>
      <c r="C692" s="101">
        <v>0.34097222222222223</v>
      </c>
      <c r="G692" s="2" t="s">
        <v>2184</v>
      </c>
      <c r="H692" s="2" t="s">
        <v>52</v>
      </c>
      <c r="I692" s="100">
        <v>44568.0</v>
      </c>
      <c r="J692" s="101">
        <v>0.5079050925925926</v>
      </c>
      <c r="K692" s="2">
        <v>1.0</v>
      </c>
      <c r="L692" s="2" t="b">
        <v>1</v>
      </c>
      <c r="N692" s="2" t="s">
        <v>247</v>
      </c>
    </row>
    <row r="693">
      <c r="A693" s="2" t="s">
        <v>576</v>
      </c>
      <c r="B693" s="100">
        <v>44568.0</v>
      </c>
      <c r="C693" s="101">
        <v>0.3361689814814815</v>
      </c>
      <c r="G693" s="2" t="s">
        <v>2184</v>
      </c>
      <c r="H693" s="2" t="s">
        <v>244</v>
      </c>
      <c r="I693" s="100">
        <v>44568.0</v>
      </c>
      <c r="J693" s="101">
        <v>0.5079050925925926</v>
      </c>
      <c r="K693" s="2">
        <v>1.0</v>
      </c>
      <c r="L693" s="2" t="b">
        <v>1</v>
      </c>
      <c r="M693" s="2" t="s">
        <v>2498</v>
      </c>
      <c r="N693" s="2" t="s">
        <v>247</v>
      </c>
    </row>
    <row r="694">
      <c r="A694" s="2" t="s">
        <v>572</v>
      </c>
      <c r="B694" s="100">
        <v>44568.0</v>
      </c>
      <c r="C694" s="101">
        <v>0.3309490740740741</v>
      </c>
      <c r="G694" s="2" t="s">
        <v>2184</v>
      </c>
      <c r="H694" s="2" t="s">
        <v>244</v>
      </c>
      <c r="I694" s="100">
        <v>44568.0</v>
      </c>
      <c r="J694" s="101">
        <v>0.5079050925925926</v>
      </c>
      <c r="K694" s="2">
        <v>1.0</v>
      </c>
      <c r="L694" s="2" t="b">
        <v>1</v>
      </c>
      <c r="M694" s="2" t="s">
        <v>2498</v>
      </c>
      <c r="N694" s="2" t="s">
        <v>247</v>
      </c>
    </row>
    <row r="695">
      <c r="A695" s="2" t="s">
        <v>570</v>
      </c>
      <c r="B695" s="100">
        <v>44568.0</v>
      </c>
      <c r="C695" s="101">
        <v>0.3292824074074074</v>
      </c>
      <c r="G695" s="2" t="s">
        <v>2184</v>
      </c>
      <c r="H695" s="2" t="s">
        <v>244</v>
      </c>
      <c r="I695" s="100">
        <v>44568.0</v>
      </c>
      <c r="J695" s="101">
        <v>0.5079050925925926</v>
      </c>
      <c r="K695" s="2">
        <v>1.0</v>
      </c>
      <c r="L695" s="2" t="b">
        <v>1</v>
      </c>
      <c r="N695" s="2" t="s">
        <v>247</v>
      </c>
    </row>
    <row r="696">
      <c r="A696" s="2" t="s">
        <v>2442</v>
      </c>
      <c r="B696" s="100">
        <v>44568.0</v>
      </c>
      <c r="C696" s="101">
        <v>0.3139351851851852</v>
      </c>
      <c r="G696" s="2" t="s">
        <v>2184</v>
      </c>
      <c r="H696" s="2" t="s">
        <v>244</v>
      </c>
      <c r="I696" s="100">
        <v>44568.0</v>
      </c>
      <c r="J696" s="101">
        <v>0.5079050925925926</v>
      </c>
      <c r="K696" s="2">
        <v>1.0</v>
      </c>
      <c r="L696" s="2" t="b">
        <v>1</v>
      </c>
      <c r="M696" s="2" t="s">
        <v>2498</v>
      </c>
      <c r="N696" s="2" t="s">
        <v>247</v>
      </c>
    </row>
    <row r="697">
      <c r="A697" s="2" t="s">
        <v>565</v>
      </c>
      <c r="B697" s="100">
        <v>44568.0</v>
      </c>
      <c r="C697" s="101">
        <v>0.29863425925925924</v>
      </c>
      <c r="G697" s="2" t="s">
        <v>2184</v>
      </c>
      <c r="H697" s="2" t="s">
        <v>244</v>
      </c>
      <c r="I697" s="100">
        <v>44568.0</v>
      </c>
      <c r="J697" s="101">
        <v>0.5079050925925926</v>
      </c>
      <c r="K697" s="2">
        <v>0.0</v>
      </c>
      <c r="L697" s="2" t="b">
        <v>1</v>
      </c>
      <c r="M697" s="2" t="s">
        <v>2498</v>
      </c>
      <c r="N697" s="2" t="s">
        <v>247</v>
      </c>
    </row>
    <row r="698">
      <c r="A698" s="2" t="s">
        <v>562</v>
      </c>
      <c r="B698" s="100">
        <v>44568.0</v>
      </c>
      <c r="C698" s="101">
        <v>0.2981828703703704</v>
      </c>
      <c r="G698" s="2" t="s">
        <v>2184</v>
      </c>
      <c r="H698" s="2" t="s">
        <v>244</v>
      </c>
      <c r="I698" s="100">
        <v>44568.0</v>
      </c>
      <c r="J698" s="101">
        <v>0.5079050925925926</v>
      </c>
      <c r="K698" s="2">
        <v>0.0</v>
      </c>
      <c r="L698" s="2" t="b">
        <v>1</v>
      </c>
      <c r="M698" s="2" t="s">
        <v>2498</v>
      </c>
      <c r="N698" s="2" t="s">
        <v>247</v>
      </c>
    </row>
    <row r="699">
      <c r="A699" s="2" t="s">
        <v>560</v>
      </c>
      <c r="B699" s="100">
        <v>44568.0</v>
      </c>
      <c r="C699" s="101">
        <v>0.29755787037037035</v>
      </c>
      <c r="G699" s="2" t="s">
        <v>2184</v>
      </c>
      <c r="H699" s="2" t="s">
        <v>244</v>
      </c>
      <c r="I699" s="100">
        <v>44568.0</v>
      </c>
      <c r="J699" s="101">
        <v>0.5079050925925926</v>
      </c>
      <c r="K699" s="2">
        <v>0.0</v>
      </c>
      <c r="L699" s="2" t="b">
        <v>1</v>
      </c>
      <c r="M699" s="2" t="s">
        <v>2498</v>
      </c>
      <c r="N699" s="2" t="s">
        <v>247</v>
      </c>
    </row>
    <row r="700">
      <c r="A700" s="2" t="s">
        <v>558</v>
      </c>
      <c r="B700" s="100">
        <v>44568.0</v>
      </c>
      <c r="C700" s="101">
        <v>0.022118055555555554</v>
      </c>
      <c r="G700" s="2" t="s">
        <v>2184</v>
      </c>
      <c r="H700" s="2" t="s">
        <v>244</v>
      </c>
      <c r="I700" s="100">
        <v>44568.0</v>
      </c>
      <c r="J700" s="101">
        <v>0.5079050925925926</v>
      </c>
      <c r="K700" s="2">
        <v>1.0</v>
      </c>
      <c r="L700" s="2" t="b">
        <v>1</v>
      </c>
      <c r="M700" s="2" t="s">
        <v>2498</v>
      </c>
      <c r="N700" s="2" t="s">
        <v>247</v>
      </c>
    </row>
    <row r="701">
      <c r="A701" s="2" t="s">
        <v>556</v>
      </c>
      <c r="B701" s="100">
        <v>44567.0</v>
      </c>
      <c r="C701" s="101">
        <v>0.9922800925925926</v>
      </c>
      <c r="G701" s="2" t="s">
        <v>2184</v>
      </c>
      <c r="H701" s="2" t="s">
        <v>244</v>
      </c>
      <c r="I701" s="100">
        <v>44568.0</v>
      </c>
      <c r="J701" s="101">
        <v>0.5079050925925926</v>
      </c>
      <c r="K701" s="2">
        <v>1.0</v>
      </c>
      <c r="L701" s="2" t="b">
        <v>1</v>
      </c>
      <c r="M701" s="2" t="s">
        <v>2498</v>
      </c>
      <c r="N701" s="2" t="s">
        <v>247</v>
      </c>
    </row>
    <row r="702">
      <c r="A702" s="2" t="s">
        <v>554</v>
      </c>
      <c r="B702" s="100">
        <v>44567.0</v>
      </c>
      <c r="C702" s="101">
        <v>0.9539351851851852</v>
      </c>
      <c r="G702" s="2" t="s">
        <v>2184</v>
      </c>
      <c r="H702" s="2" t="s">
        <v>244</v>
      </c>
      <c r="I702" s="100">
        <v>44568.0</v>
      </c>
      <c r="J702" s="101">
        <v>0.5079050925925926</v>
      </c>
      <c r="K702" s="2">
        <v>1.0</v>
      </c>
      <c r="L702" s="2" t="b">
        <v>1</v>
      </c>
      <c r="M702" s="2" t="s">
        <v>2498</v>
      </c>
      <c r="N702" s="2" t="s">
        <v>247</v>
      </c>
    </row>
    <row r="703">
      <c r="A703" s="2" t="s">
        <v>552</v>
      </c>
      <c r="B703" s="100">
        <v>44567.0</v>
      </c>
      <c r="C703" s="101">
        <v>0.3252662037037037</v>
      </c>
      <c r="G703" s="2" t="s">
        <v>2184</v>
      </c>
      <c r="H703" s="2" t="s">
        <v>244</v>
      </c>
      <c r="I703" s="100">
        <v>44568.0</v>
      </c>
      <c r="J703" s="101">
        <v>0.5079050925925926</v>
      </c>
      <c r="K703" s="2">
        <v>1.0</v>
      </c>
      <c r="L703" s="2" t="b">
        <v>1</v>
      </c>
      <c r="M703" s="2" t="s">
        <v>2498</v>
      </c>
      <c r="N703" s="2" t="s">
        <v>247</v>
      </c>
    </row>
    <row r="704">
      <c r="A704" s="2" t="s">
        <v>2443</v>
      </c>
      <c r="B704" s="100">
        <v>44567.0</v>
      </c>
      <c r="C704" s="101">
        <v>0.32329861111111113</v>
      </c>
      <c r="G704" s="2" t="s">
        <v>2184</v>
      </c>
      <c r="H704" s="2" t="s">
        <v>244</v>
      </c>
      <c r="I704" s="100">
        <v>44568.0</v>
      </c>
      <c r="J704" s="101">
        <v>0.5079050925925926</v>
      </c>
      <c r="K704" s="2">
        <v>1.0</v>
      </c>
      <c r="L704" s="2" t="b">
        <v>1</v>
      </c>
      <c r="M704" s="2" t="s">
        <v>2498</v>
      </c>
      <c r="N704" s="2" t="s">
        <v>247</v>
      </c>
    </row>
    <row r="705">
      <c r="A705" s="2" t="s">
        <v>547</v>
      </c>
      <c r="B705" s="100">
        <v>44566.0</v>
      </c>
      <c r="C705" s="101">
        <v>0.4199421296296296</v>
      </c>
      <c r="G705" s="2" t="s">
        <v>2184</v>
      </c>
      <c r="H705" s="2" t="s">
        <v>52</v>
      </c>
      <c r="I705" s="100">
        <v>44568.0</v>
      </c>
      <c r="J705" s="101">
        <v>0.508275462962963</v>
      </c>
      <c r="K705" s="2">
        <v>0.0</v>
      </c>
      <c r="L705" s="2" t="b">
        <v>1</v>
      </c>
      <c r="N705" s="2" t="s">
        <v>247</v>
      </c>
    </row>
    <row r="706">
      <c r="A706" s="2" t="s">
        <v>544</v>
      </c>
      <c r="B706" s="100">
        <v>44566.0</v>
      </c>
      <c r="C706" s="101">
        <v>0.41961805555555554</v>
      </c>
      <c r="G706" s="2" t="s">
        <v>2184</v>
      </c>
      <c r="H706" s="2" t="s">
        <v>244</v>
      </c>
      <c r="I706" s="100">
        <v>44566.0</v>
      </c>
      <c r="J706" s="101">
        <v>0.4565625</v>
      </c>
      <c r="K706" s="2">
        <v>0.0</v>
      </c>
      <c r="L706" s="2" t="b">
        <v>1</v>
      </c>
      <c r="M706" s="2" t="s">
        <v>2499</v>
      </c>
      <c r="N706" s="2" t="s">
        <v>247</v>
      </c>
    </row>
    <row r="707">
      <c r="A707" s="2" t="s">
        <v>541</v>
      </c>
      <c r="B707" s="100">
        <v>44566.0</v>
      </c>
      <c r="C707" s="101">
        <v>0.4192361111111111</v>
      </c>
      <c r="G707" s="2" t="s">
        <v>2184</v>
      </c>
      <c r="H707" s="2" t="s">
        <v>244</v>
      </c>
      <c r="I707" s="100">
        <v>44566.0</v>
      </c>
      <c r="J707" s="101">
        <v>0.4565625</v>
      </c>
      <c r="K707" s="2">
        <v>0.0</v>
      </c>
      <c r="L707" s="2" t="b">
        <v>1</v>
      </c>
      <c r="M707" s="2" t="s">
        <v>2499</v>
      </c>
      <c r="N707" s="2" t="s">
        <v>247</v>
      </c>
    </row>
    <row r="708">
      <c r="A708" s="2" t="s">
        <v>538</v>
      </c>
      <c r="B708" s="100">
        <v>44566.0</v>
      </c>
      <c r="C708" s="101">
        <v>0.41854166666666665</v>
      </c>
      <c r="G708" s="2" t="s">
        <v>2184</v>
      </c>
      <c r="H708" s="2" t="s">
        <v>244</v>
      </c>
      <c r="I708" s="100">
        <v>44566.0</v>
      </c>
      <c r="J708" s="101">
        <v>0.4565625</v>
      </c>
      <c r="K708" s="2">
        <v>0.0</v>
      </c>
      <c r="L708" s="2" t="b">
        <v>1</v>
      </c>
      <c r="M708" s="2" t="s">
        <v>2499</v>
      </c>
      <c r="N708" s="2" t="s">
        <v>247</v>
      </c>
    </row>
    <row r="709">
      <c r="A709" s="2" t="s">
        <v>535</v>
      </c>
      <c r="B709" s="100">
        <v>44566.0</v>
      </c>
      <c r="C709" s="101">
        <v>0.4181828703703704</v>
      </c>
      <c r="G709" s="2" t="s">
        <v>2184</v>
      </c>
      <c r="H709" s="2" t="s">
        <v>244</v>
      </c>
      <c r="I709" s="100">
        <v>44566.0</v>
      </c>
      <c r="J709" s="101">
        <v>0.4565625</v>
      </c>
      <c r="K709" s="2">
        <v>0.0</v>
      </c>
      <c r="L709" s="2" t="b">
        <v>1</v>
      </c>
      <c r="M709" s="2" t="s">
        <v>2499</v>
      </c>
      <c r="N709" s="2" t="s">
        <v>247</v>
      </c>
    </row>
    <row r="710">
      <c r="A710" s="2" t="s">
        <v>532</v>
      </c>
      <c r="B710" s="100">
        <v>44566.0</v>
      </c>
      <c r="C710" s="101">
        <v>0.4174305555555556</v>
      </c>
      <c r="G710" s="2" t="s">
        <v>2184</v>
      </c>
      <c r="H710" s="2" t="s">
        <v>244</v>
      </c>
      <c r="I710" s="100">
        <v>44566.0</v>
      </c>
      <c r="J710" s="101">
        <v>0.4565625</v>
      </c>
      <c r="K710" s="2">
        <v>0.0</v>
      </c>
      <c r="L710" s="2" t="b">
        <v>1</v>
      </c>
      <c r="M710" s="2" t="s">
        <v>2499</v>
      </c>
      <c r="N710" s="2" t="s">
        <v>247</v>
      </c>
    </row>
    <row r="711">
      <c r="A711" s="2" t="s">
        <v>529</v>
      </c>
      <c r="B711" s="100">
        <v>44566.0</v>
      </c>
      <c r="C711" s="101">
        <v>0.3824652777777778</v>
      </c>
      <c r="G711" s="2" t="s">
        <v>2184</v>
      </c>
      <c r="H711" s="2" t="s">
        <v>244</v>
      </c>
      <c r="I711" s="100">
        <v>44566.0</v>
      </c>
      <c r="J711" s="101">
        <v>0.4565625</v>
      </c>
      <c r="K711" s="2">
        <v>1.0</v>
      </c>
      <c r="L711" s="2" t="b">
        <v>1</v>
      </c>
      <c r="M711" s="2" t="s">
        <v>2499</v>
      </c>
      <c r="N711" s="2" t="s">
        <v>247</v>
      </c>
    </row>
    <row r="712">
      <c r="A712" s="2" t="s">
        <v>527</v>
      </c>
      <c r="B712" s="100">
        <v>44566.0</v>
      </c>
      <c r="C712" s="101">
        <v>0.38178240740740743</v>
      </c>
      <c r="G712" s="2" t="s">
        <v>2184</v>
      </c>
      <c r="H712" s="2" t="s">
        <v>244</v>
      </c>
      <c r="I712" s="100">
        <v>44566.0</v>
      </c>
      <c r="J712" s="101">
        <v>0.4565625</v>
      </c>
      <c r="K712" s="2">
        <v>1.0</v>
      </c>
      <c r="L712" s="2" t="b">
        <v>1</v>
      </c>
      <c r="M712" s="2" t="s">
        <v>2499</v>
      </c>
      <c r="N712" s="2" t="s">
        <v>247</v>
      </c>
    </row>
    <row r="713">
      <c r="A713" s="2" t="s">
        <v>525</v>
      </c>
      <c r="B713" s="100">
        <v>44566.0</v>
      </c>
      <c r="C713" s="101">
        <v>0.3789351851851852</v>
      </c>
      <c r="G713" s="2" t="s">
        <v>2184</v>
      </c>
      <c r="H713" s="2" t="s">
        <v>244</v>
      </c>
      <c r="I713" s="100">
        <v>44566.0</v>
      </c>
      <c r="J713" s="101">
        <v>0.4565625</v>
      </c>
      <c r="K713" s="2">
        <v>1.0</v>
      </c>
      <c r="L713" s="2" t="b">
        <v>1</v>
      </c>
      <c r="M713" s="2" t="s">
        <v>2499</v>
      </c>
      <c r="N713" s="2" t="s">
        <v>247</v>
      </c>
    </row>
    <row r="714">
      <c r="A714" s="2" t="s">
        <v>523</v>
      </c>
      <c r="B714" s="100">
        <v>44566.0</v>
      </c>
      <c r="C714" s="101">
        <v>0.35116898148148146</v>
      </c>
      <c r="G714" s="2" t="s">
        <v>2184</v>
      </c>
      <c r="H714" s="2" t="s">
        <v>244</v>
      </c>
      <c r="I714" s="100">
        <v>44566.0</v>
      </c>
      <c r="J714" s="101">
        <v>0.4565625</v>
      </c>
      <c r="K714" s="2">
        <v>1.0</v>
      </c>
      <c r="L714" s="2" t="b">
        <v>1</v>
      </c>
      <c r="M714" s="2" t="s">
        <v>2499</v>
      </c>
      <c r="N714" s="2" t="s">
        <v>247</v>
      </c>
    </row>
    <row r="715">
      <c r="A715" s="2" t="s">
        <v>519</v>
      </c>
      <c r="B715" s="100">
        <v>44566.0</v>
      </c>
      <c r="C715" s="101">
        <v>0.3388888888888889</v>
      </c>
      <c r="G715" s="2" t="s">
        <v>2184</v>
      </c>
      <c r="H715" s="2" t="s">
        <v>244</v>
      </c>
      <c r="I715" s="100">
        <v>44566.0</v>
      </c>
      <c r="J715" s="101">
        <v>0.4565625</v>
      </c>
      <c r="K715" s="2">
        <v>1.0</v>
      </c>
      <c r="L715" s="2" t="b">
        <v>1</v>
      </c>
      <c r="M715" s="2" t="s">
        <v>2499</v>
      </c>
      <c r="N715" s="2" t="s">
        <v>247</v>
      </c>
    </row>
    <row r="716">
      <c r="A716" s="2" t="s">
        <v>517</v>
      </c>
      <c r="B716" s="100">
        <v>44566.0</v>
      </c>
      <c r="C716" s="101">
        <v>0.33738425925925924</v>
      </c>
      <c r="G716" s="2" t="s">
        <v>2184</v>
      </c>
      <c r="H716" s="2" t="s">
        <v>244</v>
      </c>
      <c r="I716" s="100">
        <v>44566.0</v>
      </c>
      <c r="J716" s="101">
        <v>0.4565625</v>
      </c>
      <c r="K716" s="2">
        <v>1.0</v>
      </c>
      <c r="L716" s="2" t="b">
        <v>1</v>
      </c>
      <c r="M716" s="2" t="s">
        <v>2499</v>
      </c>
      <c r="N716" s="2" t="s">
        <v>247</v>
      </c>
    </row>
    <row r="717">
      <c r="A717" s="2" t="s">
        <v>515</v>
      </c>
      <c r="B717" s="100">
        <v>44566.0</v>
      </c>
      <c r="C717" s="101">
        <v>0.3307638888888889</v>
      </c>
      <c r="G717" s="2" t="s">
        <v>2184</v>
      </c>
      <c r="H717" s="2" t="s">
        <v>52</v>
      </c>
      <c r="I717" s="100">
        <v>44568.0</v>
      </c>
      <c r="J717" s="101">
        <v>0.508275462962963</v>
      </c>
      <c r="K717" s="2">
        <v>1.0</v>
      </c>
      <c r="L717" s="2" t="b">
        <v>1</v>
      </c>
      <c r="N717" s="2" t="s">
        <v>247</v>
      </c>
    </row>
    <row r="718">
      <c r="A718" s="2" t="s">
        <v>511</v>
      </c>
      <c r="B718" s="100">
        <v>44566.0</v>
      </c>
      <c r="C718" s="101">
        <v>0.3297453703703704</v>
      </c>
      <c r="G718" s="2" t="s">
        <v>2184</v>
      </c>
      <c r="H718" s="2" t="s">
        <v>52</v>
      </c>
      <c r="I718" s="100">
        <v>44568.0</v>
      </c>
      <c r="J718" s="101">
        <v>0.508275462962963</v>
      </c>
      <c r="K718" s="2">
        <v>1.0</v>
      </c>
      <c r="L718" s="2" t="b">
        <v>1</v>
      </c>
      <c r="N718" s="2" t="s">
        <v>247</v>
      </c>
    </row>
    <row r="719">
      <c r="A719" s="2" t="s">
        <v>507</v>
      </c>
      <c r="B719" s="100">
        <v>44566.0</v>
      </c>
      <c r="C719" s="101">
        <v>0.32104166666666667</v>
      </c>
      <c r="G719" s="2" t="s">
        <v>2184</v>
      </c>
      <c r="H719" s="2" t="s">
        <v>244</v>
      </c>
      <c r="I719" s="100">
        <v>44566.0</v>
      </c>
      <c r="J719" s="101">
        <v>0.4565625</v>
      </c>
      <c r="K719" s="2">
        <v>1.0</v>
      </c>
      <c r="L719" s="2" t="b">
        <v>1</v>
      </c>
      <c r="M719" s="2" t="s">
        <v>2499</v>
      </c>
      <c r="N719" s="2" t="s">
        <v>247</v>
      </c>
    </row>
    <row r="720">
      <c r="A720" s="2" t="s">
        <v>503</v>
      </c>
      <c r="B720" s="100">
        <v>44566.0</v>
      </c>
      <c r="C720" s="101">
        <v>0.3115277777777778</v>
      </c>
      <c r="G720" s="2" t="s">
        <v>2184</v>
      </c>
      <c r="H720" s="2" t="s">
        <v>244</v>
      </c>
      <c r="I720" s="100">
        <v>44566.0</v>
      </c>
      <c r="J720" s="101">
        <v>0.4565625</v>
      </c>
      <c r="K720" s="2">
        <v>1.0</v>
      </c>
      <c r="L720" s="2" t="b">
        <v>1</v>
      </c>
      <c r="M720" s="2" t="s">
        <v>2499</v>
      </c>
      <c r="N720" s="2" t="s">
        <v>247</v>
      </c>
    </row>
    <row r="721">
      <c r="A721" s="2" t="s">
        <v>499</v>
      </c>
      <c r="B721" s="100">
        <v>44566.0</v>
      </c>
      <c r="C721" s="101">
        <v>0.3086921296296296</v>
      </c>
      <c r="G721" s="2" t="s">
        <v>2184</v>
      </c>
      <c r="H721" s="2" t="s">
        <v>244</v>
      </c>
      <c r="I721" s="100">
        <v>44566.0</v>
      </c>
      <c r="J721" s="101">
        <v>0.4565625</v>
      </c>
      <c r="K721" s="2">
        <v>0.0</v>
      </c>
      <c r="L721" s="2" t="b">
        <v>1</v>
      </c>
      <c r="M721" s="2" t="s">
        <v>2499</v>
      </c>
      <c r="N721" s="2" t="s">
        <v>247</v>
      </c>
    </row>
    <row r="722">
      <c r="A722" s="2" t="s">
        <v>497</v>
      </c>
      <c r="B722" s="100">
        <v>44566.0</v>
      </c>
      <c r="C722" s="101">
        <v>0.30583333333333335</v>
      </c>
      <c r="G722" s="2" t="s">
        <v>2184</v>
      </c>
      <c r="H722" s="2" t="s">
        <v>244</v>
      </c>
      <c r="I722" s="100">
        <v>44566.0</v>
      </c>
      <c r="J722" s="101">
        <v>0.4565625</v>
      </c>
      <c r="K722" s="2">
        <v>1.0</v>
      </c>
      <c r="L722" s="2" t="b">
        <v>1</v>
      </c>
      <c r="M722" s="2" t="s">
        <v>2499</v>
      </c>
      <c r="N722" s="2" t="s">
        <v>247</v>
      </c>
    </row>
    <row r="723">
      <c r="A723" s="2" t="s">
        <v>494</v>
      </c>
      <c r="B723" s="100">
        <v>44565.0</v>
      </c>
      <c r="C723" s="101">
        <v>0.716099537037037</v>
      </c>
      <c r="G723" s="2" t="s">
        <v>2184</v>
      </c>
      <c r="H723" s="2" t="s">
        <v>244</v>
      </c>
      <c r="I723" s="100">
        <v>44566.0</v>
      </c>
      <c r="J723" s="101">
        <v>0.4565625</v>
      </c>
      <c r="K723" s="2">
        <v>1.0</v>
      </c>
      <c r="L723" s="2" t="b">
        <v>1</v>
      </c>
      <c r="M723" s="2" t="s">
        <v>2499</v>
      </c>
      <c r="N723" s="2" t="s">
        <v>247</v>
      </c>
    </row>
    <row r="724">
      <c r="A724" s="2" t="s">
        <v>490</v>
      </c>
      <c r="B724" s="100">
        <v>44565.0</v>
      </c>
      <c r="C724" s="101">
        <v>0.6911574074074074</v>
      </c>
      <c r="G724" s="2" t="s">
        <v>2184</v>
      </c>
      <c r="H724" s="2" t="s">
        <v>244</v>
      </c>
      <c r="I724" s="100">
        <v>44566.0</v>
      </c>
      <c r="J724" s="101">
        <v>0.4565625</v>
      </c>
      <c r="K724" s="2">
        <v>1.0</v>
      </c>
      <c r="L724" s="2" t="b">
        <v>1</v>
      </c>
      <c r="M724" s="2" t="s">
        <v>2499</v>
      </c>
      <c r="N724" s="2" t="s">
        <v>247</v>
      </c>
    </row>
    <row r="725">
      <c r="A725" s="2" t="s">
        <v>488</v>
      </c>
      <c r="B725" s="100">
        <v>44564.0</v>
      </c>
      <c r="C725" s="101">
        <v>0.40229166666666666</v>
      </c>
      <c r="G725" s="2" t="s">
        <v>2184</v>
      </c>
      <c r="H725" s="2" t="s">
        <v>244</v>
      </c>
      <c r="I725" s="100">
        <v>44564.0</v>
      </c>
      <c r="J725" s="101">
        <v>0.5280439814814815</v>
      </c>
      <c r="K725" s="2">
        <v>1.0</v>
      </c>
      <c r="L725" s="2" t="b">
        <v>1</v>
      </c>
      <c r="M725" s="2" t="s">
        <v>2500</v>
      </c>
      <c r="N725" s="2" t="s">
        <v>247</v>
      </c>
    </row>
    <row r="726">
      <c r="A726" s="2" t="s">
        <v>2444</v>
      </c>
      <c r="B726" s="100">
        <v>44564.0</v>
      </c>
      <c r="C726" s="101">
        <v>0.39762731481481484</v>
      </c>
      <c r="G726" s="2" t="s">
        <v>2184</v>
      </c>
      <c r="H726" s="2" t="s">
        <v>244</v>
      </c>
      <c r="I726" s="100">
        <v>44564.0</v>
      </c>
      <c r="J726" s="101">
        <v>0.5280439814814815</v>
      </c>
      <c r="K726" s="2">
        <v>1.0</v>
      </c>
      <c r="L726" s="2" t="b">
        <v>1</v>
      </c>
      <c r="M726" s="2" t="s">
        <v>2500</v>
      </c>
      <c r="N726" s="2" t="s">
        <v>247</v>
      </c>
    </row>
    <row r="727">
      <c r="A727" s="2" t="s">
        <v>484</v>
      </c>
      <c r="B727" s="100">
        <v>44564.0</v>
      </c>
      <c r="C727" s="101">
        <v>0.38413194444444443</v>
      </c>
      <c r="G727" s="2" t="s">
        <v>2184</v>
      </c>
      <c r="H727" s="2" t="s">
        <v>244</v>
      </c>
      <c r="I727" s="100">
        <v>44564.0</v>
      </c>
      <c r="J727" s="101">
        <v>0.5280439814814815</v>
      </c>
      <c r="K727" s="2">
        <v>1.0</v>
      </c>
      <c r="L727" s="2" t="b">
        <v>1</v>
      </c>
      <c r="M727" s="2" t="s">
        <v>2500</v>
      </c>
      <c r="N727" s="2" t="s">
        <v>247</v>
      </c>
    </row>
    <row r="728">
      <c r="A728" s="2" t="s">
        <v>482</v>
      </c>
      <c r="B728" s="100">
        <v>44564.0</v>
      </c>
      <c r="C728" s="101">
        <v>0.36962962962962964</v>
      </c>
      <c r="G728" s="2" t="s">
        <v>2184</v>
      </c>
      <c r="H728" s="2" t="s">
        <v>244</v>
      </c>
      <c r="I728" s="100">
        <v>44564.0</v>
      </c>
      <c r="J728" s="101">
        <v>0.5280439814814815</v>
      </c>
      <c r="K728" s="2">
        <v>1.0</v>
      </c>
      <c r="L728" s="2" t="b">
        <v>1</v>
      </c>
      <c r="M728" s="2" t="s">
        <v>2500</v>
      </c>
      <c r="N728" s="2" t="s">
        <v>247</v>
      </c>
    </row>
    <row r="729">
      <c r="A729" s="2" t="s">
        <v>479</v>
      </c>
      <c r="B729" s="100">
        <v>44564.0</v>
      </c>
      <c r="C729" s="101">
        <v>0.3654513888888889</v>
      </c>
      <c r="G729" s="2" t="s">
        <v>2184</v>
      </c>
      <c r="H729" s="2" t="s">
        <v>52</v>
      </c>
      <c r="I729" s="100">
        <v>44564.0</v>
      </c>
      <c r="J729" s="101">
        <v>0.5280439814814815</v>
      </c>
      <c r="K729" s="2">
        <v>1.0</v>
      </c>
      <c r="L729" s="2" t="b">
        <v>1</v>
      </c>
      <c r="N729" s="2" t="s">
        <v>247</v>
      </c>
    </row>
    <row r="730">
      <c r="A730" s="2" t="s">
        <v>476</v>
      </c>
      <c r="B730" s="100">
        <v>44564.0</v>
      </c>
      <c r="C730" s="101">
        <v>0.35965277777777777</v>
      </c>
      <c r="G730" s="2" t="s">
        <v>2184</v>
      </c>
      <c r="H730" s="2" t="s">
        <v>52</v>
      </c>
      <c r="I730" s="100">
        <v>44564.0</v>
      </c>
      <c r="J730" s="101">
        <v>0.5280439814814815</v>
      </c>
      <c r="K730" s="2">
        <v>1.0</v>
      </c>
      <c r="L730" s="2" t="b">
        <v>1</v>
      </c>
      <c r="N730" s="2" t="s">
        <v>247</v>
      </c>
    </row>
    <row r="731">
      <c r="A731" s="2" t="s">
        <v>474</v>
      </c>
      <c r="B731" s="100">
        <v>44564.0</v>
      </c>
      <c r="C731" s="101">
        <v>0.3515509259259259</v>
      </c>
      <c r="G731" s="2" t="s">
        <v>2184</v>
      </c>
      <c r="H731" s="2" t="s">
        <v>244</v>
      </c>
      <c r="I731" s="100">
        <v>44564.0</v>
      </c>
      <c r="J731" s="101">
        <v>0.5280439814814815</v>
      </c>
      <c r="K731" s="2">
        <v>1.0</v>
      </c>
      <c r="L731" s="2" t="b">
        <v>1</v>
      </c>
      <c r="M731" s="2" t="s">
        <v>2500</v>
      </c>
      <c r="N731" s="2" t="s">
        <v>247</v>
      </c>
    </row>
    <row r="732">
      <c r="A732" s="2" t="s">
        <v>470</v>
      </c>
      <c r="B732" s="100">
        <v>44564.0</v>
      </c>
      <c r="C732" s="101">
        <v>0.3424074074074074</v>
      </c>
      <c r="G732" s="2" t="s">
        <v>2184</v>
      </c>
      <c r="H732" s="2" t="s">
        <v>244</v>
      </c>
      <c r="I732" s="100">
        <v>44564.0</v>
      </c>
      <c r="J732" s="101">
        <v>0.5280439814814815</v>
      </c>
      <c r="K732" s="2">
        <v>1.0</v>
      </c>
      <c r="L732" s="2" t="b">
        <v>1</v>
      </c>
      <c r="M732" s="2" t="s">
        <v>2500</v>
      </c>
      <c r="N732" s="2" t="s">
        <v>247</v>
      </c>
    </row>
    <row r="733">
      <c r="A733" s="2" t="s">
        <v>468</v>
      </c>
      <c r="B733" s="100">
        <v>44564.0</v>
      </c>
      <c r="C733" s="101">
        <v>0.33775462962962965</v>
      </c>
      <c r="G733" s="2" t="s">
        <v>2184</v>
      </c>
      <c r="H733" s="2" t="s">
        <v>52</v>
      </c>
      <c r="I733" s="100">
        <v>44564.0</v>
      </c>
      <c r="J733" s="101">
        <v>0.5280439814814815</v>
      </c>
      <c r="K733" s="2">
        <v>1.0</v>
      </c>
      <c r="L733" s="2" t="b">
        <v>1</v>
      </c>
      <c r="N733" s="2" t="s">
        <v>247</v>
      </c>
    </row>
    <row r="734">
      <c r="A734" s="2" t="s">
        <v>464</v>
      </c>
      <c r="B734" s="100">
        <v>44564.0</v>
      </c>
      <c r="C734" s="101">
        <v>0.3261574074074074</v>
      </c>
      <c r="G734" s="2" t="s">
        <v>2184</v>
      </c>
      <c r="H734" s="2" t="s">
        <v>244</v>
      </c>
      <c r="I734" s="100">
        <v>44564.0</v>
      </c>
      <c r="J734" s="101">
        <v>0.5280439814814815</v>
      </c>
      <c r="K734" s="2">
        <v>1.0</v>
      </c>
      <c r="L734" s="2" t="b">
        <v>1</v>
      </c>
      <c r="M734" s="2" t="s">
        <v>2500</v>
      </c>
      <c r="N734" s="2" t="s">
        <v>247</v>
      </c>
    </row>
    <row r="735">
      <c r="A735" s="2" t="s">
        <v>462</v>
      </c>
      <c r="B735" s="100">
        <v>44564.0</v>
      </c>
      <c r="C735" s="101">
        <v>0.32538194444444446</v>
      </c>
      <c r="G735" s="2" t="s">
        <v>2184</v>
      </c>
      <c r="H735" s="2" t="s">
        <v>244</v>
      </c>
      <c r="I735" s="100">
        <v>44564.0</v>
      </c>
      <c r="J735" s="101">
        <v>0.5280439814814815</v>
      </c>
      <c r="K735" s="2">
        <v>1.0</v>
      </c>
      <c r="L735" s="2" t="b">
        <v>1</v>
      </c>
      <c r="M735" s="2" t="s">
        <v>2500</v>
      </c>
      <c r="N735" s="2" t="s">
        <v>247</v>
      </c>
    </row>
    <row r="736">
      <c r="A736" s="2" t="s">
        <v>460</v>
      </c>
      <c r="B736" s="100">
        <v>44564.0</v>
      </c>
      <c r="C736" s="101">
        <v>0.31754629629629627</v>
      </c>
      <c r="G736" s="2" t="s">
        <v>2184</v>
      </c>
      <c r="H736" s="2" t="s">
        <v>244</v>
      </c>
      <c r="I736" s="100">
        <v>44564.0</v>
      </c>
      <c r="J736" s="101">
        <v>0.5280439814814815</v>
      </c>
      <c r="K736" s="2">
        <v>1.0</v>
      </c>
      <c r="L736" s="2" t="b">
        <v>1</v>
      </c>
      <c r="M736" s="2" t="s">
        <v>2500</v>
      </c>
      <c r="N736" s="2" t="s">
        <v>247</v>
      </c>
    </row>
    <row r="737">
      <c r="A737" s="2" t="s">
        <v>456</v>
      </c>
      <c r="B737" s="100">
        <v>44564.0</v>
      </c>
      <c r="C737" s="101">
        <v>0.3048032407407407</v>
      </c>
      <c r="G737" s="2" t="s">
        <v>2184</v>
      </c>
      <c r="H737" s="2" t="s">
        <v>52</v>
      </c>
      <c r="I737" s="100">
        <v>44564.0</v>
      </c>
      <c r="J737" s="101">
        <v>0.5280439814814815</v>
      </c>
      <c r="K737" s="2">
        <v>1.0</v>
      </c>
      <c r="L737" s="2" t="b">
        <v>1</v>
      </c>
      <c r="N737" s="2" t="s">
        <v>247</v>
      </c>
    </row>
    <row r="738">
      <c r="A738" s="2" t="s">
        <v>454</v>
      </c>
      <c r="B738" s="100">
        <v>44564.0</v>
      </c>
      <c r="C738" s="101">
        <v>0.2034837962962963</v>
      </c>
      <c r="G738" s="2" t="s">
        <v>2184</v>
      </c>
      <c r="H738" s="2" t="s">
        <v>244</v>
      </c>
      <c r="I738" s="100">
        <v>44564.0</v>
      </c>
      <c r="J738" s="101">
        <v>0.5280439814814815</v>
      </c>
      <c r="K738" s="2">
        <v>1.0</v>
      </c>
      <c r="L738" s="2" t="b">
        <v>1</v>
      </c>
      <c r="M738" s="2" t="s">
        <v>2500</v>
      </c>
      <c r="N738" s="2" t="s">
        <v>247</v>
      </c>
    </row>
    <row r="739">
      <c r="A739" s="2" t="s">
        <v>452</v>
      </c>
      <c r="B739" s="100">
        <v>44561.0</v>
      </c>
      <c r="C739" s="101">
        <v>0.4247916666666667</v>
      </c>
      <c r="G739" s="2" t="s">
        <v>2188</v>
      </c>
      <c r="H739" s="2" t="s">
        <v>254</v>
      </c>
      <c r="I739" s="100">
        <v>44861.0</v>
      </c>
      <c r="J739" s="101">
        <v>0.4895023148148148</v>
      </c>
      <c r="K739" s="2">
        <v>1.0</v>
      </c>
      <c r="N739" s="2" t="s">
        <v>247</v>
      </c>
    </row>
    <row r="740">
      <c r="A740" s="2" t="s">
        <v>449</v>
      </c>
      <c r="B740" s="100">
        <v>44561.0</v>
      </c>
      <c r="C740" s="101">
        <v>0.40042824074074074</v>
      </c>
      <c r="G740" s="2" t="s">
        <v>2184</v>
      </c>
      <c r="H740" s="2" t="s">
        <v>52</v>
      </c>
      <c r="I740" s="100">
        <v>44561.0</v>
      </c>
      <c r="J740" s="101">
        <v>0.44559027777777777</v>
      </c>
      <c r="K740" s="2">
        <v>1.0</v>
      </c>
      <c r="L740" s="2" t="b">
        <v>1</v>
      </c>
      <c r="M740" s="2" t="s">
        <v>2501</v>
      </c>
      <c r="N740" s="2" t="s">
        <v>247</v>
      </c>
    </row>
    <row r="741">
      <c r="A741" s="2" t="s">
        <v>447</v>
      </c>
      <c r="B741" s="100">
        <v>44561.0</v>
      </c>
      <c r="C741" s="101">
        <v>0.38902777777777775</v>
      </c>
      <c r="G741" s="2" t="s">
        <v>2497</v>
      </c>
      <c r="H741" s="2" t="s">
        <v>254</v>
      </c>
      <c r="I741" s="100">
        <v>44861.0</v>
      </c>
      <c r="J741" s="101">
        <v>0.4895023148148148</v>
      </c>
      <c r="K741" s="2">
        <v>1.0</v>
      </c>
      <c r="N741" s="2" t="s">
        <v>247</v>
      </c>
    </row>
    <row r="742">
      <c r="A742" s="2" t="s">
        <v>445</v>
      </c>
      <c r="B742" s="100">
        <v>44561.0</v>
      </c>
      <c r="C742" s="101">
        <v>0.3527777777777778</v>
      </c>
      <c r="G742" s="2" t="s">
        <v>2184</v>
      </c>
      <c r="H742" s="2" t="s">
        <v>244</v>
      </c>
      <c r="I742" s="100">
        <v>44561.0</v>
      </c>
      <c r="J742" s="101">
        <v>0.44493055555555555</v>
      </c>
      <c r="K742" s="2">
        <v>1.0</v>
      </c>
      <c r="L742" s="2" t="b">
        <v>1</v>
      </c>
      <c r="M742" s="2" t="s">
        <v>2502</v>
      </c>
      <c r="N742" s="2" t="s">
        <v>247</v>
      </c>
    </row>
    <row r="743">
      <c r="A743" s="2" t="s">
        <v>2445</v>
      </c>
      <c r="B743" s="100">
        <v>44561.0</v>
      </c>
      <c r="C743" s="101">
        <v>0.3366898148148148</v>
      </c>
      <c r="G743" s="2" t="s">
        <v>2184</v>
      </c>
      <c r="H743" s="2" t="s">
        <v>244</v>
      </c>
      <c r="I743" s="100">
        <v>44561.0</v>
      </c>
      <c r="J743" s="101">
        <v>0.44493055555555555</v>
      </c>
      <c r="K743" s="2">
        <v>1.0</v>
      </c>
      <c r="L743" s="2" t="b">
        <v>1</v>
      </c>
      <c r="M743" s="2" t="s">
        <v>2502</v>
      </c>
      <c r="N743" s="2" t="s">
        <v>247</v>
      </c>
    </row>
    <row r="744">
      <c r="A744" s="2" t="s">
        <v>441</v>
      </c>
      <c r="B744" s="100">
        <v>44561.0</v>
      </c>
      <c r="C744" s="101">
        <v>0.33644675925925926</v>
      </c>
      <c r="G744" s="2" t="s">
        <v>2184</v>
      </c>
      <c r="H744" s="2" t="s">
        <v>244</v>
      </c>
      <c r="I744" s="100">
        <v>44561.0</v>
      </c>
      <c r="J744" s="101">
        <v>0.44493055555555555</v>
      </c>
      <c r="K744" s="2">
        <v>1.0</v>
      </c>
      <c r="L744" s="2" t="b">
        <v>1</v>
      </c>
      <c r="M744" s="2" t="s">
        <v>2502</v>
      </c>
      <c r="N744" s="2" t="s">
        <v>247</v>
      </c>
    </row>
    <row r="745">
      <c r="A745" s="2" t="s">
        <v>439</v>
      </c>
      <c r="B745" s="100">
        <v>44561.0</v>
      </c>
      <c r="C745" s="101">
        <v>0.32719907407407406</v>
      </c>
      <c r="G745" s="2" t="s">
        <v>2184</v>
      </c>
      <c r="H745" s="2" t="s">
        <v>244</v>
      </c>
      <c r="I745" s="100">
        <v>44561.0</v>
      </c>
      <c r="J745" s="101">
        <v>0.44493055555555555</v>
      </c>
      <c r="K745" s="2">
        <v>1.0</v>
      </c>
      <c r="L745" s="2" t="b">
        <v>1</v>
      </c>
      <c r="M745" s="2" t="s">
        <v>2502</v>
      </c>
      <c r="N745" s="2" t="s">
        <v>247</v>
      </c>
    </row>
    <row r="746">
      <c r="A746" s="2" t="s">
        <v>435</v>
      </c>
      <c r="B746" s="100">
        <v>44561.0</v>
      </c>
      <c r="C746" s="101">
        <v>0.32125</v>
      </c>
      <c r="G746" s="2" t="s">
        <v>2184</v>
      </c>
      <c r="H746" s="2" t="s">
        <v>244</v>
      </c>
      <c r="I746" s="100">
        <v>44561.0</v>
      </c>
      <c r="J746" s="101">
        <v>0.44493055555555555</v>
      </c>
      <c r="K746" s="2">
        <v>1.0</v>
      </c>
      <c r="L746" s="2" t="b">
        <v>1</v>
      </c>
      <c r="M746" s="2" t="s">
        <v>2502</v>
      </c>
      <c r="N746" s="2" t="s">
        <v>247</v>
      </c>
    </row>
    <row r="747">
      <c r="A747" s="2" t="s">
        <v>2446</v>
      </c>
      <c r="B747" s="100">
        <v>44561.0</v>
      </c>
      <c r="C747" s="101">
        <v>0.3167361111111111</v>
      </c>
      <c r="G747" s="2" t="s">
        <v>2184</v>
      </c>
      <c r="H747" s="2" t="s">
        <v>244</v>
      </c>
      <c r="I747" s="100">
        <v>44561.0</v>
      </c>
      <c r="J747" s="101">
        <v>0.44493055555555555</v>
      </c>
      <c r="K747" s="2">
        <v>1.0</v>
      </c>
      <c r="L747" s="2" t="b">
        <v>1</v>
      </c>
      <c r="M747" s="2" t="s">
        <v>2502</v>
      </c>
      <c r="N747" s="2" t="s">
        <v>247</v>
      </c>
    </row>
    <row r="748">
      <c r="A748" s="2" t="s">
        <v>429</v>
      </c>
      <c r="B748" s="100">
        <v>44561.0</v>
      </c>
      <c r="C748" s="101">
        <v>0.3053240740740741</v>
      </c>
      <c r="G748" s="2" t="s">
        <v>2184</v>
      </c>
      <c r="H748" s="2" t="s">
        <v>52</v>
      </c>
      <c r="I748" s="100">
        <v>44561.0</v>
      </c>
      <c r="J748" s="101">
        <v>0.44559027777777777</v>
      </c>
      <c r="K748" s="2">
        <v>1.0</v>
      </c>
      <c r="L748" s="2" t="b">
        <v>1</v>
      </c>
      <c r="M748" s="2" t="s">
        <v>2501</v>
      </c>
      <c r="N748" s="2" t="s">
        <v>247</v>
      </c>
    </row>
    <row r="749">
      <c r="A749" s="2" t="s">
        <v>427</v>
      </c>
      <c r="B749" s="100">
        <v>44559.0</v>
      </c>
      <c r="C749" s="101">
        <v>0.3974421296296296</v>
      </c>
      <c r="G749" s="2" t="s">
        <v>2184</v>
      </c>
      <c r="H749" s="2" t="s">
        <v>244</v>
      </c>
      <c r="I749" s="100">
        <v>44559.0</v>
      </c>
      <c r="J749" s="101">
        <v>0.4366319444444444</v>
      </c>
      <c r="K749" s="2">
        <v>1.0</v>
      </c>
      <c r="L749" s="2" t="b">
        <v>1</v>
      </c>
      <c r="M749" s="2" t="s">
        <v>2503</v>
      </c>
      <c r="N749" s="2" t="s">
        <v>247</v>
      </c>
    </row>
    <row r="750">
      <c r="A750" s="2" t="s">
        <v>424</v>
      </c>
      <c r="B750" s="100">
        <v>44559.0</v>
      </c>
      <c r="C750" s="101">
        <v>0.3973263888888889</v>
      </c>
      <c r="G750" s="2" t="s">
        <v>2184</v>
      </c>
      <c r="H750" s="2" t="s">
        <v>244</v>
      </c>
      <c r="I750" s="100">
        <v>44559.0</v>
      </c>
      <c r="J750" s="101">
        <v>0.4366319444444444</v>
      </c>
      <c r="K750" s="2">
        <v>1.0</v>
      </c>
      <c r="L750" s="2" t="b">
        <v>1</v>
      </c>
      <c r="M750" s="2" t="s">
        <v>2503</v>
      </c>
      <c r="N750" s="2" t="s">
        <v>247</v>
      </c>
    </row>
    <row r="751">
      <c r="A751" s="2" t="s">
        <v>422</v>
      </c>
      <c r="B751" s="100">
        <v>44559.0</v>
      </c>
      <c r="C751" s="101">
        <v>0.35658564814814814</v>
      </c>
      <c r="G751" s="2" t="s">
        <v>2184</v>
      </c>
      <c r="H751" s="2" t="s">
        <v>244</v>
      </c>
      <c r="I751" s="100">
        <v>44559.0</v>
      </c>
      <c r="J751" s="101">
        <v>0.4366319444444444</v>
      </c>
      <c r="K751" s="2">
        <v>1.0</v>
      </c>
      <c r="L751" s="2" t="b">
        <v>1</v>
      </c>
      <c r="M751" s="2" t="s">
        <v>2503</v>
      </c>
      <c r="N751" s="2" t="s">
        <v>247</v>
      </c>
    </row>
    <row r="752">
      <c r="A752" s="2" t="s">
        <v>2447</v>
      </c>
      <c r="B752" s="100">
        <v>44559.0</v>
      </c>
      <c r="C752" s="101">
        <v>0.2964467592592593</v>
      </c>
      <c r="G752" s="2" t="s">
        <v>2184</v>
      </c>
      <c r="H752" s="2" t="s">
        <v>244</v>
      </c>
      <c r="I752" s="100">
        <v>44559.0</v>
      </c>
      <c r="J752" s="101">
        <v>0.4366319444444444</v>
      </c>
      <c r="K752" s="2">
        <v>1.0</v>
      </c>
      <c r="L752" s="2" t="b">
        <v>1</v>
      </c>
      <c r="M752" s="2" t="s">
        <v>2503</v>
      </c>
      <c r="N752" s="2" t="s">
        <v>247</v>
      </c>
    </row>
    <row r="753">
      <c r="A753" s="2" t="s">
        <v>416</v>
      </c>
      <c r="B753" s="100">
        <v>44557.0</v>
      </c>
      <c r="C753" s="101">
        <v>0.4258796296296296</v>
      </c>
      <c r="G753" s="2" t="s">
        <v>2184</v>
      </c>
      <c r="H753" s="2" t="s">
        <v>244</v>
      </c>
      <c r="I753" s="100">
        <v>44557.0</v>
      </c>
      <c r="J753" s="101">
        <v>0.4871064814814815</v>
      </c>
      <c r="K753" s="2">
        <v>1.0</v>
      </c>
      <c r="L753" s="2" t="b">
        <v>1</v>
      </c>
      <c r="M753" s="2" t="s">
        <v>2504</v>
      </c>
      <c r="N753" s="2" t="s">
        <v>247</v>
      </c>
    </row>
    <row r="754">
      <c r="A754" s="2" t="s">
        <v>414</v>
      </c>
      <c r="B754" s="100">
        <v>44557.0</v>
      </c>
      <c r="C754" s="101">
        <v>0.4255902777777778</v>
      </c>
      <c r="G754" s="2" t="s">
        <v>2184</v>
      </c>
      <c r="H754" s="2" t="s">
        <v>244</v>
      </c>
      <c r="I754" s="100">
        <v>44557.0</v>
      </c>
      <c r="J754" s="101">
        <v>0.4871064814814815</v>
      </c>
      <c r="K754" s="2">
        <v>1.0</v>
      </c>
      <c r="L754" s="2" t="b">
        <v>1</v>
      </c>
      <c r="M754" s="2" t="s">
        <v>2504</v>
      </c>
      <c r="N754" s="2" t="s">
        <v>247</v>
      </c>
    </row>
    <row r="755">
      <c r="A755" s="2" t="s">
        <v>412</v>
      </c>
      <c r="B755" s="100">
        <v>44557.0</v>
      </c>
      <c r="C755" s="101">
        <v>0.3893287037037037</v>
      </c>
      <c r="G755" s="2" t="s">
        <v>2184</v>
      </c>
      <c r="H755" s="2" t="s">
        <v>244</v>
      </c>
      <c r="I755" s="100">
        <v>44557.0</v>
      </c>
      <c r="J755" s="101">
        <v>0.4870949074074074</v>
      </c>
      <c r="K755" s="2">
        <v>1.0</v>
      </c>
      <c r="L755" s="2" t="b">
        <v>1</v>
      </c>
      <c r="M755" s="2" t="s">
        <v>2504</v>
      </c>
      <c r="N755" s="2" t="s">
        <v>247</v>
      </c>
    </row>
    <row r="756">
      <c r="A756" s="2" t="s">
        <v>408</v>
      </c>
      <c r="B756" s="100">
        <v>44557.0</v>
      </c>
      <c r="C756" s="101">
        <v>0.37775462962962963</v>
      </c>
      <c r="G756" s="2" t="s">
        <v>2184</v>
      </c>
      <c r="H756" s="2" t="s">
        <v>244</v>
      </c>
      <c r="I756" s="100">
        <v>44557.0</v>
      </c>
      <c r="J756" s="101">
        <v>0.4870949074074074</v>
      </c>
      <c r="K756" s="2">
        <v>1.0</v>
      </c>
      <c r="L756" s="2" t="b">
        <v>1</v>
      </c>
      <c r="M756" s="2" t="s">
        <v>2504</v>
      </c>
      <c r="N756" s="2" t="s">
        <v>247</v>
      </c>
    </row>
    <row r="757">
      <c r="A757" s="2" t="s">
        <v>405</v>
      </c>
      <c r="B757" s="100">
        <v>44557.0</v>
      </c>
      <c r="C757" s="101">
        <v>0.36072916666666666</v>
      </c>
      <c r="G757" s="2" t="s">
        <v>2184</v>
      </c>
      <c r="H757" s="2" t="s">
        <v>244</v>
      </c>
      <c r="I757" s="100">
        <v>44557.0</v>
      </c>
      <c r="J757" s="101">
        <v>0.4870949074074074</v>
      </c>
      <c r="K757" s="2">
        <v>1.0</v>
      </c>
      <c r="L757" s="2" t="b">
        <v>1</v>
      </c>
      <c r="M757" s="2" t="s">
        <v>2504</v>
      </c>
      <c r="N757" s="2" t="s">
        <v>247</v>
      </c>
    </row>
    <row r="758">
      <c r="A758" s="2" t="s">
        <v>2448</v>
      </c>
      <c r="B758" s="100">
        <v>44557.0</v>
      </c>
      <c r="C758" s="101">
        <v>0.35445601851851855</v>
      </c>
      <c r="G758" s="2" t="s">
        <v>2184</v>
      </c>
      <c r="H758" s="2" t="s">
        <v>244</v>
      </c>
      <c r="I758" s="100">
        <v>44557.0</v>
      </c>
      <c r="J758" s="101">
        <v>0.4870949074074074</v>
      </c>
      <c r="K758" s="2">
        <v>1.0</v>
      </c>
      <c r="L758" s="2" t="b">
        <v>1</v>
      </c>
      <c r="M758" s="2" t="s">
        <v>2504</v>
      </c>
      <c r="N758" s="2" t="s">
        <v>247</v>
      </c>
    </row>
    <row r="759">
      <c r="A759" s="2" t="s">
        <v>401</v>
      </c>
      <c r="B759" s="100">
        <v>44557.0</v>
      </c>
      <c r="C759" s="101">
        <v>0.34118055555555554</v>
      </c>
      <c r="G759" s="2" t="s">
        <v>2184</v>
      </c>
      <c r="H759" s="2" t="s">
        <v>244</v>
      </c>
      <c r="I759" s="100">
        <v>44557.0</v>
      </c>
      <c r="J759" s="101">
        <v>0.4870949074074074</v>
      </c>
      <c r="K759" s="2">
        <v>1.0</v>
      </c>
      <c r="L759" s="2" t="b">
        <v>1</v>
      </c>
      <c r="M759" s="2" t="s">
        <v>2504</v>
      </c>
      <c r="N759" s="2" t="s">
        <v>247</v>
      </c>
    </row>
    <row r="760">
      <c r="A760" s="2" t="s">
        <v>397</v>
      </c>
      <c r="B760" s="100">
        <v>44557.0</v>
      </c>
      <c r="C760" s="101">
        <v>0.34068287037037037</v>
      </c>
      <c r="G760" s="2" t="s">
        <v>2184</v>
      </c>
      <c r="H760" s="2" t="s">
        <v>244</v>
      </c>
      <c r="I760" s="100">
        <v>44557.0</v>
      </c>
      <c r="J760" s="101">
        <v>0.4870949074074074</v>
      </c>
      <c r="K760" s="2">
        <v>1.0</v>
      </c>
      <c r="L760" s="2" t="b">
        <v>1</v>
      </c>
      <c r="M760" s="2" t="s">
        <v>2504</v>
      </c>
      <c r="N760" s="2" t="s">
        <v>247</v>
      </c>
    </row>
    <row r="761">
      <c r="A761" s="2" t="s">
        <v>2449</v>
      </c>
      <c r="B761" s="100">
        <v>44557.0</v>
      </c>
      <c r="C761" s="101">
        <v>0.3368865740740741</v>
      </c>
      <c r="G761" s="2" t="s">
        <v>2184</v>
      </c>
      <c r="H761" s="2" t="s">
        <v>244</v>
      </c>
      <c r="I761" s="100">
        <v>44557.0</v>
      </c>
      <c r="J761" s="101">
        <v>0.4870949074074074</v>
      </c>
      <c r="K761" s="2">
        <v>1.0</v>
      </c>
      <c r="L761" s="2" t="b">
        <v>1</v>
      </c>
      <c r="M761" s="2" t="s">
        <v>2504</v>
      </c>
      <c r="N761" s="2" t="s">
        <v>247</v>
      </c>
    </row>
    <row r="762">
      <c r="A762" s="2" t="s">
        <v>393</v>
      </c>
      <c r="B762" s="100">
        <v>44557.0</v>
      </c>
      <c r="C762" s="101">
        <v>0.3337037037037037</v>
      </c>
      <c r="G762" s="2" t="s">
        <v>2184</v>
      </c>
      <c r="H762" s="2" t="s">
        <v>244</v>
      </c>
      <c r="I762" s="100">
        <v>44557.0</v>
      </c>
      <c r="J762" s="101">
        <v>0.4870949074074074</v>
      </c>
      <c r="K762" s="2">
        <v>1.0</v>
      </c>
      <c r="L762" s="2" t="b">
        <v>1</v>
      </c>
      <c r="M762" s="2" t="s">
        <v>2504</v>
      </c>
      <c r="N762" s="2" t="s">
        <v>247</v>
      </c>
    </row>
    <row r="763">
      <c r="A763" s="2" t="s">
        <v>389</v>
      </c>
      <c r="B763" s="100">
        <v>44557.0</v>
      </c>
      <c r="C763" s="101">
        <v>0.32893518518518516</v>
      </c>
      <c r="G763" s="2" t="s">
        <v>2184</v>
      </c>
      <c r="H763" s="2" t="s">
        <v>244</v>
      </c>
      <c r="I763" s="100">
        <v>44557.0</v>
      </c>
      <c r="J763" s="101">
        <v>0.4870949074074074</v>
      </c>
      <c r="K763" s="2">
        <v>1.0</v>
      </c>
      <c r="L763" s="2" t="b">
        <v>1</v>
      </c>
      <c r="M763" s="2" t="s">
        <v>2504</v>
      </c>
      <c r="N763" s="2" t="s">
        <v>247</v>
      </c>
    </row>
    <row r="764">
      <c r="A764" s="2" t="s">
        <v>387</v>
      </c>
      <c r="B764" s="100">
        <v>44557.0</v>
      </c>
      <c r="C764" s="101">
        <v>0.3275462962962963</v>
      </c>
      <c r="G764" s="2" t="s">
        <v>2184</v>
      </c>
      <c r="H764" s="2" t="s">
        <v>244</v>
      </c>
      <c r="I764" s="100">
        <v>44557.0</v>
      </c>
      <c r="J764" s="101">
        <v>0.4870949074074074</v>
      </c>
      <c r="K764" s="2">
        <v>1.0</v>
      </c>
      <c r="L764" s="2" t="b">
        <v>1</v>
      </c>
      <c r="M764" s="2" t="s">
        <v>2504</v>
      </c>
      <c r="N764" s="2" t="s">
        <v>247</v>
      </c>
    </row>
    <row r="765">
      <c r="A765" s="2" t="s">
        <v>385</v>
      </c>
      <c r="B765" s="100">
        <v>44557.0</v>
      </c>
      <c r="C765" s="101">
        <v>0.31266203703703704</v>
      </c>
      <c r="G765" s="2" t="s">
        <v>2184</v>
      </c>
      <c r="H765" s="2" t="s">
        <v>244</v>
      </c>
      <c r="I765" s="100">
        <v>44557.0</v>
      </c>
      <c r="J765" s="101">
        <v>0.4870949074074074</v>
      </c>
      <c r="K765" s="2">
        <v>1.0</v>
      </c>
      <c r="L765" s="2" t="b">
        <v>1</v>
      </c>
      <c r="M765" s="2" t="s">
        <v>2504</v>
      </c>
      <c r="N765" s="2" t="s">
        <v>247</v>
      </c>
    </row>
    <row r="766">
      <c r="A766" s="2" t="s">
        <v>383</v>
      </c>
      <c r="B766" s="100">
        <v>44557.0</v>
      </c>
      <c r="C766" s="101">
        <v>0.3123148148148148</v>
      </c>
      <c r="G766" s="2" t="s">
        <v>2184</v>
      </c>
      <c r="H766" s="2" t="s">
        <v>244</v>
      </c>
      <c r="I766" s="100">
        <v>44557.0</v>
      </c>
      <c r="J766" s="101">
        <v>0.4870949074074074</v>
      </c>
      <c r="K766" s="2">
        <v>1.0</v>
      </c>
      <c r="L766" s="2" t="b">
        <v>1</v>
      </c>
      <c r="M766" s="2" t="s">
        <v>2504</v>
      </c>
      <c r="N766" s="2" t="s">
        <v>247</v>
      </c>
    </row>
    <row r="767">
      <c r="A767" s="2" t="s">
        <v>381</v>
      </c>
      <c r="B767" s="100">
        <v>44556.0</v>
      </c>
      <c r="C767" s="101">
        <v>0.6234837962962962</v>
      </c>
      <c r="G767" s="2" t="s">
        <v>2184</v>
      </c>
      <c r="H767" s="2" t="s">
        <v>244</v>
      </c>
      <c r="I767" s="100">
        <v>44557.0</v>
      </c>
      <c r="J767" s="101">
        <v>0.4870949074074074</v>
      </c>
      <c r="K767" s="2">
        <v>1.0</v>
      </c>
      <c r="L767" s="2" t="b">
        <v>1</v>
      </c>
      <c r="M767" s="2" t="s">
        <v>2504</v>
      </c>
      <c r="N767" s="2" t="s">
        <v>247</v>
      </c>
    </row>
    <row r="768">
      <c r="A768" s="2" t="s">
        <v>2450</v>
      </c>
      <c r="B768" s="100">
        <v>44552.0</v>
      </c>
      <c r="C768" s="101">
        <v>0.3660185185185185</v>
      </c>
      <c r="G768" s="2" t="s">
        <v>2184</v>
      </c>
      <c r="H768" s="2" t="s">
        <v>244</v>
      </c>
      <c r="I768" s="100">
        <v>44552.0</v>
      </c>
      <c r="J768" s="101">
        <v>0.4200462962962963</v>
      </c>
      <c r="K768" s="2">
        <v>1.0</v>
      </c>
      <c r="L768" s="2" t="b">
        <v>1</v>
      </c>
      <c r="M768" s="2" t="s">
        <v>2505</v>
      </c>
      <c r="N768" s="2" t="s">
        <v>247</v>
      </c>
    </row>
    <row r="769">
      <c r="A769" s="2" t="s">
        <v>2451</v>
      </c>
      <c r="B769" s="100">
        <v>44552.0</v>
      </c>
      <c r="C769" s="101">
        <v>0.35877314814814815</v>
      </c>
      <c r="G769" s="2" t="s">
        <v>2184</v>
      </c>
      <c r="H769" s="2" t="s">
        <v>244</v>
      </c>
      <c r="I769" s="100">
        <v>44552.0</v>
      </c>
      <c r="J769" s="101">
        <v>0.4200462962962963</v>
      </c>
      <c r="K769" s="2">
        <v>1.0</v>
      </c>
      <c r="L769" s="2" t="b">
        <v>1</v>
      </c>
      <c r="M769" s="2" t="s">
        <v>2505</v>
      </c>
      <c r="N769" s="2" t="s">
        <v>247</v>
      </c>
    </row>
    <row r="770">
      <c r="A770" s="2" t="s">
        <v>2452</v>
      </c>
      <c r="B770" s="100">
        <v>44552.0</v>
      </c>
      <c r="C770" s="101">
        <v>0.34879629629629627</v>
      </c>
      <c r="G770" s="2" t="s">
        <v>2188</v>
      </c>
      <c r="H770" s="2" t="s">
        <v>254</v>
      </c>
      <c r="I770" s="100">
        <v>44861.0</v>
      </c>
      <c r="J770" s="101">
        <v>0.4895023148148148</v>
      </c>
      <c r="K770" s="2">
        <v>1.0</v>
      </c>
      <c r="N770" s="2" t="s">
        <v>247</v>
      </c>
    </row>
    <row r="771">
      <c r="A771" s="2" t="s">
        <v>371</v>
      </c>
      <c r="B771" s="100">
        <v>44551.0</v>
      </c>
      <c r="C771" s="101">
        <v>0.47054398148148147</v>
      </c>
      <c r="G771" s="2" t="s">
        <v>2184</v>
      </c>
      <c r="H771" s="2" t="s">
        <v>244</v>
      </c>
      <c r="I771" s="100">
        <v>44552.0</v>
      </c>
      <c r="J771" s="101">
        <v>0.4200462962962963</v>
      </c>
      <c r="K771" s="2">
        <v>1.0</v>
      </c>
      <c r="L771" s="2" t="b">
        <v>1</v>
      </c>
      <c r="M771" s="2" t="s">
        <v>2505</v>
      </c>
      <c r="N771" s="2" t="s">
        <v>247</v>
      </c>
    </row>
    <row r="772">
      <c r="A772" s="2" t="s">
        <v>369</v>
      </c>
      <c r="B772" s="100">
        <v>44551.0</v>
      </c>
      <c r="C772" s="101">
        <v>0.18810185185185185</v>
      </c>
      <c r="G772" s="2" t="s">
        <v>2184</v>
      </c>
      <c r="H772" s="2" t="s">
        <v>244</v>
      </c>
      <c r="I772" s="100">
        <v>44552.0</v>
      </c>
      <c r="J772" s="101">
        <v>0.4200462962962963</v>
      </c>
      <c r="K772" s="2">
        <v>1.0</v>
      </c>
      <c r="L772" s="2" t="b">
        <v>1</v>
      </c>
      <c r="M772" s="2" t="s">
        <v>2505</v>
      </c>
      <c r="N772" s="2" t="s">
        <v>247</v>
      </c>
    </row>
    <row r="773">
      <c r="A773" s="2" t="s">
        <v>361</v>
      </c>
      <c r="B773" s="100">
        <v>44550.0</v>
      </c>
      <c r="C773" s="101">
        <v>0.4465162037037037</v>
      </c>
      <c r="G773" s="2" t="s">
        <v>2184</v>
      </c>
      <c r="H773" s="2" t="s">
        <v>244</v>
      </c>
      <c r="I773" s="100">
        <v>44550.0</v>
      </c>
      <c r="J773" s="101">
        <v>0.4883449074074074</v>
      </c>
      <c r="K773" s="2">
        <v>1.0</v>
      </c>
      <c r="L773" s="2" t="b">
        <v>1</v>
      </c>
      <c r="M773" s="2" t="s">
        <v>2506</v>
      </c>
      <c r="N773" s="2" t="s">
        <v>247</v>
      </c>
    </row>
    <row r="774">
      <c r="A774" s="2" t="s">
        <v>355</v>
      </c>
      <c r="B774" s="100">
        <v>44550.0</v>
      </c>
      <c r="C774" s="101">
        <v>0.4460648148148148</v>
      </c>
      <c r="G774" s="2" t="s">
        <v>2184</v>
      </c>
      <c r="H774" s="2" t="s">
        <v>244</v>
      </c>
      <c r="I774" s="100">
        <v>44550.0</v>
      </c>
      <c r="J774" s="101">
        <v>0.4883449074074074</v>
      </c>
      <c r="K774" s="2">
        <v>1.0</v>
      </c>
      <c r="L774" s="2" t="b">
        <v>1</v>
      </c>
      <c r="M774" s="2" t="s">
        <v>2506</v>
      </c>
      <c r="N774" s="2" t="s">
        <v>247</v>
      </c>
    </row>
    <row r="775">
      <c r="A775" s="2" t="s">
        <v>367</v>
      </c>
      <c r="B775" s="100">
        <v>44550.0</v>
      </c>
      <c r="C775" s="101">
        <v>0.4363425925925926</v>
      </c>
      <c r="G775" s="2" t="s">
        <v>2184</v>
      </c>
      <c r="H775" s="2" t="s">
        <v>244</v>
      </c>
      <c r="I775" s="100">
        <v>44550.0</v>
      </c>
      <c r="J775" s="101">
        <v>0.4883449074074074</v>
      </c>
      <c r="K775" s="2">
        <v>1.0</v>
      </c>
      <c r="L775" s="2" t="b">
        <v>1</v>
      </c>
      <c r="M775" s="2" t="s">
        <v>2506</v>
      </c>
      <c r="N775" s="2" t="s">
        <v>247</v>
      </c>
    </row>
    <row r="776">
      <c r="A776" s="2" t="s">
        <v>2453</v>
      </c>
      <c r="B776" s="100">
        <v>44550.0</v>
      </c>
      <c r="C776" s="101">
        <v>0.401875</v>
      </c>
      <c r="G776" s="2" t="s">
        <v>2188</v>
      </c>
      <c r="H776" s="2" t="s">
        <v>254</v>
      </c>
      <c r="I776" s="100">
        <v>44861.0</v>
      </c>
      <c r="J776" s="101">
        <v>0.4895023148148148</v>
      </c>
      <c r="K776" s="2">
        <v>1.0</v>
      </c>
      <c r="N776" s="2" t="s">
        <v>247</v>
      </c>
    </row>
    <row r="777">
      <c r="A777" s="2" t="s">
        <v>2454</v>
      </c>
      <c r="B777" s="100">
        <v>44550.0</v>
      </c>
      <c r="C777" s="101">
        <v>0.4013541666666667</v>
      </c>
      <c r="G777" s="2" t="s">
        <v>2188</v>
      </c>
      <c r="H777" s="2" t="s">
        <v>254</v>
      </c>
      <c r="I777" s="100">
        <v>44861.0</v>
      </c>
      <c r="J777" s="101">
        <v>0.4895023148148148</v>
      </c>
      <c r="K777" s="2">
        <v>1.0</v>
      </c>
      <c r="N777" s="2" t="s">
        <v>247</v>
      </c>
    </row>
    <row r="778">
      <c r="A778" s="2" t="s">
        <v>353</v>
      </c>
      <c r="B778" s="100">
        <v>44550.0</v>
      </c>
      <c r="C778" s="101">
        <v>0.3432986111111111</v>
      </c>
      <c r="G778" s="2" t="s">
        <v>2184</v>
      </c>
      <c r="H778" s="2" t="s">
        <v>244</v>
      </c>
      <c r="I778" s="100">
        <v>44550.0</v>
      </c>
      <c r="J778" s="101">
        <v>0.4883449074074074</v>
      </c>
      <c r="K778" s="2">
        <v>1.0</v>
      </c>
      <c r="L778" s="2" t="b">
        <v>1</v>
      </c>
      <c r="M778" s="2" t="s">
        <v>2506</v>
      </c>
      <c r="N778" s="2" t="s">
        <v>247</v>
      </c>
    </row>
    <row r="779">
      <c r="A779" s="2" t="s">
        <v>351</v>
      </c>
      <c r="B779" s="100">
        <v>44550.0</v>
      </c>
      <c r="C779" s="101">
        <v>0.3403009259259259</v>
      </c>
      <c r="G779" s="2" t="s">
        <v>2188</v>
      </c>
      <c r="H779" s="2" t="s">
        <v>254</v>
      </c>
      <c r="I779" s="100">
        <v>44861.0</v>
      </c>
      <c r="J779" s="101">
        <v>0.4895023148148148</v>
      </c>
      <c r="K779" s="2">
        <v>1.0</v>
      </c>
      <c r="N779" s="2" t="s">
        <v>247</v>
      </c>
    </row>
    <row r="780">
      <c r="A780" s="2" t="s">
        <v>349</v>
      </c>
      <c r="B780" s="100">
        <v>44550.0</v>
      </c>
      <c r="C780" s="101">
        <v>0.33541666666666664</v>
      </c>
      <c r="G780" s="2" t="s">
        <v>2184</v>
      </c>
      <c r="H780" s="2" t="s">
        <v>244</v>
      </c>
      <c r="I780" s="100">
        <v>44550.0</v>
      </c>
      <c r="J780" s="101">
        <v>0.4883449074074074</v>
      </c>
      <c r="K780" s="2">
        <v>1.0</v>
      </c>
      <c r="L780" s="2" t="b">
        <v>1</v>
      </c>
      <c r="M780" s="2" t="s">
        <v>2506</v>
      </c>
      <c r="N780" s="2" t="s">
        <v>247</v>
      </c>
    </row>
    <row r="781">
      <c r="A781" s="2" t="s">
        <v>347</v>
      </c>
      <c r="B781" s="100">
        <v>44550.0</v>
      </c>
      <c r="C781" s="101">
        <v>0.31734953703703705</v>
      </c>
      <c r="G781" s="2" t="s">
        <v>2184</v>
      </c>
      <c r="H781" s="2" t="s">
        <v>244</v>
      </c>
      <c r="I781" s="100">
        <v>44550.0</v>
      </c>
      <c r="J781" s="101">
        <v>0.4883449074074074</v>
      </c>
      <c r="K781" s="2">
        <v>1.0</v>
      </c>
      <c r="L781" s="2" t="b">
        <v>1</v>
      </c>
      <c r="M781" s="2" t="s">
        <v>2506</v>
      </c>
      <c r="N781" s="2" t="s">
        <v>247</v>
      </c>
    </row>
    <row r="782">
      <c r="A782" s="2" t="s">
        <v>345</v>
      </c>
      <c r="B782" s="100">
        <v>44549.0</v>
      </c>
      <c r="C782" s="101">
        <v>0.8899537037037037</v>
      </c>
      <c r="G782" s="2" t="s">
        <v>2184</v>
      </c>
      <c r="H782" s="2" t="s">
        <v>244</v>
      </c>
      <c r="I782" s="100">
        <v>44550.0</v>
      </c>
      <c r="J782" s="101">
        <v>0.4883449074074074</v>
      </c>
      <c r="K782" s="2">
        <v>1.0</v>
      </c>
      <c r="L782" s="2" t="b">
        <v>1</v>
      </c>
      <c r="M782" s="2" t="s">
        <v>2506</v>
      </c>
      <c r="N782" s="2" t="s">
        <v>247</v>
      </c>
    </row>
    <row r="783">
      <c r="A783" s="2" t="s">
        <v>2455</v>
      </c>
      <c r="B783" s="100">
        <v>44549.0</v>
      </c>
      <c r="C783" s="101">
        <v>0.37657407407407406</v>
      </c>
      <c r="G783" s="2" t="s">
        <v>2188</v>
      </c>
      <c r="H783" s="2" t="s">
        <v>254</v>
      </c>
      <c r="I783" s="100">
        <v>44861.0</v>
      </c>
      <c r="J783" s="101">
        <v>0.4895023148148148</v>
      </c>
      <c r="K783" s="2">
        <v>1.0</v>
      </c>
      <c r="N783" s="2" t="s">
        <v>247</v>
      </c>
    </row>
    <row r="784">
      <c r="A784" s="2" t="s">
        <v>341</v>
      </c>
      <c r="B784" s="100">
        <v>44549.0</v>
      </c>
      <c r="C784" s="101">
        <v>0.3750115740740741</v>
      </c>
      <c r="G784" s="2" t="s">
        <v>2188</v>
      </c>
      <c r="H784" s="2" t="s">
        <v>254</v>
      </c>
      <c r="I784" s="100">
        <v>44861.0</v>
      </c>
      <c r="J784" s="101">
        <v>0.4895023148148148</v>
      </c>
      <c r="K784" s="2">
        <v>1.0</v>
      </c>
      <c r="N784" s="2" t="s">
        <v>247</v>
      </c>
    </row>
    <row r="785">
      <c r="A785" s="2" t="s">
        <v>338</v>
      </c>
      <c r="B785" s="100">
        <v>44547.0</v>
      </c>
      <c r="C785" s="101">
        <v>0.4038310185185185</v>
      </c>
      <c r="G785" s="2" t="s">
        <v>2184</v>
      </c>
      <c r="H785" s="2" t="s">
        <v>339</v>
      </c>
      <c r="I785" s="100">
        <v>44547.0</v>
      </c>
      <c r="J785" s="101">
        <v>0.4971759259259259</v>
      </c>
      <c r="K785" s="2">
        <v>1.0</v>
      </c>
      <c r="L785" s="2" t="b">
        <v>1</v>
      </c>
      <c r="N785" s="2" t="s">
        <v>247</v>
      </c>
    </row>
    <row r="786">
      <c r="A786" s="2" t="s">
        <v>2456</v>
      </c>
      <c r="B786" s="100">
        <v>44547.0</v>
      </c>
      <c r="C786" s="101">
        <v>0.4032291666666667</v>
      </c>
      <c r="G786" s="2" t="s">
        <v>2184</v>
      </c>
      <c r="H786" s="2" t="s">
        <v>52</v>
      </c>
      <c r="I786" s="100">
        <v>44547.0</v>
      </c>
      <c r="J786" s="101">
        <v>0.5028472222222222</v>
      </c>
      <c r="K786" s="2">
        <v>1.0</v>
      </c>
      <c r="L786" s="2" t="b">
        <v>1</v>
      </c>
      <c r="N786" s="2" t="s">
        <v>247</v>
      </c>
    </row>
    <row r="787">
      <c r="A787" s="2" t="s">
        <v>335</v>
      </c>
      <c r="B787" s="100">
        <v>44547.0</v>
      </c>
      <c r="C787" s="101">
        <v>0.37118055555555557</v>
      </c>
      <c r="G787" s="2" t="s">
        <v>2184</v>
      </c>
      <c r="H787" s="2" t="s">
        <v>244</v>
      </c>
      <c r="I787" s="100">
        <v>44547.0</v>
      </c>
      <c r="J787" s="101">
        <v>0.41434027777777777</v>
      </c>
      <c r="K787" s="2">
        <v>1.0</v>
      </c>
      <c r="L787" s="2" t="b">
        <v>1</v>
      </c>
      <c r="M787" s="2" t="s">
        <v>2507</v>
      </c>
      <c r="N787" s="2" t="s">
        <v>247</v>
      </c>
    </row>
    <row r="788">
      <c r="A788" s="2" t="s">
        <v>331</v>
      </c>
      <c r="B788" s="100">
        <v>44547.0</v>
      </c>
      <c r="C788" s="101">
        <v>0.3417824074074074</v>
      </c>
      <c r="G788" s="2" t="s">
        <v>2188</v>
      </c>
      <c r="H788" s="2" t="s">
        <v>254</v>
      </c>
      <c r="I788" s="100">
        <v>44861.0</v>
      </c>
      <c r="J788" s="101">
        <v>0.4895023148148148</v>
      </c>
      <c r="K788" s="2">
        <v>1.0</v>
      </c>
      <c r="N788" s="2" t="s">
        <v>247</v>
      </c>
    </row>
    <row r="789">
      <c r="A789" s="2" t="s">
        <v>321</v>
      </c>
      <c r="B789" s="100">
        <v>44545.0</v>
      </c>
      <c r="C789" s="101">
        <v>0.7007175925925926</v>
      </c>
      <c r="G789" s="2" t="s">
        <v>2184</v>
      </c>
      <c r="H789" s="2" t="s">
        <v>244</v>
      </c>
      <c r="I789" s="100">
        <v>44545.0</v>
      </c>
      <c r="J789" s="101">
        <v>0.7641550925925926</v>
      </c>
      <c r="K789" s="2">
        <v>1.0</v>
      </c>
      <c r="L789" s="2" t="b">
        <v>1</v>
      </c>
      <c r="M789" s="2" t="s">
        <v>2508</v>
      </c>
      <c r="N789" s="2" t="s">
        <v>247</v>
      </c>
    </row>
    <row r="790">
      <c r="A790" s="2" t="s">
        <v>327</v>
      </c>
      <c r="B790" s="100">
        <v>44545.0</v>
      </c>
      <c r="C790" s="101">
        <v>0.6686805555555555</v>
      </c>
      <c r="G790" s="2" t="s">
        <v>2184</v>
      </c>
      <c r="H790" s="2" t="s">
        <v>244</v>
      </c>
      <c r="I790" s="100">
        <v>44550.0</v>
      </c>
      <c r="J790" s="101">
        <v>0.4883449074074074</v>
      </c>
      <c r="K790" s="2">
        <v>1.0</v>
      </c>
      <c r="L790" s="2" t="b">
        <v>1</v>
      </c>
      <c r="M790" s="2" t="s">
        <v>2506</v>
      </c>
      <c r="N790" s="2" t="s">
        <v>247</v>
      </c>
    </row>
    <row r="791">
      <c r="A791" s="2" t="s">
        <v>2457</v>
      </c>
      <c r="B791" s="100">
        <v>44545.0</v>
      </c>
      <c r="C791" s="101">
        <v>0.6131944444444445</v>
      </c>
      <c r="G791" s="2" t="s">
        <v>2188</v>
      </c>
      <c r="H791" s="2" t="s">
        <v>254</v>
      </c>
      <c r="I791" s="100">
        <v>44861.0</v>
      </c>
      <c r="J791" s="101">
        <v>0.4895023148148148</v>
      </c>
      <c r="K791" s="2">
        <v>1.0</v>
      </c>
      <c r="N791" s="2" t="s">
        <v>247</v>
      </c>
    </row>
    <row r="792">
      <c r="A792" s="2" t="s">
        <v>317</v>
      </c>
      <c r="B792" s="100">
        <v>44545.0</v>
      </c>
      <c r="C792" s="101">
        <v>0.5862152777777778</v>
      </c>
      <c r="G792" s="2" t="s">
        <v>2184</v>
      </c>
      <c r="H792" s="2" t="s">
        <v>244</v>
      </c>
      <c r="I792" s="100">
        <v>44545.0</v>
      </c>
      <c r="J792" s="101">
        <v>0.7641550925925926</v>
      </c>
      <c r="K792" s="2">
        <v>1.0</v>
      </c>
      <c r="L792" s="2" t="b">
        <v>1</v>
      </c>
      <c r="M792" s="2" t="s">
        <v>2508</v>
      </c>
      <c r="N792" s="2" t="s">
        <v>247</v>
      </c>
    </row>
    <row r="793">
      <c r="A793" s="2" t="s">
        <v>313</v>
      </c>
      <c r="B793" s="100">
        <v>44545.0</v>
      </c>
      <c r="C793" s="101">
        <v>0.5749768518518519</v>
      </c>
      <c r="G793" s="2" t="s">
        <v>2184</v>
      </c>
      <c r="H793" s="2" t="s">
        <v>244</v>
      </c>
      <c r="I793" s="100">
        <v>44545.0</v>
      </c>
      <c r="J793" s="101">
        <v>0.7641550925925926</v>
      </c>
      <c r="K793" s="2">
        <v>1.0</v>
      </c>
      <c r="L793" s="2" t="b">
        <v>1</v>
      </c>
      <c r="M793" s="2" t="s">
        <v>2508</v>
      </c>
      <c r="N793" s="2" t="s">
        <v>247</v>
      </c>
    </row>
    <row r="794">
      <c r="A794" s="2" t="s">
        <v>309</v>
      </c>
      <c r="B794" s="100">
        <v>44543.0</v>
      </c>
      <c r="C794" s="101">
        <v>0.6040740740740741</v>
      </c>
      <c r="G794" s="2" t="s">
        <v>2184</v>
      </c>
      <c r="H794" s="2" t="s">
        <v>244</v>
      </c>
      <c r="I794" s="100">
        <v>44543.0</v>
      </c>
      <c r="J794" s="101">
        <v>0.7849884259259259</v>
      </c>
      <c r="K794" s="2">
        <v>1.0</v>
      </c>
      <c r="L794" s="2" t="b">
        <v>1</v>
      </c>
      <c r="M794" s="2" t="s">
        <v>2509</v>
      </c>
      <c r="N794" s="2" t="s">
        <v>247</v>
      </c>
    </row>
    <row r="795">
      <c r="A795" s="2" t="s">
        <v>306</v>
      </c>
      <c r="B795" s="100">
        <v>44543.0</v>
      </c>
      <c r="C795" s="101">
        <v>0.5984027777777777</v>
      </c>
      <c r="G795" s="2" t="s">
        <v>2184</v>
      </c>
      <c r="H795" s="2" t="s">
        <v>244</v>
      </c>
      <c r="I795" s="100">
        <v>44543.0</v>
      </c>
      <c r="J795" s="101">
        <v>0.7849884259259259</v>
      </c>
      <c r="K795" s="2">
        <v>1.0</v>
      </c>
      <c r="L795" s="2" t="b">
        <v>1</v>
      </c>
      <c r="M795" s="2" t="s">
        <v>2509</v>
      </c>
      <c r="N795" s="2" t="s">
        <v>247</v>
      </c>
    </row>
    <row r="796">
      <c r="A796" s="2" t="s">
        <v>302</v>
      </c>
      <c r="B796" s="100">
        <v>44543.0</v>
      </c>
      <c r="C796" s="101">
        <v>0.5967476851851852</v>
      </c>
      <c r="G796" s="2" t="s">
        <v>2184</v>
      </c>
      <c r="H796" s="2" t="s">
        <v>244</v>
      </c>
      <c r="I796" s="100">
        <v>44543.0</v>
      </c>
      <c r="J796" s="101">
        <v>0.7849884259259259</v>
      </c>
      <c r="K796" s="2">
        <v>1.0</v>
      </c>
      <c r="L796" s="2" t="b">
        <v>1</v>
      </c>
      <c r="M796" s="2" t="s">
        <v>2509</v>
      </c>
      <c r="N796" s="2" t="s">
        <v>247</v>
      </c>
    </row>
    <row r="797">
      <c r="A797" s="2" t="s">
        <v>298</v>
      </c>
      <c r="B797" s="100">
        <v>44543.0</v>
      </c>
      <c r="C797" s="101">
        <v>0.5931712962962963</v>
      </c>
      <c r="G797" s="2" t="s">
        <v>2184</v>
      </c>
      <c r="H797" s="2" t="s">
        <v>244</v>
      </c>
      <c r="I797" s="100">
        <v>44543.0</v>
      </c>
      <c r="J797" s="101">
        <v>0.7849884259259259</v>
      </c>
      <c r="K797" s="2">
        <v>1.0</v>
      </c>
      <c r="L797" s="2" t="b">
        <v>1</v>
      </c>
      <c r="M797" s="2" t="s">
        <v>2509</v>
      </c>
      <c r="N797" s="2" t="s">
        <v>247</v>
      </c>
    </row>
    <row r="798">
      <c r="A798" s="2" t="s">
        <v>294</v>
      </c>
      <c r="B798" s="100">
        <v>44543.0</v>
      </c>
      <c r="C798" s="101">
        <v>0.5630208333333333</v>
      </c>
      <c r="G798" s="2" t="s">
        <v>2184</v>
      </c>
      <c r="H798" s="2" t="s">
        <v>244</v>
      </c>
      <c r="I798" s="100">
        <v>44543.0</v>
      </c>
      <c r="J798" s="101">
        <v>0.7849884259259259</v>
      </c>
      <c r="K798" s="2">
        <v>1.0</v>
      </c>
      <c r="L798" s="2" t="b">
        <v>1</v>
      </c>
      <c r="M798" s="2" t="s">
        <v>2509</v>
      </c>
      <c r="N798" s="2" t="s">
        <v>247</v>
      </c>
    </row>
    <row r="799">
      <c r="A799" s="2" t="s">
        <v>290</v>
      </c>
      <c r="B799" s="100">
        <v>44543.0</v>
      </c>
      <c r="C799" s="101">
        <v>0.5629166666666666</v>
      </c>
      <c r="G799" s="2" t="s">
        <v>2184</v>
      </c>
      <c r="H799" s="2" t="s">
        <v>244</v>
      </c>
      <c r="I799" s="100">
        <v>44543.0</v>
      </c>
      <c r="J799" s="101">
        <v>0.7849884259259259</v>
      </c>
      <c r="K799" s="2">
        <v>1.0</v>
      </c>
      <c r="L799" s="2" t="b">
        <v>1</v>
      </c>
      <c r="M799" s="2" t="s">
        <v>2509</v>
      </c>
      <c r="N799" s="2" t="s">
        <v>247</v>
      </c>
    </row>
    <row r="800">
      <c r="A800" s="2" t="s">
        <v>286</v>
      </c>
      <c r="B800" s="100">
        <v>44543.0</v>
      </c>
      <c r="C800" s="101">
        <v>0.4924074074074074</v>
      </c>
      <c r="G800" s="2" t="s">
        <v>2184</v>
      </c>
      <c r="H800" s="2" t="s">
        <v>244</v>
      </c>
      <c r="I800" s="100">
        <v>44543.0</v>
      </c>
      <c r="J800" s="101">
        <v>0.7849884259259259</v>
      </c>
      <c r="K800" s="2">
        <v>1.0</v>
      </c>
      <c r="L800" s="2" t="b">
        <v>1</v>
      </c>
      <c r="M800" s="2" t="s">
        <v>2509</v>
      </c>
      <c r="N800" s="2" t="s">
        <v>247</v>
      </c>
    </row>
    <row r="801">
      <c r="A801" s="2" t="s">
        <v>284</v>
      </c>
      <c r="B801" s="100">
        <v>44543.0</v>
      </c>
      <c r="C801" s="101">
        <v>0.49180555555555555</v>
      </c>
      <c r="G801" s="2" t="s">
        <v>2188</v>
      </c>
      <c r="H801" s="2" t="s">
        <v>254</v>
      </c>
      <c r="I801" s="100">
        <v>44861.0</v>
      </c>
      <c r="J801" s="101">
        <v>0.4895023148148148</v>
      </c>
      <c r="K801" s="2">
        <v>1.0</v>
      </c>
      <c r="N801" s="2" t="s">
        <v>247</v>
      </c>
    </row>
    <row r="802">
      <c r="A802" s="2" t="s">
        <v>282</v>
      </c>
      <c r="B802" s="100">
        <v>44540.0</v>
      </c>
      <c r="C802" s="101">
        <v>0.38046296296296295</v>
      </c>
      <c r="G802" s="2" t="s">
        <v>2188</v>
      </c>
      <c r="H802" s="2" t="s">
        <v>254</v>
      </c>
      <c r="I802" s="100">
        <v>44861.0</v>
      </c>
      <c r="J802" s="101">
        <v>0.4895023148148148</v>
      </c>
      <c r="K802" s="2">
        <v>1.0</v>
      </c>
      <c r="N802" s="2" t="s">
        <v>247</v>
      </c>
    </row>
    <row r="803">
      <c r="A803" s="2" t="s">
        <v>280</v>
      </c>
      <c r="B803" s="100">
        <v>44540.0</v>
      </c>
      <c r="C803" s="101">
        <v>0.3798726851851852</v>
      </c>
      <c r="G803" s="2" t="s">
        <v>2188</v>
      </c>
      <c r="H803" s="2" t="s">
        <v>254</v>
      </c>
      <c r="I803" s="100">
        <v>44861.0</v>
      </c>
      <c r="J803" s="101">
        <v>0.4895023148148148</v>
      </c>
      <c r="K803" s="2">
        <v>1.0</v>
      </c>
      <c r="N803" s="2" t="s">
        <v>247</v>
      </c>
    </row>
    <row r="804">
      <c r="A804" s="2" t="s">
        <v>278</v>
      </c>
      <c r="B804" s="100">
        <v>44540.0</v>
      </c>
      <c r="C804" s="101">
        <v>0.37935185185185183</v>
      </c>
      <c r="G804" s="2" t="s">
        <v>2188</v>
      </c>
      <c r="H804" s="2" t="s">
        <v>254</v>
      </c>
      <c r="I804" s="100">
        <v>44861.0</v>
      </c>
      <c r="J804" s="101">
        <v>0.4895023148148148</v>
      </c>
      <c r="K804" s="2">
        <v>1.0</v>
      </c>
      <c r="N804" s="2" t="s">
        <v>247</v>
      </c>
    </row>
    <row r="805">
      <c r="A805" s="2" t="s">
        <v>276</v>
      </c>
      <c r="B805" s="100">
        <v>44540.0</v>
      </c>
      <c r="C805" s="101">
        <v>0.37903935185185184</v>
      </c>
      <c r="G805" s="2" t="s">
        <v>2188</v>
      </c>
      <c r="H805" s="2" t="s">
        <v>254</v>
      </c>
      <c r="I805" s="100">
        <v>44861.0</v>
      </c>
      <c r="J805" s="101">
        <v>0.4895023148148148</v>
      </c>
      <c r="K805" s="2">
        <v>1.0</v>
      </c>
      <c r="N805" s="2" t="s">
        <v>247</v>
      </c>
    </row>
    <row r="806">
      <c r="A806" s="2" t="s">
        <v>272</v>
      </c>
      <c r="B806" s="100">
        <v>44540.0</v>
      </c>
      <c r="C806" s="101">
        <v>0.3112847222222222</v>
      </c>
      <c r="G806" s="2" t="s">
        <v>2184</v>
      </c>
      <c r="H806" s="2" t="s">
        <v>244</v>
      </c>
      <c r="I806" s="100">
        <v>44543.0</v>
      </c>
      <c r="J806" s="101">
        <v>0.7857291666666667</v>
      </c>
      <c r="K806" s="2">
        <v>1.0</v>
      </c>
      <c r="L806" s="2" t="b">
        <v>1</v>
      </c>
      <c r="M806" s="2" t="s">
        <v>2510</v>
      </c>
      <c r="N806" s="2" t="s">
        <v>247</v>
      </c>
    </row>
    <row r="807">
      <c r="A807" s="2" t="s">
        <v>268</v>
      </c>
      <c r="B807" s="100">
        <v>44540.0</v>
      </c>
      <c r="C807" s="101">
        <v>0.30105324074074075</v>
      </c>
      <c r="G807" s="2" t="s">
        <v>2184</v>
      </c>
      <c r="H807" s="2" t="s">
        <v>244</v>
      </c>
      <c r="I807" s="100">
        <v>44543.0</v>
      </c>
      <c r="J807" s="101">
        <v>0.7857291666666667</v>
      </c>
      <c r="K807" s="2">
        <v>1.0</v>
      </c>
      <c r="L807" s="2" t="b">
        <v>1</v>
      </c>
      <c r="M807" s="2" t="s">
        <v>2510</v>
      </c>
      <c r="N807" s="2" t="s">
        <v>247</v>
      </c>
    </row>
    <row r="808">
      <c r="A808" s="2" t="s">
        <v>264</v>
      </c>
      <c r="B808" s="100">
        <v>44540.0</v>
      </c>
      <c r="C808" s="101">
        <v>0.3005439814814815</v>
      </c>
      <c r="G808" s="2" t="s">
        <v>2184</v>
      </c>
      <c r="H808" s="2" t="s">
        <v>244</v>
      </c>
      <c r="I808" s="100">
        <v>44543.0</v>
      </c>
      <c r="J808" s="101">
        <v>0.7857175925925926</v>
      </c>
      <c r="K808" s="2">
        <v>2.0</v>
      </c>
      <c r="L808" s="2" t="b">
        <v>1</v>
      </c>
      <c r="M808" s="2" t="s">
        <v>2510</v>
      </c>
      <c r="N808" s="2" t="s">
        <v>247</v>
      </c>
    </row>
    <row r="809">
      <c r="A809" s="2" t="s">
        <v>260</v>
      </c>
      <c r="B809" s="100">
        <v>44540.0</v>
      </c>
      <c r="C809" s="101">
        <v>0.29800925925925925</v>
      </c>
      <c r="G809" s="2" t="s">
        <v>2184</v>
      </c>
      <c r="H809" s="2" t="s">
        <v>244</v>
      </c>
      <c r="I809" s="100">
        <v>44543.0</v>
      </c>
      <c r="J809" s="101">
        <v>0.7857175925925926</v>
      </c>
      <c r="K809" s="2">
        <v>1.0</v>
      </c>
      <c r="L809" s="2" t="b">
        <v>1</v>
      </c>
      <c r="M809" s="2" t="s">
        <v>2510</v>
      </c>
      <c r="N809" s="2" t="s">
        <v>247</v>
      </c>
    </row>
    <row r="810">
      <c r="A810" s="2" t="s">
        <v>256</v>
      </c>
      <c r="B810" s="100">
        <v>44540.0</v>
      </c>
      <c r="C810" s="101">
        <v>0.2940162037037037</v>
      </c>
      <c r="G810" s="2" t="s">
        <v>2184</v>
      </c>
      <c r="H810" s="2" t="s">
        <v>244</v>
      </c>
      <c r="I810" s="100">
        <v>44543.0</v>
      </c>
      <c r="J810" s="101">
        <v>0.7857175925925926</v>
      </c>
      <c r="K810" s="2">
        <v>1.0</v>
      </c>
      <c r="L810" s="2" t="b">
        <v>1</v>
      </c>
      <c r="M810" s="2" t="s">
        <v>2510</v>
      </c>
      <c r="N810" s="2" t="s">
        <v>247</v>
      </c>
    </row>
    <row r="811">
      <c r="A811" s="2" t="s">
        <v>253</v>
      </c>
      <c r="B811" s="100">
        <v>44537.0</v>
      </c>
      <c r="C811" s="101">
        <v>0.5915393518518518</v>
      </c>
      <c r="G811" s="2" t="s">
        <v>2188</v>
      </c>
      <c r="H811" s="2" t="s">
        <v>254</v>
      </c>
      <c r="I811" s="100">
        <v>44861.0</v>
      </c>
      <c r="J811" s="101">
        <v>0.4895023148148148</v>
      </c>
      <c r="K811" s="2">
        <v>1.0</v>
      </c>
      <c r="N811" s="2" t="s">
        <v>247</v>
      </c>
    </row>
    <row r="812">
      <c r="A812" s="2" t="s">
        <v>251</v>
      </c>
      <c r="B812" s="100">
        <v>44537.0</v>
      </c>
      <c r="C812" s="101">
        <v>0.5913657407407408</v>
      </c>
      <c r="G812" s="2" t="s">
        <v>2184</v>
      </c>
      <c r="H812" s="2" t="s">
        <v>52</v>
      </c>
      <c r="I812" s="100">
        <v>44537.0</v>
      </c>
      <c r="J812" s="101">
        <v>0.5980439814814815</v>
      </c>
      <c r="K812" s="2">
        <v>0.0</v>
      </c>
      <c r="L812" s="2" t="b">
        <v>1</v>
      </c>
      <c r="N812" s="2" t="s">
        <v>247</v>
      </c>
    </row>
    <row r="813">
      <c r="A813" s="2" t="s">
        <v>249</v>
      </c>
      <c r="B813" s="100">
        <v>44537.0</v>
      </c>
      <c r="C813" s="101">
        <v>0.5438425925925926</v>
      </c>
      <c r="G813" s="2" t="s">
        <v>2184</v>
      </c>
      <c r="H813" s="2" t="s">
        <v>244</v>
      </c>
      <c r="I813" s="100">
        <v>44537.0</v>
      </c>
      <c r="J813" s="101">
        <v>0.5445601851851852</v>
      </c>
      <c r="K813" s="2">
        <v>1.0</v>
      </c>
      <c r="L813" s="2" t="b">
        <v>1</v>
      </c>
      <c r="M813" s="2" t="s">
        <v>2511</v>
      </c>
      <c r="N813" s="2" t="s">
        <v>247</v>
      </c>
    </row>
    <row r="814">
      <c r="A814" s="2" t="s">
        <v>246</v>
      </c>
      <c r="B814" s="100">
        <v>44537.0</v>
      </c>
      <c r="C814" s="101">
        <v>0.543599537037037</v>
      </c>
      <c r="G814" s="2" t="s">
        <v>2184</v>
      </c>
      <c r="H814" s="2" t="s">
        <v>244</v>
      </c>
      <c r="I814" s="100">
        <v>44537.0</v>
      </c>
      <c r="J814" s="101">
        <v>0.5445601851851852</v>
      </c>
      <c r="K814" s="2">
        <v>0.0</v>
      </c>
      <c r="L814" s="2" t="b">
        <v>1</v>
      </c>
      <c r="M814" s="2" t="s">
        <v>2511</v>
      </c>
      <c r="N814" s="2" t="s">
        <v>247</v>
      </c>
    </row>
    <row r="815">
      <c r="A815" s="2" t="s">
        <v>243</v>
      </c>
      <c r="B815" s="100">
        <v>44537.0</v>
      </c>
      <c r="C815" s="101">
        <v>0.5433217592592593</v>
      </c>
      <c r="G815" s="2" t="s">
        <v>2184</v>
      </c>
      <c r="H815" s="2" t="s">
        <v>244</v>
      </c>
      <c r="I815" s="100">
        <v>44537.0</v>
      </c>
      <c r="J815" s="101">
        <v>0.5445601851851852</v>
      </c>
      <c r="K815" s="2">
        <v>1.0</v>
      </c>
      <c r="L815" s="2" t="b">
        <v>1</v>
      </c>
      <c r="M815" s="2" t="s">
        <v>2511</v>
      </c>
      <c r="N815" s="2" t="s">
        <v>247</v>
      </c>
    </row>
    <row r="816">
      <c r="A816" s="2" t="s">
        <v>2182</v>
      </c>
      <c r="B816" s="100">
        <v>44861.0</v>
      </c>
      <c r="C816" s="101">
        <v>0.4895023148148148</v>
      </c>
      <c r="G816" s="2" t="s">
        <v>2512</v>
      </c>
      <c r="H816" s="2" t="s">
        <v>254</v>
      </c>
      <c r="I816" s="100">
        <v>44861.0</v>
      </c>
      <c r="J816" s="101">
        <v>0.4895023148148148</v>
      </c>
      <c r="K816" s="2">
        <v>1.0</v>
      </c>
      <c r="N816" s="2" t="s">
        <v>247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3" width="15.63"/>
    <col customWidth="1" min="16" max="17" width="17.63"/>
    <col customWidth="1" min="18" max="18" width="20.75"/>
    <col customWidth="1" min="19" max="19" width="7.75"/>
  </cols>
  <sheetData>
    <row r="1">
      <c r="A1" s="60" t="s">
        <v>196</v>
      </c>
      <c r="B1" s="60" t="s">
        <v>156</v>
      </c>
      <c r="C1" s="60" t="s">
        <v>157</v>
      </c>
      <c r="D1" s="60" t="s">
        <v>159</v>
      </c>
      <c r="E1" s="60" t="s">
        <v>160</v>
      </c>
      <c r="F1" s="59" t="s">
        <v>2458</v>
      </c>
      <c r="G1" s="59" t="s">
        <v>204</v>
      </c>
      <c r="H1" s="60" t="s">
        <v>2431</v>
      </c>
      <c r="I1" s="60" t="s">
        <v>163</v>
      </c>
      <c r="J1" s="60" t="s">
        <v>164</v>
      </c>
      <c r="K1" s="59" t="s">
        <v>2459</v>
      </c>
      <c r="L1" s="59" t="s">
        <v>2460</v>
      </c>
      <c r="M1" s="59" t="s">
        <v>2461</v>
      </c>
      <c r="N1" s="60" t="s">
        <v>2432</v>
      </c>
      <c r="O1" s="236" t="s">
        <v>167</v>
      </c>
      <c r="P1" s="75" t="s">
        <v>2513</v>
      </c>
      <c r="Q1" s="237" t="s">
        <v>2514</v>
      </c>
      <c r="R1" s="237" t="s">
        <v>2515</v>
      </c>
      <c r="S1" s="238">
        <f>COUNTIF(P2:P815,TRUE)</f>
        <v>39</v>
      </c>
      <c r="T1" s="187" t="s">
        <v>2516</v>
      </c>
      <c r="U1" s="75" t="str">
        <f>CONCATENATE("Missing Tube ID, Collect Date or Time? ",COUNTIF(U2:U815,TRUE))</f>
        <v>Missing Tube ID, Collect Date or Time? 0</v>
      </c>
      <c r="V1" s="59" t="s">
        <v>2517</v>
      </c>
      <c r="W1" s="59"/>
      <c r="X1" s="59"/>
      <c r="Y1" s="59"/>
      <c r="Z1" s="239"/>
      <c r="AA1" s="75" t="s">
        <v>2518</v>
      </c>
      <c r="AB1" s="75" t="s">
        <v>2519</v>
      </c>
      <c r="AC1" s="75" t="s">
        <v>2520</v>
      </c>
      <c r="AD1" s="240" t="str">
        <f>CONCATENATE("Rep Tube IDs Sorted = ",COUNTA(AD2:AD815))</f>
        <v>Rep Tube IDs Sorted = 4</v>
      </c>
      <c r="AE1" s="240" t="s">
        <v>2521</v>
      </c>
    </row>
    <row r="2">
      <c r="A2" s="5" t="s">
        <v>1216</v>
      </c>
      <c r="B2" s="44">
        <v>44607.0</v>
      </c>
      <c r="C2" s="150">
        <v>0.2629282407407407</v>
      </c>
      <c r="D2" s="5"/>
      <c r="E2" s="5"/>
      <c r="F2" s="5"/>
      <c r="G2" s="5" t="s">
        <v>2184</v>
      </c>
      <c r="H2" s="5" t="s">
        <v>244</v>
      </c>
      <c r="I2" s="44">
        <v>44607.0</v>
      </c>
      <c r="J2" s="150">
        <v>0.5867939814814814</v>
      </c>
      <c r="K2" s="19">
        <v>1.0</v>
      </c>
      <c r="L2" s="10" t="b">
        <v>1</v>
      </c>
      <c r="M2" s="5" t="s">
        <v>2479</v>
      </c>
      <c r="N2" s="5" t="s">
        <v>247</v>
      </c>
      <c r="O2" s="5"/>
      <c r="P2" s="110" t="b">
        <f t="shared" ref="P2:P815" si="1">AND(Q2,ISBLANK(AF2))</f>
        <v>0</v>
      </c>
      <c r="Q2" s="110" t="b">
        <f>IF(COUNTIF(RAW_APS!$A$2:$A815,A2)=0,TRUE,FALSE)</f>
        <v>0</v>
      </c>
      <c r="R2" s="241" t="b">
        <f t="shared" ref="R2:R815" si="2">IF(COUNTIF($A$2:$A815,A2)&gt;1,TRUE,FALSE)</f>
        <v>0</v>
      </c>
      <c r="U2" s="112" t="str">
        <f t="shared" ref="U2:U815" si="3">IF(OR(ISBLANK(A2),ISBLANK(B2),ISBLANK(C2)),TRUE,IFERROR(0/0,""))</f>
        <v/>
      </c>
      <c r="V2" s="60"/>
      <c r="W2" s="60"/>
      <c r="X2" s="60"/>
      <c r="Y2" s="60"/>
      <c r="Z2" s="210"/>
      <c r="AA2" s="112" t="str">
        <f t="shared" ref="AA2:AA815" si="4">UPPER(A2)</f>
        <v>FM1</v>
      </c>
      <c r="AB2" s="112" t="str">
        <f t="shared" ref="AB2:AB815" si="5">IF(COUNTIF(AA2:AA815,AA2)&gt;1,AA2,IFERROR(0/0,""))</f>
        <v/>
      </c>
      <c r="AC2" s="112" t="str">
        <f t="shared" ref="AC2:AC815" si="6">IF(COUNTIF(AA2:AA815,AA2)&gt;1,COUNTIF(AA2:AA815,AA2),IFERROR(0/0,""))</f>
        <v/>
      </c>
      <c r="AD2" s="112" t="str">
        <f t="array" ref="AD2:AE815">SORT(AB2:AC815,1,TRUE)</f>
        <v>MA1043</v>
      </c>
      <c r="AE2" s="19">
        <v>2.0</v>
      </c>
    </row>
    <row r="3">
      <c r="A3" s="5" t="s">
        <v>1205</v>
      </c>
      <c r="B3" s="44">
        <v>44605.0</v>
      </c>
      <c r="C3" s="150">
        <v>0.3327893518518519</v>
      </c>
      <c r="D3" s="5"/>
      <c r="E3" s="5"/>
      <c r="F3" s="5"/>
      <c r="G3" s="5" t="s">
        <v>2188</v>
      </c>
      <c r="H3" s="5" t="s">
        <v>254</v>
      </c>
      <c r="I3" s="44">
        <v>44861.0</v>
      </c>
      <c r="J3" s="150">
        <v>0.4895023148148148</v>
      </c>
      <c r="K3" s="19">
        <v>1.0</v>
      </c>
      <c r="L3" s="5"/>
      <c r="M3" s="5"/>
      <c r="N3" s="5" t="s">
        <v>247</v>
      </c>
      <c r="O3" s="5"/>
      <c r="P3" s="110" t="b">
        <f t="shared" si="1"/>
        <v>0</v>
      </c>
      <c r="Q3" s="110" t="b">
        <f>IF(COUNTIF(RAW_APS!$A$2:$A815,A3)=0,TRUE,FALSE)</f>
        <v>0</v>
      </c>
      <c r="R3" s="241" t="b">
        <f t="shared" si="2"/>
        <v>0</v>
      </c>
      <c r="U3" s="112" t="str">
        <f t="shared" si="3"/>
        <v/>
      </c>
      <c r="V3" s="60"/>
      <c r="W3" s="60"/>
      <c r="X3" s="60"/>
      <c r="Y3" s="60"/>
      <c r="Z3" s="210"/>
      <c r="AA3" s="112" t="str">
        <f t="shared" si="4"/>
        <v>FM1003</v>
      </c>
      <c r="AB3" s="112" t="str">
        <f t="shared" si="5"/>
        <v/>
      </c>
      <c r="AC3" s="112" t="str">
        <f t="shared" si="6"/>
        <v/>
      </c>
      <c r="AD3" s="5" t="s">
        <v>355</v>
      </c>
      <c r="AE3" s="5">
        <v>2.0</v>
      </c>
    </row>
    <row r="4">
      <c r="A4" s="5" t="s">
        <v>2016</v>
      </c>
      <c r="B4" s="44">
        <v>44627.0</v>
      </c>
      <c r="C4" s="150">
        <v>0.32450231481481484</v>
      </c>
      <c r="D4" s="5"/>
      <c r="E4" s="5"/>
      <c r="F4" s="5"/>
      <c r="G4" s="5" t="s">
        <v>2184</v>
      </c>
      <c r="H4" s="5" t="s">
        <v>244</v>
      </c>
      <c r="I4" s="44">
        <v>44627.0</v>
      </c>
      <c r="J4" s="150">
        <v>0.4779050925925926</v>
      </c>
      <c r="K4" s="19">
        <v>1.0</v>
      </c>
      <c r="L4" s="10" t="b">
        <v>1</v>
      </c>
      <c r="M4" s="5" t="s">
        <v>2466</v>
      </c>
      <c r="N4" s="5" t="s">
        <v>247</v>
      </c>
      <c r="O4" s="5"/>
      <c r="P4" s="110" t="b">
        <f t="shared" si="1"/>
        <v>0</v>
      </c>
      <c r="Q4" s="110" t="b">
        <f>IF(COUNTIF(RAW_APS!$A$2:$A815,A4)=0,TRUE,FALSE)</f>
        <v>0</v>
      </c>
      <c r="R4" s="241" t="b">
        <f t="shared" si="2"/>
        <v>0</v>
      </c>
      <c r="U4" s="112" t="str">
        <f t="shared" si="3"/>
        <v/>
      </c>
      <c r="V4" s="60"/>
      <c r="W4" s="60"/>
      <c r="X4" s="60"/>
      <c r="Y4" s="60"/>
      <c r="Z4" s="210"/>
      <c r="AA4" s="112" t="str">
        <f t="shared" si="4"/>
        <v>FM1007</v>
      </c>
      <c r="AB4" s="112" t="str">
        <f t="shared" si="5"/>
        <v/>
      </c>
      <c r="AC4" s="112" t="str">
        <f t="shared" si="6"/>
        <v/>
      </c>
      <c r="AD4" s="5" t="s">
        <v>361</v>
      </c>
      <c r="AE4" s="5">
        <v>2.0</v>
      </c>
    </row>
    <row r="5">
      <c r="A5" s="5" t="s">
        <v>1574</v>
      </c>
      <c r="B5" s="44">
        <v>44615.0</v>
      </c>
      <c r="C5" s="150">
        <v>0.321712962962963</v>
      </c>
      <c r="D5" s="5"/>
      <c r="E5" s="5"/>
      <c r="F5" s="5"/>
      <c r="G5" s="5" t="s">
        <v>2184</v>
      </c>
      <c r="H5" s="5" t="s">
        <v>52</v>
      </c>
      <c r="I5" s="44">
        <v>44615.0</v>
      </c>
      <c r="J5" s="150">
        <v>0.49125</v>
      </c>
      <c r="K5" s="19">
        <v>1.0</v>
      </c>
      <c r="L5" s="10" t="b">
        <v>1</v>
      </c>
      <c r="M5" s="5" t="s">
        <v>2474</v>
      </c>
      <c r="N5" s="5" t="s">
        <v>247</v>
      </c>
      <c r="O5" s="5"/>
      <c r="P5" s="110" t="b">
        <f t="shared" si="1"/>
        <v>0</v>
      </c>
      <c r="Q5" s="110" t="b">
        <f>IF(COUNTIF(RAW_APS!$A$2:$A815,A5)=0,TRUE,FALSE)</f>
        <v>0</v>
      </c>
      <c r="R5" s="241" t="b">
        <f t="shared" si="2"/>
        <v>0</v>
      </c>
      <c r="U5" s="112" t="str">
        <f t="shared" si="3"/>
        <v/>
      </c>
      <c r="V5" s="60"/>
      <c r="W5" s="60"/>
      <c r="X5" s="60"/>
      <c r="Y5" s="60"/>
      <c r="Z5" s="210"/>
      <c r="AA5" s="112" t="str">
        <f t="shared" si="4"/>
        <v>FM1008</v>
      </c>
      <c r="AB5" s="112" t="str">
        <f t="shared" si="5"/>
        <v/>
      </c>
      <c r="AC5" s="112" t="str">
        <f t="shared" si="6"/>
        <v/>
      </c>
      <c r="AD5" s="5" t="s">
        <v>321</v>
      </c>
      <c r="AE5" s="5">
        <v>2.0</v>
      </c>
    </row>
    <row r="6">
      <c r="A6" s="5" t="s">
        <v>1531</v>
      </c>
      <c r="B6" s="44">
        <v>44613.0</v>
      </c>
      <c r="C6" s="150">
        <v>0.3244097222222222</v>
      </c>
      <c r="D6" s="5"/>
      <c r="E6" s="5"/>
      <c r="F6" s="5"/>
      <c r="G6" s="5" t="s">
        <v>2184</v>
      </c>
      <c r="H6" s="5" t="s">
        <v>244</v>
      </c>
      <c r="I6" s="44">
        <v>44613.0</v>
      </c>
      <c r="J6" s="150">
        <v>0.4694097222222222</v>
      </c>
      <c r="K6" s="19">
        <v>1.0</v>
      </c>
      <c r="L6" s="10" t="b">
        <v>1</v>
      </c>
      <c r="M6" s="5" t="s">
        <v>2476</v>
      </c>
      <c r="N6" s="5" t="s">
        <v>247</v>
      </c>
      <c r="O6" s="5"/>
      <c r="P6" s="110" t="b">
        <f t="shared" si="1"/>
        <v>0</v>
      </c>
      <c r="Q6" s="110" t="b">
        <f>IF(COUNTIF(RAW_APS!$A$2:$A815,A6)=0,TRUE,FALSE)</f>
        <v>0</v>
      </c>
      <c r="R6" s="241" t="b">
        <f t="shared" si="2"/>
        <v>0</v>
      </c>
      <c r="U6" s="112" t="str">
        <f t="shared" si="3"/>
        <v/>
      </c>
      <c r="V6" s="60"/>
      <c r="W6" s="60"/>
      <c r="X6" s="60"/>
      <c r="Y6" s="60"/>
      <c r="Z6" s="210"/>
      <c r="AA6" s="112" t="str">
        <f t="shared" si="4"/>
        <v>FM1010</v>
      </c>
      <c r="AB6" s="112" t="str">
        <f t="shared" si="5"/>
        <v/>
      </c>
      <c r="AC6" s="112" t="str">
        <f t="shared" si="6"/>
        <v/>
      </c>
      <c r="AD6" s="5"/>
      <c r="AE6" s="5"/>
    </row>
    <row r="7">
      <c r="A7" s="5" t="s">
        <v>1691</v>
      </c>
      <c r="B7" s="44">
        <v>44619.0</v>
      </c>
      <c r="C7" s="150">
        <v>0.27760416666666665</v>
      </c>
      <c r="D7" s="5"/>
      <c r="E7" s="5"/>
      <c r="F7" s="5"/>
      <c r="G7" s="5" t="s">
        <v>2184</v>
      </c>
      <c r="H7" s="5" t="s">
        <v>244</v>
      </c>
      <c r="I7" s="44">
        <v>44621.0</v>
      </c>
      <c r="J7" s="150">
        <v>0.4783449074074074</v>
      </c>
      <c r="K7" s="19">
        <v>1.0</v>
      </c>
      <c r="L7" s="10" t="b">
        <v>1</v>
      </c>
      <c r="M7" s="5" t="s">
        <v>2472</v>
      </c>
      <c r="N7" s="5" t="s">
        <v>247</v>
      </c>
      <c r="O7" s="5"/>
      <c r="P7" s="110" t="b">
        <f t="shared" si="1"/>
        <v>0</v>
      </c>
      <c r="Q7" s="110" t="b">
        <f>IF(COUNTIF(RAW_APS!$A$2:$A815,A7)=0,TRUE,FALSE)</f>
        <v>0</v>
      </c>
      <c r="R7" s="241" t="b">
        <f t="shared" si="2"/>
        <v>0</v>
      </c>
      <c r="U7" s="112" t="str">
        <f t="shared" si="3"/>
        <v/>
      </c>
      <c r="V7" s="60"/>
      <c r="W7" s="60"/>
      <c r="X7" s="60"/>
      <c r="Y7" s="60"/>
      <c r="Z7" s="210"/>
      <c r="AA7" s="112" t="str">
        <f t="shared" si="4"/>
        <v>FM1011</v>
      </c>
      <c r="AB7" s="112" t="str">
        <f t="shared" si="5"/>
        <v/>
      </c>
      <c r="AC7" s="112" t="str">
        <f t="shared" si="6"/>
        <v/>
      </c>
      <c r="AD7" s="5"/>
      <c r="AE7" s="5"/>
    </row>
    <row r="8">
      <c r="A8" s="5" t="s">
        <v>1523</v>
      </c>
      <c r="B8" s="44">
        <v>44613.0</v>
      </c>
      <c r="C8" s="150">
        <v>0.32101851851851854</v>
      </c>
      <c r="D8" s="5"/>
      <c r="E8" s="5"/>
      <c r="F8" s="5"/>
      <c r="G8" s="5" t="s">
        <v>2184</v>
      </c>
      <c r="H8" s="5" t="s">
        <v>244</v>
      </c>
      <c r="I8" s="44">
        <v>44613.0</v>
      </c>
      <c r="J8" s="150">
        <v>0.4694097222222222</v>
      </c>
      <c r="K8" s="19">
        <v>1.0</v>
      </c>
      <c r="L8" s="10" t="b">
        <v>1</v>
      </c>
      <c r="M8" s="5" t="s">
        <v>2476</v>
      </c>
      <c r="N8" s="5" t="s">
        <v>247</v>
      </c>
      <c r="O8" s="5"/>
      <c r="P8" s="110" t="b">
        <f t="shared" si="1"/>
        <v>0</v>
      </c>
      <c r="Q8" s="110" t="b">
        <f>IF(COUNTIF(RAW_APS!$A$2:$A815,A8)=0,TRUE,FALSE)</f>
        <v>0</v>
      </c>
      <c r="R8" s="241" t="b">
        <f t="shared" si="2"/>
        <v>0</v>
      </c>
      <c r="U8" s="112" t="str">
        <f t="shared" si="3"/>
        <v/>
      </c>
      <c r="V8" s="60"/>
      <c r="W8" s="60"/>
      <c r="X8" s="60"/>
      <c r="Y8" s="60"/>
      <c r="Z8" s="210"/>
      <c r="AA8" s="112" t="str">
        <f t="shared" si="4"/>
        <v>FM1020</v>
      </c>
      <c r="AB8" s="112" t="str">
        <f t="shared" si="5"/>
        <v/>
      </c>
      <c r="AC8" s="112" t="str">
        <f t="shared" si="6"/>
        <v/>
      </c>
      <c r="AD8" s="5"/>
      <c r="AE8" s="5"/>
    </row>
    <row r="9">
      <c r="A9" s="5" t="s">
        <v>2115</v>
      </c>
      <c r="B9" s="44">
        <v>44631.0</v>
      </c>
      <c r="C9" s="150">
        <v>0.30668981481481483</v>
      </c>
      <c r="D9" s="5"/>
      <c r="E9" s="5"/>
      <c r="F9" s="5"/>
      <c r="G9" s="5" t="s">
        <v>2184</v>
      </c>
      <c r="H9" s="5" t="s">
        <v>244</v>
      </c>
      <c r="I9" s="44">
        <v>44631.0</v>
      </c>
      <c r="J9" s="150">
        <v>0.48608796296296297</v>
      </c>
      <c r="K9" s="19">
        <v>1.0</v>
      </c>
      <c r="L9" s="10" t="b">
        <v>1</v>
      </c>
      <c r="M9" s="5" t="s">
        <v>2464</v>
      </c>
      <c r="N9" s="5" t="s">
        <v>247</v>
      </c>
      <c r="O9" s="5"/>
      <c r="P9" s="110" t="b">
        <f t="shared" si="1"/>
        <v>0</v>
      </c>
      <c r="Q9" s="110" t="b">
        <f>IF(COUNTIF(RAW_APS!$A$2:$A815,A9)=0,TRUE,FALSE)</f>
        <v>0</v>
      </c>
      <c r="R9" s="241" t="b">
        <f t="shared" si="2"/>
        <v>0</v>
      </c>
      <c r="U9" s="112" t="str">
        <f t="shared" si="3"/>
        <v/>
      </c>
      <c r="V9" s="60"/>
      <c r="W9" s="60"/>
      <c r="X9" s="60"/>
      <c r="Y9" s="60"/>
      <c r="Z9" s="210"/>
      <c r="AA9" s="112" t="str">
        <f t="shared" si="4"/>
        <v>FM105</v>
      </c>
      <c r="AB9" s="112" t="str">
        <f t="shared" si="5"/>
        <v/>
      </c>
      <c r="AC9" s="112" t="str">
        <f t="shared" si="6"/>
        <v/>
      </c>
      <c r="AD9" s="5"/>
      <c r="AE9" s="5"/>
    </row>
    <row r="10">
      <c r="A10" s="5" t="s">
        <v>1801</v>
      </c>
      <c r="B10" s="44">
        <v>44621.0</v>
      </c>
      <c r="C10" s="150">
        <v>0.3285648148148148</v>
      </c>
      <c r="D10" s="5"/>
      <c r="E10" s="5"/>
      <c r="F10" s="5"/>
      <c r="G10" s="5" t="s">
        <v>2184</v>
      </c>
      <c r="H10" s="5" t="s">
        <v>244</v>
      </c>
      <c r="I10" s="44">
        <v>44627.0</v>
      </c>
      <c r="J10" s="150">
        <v>0.47792824074074075</v>
      </c>
      <c r="K10" s="19">
        <v>1.0</v>
      </c>
      <c r="L10" s="10" t="b">
        <v>1</v>
      </c>
      <c r="M10" s="5" t="s">
        <v>2470</v>
      </c>
      <c r="N10" s="5" t="s">
        <v>247</v>
      </c>
      <c r="O10" s="5"/>
      <c r="P10" s="110" t="b">
        <f t="shared" si="1"/>
        <v>0</v>
      </c>
      <c r="Q10" s="110" t="b">
        <f>IF(COUNTIF(RAW_APS!$A$2:$A815,A10)=0,TRUE,FALSE)</f>
        <v>0</v>
      </c>
      <c r="R10" s="241" t="b">
        <f t="shared" si="2"/>
        <v>0</v>
      </c>
      <c r="U10" s="112" t="str">
        <f t="shared" si="3"/>
        <v/>
      </c>
      <c r="V10" s="60"/>
      <c r="W10" s="60"/>
      <c r="X10" s="60"/>
      <c r="Y10" s="60"/>
      <c r="Z10" s="210"/>
      <c r="AA10" s="112" t="str">
        <f t="shared" si="4"/>
        <v>FM106</v>
      </c>
      <c r="AB10" s="112" t="str">
        <f t="shared" si="5"/>
        <v/>
      </c>
      <c r="AC10" s="112" t="str">
        <f t="shared" si="6"/>
        <v/>
      </c>
      <c r="AD10" s="5"/>
      <c r="AE10" s="5"/>
    </row>
    <row r="11">
      <c r="A11" s="5" t="s">
        <v>1609</v>
      </c>
      <c r="B11" s="44">
        <v>44615.0</v>
      </c>
      <c r="C11" s="150">
        <v>0.39533564814814814</v>
      </c>
      <c r="D11" s="5"/>
      <c r="E11" s="5"/>
      <c r="F11" s="5"/>
      <c r="G11" s="5" t="s">
        <v>2184</v>
      </c>
      <c r="H11" s="5" t="s">
        <v>52</v>
      </c>
      <c r="I11" s="44">
        <v>44615.0</v>
      </c>
      <c r="J11" s="150">
        <v>0.49126157407407406</v>
      </c>
      <c r="K11" s="19">
        <v>1.0</v>
      </c>
      <c r="L11" s="10" t="b">
        <v>1</v>
      </c>
      <c r="M11" s="5" t="s">
        <v>2474</v>
      </c>
      <c r="N11" s="5" t="s">
        <v>247</v>
      </c>
      <c r="O11" s="5"/>
      <c r="P11" s="110" t="b">
        <f t="shared" si="1"/>
        <v>0</v>
      </c>
      <c r="Q11" s="110" t="b">
        <f>IF(COUNTIF(RAW_APS!$A$2:$A815,A11)=0,TRUE,FALSE)</f>
        <v>0</v>
      </c>
      <c r="R11" s="241" t="b">
        <f t="shared" si="2"/>
        <v>0</v>
      </c>
      <c r="U11" s="112" t="str">
        <f t="shared" si="3"/>
        <v/>
      </c>
      <c r="V11" s="60"/>
      <c r="W11" s="60"/>
      <c r="X11" s="60"/>
      <c r="Y11" s="60"/>
      <c r="Z11" s="210"/>
      <c r="AA11" s="112" t="str">
        <f t="shared" si="4"/>
        <v>FM109</v>
      </c>
      <c r="AB11" s="112" t="str">
        <f t="shared" si="5"/>
        <v/>
      </c>
      <c r="AC11" s="112" t="str">
        <f t="shared" si="6"/>
        <v/>
      </c>
      <c r="AD11" s="5"/>
      <c r="AE11" s="5"/>
    </row>
    <row r="12">
      <c r="A12" s="5" t="s">
        <v>1501</v>
      </c>
      <c r="B12" s="44">
        <v>44613.0</v>
      </c>
      <c r="C12" s="150">
        <v>0.31090277777777775</v>
      </c>
      <c r="D12" s="5"/>
      <c r="E12" s="5"/>
      <c r="F12" s="5"/>
      <c r="G12" s="5" t="s">
        <v>2184</v>
      </c>
      <c r="H12" s="5" t="s">
        <v>244</v>
      </c>
      <c r="I12" s="44">
        <v>44613.0</v>
      </c>
      <c r="J12" s="150">
        <v>0.4693981481481482</v>
      </c>
      <c r="K12" s="19">
        <v>0.0</v>
      </c>
      <c r="L12" s="10" t="b">
        <v>1</v>
      </c>
      <c r="M12" s="5" t="s">
        <v>2476</v>
      </c>
      <c r="N12" s="5" t="s">
        <v>247</v>
      </c>
      <c r="O12" s="5"/>
      <c r="P12" s="110" t="b">
        <f t="shared" si="1"/>
        <v>1</v>
      </c>
      <c r="Q12" s="110" t="b">
        <f>IF(COUNTIF(RAW_APS!$A$2:$A815,A12)=0,TRUE,FALSE)</f>
        <v>1</v>
      </c>
      <c r="R12" s="241" t="b">
        <f t="shared" si="2"/>
        <v>0</v>
      </c>
      <c r="U12" s="112" t="str">
        <f t="shared" si="3"/>
        <v/>
      </c>
      <c r="V12" s="51"/>
      <c r="W12" s="51"/>
      <c r="X12" s="51"/>
      <c r="Y12" s="51"/>
      <c r="Z12" s="210"/>
      <c r="AA12" s="112" t="str">
        <f t="shared" si="4"/>
        <v>FM11</v>
      </c>
      <c r="AB12" s="112" t="str">
        <f t="shared" si="5"/>
        <v/>
      </c>
      <c r="AC12" s="112" t="str">
        <f t="shared" si="6"/>
        <v/>
      </c>
      <c r="AD12" s="5"/>
      <c r="AE12" s="5"/>
    </row>
    <row r="13">
      <c r="A13" s="5" t="s">
        <v>2128</v>
      </c>
      <c r="B13" s="44">
        <v>44631.0</v>
      </c>
      <c r="C13" s="150">
        <v>0.32407407407407407</v>
      </c>
      <c r="D13" s="5"/>
      <c r="E13" s="5"/>
      <c r="F13" s="5"/>
      <c r="G13" s="5" t="s">
        <v>2184</v>
      </c>
      <c r="H13" s="5" t="s">
        <v>244</v>
      </c>
      <c r="I13" s="44">
        <v>44631.0</v>
      </c>
      <c r="J13" s="150">
        <v>0.486099537037037</v>
      </c>
      <c r="K13" s="19">
        <v>0.0</v>
      </c>
      <c r="L13" s="10" t="b">
        <v>1</v>
      </c>
      <c r="M13" s="5" t="s">
        <v>2464</v>
      </c>
      <c r="N13" s="5" t="s">
        <v>247</v>
      </c>
      <c r="O13" s="5"/>
      <c r="P13" s="110" t="b">
        <f t="shared" si="1"/>
        <v>1</v>
      </c>
      <c r="Q13" s="110" t="b">
        <f>IF(COUNTIF(RAW_APS!$A$2:$A815,A13)=0,TRUE,FALSE)</f>
        <v>1</v>
      </c>
      <c r="R13" s="241" t="b">
        <f t="shared" si="2"/>
        <v>0</v>
      </c>
      <c r="U13" s="112" t="str">
        <f t="shared" si="3"/>
        <v/>
      </c>
      <c r="V13" s="51"/>
      <c r="W13" s="51"/>
      <c r="X13" s="51"/>
      <c r="Y13" s="51"/>
      <c r="Z13" s="210"/>
      <c r="AA13" s="112" t="str">
        <f t="shared" si="4"/>
        <v>FM113</v>
      </c>
      <c r="AB13" s="112" t="str">
        <f t="shared" si="5"/>
        <v/>
      </c>
      <c r="AC13" s="112" t="str">
        <f t="shared" si="6"/>
        <v/>
      </c>
      <c r="AD13" s="5"/>
      <c r="AE13" s="5"/>
    </row>
    <row r="14">
      <c r="A14" s="5" t="s">
        <v>1839</v>
      </c>
      <c r="B14" s="44">
        <v>44623.0</v>
      </c>
      <c r="C14" s="150">
        <v>0.30385416666666665</v>
      </c>
      <c r="D14" s="5"/>
      <c r="E14" s="5"/>
      <c r="F14" s="5"/>
      <c r="G14" s="5" t="s">
        <v>2184</v>
      </c>
      <c r="H14" s="5" t="s">
        <v>244</v>
      </c>
      <c r="I14" s="44">
        <v>44623.0</v>
      </c>
      <c r="J14" s="150">
        <v>0.4605902777777778</v>
      </c>
      <c r="K14" s="19">
        <v>1.0</v>
      </c>
      <c r="L14" s="10" t="b">
        <v>0</v>
      </c>
      <c r="M14" s="5" t="s">
        <v>2468</v>
      </c>
      <c r="N14" s="5" t="s">
        <v>247</v>
      </c>
      <c r="O14" s="5"/>
      <c r="P14" s="110" t="b">
        <f t="shared" si="1"/>
        <v>0</v>
      </c>
      <c r="Q14" s="110" t="b">
        <f>IF(COUNTIF(RAW_APS!$A$2:$A815,A14)=0,TRUE,FALSE)</f>
        <v>0</v>
      </c>
      <c r="R14" s="241" t="b">
        <f t="shared" si="2"/>
        <v>0</v>
      </c>
      <c r="U14" s="112" t="str">
        <f t="shared" si="3"/>
        <v/>
      </c>
      <c r="V14" s="60"/>
      <c r="W14" s="60"/>
      <c r="X14" s="60"/>
      <c r="Y14" s="60"/>
      <c r="Z14" s="210"/>
      <c r="AA14" s="112" t="str">
        <f t="shared" si="4"/>
        <v>FM114</v>
      </c>
      <c r="AB14" s="112" t="str">
        <f t="shared" si="5"/>
        <v/>
      </c>
      <c r="AC14" s="112" t="str">
        <f t="shared" si="6"/>
        <v/>
      </c>
      <c r="AD14" s="5"/>
      <c r="AE14" s="5"/>
    </row>
    <row r="15">
      <c r="A15" s="5" t="s">
        <v>1478</v>
      </c>
      <c r="B15" s="44">
        <v>44613.0</v>
      </c>
      <c r="C15" s="150">
        <v>0.26121527777777775</v>
      </c>
      <c r="D15" s="5"/>
      <c r="E15" s="5"/>
      <c r="F15" s="5"/>
      <c r="G15" s="5" t="s">
        <v>2184</v>
      </c>
      <c r="H15" s="5" t="s">
        <v>244</v>
      </c>
      <c r="I15" s="44">
        <v>44613.0</v>
      </c>
      <c r="J15" s="150">
        <v>0.4693865740740741</v>
      </c>
      <c r="K15" s="19">
        <v>1.0</v>
      </c>
      <c r="L15" s="10" t="b">
        <v>1</v>
      </c>
      <c r="M15" s="5" t="s">
        <v>2476</v>
      </c>
      <c r="N15" s="5" t="s">
        <v>247</v>
      </c>
      <c r="O15" s="5"/>
      <c r="P15" s="110" t="b">
        <f t="shared" si="1"/>
        <v>0</v>
      </c>
      <c r="Q15" s="110" t="b">
        <f>IF(COUNTIF(RAW_APS!$A$2:$A815,A15)=0,TRUE,FALSE)</f>
        <v>0</v>
      </c>
      <c r="R15" s="241" t="b">
        <f t="shared" si="2"/>
        <v>0</v>
      </c>
      <c r="U15" s="112" t="str">
        <f t="shared" si="3"/>
        <v/>
      </c>
      <c r="V15" s="60"/>
      <c r="W15" s="60"/>
      <c r="X15" s="60"/>
      <c r="Y15" s="60"/>
      <c r="Z15" s="210"/>
      <c r="AA15" s="112" t="str">
        <f t="shared" si="4"/>
        <v>FM117</v>
      </c>
      <c r="AB15" s="112" t="str">
        <f t="shared" si="5"/>
        <v/>
      </c>
      <c r="AC15" s="112" t="str">
        <f t="shared" si="6"/>
        <v/>
      </c>
      <c r="AD15" s="5"/>
      <c r="AE15" s="5"/>
    </row>
    <row r="16">
      <c r="A16" s="5" t="s">
        <v>1641</v>
      </c>
      <c r="B16" s="44">
        <v>44617.0</v>
      </c>
      <c r="C16" s="150">
        <v>0.3202199074074074</v>
      </c>
      <c r="D16" s="5"/>
      <c r="E16" s="5"/>
      <c r="F16" s="5"/>
      <c r="G16" s="5" t="s">
        <v>2184</v>
      </c>
      <c r="H16" s="5" t="s">
        <v>244</v>
      </c>
      <c r="I16" s="44">
        <v>44617.0</v>
      </c>
      <c r="J16" s="150">
        <v>0.5033680555555555</v>
      </c>
      <c r="K16" s="19">
        <v>1.0</v>
      </c>
      <c r="L16" s="10" t="b">
        <v>1</v>
      </c>
      <c r="M16" s="5" t="s">
        <v>2473</v>
      </c>
      <c r="N16" s="5" t="s">
        <v>247</v>
      </c>
      <c r="O16" s="5"/>
      <c r="P16" s="110" t="b">
        <f t="shared" si="1"/>
        <v>0</v>
      </c>
      <c r="Q16" s="110" t="b">
        <f>IF(COUNTIF(RAW_APS!$A$2:$A815,A16)=0,TRUE,FALSE)</f>
        <v>0</v>
      </c>
      <c r="R16" s="241" t="b">
        <f t="shared" si="2"/>
        <v>0</v>
      </c>
      <c r="U16" s="112" t="str">
        <f t="shared" si="3"/>
        <v/>
      </c>
      <c r="V16" s="60"/>
      <c r="W16" s="60"/>
      <c r="X16" s="60"/>
      <c r="Y16" s="60"/>
      <c r="Z16" s="210"/>
      <c r="AA16" s="112" t="str">
        <f t="shared" si="4"/>
        <v>FM12</v>
      </c>
      <c r="AB16" s="112" t="str">
        <f t="shared" si="5"/>
        <v/>
      </c>
      <c r="AC16" s="112" t="str">
        <f t="shared" si="6"/>
        <v/>
      </c>
      <c r="AD16" s="5"/>
      <c r="AE16" s="5"/>
    </row>
    <row r="17">
      <c r="A17" s="5" t="s">
        <v>1904</v>
      </c>
      <c r="B17" s="44">
        <v>44623.0</v>
      </c>
      <c r="C17" s="150">
        <v>0.4691666666666667</v>
      </c>
      <c r="D17" s="5"/>
      <c r="E17" s="5"/>
      <c r="F17" s="5"/>
      <c r="G17" s="5" t="s">
        <v>2188</v>
      </c>
      <c r="H17" s="5" t="s">
        <v>254</v>
      </c>
      <c r="I17" s="44">
        <v>44861.0</v>
      </c>
      <c r="J17" s="150">
        <v>0.4895023148148148</v>
      </c>
      <c r="K17" s="19">
        <v>1.0</v>
      </c>
      <c r="L17" s="5"/>
      <c r="M17" s="5"/>
      <c r="N17" s="5" t="s">
        <v>247</v>
      </c>
      <c r="O17" s="5"/>
      <c r="P17" s="110" t="b">
        <f t="shared" si="1"/>
        <v>0</v>
      </c>
      <c r="Q17" s="110" t="b">
        <f>IF(COUNTIF(RAW_APS!$A$2:$A815,A17)=0,TRUE,FALSE)</f>
        <v>0</v>
      </c>
      <c r="R17" s="241" t="b">
        <f t="shared" si="2"/>
        <v>0</v>
      </c>
      <c r="U17" s="112" t="str">
        <f t="shared" si="3"/>
        <v/>
      </c>
      <c r="V17" s="60"/>
      <c r="W17" s="60"/>
      <c r="X17" s="60"/>
      <c r="Y17" s="60"/>
      <c r="Z17" s="210"/>
      <c r="AA17" s="112" t="str">
        <f t="shared" si="4"/>
        <v>FM1202</v>
      </c>
      <c r="AB17" s="112" t="str">
        <f t="shared" si="5"/>
        <v/>
      </c>
      <c r="AC17" s="112" t="str">
        <f t="shared" si="6"/>
        <v/>
      </c>
      <c r="AD17" s="5"/>
      <c r="AE17" s="5"/>
    </row>
    <row r="18">
      <c r="A18" s="5" t="s">
        <v>1841</v>
      </c>
      <c r="B18" s="44">
        <v>44623.0</v>
      </c>
      <c r="C18" s="150">
        <v>0.3044791666666667</v>
      </c>
      <c r="D18" s="5"/>
      <c r="E18" s="5"/>
      <c r="F18" s="5"/>
      <c r="G18" s="5" t="s">
        <v>2184</v>
      </c>
      <c r="H18" s="5" t="s">
        <v>244</v>
      </c>
      <c r="I18" s="44">
        <v>44623.0</v>
      </c>
      <c r="J18" s="150">
        <v>0.4605902777777778</v>
      </c>
      <c r="K18" s="19">
        <v>1.0</v>
      </c>
      <c r="L18" s="10" t="b">
        <v>0</v>
      </c>
      <c r="M18" s="5" t="s">
        <v>2468</v>
      </c>
      <c r="N18" s="5" t="s">
        <v>247</v>
      </c>
      <c r="O18" s="5"/>
      <c r="P18" s="110" t="b">
        <f t="shared" si="1"/>
        <v>0</v>
      </c>
      <c r="Q18" s="110" t="b">
        <f>IF(COUNTIF(RAW_APS!$A$2:$A815,A18)=0,TRUE,FALSE)</f>
        <v>0</v>
      </c>
      <c r="R18" s="241" t="b">
        <f t="shared" si="2"/>
        <v>0</v>
      </c>
      <c r="U18" s="112" t="str">
        <f t="shared" si="3"/>
        <v/>
      </c>
      <c r="V18" s="60"/>
      <c r="W18" s="60"/>
      <c r="X18" s="60"/>
      <c r="Y18" s="60"/>
      <c r="Z18" s="210"/>
      <c r="AA18" s="112" t="str">
        <f t="shared" si="4"/>
        <v>FM13</v>
      </c>
      <c r="AB18" s="112" t="str">
        <f t="shared" si="5"/>
        <v/>
      </c>
      <c r="AC18" s="112" t="str">
        <f t="shared" si="6"/>
        <v/>
      </c>
      <c r="AD18" s="5"/>
      <c r="AE18" s="5"/>
    </row>
    <row r="19">
      <c r="A19" s="5" t="s">
        <v>2126</v>
      </c>
      <c r="B19" s="44">
        <v>44631.0</v>
      </c>
      <c r="C19" s="150">
        <v>0.32358796296296294</v>
      </c>
      <c r="D19" s="5"/>
      <c r="E19" s="5"/>
      <c r="F19" s="5"/>
      <c r="G19" s="5" t="s">
        <v>2184</v>
      </c>
      <c r="H19" s="5" t="s">
        <v>244</v>
      </c>
      <c r="I19" s="44">
        <v>44631.0</v>
      </c>
      <c r="J19" s="150">
        <v>0.48608796296296297</v>
      </c>
      <c r="K19" s="19">
        <v>1.0</v>
      </c>
      <c r="L19" s="10" t="b">
        <v>1</v>
      </c>
      <c r="M19" s="5" t="s">
        <v>2464</v>
      </c>
      <c r="N19" s="5" t="s">
        <v>247</v>
      </c>
      <c r="O19" s="5"/>
      <c r="P19" s="110" t="b">
        <f t="shared" si="1"/>
        <v>0</v>
      </c>
      <c r="Q19" s="110" t="b">
        <f>IF(COUNTIF(RAW_APS!$A$2:$A815,A19)=0,TRUE,FALSE)</f>
        <v>0</v>
      </c>
      <c r="R19" s="241" t="b">
        <f t="shared" si="2"/>
        <v>0</v>
      </c>
      <c r="U19" s="112" t="str">
        <f t="shared" si="3"/>
        <v/>
      </c>
      <c r="V19" s="60"/>
      <c r="W19" s="60"/>
      <c r="X19" s="60"/>
      <c r="Y19" s="60"/>
      <c r="Z19" s="210"/>
      <c r="AA19" s="112" t="str">
        <f t="shared" si="4"/>
        <v>FM15</v>
      </c>
      <c r="AB19" s="112" t="str">
        <f t="shared" si="5"/>
        <v/>
      </c>
      <c r="AC19" s="112" t="str">
        <f t="shared" si="6"/>
        <v/>
      </c>
      <c r="AD19" s="5"/>
      <c r="AE19" s="5"/>
    </row>
    <row r="20">
      <c r="A20" s="5" t="s">
        <v>2060</v>
      </c>
      <c r="B20" s="44">
        <v>44629.0</v>
      </c>
      <c r="C20" s="150">
        <v>0.31824074074074077</v>
      </c>
      <c r="D20" s="5"/>
      <c r="E20" s="5"/>
      <c r="F20" s="5"/>
      <c r="G20" s="5" t="s">
        <v>2184</v>
      </c>
      <c r="H20" s="5" t="s">
        <v>244</v>
      </c>
      <c r="I20" s="44">
        <v>44629.0</v>
      </c>
      <c r="J20" s="150">
        <v>0.49944444444444447</v>
      </c>
      <c r="K20" s="19">
        <v>1.0</v>
      </c>
      <c r="L20" s="10" t="b">
        <v>1</v>
      </c>
      <c r="M20" s="5" t="s">
        <v>2465</v>
      </c>
      <c r="N20" s="5" t="s">
        <v>247</v>
      </c>
      <c r="O20" s="5"/>
      <c r="P20" s="110" t="b">
        <f t="shared" si="1"/>
        <v>0</v>
      </c>
      <c r="Q20" s="110" t="b">
        <f>IF(COUNTIF(RAW_APS!$A$2:$A815,A20)=0,TRUE,FALSE)</f>
        <v>0</v>
      </c>
      <c r="R20" s="241" t="b">
        <f t="shared" si="2"/>
        <v>0</v>
      </c>
      <c r="U20" s="112" t="str">
        <f t="shared" si="3"/>
        <v/>
      </c>
      <c r="V20" s="60"/>
      <c r="W20" s="60"/>
      <c r="X20" s="60"/>
      <c r="Y20" s="60"/>
      <c r="Z20" s="210"/>
      <c r="AA20" s="112" t="str">
        <f t="shared" si="4"/>
        <v>FM16</v>
      </c>
      <c r="AB20" s="112" t="str">
        <f t="shared" si="5"/>
        <v/>
      </c>
      <c r="AC20" s="112" t="str">
        <f t="shared" si="6"/>
        <v/>
      </c>
      <c r="AD20" s="5"/>
      <c r="AE20" s="5"/>
    </row>
    <row r="21">
      <c r="A21" s="5" t="s">
        <v>2113</v>
      </c>
      <c r="B21" s="44">
        <v>44631.0</v>
      </c>
      <c r="C21" s="150">
        <v>0.30644675925925924</v>
      </c>
      <c r="D21" s="5"/>
      <c r="E21" s="5"/>
      <c r="F21" s="5"/>
      <c r="G21" s="5" t="s">
        <v>2184</v>
      </c>
      <c r="H21" s="5" t="s">
        <v>244</v>
      </c>
      <c r="I21" s="44">
        <v>44631.0</v>
      </c>
      <c r="J21" s="150">
        <v>0.48608796296296297</v>
      </c>
      <c r="K21" s="19">
        <v>1.0</v>
      </c>
      <c r="L21" s="10" t="b">
        <v>1</v>
      </c>
      <c r="M21" s="5" t="s">
        <v>2464</v>
      </c>
      <c r="N21" s="5" t="s">
        <v>247</v>
      </c>
      <c r="O21" s="5"/>
      <c r="P21" s="110" t="b">
        <f t="shared" si="1"/>
        <v>0</v>
      </c>
      <c r="Q21" s="110" t="b">
        <f>IF(COUNTIF(RAW_APS!$A$2:$A815,A21)=0,TRUE,FALSE)</f>
        <v>0</v>
      </c>
      <c r="R21" s="241" t="b">
        <f t="shared" si="2"/>
        <v>0</v>
      </c>
      <c r="U21" s="112" t="str">
        <f t="shared" si="3"/>
        <v/>
      </c>
      <c r="V21" s="60"/>
      <c r="W21" s="60"/>
      <c r="X21" s="60"/>
      <c r="Y21" s="60"/>
      <c r="Z21" s="210"/>
      <c r="AA21" s="112" t="str">
        <f t="shared" si="4"/>
        <v>FM17</v>
      </c>
      <c r="AB21" s="112" t="str">
        <f t="shared" si="5"/>
        <v/>
      </c>
      <c r="AC21" s="112" t="str">
        <f t="shared" si="6"/>
        <v/>
      </c>
      <c r="AD21" s="5"/>
      <c r="AE21" s="5"/>
    </row>
    <row r="22">
      <c r="A22" s="5" t="s">
        <v>2120</v>
      </c>
      <c r="B22" s="44">
        <v>44631.0</v>
      </c>
      <c r="C22" s="150">
        <v>0.30917824074074074</v>
      </c>
      <c r="D22" s="5"/>
      <c r="E22" s="5"/>
      <c r="F22" s="5"/>
      <c r="G22" s="5" t="s">
        <v>2184</v>
      </c>
      <c r="H22" s="5" t="s">
        <v>244</v>
      </c>
      <c r="I22" s="44">
        <v>44631.0</v>
      </c>
      <c r="J22" s="150">
        <v>0.48608796296296297</v>
      </c>
      <c r="K22" s="19">
        <v>1.0</v>
      </c>
      <c r="L22" s="10" t="b">
        <v>1</v>
      </c>
      <c r="M22" s="5" t="s">
        <v>2464</v>
      </c>
      <c r="N22" s="5" t="s">
        <v>247</v>
      </c>
      <c r="O22" s="5"/>
      <c r="P22" s="110" t="b">
        <f t="shared" si="1"/>
        <v>0</v>
      </c>
      <c r="Q22" s="110" t="b">
        <f>IF(COUNTIF(RAW_APS!$A$2:$A815,A22)=0,TRUE,FALSE)</f>
        <v>0</v>
      </c>
      <c r="R22" s="241" t="b">
        <f t="shared" si="2"/>
        <v>0</v>
      </c>
      <c r="U22" s="112" t="str">
        <f t="shared" si="3"/>
        <v/>
      </c>
      <c r="V22" s="60"/>
      <c r="W22" s="60"/>
      <c r="X22" s="60"/>
      <c r="Y22" s="60"/>
      <c r="Z22" s="210"/>
      <c r="AA22" s="112" t="str">
        <f t="shared" si="4"/>
        <v>FM1786</v>
      </c>
      <c r="AB22" s="112" t="str">
        <f t="shared" si="5"/>
        <v/>
      </c>
      <c r="AC22" s="112" t="str">
        <f t="shared" si="6"/>
        <v/>
      </c>
      <c r="AD22" s="5"/>
      <c r="AE22" s="5"/>
    </row>
    <row r="23">
      <c r="A23" s="5" t="s">
        <v>2024</v>
      </c>
      <c r="B23" s="44">
        <v>44627.0</v>
      </c>
      <c r="C23" s="150">
        <v>0.3278240740740741</v>
      </c>
      <c r="D23" s="5"/>
      <c r="E23" s="5"/>
      <c r="F23" s="5"/>
      <c r="G23" s="5" t="s">
        <v>2184</v>
      </c>
      <c r="H23" s="5" t="s">
        <v>244</v>
      </c>
      <c r="I23" s="44">
        <v>44627.0</v>
      </c>
      <c r="J23" s="150">
        <v>0.4779050925925926</v>
      </c>
      <c r="K23" s="19">
        <v>1.0</v>
      </c>
      <c r="L23" s="10" t="b">
        <v>1</v>
      </c>
      <c r="M23" s="5" t="s">
        <v>2466</v>
      </c>
      <c r="N23" s="5" t="s">
        <v>247</v>
      </c>
      <c r="O23" s="5"/>
      <c r="P23" s="110" t="b">
        <f t="shared" si="1"/>
        <v>0</v>
      </c>
      <c r="Q23" s="110" t="b">
        <f>IF(COUNTIF(RAW_APS!$A$2:$A815,A23)=0,TRUE,FALSE)</f>
        <v>0</v>
      </c>
      <c r="R23" s="241" t="b">
        <f t="shared" si="2"/>
        <v>0</v>
      </c>
      <c r="U23" s="112" t="str">
        <f t="shared" si="3"/>
        <v/>
      </c>
      <c r="V23" s="60"/>
      <c r="W23" s="60"/>
      <c r="X23" s="60"/>
      <c r="Y23" s="60"/>
      <c r="Z23" s="210"/>
      <c r="AA23" s="112" t="str">
        <f t="shared" si="4"/>
        <v>FM1789</v>
      </c>
      <c r="AB23" s="112" t="str">
        <f t="shared" si="5"/>
        <v/>
      </c>
      <c r="AC23" s="112" t="str">
        <f t="shared" si="6"/>
        <v/>
      </c>
      <c r="AD23" s="5"/>
      <c r="AE23" s="5"/>
    </row>
    <row r="24">
      <c r="A24" s="5" t="s">
        <v>2068</v>
      </c>
      <c r="B24" s="44">
        <v>44629.0</v>
      </c>
      <c r="C24" s="150">
        <v>0.3240162037037037</v>
      </c>
      <c r="D24" s="5"/>
      <c r="E24" s="5"/>
      <c r="F24" s="5"/>
      <c r="G24" s="5" t="s">
        <v>2184</v>
      </c>
      <c r="H24" s="5" t="s">
        <v>244</v>
      </c>
      <c r="I24" s="44">
        <v>44629.0</v>
      </c>
      <c r="J24" s="150">
        <v>0.4994560185185185</v>
      </c>
      <c r="K24" s="19">
        <v>1.0</v>
      </c>
      <c r="L24" s="10" t="b">
        <v>1</v>
      </c>
      <c r="M24" s="5" t="s">
        <v>2465</v>
      </c>
      <c r="N24" s="5" t="s">
        <v>247</v>
      </c>
      <c r="O24" s="5"/>
      <c r="P24" s="110" t="b">
        <f t="shared" si="1"/>
        <v>0</v>
      </c>
      <c r="Q24" s="110" t="b">
        <f>IF(COUNTIF(RAW_APS!$A$2:$A815,A24)=0,TRUE,FALSE)</f>
        <v>0</v>
      </c>
      <c r="R24" s="241" t="b">
        <f t="shared" si="2"/>
        <v>0</v>
      </c>
      <c r="U24" s="112" t="str">
        <f t="shared" si="3"/>
        <v/>
      </c>
      <c r="V24" s="60"/>
      <c r="W24" s="60"/>
      <c r="X24" s="60"/>
      <c r="Y24" s="60"/>
      <c r="Z24" s="210"/>
      <c r="AA24" s="112" t="str">
        <f t="shared" si="4"/>
        <v>FM1797</v>
      </c>
      <c r="AB24" s="112" t="str">
        <f t="shared" si="5"/>
        <v/>
      </c>
      <c r="AC24" s="112" t="str">
        <f t="shared" si="6"/>
        <v/>
      </c>
      <c r="AD24" s="5"/>
      <c r="AE24" s="5"/>
    </row>
    <row r="25">
      <c r="A25" s="5" t="s">
        <v>1769</v>
      </c>
      <c r="B25" s="44">
        <v>44621.0</v>
      </c>
      <c r="C25" s="150">
        <v>0.3062152777777778</v>
      </c>
      <c r="D25" s="5"/>
      <c r="E25" s="5"/>
      <c r="F25" s="5"/>
      <c r="G25" s="5" t="s">
        <v>2184</v>
      </c>
      <c r="H25" s="5" t="s">
        <v>244</v>
      </c>
      <c r="I25" s="44">
        <v>44627.0</v>
      </c>
      <c r="J25" s="150">
        <v>0.47791666666666666</v>
      </c>
      <c r="K25" s="19">
        <v>1.0</v>
      </c>
      <c r="L25" s="10" t="b">
        <v>1</v>
      </c>
      <c r="M25" s="5" t="s">
        <v>2470</v>
      </c>
      <c r="N25" s="5" t="s">
        <v>247</v>
      </c>
      <c r="O25" s="5"/>
      <c r="P25" s="110" t="b">
        <f t="shared" si="1"/>
        <v>0</v>
      </c>
      <c r="Q25" s="110" t="b">
        <f>IF(COUNTIF(RAW_APS!$A$2:$A815,A25)=0,TRUE,FALSE)</f>
        <v>0</v>
      </c>
      <c r="R25" s="241" t="b">
        <f t="shared" si="2"/>
        <v>0</v>
      </c>
      <c r="U25" s="112" t="str">
        <f t="shared" si="3"/>
        <v/>
      </c>
      <c r="V25" s="60"/>
      <c r="W25" s="60"/>
      <c r="X25" s="60"/>
      <c r="Y25" s="60"/>
      <c r="Z25" s="210"/>
      <c r="AA25" s="112" t="str">
        <f t="shared" si="4"/>
        <v>FM18</v>
      </c>
      <c r="AB25" s="112" t="str">
        <f t="shared" si="5"/>
        <v/>
      </c>
      <c r="AC25" s="112" t="str">
        <f t="shared" si="6"/>
        <v/>
      </c>
      <c r="AD25" s="5"/>
      <c r="AE25" s="5"/>
    </row>
    <row r="26">
      <c r="A26" s="5" t="s">
        <v>2118</v>
      </c>
      <c r="B26" s="44">
        <v>44631.0</v>
      </c>
      <c r="C26" s="150">
        <v>0.3084953703703704</v>
      </c>
      <c r="D26" s="5"/>
      <c r="E26" s="5"/>
      <c r="F26" s="5"/>
      <c r="G26" s="5" t="s">
        <v>2184</v>
      </c>
      <c r="H26" s="5" t="s">
        <v>244</v>
      </c>
      <c r="I26" s="44">
        <v>44631.0</v>
      </c>
      <c r="J26" s="150">
        <v>0.48608796296296297</v>
      </c>
      <c r="K26" s="19">
        <v>1.0</v>
      </c>
      <c r="L26" s="10" t="b">
        <v>1</v>
      </c>
      <c r="M26" s="5" t="s">
        <v>2464</v>
      </c>
      <c r="N26" s="5" t="s">
        <v>247</v>
      </c>
      <c r="O26" s="5"/>
      <c r="P26" s="110" t="b">
        <f t="shared" si="1"/>
        <v>0</v>
      </c>
      <c r="Q26" s="110" t="b">
        <f>IF(COUNTIF(RAW_APS!$A$2:$A815,A26)=0,TRUE,FALSE)</f>
        <v>0</v>
      </c>
      <c r="R26" s="241" t="b">
        <f t="shared" si="2"/>
        <v>0</v>
      </c>
      <c r="U26" s="112" t="str">
        <f t="shared" si="3"/>
        <v/>
      </c>
      <c r="V26" s="60"/>
      <c r="W26" s="60"/>
      <c r="X26" s="60"/>
      <c r="Y26" s="60"/>
      <c r="Z26" s="210"/>
      <c r="AA26" s="112" t="str">
        <f t="shared" si="4"/>
        <v>FM1870</v>
      </c>
      <c r="AB26" s="112" t="str">
        <f t="shared" si="5"/>
        <v/>
      </c>
      <c r="AC26" s="112" t="str">
        <f t="shared" si="6"/>
        <v/>
      </c>
      <c r="AD26" s="5"/>
      <c r="AE26" s="5"/>
    </row>
    <row r="27">
      <c r="A27" s="5" t="s">
        <v>2064</v>
      </c>
      <c r="B27" s="44">
        <v>44629.0</v>
      </c>
      <c r="C27" s="150">
        <v>0.32186342592592593</v>
      </c>
      <c r="D27" s="5"/>
      <c r="E27" s="5"/>
      <c r="F27" s="5"/>
      <c r="G27" s="5" t="s">
        <v>2184</v>
      </c>
      <c r="H27" s="5" t="s">
        <v>244</v>
      </c>
      <c r="I27" s="44">
        <v>44629.0</v>
      </c>
      <c r="J27" s="150">
        <v>0.49944444444444447</v>
      </c>
      <c r="K27" s="19">
        <v>1.0</v>
      </c>
      <c r="L27" s="10" t="b">
        <v>1</v>
      </c>
      <c r="M27" s="5" t="s">
        <v>2465</v>
      </c>
      <c r="N27" s="5" t="s">
        <v>247</v>
      </c>
      <c r="O27" s="5"/>
      <c r="P27" s="110" t="b">
        <f t="shared" si="1"/>
        <v>0</v>
      </c>
      <c r="Q27" s="110" t="b">
        <f>IF(COUNTIF(RAW_APS!$A$2:$A815,A27)=0,TRUE,FALSE)</f>
        <v>0</v>
      </c>
      <c r="R27" s="241" t="b">
        <f t="shared" si="2"/>
        <v>0</v>
      </c>
      <c r="U27" s="112" t="str">
        <f t="shared" si="3"/>
        <v/>
      </c>
      <c r="V27" s="60"/>
      <c r="W27" s="60"/>
      <c r="X27" s="60"/>
      <c r="Y27" s="60"/>
      <c r="Z27" s="210"/>
      <c r="AA27" s="112" t="str">
        <f t="shared" si="4"/>
        <v>FM1889</v>
      </c>
      <c r="AB27" s="112" t="str">
        <f t="shared" si="5"/>
        <v/>
      </c>
      <c r="AC27" s="112" t="str">
        <f t="shared" si="6"/>
        <v/>
      </c>
      <c r="AD27" s="5"/>
      <c r="AE27" s="5"/>
    </row>
    <row r="28">
      <c r="A28" s="5" t="s">
        <v>1245</v>
      </c>
      <c r="B28" s="44">
        <v>44607.0</v>
      </c>
      <c r="C28" s="150">
        <v>0.31342592592592594</v>
      </c>
      <c r="D28" s="5"/>
      <c r="E28" s="5"/>
      <c r="F28" s="5"/>
      <c r="G28" s="5" t="s">
        <v>2184</v>
      </c>
      <c r="H28" s="5" t="s">
        <v>244</v>
      </c>
      <c r="I28" s="44">
        <v>44607.0</v>
      </c>
      <c r="J28" s="150">
        <v>0.5868055555555556</v>
      </c>
      <c r="K28" s="19">
        <v>1.0</v>
      </c>
      <c r="L28" s="10" t="b">
        <v>1</v>
      </c>
      <c r="M28" s="5" t="s">
        <v>2479</v>
      </c>
      <c r="N28" s="5" t="s">
        <v>247</v>
      </c>
      <c r="O28" s="5"/>
      <c r="P28" s="110" t="b">
        <f t="shared" si="1"/>
        <v>0</v>
      </c>
      <c r="Q28" s="110" t="b">
        <f>IF(COUNTIF(RAW_APS!$A$2:$A815,A28)=0,TRUE,FALSE)</f>
        <v>0</v>
      </c>
      <c r="R28" s="241" t="b">
        <f t="shared" si="2"/>
        <v>0</v>
      </c>
      <c r="U28" s="112" t="str">
        <f t="shared" si="3"/>
        <v/>
      </c>
      <c r="V28" s="60"/>
      <c r="W28" s="60"/>
      <c r="X28" s="60"/>
      <c r="Y28" s="60"/>
      <c r="Z28" s="210"/>
      <c r="AA28" s="112" t="str">
        <f t="shared" si="4"/>
        <v>FM19</v>
      </c>
      <c r="AB28" s="112" t="str">
        <f t="shared" si="5"/>
        <v/>
      </c>
      <c r="AC28" s="112" t="str">
        <f t="shared" si="6"/>
        <v/>
      </c>
      <c r="AD28" s="5"/>
      <c r="AE28" s="5"/>
    </row>
    <row r="29">
      <c r="A29" s="5" t="s">
        <v>1963</v>
      </c>
      <c r="B29" s="44">
        <v>44625.0</v>
      </c>
      <c r="C29" s="150">
        <v>0.36768518518518517</v>
      </c>
      <c r="D29" s="5"/>
      <c r="E29" s="5"/>
      <c r="F29" s="5"/>
      <c r="G29" s="5" t="s">
        <v>2184</v>
      </c>
      <c r="H29" s="5" t="s">
        <v>244</v>
      </c>
      <c r="I29" s="44">
        <v>44625.0</v>
      </c>
      <c r="J29" s="150">
        <v>0.48975694444444445</v>
      </c>
      <c r="K29" s="19">
        <v>1.0</v>
      </c>
      <c r="L29" s="10" t="b">
        <v>1</v>
      </c>
      <c r="M29" s="5" t="s">
        <v>2467</v>
      </c>
      <c r="N29" s="5" t="s">
        <v>247</v>
      </c>
      <c r="O29" s="5"/>
      <c r="P29" s="110" t="b">
        <f t="shared" si="1"/>
        <v>0</v>
      </c>
      <c r="Q29" s="110" t="b">
        <f>IF(COUNTIF(RAW_APS!$A$2:$A815,A29)=0,TRUE,FALSE)</f>
        <v>0</v>
      </c>
      <c r="R29" s="241" t="b">
        <f t="shared" si="2"/>
        <v>0</v>
      </c>
      <c r="U29" s="112" t="str">
        <f t="shared" si="3"/>
        <v/>
      </c>
      <c r="V29" s="60"/>
      <c r="W29" s="60"/>
      <c r="X29" s="60"/>
      <c r="Y29" s="60"/>
      <c r="Z29" s="210"/>
      <c r="AA29" s="112" t="str">
        <f t="shared" si="4"/>
        <v>FM1905</v>
      </c>
      <c r="AB29" s="112" t="str">
        <f t="shared" si="5"/>
        <v/>
      </c>
      <c r="AC29" s="112" t="str">
        <f t="shared" si="6"/>
        <v/>
      </c>
      <c r="AD29" s="5"/>
      <c r="AE29" s="5"/>
    </row>
    <row r="30">
      <c r="A30" s="5" t="s">
        <v>1763</v>
      </c>
      <c r="B30" s="44">
        <v>44621.0</v>
      </c>
      <c r="C30" s="150">
        <v>0.2698611111111111</v>
      </c>
      <c r="D30" s="5"/>
      <c r="E30" s="5"/>
      <c r="F30" s="5"/>
      <c r="G30" s="5" t="s">
        <v>2184</v>
      </c>
      <c r="H30" s="5" t="s">
        <v>244</v>
      </c>
      <c r="I30" s="44">
        <v>44627.0</v>
      </c>
      <c r="J30" s="150">
        <v>0.4779050925925926</v>
      </c>
      <c r="K30" s="19">
        <v>1.0</v>
      </c>
      <c r="L30" s="10" t="b">
        <v>1</v>
      </c>
      <c r="M30" s="5" t="s">
        <v>2470</v>
      </c>
      <c r="N30" s="5" t="s">
        <v>247</v>
      </c>
      <c r="O30" s="5"/>
      <c r="P30" s="110" t="b">
        <f t="shared" si="1"/>
        <v>0</v>
      </c>
      <c r="Q30" s="110" t="b">
        <f>IF(COUNTIF(RAW_APS!$A$2:$A815,A30)=0,TRUE,FALSE)</f>
        <v>0</v>
      </c>
      <c r="R30" s="241" t="b">
        <f t="shared" si="2"/>
        <v>0</v>
      </c>
      <c r="U30" s="112" t="str">
        <f t="shared" si="3"/>
        <v/>
      </c>
      <c r="V30" s="60"/>
      <c r="W30" s="60"/>
      <c r="X30" s="60"/>
      <c r="Y30" s="60"/>
      <c r="Z30" s="210"/>
      <c r="AA30" s="112" t="str">
        <f t="shared" si="4"/>
        <v>FM1909</v>
      </c>
      <c r="AB30" s="112" t="str">
        <f t="shared" si="5"/>
        <v/>
      </c>
      <c r="AC30" s="112" t="str">
        <f t="shared" si="6"/>
        <v/>
      </c>
      <c r="AD30" s="5"/>
      <c r="AE30" s="5"/>
    </row>
    <row r="31">
      <c r="A31" s="5" t="s">
        <v>1837</v>
      </c>
      <c r="B31" s="44">
        <v>44623.0</v>
      </c>
      <c r="C31" s="150">
        <v>0.2961574074074074</v>
      </c>
      <c r="D31" s="5"/>
      <c r="E31" s="5"/>
      <c r="F31" s="5"/>
      <c r="G31" s="5" t="s">
        <v>2184</v>
      </c>
      <c r="H31" s="5" t="s">
        <v>244</v>
      </c>
      <c r="I31" s="44">
        <v>44623.0</v>
      </c>
      <c r="J31" s="150">
        <v>0.4605902777777778</v>
      </c>
      <c r="K31" s="19">
        <v>1.0</v>
      </c>
      <c r="L31" s="10" t="b">
        <v>0</v>
      </c>
      <c r="M31" s="5" t="s">
        <v>2468</v>
      </c>
      <c r="N31" s="5" t="s">
        <v>247</v>
      </c>
      <c r="O31" s="5"/>
      <c r="P31" s="110" t="b">
        <f t="shared" si="1"/>
        <v>0</v>
      </c>
      <c r="Q31" s="110" t="b">
        <f>IF(COUNTIF(RAW_APS!$A$2:$A815,A31)=0,TRUE,FALSE)</f>
        <v>0</v>
      </c>
      <c r="R31" s="241" t="b">
        <f t="shared" si="2"/>
        <v>0</v>
      </c>
      <c r="U31" s="112" t="str">
        <f t="shared" si="3"/>
        <v/>
      </c>
      <c r="V31" s="60"/>
      <c r="W31" s="60"/>
      <c r="X31" s="60"/>
      <c r="Y31" s="60"/>
      <c r="Z31" s="210"/>
      <c r="AA31" s="112" t="str">
        <f t="shared" si="4"/>
        <v>FM1917</v>
      </c>
      <c r="AB31" s="112" t="str">
        <f t="shared" si="5"/>
        <v/>
      </c>
      <c r="AC31" s="112" t="str">
        <f t="shared" si="6"/>
        <v/>
      </c>
      <c r="AD31" s="5"/>
      <c r="AE31" s="5"/>
    </row>
    <row r="32">
      <c r="A32" s="5" t="s">
        <v>1703</v>
      </c>
      <c r="B32" s="44">
        <v>44619.0</v>
      </c>
      <c r="C32" s="150">
        <v>0.31364583333333335</v>
      </c>
      <c r="D32" s="5"/>
      <c r="E32" s="5"/>
      <c r="F32" s="5"/>
      <c r="G32" s="5" t="s">
        <v>2184</v>
      </c>
      <c r="H32" s="5" t="s">
        <v>244</v>
      </c>
      <c r="I32" s="44">
        <v>44621.0</v>
      </c>
      <c r="J32" s="150">
        <v>0.4783449074074074</v>
      </c>
      <c r="K32" s="19">
        <v>0.0</v>
      </c>
      <c r="L32" s="10" t="b">
        <v>1</v>
      </c>
      <c r="M32" s="5" t="s">
        <v>2472</v>
      </c>
      <c r="N32" s="5" t="s">
        <v>247</v>
      </c>
      <c r="O32" s="5"/>
      <c r="P32" s="110" t="b">
        <f t="shared" si="1"/>
        <v>1</v>
      </c>
      <c r="Q32" s="110" t="b">
        <f>IF(COUNTIF(RAW_APS!$A$2:$A815,A32)=0,TRUE,FALSE)</f>
        <v>1</v>
      </c>
      <c r="R32" s="241" t="b">
        <f t="shared" si="2"/>
        <v>0</v>
      </c>
      <c r="U32" s="112" t="str">
        <f t="shared" si="3"/>
        <v/>
      </c>
      <c r="V32" s="51"/>
      <c r="W32" s="51"/>
      <c r="X32" s="51"/>
      <c r="Y32" s="51"/>
      <c r="Z32" s="210"/>
      <c r="AA32" s="112" t="str">
        <f t="shared" si="4"/>
        <v>FM2</v>
      </c>
      <c r="AB32" s="112" t="str">
        <f t="shared" si="5"/>
        <v/>
      </c>
      <c r="AC32" s="112" t="str">
        <f t="shared" si="6"/>
        <v/>
      </c>
      <c r="AD32" s="5"/>
      <c r="AE32" s="5"/>
    </row>
    <row r="33">
      <c r="A33" s="5" t="s">
        <v>1915</v>
      </c>
      <c r="B33" s="44">
        <v>44625.0</v>
      </c>
      <c r="C33" s="150">
        <v>0.29268518518518516</v>
      </c>
      <c r="D33" s="5"/>
      <c r="E33" s="5"/>
      <c r="F33" s="5"/>
      <c r="G33" s="5" t="s">
        <v>2184</v>
      </c>
      <c r="H33" s="5" t="s">
        <v>244</v>
      </c>
      <c r="I33" s="44">
        <v>44625.0</v>
      </c>
      <c r="J33" s="150">
        <v>0.48998842592592595</v>
      </c>
      <c r="K33" s="19">
        <v>1.0</v>
      </c>
      <c r="L33" s="10" t="b">
        <v>1</v>
      </c>
      <c r="M33" s="5"/>
      <c r="N33" s="5" t="s">
        <v>247</v>
      </c>
      <c r="O33" s="5"/>
      <c r="P33" s="110" t="b">
        <f t="shared" si="1"/>
        <v>0</v>
      </c>
      <c r="Q33" s="110" t="b">
        <f>IF(COUNTIF(RAW_APS!$A$2:$A815,A33)=0,TRUE,FALSE)</f>
        <v>0</v>
      </c>
      <c r="R33" s="241" t="b">
        <f t="shared" si="2"/>
        <v>0</v>
      </c>
      <c r="U33" s="112" t="str">
        <f t="shared" si="3"/>
        <v/>
      </c>
      <c r="V33" s="60"/>
      <c r="W33" s="60"/>
      <c r="X33" s="60"/>
      <c r="Y33" s="60"/>
      <c r="Z33" s="210"/>
      <c r="AA33" s="112" t="str">
        <f t="shared" si="4"/>
        <v>FM2041</v>
      </c>
      <c r="AB33" s="112" t="str">
        <f t="shared" si="5"/>
        <v/>
      </c>
      <c r="AC33" s="112" t="str">
        <f t="shared" si="6"/>
        <v/>
      </c>
      <c r="AD33" s="5"/>
      <c r="AE33" s="5"/>
    </row>
    <row r="34">
      <c r="A34" s="5" t="s">
        <v>2103</v>
      </c>
      <c r="B34" s="44">
        <v>44631.0</v>
      </c>
      <c r="C34" s="150">
        <v>0.2971875</v>
      </c>
      <c r="D34" s="5"/>
      <c r="E34" s="5"/>
      <c r="F34" s="5"/>
      <c r="G34" s="5" t="s">
        <v>2184</v>
      </c>
      <c r="H34" s="5" t="s">
        <v>244</v>
      </c>
      <c r="I34" s="44">
        <v>44631.0</v>
      </c>
      <c r="J34" s="150">
        <v>0.48608796296296297</v>
      </c>
      <c r="K34" s="19">
        <v>1.0</v>
      </c>
      <c r="L34" s="10" t="b">
        <v>1</v>
      </c>
      <c r="M34" s="5" t="s">
        <v>2464</v>
      </c>
      <c r="N34" s="5" t="s">
        <v>247</v>
      </c>
      <c r="O34" s="5"/>
      <c r="P34" s="110" t="b">
        <f t="shared" si="1"/>
        <v>0</v>
      </c>
      <c r="Q34" s="110" t="b">
        <f>IF(COUNTIF(RAW_APS!$A$2:$A815,A34)=0,TRUE,FALSE)</f>
        <v>0</v>
      </c>
      <c r="R34" s="241" t="b">
        <f t="shared" si="2"/>
        <v>0</v>
      </c>
      <c r="U34" s="112" t="str">
        <f t="shared" si="3"/>
        <v/>
      </c>
      <c r="V34" s="60"/>
      <c r="W34" s="60"/>
      <c r="X34" s="60"/>
      <c r="Y34" s="60"/>
      <c r="Z34" s="210"/>
      <c r="AA34" s="112" t="str">
        <f t="shared" si="4"/>
        <v>FM2042</v>
      </c>
      <c r="AB34" s="112" t="str">
        <f t="shared" si="5"/>
        <v/>
      </c>
      <c r="AC34" s="112" t="str">
        <f t="shared" si="6"/>
        <v/>
      </c>
      <c r="AD34" s="5"/>
      <c r="AE34" s="5"/>
    </row>
    <row r="35">
      <c r="A35" s="5" t="s">
        <v>2142</v>
      </c>
      <c r="B35" s="44">
        <v>44631.0</v>
      </c>
      <c r="C35" s="150">
        <v>0.34293981481481484</v>
      </c>
      <c r="D35" s="5"/>
      <c r="E35" s="5"/>
      <c r="F35" s="5"/>
      <c r="G35" s="5" t="s">
        <v>2184</v>
      </c>
      <c r="H35" s="5" t="s">
        <v>244</v>
      </c>
      <c r="I35" s="44">
        <v>44631.0</v>
      </c>
      <c r="J35" s="150">
        <v>0.486099537037037</v>
      </c>
      <c r="K35" s="19">
        <v>1.0</v>
      </c>
      <c r="L35" s="10" t="b">
        <v>1</v>
      </c>
      <c r="M35" s="5" t="s">
        <v>2464</v>
      </c>
      <c r="N35" s="5" t="s">
        <v>247</v>
      </c>
      <c r="O35" s="5"/>
      <c r="P35" s="110" t="b">
        <f t="shared" si="1"/>
        <v>0</v>
      </c>
      <c r="Q35" s="110" t="b">
        <f>IF(COUNTIF(RAW_APS!$A$2:$A815,A35)=0,TRUE,FALSE)</f>
        <v>0</v>
      </c>
      <c r="R35" s="241" t="b">
        <f t="shared" si="2"/>
        <v>0</v>
      </c>
      <c r="U35" s="112" t="str">
        <f t="shared" si="3"/>
        <v/>
      </c>
      <c r="V35" s="60"/>
      <c r="W35" s="60"/>
      <c r="X35" s="60"/>
      <c r="Y35" s="60"/>
      <c r="Z35" s="210"/>
      <c r="AA35" s="112" t="str">
        <f t="shared" si="4"/>
        <v>FM2044</v>
      </c>
      <c r="AB35" s="112" t="str">
        <f t="shared" si="5"/>
        <v/>
      </c>
      <c r="AC35" s="112" t="str">
        <f t="shared" si="6"/>
        <v/>
      </c>
      <c r="AD35" s="5"/>
      <c r="AE35" s="5"/>
    </row>
    <row r="36">
      <c r="A36" s="5" t="s">
        <v>1947</v>
      </c>
      <c r="B36" s="44">
        <v>44625.0</v>
      </c>
      <c r="C36" s="150">
        <v>0.3232175925925926</v>
      </c>
      <c r="D36" s="5"/>
      <c r="E36" s="5"/>
      <c r="F36" s="5"/>
      <c r="G36" s="5" t="s">
        <v>2184</v>
      </c>
      <c r="H36" s="5" t="s">
        <v>244</v>
      </c>
      <c r="I36" s="44">
        <v>44625.0</v>
      </c>
      <c r="J36" s="150">
        <v>0.48997685185185186</v>
      </c>
      <c r="K36" s="19">
        <v>1.0</v>
      </c>
      <c r="L36" s="10" t="b">
        <v>1</v>
      </c>
      <c r="M36" s="5"/>
      <c r="N36" s="5" t="s">
        <v>247</v>
      </c>
      <c r="O36" s="5"/>
      <c r="P36" s="110" t="b">
        <f t="shared" si="1"/>
        <v>0</v>
      </c>
      <c r="Q36" s="110" t="b">
        <f>IF(COUNTIF(RAW_APS!$A$2:$A815,A36)=0,TRUE,FALSE)</f>
        <v>0</v>
      </c>
      <c r="R36" s="241" t="b">
        <f t="shared" si="2"/>
        <v>0</v>
      </c>
      <c r="U36" s="112" t="str">
        <f t="shared" si="3"/>
        <v/>
      </c>
      <c r="V36" s="60"/>
      <c r="W36" s="60"/>
      <c r="X36" s="60"/>
      <c r="Y36" s="60"/>
      <c r="Z36" s="210"/>
      <c r="AA36" s="112" t="str">
        <f t="shared" si="4"/>
        <v>FM2045</v>
      </c>
      <c r="AB36" s="112" t="str">
        <f t="shared" si="5"/>
        <v/>
      </c>
      <c r="AC36" s="112" t="str">
        <f t="shared" si="6"/>
        <v/>
      </c>
      <c r="AD36" s="5"/>
      <c r="AE36" s="5"/>
    </row>
    <row r="37">
      <c r="A37" s="5" t="s">
        <v>2048</v>
      </c>
      <c r="B37" s="44">
        <v>44629.0</v>
      </c>
      <c r="C37" s="150">
        <v>0.31296296296296294</v>
      </c>
      <c r="D37" s="5"/>
      <c r="E37" s="5"/>
      <c r="F37" s="5"/>
      <c r="G37" s="5" t="s">
        <v>2184</v>
      </c>
      <c r="H37" s="5" t="s">
        <v>244</v>
      </c>
      <c r="I37" s="44">
        <v>44629.0</v>
      </c>
      <c r="J37" s="150">
        <v>0.49944444444444447</v>
      </c>
      <c r="K37" s="19">
        <v>1.0</v>
      </c>
      <c r="L37" s="10" t="b">
        <v>1</v>
      </c>
      <c r="M37" s="5" t="s">
        <v>2465</v>
      </c>
      <c r="N37" s="5" t="s">
        <v>247</v>
      </c>
      <c r="O37" s="5"/>
      <c r="P37" s="110" t="b">
        <f t="shared" si="1"/>
        <v>0</v>
      </c>
      <c r="Q37" s="110" t="b">
        <f>IF(COUNTIF(RAW_APS!$A$2:$A815,A37)=0,TRUE,FALSE)</f>
        <v>0</v>
      </c>
      <c r="R37" s="241" t="b">
        <f t="shared" si="2"/>
        <v>0</v>
      </c>
      <c r="U37" s="112" t="str">
        <f t="shared" si="3"/>
        <v/>
      </c>
      <c r="V37" s="60"/>
      <c r="W37" s="60"/>
      <c r="X37" s="60"/>
      <c r="Y37" s="60"/>
      <c r="Z37" s="210"/>
      <c r="AA37" s="112" t="str">
        <f t="shared" si="4"/>
        <v>FM2046</v>
      </c>
      <c r="AB37" s="112" t="str">
        <f t="shared" si="5"/>
        <v/>
      </c>
      <c r="AC37" s="112" t="str">
        <f t="shared" si="6"/>
        <v/>
      </c>
      <c r="AD37" s="5"/>
      <c r="AE37" s="5"/>
    </row>
    <row r="38">
      <c r="A38" s="5" t="s">
        <v>1927</v>
      </c>
      <c r="B38" s="44">
        <v>44625.0</v>
      </c>
      <c r="C38" s="150">
        <v>0.308599537037037</v>
      </c>
      <c r="D38" s="5"/>
      <c r="E38" s="5"/>
      <c r="F38" s="5"/>
      <c r="G38" s="5" t="s">
        <v>2184</v>
      </c>
      <c r="H38" s="5" t="s">
        <v>244</v>
      </c>
      <c r="I38" s="44">
        <v>44625.0</v>
      </c>
      <c r="J38" s="150">
        <v>0.48974537037037036</v>
      </c>
      <c r="K38" s="19">
        <v>1.0</v>
      </c>
      <c r="L38" s="10" t="b">
        <v>1</v>
      </c>
      <c r="M38" s="5" t="s">
        <v>2467</v>
      </c>
      <c r="N38" s="5" t="s">
        <v>247</v>
      </c>
      <c r="O38" s="5"/>
      <c r="P38" s="110" t="b">
        <f t="shared" si="1"/>
        <v>0</v>
      </c>
      <c r="Q38" s="110" t="b">
        <f>IF(COUNTIF(RAW_APS!$A$2:$A815,A38)=0,TRUE,FALSE)</f>
        <v>0</v>
      </c>
      <c r="R38" s="241" t="b">
        <f t="shared" si="2"/>
        <v>0</v>
      </c>
      <c r="U38" s="112" t="str">
        <f t="shared" si="3"/>
        <v/>
      </c>
      <c r="V38" s="60"/>
      <c r="W38" s="60"/>
      <c r="X38" s="60"/>
      <c r="Y38" s="60"/>
      <c r="Z38" s="210"/>
      <c r="AA38" s="112" t="str">
        <f t="shared" si="4"/>
        <v>FM2048</v>
      </c>
      <c r="AB38" s="112" t="str">
        <f t="shared" si="5"/>
        <v/>
      </c>
      <c r="AC38" s="112" t="str">
        <f t="shared" si="6"/>
        <v/>
      </c>
      <c r="AD38" s="5"/>
      <c r="AE38" s="5"/>
    </row>
    <row r="39">
      <c r="A39" s="5" t="s">
        <v>2038</v>
      </c>
      <c r="B39" s="44">
        <v>44629.0</v>
      </c>
      <c r="C39" s="150">
        <v>0.2939699074074074</v>
      </c>
      <c r="D39" s="5"/>
      <c r="E39" s="5"/>
      <c r="F39" s="5"/>
      <c r="G39" s="5" t="s">
        <v>2184</v>
      </c>
      <c r="H39" s="5" t="s">
        <v>244</v>
      </c>
      <c r="I39" s="44">
        <v>44629.0</v>
      </c>
      <c r="J39" s="150">
        <v>0.4994328703703704</v>
      </c>
      <c r="K39" s="19">
        <v>1.0</v>
      </c>
      <c r="L39" s="10" t="b">
        <v>1</v>
      </c>
      <c r="M39" s="5" t="s">
        <v>2465</v>
      </c>
      <c r="N39" s="5" t="s">
        <v>247</v>
      </c>
      <c r="O39" s="5"/>
      <c r="P39" s="110" t="b">
        <f t="shared" si="1"/>
        <v>0</v>
      </c>
      <c r="Q39" s="110" t="b">
        <f>IF(COUNTIF(RAW_APS!$A$2:$A815,A39)=0,TRUE,FALSE)</f>
        <v>0</v>
      </c>
      <c r="R39" s="241" t="b">
        <f t="shared" si="2"/>
        <v>0</v>
      </c>
      <c r="U39" s="112" t="str">
        <f t="shared" si="3"/>
        <v/>
      </c>
      <c r="V39" s="60"/>
      <c r="W39" s="60"/>
      <c r="X39" s="60"/>
      <c r="Y39" s="60"/>
      <c r="Z39" s="210"/>
      <c r="AA39" s="112" t="str">
        <f t="shared" si="4"/>
        <v>FM2049</v>
      </c>
      <c r="AB39" s="112" t="str">
        <f t="shared" si="5"/>
        <v/>
      </c>
      <c r="AC39" s="112" t="str">
        <f t="shared" si="6"/>
        <v/>
      </c>
      <c r="AD39" s="5"/>
      <c r="AE39" s="5"/>
    </row>
    <row r="40">
      <c r="A40" s="5" t="s">
        <v>2160</v>
      </c>
      <c r="B40" s="44">
        <v>44637.0</v>
      </c>
      <c r="C40" s="150">
        <v>0.2895949074074074</v>
      </c>
      <c r="D40" s="5"/>
      <c r="E40" s="5"/>
      <c r="F40" s="5"/>
      <c r="G40" s="5" t="s">
        <v>2188</v>
      </c>
      <c r="H40" s="5" t="s">
        <v>254</v>
      </c>
      <c r="I40" s="44">
        <v>44861.0</v>
      </c>
      <c r="J40" s="150">
        <v>0.4895023148148148</v>
      </c>
      <c r="K40" s="19">
        <v>1.0</v>
      </c>
      <c r="L40" s="5"/>
      <c r="M40" s="5"/>
      <c r="N40" s="5" t="s">
        <v>247</v>
      </c>
      <c r="O40" s="5"/>
      <c r="P40" s="110" t="b">
        <f t="shared" si="1"/>
        <v>0</v>
      </c>
      <c r="Q40" s="110" t="b">
        <f>IF(COUNTIF(RAW_APS!$A$2:$A815,A40)=0,TRUE,FALSE)</f>
        <v>0</v>
      </c>
      <c r="R40" s="241" t="b">
        <f t="shared" si="2"/>
        <v>0</v>
      </c>
      <c r="U40" s="112" t="str">
        <f t="shared" si="3"/>
        <v/>
      </c>
      <c r="V40" s="60"/>
      <c r="W40" s="60"/>
      <c r="X40" s="60"/>
      <c r="Y40" s="60"/>
      <c r="Z40" s="210"/>
      <c r="AA40" s="112" t="str">
        <f t="shared" si="4"/>
        <v>FM2051</v>
      </c>
      <c r="AB40" s="112" t="str">
        <f t="shared" si="5"/>
        <v/>
      </c>
      <c r="AC40" s="112" t="str">
        <f t="shared" si="6"/>
        <v/>
      </c>
      <c r="AD40" s="5"/>
      <c r="AE40" s="5"/>
    </row>
    <row r="41">
      <c r="A41" s="5" t="s">
        <v>1783</v>
      </c>
      <c r="B41" s="44">
        <v>44621.0</v>
      </c>
      <c r="C41" s="150">
        <v>0.3119675925925926</v>
      </c>
      <c r="D41" s="5"/>
      <c r="E41" s="5"/>
      <c r="F41" s="5"/>
      <c r="G41" s="5" t="s">
        <v>2184</v>
      </c>
      <c r="H41" s="5" t="s">
        <v>244</v>
      </c>
      <c r="I41" s="44">
        <v>44627.0</v>
      </c>
      <c r="J41" s="150">
        <v>0.47791666666666666</v>
      </c>
      <c r="K41" s="19">
        <v>1.0</v>
      </c>
      <c r="L41" s="10" t="b">
        <v>1</v>
      </c>
      <c r="M41" s="5" t="s">
        <v>2470</v>
      </c>
      <c r="N41" s="5" t="s">
        <v>247</v>
      </c>
      <c r="O41" s="5"/>
      <c r="P41" s="110" t="b">
        <f t="shared" si="1"/>
        <v>0</v>
      </c>
      <c r="Q41" s="110" t="b">
        <f>IF(COUNTIF(RAW_APS!$A$2:$A815,A41)=0,TRUE,FALSE)</f>
        <v>0</v>
      </c>
      <c r="R41" s="241" t="b">
        <f t="shared" si="2"/>
        <v>0</v>
      </c>
      <c r="U41" s="112" t="str">
        <f t="shared" si="3"/>
        <v/>
      </c>
      <c r="V41" s="60"/>
      <c r="W41" s="60"/>
      <c r="X41" s="60"/>
      <c r="Y41" s="60"/>
      <c r="Z41" s="210"/>
      <c r="AA41" s="112" t="str">
        <f t="shared" si="4"/>
        <v>FM2054</v>
      </c>
      <c r="AB41" s="112" t="str">
        <f t="shared" si="5"/>
        <v/>
      </c>
      <c r="AC41" s="112" t="str">
        <f t="shared" si="6"/>
        <v/>
      </c>
      <c r="AD41" s="5"/>
      <c r="AE41" s="5"/>
    </row>
    <row r="42">
      <c r="A42" s="5" t="s">
        <v>1923</v>
      </c>
      <c r="B42" s="44">
        <v>44625.0</v>
      </c>
      <c r="C42" s="150">
        <v>0.30789351851851854</v>
      </c>
      <c r="D42" s="5"/>
      <c r="E42" s="5"/>
      <c r="F42" s="5"/>
      <c r="G42" s="5" t="s">
        <v>2184</v>
      </c>
      <c r="H42" s="5" t="s">
        <v>244</v>
      </c>
      <c r="I42" s="44">
        <v>44625.0</v>
      </c>
      <c r="J42" s="150">
        <v>0.48974537037037036</v>
      </c>
      <c r="K42" s="19">
        <v>1.0</v>
      </c>
      <c r="L42" s="10" t="b">
        <v>1</v>
      </c>
      <c r="M42" s="5" t="s">
        <v>2467</v>
      </c>
      <c r="N42" s="5" t="s">
        <v>247</v>
      </c>
      <c r="O42" s="5"/>
      <c r="P42" s="110" t="b">
        <f t="shared" si="1"/>
        <v>0</v>
      </c>
      <c r="Q42" s="110" t="b">
        <f>IF(COUNTIF(RAW_APS!$A$2:$A815,A42)=0,TRUE,FALSE)</f>
        <v>0</v>
      </c>
      <c r="R42" s="241" t="b">
        <f t="shared" si="2"/>
        <v>0</v>
      </c>
      <c r="U42" s="112" t="str">
        <f t="shared" si="3"/>
        <v/>
      </c>
      <c r="V42" s="60"/>
      <c r="W42" s="60"/>
      <c r="X42" s="60"/>
      <c r="Y42" s="60"/>
      <c r="Z42" s="210"/>
      <c r="AA42" s="112" t="str">
        <f t="shared" si="4"/>
        <v>FM2055</v>
      </c>
      <c r="AB42" s="112" t="str">
        <f t="shared" si="5"/>
        <v/>
      </c>
      <c r="AC42" s="112" t="str">
        <f t="shared" si="6"/>
        <v/>
      </c>
      <c r="AD42" s="5"/>
      <c r="AE42" s="5"/>
    </row>
    <row r="43">
      <c r="A43" s="5" t="s">
        <v>1795</v>
      </c>
      <c r="B43" s="44">
        <v>44621.0</v>
      </c>
      <c r="C43" s="150">
        <v>0.3267013888888889</v>
      </c>
      <c r="D43" s="5"/>
      <c r="E43" s="5"/>
      <c r="F43" s="5"/>
      <c r="G43" s="5" t="s">
        <v>2184</v>
      </c>
      <c r="H43" s="5" t="s">
        <v>244</v>
      </c>
      <c r="I43" s="44">
        <v>44627.0</v>
      </c>
      <c r="J43" s="150">
        <v>0.47791666666666666</v>
      </c>
      <c r="K43" s="19">
        <v>1.0</v>
      </c>
      <c r="L43" s="10" t="b">
        <v>1</v>
      </c>
      <c r="M43" s="5" t="s">
        <v>2470</v>
      </c>
      <c r="N43" s="5" t="s">
        <v>247</v>
      </c>
      <c r="O43" s="5"/>
      <c r="P43" s="110" t="b">
        <f t="shared" si="1"/>
        <v>0</v>
      </c>
      <c r="Q43" s="110" t="b">
        <f>IF(COUNTIF(RAW_APS!$A$2:$A815,A43)=0,TRUE,FALSE)</f>
        <v>0</v>
      </c>
      <c r="R43" s="241" t="b">
        <f t="shared" si="2"/>
        <v>0</v>
      </c>
      <c r="U43" s="112" t="str">
        <f t="shared" si="3"/>
        <v/>
      </c>
      <c r="V43" s="60"/>
      <c r="W43" s="60"/>
      <c r="X43" s="60"/>
      <c r="Y43" s="60"/>
      <c r="Z43" s="210"/>
      <c r="AA43" s="112" t="str">
        <f t="shared" si="4"/>
        <v>FM2057</v>
      </c>
      <c r="AB43" s="112" t="str">
        <f t="shared" si="5"/>
        <v/>
      </c>
      <c r="AC43" s="112" t="str">
        <f t="shared" si="6"/>
        <v/>
      </c>
      <c r="AD43" s="5"/>
      <c r="AE43" s="5"/>
    </row>
    <row r="44">
      <c r="A44" s="5" t="s">
        <v>1720</v>
      </c>
      <c r="B44" s="44">
        <v>44619.0</v>
      </c>
      <c r="C44" s="150">
        <v>0.3249768518518519</v>
      </c>
      <c r="D44" s="5"/>
      <c r="E44" s="5"/>
      <c r="F44" s="5"/>
      <c r="G44" s="5" t="s">
        <v>2184</v>
      </c>
      <c r="H44" s="5" t="s">
        <v>244</v>
      </c>
      <c r="I44" s="44">
        <v>44621.0</v>
      </c>
      <c r="J44" s="150">
        <v>0.47835648148148147</v>
      </c>
      <c r="K44" s="19">
        <v>1.0</v>
      </c>
      <c r="L44" s="10" t="b">
        <v>1</v>
      </c>
      <c r="M44" s="5" t="s">
        <v>2472</v>
      </c>
      <c r="N44" s="5" t="s">
        <v>247</v>
      </c>
      <c r="O44" s="5"/>
      <c r="P44" s="110" t="b">
        <f t="shared" si="1"/>
        <v>0</v>
      </c>
      <c r="Q44" s="110" t="b">
        <f>IF(COUNTIF(RAW_APS!$A$2:$A815,A44)=0,TRUE,FALSE)</f>
        <v>0</v>
      </c>
      <c r="R44" s="241" t="b">
        <f t="shared" si="2"/>
        <v>0</v>
      </c>
      <c r="U44" s="112" t="str">
        <f t="shared" si="3"/>
        <v/>
      </c>
      <c r="V44" s="60"/>
      <c r="W44" s="60"/>
      <c r="X44" s="60"/>
      <c r="Y44" s="60"/>
      <c r="Z44" s="210"/>
      <c r="AA44" s="112" t="str">
        <f t="shared" si="4"/>
        <v>FM2059</v>
      </c>
      <c r="AB44" s="112" t="str">
        <f t="shared" si="5"/>
        <v/>
      </c>
      <c r="AC44" s="112" t="str">
        <f t="shared" si="6"/>
        <v/>
      </c>
      <c r="AD44" s="5"/>
      <c r="AE44" s="5"/>
    </row>
    <row r="45">
      <c r="A45" s="5" t="s">
        <v>2099</v>
      </c>
      <c r="B45" s="44">
        <v>44631.0</v>
      </c>
      <c r="C45" s="150">
        <v>0.287662037037037</v>
      </c>
      <c r="D45" s="5"/>
      <c r="E45" s="5"/>
      <c r="F45" s="5"/>
      <c r="G45" s="5" t="s">
        <v>2184</v>
      </c>
      <c r="H45" s="5" t="s">
        <v>244</v>
      </c>
      <c r="I45" s="44">
        <v>44631.0</v>
      </c>
      <c r="J45" s="150">
        <v>0.4860763888888889</v>
      </c>
      <c r="K45" s="19">
        <v>1.0</v>
      </c>
      <c r="L45" s="10" t="b">
        <v>1</v>
      </c>
      <c r="M45" s="5" t="s">
        <v>2464</v>
      </c>
      <c r="N45" s="5" t="s">
        <v>247</v>
      </c>
      <c r="O45" s="5"/>
      <c r="P45" s="110" t="b">
        <f t="shared" si="1"/>
        <v>0</v>
      </c>
      <c r="Q45" s="110" t="b">
        <f>IF(COUNTIF(RAW_APS!$A$2:$A815,A45)=0,TRUE,FALSE)</f>
        <v>0</v>
      </c>
      <c r="R45" s="241" t="b">
        <f t="shared" si="2"/>
        <v>0</v>
      </c>
      <c r="U45" s="112" t="str">
        <f t="shared" si="3"/>
        <v/>
      </c>
      <c r="V45" s="60"/>
      <c r="W45" s="60"/>
      <c r="X45" s="60"/>
      <c r="Y45" s="60"/>
      <c r="Z45" s="210"/>
      <c r="AA45" s="112" t="str">
        <f t="shared" si="4"/>
        <v>FM2060</v>
      </c>
      <c r="AB45" s="112" t="str">
        <f t="shared" si="5"/>
        <v/>
      </c>
      <c r="AC45" s="112" t="str">
        <f t="shared" si="6"/>
        <v/>
      </c>
      <c r="AD45" s="5"/>
      <c r="AE45" s="5"/>
    </row>
    <row r="46">
      <c r="A46" s="5" t="s">
        <v>1845</v>
      </c>
      <c r="B46" s="44">
        <v>44623.0</v>
      </c>
      <c r="C46" s="150">
        <v>0.3095717592592593</v>
      </c>
      <c r="D46" s="5"/>
      <c r="E46" s="5"/>
      <c r="F46" s="5"/>
      <c r="G46" s="5" t="s">
        <v>2184</v>
      </c>
      <c r="H46" s="5" t="s">
        <v>244</v>
      </c>
      <c r="I46" s="44">
        <v>44623.0</v>
      </c>
      <c r="J46" s="150">
        <v>0.4605902777777778</v>
      </c>
      <c r="K46" s="19">
        <v>1.0</v>
      </c>
      <c r="L46" s="10" t="b">
        <v>0</v>
      </c>
      <c r="M46" s="5" t="s">
        <v>2468</v>
      </c>
      <c r="N46" s="5" t="s">
        <v>247</v>
      </c>
      <c r="O46" s="5"/>
      <c r="P46" s="110" t="b">
        <f t="shared" si="1"/>
        <v>0</v>
      </c>
      <c r="Q46" s="110" t="b">
        <f>IF(COUNTIF(RAW_APS!$A$2:$A815,A46)=0,TRUE,FALSE)</f>
        <v>0</v>
      </c>
      <c r="R46" s="241" t="b">
        <f t="shared" si="2"/>
        <v>0</v>
      </c>
      <c r="U46" s="112" t="str">
        <f t="shared" si="3"/>
        <v/>
      </c>
      <c r="V46" s="60"/>
      <c r="W46" s="60"/>
      <c r="X46" s="60"/>
      <c r="Y46" s="60"/>
      <c r="Z46" s="210"/>
      <c r="AA46" s="112" t="str">
        <f t="shared" si="4"/>
        <v>FM2061</v>
      </c>
      <c r="AB46" s="112" t="str">
        <f t="shared" si="5"/>
        <v/>
      </c>
      <c r="AC46" s="112" t="str">
        <f t="shared" si="6"/>
        <v/>
      </c>
      <c r="AD46" s="5"/>
      <c r="AE46" s="5"/>
    </row>
    <row r="47">
      <c r="A47" s="5" t="s">
        <v>2004</v>
      </c>
      <c r="B47" s="44">
        <v>44627.0</v>
      </c>
      <c r="C47" s="150">
        <v>0.3200925925925926</v>
      </c>
      <c r="D47" s="5"/>
      <c r="E47" s="5"/>
      <c r="F47" s="5"/>
      <c r="G47" s="5" t="s">
        <v>2184</v>
      </c>
      <c r="H47" s="5" t="s">
        <v>244</v>
      </c>
      <c r="I47" s="44">
        <v>44627.0</v>
      </c>
      <c r="J47" s="150">
        <v>0.4778935185185185</v>
      </c>
      <c r="K47" s="19">
        <v>1.0</v>
      </c>
      <c r="L47" s="10" t="b">
        <v>1</v>
      </c>
      <c r="M47" s="5" t="s">
        <v>2466</v>
      </c>
      <c r="N47" s="5" t="s">
        <v>247</v>
      </c>
      <c r="O47" s="5"/>
      <c r="P47" s="110" t="b">
        <f t="shared" si="1"/>
        <v>0</v>
      </c>
      <c r="Q47" s="110" t="b">
        <f>IF(COUNTIF(RAW_APS!$A$2:$A815,A47)=0,TRUE,FALSE)</f>
        <v>0</v>
      </c>
      <c r="R47" s="241" t="b">
        <f t="shared" si="2"/>
        <v>0</v>
      </c>
      <c r="U47" s="112" t="str">
        <f t="shared" si="3"/>
        <v/>
      </c>
      <c r="V47" s="60"/>
      <c r="W47" s="60"/>
      <c r="X47" s="60"/>
      <c r="Y47" s="60"/>
      <c r="Z47" s="210"/>
      <c r="AA47" s="112" t="str">
        <f t="shared" si="4"/>
        <v>FM2062</v>
      </c>
      <c r="AB47" s="112" t="str">
        <f t="shared" si="5"/>
        <v/>
      </c>
      <c r="AC47" s="112" t="str">
        <f t="shared" si="6"/>
        <v/>
      </c>
      <c r="AD47" s="5"/>
      <c r="AE47" s="5"/>
    </row>
    <row r="48">
      <c r="A48" s="5" t="s">
        <v>2122</v>
      </c>
      <c r="B48" s="44">
        <v>44631.0</v>
      </c>
      <c r="C48" s="150">
        <v>0.31730324074074073</v>
      </c>
      <c r="D48" s="5"/>
      <c r="E48" s="5"/>
      <c r="F48" s="5"/>
      <c r="G48" s="5" t="s">
        <v>2184</v>
      </c>
      <c r="H48" s="5" t="s">
        <v>244</v>
      </c>
      <c r="I48" s="44">
        <v>44631.0</v>
      </c>
      <c r="J48" s="150">
        <v>0.48608796296296297</v>
      </c>
      <c r="K48" s="19">
        <v>1.0</v>
      </c>
      <c r="L48" s="10" t="b">
        <v>1</v>
      </c>
      <c r="M48" s="5" t="s">
        <v>2464</v>
      </c>
      <c r="N48" s="5" t="s">
        <v>247</v>
      </c>
      <c r="O48" s="5"/>
      <c r="P48" s="110" t="b">
        <f t="shared" si="1"/>
        <v>0</v>
      </c>
      <c r="Q48" s="110" t="b">
        <f>IF(COUNTIF(RAW_APS!$A$2:$A815,A48)=0,TRUE,FALSE)</f>
        <v>0</v>
      </c>
      <c r="R48" s="241" t="b">
        <f t="shared" si="2"/>
        <v>0</v>
      </c>
      <c r="U48" s="112" t="str">
        <f t="shared" si="3"/>
        <v/>
      </c>
      <c r="V48" s="60"/>
      <c r="W48" s="60"/>
      <c r="X48" s="60"/>
      <c r="Y48" s="60"/>
      <c r="Z48" s="210"/>
      <c r="AA48" s="112" t="str">
        <f t="shared" si="4"/>
        <v>FM2063</v>
      </c>
      <c r="AB48" s="112" t="str">
        <f t="shared" si="5"/>
        <v/>
      </c>
      <c r="AC48" s="112" t="str">
        <f t="shared" si="6"/>
        <v/>
      </c>
      <c r="AD48" s="5"/>
      <c r="AE48" s="5"/>
    </row>
    <row r="49">
      <c r="A49" s="5" t="s">
        <v>1718</v>
      </c>
      <c r="B49" s="44">
        <v>44619.0</v>
      </c>
      <c r="C49" s="150">
        <v>0.3246759259259259</v>
      </c>
      <c r="D49" s="5"/>
      <c r="E49" s="5"/>
      <c r="F49" s="5"/>
      <c r="G49" s="5" t="s">
        <v>2184</v>
      </c>
      <c r="H49" s="5" t="s">
        <v>244</v>
      </c>
      <c r="I49" s="44">
        <v>44621.0</v>
      </c>
      <c r="J49" s="150">
        <v>0.47835648148148147</v>
      </c>
      <c r="K49" s="19">
        <v>1.0</v>
      </c>
      <c r="L49" s="10" t="b">
        <v>1</v>
      </c>
      <c r="M49" s="5" t="s">
        <v>2472</v>
      </c>
      <c r="N49" s="5" t="s">
        <v>247</v>
      </c>
      <c r="O49" s="5"/>
      <c r="P49" s="110" t="b">
        <f t="shared" si="1"/>
        <v>0</v>
      </c>
      <c r="Q49" s="110" t="b">
        <f>IF(COUNTIF(RAW_APS!$A$2:$A815,A49)=0,TRUE,FALSE)</f>
        <v>0</v>
      </c>
      <c r="R49" s="241" t="b">
        <f t="shared" si="2"/>
        <v>0</v>
      </c>
      <c r="U49" s="112" t="str">
        <f t="shared" si="3"/>
        <v/>
      </c>
      <c r="V49" s="60"/>
      <c r="W49" s="60"/>
      <c r="X49" s="60"/>
      <c r="Y49" s="60"/>
      <c r="Z49" s="210"/>
      <c r="AA49" s="112" t="str">
        <f t="shared" si="4"/>
        <v>FM2066</v>
      </c>
      <c r="AB49" s="112" t="str">
        <f t="shared" si="5"/>
        <v/>
      </c>
      <c r="AC49" s="112" t="str">
        <f t="shared" si="6"/>
        <v/>
      </c>
      <c r="AD49" s="5"/>
      <c r="AE49" s="5"/>
    </row>
    <row r="50">
      <c r="A50" s="5" t="s">
        <v>2044</v>
      </c>
      <c r="B50" s="44">
        <v>44629.0</v>
      </c>
      <c r="C50" s="150">
        <v>0.3121527777777778</v>
      </c>
      <c r="D50" s="5"/>
      <c r="E50" s="5"/>
      <c r="F50" s="5"/>
      <c r="G50" s="5" t="s">
        <v>2184</v>
      </c>
      <c r="H50" s="5" t="s">
        <v>244</v>
      </c>
      <c r="I50" s="44">
        <v>44629.0</v>
      </c>
      <c r="J50" s="150">
        <v>0.49944444444444447</v>
      </c>
      <c r="K50" s="19">
        <v>1.0</v>
      </c>
      <c r="L50" s="10" t="b">
        <v>1</v>
      </c>
      <c r="M50" s="5" t="s">
        <v>2465</v>
      </c>
      <c r="N50" s="5" t="s">
        <v>247</v>
      </c>
      <c r="O50" s="5"/>
      <c r="P50" s="110" t="b">
        <f t="shared" si="1"/>
        <v>0</v>
      </c>
      <c r="Q50" s="110" t="b">
        <f>IF(COUNTIF(RAW_APS!$A$2:$A815,A50)=0,TRUE,FALSE)</f>
        <v>0</v>
      </c>
      <c r="R50" s="241" t="b">
        <f t="shared" si="2"/>
        <v>0</v>
      </c>
      <c r="U50" s="112" t="str">
        <f t="shared" si="3"/>
        <v/>
      </c>
      <c r="V50" s="60"/>
      <c r="W50" s="60"/>
      <c r="X50" s="60"/>
      <c r="Y50" s="60"/>
      <c r="Z50" s="210"/>
      <c r="AA50" s="112" t="str">
        <f t="shared" si="4"/>
        <v>FM2067</v>
      </c>
      <c r="AB50" s="112" t="str">
        <f t="shared" si="5"/>
        <v/>
      </c>
      <c r="AC50" s="112" t="str">
        <f t="shared" si="6"/>
        <v/>
      </c>
      <c r="AD50" s="5"/>
      <c r="AE50" s="5"/>
    </row>
    <row r="51">
      <c r="A51" s="5" t="s">
        <v>2000</v>
      </c>
      <c r="B51" s="44">
        <v>44627.0</v>
      </c>
      <c r="C51" s="150">
        <v>0.31984953703703706</v>
      </c>
      <c r="D51" s="5"/>
      <c r="E51" s="5"/>
      <c r="F51" s="5"/>
      <c r="G51" s="5" t="s">
        <v>2184</v>
      </c>
      <c r="H51" s="5" t="s">
        <v>244</v>
      </c>
      <c r="I51" s="44">
        <v>44627.0</v>
      </c>
      <c r="J51" s="150">
        <v>0.4778935185185185</v>
      </c>
      <c r="K51" s="19">
        <v>1.0</v>
      </c>
      <c r="L51" s="10" t="b">
        <v>1</v>
      </c>
      <c r="M51" s="5" t="s">
        <v>2466</v>
      </c>
      <c r="N51" s="5" t="s">
        <v>247</v>
      </c>
      <c r="O51" s="5"/>
      <c r="P51" s="110" t="b">
        <f t="shared" si="1"/>
        <v>0</v>
      </c>
      <c r="Q51" s="110" t="b">
        <f>IF(COUNTIF(RAW_APS!$A$2:$A815,A51)=0,TRUE,FALSE)</f>
        <v>0</v>
      </c>
      <c r="R51" s="241" t="b">
        <f t="shared" si="2"/>
        <v>0</v>
      </c>
      <c r="U51" s="112" t="str">
        <f t="shared" si="3"/>
        <v/>
      </c>
      <c r="V51" s="60"/>
      <c r="W51" s="60"/>
      <c r="X51" s="60"/>
      <c r="Y51" s="60"/>
      <c r="Z51" s="210"/>
      <c r="AA51" s="112" t="str">
        <f t="shared" si="4"/>
        <v>FM2068</v>
      </c>
      <c r="AB51" s="112" t="str">
        <f t="shared" si="5"/>
        <v/>
      </c>
      <c r="AC51" s="112" t="str">
        <f t="shared" si="6"/>
        <v/>
      </c>
      <c r="AD51" s="5"/>
      <c r="AE51" s="5"/>
    </row>
    <row r="52">
      <c r="A52" s="5" t="s">
        <v>1765</v>
      </c>
      <c r="B52" s="44">
        <v>44621.0</v>
      </c>
      <c r="C52" s="150">
        <v>0.2941435185185185</v>
      </c>
      <c r="D52" s="5"/>
      <c r="E52" s="5"/>
      <c r="F52" s="5"/>
      <c r="G52" s="5" t="s">
        <v>2184</v>
      </c>
      <c r="H52" s="5" t="s">
        <v>244</v>
      </c>
      <c r="I52" s="44">
        <v>44627.0</v>
      </c>
      <c r="J52" s="150">
        <v>0.4779050925925926</v>
      </c>
      <c r="K52" s="19">
        <v>1.0</v>
      </c>
      <c r="L52" s="10" t="b">
        <v>1</v>
      </c>
      <c r="M52" s="5" t="s">
        <v>2470</v>
      </c>
      <c r="N52" s="5" t="s">
        <v>247</v>
      </c>
      <c r="O52" s="5"/>
      <c r="P52" s="110" t="b">
        <f t="shared" si="1"/>
        <v>0</v>
      </c>
      <c r="Q52" s="110" t="b">
        <f>IF(COUNTIF(RAW_APS!$A$2:$A815,A52)=0,TRUE,FALSE)</f>
        <v>0</v>
      </c>
      <c r="R52" s="241" t="b">
        <f t="shared" si="2"/>
        <v>0</v>
      </c>
      <c r="U52" s="112" t="str">
        <f t="shared" si="3"/>
        <v/>
      </c>
      <c r="V52" s="60"/>
      <c r="W52" s="60"/>
      <c r="X52" s="60"/>
      <c r="Y52" s="60"/>
      <c r="Z52" s="210"/>
      <c r="AA52" s="112" t="str">
        <f t="shared" si="4"/>
        <v>FM2069</v>
      </c>
      <c r="AB52" s="112" t="str">
        <f t="shared" si="5"/>
        <v/>
      </c>
      <c r="AC52" s="112" t="str">
        <f t="shared" si="6"/>
        <v/>
      </c>
      <c r="AD52" s="5"/>
      <c r="AE52" s="5"/>
    </row>
    <row r="53">
      <c r="A53" s="5" t="s">
        <v>1754</v>
      </c>
      <c r="B53" s="44">
        <v>44619.0</v>
      </c>
      <c r="C53" s="150">
        <v>0.47260416666666666</v>
      </c>
      <c r="D53" s="5"/>
      <c r="E53" s="5"/>
      <c r="F53" s="5"/>
      <c r="G53" s="5" t="s">
        <v>2184</v>
      </c>
      <c r="H53" s="5" t="s">
        <v>244</v>
      </c>
      <c r="I53" s="44">
        <v>44621.0</v>
      </c>
      <c r="J53" s="150">
        <v>0.47836805555555556</v>
      </c>
      <c r="K53" s="19">
        <v>1.0</v>
      </c>
      <c r="L53" s="10" t="b">
        <v>1</v>
      </c>
      <c r="M53" s="5" t="s">
        <v>2472</v>
      </c>
      <c r="N53" s="5" t="s">
        <v>247</v>
      </c>
      <c r="O53" s="5"/>
      <c r="P53" s="110" t="b">
        <f t="shared" si="1"/>
        <v>0</v>
      </c>
      <c r="Q53" s="110" t="b">
        <f>IF(COUNTIF(RAW_APS!$A$2:$A815,A53)=0,TRUE,FALSE)</f>
        <v>0</v>
      </c>
      <c r="R53" s="241" t="b">
        <f t="shared" si="2"/>
        <v>0</v>
      </c>
      <c r="U53" s="112" t="str">
        <f t="shared" si="3"/>
        <v/>
      </c>
      <c r="V53" s="60"/>
      <c r="W53" s="60"/>
      <c r="X53" s="60"/>
      <c r="Y53" s="60"/>
      <c r="Z53" s="210"/>
      <c r="AA53" s="112" t="str">
        <f t="shared" si="4"/>
        <v>FM2070</v>
      </c>
      <c r="AB53" s="112" t="str">
        <f t="shared" si="5"/>
        <v/>
      </c>
      <c r="AC53" s="112" t="str">
        <f t="shared" si="6"/>
        <v/>
      </c>
      <c r="AD53" s="5"/>
      <c r="AE53" s="5"/>
    </row>
    <row r="54">
      <c r="A54" s="5" t="s">
        <v>1933</v>
      </c>
      <c r="B54" s="44">
        <v>44625.0</v>
      </c>
      <c r="C54" s="150">
        <v>0.3107523148148148</v>
      </c>
      <c r="D54" s="5"/>
      <c r="E54" s="5"/>
      <c r="F54" s="5"/>
      <c r="G54" s="5" t="s">
        <v>2184</v>
      </c>
      <c r="H54" s="5" t="s">
        <v>244</v>
      </c>
      <c r="I54" s="44">
        <v>44625.0</v>
      </c>
      <c r="J54" s="150">
        <v>0.48974537037037036</v>
      </c>
      <c r="K54" s="19">
        <v>1.0</v>
      </c>
      <c r="L54" s="10" t="b">
        <v>1</v>
      </c>
      <c r="M54" s="5" t="s">
        <v>2467</v>
      </c>
      <c r="N54" s="5" t="s">
        <v>247</v>
      </c>
      <c r="O54" s="5"/>
      <c r="P54" s="110" t="b">
        <f t="shared" si="1"/>
        <v>0</v>
      </c>
      <c r="Q54" s="110" t="b">
        <f>IF(COUNTIF(RAW_APS!$A$2:$A815,A54)=0,TRUE,FALSE)</f>
        <v>0</v>
      </c>
      <c r="R54" s="241" t="b">
        <f t="shared" si="2"/>
        <v>0</v>
      </c>
      <c r="U54" s="112" t="str">
        <f t="shared" si="3"/>
        <v/>
      </c>
      <c r="V54" s="60"/>
      <c r="W54" s="60"/>
      <c r="X54" s="60"/>
      <c r="Y54" s="60"/>
      <c r="Z54" s="210"/>
      <c r="AA54" s="112" t="str">
        <f t="shared" si="4"/>
        <v>FM2076</v>
      </c>
      <c r="AB54" s="112" t="str">
        <f t="shared" si="5"/>
        <v/>
      </c>
      <c r="AC54" s="112" t="str">
        <f t="shared" si="6"/>
        <v/>
      </c>
      <c r="AD54" s="5"/>
      <c r="AE54" s="5"/>
    </row>
    <row r="55">
      <c r="A55" s="5" t="s">
        <v>1855</v>
      </c>
      <c r="B55" s="44">
        <v>44623.0</v>
      </c>
      <c r="C55" s="150">
        <v>0.3156481481481481</v>
      </c>
      <c r="D55" s="5"/>
      <c r="E55" s="5"/>
      <c r="F55" s="5"/>
      <c r="G55" s="5" t="s">
        <v>2184</v>
      </c>
      <c r="H55" s="5" t="s">
        <v>244</v>
      </c>
      <c r="I55" s="44">
        <v>44623.0</v>
      </c>
      <c r="J55" s="150">
        <v>0.4605902777777778</v>
      </c>
      <c r="K55" s="19">
        <v>1.0</v>
      </c>
      <c r="L55" s="10" t="b">
        <v>0</v>
      </c>
      <c r="M55" s="5" t="s">
        <v>2468</v>
      </c>
      <c r="N55" s="5" t="s">
        <v>247</v>
      </c>
      <c r="O55" s="5"/>
      <c r="P55" s="110" t="b">
        <f t="shared" si="1"/>
        <v>0</v>
      </c>
      <c r="Q55" s="110" t="b">
        <f>IF(COUNTIF(RAW_APS!$A$2:$A815,A55)=0,TRUE,FALSE)</f>
        <v>0</v>
      </c>
      <c r="R55" s="241" t="b">
        <f t="shared" si="2"/>
        <v>0</v>
      </c>
      <c r="U55" s="112" t="str">
        <f t="shared" si="3"/>
        <v/>
      </c>
      <c r="V55" s="60"/>
      <c r="W55" s="60"/>
      <c r="X55" s="60"/>
      <c r="Y55" s="60"/>
      <c r="Z55" s="210"/>
      <c r="AA55" s="112" t="str">
        <f t="shared" si="4"/>
        <v>FM2078</v>
      </c>
      <c r="AB55" s="112" t="str">
        <f t="shared" si="5"/>
        <v/>
      </c>
      <c r="AC55" s="112" t="str">
        <f t="shared" si="6"/>
        <v/>
      </c>
      <c r="AD55" s="5"/>
      <c r="AE55" s="5"/>
    </row>
    <row r="56">
      <c r="A56" s="5" t="s">
        <v>2022</v>
      </c>
      <c r="B56" s="44">
        <v>44627.0</v>
      </c>
      <c r="C56" s="150">
        <v>0.3267939814814815</v>
      </c>
      <c r="D56" s="5"/>
      <c r="E56" s="5"/>
      <c r="F56" s="5"/>
      <c r="G56" s="5" t="s">
        <v>2184</v>
      </c>
      <c r="H56" s="5" t="s">
        <v>244</v>
      </c>
      <c r="I56" s="44">
        <v>44627.0</v>
      </c>
      <c r="J56" s="150">
        <v>0.4779050925925926</v>
      </c>
      <c r="K56" s="19">
        <v>1.0</v>
      </c>
      <c r="L56" s="10" t="b">
        <v>1</v>
      </c>
      <c r="M56" s="5" t="s">
        <v>2466</v>
      </c>
      <c r="N56" s="5" t="s">
        <v>247</v>
      </c>
      <c r="O56" s="5"/>
      <c r="P56" s="110" t="b">
        <f t="shared" si="1"/>
        <v>0</v>
      </c>
      <c r="Q56" s="110" t="b">
        <f>IF(COUNTIF(RAW_APS!$A$2:$A815,A56)=0,TRUE,FALSE)</f>
        <v>0</v>
      </c>
      <c r="R56" s="241" t="b">
        <f t="shared" si="2"/>
        <v>0</v>
      </c>
      <c r="U56" s="112" t="str">
        <f t="shared" si="3"/>
        <v/>
      </c>
      <c r="V56" s="60"/>
      <c r="W56" s="60"/>
      <c r="X56" s="60"/>
      <c r="Y56" s="60"/>
      <c r="Z56" s="210"/>
      <c r="AA56" s="112" t="str">
        <f t="shared" si="4"/>
        <v>FM2080</v>
      </c>
      <c r="AB56" s="112" t="str">
        <f t="shared" si="5"/>
        <v/>
      </c>
      <c r="AC56" s="112" t="str">
        <f t="shared" si="6"/>
        <v/>
      </c>
      <c r="AD56" s="5"/>
      <c r="AE56" s="5"/>
    </row>
    <row r="57">
      <c r="A57" s="5" t="s">
        <v>1849</v>
      </c>
      <c r="B57" s="44">
        <v>44623.0</v>
      </c>
      <c r="C57" s="150">
        <v>0.3108680555555556</v>
      </c>
      <c r="D57" s="5"/>
      <c r="E57" s="5"/>
      <c r="F57" s="5"/>
      <c r="G57" s="5" t="s">
        <v>2184</v>
      </c>
      <c r="H57" s="5" t="s">
        <v>244</v>
      </c>
      <c r="I57" s="44">
        <v>44623.0</v>
      </c>
      <c r="J57" s="150">
        <v>0.4605902777777778</v>
      </c>
      <c r="K57" s="19">
        <v>1.0</v>
      </c>
      <c r="L57" s="10" t="b">
        <v>0</v>
      </c>
      <c r="M57" s="5" t="s">
        <v>2468</v>
      </c>
      <c r="N57" s="5" t="s">
        <v>247</v>
      </c>
      <c r="O57" s="5"/>
      <c r="P57" s="110" t="b">
        <f t="shared" si="1"/>
        <v>0</v>
      </c>
      <c r="Q57" s="110" t="b">
        <f>IF(COUNTIF(RAW_APS!$A$2:$A815,A57)=0,TRUE,FALSE)</f>
        <v>0</v>
      </c>
      <c r="R57" s="241" t="b">
        <f t="shared" si="2"/>
        <v>0</v>
      </c>
      <c r="U57" s="112" t="str">
        <f t="shared" si="3"/>
        <v/>
      </c>
      <c r="V57" s="60"/>
      <c r="W57" s="60"/>
      <c r="X57" s="60"/>
      <c r="Y57" s="60"/>
      <c r="Z57" s="210"/>
      <c r="AA57" s="112" t="str">
        <f t="shared" si="4"/>
        <v>FM2081</v>
      </c>
      <c r="AB57" s="112" t="str">
        <f t="shared" si="5"/>
        <v/>
      </c>
      <c r="AC57" s="112" t="str">
        <f t="shared" si="6"/>
        <v/>
      </c>
      <c r="AD57" s="5"/>
      <c r="AE57" s="5"/>
    </row>
    <row r="58">
      <c r="A58" s="5" t="s">
        <v>1982</v>
      </c>
      <c r="B58" s="44">
        <v>44627.0</v>
      </c>
      <c r="C58" s="150">
        <v>0.2957175925925926</v>
      </c>
      <c r="D58" s="5"/>
      <c r="E58" s="5"/>
      <c r="F58" s="5"/>
      <c r="G58" s="5" t="s">
        <v>2184</v>
      </c>
      <c r="H58" s="5" t="s">
        <v>244</v>
      </c>
      <c r="I58" s="44">
        <v>44627.0</v>
      </c>
      <c r="J58" s="150">
        <v>0.4778935185185185</v>
      </c>
      <c r="K58" s="19">
        <v>1.0</v>
      </c>
      <c r="L58" s="10" t="b">
        <v>1</v>
      </c>
      <c r="M58" s="5" t="s">
        <v>2466</v>
      </c>
      <c r="N58" s="5" t="s">
        <v>247</v>
      </c>
      <c r="O58" s="5"/>
      <c r="P58" s="110" t="b">
        <f t="shared" si="1"/>
        <v>0</v>
      </c>
      <c r="Q58" s="110" t="b">
        <f>IF(COUNTIF(RAW_APS!$A$2:$A815,A58)=0,TRUE,FALSE)</f>
        <v>0</v>
      </c>
      <c r="R58" s="241" t="b">
        <f t="shared" si="2"/>
        <v>0</v>
      </c>
      <c r="U58" s="112" t="str">
        <f t="shared" si="3"/>
        <v/>
      </c>
      <c r="V58" s="60"/>
      <c r="W58" s="60"/>
      <c r="X58" s="60"/>
      <c r="Y58" s="60"/>
      <c r="Z58" s="210"/>
      <c r="AA58" s="112" t="str">
        <f t="shared" si="4"/>
        <v>FM2082</v>
      </c>
      <c r="AB58" s="112" t="str">
        <f t="shared" si="5"/>
        <v/>
      </c>
      <c r="AC58" s="112" t="str">
        <f t="shared" si="6"/>
        <v/>
      </c>
      <c r="AD58" s="5"/>
      <c r="AE58" s="5"/>
    </row>
    <row r="59">
      <c r="A59" s="5" t="s">
        <v>1835</v>
      </c>
      <c r="B59" s="44">
        <v>44623.0</v>
      </c>
      <c r="C59" s="150">
        <v>0.29432870370370373</v>
      </c>
      <c r="D59" s="5"/>
      <c r="E59" s="5"/>
      <c r="F59" s="5"/>
      <c r="G59" s="5" t="s">
        <v>2184</v>
      </c>
      <c r="H59" s="5" t="s">
        <v>244</v>
      </c>
      <c r="I59" s="44">
        <v>44623.0</v>
      </c>
      <c r="J59" s="150">
        <v>0.4605902777777778</v>
      </c>
      <c r="K59" s="19">
        <v>1.0</v>
      </c>
      <c r="L59" s="10" t="b">
        <v>0</v>
      </c>
      <c r="M59" s="5" t="s">
        <v>2468</v>
      </c>
      <c r="N59" s="5" t="s">
        <v>247</v>
      </c>
      <c r="O59" s="5"/>
      <c r="P59" s="110" t="b">
        <f t="shared" si="1"/>
        <v>0</v>
      </c>
      <c r="Q59" s="110" t="b">
        <f>IF(COUNTIF(RAW_APS!$A$2:$A815,A59)=0,TRUE,FALSE)</f>
        <v>0</v>
      </c>
      <c r="R59" s="241" t="b">
        <f t="shared" si="2"/>
        <v>0</v>
      </c>
      <c r="U59" s="112" t="str">
        <f t="shared" si="3"/>
        <v/>
      </c>
      <c r="V59" s="60"/>
      <c r="W59" s="60"/>
      <c r="X59" s="60"/>
      <c r="Y59" s="60"/>
      <c r="Z59" s="210"/>
      <c r="AA59" s="112" t="str">
        <f t="shared" si="4"/>
        <v>FM2083</v>
      </c>
      <c r="AB59" s="112" t="str">
        <f t="shared" si="5"/>
        <v/>
      </c>
      <c r="AC59" s="112" t="str">
        <f t="shared" si="6"/>
        <v/>
      </c>
      <c r="AD59" s="5"/>
      <c r="AE59" s="5"/>
    </row>
    <row r="60">
      <c r="A60" s="5" t="s">
        <v>1859</v>
      </c>
      <c r="B60" s="44">
        <v>44623.0</v>
      </c>
      <c r="C60" s="150">
        <v>0.31928240740740743</v>
      </c>
      <c r="D60" s="5"/>
      <c r="E60" s="5"/>
      <c r="F60" s="5"/>
      <c r="G60" s="5" t="s">
        <v>2184</v>
      </c>
      <c r="H60" s="5" t="s">
        <v>244</v>
      </c>
      <c r="I60" s="44">
        <v>44623.0</v>
      </c>
      <c r="J60" s="150">
        <v>0.4605902777777778</v>
      </c>
      <c r="K60" s="19">
        <v>1.0</v>
      </c>
      <c r="L60" s="10" t="b">
        <v>0</v>
      </c>
      <c r="M60" s="5" t="s">
        <v>2468</v>
      </c>
      <c r="N60" s="5" t="s">
        <v>247</v>
      </c>
      <c r="O60" s="5"/>
      <c r="P60" s="110" t="b">
        <f t="shared" si="1"/>
        <v>0</v>
      </c>
      <c r="Q60" s="110" t="b">
        <f>IF(COUNTIF(RAW_APS!$A$2:$A815,A60)=0,TRUE,FALSE)</f>
        <v>0</v>
      </c>
      <c r="R60" s="241" t="b">
        <f t="shared" si="2"/>
        <v>0</v>
      </c>
      <c r="U60" s="112" t="str">
        <f t="shared" si="3"/>
        <v/>
      </c>
      <c r="V60" s="60"/>
      <c r="W60" s="60"/>
      <c r="X60" s="60"/>
      <c r="Y60" s="60"/>
      <c r="Z60" s="210"/>
      <c r="AA60" s="112" t="str">
        <f t="shared" si="4"/>
        <v>FM2085</v>
      </c>
      <c r="AB60" s="112" t="str">
        <f t="shared" si="5"/>
        <v/>
      </c>
      <c r="AC60" s="112" t="str">
        <f t="shared" si="6"/>
        <v/>
      </c>
      <c r="AD60" s="5"/>
      <c r="AE60" s="5"/>
    </row>
    <row r="61">
      <c r="A61" s="5" t="s">
        <v>1851</v>
      </c>
      <c r="B61" s="44">
        <v>44623.0</v>
      </c>
      <c r="C61" s="150">
        <v>0.31104166666666666</v>
      </c>
      <c r="D61" s="5"/>
      <c r="E61" s="5"/>
      <c r="F61" s="5"/>
      <c r="G61" s="5" t="s">
        <v>2184</v>
      </c>
      <c r="H61" s="5" t="s">
        <v>244</v>
      </c>
      <c r="I61" s="44">
        <v>44623.0</v>
      </c>
      <c r="J61" s="150">
        <v>0.4605902777777778</v>
      </c>
      <c r="K61" s="19">
        <v>1.0</v>
      </c>
      <c r="L61" s="10" t="b">
        <v>0</v>
      </c>
      <c r="M61" s="5" t="s">
        <v>2468</v>
      </c>
      <c r="N61" s="5" t="s">
        <v>247</v>
      </c>
      <c r="O61" s="5"/>
      <c r="P61" s="110" t="b">
        <f t="shared" si="1"/>
        <v>0</v>
      </c>
      <c r="Q61" s="110" t="b">
        <f>IF(COUNTIF(RAW_APS!$A$2:$A815,A61)=0,TRUE,FALSE)</f>
        <v>0</v>
      </c>
      <c r="R61" s="241" t="b">
        <f t="shared" si="2"/>
        <v>0</v>
      </c>
      <c r="U61" s="112" t="str">
        <f t="shared" si="3"/>
        <v/>
      </c>
      <c r="V61" s="60"/>
      <c r="W61" s="60"/>
      <c r="X61" s="60"/>
      <c r="Y61" s="60"/>
      <c r="Z61" s="210"/>
      <c r="AA61" s="112" t="str">
        <f t="shared" si="4"/>
        <v>FM2089</v>
      </c>
      <c r="AB61" s="112" t="str">
        <f t="shared" si="5"/>
        <v/>
      </c>
      <c r="AC61" s="112" t="str">
        <f t="shared" si="6"/>
        <v/>
      </c>
      <c r="AD61" s="5"/>
      <c r="AE61" s="5"/>
    </row>
    <row r="62">
      <c r="A62" s="5" t="s">
        <v>1825</v>
      </c>
      <c r="B62" s="44">
        <v>44621.0</v>
      </c>
      <c r="C62" s="150">
        <v>0.4674652777777778</v>
      </c>
      <c r="D62" s="5"/>
      <c r="E62" s="5"/>
      <c r="F62" s="5"/>
      <c r="G62" s="5" t="s">
        <v>2184</v>
      </c>
      <c r="H62" s="5" t="s">
        <v>244</v>
      </c>
      <c r="I62" s="44">
        <v>44627.0</v>
      </c>
      <c r="J62" s="150">
        <v>0.47792824074074075</v>
      </c>
      <c r="K62" s="19">
        <v>1.0</v>
      </c>
      <c r="L62" s="10" t="b">
        <v>1</v>
      </c>
      <c r="M62" s="5" t="s">
        <v>2470</v>
      </c>
      <c r="N62" s="5" t="s">
        <v>247</v>
      </c>
      <c r="O62" s="5"/>
      <c r="P62" s="110" t="b">
        <f t="shared" si="1"/>
        <v>0</v>
      </c>
      <c r="Q62" s="110" t="b">
        <f>IF(COUNTIF(RAW_APS!$A$2:$A815,A62)=0,TRUE,FALSE)</f>
        <v>0</v>
      </c>
      <c r="R62" s="241" t="b">
        <f t="shared" si="2"/>
        <v>0</v>
      </c>
      <c r="U62" s="112" t="str">
        <f t="shared" si="3"/>
        <v/>
      </c>
      <c r="V62" s="60"/>
      <c r="W62" s="60"/>
      <c r="X62" s="60"/>
      <c r="Y62" s="60"/>
      <c r="Z62" s="210"/>
      <c r="AA62" s="112" t="str">
        <f t="shared" si="4"/>
        <v>FM2090</v>
      </c>
      <c r="AB62" s="112" t="str">
        <f t="shared" si="5"/>
        <v/>
      </c>
      <c r="AC62" s="112" t="str">
        <f t="shared" si="6"/>
        <v/>
      </c>
      <c r="AD62" s="5"/>
      <c r="AE62" s="5"/>
    </row>
    <row r="63">
      <c r="A63" s="5" t="s">
        <v>1697</v>
      </c>
      <c r="B63" s="44">
        <v>44619.0</v>
      </c>
      <c r="C63" s="150">
        <v>0.29094907407407405</v>
      </c>
      <c r="D63" s="5"/>
      <c r="E63" s="5"/>
      <c r="F63" s="5"/>
      <c r="G63" s="5" t="s">
        <v>2184</v>
      </c>
      <c r="H63" s="5" t="s">
        <v>244</v>
      </c>
      <c r="I63" s="44">
        <v>44621.0</v>
      </c>
      <c r="J63" s="150">
        <v>0.4783449074074074</v>
      </c>
      <c r="K63" s="19">
        <v>1.0</v>
      </c>
      <c r="L63" s="10" t="b">
        <v>1</v>
      </c>
      <c r="M63" s="5" t="s">
        <v>2472</v>
      </c>
      <c r="N63" s="5" t="s">
        <v>247</v>
      </c>
      <c r="O63" s="5"/>
      <c r="P63" s="110" t="b">
        <f t="shared" si="1"/>
        <v>0</v>
      </c>
      <c r="Q63" s="110" t="b">
        <f>IF(COUNTIF(RAW_APS!$A$2:$A815,A63)=0,TRUE,FALSE)</f>
        <v>0</v>
      </c>
      <c r="R63" s="241" t="b">
        <f t="shared" si="2"/>
        <v>0</v>
      </c>
      <c r="U63" s="112" t="str">
        <f t="shared" si="3"/>
        <v/>
      </c>
      <c r="V63" s="60"/>
      <c r="W63" s="60"/>
      <c r="X63" s="60"/>
      <c r="Y63" s="60"/>
      <c r="Z63" s="210"/>
      <c r="AA63" s="112" t="str">
        <f t="shared" si="4"/>
        <v>FM2093</v>
      </c>
      <c r="AB63" s="112" t="str">
        <f t="shared" si="5"/>
        <v/>
      </c>
      <c r="AC63" s="112" t="str">
        <f t="shared" si="6"/>
        <v/>
      </c>
      <c r="AD63" s="5"/>
      <c r="AE63" s="5"/>
    </row>
    <row r="64">
      <c r="A64" s="5" t="s">
        <v>2052</v>
      </c>
      <c r="B64" s="44">
        <v>44629.0</v>
      </c>
      <c r="C64" s="150">
        <v>0.31440972222222224</v>
      </c>
      <c r="D64" s="5"/>
      <c r="E64" s="5"/>
      <c r="F64" s="5"/>
      <c r="G64" s="5" t="s">
        <v>2184</v>
      </c>
      <c r="H64" s="5" t="s">
        <v>244</v>
      </c>
      <c r="I64" s="44">
        <v>44629.0</v>
      </c>
      <c r="J64" s="150">
        <v>0.49944444444444447</v>
      </c>
      <c r="K64" s="19">
        <v>1.0</v>
      </c>
      <c r="L64" s="10" t="b">
        <v>1</v>
      </c>
      <c r="M64" s="5" t="s">
        <v>2465</v>
      </c>
      <c r="N64" s="5" t="s">
        <v>247</v>
      </c>
      <c r="O64" s="5"/>
      <c r="P64" s="110" t="b">
        <f t="shared" si="1"/>
        <v>0</v>
      </c>
      <c r="Q64" s="110" t="b">
        <f>IF(COUNTIF(RAW_APS!$A$2:$A815,A64)=0,TRUE,FALSE)</f>
        <v>0</v>
      </c>
      <c r="R64" s="241" t="b">
        <f t="shared" si="2"/>
        <v>0</v>
      </c>
      <c r="U64" s="112" t="str">
        <f t="shared" si="3"/>
        <v/>
      </c>
      <c r="V64" s="60"/>
      <c r="W64" s="60"/>
      <c r="X64" s="60"/>
      <c r="Y64" s="60"/>
      <c r="Z64" s="210"/>
      <c r="AA64" s="112" t="str">
        <f t="shared" si="4"/>
        <v>FM2097</v>
      </c>
      <c r="AB64" s="112" t="str">
        <f t="shared" si="5"/>
        <v/>
      </c>
      <c r="AC64" s="112" t="str">
        <f t="shared" si="6"/>
        <v/>
      </c>
      <c r="AD64" s="5"/>
      <c r="AE64" s="5"/>
    </row>
    <row r="65">
      <c r="A65" s="5" t="s">
        <v>2036</v>
      </c>
      <c r="B65" s="44">
        <v>44627.0</v>
      </c>
      <c r="C65" s="150">
        <v>0.35195601851851854</v>
      </c>
      <c r="D65" s="5"/>
      <c r="E65" s="5"/>
      <c r="F65" s="5"/>
      <c r="G65" s="5" t="s">
        <v>2184</v>
      </c>
      <c r="H65" s="5" t="s">
        <v>244</v>
      </c>
      <c r="I65" s="44">
        <v>44627.0</v>
      </c>
      <c r="J65" s="150">
        <v>0.4779050925925926</v>
      </c>
      <c r="K65" s="19">
        <v>1.0</v>
      </c>
      <c r="L65" s="10" t="b">
        <v>1</v>
      </c>
      <c r="M65" s="5" t="s">
        <v>2466</v>
      </c>
      <c r="N65" s="5" t="s">
        <v>247</v>
      </c>
      <c r="O65" s="5"/>
      <c r="P65" s="110" t="b">
        <f t="shared" si="1"/>
        <v>0</v>
      </c>
      <c r="Q65" s="110" t="b">
        <f>IF(COUNTIF(RAW_APS!$A$2:$A815,A65)=0,TRUE,FALSE)</f>
        <v>0</v>
      </c>
      <c r="R65" s="241" t="b">
        <f t="shared" si="2"/>
        <v>0</v>
      </c>
      <c r="U65" s="112" t="str">
        <f t="shared" si="3"/>
        <v/>
      </c>
      <c r="V65" s="60"/>
      <c r="W65" s="60"/>
      <c r="X65" s="60"/>
      <c r="Y65" s="60"/>
      <c r="Z65" s="210"/>
      <c r="AA65" s="112" t="str">
        <f t="shared" si="4"/>
        <v>FM2099</v>
      </c>
      <c r="AB65" s="112" t="str">
        <f t="shared" si="5"/>
        <v/>
      </c>
      <c r="AC65" s="112" t="str">
        <f t="shared" si="6"/>
        <v/>
      </c>
      <c r="AD65" s="5"/>
      <c r="AE65" s="5"/>
    </row>
    <row r="66">
      <c r="A66" s="5" t="s">
        <v>1767</v>
      </c>
      <c r="B66" s="44">
        <v>44621.0</v>
      </c>
      <c r="C66" s="150">
        <v>0.3004513888888889</v>
      </c>
      <c r="D66" s="5"/>
      <c r="E66" s="5"/>
      <c r="F66" s="5"/>
      <c r="G66" s="5" t="s">
        <v>2184</v>
      </c>
      <c r="H66" s="5" t="s">
        <v>244</v>
      </c>
      <c r="I66" s="44">
        <v>44627.0</v>
      </c>
      <c r="J66" s="150">
        <v>0.4779050925925926</v>
      </c>
      <c r="K66" s="19">
        <v>1.0</v>
      </c>
      <c r="L66" s="10" t="b">
        <v>1</v>
      </c>
      <c r="M66" s="5" t="s">
        <v>2470</v>
      </c>
      <c r="N66" s="5" t="s">
        <v>247</v>
      </c>
      <c r="O66" s="5"/>
      <c r="P66" s="110" t="b">
        <f t="shared" si="1"/>
        <v>0</v>
      </c>
      <c r="Q66" s="110" t="b">
        <f>IF(COUNTIF(RAW_APS!$A$2:$A815,A66)=0,TRUE,FALSE)</f>
        <v>0</v>
      </c>
      <c r="R66" s="241" t="b">
        <f t="shared" si="2"/>
        <v>0</v>
      </c>
      <c r="U66" s="112" t="str">
        <f t="shared" si="3"/>
        <v/>
      </c>
      <c r="V66" s="60"/>
      <c r="W66" s="60"/>
      <c r="X66" s="60"/>
      <c r="Y66" s="60"/>
      <c r="Z66" s="210"/>
      <c r="AA66" s="112" t="str">
        <f t="shared" si="4"/>
        <v>FM2100</v>
      </c>
      <c r="AB66" s="112" t="str">
        <f t="shared" si="5"/>
        <v/>
      </c>
      <c r="AC66" s="112" t="str">
        <f t="shared" si="6"/>
        <v/>
      </c>
      <c r="AD66" s="5"/>
      <c r="AE66" s="5"/>
    </row>
    <row r="67">
      <c r="A67" s="5" t="s">
        <v>1711</v>
      </c>
      <c r="B67" s="44">
        <v>44619.0</v>
      </c>
      <c r="C67" s="150">
        <v>0.32261574074074073</v>
      </c>
      <c r="D67" s="5"/>
      <c r="E67" s="5"/>
      <c r="F67" s="5"/>
      <c r="G67" s="5" t="s">
        <v>2184</v>
      </c>
      <c r="H67" s="5" t="s">
        <v>244</v>
      </c>
      <c r="I67" s="44">
        <v>44621.0</v>
      </c>
      <c r="J67" s="150">
        <v>0.4783449074074074</v>
      </c>
      <c r="K67" s="19">
        <v>2.0</v>
      </c>
      <c r="L67" s="10" t="b">
        <v>1</v>
      </c>
      <c r="M67" s="5" t="s">
        <v>2472</v>
      </c>
      <c r="N67" s="5" t="s">
        <v>247</v>
      </c>
      <c r="O67" s="5"/>
      <c r="P67" s="110" t="b">
        <f t="shared" si="1"/>
        <v>0</v>
      </c>
      <c r="Q67" s="110" t="b">
        <f>IF(COUNTIF(RAW_APS!$A$2:$A815,A67)=0,TRUE,FALSE)</f>
        <v>0</v>
      </c>
      <c r="R67" s="241" t="b">
        <f t="shared" si="2"/>
        <v>0</v>
      </c>
      <c r="U67" s="112" t="str">
        <f t="shared" si="3"/>
        <v/>
      </c>
      <c r="V67" s="60"/>
      <c r="W67" s="60"/>
      <c r="X67" s="60"/>
      <c r="Y67" s="60"/>
      <c r="Z67" s="210"/>
      <c r="AA67" s="112" t="str">
        <f t="shared" si="4"/>
        <v>FM23</v>
      </c>
      <c r="AB67" s="112" t="str">
        <f t="shared" si="5"/>
        <v/>
      </c>
      <c r="AC67" s="112" t="str">
        <f t="shared" si="6"/>
        <v/>
      </c>
      <c r="AD67" s="5"/>
      <c r="AE67" s="5"/>
    </row>
    <row r="68">
      <c r="A68" s="5" t="s">
        <v>1883</v>
      </c>
      <c r="B68" s="44">
        <v>44623.0</v>
      </c>
      <c r="C68" s="150">
        <v>0.35480324074074077</v>
      </c>
      <c r="D68" s="5"/>
      <c r="E68" s="5"/>
      <c r="F68" s="5"/>
      <c r="G68" s="5" t="s">
        <v>2184</v>
      </c>
      <c r="H68" s="5" t="s">
        <v>244</v>
      </c>
      <c r="I68" s="44">
        <v>44623.0</v>
      </c>
      <c r="J68" s="150">
        <v>0.4606018518518519</v>
      </c>
      <c r="K68" s="19">
        <v>1.0</v>
      </c>
      <c r="L68" s="10" t="b">
        <v>0</v>
      </c>
      <c r="M68" s="5" t="s">
        <v>2468</v>
      </c>
      <c r="N68" s="5" t="s">
        <v>247</v>
      </c>
      <c r="O68" s="5"/>
      <c r="P68" s="110" t="b">
        <f t="shared" si="1"/>
        <v>0</v>
      </c>
      <c r="Q68" s="110" t="b">
        <f>IF(COUNTIF(RAW_APS!$A$2:$A815,A68)=0,TRUE,FALSE)</f>
        <v>0</v>
      </c>
      <c r="R68" s="241" t="b">
        <f t="shared" si="2"/>
        <v>0</v>
      </c>
      <c r="U68" s="112" t="str">
        <f t="shared" si="3"/>
        <v/>
      </c>
      <c r="V68" s="60"/>
      <c r="W68" s="60"/>
      <c r="X68" s="60"/>
      <c r="Y68" s="60"/>
      <c r="Z68" s="210"/>
      <c r="AA68" s="112" t="str">
        <f t="shared" si="4"/>
        <v>FM24</v>
      </c>
      <c r="AB68" s="112" t="str">
        <f t="shared" si="5"/>
        <v/>
      </c>
      <c r="AC68" s="112" t="str">
        <f t="shared" si="6"/>
        <v/>
      </c>
      <c r="AD68" s="5"/>
      <c r="AE68" s="5"/>
    </row>
    <row r="69">
      <c r="A69" s="5" t="s">
        <v>1669</v>
      </c>
      <c r="B69" s="44">
        <v>44617.0</v>
      </c>
      <c r="C69" s="150">
        <v>0.3319328703703704</v>
      </c>
      <c r="D69" s="5"/>
      <c r="E69" s="5"/>
      <c r="F69" s="5"/>
      <c r="G69" s="5" t="s">
        <v>2184</v>
      </c>
      <c r="H69" s="5" t="s">
        <v>244</v>
      </c>
      <c r="I69" s="44">
        <v>44617.0</v>
      </c>
      <c r="J69" s="150">
        <v>0.5033796296296297</v>
      </c>
      <c r="K69" s="19">
        <v>1.0</v>
      </c>
      <c r="L69" s="10" t="b">
        <v>1</v>
      </c>
      <c r="M69" s="5" t="s">
        <v>2473</v>
      </c>
      <c r="N69" s="5" t="s">
        <v>247</v>
      </c>
      <c r="O69" s="5"/>
      <c r="P69" s="110" t="b">
        <f t="shared" si="1"/>
        <v>0</v>
      </c>
      <c r="Q69" s="110" t="b">
        <f>IF(COUNTIF(RAW_APS!$A$2:$A815,A69)=0,TRUE,FALSE)</f>
        <v>0</v>
      </c>
      <c r="R69" s="241" t="b">
        <f t="shared" si="2"/>
        <v>0</v>
      </c>
      <c r="U69" s="112" t="str">
        <f t="shared" si="3"/>
        <v/>
      </c>
      <c r="V69" s="60"/>
      <c r="W69" s="60"/>
      <c r="X69" s="60"/>
      <c r="Y69" s="60"/>
      <c r="Z69" s="210"/>
      <c r="AA69" s="112" t="str">
        <f t="shared" si="4"/>
        <v>FM25</v>
      </c>
      <c r="AB69" s="112" t="str">
        <f t="shared" si="5"/>
        <v/>
      </c>
      <c r="AC69" s="112" t="str">
        <f t="shared" si="6"/>
        <v/>
      </c>
      <c r="AD69" s="5"/>
      <c r="AE69" s="5"/>
    </row>
    <row r="70">
      <c r="A70" s="5" t="s">
        <v>1397</v>
      </c>
      <c r="B70" s="44">
        <v>44609.0</v>
      </c>
      <c r="C70" s="150">
        <v>0.35497685185185185</v>
      </c>
      <c r="D70" s="5"/>
      <c r="E70" s="5"/>
      <c r="F70" s="5"/>
      <c r="G70" s="5" t="s">
        <v>2184</v>
      </c>
      <c r="H70" s="5" t="s">
        <v>244</v>
      </c>
      <c r="I70" s="44">
        <v>44611.0</v>
      </c>
      <c r="J70" s="150">
        <v>0.38958333333333334</v>
      </c>
      <c r="K70" s="19">
        <v>1.0</v>
      </c>
      <c r="L70" s="10" t="b">
        <v>1</v>
      </c>
      <c r="M70" s="5" t="s">
        <v>2478</v>
      </c>
      <c r="N70" s="5" t="s">
        <v>247</v>
      </c>
      <c r="O70" s="5"/>
      <c r="P70" s="110" t="b">
        <f t="shared" si="1"/>
        <v>0</v>
      </c>
      <c r="Q70" s="110" t="b">
        <f>IF(COUNTIF(RAW_APS!$A$2:$A815,A70)=0,TRUE,FALSE)</f>
        <v>0</v>
      </c>
      <c r="R70" s="241" t="b">
        <f t="shared" si="2"/>
        <v>0</v>
      </c>
      <c r="U70" s="112" t="str">
        <f t="shared" si="3"/>
        <v/>
      </c>
      <c r="V70" s="60"/>
      <c r="W70" s="60"/>
      <c r="X70" s="60"/>
      <c r="Y70" s="60"/>
      <c r="Z70" s="210"/>
      <c r="AA70" s="112" t="str">
        <f t="shared" si="4"/>
        <v>FM26</v>
      </c>
      <c r="AB70" s="112" t="str">
        <f t="shared" si="5"/>
        <v/>
      </c>
      <c r="AC70" s="112" t="str">
        <f t="shared" si="6"/>
        <v/>
      </c>
      <c r="AD70" s="5"/>
      <c r="AE70" s="5"/>
    </row>
    <row r="71">
      <c r="A71" s="5" t="s">
        <v>1617</v>
      </c>
      <c r="B71" s="44">
        <v>44617.0</v>
      </c>
      <c r="C71" s="150">
        <v>0.3017476851851852</v>
      </c>
      <c r="D71" s="5"/>
      <c r="E71" s="5"/>
      <c r="F71" s="5"/>
      <c r="G71" s="5" t="s">
        <v>2184</v>
      </c>
      <c r="H71" s="5" t="s">
        <v>244</v>
      </c>
      <c r="I71" s="44">
        <v>44617.0</v>
      </c>
      <c r="J71" s="150">
        <v>0.5033680555555555</v>
      </c>
      <c r="K71" s="19">
        <v>1.0</v>
      </c>
      <c r="L71" s="10" t="b">
        <v>1</v>
      </c>
      <c r="M71" s="5" t="s">
        <v>2473</v>
      </c>
      <c r="N71" s="5" t="s">
        <v>247</v>
      </c>
      <c r="O71" s="5"/>
      <c r="P71" s="110" t="b">
        <f t="shared" si="1"/>
        <v>0</v>
      </c>
      <c r="Q71" s="110" t="b">
        <f>IF(COUNTIF(RAW_APS!$A$2:$A815,A71)=0,TRUE,FALSE)</f>
        <v>0</v>
      </c>
      <c r="R71" s="241" t="b">
        <f t="shared" si="2"/>
        <v>0</v>
      </c>
      <c r="U71" s="112" t="str">
        <f t="shared" si="3"/>
        <v/>
      </c>
      <c r="V71" s="60"/>
      <c r="W71" s="60"/>
      <c r="X71" s="60"/>
      <c r="Y71" s="60"/>
      <c r="Z71" s="210"/>
      <c r="AA71" s="112" t="str">
        <f t="shared" si="4"/>
        <v>FM27</v>
      </c>
      <c r="AB71" s="112" t="str">
        <f t="shared" si="5"/>
        <v/>
      </c>
      <c r="AC71" s="112" t="str">
        <f t="shared" si="6"/>
        <v/>
      </c>
      <c r="AD71" s="5"/>
      <c r="AE71" s="5"/>
    </row>
    <row r="72">
      <c r="A72" s="5" t="s">
        <v>1495</v>
      </c>
      <c r="B72" s="44">
        <v>44613.0</v>
      </c>
      <c r="C72" s="150">
        <v>0.3065509259259259</v>
      </c>
      <c r="D72" s="5"/>
      <c r="E72" s="5"/>
      <c r="F72" s="5"/>
      <c r="G72" s="5" t="s">
        <v>2184</v>
      </c>
      <c r="H72" s="5" t="s">
        <v>244</v>
      </c>
      <c r="I72" s="44">
        <v>44613.0</v>
      </c>
      <c r="J72" s="150">
        <v>0.4693981481481482</v>
      </c>
      <c r="K72" s="19">
        <v>1.0</v>
      </c>
      <c r="L72" s="10" t="b">
        <v>1</v>
      </c>
      <c r="M72" s="5" t="s">
        <v>2476</v>
      </c>
      <c r="N72" s="5" t="s">
        <v>247</v>
      </c>
      <c r="O72" s="5"/>
      <c r="P72" s="110" t="b">
        <f t="shared" si="1"/>
        <v>0</v>
      </c>
      <c r="Q72" s="110" t="b">
        <f>IF(COUNTIF(RAW_APS!$A$2:$A815,A72)=0,TRUE,FALSE)</f>
        <v>0</v>
      </c>
      <c r="R72" s="241" t="b">
        <f t="shared" si="2"/>
        <v>0</v>
      </c>
      <c r="U72" s="112" t="str">
        <f t="shared" si="3"/>
        <v/>
      </c>
      <c r="V72" s="60"/>
      <c r="W72" s="60"/>
      <c r="X72" s="60"/>
      <c r="Y72" s="60"/>
      <c r="Z72" s="210"/>
      <c r="AA72" s="112" t="str">
        <f t="shared" si="4"/>
        <v>FM28</v>
      </c>
      <c r="AB72" s="112" t="str">
        <f t="shared" si="5"/>
        <v/>
      </c>
      <c r="AC72" s="112" t="str">
        <f t="shared" si="6"/>
        <v/>
      </c>
      <c r="AD72" s="5"/>
      <c r="AE72" s="5"/>
    </row>
    <row r="73">
      <c r="A73" s="5" t="s">
        <v>1877</v>
      </c>
      <c r="B73" s="44">
        <v>44623.0</v>
      </c>
      <c r="C73" s="150">
        <v>0.3357291666666667</v>
      </c>
      <c r="D73" s="5"/>
      <c r="E73" s="5"/>
      <c r="F73" s="5"/>
      <c r="G73" s="5" t="s">
        <v>2184</v>
      </c>
      <c r="H73" s="5" t="s">
        <v>244</v>
      </c>
      <c r="I73" s="44">
        <v>44623.0</v>
      </c>
      <c r="J73" s="150">
        <v>0.4606018518518519</v>
      </c>
      <c r="K73" s="19">
        <v>1.0</v>
      </c>
      <c r="L73" s="10" t="b">
        <v>0</v>
      </c>
      <c r="M73" s="5" t="s">
        <v>2468</v>
      </c>
      <c r="N73" s="5" t="s">
        <v>247</v>
      </c>
      <c r="O73" s="5"/>
      <c r="P73" s="110" t="b">
        <f t="shared" si="1"/>
        <v>0</v>
      </c>
      <c r="Q73" s="110" t="b">
        <f>IF(COUNTIF(RAW_APS!$A$2:$A815,A73)=0,TRUE,FALSE)</f>
        <v>0</v>
      </c>
      <c r="R73" s="241" t="b">
        <f t="shared" si="2"/>
        <v>0</v>
      </c>
      <c r="U73" s="112" t="str">
        <f t="shared" si="3"/>
        <v/>
      </c>
      <c r="V73" s="60"/>
      <c r="W73" s="60"/>
      <c r="X73" s="60"/>
      <c r="Y73" s="60"/>
      <c r="Z73" s="210"/>
      <c r="AA73" s="112" t="str">
        <f t="shared" si="4"/>
        <v>FM29</v>
      </c>
      <c r="AB73" s="112" t="str">
        <f t="shared" si="5"/>
        <v/>
      </c>
      <c r="AC73" s="112" t="str">
        <f t="shared" si="6"/>
        <v/>
      </c>
      <c r="AD73" s="5"/>
      <c r="AE73" s="5"/>
    </row>
    <row r="74">
      <c r="A74" s="5" t="s">
        <v>1327</v>
      </c>
      <c r="B74" s="44">
        <v>44609.0</v>
      </c>
      <c r="C74" s="150">
        <v>0.3042824074074074</v>
      </c>
      <c r="D74" s="5"/>
      <c r="E74" s="5"/>
      <c r="F74" s="5"/>
      <c r="G74" s="5" t="s">
        <v>2184</v>
      </c>
      <c r="H74" s="5" t="s">
        <v>244</v>
      </c>
      <c r="I74" s="44">
        <v>44611.0</v>
      </c>
      <c r="J74" s="150">
        <v>0.3895601851851852</v>
      </c>
      <c r="K74" s="19">
        <v>1.0</v>
      </c>
      <c r="L74" s="10" t="b">
        <v>1</v>
      </c>
      <c r="M74" s="5" t="s">
        <v>2478</v>
      </c>
      <c r="N74" s="5" t="s">
        <v>247</v>
      </c>
      <c r="O74" s="5"/>
      <c r="P74" s="110" t="b">
        <f t="shared" si="1"/>
        <v>0</v>
      </c>
      <c r="Q74" s="110" t="b">
        <f>IF(COUNTIF(RAW_APS!$A$2:$A815,A74)=0,TRUE,FALSE)</f>
        <v>0</v>
      </c>
      <c r="R74" s="241" t="b">
        <f t="shared" si="2"/>
        <v>0</v>
      </c>
      <c r="U74" s="112" t="str">
        <f t="shared" si="3"/>
        <v/>
      </c>
      <c r="V74" s="60"/>
      <c r="W74" s="60"/>
      <c r="X74" s="60"/>
      <c r="Y74" s="60"/>
      <c r="Z74" s="210"/>
      <c r="AA74" s="112" t="str">
        <f t="shared" si="4"/>
        <v>FM3</v>
      </c>
      <c r="AB74" s="112" t="str">
        <f t="shared" si="5"/>
        <v/>
      </c>
      <c r="AC74" s="112" t="str">
        <f t="shared" si="6"/>
        <v/>
      </c>
      <c r="AD74" s="5"/>
      <c r="AE74" s="5"/>
    </row>
    <row r="75">
      <c r="A75" s="5" t="s">
        <v>1957</v>
      </c>
      <c r="B75" s="44">
        <v>44625.0</v>
      </c>
      <c r="C75" s="150">
        <v>0.34193287037037035</v>
      </c>
      <c r="D75" s="5"/>
      <c r="E75" s="5"/>
      <c r="F75" s="5"/>
      <c r="G75" s="5" t="s">
        <v>2184</v>
      </c>
      <c r="H75" s="5" t="s">
        <v>244</v>
      </c>
      <c r="I75" s="44">
        <v>44625.0</v>
      </c>
      <c r="J75" s="150">
        <v>0.48975694444444445</v>
      </c>
      <c r="K75" s="19">
        <v>1.0</v>
      </c>
      <c r="L75" s="10" t="b">
        <v>1</v>
      </c>
      <c r="M75" s="5" t="s">
        <v>2467</v>
      </c>
      <c r="N75" s="5" t="s">
        <v>247</v>
      </c>
      <c r="O75" s="5"/>
      <c r="P75" s="110" t="b">
        <f t="shared" si="1"/>
        <v>0</v>
      </c>
      <c r="Q75" s="110" t="b">
        <f>IF(COUNTIF(RAW_APS!$A$2:$A815,A75)=0,TRUE,FALSE)</f>
        <v>0</v>
      </c>
      <c r="R75" s="241" t="b">
        <f t="shared" si="2"/>
        <v>0</v>
      </c>
      <c r="U75" s="112" t="str">
        <f t="shared" si="3"/>
        <v/>
      </c>
      <c r="V75" s="60"/>
      <c r="W75" s="60"/>
      <c r="X75" s="60"/>
      <c r="Y75" s="60"/>
      <c r="Z75" s="210"/>
      <c r="AA75" s="112" t="str">
        <f t="shared" si="4"/>
        <v>FM30</v>
      </c>
      <c r="AB75" s="112" t="str">
        <f t="shared" si="5"/>
        <v/>
      </c>
      <c r="AC75" s="112" t="str">
        <f t="shared" si="6"/>
        <v/>
      </c>
      <c r="AD75" s="5"/>
      <c r="AE75" s="5"/>
    </row>
    <row r="76">
      <c r="A76" s="5" t="s">
        <v>2050</v>
      </c>
      <c r="B76" s="44">
        <v>44629.0</v>
      </c>
      <c r="C76" s="150">
        <v>0.31309027777777776</v>
      </c>
      <c r="D76" s="5"/>
      <c r="E76" s="5"/>
      <c r="F76" s="5"/>
      <c r="G76" s="5" t="s">
        <v>2184</v>
      </c>
      <c r="H76" s="5" t="s">
        <v>244</v>
      </c>
      <c r="I76" s="44">
        <v>44629.0</v>
      </c>
      <c r="J76" s="150">
        <v>0.49944444444444447</v>
      </c>
      <c r="K76" s="19">
        <v>1.0</v>
      </c>
      <c r="L76" s="10" t="b">
        <v>1</v>
      </c>
      <c r="M76" s="5" t="s">
        <v>2465</v>
      </c>
      <c r="N76" s="5" t="s">
        <v>247</v>
      </c>
      <c r="O76" s="5"/>
      <c r="P76" s="110" t="b">
        <f t="shared" si="1"/>
        <v>0</v>
      </c>
      <c r="Q76" s="110" t="b">
        <f>IF(COUNTIF(RAW_APS!$A$2:$A815,A76)=0,TRUE,FALSE)</f>
        <v>0</v>
      </c>
      <c r="R76" s="241" t="b">
        <f t="shared" si="2"/>
        <v>0</v>
      </c>
      <c r="U76" s="112" t="str">
        <f t="shared" si="3"/>
        <v/>
      </c>
      <c r="V76" s="60"/>
      <c r="W76" s="60"/>
      <c r="X76" s="60"/>
      <c r="Y76" s="60"/>
      <c r="Z76" s="210"/>
      <c r="AA76" s="112" t="str">
        <f t="shared" si="4"/>
        <v>FM304</v>
      </c>
      <c r="AB76" s="112" t="str">
        <f t="shared" si="5"/>
        <v/>
      </c>
      <c r="AC76" s="112" t="str">
        <f t="shared" si="6"/>
        <v/>
      </c>
      <c r="AD76" s="5"/>
      <c r="AE76" s="5"/>
    </row>
    <row r="77">
      <c r="A77" s="5" t="s">
        <v>2158</v>
      </c>
      <c r="B77" s="44">
        <v>44635.0</v>
      </c>
      <c r="C77" s="150">
        <v>0.29900462962962965</v>
      </c>
      <c r="D77" s="5"/>
      <c r="E77" s="5"/>
      <c r="F77" s="5"/>
      <c r="G77" s="5" t="s">
        <v>2188</v>
      </c>
      <c r="H77" s="5" t="s">
        <v>254</v>
      </c>
      <c r="I77" s="44">
        <v>44861.0</v>
      </c>
      <c r="J77" s="150">
        <v>0.4895023148148148</v>
      </c>
      <c r="K77" s="19">
        <v>1.0</v>
      </c>
      <c r="L77" s="5"/>
      <c r="M77" s="5"/>
      <c r="N77" s="5" t="s">
        <v>247</v>
      </c>
      <c r="O77" s="5"/>
      <c r="P77" s="110" t="b">
        <f t="shared" si="1"/>
        <v>0</v>
      </c>
      <c r="Q77" s="110" t="b">
        <f>IF(COUNTIF(RAW_APS!$A$2:$A815,A77)=0,TRUE,FALSE)</f>
        <v>0</v>
      </c>
      <c r="R77" s="241" t="b">
        <f t="shared" si="2"/>
        <v>0</v>
      </c>
      <c r="U77" s="112" t="str">
        <f t="shared" si="3"/>
        <v/>
      </c>
      <c r="V77" s="60"/>
      <c r="W77" s="60"/>
      <c r="X77" s="60"/>
      <c r="Y77" s="60"/>
      <c r="Z77" s="210"/>
      <c r="AA77" s="112" t="str">
        <f t="shared" si="4"/>
        <v>FM31</v>
      </c>
      <c r="AB77" s="112" t="str">
        <f t="shared" si="5"/>
        <v/>
      </c>
      <c r="AC77" s="112" t="str">
        <f t="shared" si="6"/>
        <v/>
      </c>
      <c r="AD77" s="5"/>
      <c r="AE77" s="5"/>
    </row>
    <row r="78">
      <c r="A78" s="5" t="s">
        <v>2046</v>
      </c>
      <c r="B78" s="44">
        <v>44629.0</v>
      </c>
      <c r="C78" s="150">
        <v>0.31225694444444446</v>
      </c>
      <c r="D78" s="5"/>
      <c r="E78" s="5"/>
      <c r="F78" s="5"/>
      <c r="G78" s="5" t="s">
        <v>2184</v>
      </c>
      <c r="H78" s="5" t="s">
        <v>244</v>
      </c>
      <c r="I78" s="44">
        <v>44629.0</v>
      </c>
      <c r="J78" s="150">
        <v>0.49944444444444447</v>
      </c>
      <c r="K78" s="19">
        <v>1.0</v>
      </c>
      <c r="L78" s="10" t="b">
        <v>1</v>
      </c>
      <c r="M78" s="5" t="s">
        <v>2465</v>
      </c>
      <c r="N78" s="5" t="s">
        <v>247</v>
      </c>
      <c r="O78" s="5"/>
      <c r="P78" s="110" t="b">
        <f t="shared" si="1"/>
        <v>0</v>
      </c>
      <c r="Q78" s="110" t="b">
        <f>IF(COUNTIF(RAW_APS!$A$2:$A815,A78)=0,TRUE,FALSE)</f>
        <v>0</v>
      </c>
      <c r="R78" s="241" t="b">
        <f t="shared" si="2"/>
        <v>0</v>
      </c>
      <c r="U78" s="112" t="str">
        <f t="shared" si="3"/>
        <v/>
      </c>
      <c r="V78" s="60"/>
      <c r="W78" s="60"/>
      <c r="X78" s="60"/>
      <c r="Y78" s="60"/>
      <c r="Z78" s="210"/>
      <c r="AA78" s="112" t="str">
        <f t="shared" si="4"/>
        <v>FM310</v>
      </c>
      <c r="AB78" s="112" t="str">
        <f t="shared" si="5"/>
        <v/>
      </c>
      <c r="AC78" s="112" t="str">
        <f t="shared" si="6"/>
        <v/>
      </c>
      <c r="AD78" s="5"/>
      <c r="AE78" s="5"/>
    </row>
    <row r="79">
      <c r="A79" s="5" t="s">
        <v>1865</v>
      </c>
      <c r="B79" s="44">
        <v>44623.0</v>
      </c>
      <c r="C79" s="150">
        <v>0.32197916666666665</v>
      </c>
      <c r="D79" s="5"/>
      <c r="E79" s="5"/>
      <c r="F79" s="5"/>
      <c r="G79" s="5" t="s">
        <v>2184</v>
      </c>
      <c r="H79" s="5" t="s">
        <v>244</v>
      </c>
      <c r="I79" s="44">
        <v>44623.0</v>
      </c>
      <c r="J79" s="150">
        <v>0.4605902777777778</v>
      </c>
      <c r="K79" s="19">
        <v>1.0</v>
      </c>
      <c r="L79" s="10" t="b">
        <v>0</v>
      </c>
      <c r="M79" s="5" t="s">
        <v>2468</v>
      </c>
      <c r="N79" s="5" t="s">
        <v>247</v>
      </c>
      <c r="O79" s="5"/>
      <c r="P79" s="110" t="b">
        <f t="shared" si="1"/>
        <v>0</v>
      </c>
      <c r="Q79" s="110" t="b">
        <f>IF(COUNTIF(RAW_APS!$A$2:$A815,A79)=0,TRUE,FALSE)</f>
        <v>0</v>
      </c>
      <c r="R79" s="241" t="b">
        <f t="shared" si="2"/>
        <v>0</v>
      </c>
      <c r="U79" s="112" t="str">
        <f t="shared" si="3"/>
        <v/>
      </c>
      <c r="V79" s="60"/>
      <c r="W79" s="60"/>
      <c r="X79" s="60"/>
      <c r="Y79" s="60"/>
      <c r="Z79" s="210"/>
      <c r="AA79" s="112" t="str">
        <f t="shared" si="4"/>
        <v>FM312</v>
      </c>
      <c r="AB79" s="112" t="str">
        <f t="shared" si="5"/>
        <v/>
      </c>
      <c r="AC79" s="112" t="str">
        <f t="shared" si="6"/>
        <v/>
      </c>
      <c r="AD79" s="5"/>
      <c r="AE79" s="5"/>
    </row>
    <row r="80">
      <c r="A80" s="5" t="s">
        <v>1867</v>
      </c>
      <c r="B80" s="44">
        <v>44623.0</v>
      </c>
      <c r="C80" s="150">
        <v>0.32256944444444446</v>
      </c>
      <c r="D80" s="5"/>
      <c r="E80" s="5"/>
      <c r="F80" s="5"/>
      <c r="G80" s="5" t="s">
        <v>2184</v>
      </c>
      <c r="H80" s="5" t="s">
        <v>244</v>
      </c>
      <c r="I80" s="44">
        <v>44623.0</v>
      </c>
      <c r="J80" s="150">
        <v>0.4605902777777778</v>
      </c>
      <c r="K80" s="19">
        <v>1.0</v>
      </c>
      <c r="L80" s="10" t="b">
        <v>0</v>
      </c>
      <c r="M80" s="5" t="s">
        <v>2468</v>
      </c>
      <c r="N80" s="5" t="s">
        <v>247</v>
      </c>
      <c r="O80" s="5"/>
      <c r="P80" s="110" t="b">
        <f t="shared" si="1"/>
        <v>0</v>
      </c>
      <c r="Q80" s="110" t="b">
        <f>IF(COUNTIF(RAW_APS!$A$2:$A815,A80)=0,TRUE,FALSE)</f>
        <v>0</v>
      </c>
      <c r="R80" s="241" t="b">
        <f t="shared" si="2"/>
        <v>0</v>
      </c>
      <c r="U80" s="112" t="str">
        <f t="shared" si="3"/>
        <v/>
      </c>
      <c r="V80" s="60"/>
      <c r="W80" s="60"/>
      <c r="X80" s="60"/>
      <c r="Y80" s="60"/>
      <c r="Z80" s="210"/>
      <c r="AA80" s="112" t="str">
        <f t="shared" si="4"/>
        <v>FM315</v>
      </c>
      <c r="AB80" s="112" t="str">
        <f t="shared" si="5"/>
        <v/>
      </c>
      <c r="AC80" s="112" t="str">
        <f t="shared" si="6"/>
        <v/>
      </c>
      <c r="AD80" s="5"/>
      <c r="AE80" s="5"/>
    </row>
    <row r="81">
      <c r="A81" s="5" t="s">
        <v>2101</v>
      </c>
      <c r="B81" s="44">
        <v>44631.0</v>
      </c>
      <c r="C81" s="150">
        <v>0.2908101851851852</v>
      </c>
      <c r="D81" s="5"/>
      <c r="E81" s="5"/>
      <c r="F81" s="5"/>
      <c r="G81" s="5" t="s">
        <v>2184</v>
      </c>
      <c r="H81" s="5" t="s">
        <v>244</v>
      </c>
      <c r="I81" s="44">
        <v>44631.0</v>
      </c>
      <c r="J81" s="150">
        <v>0.4860763888888889</v>
      </c>
      <c r="K81" s="19">
        <v>1.0</v>
      </c>
      <c r="L81" s="10" t="b">
        <v>1</v>
      </c>
      <c r="M81" s="5" t="s">
        <v>2464</v>
      </c>
      <c r="N81" s="5" t="s">
        <v>247</v>
      </c>
      <c r="O81" s="5"/>
      <c r="P81" s="110" t="b">
        <f t="shared" si="1"/>
        <v>0</v>
      </c>
      <c r="Q81" s="110" t="b">
        <f>IF(COUNTIF(RAW_APS!$A$2:$A815,A81)=0,TRUE,FALSE)</f>
        <v>0</v>
      </c>
      <c r="R81" s="241" t="b">
        <f t="shared" si="2"/>
        <v>0</v>
      </c>
      <c r="U81" s="112" t="str">
        <f t="shared" si="3"/>
        <v/>
      </c>
      <c r="V81" s="60"/>
      <c r="W81" s="60"/>
      <c r="X81" s="60"/>
      <c r="Y81" s="60"/>
      <c r="Z81" s="210"/>
      <c r="AA81" s="112" t="str">
        <f t="shared" si="4"/>
        <v>FM318</v>
      </c>
      <c r="AB81" s="112" t="str">
        <f t="shared" si="5"/>
        <v/>
      </c>
      <c r="AC81" s="112" t="str">
        <f t="shared" si="6"/>
        <v/>
      </c>
      <c r="AD81" s="5"/>
      <c r="AE81" s="5"/>
    </row>
    <row r="82">
      <c r="A82" s="5" t="s">
        <v>1497</v>
      </c>
      <c r="B82" s="44">
        <v>44613.0</v>
      </c>
      <c r="C82" s="150">
        <v>0.30733796296296295</v>
      </c>
      <c r="D82" s="5"/>
      <c r="E82" s="5"/>
      <c r="F82" s="5"/>
      <c r="G82" s="5" t="s">
        <v>2184</v>
      </c>
      <c r="H82" s="5" t="s">
        <v>244</v>
      </c>
      <c r="I82" s="44">
        <v>44613.0</v>
      </c>
      <c r="J82" s="150">
        <v>0.4693981481481482</v>
      </c>
      <c r="K82" s="19">
        <v>1.0</v>
      </c>
      <c r="L82" s="10" t="b">
        <v>1</v>
      </c>
      <c r="M82" s="5" t="s">
        <v>2476</v>
      </c>
      <c r="N82" s="5" t="s">
        <v>247</v>
      </c>
      <c r="O82" s="5"/>
      <c r="P82" s="110" t="b">
        <f t="shared" si="1"/>
        <v>0</v>
      </c>
      <c r="Q82" s="110" t="b">
        <f>IF(COUNTIF(RAW_APS!$A$2:$A815,A82)=0,TRUE,FALSE)</f>
        <v>0</v>
      </c>
      <c r="R82" s="241" t="b">
        <f t="shared" si="2"/>
        <v>0</v>
      </c>
      <c r="U82" s="112" t="str">
        <f t="shared" si="3"/>
        <v/>
      </c>
      <c r="V82" s="60"/>
      <c r="W82" s="60"/>
      <c r="X82" s="60"/>
      <c r="Y82" s="60"/>
      <c r="Z82" s="210"/>
      <c r="AA82" s="112" t="str">
        <f t="shared" si="4"/>
        <v>FM32</v>
      </c>
      <c r="AB82" s="112" t="str">
        <f t="shared" si="5"/>
        <v/>
      </c>
      <c r="AC82" s="112" t="str">
        <f t="shared" si="6"/>
        <v/>
      </c>
      <c r="AD82" s="5"/>
      <c r="AE82" s="5"/>
    </row>
    <row r="83">
      <c r="A83" s="5" t="s">
        <v>1921</v>
      </c>
      <c r="B83" s="44">
        <v>44625.0</v>
      </c>
      <c r="C83" s="150">
        <v>0.30530092592592595</v>
      </c>
      <c r="D83" s="5"/>
      <c r="E83" s="5"/>
      <c r="F83" s="5"/>
      <c r="G83" s="5" t="s">
        <v>2184</v>
      </c>
      <c r="H83" s="5" t="s">
        <v>244</v>
      </c>
      <c r="I83" s="44">
        <v>44625.0</v>
      </c>
      <c r="J83" s="150">
        <v>0.48974537037037036</v>
      </c>
      <c r="K83" s="19">
        <v>1.0</v>
      </c>
      <c r="L83" s="10" t="b">
        <v>1</v>
      </c>
      <c r="M83" s="5" t="s">
        <v>2467</v>
      </c>
      <c r="N83" s="5" t="s">
        <v>247</v>
      </c>
      <c r="O83" s="5"/>
      <c r="P83" s="110" t="b">
        <f t="shared" si="1"/>
        <v>0</v>
      </c>
      <c r="Q83" s="110" t="b">
        <f>IF(COUNTIF(RAW_APS!$A$2:$A815,A83)=0,TRUE,FALSE)</f>
        <v>0</v>
      </c>
      <c r="R83" s="241" t="b">
        <f t="shared" si="2"/>
        <v>0</v>
      </c>
      <c r="U83" s="112" t="str">
        <f t="shared" si="3"/>
        <v/>
      </c>
      <c r="V83" s="60"/>
      <c r="W83" s="60"/>
      <c r="X83" s="60"/>
      <c r="Y83" s="60"/>
      <c r="Z83" s="210"/>
      <c r="AA83" s="112" t="str">
        <f t="shared" si="4"/>
        <v>FM329</v>
      </c>
      <c r="AB83" s="112" t="str">
        <f t="shared" si="5"/>
        <v/>
      </c>
      <c r="AC83" s="112" t="str">
        <f t="shared" si="6"/>
        <v/>
      </c>
      <c r="AD83" s="5"/>
      <c r="AE83" s="5"/>
    </row>
    <row r="84">
      <c r="A84" s="5" t="s">
        <v>1365</v>
      </c>
      <c r="B84" s="44">
        <v>44609.0</v>
      </c>
      <c r="C84" s="150">
        <v>0.32760416666666664</v>
      </c>
      <c r="D84" s="5"/>
      <c r="E84" s="5"/>
      <c r="F84" s="5"/>
      <c r="G84" s="5" t="s">
        <v>2184</v>
      </c>
      <c r="H84" s="5" t="s">
        <v>244</v>
      </c>
      <c r="I84" s="44">
        <v>44611.0</v>
      </c>
      <c r="J84" s="150">
        <v>0.38958333333333334</v>
      </c>
      <c r="K84" s="19">
        <v>1.0</v>
      </c>
      <c r="L84" s="10" t="b">
        <v>1</v>
      </c>
      <c r="M84" s="5" t="s">
        <v>2478</v>
      </c>
      <c r="N84" s="5" t="s">
        <v>247</v>
      </c>
      <c r="O84" s="5"/>
      <c r="P84" s="110" t="b">
        <f t="shared" si="1"/>
        <v>0</v>
      </c>
      <c r="Q84" s="110" t="b">
        <f>IF(COUNTIF(RAW_APS!$A$2:$A815,A84)=0,TRUE,FALSE)</f>
        <v>0</v>
      </c>
      <c r="R84" s="241" t="b">
        <f t="shared" si="2"/>
        <v>0</v>
      </c>
      <c r="U84" s="112" t="str">
        <f t="shared" si="3"/>
        <v/>
      </c>
      <c r="V84" s="60"/>
      <c r="W84" s="60"/>
      <c r="X84" s="60"/>
      <c r="Y84" s="60"/>
      <c r="Z84" s="210"/>
      <c r="AA84" s="112" t="str">
        <f t="shared" si="4"/>
        <v>FM33</v>
      </c>
      <c r="AB84" s="112" t="str">
        <f t="shared" si="5"/>
        <v/>
      </c>
      <c r="AC84" s="112" t="str">
        <f t="shared" si="6"/>
        <v/>
      </c>
      <c r="AD84" s="5"/>
      <c r="AE84" s="5"/>
    </row>
    <row r="85">
      <c r="A85" s="5" t="s">
        <v>1953</v>
      </c>
      <c r="B85" s="44">
        <v>44625.0</v>
      </c>
      <c r="C85" s="150">
        <v>0.3350462962962963</v>
      </c>
      <c r="D85" s="5"/>
      <c r="E85" s="5"/>
      <c r="F85" s="5"/>
      <c r="G85" s="5" t="s">
        <v>2184</v>
      </c>
      <c r="H85" s="5" t="s">
        <v>244</v>
      </c>
      <c r="I85" s="44">
        <v>44625.0</v>
      </c>
      <c r="J85" s="150">
        <v>0.48975694444444445</v>
      </c>
      <c r="K85" s="19">
        <v>1.0</v>
      </c>
      <c r="L85" s="10" t="b">
        <v>1</v>
      </c>
      <c r="M85" s="5" t="s">
        <v>2467</v>
      </c>
      <c r="N85" s="5" t="s">
        <v>247</v>
      </c>
      <c r="O85" s="5"/>
      <c r="P85" s="110" t="b">
        <f t="shared" si="1"/>
        <v>0</v>
      </c>
      <c r="Q85" s="110" t="b">
        <f>IF(COUNTIF(RAW_APS!$A$2:$A815,A85)=0,TRUE,FALSE)</f>
        <v>0</v>
      </c>
      <c r="R85" s="241" t="b">
        <f t="shared" si="2"/>
        <v>0</v>
      </c>
      <c r="U85" s="112" t="str">
        <f t="shared" si="3"/>
        <v/>
      </c>
      <c r="V85" s="60"/>
      <c r="W85" s="60"/>
      <c r="X85" s="60"/>
      <c r="Y85" s="60"/>
      <c r="Z85" s="210"/>
      <c r="AA85" s="112" t="str">
        <f t="shared" si="4"/>
        <v>FM337</v>
      </c>
      <c r="AB85" s="112" t="str">
        <f t="shared" si="5"/>
        <v/>
      </c>
      <c r="AC85" s="112" t="str">
        <f t="shared" si="6"/>
        <v/>
      </c>
      <c r="AD85" s="5"/>
      <c r="AE85" s="5"/>
    </row>
    <row r="86">
      <c r="A86" s="5" t="s">
        <v>2146</v>
      </c>
      <c r="B86" s="44">
        <v>44631.0</v>
      </c>
      <c r="C86" s="150">
        <v>0.39895833333333336</v>
      </c>
      <c r="D86" s="5"/>
      <c r="E86" s="5"/>
      <c r="F86" s="5"/>
      <c r="G86" s="5" t="s">
        <v>2184</v>
      </c>
      <c r="H86" s="5" t="s">
        <v>244</v>
      </c>
      <c r="I86" s="44">
        <v>44631.0</v>
      </c>
      <c r="J86" s="150">
        <v>0.486099537037037</v>
      </c>
      <c r="K86" s="19">
        <v>0.0</v>
      </c>
      <c r="L86" s="10" t="b">
        <v>1</v>
      </c>
      <c r="M86" s="5" t="s">
        <v>2464</v>
      </c>
      <c r="N86" s="5" t="s">
        <v>247</v>
      </c>
      <c r="O86" s="5"/>
      <c r="P86" s="110" t="b">
        <f t="shared" si="1"/>
        <v>1</v>
      </c>
      <c r="Q86" s="110" t="b">
        <f>IF(COUNTIF(RAW_APS!$A$2:$A815,A86)=0,TRUE,FALSE)</f>
        <v>1</v>
      </c>
      <c r="R86" s="241" t="b">
        <f t="shared" si="2"/>
        <v>0</v>
      </c>
      <c r="U86" s="112" t="str">
        <f t="shared" si="3"/>
        <v/>
      </c>
      <c r="V86" s="51"/>
      <c r="W86" s="51"/>
      <c r="X86" s="51"/>
      <c r="Y86" s="51"/>
      <c r="Z86" s="210"/>
      <c r="AA86" s="112" t="str">
        <f t="shared" si="4"/>
        <v>FM339</v>
      </c>
      <c r="AB86" s="112" t="str">
        <f t="shared" si="5"/>
        <v/>
      </c>
      <c r="AC86" s="112" t="str">
        <f t="shared" si="6"/>
        <v/>
      </c>
      <c r="AD86" s="5"/>
      <c r="AE86" s="5"/>
    </row>
    <row r="87">
      <c r="A87" s="5" t="s">
        <v>1301</v>
      </c>
      <c r="B87" s="44">
        <v>44607.0</v>
      </c>
      <c r="C87" s="150">
        <v>0.3449537037037037</v>
      </c>
      <c r="D87" s="5"/>
      <c r="E87" s="5"/>
      <c r="F87" s="5"/>
      <c r="G87" s="5" t="s">
        <v>2184</v>
      </c>
      <c r="H87" s="5" t="s">
        <v>244</v>
      </c>
      <c r="I87" s="44">
        <v>44607.0</v>
      </c>
      <c r="J87" s="150">
        <v>0.5868171296296296</v>
      </c>
      <c r="K87" s="19">
        <v>1.0</v>
      </c>
      <c r="L87" s="10" t="b">
        <v>1</v>
      </c>
      <c r="M87" s="5" t="s">
        <v>2479</v>
      </c>
      <c r="N87" s="5" t="s">
        <v>247</v>
      </c>
      <c r="O87" s="5"/>
      <c r="P87" s="110" t="b">
        <f t="shared" si="1"/>
        <v>0</v>
      </c>
      <c r="Q87" s="110" t="b">
        <f>IF(COUNTIF(RAW_APS!$A$2:$A815,A87)=0,TRUE,FALSE)</f>
        <v>0</v>
      </c>
      <c r="R87" s="241" t="b">
        <f t="shared" si="2"/>
        <v>0</v>
      </c>
      <c r="U87" s="112" t="str">
        <f t="shared" si="3"/>
        <v/>
      </c>
      <c r="V87" s="60"/>
      <c r="W87" s="60"/>
      <c r="X87" s="60"/>
      <c r="Y87" s="60"/>
      <c r="Z87" s="210"/>
      <c r="AA87" s="112" t="str">
        <f t="shared" si="4"/>
        <v>FM34</v>
      </c>
      <c r="AB87" s="112" t="str">
        <f t="shared" si="5"/>
        <v/>
      </c>
      <c r="AC87" s="112" t="str">
        <f t="shared" si="6"/>
        <v/>
      </c>
      <c r="AD87" s="5"/>
      <c r="AE87" s="5"/>
    </row>
    <row r="88">
      <c r="A88" s="5" t="s">
        <v>2062</v>
      </c>
      <c r="B88" s="44">
        <v>44629.0</v>
      </c>
      <c r="C88" s="150">
        <v>0.3201851851851852</v>
      </c>
      <c r="D88" s="5"/>
      <c r="E88" s="5"/>
      <c r="F88" s="5"/>
      <c r="G88" s="5" t="s">
        <v>2184</v>
      </c>
      <c r="H88" s="5" t="s">
        <v>244</v>
      </c>
      <c r="I88" s="44">
        <v>44629.0</v>
      </c>
      <c r="J88" s="150">
        <v>0.49944444444444447</v>
      </c>
      <c r="K88" s="19">
        <v>1.0</v>
      </c>
      <c r="L88" s="10" t="b">
        <v>1</v>
      </c>
      <c r="M88" s="5" t="s">
        <v>2465</v>
      </c>
      <c r="N88" s="5" t="s">
        <v>247</v>
      </c>
      <c r="O88" s="5"/>
      <c r="P88" s="110" t="b">
        <f t="shared" si="1"/>
        <v>0</v>
      </c>
      <c r="Q88" s="110" t="b">
        <f>IF(COUNTIF(RAW_APS!$A$2:$A815,A88)=0,TRUE,FALSE)</f>
        <v>0</v>
      </c>
      <c r="R88" s="241" t="b">
        <f t="shared" si="2"/>
        <v>0</v>
      </c>
      <c r="U88" s="112" t="str">
        <f t="shared" si="3"/>
        <v/>
      </c>
      <c r="V88" s="60"/>
      <c r="W88" s="60"/>
      <c r="X88" s="60"/>
      <c r="Y88" s="60"/>
      <c r="Z88" s="210"/>
      <c r="AA88" s="112" t="str">
        <f t="shared" si="4"/>
        <v>FM340</v>
      </c>
      <c r="AB88" s="112" t="str">
        <f t="shared" si="5"/>
        <v/>
      </c>
      <c r="AC88" s="112" t="str">
        <f t="shared" si="6"/>
        <v/>
      </c>
      <c r="AD88" s="5"/>
      <c r="AE88" s="5"/>
    </row>
    <row r="89">
      <c r="A89" s="5" t="s">
        <v>1793</v>
      </c>
      <c r="B89" s="44">
        <v>44621.0</v>
      </c>
      <c r="C89" s="150">
        <v>0.3262962962962963</v>
      </c>
      <c r="D89" s="5"/>
      <c r="E89" s="5"/>
      <c r="F89" s="5"/>
      <c r="G89" s="5" t="s">
        <v>2184</v>
      </c>
      <c r="H89" s="5" t="s">
        <v>244</v>
      </c>
      <c r="I89" s="44">
        <v>44627.0</v>
      </c>
      <c r="J89" s="150">
        <v>0.47791666666666666</v>
      </c>
      <c r="K89" s="19">
        <v>1.0</v>
      </c>
      <c r="L89" s="10" t="b">
        <v>1</v>
      </c>
      <c r="M89" s="5" t="s">
        <v>2470</v>
      </c>
      <c r="N89" s="5" t="s">
        <v>247</v>
      </c>
      <c r="O89" s="5"/>
      <c r="P89" s="110" t="b">
        <f t="shared" si="1"/>
        <v>0</v>
      </c>
      <c r="Q89" s="110" t="b">
        <f>IF(COUNTIF(RAW_APS!$A$2:$A815,A89)=0,TRUE,FALSE)</f>
        <v>0</v>
      </c>
      <c r="R89" s="241" t="b">
        <f t="shared" si="2"/>
        <v>0</v>
      </c>
      <c r="U89" s="112" t="str">
        <f t="shared" si="3"/>
        <v/>
      </c>
      <c r="V89" s="60"/>
      <c r="W89" s="60"/>
      <c r="X89" s="60"/>
      <c r="Y89" s="60"/>
      <c r="Z89" s="210"/>
      <c r="AA89" s="112" t="str">
        <f t="shared" si="4"/>
        <v>FM343</v>
      </c>
      <c r="AB89" s="112" t="str">
        <f t="shared" si="5"/>
        <v/>
      </c>
      <c r="AC89" s="112" t="str">
        <f t="shared" si="6"/>
        <v/>
      </c>
      <c r="AD89" s="5"/>
      <c r="AE89" s="5"/>
    </row>
    <row r="90">
      <c r="A90" s="5" t="s">
        <v>1470</v>
      </c>
      <c r="B90" s="44">
        <v>44611.0</v>
      </c>
      <c r="C90" s="150">
        <v>0.34528935185185183</v>
      </c>
      <c r="D90" s="5"/>
      <c r="E90" s="5"/>
      <c r="F90" s="5"/>
      <c r="G90" s="5" t="s">
        <v>2184</v>
      </c>
      <c r="H90" s="5" t="s">
        <v>244</v>
      </c>
      <c r="I90" s="44">
        <v>44611.0</v>
      </c>
      <c r="J90" s="150">
        <v>0.4882638888888889</v>
      </c>
      <c r="K90" s="19">
        <v>0.0</v>
      </c>
      <c r="L90" s="10" t="b">
        <v>1</v>
      </c>
      <c r="M90" s="5" t="s">
        <v>2477</v>
      </c>
      <c r="N90" s="5" t="s">
        <v>247</v>
      </c>
      <c r="O90" s="5"/>
      <c r="P90" s="110" t="b">
        <f t="shared" si="1"/>
        <v>1</v>
      </c>
      <c r="Q90" s="110" t="b">
        <f>IF(COUNTIF(RAW_APS!$A$2:$A815,A90)=0,TRUE,FALSE)</f>
        <v>1</v>
      </c>
      <c r="R90" s="241" t="b">
        <f t="shared" si="2"/>
        <v>0</v>
      </c>
      <c r="U90" s="112" t="str">
        <f t="shared" si="3"/>
        <v/>
      </c>
      <c r="V90" s="51"/>
      <c r="W90" s="51"/>
      <c r="X90" s="51"/>
      <c r="Y90" s="51"/>
      <c r="Z90" s="210"/>
      <c r="AA90" s="112" t="str">
        <f t="shared" si="4"/>
        <v>FM35</v>
      </c>
      <c r="AB90" s="112" t="str">
        <f t="shared" si="5"/>
        <v/>
      </c>
      <c r="AC90" s="112" t="str">
        <f t="shared" si="6"/>
        <v/>
      </c>
      <c r="AD90" s="5"/>
      <c r="AE90" s="5"/>
    </row>
    <row r="91">
      <c r="A91" s="5" t="s">
        <v>2162</v>
      </c>
      <c r="B91" s="44">
        <v>44657.0</v>
      </c>
      <c r="C91" s="150">
        <v>0.3511458333333333</v>
      </c>
      <c r="D91" s="5"/>
      <c r="E91" s="5"/>
      <c r="F91" s="5"/>
      <c r="G91" s="5" t="s">
        <v>2188</v>
      </c>
      <c r="H91" s="5" t="s">
        <v>254</v>
      </c>
      <c r="I91" s="44">
        <v>44861.0</v>
      </c>
      <c r="J91" s="150">
        <v>0.4895023148148148</v>
      </c>
      <c r="K91" s="19">
        <v>1.0</v>
      </c>
      <c r="L91" s="5"/>
      <c r="M91" s="5"/>
      <c r="N91" s="5" t="s">
        <v>247</v>
      </c>
      <c r="O91" s="5"/>
      <c r="P91" s="110" t="b">
        <f t="shared" si="1"/>
        <v>0</v>
      </c>
      <c r="Q91" s="110" t="b">
        <f>IF(COUNTIF(RAW_APS!$A$2:$A815,A91)=0,TRUE,FALSE)</f>
        <v>0</v>
      </c>
      <c r="R91" s="241" t="b">
        <f t="shared" si="2"/>
        <v>0</v>
      </c>
      <c r="U91" s="112" t="str">
        <f t="shared" si="3"/>
        <v/>
      </c>
      <c r="V91" s="60"/>
      <c r="W91" s="60"/>
      <c r="X91" s="60"/>
      <c r="Y91" s="60"/>
      <c r="Z91" s="210"/>
      <c r="AA91" s="112" t="str">
        <f t="shared" si="4"/>
        <v>FM352</v>
      </c>
      <c r="AB91" s="112" t="str">
        <f t="shared" si="5"/>
        <v/>
      </c>
      <c r="AC91" s="112" t="str">
        <f t="shared" si="6"/>
        <v/>
      </c>
      <c r="AD91" s="5"/>
      <c r="AE91" s="5"/>
    </row>
    <row r="92">
      <c r="A92" s="5" t="s">
        <v>1771</v>
      </c>
      <c r="B92" s="44">
        <v>44621.0</v>
      </c>
      <c r="C92" s="150">
        <v>0.3067708333333333</v>
      </c>
      <c r="D92" s="5"/>
      <c r="E92" s="5"/>
      <c r="F92" s="5"/>
      <c r="G92" s="5" t="s">
        <v>2184</v>
      </c>
      <c r="H92" s="5" t="s">
        <v>244</v>
      </c>
      <c r="I92" s="44">
        <v>44627.0</v>
      </c>
      <c r="J92" s="150">
        <v>0.47791666666666666</v>
      </c>
      <c r="K92" s="19">
        <v>1.0</v>
      </c>
      <c r="L92" s="10" t="b">
        <v>1</v>
      </c>
      <c r="M92" s="5" t="s">
        <v>2470</v>
      </c>
      <c r="N92" s="5" t="s">
        <v>247</v>
      </c>
      <c r="O92" s="5"/>
      <c r="P92" s="110" t="b">
        <f t="shared" si="1"/>
        <v>0</v>
      </c>
      <c r="Q92" s="110" t="b">
        <f>IF(COUNTIF(RAW_APS!$A$2:$A815,A92)=0,TRUE,FALSE)</f>
        <v>0</v>
      </c>
      <c r="R92" s="241" t="b">
        <f t="shared" si="2"/>
        <v>0</v>
      </c>
      <c r="U92" s="112" t="str">
        <f t="shared" si="3"/>
        <v/>
      </c>
      <c r="V92" s="60"/>
      <c r="W92" s="60"/>
      <c r="X92" s="60"/>
      <c r="Y92" s="60"/>
      <c r="Z92" s="210"/>
      <c r="AA92" s="112" t="str">
        <f t="shared" si="4"/>
        <v>FM354</v>
      </c>
      <c r="AB92" s="112" t="str">
        <f t="shared" si="5"/>
        <v/>
      </c>
      <c r="AC92" s="112" t="str">
        <f t="shared" si="6"/>
        <v/>
      </c>
      <c r="AD92" s="5"/>
      <c r="AE92" s="5"/>
    </row>
    <row r="93">
      <c r="A93" s="5" t="s">
        <v>2107</v>
      </c>
      <c r="B93" s="44">
        <v>44631.0</v>
      </c>
      <c r="C93" s="150">
        <v>0.3006712962962963</v>
      </c>
      <c r="D93" s="5"/>
      <c r="E93" s="5"/>
      <c r="F93" s="5"/>
      <c r="G93" s="5" t="s">
        <v>2184</v>
      </c>
      <c r="H93" s="5" t="s">
        <v>244</v>
      </c>
      <c r="I93" s="44">
        <v>44631.0</v>
      </c>
      <c r="J93" s="150">
        <v>0.48608796296296297</v>
      </c>
      <c r="K93" s="19">
        <v>1.0</v>
      </c>
      <c r="L93" s="10" t="b">
        <v>1</v>
      </c>
      <c r="M93" s="5" t="s">
        <v>2464</v>
      </c>
      <c r="N93" s="5" t="s">
        <v>247</v>
      </c>
      <c r="O93" s="5"/>
      <c r="P93" s="110" t="b">
        <f t="shared" si="1"/>
        <v>0</v>
      </c>
      <c r="Q93" s="110" t="b">
        <f>IF(COUNTIF(RAW_APS!$A$2:$A815,A93)=0,TRUE,FALSE)</f>
        <v>0</v>
      </c>
      <c r="R93" s="241" t="b">
        <f t="shared" si="2"/>
        <v>0</v>
      </c>
      <c r="U93" s="112" t="str">
        <f t="shared" si="3"/>
        <v/>
      </c>
      <c r="V93" s="60"/>
      <c r="W93" s="60"/>
      <c r="X93" s="60"/>
      <c r="Y93" s="60"/>
      <c r="Z93" s="210"/>
      <c r="AA93" s="112" t="str">
        <f t="shared" si="4"/>
        <v>FM355</v>
      </c>
      <c r="AB93" s="112" t="str">
        <f t="shared" si="5"/>
        <v/>
      </c>
      <c r="AC93" s="112" t="str">
        <f t="shared" si="6"/>
        <v/>
      </c>
      <c r="AD93" s="5"/>
      <c r="AE93" s="5"/>
    </row>
    <row r="94">
      <c r="A94" s="5" t="s">
        <v>2134</v>
      </c>
      <c r="B94" s="44">
        <v>44631.0</v>
      </c>
      <c r="C94" s="150">
        <v>0.3314236111111111</v>
      </c>
      <c r="D94" s="5"/>
      <c r="E94" s="5"/>
      <c r="F94" s="5"/>
      <c r="G94" s="5" t="s">
        <v>2184</v>
      </c>
      <c r="H94" s="5" t="s">
        <v>244</v>
      </c>
      <c r="I94" s="44">
        <v>44631.0</v>
      </c>
      <c r="J94" s="150">
        <v>0.486099537037037</v>
      </c>
      <c r="K94" s="19">
        <v>1.0</v>
      </c>
      <c r="L94" s="10" t="b">
        <v>1</v>
      </c>
      <c r="M94" s="5" t="s">
        <v>2464</v>
      </c>
      <c r="N94" s="5" t="s">
        <v>247</v>
      </c>
      <c r="O94" s="5"/>
      <c r="P94" s="110" t="b">
        <f t="shared" si="1"/>
        <v>0</v>
      </c>
      <c r="Q94" s="110" t="b">
        <f>IF(COUNTIF(RAW_APS!$A$2:$A815,A94)=0,TRUE,FALSE)</f>
        <v>0</v>
      </c>
      <c r="R94" s="241" t="b">
        <f t="shared" si="2"/>
        <v>0</v>
      </c>
      <c r="U94" s="112" t="str">
        <f t="shared" si="3"/>
        <v/>
      </c>
      <c r="V94" s="60"/>
      <c r="W94" s="60"/>
      <c r="X94" s="60"/>
      <c r="Y94" s="60"/>
      <c r="Z94" s="210"/>
      <c r="AA94" s="112" t="str">
        <f t="shared" si="4"/>
        <v>FM360</v>
      </c>
      <c r="AB94" s="112" t="str">
        <f t="shared" si="5"/>
        <v/>
      </c>
      <c r="AC94" s="112" t="str">
        <f t="shared" si="6"/>
        <v/>
      </c>
      <c r="AD94" s="5"/>
      <c r="AE94" s="5"/>
    </row>
    <row r="95">
      <c r="A95" s="5" t="s">
        <v>2030</v>
      </c>
      <c r="B95" s="44">
        <v>44627.0</v>
      </c>
      <c r="C95" s="150">
        <v>0.3385300925925926</v>
      </c>
      <c r="D95" s="5"/>
      <c r="E95" s="5"/>
      <c r="F95" s="5"/>
      <c r="G95" s="5" t="s">
        <v>2184</v>
      </c>
      <c r="H95" s="5" t="s">
        <v>244</v>
      </c>
      <c r="I95" s="44">
        <v>44627.0</v>
      </c>
      <c r="J95" s="150">
        <v>0.4779050925925926</v>
      </c>
      <c r="K95" s="19">
        <v>1.0</v>
      </c>
      <c r="L95" s="10" t="b">
        <v>1</v>
      </c>
      <c r="M95" s="5" t="s">
        <v>2466</v>
      </c>
      <c r="N95" s="5" t="s">
        <v>247</v>
      </c>
      <c r="O95" s="5"/>
      <c r="P95" s="110" t="b">
        <f t="shared" si="1"/>
        <v>0</v>
      </c>
      <c r="Q95" s="110" t="b">
        <f>IF(COUNTIF(RAW_APS!$A$2:$A815,A95)=0,TRUE,FALSE)</f>
        <v>0</v>
      </c>
      <c r="R95" s="241" t="b">
        <f t="shared" si="2"/>
        <v>0</v>
      </c>
      <c r="U95" s="112" t="str">
        <f t="shared" si="3"/>
        <v/>
      </c>
      <c r="V95" s="60"/>
      <c r="W95" s="60"/>
      <c r="X95" s="60"/>
      <c r="Y95" s="60"/>
      <c r="Z95" s="210"/>
      <c r="AA95" s="112" t="str">
        <f t="shared" si="4"/>
        <v>FM367</v>
      </c>
      <c r="AB95" s="112" t="str">
        <f t="shared" si="5"/>
        <v/>
      </c>
      <c r="AC95" s="112" t="str">
        <f t="shared" si="6"/>
        <v/>
      </c>
      <c r="AD95" s="5"/>
      <c r="AE95" s="5"/>
    </row>
    <row r="96">
      <c r="A96" s="5" t="s">
        <v>1992</v>
      </c>
      <c r="B96" s="44">
        <v>44627.0</v>
      </c>
      <c r="C96" s="150">
        <v>0.31277777777777777</v>
      </c>
      <c r="D96" s="5"/>
      <c r="E96" s="5"/>
      <c r="F96" s="5"/>
      <c r="G96" s="5" t="s">
        <v>2184</v>
      </c>
      <c r="H96" s="5" t="s">
        <v>244</v>
      </c>
      <c r="I96" s="44">
        <v>44627.0</v>
      </c>
      <c r="J96" s="150">
        <v>0.4778935185185185</v>
      </c>
      <c r="K96" s="19">
        <v>1.0</v>
      </c>
      <c r="L96" s="10" t="b">
        <v>1</v>
      </c>
      <c r="M96" s="5" t="s">
        <v>2466</v>
      </c>
      <c r="N96" s="5" t="s">
        <v>247</v>
      </c>
      <c r="O96" s="5"/>
      <c r="P96" s="110" t="b">
        <f t="shared" si="1"/>
        <v>0</v>
      </c>
      <c r="Q96" s="110" t="b">
        <f>IF(COUNTIF(RAW_APS!$A$2:$A815,A96)=0,TRUE,FALSE)</f>
        <v>0</v>
      </c>
      <c r="R96" s="241" t="b">
        <f t="shared" si="2"/>
        <v>0</v>
      </c>
      <c r="U96" s="112" t="str">
        <f t="shared" si="3"/>
        <v/>
      </c>
      <c r="V96" s="60"/>
      <c r="W96" s="60"/>
      <c r="X96" s="60"/>
      <c r="Y96" s="60"/>
      <c r="Z96" s="210"/>
      <c r="AA96" s="112" t="str">
        <f t="shared" si="4"/>
        <v>FM369</v>
      </c>
      <c r="AB96" s="112" t="str">
        <f t="shared" si="5"/>
        <v/>
      </c>
      <c r="AC96" s="112" t="str">
        <f t="shared" si="6"/>
        <v/>
      </c>
      <c r="AD96" s="5"/>
      <c r="AE96" s="5"/>
    </row>
    <row r="97">
      <c r="A97" s="5" t="s">
        <v>1619</v>
      </c>
      <c r="B97" s="44">
        <v>44617.0</v>
      </c>
      <c r="C97" s="150">
        <v>0.3025115740740741</v>
      </c>
      <c r="D97" s="5"/>
      <c r="E97" s="5"/>
      <c r="F97" s="5"/>
      <c r="G97" s="5" t="s">
        <v>2184</v>
      </c>
      <c r="H97" s="5" t="s">
        <v>244</v>
      </c>
      <c r="I97" s="44">
        <v>44617.0</v>
      </c>
      <c r="J97" s="150">
        <v>0.5033680555555555</v>
      </c>
      <c r="K97" s="19">
        <v>1.0</v>
      </c>
      <c r="L97" s="10" t="b">
        <v>1</v>
      </c>
      <c r="M97" s="5" t="s">
        <v>2473</v>
      </c>
      <c r="N97" s="5" t="s">
        <v>247</v>
      </c>
      <c r="O97" s="5"/>
      <c r="P97" s="110" t="b">
        <f t="shared" si="1"/>
        <v>0</v>
      </c>
      <c r="Q97" s="110" t="b">
        <f>IF(COUNTIF(RAW_APS!$A$2:$A815,A97)=0,TRUE,FALSE)</f>
        <v>0</v>
      </c>
      <c r="R97" s="241" t="b">
        <f t="shared" si="2"/>
        <v>0</v>
      </c>
      <c r="U97" s="112" t="str">
        <f t="shared" si="3"/>
        <v/>
      </c>
      <c r="V97" s="60"/>
      <c r="W97" s="60"/>
      <c r="X97" s="60"/>
      <c r="Y97" s="60"/>
      <c r="Z97" s="210"/>
      <c r="AA97" s="112" t="str">
        <f t="shared" si="4"/>
        <v>FM37</v>
      </c>
      <c r="AB97" s="112" t="str">
        <f t="shared" si="5"/>
        <v/>
      </c>
      <c r="AC97" s="112" t="str">
        <f t="shared" si="6"/>
        <v/>
      </c>
      <c r="AD97" s="5"/>
      <c r="AE97" s="5"/>
    </row>
    <row r="98">
      <c r="A98" s="5" t="s">
        <v>1919</v>
      </c>
      <c r="B98" s="44">
        <v>44625.0</v>
      </c>
      <c r="C98" s="150">
        <v>0.30115740740740743</v>
      </c>
      <c r="D98" s="5"/>
      <c r="E98" s="5"/>
      <c r="F98" s="5"/>
      <c r="G98" s="5" t="s">
        <v>2184</v>
      </c>
      <c r="H98" s="5" t="s">
        <v>244</v>
      </c>
      <c r="I98" s="44">
        <v>44625.0</v>
      </c>
      <c r="J98" s="150">
        <v>0.48974537037037036</v>
      </c>
      <c r="K98" s="19">
        <v>1.0</v>
      </c>
      <c r="L98" s="10" t="b">
        <v>1</v>
      </c>
      <c r="M98" s="5" t="s">
        <v>2467</v>
      </c>
      <c r="N98" s="5" t="s">
        <v>247</v>
      </c>
      <c r="O98" s="5"/>
      <c r="P98" s="110" t="b">
        <f t="shared" si="1"/>
        <v>0</v>
      </c>
      <c r="Q98" s="110" t="b">
        <f>IF(COUNTIF(RAW_APS!$A$2:$A815,A98)=0,TRUE,FALSE)</f>
        <v>0</v>
      </c>
      <c r="R98" s="241" t="b">
        <f t="shared" si="2"/>
        <v>0</v>
      </c>
      <c r="U98" s="112" t="str">
        <f t="shared" si="3"/>
        <v/>
      </c>
      <c r="V98" s="60"/>
      <c r="W98" s="60"/>
      <c r="X98" s="60"/>
      <c r="Y98" s="60"/>
      <c r="Z98" s="210"/>
      <c r="AA98" s="112" t="str">
        <f t="shared" si="4"/>
        <v>FM370</v>
      </c>
      <c r="AB98" s="112" t="str">
        <f t="shared" si="5"/>
        <v/>
      </c>
      <c r="AC98" s="112" t="str">
        <f t="shared" si="6"/>
        <v/>
      </c>
      <c r="AD98" s="5"/>
      <c r="AE98" s="5"/>
    </row>
    <row r="99">
      <c r="A99" s="5" t="s">
        <v>2148</v>
      </c>
      <c r="B99" s="44">
        <v>44631.0</v>
      </c>
      <c r="C99" s="150">
        <v>0.4051388888888889</v>
      </c>
      <c r="D99" s="5"/>
      <c r="E99" s="5"/>
      <c r="F99" s="5"/>
      <c r="G99" s="5" t="s">
        <v>2184</v>
      </c>
      <c r="H99" s="5" t="s">
        <v>244</v>
      </c>
      <c r="I99" s="44">
        <v>44631.0</v>
      </c>
      <c r="J99" s="150">
        <v>0.486099537037037</v>
      </c>
      <c r="K99" s="19">
        <v>1.0</v>
      </c>
      <c r="L99" s="10" t="b">
        <v>1</v>
      </c>
      <c r="M99" s="5" t="s">
        <v>2464</v>
      </c>
      <c r="N99" s="5" t="s">
        <v>247</v>
      </c>
      <c r="O99" s="5"/>
      <c r="P99" s="110" t="b">
        <f t="shared" si="1"/>
        <v>0</v>
      </c>
      <c r="Q99" s="110" t="b">
        <f>IF(COUNTIF(RAW_APS!$A$2:$A815,A99)=0,TRUE,FALSE)</f>
        <v>0</v>
      </c>
      <c r="R99" s="241" t="b">
        <f t="shared" si="2"/>
        <v>0</v>
      </c>
      <c r="U99" s="112" t="str">
        <f t="shared" si="3"/>
        <v/>
      </c>
      <c r="V99" s="60"/>
      <c r="W99" s="60"/>
      <c r="X99" s="60"/>
      <c r="Y99" s="60"/>
      <c r="Z99" s="210"/>
      <c r="AA99" s="112" t="str">
        <f t="shared" si="4"/>
        <v>FM371</v>
      </c>
      <c r="AB99" s="112" t="str">
        <f t="shared" si="5"/>
        <v/>
      </c>
      <c r="AC99" s="112" t="str">
        <f t="shared" si="6"/>
        <v/>
      </c>
      <c r="AD99" s="5"/>
      <c r="AE99" s="5"/>
    </row>
    <row r="100">
      <c r="A100" s="5" t="s">
        <v>1815</v>
      </c>
      <c r="B100" s="44">
        <v>44621.0</v>
      </c>
      <c r="C100" s="150">
        <v>0.3350925925925926</v>
      </c>
      <c r="D100" s="5"/>
      <c r="E100" s="5"/>
      <c r="F100" s="5"/>
      <c r="G100" s="5" t="s">
        <v>2184</v>
      </c>
      <c r="H100" s="5" t="s">
        <v>244</v>
      </c>
      <c r="I100" s="44">
        <v>44627.0</v>
      </c>
      <c r="J100" s="150">
        <v>0.47792824074074075</v>
      </c>
      <c r="K100" s="19">
        <v>1.0</v>
      </c>
      <c r="L100" s="10" t="b">
        <v>1</v>
      </c>
      <c r="M100" s="5" t="s">
        <v>2470</v>
      </c>
      <c r="N100" s="5" t="s">
        <v>247</v>
      </c>
      <c r="O100" s="5"/>
      <c r="P100" s="110" t="b">
        <f t="shared" si="1"/>
        <v>0</v>
      </c>
      <c r="Q100" s="110" t="b">
        <f>IF(COUNTIF(RAW_APS!$A$2:$A815,A100)=0,TRUE,FALSE)</f>
        <v>0</v>
      </c>
      <c r="R100" s="241" t="b">
        <f t="shared" si="2"/>
        <v>0</v>
      </c>
      <c r="U100" s="112" t="str">
        <f t="shared" si="3"/>
        <v/>
      </c>
      <c r="V100" s="60"/>
      <c r="W100" s="60"/>
      <c r="X100" s="60"/>
      <c r="Y100" s="60"/>
      <c r="Z100" s="210"/>
      <c r="AA100" s="112" t="str">
        <f t="shared" si="4"/>
        <v>FM372</v>
      </c>
      <c r="AB100" s="112" t="str">
        <f t="shared" si="5"/>
        <v/>
      </c>
      <c r="AC100" s="112" t="str">
        <f t="shared" si="6"/>
        <v/>
      </c>
      <c r="AD100" s="5"/>
      <c r="AE100" s="5"/>
    </row>
    <row r="101">
      <c r="A101" s="5" t="s">
        <v>1803</v>
      </c>
      <c r="B101" s="44">
        <v>44621.0</v>
      </c>
      <c r="C101" s="150">
        <v>0.329224537037037</v>
      </c>
      <c r="D101" s="5"/>
      <c r="E101" s="5"/>
      <c r="F101" s="5"/>
      <c r="G101" s="5" t="s">
        <v>2184</v>
      </c>
      <c r="H101" s="5" t="s">
        <v>244</v>
      </c>
      <c r="I101" s="44">
        <v>44627.0</v>
      </c>
      <c r="J101" s="150">
        <v>0.47792824074074075</v>
      </c>
      <c r="K101" s="19">
        <v>1.0</v>
      </c>
      <c r="L101" s="10" t="b">
        <v>1</v>
      </c>
      <c r="M101" s="5" t="s">
        <v>2470</v>
      </c>
      <c r="N101" s="5" t="s">
        <v>247</v>
      </c>
      <c r="O101" s="5"/>
      <c r="P101" s="110" t="b">
        <f t="shared" si="1"/>
        <v>0</v>
      </c>
      <c r="Q101" s="110" t="b">
        <f>IF(COUNTIF(RAW_APS!$A$2:$A815,A101)=0,TRUE,FALSE)</f>
        <v>0</v>
      </c>
      <c r="R101" s="241" t="b">
        <f t="shared" si="2"/>
        <v>0</v>
      </c>
      <c r="U101" s="112" t="str">
        <f t="shared" si="3"/>
        <v/>
      </c>
      <c r="V101" s="60"/>
      <c r="W101" s="60"/>
      <c r="X101" s="60"/>
      <c r="Y101" s="60"/>
      <c r="Z101" s="210"/>
      <c r="AA101" s="112" t="str">
        <f t="shared" si="4"/>
        <v>FM374</v>
      </c>
      <c r="AB101" s="112" t="str">
        <f t="shared" si="5"/>
        <v/>
      </c>
      <c r="AC101" s="112" t="str">
        <f t="shared" si="6"/>
        <v/>
      </c>
      <c r="AD101" s="5"/>
      <c r="AE101" s="5"/>
    </row>
    <row r="102">
      <c r="A102" s="5" t="s">
        <v>1472</v>
      </c>
      <c r="B102" s="44">
        <v>44611.0</v>
      </c>
      <c r="C102" s="150">
        <v>0.3456018518518518</v>
      </c>
      <c r="D102" s="5"/>
      <c r="E102" s="5"/>
      <c r="F102" s="5"/>
      <c r="G102" s="5" t="s">
        <v>2184</v>
      </c>
      <c r="H102" s="5" t="s">
        <v>244</v>
      </c>
      <c r="I102" s="44">
        <v>44611.0</v>
      </c>
      <c r="J102" s="150">
        <v>0.4882638888888889</v>
      </c>
      <c r="K102" s="19">
        <v>1.0</v>
      </c>
      <c r="L102" s="10" t="b">
        <v>1</v>
      </c>
      <c r="M102" s="5" t="s">
        <v>2477</v>
      </c>
      <c r="N102" s="5" t="s">
        <v>247</v>
      </c>
      <c r="O102" s="5"/>
      <c r="P102" s="110" t="b">
        <f t="shared" si="1"/>
        <v>0</v>
      </c>
      <c r="Q102" s="110" t="b">
        <f>IF(COUNTIF(RAW_APS!$A$2:$A815,A102)=0,TRUE,FALSE)</f>
        <v>0</v>
      </c>
      <c r="R102" s="241" t="b">
        <f t="shared" si="2"/>
        <v>0</v>
      </c>
      <c r="U102" s="112" t="str">
        <f t="shared" si="3"/>
        <v/>
      </c>
      <c r="V102" s="60"/>
      <c r="W102" s="60"/>
      <c r="X102" s="60"/>
      <c r="Y102" s="60"/>
      <c r="Z102" s="210"/>
      <c r="AA102" s="112" t="str">
        <f t="shared" si="4"/>
        <v>FM38</v>
      </c>
      <c r="AB102" s="112" t="str">
        <f t="shared" si="5"/>
        <v/>
      </c>
      <c r="AC102" s="112" t="str">
        <f t="shared" si="6"/>
        <v/>
      </c>
      <c r="AD102" s="5"/>
      <c r="AE102" s="5"/>
    </row>
    <row r="103">
      <c r="A103" s="5" t="s">
        <v>1978</v>
      </c>
      <c r="B103" s="44">
        <v>44627.0</v>
      </c>
      <c r="C103" s="150">
        <v>0.28903935185185187</v>
      </c>
      <c r="D103" s="5"/>
      <c r="E103" s="5"/>
      <c r="F103" s="5"/>
      <c r="G103" s="5" t="s">
        <v>2184</v>
      </c>
      <c r="H103" s="5" t="s">
        <v>244</v>
      </c>
      <c r="I103" s="44">
        <v>44627.0</v>
      </c>
      <c r="J103" s="150">
        <v>0.4778935185185185</v>
      </c>
      <c r="K103" s="19">
        <v>1.0</v>
      </c>
      <c r="L103" s="10" t="b">
        <v>1</v>
      </c>
      <c r="M103" s="5" t="s">
        <v>2466</v>
      </c>
      <c r="N103" s="5" t="s">
        <v>247</v>
      </c>
      <c r="O103" s="5"/>
      <c r="P103" s="110" t="b">
        <f t="shared" si="1"/>
        <v>0</v>
      </c>
      <c r="Q103" s="110" t="b">
        <f>IF(COUNTIF(RAW_APS!$A$2:$A815,A103)=0,TRUE,FALSE)</f>
        <v>0</v>
      </c>
      <c r="R103" s="241" t="b">
        <f t="shared" si="2"/>
        <v>0</v>
      </c>
      <c r="U103" s="112" t="str">
        <f t="shared" si="3"/>
        <v/>
      </c>
      <c r="V103" s="60"/>
      <c r="W103" s="60"/>
      <c r="X103" s="60"/>
      <c r="Y103" s="60"/>
      <c r="Z103" s="210"/>
      <c r="AA103" s="112" t="str">
        <f t="shared" si="4"/>
        <v>FM380</v>
      </c>
      <c r="AB103" s="112" t="str">
        <f t="shared" si="5"/>
        <v/>
      </c>
      <c r="AC103" s="112" t="str">
        <f t="shared" si="6"/>
        <v/>
      </c>
      <c r="AD103" s="5"/>
      <c r="AE103" s="5"/>
    </row>
    <row r="104">
      <c r="A104" s="5" t="s">
        <v>1988</v>
      </c>
      <c r="B104" s="44">
        <v>44627.0</v>
      </c>
      <c r="C104" s="150">
        <v>0.3037152777777778</v>
      </c>
      <c r="D104" s="5"/>
      <c r="E104" s="5"/>
      <c r="F104" s="5"/>
      <c r="G104" s="5" t="s">
        <v>2184</v>
      </c>
      <c r="H104" s="5" t="s">
        <v>244</v>
      </c>
      <c r="I104" s="44">
        <v>44627.0</v>
      </c>
      <c r="J104" s="150">
        <v>0.4778935185185185</v>
      </c>
      <c r="K104" s="19">
        <v>1.0</v>
      </c>
      <c r="L104" s="10" t="b">
        <v>1</v>
      </c>
      <c r="M104" s="5" t="s">
        <v>2466</v>
      </c>
      <c r="N104" s="5" t="s">
        <v>247</v>
      </c>
      <c r="O104" s="5"/>
      <c r="P104" s="110" t="b">
        <f t="shared" si="1"/>
        <v>0</v>
      </c>
      <c r="Q104" s="110" t="b">
        <f>IF(COUNTIF(RAW_APS!$A$2:$A815,A104)=0,TRUE,FALSE)</f>
        <v>0</v>
      </c>
      <c r="R104" s="241" t="b">
        <f t="shared" si="2"/>
        <v>0</v>
      </c>
      <c r="U104" s="112" t="str">
        <f t="shared" si="3"/>
        <v/>
      </c>
      <c r="V104" s="60"/>
      <c r="W104" s="60"/>
      <c r="X104" s="60"/>
      <c r="Y104" s="60"/>
      <c r="Z104" s="210"/>
      <c r="AA104" s="112" t="str">
        <f t="shared" si="4"/>
        <v>FM388</v>
      </c>
      <c r="AB104" s="112" t="str">
        <f t="shared" si="5"/>
        <v/>
      </c>
      <c r="AC104" s="112" t="str">
        <f t="shared" si="6"/>
        <v/>
      </c>
      <c r="AD104" s="5"/>
      <c r="AE104" s="5"/>
    </row>
    <row r="105">
      <c r="A105" s="5" t="s">
        <v>2124</v>
      </c>
      <c r="B105" s="44">
        <v>44631.0</v>
      </c>
      <c r="C105" s="150">
        <v>0.3235763888888889</v>
      </c>
      <c r="D105" s="5"/>
      <c r="E105" s="5"/>
      <c r="F105" s="5"/>
      <c r="G105" s="5" t="s">
        <v>2184</v>
      </c>
      <c r="H105" s="5" t="s">
        <v>244</v>
      </c>
      <c r="I105" s="44">
        <v>44631.0</v>
      </c>
      <c r="J105" s="150">
        <v>0.48608796296296297</v>
      </c>
      <c r="K105" s="19">
        <v>1.0</v>
      </c>
      <c r="L105" s="10" t="b">
        <v>1</v>
      </c>
      <c r="M105" s="5" t="s">
        <v>2464</v>
      </c>
      <c r="N105" s="5" t="s">
        <v>247</v>
      </c>
      <c r="O105" s="5"/>
      <c r="P105" s="110" t="b">
        <f t="shared" si="1"/>
        <v>0</v>
      </c>
      <c r="Q105" s="110" t="b">
        <f>IF(COUNTIF(RAW_APS!$A$2:$A815,A105)=0,TRUE,FALSE)</f>
        <v>0</v>
      </c>
      <c r="R105" s="241" t="b">
        <f t="shared" si="2"/>
        <v>0</v>
      </c>
      <c r="U105" s="112" t="str">
        <f t="shared" si="3"/>
        <v/>
      </c>
      <c r="V105" s="60"/>
      <c r="W105" s="60"/>
      <c r="X105" s="60"/>
      <c r="Y105" s="60"/>
      <c r="Z105" s="210"/>
      <c r="AA105" s="112" t="str">
        <f t="shared" si="4"/>
        <v>FM39</v>
      </c>
      <c r="AB105" s="112" t="str">
        <f t="shared" si="5"/>
        <v/>
      </c>
      <c r="AC105" s="112" t="str">
        <f t="shared" si="6"/>
        <v/>
      </c>
      <c r="AD105" s="5"/>
      <c r="AE105" s="5"/>
    </row>
    <row r="106">
      <c r="A106" s="5" t="s">
        <v>1799</v>
      </c>
      <c r="B106" s="44">
        <v>44621.0</v>
      </c>
      <c r="C106" s="150">
        <v>0.32849537037037035</v>
      </c>
      <c r="D106" s="5"/>
      <c r="E106" s="5"/>
      <c r="F106" s="5"/>
      <c r="G106" s="5" t="s">
        <v>2184</v>
      </c>
      <c r="H106" s="5" t="s">
        <v>244</v>
      </c>
      <c r="I106" s="44">
        <v>44627.0</v>
      </c>
      <c r="J106" s="150">
        <v>0.47791666666666666</v>
      </c>
      <c r="K106" s="19">
        <v>1.0</v>
      </c>
      <c r="L106" s="10" t="b">
        <v>1</v>
      </c>
      <c r="M106" s="5" t="s">
        <v>2470</v>
      </c>
      <c r="N106" s="5" t="s">
        <v>247</v>
      </c>
      <c r="O106" s="5"/>
      <c r="P106" s="110" t="b">
        <f t="shared" si="1"/>
        <v>0</v>
      </c>
      <c r="Q106" s="110" t="b">
        <f>IF(COUNTIF(RAW_APS!$A$2:$A815,A106)=0,TRUE,FALSE)</f>
        <v>0</v>
      </c>
      <c r="R106" s="241" t="b">
        <f t="shared" si="2"/>
        <v>0</v>
      </c>
      <c r="U106" s="112" t="str">
        <f t="shared" si="3"/>
        <v/>
      </c>
      <c r="V106" s="60"/>
      <c r="W106" s="60"/>
      <c r="X106" s="60"/>
      <c r="Y106" s="60"/>
      <c r="Z106" s="210"/>
      <c r="AA106" s="112" t="str">
        <f t="shared" si="4"/>
        <v>FM390</v>
      </c>
      <c r="AB106" s="112" t="str">
        <f t="shared" si="5"/>
        <v/>
      </c>
      <c r="AC106" s="112" t="str">
        <f t="shared" si="6"/>
        <v/>
      </c>
      <c r="AD106" s="5"/>
      <c r="AE106" s="5"/>
    </row>
    <row r="107">
      <c r="A107" s="5" t="s">
        <v>2040</v>
      </c>
      <c r="B107" s="44">
        <v>44629.0</v>
      </c>
      <c r="C107" s="150">
        <v>0.31136574074074075</v>
      </c>
      <c r="D107" s="5"/>
      <c r="E107" s="5"/>
      <c r="F107" s="5"/>
      <c r="G107" s="5" t="s">
        <v>2188</v>
      </c>
      <c r="H107" s="5" t="s">
        <v>254</v>
      </c>
      <c r="I107" s="44">
        <v>44861.0</v>
      </c>
      <c r="J107" s="150">
        <v>0.4895023148148148</v>
      </c>
      <c r="K107" s="19">
        <v>1.0</v>
      </c>
      <c r="L107" s="5"/>
      <c r="M107" s="5"/>
      <c r="N107" s="5" t="s">
        <v>247</v>
      </c>
      <c r="O107" s="5"/>
      <c r="P107" s="110" t="b">
        <f t="shared" si="1"/>
        <v>0</v>
      </c>
      <c r="Q107" s="110" t="b">
        <f>IF(COUNTIF(RAW_APS!$A$2:$A815,A107)=0,TRUE,FALSE)</f>
        <v>0</v>
      </c>
      <c r="R107" s="241" t="b">
        <f t="shared" si="2"/>
        <v>0</v>
      </c>
      <c r="U107" s="112" t="str">
        <f t="shared" si="3"/>
        <v/>
      </c>
      <c r="V107" s="60"/>
      <c r="W107" s="60"/>
      <c r="X107" s="60"/>
      <c r="Y107" s="60"/>
      <c r="Z107" s="210"/>
      <c r="AA107" s="112" t="str">
        <f t="shared" si="4"/>
        <v>FM395</v>
      </c>
      <c r="AB107" s="112" t="str">
        <f t="shared" si="5"/>
        <v/>
      </c>
      <c r="AC107" s="112" t="str">
        <f t="shared" si="6"/>
        <v/>
      </c>
      <c r="AD107" s="5"/>
      <c r="AE107" s="5"/>
    </row>
    <row r="108">
      <c r="A108" s="5" t="s">
        <v>1871</v>
      </c>
      <c r="B108" s="44">
        <v>44623.0</v>
      </c>
      <c r="C108" s="150">
        <v>0.32363425925925926</v>
      </c>
      <c r="D108" s="5"/>
      <c r="E108" s="5"/>
      <c r="F108" s="5"/>
      <c r="G108" s="5" t="s">
        <v>2184</v>
      </c>
      <c r="H108" s="5" t="s">
        <v>244</v>
      </c>
      <c r="I108" s="44">
        <v>44623.0</v>
      </c>
      <c r="J108" s="150">
        <v>0.4605902777777778</v>
      </c>
      <c r="K108" s="19">
        <v>1.0</v>
      </c>
      <c r="L108" s="10" t="b">
        <v>0</v>
      </c>
      <c r="M108" s="5" t="s">
        <v>2468</v>
      </c>
      <c r="N108" s="5" t="s">
        <v>247</v>
      </c>
      <c r="O108" s="5"/>
      <c r="P108" s="110" t="b">
        <f t="shared" si="1"/>
        <v>0</v>
      </c>
      <c r="Q108" s="110" t="b">
        <f>IF(COUNTIF(RAW_APS!$A$2:$A815,A108)=0,TRUE,FALSE)</f>
        <v>0</v>
      </c>
      <c r="R108" s="241" t="b">
        <f t="shared" si="2"/>
        <v>0</v>
      </c>
      <c r="U108" s="112" t="str">
        <f t="shared" si="3"/>
        <v/>
      </c>
      <c r="V108" s="60"/>
      <c r="W108" s="60"/>
      <c r="X108" s="60"/>
      <c r="Y108" s="60"/>
      <c r="Z108" s="210"/>
      <c r="AA108" s="112" t="str">
        <f t="shared" si="4"/>
        <v>FM396</v>
      </c>
      <c r="AB108" s="112" t="str">
        <f t="shared" si="5"/>
        <v/>
      </c>
      <c r="AC108" s="112" t="str">
        <f t="shared" si="6"/>
        <v/>
      </c>
      <c r="AD108" s="5"/>
      <c r="AE108" s="5"/>
    </row>
    <row r="109">
      <c r="A109" s="5" t="s">
        <v>1715</v>
      </c>
      <c r="B109" s="44">
        <v>44619.0</v>
      </c>
      <c r="C109" s="150">
        <v>0.32320601851851855</v>
      </c>
      <c r="D109" s="5"/>
      <c r="E109" s="5"/>
      <c r="F109" s="5"/>
      <c r="G109" s="5" t="s">
        <v>2184</v>
      </c>
      <c r="H109" s="5" t="s">
        <v>244</v>
      </c>
      <c r="I109" s="44">
        <v>44621.0</v>
      </c>
      <c r="J109" s="150">
        <v>0.4783449074074074</v>
      </c>
      <c r="K109" s="19">
        <v>2.0</v>
      </c>
      <c r="L109" s="10" t="b">
        <v>1</v>
      </c>
      <c r="M109" s="5" t="s">
        <v>2472</v>
      </c>
      <c r="N109" s="5" t="s">
        <v>247</v>
      </c>
      <c r="O109" s="5"/>
      <c r="P109" s="110" t="b">
        <f t="shared" si="1"/>
        <v>0</v>
      </c>
      <c r="Q109" s="110" t="b">
        <f>IF(COUNTIF(RAW_APS!$A$2:$A815,A109)=0,TRUE,FALSE)</f>
        <v>0</v>
      </c>
      <c r="R109" s="241" t="b">
        <f t="shared" si="2"/>
        <v>0</v>
      </c>
      <c r="U109" s="112" t="str">
        <f t="shared" si="3"/>
        <v/>
      </c>
      <c r="V109" s="60"/>
      <c r="W109" s="60"/>
      <c r="X109" s="60"/>
      <c r="Y109" s="60"/>
      <c r="Z109" s="210"/>
      <c r="AA109" s="112" t="str">
        <f t="shared" si="4"/>
        <v>FM4</v>
      </c>
      <c r="AB109" s="112" t="str">
        <f t="shared" si="5"/>
        <v/>
      </c>
      <c r="AC109" s="112" t="str">
        <f t="shared" si="6"/>
        <v/>
      </c>
      <c r="AD109" s="5"/>
      <c r="AE109" s="5"/>
    </row>
    <row r="110">
      <c r="A110" s="5" t="s">
        <v>1879</v>
      </c>
      <c r="B110" s="44">
        <v>44623.0</v>
      </c>
      <c r="C110" s="150">
        <v>0.33640046296296294</v>
      </c>
      <c r="D110" s="5"/>
      <c r="E110" s="5"/>
      <c r="F110" s="5"/>
      <c r="G110" s="5" t="s">
        <v>2184</v>
      </c>
      <c r="H110" s="5" t="s">
        <v>244</v>
      </c>
      <c r="I110" s="44">
        <v>44623.0</v>
      </c>
      <c r="J110" s="150">
        <v>0.4606018518518519</v>
      </c>
      <c r="K110" s="19">
        <v>1.0</v>
      </c>
      <c r="L110" s="10" t="b">
        <v>0</v>
      </c>
      <c r="M110" s="5" t="s">
        <v>2468</v>
      </c>
      <c r="N110" s="5" t="s">
        <v>247</v>
      </c>
      <c r="O110" s="5"/>
      <c r="P110" s="110" t="b">
        <f t="shared" si="1"/>
        <v>0</v>
      </c>
      <c r="Q110" s="110" t="b">
        <f>IF(COUNTIF(RAW_APS!$A$2:$A815,A110)=0,TRUE,FALSE)</f>
        <v>0</v>
      </c>
      <c r="R110" s="241" t="b">
        <f t="shared" si="2"/>
        <v>0</v>
      </c>
      <c r="U110" s="112" t="str">
        <f t="shared" si="3"/>
        <v/>
      </c>
      <c r="V110" s="60"/>
      <c r="W110" s="60"/>
      <c r="X110" s="60"/>
      <c r="Y110" s="60"/>
      <c r="Z110" s="210"/>
      <c r="AA110" s="112" t="str">
        <f t="shared" si="4"/>
        <v>FM40</v>
      </c>
      <c r="AB110" s="112" t="str">
        <f t="shared" si="5"/>
        <v/>
      </c>
      <c r="AC110" s="112" t="str">
        <f t="shared" si="6"/>
        <v/>
      </c>
      <c r="AD110" s="5"/>
      <c r="AE110" s="5"/>
    </row>
    <row r="111">
      <c r="A111" s="5" t="s">
        <v>1980</v>
      </c>
      <c r="B111" s="44">
        <v>44627.0</v>
      </c>
      <c r="C111" s="150">
        <v>0.29409722222222223</v>
      </c>
      <c r="D111" s="5"/>
      <c r="E111" s="5"/>
      <c r="F111" s="5"/>
      <c r="G111" s="5" t="s">
        <v>2184</v>
      </c>
      <c r="H111" s="5" t="s">
        <v>244</v>
      </c>
      <c r="I111" s="44">
        <v>44627.0</v>
      </c>
      <c r="J111" s="150">
        <v>0.4778935185185185</v>
      </c>
      <c r="K111" s="19">
        <v>1.0</v>
      </c>
      <c r="L111" s="10" t="b">
        <v>1</v>
      </c>
      <c r="M111" s="5" t="s">
        <v>2466</v>
      </c>
      <c r="N111" s="5" t="s">
        <v>247</v>
      </c>
      <c r="O111" s="5"/>
      <c r="P111" s="110" t="b">
        <f t="shared" si="1"/>
        <v>0</v>
      </c>
      <c r="Q111" s="110" t="b">
        <f>IF(COUNTIF(RAW_APS!$A$2:$A815,A111)=0,TRUE,FALSE)</f>
        <v>0</v>
      </c>
      <c r="R111" s="241" t="b">
        <f t="shared" si="2"/>
        <v>0</v>
      </c>
      <c r="U111" s="112" t="str">
        <f t="shared" si="3"/>
        <v/>
      </c>
      <c r="V111" s="60"/>
      <c r="W111" s="60"/>
      <c r="X111" s="60"/>
      <c r="Y111" s="60"/>
      <c r="Z111" s="210"/>
      <c r="AA111" s="112" t="str">
        <f t="shared" si="4"/>
        <v>FM400</v>
      </c>
      <c r="AB111" s="112" t="str">
        <f t="shared" si="5"/>
        <v/>
      </c>
      <c r="AC111" s="112" t="str">
        <f t="shared" si="6"/>
        <v/>
      </c>
      <c r="AD111" s="5"/>
      <c r="AE111" s="5"/>
    </row>
    <row r="112">
      <c r="A112" s="5" t="s">
        <v>2066</v>
      </c>
      <c r="B112" s="44">
        <v>44629.0</v>
      </c>
      <c r="C112" s="150">
        <v>0.3237847222222222</v>
      </c>
      <c r="D112" s="5"/>
      <c r="E112" s="5"/>
      <c r="F112" s="5"/>
      <c r="G112" s="5" t="s">
        <v>2184</v>
      </c>
      <c r="H112" s="5" t="s">
        <v>244</v>
      </c>
      <c r="I112" s="44">
        <v>44629.0</v>
      </c>
      <c r="J112" s="150">
        <v>0.49944444444444447</v>
      </c>
      <c r="K112" s="19">
        <v>1.0</v>
      </c>
      <c r="L112" s="10" t="b">
        <v>1</v>
      </c>
      <c r="M112" s="5" t="s">
        <v>2465</v>
      </c>
      <c r="N112" s="5" t="s">
        <v>247</v>
      </c>
      <c r="O112" s="5"/>
      <c r="P112" s="110" t="b">
        <f t="shared" si="1"/>
        <v>0</v>
      </c>
      <c r="Q112" s="110" t="b">
        <f>IF(COUNTIF(RAW_APS!$A$2:$A815,A112)=0,TRUE,FALSE)</f>
        <v>0</v>
      </c>
      <c r="R112" s="241" t="b">
        <f t="shared" si="2"/>
        <v>0</v>
      </c>
      <c r="U112" s="112" t="str">
        <f t="shared" si="3"/>
        <v/>
      </c>
      <c r="V112" s="60"/>
      <c r="W112" s="60"/>
      <c r="X112" s="60"/>
      <c r="Y112" s="60"/>
      <c r="Z112" s="210"/>
      <c r="AA112" s="112" t="str">
        <f t="shared" si="4"/>
        <v>FM401</v>
      </c>
      <c r="AB112" s="112" t="str">
        <f t="shared" si="5"/>
        <v/>
      </c>
      <c r="AC112" s="112" t="str">
        <f t="shared" si="6"/>
        <v/>
      </c>
      <c r="AD112" s="5"/>
      <c r="AE112" s="5"/>
    </row>
    <row r="113">
      <c r="A113" s="5" t="s">
        <v>1869</v>
      </c>
      <c r="B113" s="44">
        <v>44623.0</v>
      </c>
      <c r="C113" s="150">
        <v>0.3226041666666667</v>
      </c>
      <c r="D113" s="5"/>
      <c r="E113" s="5"/>
      <c r="F113" s="5"/>
      <c r="G113" s="5" t="s">
        <v>2184</v>
      </c>
      <c r="H113" s="5" t="s">
        <v>244</v>
      </c>
      <c r="I113" s="44">
        <v>44623.0</v>
      </c>
      <c r="J113" s="150">
        <v>0.4605902777777778</v>
      </c>
      <c r="K113" s="19">
        <v>1.0</v>
      </c>
      <c r="L113" s="10" t="b">
        <v>0</v>
      </c>
      <c r="M113" s="5" t="s">
        <v>2468</v>
      </c>
      <c r="N113" s="5" t="s">
        <v>247</v>
      </c>
      <c r="O113" s="5"/>
      <c r="P113" s="110" t="b">
        <f t="shared" si="1"/>
        <v>0</v>
      </c>
      <c r="Q113" s="110" t="b">
        <f>IF(COUNTIF(RAW_APS!$A$2:$A815,A113)=0,TRUE,FALSE)</f>
        <v>0</v>
      </c>
      <c r="R113" s="241" t="b">
        <f t="shared" si="2"/>
        <v>0</v>
      </c>
      <c r="U113" s="112" t="str">
        <f t="shared" si="3"/>
        <v/>
      </c>
      <c r="V113" s="60"/>
      <c r="W113" s="60"/>
      <c r="X113" s="60"/>
      <c r="Y113" s="60"/>
      <c r="Z113" s="210"/>
      <c r="AA113" s="112" t="str">
        <f t="shared" si="4"/>
        <v>FM402</v>
      </c>
      <c r="AB113" s="112" t="str">
        <f t="shared" si="5"/>
        <v/>
      </c>
      <c r="AC113" s="112" t="str">
        <f t="shared" si="6"/>
        <v/>
      </c>
      <c r="AD113" s="5"/>
      <c r="AE113" s="5"/>
    </row>
    <row r="114">
      <c r="A114" s="5" t="s">
        <v>2130</v>
      </c>
      <c r="B114" s="44">
        <v>44631.0</v>
      </c>
      <c r="C114" s="150">
        <v>0.32710648148148147</v>
      </c>
      <c r="D114" s="5"/>
      <c r="E114" s="5"/>
      <c r="F114" s="5"/>
      <c r="G114" s="5" t="s">
        <v>2184</v>
      </c>
      <c r="H114" s="5" t="s">
        <v>244</v>
      </c>
      <c r="I114" s="44">
        <v>44631.0</v>
      </c>
      <c r="J114" s="150">
        <v>0.486099537037037</v>
      </c>
      <c r="K114" s="19">
        <v>1.0</v>
      </c>
      <c r="L114" s="10" t="b">
        <v>1</v>
      </c>
      <c r="M114" s="5" t="s">
        <v>2464</v>
      </c>
      <c r="N114" s="5" t="s">
        <v>247</v>
      </c>
      <c r="O114" s="5"/>
      <c r="P114" s="110" t="b">
        <f t="shared" si="1"/>
        <v>0</v>
      </c>
      <c r="Q114" s="110" t="b">
        <f>IF(COUNTIF(RAW_APS!$A$2:$A815,A114)=0,TRUE,FALSE)</f>
        <v>0</v>
      </c>
      <c r="R114" s="241" t="b">
        <f t="shared" si="2"/>
        <v>0</v>
      </c>
      <c r="U114" s="112" t="str">
        <f t="shared" si="3"/>
        <v/>
      </c>
      <c r="V114" s="60"/>
      <c r="W114" s="60"/>
      <c r="X114" s="60"/>
      <c r="Y114" s="60"/>
      <c r="Z114" s="210"/>
      <c r="AA114" s="112" t="str">
        <f t="shared" si="4"/>
        <v>FM404</v>
      </c>
      <c r="AB114" s="112" t="str">
        <f t="shared" si="5"/>
        <v/>
      </c>
      <c r="AC114" s="112" t="str">
        <f t="shared" si="6"/>
        <v/>
      </c>
      <c r="AD114" s="5"/>
      <c r="AE114" s="5"/>
    </row>
    <row r="115">
      <c r="A115" s="5" t="s">
        <v>1929</v>
      </c>
      <c r="B115" s="44">
        <v>44625.0</v>
      </c>
      <c r="C115" s="150">
        <v>0.30886574074074075</v>
      </c>
      <c r="D115" s="5"/>
      <c r="E115" s="5"/>
      <c r="F115" s="5"/>
      <c r="G115" s="5" t="s">
        <v>2184</v>
      </c>
      <c r="H115" s="5" t="s">
        <v>244</v>
      </c>
      <c r="I115" s="44">
        <v>44625.0</v>
      </c>
      <c r="J115" s="150">
        <v>0.48974537037037036</v>
      </c>
      <c r="K115" s="19">
        <v>1.0</v>
      </c>
      <c r="L115" s="10" t="b">
        <v>1</v>
      </c>
      <c r="M115" s="5" t="s">
        <v>2467</v>
      </c>
      <c r="N115" s="5" t="s">
        <v>247</v>
      </c>
      <c r="O115" s="5"/>
      <c r="P115" s="110" t="b">
        <f t="shared" si="1"/>
        <v>0</v>
      </c>
      <c r="Q115" s="110" t="b">
        <f>IF(COUNTIF(RAW_APS!$A$2:$A815,A115)=0,TRUE,FALSE)</f>
        <v>0</v>
      </c>
      <c r="R115" s="241" t="b">
        <f t="shared" si="2"/>
        <v>0</v>
      </c>
      <c r="U115" s="112" t="str">
        <f t="shared" si="3"/>
        <v/>
      </c>
      <c r="V115" s="60"/>
      <c r="W115" s="60"/>
      <c r="X115" s="60"/>
      <c r="Y115" s="60"/>
      <c r="Z115" s="210"/>
      <c r="AA115" s="112" t="str">
        <f t="shared" si="4"/>
        <v>FM405</v>
      </c>
      <c r="AB115" s="112" t="str">
        <f t="shared" si="5"/>
        <v/>
      </c>
      <c r="AC115" s="112" t="str">
        <f t="shared" si="6"/>
        <v/>
      </c>
      <c r="AD115" s="5"/>
      <c r="AE115" s="5"/>
    </row>
    <row r="116">
      <c r="A116" s="5" t="s">
        <v>1427</v>
      </c>
      <c r="B116" s="44">
        <v>44611.0</v>
      </c>
      <c r="C116" s="150">
        <v>0.3153587962962963</v>
      </c>
      <c r="D116" s="5"/>
      <c r="E116" s="5"/>
      <c r="F116" s="5"/>
      <c r="G116" s="5" t="s">
        <v>2184</v>
      </c>
      <c r="H116" s="5" t="s">
        <v>244</v>
      </c>
      <c r="I116" s="44">
        <v>44611.0</v>
      </c>
      <c r="J116" s="150">
        <v>0.4882523148148148</v>
      </c>
      <c r="K116" s="19">
        <v>1.0</v>
      </c>
      <c r="L116" s="10" t="b">
        <v>1</v>
      </c>
      <c r="M116" s="5" t="s">
        <v>2477</v>
      </c>
      <c r="N116" s="5" t="s">
        <v>247</v>
      </c>
      <c r="O116" s="5"/>
      <c r="P116" s="110" t="b">
        <f t="shared" si="1"/>
        <v>0</v>
      </c>
      <c r="Q116" s="110" t="b">
        <f>IF(COUNTIF(RAW_APS!$A$2:$A815,A116)=0,TRUE,FALSE)</f>
        <v>0</v>
      </c>
      <c r="R116" s="241" t="b">
        <f t="shared" si="2"/>
        <v>0</v>
      </c>
      <c r="U116" s="112" t="str">
        <f t="shared" si="3"/>
        <v/>
      </c>
      <c r="V116" s="60"/>
      <c r="W116" s="60"/>
      <c r="X116" s="60"/>
      <c r="Y116" s="60"/>
      <c r="Z116" s="210"/>
      <c r="AA116" s="112" t="str">
        <f t="shared" si="4"/>
        <v>FM408</v>
      </c>
      <c r="AB116" s="112" t="str">
        <f t="shared" si="5"/>
        <v/>
      </c>
      <c r="AC116" s="112" t="str">
        <f t="shared" si="6"/>
        <v/>
      </c>
      <c r="AD116" s="5"/>
      <c r="AE116" s="5"/>
    </row>
    <row r="117">
      <c r="A117" s="5" t="s">
        <v>1807</v>
      </c>
      <c r="B117" s="44">
        <v>44621.0</v>
      </c>
      <c r="C117" s="150">
        <v>0.33123842592592595</v>
      </c>
      <c r="D117" s="5"/>
      <c r="E117" s="5"/>
      <c r="F117" s="5"/>
      <c r="G117" s="5" t="s">
        <v>2184</v>
      </c>
      <c r="H117" s="5" t="s">
        <v>244</v>
      </c>
      <c r="I117" s="44">
        <v>44627.0</v>
      </c>
      <c r="J117" s="150">
        <v>0.47792824074074075</v>
      </c>
      <c r="K117" s="19">
        <v>1.0</v>
      </c>
      <c r="L117" s="10" t="b">
        <v>1</v>
      </c>
      <c r="M117" s="5" t="s">
        <v>2470</v>
      </c>
      <c r="N117" s="5" t="s">
        <v>247</v>
      </c>
      <c r="O117" s="5"/>
      <c r="P117" s="110" t="b">
        <f t="shared" si="1"/>
        <v>0</v>
      </c>
      <c r="Q117" s="110" t="b">
        <f>IF(COUNTIF(RAW_APS!$A$2:$A815,A117)=0,TRUE,FALSE)</f>
        <v>0</v>
      </c>
      <c r="R117" s="241" t="b">
        <f t="shared" si="2"/>
        <v>0</v>
      </c>
      <c r="U117" s="112" t="str">
        <f t="shared" si="3"/>
        <v/>
      </c>
      <c r="V117" s="60"/>
      <c r="W117" s="60"/>
      <c r="X117" s="60"/>
      <c r="Y117" s="60"/>
      <c r="Z117" s="210"/>
      <c r="AA117" s="112" t="str">
        <f t="shared" si="4"/>
        <v>FM41</v>
      </c>
      <c r="AB117" s="112" t="str">
        <f t="shared" si="5"/>
        <v/>
      </c>
      <c r="AC117" s="112" t="str">
        <f t="shared" si="6"/>
        <v/>
      </c>
      <c r="AD117" s="5"/>
      <c r="AE117" s="5"/>
    </row>
    <row r="118">
      <c r="A118" s="5" t="s">
        <v>1973</v>
      </c>
      <c r="B118" s="44">
        <v>44625.0</v>
      </c>
      <c r="C118" s="150">
        <v>0.43181712962962965</v>
      </c>
      <c r="D118" s="5"/>
      <c r="E118" s="5"/>
      <c r="F118" s="5"/>
      <c r="G118" s="5" t="s">
        <v>2184</v>
      </c>
      <c r="H118" s="5" t="s">
        <v>244</v>
      </c>
      <c r="I118" s="44">
        <v>44625.0</v>
      </c>
      <c r="J118" s="150">
        <v>0.48975694444444445</v>
      </c>
      <c r="K118" s="19">
        <v>1.0</v>
      </c>
      <c r="L118" s="10" t="b">
        <v>1</v>
      </c>
      <c r="M118" s="5" t="s">
        <v>2467</v>
      </c>
      <c r="N118" s="5" t="s">
        <v>247</v>
      </c>
      <c r="O118" s="5"/>
      <c r="P118" s="110" t="b">
        <f t="shared" si="1"/>
        <v>0</v>
      </c>
      <c r="Q118" s="110" t="b">
        <f>IF(COUNTIF(RAW_APS!$A$2:$A815,A118)=0,TRUE,FALSE)</f>
        <v>0</v>
      </c>
      <c r="R118" s="241" t="b">
        <f t="shared" si="2"/>
        <v>0</v>
      </c>
      <c r="U118" s="112" t="str">
        <f t="shared" si="3"/>
        <v/>
      </c>
      <c r="V118" s="60"/>
      <c r="W118" s="60"/>
      <c r="X118" s="60"/>
      <c r="Y118" s="60"/>
      <c r="Z118" s="210"/>
      <c r="AA118" s="112" t="str">
        <f t="shared" si="4"/>
        <v>FM410</v>
      </c>
      <c r="AB118" s="112" t="str">
        <f t="shared" si="5"/>
        <v/>
      </c>
      <c r="AC118" s="112" t="str">
        <f t="shared" si="6"/>
        <v/>
      </c>
      <c r="AD118" s="5"/>
      <c r="AE118" s="5"/>
    </row>
    <row r="119">
      <c r="A119" s="5" t="s">
        <v>2032</v>
      </c>
      <c r="B119" s="44">
        <v>44627.0</v>
      </c>
      <c r="C119" s="150">
        <v>0.3386458333333333</v>
      </c>
      <c r="D119" s="5"/>
      <c r="E119" s="5"/>
      <c r="F119" s="5"/>
      <c r="G119" s="5" t="s">
        <v>2184</v>
      </c>
      <c r="H119" s="5" t="s">
        <v>244</v>
      </c>
      <c r="I119" s="44">
        <v>44627.0</v>
      </c>
      <c r="J119" s="150">
        <v>0.4779050925925926</v>
      </c>
      <c r="K119" s="19">
        <v>1.0</v>
      </c>
      <c r="L119" s="10" t="b">
        <v>1</v>
      </c>
      <c r="M119" s="5" t="s">
        <v>2466</v>
      </c>
      <c r="N119" s="5" t="s">
        <v>247</v>
      </c>
      <c r="O119" s="5"/>
      <c r="P119" s="110" t="b">
        <f t="shared" si="1"/>
        <v>0</v>
      </c>
      <c r="Q119" s="110" t="b">
        <f>IF(COUNTIF(RAW_APS!$A$2:$A815,A119)=0,TRUE,FALSE)</f>
        <v>0</v>
      </c>
      <c r="R119" s="241" t="b">
        <f t="shared" si="2"/>
        <v>0</v>
      </c>
      <c r="U119" s="112" t="str">
        <f t="shared" si="3"/>
        <v/>
      </c>
      <c r="V119" s="60"/>
      <c r="W119" s="60"/>
      <c r="X119" s="60"/>
      <c r="Y119" s="60"/>
      <c r="Z119" s="210"/>
      <c r="AA119" s="112" t="str">
        <f t="shared" si="4"/>
        <v>FM413</v>
      </c>
      <c r="AB119" s="112" t="str">
        <f t="shared" si="5"/>
        <v/>
      </c>
      <c r="AC119" s="112" t="str">
        <f t="shared" si="6"/>
        <v/>
      </c>
      <c r="AD119" s="5"/>
      <c r="AE119" s="5"/>
    </row>
    <row r="120">
      <c r="A120" s="5" t="s">
        <v>1730</v>
      </c>
      <c r="B120" s="44">
        <v>44619.0</v>
      </c>
      <c r="C120" s="150">
        <v>0.3393055555555556</v>
      </c>
      <c r="D120" s="5"/>
      <c r="E120" s="5"/>
      <c r="F120" s="5"/>
      <c r="G120" s="5" t="s">
        <v>2184</v>
      </c>
      <c r="H120" s="5" t="s">
        <v>244</v>
      </c>
      <c r="I120" s="44">
        <v>44621.0</v>
      </c>
      <c r="J120" s="150">
        <v>0.47835648148148147</v>
      </c>
      <c r="K120" s="19">
        <v>1.0</v>
      </c>
      <c r="L120" s="10" t="b">
        <v>1</v>
      </c>
      <c r="M120" s="5" t="s">
        <v>2472</v>
      </c>
      <c r="N120" s="5" t="s">
        <v>247</v>
      </c>
      <c r="O120" s="5"/>
      <c r="P120" s="110" t="b">
        <f t="shared" si="1"/>
        <v>0</v>
      </c>
      <c r="Q120" s="110" t="b">
        <f>IF(COUNTIF(RAW_APS!$A$2:$A815,A120)=0,TRUE,FALSE)</f>
        <v>0</v>
      </c>
      <c r="R120" s="241" t="b">
        <f t="shared" si="2"/>
        <v>0</v>
      </c>
      <c r="U120" s="112" t="str">
        <f t="shared" si="3"/>
        <v/>
      </c>
      <c r="V120" s="60"/>
      <c r="W120" s="60"/>
      <c r="X120" s="60"/>
      <c r="Y120" s="60"/>
      <c r="Z120" s="210"/>
      <c r="AA120" s="112" t="str">
        <f t="shared" si="4"/>
        <v>FM414</v>
      </c>
      <c r="AB120" s="112" t="str">
        <f t="shared" si="5"/>
        <v/>
      </c>
      <c r="AC120" s="112" t="str">
        <f t="shared" si="6"/>
        <v/>
      </c>
      <c r="AD120" s="5"/>
      <c r="AE120" s="5"/>
    </row>
    <row r="121">
      <c r="A121" s="5" t="s">
        <v>1984</v>
      </c>
      <c r="B121" s="44">
        <v>44627.0</v>
      </c>
      <c r="C121" s="150">
        <v>0.2964351851851852</v>
      </c>
      <c r="D121" s="5"/>
      <c r="E121" s="5"/>
      <c r="F121" s="5"/>
      <c r="G121" s="5" t="s">
        <v>2184</v>
      </c>
      <c r="H121" s="5" t="s">
        <v>244</v>
      </c>
      <c r="I121" s="44">
        <v>44627.0</v>
      </c>
      <c r="J121" s="150">
        <v>0.4778935185185185</v>
      </c>
      <c r="K121" s="19">
        <v>1.0</v>
      </c>
      <c r="L121" s="10" t="b">
        <v>1</v>
      </c>
      <c r="M121" s="5" t="s">
        <v>2466</v>
      </c>
      <c r="N121" s="5" t="s">
        <v>247</v>
      </c>
      <c r="O121" s="5"/>
      <c r="P121" s="110" t="b">
        <f t="shared" si="1"/>
        <v>0</v>
      </c>
      <c r="Q121" s="110" t="b">
        <f>IF(COUNTIF(RAW_APS!$A$2:$A815,A121)=0,TRUE,FALSE)</f>
        <v>0</v>
      </c>
      <c r="R121" s="241" t="b">
        <f t="shared" si="2"/>
        <v>0</v>
      </c>
      <c r="U121" s="112" t="str">
        <f t="shared" si="3"/>
        <v/>
      </c>
      <c r="V121" s="60"/>
      <c r="W121" s="60"/>
      <c r="X121" s="60"/>
      <c r="Y121" s="60"/>
      <c r="Z121" s="210"/>
      <c r="AA121" s="112" t="str">
        <f t="shared" si="4"/>
        <v>FM417</v>
      </c>
      <c r="AB121" s="112" t="str">
        <f t="shared" si="5"/>
        <v/>
      </c>
      <c r="AC121" s="112" t="str">
        <f t="shared" si="6"/>
        <v/>
      </c>
      <c r="AD121" s="5"/>
      <c r="AE121" s="5"/>
    </row>
    <row r="122">
      <c r="A122" s="5" t="s">
        <v>2152</v>
      </c>
      <c r="B122" s="44">
        <v>44633.0</v>
      </c>
      <c r="C122" s="150">
        <v>0.29672453703703705</v>
      </c>
      <c r="D122" s="5"/>
      <c r="E122" s="5"/>
      <c r="F122" s="5"/>
      <c r="G122" s="5" t="s">
        <v>2188</v>
      </c>
      <c r="H122" s="5" t="s">
        <v>254</v>
      </c>
      <c r="I122" s="44">
        <v>44861.0</v>
      </c>
      <c r="J122" s="150">
        <v>0.4895023148148148</v>
      </c>
      <c r="K122" s="19">
        <v>1.0</v>
      </c>
      <c r="L122" s="5"/>
      <c r="M122" s="5"/>
      <c r="N122" s="5" t="s">
        <v>247</v>
      </c>
      <c r="O122" s="5"/>
      <c r="P122" s="110" t="b">
        <f t="shared" si="1"/>
        <v>0</v>
      </c>
      <c r="Q122" s="110" t="b">
        <f>IF(COUNTIF(RAW_APS!$A$2:$A815,A122)=0,TRUE,FALSE)</f>
        <v>0</v>
      </c>
      <c r="R122" s="241" t="b">
        <f t="shared" si="2"/>
        <v>0</v>
      </c>
      <c r="U122" s="112" t="str">
        <f t="shared" si="3"/>
        <v/>
      </c>
      <c r="V122" s="60"/>
      <c r="W122" s="60"/>
      <c r="X122" s="60"/>
      <c r="Y122" s="60"/>
      <c r="Z122" s="210"/>
      <c r="AA122" s="112" t="str">
        <f t="shared" si="4"/>
        <v>FM42</v>
      </c>
      <c r="AB122" s="112" t="str">
        <f t="shared" si="5"/>
        <v/>
      </c>
      <c r="AC122" s="112" t="str">
        <f t="shared" si="6"/>
        <v/>
      </c>
      <c r="AD122" s="5"/>
      <c r="AE122" s="5"/>
    </row>
    <row r="123">
      <c r="A123" s="5" t="s">
        <v>2056</v>
      </c>
      <c r="B123" s="44">
        <v>44629.0</v>
      </c>
      <c r="C123" s="150">
        <v>0.3169328703703704</v>
      </c>
      <c r="D123" s="5"/>
      <c r="E123" s="5"/>
      <c r="F123" s="5"/>
      <c r="G123" s="5" t="s">
        <v>2184</v>
      </c>
      <c r="H123" s="5" t="s">
        <v>244</v>
      </c>
      <c r="I123" s="44">
        <v>44629.0</v>
      </c>
      <c r="J123" s="150">
        <v>0.49944444444444447</v>
      </c>
      <c r="K123" s="19">
        <v>1.0</v>
      </c>
      <c r="L123" s="10" t="b">
        <v>1</v>
      </c>
      <c r="M123" s="5" t="s">
        <v>2465</v>
      </c>
      <c r="N123" s="5" t="s">
        <v>247</v>
      </c>
      <c r="O123" s="5"/>
      <c r="P123" s="110" t="b">
        <f t="shared" si="1"/>
        <v>0</v>
      </c>
      <c r="Q123" s="110" t="b">
        <f>IF(COUNTIF(RAW_APS!$A$2:$A815,A123)=0,TRUE,FALSE)</f>
        <v>0</v>
      </c>
      <c r="R123" s="241" t="b">
        <f t="shared" si="2"/>
        <v>0</v>
      </c>
      <c r="U123" s="112" t="str">
        <f t="shared" si="3"/>
        <v/>
      </c>
      <c r="V123" s="60"/>
      <c r="W123" s="60"/>
      <c r="X123" s="60"/>
      <c r="Y123" s="60"/>
      <c r="Z123" s="210"/>
      <c r="AA123" s="112" t="str">
        <f t="shared" si="4"/>
        <v>FM422</v>
      </c>
      <c r="AB123" s="112" t="str">
        <f t="shared" si="5"/>
        <v/>
      </c>
      <c r="AC123" s="112" t="str">
        <f t="shared" si="6"/>
        <v/>
      </c>
      <c r="AD123" s="5"/>
      <c r="AE123" s="5"/>
    </row>
    <row r="124">
      <c r="A124" s="5" t="s">
        <v>1913</v>
      </c>
      <c r="B124" s="44">
        <v>44625.0</v>
      </c>
      <c r="C124" s="150">
        <v>0.28769675925925925</v>
      </c>
      <c r="D124" s="5"/>
      <c r="E124" s="5"/>
      <c r="F124" s="5"/>
      <c r="G124" s="5" t="s">
        <v>2184</v>
      </c>
      <c r="H124" s="5" t="s">
        <v>244</v>
      </c>
      <c r="I124" s="44">
        <v>44625.0</v>
      </c>
      <c r="J124" s="150">
        <v>0.48974537037037036</v>
      </c>
      <c r="K124" s="19">
        <v>1.0</v>
      </c>
      <c r="L124" s="10" t="b">
        <v>1</v>
      </c>
      <c r="M124" s="5" t="s">
        <v>2467</v>
      </c>
      <c r="N124" s="5" t="s">
        <v>247</v>
      </c>
      <c r="O124" s="5"/>
      <c r="P124" s="110" t="b">
        <f t="shared" si="1"/>
        <v>0</v>
      </c>
      <c r="Q124" s="110" t="b">
        <f>IF(COUNTIF(RAW_APS!$A$2:$A815,A124)=0,TRUE,FALSE)</f>
        <v>0</v>
      </c>
      <c r="R124" s="241" t="b">
        <f t="shared" si="2"/>
        <v>0</v>
      </c>
      <c r="U124" s="112" t="str">
        <f t="shared" si="3"/>
        <v/>
      </c>
      <c r="V124" s="60"/>
      <c r="W124" s="60"/>
      <c r="X124" s="60"/>
      <c r="Y124" s="60"/>
      <c r="Z124" s="210"/>
      <c r="AA124" s="112" t="str">
        <f t="shared" si="4"/>
        <v>FM423</v>
      </c>
      <c r="AB124" s="112" t="str">
        <f t="shared" si="5"/>
        <v/>
      </c>
      <c r="AC124" s="112" t="str">
        <f t="shared" si="6"/>
        <v/>
      </c>
      <c r="AD124" s="5"/>
      <c r="AE124" s="5"/>
    </row>
    <row r="125">
      <c r="A125" s="5" t="s">
        <v>1649</v>
      </c>
      <c r="B125" s="44">
        <v>44617.0</v>
      </c>
      <c r="C125" s="150">
        <v>0.32081018518518517</v>
      </c>
      <c r="D125" s="5"/>
      <c r="E125" s="5"/>
      <c r="F125" s="5"/>
      <c r="G125" s="5" t="s">
        <v>2184</v>
      </c>
      <c r="H125" s="5" t="s">
        <v>244</v>
      </c>
      <c r="I125" s="44">
        <v>44617.0</v>
      </c>
      <c r="J125" s="150">
        <v>0.5033796296296297</v>
      </c>
      <c r="K125" s="19">
        <v>1.0</v>
      </c>
      <c r="L125" s="10" t="b">
        <v>1</v>
      </c>
      <c r="M125" s="5" t="s">
        <v>2473</v>
      </c>
      <c r="N125" s="5" t="s">
        <v>247</v>
      </c>
      <c r="O125" s="5"/>
      <c r="P125" s="110" t="b">
        <f t="shared" si="1"/>
        <v>0</v>
      </c>
      <c r="Q125" s="110" t="b">
        <f>IF(COUNTIF(RAW_APS!$A$2:$A815,A125)=0,TRUE,FALSE)</f>
        <v>0</v>
      </c>
      <c r="R125" s="241" t="b">
        <f t="shared" si="2"/>
        <v>0</v>
      </c>
      <c r="U125" s="112" t="str">
        <f t="shared" si="3"/>
        <v/>
      </c>
      <c r="V125" s="60"/>
      <c r="W125" s="60"/>
      <c r="X125" s="60"/>
      <c r="Y125" s="60"/>
      <c r="Z125" s="210"/>
      <c r="AA125" s="112" t="str">
        <f t="shared" si="4"/>
        <v>FM425</v>
      </c>
      <c r="AB125" s="112" t="str">
        <f t="shared" si="5"/>
        <v/>
      </c>
      <c r="AC125" s="112" t="str">
        <f t="shared" si="6"/>
        <v/>
      </c>
      <c r="AD125" s="5"/>
      <c r="AE125" s="5"/>
    </row>
    <row r="126">
      <c r="A126" s="5" t="s">
        <v>2088</v>
      </c>
      <c r="B126" s="44">
        <v>44629.0</v>
      </c>
      <c r="C126" s="150">
        <v>0.4893287037037037</v>
      </c>
      <c r="D126" s="5"/>
      <c r="E126" s="5"/>
      <c r="F126" s="5"/>
      <c r="G126" s="5" t="s">
        <v>2184</v>
      </c>
      <c r="H126" s="5" t="s">
        <v>244</v>
      </c>
      <c r="I126" s="44">
        <v>44629.0</v>
      </c>
      <c r="J126" s="150">
        <v>0.4994560185185185</v>
      </c>
      <c r="K126" s="19">
        <v>1.0</v>
      </c>
      <c r="L126" s="10" t="b">
        <v>1</v>
      </c>
      <c r="M126" s="5" t="s">
        <v>2465</v>
      </c>
      <c r="N126" s="5" t="s">
        <v>247</v>
      </c>
      <c r="O126" s="5"/>
      <c r="P126" s="110" t="b">
        <f t="shared" si="1"/>
        <v>0</v>
      </c>
      <c r="Q126" s="110" t="b">
        <f>IF(COUNTIF(RAW_APS!$A$2:$A815,A126)=0,TRUE,FALSE)</f>
        <v>0</v>
      </c>
      <c r="R126" s="241" t="b">
        <f t="shared" si="2"/>
        <v>0</v>
      </c>
      <c r="U126" s="112" t="str">
        <f t="shared" si="3"/>
        <v/>
      </c>
      <c r="V126" s="60"/>
      <c r="W126" s="60"/>
      <c r="X126" s="60"/>
      <c r="Y126" s="60"/>
      <c r="Z126" s="210"/>
      <c r="AA126" s="112" t="str">
        <f t="shared" si="4"/>
        <v>FM427</v>
      </c>
      <c r="AB126" s="112" t="str">
        <f t="shared" si="5"/>
        <v/>
      </c>
      <c r="AC126" s="112" t="str">
        <f t="shared" si="6"/>
        <v/>
      </c>
      <c r="AD126" s="5"/>
      <c r="AE126" s="5"/>
    </row>
    <row r="127">
      <c r="A127" s="5" t="s">
        <v>1305</v>
      </c>
      <c r="B127" s="44">
        <v>44607.0</v>
      </c>
      <c r="C127" s="150">
        <v>0.3717361111111111</v>
      </c>
      <c r="D127" s="5"/>
      <c r="E127" s="5"/>
      <c r="F127" s="5"/>
      <c r="G127" s="5" t="s">
        <v>2184</v>
      </c>
      <c r="H127" s="5" t="s">
        <v>244</v>
      </c>
      <c r="I127" s="44">
        <v>44607.0</v>
      </c>
      <c r="J127" s="150">
        <v>0.5868171296296296</v>
      </c>
      <c r="K127" s="19">
        <v>1.0</v>
      </c>
      <c r="L127" s="10" t="b">
        <v>1</v>
      </c>
      <c r="M127" s="5" t="s">
        <v>2479</v>
      </c>
      <c r="N127" s="5" t="s">
        <v>247</v>
      </c>
      <c r="O127" s="5"/>
      <c r="P127" s="110" t="b">
        <f t="shared" si="1"/>
        <v>0</v>
      </c>
      <c r="Q127" s="110" t="b">
        <f>IF(COUNTIF(RAW_APS!$A$2:$A815,A127)=0,TRUE,FALSE)</f>
        <v>0</v>
      </c>
      <c r="R127" s="241" t="b">
        <f t="shared" si="2"/>
        <v>0</v>
      </c>
      <c r="U127" s="112" t="str">
        <f t="shared" si="3"/>
        <v/>
      </c>
      <c r="V127" s="60"/>
      <c r="W127" s="60"/>
      <c r="X127" s="60"/>
      <c r="Y127" s="60"/>
      <c r="Z127" s="210"/>
      <c r="AA127" s="112" t="str">
        <f t="shared" si="4"/>
        <v>FM428</v>
      </c>
      <c r="AB127" s="112" t="str">
        <f t="shared" si="5"/>
        <v/>
      </c>
      <c r="AC127" s="112" t="str">
        <f t="shared" si="6"/>
        <v/>
      </c>
      <c r="AD127" s="5"/>
      <c r="AE127" s="5"/>
    </row>
    <row r="128">
      <c r="A128" s="5" t="s">
        <v>1333</v>
      </c>
      <c r="B128" s="44">
        <v>44609.0</v>
      </c>
      <c r="C128" s="150">
        <v>0.3095833333333333</v>
      </c>
      <c r="D128" s="5"/>
      <c r="E128" s="5"/>
      <c r="F128" s="5"/>
      <c r="G128" s="5" t="s">
        <v>2184</v>
      </c>
      <c r="H128" s="5" t="s">
        <v>244</v>
      </c>
      <c r="I128" s="44">
        <v>44611.0</v>
      </c>
      <c r="J128" s="150">
        <v>0.38957175925925924</v>
      </c>
      <c r="K128" s="19">
        <v>1.0</v>
      </c>
      <c r="L128" s="10" t="b">
        <v>1</v>
      </c>
      <c r="M128" s="5" t="s">
        <v>2478</v>
      </c>
      <c r="N128" s="5" t="s">
        <v>247</v>
      </c>
      <c r="O128" s="5"/>
      <c r="P128" s="110" t="b">
        <f t="shared" si="1"/>
        <v>0</v>
      </c>
      <c r="Q128" s="110" t="b">
        <f>IF(COUNTIF(RAW_APS!$A$2:$A815,A128)=0,TRUE,FALSE)</f>
        <v>0</v>
      </c>
      <c r="R128" s="241" t="b">
        <f t="shared" si="2"/>
        <v>0</v>
      </c>
      <c r="U128" s="112" t="str">
        <f t="shared" si="3"/>
        <v/>
      </c>
      <c r="V128" s="60"/>
      <c r="W128" s="60"/>
      <c r="X128" s="60"/>
      <c r="Y128" s="60"/>
      <c r="Z128" s="210"/>
      <c r="AA128" s="112" t="str">
        <f t="shared" si="4"/>
        <v>FM429</v>
      </c>
      <c r="AB128" s="112" t="str">
        <f t="shared" si="5"/>
        <v/>
      </c>
      <c r="AC128" s="112" t="str">
        <f t="shared" si="6"/>
        <v/>
      </c>
      <c r="AD128" s="5"/>
      <c r="AE128" s="5"/>
    </row>
    <row r="129">
      <c r="A129" s="5" t="s">
        <v>2012</v>
      </c>
      <c r="B129" s="44">
        <v>44627.0</v>
      </c>
      <c r="C129" s="150">
        <v>0.3216087962962963</v>
      </c>
      <c r="D129" s="5"/>
      <c r="E129" s="5"/>
      <c r="F129" s="5"/>
      <c r="G129" s="5" t="s">
        <v>2184</v>
      </c>
      <c r="H129" s="5" t="s">
        <v>244</v>
      </c>
      <c r="I129" s="44">
        <v>44627.0</v>
      </c>
      <c r="J129" s="150">
        <v>0.4779050925925926</v>
      </c>
      <c r="K129" s="19">
        <v>1.0</v>
      </c>
      <c r="L129" s="10" t="b">
        <v>1</v>
      </c>
      <c r="M129" s="5" t="s">
        <v>2466</v>
      </c>
      <c r="N129" s="5" t="s">
        <v>247</v>
      </c>
      <c r="O129" s="5"/>
      <c r="P129" s="110" t="b">
        <f t="shared" si="1"/>
        <v>0</v>
      </c>
      <c r="Q129" s="110" t="b">
        <f>IF(COUNTIF(RAW_APS!$A$2:$A815,A129)=0,TRUE,FALSE)</f>
        <v>0</v>
      </c>
      <c r="R129" s="241" t="b">
        <f t="shared" si="2"/>
        <v>0</v>
      </c>
      <c r="U129" s="112" t="str">
        <f t="shared" si="3"/>
        <v/>
      </c>
      <c r="V129" s="60"/>
      <c r="W129" s="60"/>
      <c r="X129" s="60"/>
      <c r="Y129" s="60"/>
      <c r="Z129" s="210"/>
      <c r="AA129" s="112" t="str">
        <f t="shared" si="4"/>
        <v>FM43</v>
      </c>
      <c r="AB129" s="112" t="str">
        <f t="shared" si="5"/>
        <v/>
      </c>
      <c r="AC129" s="112" t="str">
        <f t="shared" si="6"/>
        <v/>
      </c>
      <c r="AD129" s="5"/>
      <c r="AE129" s="5"/>
    </row>
    <row r="130">
      <c r="A130" s="5" t="s">
        <v>1149</v>
      </c>
      <c r="B130" s="44">
        <v>44601.0</v>
      </c>
      <c r="C130" s="150">
        <v>0.2634606481481481</v>
      </c>
      <c r="D130" s="5"/>
      <c r="E130" s="5"/>
      <c r="F130" s="5"/>
      <c r="G130" s="5" t="s">
        <v>2184</v>
      </c>
      <c r="H130" s="5" t="s">
        <v>52</v>
      </c>
      <c r="I130" s="44">
        <v>44601.0</v>
      </c>
      <c r="J130" s="150">
        <v>0.48203703703703704</v>
      </c>
      <c r="K130" s="19">
        <v>1.0</v>
      </c>
      <c r="L130" s="10" t="b">
        <v>1</v>
      </c>
      <c r="M130" s="5"/>
      <c r="N130" s="5" t="s">
        <v>247</v>
      </c>
      <c r="O130" s="5"/>
      <c r="P130" s="110" t="b">
        <f t="shared" si="1"/>
        <v>0</v>
      </c>
      <c r="Q130" s="110" t="b">
        <f>IF(COUNTIF(RAW_APS!$A$2:$A815,A130)=0,TRUE,FALSE)</f>
        <v>0</v>
      </c>
      <c r="R130" s="241" t="b">
        <f t="shared" si="2"/>
        <v>0</v>
      </c>
      <c r="U130" s="112" t="str">
        <f t="shared" si="3"/>
        <v/>
      </c>
      <c r="V130" s="60"/>
      <c r="W130" s="60"/>
      <c r="X130" s="60"/>
      <c r="Y130" s="60"/>
      <c r="Z130" s="210"/>
      <c r="AA130" s="112" t="str">
        <f t="shared" si="4"/>
        <v>FM431</v>
      </c>
      <c r="AB130" s="112" t="str">
        <f t="shared" si="5"/>
        <v/>
      </c>
      <c r="AC130" s="112" t="str">
        <f t="shared" si="6"/>
        <v/>
      </c>
      <c r="AD130" s="5"/>
      <c r="AE130" s="5"/>
    </row>
    <row r="131">
      <c r="A131" s="5" t="s">
        <v>1331</v>
      </c>
      <c r="B131" s="44">
        <v>44609.0</v>
      </c>
      <c r="C131" s="150">
        <v>0.3083680555555556</v>
      </c>
      <c r="D131" s="5"/>
      <c r="E131" s="5"/>
      <c r="F131" s="5"/>
      <c r="G131" s="5" t="s">
        <v>2184</v>
      </c>
      <c r="H131" s="5" t="s">
        <v>244</v>
      </c>
      <c r="I131" s="44">
        <v>44611.0</v>
      </c>
      <c r="J131" s="150">
        <v>0.38957175925925924</v>
      </c>
      <c r="K131" s="19">
        <v>1.0</v>
      </c>
      <c r="L131" s="10" t="b">
        <v>1</v>
      </c>
      <c r="M131" s="5" t="s">
        <v>2478</v>
      </c>
      <c r="N131" s="5" t="s">
        <v>247</v>
      </c>
      <c r="O131" s="5"/>
      <c r="P131" s="110" t="b">
        <f t="shared" si="1"/>
        <v>0</v>
      </c>
      <c r="Q131" s="110" t="b">
        <f>IF(COUNTIF(RAW_APS!$A$2:$A815,A131)=0,TRUE,FALSE)</f>
        <v>0</v>
      </c>
      <c r="R131" s="241" t="b">
        <f t="shared" si="2"/>
        <v>0</v>
      </c>
      <c r="U131" s="112" t="str">
        <f t="shared" si="3"/>
        <v/>
      </c>
      <c r="V131" s="60"/>
      <c r="W131" s="60"/>
      <c r="X131" s="60"/>
      <c r="Y131" s="60"/>
      <c r="Z131" s="210"/>
      <c r="AA131" s="112" t="str">
        <f t="shared" si="4"/>
        <v>FM432</v>
      </c>
      <c r="AB131" s="112" t="str">
        <f t="shared" si="5"/>
        <v/>
      </c>
      <c r="AC131" s="112" t="str">
        <f t="shared" si="6"/>
        <v/>
      </c>
      <c r="AD131" s="5"/>
      <c r="AE131" s="5"/>
    </row>
    <row r="132">
      <c r="A132" s="5" t="s">
        <v>1797</v>
      </c>
      <c r="B132" s="44">
        <v>44621.0</v>
      </c>
      <c r="C132" s="150">
        <v>0.3271527777777778</v>
      </c>
      <c r="D132" s="5"/>
      <c r="E132" s="5"/>
      <c r="F132" s="5"/>
      <c r="G132" s="5" t="s">
        <v>2184</v>
      </c>
      <c r="H132" s="5" t="s">
        <v>244</v>
      </c>
      <c r="I132" s="44">
        <v>44627.0</v>
      </c>
      <c r="J132" s="150">
        <v>0.47791666666666666</v>
      </c>
      <c r="K132" s="19">
        <v>1.0</v>
      </c>
      <c r="L132" s="10" t="b">
        <v>1</v>
      </c>
      <c r="M132" s="5" t="s">
        <v>2470</v>
      </c>
      <c r="N132" s="5" t="s">
        <v>247</v>
      </c>
      <c r="O132" s="5"/>
      <c r="P132" s="110" t="b">
        <f t="shared" si="1"/>
        <v>0</v>
      </c>
      <c r="Q132" s="110" t="b">
        <f>IF(COUNTIF(RAW_APS!$A$2:$A815,A132)=0,TRUE,FALSE)</f>
        <v>0</v>
      </c>
      <c r="R132" s="241" t="b">
        <f t="shared" si="2"/>
        <v>0</v>
      </c>
      <c r="U132" s="112" t="str">
        <f t="shared" si="3"/>
        <v/>
      </c>
      <c r="V132" s="60"/>
      <c r="W132" s="60"/>
      <c r="X132" s="60"/>
      <c r="Y132" s="60"/>
      <c r="Z132" s="210"/>
      <c r="AA132" s="112" t="str">
        <f t="shared" si="4"/>
        <v>FM433</v>
      </c>
      <c r="AB132" s="112" t="str">
        <f t="shared" si="5"/>
        <v/>
      </c>
      <c r="AC132" s="112" t="str">
        <f t="shared" si="6"/>
        <v/>
      </c>
      <c r="AD132" s="5"/>
      <c r="AE132" s="5"/>
    </row>
    <row r="133">
      <c r="A133" s="5" t="s">
        <v>1843</v>
      </c>
      <c r="B133" s="44">
        <v>44623.0</v>
      </c>
      <c r="C133" s="150">
        <v>0.3051388888888889</v>
      </c>
      <c r="D133" s="5"/>
      <c r="E133" s="5"/>
      <c r="F133" s="5"/>
      <c r="G133" s="5" t="s">
        <v>2184</v>
      </c>
      <c r="H133" s="5" t="s">
        <v>244</v>
      </c>
      <c r="I133" s="44">
        <v>44623.0</v>
      </c>
      <c r="J133" s="150">
        <v>0.4605902777777778</v>
      </c>
      <c r="K133" s="19">
        <v>1.0</v>
      </c>
      <c r="L133" s="10" t="b">
        <v>0</v>
      </c>
      <c r="M133" s="5" t="s">
        <v>2468</v>
      </c>
      <c r="N133" s="5" t="s">
        <v>247</v>
      </c>
      <c r="O133" s="5"/>
      <c r="P133" s="110" t="b">
        <f t="shared" si="1"/>
        <v>0</v>
      </c>
      <c r="Q133" s="110" t="b">
        <f>IF(COUNTIF(RAW_APS!$A$2:$A815,A133)=0,TRUE,FALSE)</f>
        <v>0</v>
      </c>
      <c r="R133" s="241" t="b">
        <f t="shared" si="2"/>
        <v>0</v>
      </c>
      <c r="U133" s="112" t="str">
        <f t="shared" si="3"/>
        <v/>
      </c>
      <c r="V133" s="60"/>
      <c r="W133" s="60"/>
      <c r="X133" s="60"/>
      <c r="Y133" s="60"/>
      <c r="Z133" s="210"/>
      <c r="AA133" s="112" t="str">
        <f t="shared" si="4"/>
        <v>FM436</v>
      </c>
      <c r="AB133" s="112" t="str">
        <f t="shared" si="5"/>
        <v/>
      </c>
      <c r="AC133" s="112" t="str">
        <f t="shared" si="6"/>
        <v/>
      </c>
      <c r="AD133" s="5"/>
      <c r="AE133" s="5"/>
    </row>
    <row r="134">
      <c r="A134" s="5" t="s">
        <v>1480</v>
      </c>
      <c r="B134" s="44">
        <v>44613.0</v>
      </c>
      <c r="C134" s="150">
        <v>0.26516203703703706</v>
      </c>
      <c r="D134" s="5"/>
      <c r="E134" s="5"/>
      <c r="F134" s="5"/>
      <c r="G134" s="5" t="s">
        <v>2184</v>
      </c>
      <c r="H134" s="5" t="s">
        <v>244</v>
      </c>
      <c r="I134" s="44">
        <v>44613.0</v>
      </c>
      <c r="J134" s="150">
        <v>0.4693865740740741</v>
      </c>
      <c r="K134" s="19">
        <v>1.0</v>
      </c>
      <c r="L134" s="10" t="b">
        <v>1</v>
      </c>
      <c r="M134" s="5" t="s">
        <v>2476</v>
      </c>
      <c r="N134" s="5" t="s">
        <v>247</v>
      </c>
      <c r="O134" s="5"/>
      <c r="P134" s="110" t="b">
        <f t="shared" si="1"/>
        <v>0</v>
      </c>
      <c r="Q134" s="110" t="b">
        <f>IF(COUNTIF(RAW_APS!$A$2:$A815,A134)=0,TRUE,FALSE)</f>
        <v>0</v>
      </c>
      <c r="R134" s="241" t="b">
        <f t="shared" si="2"/>
        <v>0</v>
      </c>
      <c r="U134" s="112" t="str">
        <f t="shared" si="3"/>
        <v/>
      </c>
      <c r="V134" s="60"/>
      <c r="W134" s="60"/>
      <c r="X134" s="60"/>
      <c r="Y134" s="60"/>
      <c r="Z134" s="210"/>
      <c r="AA134" s="112" t="str">
        <f t="shared" si="4"/>
        <v>FM437</v>
      </c>
      <c r="AB134" s="112" t="str">
        <f t="shared" si="5"/>
        <v/>
      </c>
      <c r="AC134" s="112" t="str">
        <f t="shared" si="6"/>
        <v/>
      </c>
      <c r="AD134" s="5"/>
      <c r="AE134" s="5"/>
    </row>
    <row r="135">
      <c r="A135" s="5" t="s">
        <v>2105</v>
      </c>
      <c r="B135" s="44">
        <v>44631.0</v>
      </c>
      <c r="C135" s="150">
        <v>0.30041666666666667</v>
      </c>
      <c r="D135" s="4"/>
      <c r="E135" s="5"/>
      <c r="F135" s="5"/>
      <c r="G135" s="5" t="s">
        <v>2184</v>
      </c>
      <c r="H135" s="5" t="s">
        <v>244</v>
      </c>
      <c r="I135" s="44">
        <v>44631.0</v>
      </c>
      <c r="J135" s="150">
        <v>0.48608796296296297</v>
      </c>
      <c r="K135" s="19">
        <v>1.0</v>
      </c>
      <c r="L135" s="10" t="b">
        <v>1</v>
      </c>
      <c r="M135" s="5" t="s">
        <v>2464</v>
      </c>
      <c r="N135" s="5" t="s">
        <v>247</v>
      </c>
      <c r="O135" s="5"/>
      <c r="P135" s="110" t="b">
        <f t="shared" si="1"/>
        <v>0</v>
      </c>
      <c r="Q135" s="110" t="b">
        <f>IF(COUNTIF(RAW_APS!$A$2:$A815,A135)=0,TRUE,FALSE)</f>
        <v>0</v>
      </c>
      <c r="R135" s="241" t="b">
        <f t="shared" si="2"/>
        <v>0</v>
      </c>
      <c r="U135" s="112" t="str">
        <f t="shared" si="3"/>
        <v/>
      </c>
      <c r="V135" s="60"/>
      <c r="W135" s="60"/>
      <c r="X135" s="60"/>
      <c r="Y135" s="60"/>
      <c r="Z135" s="210"/>
      <c r="AA135" s="112" t="str">
        <f t="shared" si="4"/>
        <v>FM438</v>
      </c>
      <c r="AB135" s="112" t="str">
        <f t="shared" si="5"/>
        <v/>
      </c>
      <c r="AC135" s="112" t="str">
        <f t="shared" si="6"/>
        <v/>
      </c>
      <c r="AD135" s="5"/>
      <c r="AE135" s="5"/>
    </row>
    <row r="136">
      <c r="A136" s="5" t="s">
        <v>2090</v>
      </c>
      <c r="B136" s="44">
        <v>44629.0</v>
      </c>
      <c r="C136" s="150">
        <v>0.4899074074074074</v>
      </c>
      <c r="D136" s="5"/>
      <c r="E136" s="5"/>
      <c r="F136" s="5"/>
      <c r="G136" s="5" t="s">
        <v>2184</v>
      </c>
      <c r="H136" s="5" t="s">
        <v>244</v>
      </c>
      <c r="I136" s="44">
        <v>44629.0</v>
      </c>
      <c r="J136" s="150">
        <v>0.4994560185185185</v>
      </c>
      <c r="K136" s="19">
        <v>1.0</v>
      </c>
      <c r="L136" s="10" t="b">
        <v>1</v>
      </c>
      <c r="M136" s="5" t="s">
        <v>2465</v>
      </c>
      <c r="N136" s="5" t="s">
        <v>247</v>
      </c>
      <c r="O136" s="5"/>
      <c r="P136" s="110" t="b">
        <f t="shared" si="1"/>
        <v>0</v>
      </c>
      <c r="Q136" s="110" t="b">
        <f>IF(COUNTIF(RAW_APS!$A$2:$A815,A136)=0,TRUE,FALSE)</f>
        <v>0</v>
      </c>
      <c r="R136" s="241" t="b">
        <f t="shared" si="2"/>
        <v>0</v>
      </c>
      <c r="U136" s="112" t="str">
        <f t="shared" si="3"/>
        <v/>
      </c>
      <c r="V136" s="60"/>
      <c r="W136" s="60"/>
      <c r="X136" s="60"/>
      <c r="Y136" s="60"/>
      <c r="Z136" s="210"/>
      <c r="AA136" s="112" t="str">
        <f t="shared" si="4"/>
        <v>FM439</v>
      </c>
      <c r="AB136" s="112" t="str">
        <f t="shared" si="5"/>
        <v/>
      </c>
      <c r="AC136" s="112" t="str">
        <f t="shared" si="6"/>
        <v/>
      </c>
      <c r="AD136" s="5"/>
      <c r="AE136" s="5"/>
    </row>
    <row r="137">
      <c r="A137" s="5" t="s">
        <v>1425</v>
      </c>
      <c r="B137" s="44">
        <v>44611.0</v>
      </c>
      <c r="C137" s="150">
        <v>0.3148842592592593</v>
      </c>
      <c r="D137" s="5"/>
      <c r="E137" s="5"/>
      <c r="F137" s="5"/>
      <c r="G137" s="5" t="s">
        <v>2184</v>
      </c>
      <c r="H137" s="5" t="s">
        <v>244</v>
      </c>
      <c r="I137" s="44">
        <v>44611.0</v>
      </c>
      <c r="J137" s="150">
        <v>0.4882523148148148</v>
      </c>
      <c r="K137" s="19">
        <v>1.0</v>
      </c>
      <c r="L137" s="10" t="b">
        <v>1</v>
      </c>
      <c r="M137" s="5" t="s">
        <v>2477</v>
      </c>
      <c r="N137" s="5" t="s">
        <v>247</v>
      </c>
      <c r="O137" s="5"/>
      <c r="P137" s="110" t="b">
        <f t="shared" si="1"/>
        <v>0</v>
      </c>
      <c r="Q137" s="110" t="b">
        <f>IF(COUNTIF(RAW_APS!$A$2:$A815,A137)=0,TRUE,FALSE)</f>
        <v>0</v>
      </c>
      <c r="R137" s="241" t="b">
        <f t="shared" si="2"/>
        <v>0</v>
      </c>
      <c r="U137" s="112" t="str">
        <f t="shared" si="3"/>
        <v/>
      </c>
      <c r="V137" s="60"/>
      <c r="W137" s="60"/>
      <c r="X137" s="60"/>
      <c r="Y137" s="60"/>
      <c r="Z137" s="210"/>
      <c r="AA137" s="112" t="str">
        <f t="shared" si="4"/>
        <v>FM44</v>
      </c>
      <c r="AB137" s="112" t="str">
        <f t="shared" si="5"/>
        <v/>
      </c>
      <c r="AC137" s="112" t="str">
        <f t="shared" si="6"/>
        <v/>
      </c>
      <c r="AD137" s="5"/>
      <c r="AE137" s="5"/>
    </row>
    <row r="138">
      <c r="A138" s="5" t="s">
        <v>1899</v>
      </c>
      <c r="B138" s="44">
        <v>44623.0</v>
      </c>
      <c r="C138" s="150">
        <v>0.4114699074074074</v>
      </c>
      <c r="D138" s="5"/>
      <c r="E138" s="5"/>
      <c r="F138" s="5"/>
      <c r="G138" s="5" t="s">
        <v>2184</v>
      </c>
      <c r="H138" s="5" t="s">
        <v>244</v>
      </c>
      <c r="I138" s="44">
        <v>44623.0</v>
      </c>
      <c r="J138" s="150">
        <v>0.4606018518518519</v>
      </c>
      <c r="K138" s="19">
        <v>1.0</v>
      </c>
      <c r="L138" s="10" t="b">
        <v>0</v>
      </c>
      <c r="M138" s="5" t="s">
        <v>2468</v>
      </c>
      <c r="N138" s="5" t="s">
        <v>247</v>
      </c>
      <c r="O138" s="5"/>
      <c r="P138" s="110" t="b">
        <f t="shared" si="1"/>
        <v>0</v>
      </c>
      <c r="Q138" s="110" t="b">
        <f>IF(COUNTIF(RAW_APS!$A$2:$A815,A138)=0,TRUE,FALSE)</f>
        <v>0</v>
      </c>
      <c r="R138" s="241" t="b">
        <f t="shared" si="2"/>
        <v>0</v>
      </c>
      <c r="U138" s="112" t="str">
        <f t="shared" si="3"/>
        <v/>
      </c>
      <c r="V138" s="60"/>
      <c r="W138" s="60"/>
      <c r="X138" s="60"/>
      <c r="Y138" s="60"/>
      <c r="Z138" s="210"/>
      <c r="AA138" s="112" t="str">
        <f t="shared" si="4"/>
        <v>FM440</v>
      </c>
      <c r="AB138" s="112" t="str">
        <f t="shared" si="5"/>
        <v/>
      </c>
      <c r="AC138" s="112" t="str">
        <f t="shared" si="6"/>
        <v/>
      </c>
      <c r="AD138" s="5"/>
      <c r="AE138" s="5"/>
    </row>
    <row r="139">
      <c r="A139" s="5" t="s">
        <v>1289</v>
      </c>
      <c r="B139" s="44">
        <v>44607.0</v>
      </c>
      <c r="C139" s="150">
        <v>0.33417824074074076</v>
      </c>
      <c r="D139" s="5"/>
      <c r="E139" s="5"/>
      <c r="F139" s="5"/>
      <c r="G139" s="5" t="s">
        <v>2184</v>
      </c>
      <c r="H139" s="5" t="s">
        <v>244</v>
      </c>
      <c r="I139" s="44">
        <v>44607.0</v>
      </c>
      <c r="J139" s="150">
        <v>0.5868171296296296</v>
      </c>
      <c r="K139" s="19">
        <v>1.0</v>
      </c>
      <c r="L139" s="10" t="b">
        <v>1</v>
      </c>
      <c r="M139" s="5" t="s">
        <v>2479</v>
      </c>
      <c r="N139" s="5" t="s">
        <v>247</v>
      </c>
      <c r="O139" s="5"/>
      <c r="P139" s="110" t="b">
        <f t="shared" si="1"/>
        <v>0</v>
      </c>
      <c r="Q139" s="110" t="b">
        <f>IF(COUNTIF(RAW_APS!$A$2:$A815,A139)=0,TRUE,FALSE)</f>
        <v>0</v>
      </c>
      <c r="R139" s="241" t="b">
        <f t="shared" si="2"/>
        <v>0</v>
      </c>
      <c r="U139" s="112" t="str">
        <f t="shared" si="3"/>
        <v/>
      </c>
      <c r="V139" s="60"/>
      <c r="W139" s="60"/>
      <c r="X139" s="60"/>
      <c r="Y139" s="60"/>
      <c r="Z139" s="210"/>
      <c r="AA139" s="112" t="str">
        <f t="shared" si="4"/>
        <v>FM442</v>
      </c>
      <c r="AB139" s="112" t="str">
        <f t="shared" si="5"/>
        <v/>
      </c>
      <c r="AC139" s="112" t="str">
        <f t="shared" si="6"/>
        <v/>
      </c>
      <c r="AD139" s="5"/>
      <c r="AE139" s="5"/>
    </row>
    <row r="140">
      <c r="A140" s="5" t="s">
        <v>1337</v>
      </c>
      <c r="B140" s="44">
        <v>44609.0</v>
      </c>
      <c r="C140" s="150">
        <v>0.3115625</v>
      </c>
      <c r="D140" s="5"/>
      <c r="E140" s="5"/>
      <c r="F140" s="5"/>
      <c r="G140" s="5" t="s">
        <v>2184</v>
      </c>
      <c r="H140" s="5" t="s">
        <v>244</v>
      </c>
      <c r="I140" s="44">
        <v>44611.0</v>
      </c>
      <c r="J140" s="150">
        <v>0.38957175925925924</v>
      </c>
      <c r="K140" s="19">
        <v>1.0</v>
      </c>
      <c r="L140" s="10" t="b">
        <v>1</v>
      </c>
      <c r="M140" s="5" t="s">
        <v>2478</v>
      </c>
      <c r="N140" s="5" t="s">
        <v>247</v>
      </c>
      <c r="O140" s="5"/>
      <c r="P140" s="110" t="b">
        <f t="shared" si="1"/>
        <v>0</v>
      </c>
      <c r="Q140" s="110" t="b">
        <f>IF(COUNTIF(RAW_APS!$A$2:$A815,A140)=0,TRUE,FALSE)</f>
        <v>0</v>
      </c>
      <c r="R140" s="241" t="b">
        <f t="shared" si="2"/>
        <v>0</v>
      </c>
      <c r="U140" s="112" t="str">
        <f t="shared" si="3"/>
        <v/>
      </c>
      <c r="V140" s="60"/>
      <c r="W140" s="60"/>
      <c r="X140" s="60"/>
      <c r="Y140" s="60"/>
      <c r="Z140" s="210"/>
      <c r="AA140" s="112" t="str">
        <f t="shared" si="4"/>
        <v>FM443</v>
      </c>
      <c r="AB140" s="112" t="str">
        <f t="shared" si="5"/>
        <v/>
      </c>
      <c r="AC140" s="112" t="str">
        <f t="shared" si="6"/>
        <v/>
      </c>
      <c r="AD140" s="5"/>
      <c r="AE140" s="5"/>
    </row>
    <row r="141">
      <c r="A141" s="5" t="s">
        <v>1726</v>
      </c>
      <c r="B141" s="44">
        <v>44619.0</v>
      </c>
      <c r="C141" s="150">
        <v>0.3308449074074074</v>
      </c>
      <c r="D141" s="5"/>
      <c r="E141" s="5"/>
      <c r="F141" s="5"/>
      <c r="G141" s="5" t="s">
        <v>2184</v>
      </c>
      <c r="H141" s="5" t="s">
        <v>244</v>
      </c>
      <c r="I141" s="44">
        <v>44621.0</v>
      </c>
      <c r="J141" s="150">
        <v>0.47835648148148147</v>
      </c>
      <c r="K141" s="19">
        <v>1.0</v>
      </c>
      <c r="L141" s="10" t="b">
        <v>1</v>
      </c>
      <c r="M141" s="5" t="s">
        <v>2472</v>
      </c>
      <c r="N141" s="5" t="s">
        <v>247</v>
      </c>
      <c r="O141" s="5"/>
      <c r="P141" s="110" t="b">
        <f t="shared" si="1"/>
        <v>0</v>
      </c>
      <c r="Q141" s="110" t="b">
        <f>IF(COUNTIF(RAW_APS!$A$2:$A815,A141)=0,TRUE,FALSE)</f>
        <v>0</v>
      </c>
      <c r="R141" s="241" t="b">
        <f t="shared" si="2"/>
        <v>0</v>
      </c>
      <c r="U141" s="112" t="str">
        <f t="shared" si="3"/>
        <v/>
      </c>
      <c r="V141" s="60"/>
      <c r="W141" s="60"/>
      <c r="X141" s="60"/>
      <c r="Y141" s="60"/>
      <c r="Z141" s="210"/>
      <c r="AA141" s="112" t="str">
        <f t="shared" si="4"/>
        <v>FM444</v>
      </c>
      <c r="AB141" s="112" t="str">
        <f t="shared" si="5"/>
        <v/>
      </c>
      <c r="AC141" s="112" t="str">
        <f t="shared" si="6"/>
        <v/>
      </c>
      <c r="AD141" s="5"/>
      <c r="AE141" s="5"/>
    </row>
    <row r="142">
      <c r="A142" s="5" t="s">
        <v>1699</v>
      </c>
      <c r="B142" s="44">
        <v>44619.0</v>
      </c>
      <c r="C142" s="150">
        <v>0.2973032407407407</v>
      </c>
      <c r="D142" s="4"/>
      <c r="E142" s="5"/>
      <c r="F142" s="5"/>
      <c r="G142" s="5" t="s">
        <v>2184</v>
      </c>
      <c r="H142" s="5" t="s">
        <v>244</v>
      </c>
      <c r="I142" s="44">
        <v>44621.0</v>
      </c>
      <c r="J142" s="150">
        <v>0.4783449074074074</v>
      </c>
      <c r="K142" s="19">
        <v>1.0</v>
      </c>
      <c r="L142" s="10" t="b">
        <v>1</v>
      </c>
      <c r="M142" s="5" t="s">
        <v>2472</v>
      </c>
      <c r="N142" s="5" t="s">
        <v>247</v>
      </c>
      <c r="O142" s="5"/>
      <c r="P142" s="110" t="b">
        <f t="shared" si="1"/>
        <v>0</v>
      </c>
      <c r="Q142" s="110" t="b">
        <f>IF(COUNTIF(RAW_APS!$A$2:$A815,A142)=0,TRUE,FALSE)</f>
        <v>0</v>
      </c>
      <c r="R142" s="241" t="b">
        <f t="shared" si="2"/>
        <v>0</v>
      </c>
      <c r="U142" s="112" t="str">
        <f t="shared" si="3"/>
        <v/>
      </c>
      <c r="V142" s="60"/>
      <c r="W142" s="60"/>
      <c r="X142" s="60"/>
      <c r="Y142" s="60"/>
      <c r="Z142" s="210"/>
      <c r="AA142" s="112" t="str">
        <f t="shared" si="4"/>
        <v>FM445</v>
      </c>
      <c r="AB142" s="112" t="str">
        <f t="shared" si="5"/>
        <v/>
      </c>
      <c r="AC142" s="112" t="str">
        <f t="shared" si="6"/>
        <v/>
      </c>
      <c r="AD142" s="5"/>
      <c r="AE142" s="5"/>
    </row>
    <row r="143">
      <c r="A143" s="5" t="s">
        <v>1945</v>
      </c>
      <c r="B143" s="44">
        <v>44625.0</v>
      </c>
      <c r="C143" s="150">
        <v>0.3190277777777778</v>
      </c>
      <c r="D143" s="5"/>
      <c r="E143" s="5"/>
      <c r="F143" s="5"/>
      <c r="G143" s="5" t="s">
        <v>2184</v>
      </c>
      <c r="H143" s="5" t="s">
        <v>244</v>
      </c>
      <c r="I143" s="44">
        <v>44625.0</v>
      </c>
      <c r="J143" s="150">
        <v>0.48975694444444445</v>
      </c>
      <c r="K143" s="19">
        <v>1.0</v>
      </c>
      <c r="L143" s="10" t="b">
        <v>1</v>
      </c>
      <c r="M143" s="5" t="s">
        <v>2467</v>
      </c>
      <c r="N143" s="5" t="s">
        <v>247</v>
      </c>
      <c r="O143" s="5"/>
      <c r="P143" s="110" t="b">
        <f t="shared" si="1"/>
        <v>0</v>
      </c>
      <c r="Q143" s="110" t="b">
        <f>IF(COUNTIF(RAW_APS!$A$2:$A815,A143)=0,TRUE,FALSE)</f>
        <v>0</v>
      </c>
      <c r="R143" s="241" t="b">
        <f t="shared" si="2"/>
        <v>0</v>
      </c>
      <c r="U143" s="112" t="str">
        <f t="shared" si="3"/>
        <v/>
      </c>
      <c r="V143" s="60"/>
      <c r="W143" s="60"/>
      <c r="X143" s="60"/>
      <c r="Y143" s="60"/>
      <c r="Z143" s="210"/>
      <c r="AA143" s="112" t="str">
        <f t="shared" si="4"/>
        <v>FM446</v>
      </c>
      <c r="AB143" s="112" t="str">
        <f t="shared" si="5"/>
        <v/>
      </c>
      <c r="AC143" s="112" t="str">
        <f t="shared" si="6"/>
        <v/>
      </c>
      <c r="AD143" s="5"/>
      <c r="AE143" s="5"/>
    </row>
    <row r="144">
      <c r="A144" s="5" t="s">
        <v>2020</v>
      </c>
      <c r="B144" s="44">
        <v>44627.0</v>
      </c>
      <c r="C144" s="150">
        <v>0.3256712962962963</v>
      </c>
      <c r="D144" s="5"/>
      <c r="E144" s="5"/>
      <c r="F144" s="5"/>
      <c r="G144" s="5" t="s">
        <v>2184</v>
      </c>
      <c r="H144" s="5" t="s">
        <v>244</v>
      </c>
      <c r="I144" s="44">
        <v>44627.0</v>
      </c>
      <c r="J144" s="150">
        <v>0.4779050925925926</v>
      </c>
      <c r="K144" s="19">
        <v>1.0</v>
      </c>
      <c r="L144" s="10" t="b">
        <v>1</v>
      </c>
      <c r="M144" s="5" t="s">
        <v>2466</v>
      </c>
      <c r="N144" s="5" t="s">
        <v>247</v>
      </c>
      <c r="O144" s="5"/>
      <c r="P144" s="110" t="b">
        <f t="shared" si="1"/>
        <v>0</v>
      </c>
      <c r="Q144" s="110" t="b">
        <f>IF(COUNTIF(RAW_APS!$A$2:$A815,A144)=0,TRUE,FALSE)</f>
        <v>0</v>
      </c>
      <c r="R144" s="241" t="b">
        <f t="shared" si="2"/>
        <v>0</v>
      </c>
      <c r="U144" s="112" t="str">
        <f t="shared" si="3"/>
        <v/>
      </c>
      <c r="V144" s="60"/>
      <c r="W144" s="60"/>
      <c r="X144" s="60"/>
      <c r="Y144" s="60"/>
      <c r="Z144" s="210"/>
      <c r="AA144" s="112" t="str">
        <f t="shared" si="4"/>
        <v>FM448</v>
      </c>
      <c r="AB144" s="112" t="str">
        <f t="shared" si="5"/>
        <v/>
      </c>
      <c r="AC144" s="112" t="str">
        <f t="shared" si="6"/>
        <v/>
      </c>
      <c r="AD144" s="5"/>
      <c r="AE144" s="5"/>
    </row>
    <row r="145">
      <c r="A145" s="5" t="s">
        <v>1677</v>
      </c>
      <c r="B145" s="44">
        <v>44617.0</v>
      </c>
      <c r="C145" s="150">
        <v>0.34032407407407406</v>
      </c>
      <c r="D145" s="5"/>
      <c r="E145" s="5"/>
      <c r="F145" s="5"/>
      <c r="G145" s="5" t="s">
        <v>2184</v>
      </c>
      <c r="H145" s="5" t="s">
        <v>244</v>
      </c>
      <c r="I145" s="44">
        <v>44617.0</v>
      </c>
      <c r="J145" s="150">
        <v>0.5033796296296297</v>
      </c>
      <c r="K145" s="19">
        <v>1.0</v>
      </c>
      <c r="L145" s="10" t="b">
        <v>1</v>
      </c>
      <c r="M145" s="5" t="s">
        <v>2473</v>
      </c>
      <c r="N145" s="5" t="s">
        <v>247</v>
      </c>
      <c r="O145" s="5"/>
      <c r="P145" s="110" t="b">
        <f t="shared" si="1"/>
        <v>0</v>
      </c>
      <c r="Q145" s="110" t="b">
        <f>IF(COUNTIF(RAW_APS!$A$2:$A815,A145)=0,TRUE,FALSE)</f>
        <v>0</v>
      </c>
      <c r="R145" s="241" t="b">
        <f t="shared" si="2"/>
        <v>0</v>
      </c>
      <c r="U145" s="112" t="str">
        <f t="shared" si="3"/>
        <v/>
      </c>
      <c r="V145" s="60"/>
      <c r="W145" s="60"/>
      <c r="X145" s="60"/>
      <c r="Y145" s="60"/>
      <c r="Z145" s="210"/>
      <c r="AA145" s="112" t="str">
        <f t="shared" si="4"/>
        <v>FM45</v>
      </c>
      <c r="AB145" s="112" t="str">
        <f t="shared" si="5"/>
        <v/>
      </c>
      <c r="AC145" s="112" t="str">
        <f t="shared" si="6"/>
        <v/>
      </c>
      <c r="AD145" s="5"/>
      <c r="AE145" s="5"/>
    </row>
    <row r="146">
      <c r="A146" s="5" t="s">
        <v>1579</v>
      </c>
      <c r="B146" s="44">
        <v>44615.0</v>
      </c>
      <c r="C146" s="150">
        <v>0.3284375</v>
      </c>
      <c r="D146" s="5"/>
      <c r="E146" s="5"/>
      <c r="F146" s="5"/>
      <c r="G146" s="5" t="s">
        <v>2184</v>
      </c>
      <c r="H146" s="5" t="s">
        <v>52</v>
      </c>
      <c r="I146" s="44">
        <v>44615.0</v>
      </c>
      <c r="J146" s="150">
        <v>0.49125</v>
      </c>
      <c r="K146" s="19">
        <v>1.0</v>
      </c>
      <c r="L146" s="10" t="b">
        <v>1</v>
      </c>
      <c r="M146" s="5" t="s">
        <v>2474</v>
      </c>
      <c r="N146" s="5" t="s">
        <v>247</v>
      </c>
      <c r="O146" s="5"/>
      <c r="P146" s="110" t="b">
        <f t="shared" si="1"/>
        <v>0</v>
      </c>
      <c r="Q146" s="110" t="b">
        <f>IF(COUNTIF(RAW_APS!$A$2:$A815,A146)=0,TRUE,FALSE)</f>
        <v>0</v>
      </c>
      <c r="R146" s="241" t="b">
        <f t="shared" si="2"/>
        <v>0</v>
      </c>
      <c r="U146" s="112" t="str">
        <f t="shared" si="3"/>
        <v/>
      </c>
      <c r="V146" s="60"/>
      <c r="W146" s="60"/>
      <c r="X146" s="60"/>
      <c r="Y146" s="60"/>
      <c r="Z146" s="210"/>
      <c r="AA146" s="112" t="str">
        <f t="shared" si="4"/>
        <v>FM450</v>
      </c>
      <c r="AB146" s="112" t="str">
        <f t="shared" si="5"/>
        <v/>
      </c>
      <c r="AC146" s="112" t="str">
        <f t="shared" si="6"/>
        <v/>
      </c>
      <c r="AD146" s="5"/>
      <c r="AE146" s="5"/>
    </row>
    <row r="147">
      <c r="A147" s="5" t="s">
        <v>1277</v>
      </c>
      <c r="B147" s="44">
        <v>44607.0</v>
      </c>
      <c r="C147" s="150">
        <v>0.32666666666666666</v>
      </c>
      <c r="D147" s="5"/>
      <c r="E147" s="5"/>
      <c r="F147" s="5"/>
      <c r="G147" s="5" t="s">
        <v>2184</v>
      </c>
      <c r="H147" s="5" t="s">
        <v>244</v>
      </c>
      <c r="I147" s="44">
        <v>44607.0</v>
      </c>
      <c r="J147" s="150">
        <v>0.5868055555555556</v>
      </c>
      <c r="K147" s="19">
        <v>1.0</v>
      </c>
      <c r="L147" s="10" t="b">
        <v>1</v>
      </c>
      <c r="M147" s="5" t="s">
        <v>2479</v>
      </c>
      <c r="N147" s="5" t="s">
        <v>247</v>
      </c>
      <c r="O147" s="5"/>
      <c r="P147" s="110" t="b">
        <f t="shared" si="1"/>
        <v>0</v>
      </c>
      <c r="Q147" s="110" t="b">
        <f>IF(COUNTIF(RAW_APS!$A$2:$A815,A147)=0,TRUE,FALSE)</f>
        <v>0</v>
      </c>
      <c r="R147" s="241" t="b">
        <f t="shared" si="2"/>
        <v>0</v>
      </c>
      <c r="U147" s="112" t="str">
        <f t="shared" si="3"/>
        <v/>
      </c>
      <c r="V147" s="60"/>
      <c r="W147" s="60"/>
      <c r="X147" s="60"/>
      <c r="Y147" s="60"/>
      <c r="Z147" s="210"/>
      <c r="AA147" s="112" t="str">
        <f t="shared" si="4"/>
        <v>FM452</v>
      </c>
      <c r="AB147" s="112" t="str">
        <f t="shared" si="5"/>
        <v/>
      </c>
      <c r="AC147" s="112" t="str">
        <f t="shared" si="6"/>
        <v/>
      </c>
      <c r="AD147" s="5"/>
      <c r="AE147" s="5"/>
    </row>
    <row r="148">
      <c r="A148" s="5" t="s">
        <v>1689</v>
      </c>
      <c r="B148" s="44">
        <v>44619.0</v>
      </c>
      <c r="C148" s="150">
        <v>0.26229166666666665</v>
      </c>
      <c r="D148" s="5"/>
      <c r="E148" s="5"/>
      <c r="F148" s="5"/>
      <c r="G148" s="5" t="s">
        <v>2184</v>
      </c>
      <c r="H148" s="5" t="s">
        <v>244</v>
      </c>
      <c r="I148" s="44">
        <v>44621.0</v>
      </c>
      <c r="J148" s="150">
        <v>0.47833333333333333</v>
      </c>
      <c r="K148" s="19">
        <v>1.0</v>
      </c>
      <c r="L148" s="10" t="b">
        <v>1</v>
      </c>
      <c r="M148" s="5" t="s">
        <v>2472</v>
      </c>
      <c r="N148" s="5" t="s">
        <v>247</v>
      </c>
      <c r="O148" s="5"/>
      <c r="P148" s="110" t="b">
        <f t="shared" si="1"/>
        <v>0</v>
      </c>
      <c r="Q148" s="110" t="b">
        <f>IF(COUNTIF(RAW_APS!$A$2:$A815,A148)=0,TRUE,FALSE)</f>
        <v>0</v>
      </c>
      <c r="R148" s="241" t="b">
        <f t="shared" si="2"/>
        <v>0</v>
      </c>
      <c r="U148" s="112" t="str">
        <f t="shared" si="3"/>
        <v/>
      </c>
      <c r="V148" s="60"/>
      <c r="W148" s="60"/>
      <c r="X148" s="60"/>
      <c r="Y148" s="60"/>
      <c r="Z148" s="210"/>
      <c r="AA148" s="112" t="str">
        <f t="shared" si="4"/>
        <v>FM454</v>
      </c>
      <c r="AB148" s="112" t="str">
        <f t="shared" si="5"/>
        <v/>
      </c>
      <c r="AC148" s="112" t="str">
        <f t="shared" si="6"/>
        <v/>
      </c>
      <c r="AD148" s="5"/>
      <c r="AE148" s="5"/>
    </row>
    <row r="149">
      <c r="A149" s="5" t="s">
        <v>1695</v>
      </c>
      <c r="B149" s="44">
        <v>44619.0</v>
      </c>
      <c r="C149" s="150">
        <v>0.28791666666666665</v>
      </c>
      <c r="D149" s="5"/>
      <c r="E149" s="5"/>
      <c r="F149" s="5"/>
      <c r="G149" s="5" t="s">
        <v>2184</v>
      </c>
      <c r="H149" s="5" t="s">
        <v>244</v>
      </c>
      <c r="I149" s="44">
        <v>44621.0</v>
      </c>
      <c r="J149" s="150">
        <v>0.4783449074074074</v>
      </c>
      <c r="K149" s="19">
        <v>1.0</v>
      </c>
      <c r="L149" s="10" t="b">
        <v>1</v>
      </c>
      <c r="M149" s="5" t="s">
        <v>2472</v>
      </c>
      <c r="N149" s="5" t="s">
        <v>247</v>
      </c>
      <c r="O149" s="5"/>
      <c r="P149" s="110" t="b">
        <f t="shared" si="1"/>
        <v>0</v>
      </c>
      <c r="Q149" s="110" t="b">
        <f>IF(COUNTIF(RAW_APS!$A$2:$A815,A149)=0,TRUE,FALSE)</f>
        <v>0</v>
      </c>
      <c r="R149" s="241" t="b">
        <f t="shared" si="2"/>
        <v>0</v>
      </c>
      <c r="U149" s="112" t="str">
        <f t="shared" si="3"/>
        <v/>
      </c>
      <c r="V149" s="60"/>
      <c r="W149" s="60"/>
      <c r="X149" s="60"/>
      <c r="Y149" s="60"/>
      <c r="Z149" s="210"/>
      <c r="AA149" s="112" t="str">
        <f t="shared" si="4"/>
        <v>FM455</v>
      </c>
      <c r="AB149" s="112" t="str">
        <f t="shared" si="5"/>
        <v/>
      </c>
      <c r="AC149" s="112" t="str">
        <f t="shared" si="6"/>
        <v/>
      </c>
      <c r="AD149" s="5"/>
      <c r="AE149" s="5"/>
    </row>
    <row r="150">
      <c r="A150" s="5" t="s">
        <v>1651</v>
      </c>
      <c r="B150" s="44">
        <v>44617.0</v>
      </c>
      <c r="C150" s="150">
        <v>0.3227083333333333</v>
      </c>
      <c r="D150" s="5"/>
      <c r="E150" s="5"/>
      <c r="F150" s="5"/>
      <c r="G150" s="5" t="s">
        <v>2184</v>
      </c>
      <c r="H150" s="5" t="s">
        <v>244</v>
      </c>
      <c r="I150" s="44">
        <v>44617.0</v>
      </c>
      <c r="J150" s="150">
        <v>0.5033796296296297</v>
      </c>
      <c r="K150" s="19">
        <v>1.0</v>
      </c>
      <c r="L150" s="10" t="b">
        <v>1</v>
      </c>
      <c r="M150" s="5" t="s">
        <v>2473</v>
      </c>
      <c r="N150" s="5" t="s">
        <v>247</v>
      </c>
      <c r="O150" s="5"/>
      <c r="P150" s="110" t="b">
        <f t="shared" si="1"/>
        <v>0</v>
      </c>
      <c r="Q150" s="110" t="b">
        <f>IF(COUNTIF(RAW_APS!$A$2:$A815,A150)=0,TRUE,FALSE)</f>
        <v>0</v>
      </c>
      <c r="R150" s="241" t="b">
        <f t="shared" si="2"/>
        <v>0</v>
      </c>
      <c r="U150" s="112" t="str">
        <f t="shared" si="3"/>
        <v/>
      </c>
      <c r="V150" s="60"/>
      <c r="W150" s="60"/>
      <c r="X150" s="60"/>
      <c r="Y150" s="60"/>
      <c r="Z150" s="210"/>
      <c r="AA150" s="112" t="str">
        <f t="shared" si="4"/>
        <v>FM456</v>
      </c>
      <c r="AB150" s="112" t="str">
        <f t="shared" si="5"/>
        <v/>
      </c>
      <c r="AC150" s="112" t="str">
        <f t="shared" si="6"/>
        <v/>
      </c>
      <c r="AD150" s="5"/>
      <c r="AE150" s="5"/>
    </row>
    <row r="151">
      <c r="A151" s="5" t="s">
        <v>1925</v>
      </c>
      <c r="B151" s="44">
        <v>44625.0</v>
      </c>
      <c r="C151" s="150">
        <v>0.3079861111111111</v>
      </c>
      <c r="D151" s="5"/>
      <c r="E151" s="5"/>
      <c r="F151" s="5"/>
      <c r="G151" s="5" t="s">
        <v>2184</v>
      </c>
      <c r="H151" s="5" t="s">
        <v>244</v>
      </c>
      <c r="I151" s="44">
        <v>44625.0</v>
      </c>
      <c r="J151" s="150">
        <v>0.48974537037037036</v>
      </c>
      <c r="K151" s="19">
        <v>1.0</v>
      </c>
      <c r="L151" s="10" t="b">
        <v>1</v>
      </c>
      <c r="M151" s="5" t="s">
        <v>2467</v>
      </c>
      <c r="N151" s="5" t="s">
        <v>247</v>
      </c>
      <c r="O151" s="5"/>
      <c r="P151" s="110" t="b">
        <f t="shared" si="1"/>
        <v>0</v>
      </c>
      <c r="Q151" s="110" t="b">
        <f>IF(COUNTIF(RAW_APS!$A$2:$A815,A151)=0,TRUE,FALSE)</f>
        <v>0</v>
      </c>
      <c r="R151" s="241" t="b">
        <f t="shared" si="2"/>
        <v>0</v>
      </c>
      <c r="U151" s="112" t="str">
        <f t="shared" si="3"/>
        <v/>
      </c>
      <c r="V151" s="60"/>
      <c r="W151" s="60"/>
      <c r="X151" s="60"/>
      <c r="Y151" s="60"/>
      <c r="Z151" s="210"/>
      <c r="AA151" s="112" t="str">
        <f t="shared" si="4"/>
        <v>FM458</v>
      </c>
      <c r="AB151" s="112" t="str">
        <f t="shared" si="5"/>
        <v/>
      </c>
      <c r="AC151" s="112" t="str">
        <f t="shared" si="6"/>
        <v/>
      </c>
      <c r="AD151" s="5"/>
      <c r="AE151" s="5"/>
    </row>
    <row r="152">
      <c r="A152" s="5" t="s">
        <v>1229</v>
      </c>
      <c r="B152" s="44">
        <v>44607.0</v>
      </c>
      <c r="C152" s="150">
        <v>0.2989583333333333</v>
      </c>
      <c r="D152" s="4"/>
      <c r="E152" s="5"/>
      <c r="F152" s="5"/>
      <c r="G152" s="5" t="s">
        <v>2184</v>
      </c>
      <c r="H152" s="5" t="s">
        <v>244</v>
      </c>
      <c r="I152" s="44">
        <v>44607.0</v>
      </c>
      <c r="J152" s="150">
        <v>0.5867939814814814</v>
      </c>
      <c r="K152" s="19">
        <v>1.0</v>
      </c>
      <c r="L152" s="10" t="b">
        <v>1</v>
      </c>
      <c r="M152" s="5" t="s">
        <v>2479</v>
      </c>
      <c r="N152" s="5" t="s">
        <v>247</v>
      </c>
      <c r="O152" s="5"/>
      <c r="P152" s="110" t="b">
        <f t="shared" si="1"/>
        <v>0</v>
      </c>
      <c r="Q152" s="110" t="b">
        <f>IF(COUNTIF(RAW_APS!$A$2:$A815,A152)=0,TRUE,FALSE)</f>
        <v>0</v>
      </c>
      <c r="R152" s="241" t="b">
        <f t="shared" si="2"/>
        <v>0</v>
      </c>
      <c r="U152" s="112" t="str">
        <f t="shared" si="3"/>
        <v/>
      </c>
      <c r="V152" s="60"/>
      <c r="W152" s="60"/>
      <c r="X152" s="60"/>
      <c r="Y152" s="60"/>
      <c r="Z152" s="210"/>
      <c r="AA152" s="112" t="str">
        <f t="shared" si="4"/>
        <v>FM459</v>
      </c>
      <c r="AB152" s="112" t="str">
        <f t="shared" si="5"/>
        <v/>
      </c>
      <c r="AC152" s="112" t="str">
        <f t="shared" si="6"/>
        <v/>
      </c>
      <c r="AD152" s="5"/>
      <c r="AE152" s="5"/>
    </row>
    <row r="153">
      <c r="A153" s="5" t="s">
        <v>1809</v>
      </c>
      <c r="B153" s="44">
        <v>44621.0</v>
      </c>
      <c r="C153" s="150">
        <v>0.33143518518518517</v>
      </c>
      <c r="D153" s="5"/>
      <c r="E153" s="5"/>
      <c r="F153" s="5"/>
      <c r="G153" s="5" t="s">
        <v>2184</v>
      </c>
      <c r="H153" s="5" t="s">
        <v>244</v>
      </c>
      <c r="I153" s="44">
        <v>44627.0</v>
      </c>
      <c r="J153" s="150">
        <v>0.47792824074074075</v>
      </c>
      <c r="K153" s="19">
        <v>1.0</v>
      </c>
      <c r="L153" s="10" t="b">
        <v>1</v>
      </c>
      <c r="M153" s="5" t="s">
        <v>2470</v>
      </c>
      <c r="N153" s="5" t="s">
        <v>247</v>
      </c>
      <c r="O153" s="5"/>
      <c r="P153" s="110" t="b">
        <f t="shared" si="1"/>
        <v>0</v>
      </c>
      <c r="Q153" s="110" t="b">
        <f>IF(COUNTIF(RAW_APS!$A$2:$A815,A153)=0,TRUE,FALSE)</f>
        <v>0</v>
      </c>
      <c r="R153" s="241" t="b">
        <f t="shared" si="2"/>
        <v>0</v>
      </c>
      <c r="U153" s="112" t="str">
        <f t="shared" si="3"/>
        <v/>
      </c>
      <c r="V153" s="60"/>
      <c r="W153" s="60"/>
      <c r="X153" s="60"/>
      <c r="Y153" s="60"/>
      <c r="Z153" s="210"/>
      <c r="AA153" s="112" t="str">
        <f t="shared" si="4"/>
        <v>FM46</v>
      </c>
      <c r="AB153" s="112" t="str">
        <f t="shared" si="5"/>
        <v/>
      </c>
      <c r="AC153" s="112" t="str">
        <f t="shared" si="6"/>
        <v/>
      </c>
      <c r="AD153" s="5"/>
      <c r="AE153" s="5"/>
    </row>
    <row r="154">
      <c r="A154" s="5" t="s">
        <v>1537</v>
      </c>
      <c r="B154" s="44">
        <v>44613.0</v>
      </c>
      <c r="C154" s="150">
        <v>0.3421064814814815</v>
      </c>
      <c r="D154" s="5"/>
      <c r="E154" s="5"/>
      <c r="F154" s="5"/>
      <c r="G154" s="5" t="s">
        <v>2184</v>
      </c>
      <c r="H154" s="5" t="s">
        <v>244</v>
      </c>
      <c r="I154" s="44">
        <v>44613.0</v>
      </c>
      <c r="J154" s="150">
        <v>0.4694212962962963</v>
      </c>
      <c r="K154" s="19">
        <v>1.0</v>
      </c>
      <c r="L154" s="10" t="b">
        <v>1</v>
      </c>
      <c r="M154" s="5" t="s">
        <v>2476</v>
      </c>
      <c r="N154" s="5" t="s">
        <v>247</v>
      </c>
      <c r="O154" s="5"/>
      <c r="P154" s="110" t="b">
        <f t="shared" si="1"/>
        <v>0</v>
      </c>
      <c r="Q154" s="110" t="b">
        <f>IF(COUNTIF(RAW_APS!$A$2:$A815,A154)=0,TRUE,FALSE)</f>
        <v>0</v>
      </c>
      <c r="R154" s="241" t="b">
        <f t="shared" si="2"/>
        <v>0</v>
      </c>
      <c r="U154" s="112" t="str">
        <f t="shared" si="3"/>
        <v/>
      </c>
      <c r="V154" s="60"/>
      <c r="W154" s="60"/>
      <c r="X154" s="60"/>
      <c r="Y154" s="60"/>
      <c r="Z154" s="210"/>
      <c r="AA154" s="112" t="str">
        <f t="shared" si="4"/>
        <v>FM461</v>
      </c>
      <c r="AB154" s="112" t="str">
        <f t="shared" si="5"/>
        <v/>
      </c>
      <c r="AC154" s="112" t="str">
        <f t="shared" si="6"/>
        <v/>
      </c>
      <c r="AD154" s="5"/>
      <c r="AE154" s="5"/>
    </row>
    <row r="155">
      <c r="A155" s="5" t="s">
        <v>1647</v>
      </c>
      <c r="B155" s="44">
        <v>44617.0</v>
      </c>
      <c r="C155" s="150">
        <v>0.3203472222222222</v>
      </c>
      <c r="D155" s="5"/>
      <c r="E155" s="5"/>
      <c r="F155" s="5"/>
      <c r="G155" s="5" t="s">
        <v>2184</v>
      </c>
      <c r="H155" s="5" t="s">
        <v>244</v>
      </c>
      <c r="I155" s="44">
        <v>44617.0</v>
      </c>
      <c r="J155" s="150">
        <v>0.5033680555555555</v>
      </c>
      <c r="K155" s="19">
        <v>1.0</v>
      </c>
      <c r="L155" s="10" t="b">
        <v>1</v>
      </c>
      <c r="M155" s="5" t="s">
        <v>2473</v>
      </c>
      <c r="N155" s="5" t="s">
        <v>247</v>
      </c>
      <c r="O155" s="5"/>
      <c r="P155" s="110" t="b">
        <f t="shared" si="1"/>
        <v>0</v>
      </c>
      <c r="Q155" s="110" t="b">
        <f>IF(COUNTIF(RAW_APS!$A$2:$A815,A155)=0,TRUE,FALSE)</f>
        <v>0</v>
      </c>
      <c r="R155" s="241" t="b">
        <f t="shared" si="2"/>
        <v>0</v>
      </c>
      <c r="U155" s="112" t="str">
        <f t="shared" si="3"/>
        <v/>
      </c>
      <c r="V155" s="60"/>
      <c r="W155" s="60"/>
      <c r="X155" s="60"/>
      <c r="Y155" s="60"/>
      <c r="Z155" s="210"/>
      <c r="AA155" s="112" t="str">
        <f t="shared" si="4"/>
        <v>FM463</v>
      </c>
      <c r="AB155" s="112" t="str">
        <f t="shared" si="5"/>
        <v/>
      </c>
      <c r="AC155" s="112" t="str">
        <f t="shared" si="6"/>
        <v/>
      </c>
      <c r="AD155" s="5"/>
      <c r="AE155" s="5"/>
    </row>
    <row r="156">
      <c r="A156" s="5" t="s">
        <v>2132</v>
      </c>
      <c r="B156" s="44">
        <v>44631.0</v>
      </c>
      <c r="C156" s="150">
        <v>0.3299884259259259</v>
      </c>
      <c r="D156" s="5"/>
      <c r="E156" s="5"/>
      <c r="F156" s="5"/>
      <c r="G156" s="5" t="s">
        <v>2184</v>
      </c>
      <c r="H156" s="5" t="s">
        <v>244</v>
      </c>
      <c r="I156" s="44">
        <v>44631.0</v>
      </c>
      <c r="J156" s="150">
        <v>0.486099537037037</v>
      </c>
      <c r="K156" s="19">
        <v>1.0</v>
      </c>
      <c r="L156" s="10" t="b">
        <v>1</v>
      </c>
      <c r="M156" s="5" t="s">
        <v>2464</v>
      </c>
      <c r="N156" s="5" t="s">
        <v>247</v>
      </c>
      <c r="O156" s="5"/>
      <c r="P156" s="110" t="b">
        <f t="shared" si="1"/>
        <v>0</v>
      </c>
      <c r="Q156" s="110" t="b">
        <f>IF(COUNTIF(RAW_APS!$A$2:$A815,A156)=0,TRUE,FALSE)</f>
        <v>0</v>
      </c>
      <c r="R156" s="241" t="b">
        <f t="shared" si="2"/>
        <v>0</v>
      </c>
      <c r="U156" s="112" t="str">
        <f t="shared" si="3"/>
        <v/>
      </c>
      <c r="V156" s="60"/>
      <c r="W156" s="60"/>
      <c r="X156" s="60"/>
      <c r="Y156" s="60"/>
      <c r="Z156" s="210"/>
      <c r="AA156" s="112" t="str">
        <f t="shared" si="4"/>
        <v>FM464</v>
      </c>
      <c r="AB156" s="112" t="str">
        <f t="shared" si="5"/>
        <v/>
      </c>
      <c r="AC156" s="112" t="str">
        <f t="shared" si="6"/>
        <v/>
      </c>
      <c r="AD156" s="5"/>
      <c r="AE156" s="5"/>
    </row>
    <row r="157">
      <c r="A157" s="5" t="s">
        <v>1621</v>
      </c>
      <c r="B157" s="44">
        <v>44617.0</v>
      </c>
      <c r="C157" s="150">
        <v>0.30302083333333335</v>
      </c>
      <c r="D157" s="5"/>
      <c r="E157" s="5"/>
      <c r="F157" s="5"/>
      <c r="G157" s="5" t="s">
        <v>2184</v>
      </c>
      <c r="H157" s="5" t="s">
        <v>244</v>
      </c>
      <c r="I157" s="44">
        <v>44617.0</v>
      </c>
      <c r="J157" s="150">
        <v>0.5033680555555555</v>
      </c>
      <c r="K157" s="19">
        <v>1.0</v>
      </c>
      <c r="L157" s="10" t="b">
        <v>1</v>
      </c>
      <c r="M157" s="5" t="s">
        <v>2473</v>
      </c>
      <c r="N157" s="5" t="s">
        <v>247</v>
      </c>
      <c r="O157" s="5"/>
      <c r="P157" s="110" t="b">
        <f t="shared" si="1"/>
        <v>0</v>
      </c>
      <c r="Q157" s="110" t="b">
        <f>IF(COUNTIF(RAW_APS!$A$2:$A815,A157)=0,TRUE,FALSE)</f>
        <v>0</v>
      </c>
      <c r="R157" s="241" t="b">
        <f t="shared" si="2"/>
        <v>0</v>
      </c>
      <c r="U157" s="112" t="str">
        <f t="shared" si="3"/>
        <v/>
      </c>
      <c r="V157" s="60"/>
      <c r="W157" s="60"/>
      <c r="X157" s="60"/>
      <c r="Y157" s="60"/>
      <c r="Z157" s="210"/>
      <c r="AA157" s="112" t="str">
        <f t="shared" si="4"/>
        <v>FM466</v>
      </c>
      <c r="AB157" s="112" t="str">
        <f t="shared" si="5"/>
        <v/>
      </c>
      <c r="AC157" s="112" t="str">
        <f t="shared" si="6"/>
        <v/>
      </c>
      <c r="AD157" s="5"/>
      <c r="AE157" s="5"/>
    </row>
    <row r="158">
      <c r="A158" s="5" t="s">
        <v>2072</v>
      </c>
      <c r="B158" s="44">
        <v>44629.0</v>
      </c>
      <c r="C158" s="150">
        <v>0.3285300925925926</v>
      </c>
      <c r="D158" s="5"/>
      <c r="E158" s="5"/>
      <c r="F158" s="5"/>
      <c r="G158" s="5" t="s">
        <v>2184</v>
      </c>
      <c r="H158" s="5" t="s">
        <v>244</v>
      </c>
      <c r="I158" s="44">
        <v>44629.0</v>
      </c>
      <c r="J158" s="150">
        <v>0.4994560185185185</v>
      </c>
      <c r="K158" s="19">
        <v>1.0</v>
      </c>
      <c r="L158" s="10" t="b">
        <v>1</v>
      </c>
      <c r="M158" s="5" t="s">
        <v>2465</v>
      </c>
      <c r="N158" s="5" t="s">
        <v>247</v>
      </c>
      <c r="O158" s="5"/>
      <c r="P158" s="110" t="b">
        <f t="shared" si="1"/>
        <v>0</v>
      </c>
      <c r="Q158" s="110" t="b">
        <f>IF(COUNTIF(RAW_APS!$A$2:$A815,A158)=0,TRUE,FALSE)</f>
        <v>0</v>
      </c>
      <c r="R158" s="241" t="b">
        <f t="shared" si="2"/>
        <v>0</v>
      </c>
      <c r="U158" s="112" t="str">
        <f t="shared" si="3"/>
        <v/>
      </c>
      <c r="V158" s="60"/>
      <c r="W158" s="60"/>
      <c r="X158" s="60"/>
      <c r="Y158" s="60"/>
      <c r="Z158" s="210"/>
      <c r="AA158" s="112" t="str">
        <f t="shared" si="4"/>
        <v>FM47</v>
      </c>
      <c r="AB158" s="112" t="str">
        <f t="shared" si="5"/>
        <v/>
      </c>
      <c r="AC158" s="112" t="str">
        <f t="shared" si="6"/>
        <v/>
      </c>
      <c r="AD158" s="5"/>
      <c r="AE158" s="5"/>
    </row>
    <row r="159">
      <c r="A159" s="5" t="s">
        <v>1951</v>
      </c>
      <c r="B159" s="44">
        <v>44625.0</v>
      </c>
      <c r="C159" s="150">
        <v>0.3324884259259259</v>
      </c>
      <c r="D159" s="5"/>
      <c r="E159" s="5"/>
      <c r="F159" s="5"/>
      <c r="G159" s="5" t="s">
        <v>2184</v>
      </c>
      <c r="H159" s="5" t="s">
        <v>244</v>
      </c>
      <c r="I159" s="44">
        <v>44625.0</v>
      </c>
      <c r="J159" s="150">
        <v>0.48975694444444445</v>
      </c>
      <c r="K159" s="19">
        <v>1.0</v>
      </c>
      <c r="L159" s="10" t="b">
        <v>1</v>
      </c>
      <c r="M159" s="5" t="s">
        <v>2467</v>
      </c>
      <c r="N159" s="5" t="s">
        <v>247</v>
      </c>
      <c r="O159" s="5"/>
      <c r="P159" s="110" t="b">
        <f t="shared" si="1"/>
        <v>0</v>
      </c>
      <c r="Q159" s="110" t="b">
        <f>IF(COUNTIF(RAW_APS!$A$2:$A815,A159)=0,TRUE,FALSE)</f>
        <v>0</v>
      </c>
      <c r="R159" s="241" t="b">
        <f t="shared" si="2"/>
        <v>0</v>
      </c>
      <c r="U159" s="112" t="str">
        <f t="shared" si="3"/>
        <v/>
      </c>
      <c r="V159" s="60"/>
      <c r="W159" s="60"/>
      <c r="X159" s="60"/>
      <c r="Y159" s="60"/>
      <c r="Z159" s="210"/>
      <c r="AA159" s="112" t="str">
        <f t="shared" si="4"/>
        <v>FM470</v>
      </c>
      <c r="AB159" s="112" t="str">
        <f t="shared" si="5"/>
        <v/>
      </c>
      <c r="AC159" s="112" t="str">
        <f t="shared" si="6"/>
        <v/>
      </c>
      <c r="AD159" s="5"/>
      <c r="AE159" s="5"/>
    </row>
    <row r="160">
      <c r="A160" s="5" t="s">
        <v>1722</v>
      </c>
      <c r="B160" s="44">
        <v>44619.0</v>
      </c>
      <c r="C160" s="150">
        <v>0.32743055555555556</v>
      </c>
      <c r="D160" s="5"/>
      <c r="E160" s="5"/>
      <c r="F160" s="5"/>
      <c r="G160" s="5" t="s">
        <v>2184</v>
      </c>
      <c r="H160" s="5" t="s">
        <v>244</v>
      </c>
      <c r="I160" s="44">
        <v>44621.0</v>
      </c>
      <c r="J160" s="150">
        <v>0.47835648148148147</v>
      </c>
      <c r="K160" s="19">
        <v>1.0</v>
      </c>
      <c r="L160" s="10" t="b">
        <v>1</v>
      </c>
      <c r="M160" s="5" t="s">
        <v>2472</v>
      </c>
      <c r="N160" s="5" t="s">
        <v>247</v>
      </c>
      <c r="O160" s="5"/>
      <c r="P160" s="110" t="b">
        <f t="shared" si="1"/>
        <v>0</v>
      </c>
      <c r="Q160" s="110" t="b">
        <f>IF(COUNTIF(RAW_APS!$A$2:$A815,A160)=0,TRUE,FALSE)</f>
        <v>0</v>
      </c>
      <c r="R160" s="241" t="b">
        <f t="shared" si="2"/>
        <v>0</v>
      </c>
      <c r="U160" s="112" t="str">
        <f t="shared" si="3"/>
        <v/>
      </c>
      <c r="V160" s="60"/>
      <c r="W160" s="60"/>
      <c r="X160" s="60"/>
      <c r="Y160" s="60"/>
      <c r="Z160" s="210"/>
      <c r="AA160" s="112" t="str">
        <f t="shared" si="4"/>
        <v>FM471</v>
      </c>
      <c r="AB160" s="112" t="str">
        <f t="shared" si="5"/>
        <v/>
      </c>
      <c r="AC160" s="112" t="str">
        <f t="shared" si="6"/>
        <v/>
      </c>
      <c r="AD160" s="5"/>
      <c r="AE160" s="5"/>
    </row>
    <row r="161">
      <c r="A161" s="5" t="s">
        <v>1367</v>
      </c>
      <c r="B161" s="44">
        <v>44609.0</v>
      </c>
      <c r="C161" s="150">
        <v>0.32766203703703706</v>
      </c>
      <c r="D161" s="5"/>
      <c r="E161" s="5"/>
      <c r="F161" s="5"/>
      <c r="G161" s="5" t="s">
        <v>2184</v>
      </c>
      <c r="H161" s="5" t="s">
        <v>244</v>
      </c>
      <c r="I161" s="44">
        <v>44611.0</v>
      </c>
      <c r="J161" s="150">
        <v>0.38958333333333334</v>
      </c>
      <c r="K161" s="19">
        <v>1.0</v>
      </c>
      <c r="L161" s="10" t="b">
        <v>1</v>
      </c>
      <c r="M161" s="5" t="s">
        <v>2478</v>
      </c>
      <c r="N161" s="5" t="s">
        <v>247</v>
      </c>
      <c r="O161" s="5"/>
      <c r="P161" s="110" t="b">
        <f t="shared" si="1"/>
        <v>0</v>
      </c>
      <c r="Q161" s="110" t="b">
        <f>IF(COUNTIF(RAW_APS!$A$2:$A815,A161)=0,TRUE,FALSE)</f>
        <v>0</v>
      </c>
      <c r="R161" s="241" t="b">
        <f t="shared" si="2"/>
        <v>0</v>
      </c>
      <c r="U161" s="112" t="str">
        <f t="shared" si="3"/>
        <v/>
      </c>
      <c r="V161" s="60"/>
      <c r="W161" s="60"/>
      <c r="X161" s="60"/>
      <c r="Y161" s="60"/>
      <c r="Z161" s="210"/>
      <c r="AA161" s="112" t="str">
        <f t="shared" si="4"/>
        <v>FM472</v>
      </c>
      <c r="AB161" s="112" t="str">
        <f t="shared" si="5"/>
        <v/>
      </c>
      <c r="AC161" s="112" t="str">
        <f t="shared" si="6"/>
        <v/>
      </c>
      <c r="AD161" s="5"/>
      <c r="AE161" s="5"/>
    </row>
    <row r="162">
      <c r="A162" s="5" t="s">
        <v>2150</v>
      </c>
      <c r="B162" s="44">
        <v>44632.0</v>
      </c>
      <c r="C162" s="150">
        <v>0.32890046296296294</v>
      </c>
      <c r="D162" s="5"/>
      <c r="E162" s="5"/>
      <c r="F162" s="5"/>
      <c r="G162" s="5" t="s">
        <v>2188</v>
      </c>
      <c r="H162" s="5" t="s">
        <v>254</v>
      </c>
      <c r="I162" s="44">
        <v>44861.0</v>
      </c>
      <c r="J162" s="150">
        <v>0.4895023148148148</v>
      </c>
      <c r="K162" s="19">
        <v>1.0</v>
      </c>
      <c r="L162" s="5"/>
      <c r="M162" s="5"/>
      <c r="N162" s="5" t="s">
        <v>247</v>
      </c>
      <c r="O162" s="5"/>
      <c r="P162" s="110" t="b">
        <f t="shared" si="1"/>
        <v>0</v>
      </c>
      <c r="Q162" s="110" t="b">
        <f>IF(COUNTIF(RAW_APS!$A$2:$A815,A162)=0,TRUE,FALSE)</f>
        <v>0</v>
      </c>
      <c r="R162" s="241" t="b">
        <f t="shared" si="2"/>
        <v>0</v>
      </c>
      <c r="U162" s="112" t="str">
        <f t="shared" si="3"/>
        <v/>
      </c>
      <c r="V162" s="60"/>
      <c r="W162" s="60"/>
      <c r="X162" s="60"/>
      <c r="Y162" s="60"/>
      <c r="Z162" s="210"/>
      <c r="AA162" s="112" t="str">
        <f t="shared" si="4"/>
        <v>FM475</v>
      </c>
      <c r="AB162" s="112" t="str">
        <f t="shared" si="5"/>
        <v/>
      </c>
      <c r="AC162" s="112" t="str">
        <f t="shared" si="6"/>
        <v/>
      </c>
      <c r="AD162" s="5"/>
      <c r="AE162" s="5"/>
    </row>
    <row r="163">
      <c r="A163" s="5" t="s">
        <v>1986</v>
      </c>
      <c r="B163" s="44">
        <v>44627.0</v>
      </c>
      <c r="C163" s="150">
        <v>0.2971412037037037</v>
      </c>
      <c r="D163" s="5"/>
      <c r="E163" s="5"/>
      <c r="F163" s="5"/>
      <c r="G163" s="5" t="s">
        <v>2184</v>
      </c>
      <c r="H163" s="5" t="s">
        <v>244</v>
      </c>
      <c r="I163" s="44">
        <v>44627.0</v>
      </c>
      <c r="J163" s="150">
        <v>0.4778935185185185</v>
      </c>
      <c r="K163" s="19">
        <v>1.0</v>
      </c>
      <c r="L163" s="10" t="b">
        <v>1</v>
      </c>
      <c r="M163" s="5" t="s">
        <v>2466</v>
      </c>
      <c r="N163" s="5" t="s">
        <v>247</v>
      </c>
      <c r="O163" s="5"/>
      <c r="P163" s="110" t="b">
        <f t="shared" si="1"/>
        <v>0</v>
      </c>
      <c r="Q163" s="110" t="b">
        <f>IF(COUNTIF(RAW_APS!$A$2:$A815,A163)=0,TRUE,FALSE)</f>
        <v>0</v>
      </c>
      <c r="R163" s="241" t="b">
        <f t="shared" si="2"/>
        <v>0</v>
      </c>
      <c r="U163" s="112" t="str">
        <f t="shared" si="3"/>
        <v/>
      </c>
      <c r="V163" s="60"/>
      <c r="W163" s="60"/>
      <c r="X163" s="60"/>
      <c r="Y163" s="60"/>
      <c r="Z163" s="210"/>
      <c r="AA163" s="112" t="str">
        <f t="shared" si="4"/>
        <v>FM476</v>
      </c>
      <c r="AB163" s="112" t="str">
        <f t="shared" si="5"/>
        <v/>
      </c>
      <c r="AC163" s="112" t="str">
        <f t="shared" si="6"/>
        <v/>
      </c>
      <c r="AD163" s="5"/>
      <c r="AE163" s="5"/>
    </row>
    <row r="164">
      <c r="A164" s="5" t="s">
        <v>1939</v>
      </c>
      <c r="B164" s="44">
        <v>44625.0</v>
      </c>
      <c r="C164" s="150">
        <v>0.3158564814814815</v>
      </c>
      <c r="D164" s="5"/>
      <c r="E164" s="5"/>
      <c r="F164" s="5"/>
      <c r="G164" s="5" t="s">
        <v>2184</v>
      </c>
      <c r="H164" s="5" t="s">
        <v>244</v>
      </c>
      <c r="I164" s="44">
        <v>44625.0</v>
      </c>
      <c r="J164" s="150">
        <v>0.48974537037037036</v>
      </c>
      <c r="K164" s="19">
        <v>1.0</v>
      </c>
      <c r="L164" s="10" t="b">
        <v>1</v>
      </c>
      <c r="M164" s="5" t="s">
        <v>2467</v>
      </c>
      <c r="N164" s="5" t="s">
        <v>247</v>
      </c>
      <c r="O164" s="5"/>
      <c r="P164" s="110" t="b">
        <f t="shared" si="1"/>
        <v>0</v>
      </c>
      <c r="Q164" s="110" t="b">
        <f>IF(COUNTIF(RAW_APS!$A$2:$A815,A164)=0,TRUE,FALSE)</f>
        <v>0</v>
      </c>
      <c r="R164" s="241" t="b">
        <f t="shared" si="2"/>
        <v>0</v>
      </c>
      <c r="U164" s="112" t="str">
        <f t="shared" si="3"/>
        <v/>
      </c>
      <c r="V164" s="60"/>
      <c r="W164" s="60"/>
      <c r="X164" s="60"/>
      <c r="Y164" s="60"/>
      <c r="Z164" s="210"/>
      <c r="AA164" s="112" t="str">
        <f t="shared" si="4"/>
        <v>FM477</v>
      </c>
      <c r="AB164" s="112" t="str">
        <f t="shared" si="5"/>
        <v/>
      </c>
      <c r="AC164" s="112" t="str">
        <f t="shared" si="6"/>
        <v/>
      </c>
      <c r="AD164" s="5"/>
      <c r="AE164" s="5"/>
    </row>
    <row r="165">
      <c r="A165" s="5" t="s">
        <v>1487</v>
      </c>
      <c r="B165" s="44">
        <v>44613.0</v>
      </c>
      <c r="C165" s="150">
        <v>0.2888425925925926</v>
      </c>
      <c r="D165" s="5"/>
      <c r="E165" s="5"/>
      <c r="F165" s="5"/>
      <c r="G165" s="5" t="s">
        <v>2184</v>
      </c>
      <c r="H165" s="5" t="s">
        <v>244</v>
      </c>
      <c r="I165" s="44">
        <v>44613.0</v>
      </c>
      <c r="J165" s="150">
        <v>0.4693981481481482</v>
      </c>
      <c r="K165" s="19">
        <v>1.0</v>
      </c>
      <c r="L165" s="10" t="b">
        <v>1</v>
      </c>
      <c r="M165" s="5" t="s">
        <v>2476</v>
      </c>
      <c r="N165" s="5" t="s">
        <v>247</v>
      </c>
      <c r="O165" s="5"/>
      <c r="P165" s="110" t="b">
        <f t="shared" si="1"/>
        <v>0</v>
      </c>
      <c r="Q165" s="110" t="b">
        <f>IF(COUNTIF(RAW_APS!$A$2:$A815,A165)=0,TRUE,FALSE)</f>
        <v>0</v>
      </c>
      <c r="R165" s="241" t="b">
        <f t="shared" si="2"/>
        <v>0</v>
      </c>
      <c r="U165" s="112" t="str">
        <f t="shared" si="3"/>
        <v/>
      </c>
      <c r="V165" s="60"/>
      <c r="W165" s="60"/>
      <c r="X165" s="60"/>
      <c r="Y165" s="60"/>
      <c r="Z165" s="210"/>
      <c r="AA165" s="112" t="str">
        <f t="shared" si="4"/>
        <v>FM478</v>
      </c>
      <c r="AB165" s="112" t="str">
        <f t="shared" si="5"/>
        <v/>
      </c>
      <c r="AC165" s="112" t="str">
        <f t="shared" si="6"/>
        <v/>
      </c>
      <c r="AD165" s="5"/>
      <c r="AE165" s="5"/>
    </row>
    <row r="166">
      <c r="A166" s="5" t="s">
        <v>1655</v>
      </c>
      <c r="B166" s="44">
        <v>44617.0</v>
      </c>
      <c r="C166" s="150">
        <v>0.3297453703703704</v>
      </c>
      <c r="D166" s="5"/>
      <c r="E166" s="5"/>
      <c r="F166" s="5"/>
      <c r="G166" s="5" t="s">
        <v>2184</v>
      </c>
      <c r="H166" s="5" t="s">
        <v>244</v>
      </c>
      <c r="I166" s="44">
        <v>44617.0</v>
      </c>
      <c r="J166" s="150">
        <v>0.5033796296296297</v>
      </c>
      <c r="K166" s="19">
        <v>1.0</v>
      </c>
      <c r="L166" s="10" t="b">
        <v>1</v>
      </c>
      <c r="M166" s="5" t="s">
        <v>2473</v>
      </c>
      <c r="N166" s="5" t="s">
        <v>247</v>
      </c>
      <c r="O166" s="5"/>
      <c r="P166" s="110" t="b">
        <f t="shared" si="1"/>
        <v>0</v>
      </c>
      <c r="Q166" s="110" t="b">
        <f>IF(COUNTIF(RAW_APS!$A$2:$A815,A166)=0,TRUE,FALSE)</f>
        <v>0</v>
      </c>
      <c r="R166" s="241" t="b">
        <f t="shared" si="2"/>
        <v>0</v>
      </c>
      <c r="U166" s="112" t="str">
        <f t="shared" si="3"/>
        <v/>
      </c>
      <c r="V166" s="60"/>
      <c r="W166" s="60"/>
      <c r="X166" s="60"/>
      <c r="Y166" s="60"/>
      <c r="Z166" s="210"/>
      <c r="AA166" s="112" t="str">
        <f t="shared" si="4"/>
        <v>FM479</v>
      </c>
      <c r="AB166" s="112" t="str">
        <f t="shared" si="5"/>
        <v/>
      </c>
      <c r="AC166" s="112" t="str">
        <f t="shared" si="6"/>
        <v/>
      </c>
      <c r="AD166" s="5"/>
      <c r="AE166" s="5"/>
    </row>
    <row r="167">
      <c r="A167" s="5" t="s">
        <v>1911</v>
      </c>
      <c r="B167" s="44">
        <v>44625.0</v>
      </c>
      <c r="C167" s="150">
        <v>0.2726851851851852</v>
      </c>
      <c r="D167" s="4"/>
      <c r="E167" s="5"/>
      <c r="F167" s="5"/>
      <c r="G167" s="5" t="s">
        <v>2184</v>
      </c>
      <c r="H167" s="5" t="s">
        <v>244</v>
      </c>
      <c r="I167" s="44">
        <v>44625.0</v>
      </c>
      <c r="J167" s="150">
        <v>0.48974537037037036</v>
      </c>
      <c r="K167" s="19">
        <v>1.0</v>
      </c>
      <c r="L167" s="10" t="b">
        <v>1</v>
      </c>
      <c r="M167" s="5" t="s">
        <v>2467</v>
      </c>
      <c r="N167" s="5" t="s">
        <v>247</v>
      </c>
      <c r="O167" s="5"/>
      <c r="P167" s="110" t="b">
        <f t="shared" si="1"/>
        <v>0</v>
      </c>
      <c r="Q167" s="110" t="b">
        <f>IF(COUNTIF(RAW_APS!$A$2:$A815,A167)=0,TRUE,FALSE)</f>
        <v>0</v>
      </c>
      <c r="R167" s="241" t="b">
        <f t="shared" si="2"/>
        <v>0</v>
      </c>
      <c r="U167" s="112" t="str">
        <f t="shared" si="3"/>
        <v/>
      </c>
      <c r="V167" s="60"/>
      <c r="W167" s="60"/>
      <c r="X167" s="60"/>
      <c r="Y167" s="60"/>
      <c r="Z167" s="210"/>
      <c r="AA167" s="112" t="str">
        <f t="shared" si="4"/>
        <v>FM480</v>
      </c>
      <c r="AB167" s="112" t="str">
        <f t="shared" si="5"/>
        <v/>
      </c>
      <c r="AC167" s="112" t="str">
        <f t="shared" si="6"/>
        <v/>
      </c>
      <c r="AD167" s="5"/>
      <c r="AE167" s="5"/>
    </row>
    <row r="168">
      <c r="A168" s="5" t="s">
        <v>1775</v>
      </c>
      <c r="B168" s="44">
        <v>44621.0</v>
      </c>
      <c r="C168" s="150">
        <v>0.3086921296296296</v>
      </c>
      <c r="D168" s="5"/>
      <c r="E168" s="5"/>
      <c r="F168" s="5"/>
      <c r="G168" s="5" t="s">
        <v>2184</v>
      </c>
      <c r="H168" s="5" t="s">
        <v>244</v>
      </c>
      <c r="I168" s="44">
        <v>44627.0</v>
      </c>
      <c r="J168" s="150">
        <v>0.47791666666666666</v>
      </c>
      <c r="K168" s="19">
        <v>1.0</v>
      </c>
      <c r="L168" s="10" t="b">
        <v>1</v>
      </c>
      <c r="M168" s="5" t="s">
        <v>2470</v>
      </c>
      <c r="N168" s="5" t="s">
        <v>247</v>
      </c>
      <c r="O168" s="5"/>
      <c r="P168" s="110" t="b">
        <f t="shared" si="1"/>
        <v>0</v>
      </c>
      <c r="Q168" s="110" t="b">
        <f>IF(COUNTIF(RAW_APS!$A$2:$A815,A168)=0,TRUE,FALSE)</f>
        <v>0</v>
      </c>
      <c r="R168" s="241" t="b">
        <f t="shared" si="2"/>
        <v>0</v>
      </c>
      <c r="U168" s="112" t="str">
        <f t="shared" si="3"/>
        <v/>
      </c>
      <c r="V168" s="60"/>
      <c r="W168" s="60"/>
      <c r="X168" s="60"/>
      <c r="Y168" s="60"/>
      <c r="Z168" s="210"/>
      <c r="AA168" s="112" t="str">
        <f t="shared" si="4"/>
        <v>FM481</v>
      </c>
      <c r="AB168" s="112" t="str">
        <f t="shared" si="5"/>
        <v/>
      </c>
      <c r="AC168" s="112" t="str">
        <f t="shared" si="6"/>
        <v/>
      </c>
      <c r="AD168" s="5"/>
      <c r="AE168" s="5"/>
    </row>
    <row r="169">
      <c r="A169" s="5" t="s">
        <v>1231</v>
      </c>
      <c r="B169" s="44">
        <v>44607.0</v>
      </c>
      <c r="C169" s="150">
        <v>0.30033564814814817</v>
      </c>
      <c r="D169" s="5"/>
      <c r="E169" s="5"/>
      <c r="F169" s="5"/>
      <c r="G169" s="5" t="s">
        <v>2184</v>
      </c>
      <c r="H169" s="5" t="s">
        <v>244</v>
      </c>
      <c r="I169" s="44">
        <v>44607.0</v>
      </c>
      <c r="J169" s="150">
        <v>0.5867939814814814</v>
      </c>
      <c r="K169" s="19">
        <v>1.0</v>
      </c>
      <c r="L169" s="10" t="b">
        <v>1</v>
      </c>
      <c r="M169" s="5" t="s">
        <v>2479</v>
      </c>
      <c r="N169" s="5" t="s">
        <v>247</v>
      </c>
      <c r="O169" s="5"/>
      <c r="P169" s="110" t="b">
        <f t="shared" si="1"/>
        <v>0</v>
      </c>
      <c r="Q169" s="110" t="b">
        <f>IF(COUNTIF(RAW_APS!$A$2:$A815,A169)=0,TRUE,FALSE)</f>
        <v>0</v>
      </c>
      <c r="R169" s="241" t="b">
        <f t="shared" si="2"/>
        <v>0</v>
      </c>
      <c r="U169" s="112" t="str">
        <f t="shared" si="3"/>
        <v/>
      </c>
      <c r="V169" s="60"/>
      <c r="W169" s="60"/>
      <c r="X169" s="60"/>
      <c r="Y169" s="60"/>
      <c r="Z169" s="210"/>
      <c r="AA169" s="112" t="str">
        <f t="shared" si="4"/>
        <v>FM485</v>
      </c>
      <c r="AB169" s="112" t="str">
        <f t="shared" si="5"/>
        <v/>
      </c>
      <c r="AC169" s="112" t="str">
        <f t="shared" si="6"/>
        <v/>
      </c>
      <c r="AD169" s="5"/>
      <c r="AE169" s="5"/>
    </row>
    <row r="170">
      <c r="A170" s="5" t="s">
        <v>1493</v>
      </c>
      <c r="B170" s="44">
        <v>44613.0</v>
      </c>
      <c r="C170" s="150">
        <v>0.3007175925925926</v>
      </c>
      <c r="D170" s="4"/>
      <c r="E170" s="5"/>
      <c r="F170" s="5"/>
      <c r="G170" s="5" t="s">
        <v>2184</v>
      </c>
      <c r="H170" s="5" t="s">
        <v>244</v>
      </c>
      <c r="I170" s="44">
        <v>44613.0</v>
      </c>
      <c r="J170" s="150">
        <v>0.4693981481481482</v>
      </c>
      <c r="K170" s="19">
        <v>1.0</v>
      </c>
      <c r="L170" s="10" t="b">
        <v>1</v>
      </c>
      <c r="M170" s="5" t="s">
        <v>2476</v>
      </c>
      <c r="N170" s="5" t="s">
        <v>247</v>
      </c>
      <c r="O170" s="5"/>
      <c r="P170" s="110" t="b">
        <f t="shared" si="1"/>
        <v>0</v>
      </c>
      <c r="Q170" s="110" t="b">
        <f>IF(COUNTIF(RAW_APS!$A$2:$A815,A170)=0,TRUE,FALSE)</f>
        <v>0</v>
      </c>
      <c r="R170" s="241" t="b">
        <f t="shared" si="2"/>
        <v>0</v>
      </c>
      <c r="U170" s="112" t="str">
        <f t="shared" si="3"/>
        <v/>
      </c>
      <c r="V170" s="60"/>
      <c r="W170" s="60"/>
      <c r="X170" s="60"/>
      <c r="Y170" s="60"/>
      <c r="Z170" s="210"/>
      <c r="AA170" s="112" t="str">
        <f t="shared" si="4"/>
        <v>FM486</v>
      </c>
      <c r="AB170" s="112" t="str">
        <f t="shared" si="5"/>
        <v/>
      </c>
      <c r="AC170" s="112" t="str">
        <f t="shared" si="6"/>
        <v/>
      </c>
      <c r="AD170" s="5"/>
      <c r="AE170" s="5"/>
    </row>
    <row r="171">
      <c r="A171" s="5" t="s">
        <v>1773</v>
      </c>
      <c r="B171" s="44">
        <v>44621.0</v>
      </c>
      <c r="C171" s="150">
        <v>0.3078587962962963</v>
      </c>
      <c r="D171" s="5"/>
      <c r="E171" s="5"/>
      <c r="F171" s="5"/>
      <c r="G171" s="5" t="s">
        <v>2184</v>
      </c>
      <c r="H171" s="5" t="s">
        <v>244</v>
      </c>
      <c r="I171" s="44">
        <v>44627.0</v>
      </c>
      <c r="J171" s="150">
        <v>0.47791666666666666</v>
      </c>
      <c r="K171" s="19">
        <v>1.0</v>
      </c>
      <c r="L171" s="10" t="b">
        <v>1</v>
      </c>
      <c r="M171" s="5" t="s">
        <v>2470</v>
      </c>
      <c r="N171" s="5" t="s">
        <v>247</v>
      </c>
      <c r="O171" s="5"/>
      <c r="P171" s="110" t="b">
        <f t="shared" si="1"/>
        <v>0</v>
      </c>
      <c r="Q171" s="110" t="b">
        <f>IF(COUNTIF(RAW_APS!$A$2:$A815,A171)=0,TRUE,FALSE)</f>
        <v>0</v>
      </c>
      <c r="R171" s="241" t="b">
        <f t="shared" si="2"/>
        <v>0</v>
      </c>
      <c r="U171" s="112" t="str">
        <f t="shared" si="3"/>
        <v/>
      </c>
      <c r="V171" s="60"/>
      <c r="W171" s="60"/>
      <c r="X171" s="60"/>
      <c r="Y171" s="60"/>
      <c r="Z171" s="210"/>
      <c r="AA171" s="112" t="str">
        <f t="shared" si="4"/>
        <v>FM489</v>
      </c>
      <c r="AB171" s="112" t="str">
        <f t="shared" si="5"/>
        <v/>
      </c>
      <c r="AC171" s="112" t="str">
        <f t="shared" si="6"/>
        <v/>
      </c>
      <c r="AD171" s="5"/>
      <c r="AE171" s="5"/>
    </row>
    <row r="172">
      <c r="A172" s="5" t="s">
        <v>1605</v>
      </c>
      <c r="B172" s="44">
        <v>44615.0</v>
      </c>
      <c r="C172" s="150">
        <v>0.3441782407407407</v>
      </c>
      <c r="D172" s="5"/>
      <c r="E172" s="5"/>
      <c r="F172" s="5"/>
      <c r="G172" s="5" t="s">
        <v>2184</v>
      </c>
      <c r="H172" s="5" t="s">
        <v>52</v>
      </c>
      <c r="I172" s="44">
        <v>44615.0</v>
      </c>
      <c r="J172" s="150">
        <v>0.49126157407407406</v>
      </c>
      <c r="K172" s="19">
        <v>1.0</v>
      </c>
      <c r="L172" s="10" t="b">
        <v>1</v>
      </c>
      <c r="M172" s="5" t="s">
        <v>2474</v>
      </c>
      <c r="N172" s="5" t="s">
        <v>247</v>
      </c>
      <c r="O172" s="5"/>
      <c r="P172" s="110" t="b">
        <f t="shared" si="1"/>
        <v>0</v>
      </c>
      <c r="Q172" s="110" t="b">
        <f>IF(COUNTIF(RAW_APS!$A$2:$A815,A172)=0,TRUE,FALSE)</f>
        <v>0</v>
      </c>
      <c r="R172" s="241" t="b">
        <f t="shared" si="2"/>
        <v>0</v>
      </c>
      <c r="U172" s="112" t="str">
        <f t="shared" si="3"/>
        <v/>
      </c>
      <c r="V172" s="60"/>
      <c r="W172" s="60"/>
      <c r="X172" s="60"/>
      <c r="Y172" s="60"/>
      <c r="Z172" s="210"/>
      <c r="AA172" s="112" t="str">
        <f t="shared" si="4"/>
        <v>FM493</v>
      </c>
      <c r="AB172" s="112" t="str">
        <f t="shared" si="5"/>
        <v/>
      </c>
      <c r="AC172" s="112" t="str">
        <f t="shared" si="6"/>
        <v/>
      </c>
      <c r="AD172" s="5"/>
      <c r="AE172" s="5"/>
    </row>
    <row r="173">
      <c r="A173" s="5" t="s">
        <v>1437</v>
      </c>
      <c r="B173" s="44">
        <v>44611.0</v>
      </c>
      <c r="C173" s="150">
        <v>0.318912037037037</v>
      </c>
      <c r="D173" s="5"/>
      <c r="E173" s="5"/>
      <c r="F173" s="5"/>
      <c r="G173" s="5" t="s">
        <v>2184</v>
      </c>
      <c r="H173" s="5" t="s">
        <v>244</v>
      </c>
      <c r="I173" s="44">
        <v>44611.0</v>
      </c>
      <c r="J173" s="150">
        <v>0.4882523148148148</v>
      </c>
      <c r="K173" s="19">
        <v>1.0</v>
      </c>
      <c r="L173" s="10" t="b">
        <v>1</v>
      </c>
      <c r="M173" s="5" t="s">
        <v>2477</v>
      </c>
      <c r="N173" s="5" t="s">
        <v>247</v>
      </c>
      <c r="O173" s="5"/>
      <c r="P173" s="110" t="b">
        <f t="shared" si="1"/>
        <v>0</v>
      </c>
      <c r="Q173" s="110" t="b">
        <f>IF(COUNTIF(RAW_APS!$A$2:$A815,A173)=0,TRUE,FALSE)</f>
        <v>0</v>
      </c>
      <c r="R173" s="241" t="b">
        <f t="shared" si="2"/>
        <v>0</v>
      </c>
      <c r="U173" s="112" t="str">
        <f t="shared" si="3"/>
        <v/>
      </c>
      <c r="V173" s="60"/>
      <c r="W173" s="60"/>
      <c r="X173" s="60"/>
      <c r="Y173" s="60"/>
      <c r="Z173" s="210"/>
      <c r="AA173" s="112" t="str">
        <f t="shared" si="4"/>
        <v>FM497</v>
      </c>
      <c r="AB173" s="112" t="str">
        <f t="shared" si="5"/>
        <v/>
      </c>
      <c r="AC173" s="112" t="str">
        <f t="shared" si="6"/>
        <v/>
      </c>
      <c r="AD173" s="5"/>
      <c r="AE173" s="5"/>
    </row>
    <row r="174">
      <c r="A174" s="5" t="s">
        <v>2054</v>
      </c>
      <c r="B174" s="44">
        <v>44629.0</v>
      </c>
      <c r="C174" s="150">
        <v>0.31482638888888886</v>
      </c>
      <c r="D174" s="5"/>
      <c r="E174" s="5"/>
      <c r="F174" s="5"/>
      <c r="G174" s="5" t="s">
        <v>2184</v>
      </c>
      <c r="H174" s="5" t="s">
        <v>244</v>
      </c>
      <c r="I174" s="44">
        <v>44629.0</v>
      </c>
      <c r="J174" s="150">
        <v>0.49944444444444447</v>
      </c>
      <c r="K174" s="19">
        <v>1.0</v>
      </c>
      <c r="L174" s="10" t="b">
        <v>1</v>
      </c>
      <c r="M174" s="5" t="s">
        <v>2465</v>
      </c>
      <c r="N174" s="5" t="s">
        <v>247</v>
      </c>
      <c r="O174" s="5"/>
      <c r="P174" s="110" t="b">
        <f t="shared" si="1"/>
        <v>0</v>
      </c>
      <c r="Q174" s="110" t="b">
        <f>IF(COUNTIF(RAW_APS!$A$2:$A815,A174)=0,TRUE,FALSE)</f>
        <v>0</v>
      </c>
      <c r="R174" s="241" t="b">
        <f t="shared" si="2"/>
        <v>0</v>
      </c>
      <c r="U174" s="112" t="str">
        <f t="shared" si="3"/>
        <v/>
      </c>
      <c r="V174" s="60"/>
      <c r="W174" s="60"/>
      <c r="X174" s="60"/>
      <c r="Y174" s="60"/>
      <c r="Z174" s="210"/>
      <c r="AA174" s="112" t="str">
        <f t="shared" si="4"/>
        <v>FM498</v>
      </c>
      <c r="AB174" s="112" t="str">
        <f t="shared" si="5"/>
        <v/>
      </c>
      <c r="AC174" s="112" t="str">
        <f t="shared" si="6"/>
        <v/>
      </c>
      <c r="AD174" s="5"/>
      <c r="AE174" s="5"/>
    </row>
    <row r="175">
      <c r="A175" s="5" t="s">
        <v>1552</v>
      </c>
      <c r="B175" s="44">
        <v>44615.0</v>
      </c>
      <c r="C175" s="150">
        <v>0.30679398148148146</v>
      </c>
      <c r="D175" s="5"/>
      <c r="E175" s="5"/>
      <c r="F175" s="5"/>
      <c r="G175" s="5" t="s">
        <v>2184</v>
      </c>
      <c r="H175" s="5" t="s">
        <v>52</v>
      </c>
      <c r="I175" s="44">
        <v>44615.0</v>
      </c>
      <c r="J175" s="150">
        <v>0.4912384259259259</v>
      </c>
      <c r="K175" s="19">
        <v>1.0</v>
      </c>
      <c r="L175" s="10" t="b">
        <v>1</v>
      </c>
      <c r="M175" s="5" t="s">
        <v>2474</v>
      </c>
      <c r="N175" s="5" t="s">
        <v>247</v>
      </c>
      <c r="O175" s="5"/>
      <c r="P175" s="110" t="b">
        <f t="shared" si="1"/>
        <v>0</v>
      </c>
      <c r="Q175" s="110" t="b">
        <f>IF(COUNTIF(RAW_APS!$A$2:$A815,A175)=0,TRUE,FALSE)</f>
        <v>0</v>
      </c>
      <c r="R175" s="241" t="b">
        <f t="shared" si="2"/>
        <v>0</v>
      </c>
      <c r="U175" s="112" t="str">
        <f t="shared" si="3"/>
        <v/>
      </c>
      <c r="V175" s="60"/>
      <c r="W175" s="60"/>
      <c r="X175" s="60"/>
      <c r="Y175" s="60"/>
      <c r="Z175" s="210"/>
      <c r="AA175" s="112" t="str">
        <f t="shared" si="4"/>
        <v>FM5</v>
      </c>
      <c r="AB175" s="112" t="str">
        <f t="shared" si="5"/>
        <v/>
      </c>
      <c r="AC175" s="112" t="str">
        <f t="shared" si="6"/>
        <v/>
      </c>
      <c r="AD175" s="5"/>
      <c r="AE175" s="5"/>
    </row>
    <row r="176">
      <c r="A176" s="5" t="s">
        <v>1315</v>
      </c>
      <c r="B176" s="44">
        <v>44607.0</v>
      </c>
      <c r="C176" s="150">
        <v>0.5372106481481481</v>
      </c>
      <c r="D176" s="5"/>
      <c r="E176" s="5"/>
      <c r="F176" s="5"/>
      <c r="G176" s="5" t="s">
        <v>2188</v>
      </c>
      <c r="H176" s="5" t="s">
        <v>254</v>
      </c>
      <c r="I176" s="44">
        <v>44861.0</v>
      </c>
      <c r="J176" s="150">
        <v>0.4895023148148148</v>
      </c>
      <c r="K176" s="19">
        <v>1.0</v>
      </c>
      <c r="L176" s="5"/>
      <c r="M176" s="5"/>
      <c r="N176" s="5" t="s">
        <v>247</v>
      </c>
      <c r="O176" s="5"/>
      <c r="P176" s="110" t="b">
        <f t="shared" si="1"/>
        <v>0</v>
      </c>
      <c r="Q176" s="110" t="b">
        <f>IF(COUNTIF(RAW_APS!$A$2:$A815,A176)=0,TRUE,FALSE)</f>
        <v>0</v>
      </c>
      <c r="R176" s="241" t="b">
        <f t="shared" si="2"/>
        <v>0</v>
      </c>
      <c r="U176" s="112" t="str">
        <f t="shared" si="3"/>
        <v/>
      </c>
      <c r="V176" s="60"/>
      <c r="W176" s="60"/>
      <c r="X176" s="60"/>
      <c r="Y176" s="60"/>
      <c r="Z176" s="210"/>
      <c r="AA176" s="112" t="str">
        <f t="shared" si="4"/>
        <v>FM50</v>
      </c>
      <c r="AB176" s="112" t="str">
        <f t="shared" si="5"/>
        <v/>
      </c>
      <c r="AC176" s="112" t="str">
        <f t="shared" si="6"/>
        <v/>
      </c>
      <c r="AD176" s="5"/>
      <c r="AE176" s="5"/>
    </row>
    <row r="177">
      <c r="A177" s="5" t="s">
        <v>1147</v>
      </c>
      <c r="B177" s="44">
        <v>44601.0</v>
      </c>
      <c r="C177" s="150">
        <v>0.26310185185185186</v>
      </c>
      <c r="D177" s="5"/>
      <c r="E177" s="5"/>
      <c r="F177" s="5"/>
      <c r="G177" s="5" t="s">
        <v>2184</v>
      </c>
      <c r="H177" s="5" t="s">
        <v>244</v>
      </c>
      <c r="I177" s="44">
        <v>44601.0</v>
      </c>
      <c r="J177" s="150">
        <v>0.48202546296296295</v>
      </c>
      <c r="K177" s="19">
        <v>1.0</v>
      </c>
      <c r="L177" s="10" t="b">
        <v>1</v>
      </c>
      <c r="M177" s="5" t="s">
        <v>2482</v>
      </c>
      <c r="N177" s="5" t="s">
        <v>247</v>
      </c>
      <c r="O177" s="5"/>
      <c r="P177" s="110" t="b">
        <f t="shared" si="1"/>
        <v>0</v>
      </c>
      <c r="Q177" s="110" t="b">
        <f>IF(COUNTIF(RAW_APS!$A$2:$A815,A177)=0,TRUE,FALSE)</f>
        <v>0</v>
      </c>
      <c r="R177" s="241" t="b">
        <f t="shared" si="2"/>
        <v>0</v>
      </c>
      <c r="U177" s="112" t="str">
        <f t="shared" si="3"/>
        <v/>
      </c>
      <c r="V177" s="60"/>
      <c r="W177" s="60"/>
      <c r="X177" s="60"/>
      <c r="Y177" s="60"/>
      <c r="Z177" s="210"/>
      <c r="AA177" s="112" t="str">
        <f t="shared" si="4"/>
        <v>FM501</v>
      </c>
      <c r="AB177" s="112" t="str">
        <f t="shared" si="5"/>
        <v/>
      </c>
      <c r="AC177" s="112" t="str">
        <f t="shared" si="6"/>
        <v/>
      </c>
      <c r="AD177" s="5"/>
      <c r="AE177" s="5"/>
    </row>
    <row r="178">
      <c r="A178" s="5" t="s">
        <v>1550</v>
      </c>
      <c r="B178" s="44">
        <v>44615.0</v>
      </c>
      <c r="C178" s="150">
        <v>0.3012384259259259</v>
      </c>
      <c r="D178" s="5"/>
      <c r="E178" s="5"/>
      <c r="F178" s="5"/>
      <c r="G178" s="5" t="s">
        <v>2184</v>
      </c>
      <c r="H178" s="5" t="s">
        <v>52</v>
      </c>
      <c r="I178" s="44">
        <v>44615.0</v>
      </c>
      <c r="J178" s="150">
        <v>0.4912384259259259</v>
      </c>
      <c r="K178" s="19">
        <v>1.0</v>
      </c>
      <c r="L178" s="10" t="b">
        <v>1</v>
      </c>
      <c r="M178" s="5" t="s">
        <v>2474</v>
      </c>
      <c r="N178" s="5" t="s">
        <v>247</v>
      </c>
      <c r="O178" s="5"/>
      <c r="P178" s="110" t="b">
        <f t="shared" si="1"/>
        <v>0</v>
      </c>
      <c r="Q178" s="110" t="b">
        <f>IF(COUNTIF(RAW_APS!$A$2:$A815,A178)=0,TRUE,FALSE)</f>
        <v>0</v>
      </c>
      <c r="R178" s="241" t="b">
        <f t="shared" si="2"/>
        <v>0</v>
      </c>
      <c r="U178" s="112" t="str">
        <f t="shared" si="3"/>
        <v/>
      </c>
      <c r="V178" s="60"/>
      <c r="W178" s="60"/>
      <c r="X178" s="60"/>
      <c r="Y178" s="60"/>
      <c r="Z178" s="210"/>
      <c r="AA178" s="112" t="str">
        <f t="shared" si="4"/>
        <v>FM505</v>
      </c>
      <c r="AB178" s="112" t="str">
        <f t="shared" si="5"/>
        <v/>
      </c>
      <c r="AC178" s="112" t="str">
        <f t="shared" si="6"/>
        <v/>
      </c>
      <c r="AD178" s="5"/>
      <c r="AE178" s="5"/>
    </row>
    <row r="179">
      <c r="A179" s="5" t="s">
        <v>1533</v>
      </c>
      <c r="B179" s="44">
        <v>44613.0</v>
      </c>
      <c r="C179" s="150">
        <v>0.3271875</v>
      </c>
      <c r="D179" s="5"/>
      <c r="E179" s="5"/>
      <c r="F179" s="5"/>
      <c r="G179" s="5" t="s">
        <v>2184</v>
      </c>
      <c r="H179" s="5" t="s">
        <v>244</v>
      </c>
      <c r="I179" s="44">
        <v>44613.0</v>
      </c>
      <c r="J179" s="150">
        <v>0.4694097222222222</v>
      </c>
      <c r="K179" s="19">
        <v>1.0</v>
      </c>
      <c r="L179" s="10" t="b">
        <v>1</v>
      </c>
      <c r="M179" s="5" t="s">
        <v>2476</v>
      </c>
      <c r="N179" s="5" t="s">
        <v>247</v>
      </c>
      <c r="O179" s="5"/>
      <c r="P179" s="110" t="b">
        <f t="shared" si="1"/>
        <v>0</v>
      </c>
      <c r="Q179" s="110" t="b">
        <f>IF(COUNTIF(RAW_APS!$A$2:$A815,A179)=0,TRUE,FALSE)</f>
        <v>0</v>
      </c>
      <c r="R179" s="241" t="b">
        <f t="shared" si="2"/>
        <v>0</v>
      </c>
      <c r="U179" s="112" t="str">
        <f t="shared" si="3"/>
        <v/>
      </c>
      <c r="V179" s="60"/>
      <c r="W179" s="60"/>
      <c r="X179" s="60"/>
      <c r="Y179" s="60"/>
      <c r="Z179" s="210"/>
      <c r="AA179" s="112" t="str">
        <f t="shared" si="4"/>
        <v>FM509</v>
      </c>
      <c r="AB179" s="112" t="str">
        <f t="shared" si="5"/>
        <v/>
      </c>
      <c r="AC179" s="112" t="str">
        <f t="shared" si="6"/>
        <v/>
      </c>
      <c r="AD179" s="5"/>
      <c r="AE179" s="5"/>
    </row>
    <row r="180">
      <c r="A180" s="5" t="s">
        <v>1760</v>
      </c>
      <c r="B180" s="44">
        <v>44619.0</v>
      </c>
      <c r="C180" s="150">
        <v>0.5154282407407408</v>
      </c>
      <c r="D180" s="5"/>
      <c r="E180" s="5"/>
      <c r="F180" s="5"/>
      <c r="G180" s="5" t="s">
        <v>2184</v>
      </c>
      <c r="H180" s="5" t="s">
        <v>244</v>
      </c>
      <c r="I180" s="44">
        <v>44621.0</v>
      </c>
      <c r="J180" s="150">
        <v>0.47836805555555556</v>
      </c>
      <c r="K180" s="19">
        <v>1.0</v>
      </c>
      <c r="L180" s="10" t="b">
        <v>1</v>
      </c>
      <c r="M180" s="5" t="s">
        <v>2471</v>
      </c>
      <c r="N180" s="5" t="s">
        <v>247</v>
      </c>
      <c r="O180" s="5"/>
      <c r="P180" s="110" t="b">
        <f t="shared" si="1"/>
        <v>0</v>
      </c>
      <c r="Q180" s="110" t="b">
        <f>IF(COUNTIF(RAW_APS!$A$2:$A815,A180)=0,TRUE,FALSE)</f>
        <v>0</v>
      </c>
      <c r="R180" s="241" t="b">
        <f t="shared" si="2"/>
        <v>0</v>
      </c>
      <c r="U180" s="112" t="str">
        <f t="shared" si="3"/>
        <v/>
      </c>
      <c r="V180" s="60"/>
      <c r="W180" s="60"/>
      <c r="X180" s="60"/>
      <c r="Y180" s="60"/>
      <c r="Z180" s="210"/>
      <c r="AA180" s="112" t="str">
        <f t="shared" si="4"/>
        <v>FM51</v>
      </c>
      <c r="AB180" s="112" t="str">
        <f t="shared" si="5"/>
        <v/>
      </c>
      <c r="AC180" s="112" t="str">
        <f t="shared" si="6"/>
        <v/>
      </c>
      <c r="AD180" s="5"/>
      <c r="AE180" s="5"/>
    </row>
    <row r="181">
      <c r="A181" s="5" t="s">
        <v>2181</v>
      </c>
      <c r="B181" s="44">
        <v>44692.0</v>
      </c>
      <c r="C181" s="150">
        <v>0.34565972222222224</v>
      </c>
      <c r="D181" s="5"/>
      <c r="E181" s="5"/>
      <c r="F181" s="5"/>
      <c r="G181" s="5" t="s">
        <v>2184</v>
      </c>
      <c r="H181" s="5" t="s">
        <v>244</v>
      </c>
      <c r="I181" s="44">
        <v>44692.0</v>
      </c>
      <c r="J181" s="150">
        <v>0.5025231481481481</v>
      </c>
      <c r="K181" s="19">
        <v>1.0</v>
      </c>
      <c r="L181" s="10" t="b">
        <v>1</v>
      </c>
      <c r="M181" s="5" t="s">
        <v>2462</v>
      </c>
      <c r="N181" s="5" t="s">
        <v>247</v>
      </c>
      <c r="O181" s="5"/>
      <c r="P181" s="110" t="b">
        <f t="shared" si="1"/>
        <v>0</v>
      </c>
      <c r="Q181" s="110" t="b">
        <f>IF(COUNTIF(RAW_APS!$A$2:$A815,A181)=0,TRUE,FALSE)</f>
        <v>0</v>
      </c>
      <c r="R181" s="241" t="b">
        <f t="shared" si="2"/>
        <v>0</v>
      </c>
      <c r="U181" s="112" t="str">
        <f t="shared" si="3"/>
        <v/>
      </c>
      <c r="V181" s="60"/>
      <c r="W181" s="60"/>
      <c r="X181" s="60"/>
      <c r="Y181" s="60"/>
      <c r="Z181" s="210"/>
      <c r="AA181" s="112" t="str">
        <f t="shared" si="4"/>
        <v>FM512</v>
      </c>
      <c r="AB181" s="112" t="str">
        <f t="shared" si="5"/>
        <v/>
      </c>
      <c r="AC181" s="112" t="str">
        <f t="shared" si="6"/>
        <v/>
      </c>
      <c r="AD181" s="5"/>
      <c r="AE181" s="5"/>
    </row>
    <row r="182">
      <c r="A182" s="5" t="s">
        <v>1263</v>
      </c>
      <c r="B182" s="44">
        <v>44607.0</v>
      </c>
      <c r="C182" s="150">
        <v>0.32314814814814813</v>
      </c>
      <c r="D182" s="5"/>
      <c r="E182" s="5"/>
      <c r="F182" s="5"/>
      <c r="G182" s="5" t="s">
        <v>2184</v>
      </c>
      <c r="H182" s="5" t="s">
        <v>244</v>
      </c>
      <c r="I182" s="44">
        <v>44607.0</v>
      </c>
      <c r="J182" s="150">
        <v>0.5868055555555556</v>
      </c>
      <c r="K182" s="19">
        <v>1.0</v>
      </c>
      <c r="L182" s="10" t="b">
        <v>1</v>
      </c>
      <c r="M182" s="5" t="s">
        <v>2479</v>
      </c>
      <c r="N182" s="5" t="s">
        <v>247</v>
      </c>
      <c r="O182" s="5"/>
      <c r="P182" s="110" t="b">
        <f t="shared" si="1"/>
        <v>0</v>
      </c>
      <c r="Q182" s="110" t="b">
        <f>IF(COUNTIF(RAW_APS!$A$2:$A815,A182)=0,TRUE,FALSE)</f>
        <v>0</v>
      </c>
      <c r="R182" s="241" t="b">
        <f t="shared" si="2"/>
        <v>0</v>
      </c>
      <c r="U182" s="112" t="str">
        <f t="shared" si="3"/>
        <v/>
      </c>
      <c r="V182" s="60"/>
      <c r="W182" s="60"/>
      <c r="X182" s="60"/>
      <c r="Y182" s="60"/>
      <c r="Z182" s="210"/>
      <c r="AA182" s="112" t="str">
        <f t="shared" si="4"/>
        <v>FM513</v>
      </c>
      <c r="AB182" s="112" t="str">
        <f t="shared" si="5"/>
        <v/>
      </c>
      <c r="AC182" s="112" t="str">
        <f t="shared" si="6"/>
        <v/>
      </c>
      <c r="AD182" s="5"/>
      <c r="AE182" s="5"/>
    </row>
    <row r="183">
      <c r="A183" s="5" t="s">
        <v>1990</v>
      </c>
      <c r="B183" s="44">
        <v>44627.0</v>
      </c>
      <c r="C183" s="150">
        <v>0.3088194444444444</v>
      </c>
      <c r="D183" s="5"/>
      <c r="E183" s="5"/>
      <c r="F183" s="5"/>
      <c r="G183" s="5" t="s">
        <v>2184</v>
      </c>
      <c r="H183" s="5" t="s">
        <v>244</v>
      </c>
      <c r="I183" s="44">
        <v>44627.0</v>
      </c>
      <c r="J183" s="150">
        <v>0.4778935185185185</v>
      </c>
      <c r="K183" s="19">
        <v>1.0</v>
      </c>
      <c r="L183" s="10" t="b">
        <v>1</v>
      </c>
      <c r="M183" s="5" t="s">
        <v>2466</v>
      </c>
      <c r="N183" s="5" t="s">
        <v>247</v>
      </c>
      <c r="O183" s="5"/>
      <c r="P183" s="110" t="b">
        <f t="shared" si="1"/>
        <v>0</v>
      </c>
      <c r="Q183" s="110" t="b">
        <f>IF(COUNTIF(RAW_APS!$A$2:$A815,A183)=0,TRUE,FALSE)</f>
        <v>0</v>
      </c>
      <c r="R183" s="241" t="b">
        <f t="shared" si="2"/>
        <v>0</v>
      </c>
      <c r="U183" s="112" t="str">
        <f t="shared" si="3"/>
        <v/>
      </c>
      <c r="V183" s="60"/>
      <c r="W183" s="60"/>
      <c r="X183" s="60"/>
      <c r="Y183" s="60"/>
      <c r="Z183" s="210"/>
      <c r="AA183" s="112" t="str">
        <f t="shared" si="4"/>
        <v>FM52</v>
      </c>
      <c r="AB183" s="112" t="str">
        <f t="shared" si="5"/>
        <v/>
      </c>
      <c r="AC183" s="112" t="str">
        <f t="shared" si="6"/>
        <v/>
      </c>
      <c r="AD183" s="5"/>
      <c r="AE183" s="5"/>
    </row>
    <row r="184">
      <c r="A184" s="5" t="s">
        <v>2014</v>
      </c>
      <c r="B184" s="44">
        <v>44627.0</v>
      </c>
      <c r="C184" s="150">
        <v>0.32310185185185186</v>
      </c>
      <c r="D184" s="5"/>
      <c r="E184" s="5"/>
      <c r="F184" s="5"/>
      <c r="G184" s="5" t="s">
        <v>2184</v>
      </c>
      <c r="H184" s="5" t="s">
        <v>244</v>
      </c>
      <c r="I184" s="44">
        <v>44627.0</v>
      </c>
      <c r="J184" s="150">
        <v>0.4779050925925926</v>
      </c>
      <c r="K184" s="19">
        <v>1.0</v>
      </c>
      <c r="L184" s="10" t="b">
        <v>1</v>
      </c>
      <c r="M184" s="5" t="s">
        <v>2466</v>
      </c>
      <c r="N184" s="5" t="s">
        <v>247</v>
      </c>
      <c r="O184" s="5"/>
      <c r="P184" s="110" t="b">
        <f t="shared" si="1"/>
        <v>0</v>
      </c>
      <c r="Q184" s="110" t="b">
        <f>IF(COUNTIF(RAW_APS!$A$2:$A815,A184)=0,TRUE,FALSE)</f>
        <v>0</v>
      </c>
      <c r="R184" s="241" t="b">
        <f t="shared" si="2"/>
        <v>0</v>
      </c>
      <c r="U184" s="112" t="str">
        <f t="shared" si="3"/>
        <v/>
      </c>
      <c r="V184" s="60"/>
      <c r="W184" s="60"/>
      <c r="X184" s="60"/>
      <c r="Y184" s="60"/>
      <c r="Z184" s="210"/>
      <c r="AA184" s="112" t="str">
        <f t="shared" si="4"/>
        <v>FM521</v>
      </c>
      <c r="AB184" s="112" t="str">
        <f t="shared" si="5"/>
        <v/>
      </c>
      <c r="AC184" s="112" t="str">
        <f t="shared" si="6"/>
        <v/>
      </c>
      <c r="AD184" s="5"/>
      <c r="AE184" s="5"/>
    </row>
    <row r="185">
      <c r="A185" s="5" t="s">
        <v>1857</v>
      </c>
      <c r="B185" s="44">
        <v>44623.0</v>
      </c>
      <c r="C185" s="150">
        <v>0.3174074074074074</v>
      </c>
      <c r="D185" s="5"/>
      <c r="E185" s="5"/>
      <c r="F185" s="5"/>
      <c r="G185" s="5" t="s">
        <v>2184</v>
      </c>
      <c r="H185" s="5" t="s">
        <v>244</v>
      </c>
      <c r="I185" s="44">
        <v>44623.0</v>
      </c>
      <c r="J185" s="150">
        <v>0.4605902777777778</v>
      </c>
      <c r="K185" s="19">
        <v>1.0</v>
      </c>
      <c r="L185" s="10" t="b">
        <v>0</v>
      </c>
      <c r="M185" s="5" t="s">
        <v>2468</v>
      </c>
      <c r="N185" s="5" t="s">
        <v>247</v>
      </c>
      <c r="O185" s="5"/>
      <c r="P185" s="110" t="b">
        <f t="shared" si="1"/>
        <v>0</v>
      </c>
      <c r="Q185" s="110" t="b">
        <f>IF(COUNTIF(RAW_APS!$A$2:$A815,A185)=0,TRUE,FALSE)</f>
        <v>0</v>
      </c>
      <c r="R185" s="241" t="b">
        <f t="shared" si="2"/>
        <v>0</v>
      </c>
      <c r="U185" s="112" t="str">
        <f t="shared" si="3"/>
        <v/>
      </c>
      <c r="V185" s="60"/>
      <c r="W185" s="60"/>
      <c r="X185" s="60"/>
      <c r="Y185" s="60"/>
      <c r="Z185" s="210"/>
      <c r="AA185" s="112" t="str">
        <f t="shared" si="4"/>
        <v>FM525</v>
      </c>
      <c r="AB185" s="112" t="str">
        <f t="shared" si="5"/>
        <v/>
      </c>
      <c r="AC185" s="112" t="str">
        <f t="shared" si="6"/>
        <v/>
      </c>
      <c r="AD185" s="5"/>
      <c r="AE185" s="5"/>
    </row>
    <row r="186">
      <c r="A186" s="5" t="s">
        <v>1817</v>
      </c>
      <c r="B186" s="44">
        <v>44621.0</v>
      </c>
      <c r="C186" s="150">
        <v>0.3414351851851852</v>
      </c>
      <c r="D186" s="5"/>
      <c r="E186" s="5"/>
      <c r="F186" s="5"/>
      <c r="G186" s="5" t="s">
        <v>2184</v>
      </c>
      <c r="H186" s="5" t="s">
        <v>244</v>
      </c>
      <c r="I186" s="44">
        <v>44627.0</v>
      </c>
      <c r="J186" s="150">
        <v>0.47792824074074075</v>
      </c>
      <c r="K186" s="19">
        <v>1.0</v>
      </c>
      <c r="L186" s="10" t="b">
        <v>1</v>
      </c>
      <c r="M186" s="5" t="s">
        <v>2470</v>
      </c>
      <c r="N186" s="5" t="s">
        <v>247</v>
      </c>
      <c r="O186" s="5"/>
      <c r="P186" s="110" t="b">
        <f t="shared" si="1"/>
        <v>0</v>
      </c>
      <c r="Q186" s="110" t="b">
        <f>IF(COUNTIF(RAW_APS!$A$2:$A815,A186)=0,TRUE,FALSE)</f>
        <v>0</v>
      </c>
      <c r="R186" s="241" t="b">
        <f t="shared" si="2"/>
        <v>0</v>
      </c>
      <c r="U186" s="112" t="str">
        <f t="shared" si="3"/>
        <v/>
      </c>
      <c r="V186" s="60"/>
      <c r="W186" s="60"/>
      <c r="X186" s="60"/>
      <c r="Y186" s="60"/>
      <c r="Z186" s="210"/>
      <c r="AA186" s="112" t="str">
        <f t="shared" si="4"/>
        <v>FM529</v>
      </c>
      <c r="AB186" s="112" t="str">
        <f t="shared" si="5"/>
        <v/>
      </c>
      <c r="AC186" s="112" t="str">
        <f t="shared" si="6"/>
        <v/>
      </c>
      <c r="AD186" s="5"/>
      <c r="AE186" s="5"/>
    </row>
    <row r="187">
      <c r="A187" s="5" t="s">
        <v>1212</v>
      </c>
      <c r="B187" s="44">
        <v>44606.0</v>
      </c>
      <c r="C187" s="150">
        <v>0.3375</v>
      </c>
      <c r="D187" s="5"/>
      <c r="E187" s="5"/>
      <c r="F187" s="5"/>
      <c r="G187" s="5" t="s">
        <v>2188</v>
      </c>
      <c r="H187" s="5" t="s">
        <v>254</v>
      </c>
      <c r="I187" s="44">
        <v>44861.0</v>
      </c>
      <c r="J187" s="150">
        <v>0.4895023148148148</v>
      </c>
      <c r="K187" s="19">
        <v>1.0</v>
      </c>
      <c r="L187" s="5"/>
      <c r="M187" s="5"/>
      <c r="N187" s="5" t="s">
        <v>247</v>
      </c>
      <c r="O187" s="5"/>
      <c r="P187" s="110" t="b">
        <f t="shared" si="1"/>
        <v>0</v>
      </c>
      <c r="Q187" s="110" t="b">
        <f>IF(COUNTIF(RAW_APS!$A$2:$A815,A187)=0,TRUE,FALSE)</f>
        <v>0</v>
      </c>
      <c r="R187" s="241" t="b">
        <f t="shared" si="2"/>
        <v>0</v>
      </c>
      <c r="U187" s="112" t="str">
        <f t="shared" si="3"/>
        <v/>
      </c>
      <c r="V187" s="60"/>
      <c r="W187" s="60"/>
      <c r="X187" s="60"/>
      <c r="Y187" s="60"/>
      <c r="Z187" s="210"/>
      <c r="AA187" s="112" t="str">
        <f t="shared" si="4"/>
        <v>FM53</v>
      </c>
      <c r="AB187" s="112" t="str">
        <f t="shared" si="5"/>
        <v/>
      </c>
      <c r="AC187" s="112" t="str">
        <f t="shared" si="6"/>
        <v/>
      </c>
      <c r="AD187" s="5"/>
      <c r="AE187" s="5"/>
    </row>
    <row r="188">
      <c r="A188" s="5" t="s">
        <v>2164</v>
      </c>
      <c r="B188" s="44">
        <v>44665.0</v>
      </c>
      <c r="C188" s="150">
        <v>0.32200231481481484</v>
      </c>
      <c r="D188" s="5"/>
      <c r="E188" s="5"/>
      <c r="F188" s="5"/>
      <c r="G188" s="5" t="s">
        <v>2184</v>
      </c>
      <c r="H188" s="5" t="s">
        <v>244</v>
      </c>
      <c r="I188" s="44">
        <v>44665.0</v>
      </c>
      <c r="J188" s="150">
        <v>0.36649305555555556</v>
      </c>
      <c r="K188" s="19">
        <v>1.0</v>
      </c>
      <c r="L188" s="10" t="b">
        <v>1</v>
      </c>
      <c r="M188" s="5" t="s">
        <v>2463</v>
      </c>
      <c r="N188" s="5" t="s">
        <v>247</v>
      </c>
      <c r="O188" s="5"/>
      <c r="P188" s="110" t="b">
        <f t="shared" si="1"/>
        <v>0</v>
      </c>
      <c r="Q188" s="110" t="b">
        <f>IF(COUNTIF(RAW_APS!$A$2:$A815,A188)=0,TRUE,FALSE)</f>
        <v>0</v>
      </c>
      <c r="R188" s="241" t="b">
        <f t="shared" si="2"/>
        <v>0</v>
      </c>
      <c r="U188" s="112" t="str">
        <f t="shared" si="3"/>
        <v/>
      </c>
      <c r="V188" s="60"/>
      <c r="W188" s="60"/>
      <c r="X188" s="60"/>
      <c r="Y188" s="60"/>
      <c r="Z188" s="210"/>
      <c r="AA188" s="112" t="str">
        <f t="shared" si="4"/>
        <v>FM532</v>
      </c>
      <c r="AB188" s="112" t="str">
        <f t="shared" si="5"/>
        <v/>
      </c>
      <c r="AC188" s="112" t="str">
        <f t="shared" si="6"/>
        <v/>
      </c>
      <c r="AD188" s="5"/>
      <c r="AE188" s="5"/>
    </row>
    <row r="189">
      <c r="A189" s="5" t="s">
        <v>1570</v>
      </c>
      <c r="B189" s="44">
        <v>44615.0</v>
      </c>
      <c r="C189" s="150">
        <v>0.31958333333333333</v>
      </c>
      <c r="D189" s="5"/>
      <c r="E189" s="5"/>
      <c r="F189" s="5"/>
      <c r="G189" s="5" t="s">
        <v>2184</v>
      </c>
      <c r="H189" s="5" t="s">
        <v>52</v>
      </c>
      <c r="I189" s="44">
        <v>44615.0</v>
      </c>
      <c r="J189" s="150">
        <v>0.4912384259259259</v>
      </c>
      <c r="K189" s="19">
        <v>1.0</v>
      </c>
      <c r="L189" s="10" t="b">
        <v>1</v>
      </c>
      <c r="M189" s="5" t="s">
        <v>2474</v>
      </c>
      <c r="N189" s="5" t="s">
        <v>247</v>
      </c>
      <c r="O189" s="5"/>
      <c r="P189" s="110" t="b">
        <f t="shared" si="1"/>
        <v>0</v>
      </c>
      <c r="Q189" s="110" t="b">
        <f>IF(COUNTIF(RAW_APS!$A$2:$A815,A189)=0,TRUE,FALSE)</f>
        <v>0</v>
      </c>
      <c r="R189" s="241" t="b">
        <f t="shared" si="2"/>
        <v>0</v>
      </c>
      <c r="U189" s="112" t="str">
        <f t="shared" si="3"/>
        <v/>
      </c>
      <c r="V189" s="60"/>
      <c r="W189" s="60"/>
      <c r="X189" s="60"/>
      <c r="Y189" s="60"/>
      <c r="Z189" s="210"/>
      <c r="AA189" s="112" t="str">
        <f t="shared" si="4"/>
        <v>FM533</v>
      </c>
      <c r="AB189" s="112" t="str">
        <f t="shared" si="5"/>
        <v/>
      </c>
      <c r="AC189" s="112" t="str">
        <f t="shared" si="6"/>
        <v/>
      </c>
      <c r="AD189" s="5"/>
      <c r="AE189" s="5"/>
    </row>
    <row r="190">
      <c r="A190" s="5" t="s">
        <v>1413</v>
      </c>
      <c r="B190" s="44">
        <v>44611.0</v>
      </c>
      <c r="C190" s="150">
        <v>0.3107523148148148</v>
      </c>
      <c r="D190" s="5"/>
      <c r="E190" s="5"/>
      <c r="F190" s="5"/>
      <c r="G190" s="5" t="s">
        <v>2184</v>
      </c>
      <c r="H190" s="5" t="s">
        <v>244</v>
      </c>
      <c r="I190" s="44">
        <v>44611.0</v>
      </c>
      <c r="J190" s="150">
        <v>0.48824074074074075</v>
      </c>
      <c r="K190" s="19">
        <v>2.0</v>
      </c>
      <c r="L190" s="10" t="b">
        <v>1</v>
      </c>
      <c r="M190" s="5" t="s">
        <v>2477</v>
      </c>
      <c r="N190" s="5" t="s">
        <v>247</v>
      </c>
      <c r="O190" s="5"/>
      <c r="P190" s="110" t="b">
        <f t="shared" si="1"/>
        <v>0</v>
      </c>
      <c r="Q190" s="110" t="b">
        <f>IF(COUNTIF(RAW_APS!$A$2:$A815,A190)=0,TRUE,FALSE)</f>
        <v>0</v>
      </c>
      <c r="R190" s="241" t="b">
        <f t="shared" si="2"/>
        <v>0</v>
      </c>
      <c r="U190" s="112" t="str">
        <f t="shared" si="3"/>
        <v/>
      </c>
      <c r="V190" s="60"/>
      <c r="W190" s="60"/>
      <c r="X190" s="60"/>
      <c r="Y190" s="60"/>
      <c r="Z190" s="210"/>
      <c r="AA190" s="112" t="str">
        <f t="shared" si="4"/>
        <v>FM537</v>
      </c>
      <c r="AB190" s="112" t="str">
        <f t="shared" si="5"/>
        <v/>
      </c>
      <c r="AC190" s="112" t="str">
        <f t="shared" si="6"/>
        <v/>
      </c>
      <c r="AD190" s="5"/>
      <c r="AE190" s="5"/>
    </row>
    <row r="191">
      <c r="A191" s="5" t="s">
        <v>1994</v>
      </c>
      <c r="B191" s="44">
        <v>44627.0</v>
      </c>
      <c r="C191" s="150">
        <v>0.31363425925925925</v>
      </c>
      <c r="D191" s="5"/>
      <c r="E191" s="5"/>
      <c r="F191" s="5"/>
      <c r="G191" s="5" t="s">
        <v>2184</v>
      </c>
      <c r="H191" s="5" t="s">
        <v>244</v>
      </c>
      <c r="I191" s="44">
        <v>44627.0</v>
      </c>
      <c r="J191" s="150">
        <v>0.4778935185185185</v>
      </c>
      <c r="K191" s="19">
        <v>1.0</v>
      </c>
      <c r="L191" s="10" t="b">
        <v>1</v>
      </c>
      <c r="M191" s="5" t="s">
        <v>2466</v>
      </c>
      <c r="N191" s="5" t="s">
        <v>247</v>
      </c>
      <c r="O191" s="5"/>
      <c r="P191" s="110" t="b">
        <f t="shared" si="1"/>
        <v>0</v>
      </c>
      <c r="Q191" s="110" t="b">
        <f>IF(COUNTIF(RAW_APS!$A$2:$A815,A191)=0,TRUE,FALSE)</f>
        <v>0</v>
      </c>
      <c r="R191" s="241" t="b">
        <f t="shared" si="2"/>
        <v>0</v>
      </c>
      <c r="U191" s="112" t="str">
        <f t="shared" si="3"/>
        <v/>
      </c>
      <c r="V191" s="60"/>
      <c r="W191" s="60"/>
      <c r="X191" s="60"/>
      <c r="Y191" s="60"/>
      <c r="Z191" s="210"/>
      <c r="AA191" s="112" t="str">
        <f t="shared" si="4"/>
        <v>FM54</v>
      </c>
      <c r="AB191" s="112" t="str">
        <f t="shared" si="5"/>
        <v/>
      </c>
      <c r="AC191" s="112" t="str">
        <f t="shared" si="6"/>
        <v/>
      </c>
      <c r="AD191" s="5"/>
      <c r="AE191" s="5"/>
    </row>
    <row r="192">
      <c r="A192" s="5" t="s">
        <v>1394</v>
      </c>
      <c r="B192" s="44">
        <v>44609.0</v>
      </c>
      <c r="C192" s="150">
        <v>0.3441666666666667</v>
      </c>
      <c r="D192" s="5"/>
      <c r="E192" s="5"/>
      <c r="F192" s="5"/>
      <c r="G192" s="5" t="s">
        <v>2184</v>
      </c>
      <c r="H192" s="5" t="s">
        <v>244</v>
      </c>
      <c r="I192" s="44">
        <v>44611.0</v>
      </c>
      <c r="J192" s="150">
        <v>0.38958333333333334</v>
      </c>
      <c r="K192" s="19">
        <v>1.0</v>
      </c>
      <c r="L192" s="10" t="b">
        <v>1</v>
      </c>
      <c r="M192" s="5" t="s">
        <v>2478</v>
      </c>
      <c r="N192" s="5" t="s">
        <v>247</v>
      </c>
      <c r="O192" s="5"/>
      <c r="P192" s="110" t="b">
        <f t="shared" si="1"/>
        <v>0</v>
      </c>
      <c r="Q192" s="110" t="b">
        <f>IF(COUNTIF(RAW_APS!$A$2:$A815,A192)=0,TRUE,FALSE)</f>
        <v>0</v>
      </c>
      <c r="R192" s="241" t="b">
        <f t="shared" si="2"/>
        <v>0</v>
      </c>
      <c r="U192" s="112" t="str">
        <f t="shared" si="3"/>
        <v/>
      </c>
      <c r="V192" s="60"/>
      <c r="W192" s="60"/>
      <c r="X192" s="60"/>
      <c r="Y192" s="60"/>
      <c r="Z192" s="210"/>
      <c r="AA192" s="112" t="str">
        <f t="shared" si="4"/>
        <v>FM55</v>
      </c>
      <c r="AB192" s="112" t="str">
        <f t="shared" si="5"/>
        <v/>
      </c>
      <c r="AC192" s="112" t="str">
        <f t="shared" si="6"/>
        <v/>
      </c>
      <c r="AD192" s="5"/>
      <c r="AE192" s="5"/>
    </row>
    <row r="193">
      <c r="A193" s="5" t="s">
        <v>1363</v>
      </c>
      <c r="B193" s="44">
        <v>44609.0</v>
      </c>
      <c r="C193" s="150">
        <v>0.3275578703703704</v>
      </c>
      <c r="D193" s="5"/>
      <c r="E193" s="5"/>
      <c r="F193" s="5"/>
      <c r="G193" s="5" t="s">
        <v>2184</v>
      </c>
      <c r="H193" s="5" t="s">
        <v>244</v>
      </c>
      <c r="I193" s="44">
        <v>44611.0</v>
      </c>
      <c r="J193" s="150">
        <v>0.38957175925925924</v>
      </c>
      <c r="K193" s="19">
        <v>1.0</v>
      </c>
      <c r="L193" s="10" t="b">
        <v>1</v>
      </c>
      <c r="M193" s="5" t="s">
        <v>2478</v>
      </c>
      <c r="N193" s="5" t="s">
        <v>247</v>
      </c>
      <c r="O193" s="5"/>
      <c r="P193" s="110" t="b">
        <f t="shared" si="1"/>
        <v>0</v>
      </c>
      <c r="Q193" s="110" t="b">
        <f>IF(COUNTIF(RAW_APS!$A$2:$A815,A193)=0,TRUE,FALSE)</f>
        <v>0</v>
      </c>
      <c r="R193" s="241" t="b">
        <f t="shared" si="2"/>
        <v>0</v>
      </c>
      <c r="U193" s="112" t="str">
        <f t="shared" si="3"/>
        <v/>
      </c>
      <c r="V193" s="60"/>
      <c r="W193" s="60"/>
      <c r="X193" s="60"/>
      <c r="Y193" s="60"/>
      <c r="Z193" s="210"/>
      <c r="AA193" s="112" t="str">
        <f t="shared" si="4"/>
        <v>FM56</v>
      </c>
      <c r="AB193" s="112" t="str">
        <f t="shared" si="5"/>
        <v/>
      </c>
      <c r="AC193" s="112" t="str">
        <f t="shared" si="6"/>
        <v/>
      </c>
      <c r="AD193" s="5"/>
      <c r="AE193" s="5"/>
    </row>
    <row r="194">
      <c r="A194" s="5" t="s">
        <v>2140</v>
      </c>
      <c r="B194" s="44">
        <v>44631.0</v>
      </c>
      <c r="C194" s="150">
        <v>0.34096064814814814</v>
      </c>
      <c r="D194" s="5"/>
      <c r="E194" s="5"/>
      <c r="F194" s="5"/>
      <c r="G194" s="5" t="s">
        <v>2184</v>
      </c>
      <c r="H194" s="5" t="s">
        <v>244</v>
      </c>
      <c r="I194" s="44">
        <v>44631.0</v>
      </c>
      <c r="J194" s="150">
        <v>0.486099537037037</v>
      </c>
      <c r="K194" s="19">
        <v>1.0</v>
      </c>
      <c r="L194" s="10" t="b">
        <v>1</v>
      </c>
      <c r="M194" s="5" t="s">
        <v>2464</v>
      </c>
      <c r="N194" s="5" t="s">
        <v>247</v>
      </c>
      <c r="O194" s="5"/>
      <c r="P194" s="110" t="b">
        <f t="shared" si="1"/>
        <v>0</v>
      </c>
      <c r="Q194" s="110" t="b">
        <f>IF(COUNTIF(RAW_APS!$A$2:$A815,A194)=0,TRUE,FALSE)</f>
        <v>0</v>
      </c>
      <c r="R194" s="241" t="b">
        <f t="shared" si="2"/>
        <v>0</v>
      </c>
      <c r="U194" s="112" t="str">
        <f t="shared" si="3"/>
        <v/>
      </c>
      <c r="V194" s="60"/>
      <c r="W194" s="60"/>
      <c r="X194" s="60"/>
      <c r="Y194" s="60"/>
      <c r="Z194" s="210"/>
      <c r="AA194" s="112" t="str">
        <f t="shared" si="4"/>
        <v>FM569</v>
      </c>
      <c r="AB194" s="112" t="str">
        <f t="shared" si="5"/>
        <v/>
      </c>
      <c r="AC194" s="112" t="str">
        <f t="shared" si="6"/>
        <v/>
      </c>
      <c r="AD194" s="5"/>
      <c r="AE194" s="5"/>
    </row>
    <row r="195">
      <c r="A195" s="5" t="s">
        <v>1329</v>
      </c>
      <c r="B195" s="44">
        <v>44609.0</v>
      </c>
      <c r="C195" s="150">
        <v>0.3059953703703704</v>
      </c>
      <c r="D195" s="5"/>
      <c r="E195" s="5"/>
      <c r="F195" s="5"/>
      <c r="G195" s="5" t="s">
        <v>2184</v>
      </c>
      <c r="H195" s="5" t="s">
        <v>244</v>
      </c>
      <c r="I195" s="44">
        <v>44611.0</v>
      </c>
      <c r="J195" s="150">
        <v>0.38957175925925924</v>
      </c>
      <c r="K195" s="19">
        <v>1.0</v>
      </c>
      <c r="L195" s="10" t="b">
        <v>1</v>
      </c>
      <c r="M195" s="5" t="s">
        <v>2478</v>
      </c>
      <c r="N195" s="5" t="s">
        <v>247</v>
      </c>
      <c r="O195" s="5"/>
      <c r="P195" s="110" t="b">
        <f t="shared" si="1"/>
        <v>0</v>
      </c>
      <c r="Q195" s="110" t="b">
        <f>IF(COUNTIF(RAW_APS!$A$2:$A815,A195)=0,TRUE,FALSE)</f>
        <v>0</v>
      </c>
      <c r="R195" s="241" t="b">
        <f t="shared" si="2"/>
        <v>0</v>
      </c>
      <c r="U195" s="112" t="str">
        <f t="shared" si="3"/>
        <v/>
      </c>
      <c r="V195" s="60"/>
      <c r="W195" s="60"/>
      <c r="X195" s="60"/>
      <c r="Y195" s="60"/>
      <c r="Z195" s="210"/>
      <c r="AA195" s="112" t="str">
        <f t="shared" si="4"/>
        <v>FM57</v>
      </c>
      <c r="AB195" s="112" t="str">
        <f t="shared" si="5"/>
        <v/>
      </c>
      <c r="AC195" s="112" t="str">
        <f t="shared" si="6"/>
        <v/>
      </c>
      <c r="AD195" s="5"/>
      <c r="AE195" s="5"/>
    </row>
    <row r="196">
      <c r="A196" s="5" t="s">
        <v>1881</v>
      </c>
      <c r="B196" s="44">
        <v>44623.0</v>
      </c>
      <c r="C196" s="150">
        <v>0.3459143518518519</v>
      </c>
      <c r="D196" s="5"/>
      <c r="E196" s="5"/>
      <c r="F196" s="5"/>
      <c r="G196" s="5" t="s">
        <v>2184</v>
      </c>
      <c r="H196" s="5" t="s">
        <v>244</v>
      </c>
      <c r="I196" s="44">
        <v>44623.0</v>
      </c>
      <c r="J196" s="150">
        <v>0.4606018518518519</v>
      </c>
      <c r="K196" s="19">
        <v>1.0</v>
      </c>
      <c r="L196" s="10" t="b">
        <v>0</v>
      </c>
      <c r="M196" s="5" t="s">
        <v>2468</v>
      </c>
      <c r="N196" s="5" t="s">
        <v>247</v>
      </c>
      <c r="O196" s="5"/>
      <c r="P196" s="110" t="b">
        <f t="shared" si="1"/>
        <v>0</v>
      </c>
      <c r="Q196" s="110" t="b">
        <f>IF(COUNTIF(RAW_APS!$A$2:$A815,A196)=0,TRUE,FALSE)</f>
        <v>0</v>
      </c>
      <c r="R196" s="241" t="b">
        <f t="shared" si="2"/>
        <v>0</v>
      </c>
      <c r="U196" s="112" t="str">
        <f t="shared" si="3"/>
        <v/>
      </c>
      <c r="V196" s="60"/>
      <c r="W196" s="60"/>
      <c r="X196" s="60"/>
      <c r="Y196" s="60"/>
      <c r="Z196" s="210"/>
      <c r="AA196" s="112" t="str">
        <f t="shared" si="4"/>
        <v>FM58</v>
      </c>
      <c r="AB196" s="112" t="str">
        <f t="shared" si="5"/>
        <v/>
      </c>
      <c r="AC196" s="112" t="str">
        <f t="shared" si="6"/>
        <v/>
      </c>
      <c r="AD196" s="5"/>
      <c r="AE196" s="5"/>
    </row>
    <row r="197">
      <c r="A197" s="5" t="s">
        <v>1281</v>
      </c>
      <c r="B197" s="44">
        <v>44607.0</v>
      </c>
      <c r="C197" s="150">
        <v>0.32873842592592595</v>
      </c>
      <c r="D197" s="5"/>
      <c r="E197" s="5"/>
      <c r="F197" s="5"/>
      <c r="G197" s="5" t="s">
        <v>2184</v>
      </c>
      <c r="H197" s="5" t="s">
        <v>244</v>
      </c>
      <c r="I197" s="44">
        <v>44607.0</v>
      </c>
      <c r="J197" s="150">
        <v>0.5868055555555556</v>
      </c>
      <c r="K197" s="19">
        <v>1.0</v>
      </c>
      <c r="L197" s="10" t="b">
        <v>1</v>
      </c>
      <c r="M197" s="5" t="s">
        <v>2479</v>
      </c>
      <c r="N197" s="5" t="s">
        <v>247</v>
      </c>
      <c r="O197" s="5"/>
      <c r="P197" s="110" t="b">
        <f t="shared" si="1"/>
        <v>0</v>
      </c>
      <c r="Q197" s="110" t="b">
        <f>IF(COUNTIF(RAW_APS!$A$2:$A815,A197)=0,TRUE,FALSE)</f>
        <v>0</v>
      </c>
      <c r="R197" s="241" t="b">
        <f t="shared" si="2"/>
        <v>0</v>
      </c>
      <c r="U197" s="112" t="str">
        <f t="shared" si="3"/>
        <v/>
      </c>
      <c r="V197" s="60"/>
      <c r="W197" s="60"/>
      <c r="X197" s="60"/>
      <c r="Y197" s="60"/>
      <c r="Z197" s="210"/>
      <c r="AA197" s="112" t="str">
        <f t="shared" si="4"/>
        <v>FM59</v>
      </c>
      <c r="AB197" s="112" t="str">
        <f t="shared" si="5"/>
        <v/>
      </c>
      <c r="AC197" s="112" t="str">
        <f t="shared" si="6"/>
        <v/>
      </c>
      <c r="AD197" s="5"/>
      <c r="AE197" s="5"/>
    </row>
    <row r="198">
      <c r="A198" s="5" t="s">
        <v>2138</v>
      </c>
      <c r="B198" s="44">
        <v>44631.0</v>
      </c>
      <c r="C198" s="150">
        <v>0.340625</v>
      </c>
      <c r="D198" s="5"/>
      <c r="E198" s="5"/>
      <c r="F198" s="5"/>
      <c r="G198" s="5" t="s">
        <v>2184</v>
      </c>
      <c r="H198" s="5" t="s">
        <v>244</v>
      </c>
      <c r="I198" s="44">
        <v>44631.0</v>
      </c>
      <c r="J198" s="150">
        <v>0.486099537037037</v>
      </c>
      <c r="K198" s="19">
        <v>1.0</v>
      </c>
      <c r="L198" s="10" t="b">
        <v>1</v>
      </c>
      <c r="M198" s="5" t="s">
        <v>2464</v>
      </c>
      <c r="N198" s="5" t="s">
        <v>247</v>
      </c>
      <c r="O198" s="5"/>
      <c r="P198" s="110" t="b">
        <f t="shared" si="1"/>
        <v>0</v>
      </c>
      <c r="Q198" s="110" t="b">
        <f>IF(COUNTIF(RAW_APS!$A$2:$A815,A198)=0,TRUE,FALSE)</f>
        <v>0</v>
      </c>
      <c r="R198" s="241" t="b">
        <f t="shared" si="2"/>
        <v>0</v>
      </c>
      <c r="U198" s="112" t="str">
        <f t="shared" si="3"/>
        <v/>
      </c>
      <c r="V198" s="60"/>
      <c r="W198" s="60"/>
      <c r="X198" s="60"/>
      <c r="Y198" s="60"/>
      <c r="Z198" s="210"/>
      <c r="AA198" s="112" t="str">
        <f t="shared" si="4"/>
        <v>FM599</v>
      </c>
      <c r="AB198" s="112" t="str">
        <f t="shared" si="5"/>
        <v/>
      </c>
      <c r="AC198" s="112" t="str">
        <f t="shared" si="6"/>
        <v/>
      </c>
      <c r="AD198" s="5"/>
      <c r="AE198" s="5"/>
    </row>
    <row r="199">
      <c r="A199" s="5" t="s">
        <v>1740</v>
      </c>
      <c r="B199" s="44">
        <v>44619.0</v>
      </c>
      <c r="C199" s="150">
        <v>0.3654513888888889</v>
      </c>
      <c r="D199" s="5"/>
      <c r="E199" s="5"/>
      <c r="F199" s="5"/>
      <c r="G199" s="5" t="s">
        <v>2184</v>
      </c>
      <c r="H199" s="5" t="s">
        <v>244</v>
      </c>
      <c r="I199" s="44">
        <v>44621.0</v>
      </c>
      <c r="J199" s="150">
        <v>0.47835648148148147</v>
      </c>
      <c r="K199" s="19">
        <v>1.0</v>
      </c>
      <c r="L199" s="10" t="b">
        <v>1</v>
      </c>
      <c r="M199" s="5" t="s">
        <v>2472</v>
      </c>
      <c r="N199" s="5" t="s">
        <v>247</v>
      </c>
      <c r="O199" s="5"/>
      <c r="P199" s="110" t="b">
        <f t="shared" si="1"/>
        <v>0</v>
      </c>
      <c r="Q199" s="110" t="b">
        <f>IF(COUNTIF(RAW_APS!$A$2:$A815,A199)=0,TRUE,FALSE)</f>
        <v>0</v>
      </c>
      <c r="R199" s="241" t="b">
        <f t="shared" si="2"/>
        <v>0</v>
      </c>
      <c r="U199" s="112" t="str">
        <f t="shared" si="3"/>
        <v/>
      </c>
      <c r="V199" s="60"/>
      <c r="W199" s="60"/>
      <c r="X199" s="60"/>
      <c r="Y199" s="60"/>
      <c r="Z199" s="210"/>
      <c r="AA199" s="112" t="str">
        <f t="shared" si="4"/>
        <v>FM6</v>
      </c>
      <c r="AB199" s="112" t="str">
        <f t="shared" si="5"/>
        <v/>
      </c>
      <c r="AC199" s="112" t="str">
        <f t="shared" si="6"/>
        <v/>
      </c>
      <c r="AD199" s="5"/>
      <c r="AE199" s="5"/>
    </row>
    <row r="200">
      <c r="A200" s="5" t="s">
        <v>2082</v>
      </c>
      <c r="B200" s="44">
        <v>44629.0</v>
      </c>
      <c r="C200" s="150">
        <v>0.4018287037037037</v>
      </c>
      <c r="D200" s="5"/>
      <c r="E200" s="5"/>
      <c r="F200" s="5"/>
      <c r="G200" s="5" t="s">
        <v>2184</v>
      </c>
      <c r="H200" s="5" t="s">
        <v>244</v>
      </c>
      <c r="I200" s="44">
        <v>44629.0</v>
      </c>
      <c r="J200" s="150">
        <v>0.4994560185185185</v>
      </c>
      <c r="K200" s="19">
        <v>1.0</v>
      </c>
      <c r="L200" s="10" t="b">
        <v>1</v>
      </c>
      <c r="M200" s="5" t="s">
        <v>2465</v>
      </c>
      <c r="N200" s="5" t="s">
        <v>247</v>
      </c>
      <c r="O200" s="5"/>
      <c r="P200" s="110" t="b">
        <f t="shared" si="1"/>
        <v>0</v>
      </c>
      <c r="Q200" s="110" t="b">
        <f>IF(COUNTIF(RAW_APS!$A$2:$A815,A200)=0,TRUE,FALSE)</f>
        <v>0</v>
      </c>
      <c r="R200" s="241" t="b">
        <f t="shared" si="2"/>
        <v>0</v>
      </c>
      <c r="U200" s="112" t="str">
        <f t="shared" si="3"/>
        <v/>
      </c>
      <c r="V200" s="60"/>
      <c r="W200" s="60"/>
      <c r="X200" s="60"/>
      <c r="Y200" s="60"/>
      <c r="Z200" s="210"/>
      <c r="AA200" s="112" t="str">
        <f t="shared" si="4"/>
        <v>FM60</v>
      </c>
      <c r="AB200" s="112" t="str">
        <f t="shared" si="5"/>
        <v/>
      </c>
      <c r="AC200" s="112" t="str">
        <f t="shared" si="6"/>
        <v/>
      </c>
      <c r="AD200" s="5"/>
      <c r="AE200" s="5"/>
    </row>
    <row r="201">
      <c r="A201" s="5" t="s">
        <v>1595</v>
      </c>
      <c r="B201" s="44">
        <v>44615.0</v>
      </c>
      <c r="C201" s="150">
        <v>0.3422685185185185</v>
      </c>
      <c r="D201" s="5"/>
      <c r="E201" s="5"/>
      <c r="F201" s="5"/>
      <c r="G201" s="5" t="s">
        <v>2184</v>
      </c>
      <c r="H201" s="5" t="s">
        <v>52</v>
      </c>
      <c r="I201" s="44">
        <v>44615.0</v>
      </c>
      <c r="J201" s="150">
        <v>0.49125</v>
      </c>
      <c r="K201" s="19">
        <v>1.0</v>
      </c>
      <c r="L201" s="10" t="b">
        <v>1</v>
      </c>
      <c r="M201" s="5" t="s">
        <v>2474</v>
      </c>
      <c r="N201" s="5" t="s">
        <v>247</v>
      </c>
      <c r="O201" s="5"/>
      <c r="P201" s="110" t="b">
        <f t="shared" si="1"/>
        <v>0</v>
      </c>
      <c r="Q201" s="110" t="b">
        <f>IF(COUNTIF(RAW_APS!$A$2:$A815,A201)=0,TRUE,FALSE)</f>
        <v>0</v>
      </c>
      <c r="R201" s="241" t="b">
        <f t="shared" si="2"/>
        <v>0</v>
      </c>
      <c r="U201" s="112" t="str">
        <f t="shared" si="3"/>
        <v/>
      </c>
      <c r="V201" s="60"/>
      <c r="W201" s="60"/>
      <c r="X201" s="60"/>
      <c r="Y201" s="60"/>
      <c r="Z201" s="210"/>
      <c r="AA201" s="112" t="str">
        <f t="shared" si="4"/>
        <v>FM61</v>
      </c>
      <c r="AB201" s="112" t="str">
        <f t="shared" si="5"/>
        <v/>
      </c>
      <c r="AC201" s="112" t="str">
        <f t="shared" si="6"/>
        <v/>
      </c>
      <c r="AD201" s="5"/>
      <c r="AE201" s="5"/>
    </row>
    <row r="202">
      <c r="A202" s="5" t="s">
        <v>1738</v>
      </c>
      <c r="B202" s="44">
        <v>44619.0</v>
      </c>
      <c r="C202" s="150">
        <v>0.3628587962962963</v>
      </c>
      <c r="D202" s="5"/>
      <c r="E202" s="5"/>
      <c r="F202" s="5"/>
      <c r="G202" s="5" t="s">
        <v>2184</v>
      </c>
      <c r="H202" s="5" t="s">
        <v>244</v>
      </c>
      <c r="I202" s="44">
        <v>44621.0</v>
      </c>
      <c r="J202" s="150">
        <v>0.47835648148148147</v>
      </c>
      <c r="K202" s="19">
        <v>1.0</v>
      </c>
      <c r="L202" s="10" t="b">
        <v>1</v>
      </c>
      <c r="M202" s="5" t="s">
        <v>2472</v>
      </c>
      <c r="N202" s="5" t="s">
        <v>247</v>
      </c>
      <c r="O202" s="5"/>
      <c r="P202" s="110" t="b">
        <f t="shared" si="1"/>
        <v>0</v>
      </c>
      <c r="Q202" s="110" t="b">
        <f>IF(COUNTIF(RAW_APS!$A$2:$A815,A202)=0,TRUE,FALSE)</f>
        <v>0</v>
      </c>
      <c r="R202" s="241" t="b">
        <f t="shared" si="2"/>
        <v>0</v>
      </c>
      <c r="U202" s="112" t="str">
        <f t="shared" si="3"/>
        <v/>
      </c>
      <c r="V202" s="60"/>
      <c r="W202" s="60"/>
      <c r="X202" s="60"/>
      <c r="Y202" s="60"/>
      <c r="Z202" s="210"/>
      <c r="AA202" s="112" t="str">
        <f t="shared" si="4"/>
        <v>FM617</v>
      </c>
      <c r="AB202" s="112" t="str">
        <f t="shared" si="5"/>
        <v/>
      </c>
      <c r="AC202" s="112" t="str">
        <f t="shared" si="6"/>
        <v/>
      </c>
      <c r="AD202" s="5"/>
      <c r="AE202" s="5"/>
    </row>
    <row r="203">
      <c r="A203" s="5" t="s">
        <v>1597</v>
      </c>
      <c r="B203" s="44">
        <v>44615.0</v>
      </c>
      <c r="C203" s="150">
        <v>0.342349537037037</v>
      </c>
      <c r="D203" s="5"/>
      <c r="E203" s="5"/>
      <c r="F203" s="5"/>
      <c r="G203" s="5" t="s">
        <v>2184</v>
      </c>
      <c r="H203" s="5" t="s">
        <v>52</v>
      </c>
      <c r="I203" s="44">
        <v>44615.0</v>
      </c>
      <c r="J203" s="150">
        <v>0.49125</v>
      </c>
      <c r="K203" s="19">
        <v>1.0</v>
      </c>
      <c r="L203" s="10" t="b">
        <v>1</v>
      </c>
      <c r="M203" s="5" t="s">
        <v>2474</v>
      </c>
      <c r="N203" s="5" t="s">
        <v>247</v>
      </c>
      <c r="O203" s="5"/>
      <c r="P203" s="110" t="b">
        <f t="shared" si="1"/>
        <v>0</v>
      </c>
      <c r="Q203" s="110" t="b">
        <f>IF(COUNTIF(RAW_APS!$A$2:$A815,A203)=0,TRUE,FALSE)</f>
        <v>0</v>
      </c>
      <c r="R203" s="241" t="b">
        <f t="shared" si="2"/>
        <v>0</v>
      </c>
      <c r="U203" s="112" t="str">
        <f t="shared" si="3"/>
        <v/>
      </c>
      <c r="V203" s="60"/>
      <c r="W203" s="60"/>
      <c r="X203" s="60"/>
      <c r="Y203" s="60"/>
      <c r="Z203" s="210"/>
      <c r="AA203" s="112" t="str">
        <f t="shared" si="4"/>
        <v>FM62</v>
      </c>
      <c r="AB203" s="112" t="str">
        <f t="shared" si="5"/>
        <v/>
      </c>
      <c r="AC203" s="112" t="str">
        <f t="shared" si="6"/>
        <v/>
      </c>
      <c r="AD203" s="5"/>
      <c r="AE203" s="5"/>
    </row>
    <row r="204">
      <c r="A204" s="5" t="s">
        <v>2010</v>
      </c>
      <c r="B204" s="44">
        <v>44627.0</v>
      </c>
      <c r="C204" s="150">
        <v>0.32157407407407407</v>
      </c>
      <c r="D204" s="5"/>
      <c r="E204" s="5"/>
      <c r="F204" s="5"/>
      <c r="G204" s="5" t="s">
        <v>2184</v>
      </c>
      <c r="H204" s="5" t="s">
        <v>244</v>
      </c>
      <c r="I204" s="44">
        <v>44627.0</v>
      </c>
      <c r="J204" s="150">
        <v>0.4779050925925926</v>
      </c>
      <c r="K204" s="19">
        <v>1.0</v>
      </c>
      <c r="L204" s="10" t="b">
        <v>1</v>
      </c>
      <c r="M204" s="5" t="s">
        <v>2466</v>
      </c>
      <c r="N204" s="5" t="s">
        <v>247</v>
      </c>
      <c r="O204" s="5"/>
      <c r="P204" s="110" t="b">
        <f t="shared" si="1"/>
        <v>0</v>
      </c>
      <c r="Q204" s="110" t="b">
        <f>IF(COUNTIF(RAW_APS!$A$2:$A815,A204)=0,TRUE,FALSE)</f>
        <v>0</v>
      </c>
      <c r="R204" s="241" t="b">
        <f t="shared" si="2"/>
        <v>0</v>
      </c>
      <c r="U204" s="112" t="str">
        <f t="shared" si="3"/>
        <v/>
      </c>
      <c r="V204" s="60"/>
      <c r="W204" s="60"/>
      <c r="X204" s="60"/>
      <c r="Y204" s="60"/>
      <c r="Z204" s="210"/>
      <c r="AA204" s="112" t="str">
        <f t="shared" si="4"/>
        <v>FM63</v>
      </c>
      <c r="AB204" s="112" t="str">
        <f t="shared" si="5"/>
        <v/>
      </c>
      <c r="AC204" s="112" t="str">
        <f t="shared" si="6"/>
        <v/>
      </c>
      <c r="AD204" s="5"/>
      <c r="AE204" s="5"/>
    </row>
    <row r="205">
      <c r="A205" s="5" t="s">
        <v>1885</v>
      </c>
      <c r="B205" s="44">
        <v>44623.0</v>
      </c>
      <c r="C205" s="150">
        <v>0.3894097222222222</v>
      </c>
      <c r="D205" s="5"/>
      <c r="E205" s="5"/>
      <c r="F205" s="5"/>
      <c r="G205" s="5" t="s">
        <v>2184</v>
      </c>
      <c r="H205" s="5" t="s">
        <v>244</v>
      </c>
      <c r="I205" s="44">
        <v>44623.0</v>
      </c>
      <c r="J205" s="150">
        <v>0.4606018518518519</v>
      </c>
      <c r="K205" s="19">
        <v>1.0</v>
      </c>
      <c r="L205" s="10" t="b">
        <v>0</v>
      </c>
      <c r="M205" s="5" t="s">
        <v>2468</v>
      </c>
      <c r="N205" s="5" t="s">
        <v>247</v>
      </c>
      <c r="O205" s="5"/>
      <c r="P205" s="110" t="b">
        <f t="shared" si="1"/>
        <v>0</v>
      </c>
      <c r="Q205" s="110" t="b">
        <f>IF(COUNTIF(RAW_APS!$A$2:$A815,A205)=0,TRUE,FALSE)</f>
        <v>0</v>
      </c>
      <c r="R205" s="241" t="b">
        <f t="shared" si="2"/>
        <v>0</v>
      </c>
      <c r="U205" s="112" t="str">
        <f t="shared" si="3"/>
        <v/>
      </c>
      <c r="V205" s="60"/>
      <c r="W205" s="60"/>
      <c r="X205" s="60"/>
      <c r="Y205" s="60"/>
      <c r="Z205" s="210"/>
      <c r="AA205" s="112" t="str">
        <f t="shared" si="4"/>
        <v>FM646</v>
      </c>
      <c r="AB205" s="112" t="str">
        <f t="shared" si="5"/>
        <v/>
      </c>
      <c r="AC205" s="112" t="str">
        <f t="shared" si="6"/>
        <v/>
      </c>
      <c r="AD205" s="5"/>
      <c r="AE205" s="5"/>
    </row>
    <row r="206">
      <c r="A206" s="5" t="s">
        <v>2136</v>
      </c>
      <c r="B206" s="44">
        <v>44631.0</v>
      </c>
      <c r="C206" s="150">
        <v>0.3362962962962963</v>
      </c>
      <c r="D206" s="5"/>
      <c r="E206" s="5"/>
      <c r="F206" s="5"/>
      <c r="G206" s="5" t="s">
        <v>2184</v>
      </c>
      <c r="H206" s="5" t="s">
        <v>244</v>
      </c>
      <c r="I206" s="44">
        <v>44631.0</v>
      </c>
      <c r="J206" s="150">
        <v>0.486099537037037</v>
      </c>
      <c r="K206" s="19">
        <v>1.0</v>
      </c>
      <c r="L206" s="10" t="b">
        <v>1</v>
      </c>
      <c r="M206" s="5" t="s">
        <v>2464</v>
      </c>
      <c r="N206" s="5" t="s">
        <v>247</v>
      </c>
      <c r="O206" s="5"/>
      <c r="P206" s="110" t="b">
        <f t="shared" si="1"/>
        <v>0</v>
      </c>
      <c r="Q206" s="110" t="b">
        <f>IF(COUNTIF(RAW_APS!$A$2:$A815,A206)=0,TRUE,FALSE)</f>
        <v>0</v>
      </c>
      <c r="R206" s="241" t="b">
        <f t="shared" si="2"/>
        <v>0</v>
      </c>
      <c r="U206" s="112" t="str">
        <f t="shared" si="3"/>
        <v/>
      </c>
      <c r="V206" s="60"/>
      <c r="W206" s="60"/>
      <c r="X206" s="60"/>
      <c r="Y206" s="60"/>
      <c r="Z206" s="210"/>
      <c r="AA206" s="112" t="str">
        <f t="shared" si="4"/>
        <v>FM65</v>
      </c>
      <c r="AB206" s="112" t="str">
        <f t="shared" si="5"/>
        <v/>
      </c>
      <c r="AC206" s="112" t="str">
        <f t="shared" si="6"/>
        <v/>
      </c>
      <c r="AD206" s="5"/>
      <c r="AE206" s="5"/>
    </row>
    <row r="207">
      <c r="A207" s="5" t="s">
        <v>1429</v>
      </c>
      <c r="B207" s="44">
        <v>44611.0</v>
      </c>
      <c r="C207" s="150">
        <v>0.3154282407407407</v>
      </c>
      <c r="D207" s="5"/>
      <c r="E207" s="5"/>
      <c r="F207" s="5"/>
      <c r="G207" s="5" t="s">
        <v>2184</v>
      </c>
      <c r="H207" s="5" t="s">
        <v>244</v>
      </c>
      <c r="I207" s="44">
        <v>44611.0</v>
      </c>
      <c r="J207" s="150">
        <v>0.4882523148148148</v>
      </c>
      <c r="K207" s="19">
        <v>1.0</v>
      </c>
      <c r="L207" s="10" t="b">
        <v>1</v>
      </c>
      <c r="M207" s="5" t="s">
        <v>2477</v>
      </c>
      <c r="N207" s="5" t="s">
        <v>247</v>
      </c>
      <c r="O207" s="5"/>
      <c r="P207" s="110" t="b">
        <f t="shared" si="1"/>
        <v>0</v>
      </c>
      <c r="Q207" s="110" t="b">
        <f>IF(COUNTIF(RAW_APS!$A$2:$A815,A207)=0,TRUE,FALSE)</f>
        <v>0</v>
      </c>
      <c r="R207" s="241" t="b">
        <f t="shared" si="2"/>
        <v>0</v>
      </c>
      <c r="U207" s="112" t="str">
        <f t="shared" si="3"/>
        <v/>
      </c>
      <c r="V207" s="60"/>
      <c r="W207" s="60"/>
      <c r="X207" s="60"/>
      <c r="Y207" s="60"/>
      <c r="Z207" s="210"/>
      <c r="AA207" s="112" t="str">
        <f t="shared" si="4"/>
        <v>FM66</v>
      </c>
      <c r="AB207" s="112" t="str">
        <f t="shared" si="5"/>
        <v/>
      </c>
      <c r="AC207" s="112" t="str">
        <f t="shared" si="6"/>
        <v/>
      </c>
      <c r="AD207" s="5"/>
      <c r="AE207" s="5"/>
    </row>
    <row r="208">
      <c r="A208" s="5" t="s">
        <v>1539</v>
      </c>
      <c r="B208" s="44">
        <v>44613.0</v>
      </c>
      <c r="C208" s="150">
        <v>0.3566898148148148</v>
      </c>
      <c r="D208" s="5"/>
      <c r="E208" s="5"/>
      <c r="F208" s="5"/>
      <c r="G208" s="5" t="s">
        <v>2184</v>
      </c>
      <c r="H208" s="5" t="s">
        <v>244</v>
      </c>
      <c r="I208" s="44">
        <v>44613.0</v>
      </c>
      <c r="J208" s="150">
        <v>0.4694212962962963</v>
      </c>
      <c r="K208" s="19">
        <v>1.0</v>
      </c>
      <c r="L208" s="10" t="b">
        <v>1</v>
      </c>
      <c r="M208" s="5" t="s">
        <v>2476</v>
      </c>
      <c r="N208" s="5" t="s">
        <v>247</v>
      </c>
      <c r="O208" s="5"/>
      <c r="P208" s="110" t="b">
        <f t="shared" si="1"/>
        <v>0</v>
      </c>
      <c r="Q208" s="110" t="b">
        <f>IF(COUNTIF(RAW_APS!$A$2:$A815,A208)=0,TRUE,FALSE)</f>
        <v>0</v>
      </c>
      <c r="R208" s="241" t="b">
        <f t="shared" si="2"/>
        <v>0</v>
      </c>
      <c r="U208" s="112" t="str">
        <f t="shared" si="3"/>
        <v/>
      </c>
      <c r="V208" s="60"/>
      <c r="W208" s="60"/>
      <c r="X208" s="60"/>
      <c r="Y208" s="60"/>
      <c r="Z208" s="210"/>
      <c r="AA208" s="112" t="str">
        <f t="shared" si="4"/>
        <v>FM70</v>
      </c>
      <c r="AB208" s="112" t="str">
        <f t="shared" si="5"/>
        <v/>
      </c>
      <c r="AC208" s="112" t="str">
        <f t="shared" si="6"/>
        <v/>
      </c>
      <c r="AD208" s="5"/>
      <c r="AE208" s="5"/>
    </row>
    <row r="209">
      <c r="A209" s="5" t="s">
        <v>1188</v>
      </c>
      <c r="B209" s="44">
        <v>44603.0</v>
      </c>
      <c r="C209" s="150">
        <v>0.3376851851851852</v>
      </c>
      <c r="D209" s="5"/>
      <c r="E209" s="5"/>
      <c r="F209" s="5"/>
      <c r="G209" s="5" t="s">
        <v>2184</v>
      </c>
      <c r="H209" s="5" t="s">
        <v>244</v>
      </c>
      <c r="I209" s="44">
        <v>44603.0</v>
      </c>
      <c r="J209" s="150">
        <v>0.46979166666666666</v>
      </c>
      <c r="K209" s="19">
        <v>1.0</v>
      </c>
      <c r="L209" s="10" t="b">
        <v>1</v>
      </c>
      <c r="M209" s="5" t="s">
        <v>2481</v>
      </c>
      <c r="N209" s="5" t="s">
        <v>247</v>
      </c>
      <c r="O209" s="5"/>
      <c r="P209" s="110" t="b">
        <f t="shared" si="1"/>
        <v>0</v>
      </c>
      <c r="Q209" s="110" t="b">
        <f>IF(COUNTIF(RAW_APS!$A$2:$A815,A209)=0,TRUE,FALSE)</f>
        <v>0</v>
      </c>
      <c r="R209" s="241" t="b">
        <f t="shared" si="2"/>
        <v>0</v>
      </c>
      <c r="U209" s="112" t="str">
        <f t="shared" si="3"/>
        <v/>
      </c>
      <c r="V209" s="60"/>
      <c r="W209" s="60"/>
      <c r="X209" s="60"/>
      <c r="Y209" s="60"/>
      <c r="Z209" s="210"/>
      <c r="AA209" s="112" t="str">
        <f t="shared" si="4"/>
        <v>FM71</v>
      </c>
      <c r="AB209" s="112" t="str">
        <f t="shared" si="5"/>
        <v/>
      </c>
      <c r="AC209" s="112" t="str">
        <f t="shared" si="6"/>
        <v/>
      </c>
      <c r="AD209" s="5"/>
      <c r="AE209" s="5"/>
    </row>
    <row r="210">
      <c r="A210" s="5" t="s">
        <v>1237</v>
      </c>
      <c r="B210" s="44">
        <v>44607.0</v>
      </c>
      <c r="C210" s="150">
        <v>0.3127083333333333</v>
      </c>
      <c r="D210" s="5"/>
      <c r="E210" s="5"/>
      <c r="F210" s="5"/>
      <c r="G210" s="5" t="s">
        <v>2184</v>
      </c>
      <c r="H210" s="5" t="s">
        <v>244</v>
      </c>
      <c r="I210" s="44">
        <v>44607.0</v>
      </c>
      <c r="J210" s="150">
        <v>0.5867939814814814</v>
      </c>
      <c r="K210" s="19">
        <v>1.0</v>
      </c>
      <c r="L210" s="10" t="b">
        <v>1</v>
      </c>
      <c r="M210" s="5" t="s">
        <v>2479</v>
      </c>
      <c r="N210" s="5" t="s">
        <v>247</v>
      </c>
      <c r="O210" s="5"/>
      <c r="P210" s="110" t="b">
        <f t="shared" si="1"/>
        <v>0</v>
      </c>
      <c r="Q210" s="110" t="b">
        <f>IF(COUNTIF(RAW_APS!$A$2:$A815,A210)=0,TRUE,FALSE)</f>
        <v>0</v>
      </c>
      <c r="R210" s="241" t="b">
        <f t="shared" si="2"/>
        <v>0</v>
      </c>
      <c r="U210" s="112" t="str">
        <f t="shared" si="3"/>
        <v/>
      </c>
      <c r="V210" s="60"/>
      <c r="W210" s="60"/>
      <c r="X210" s="60"/>
      <c r="Y210" s="60"/>
      <c r="Z210" s="210"/>
      <c r="AA210" s="112" t="str">
        <f t="shared" si="4"/>
        <v>FM73</v>
      </c>
      <c r="AB210" s="112" t="str">
        <f t="shared" si="5"/>
        <v/>
      </c>
      <c r="AC210" s="112" t="str">
        <f t="shared" si="6"/>
        <v/>
      </c>
      <c r="AD210" s="5"/>
      <c r="AE210" s="5"/>
    </row>
    <row r="211">
      <c r="A211" s="5" t="s">
        <v>1959</v>
      </c>
      <c r="B211" s="44">
        <v>44625.0</v>
      </c>
      <c r="C211" s="150">
        <v>0.3421875</v>
      </c>
      <c r="D211" s="5"/>
      <c r="E211" s="5"/>
      <c r="F211" s="5"/>
      <c r="G211" s="5" t="s">
        <v>2184</v>
      </c>
      <c r="H211" s="5" t="s">
        <v>244</v>
      </c>
      <c r="I211" s="44">
        <v>44625.0</v>
      </c>
      <c r="J211" s="150">
        <v>0.48975694444444445</v>
      </c>
      <c r="K211" s="19">
        <v>1.0</v>
      </c>
      <c r="L211" s="10" t="b">
        <v>1</v>
      </c>
      <c r="M211" s="5" t="s">
        <v>2467</v>
      </c>
      <c r="N211" s="5" t="s">
        <v>247</v>
      </c>
      <c r="O211" s="5"/>
      <c r="P211" s="110" t="b">
        <f t="shared" si="1"/>
        <v>0</v>
      </c>
      <c r="Q211" s="110" t="b">
        <f>IF(COUNTIF(RAW_APS!$A$2:$A815,A211)=0,TRUE,FALSE)</f>
        <v>0</v>
      </c>
      <c r="R211" s="241" t="b">
        <f t="shared" si="2"/>
        <v>0</v>
      </c>
      <c r="U211" s="112" t="str">
        <f t="shared" si="3"/>
        <v/>
      </c>
      <c r="V211" s="60"/>
      <c r="W211" s="60"/>
      <c r="X211" s="60"/>
      <c r="Y211" s="60"/>
      <c r="Z211" s="210"/>
      <c r="AA211" s="112" t="str">
        <f t="shared" si="4"/>
        <v>FM75</v>
      </c>
      <c r="AB211" s="112" t="str">
        <f t="shared" si="5"/>
        <v/>
      </c>
      <c r="AC211" s="112" t="str">
        <f t="shared" si="6"/>
        <v/>
      </c>
      <c r="AD211" s="5"/>
      <c r="AE211" s="5"/>
    </row>
    <row r="212">
      <c r="A212" s="5" t="s">
        <v>1210</v>
      </c>
      <c r="B212" s="44">
        <v>44606.0</v>
      </c>
      <c r="C212" s="150">
        <v>0.3229050925925926</v>
      </c>
      <c r="D212" s="5"/>
      <c r="E212" s="5"/>
      <c r="F212" s="5"/>
      <c r="G212" s="5" t="s">
        <v>2188</v>
      </c>
      <c r="H212" s="5" t="s">
        <v>254</v>
      </c>
      <c r="I212" s="44">
        <v>44861.0</v>
      </c>
      <c r="J212" s="150">
        <v>0.4895023148148148</v>
      </c>
      <c r="K212" s="19">
        <v>1.0</v>
      </c>
      <c r="L212" s="5"/>
      <c r="M212" s="5"/>
      <c r="N212" s="5" t="s">
        <v>247</v>
      </c>
      <c r="O212" s="5"/>
      <c r="P212" s="110" t="b">
        <f t="shared" si="1"/>
        <v>0</v>
      </c>
      <c r="Q212" s="110" t="b">
        <f>IF(COUNTIF(RAW_APS!$A$2:$A815,A212)=0,TRUE,FALSE)</f>
        <v>0</v>
      </c>
      <c r="R212" s="241" t="b">
        <f t="shared" si="2"/>
        <v>0</v>
      </c>
      <c r="U212" s="112" t="str">
        <f t="shared" si="3"/>
        <v/>
      </c>
      <c r="V212" s="60"/>
      <c r="W212" s="60"/>
      <c r="X212" s="60"/>
      <c r="Y212" s="60"/>
      <c r="Z212" s="210"/>
      <c r="AA212" s="112" t="str">
        <f t="shared" si="4"/>
        <v>FM77</v>
      </c>
      <c r="AB212" s="112" t="str">
        <f t="shared" si="5"/>
        <v/>
      </c>
      <c r="AC212" s="112" t="str">
        <f t="shared" si="6"/>
        <v/>
      </c>
      <c r="AD212" s="5"/>
      <c r="AE212" s="5"/>
    </row>
    <row r="213">
      <c r="A213" s="5" t="s">
        <v>1781</v>
      </c>
      <c r="B213" s="44">
        <v>44621.0</v>
      </c>
      <c r="C213" s="150">
        <v>0.3111921296296296</v>
      </c>
      <c r="D213" s="5"/>
      <c r="E213" s="5"/>
      <c r="F213" s="5"/>
      <c r="G213" s="5" t="s">
        <v>2184</v>
      </c>
      <c r="H213" s="5" t="s">
        <v>244</v>
      </c>
      <c r="I213" s="44">
        <v>44627.0</v>
      </c>
      <c r="J213" s="150">
        <v>0.47791666666666666</v>
      </c>
      <c r="K213" s="19">
        <v>1.0</v>
      </c>
      <c r="L213" s="10" t="b">
        <v>1</v>
      </c>
      <c r="M213" s="5" t="s">
        <v>2470</v>
      </c>
      <c r="N213" s="5" t="s">
        <v>247</v>
      </c>
      <c r="O213" s="5"/>
      <c r="P213" s="110" t="b">
        <f t="shared" si="1"/>
        <v>0</v>
      </c>
      <c r="Q213" s="110" t="b">
        <f>IF(COUNTIF(RAW_APS!$A$2:$A815,A213)=0,TRUE,FALSE)</f>
        <v>0</v>
      </c>
      <c r="R213" s="241" t="b">
        <f t="shared" si="2"/>
        <v>0</v>
      </c>
      <c r="U213" s="112" t="str">
        <f t="shared" si="3"/>
        <v/>
      </c>
      <c r="V213" s="60"/>
      <c r="W213" s="60"/>
      <c r="X213" s="60"/>
      <c r="Y213" s="60"/>
      <c r="Z213" s="210"/>
      <c r="AA213" s="112" t="str">
        <f t="shared" si="4"/>
        <v>FM78</v>
      </c>
      <c r="AB213" s="112" t="str">
        <f t="shared" si="5"/>
        <v/>
      </c>
      <c r="AC213" s="112" t="str">
        <f t="shared" si="6"/>
        <v/>
      </c>
      <c r="AD213" s="5"/>
      <c r="AE213" s="5"/>
    </row>
    <row r="214">
      <c r="A214" s="5" t="s">
        <v>1247</v>
      </c>
      <c r="B214" s="44">
        <v>44607.0</v>
      </c>
      <c r="C214" s="150">
        <v>0.3134953703703704</v>
      </c>
      <c r="D214" s="5"/>
      <c r="E214" s="5"/>
      <c r="F214" s="5"/>
      <c r="G214" s="5" t="s">
        <v>2184</v>
      </c>
      <c r="H214" s="5" t="s">
        <v>244</v>
      </c>
      <c r="I214" s="44">
        <v>44607.0</v>
      </c>
      <c r="J214" s="150">
        <v>0.5868055555555556</v>
      </c>
      <c r="K214" s="19">
        <v>1.0</v>
      </c>
      <c r="L214" s="10" t="b">
        <v>1</v>
      </c>
      <c r="M214" s="5" t="s">
        <v>2479</v>
      </c>
      <c r="N214" s="5" t="s">
        <v>247</v>
      </c>
      <c r="O214" s="5"/>
      <c r="P214" s="110" t="b">
        <f t="shared" si="1"/>
        <v>0</v>
      </c>
      <c r="Q214" s="110" t="b">
        <f>IF(COUNTIF(RAW_APS!$A$2:$A815,A214)=0,TRUE,FALSE)</f>
        <v>0</v>
      </c>
      <c r="R214" s="241" t="b">
        <f t="shared" si="2"/>
        <v>0</v>
      </c>
      <c r="U214" s="112" t="str">
        <f t="shared" si="3"/>
        <v/>
      </c>
      <c r="V214" s="60"/>
      <c r="W214" s="60"/>
      <c r="X214" s="60"/>
      <c r="Y214" s="60"/>
      <c r="Z214" s="210"/>
      <c r="AA214" s="112" t="str">
        <f t="shared" si="4"/>
        <v>FM782</v>
      </c>
      <c r="AB214" s="112" t="str">
        <f t="shared" si="5"/>
        <v/>
      </c>
      <c r="AC214" s="112" t="str">
        <f t="shared" si="6"/>
        <v/>
      </c>
      <c r="AD214" s="5"/>
      <c r="AE214" s="5"/>
    </row>
    <row r="215">
      <c r="A215" s="5" t="s">
        <v>1607</v>
      </c>
      <c r="B215" s="44">
        <v>44615.0</v>
      </c>
      <c r="C215" s="150">
        <v>0.38722222222222225</v>
      </c>
      <c r="D215" s="5"/>
      <c r="E215" s="5"/>
      <c r="F215" s="5"/>
      <c r="G215" s="5" t="s">
        <v>2184</v>
      </c>
      <c r="H215" s="5" t="s">
        <v>52</v>
      </c>
      <c r="I215" s="44">
        <v>44615.0</v>
      </c>
      <c r="J215" s="150">
        <v>0.49126157407407406</v>
      </c>
      <c r="K215" s="19">
        <v>1.0</v>
      </c>
      <c r="L215" s="10" t="b">
        <v>1</v>
      </c>
      <c r="M215" s="5" t="s">
        <v>2474</v>
      </c>
      <c r="N215" s="5" t="s">
        <v>247</v>
      </c>
      <c r="O215" s="5"/>
      <c r="P215" s="110" t="b">
        <f t="shared" si="1"/>
        <v>0</v>
      </c>
      <c r="Q215" s="110" t="b">
        <f>IF(COUNTIF(RAW_APS!$A$2:$A815,A215)=0,TRUE,FALSE)</f>
        <v>0</v>
      </c>
      <c r="R215" s="241" t="b">
        <f t="shared" si="2"/>
        <v>0</v>
      </c>
      <c r="U215" s="112" t="str">
        <f t="shared" si="3"/>
        <v/>
      </c>
      <c r="V215" s="60"/>
      <c r="W215" s="60"/>
      <c r="X215" s="60"/>
      <c r="Y215" s="60"/>
      <c r="Z215" s="210"/>
      <c r="AA215" s="112" t="str">
        <f t="shared" si="4"/>
        <v>FM783</v>
      </c>
      <c r="AB215" s="112" t="str">
        <f t="shared" si="5"/>
        <v/>
      </c>
      <c r="AC215" s="112" t="str">
        <f t="shared" si="6"/>
        <v/>
      </c>
      <c r="AD215" s="5"/>
      <c r="AE215" s="5"/>
    </row>
    <row r="216">
      <c r="A216" s="5" t="s">
        <v>1208</v>
      </c>
      <c r="B216" s="44">
        <v>44606.0</v>
      </c>
      <c r="C216" s="150">
        <v>0.3206712962962963</v>
      </c>
      <c r="D216" s="5"/>
      <c r="E216" s="5"/>
      <c r="F216" s="5"/>
      <c r="G216" s="5" t="s">
        <v>2188</v>
      </c>
      <c r="H216" s="5" t="s">
        <v>254</v>
      </c>
      <c r="I216" s="44">
        <v>44861.0</v>
      </c>
      <c r="J216" s="150">
        <v>0.4895023148148148</v>
      </c>
      <c r="K216" s="19">
        <v>1.0</v>
      </c>
      <c r="L216" s="5"/>
      <c r="M216" s="5"/>
      <c r="N216" s="5" t="s">
        <v>247</v>
      </c>
      <c r="O216" s="5"/>
      <c r="P216" s="110" t="b">
        <f t="shared" si="1"/>
        <v>0</v>
      </c>
      <c r="Q216" s="110" t="b">
        <f>IF(COUNTIF(RAW_APS!$A$2:$A815,A216)=0,TRUE,FALSE)</f>
        <v>0</v>
      </c>
      <c r="R216" s="241" t="b">
        <f t="shared" si="2"/>
        <v>0</v>
      </c>
      <c r="U216" s="112" t="str">
        <f t="shared" si="3"/>
        <v/>
      </c>
      <c r="V216" s="60"/>
      <c r="W216" s="60"/>
      <c r="X216" s="60"/>
      <c r="Y216" s="60"/>
      <c r="Z216" s="210"/>
      <c r="AA216" s="112" t="str">
        <f t="shared" si="4"/>
        <v>FM786</v>
      </c>
      <c r="AB216" s="112" t="str">
        <f t="shared" si="5"/>
        <v/>
      </c>
      <c r="AC216" s="112" t="str">
        <f t="shared" si="6"/>
        <v/>
      </c>
      <c r="AD216" s="5"/>
      <c r="AE216" s="5"/>
    </row>
    <row r="217">
      <c r="A217" s="5" t="s">
        <v>1447</v>
      </c>
      <c r="B217" s="44">
        <v>44611.0</v>
      </c>
      <c r="C217" s="150">
        <v>0.32633101851851853</v>
      </c>
      <c r="D217" s="5"/>
      <c r="E217" s="5"/>
      <c r="F217" s="5"/>
      <c r="G217" s="5" t="s">
        <v>2184</v>
      </c>
      <c r="H217" s="5" t="s">
        <v>244</v>
      </c>
      <c r="I217" s="44">
        <v>44611.0</v>
      </c>
      <c r="J217" s="150">
        <v>0.4882523148148148</v>
      </c>
      <c r="K217" s="19">
        <v>1.0</v>
      </c>
      <c r="L217" s="10" t="b">
        <v>1</v>
      </c>
      <c r="M217" s="5" t="s">
        <v>2477</v>
      </c>
      <c r="N217" s="5" t="s">
        <v>247</v>
      </c>
      <c r="O217" s="5"/>
      <c r="P217" s="110" t="b">
        <f t="shared" si="1"/>
        <v>0</v>
      </c>
      <c r="Q217" s="110" t="b">
        <f>IF(COUNTIF(RAW_APS!$A$2:$A815,A217)=0,TRUE,FALSE)</f>
        <v>0</v>
      </c>
      <c r="R217" s="241" t="b">
        <f t="shared" si="2"/>
        <v>0</v>
      </c>
      <c r="U217" s="112" t="str">
        <f t="shared" si="3"/>
        <v/>
      </c>
      <c r="V217" s="60"/>
      <c r="W217" s="60"/>
      <c r="X217" s="60"/>
      <c r="Y217" s="60"/>
      <c r="Z217" s="210"/>
      <c r="AA217" s="112" t="str">
        <f t="shared" si="4"/>
        <v>FM787</v>
      </c>
      <c r="AB217" s="112" t="str">
        <f t="shared" si="5"/>
        <v/>
      </c>
      <c r="AC217" s="112" t="str">
        <f t="shared" si="6"/>
        <v/>
      </c>
      <c r="AD217" s="5"/>
      <c r="AE217" s="5"/>
    </row>
    <row r="218">
      <c r="A218" s="5" t="s">
        <v>1813</v>
      </c>
      <c r="B218" s="44">
        <v>44621.0</v>
      </c>
      <c r="C218" s="150">
        <v>0.3345949074074074</v>
      </c>
      <c r="D218" s="5"/>
      <c r="E218" s="5"/>
      <c r="F218" s="5"/>
      <c r="G218" s="5" t="s">
        <v>2184</v>
      </c>
      <c r="H218" s="5" t="s">
        <v>244</v>
      </c>
      <c r="I218" s="44">
        <v>44627.0</v>
      </c>
      <c r="J218" s="150">
        <v>0.47792824074074075</v>
      </c>
      <c r="K218" s="19">
        <v>1.0</v>
      </c>
      <c r="L218" s="10" t="b">
        <v>1</v>
      </c>
      <c r="M218" s="5" t="s">
        <v>2470</v>
      </c>
      <c r="N218" s="5" t="s">
        <v>247</v>
      </c>
      <c r="O218" s="5"/>
      <c r="P218" s="110" t="b">
        <f t="shared" si="1"/>
        <v>0</v>
      </c>
      <c r="Q218" s="110" t="b">
        <f>IF(COUNTIF(RAW_APS!$A$2:$A815,A218)=0,TRUE,FALSE)</f>
        <v>0</v>
      </c>
      <c r="R218" s="241" t="b">
        <f t="shared" si="2"/>
        <v>0</v>
      </c>
      <c r="U218" s="112" t="str">
        <f t="shared" si="3"/>
        <v/>
      </c>
      <c r="V218" s="60"/>
      <c r="W218" s="60"/>
      <c r="X218" s="60"/>
      <c r="Y218" s="60"/>
      <c r="Z218" s="210"/>
      <c r="AA218" s="112" t="str">
        <f t="shared" si="4"/>
        <v>FM792</v>
      </c>
      <c r="AB218" s="112" t="str">
        <f t="shared" si="5"/>
        <v/>
      </c>
      <c r="AC218" s="112" t="str">
        <f t="shared" si="6"/>
        <v/>
      </c>
      <c r="AD218" s="5"/>
      <c r="AE218" s="5"/>
    </row>
    <row r="219">
      <c r="A219" s="5" t="s">
        <v>1645</v>
      </c>
      <c r="B219" s="44">
        <v>44617.0</v>
      </c>
      <c r="C219" s="150">
        <v>0.32025462962962964</v>
      </c>
      <c r="D219" s="5"/>
      <c r="E219" s="5"/>
      <c r="F219" s="5"/>
      <c r="G219" s="5" t="s">
        <v>2184</v>
      </c>
      <c r="H219" s="5" t="s">
        <v>244</v>
      </c>
      <c r="I219" s="44">
        <v>44617.0</v>
      </c>
      <c r="J219" s="150">
        <v>0.5033796296296297</v>
      </c>
      <c r="K219" s="19">
        <v>1.0</v>
      </c>
      <c r="L219" s="10" t="b">
        <v>1</v>
      </c>
      <c r="M219" s="5" t="s">
        <v>2473</v>
      </c>
      <c r="N219" s="5" t="s">
        <v>247</v>
      </c>
      <c r="O219" s="5"/>
      <c r="P219" s="110" t="b">
        <f t="shared" si="1"/>
        <v>0</v>
      </c>
      <c r="Q219" s="110" t="b">
        <f>IF(COUNTIF(RAW_APS!$A$2:$A815,A219)=0,TRUE,FALSE)</f>
        <v>0</v>
      </c>
      <c r="R219" s="241" t="b">
        <f t="shared" si="2"/>
        <v>0</v>
      </c>
      <c r="U219" s="112" t="str">
        <f t="shared" si="3"/>
        <v/>
      </c>
      <c r="V219" s="60"/>
      <c r="W219" s="60"/>
      <c r="X219" s="60"/>
      <c r="Y219" s="60"/>
      <c r="Z219" s="210"/>
      <c r="AA219" s="112" t="str">
        <f t="shared" si="4"/>
        <v>FM793</v>
      </c>
      <c r="AB219" s="112" t="str">
        <f t="shared" si="5"/>
        <v/>
      </c>
      <c r="AC219" s="112" t="str">
        <f t="shared" si="6"/>
        <v/>
      </c>
      <c r="AD219" s="5"/>
      <c r="AE219" s="5"/>
    </row>
    <row r="220">
      <c r="A220" s="5" t="s">
        <v>1671</v>
      </c>
      <c r="B220" s="44">
        <v>44617.0</v>
      </c>
      <c r="C220" s="150">
        <v>0.3321875</v>
      </c>
      <c r="D220" s="5"/>
      <c r="E220" s="5"/>
      <c r="F220" s="5"/>
      <c r="G220" s="5" t="s">
        <v>2184</v>
      </c>
      <c r="H220" s="5" t="s">
        <v>244</v>
      </c>
      <c r="I220" s="44">
        <v>44617.0</v>
      </c>
      <c r="J220" s="150">
        <v>0.5033796296296297</v>
      </c>
      <c r="K220" s="19">
        <v>1.0</v>
      </c>
      <c r="L220" s="10" t="b">
        <v>1</v>
      </c>
      <c r="M220" s="5" t="s">
        <v>2473</v>
      </c>
      <c r="N220" s="5" t="s">
        <v>247</v>
      </c>
      <c r="O220" s="5"/>
      <c r="P220" s="110" t="b">
        <f t="shared" si="1"/>
        <v>0</v>
      </c>
      <c r="Q220" s="110" t="b">
        <f>IF(COUNTIF(RAW_APS!$A$2:$A815,A220)=0,TRUE,FALSE)</f>
        <v>0</v>
      </c>
      <c r="R220" s="241" t="b">
        <f t="shared" si="2"/>
        <v>0</v>
      </c>
      <c r="U220" s="112" t="str">
        <f t="shared" si="3"/>
        <v/>
      </c>
      <c r="V220" s="60"/>
      <c r="W220" s="60"/>
      <c r="X220" s="60"/>
      <c r="Y220" s="60"/>
      <c r="Z220" s="210"/>
      <c r="AA220" s="112" t="str">
        <f t="shared" si="4"/>
        <v>FM794</v>
      </c>
      <c r="AB220" s="112" t="str">
        <f t="shared" si="5"/>
        <v/>
      </c>
      <c r="AC220" s="112" t="str">
        <f t="shared" si="6"/>
        <v/>
      </c>
      <c r="AD220" s="5"/>
      <c r="AE220" s="5"/>
    </row>
    <row r="221">
      <c r="A221" s="5" t="s">
        <v>1673</v>
      </c>
      <c r="B221" s="44">
        <v>44617.0</v>
      </c>
      <c r="C221" s="150">
        <v>0.3329050925925926</v>
      </c>
      <c r="D221" s="5"/>
      <c r="E221" s="5"/>
      <c r="F221" s="5"/>
      <c r="G221" s="5" t="s">
        <v>2184</v>
      </c>
      <c r="H221" s="5" t="s">
        <v>244</v>
      </c>
      <c r="I221" s="44">
        <v>44617.0</v>
      </c>
      <c r="J221" s="150">
        <v>0.5033796296296297</v>
      </c>
      <c r="K221" s="19">
        <v>1.0</v>
      </c>
      <c r="L221" s="10" t="b">
        <v>1</v>
      </c>
      <c r="M221" s="5" t="s">
        <v>2473</v>
      </c>
      <c r="N221" s="5" t="s">
        <v>247</v>
      </c>
      <c r="O221" s="5"/>
      <c r="P221" s="110" t="b">
        <f t="shared" si="1"/>
        <v>0</v>
      </c>
      <c r="Q221" s="110" t="b">
        <f>IF(COUNTIF(RAW_APS!$A$2:$A815,A221)=0,TRUE,FALSE)</f>
        <v>0</v>
      </c>
      <c r="R221" s="241" t="b">
        <f t="shared" si="2"/>
        <v>0</v>
      </c>
      <c r="U221" s="112" t="str">
        <f t="shared" si="3"/>
        <v/>
      </c>
      <c r="V221" s="60"/>
      <c r="W221" s="60"/>
      <c r="X221" s="60"/>
      <c r="Y221" s="60"/>
      <c r="Z221" s="210"/>
      <c r="AA221" s="112" t="str">
        <f t="shared" si="4"/>
        <v>FM796</v>
      </c>
      <c r="AB221" s="112" t="str">
        <f t="shared" si="5"/>
        <v/>
      </c>
      <c r="AC221" s="112" t="str">
        <f t="shared" si="6"/>
        <v/>
      </c>
      <c r="AD221" s="5"/>
      <c r="AE221" s="5"/>
    </row>
    <row r="222">
      <c r="A222" s="5" t="s">
        <v>1823</v>
      </c>
      <c r="B222" s="44">
        <v>44621.0</v>
      </c>
      <c r="C222" s="150">
        <v>0.44513888888888886</v>
      </c>
      <c r="D222" s="5"/>
      <c r="E222" s="5"/>
      <c r="F222" s="5"/>
      <c r="G222" s="5" t="s">
        <v>2184</v>
      </c>
      <c r="H222" s="5" t="s">
        <v>244</v>
      </c>
      <c r="I222" s="44">
        <v>44623.0</v>
      </c>
      <c r="J222" s="150">
        <v>0.4605787037037037</v>
      </c>
      <c r="K222" s="19">
        <v>1.0</v>
      </c>
      <c r="L222" s="10" t="b">
        <v>0</v>
      </c>
      <c r="M222" s="5" t="s">
        <v>2468</v>
      </c>
      <c r="N222" s="5" t="s">
        <v>247</v>
      </c>
      <c r="O222" s="5"/>
      <c r="P222" s="110" t="b">
        <f t="shared" si="1"/>
        <v>0</v>
      </c>
      <c r="Q222" s="110" t="b">
        <f>IF(COUNTIF(RAW_APS!$A$2:$A815,A222)=0,TRUE,FALSE)</f>
        <v>0</v>
      </c>
      <c r="R222" s="241" t="b">
        <f t="shared" si="2"/>
        <v>0</v>
      </c>
      <c r="U222" s="112" t="str">
        <f t="shared" si="3"/>
        <v/>
      </c>
      <c r="V222" s="60"/>
      <c r="W222" s="60"/>
      <c r="X222" s="60"/>
      <c r="Y222" s="60"/>
      <c r="Z222" s="210"/>
      <c r="AA222" s="112" t="str">
        <f t="shared" si="4"/>
        <v>FM799</v>
      </c>
      <c r="AB222" s="112" t="str">
        <f t="shared" si="5"/>
        <v/>
      </c>
      <c r="AC222" s="112" t="str">
        <f t="shared" si="6"/>
        <v/>
      </c>
      <c r="AD222" s="5"/>
      <c r="AE222" s="5"/>
    </row>
    <row r="223">
      <c r="A223" s="5" t="s">
        <v>1955</v>
      </c>
      <c r="B223" s="44">
        <v>44625.0</v>
      </c>
      <c r="C223" s="150">
        <v>0.3416666666666667</v>
      </c>
      <c r="D223" s="5"/>
      <c r="E223" s="5"/>
      <c r="F223" s="5"/>
      <c r="G223" s="5" t="s">
        <v>2184</v>
      </c>
      <c r="H223" s="5" t="s">
        <v>244</v>
      </c>
      <c r="I223" s="44">
        <v>44625.0</v>
      </c>
      <c r="J223" s="150">
        <v>0.48975694444444445</v>
      </c>
      <c r="K223" s="19">
        <v>1.0</v>
      </c>
      <c r="L223" s="10" t="b">
        <v>1</v>
      </c>
      <c r="M223" s="5" t="s">
        <v>2467</v>
      </c>
      <c r="N223" s="5" t="s">
        <v>247</v>
      </c>
      <c r="O223" s="5"/>
      <c r="P223" s="110" t="b">
        <f t="shared" si="1"/>
        <v>0</v>
      </c>
      <c r="Q223" s="110" t="b">
        <f>IF(COUNTIF(RAW_APS!$A$2:$A815,A223)=0,TRUE,FALSE)</f>
        <v>0</v>
      </c>
      <c r="R223" s="241" t="b">
        <f t="shared" si="2"/>
        <v>0</v>
      </c>
      <c r="U223" s="112" t="str">
        <f t="shared" si="3"/>
        <v/>
      </c>
      <c r="V223" s="60"/>
      <c r="W223" s="60"/>
      <c r="X223" s="60"/>
      <c r="Y223" s="60"/>
      <c r="Z223" s="210"/>
      <c r="AA223" s="112" t="str">
        <f t="shared" si="4"/>
        <v>FM8</v>
      </c>
      <c r="AB223" s="112" t="str">
        <f t="shared" si="5"/>
        <v/>
      </c>
      <c r="AC223" s="112" t="str">
        <f t="shared" si="6"/>
        <v/>
      </c>
      <c r="AD223" s="5"/>
      <c r="AE223" s="5"/>
    </row>
    <row r="224">
      <c r="A224" s="5" t="s">
        <v>1861</v>
      </c>
      <c r="B224" s="44">
        <v>44623.0</v>
      </c>
      <c r="C224" s="150">
        <v>0.32112268518518516</v>
      </c>
      <c r="D224" s="5"/>
      <c r="E224" s="5"/>
      <c r="F224" s="5"/>
      <c r="G224" s="5" t="s">
        <v>2184</v>
      </c>
      <c r="H224" s="5" t="s">
        <v>244</v>
      </c>
      <c r="I224" s="44">
        <v>44623.0</v>
      </c>
      <c r="J224" s="150">
        <v>0.4605902777777778</v>
      </c>
      <c r="K224" s="19">
        <v>1.0</v>
      </c>
      <c r="L224" s="10" t="b">
        <v>0</v>
      </c>
      <c r="M224" s="5" t="s">
        <v>2468</v>
      </c>
      <c r="N224" s="5" t="s">
        <v>247</v>
      </c>
      <c r="O224" s="5"/>
      <c r="P224" s="110" t="b">
        <f t="shared" si="1"/>
        <v>0</v>
      </c>
      <c r="Q224" s="110" t="b">
        <f>IF(COUNTIF(RAW_APS!$A$2:$A815,A224)=0,TRUE,FALSE)</f>
        <v>0</v>
      </c>
      <c r="R224" s="241" t="b">
        <f t="shared" si="2"/>
        <v>0</v>
      </c>
      <c r="U224" s="112" t="str">
        <f t="shared" si="3"/>
        <v/>
      </c>
      <c r="V224" s="60"/>
      <c r="W224" s="60"/>
      <c r="X224" s="60"/>
      <c r="Y224" s="60"/>
      <c r="Z224" s="210"/>
      <c r="AA224" s="112" t="str">
        <f t="shared" si="4"/>
        <v>FM802</v>
      </c>
      <c r="AB224" s="112" t="str">
        <f t="shared" si="5"/>
        <v/>
      </c>
      <c r="AC224" s="112" t="str">
        <f t="shared" si="6"/>
        <v/>
      </c>
      <c r="AD224" s="5"/>
      <c r="AE224" s="5"/>
    </row>
    <row r="225">
      <c r="A225" s="5" t="s">
        <v>1464</v>
      </c>
      <c r="B225" s="44">
        <v>44611.0</v>
      </c>
      <c r="C225" s="150">
        <v>0.33471064814814816</v>
      </c>
      <c r="D225" s="5"/>
      <c r="E225" s="5"/>
      <c r="F225" s="5"/>
      <c r="G225" s="5" t="s">
        <v>2184</v>
      </c>
      <c r="H225" s="5" t="s">
        <v>244</v>
      </c>
      <c r="I225" s="44">
        <v>44611.0</v>
      </c>
      <c r="J225" s="150">
        <v>0.4882638888888889</v>
      </c>
      <c r="K225" s="19">
        <v>1.0</v>
      </c>
      <c r="L225" s="10" t="b">
        <v>1</v>
      </c>
      <c r="M225" s="5" t="s">
        <v>2477</v>
      </c>
      <c r="N225" s="5" t="s">
        <v>247</v>
      </c>
      <c r="O225" s="5"/>
      <c r="P225" s="110" t="b">
        <f t="shared" si="1"/>
        <v>0</v>
      </c>
      <c r="Q225" s="110" t="b">
        <f>IF(COUNTIF(RAW_APS!$A$2:$A815,A225)=0,TRUE,FALSE)</f>
        <v>0</v>
      </c>
      <c r="R225" s="241" t="b">
        <f t="shared" si="2"/>
        <v>0</v>
      </c>
      <c r="U225" s="112" t="str">
        <f t="shared" si="3"/>
        <v/>
      </c>
      <c r="V225" s="60"/>
      <c r="W225" s="60"/>
      <c r="X225" s="60"/>
      <c r="Y225" s="60"/>
      <c r="Z225" s="210"/>
      <c r="AA225" s="112" t="str">
        <f t="shared" si="4"/>
        <v>FM803</v>
      </c>
      <c r="AB225" s="112" t="str">
        <f t="shared" si="5"/>
        <v/>
      </c>
      <c r="AC225" s="112" t="str">
        <f t="shared" si="6"/>
        <v/>
      </c>
      <c r="AD225" s="5"/>
      <c r="AE225" s="5"/>
    </row>
    <row r="226">
      <c r="A226" s="5" t="s">
        <v>1182</v>
      </c>
      <c r="B226" s="44">
        <v>44603.0</v>
      </c>
      <c r="C226" s="150">
        <v>0.3151736111111111</v>
      </c>
      <c r="D226" s="5"/>
      <c r="E226" s="5"/>
      <c r="F226" s="5"/>
      <c r="G226" s="5" t="s">
        <v>2184</v>
      </c>
      <c r="H226" s="5" t="s">
        <v>244</v>
      </c>
      <c r="I226" s="44">
        <v>44603.0</v>
      </c>
      <c r="J226" s="150">
        <v>0.46979166666666666</v>
      </c>
      <c r="K226" s="19">
        <v>1.0</v>
      </c>
      <c r="L226" s="10" t="b">
        <v>1</v>
      </c>
      <c r="M226" s="5" t="s">
        <v>2481</v>
      </c>
      <c r="N226" s="5" t="s">
        <v>247</v>
      </c>
      <c r="O226" s="5"/>
      <c r="P226" s="110" t="b">
        <f t="shared" si="1"/>
        <v>0</v>
      </c>
      <c r="Q226" s="110" t="b">
        <f>IF(COUNTIF(RAW_APS!$A$2:$A815,A226)=0,TRUE,FALSE)</f>
        <v>0</v>
      </c>
      <c r="R226" s="241" t="b">
        <f t="shared" si="2"/>
        <v>0</v>
      </c>
      <c r="U226" s="112" t="str">
        <f t="shared" si="3"/>
        <v/>
      </c>
      <c r="V226" s="60"/>
      <c r="W226" s="60"/>
      <c r="X226" s="60"/>
      <c r="Y226" s="60"/>
      <c r="Z226" s="210"/>
      <c r="AA226" s="112" t="str">
        <f t="shared" si="4"/>
        <v>FM804</v>
      </c>
      <c r="AB226" s="112" t="str">
        <f t="shared" si="5"/>
        <v/>
      </c>
      <c r="AC226" s="112" t="str">
        <f t="shared" si="6"/>
        <v/>
      </c>
      <c r="AD226" s="5"/>
      <c r="AE226" s="5"/>
    </row>
    <row r="227">
      <c r="A227" s="5" t="s">
        <v>1629</v>
      </c>
      <c r="B227" s="44">
        <v>44617.0</v>
      </c>
      <c r="C227" s="150">
        <v>0.3128009259259259</v>
      </c>
      <c r="D227" s="5"/>
      <c r="E227" s="5"/>
      <c r="F227" s="5"/>
      <c r="G227" s="5" t="s">
        <v>2184</v>
      </c>
      <c r="H227" s="5" t="s">
        <v>244</v>
      </c>
      <c r="I227" s="44">
        <v>44617.0</v>
      </c>
      <c r="J227" s="150">
        <v>0.5033680555555555</v>
      </c>
      <c r="K227" s="19">
        <v>1.0</v>
      </c>
      <c r="L227" s="10" t="b">
        <v>1</v>
      </c>
      <c r="M227" s="5" t="s">
        <v>2473</v>
      </c>
      <c r="N227" s="5" t="s">
        <v>247</v>
      </c>
      <c r="O227" s="5"/>
      <c r="P227" s="110" t="b">
        <f t="shared" si="1"/>
        <v>0</v>
      </c>
      <c r="Q227" s="110" t="b">
        <f>IF(COUNTIF(RAW_APS!$A$2:$A815,A227)=0,TRUE,FALSE)</f>
        <v>0</v>
      </c>
      <c r="R227" s="241" t="b">
        <f t="shared" si="2"/>
        <v>0</v>
      </c>
      <c r="U227" s="112" t="str">
        <f t="shared" si="3"/>
        <v/>
      </c>
      <c r="V227" s="60"/>
      <c r="W227" s="60"/>
      <c r="X227" s="60"/>
      <c r="Y227" s="60"/>
      <c r="Z227" s="210"/>
      <c r="AA227" s="112" t="str">
        <f t="shared" si="4"/>
        <v>FM807</v>
      </c>
      <c r="AB227" s="112" t="str">
        <f t="shared" si="5"/>
        <v/>
      </c>
      <c r="AC227" s="112" t="str">
        <f t="shared" si="6"/>
        <v/>
      </c>
      <c r="AD227" s="5"/>
      <c r="AE227" s="5"/>
    </row>
    <row r="228">
      <c r="A228" s="5" t="s">
        <v>1546</v>
      </c>
      <c r="B228" s="44">
        <v>44615.0</v>
      </c>
      <c r="C228" s="150">
        <v>0.29224537037037035</v>
      </c>
      <c r="D228" s="5"/>
      <c r="E228" s="5"/>
      <c r="F228" s="5"/>
      <c r="G228" s="5" t="s">
        <v>2184</v>
      </c>
      <c r="H228" s="5" t="s">
        <v>52</v>
      </c>
      <c r="I228" s="44">
        <v>44615.0</v>
      </c>
      <c r="J228" s="150">
        <v>0.4912384259259259</v>
      </c>
      <c r="K228" s="19">
        <v>1.0</v>
      </c>
      <c r="L228" s="10" t="b">
        <v>1</v>
      </c>
      <c r="M228" s="5" t="s">
        <v>2474</v>
      </c>
      <c r="N228" s="5" t="s">
        <v>247</v>
      </c>
      <c r="O228" s="5"/>
      <c r="P228" s="110" t="b">
        <f t="shared" si="1"/>
        <v>0</v>
      </c>
      <c r="Q228" s="110" t="b">
        <f>IF(COUNTIF(RAW_APS!$A$2:$A815,A228)=0,TRUE,FALSE)</f>
        <v>0</v>
      </c>
      <c r="R228" s="241" t="b">
        <f t="shared" si="2"/>
        <v>0</v>
      </c>
      <c r="U228" s="112" t="str">
        <f t="shared" si="3"/>
        <v/>
      </c>
      <c r="V228" s="60"/>
      <c r="W228" s="60"/>
      <c r="X228" s="60"/>
      <c r="Y228" s="60"/>
      <c r="Z228" s="210"/>
      <c r="AA228" s="112" t="str">
        <f t="shared" si="4"/>
        <v>FM81</v>
      </c>
      <c r="AB228" s="112" t="str">
        <f t="shared" si="5"/>
        <v/>
      </c>
      <c r="AC228" s="112" t="str">
        <f t="shared" si="6"/>
        <v/>
      </c>
      <c r="AD228" s="5"/>
      <c r="AE228" s="5"/>
    </row>
    <row r="229">
      <c r="A229" s="5" t="s">
        <v>1724</v>
      </c>
      <c r="B229" s="44">
        <v>44619.0</v>
      </c>
      <c r="C229" s="150">
        <v>0.33024305555555555</v>
      </c>
      <c r="D229" s="5"/>
      <c r="E229" s="5"/>
      <c r="F229" s="5"/>
      <c r="G229" s="5" t="s">
        <v>2184</v>
      </c>
      <c r="H229" s="5" t="s">
        <v>244</v>
      </c>
      <c r="I229" s="44">
        <v>44621.0</v>
      </c>
      <c r="J229" s="150">
        <v>0.47835648148148147</v>
      </c>
      <c r="K229" s="19">
        <v>1.0</v>
      </c>
      <c r="L229" s="10" t="b">
        <v>1</v>
      </c>
      <c r="M229" s="5" t="s">
        <v>2472</v>
      </c>
      <c r="N229" s="5" t="s">
        <v>247</v>
      </c>
      <c r="O229" s="5"/>
      <c r="P229" s="110" t="b">
        <f t="shared" si="1"/>
        <v>0</v>
      </c>
      <c r="Q229" s="110" t="b">
        <f>IF(COUNTIF(RAW_APS!$A$2:$A815,A229)=0,TRUE,FALSE)</f>
        <v>0</v>
      </c>
      <c r="R229" s="241" t="b">
        <f t="shared" si="2"/>
        <v>0</v>
      </c>
      <c r="U229" s="112" t="str">
        <f t="shared" si="3"/>
        <v/>
      </c>
      <c r="V229" s="60"/>
      <c r="W229" s="60"/>
      <c r="X229" s="60"/>
      <c r="Y229" s="60"/>
      <c r="Z229" s="210"/>
      <c r="AA229" s="112" t="str">
        <f t="shared" si="4"/>
        <v>FM812</v>
      </c>
      <c r="AB229" s="112" t="str">
        <f t="shared" si="5"/>
        <v/>
      </c>
      <c r="AC229" s="112" t="str">
        <f t="shared" si="6"/>
        <v/>
      </c>
      <c r="AD229" s="5"/>
      <c r="AE229" s="5"/>
    </row>
    <row r="230">
      <c r="A230" s="5" t="s">
        <v>1847</v>
      </c>
      <c r="B230" s="44">
        <v>44623.0</v>
      </c>
      <c r="C230" s="150">
        <v>0.3102662037037037</v>
      </c>
      <c r="D230" s="5"/>
      <c r="E230" s="5"/>
      <c r="F230" s="5"/>
      <c r="G230" s="5" t="s">
        <v>2184</v>
      </c>
      <c r="H230" s="5" t="s">
        <v>244</v>
      </c>
      <c r="I230" s="44">
        <v>44623.0</v>
      </c>
      <c r="J230" s="150">
        <v>0.4605902777777778</v>
      </c>
      <c r="K230" s="19">
        <v>1.0</v>
      </c>
      <c r="L230" s="10" t="b">
        <v>0</v>
      </c>
      <c r="M230" s="5" t="s">
        <v>2468</v>
      </c>
      <c r="N230" s="5" t="s">
        <v>247</v>
      </c>
      <c r="O230" s="5"/>
      <c r="P230" s="110" t="b">
        <f t="shared" si="1"/>
        <v>0</v>
      </c>
      <c r="Q230" s="110" t="b">
        <f>IF(COUNTIF(RAW_APS!$A$2:$A815,A230)=0,TRUE,FALSE)</f>
        <v>0</v>
      </c>
      <c r="R230" s="241" t="b">
        <f t="shared" si="2"/>
        <v>0</v>
      </c>
      <c r="U230" s="112" t="str">
        <f t="shared" si="3"/>
        <v/>
      </c>
      <c r="V230" s="60"/>
      <c r="W230" s="60"/>
      <c r="X230" s="60"/>
      <c r="Y230" s="60"/>
      <c r="Z230" s="210"/>
      <c r="AA230" s="112" t="str">
        <f t="shared" si="4"/>
        <v>FM813</v>
      </c>
      <c r="AB230" s="112" t="str">
        <f t="shared" si="5"/>
        <v/>
      </c>
      <c r="AC230" s="112" t="str">
        <f t="shared" si="6"/>
        <v/>
      </c>
      <c r="AD230" s="5"/>
      <c r="AE230" s="5"/>
    </row>
    <row r="231">
      <c r="A231" s="5" t="s">
        <v>1373</v>
      </c>
      <c r="B231" s="44">
        <v>44609.0</v>
      </c>
      <c r="C231" s="150">
        <v>0.33189814814814816</v>
      </c>
      <c r="D231" s="5"/>
      <c r="E231" s="5"/>
      <c r="F231" s="5"/>
      <c r="G231" s="5" t="s">
        <v>2184</v>
      </c>
      <c r="H231" s="5" t="s">
        <v>244</v>
      </c>
      <c r="I231" s="44">
        <v>44611.0</v>
      </c>
      <c r="J231" s="150">
        <v>0.38958333333333334</v>
      </c>
      <c r="K231" s="19">
        <v>1.0</v>
      </c>
      <c r="L231" s="10" t="b">
        <v>1</v>
      </c>
      <c r="M231" s="5" t="s">
        <v>2478</v>
      </c>
      <c r="N231" s="5" t="s">
        <v>247</v>
      </c>
      <c r="O231" s="5"/>
      <c r="P231" s="110" t="b">
        <f t="shared" si="1"/>
        <v>0</v>
      </c>
      <c r="Q231" s="110" t="b">
        <f>IF(COUNTIF(RAW_APS!$A$2:$A815,A231)=0,TRUE,FALSE)</f>
        <v>0</v>
      </c>
      <c r="R231" s="241" t="b">
        <f t="shared" si="2"/>
        <v>0</v>
      </c>
      <c r="U231" s="112" t="str">
        <f t="shared" si="3"/>
        <v/>
      </c>
      <c r="V231" s="60"/>
      <c r="W231" s="60"/>
      <c r="X231" s="60"/>
      <c r="Y231" s="60"/>
      <c r="Z231" s="210"/>
      <c r="AA231" s="112" t="str">
        <f t="shared" si="4"/>
        <v>FM816</v>
      </c>
      <c r="AB231" s="112" t="str">
        <f t="shared" si="5"/>
        <v/>
      </c>
      <c r="AC231" s="112" t="str">
        <f t="shared" si="6"/>
        <v/>
      </c>
      <c r="AD231" s="5"/>
      <c r="AE231" s="5"/>
    </row>
    <row r="232">
      <c r="A232" s="5" t="s">
        <v>1349</v>
      </c>
      <c r="B232" s="44">
        <v>44609.0</v>
      </c>
      <c r="C232" s="150">
        <v>0.31753472222222223</v>
      </c>
      <c r="D232" s="5"/>
      <c r="E232" s="5"/>
      <c r="F232" s="5"/>
      <c r="G232" s="5" t="s">
        <v>2184</v>
      </c>
      <c r="H232" s="5" t="s">
        <v>244</v>
      </c>
      <c r="I232" s="44">
        <v>44611.0</v>
      </c>
      <c r="J232" s="150">
        <v>0.38957175925925924</v>
      </c>
      <c r="K232" s="19">
        <v>1.0</v>
      </c>
      <c r="L232" s="10" t="b">
        <v>1</v>
      </c>
      <c r="M232" s="5" t="s">
        <v>2478</v>
      </c>
      <c r="N232" s="5" t="s">
        <v>247</v>
      </c>
      <c r="O232" s="5"/>
      <c r="P232" s="110" t="b">
        <f t="shared" si="1"/>
        <v>0</v>
      </c>
      <c r="Q232" s="110" t="b">
        <f>IF(COUNTIF(RAW_APS!$A$2:$A815,A232)=0,TRUE,FALSE)</f>
        <v>0</v>
      </c>
      <c r="R232" s="241" t="b">
        <f t="shared" si="2"/>
        <v>0</v>
      </c>
      <c r="U232" s="112" t="str">
        <f t="shared" si="3"/>
        <v/>
      </c>
      <c r="V232" s="60"/>
      <c r="W232" s="60"/>
      <c r="X232" s="60"/>
      <c r="Y232" s="60"/>
      <c r="Z232" s="210"/>
      <c r="AA232" s="112" t="str">
        <f t="shared" si="4"/>
        <v>FM819</v>
      </c>
      <c r="AB232" s="112" t="str">
        <f t="shared" si="5"/>
        <v/>
      </c>
      <c r="AC232" s="112" t="str">
        <f t="shared" si="6"/>
        <v/>
      </c>
      <c r="AD232" s="5"/>
      <c r="AE232" s="5"/>
    </row>
    <row r="233">
      <c r="A233" s="5" t="s">
        <v>1811</v>
      </c>
      <c r="B233" s="44">
        <v>44621.0</v>
      </c>
      <c r="C233" s="150">
        <v>0.3319328703703704</v>
      </c>
      <c r="D233" s="5"/>
      <c r="E233" s="5"/>
      <c r="F233" s="5"/>
      <c r="G233" s="5" t="s">
        <v>2184</v>
      </c>
      <c r="H233" s="5" t="s">
        <v>244</v>
      </c>
      <c r="I233" s="44">
        <v>44627.0</v>
      </c>
      <c r="J233" s="150">
        <v>0.47792824074074075</v>
      </c>
      <c r="K233" s="19">
        <v>1.0</v>
      </c>
      <c r="L233" s="10" t="b">
        <v>1</v>
      </c>
      <c r="M233" s="5" t="s">
        <v>2470</v>
      </c>
      <c r="N233" s="5" t="s">
        <v>247</v>
      </c>
      <c r="O233" s="5"/>
      <c r="P233" s="110" t="b">
        <f t="shared" si="1"/>
        <v>0</v>
      </c>
      <c r="Q233" s="110" t="b">
        <f>IF(COUNTIF(RAW_APS!$A$2:$A815,A233)=0,TRUE,FALSE)</f>
        <v>0</v>
      </c>
      <c r="R233" s="241" t="b">
        <f t="shared" si="2"/>
        <v>0</v>
      </c>
      <c r="U233" s="112" t="str">
        <f t="shared" si="3"/>
        <v/>
      </c>
      <c r="V233" s="60"/>
      <c r="W233" s="60"/>
      <c r="X233" s="60"/>
      <c r="Y233" s="60"/>
      <c r="Z233" s="210"/>
      <c r="AA233" s="112" t="str">
        <f t="shared" si="4"/>
        <v>FM82</v>
      </c>
      <c r="AB233" s="112" t="str">
        <f t="shared" si="5"/>
        <v/>
      </c>
      <c r="AC233" s="112" t="str">
        <f t="shared" si="6"/>
        <v/>
      </c>
      <c r="AD233" s="5"/>
      <c r="AE233" s="5"/>
    </row>
    <row r="234">
      <c r="A234" s="5" t="s">
        <v>1805</v>
      </c>
      <c r="B234" s="44">
        <v>44621.0</v>
      </c>
      <c r="C234" s="150">
        <v>0.329525462962963</v>
      </c>
      <c r="D234" s="5"/>
      <c r="E234" s="5"/>
      <c r="F234" s="5"/>
      <c r="G234" s="5" t="s">
        <v>2184</v>
      </c>
      <c r="H234" s="5" t="s">
        <v>244</v>
      </c>
      <c r="I234" s="44">
        <v>44627.0</v>
      </c>
      <c r="J234" s="150">
        <v>0.47792824074074075</v>
      </c>
      <c r="K234" s="19">
        <v>1.0</v>
      </c>
      <c r="L234" s="10" t="b">
        <v>1</v>
      </c>
      <c r="M234" s="5" t="s">
        <v>2470</v>
      </c>
      <c r="N234" s="5" t="s">
        <v>247</v>
      </c>
      <c r="O234" s="5"/>
      <c r="P234" s="110" t="b">
        <f t="shared" si="1"/>
        <v>0</v>
      </c>
      <c r="Q234" s="110" t="b">
        <f>IF(COUNTIF(RAW_APS!$A$2:$A815,A234)=0,TRUE,FALSE)</f>
        <v>0</v>
      </c>
      <c r="R234" s="241" t="b">
        <f t="shared" si="2"/>
        <v>0</v>
      </c>
      <c r="U234" s="112" t="str">
        <f t="shared" si="3"/>
        <v/>
      </c>
      <c r="V234" s="60"/>
      <c r="W234" s="60"/>
      <c r="X234" s="60"/>
      <c r="Y234" s="60"/>
      <c r="Z234" s="210"/>
      <c r="AA234" s="112" t="str">
        <f t="shared" si="4"/>
        <v>FM821</v>
      </c>
      <c r="AB234" s="112" t="str">
        <f t="shared" si="5"/>
        <v/>
      </c>
      <c r="AC234" s="112" t="str">
        <f t="shared" si="6"/>
        <v/>
      </c>
      <c r="AD234" s="5"/>
      <c r="AE234" s="5"/>
    </row>
    <row r="235">
      <c r="A235" s="5" t="s">
        <v>1525</v>
      </c>
      <c r="B235" s="44">
        <v>44613.0</v>
      </c>
      <c r="C235" s="150">
        <v>0.3212037037037037</v>
      </c>
      <c r="D235" s="5"/>
      <c r="E235" s="5"/>
      <c r="F235" s="5"/>
      <c r="G235" s="5" t="s">
        <v>2184</v>
      </c>
      <c r="H235" s="5" t="s">
        <v>244</v>
      </c>
      <c r="I235" s="44">
        <v>44613.0</v>
      </c>
      <c r="J235" s="150">
        <v>0.4694097222222222</v>
      </c>
      <c r="K235" s="19">
        <v>1.0</v>
      </c>
      <c r="L235" s="10" t="b">
        <v>1</v>
      </c>
      <c r="M235" s="5" t="s">
        <v>2476</v>
      </c>
      <c r="N235" s="5" t="s">
        <v>247</v>
      </c>
      <c r="O235" s="5"/>
      <c r="P235" s="110" t="b">
        <f t="shared" si="1"/>
        <v>0</v>
      </c>
      <c r="Q235" s="110" t="b">
        <f>IF(COUNTIF(RAW_APS!$A$2:$A815,A235)=0,TRUE,FALSE)</f>
        <v>0</v>
      </c>
      <c r="R235" s="241" t="b">
        <f t="shared" si="2"/>
        <v>0</v>
      </c>
      <c r="U235" s="112" t="str">
        <f t="shared" si="3"/>
        <v/>
      </c>
      <c r="V235" s="60"/>
      <c r="W235" s="60"/>
      <c r="X235" s="60"/>
      <c r="Y235" s="60"/>
      <c r="Z235" s="210"/>
      <c r="AA235" s="112" t="str">
        <f t="shared" si="4"/>
        <v>FM823</v>
      </c>
      <c r="AB235" s="112" t="str">
        <f t="shared" si="5"/>
        <v/>
      </c>
      <c r="AC235" s="112" t="str">
        <f t="shared" si="6"/>
        <v/>
      </c>
      <c r="AD235" s="5"/>
      <c r="AE235" s="5"/>
    </row>
    <row r="236">
      <c r="A236" s="5" t="s">
        <v>1484</v>
      </c>
      <c r="B236" s="44">
        <v>44613.0</v>
      </c>
      <c r="C236" s="150">
        <v>0.27609953703703705</v>
      </c>
      <c r="D236" s="5"/>
      <c r="E236" s="5"/>
      <c r="F236" s="5"/>
      <c r="G236" s="5" t="s">
        <v>2184</v>
      </c>
      <c r="H236" s="5" t="s">
        <v>244</v>
      </c>
      <c r="I236" s="44">
        <v>44613.0</v>
      </c>
      <c r="J236" s="150">
        <v>0.4693981481481482</v>
      </c>
      <c r="K236" s="19">
        <v>1.0</v>
      </c>
      <c r="L236" s="10" t="b">
        <v>1</v>
      </c>
      <c r="M236" s="5" t="s">
        <v>2476</v>
      </c>
      <c r="N236" s="5" t="s">
        <v>247</v>
      </c>
      <c r="O236" s="5"/>
      <c r="P236" s="110" t="b">
        <f t="shared" si="1"/>
        <v>0</v>
      </c>
      <c r="Q236" s="110" t="b">
        <f>IF(COUNTIF(RAW_APS!$A$2:$A815,A236)=0,TRUE,FALSE)</f>
        <v>0</v>
      </c>
      <c r="R236" s="241" t="b">
        <f t="shared" si="2"/>
        <v>0</v>
      </c>
      <c r="U236" s="112" t="str">
        <f t="shared" si="3"/>
        <v/>
      </c>
      <c r="V236" s="60"/>
      <c r="W236" s="60"/>
      <c r="X236" s="60"/>
      <c r="Y236" s="60"/>
      <c r="Z236" s="210"/>
      <c r="AA236" s="112" t="str">
        <f t="shared" si="4"/>
        <v>FM824</v>
      </c>
      <c r="AB236" s="112" t="str">
        <f t="shared" si="5"/>
        <v/>
      </c>
      <c r="AC236" s="112" t="str">
        <f t="shared" si="6"/>
        <v/>
      </c>
      <c r="AD236" s="5"/>
      <c r="AE236" s="5"/>
    </row>
    <row r="237">
      <c r="A237" s="5" t="s">
        <v>1560</v>
      </c>
      <c r="B237" s="44">
        <v>44615.0</v>
      </c>
      <c r="C237" s="150">
        <v>0.3097800925925926</v>
      </c>
      <c r="D237" s="5"/>
      <c r="E237" s="5"/>
      <c r="F237" s="5"/>
      <c r="G237" s="5" t="s">
        <v>2184</v>
      </c>
      <c r="H237" s="5" t="s">
        <v>52</v>
      </c>
      <c r="I237" s="44">
        <v>44615.0</v>
      </c>
      <c r="J237" s="150">
        <v>0.4912384259259259</v>
      </c>
      <c r="K237" s="19">
        <v>1.0</v>
      </c>
      <c r="L237" s="10" t="b">
        <v>1</v>
      </c>
      <c r="M237" s="5" t="s">
        <v>2474</v>
      </c>
      <c r="N237" s="5" t="s">
        <v>247</v>
      </c>
      <c r="O237" s="5"/>
      <c r="P237" s="110" t="b">
        <f t="shared" si="1"/>
        <v>0</v>
      </c>
      <c r="Q237" s="110" t="b">
        <f>IF(COUNTIF(RAW_APS!$A$2:$A815,A237)=0,TRUE,FALSE)</f>
        <v>0</v>
      </c>
      <c r="R237" s="241" t="b">
        <f t="shared" si="2"/>
        <v>0</v>
      </c>
      <c r="U237" s="112" t="str">
        <f t="shared" si="3"/>
        <v/>
      </c>
      <c r="V237" s="60"/>
      <c r="W237" s="60"/>
      <c r="X237" s="60"/>
      <c r="Y237" s="60"/>
      <c r="Z237" s="210"/>
      <c r="AA237" s="112" t="str">
        <f t="shared" si="4"/>
        <v>FM827</v>
      </c>
      <c r="AB237" s="112" t="str">
        <f t="shared" si="5"/>
        <v/>
      </c>
      <c r="AC237" s="112" t="str">
        <f t="shared" si="6"/>
        <v/>
      </c>
      <c r="AD237" s="5"/>
      <c r="AE237" s="5"/>
    </row>
    <row r="238">
      <c r="A238" s="5" t="s">
        <v>1407</v>
      </c>
      <c r="B238" s="44">
        <v>44611.0</v>
      </c>
      <c r="C238" s="150">
        <v>0.30069444444444443</v>
      </c>
      <c r="D238" s="5"/>
      <c r="E238" s="5"/>
      <c r="F238" s="5"/>
      <c r="G238" s="5" t="s">
        <v>2184</v>
      </c>
      <c r="H238" s="5" t="s">
        <v>244</v>
      </c>
      <c r="I238" s="44">
        <v>44611.0</v>
      </c>
      <c r="J238" s="150">
        <v>0.48824074074074075</v>
      </c>
      <c r="K238" s="19">
        <v>1.0</v>
      </c>
      <c r="L238" s="10" t="b">
        <v>1</v>
      </c>
      <c r="M238" s="5" t="s">
        <v>2477</v>
      </c>
      <c r="N238" s="5" t="s">
        <v>247</v>
      </c>
      <c r="O238" s="5"/>
      <c r="P238" s="110" t="b">
        <f t="shared" si="1"/>
        <v>0</v>
      </c>
      <c r="Q238" s="110" t="b">
        <f>IF(COUNTIF(RAW_APS!$A$2:$A815,A238)=0,TRUE,FALSE)</f>
        <v>0</v>
      </c>
      <c r="R238" s="241" t="b">
        <f t="shared" si="2"/>
        <v>0</v>
      </c>
      <c r="U238" s="112" t="str">
        <f t="shared" si="3"/>
        <v/>
      </c>
      <c r="V238" s="60"/>
      <c r="W238" s="60"/>
      <c r="X238" s="60"/>
      <c r="Y238" s="60"/>
      <c r="Z238" s="210"/>
      <c r="AA238" s="112" t="str">
        <f t="shared" si="4"/>
        <v>FM828</v>
      </c>
      <c r="AB238" s="112" t="str">
        <f t="shared" si="5"/>
        <v/>
      </c>
      <c r="AC238" s="112" t="str">
        <f t="shared" si="6"/>
        <v/>
      </c>
      <c r="AD238" s="5"/>
      <c r="AE238" s="5"/>
    </row>
    <row r="239">
      <c r="A239" s="5" t="s">
        <v>1591</v>
      </c>
      <c r="B239" s="44">
        <v>44615.0</v>
      </c>
      <c r="C239" s="150">
        <v>0.33663194444444444</v>
      </c>
      <c r="D239" s="5"/>
      <c r="E239" s="5"/>
      <c r="F239" s="5"/>
      <c r="G239" s="5" t="s">
        <v>2184</v>
      </c>
      <c r="H239" s="5" t="s">
        <v>52</v>
      </c>
      <c r="I239" s="44">
        <v>44615.0</v>
      </c>
      <c r="J239" s="150">
        <v>0.49125</v>
      </c>
      <c r="K239" s="19">
        <v>1.0</v>
      </c>
      <c r="L239" s="10" t="b">
        <v>1</v>
      </c>
      <c r="M239" s="5" t="s">
        <v>2474</v>
      </c>
      <c r="N239" s="5" t="s">
        <v>247</v>
      </c>
      <c r="O239" s="5"/>
      <c r="P239" s="110" t="b">
        <f t="shared" si="1"/>
        <v>0</v>
      </c>
      <c r="Q239" s="110" t="b">
        <f>IF(COUNTIF(RAW_APS!$A$2:$A815,A239)=0,TRUE,FALSE)</f>
        <v>0</v>
      </c>
      <c r="R239" s="241" t="b">
        <f t="shared" si="2"/>
        <v>0</v>
      </c>
      <c r="U239" s="112" t="str">
        <f t="shared" si="3"/>
        <v/>
      </c>
      <c r="V239" s="60"/>
      <c r="W239" s="60"/>
      <c r="X239" s="60"/>
      <c r="Y239" s="60"/>
      <c r="Z239" s="210"/>
      <c r="AA239" s="112" t="str">
        <f t="shared" si="4"/>
        <v>FM829</v>
      </c>
      <c r="AB239" s="112" t="str">
        <f t="shared" si="5"/>
        <v/>
      </c>
      <c r="AC239" s="112" t="str">
        <f t="shared" si="6"/>
        <v/>
      </c>
      <c r="AD239" s="5"/>
      <c r="AE239" s="5"/>
    </row>
    <row r="240">
      <c r="A240" s="5" t="s">
        <v>2080</v>
      </c>
      <c r="B240" s="44">
        <v>44629.0</v>
      </c>
      <c r="C240" s="150">
        <v>0.3370949074074074</v>
      </c>
      <c r="D240" s="5"/>
      <c r="E240" s="5"/>
      <c r="F240" s="5"/>
      <c r="G240" s="5" t="s">
        <v>2184</v>
      </c>
      <c r="H240" s="5" t="s">
        <v>244</v>
      </c>
      <c r="I240" s="44">
        <v>44629.0</v>
      </c>
      <c r="J240" s="150">
        <v>0.4994560185185185</v>
      </c>
      <c r="K240" s="19">
        <v>1.0</v>
      </c>
      <c r="L240" s="10" t="b">
        <v>1</v>
      </c>
      <c r="M240" s="5" t="s">
        <v>2465</v>
      </c>
      <c r="N240" s="5" t="s">
        <v>247</v>
      </c>
      <c r="O240" s="5"/>
      <c r="P240" s="110" t="b">
        <f t="shared" si="1"/>
        <v>0</v>
      </c>
      <c r="Q240" s="110" t="b">
        <f>IF(COUNTIF(RAW_APS!$A$2:$A815,A240)=0,TRUE,FALSE)</f>
        <v>0</v>
      </c>
      <c r="R240" s="241" t="b">
        <f t="shared" si="2"/>
        <v>0</v>
      </c>
      <c r="U240" s="112" t="str">
        <f t="shared" si="3"/>
        <v/>
      </c>
      <c r="V240" s="60"/>
      <c r="W240" s="60"/>
      <c r="X240" s="60"/>
      <c r="Y240" s="60"/>
      <c r="Z240" s="210"/>
      <c r="AA240" s="112" t="str">
        <f t="shared" si="4"/>
        <v>FM83</v>
      </c>
      <c r="AB240" s="112" t="str">
        <f t="shared" si="5"/>
        <v/>
      </c>
      <c r="AC240" s="112" t="str">
        <f t="shared" si="6"/>
        <v/>
      </c>
      <c r="AD240" s="5"/>
      <c r="AE240" s="5"/>
    </row>
    <row r="241">
      <c r="A241" s="5" t="s">
        <v>1667</v>
      </c>
      <c r="B241" s="44">
        <v>44617.0</v>
      </c>
      <c r="C241" s="150">
        <v>0.33167824074074076</v>
      </c>
      <c r="D241" s="5"/>
      <c r="E241" s="5"/>
      <c r="F241" s="5"/>
      <c r="G241" s="5" t="s">
        <v>2184</v>
      </c>
      <c r="H241" s="5" t="s">
        <v>244</v>
      </c>
      <c r="I241" s="44">
        <v>44617.0</v>
      </c>
      <c r="J241" s="150">
        <v>0.5033796296296297</v>
      </c>
      <c r="K241" s="19">
        <v>1.0</v>
      </c>
      <c r="L241" s="10" t="b">
        <v>1</v>
      </c>
      <c r="M241" s="5" t="s">
        <v>2473</v>
      </c>
      <c r="N241" s="5" t="s">
        <v>247</v>
      </c>
      <c r="O241" s="5"/>
      <c r="P241" s="110" t="b">
        <f t="shared" si="1"/>
        <v>0</v>
      </c>
      <c r="Q241" s="110" t="b">
        <f>IF(COUNTIF(RAW_APS!$A$2:$A815,A241)=0,TRUE,FALSE)</f>
        <v>0</v>
      </c>
      <c r="R241" s="241" t="b">
        <f t="shared" si="2"/>
        <v>0</v>
      </c>
      <c r="U241" s="112" t="str">
        <f t="shared" si="3"/>
        <v/>
      </c>
      <c r="V241" s="60"/>
      <c r="W241" s="60"/>
      <c r="X241" s="60"/>
      <c r="Y241" s="60"/>
      <c r="Z241" s="210"/>
      <c r="AA241" s="112" t="str">
        <f t="shared" si="4"/>
        <v>FM831</v>
      </c>
      <c r="AB241" s="112" t="str">
        <f t="shared" si="5"/>
        <v/>
      </c>
      <c r="AC241" s="112" t="str">
        <f t="shared" si="6"/>
        <v/>
      </c>
      <c r="AD241" s="5"/>
      <c r="AE241" s="5"/>
    </row>
    <row r="242">
      <c r="A242" s="5" t="s">
        <v>1214</v>
      </c>
      <c r="B242" s="44">
        <v>44606.0</v>
      </c>
      <c r="C242" s="150">
        <v>0.3616087962962963</v>
      </c>
      <c r="D242" s="5"/>
      <c r="E242" s="5"/>
      <c r="F242" s="5"/>
      <c r="G242" s="5" t="s">
        <v>2188</v>
      </c>
      <c r="H242" s="5" t="s">
        <v>254</v>
      </c>
      <c r="I242" s="44">
        <v>44861.0</v>
      </c>
      <c r="J242" s="150">
        <v>0.4895023148148148</v>
      </c>
      <c r="K242" s="19">
        <v>1.0</v>
      </c>
      <c r="L242" s="5"/>
      <c r="M242" s="5"/>
      <c r="N242" s="5" t="s">
        <v>247</v>
      </c>
      <c r="O242" s="19"/>
      <c r="P242" s="110" t="b">
        <f t="shared" si="1"/>
        <v>0</v>
      </c>
      <c r="Q242" s="110" t="b">
        <f>IF(COUNTIF(RAW_APS!$A$2:$A815,A242)=0,TRUE,FALSE)</f>
        <v>0</v>
      </c>
      <c r="R242" s="241" t="b">
        <f t="shared" si="2"/>
        <v>0</v>
      </c>
      <c r="U242" s="112" t="str">
        <f t="shared" si="3"/>
        <v/>
      </c>
      <c r="V242" s="60"/>
      <c r="W242" s="60"/>
      <c r="X242" s="60"/>
      <c r="Y242" s="60"/>
      <c r="Z242" s="210"/>
      <c r="AA242" s="112" t="str">
        <f t="shared" si="4"/>
        <v>FM832</v>
      </c>
      <c r="AB242" s="112" t="str">
        <f t="shared" si="5"/>
        <v/>
      </c>
      <c r="AC242" s="112" t="str">
        <f t="shared" si="6"/>
        <v/>
      </c>
      <c r="AD242" s="5"/>
      <c r="AE242" s="5"/>
    </row>
    <row r="243">
      <c r="A243" s="5" t="s">
        <v>1665</v>
      </c>
      <c r="B243" s="44">
        <v>44617.0</v>
      </c>
      <c r="C243" s="150">
        <v>0.3313773148148148</v>
      </c>
      <c r="D243" s="5"/>
      <c r="E243" s="5"/>
      <c r="F243" s="5"/>
      <c r="G243" s="5" t="s">
        <v>2184</v>
      </c>
      <c r="H243" s="5" t="s">
        <v>244</v>
      </c>
      <c r="I243" s="44">
        <v>44617.0</v>
      </c>
      <c r="J243" s="150">
        <v>0.5033796296296297</v>
      </c>
      <c r="K243" s="19">
        <v>1.0</v>
      </c>
      <c r="L243" s="10" t="b">
        <v>1</v>
      </c>
      <c r="M243" s="5" t="s">
        <v>2473</v>
      </c>
      <c r="N243" s="5" t="s">
        <v>247</v>
      </c>
      <c r="O243" s="5"/>
      <c r="P243" s="110" t="b">
        <f t="shared" si="1"/>
        <v>0</v>
      </c>
      <c r="Q243" s="110" t="b">
        <f>IF(COUNTIF(RAW_APS!$A$2:$A815,A243)=0,TRUE,FALSE)</f>
        <v>0</v>
      </c>
      <c r="R243" s="241" t="b">
        <f t="shared" si="2"/>
        <v>0</v>
      </c>
      <c r="U243" s="112" t="str">
        <f t="shared" si="3"/>
        <v/>
      </c>
      <c r="V243" s="60"/>
      <c r="W243" s="60"/>
      <c r="X243" s="60"/>
      <c r="Y243" s="60"/>
      <c r="Z243" s="210"/>
      <c r="AA243" s="112" t="str">
        <f t="shared" si="4"/>
        <v>FM833</v>
      </c>
      <c r="AB243" s="112" t="str">
        <f t="shared" si="5"/>
        <v/>
      </c>
      <c r="AC243" s="112" t="str">
        <f t="shared" si="6"/>
        <v/>
      </c>
      <c r="AD243" s="5"/>
      <c r="AE243" s="5"/>
    </row>
    <row r="244">
      <c r="A244" s="5" t="s">
        <v>1453</v>
      </c>
      <c r="B244" s="44">
        <v>44611.0</v>
      </c>
      <c r="C244" s="150">
        <v>0.3321875</v>
      </c>
      <c r="D244" s="5"/>
      <c r="E244" s="5"/>
      <c r="F244" s="5"/>
      <c r="G244" s="5" t="s">
        <v>2184</v>
      </c>
      <c r="H244" s="5" t="s">
        <v>244</v>
      </c>
      <c r="I244" s="44">
        <v>44611.0</v>
      </c>
      <c r="J244" s="150">
        <v>0.4882638888888889</v>
      </c>
      <c r="K244" s="19">
        <v>1.0</v>
      </c>
      <c r="L244" s="10" t="b">
        <v>1</v>
      </c>
      <c r="M244" s="5" t="s">
        <v>2477</v>
      </c>
      <c r="N244" s="5" t="s">
        <v>247</v>
      </c>
      <c r="O244" s="5"/>
      <c r="P244" s="110" t="b">
        <f t="shared" si="1"/>
        <v>0</v>
      </c>
      <c r="Q244" s="110" t="b">
        <f>IF(COUNTIF(RAW_APS!$A$2:$A815,A244)=0,TRUE,FALSE)</f>
        <v>0</v>
      </c>
      <c r="R244" s="241" t="b">
        <f t="shared" si="2"/>
        <v>0</v>
      </c>
      <c r="U244" s="112" t="str">
        <f t="shared" si="3"/>
        <v/>
      </c>
      <c r="V244" s="60"/>
      <c r="W244" s="60"/>
      <c r="X244" s="60"/>
      <c r="Y244" s="60"/>
      <c r="Z244" s="210"/>
      <c r="AA244" s="112" t="str">
        <f t="shared" si="4"/>
        <v>FM834</v>
      </c>
      <c r="AB244" s="112" t="str">
        <f t="shared" si="5"/>
        <v/>
      </c>
      <c r="AC244" s="112" t="str">
        <f t="shared" si="6"/>
        <v/>
      </c>
      <c r="AD244" s="5"/>
      <c r="AE244" s="5"/>
    </row>
    <row r="245">
      <c r="A245" s="5" t="s">
        <v>1449</v>
      </c>
      <c r="B245" s="44">
        <v>44611.0</v>
      </c>
      <c r="C245" s="150">
        <v>0.32788194444444446</v>
      </c>
      <c r="D245" s="5"/>
      <c r="E245" s="5"/>
      <c r="F245" s="5"/>
      <c r="G245" s="5" t="s">
        <v>2184</v>
      </c>
      <c r="H245" s="5" t="s">
        <v>244</v>
      </c>
      <c r="I245" s="44">
        <v>44611.0</v>
      </c>
      <c r="J245" s="150">
        <v>0.4882638888888889</v>
      </c>
      <c r="K245" s="19">
        <v>1.0</v>
      </c>
      <c r="L245" s="10" t="b">
        <v>1</v>
      </c>
      <c r="M245" s="5" t="s">
        <v>2477</v>
      </c>
      <c r="N245" s="5" t="s">
        <v>247</v>
      </c>
      <c r="O245" s="5"/>
      <c r="P245" s="110" t="b">
        <f t="shared" si="1"/>
        <v>0</v>
      </c>
      <c r="Q245" s="110" t="b">
        <f>IF(COUNTIF(RAW_APS!$A$2:$A815,A245)=0,TRUE,FALSE)</f>
        <v>0</v>
      </c>
      <c r="R245" s="241" t="b">
        <f t="shared" si="2"/>
        <v>0</v>
      </c>
      <c r="U245" s="112" t="str">
        <f t="shared" si="3"/>
        <v/>
      </c>
      <c r="V245" s="60"/>
      <c r="W245" s="60"/>
      <c r="X245" s="60"/>
      <c r="Y245" s="60"/>
      <c r="Z245" s="210"/>
      <c r="AA245" s="112" t="str">
        <f t="shared" si="4"/>
        <v>FM836</v>
      </c>
      <c r="AB245" s="112" t="str">
        <f t="shared" si="5"/>
        <v/>
      </c>
      <c r="AC245" s="112" t="str">
        <f t="shared" si="6"/>
        <v/>
      </c>
      <c r="AD245" s="5"/>
      <c r="AE245" s="5"/>
    </row>
    <row r="246">
      <c r="A246" s="5" t="s">
        <v>1462</v>
      </c>
      <c r="B246" s="44">
        <v>44611.0</v>
      </c>
      <c r="C246" s="150">
        <v>0.3342824074074074</v>
      </c>
      <c r="D246" s="5"/>
      <c r="E246" s="5"/>
      <c r="F246" s="5"/>
      <c r="G246" s="5" t="s">
        <v>2184</v>
      </c>
      <c r="H246" s="5" t="s">
        <v>244</v>
      </c>
      <c r="I246" s="44">
        <v>44611.0</v>
      </c>
      <c r="J246" s="150">
        <v>0.4882638888888889</v>
      </c>
      <c r="K246" s="19">
        <v>1.0</v>
      </c>
      <c r="L246" s="10" t="b">
        <v>1</v>
      </c>
      <c r="M246" s="5" t="s">
        <v>2477</v>
      </c>
      <c r="N246" s="5" t="s">
        <v>247</v>
      </c>
      <c r="O246" s="5"/>
      <c r="P246" s="110" t="b">
        <f t="shared" si="1"/>
        <v>0</v>
      </c>
      <c r="Q246" s="110" t="b">
        <f>IF(COUNTIF(RAW_APS!$A$2:$A815,A246)=0,TRUE,FALSE)</f>
        <v>0</v>
      </c>
      <c r="R246" s="241" t="b">
        <f t="shared" si="2"/>
        <v>0</v>
      </c>
      <c r="U246" s="112" t="str">
        <f t="shared" si="3"/>
        <v/>
      </c>
      <c r="V246" s="60"/>
      <c r="W246" s="60"/>
      <c r="X246" s="60"/>
      <c r="Y246" s="60"/>
      <c r="Z246" s="210"/>
      <c r="AA246" s="112" t="str">
        <f t="shared" si="4"/>
        <v>FM839</v>
      </c>
      <c r="AB246" s="112" t="str">
        <f t="shared" si="5"/>
        <v/>
      </c>
      <c r="AC246" s="112" t="str">
        <f t="shared" si="6"/>
        <v/>
      </c>
      <c r="AD246" s="5"/>
      <c r="AE246" s="5"/>
    </row>
    <row r="247">
      <c r="A247" s="5" t="s">
        <v>1965</v>
      </c>
      <c r="B247" s="44">
        <v>44625.0</v>
      </c>
      <c r="C247" s="150">
        <v>0.3858333333333333</v>
      </c>
      <c r="D247" s="5"/>
      <c r="E247" s="5"/>
      <c r="F247" s="5"/>
      <c r="G247" s="5" t="s">
        <v>2184</v>
      </c>
      <c r="H247" s="5" t="s">
        <v>244</v>
      </c>
      <c r="I247" s="44">
        <v>44625.0</v>
      </c>
      <c r="J247" s="150">
        <v>0.48975694444444445</v>
      </c>
      <c r="K247" s="19">
        <v>1.0</v>
      </c>
      <c r="L247" s="10" t="b">
        <v>1</v>
      </c>
      <c r="M247" s="5" t="s">
        <v>2467</v>
      </c>
      <c r="N247" s="5" t="s">
        <v>247</v>
      </c>
      <c r="O247" s="5"/>
      <c r="P247" s="110" t="b">
        <f t="shared" si="1"/>
        <v>0</v>
      </c>
      <c r="Q247" s="110" t="b">
        <f>IF(COUNTIF(RAW_APS!$A$2:$A815,A247)=0,TRUE,FALSE)</f>
        <v>0</v>
      </c>
      <c r="R247" s="241" t="b">
        <f t="shared" si="2"/>
        <v>0</v>
      </c>
      <c r="U247" s="112" t="str">
        <f t="shared" si="3"/>
        <v/>
      </c>
      <c r="V247" s="60"/>
      <c r="W247" s="60"/>
      <c r="X247" s="60"/>
      <c r="Y247" s="60"/>
      <c r="Z247" s="210"/>
      <c r="AA247" s="112" t="str">
        <f t="shared" si="4"/>
        <v>FM85</v>
      </c>
      <c r="AB247" s="112" t="str">
        <f t="shared" si="5"/>
        <v/>
      </c>
      <c r="AC247" s="112" t="str">
        <f t="shared" si="6"/>
        <v/>
      </c>
      <c r="AD247" s="5"/>
      <c r="AE247" s="5"/>
    </row>
    <row r="248">
      <c r="A248" s="5" t="s">
        <v>1155</v>
      </c>
      <c r="B248" s="44">
        <v>44601.0</v>
      </c>
      <c r="C248" s="150">
        <v>0.31181712962962965</v>
      </c>
      <c r="D248" s="5"/>
      <c r="E248" s="5"/>
      <c r="F248" s="5"/>
      <c r="G248" s="5" t="s">
        <v>2184</v>
      </c>
      <c r="H248" s="5" t="s">
        <v>244</v>
      </c>
      <c r="I248" s="44">
        <v>44601.0</v>
      </c>
      <c r="J248" s="150">
        <v>0.48203703703703704</v>
      </c>
      <c r="K248" s="19">
        <v>1.0</v>
      </c>
      <c r="L248" s="10" t="b">
        <v>1</v>
      </c>
      <c r="M248" s="5" t="s">
        <v>2482</v>
      </c>
      <c r="N248" s="5" t="s">
        <v>247</v>
      </c>
      <c r="O248" s="5"/>
      <c r="P248" s="110" t="b">
        <f t="shared" si="1"/>
        <v>0</v>
      </c>
      <c r="Q248" s="110" t="b">
        <f>IF(COUNTIF(RAW_APS!$A$2:$A815,A248)=0,TRUE,FALSE)</f>
        <v>0</v>
      </c>
      <c r="R248" s="241" t="b">
        <f t="shared" si="2"/>
        <v>0</v>
      </c>
      <c r="U248" s="112" t="str">
        <f t="shared" si="3"/>
        <v/>
      </c>
      <c r="V248" s="60"/>
      <c r="W248" s="60"/>
      <c r="X248" s="60"/>
      <c r="Y248" s="60"/>
      <c r="Z248" s="210"/>
      <c r="AA248" s="112" t="str">
        <f t="shared" si="4"/>
        <v>FM87</v>
      </c>
      <c r="AB248" s="112" t="str">
        <f t="shared" si="5"/>
        <v/>
      </c>
      <c r="AC248" s="112" t="str">
        <f t="shared" si="6"/>
        <v/>
      </c>
      <c r="AD248" s="5"/>
      <c r="AE248" s="5"/>
    </row>
    <row r="249">
      <c r="A249" s="5" t="s">
        <v>1451</v>
      </c>
      <c r="B249" s="44">
        <v>44611.0</v>
      </c>
      <c r="C249" s="150">
        <v>0.32890046296296294</v>
      </c>
      <c r="D249" s="5"/>
      <c r="E249" s="5"/>
      <c r="F249" s="5"/>
      <c r="G249" s="5" t="s">
        <v>2184</v>
      </c>
      <c r="H249" s="5" t="s">
        <v>244</v>
      </c>
      <c r="I249" s="44">
        <v>44611.0</v>
      </c>
      <c r="J249" s="150">
        <v>0.4882638888888889</v>
      </c>
      <c r="K249" s="19">
        <v>1.0</v>
      </c>
      <c r="L249" s="10" t="b">
        <v>1</v>
      </c>
      <c r="M249" s="5" t="s">
        <v>2477</v>
      </c>
      <c r="N249" s="5" t="s">
        <v>247</v>
      </c>
      <c r="O249" s="5"/>
      <c r="P249" s="110" t="b">
        <f t="shared" si="1"/>
        <v>0</v>
      </c>
      <c r="Q249" s="110" t="b">
        <f>IF(COUNTIF(RAW_APS!$A$2:$A815,A249)=0,TRUE,FALSE)</f>
        <v>0</v>
      </c>
      <c r="R249" s="241" t="b">
        <f t="shared" si="2"/>
        <v>0</v>
      </c>
      <c r="U249" s="112" t="str">
        <f t="shared" si="3"/>
        <v/>
      </c>
      <c r="V249" s="60"/>
      <c r="W249" s="60"/>
      <c r="X249" s="60"/>
      <c r="Y249" s="60"/>
      <c r="Z249" s="210"/>
      <c r="AA249" s="112" t="str">
        <f t="shared" si="4"/>
        <v>FM89</v>
      </c>
      <c r="AB249" s="112" t="str">
        <f t="shared" si="5"/>
        <v/>
      </c>
      <c r="AC249" s="112" t="str">
        <f t="shared" si="6"/>
        <v/>
      </c>
      <c r="AD249" s="5"/>
      <c r="AE249" s="5"/>
    </row>
    <row r="250">
      <c r="A250" s="5" t="s">
        <v>1339</v>
      </c>
      <c r="B250" s="44">
        <v>44609.0</v>
      </c>
      <c r="C250" s="150">
        <v>0.31168981481481484</v>
      </c>
      <c r="D250" s="5"/>
      <c r="E250" s="5"/>
      <c r="F250" s="5"/>
      <c r="G250" s="5" t="s">
        <v>2184</v>
      </c>
      <c r="H250" s="5" t="s">
        <v>244</v>
      </c>
      <c r="I250" s="44">
        <v>44611.0</v>
      </c>
      <c r="J250" s="150">
        <v>0.38957175925925924</v>
      </c>
      <c r="K250" s="19">
        <v>1.0</v>
      </c>
      <c r="L250" s="10" t="b">
        <v>1</v>
      </c>
      <c r="M250" s="5" t="s">
        <v>2478</v>
      </c>
      <c r="N250" s="5" t="s">
        <v>247</v>
      </c>
      <c r="O250" s="5"/>
      <c r="P250" s="110" t="b">
        <f t="shared" si="1"/>
        <v>0</v>
      </c>
      <c r="Q250" s="110" t="b">
        <f>IF(COUNTIF(RAW_APS!$A$2:$A815,A250)=0,TRUE,FALSE)</f>
        <v>0</v>
      </c>
      <c r="R250" s="241" t="b">
        <f t="shared" si="2"/>
        <v>0</v>
      </c>
      <c r="U250" s="112" t="str">
        <f t="shared" si="3"/>
        <v/>
      </c>
      <c r="V250" s="60"/>
      <c r="W250" s="60"/>
      <c r="X250" s="60"/>
      <c r="Y250" s="60"/>
      <c r="Z250" s="210"/>
      <c r="AA250" s="112" t="str">
        <f t="shared" si="4"/>
        <v>FM9</v>
      </c>
      <c r="AB250" s="112" t="str">
        <f t="shared" si="5"/>
        <v/>
      </c>
      <c r="AC250" s="112" t="str">
        <f t="shared" si="6"/>
        <v/>
      </c>
      <c r="AD250" s="5"/>
      <c r="AE250" s="5"/>
    </row>
    <row r="251">
      <c r="A251" s="5" t="s">
        <v>1186</v>
      </c>
      <c r="B251" s="44">
        <v>44603.0</v>
      </c>
      <c r="C251" s="150">
        <v>0.3190972222222222</v>
      </c>
      <c r="D251" s="5"/>
      <c r="E251" s="5"/>
      <c r="F251" s="5"/>
      <c r="G251" s="5" t="s">
        <v>2184</v>
      </c>
      <c r="H251" s="5" t="s">
        <v>244</v>
      </c>
      <c r="I251" s="44">
        <v>44603.0</v>
      </c>
      <c r="J251" s="150">
        <v>0.46979166666666666</v>
      </c>
      <c r="K251" s="19">
        <v>1.0</v>
      </c>
      <c r="L251" s="10" t="b">
        <v>1</v>
      </c>
      <c r="M251" s="5" t="s">
        <v>2481</v>
      </c>
      <c r="N251" s="5" t="s">
        <v>247</v>
      </c>
      <c r="O251" s="5"/>
      <c r="P251" s="110" t="b">
        <f t="shared" si="1"/>
        <v>0</v>
      </c>
      <c r="Q251" s="110" t="b">
        <f>IF(COUNTIF(RAW_APS!$A$2:$A815,A251)=0,TRUE,FALSE)</f>
        <v>0</v>
      </c>
      <c r="R251" s="241" t="b">
        <f t="shared" si="2"/>
        <v>0</v>
      </c>
      <c r="U251" s="112" t="str">
        <f t="shared" si="3"/>
        <v/>
      </c>
      <c r="V251" s="60"/>
      <c r="W251" s="60"/>
      <c r="X251" s="60"/>
      <c r="Y251" s="60"/>
      <c r="Z251" s="210"/>
      <c r="AA251" s="112" t="str">
        <f t="shared" si="4"/>
        <v>FM90</v>
      </c>
      <c r="AB251" s="112" t="str">
        <f t="shared" si="5"/>
        <v/>
      </c>
      <c r="AC251" s="112" t="str">
        <f t="shared" si="6"/>
        <v/>
      </c>
      <c r="AD251" s="5"/>
      <c r="AE251" s="5"/>
    </row>
    <row r="252">
      <c r="A252" s="5" t="s">
        <v>2058</v>
      </c>
      <c r="B252" s="44">
        <v>44629.0</v>
      </c>
      <c r="C252" s="150">
        <v>0.31734953703703705</v>
      </c>
      <c r="D252" s="5"/>
      <c r="E252" s="5"/>
      <c r="F252" s="5"/>
      <c r="G252" s="5" t="s">
        <v>2184</v>
      </c>
      <c r="H252" s="5" t="s">
        <v>244</v>
      </c>
      <c r="I252" s="44">
        <v>44629.0</v>
      </c>
      <c r="J252" s="150">
        <v>0.49944444444444447</v>
      </c>
      <c r="K252" s="19">
        <v>1.0</v>
      </c>
      <c r="L252" s="10" t="b">
        <v>1</v>
      </c>
      <c r="M252" s="5" t="s">
        <v>2465</v>
      </c>
      <c r="N252" s="5" t="s">
        <v>247</v>
      </c>
      <c r="O252" s="5"/>
      <c r="P252" s="110" t="b">
        <f t="shared" si="1"/>
        <v>0</v>
      </c>
      <c r="Q252" s="110" t="b">
        <f>IF(COUNTIF(RAW_APS!$A$2:$A815,A252)=0,TRUE,FALSE)</f>
        <v>0</v>
      </c>
      <c r="R252" s="241" t="b">
        <f t="shared" si="2"/>
        <v>0</v>
      </c>
      <c r="U252" s="112" t="str">
        <f t="shared" si="3"/>
        <v/>
      </c>
      <c r="V252" s="60"/>
      <c r="W252" s="60"/>
      <c r="X252" s="60"/>
      <c r="Y252" s="60"/>
      <c r="Z252" s="210"/>
      <c r="AA252" s="112" t="str">
        <f t="shared" si="4"/>
        <v>FM91</v>
      </c>
      <c r="AB252" s="112" t="str">
        <f t="shared" si="5"/>
        <v/>
      </c>
      <c r="AC252" s="112" t="str">
        <f t="shared" si="6"/>
        <v/>
      </c>
      <c r="AD252" s="5"/>
      <c r="AE252" s="5"/>
    </row>
    <row r="253">
      <c r="A253" s="5" t="s">
        <v>2018</v>
      </c>
      <c r="B253" s="44">
        <v>44627.0</v>
      </c>
      <c r="C253" s="150">
        <v>0.3253125</v>
      </c>
      <c r="D253" s="5"/>
      <c r="E253" s="5"/>
      <c r="F253" s="5"/>
      <c r="G253" s="5" t="s">
        <v>2184</v>
      </c>
      <c r="H253" s="5" t="s">
        <v>244</v>
      </c>
      <c r="I253" s="44">
        <v>44627.0</v>
      </c>
      <c r="J253" s="150">
        <v>0.4779050925925926</v>
      </c>
      <c r="K253" s="19">
        <v>1.0</v>
      </c>
      <c r="L253" s="10" t="b">
        <v>1</v>
      </c>
      <c r="M253" s="5" t="s">
        <v>2466</v>
      </c>
      <c r="N253" s="5" t="s">
        <v>247</v>
      </c>
      <c r="O253" s="5"/>
      <c r="P253" s="110" t="b">
        <f t="shared" si="1"/>
        <v>0</v>
      </c>
      <c r="Q253" s="110" t="b">
        <f>IF(COUNTIF(RAW_APS!$A$2:$A815,A253)=0,TRUE,FALSE)</f>
        <v>0</v>
      </c>
      <c r="R253" s="241" t="b">
        <f t="shared" si="2"/>
        <v>0</v>
      </c>
      <c r="U253" s="112" t="str">
        <f t="shared" si="3"/>
        <v/>
      </c>
      <c r="V253" s="60"/>
      <c r="W253" s="60"/>
      <c r="X253" s="60"/>
      <c r="Y253" s="60"/>
      <c r="Z253" s="210"/>
      <c r="AA253" s="112" t="str">
        <f t="shared" si="4"/>
        <v>FM93</v>
      </c>
      <c r="AB253" s="112" t="str">
        <f t="shared" si="5"/>
        <v/>
      </c>
      <c r="AC253" s="112" t="str">
        <f t="shared" si="6"/>
        <v/>
      </c>
      <c r="AD253" s="5"/>
      <c r="AE253" s="5"/>
    </row>
    <row r="254">
      <c r="A254" s="5" t="s">
        <v>1917</v>
      </c>
      <c r="B254" s="44">
        <v>44625.0</v>
      </c>
      <c r="C254" s="150">
        <v>0.29443287037037036</v>
      </c>
      <c r="D254" s="5"/>
      <c r="E254" s="5"/>
      <c r="F254" s="5"/>
      <c r="G254" s="5" t="s">
        <v>2184</v>
      </c>
      <c r="H254" s="5" t="s">
        <v>244</v>
      </c>
      <c r="I254" s="44">
        <v>44625.0</v>
      </c>
      <c r="J254" s="150">
        <v>0.48974537037037036</v>
      </c>
      <c r="K254" s="19">
        <v>1.0</v>
      </c>
      <c r="L254" s="10" t="b">
        <v>1</v>
      </c>
      <c r="M254" s="5" t="s">
        <v>2467</v>
      </c>
      <c r="N254" s="5" t="s">
        <v>247</v>
      </c>
      <c r="O254" s="5"/>
      <c r="P254" s="110" t="b">
        <f t="shared" si="1"/>
        <v>0</v>
      </c>
      <c r="Q254" s="110" t="b">
        <f>IF(COUNTIF(RAW_APS!$A$2:$A815,A254)=0,TRUE,FALSE)</f>
        <v>0</v>
      </c>
      <c r="R254" s="241" t="b">
        <f t="shared" si="2"/>
        <v>0</v>
      </c>
      <c r="U254" s="112" t="str">
        <f t="shared" si="3"/>
        <v/>
      </c>
      <c r="V254" s="60"/>
      <c r="W254" s="60"/>
      <c r="X254" s="60"/>
      <c r="Y254" s="60"/>
      <c r="Z254" s="210"/>
      <c r="AA254" s="112" t="str">
        <f t="shared" si="4"/>
        <v>FM95</v>
      </c>
      <c r="AB254" s="112" t="str">
        <f t="shared" si="5"/>
        <v/>
      </c>
      <c r="AC254" s="112" t="str">
        <f t="shared" si="6"/>
        <v/>
      </c>
      <c r="AD254" s="5"/>
      <c r="AE254" s="5"/>
    </row>
    <row r="255">
      <c r="A255" s="5" t="s">
        <v>1369</v>
      </c>
      <c r="B255" s="44">
        <v>44609.0</v>
      </c>
      <c r="C255" s="150">
        <v>0.3283101851851852</v>
      </c>
      <c r="D255" s="5"/>
      <c r="E255" s="5"/>
      <c r="F255" s="5"/>
      <c r="G255" s="5" t="s">
        <v>2184</v>
      </c>
      <c r="H255" s="5" t="s">
        <v>244</v>
      </c>
      <c r="I255" s="44">
        <v>44611.0</v>
      </c>
      <c r="J255" s="150">
        <v>0.38958333333333334</v>
      </c>
      <c r="K255" s="19">
        <v>1.0</v>
      </c>
      <c r="L255" s="10" t="b">
        <v>1</v>
      </c>
      <c r="M255" s="5" t="s">
        <v>2478</v>
      </c>
      <c r="N255" s="5" t="s">
        <v>247</v>
      </c>
      <c r="O255" s="5"/>
      <c r="P255" s="110" t="b">
        <f t="shared" si="1"/>
        <v>0</v>
      </c>
      <c r="Q255" s="110" t="b">
        <f>IF(COUNTIF(RAW_APS!$A$2:$A815,A255)=0,TRUE,FALSE)</f>
        <v>0</v>
      </c>
      <c r="R255" s="241" t="b">
        <f t="shared" si="2"/>
        <v>0</v>
      </c>
      <c r="U255" s="112" t="str">
        <f t="shared" si="3"/>
        <v/>
      </c>
      <c r="V255" s="60"/>
      <c r="W255" s="60"/>
      <c r="X255" s="60"/>
      <c r="Y255" s="60"/>
      <c r="Z255" s="210"/>
      <c r="AA255" s="112" t="str">
        <f t="shared" si="4"/>
        <v>FM967</v>
      </c>
      <c r="AB255" s="112" t="str">
        <f t="shared" si="5"/>
        <v/>
      </c>
      <c r="AC255" s="112" t="str">
        <f t="shared" si="6"/>
        <v/>
      </c>
      <c r="AD255" s="5"/>
      <c r="AE255" s="5"/>
    </row>
    <row r="256">
      <c r="A256" s="5" t="s">
        <v>1853</v>
      </c>
      <c r="B256" s="44">
        <v>44623.0</v>
      </c>
      <c r="C256" s="150">
        <v>0.3132523148148148</v>
      </c>
      <c r="D256" s="5"/>
      <c r="E256" s="5"/>
      <c r="F256" s="5"/>
      <c r="G256" s="5" t="s">
        <v>2184</v>
      </c>
      <c r="H256" s="5" t="s">
        <v>244</v>
      </c>
      <c r="I256" s="44">
        <v>44623.0</v>
      </c>
      <c r="J256" s="150">
        <v>0.4605902777777778</v>
      </c>
      <c r="K256" s="19">
        <v>1.0</v>
      </c>
      <c r="L256" s="10" t="b">
        <v>0</v>
      </c>
      <c r="M256" s="5" t="s">
        <v>2468</v>
      </c>
      <c r="N256" s="5" t="s">
        <v>247</v>
      </c>
      <c r="O256" s="5"/>
      <c r="P256" s="110" t="b">
        <f t="shared" si="1"/>
        <v>0</v>
      </c>
      <c r="Q256" s="110" t="b">
        <f>IF(COUNTIF(RAW_APS!$A$2:$A815,A256)=0,TRUE,FALSE)</f>
        <v>0</v>
      </c>
      <c r="R256" s="241" t="b">
        <f t="shared" si="2"/>
        <v>0</v>
      </c>
      <c r="U256" s="112" t="str">
        <f t="shared" si="3"/>
        <v/>
      </c>
      <c r="V256" s="60"/>
      <c r="W256" s="60"/>
      <c r="X256" s="60"/>
      <c r="Y256" s="60"/>
      <c r="Z256" s="210"/>
      <c r="AA256" s="112" t="str">
        <f t="shared" si="4"/>
        <v>FM968</v>
      </c>
      <c r="AB256" s="112" t="str">
        <f t="shared" si="5"/>
        <v/>
      </c>
      <c r="AC256" s="112" t="str">
        <f t="shared" si="6"/>
        <v/>
      </c>
      <c r="AD256" s="5"/>
      <c r="AE256" s="5"/>
    </row>
    <row r="257">
      <c r="A257" s="5" t="s">
        <v>1875</v>
      </c>
      <c r="B257" s="44">
        <v>44623.0</v>
      </c>
      <c r="C257" s="150">
        <v>0.3344212962962963</v>
      </c>
      <c r="D257" s="5"/>
      <c r="E257" s="5"/>
      <c r="F257" s="5"/>
      <c r="G257" s="5" t="s">
        <v>2184</v>
      </c>
      <c r="H257" s="5" t="s">
        <v>244</v>
      </c>
      <c r="I257" s="44">
        <v>44623.0</v>
      </c>
      <c r="J257" s="150">
        <v>0.4606018518518519</v>
      </c>
      <c r="K257" s="19">
        <v>1.0</v>
      </c>
      <c r="L257" s="10" t="b">
        <v>0</v>
      </c>
      <c r="M257" s="5" t="s">
        <v>2468</v>
      </c>
      <c r="N257" s="5" t="s">
        <v>247</v>
      </c>
      <c r="O257" s="5"/>
      <c r="P257" s="110" t="b">
        <f t="shared" si="1"/>
        <v>0</v>
      </c>
      <c r="Q257" s="110" t="b">
        <f>IF(COUNTIF(RAW_APS!$A$2:$A815,A257)=0,TRUE,FALSE)</f>
        <v>0</v>
      </c>
      <c r="R257" s="241" t="b">
        <f t="shared" si="2"/>
        <v>0</v>
      </c>
      <c r="U257" s="112" t="str">
        <f t="shared" si="3"/>
        <v/>
      </c>
      <c r="V257" s="60"/>
      <c r="W257" s="60"/>
      <c r="X257" s="60"/>
      <c r="Y257" s="60"/>
      <c r="Z257" s="210"/>
      <c r="AA257" s="112" t="str">
        <f t="shared" si="4"/>
        <v>FM97</v>
      </c>
      <c r="AB257" s="112" t="str">
        <f t="shared" si="5"/>
        <v/>
      </c>
      <c r="AC257" s="112" t="str">
        <f t="shared" si="6"/>
        <v/>
      </c>
      <c r="AD257" s="5"/>
      <c r="AE257" s="5"/>
    </row>
    <row r="258">
      <c r="A258" s="5" t="s">
        <v>1377</v>
      </c>
      <c r="B258" s="44">
        <v>44609.0</v>
      </c>
      <c r="C258" s="150">
        <v>0.3327199074074074</v>
      </c>
      <c r="D258" s="5"/>
      <c r="E258" s="5"/>
      <c r="F258" s="5"/>
      <c r="G258" s="5" t="s">
        <v>2184</v>
      </c>
      <c r="H258" s="5" t="s">
        <v>244</v>
      </c>
      <c r="I258" s="44">
        <v>44611.0</v>
      </c>
      <c r="J258" s="150">
        <v>0.38958333333333334</v>
      </c>
      <c r="K258" s="19">
        <v>1.0</v>
      </c>
      <c r="L258" s="10" t="b">
        <v>1</v>
      </c>
      <c r="M258" s="5" t="s">
        <v>2478</v>
      </c>
      <c r="N258" s="5" t="s">
        <v>247</v>
      </c>
      <c r="O258" s="5"/>
      <c r="P258" s="110" t="b">
        <f t="shared" si="1"/>
        <v>0</v>
      </c>
      <c r="Q258" s="110" t="b">
        <f>IF(COUNTIF(RAW_APS!$A$2:$A815,A258)=0,TRUE,FALSE)</f>
        <v>0</v>
      </c>
      <c r="R258" s="241" t="b">
        <f t="shared" si="2"/>
        <v>0</v>
      </c>
      <c r="U258" s="112" t="str">
        <f t="shared" si="3"/>
        <v/>
      </c>
      <c r="V258" s="60"/>
      <c r="W258" s="60"/>
      <c r="X258" s="60"/>
      <c r="Y258" s="60"/>
      <c r="Z258" s="210"/>
      <c r="AA258" s="112" t="str">
        <f t="shared" si="4"/>
        <v>FM972</v>
      </c>
      <c r="AB258" s="112" t="str">
        <f t="shared" si="5"/>
        <v/>
      </c>
      <c r="AC258" s="112" t="str">
        <f t="shared" si="6"/>
        <v/>
      </c>
      <c r="AD258" s="5"/>
      <c r="AE258" s="5"/>
    </row>
    <row r="259">
      <c r="A259" s="5" t="s">
        <v>1581</v>
      </c>
      <c r="B259" s="44">
        <v>44615.0</v>
      </c>
      <c r="C259" s="150">
        <v>0.33125</v>
      </c>
      <c r="D259" s="5"/>
      <c r="E259" s="5"/>
      <c r="F259" s="5"/>
      <c r="G259" s="5" t="s">
        <v>2184</v>
      </c>
      <c r="H259" s="5" t="s">
        <v>52</v>
      </c>
      <c r="I259" s="44">
        <v>44615.0</v>
      </c>
      <c r="J259" s="150">
        <v>0.49125</v>
      </c>
      <c r="K259" s="19">
        <v>1.0</v>
      </c>
      <c r="L259" s="10" t="b">
        <v>1</v>
      </c>
      <c r="M259" s="5" t="s">
        <v>2474</v>
      </c>
      <c r="N259" s="5" t="s">
        <v>247</v>
      </c>
      <c r="O259" s="5"/>
      <c r="P259" s="110" t="b">
        <f t="shared" si="1"/>
        <v>0</v>
      </c>
      <c r="Q259" s="110" t="b">
        <f>IF(COUNTIF(RAW_APS!$A$2:$A815,A259)=0,TRUE,FALSE)</f>
        <v>0</v>
      </c>
      <c r="R259" s="241" t="b">
        <f t="shared" si="2"/>
        <v>0</v>
      </c>
      <c r="U259" s="112" t="str">
        <f t="shared" si="3"/>
        <v/>
      </c>
      <c r="V259" s="60"/>
      <c r="W259" s="60"/>
      <c r="X259" s="60"/>
      <c r="Y259" s="60"/>
      <c r="Z259" s="210"/>
      <c r="AA259" s="112" t="str">
        <f t="shared" si="4"/>
        <v>FM976</v>
      </c>
      <c r="AB259" s="112" t="str">
        <f t="shared" si="5"/>
        <v/>
      </c>
      <c r="AC259" s="112" t="str">
        <f t="shared" si="6"/>
        <v/>
      </c>
      <c r="AD259" s="5"/>
      <c r="AE259" s="5"/>
    </row>
    <row r="260">
      <c r="A260" s="5" t="s">
        <v>1482</v>
      </c>
      <c r="B260" s="44">
        <v>44613.0</v>
      </c>
      <c r="C260" s="150">
        <v>0.266724537037037</v>
      </c>
      <c r="D260" s="5"/>
      <c r="E260" s="5"/>
      <c r="F260" s="5"/>
      <c r="G260" s="5" t="s">
        <v>2184</v>
      </c>
      <c r="H260" s="5" t="s">
        <v>244</v>
      </c>
      <c r="I260" s="44">
        <v>44613.0</v>
      </c>
      <c r="J260" s="150">
        <v>0.4693981481481482</v>
      </c>
      <c r="K260" s="19">
        <v>1.0</v>
      </c>
      <c r="L260" s="10" t="b">
        <v>1</v>
      </c>
      <c r="M260" s="5" t="s">
        <v>2476</v>
      </c>
      <c r="N260" s="5" t="s">
        <v>247</v>
      </c>
      <c r="O260" s="5"/>
      <c r="P260" s="110" t="b">
        <f t="shared" si="1"/>
        <v>0</v>
      </c>
      <c r="Q260" s="110" t="b">
        <f>IF(COUNTIF(RAW_APS!$A$2:$A815,A260)=0,TRUE,FALSE)</f>
        <v>0</v>
      </c>
      <c r="R260" s="241" t="b">
        <f t="shared" si="2"/>
        <v>0</v>
      </c>
      <c r="U260" s="112" t="str">
        <f t="shared" si="3"/>
        <v/>
      </c>
      <c r="V260" s="60"/>
      <c r="W260" s="60"/>
      <c r="X260" s="60"/>
      <c r="Y260" s="60"/>
      <c r="Z260" s="210"/>
      <c r="AA260" s="112" t="str">
        <f t="shared" si="4"/>
        <v>FM980</v>
      </c>
      <c r="AB260" s="112" t="str">
        <f t="shared" si="5"/>
        <v/>
      </c>
      <c r="AC260" s="112" t="str">
        <f t="shared" si="6"/>
        <v/>
      </c>
      <c r="AD260" s="5"/>
      <c r="AE260" s="5"/>
    </row>
    <row r="261">
      <c r="A261" s="5" t="s">
        <v>1943</v>
      </c>
      <c r="B261" s="44">
        <v>44625.0</v>
      </c>
      <c r="C261" s="150">
        <v>0.3188888888888889</v>
      </c>
      <c r="D261" s="5"/>
      <c r="E261" s="5"/>
      <c r="F261" s="5"/>
      <c r="G261" s="5" t="s">
        <v>2184</v>
      </c>
      <c r="H261" s="5" t="s">
        <v>244</v>
      </c>
      <c r="I261" s="44">
        <v>44627.0</v>
      </c>
      <c r="J261" s="150">
        <v>0.47788194444444443</v>
      </c>
      <c r="K261" s="19">
        <v>1.0</v>
      </c>
      <c r="L261" s="10" t="b">
        <v>1</v>
      </c>
      <c r="M261" s="5" t="s">
        <v>2466</v>
      </c>
      <c r="N261" s="5" t="s">
        <v>247</v>
      </c>
      <c r="O261" s="5"/>
      <c r="P261" s="110" t="b">
        <f t="shared" si="1"/>
        <v>0</v>
      </c>
      <c r="Q261" s="110" t="b">
        <f>IF(COUNTIF(RAW_APS!$A$2:$A815,A261)=0,TRUE,FALSE)</f>
        <v>0</v>
      </c>
      <c r="R261" s="241" t="b">
        <f t="shared" si="2"/>
        <v>0</v>
      </c>
      <c r="U261" s="112" t="str">
        <f t="shared" si="3"/>
        <v/>
      </c>
      <c r="V261" s="60"/>
      <c r="W261" s="60"/>
      <c r="X261" s="60"/>
      <c r="Y261" s="60"/>
      <c r="Z261" s="210"/>
      <c r="AA261" s="112" t="str">
        <f t="shared" si="4"/>
        <v>FM991</v>
      </c>
      <c r="AB261" s="112" t="str">
        <f t="shared" si="5"/>
        <v/>
      </c>
      <c r="AC261" s="112" t="str">
        <f t="shared" si="6"/>
        <v/>
      </c>
      <c r="AD261" s="5"/>
      <c r="AE261" s="5"/>
    </row>
    <row r="262">
      <c r="A262" s="5" t="s">
        <v>1661</v>
      </c>
      <c r="B262" s="44">
        <v>44617.0</v>
      </c>
      <c r="C262" s="150">
        <v>0.3313425925925926</v>
      </c>
      <c r="D262" s="5"/>
      <c r="E262" s="5"/>
      <c r="F262" s="5"/>
      <c r="G262" s="5" t="s">
        <v>2184</v>
      </c>
      <c r="H262" s="5" t="s">
        <v>244</v>
      </c>
      <c r="I262" s="44">
        <v>44617.0</v>
      </c>
      <c r="J262" s="150">
        <v>0.5033796296296297</v>
      </c>
      <c r="K262" s="19">
        <v>1.0</v>
      </c>
      <c r="L262" s="10" t="b">
        <v>1</v>
      </c>
      <c r="M262" s="5" t="s">
        <v>2473</v>
      </c>
      <c r="N262" s="5" t="s">
        <v>247</v>
      </c>
      <c r="O262" s="5"/>
      <c r="P262" s="110" t="b">
        <f t="shared" si="1"/>
        <v>0</v>
      </c>
      <c r="Q262" s="110" t="b">
        <f>IF(COUNTIF(RAW_APS!$A$2:$A815,A262)=0,TRUE,FALSE)</f>
        <v>0</v>
      </c>
      <c r="R262" s="241" t="b">
        <f t="shared" si="2"/>
        <v>0</v>
      </c>
      <c r="U262" s="112" t="str">
        <f t="shared" si="3"/>
        <v/>
      </c>
      <c r="V262" s="60"/>
      <c r="W262" s="60"/>
      <c r="X262" s="60"/>
      <c r="Y262" s="60"/>
      <c r="Z262" s="210"/>
      <c r="AA262" s="112" t="str">
        <f t="shared" si="4"/>
        <v>FM994</v>
      </c>
      <c r="AB262" s="112" t="str">
        <f t="shared" si="5"/>
        <v/>
      </c>
      <c r="AC262" s="112" t="str">
        <f t="shared" si="6"/>
        <v/>
      </c>
      <c r="AD262" s="5"/>
      <c r="AE262" s="5"/>
    </row>
    <row r="263">
      <c r="A263" s="5" t="s">
        <v>185</v>
      </c>
      <c r="B263" s="44">
        <v>44609.0</v>
      </c>
      <c r="C263" s="150">
        <v>0.3274884259259259</v>
      </c>
      <c r="D263" s="5"/>
      <c r="E263" s="5"/>
      <c r="F263" s="5"/>
      <c r="G263" s="5" t="s">
        <v>2184</v>
      </c>
      <c r="H263" s="5" t="s">
        <v>244</v>
      </c>
      <c r="I263" s="44">
        <v>44611.0</v>
      </c>
      <c r="J263" s="150">
        <v>0.3895601851851852</v>
      </c>
      <c r="K263" s="19">
        <v>1.0</v>
      </c>
      <c r="L263" s="10" t="b">
        <v>1</v>
      </c>
      <c r="M263" s="5"/>
      <c r="N263" s="5" t="s">
        <v>247</v>
      </c>
      <c r="O263" s="5"/>
      <c r="P263" s="110" t="b">
        <f t="shared" si="1"/>
        <v>0</v>
      </c>
      <c r="Q263" s="110" t="b">
        <f>IF(COUNTIF(RAW_APS!$A$2:$A815,A263)=0,TRUE,FALSE)</f>
        <v>0</v>
      </c>
      <c r="R263" s="241" t="b">
        <f t="shared" si="2"/>
        <v>0</v>
      </c>
      <c r="U263" s="112" t="str">
        <f t="shared" si="3"/>
        <v/>
      </c>
      <c r="V263" s="60"/>
      <c r="W263" s="60"/>
      <c r="X263" s="60"/>
      <c r="Y263" s="60"/>
      <c r="Z263" s="210"/>
      <c r="AA263" s="112" t="str">
        <f t="shared" si="4"/>
        <v>FM996</v>
      </c>
      <c r="AB263" s="112" t="str">
        <f t="shared" si="5"/>
        <v/>
      </c>
      <c r="AC263" s="112" t="str">
        <f t="shared" si="6"/>
        <v/>
      </c>
      <c r="AD263" s="5"/>
      <c r="AE263" s="5"/>
    </row>
    <row r="264">
      <c r="A264" s="5" t="s">
        <v>243</v>
      </c>
      <c r="B264" s="44">
        <v>44537.0</v>
      </c>
      <c r="C264" s="150">
        <v>0.5433217592592593</v>
      </c>
      <c r="D264" s="5"/>
      <c r="E264" s="5"/>
      <c r="F264" s="5"/>
      <c r="G264" s="5" t="s">
        <v>2184</v>
      </c>
      <c r="H264" s="5" t="s">
        <v>244</v>
      </c>
      <c r="I264" s="44">
        <v>44537.0</v>
      </c>
      <c r="J264" s="150">
        <v>0.5445601851851852</v>
      </c>
      <c r="K264" s="19">
        <v>1.0</v>
      </c>
      <c r="L264" s="10" t="b">
        <v>1</v>
      </c>
      <c r="M264" s="5" t="s">
        <v>2511</v>
      </c>
      <c r="N264" s="5" t="s">
        <v>247</v>
      </c>
      <c r="O264" s="5"/>
      <c r="P264" s="110" t="b">
        <f t="shared" si="1"/>
        <v>0</v>
      </c>
      <c r="Q264" s="110" t="b">
        <f>IF(COUNTIF(RAW_APS!$A$2:$A815,A264)=0,TRUE,FALSE)</f>
        <v>0</v>
      </c>
      <c r="R264" s="241" t="b">
        <f t="shared" si="2"/>
        <v>0</v>
      </c>
      <c r="U264" s="112" t="str">
        <f t="shared" si="3"/>
        <v/>
      </c>
      <c r="V264" s="51"/>
      <c r="W264" s="51"/>
      <c r="X264" s="51"/>
      <c r="Y264" s="51"/>
      <c r="Z264" s="210"/>
      <c r="AA264" s="112" t="str">
        <f t="shared" si="4"/>
        <v>HERO</v>
      </c>
      <c r="AB264" s="112" t="str">
        <f t="shared" si="5"/>
        <v/>
      </c>
      <c r="AC264" s="112" t="str">
        <f t="shared" si="6"/>
        <v/>
      </c>
      <c r="AD264" s="5"/>
      <c r="AE264" s="5"/>
    </row>
    <row r="265">
      <c r="A265" s="5" t="s">
        <v>246</v>
      </c>
      <c r="B265" s="44">
        <v>44537.0</v>
      </c>
      <c r="C265" s="150">
        <v>0.543599537037037</v>
      </c>
      <c r="D265" s="5"/>
      <c r="E265" s="5"/>
      <c r="F265" s="5"/>
      <c r="G265" s="5" t="s">
        <v>2184</v>
      </c>
      <c r="H265" s="5" t="s">
        <v>244</v>
      </c>
      <c r="I265" s="44">
        <v>44537.0</v>
      </c>
      <c r="J265" s="150">
        <v>0.5445601851851852</v>
      </c>
      <c r="K265" s="19">
        <v>0.0</v>
      </c>
      <c r="L265" s="10" t="b">
        <v>1</v>
      </c>
      <c r="M265" s="5" t="s">
        <v>2511</v>
      </c>
      <c r="N265" s="5" t="s">
        <v>247</v>
      </c>
      <c r="O265" s="5"/>
      <c r="P265" s="110" t="b">
        <f t="shared" si="1"/>
        <v>1</v>
      </c>
      <c r="Q265" s="110" t="b">
        <f>IF(COUNTIF(RAW_APS!$A$2:$A815,A265)=0,TRUE,FALSE)</f>
        <v>1</v>
      </c>
      <c r="R265" s="241" t="b">
        <f t="shared" si="2"/>
        <v>0</v>
      </c>
      <c r="U265" s="112" t="str">
        <f t="shared" si="3"/>
        <v/>
      </c>
      <c r="V265" s="51"/>
      <c r="W265" s="51"/>
      <c r="X265" s="51"/>
      <c r="Y265" s="51"/>
      <c r="Z265" s="210"/>
      <c r="AA265" s="112" t="str">
        <f t="shared" si="4"/>
        <v>HERO1</v>
      </c>
      <c r="AB265" s="112" t="str">
        <f t="shared" si="5"/>
        <v/>
      </c>
      <c r="AC265" s="112" t="str">
        <f t="shared" si="6"/>
        <v/>
      </c>
      <c r="AD265" s="5"/>
      <c r="AE265" s="5"/>
    </row>
    <row r="266">
      <c r="A266" s="5" t="s">
        <v>1833</v>
      </c>
      <c r="B266" s="44">
        <v>44621.0</v>
      </c>
      <c r="C266" s="150">
        <v>0.5343287037037037</v>
      </c>
      <c r="D266" s="5"/>
      <c r="E266" s="5"/>
      <c r="F266" s="5"/>
      <c r="G266" s="5" t="s">
        <v>2469</v>
      </c>
      <c r="H266" s="5" t="s">
        <v>254</v>
      </c>
      <c r="I266" s="44">
        <v>44621.0</v>
      </c>
      <c r="J266" s="150">
        <v>0.5345023148148148</v>
      </c>
      <c r="K266" s="19">
        <v>1.0</v>
      </c>
      <c r="L266" s="10" t="b">
        <v>0</v>
      </c>
      <c r="M266" s="5"/>
      <c r="N266" s="5" t="s">
        <v>247</v>
      </c>
      <c r="O266" s="5"/>
      <c r="P266" s="110" t="b">
        <f t="shared" si="1"/>
        <v>0</v>
      </c>
      <c r="Q266" s="110" t="b">
        <f>IF(COUNTIF(RAW_APS!$A$2:$A815,A266)=0,TRUE,FALSE)</f>
        <v>0</v>
      </c>
      <c r="R266" s="241" t="b">
        <f t="shared" si="2"/>
        <v>0</v>
      </c>
      <c r="U266" s="112" t="str">
        <f t="shared" si="3"/>
        <v/>
      </c>
      <c r="V266" s="60"/>
      <c r="W266" s="60"/>
      <c r="X266" s="60"/>
      <c r="Y266" s="60"/>
      <c r="Z266" s="210"/>
      <c r="AA266" s="112" t="str">
        <f t="shared" si="4"/>
        <v>HERO11</v>
      </c>
      <c r="AB266" s="112" t="str">
        <f t="shared" si="5"/>
        <v/>
      </c>
      <c r="AC266" s="112" t="str">
        <f t="shared" si="6"/>
        <v/>
      </c>
      <c r="AD266" s="5"/>
      <c r="AE266" s="5"/>
    </row>
    <row r="267">
      <c r="A267" s="5" t="s">
        <v>985</v>
      </c>
      <c r="B267" s="44">
        <v>44582.0</v>
      </c>
      <c r="C267" s="150">
        <v>0.797349537037037</v>
      </c>
      <c r="D267" s="5"/>
      <c r="E267" s="5"/>
      <c r="F267" s="5"/>
      <c r="G267" s="5" t="s">
        <v>2184</v>
      </c>
      <c r="H267" s="5" t="s">
        <v>254</v>
      </c>
      <c r="I267" s="44">
        <v>44582.0</v>
      </c>
      <c r="J267" s="150">
        <v>0.8075810185185185</v>
      </c>
      <c r="K267" s="19">
        <v>1.0</v>
      </c>
      <c r="L267" s="10" t="b">
        <v>1</v>
      </c>
      <c r="M267" s="5"/>
      <c r="N267" s="5" t="s">
        <v>247</v>
      </c>
      <c r="O267" s="5"/>
      <c r="P267" s="110" t="b">
        <f t="shared" si="1"/>
        <v>0</v>
      </c>
      <c r="Q267" s="110" t="b">
        <f>IF(COUNTIF(RAW_APS!$A$2:$A815,A267)=0,TRUE,FALSE)</f>
        <v>0</v>
      </c>
      <c r="R267" s="241" t="b">
        <f t="shared" si="2"/>
        <v>0</v>
      </c>
      <c r="U267" s="112" t="str">
        <f t="shared" si="3"/>
        <v/>
      </c>
      <c r="V267" s="60"/>
      <c r="W267" s="60"/>
      <c r="X267" s="60"/>
      <c r="Y267" s="60"/>
      <c r="Z267" s="210"/>
      <c r="AA267" s="112" t="str">
        <f t="shared" si="4"/>
        <v>HERO12</v>
      </c>
      <c r="AB267" s="112" t="str">
        <f t="shared" si="5"/>
        <v/>
      </c>
      <c r="AC267" s="112" t="str">
        <f t="shared" si="6"/>
        <v/>
      </c>
      <c r="AD267" s="5"/>
      <c r="AE267" s="5"/>
    </row>
    <row r="268">
      <c r="A268" s="5" t="s">
        <v>987</v>
      </c>
      <c r="B268" s="44">
        <v>44582.0</v>
      </c>
      <c r="C268" s="150">
        <v>0.7976388888888889</v>
      </c>
      <c r="D268" s="5"/>
      <c r="E268" s="5"/>
      <c r="F268" s="5"/>
      <c r="G268" s="5" t="s">
        <v>2184</v>
      </c>
      <c r="H268" s="5" t="s">
        <v>254</v>
      </c>
      <c r="I268" s="44">
        <v>44582.0</v>
      </c>
      <c r="J268" s="150">
        <v>0.8075810185185185</v>
      </c>
      <c r="K268" s="19">
        <v>1.0</v>
      </c>
      <c r="L268" s="10" t="b">
        <v>1</v>
      </c>
      <c r="M268" s="5"/>
      <c r="N268" s="5" t="s">
        <v>247</v>
      </c>
      <c r="O268" s="5"/>
      <c r="P268" s="110" t="b">
        <f t="shared" si="1"/>
        <v>0</v>
      </c>
      <c r="Q268" s="110" t="b">
        <f>IF(COUNTIF(RAW_APS!$A$2:$A815,A268)=0,TRUE,FALSE)</f>
        <v>0</v>
      </c>
      <c r="R268" s="241" t="b">
        <f t="shared" si="2"/>
        <v>0</v>
      </c>
      <c r="U268" s="112" t="str">
        <f t="shared" si="3"/>
        <v/>
      </c>
      <c r="V268" s="60"/>
      <c r="W268" s="60"/>
      <c r="X268" s="60"/>
      <c r="Y268" s="60"/>
      <c r="Z268" s="210"/>
      <c r="AA268" s="112" t="str">
        <f t="shared" si="4"/>
        <v>HERO13</v>
      </c>
      <c r="AB268" s="112" t="str">
        <f t="shared" si="5"/>
        <v/>
      </c>
      <c r="AC268" s="112" t="str">
        <f t="shared" si="6"/>
        <v/>
      </c>
      <c r="AD268" s="5"/>
      <c r="AE268" s="5"/>
    </row>
    <row r="269">
      <c r="A269" s="5" t="s">
        <v>989</v>
      </c>
      <c r="B269" s="44">
        <v>44582.0</v>
      </c>
      <c r="C269" s="150">
        <v>0.7995138888888889</v>
      </c>
      <c r="D269" s="5"/>
      <c r="E269" s="5"/>
      <c r="F269" s="5"/>
      <c r="G269" s="5" t="s">
        <v>2184</v>
      </c>
      <c r="H269" s="5" t="s">
        <v>254</v>
      </c>
      <c r="I269" s="44">
        <v>44582.0</v>
      </c>
      <c r="J269" s="150">
        <v>0.8075810185185185</v>
      </c>
      <c r="K269" s="19">
        <v>1.0</v>
      </c>
      <c r="L269" s="10" t="b">
        <v>1</v>
      </c>
      <c r="M269" s="5"/>
      <c r="N269" s="5" t="s">
        <v>247</v>
      </c>
      <c r="O269" s="5"/>
      <c r="P269" s="110" t="b">
        <f t="shared" si="1"/>
        <v>0</v>
      </c>
      <c r="Q269" s="110" t="b">
        <f>IF(COUNTIF(RAW_APS!$A$2:$A815,A269)=0,TRUE,FALSE)</f>
        <v>0</v>
      </c>
      <c r="R269" s="241" t="b">
        <f t="shared" si="2"/>
        <v>0</v>
      </c>
      <c r="U269" s="112" t="str">
        <f t="shared" si="3"/>
        <v/>
      </c>
      <c r="V269" s="60"/>
      <c r="W269" s="60"/>
      <c r="X269" s="60"/>
      <c r="Y269" s="60"/>
      <c r="Z269" s="210"/>
      <c r="AA269" s="112" t="str">
        <f t="shared" si="4"/>
        <v>HERO14</v>
      </c>
      <c r="AB269" s="112" t="str">
        <f t="shared" si="5"/>
        <v/>
      </c>
      <c r="AC269" s="112" t="str">
        <f t="shared" si="6"/>
        <v/>
      </c>
      <c r="AD269" s="5"/>
      <c r="AE269" s="5"/>
    </row>
    <row r="270">
      <c r="A270" s="5" t="s">
        <v>249</v>
      </c>
      <c r="B270" s="44">
        <v>44537.0</v>
      </c>
      <c r="C270" s="150">
        <v>0.5438425925925926</v>
      </c>
      <c r="D270" s="5"/>
      <c r="E270" s="5"/>
      <c r="F270" s="5"/>
      <c r="G270" s="5" t="s">
        <v>2184</v>
      </c>
      <c r="H270" s="5" t="s">
        <v>244</v>
      </c>
      <c r="I270" s="44">
        <v>44537.0</v>
      </c>
      <c r="J270" s="150">
        <v>0.5445601851851852</v>
      </c>
      <c r="K270" s="19">
        <v>1.0</v>
      </c>
      <c r="L270" s="10" t="b">
        <v>1</v>
      </c>
      <c r="M270" s="5" t="s">
        <v>2511</v>
      </c>
      <c r="N270" s="5" t="s">
        <v>247</v>
      </c>
      <c r="O270" s="5"/>
      <c r="P270" s="110" t="b">
        <f t="shared" si="1"/>
        <v>0</v>
      </c>
      <c r="Q270" s="110" t="b">
        <f>IF(COUNTIF(RAW_APS!$A$2:$A815,A270)=0,TRUE,FALSE)</f>
        <v>0</v>
      </c>
      <c r="R270" s="241" t="b">
        <f t="shared" si="2"/>
        <v>0</v>
      </c>
      <c r="U270" s="112" t="str">
        <f t="shared" si="3"/>
        <v/>
      </c>
      <c r="V270" s="51"/>
      <c r="W270" s="51"/>
      <c r="X270" s="51"/>
      <c r="Y270" s="51"/>
      <c r="Z270" s="210"/>
      <c r="AA270" s="112" t="str">
        <f t="shared" si="4"/>
        <v>HERO2</v>
      </c>
      <c r="AB270" s="112" t="str">
        <f t="shared" si="5"/>
        <v/>
      </c>
      <c r="AC270" s="112" t="str">
        <f t="shared" si="6"/>
        <v/>
      </c>
      <c r="AD270" s="5"/>
      <c r="AE270" s="5"/>
    </row>
    <row r="271">
      <c r="A271" s="5" t="s">
        <v>703</v>
      </c>
      <c r="B271" s="44">
        <v>44572.0</v>
      </c>
      <c r="C271" s="150">
        <v>0.5463310185185185</v>
      </c>
      <c r="D271" s="5"/>
      <c r="E271" s="5"/>
      <c r="F271" s="5"/>
      <c r="G271" s="5" t="s">
        <v>2188</v>
      </c>
      <c r="H271" s="5" t="s">
        <v>254</v>
      </c>
      <c r="I271" s="44">
        <v>44861.0</v>
      </c>
      <c r="J271" s="150">
        <v>0.4895023148148148</v>
      </c>
      <c r="K271" s="19">
        <v>1.0</v>
      </c>
      <c r="L271" s="5"/>
      <c r="M271" s="5"/>
      <c r="N271" s="5" t="s">
        <v>247</v>
      </c>
      <c r="O271" s="5"/>
      <c r="P271" s="110" t="b">
        <f t="shared" si="1"/>
        <v>0</v>
      </c>
      <c r="Q271" s="110" t="b">
        <f>IF(COUNTIF(RAW_APS!$A$2:$A815,A271)=0,TRUE,FALSE)</f>
        <v>0</v>
      </c>
      <c r="R271" s="241" t="b">
        <f t="shared" si="2"/>
        <v>0</v>
      </c>
      <c r="U271" s="112" t="str">
        <f t="shared" si="3"/>
        <v/>
      </c>
      <c r="V271" s="60"/>
      <c r="W271" s="60"/>
      <c r="X271" s="60"/>
      <c r="Y271" s="60"/>
      <c r="Z271" s="210"/>
      <c r="AA271" s="112" t="str">
        <f t="shared" si="4"/>
        <v>HERO700</v>
      </c>
      <c r="AB271" s="112" t="str">
        <f t="shared" si="5"/>
        <v/>
      </c>
      <c r="AC271" s="112" t="str">
        <f t="shared" si="6"/>
        <v/>
      </c>
      <c r="AD271" s="5"/>
      <c r="AE271" s="5"/>
    </row>
    <row r="272">
      <c r="A272" s="5" t="s">
        <v>1016</v>
      </c>
      <c r="B272" s="44">
        <v>44585.0</v>
      </c>
      <c r="C272" s="150">
        <v>0.38686342592592593</v>
      </c>
      <c r="D272" s="5"/>
      <c r="E272" s="5"/>
      <c r="F272" s="5"/>
      <c r="G272" s="5" t="s">
        <v>2184</v>
      </c>
      <c r="H272" s="5" t="s">
        <v>52</v>
      </c>
      <c r="I272" s="44">
        <v>44587.0</v>
      </c>
      <c r="J272" s="150">
        <v>0.5008796296296296</v>
      </c>
      <c r="K272" s="19">
        <v>1.0</v>
      </c>
      <c r="L272" s="10" t="b">
        <v>1</v>
      </c>
      <c r="M272" s="5"/>
      <c r="N272" s="5" t="s">
        <v>247</v>
      </c>
      <c r="O272" s="5"/>
      <c r="P272" s="110" t="b">
        <f t="shared" si="1"/>
        <v>0</v>
      </c>
      <c r="Q272" s="110" t="b">
        <f>IF(COUNTIF(RAW_APS!$A$2:$A815,A272)=0,TRUE,FALSE)</f>
        <v>0</v>
      </c>
      <c r="R272" s="241" t="b">
        <f t="shared" si="2"/>
        <v>0</v>
      </c>
      <c r="U272" s="112" t="str">
        <f t="shared" si="3"/>
        <v/>
      </c>
      <c r="V272" s="60"/>
      <c r="W272" s="60"/>
      <c r="X272" s="60"/>
      <c r="Y272" s="60"/>
      <c r="Z272" s="210"/>
      <c r="AA272" s="112" t="str">
        <f t="shared" si="4"/>
        <v>MA1011</v>
      </c>
      <c r="AB272" s="112" t="str">
        <f t="shared" si="5"/>
        <v/>
      </c>
      <c r="AC272" s="112" t="str">
        <f t="shared" si="6"/>
        <v/>
      </c>
      <c r="AD272" s="5"/>
      <c r="AE272" s="5"/>
    </row>
    <row r="273">
      <c r="A273" s="5" t="s">
        <v>950</v>
      </c>
      <c r="B273" s="44">
        <v>44582.0</v>
      </c>
      <c r="C273" s="150">
        <v>0.26828703703703705</v>
      </c>
      <c r="D273" s="5"/>
      <c r="E273" s="5"/>
      <c r="F273" s="5"/>
      <c r="G273" s="5" t="s">
        <v>2184</v>
      </c>
      <c r="H273" s="5" t="s">
        <v>244</v>
      </c>
      <c r="I273" s="44">
        <v>44582.0</v>
      </c>
      <c r="J273" s="150">
        <v>0.4883912037037037</v>
      </c>
      <c r="K273" s="19">
        <v>1.0</v>
      </c>
      <c r="L273" s="10" t="b">
        <v>1</v>
      </c>
      <c r="M273" s="5" t="s">
        <v>2490</v>
      </c>
      <c r="N273" s="5" t="s">
        <v>247</v>
      </c>
      <c r="O273" s="5"/>
      <c r="P273" s="110" t="b">
        <f t="shared" si="1"/>
        <v>0</v>
      </c>
      <c r="Q273" s="110" t="b">
        <f>IF(COUNTIF(RAW_APS!$A$2:$A815,A273)=0,TRUE,FALSE)</f>
        <v>0</v>
      </c>
      <c r="R273" s="241" t="b">
        <f t="shared" si="2"/>
        <v>0</v>
      </c>
      <c r="U273" s="112" t="str">
        <f t="shared" si="3"/>
        <v/>
      </c>
      <c r="V273" s="60"/>
      <c r="W273" s="60"/>
      <c r="X273" s="60"/>
      <c r="Y273" s="60"/>
      <c r="Z273" s="210"/>
      <c r="AA273" s="112" t="str">
        <f t="shared" si="4"/>
        <v>MA1021</v>
      </c>
      <c r="AB273" s="112" t="str">
        <f t="shared" si="5"/>
        <v/>
      </c>
      <c r="AC273" s="112" t="str">
        <f t="shared" si="6"/>
        <v/>
      </c>
      <c r="AD273" s="5"/>
      <c r="AE273" s="5"/>
    </row>
    <row r="274">
      <c r="A274" s="5" t="s">
        <v>482</v>
      </c>
      <c r="B274" s="44">
        <v>44564.0</v>
      </c>
      <c r="C274" s="150">
        <v>0.36962962962962964</v>
      </c>
      <c r="D274" s="5"/>
      <c r="E274" s="5"/>
      <c r="F274" s="5"/>
      <c r="G274" s="5" t="s">
        <v>2184</v>
      </c>
      <c r="H274" s="5" t="s">
        <v>244</v>
      </c>
      <c r="I274" s="44">
        <v>44564.0</v>
      </c>
      <c r="J274" s="150">
        <v>0.5280439814814815</v>
      </c>
      <c r="K274" s="19">
        <v>1.0</v>
      </c>
      <c r="L274" s="10" t="b">
        <v>1</v>
      </c>
      <c r="M274" s="5" t="s">
        <v>2500</v>
      </c>
      <c r="N274" s="5" t="s">
        <v>247</v>
      </c>
      <c r="O274" s="5"/>
      <c r="P274" s="110" t="b">
        <f t="shared" si="1"/>
        <v>0</v>
      </c>
      <c r="Q274" s="110" t="b">
        <f>IF(COUNTIF(RAW_APS!$A$2:$A815,A274)=0,TRUE,FALSE)</f>
        <v>0</v>
      </c>
      <c r="R274" s="241" t="b">
        <f t="shared" si="2"/>
        <v>0</v>
      </c>
      <c r="U274" s="112" t="str">
        <f t="shared" si="3"/>
        <v/>
      </c>
      <c r="V274" s="60"/>
      <c r="W274" s="60"/>
      <c r="X274" s="60"/>
      <c r="Y274" s="60"/>
      <c r="Z274" s="210"/>
      <c r="AA274" s="112" t="str">
        <f t="shared" si="4"/>
        <v>MA1022</v>
      </c>
      <c r="AB274" s="112" t="str">
        <f t="shared" si="5"/>
        <v/>
      </c>
      <c r="AC274" s="112" t="str">
        <f t="shared" si="6"/>
        <v/>
      </c>
      <c r="AD274" s="5"/>
      <c r="AE274" s="5"/>
    </row>
    <row r="275">
      <c r="A275" s="5" t="s">
        <v>651</v>
      </c>
      <c r="B275" s="44">
        <v>44571.0</v>
      </c>
      <c r="C275" s="150">
        <v>0.35119212962962965</v>
      </c>
      <c r="D275" s="5"/>
      <c r="E275" s="5"/>
      <c r="F275" s="5"/>
      <c r="G275" s="5" t="s">
        <v>2184</v>
      </c>
      <c r="H275" s="5" t="s">
        <v>52</v>
      </c>
      <c r="I275" s="44">
        <v>44579.0</v>
      </c>
      <c r="J275" s="150">
        <v>0.5015740740740741</v>
      </c>
      <c r="K275" s="19">
        <v>1.0</v>
      </c>
      <c r="L275" s="10" t="b">
        <v>1</v>
      </c>
      <c r="M275" s="5"/>
      <c r="N275" s="5" t="s">
        <v>247</v>
      </c>
      <c r="O275" s="5"/>
      <c r="P275" s="110" t="b">
        <f t="shared" si="1"/>
        <v>0</v>
      </c>
      <c r="Q275" s="110" t="b">
        <f>IF(COUNTIF(RAW_APS!$A$2:$A815,A275)=0,TRUE,FALSE)</f>
        <v>0</v>
      </c>
      <c r="R275" s="241" t="b">
        <f t="shared" si="2"/>
        <v>0</v>
      </c>
      <c r="U275" s="112" t="str">
        <f t="shared" si="3"/>
        <v/>
      </c>
      <c r="V275" s="60"/>
      <c r="W275" s="60"/>
      <c r="X275" s="60"/>
      <c r="Y275" s="60"/>
      <c r="Z275" s="210"/>
      <c r="AA275" s="112" t="str">
        <f t="shared" si="4"/>
        <v>MA1024</v>
      </c>
      <c r="AB275" s="112" t="str">
        <f t="shared" si="5"/>
        <v/>
      </c>
      <c r="AC275" s="112" t="str">
        <f t="shared" si="6"/>
        <v/>
      </c>
      <c r="AD275" s="5"/>
      <c r="AE275" s="5"/>
    </row>
    <row r="276">
      <c r="A276" s="5" t="s">
        <v>272</v>
      </c>
      <c r="B276" s="44">
        <v>44540.0</v>
      </c>
      <c r="C276" s="150">
        <v>0.3112847222222222</v>
      </c>
      <c r="D276" s="5"/>
      <c r="E276" s="5"/>
      <c r="F276" s="5"/>
      <c r="G276" s="5" t="s">
        <v>2184</v>
      </c>
      <c r="H276" s="5" t="s">
        <v>244</v>
      </c>
      <c r="I276" s="44">
        <v>44543.0</v>
      </c>
      <c r="J276" s="150">
        <v>0.7857291666666667</v>
      </c>
      <c r="K276" s="19">
        <v>1.0</v>
      </c>
      <c r="L276" s="10" t="b">
        <v>1</v>
      </c>
      <c r="M276" s="5" t="s">
        <v>2510</v>
      </c>
      <c r="N276" s="5" t="s">
        <v>247</v>
      </c>
      <c r="O276" s="5"/>
      <c r="P276" s="110" t="b">
        <f t="shared" si="1"/>
        <v>0</v>
      </c>
      <c r="Q276" s="110" t="b">
        <f>IF(COUNTIF(RAW_APS!$A$2:$A815,A276)=0,TRUE,FALSE)</f>
        <v>0</v>
      </c>
      <c r="R276" s="241" t="b">
        <f t="shared" si="2"/>
        <v>0</v>
      </c>
      <c r="U276" s="112" t="str">
        <f t="shared" si="3"/>
        <v/>
      </c>
      <c r="V276" s="51"/>
      <c r="W276" s="51"/>
      <c r="X276" s="51"/>
      <c r="Y276" s="51"/>
      <c r="Z276" s="210"/>
      <c r="AA276" s="112" t="str">
        <f t="shared" si="4"/>
        <v>MA1025</v>
      </c>
      <c r="AB276" s="112" t="str">
        <f t="shared" si="5"/>
        <v/>
      </c>
      <c r="AC276" s="112" t="str">
        <f t="shared" si="6"/>
        <v/>
      </c>
      <c r="AD276" s="5"/>
      <c r="AE276" s="5"/>
    </row>
    <row r="277">
      <c r="A277" s="5" t="s">
        <v>1568</v>
      </c>
      <c r="B277" s="44">
        <v>44615.0</v>
      </c>
      <c r="C277" s="150">
        <v>0.3146412037037037</v>
      </c>
      <c r="D277" s="5"/>
      <c r="E277" s="5"/>
      <c r="F277" s="5"/>
      <c r="G277" s="5" t="s">
        <v>2184</v>
      </c>
      <c r="H277" s="5" t="s">
        <v>52</v>
      </c>
      <c r="I277" s="44">
        <v>44615.0</v>
      </c>
      <c r="J277" s="150">
        <v>0.4912384259259259</v>
      </c>
      <c r="K277" s="19">
        <v>1.0</v>
      </c>
      <c r="L277" s="10" t="b">
        <v>1</v>
      </c>
      <c r="M277" s="5" t="s">
        <v>2474</v>
      </c>
      <c r="N277" s="5" t="s">
        <v>247</v>
      </c>
      <c r="O277" s="5"/>
      <c r="P277" s="110" t="b">
        <f t="shared" si="1"/>
        <v>0</v>
      </c>
      <c r="Q277" s="110" t="b">
        <f>IF(COUNTIF(RAW_APS!$A$2:$A815,A277)=0,TRUE,FALSE)</f>
        <v>0</v>
      </c>
      <c r="R277" s="241" t="b">
        <f t="shared" si="2"/>
        <v>0</v>
      </c>
      <c r="U277" s="112" t="str">
        <f t="shared" si="3"/>
        <v/>
      </c>
      <c r="V277" s="60"/>
      <c r="W277" s="60"/>
      <c r="X277" s="60"/>
      <c r="Y277" s="60"/>
      <c r="Z277" s="210"/>
      <c r="AA277" s="112" t="str">
        <f t="shared" si="4"/>
        <v>MA1026</v>
      </c>
      <c r="AB277" s="112" t="str">
        <f t="shared" si="5"/>
        <v/>
      </c>
      <c r="AC277" s="112" t="str">
        <f t="shared" si="6"/>
        <v/>
      </c>
      <c r="AD277" s="5"/>
      <c r="AE277" s="5"/>
    </row>
    <row r="278">
      <c r="A278" s="5" t="s">
        <v>1445</v>
      </c>
      <c r="B278" s="44">
        <v>44611.0</v>
      </c>
      <c r="C278" s="150">
        <v>0.32579861111111114</v>
      </c>
      <c r="D278" s="5"/>
      <c r="E278" s="5"/>
      <c r="F278" s="5"/>
      <c r="G278" s="5" t="s">
        <v>2184</v>
      </c>
      <c r="H278" s="5" t="s">
        <v>244</v>
      </c>
      <c r="I278" s="44">
        <v>44611.0</v>
      </c>
      <c r="J278" s="150">
        <v>0.4882523148148148</v>
      </c>
      <c r="K278" s="19">
        <v>1.0</v>
      </c>
      <c r="L278" s="10" t="b">
        <v>1</v>
      </c>
      <c r="M278" s="5" t="s">
        <v>2477</v>
      </c>
      <c r="N278" s="5" t="s">
        <v>247</v>
      </c>
      <c r="O278" s="5"/>
      <c r="P278" s="110" t="b">
        <f t="shared" si="1"/>
        <v>0</v>
      </c>
      <c r="Q278" s="110" t="b">
        <f>IF(COUNTIF(RAW_APS!$A$2:$A815,A278)=0,TRUE,FALSE)</f>
        <v>0</v>
      </c>
      <c r="R278" s="241" t="b">
        <f t="shared" si="2"/>
        <v>0</v>
      </c>
      <c r="U278" s="112" t="str">
        <f t="shared" si="3"/>
        <v/>
      </c>
      <c r="V278" s="60"/>
      <c r="W278" s="60"/>
      <c r="X278" s="60"/>
      <c r="Y278" s="60"/>
      <c r="Z278" s="210"/>
      <c r="AA278" s="112" t="str">
        <f t="shared" si="4"/>
        <v>MA1027</v>
      </c>
      <c r="AB278" s="112" t="str">
        <f t="shared" si="5"/>
        <v/>
      </c>
      <c r="AC278" s="112" t="str">
        <f t="shared" si="6"/>
        <v/>
      </c>
      <c r="AD278" s="5"/>
      <c r="AE278" s="5"/>
    </row>
    <row r="279">
      <c r="A279" s="5" t="s">
        <v>1593</v>
      </c>
      <c r="B279" s="44">
        <v>44615.0</v>
      </c>
      <c r="C279" s="150">
        <v>0.33788194444444447</v>
      </c>
      <c r="D279" s="5"/>
      <c r="E279" s="5"/>
      <c r="F279" s="5"/>
      <c r="G279" s="5" t="s">
        <v>2184</v>
      </c>
      <c r="H279" s="5" t="s">
        <v>52</v>
      </c>
      <c r="I279" s="44">
        <v>44615.0</v>
      </c>
      <c r="J279" s="150">
        <v>0.49125</v>
      </c>
      <c r="K279" s="19">
        <v>1.0</v>
      </c>
      <c r="L279" s="10" t="b">
        <v>1</v>
      </c>
      <c r="M279" s="5" t="s">
        <v>2474</v>
      </c>
      <c r="N279" s="5" t="s">
        <v>247</v>
      </c>
      <c r="O279" s="5"/>
      <c r="P279" s="110" t="b">
        <f t="shared" si="1"/>
        <v>0</v>
      </c>
      <c r="Q279" s="110" t="b">
        <f>IF(COUNTIF(RAW_APS!$A$2:$A815,A279)=0,TRUE,FALSE)</f>
        <v>0</v>
      </c>
      <c r="R279" s="241" t="b">
        <f t="shared" si="2"/>
        <v>0</v>
      </c>
      <c r="U279" s="112" t="str">
        <f t="shared" si="3"/>
        <v/>
      </c>
      <c r="V279" s="60"/>
      <c r="W279" s="60"/>
      <c r="X279" s="60"/>
      <c r="Y279" s="60"/>
      <c r="Z279" s="210"/>
      <c r="AA279" s="112" t="str">
        <f t="shared" si="4"/>
        <v>MA1028</v>
      </c>
      <c r="AB279" s="112" t="str">
        <f t="shared" si="5"/>
        <v/>
      </c>
      <c r="AC279" s="112" t="str">
        <f t="shared" si="6"/>
        <v/>
      </c>
      <c r="AD279" s="5"/>
      <c r="AE279" s="5"/>
    </row>
    <row r="280">
      <c r="A280" s="5" t="s">
        <v>1303</v>
      </c>
      <c r="B280" s="44">
        <v>44607.0</v>
      </c>
      <c r="C280" s="150">
        <v>0.3477546296296296</v>
      </c>
      <c r="D280" s="5"/>
      <c r="E280" s="5"/>
      <c r="F280" s="5"/>
      <c r="G280" s="5" t="s">
        <v>2184</v>
      </c>
      <c r="H280" s="5" t="s">
        <v>244</v>
      </c>
      <c r="I280" s="44">
        <v>44607.0</v>
      </c>
      <c r="J280" s="150">
        <v>0.5868171296296296</v>
      </c>
      <c r="K280" s="19">
        <v>1.0</v>
      </c>
      <c r="L280" s="10" t="b">
        <v>1</v>
      </c>
      <c r="M280" s="5" t="s">
        <v>2479</v>
      </c>
      <c r="N280" s="5" t="s">
        <v>247</v>
      </c>
      <c r="O280" s="5"/>
      <c r="P280" s="110" t="b">
        <f t="shared" si="1"/>
        <v>0</v>
      </c>
      <c r="Q280" s="110" t="b">
        <f>IF(COUNTIF(RAW_APS!$A$2:$A815,A280)=0,TRUE,FALSE)</f>
        <v>0</v>
      </c>
      <c r="R280" s="241" t="b">
        <f t="shared" si="2"/>
        <v>0</v>
      </c>
      <c r="U280" s="112" t="str">
        <f t="shared" si="3"/>
        <v/>
      </c>
      <c r="V280" s="60"/>
      <c r="W280" s="60"/>
      <c r="X280" s="60"/>
      <c r="Y280" s="60"/>
      <c r="Z280" s="210"/>
      <c r="AA280" s="112" t="str">
        <f t="shared" si="4"/>
        <v>MA1029</v>
      </c>
      <c r="AB280" s="112" t="str">
        <f t="shared" si="5"/>
        <v/>
      </c>
      <c r="AC280" s="112" t="str">
        <f t="shared" si="6"/>
        <v/>
      </c>
      <c r="AD280" s="5"/>
      <c r="AE280" s="5"/>
    </row>
    <row r="281">
      <c r="A281" s="5" t="s">
        <v>369</v>
      </c>
      <c r="B281" s="44">
        <v>44551.0</v>
      </c>
      <c r="C281" s="150">
        <v>0.18810185185185185</v>
      </c>
      <c r="D281" s="5"/>
      <c r="E281" s="5"/>
      <c r="F281" s="5"/>
      <c r="G281" s="5" t="s">
        <v>2184</v>
      </c>
      <c r="H281" s="5" t="s">
        <v>244</v>
      </c>
      <c r="I281" s="44">
        <v>44552.0</v>
      </c>
      <c r="J281" s="150">
        <v>0.4200462962962963</v>
      </c>
      <c r="K281" s="19">
        <v>1.0</v>
      </c>
      <c r="L281" s="10" t="b">
        <v>1</v>
      </c>
      <c r="M281" s="5" t="s">
        <v>2505</v>
      </c>
      <c r="N281" s="5" t="s">
        <v>247</v>
      </c>
      <c r="O281" s="5"/>
      <c r="P281" s="110" t="b">
        <f t="shared" si="1"/>
        <v>0</v>
      </c>
      <c r="Q281" s="110" t="b">
        <f>IF(COUNTIF(RAW_APS!$A$2:$A815,A281)=0,TRUE,FALSE)</f>
        <v>0</v>
      </c>
      <c r="R281" s="241" t="b">
        <f t="shared" si="2"/>
        <v>0</v>
      </c>
      <c r="U281" s="112" t="str">
        <f t="shared" si="3"/>
        <v/>
      </c>
      <c r="V281" s="51"/>
      <c r="W281" s="51"/>
      <c r="X281" s="51"/>
      <c r="Y281" s="51"/>
      <c r="Z281" s="210"/>
      <c r="AA281" s="112" t="str">
        <f t="shared" si="4"/>
        <v>MA1030</v>
      </c>
      <c r="AB281" s="112" t="str">
        <f t="shared" si="5"/>
        <v/>
      </c>
      <c r="AC281" s="112" t="str">
        <f t="shared" si="6"/>
        <v/>
      </c>
      <c r="AD281" s="5"/>
      <c r="AE281" s="5"/>
    </row>
    <row r="282">
      <c r="A282" s="5" t="s">
        <v>758</v>
      </c>
      <c r="B282" s="44">
        <v>44573.0</v>
      </c>
      <c r="C282" s="150">
        <v>0.444224537037037</v>
      </c>
      <c r="D282" s="5"/>
      <c r="E282" s="5"/>
      <c r="F282" s="5"/>
      <c r="G282" s="5" t="s">
        <v>2184</v>
      </c>
      <c r="H282" s="5" t="s">
        <v>244</v>
      </c>
      <c r="I282" s="44">
        <v>44575.0</v>
      </c>
      <c r="J282" s="150">
        <v>0.48204861111111114</v>
      </c>
      <c r="K282" s="19">
        <v>1.0</v>
      </c>
      <c r="L282" s="10" t="b">
        <v>1</v>
      </c>
      <c r="M282" s="5" t="s">
        <v>2495</v>
      </c>
      <c r="N282" s="5" t="s">
        <v>247</v>
      </c>
      <c r="O282" s="5"/>
      <c r="P282" s="110" t="b">
        <f t="shared" si="1"/>
        <v>0</v>
      </c>
      <c r="Q282" s="110" t="b">
        <f>IF(COUNTIF(RAW_APS!$A$2:$A815,A282)=0,TRUE,FALSE)</f>
        <v>0</v>
      </c>
      <c r="R282" s="241" t="b">
        <f t="shared" si="2"/>
        <v>0</v>
      </c>
      <c r="U282" s="112" t="str">
        <f t="shared" si="3"/>
        <v/>
      </c>
      <c r="V282" s="60"/>
      <c r="W282" s="60"/>
      <c r="X282" s="60"/>
      <c r="Y282" s="60"/>
      <c r="Z282" s="210"/>
      <c r="AA282" s="112" t="str">
        <f t="shared" si="4"/>
        <v>MA1031</v>
      </c>
      <c r="AB282" s="112" t="str">
        <f t="shared" si="5"/>
        <v/>
      </c>
      <c r="AC282" s="112" t="str">
        <f t="shared" si="6"/>
        <v/>
      </c>
      <c r="AD282" s="5"/>
      <c r="AE282" s="5"/>
    </row>
    <row r="283">
      <c r="A283" s="5" t="s">
        <v>1198</v>
      </c>
      <c r="B283" s="44">
        <v>44603.0</v>
      </c>
      <c r="C283" s="150">
        <v>0.42311342592592593</v>
      </c>
      <c r="D283" s="5"/>
      <c r="E283" s="5"/>
      <c r="F283" s="5"/>
      <c r="G283" s="5" t="s">
        <v>2184</v>
      </c>
      <c r="H283" s="5" t="s">
        <v>244</v>
      </c>
      <c r="I283" s="44">
        <v>44603.0</v>
      </c>
      <c r="J283" s="150">
        <v>0.46979166666666666</v>
      </c>
      <c r="K283" s="19">
        <v>1.0</v>
      </c>
      <c r="L283" s="10" t="b">
        <v>1</v>
      </c>
      <c r="M283" s="5" t="s">
        <v>2481</v>
      </c>
      <c r="N283" s="5" t="s">
        <v>247</v>
      </c>
      <c r="O283" s="5"/>
      <c r="P283" s="110" t="b">
        <f t="shared" si="1"/>
        <v>0</v>
      </c>
      <c r="Q283" s="110" t="b">
        <f>IF(COUNTIF(RAW_APS!$A$2:$A815,A283)=0,TRUE,FALSE)</f>
        <v>0</v>
      </c>
      <c r="R283" s="241" t="b">
        <f t="shared" si="2"/>
        <v>0</v>
      </c>
      <c r="U283" s="112" t="str">
        <f t="shared" si="3"/>
        <v/>
      </c>
      <c r="V283" s="60"/>
      <c r="W283" s="60"/>
      <c r="X283" s="60"/>
      <c r="Y283" s="60"/>
      <c r="Z283" s="210"/>
      <c r="AA283" s="112" t="str">
        <f t="shared" si="4"/>
        <v>MA1032</v>
      </c>
      <c r="AB283" s="112" t="str">
        <f t="shared" si="5"/>
        <v/>
      </c>
      <c r="AC283" s="112" t="str">
        <f t="shared" si="6"/>
        <v/>
      </c>
      <c r="AD283" s="5"/>
      <c r="AE283" s="5"/>
    </row>
    <row r="284">
      <c r="A284" s="5" t="s">
        <v>1095</v>
      </c>
      <c r="B284" s="44">
        <v>44594.0</v>
      </c>
      <c r="C284" s="150">
        <v>0.34423611111111113</v>
      </c>
      <c r="D284" s="5"/>
      <c r="E284" s="5"/>
      <c r="F284" s="5"/>
      <c r="G284" s="5" t="s">
        <v>2184</v>
      </c>
      <c r="H284" s="5" t="s">
        <v>244</v>
      </c>
      <c r="I284" s="44">
        <v>44596.0</v>
      </c>
      <c r="J284" s="150">
        <v>0.48194444444444445</v>
      </c>
      <c r="K284" s="19">
        <v>1.0</v>
      </c>
      <c r="L284" s="10" t="b">
        <v>1</v>
      </c>
      <c r="M284" s="5" t="s">
        <v>2485</v>
      </c>
      <c r="N284" s="5" t="s">
        <v>247</v>
      </c>
      <c r="O284" s="5"/>
      <c r="P284" s="110" t="b">
        <f t="shared" si="1"/>
        <v>0</v>
      </c>
      <c r="Q284" s="110" t="b">
        <f>IF(COUNTIF(RAW_APS!$A$2:$A815,A284)=0,TRUE,FALSE)</f>
        <v>0</v>
      </c>
      <c r="R284" s="241" t="b">
        <f t="shared" si="2"/>
        <v>0</v>
      </c>
      <c r="U284" s="112" t="str">
        <f t="shared" si="3"/>
        <v/>
      </c>
      <c r="V284" s="60"/>
      <c r="W284" s="60"/>
      <c r="X284" s="60"/>
      <c r="Y284" s="60"/>
      <c r="Z284" s="210"/>
      <c r="AA284" s="112" t="str">
        <f t="shared" si="4"/>
        <v>MA1033</v>
      </c>
      <c r="AB284" s="112" t="str">
        <f t="shared" si="5"/>
        <v/>
      </c>
      <c r="AC284" s="112" t="str">
        <f t="shared" si="6"/>
        <v/>
      </c>
      <c r="AD284" s="5"/>
      <c r="AE284" s="5"/>
    </row>
    <row r="285">
      <c r="A285" s="5" t="s">
        <v>790</v>
      </c>
      <c r="B285" s="44">
        <v>44575.0</v>
      </c>
      <c r="C285" s="150">
        <v>0.3307175925925926</v>
      </c>
      <c r="D285" s="5"/>
      <c r="E285" s="5"/>
      <c r="F285" s="5"/>
      <c r="G285" s="5" t="s">
        <v>2184</v>
      </c>
      <c r="H285" s="5" t="s">
        <v>244</v>
      </c>
      <c r="I285" s="44">
        <v>44575.0</v>
      </c>
      <c r="J285" s="150">
        <v>0.4820601851851852</v>
      </c>
      <c r="K285" s="19">
        <v>1.0</v>
      </c>
      <c r="L285" s="10" t="b">
        <v>1</v>
      </c>
      <c r="M285" s="5" t="s">
        <v>2493</v>
      </c>
      <c r="N285" s="5" t="s">
        <v>247</v>
      </c>
      <c r="O285" s="5"/>
      <c r="P285" s="110" t="b">
        <f t="shared" si="1"/>
        <v>0</v>
      </c>
      <c r="Q285" s="110" t="b">
        <f>IF(COUNTIF(RAW_APS!$A$2:$A815,A285)=0,TRUE,FALSE)</f>
        <v>0</v>
      </c>
      <c r="R285" s="241" t="b">
        <f t="shared" si="2"/>
        <v>0</v>
      </c>
      <c r="U285" s="112" t="str">
        <f t="shared" si="3"/>
        <v/>
      </c>
      <c r="V285" s="60"/>
      <c r="W285" s="60"/>
      <c r="X285" s="60"/>
      <c r="Y285" s="60"/>
      <c r="Z285" s="210"/>
      <c r="AA285" s="112" t="str">
        <f t="shared" si="4"/>
        <v>MA1034</v>
      </c>
      <c r="AB285" s="112" t="str">
        <f t="shared" si="5"/>
        <v/>
      </c>
      <c r="AC285" s="112" t="str">
        <f t="shared" si="6"/>
        <v/>
      </c>
      <c r="AD285" s="5"/>
      <c r="AE285" s="5"/>
    </row>
    <row r="286">
      <c r="A286" s="5" t="s">
        <v>648</v>
      </c>
      <c r="B286" s="44">
        <v>44571.0</v>
      </c>
      <c r="C286" s="150">
        <v>0.3492013888888889</v>
      </c>
      <c r="D286" s="5"/>
      <c r="E286" s="5"/>
      <c r="F286" s="5"/>
      <c r="G286" s="5" t="s">
        <v>2184</v>
      </c>
      <c r="H286" s="5" t="s">
        <v>244</v>
      </c>
      <c r="I286" s="44">
        <v>44571.0</v>
      </c>
      <c r="J286" s="150">
        <v>0.46598379629629627</v>
      </c>
      <c r="K286" s="19">
        <v>1.0</v>
      </c>
      <c r="L286" s="10" t="b">
        <v>1</v>
      </c>
      <c r="M286" s="5" t="s">
        <v>2496</v>
      </c>
      <c r="N286" s="5" t="s">
        <v>247</v>
      </c>
      <c r="O286" s="5"/>
      <c r="P286" s="110" t="b">
        <f t="shared" si="1"/>
        <v>0</v>
      </c>
      <c r="Q286" s="110" t="b">
        <f>IF(COUNTIF(RAW_APS!$A$2:$A815,A286)=0,TRUE,FALSE)</f>
        <v>0</v>
      </c>
      <c r="R286" s="241" t="b">
        <f t="shared" si="2"/>
        <v>0</v>
      </c>
      <c r="U286" s="112" t="str">
        <f t="shared" si="3"/>
        <v/>
      </c>
      <c r="V286" s="60"/>
      <c r="W286" s="60"/>
      <c r="X286" s="60"/>
      <c r="Y286" s="60"/>
      <c r="Z286" s="210"/>
      <c r="AA286" s="112" t="str">
        <f t="shared" si="4"/>
        <v>MA1035</v>
      </c>
      <c r="AB286" s="112" t="str">
        <f t="shared" si="5"/>
        <v/>
      </c>
      <c r="AC286" s="112" t="str">
        <f t="shared" si="6"/>
        <v/>
      </c>
      <c r="AD286" s="5"/>
      <c r="AE286" s="5"/>
    </row>
    <row r="287">
      <c r="A287" s="5" t="s">
        <v>335</v>
      </c>
      <c r="B287" s="44">
        <v>44547.0</v>
      </c>
      <c r="C287" s="150">
        <v>0.37118055555555557</v>
      </c>
      <c r="D287" s="5"/>
      <c r="E287" s="5"/>
      <c r="F287" s="5"/>
      <c r="G287" s="5" t="s">
        <v>2184</v>
      </c>
      <c r="H287" s="5" t="s">
        <v>244</v>
      </c>
      <c r="I287" s="44">
        <v>44547.0</v>
      </c>
      <c r="J287" s="150">
        <v>0.41434027777777777</v>
      </c>
      <c r="K287" s="19">
        <v>1.0</v>
      </c>
      <c r="L287" s="10" t="b">
        <v>1</v>
      </c>
      <c r="M287" s="5" t="s">
        <v>2507</v>
      </c>
      <c r="N287" s="5" t="s">
        <v>247</v>
      </c>
      <c r="O287" s="5"/>
      <c r="P287" s="110" t="b">
        <f t="shared" si="1"/>
        <v>0</v>
      </c>
      <c r="Q287" s="110" t="b">
        <f>IF(COUNTIF(RAW_APS!$A$2:$A815,A287)=0,TRUE,FALSE)</f>
        <v>0</v>
      </c>
      <c r="R287" s="241" t="b">
        <f t="shared" si="2"/>
        <v>0</v>
      </c>
      <c r="U287" s="112" t="str">
        <f t="shared" si="3"/>
        <v/>
      </c>
      <c r="V287" s="51"/>
      <c r="W287" s="51"/>
      <c r="X287" s="51"/>
      <c r="Y287" s="51"/>
      <c r="Z287" s="210"/>
      <c r="AA287" s="112" t="str">
        <f t="shared" si="4"/>
        <v>MA1036</v>
      </c>
      <c r="AB287" s="112" t="str">
        <f t="shared" si="5"/>
        <v/>
      </c>
      <c r="AC287" s="112" t="str">
        <f t="shared" si="6"/>
        <v/>
      </c>
      <c r="AD287" s="5"/>
      <c r="AE287" s="5"/>
    </row>
    <row r="288">
      <c r="A288" s="5" t="s">
        <v>907</v>
      </c>
      <c r="B288" s="44">
        <v>44579.0</v>
      </c>
      <c r="C288" s="150">
        <v>0.4153472222222222</v>
      </c>
      <c r="D288" s="5"/>
      <c r="E288" s="5"/>
      <c r="F288" s="5"/>
      <c r="G288" s="5" t="s">
        <v>2184</v>
      </c>
      <c r="H288" s="5" t="s">
        <v>52</v>
      </c>
      <c r="I288" s="44">
        <v>44579.0</v>
      </c>
      <c r="J288" s="150">
        <v>0.5015972222222222</v>
      </c>
      <c r="K288" s="19">
        <v>1.0</v>
      </c>
      <c r="L288" s="10" t="b">
        <v>1</v>
      </c>
      <c r="M288" s="5"/>
      <c r="N288" s="5" t="s">
        <v>247</v>
      </c>
      <c r="O288" s="5"/>
      <c r="P288" s="110" t="b">
        <f t="shared" si="1"/>
        <v>0</v>
      </c>
      <c r="Q288" s="110" t="b">
        <f>IF(COUNTIF(RAW_APS!$A$2:$A815,A288)=0,TRUE,FALSE)</f>
        <v>0</v>
      </c>
      <c r="R288" s="241" t="b">
        <f t="shared" si="2"/>
        <v>0</v>
      </c>
      <c r="U288" s="112" t="str">
        <f t="shared" si="3"/>
        <v/>
      </c>
      <c r="V288" s="60"/>
      <c r="W288" s="60"/>
      <c r="X288" s="60"/>
      <c r="Y288" s="60"/>
      <c r="Z288" s="210"/>
      <c r="AA288" s="112" t="str">
        <f t="shared" si="4"/>
        <v>MA1037</v>
      </c>
      <c r="AB288" s="112" t="str">
        <f t="shared" si="5"/>
        <v/>
      </c>
      <c r="AC288" s="112" t="str">
        <f t="shared" si="6"/>
        <v/>
      </c>
      <c r="AD288" s="5"/>
      <c r="AE288" s="5"/>
    </row>
    <row r="289">
      <c r="A289" s="5" t="s">
        <v>1572</v>
      </c>
      <c r="B289" s="44">
        <v>44615.0</v>
      </c>
      <c r="C289" s="150">
        <v>0.32104166666666667</v>
      </c>
      <c r="D289" s="5"/>
      <c r="E289" s="5"/>
      <c r="F289" s="5"/>
      <c r="G289" s="5" t="s">
        <v>2184</v>
      </c>
      <c r="H289" s="5" t="s">
        <v>52</v>
      </c>
      <c r="I289" s="44">
        <v>44615.0</v>
      </c>
      <c r="J289" s="150">
        <v>0.49125</v>
      </c>
      <c r="K289" s="19">
        <v>1.0</v>
      </c>
      <c r="L289" s="10" t="b">
        <v>1</v>
      </c>
      <c r="M289" s="5" t="s">
        <v>2474</v>
      </c>
      <c r="N289" s="5" t="s">
        <v>247</v>
      </c>
      <c r="O289" s="5"/>
      <c r="P289" s="110" t="b">
        <f t="shared" si="1"/>
        <v>0</v>
      </c>
      <c r="Q289" s="110" t="b">
        <f>IF(COUNTIF(RAW_APS!$A$2:$A815,A289)=0,TRUE,FALSE)</f>
        <v>0</v>
      </c>
      <c r="R289" s="241" t="b">
        <f t="shared" si="2"/>
        <v>0</v>
      </c>
      <c r="U289" s="112" t="str">
        <f t="shared" si="3"/>
        <v/>
      </c>
      <c r="V289" s="60"/>
      <c r="W289" s="60"/>
      <c r="X289" s="60"/>
      <c r="Y289" s="60"/>
      <c r="Z289" s="210"/>
      <c r="AA289" s="112" t="str">
        <f t="shared" si="4"/>
        <v>MA1038</v>
      </c>
      <c r="AB289" s="112" t="str">
        <f t="shared" si="5"/>
        <v/>
      </c>
      <c r="AC289" s="112" t="str">
        <f t="shared" si="6"/>
        <v/>
      </c>
      <c r="AD289" s="5"/>
      <c r="AE289" s="5"/>
    </row>
    <row r="290">
      <c r="A290" s="5" t="s">
        <v>1643</v>
      </c>
      <c r="B290" s="44">
        <v>44617.0</v>
      </c>
      <c r="C290" s="150">
        <v>0.32024305555555554</v>
      </c>
      <c r="D290" s="5"/>
      <c r="E290" s="5"/>
      <c r="F290" s="5"/>
      <c r="G290" s="5" t="s">
        <v>2184</v>
      </c>
      <c r="H290" s="5" t="s">
        <v>244</v>
      </c>
      <c r="I290" s="44">
        <v>44617.0</v>
      </c>
      <c r="J290" s="150">
        <v>0.5033680555555555</v>
      </c>
      <c r="K290" s="19">
        <v>1.0</v>
      </c>
      <c r="L290" s="10" t="b">
        <v>1</v>
      </c>
      <c r="M290" s="5" t="s">
        <v>2473</v>
      </c>
      <c r="N290" s="5" t="s">
        <v>247</v>
      </c>
      <c r="O290" s="5"/>
      <c r="P290" s="110" t="b">
        <f t="shared" si="1"/>
        <v>0</v>
      </c>
      <c r="Q290" s="110" t="b">
        <f>IF(COUNTIF(RAW_APS!$A$2:$A815,A290)=0,TRUE,FALSE)</f>
        <v>0</v>
      </c>
      <c r="R290" s="241" t="b">
        <f t="shared" si="2"/>
        <v>0</v>
      </c>
      <c r="U290" s="112" t="str">
        <f t="shared" si="3"/>
        <v/>
      </c>
      <c r="V290" s="60"/>
      <c r="W290" s="60"/>
      <c r="X290" s="60"/>
      <c r="Y290" s="60"/>
      <c r="Z290" s="210"/>
      <c r="AA290" s="112" t="str">
        <f t="shared" si="4"/>
        <v>MA1039</v>
      </c>
      <c r="AB290" s="112" t="str">
        <f t="shared" si="5"/>
        <v/>
      </c>
      <c r="AC290" s="112" t="str">
        <f t="shared" si="6"/>
        <v/>
      </c>
      <c r="AD290" s="5"/>
      <c r="AE290" s="5"/>
    </row>
    <row r="291">
      <c r="A291" s="5" t="s">
        <v>1459</v>
      </c>
      <c r="B291" s="44">
        <v>44611.0</v>
      </c>
      <c r="C291" s="150">
        <v>0.3335763888888889</v>
      </c>
      <c r="D291" s="5"/>
      <c r="E291" s="5"/>
      <c r="F291" s="5"/>
      <c r="G291" s="5" t="s">
        <v>2184</v>
      </c>
      <c r="H291" s="5" t="s">
        <v>244</v>
      </c>
      <c r="I291" s="44">
        <v>44611.0</v>
      </c>
      <c r="J291" s="150">
        <v>0.4882638888888889</v>
      </c>
      <c r="K291" s="19">
        <v>1.0</v>
      </c>
      <c r="L291" s="10" t="b">
        <v>1</v>
      </c>
      <c r="M291" s="5" t="s">
        <v>2477</v>
      </c>
      <c r="N291" s="5" t="s">
        <v>247</v>
      </c>
      <c r="O291" s="5"/>
      <c r="P291" s="110" t="b">
        <f t="shared" si="1"/>
        <v>0</v>
      </c>
      <c r="Q291" s="110" t="b">
        <f>IF(COUNTIF(RAW_APS!$A$2:$A815,A291)=0,TRUE,FALSE)</f>
        <v>0</v>
      </c>
      <c r="R291" s="241" t="b">
        <f t="shared" si="2"/>
        <v>0</v>
      </c>
      <c r="U291" s="112" t="str">
        <f t="shared" si="3"/>
        <v/>
      </c>
      <c r="V291" s="60"/>
      <c r="W291" s="60"/>
      <c r="X291" s="60"/>
      <c r="Y291" s="60"/>
      <c r="Z291" s="210"/>
      <c r="AA291" s="112" t="str">
        <f t="shared" si="4"/>
        <v>MA1040</v>
      </c>
      <c r="AB291" s="112" t="str">
        <f t="shared" si="5"/>
        <v/>
      </c>
      <c r="AC291" s="112" t="str">
        <f t="shared" si="6"/>
        <v/>
      </c>
      <c r="AD291" s="5"/>
      <c r="AE291" s="5"/>
    </row>
    <row r="292">
      <c r="A292" s="5" t="s">
        <v>1585</v>
      </c>
      <c r="B292" s="44">
        <v>44615.0</v>
      </c>
      <c r="C292" s="150">
        <v>0.33231481481481484</v>
      </c>
      <c r="D292" s="5"/>
      <c r="E292" s="5"/>
      <c r="F292" s="5"/>
      <c r="G292" s="5" t="s">
        <v>2184</v>
      </c>
      <c r="H292" s="5" t="s">
        <v>52</v>
      </c>
      <c r="I292" s="44">
        <v>44615.0</v>
      </c>
      <c r="J292" s="150">
        <v>0.49125</v>
      </c>
      <c r="K292" s="19">
        <v>1.0</v>
      </c>
      <c r="L292" s="10" t="b">
        <v>1</v>
      </c>
      <c r="M292" s="5" t="s">
        <v>2474</v>
      </c>
      <c r="N292" s="5" t="s">
        <v>247</v>
      </c>
      <c r="O292" s="5"/>
      <c r="P292" s="110" t="b">
        <f t="shared" si="1"/>
        <v>0</v>
      </c>
      <c r="Q292" s="110" t="b">
        <f>IF(COUNTIF(RAW_APS!$A$2:$A815,A292)=0,TRUE,FALSE)</f>
        <v>0</v>
      </c>
      <c r="R292" s="241" t="b">
        <f t="shared" si="2"/>
        <v>0</v>
      </c>
      <c r="U292" s="112" t="str">
        <f t="shared" si="3"/>
        <v/>
      </c>
      <c r="V292" s="60"/>
      <c r="W292" s="60"/>
      <c r="X292" s="60"/>
      <c r="Y292" s="60"/>
      <c r="Z292" s="210"/>
      <c r="AA292" s="112" t="str">
        <f t="shared" si="4"/>
        <v>MA1041</v>
      </c>
      <c r="AB292" s="112" t="str">
        <f t="shared" si="5"/>
        <v/>
      </c>
      <c r="AC292" s="112" t="str">
        <f t="shared" si="6"/>
        <v/>
      </c>
      <c r="AD292" s="5"/>
      <c r="AE292" s="5"/>
    </row>
    <row r="293">
      <c r="A293" s="5" t="s">
        <v>770</v>
      </c>
      <c r="B293" s="44">
        <v>44574.0</v>
      </c>
      <c r="C293" s="150">
        <v>0.6712731481481482</v>
      </c>
      <c r="D293" s="5"/>
      <c r="E293" s="5"/>
      <c r="F293" s="5"/>
      <c r="G293" s="5" t="s">
        <v>2184</v>
      </c>
      <c r="H293" s="5" t="s">
        <v>244</v>
      </c>
      <c r="I293" s="44">
        <v>44575.0</v>
      </c>
      <c r="J293" s="150">
        <v>0.48204861111111114</v>
      </c>
      <c r="K293" s="19">
        <v>1.0</v>
      </c>
      <c r="L293" s="10" t="b">
        <v>1</v>
      </c>
      <c r="M293" s="5" t="s">
        <v>2493</v>
      </c>
      <c r="N293" s="5" t="s">
        <v>247</v>
      </c>
      <c r="O293" s="5"/>
      <c r="P293" s="110" t="b">
        <f t="shared" si="1"/>
        <v>0</v>
      </c>
      <c r="Q293" s="110" t="b">
        <f>IF(COUNTIF(RAW_APS!$A$2:$A815,A293)=0,TRUE,FALSE)</f>
        <v>0</v>
      </c>
      <c r="R293" s="241" t="b">
        <f t="shared" si="2"/>
        <v>0</v>
      </c>
      <c r="U293" s="112" t="str">
        <f t="shared" si="3"/>
        <v/>
      </c>
      <c r="V293" s="60"/>
      <c r="W293" s="60"/>
      <c r="X293" s="60"/>
      <c r="Y293" s="60"/>
      <c r="Z293" s="210"/>
      <c r="AA293" s="112" t="str">
        <f t="shared" si="4"/>
        <v>MA1042</v>
      </c>
      <c r="AB293" s="112" t="str">
        <f t="shared" si="5"/>
        <v/>
      </c>
      <c r="AC293" s="112" t="str">
        <f t="shared" si="6"/>
        <v/>
      </c>
      <c r="AD293" s="5"/>
      <c r="AE293" s="5"/>
    </row>
    <row r="294">
      <c r="A294" s="5" t="s">
        <v>331</v>
      </c>
      <c r="B294" s="44">
        <v>44547.0</v>
      </c>
      <c r="C294" s="150">
        <v>0.3417824074074074</v>
      </c>
      <c r="D294" s="5"/>
      <c r="E294" s="5"/>
      <c r="F294" s="5"/>
      <c r="G294" s="5" t="s">
        <v>2188</v>
      </c>
      <c r="H294" s="5" t="s">
        <v>254</v>
      </c>
      <c r="I294" s="44">
        <v>44861.0</v>
      </c>
      <c r="J294" s="150">
        <v>0.4895023148148148</v>
      </c>
      <c r="K294" s="19">
        <v>1.0</v>
      </c>
      <c r="L294" s="5"/>
      <c r="M294" s="5"/>
      <c r="N294" s="5" t="s">
        <v>247</v>
      </c>
      <c r="O294" s="5"/>
      <c r="P294" s="110" t="b">
        <f t="shared" si="1"/>
        <v>0</v>
      </c>
      <c r="Q294" s="110" t="b">
        <f>IF(COUNTIF(RAW_APS!$A$2:$A815,A294)=0,TRUE,FALSE)</f>
        <v>0</v>
      </c>
      <c r="R294" s="241" t="b">
        <f t="shared" si="2"/>
        <v>1</v>
      </c>
      <c r="T294" s="2">
        <v>5.3</v>
      </c>
      <c r="U294" s="112" t="str">
        <f t="shared" si="3"/>
        <v/>
      </c>
      <c r="V294" s="51"/>
      <c r="W294" s="51"/>
      <c r="X294" s="51"/>
      <c r="Y294" s="51"/>
      <c r="Z294" s="210"/>
      <c r="AA294" s="112" t="str">
        <f t="shared" si="4"/>
        <v>MA1043</v>
      </c>
      <c r="AB294" s="112" t="str">
        <f t="shared" si="5"/>
        <v>MA1043</v>
      </c>
      <c r="AC294" s="112">
        <f t="shared" si="6"/>
        <v>2</v>
      </c>
      <c r="AD294" s="5"/>
      <c r="AE294" s="5"/>
    </row>
    <row r="295">
      <c r="A295" s="5" t="s">
        <v>2456</v>
      </c>
      <c r="B295" s="44">
        <v>44547.0</v>
      </c>
      <c r="C295" s="150">
        <v>0.4032291666666667</v>
      </c>
      <c r="D295" s="5"/>
      <c r="E295" s="5"/>
      <c r="F295" s="5"/>
      <c r="G295" s="5" t="s">
        <v>2184</v>
      </c>
      <c r="H295" s="5" t="s">
        <v>52</v>
      </c>
      <c r="I295" s="44">
        <v>44547.0</v>
      </c>
      <c r="J295" s="150">
        <v>0.5028472222222222</v>
      </c>
      <c r="K295" s="19">
        <v>1.0</v>
      </c>
      <c r="L295" s="10" t="b">
        <v>1</v>
      </c>
      <c r="M295" s="5"/>
      <c r="N295" s="5" t="s">
        <v>247</v>
      </c>
      <c r="O295" s="5"/>
      <c r="P295" s="110" t="b">
        <f t="shared" si="1"/>
        <v>0</v>
      </c>
      <c r="Q295" s="110" t="b">
        <f>IF(COUNTIF(RAW_APS!$A$2:$A815,A295)=0,TRUE,FALSE)</f>
        <v>0</v>
      </c>
      <c r="R295" s="241" t="b">
        <f t="shared" si="2"/>
        <v>1</v>
      </c>
      <c r="U295" s="112" t="str">
        <f t="shared" si="3"/>
        <v/>
      </c>
      <c r="V295" s="242"/>
      <c r="W295" s="242"/>
      <c r="X295" s="242"/>
      <c r="Y295" s="242"/>
      <c r="Z295" s="210"/>
      <c r="AA295" s="112" t="str">
        <f t="shared" si="4"/>
        <v>MA1043</v>
      </c>
      <c r="AB295" s="112" t="str">
        <f t="shared" si="5"/>
        <v/>
      </c>
      <c r="AC295" s="112" t="str">
        <f t="shared" si="6"/>
        <v/>
      </c>
      <c r="AD295" s="5"/>
      <c r="AE295" s="5"/>
    </row>
    <row r="296">
      <c r="A296" s="5" t="s">
        <v>1535</v>
      </c>
      <c r="B296" s="44">
        <v>44613.0</v>
      </c>
      <c r="C296" s="150">
        <v>0.32894675925925926</v>
      </c>
      <c r="D296" s="5"/>
      <c r="E296" s="5"/>
      <c r="F296" s="5"/>
      <c r="G296" s="5" t="s">
        <v>2184</v>
      </c>
      <c r="H296" s="5" t="s">
        <v>244</v>
      </c>
      <c r="I296" s="44">
        <v>44613.0</v>
      </c>
      <c r="J296" s="150">
        <v>0.4694097222222222</v>
      </c>
      <c r="K296" s="19">
        <v>1.0</v>
      </c>
      <c r="L296" s="10" t="b">
        <v>1</v>
      </c>
      <c r="M296" s="5" t="s">
        <v>2476</v>
      </c>
      <c r="N296" s="5" t="s">
        <v>247</v>
      </c>
      <c r="O296" s="5"/>
      <c r="P296" s="110" t="b">
        <f t="shared" si="1"/>
        <v>0</v>
      </c>
      <c r="Q296" s="110" t="b">
        <f>IF(COUNTIF(RAW_APS!$A$2:$A815,A296)=0,TRUE,FALSE)</f>
        <v>0</v>
      </c>
      <c r="R296" s="241" t="b">
        <f t="shared" si="2"/>
        <v>0</v>
      </c>
      <c r="U296" s="112" t="str">
        <f t="shared" si="3"/>
        <v/>
      </c>
      <c r="V296" s="60"/>
      <c r="W296" s="60"/>
      <c r="X296" s="60"/>
      <c r="Y296" s="60"/>
      <c r="Z296" s="210"/>
      <c r="AA296" s="112" t="str">
        <f t="shared" si="4"/>
        <v>MA1044</v>
      </c>
      <c r="AB296" s="112" t="str">
        <f t="shared" si="5"/>
        <v/>
      </c>
      <c r="AC296" s="112" t="str">
        <f t="shared" si="6"/>
        <v/>
      </c>
      <c r="AD296" s="5"/>
      <c r="AE296" s="5"/>
    </row>
    <row r="297">
      <c r="A297" s="5" t="s">
        <v>1541</v>
      </c>
      <c r="B297" s="44">
        <v>44614.0</v>
      </c>
      <c r="C297" s="150">
        <v>0.3566898148148148</v>
      </c>
      <c r="D297" s="5"/>
      <c r="E297" s="5"/>
      <c r="F297" s="5"/>
      <c r="G297" s="5" t="s">
        <v>2184</v>
      </c>
      <c r="H297" s="5" t="s">
        <v>52</v>
      </c>
      <c r="I297" s="44">
        <v>44614.0</v>
      </c>
      <c r="J297" s="150">
        <v>0.6649768518518518</v>
      </c>
      <c r="K297" s="19">
        <v>1.0</v>
      </c>
      <c r="L297" s="10" t="b">
        <v>1</v>
      </c>
      <c r="M297" s="5" t="s">
        <v>2475</v>
      </c>
      <c r="N297" s="5" t="s">
        <v>247</v>
      </c>
      <c r="O297" s="5"/>
      <c r="P297" s="110" t="b">
        <f t="shared" si="1"/>
        <v>0</v>
      </c>
      <c r="Q297" s="110" t="b">
        <f>IF(COUNTIF(RAW_APS!$A$2:$A815,A297)=0,TRUE,FALSE)</f>
        <v>0</v>
      </c>
      <c r="R297" s="241" t="b">
        <f t="shared" si="2"/>
        <v>0</v>
      </c>
      <c r="U297" s="112" t="str">
        <f t="shared" si="3"/>
        <v/>
      </c>
      <c r="V297" s="60"/>
      <c r="W297" s="60"/>
      <c r="X297" s="60"/>
      <c r="Y297" s="60"/>
      <c r="Z297" s="210"/>
      <c r="AA297" s="112" t="str">
        <f t="shared" si="4"/>
        <v>MA1045</v>
      </c>
      <c r="AB297" s="112" t="str">
        <f t="shared" si="5"/>
        <v/>
      </c>
      <c r="AC297" s="112" t="str">
        <f t="shared" si="6"/>
        <v/>
      </c>
      <c r="AD297" s="5"/>
      <c r="AE297" s="5"/>
    </row>
    <row r="298">
      <c r="A298" s="5" t="s">
        <v>970</v>
      </c>
      <c r="B298" s="44">
        <v>44582.0</v>
      </c>
      <c r="C298" s="150">
        <v>0.3526388888888889</v>
      </c>
      <c r="D298" s="5"/>
      <c r="E298" s="5"/>
      <c r="F298" s="5"/>
      <c r="G298" s="5" t="s">
        <v>2184</v>
      </c>
      <c r="H298" s="5" t="s">
        <v>52</v>
      </c>
      <c r="I298" s="44">
        <v>44582.0</v>
      </c>
      <c r="J298" s="150">
        <v>0.4884027777777778</v>
      </c>
      <c r="K298" s="19">
        <v>1.0</v>
      </c>
      <c r="L298" s="10" t="b">
        <v>1</v>
      </c>
      <c r="M298" s="5"/>
      <c r="N298" s="5" t="s">
        <v>247</v>
      </c>
      <c r="O298" s="5"/>
      <c r="P298" s="110" t="b">
        <f t="shared" si="1"/>
        <v>0</v>
      </c>
      <c r="Q298" s="110" t="b">
        <f>IF(COUNTIF(RAW_APS!$A$2:$A815,A298)=0,TRUE,FALSE)</f>
        <v>0</v>
      </c>
      <c r="R298" s="241" t="b">
        <f t="shared" si="2"/>
        <v>0</v>
      </c>
      <c r="U298" s="112" t="str">
        <f t="shared" si="3"/>
        <v/>
      </c>
      <c r="V298" s="60"/>
      <c r="W298" s="60"/>
      <c r="X298" s="60"/>
      <c r="Y298" s="60"/>
      <c r="Z298" s="210"/>
      <c r="AA298" s="112" t="str">
        <f t="shared" si="4"/>
        <v>MA1047</v>
      </c>
      <c r="AB298" s="112" t="str">
        <f t="shared" si="5"/>
        <v/>
      </c>
      <c r="AC298" s="112" t="str">
        <f t="shared" si="6"/>
        <v/>
      </c>
      <c r="AD298" s="5"/>
      <c r="AE298" s="5"/>
    </row>
    <row r="299">
      <c r="A299" s="5" t="s">
        <v>962</v>
      </c>
      <c r="B299" s="44">
        <v>44582.0</v>
      </c>
      <c r="C299" s="150">
        <v>0.34140046296296295</v>
      </c>
      <c r="D299" s="5"/>
      <c r="E299" s="5"/>
      <c r="F299" s="5"/>
      <c r="G299" s="5" t="s">
        <v>2184</v>
      </c>
      <c r="H299" s="5" t="s">
        <v>244</v>
      </c>
      <c r="I299" s="44">
        <v>44582.0</v>
      </c>
      <c r="J299" s="150">
        <v>0.4884027777777778</v>
      </c>
      <c r="K299" s="19">
        <v>1.0</v>
      </c>
      <c r="L299" s="10" t="b">
        <v>1</v>
      </c>
      <c r="M299" s="5" t="s">
        <v>2490</v>
      </c>
      <c r="N299" s="5" t="s">
        <v>247</v>
      </c>
      <c r="O299" s="5"/>
      <c r="P299" s="110" t="b">
        <f t="shared" si="1"/>
        <v>0</v>
      </c>
      <c r="Q299" s="110" t="b">
        <f>IF(COUNTIF(RAW_APS!$A$2:$A815,A299)=0,TRUE,FALSE)</f>
        <v>0</v>
      </c>
      <c r="R299" s="241" t="b">
        <f t="shared" si="2"/>
        <v>0</v>
      </c>
      <c r="U299" s="112" t="str">
        <f t="shared" si="3"/>
        <v/>
      </c>
      <c r="V299" s="60"/>
      <c r="W299" s="60"/>
      <c r="X299" s="60"/>
      <c r="Y299" s="60"/>
      <c r="Z299" s="210"/>
      <c r="AA299" s="112" t="str">
        <f t="shared" si="4"/>
        <v>MA1048</v>
      </c>
      <c r="AB299" s="112" t="str">
        <f t="shared" si="5"/>
        <v/>
      </c>
      <c r="AC299" s="112" t="str">
        <f t="shared" si="6"/>
        <v/>
      </c>
      <c r="AD299" s="5"/>
      <c r="AE299" s="5"/>
    </row>
    <row r="300">
      <c r="A300" s="5" t="s">
        <v>470</v>
      </c>
      <c r="B300" s="44">
        <v>44564.0</v>
      </c>
      <c r="C300" s="150">
        <v>0.3424074074074074</v>
      </c>
      <c r="D300" s="5"/>
      <c r="E300" s="5"/>
      <c r="F300" s="5"/>
      <c r="G300" s="5" t="s">
        <v>2184</v>
      </c>
      <c r="H300" s="5" t="s">
        <v>244</v>
      </c>
      <c r="I300" s="44">
        <v>44564.0</v>
      </c>
      <c r="J300" s="150">
        <v>0.5280439814814815</v>
      </c>
      <c r="K300" s="19">
        <v>1.0</v>
      </c>
      <c r="L300" s="10" t="b">
        <v>1</v>
      </c>
      <c r="M300" s="5" t="s">
        <v>2500</v>
      </c>
      <c r="N300" s="5" t="s">
        <v>247</v>
      </c>
      <c r="O300" s="5"/>
      <c r="P300" s="110" t="b">
        <f t="shared" si="1"/>
        <v>0</v>
      </c>
      <c r="Q300" s="110" t="b">
        <f>IF(COUNTIF(RAW_APS!$A$2:$A815,A300)=0,TRUE,FALSE)</f>
        <v>0</v>
      </c>
      <c r="R300" s="241" t="b">
        <f t="shared" si="2"/>
        <v>0</v>
      </c>
      <c r="U300" s="112" t="str">
        <f t="shared" si="3"/>
        <v/>
      </c>
      <c r="V300" s="60"/>
      <c r="W300" s="60"/>
      <c r="X300" s="60"/>
      <c r="Y300" s="60"/>
      <c r="Z300" s="210"/>
      <c r="AA300" s="112" t="str">
        <f t="shared" si="4"/>
        <v>MA1049</v>
      </c>
      <c r="AB300" s="112" t="str">
        <f t="shared" si="5"/>
        <v/>
      </c>
      <c r="AC300" s="112" t="str">
        <f t="shared" si="6"/>
        <v/>
      </c>
      <c r="AD300" s="5"/>
      <c r="AE300" s="5"/>
    </row>
    <row r="301">
      <c r="A301" s="5" t="s">
        <v>1224</v>
      </c>
      <c r="B301" s="44">
        <v>44607.0</v>
      </c>
      <c r="C301" s="150">
        <v>0.29532407407407407</v>
      </c>
      <c r="D301" s="5"/>
      <c r="E301" s="5"/>
      <c r="F301" s="5"/>
      <c r="G301" s="5" t="s">
        <v>2184</v>
      </c>
      <c r="H301" s="5" t="s">
        <v>244</v>
      </c>
      <c r="I301" s="44">
        <v>44607.0</v>
      </c>
      <c r="J301" s="150">
        <v>0.5867939814814814</v>
      </c>
      <c r="K301" s="19">
        <v>1.0</v>
      </c>
      <c r="L301" s="10" t="b">
        <v>1</v>
      </c>
      <c r="M301" s="5" t="s">
        <v>2479</v>
      </c>
      <c r="N301" s="5" t="s">
        <v>247</v>
      </c>
      <c r="O301" s="5"/>
      <c r="P301" s="110" t="b">
        <f t="shared" si="1"/>
        <v>0</v>
      </c>
      <c r="Q301" s="110" t="b">
        <f>IF(COUNTIF(RAW_APS!$A$2:$A815,A301)=0,TRUE,FALSE)</f>
        <v>0</v>
      </c>
      <c r="R301" s="241" t="b">
        <f t="shared" si="2"/>
        <v>0</v>
      </c>
      <c r="U301" s="112" t="str">
        <f t="shared" si="3"/>
        <v/>
      </c>
      <c r="V301" s="60"/>
      <c r="W301" s="60"/>
      <c r="X301" s="60"/>
      <c r="Y301" s="60"/>
      <c r="Z301" s="210"/>
      <c r="AA301" s="112" t="str">
        <f t="shared" si="4"/>
        <v>MA1050</v>
      </c>
      <c r="AB301" s="112" t="str">
        <f t="shared" si="5"/>
        <v/>
      </c>
      <c r="AC301" s="112" t="str">
        <f t="shared" si="6"/>
        <v/>
      </c>
      <c r="AD301" s="5"/>
      <c r="AE301" s="5"/>
    </row>
    <row r="302">
      <c r="A302" s="5" t="s">
        <v>570</v>
      </c>
      <c r="B302" s="44">
        <v>44568.0</v>
      </c>
      <c r="C302" s="150">
        <v>0.3292824074074074</v>
      </c>
      <c r="D302" s="5"/>
      <c r="E302" s="5"/>
      <c r="F302" s="5"/>
      <c r="G302" s="5" t="s">
        <v>2184</v>
      </c>
      <c r="H302" s="5" t="s">
        <v>244</v>
      </c>
      <c r="I302" s="44">
        <v>44568.0</v>
      </c>
      <c r="J302" s="150">
        <v>0.5079050925925926</v>
      </c>
      <c r="K302" s="19">
        <v>1.0</v>
      </c>
      <c r="L302" s="10" t="b">
        <v>1</v>
      </c>
      <c r="M302" s="5"/>
      <c r="N302" s="5" t="s">
        <v>247</v>
      </c>
      <c r="O302" s="5"/>
      <c r="P302" s="110" t="b">
        <f t="shared" si="1"/>
        <v>0</v>
      </c>
      <c r="Q302" s="110" t="b">
        <f>IF(COUNTIF(RAW_APS!$A$2:$A815,A302)=0,TRUE,FALSE)</f>
        <v>0</v>
      </c>
      <c r="R302" s="241" t="b">
        <f t="shared" si="2"/>
        <v>0</v>
      </c>
      <c r="U302" s="112" t="str">
        <f t="shared" si="3"/>
        <v/>
      </c>
      <c r="V302" s="60"/>
      <c r="W302" s="60"/>
      <c r="X302" s="60"/>
      <c r="Y302" s="60"/>
      <c r="Z302" s="210"/>
      <c r="AA302" s="112" t="str">
        <f t="shared" si="4"/>
        <v>MA1051</v>
      </c>
      <c r="AB302" s="112" t="str">
        <f t="shared" si="5"/>
        <v/>
      </c>
      <c r="AC302" s="112" t="str">
        <f t="shared" si="6"/>
        <v/>
      </c>
      <c r="AD302" s="5"/>
      <c r="AE302" s="5"/>
    </row>
    <row r="303">
      <c r="A303" s="5" t="s">
        <v>460</v>
      </c>
      <c r="B303" s="44">
        <v>44564.0</v>
      </c>
      <c r="C303" s="150">
        <v>0.31754629629629627</v>
      </c>
      <c r="D303" s="5"/>
      <c r="E303" s="5"/>
      <c r="F303" s="5"/>
      <c r="G303" s="5" t="s">
        <v>2184</v>
      </c>
      <c r="H303" s="5" t="s">
        <v>244</v>
      </c>
      <c r="I303" s="44">
        <v>44564.0</v>
      </c>
      <c r="J303" s="150">
        <v>0.5280439814814815</v>
      </c>
      <c r="K303" s="19">
        <v>1.0</v>
      </c>
      <c r="L303" s="10" t="b">
        <v>1</v>
      </c>
      <c r="M303" s="5" t="s">
        <v>2500</v>
      </c>
      <c r="N303" s="5" t="s">
        <v>247</v>
      </c>
      <c r="O303" s="5"/>
      <c r="P303" s="110" t="b">
        <f t="shared" si="1"/>
        <v>0</v>
      </c>
      <c r="Q303" s="110" t="b">
        <f>IF(COUNTIF(RAW_APS!$A$2:$A815,A303)=0,TRUE,FALSE)</f>
        <v>0</v>
      </c>
      <c r="R303" s="241" t="b">
        <f t="shared" si="2"/>
        <v>0</v>
      </c>
      <c r="U303" s="112" t="str">
        <f t="shared" si="3"/>
        <v/>
      </c>
      <c r="V303" s="60"/>
      <c r="W303" s="60"/>
      <c r="X303" s="60"/>
      <c r="Y303" s="60"/>
      <c r="Z303" s="210"/>
      <c r="AA303" s="112" t="str">
        <f t="shared" si="4"/>
        <v>MA1052</v>
      </c>
      <c r="AB303" s="112" t="str">
        <f t="shared" si="5"/>
        <v/>
      </c>
      <c r="AC303" s="112" t="str">
        <f t="shared" si="6"/>
        <v/>
      </c>
      <c r="AD303" s="5"/>
      <c r="AE303" s="5"/>
    </row>
    <row r="304">
      <c r="A304" s="5" t="s">
        <v>959</v>
      </c>
      <c r="B304" s="44">
        <v>44582.0</v>
      </c>
      <c r="C304" s="150">
        <v>0.3404861111111111</v>
      </c>
      <c r="D304" s="5"/>
      <c r="E304" s="5"/>
      <c r="F304" s="5"/>
      <c r="G304" s="5" t="s">
        <v>2184</v>
      </c>
      <c r="H304" s="5" t="s">
        <v>244</v>
      </c>
      <c r="I304" s="44">
        <v>44582.0</v>
      </c>
      <c r="J304" s="150">
        <v>0.4883912037037037</v>
      </c>
      <c r="K304" s="19">
        <v>1.0</v>
      </c>
      <c r="L304" s="10" t="b">
        <v>1</v>
      </c>
      <c r="M304" s="5" t="s">
        <v>2490</v>
      </c>
      <c r="N304" s="5" t="s">
        <v>247</v>
      </c>
      <c r="O304" s="5"/>
      <c r="P304" s="110" t="b">
        <f t="shared" si="1"/>
        <v>0</v>
      </c>
      <c r="Q304" s="110" t="b">
        <f>IF(COUNTIF(RAW_APS!$A$2:$A815,A304)=0,TRUE,FALSE)</f>
        <v>0</v>
      </c>
      <c r="R304" s="241" t="b">
        <f t="shared" si="2"/>
        <v>0</v>
      </c>
      <c r="U304" s="112" t="str">
        <f t="shared" si="3"/>
        <v/>
      </c>
      <c r="V304" s="60"/>
      <c r="W304" s="60"/>
      <c r="X304" s="60"/>
      <c r="Y304" s="60"/>
      <c r="Z304" s="210"/>
      <c r="AA304" s="112" t="str">
        <f t="shared" si="4"/>
        <v>MA1053</v>
      </c>
      <c r="AB304" s="112" t="str">
        <f t="shared" si="5"/>
        <v/>
      </c>
      <c r="AC304" s="112" t="str">
        <f t="shared" si="6"/>
        <v/>
      </c>
      <c r="AD304" s="5"/>
      <c r="AE304" s="5"/>
    </row>
    <row r="305">
      <c r="A305" s="5" t="s">
        <v>1387</v>
      </c>
      <c r="B305" s="44">
        <v>44609.0</v>
      </c>
      <c r="C305" s="150">
        <v>0.33719907407407407</v>
      </c>
      <c r="D305" s="5"/>
      <c r="E305" s="5"/>
      <c r="F305" s="5"/>
      <c r="G305" s="5" t="s">
        <v>2184</v>
      </c>
      <c r="H305" s="5" t="s">
        <v>244</v>
      </c>
      <c r="I305" s="44">
        <v>44611.0</v>
      </c>
      <c r="J305" s="150">
        <v>0.38958333333333334</v>
      </c>
      <c r="K305" s="19">
        <v>1.0</v>
      </c>
      <c r="L305" s="10" t="b">
        <v>1</v>
      </c>
      <c r="M305" s="5" t="s">
        <v>2478</v>
      </c>
      <c r="N305" s="5" t="s">
        <v>247</v>
      </c>
      <c r="O305" s="5"/>
      <c r="P305" s="110" t="b">
        <f t="shared" si="1"/>
        <v>0</v>
      </c>
      <c r="Q305" s="110" t="b">
        <f>IF(COUNTIF(RAW_APS!$A$2:$A815,A305)=0,TRUE,FALSE)</f>
        <v>0</v>
      </c>
      <c r="R305" s="241" t="b">
        <f t="shared" si="2"/>
        <v>0</v>
      </c>
      <c r="U305" s="112" t="str">
        <f t="shared" si="3"/>
        <v/>
      </c>
      <c r="V305" s="60"/>
      <c r="W305" s="60"/>
      <c r="X305" s="60"/>
      <c r="Y305" s="60"/>
      <c r="Z305" s="210"/>
      <c r="AA305" s="112" t="str">
        <f t="shared" si="4"/>
        <v>MA1054</v>
      </c>
      <c r="AB305" s="112" t="str">
        <f t="shared" si="5"/>
        <v/>
      </c>
      <c r="AC305" s="112" t="str">
        <f t="shared" si="6"/>
        <v/>
      </c>
      <c r="AD305" s="5"/>
      <c r="AE305" s="5"/>
    </row>
    <row r="306">
      <c r="A306" s="5" t="s">
        <v>1285</v>
      </c>
      <c r="B306" s="44">
        <v>44607.0</v>
      </c>
      <c r="C306" s="150">
        <v>0.33239583333333333</v>
      </c>
      <c r="D306" s="5"/>
      <c r="E306" s="5"/>
      <c r="F306" s="5"/>
      <c r="G306" s="5" t="s">
        <v>2184</v>
      </c>
      <c r="H306" s="5" t="s">
        <v>244</v>
      </c>
      <c r="I306" s="44">
        <v>44607.0</v>
      </c>
      <c r="J306" s="150">
        <v>0.5868171296296296</v>
      </c>
      <c r="K306" s="19">
        <v>1.0</v>
      </c>
      <c r="L306" s="10" t="b">
        <v>1</v>
      </c>
      <c r="M306" s="5" t="s">
        <v>2479</v>
      </c>
      <c r="N306" s="5" t="s">
        <v>247</v>
      </c>
      <c r="O306" s="5"/>
      <c r="P306" s="110" t="b">
        <f t="shared" si="1"/>
        <v>0</v>
      </c>
      <c r="Q306" s="110" t="b">
        <f>IF(COUNTIF(RAW_APS!$A$2:$A815,A306)=0,TRUE,FALSE)</f>
        <v>0</v>
      </c>
      <c r="R306" s="241" t="b">
        <f t="shared" si="2"/>
        <v>0</v>
      </c>
      <c r="U306" s="112" t="str">
        <f t="shared" si="3"/>
        <v/>
      </c>
      <c r="V306" s="60"/>
      <c r="W306" s="60"/>
      <c r="X306" s="60"/>
      <c r="Y306" s="60"/>
      <c r="Z306" s="210"/>
      <c r="AA306" s="112" t="str">
        <f t="shared" si="4"/>
        <v>MA1055</v>
      </c>
      <c r="AB306" s="112" t="str">
        <f t="shared" si="5"/>
        <v/>
      </c>
      <c r="AC306" s="112" t="str">
        <f t="shared" si="6"/>
        <v/>
      </c>
      <c r="AD306" s="5"/>
      <c r="AE306" s="5"/>
    </row>
    <row r="307">
      <c r="A307" s="5" t="s">
        <v>775</v>
      </c>
      <c r="B307" s="44">
        <v>44574.0</v>
      </c>
      <c r="C307" s="150">
        <v>0.8491666666666666</v>
      </c>
      <c r="D307" s="5"/>
      <c r="E307" s="5"/>
      <c r="F307" s="5"/>
      <c r="G307" s="5" t="s">
        <v>2184</v>
      </c>
      <c r="H307" s="5" t="s">
        <v>244</v>
      </c>
      <c r="I307" s="44">
        <v>44575.0</v>
      </c>
      <c r="J307" s="150">
        <v>0.4820601851851852</v>
      </c>
      <c r="K307" s="19">
        <v>1.0</v>
      </c>
      <c r="L307" s="10" t="b">
        <v>1</v>
      </c>
      <c r="M307" s="5" t="s">
        <v>2493</v>
      </c>
      <c r="N307" s="5" t="s">
        <v>247</v>
      </c>
      <c r="O307" s="5"/>
      <c r="P307" s="110" t="b">
        <f t="shared" si="1"/>
        <v>0</v>
      </c>
      <c r="Q307" s="110" t="b">
        <f>IF(COUNTIF(RAW_APS!$A$2:$A815,A307)=0,TRUE,FALSE)</f>
        <v>0</v>
      </c>
      <c r="R307" s="241" t="b">
        <f t="shared" si="2"/>
        <v>0</v>
      </c>
      <c r="U307" s="112" t="str">
        <f t="shared" si="3"/>
        <v/>
      </c>
      <c r="V307" s="60"/>
      <c r="W307" s="60"/>
      <c r="X307" s="60"/>
      <c r="Y307" s="60"/>
      <c r="Z307" s="210"/>
      <c r="AA307" s="112" t="str">
        <f t="shared" si="4"/>
        <v>MA1056</v>
      </c>
      <c r="AB307" s="112" t="str">
        <f t="shared" si="5"/>
        <v/>
      </c>
      <c r="AC307" s="112" t="str">
        <f t="shared" si="6"/>
        <v/>
      </c>
      <c r="AD307" s="5"/>
      <c r="AE307" s="5"/>
    </row>
    <row r="308">
      <c r="A308" s="4" t="s">
        <v>379</v>
      </c>
      <c r="B308" s="44">
        <v>44552.0</v>
      </c>
      <c r="C308" s="150">
        <v>0.3660185185185185</v>
      </c>
      <c r="D308" s="5"/>
      <c r="E308" s="5"/>
      <c r="F308" s="5"/>
      <c r="G308" s="5" t="s">
        <v>2184</v>
      </c>
      <c r="H308" s="5" t="s">
        <v>244</v>
      </c>
      <c r="I308" s="44">
        <v>44552.0</v>
      </c>
      <c r="J308" s="150">
        <v>0.4200462962962963</v>
      </c>
      <c r="K308" s="19">
        <v>1.0</v>
      </c>
      <c r="L308" s="10" t="b">
        <v>1</v>
      </c>
      <c r="M308" s="5" t="s">
        <v>2505</v>
      </c>
      <c r="N308" s="5" t="s">
        <v>247</v>
      </c>
      <c r="O308" s="5"/>
      <c r="P308" s="110" t="b">
        <f t="shared" si="1"/>
        <v>1</v>
      </c>
      <c r="Q308" s="110" t="b">
        <f>IF(COUNTIF(RAW_APS!$A$2:$A815,A308)=0,TRUE,FALSE)</f>
        <v>1</v>
      </c>
      <c r="R308" s="241" t="b">
        <f t="shared" si="2"/>
        <v>0</v>
      </c>
      <c r="T308" s="2">
        <v>4.2</v>
      </c>
      <c r="U308" s="112" t="str">
        <f t="shared" si="3"/>
        <v/>
      </c>
      <c r="V308" s="242"/>
      <c r="W308" s="242"/>
      <c r="X308" s="242"/>
      <c r="Y308" s="242"/>
      <c r="Z308" s="210"/>
      <c r="AA308" s="112" t="str">
        <f t="shared" si="4"/>
        <v>MA1057</v>
      </c>
      <c r="AB308" s="112" t="str">
        <f t="shared" si="5"/>
        <v/>
      </c>
      <c r="AC308" s="112" t="str">
        <f t="shared" si="6"/>
        <v/>
      </c>
      <c r="AD308" s="5"/>
      <c r="AE308" s="5"/>
    </row>
    <row r="309">
      <c r="A309" s="5" t="s">
        <v>811</v>
      </c>
      <c r="B309" s="44">
        <v>44575.0</v>
      </c>
      <c r="C309" s="150">
        <v>0.38623842592592594</v>
      </c>
      <c r="D309" s="5"/>
      <c r="E309" s="5"/>
      <c r="F309" s="5"/>
      <c r="G309" s="5" t="s">
        <v>2184</v>
      </c>
      <c r="H309" s="5" t="s">
        <v>52</v>
      </c>
      <c r="I309" s="44">
        <v>44579.0</v>
      </c>
      <c r="J309" s="150">
        <v>0.5015856481481481</v>
      </c>
      <c r="K309" s="19">
        <v>1.0</v>
      </c>
      <c r="L309" s="10" t="b">
        <v>1</v>
      </c>
      <c r="M309" s="5"/>
      <c r="N309" s="5" t="s">
        <v>247</v>
      </c>
      <c r="O309" s="5"/>
      <c r="P309" s="110" t="b">
        <f t="shared" si="1"/>
        <v>0</v>
      </c>
      <c r="Q309" s="110" t="b">
        <f>IF(COUNTIF(RAW_APS!$A$2:$A815,A309)=0,TRUE,FALSE)</f>
        <v>0</v>
      </c>
      <c r="R309" s="241" t="b">
        <f t="shared" si="2"/>
        <v>0</v>
      </c>
      <c r="U309" s="112" t="str">
        <f t="shared" si="3"/>
        <v/>
      </c>
      <c r="V309" s="60"/>
      <c r="W309" s="60"/>
      <c r="X309" s="60"/>
      <c r="Y309" s="60"/>
      <c r="Z309" s="210"/>
      <c r="AA309" s="112" t="str">
        <f t="shared" si="4"/>
        <v>MA1058</v>
      </c>
      <c r="AB309" s="112" t="str">
        <f t="shared" si="5"/>
        <v/>
      </c>
      <c r="AC309" s="112" t="str">
        <f t="shared" si="6"/>
        <v/>
      </c>
      <c r="AD309" s="5"/>
      <c r="AE309" s="5"/>
    </row>
    <row r="310">
      <c r="A310" s="5" t="s">
        <v>1004</v>
      </c>
      <c r="B310" s="44">
        <v>44585.0</v>
      </c>
      <c r="C310" s="150">
        <v>0.3261689814814815</v>
      </c>
      <c r="D310" s="5"/>
      <c r="E310" s="5"/>
      <c r="F310" s="5"/>
      <c r="G310" s="5" t="s">
        <v>2184</v>
      </c>
      <c r="H310" s="5" t="s">
        <v>244</v>
      </c>
      <c r="I310" s="44">
        <v>44585.0</v>
      </c>
      <c r="J310" s="150">
        <v>0.4705902777777778</v>
      </c>
      <c r="K310" s="19">
        <v>1.0</v>
      </c>
      <c r="L310" s="10" t="b">
        <v>1</v>
      </c>
      <c r="M310" s="5" t="s">
        <v>2489</v>
      </c>
      <c r="N310" s="5" t="s">
        <v>247</v>
      </c>
      <c r="O310" s="5"/>
      <c r="P310" s="110" t="b">
        <f t="shared" si="1"/>
        <v>0</v>
      </c>
      <c r="Q310" s="110" t="b">
        <f>IF(COUNTIF(RAW_APS!$A$2:$A815,A310)=0,TRUE,FALSE)</f>
        <v>0</v>
      </c>
      <c r="R310" s="241" t="b">
        <f t="shared" si="2"/>
        <v>0</v>
      </c>
      <c r="U310" s="112" t="str">
        <f t="shared" si="3"/>
        <v/>
      </c>
      <c r="V310" s="60"/>
      <c r="W310" s="60"/>
      <c r="X310" s="60"/>
      <c r="Y310" s="60"/>
      <c r="Z310" s="210"/>
      <c r="AA310" s="112" t="str">
        <f t="shared" si="4"/>
        <v>MA1061</v>
      </c>
      <c r="AB310" s="112" t="str">
        <f t="shared" si="5"/>
        <v/>
      </c>
      <c r="AC310" s="112" t="str">
        <f t="shared" si="6"/>
        <v/>
      </c>
      <c r="AD310" s="5"/>
      <c r="AE310" s="5"/>
    </row>
    <row r="311">
      <c r="A311" s="5" t="s">
        <v>761</v>
      </c>
      <c r="B311" s="44">
        <v>44574.0</v>
      </c>
      <c r="C311" s="150">
        <v>0.5845023148148148</v>
      </c>
      <c r="D311" s="5"/>
      <c r="E311" s="5"/>
      <c r="F311" s="5"/>
      <c r="G311" s="5" t="s">
        <v>2184</v>
      </c>
      <c r="H311" s="5" t="s">
        <v>52</v>
      </c>
      <c r="I311" s="44">
        <v>44579.0</v>
      </c>
      <c r="J311" s="150">
        <v>0.5015856481481481</v>
      </c>
      <c r="K311" s="19">
        <v>1.0</v>
      </c>
      <c r="L311" s="10" t="b">
        <v>1</v>
      </c>
      <c r="M311" s="5"/>
      <c r="N311" s="5" t="s">
        <v>247</v>
      </c>
      <c r="O311" s="5"/>
      <c r="P311" s="110" t="b">
        <f t="shared" si="1"/>
        <v>0</v>
      </c>
      <c r="Q311" s="110" t="b">
        <f>IF(COUNTIF(RAW_APS!$A$2:$A815,A311)=0,TRUE,FALSE)</f>
        <v>0</v>
      </c>
      <c r="R311" s="241" t="b">
        <f t="shared" si="2"/>
        <v>0</v>
      </c>
      <c r="U311" s="112" t="str">
        <f t="shared" si="3"/>
        <v/>
      </c>
      <c r="V311" s="60"/>
      <c r="W311" s="60"/>
      <c r="X311" s="60"/>
      <c r="Y311" s="60"/>
      <c r="Z311" s="210"/>
      <c r="AA311" s="112" t="str">
        <f t="shared" si="4"/>
        <v>MA1062</v>
      </c>
      <c r="AB311" s="112" t="str">
        <f t="shared" si="5"/>
        <v/>
      </c>
      <c r="AC311" s="112" t="str">
        <f t="shared" si="6"/>
        <v/>
      </c>
      <c r="AD311" s="5"/>
      <c r="AE311" s="5"/>
    </row>
    <row r="312">
      <c r="A312" s="5" t="s">
        <v>991</v>
      </c>
      <c r="B312" s="44">
        <v>44585.0</v>
      </c>
      <c r="C312" s="150">
        <v>0.29939814814814814</v>
      </c>
      <c r="D312" s="5"/>
      <c r="E312" s="5"/>
      <c r="F312" s="5"/>
      <c r="G312" s="5" t="s">
        <v>2184</v>
      </c>
      <c r="H312" s="5" t="s">
        <v>244</v>
      </c>
      <c r="I312" s="44">
        <v>44585.0</v>
      </c>
      <c r="J312" s="150">
        <v>0.4705902777777778</v>
      </c>
      <c r="K312" s="19">
        <v>1.0</v>
      </c>
      <c r="L312" s="10" t="b">
        <v>1</v>
      </c>
      <c r="M312" s="5" t="s">
        <v>2489</v>
      </c>
      <c r="N312" s="5" t="s">
        <v>247</v>
      </c>
      <c r="O312" s="5"/>
      <c r="P312" s="110" t="b">
        <f t="shared" si="1"/>
        <v>0</v>
      </c>
      <c r="Q312" s="110" t="b">
        <f>IF(COUNTIF(RAW_APS!$A$2:$A815,A312)=0,TRUE,FALSE)</f>
        <v>0</v>
      </c>
      <c r="R312" s="241" t="b">
        <f t="shared" si="2"/>
        <v>0</v>
      </c>
      <c r="U312" s="112" t="str">
        <f t="shared" si="3"/>
        <v/>
      </c>
      <c r="V312" s="60"/>
      <c r="W312" s="60"/>
      <c r="X312" s="60"/>
      <c r="Y312" s="60"/>
      <c r="Z312" s="210"/>
      <c r="AA312" s="112" t="str">
        <f t="shared" si="4"/>
        <v>MA1063</v>
      </c>
      <c r="AB312" s="112" t="str">
        <f t="shared" si="5"/>
        <v/>
      </c>
      <c r="AC312" s="112" t="str">
        <f t="shared" si="6"/>
        <v/>
      </c>
      <c r="AD312" s="5"/>
      <c r="AE312" s="5"/>
    </row>
    <row r="313">
      <c r="A313" s="5" t="s">
        <v>1251</v>
      </c>
      <c r="B313" s="44">
        <v>44607.0</v>
      </c>
      <c r="C313" s="150">
        <v>0.314224537037037</v>
      </c>
      <c r="D313" s="5"/>
      <c r="E313" s="5"/>
      <c r="F313" s="5"/>
      <c r="G313" s="5" t="s">
        <v>2184</v>
      </c>
      <c r="H313" s="5" t="s">
        <v>244</v>
      </c>
      <c r="I313" s="44">
        <v>44607.0</v>
      </c>
      <c r="J313" s="150">
        <v>0.5868055555555556</v>
      </c>
      <c r="K313" s="19">
        <v>1.0</v>
      </c>
      <c r="L313" s="10" t="b">
        <v>1</v>
      </c>
      <c r="M313" s="5" t="s">
        <v>2479</v>
      </c>
      <c r="N313" s="5" t="s">
        <v>247</v>
      </c>
      <c r="O313" s="5"/>
      <c r="P313" s="110" t="b">
        <f t="shared" si="1"/>
        <v>0</v>
      </c>
      <c r="Q313" s="110" t="b">
        <f>IF(COUNTIF(RAW_APS!$A$2:$A815,A313)=0,TRUE,FALSE)</f>
        <v>0</v>
      </c>
      <c r="R313" s="241" t="b">
        <f t="shared" si="2"/>
        <v>0</v>
      </c>
      <c r="U313" s="112" t="str">
        <f t="shared" si="3"/>
        <v/>
      </c>
      <c r="V313" s="60"/>
      <c r="W313" s="60"/>
      <c r="X313" s="60"/>
      <c r="Y313" s="60"/>
      <c r="Z313" s="210"/>
      <c r="AA313" s="112" t="str">
        <f t="shared" si="4"/>
        <v>MA1064</v>
      </c>
      <c r="AB313" s="112" t="str">
        <f t="shared" si="5"/>
        <v/>
      </c>
      <c r="AC313" s="112" t="str">
        <f t="shared" si="6"/>
        <v/>
      </c>
      <c r="AD313" s="5"/>
      <c r="AE313" s="5"/>
    </row>
    <row r="314">
      <c r="A314" s="5" t="s">
        <v>993</v>
      </c>
      <c r="B314" s="44">
        <v>44585.0</v>
      </c>
      <c r="C314" s="150">
        <v>0.30181712962962964</v>
      </c>
      <c r="D314" s="5"/>
      <c r="E314" s="5"/>
      <c r="F314" s="5"/>
      <c r="G314" s="5" t="s">
        <v>2184</v>
      </c>
      <c r="H314" s="5" t="s">
        <v>244</v>
      </c>
      <c r="I314" s="44">
        <v>44585.0</v>
      </c>
      <c r="J314" s="150">
        <v>0.4705902777777778</v>
      </c>
      <c r="K314" s="19">
        <v>1.0</v>
      </c>
      <c r="L314" s="10" t="b">
        <v>1</v>
      </c>
      <c r="M314" s="5" t="s">
        <v>2489</v>
      </c>
      <c r="N314" s="5" t="s">
        <v>247</v>
      </c>
      <c r="O314" s="5"/>
      <c r="P314" s="110" t="b">
        <f t="shared" si="1"/>
        <v>0</v>
      </c>
      <c r="Q314" s="110" t="b">
        <f>IF(COUNTIF(RAW_APS!$A$2:$A815,A314)=0,TRUE,FALSE)</f>
        <v>0</v>
      </c>
      <c r="R314" s="241" t="b">
        <f t="shared" si="2"/>
        <v>0</v>
      </c>
      <c r="U314" s="112" t="str">
        <f t="shared" si="3"/>
        <v/>
      </c>
      <c r="V314" s="60"/>
      <c r="W314" s="60"/>
      <c r="X314" s="60"/>
      <c r="Y314" s="60"/>
      <c r="Z314" s="210"/>
      <c r="AA314" s="112" t="str">
        <f t="shared" si="4"/>
        <v>MA1065</v>
      </c>
      <c r="AB314" s="112" t="str">
        <f t="shared" si="5"/>
        <v/>
      </c>
      <c r="AC314" s="112" t="str">
        <f t="shared" si="6"/>
        <v/>
      </c>
      <c r="AD314" s="5"/>
      <c r="AE314" s="5"/>
    </row>
    <row r="315">
      <c r="A315" s="5" t="s">
        <v>948</v>
      </c>
      <c r="B315" s="44">
        <v>44581.0</v>
      </c>
      <c r="C315" s="150">
        <v>0.3341550925925926</v>
      </c>
      <c r="D315" s="5"/>
      <c r="E315" s="5"/>
      <c r="F315" s="5"/>
      <c r="G315" s="5" t="s">
        <v>2188</v>
      </c>
      <c r="H315" s="5" t="s">
        <v>254</v>
      </c>
      <c r="I315" s="44">
        <v>44861.0</v>
      </c>
      <c r="J315" s="150">
        <v>0.4895023148148148</v>
      </c>
      <c r="K315" s="19">
        <v>1.0</v>
      </c>
      <c r="L315" s="5"/>
      <c r="M315" s="5"/>
      <c r="N315" s="5" t="s">
        <v>247</v>
      </c>
      <c r="O315" s="5"/>
      <c r="P315" s="110" t="b">
        <f t="shared" si="1"/>
        <v>0</v>
      </c>
      <c r="Q315" s="110" t="b">
        <f>IF(COUNTIF(RAW_APS!$A$2:$A815,A315)=0,TRUE,FALSE)</f>
        <v>0</v>
      </c>
      <c r="R315" s="241" t="b">
        <f t="shared" si="2"/>
        <v>0</v>
      </c>
      <c r="U315" s="112" t="str">
        <f t="shared" si="3"/>
        <v/>
      </c>
      <c r="V315" s="60"/>
      <c r="W315" s="60"/>
      <c r="X315" s="60"/>
      <c r="Y315" s="60"/>
      <c r="Z315" s="210"/>
      <c r="AA315" s="112" t="str">
        <f t="shared" si="4"/>
        <v>MA1066</v>
      </c>
      <c r="AB315" s="112" t="str">
        <f t="shared" si="5"/>
        <v/>
      </c>
      <c r="AC315" s="112" t="str">
        <f t="shared" si="6"/>
        <v/>
      </c>
      <c r="AD315" s="5"/>
      <c r="AE315" s="5"/>
    </row>
    <row r="316">
      <c r="A316" s="5" t="s">
        <v>1405</v>
      </c>
      <c r="B316" s="44">
        <v>44611.0</v>
      </c>
      <c r="C316" s="150">
        <v>0.2972337962962963</v>
      </c>
      <c r="D316" s="5"/>
      <c r="E316" s="5"/>
      <c r="F316" s="5"/>
      <c r="G316" s="5" t="s">
        <v>2184</v>
      </c>
      <c r="H316" s="5" t="s">
        <v>244</v>
      </c>
      <c r="I316" s="44">
        <v>44611.0</v>
      </c>
      <c r="J316" s="150">
        <v>0.48824074074074075</v>
      </c>
      <c r="K316" s="19">
        <v>1.0</v>
      </c>
      <c r="L316" s="10" t="b">
        <v>1</v>
      </c>
      <c r="M316" s="5" t="s">
        <v>2477</v>
      </c>
      <c r="N316" s="5" t="s">
        <v>247</v>
      </c>
      <c r="O316" s="5"/>
      <c r="P316" s="110" t="b">
        <f t="shared" si="1"/>
        <v>0</v>
      </c>
      <c r="Q316" s="110" t="b">
        <f>IF(COUNTIF(RAW_APS!$A$2:$A815,A316)=0,TRUE,FALSE)</f>
        <v>0</v>
      </c>
      <c r="R316" s="241" t="b">
        <f t="shared" si="2"/>
        <v>0</v>
      </c>
      <c r="U316" s="112" t="str">
        <f t="shared" si="3"/>
        <v/>
      </c>
      <c r="V316" s="60"/>
      <c r="W316" s="60"/>
      <c r="X316" s="60"/>
      <c r="Y316" s="60"/>
      <c r="Z316" s="210"/>
      <c r="AA316" s="112" t="str">
        <f t="shared" si="4"/>
        <v>MA1067</v>
      </c>
      <c r="AB316" s="112" t="str">
        <f t="shared" si="5"/>
        <v/>
      </c>
      <c r="AC316" s="112" t="str">
        <f t="shared" si="6"/>
        <v/>
      </c>
      <c r="AD316" s="5"/>
      <c r="AE316" s="5"/>
    </row>
    <row r="317">
      <c r="A317" s="5" t="s">
        <v>995</v>
      </c>
      <c r="B317" s="44">
        <v>44585.0</v>
      </c>
      <c r="C317" s="150">
        <v>0.3030555555555556</v>
      </c>
      <c r="D317" s="5"/>
      <c r="E317" s="5"/>
      <c r="F317" s="5"/>
      <c r="G317" s="5" t="s">
        <v>2184</v>
      </c>
      <c r="H317" s="5" t="s">
        <v>52</v>
      </c>
      <c r="I317" s="44">
        <v>44587.0</v>
      </c>
      <c r="J317" s="150">
        <v>0.5008796296296296</v>
      </c>
      <c r="K317" s="19">
        <v>1.0</v>
      </c>
      <c r="L317" s="10" t="b">
        <v>1</v>
      </c>
      <c r="M317" s="5"/>
      <c r="N317" s="5" t="s">
        <v>247</v>
      </c>
      <c r="O317" s="5"/>
      <c r="P317" s="110" t="b">
        <f t="shared" si="1"/>
        <v>0</v>
      </c>
      <c r="Q317" s="110" t="b">
        <f>IF(COUNTIF(RAW_APS!$A$2:$A815,A317)=0,TRUE,FALSE)</f>
        <v>0</v>
      </c>
      <c r="R317" s="241" t="b">
        <f t="shared" si="2"/>
        <v>0</v>
      </c>
      <c r="U317" s="112" t="str">
        <f t="shared" si="3"/>
        <v/>
      </c>
      <c r="V317" s="60"/>
      <c r="W317" s="60"/>
      <c r="X317" s="60"/>
      <c r="Y317" s="60"/>
      <c r="Z317" s="210"/>
      <c r="AA317" s="112" t="str">
        <f t="shared" si="4"/>
        <v>MA1068</v>
      </c>
      <c r="AB317" s="112" t="str">
        <f t="shared" si="5"/>
        <v/>
      </c>
      <c r="AC317" s="112" t="str">
        <f t="shared" si="6"/>
        <v/>
      </c>
      <c r="AD317" s="5"/>
      <c r="AE317" s="5"/>
    </row>
    <row r="318">
      <c r="A318" s="5" t="s">
        <v>1269</v>
      </c>
      <c r="B318" s="44">
        <v>44607.0</v>
      </c>
      <c r="C318" s="150">
        <v>0.32538194444444446</v>
      </c>
      <c r="D318" s="5"/>
      <c r="E318" s="5"/>
      <c r="F318" s="5"/>
      <c r="G318" s="5" t="s">
        <v>2184</v>
      </c>
      <c r="H318" s="5" t="s">
        <v>244</v>
      </c>
      <c r="I318" s="44">
        <v>44607.0</v>
      </c>
      <c r="J318" s="150">
        <v>0.5868055555555556</v>
      </c>
      <c r="K318" s="19">
        <v>1.0</v>
      </c>
      <c r="L318" s="10" t="b">
        <v>1</v>
      </c>
      <c r="M318" s="5" t="s">
        <v>2479</v>
      </c>
      <c r="N318" s="5" t="s">
        <v>247</v>
      </c>
      <c r="O318" s="5"/>
      <c r="P318" s="110" t="b">
        <f t="shared" si="1"/>
        <v>0</v>
      </c>
      <c r="Q318" s="110" t="b">
        <f>IF(COUNTIF(RAW_APS!$A$2:$A815,A318)=0,TRUE,FALSE)</f>
        <v>0</v>
      </c>
      <c r="R318" s="241" t="b">
        <f t="shared" si="2"/>
        <v>0</v>
      </c>
      <c r="U318" s="112" t="str">
        <f t="shared" si="3"/>
        <v/>
      </c>
      <c r="V318" s="60"/>
      <c r="W318" s="60"/>
      <c r="X318" s="60"/>
      <c r="Y318" s="60"/>
      <c r="Z318" s="210"/>
      <c r="AA318" s="112" t="str">
        <f t="shared" si="4"/>
        <v>MA1069</v>
      </c>
      <c r="AB318" s="112" t="str">
        <f t="shared" si="5"/>
        <v/>
      </c>
      <c r="AC318" s="112" t="str">
        <f t="shared" si="6"/>
        <v/>
      </c>
      <c r="AD318" s="5"/>
      <c r="AE318" s="5"/>
    </row>
    <row r="319">
      <c r="A319" s="5" t="s">
        <v>1035</v>
      </c>
      <c r="B319" s="44">
        <v>44587.0</v>
      </c>
      <c r="C319" s="150">
        <v>0.32375</v>
      </c>
      <c r="D319" s="5"/>
      <c r="E319" s="5"/>
      <c r="F319" s="5"/>
      <c r="G319" s="5" t="s">
        <v>2184</v>
      </c>
      <c r="H319" s="5" t="s">
        <v>244</v>
      </c>
      <c r="I319" s="44">
        <v>44587.0</v>
      </c>
      <c r="J319" s="150">
        <v>0.5005439814814815</v>
      </c>
      <c r="K319" s="19">
        <v>1.0</v>
      </c>
      <c r="L319" s="10" t="b">
        <v>1</v>
      </c>
      <c r="M319" s="5" t="s">
        <v>2488</v>
      </c>
      <c r="N319" s="5" t="s">
        <v>247</v>
      </c>
      <c r="O319" s="5"/>
      <c r="P319" s="110" t="b">
        <f t="shared" si="1"/>
        <v>0</v>
      </c>
      <c r="Q319" s="110" t="b">
        <f>IF(COUNTIF(RAW_APS!$A$2:$A815,A319)=0,TRUE,FALSE)</f>
        <v>0</v>
      </c>
      <c r="R319" s="241" t="b">
        <f t="shared" si="2"/>
        <v>0</v>
      </c>
      <c r="U319" s="112" t="str">
        <f t="shared" si="3"/>
        <v/>
      </c>
      <c r="V319" s="60"/>
      <c r="W319" s="60"/>
      <c r="X319" s="60"/>
      <c r="Y319" s="60"/>
      <c r="Z319" s="210"/>
      <c r="AA319" s="112" t="str">
        <f t="shared" si="4"/>
        <v>MA1070</v>
      </c>
      <c r="AB319" s="112" t="str">
        <f t="shared" si="5"/>
        <v/>
      </c>
      <c r="AC319" s="112" t="str">
        <f t="shared" si="6"/>
        <v/>
      </c>
      <c r="AD319" s="5"/>
      <c r="AE319" s="5"/>
    </row>
    <row r="320">
      <c r="A320" s="5" t="s">
        <v>1417</v>
      </c>
      <c r="B320" s="44">
        <v>44611.0</v>
      </c>
      <c r="C320" s="150">
        <v>0.3114236111111111</v>
      </c>
      <c r="D320" s="5"/>
      <c r="E320" s="5"/>
      <c r="F320" s="5"/>
      <c r="G320" s="5" t="s">
        <v>2184</v>
      </c>
      <c r="H320" s="5" t="s">
        <v>244</v>
      </c>
      <c r="I320" s="44">
        <v>44611.0</v>
      </c>
      <c r="J320" s="150">
        <v>0.4882523148148148</v>
      </c>
      <c r="K320" s="19">
        <v>1.0</v>
      </c>
      <c r="L320" s="10" t="b">
        <v>1</v>
      </c>
      <c r="M320" s="5" t="s">
        <v>2477</v>
      </c>
      <c r="N320" s="5" t="s">
        <v>247</v>
      </c>
      <c r="O320" s="5"/>
      <c r="P320" s="110" t="b">
        <f t="shared" si="1"/>
        <v>0</v>
      </c>
      <c r="Q320" s="110" t="b">
        <f>IF(COUNTIF(RAW_APS!$A$2:$A815,A320)=0,TRUE,FALSE)</f>
        <v>0</v>
      </c>
      <c r="R320" s="241" t="b">
        <f t="shared" si="2"/>
        <v>0</v>
      </c>
      <c r="U320" s="112" t="str">
        <f t="shared" si="3"/>
        <v/>
      </c>
      <c r="V320" s="60"/>
      <c r="W320" s="60"/>
      <c r="X320" s="60"/>
      <c r="Y320" s="60"/>
      <c r="Z320" s="210"/>
      <c r="AA320" s="112" t="str">
        <f t="shared" si="4"/>
        <v>MA1071</v>
      </c>
      <c r="AB320" s="112" t="str">
        <f t="shared" si="5"/>
        <v/>
      </c>
      <c r="AC320" s="112" t="str">
        <f t="shared" si="6"/>
        <v/>
      </c>
      <c r="AD320" s="5"/>
      <c r="AE320" s="5"/>
    </row>
    <row r="321">
      <c r="A321" s="5" t="s">
        <v>1505</v>
      </c>
      <c r="B321" s="44">
        <v>44613.0</v>
      </c>
      <c r="C321" s="150">
        <v>0.3150115740740741</v>
      </c>
      <c r="D321" s="5"/>
      <c r="E321" s="5"/>
      <c r="F321" s="5"/>
      <c r="G321" s="5" t="s">
        <v>2184</v>
      </c>
      <c r="H321" s="5" t="s">
        <v>244</v>
      </c>
      <c r="I321" s="44">
        <v>44613.0</v>
      </c>
      <c r="J321" s="150">
        <v>0.4693981481481482</v>
      </c>
      <c r="K321" s="19">
        <v>1.0</v>
      </c>
      <c r="L321" s="10" t="b">
        <v>1</v>
      </c>
      <c r="M321" s="5" t="s">
        <v>2476</v>
      </c>
      <c r="N321" s="5" t="s">
        <v>247</v>
      </c>
      <c r="O321" s="5"/>
      <c r="P321" s="110" t="b">
        <f t="shared" si="1"/>
        <v>0</v>
      </c>
      <c r="Q321" s="110" t="b">
        <f>IF(COUNTIF(RAW_APS!$A$2:$A815,A321)=0,TRUE,FALSE)</f>
        <v>0</v>
      </c>
      <c r="R321" s="241" t="b">
        <f t="shared" si="2"/>
        <v>0</v>
      </c>
      <c r="U321" s="112" t="str">
        <f t="shared" si="3"/>
        <v/>
      </c>
      <c r="V321" s="60"/>
      <c r="W321" s="60"/>
      <c r="X321" s="60"/>
      <c r="Y321" s="60"/>
      <c r="Z321" s="210"/>
      <c r="AA321" s="112" t="str">
        <f t="shared" si="4"/>
        <v>MA1072</v>
      </c>
      <c r="AB321" s="112" t="str">
        <f t="shared" si="5"/>
        <v/>
      </c>
      <c r="AC321" s="112" t="str">
        <f t="shared" si="6"/>
        <v/>
      </c>
      <c r="AD321" s="5"/>
      <c r="AE321" s="5"/>
    </row>
    <row r="322">
      <c r="A322" s="5" t="s">
        <v>427</v>
      </c>
      <c r="B322" s="44">
        <v>44559.0</v>
      </c>
      <c r="C322" s="150">
        <v>0.3974421296296296</v>
      </c>
      <c r="D322" s="5"/>
      <c r="E322" s="5"/>
      <c r="F322" s="5"/>
      <c r="G322" s="5" t="s">
        <v>2184</v>
      </c>
      <c r="H322" s="5" t="s">
        <v>244</v>
      </c>
      <c r="I322" s="44">
        <v>44559.0</v>
      </c>
      <c r="J322" s="150">
        <v>0.4366319444444444</v>
      </c>
      <c r="K322" s="19">
        <v>1.0</v>
      </c>
      <c r="L322" s="10" t="b">
        <v>1</v>
      </c>
      <c r="M322" s="5" t="s">
        <v>2503</v>
      </c>
      <c r="N322" s="5" t="s">
        <v>247</v>
      </c>
      <c r="O322" s="5"/>
      <c r="P322" s="110" t="b">
        <f t="shared" si="1"/>
        <v>0</v>
      </c>
      <c r="Q322" s="110" t="b">
        <f>IF(COUNTIF(RAW_APS!$A$2:$A815,A322)=0,TRUE,FALSE)</f>
        <v>0</v>
      </c>
      <c r="R322" s="241" t="b">
        <f t="shared" si="2"/>
        <v>0</v>
      </c>
      <c r="U322" s="112" t="str">
        <f t="shared" si="3"/>
        <v/>
      </c>
      <c r="V322" s="51"/>
      <c r="W322" s="51"/>
      <c r="X322" s="51"/>
      <c r="Y322" s="51"/>
      <c r="Z322" s="210"/>
      <c r="AA322" s="112" t="str">
        <f t="shared" si="4"/>
        <v>MA1073</v>
      </c>
      <c r="AB322" s="112" t="str">
        <f t="shared" si="5"/>
        <v/>
      </c>
      <c r="AC322" s="112" t="str">
        <f t="shared" si="6"/>
        <v/>
      </c>
      <c r="AD322" s="5"/>
      <c r="AE322" s="5"/>
    </row>
    <row r="323">
      <c r="A323" s="5" t="s">
        <v>1637</v>
      </c>
      <c r="B323" s="44">
        <v>44617.0</v>
      </c>
      <c r="C323" s="150">
        <v>0.31871527777777775</v>
      </c>
      <c r="D323" s="5"/>
      <c r="E323" s="5"/>
      <c r="F323" s="5"/>
      <c r="G323" s="5" t="s">
        <v>2184</v>
      </c>
      <c r="H323" s="5" t="s">
        <v>244</v>
      </c>
      <c r="I323" s="44">
        <v>44617.0</v>
      </c>
      <c r="J323" s="150">
        <v>0.5033680555555555</v>
      </c>
      <c r="K323" s="19">
        <v>1.0</v>
      </c>
      <c r="L323" s="10" t="b">
        <v>1</v>
      </c>
      <c r="M323" s="5" t="s">
        <v>2473</v>
      </c>
      <c r="N323" s="5" t="s">
        <v>247</v>
      </c>
      <c r="O323" s="5"/>
      <c r="P323" s="110" t="b">
        <f t="shared" si="1"/>
        <v>0</v>
      </c>
      <c r="Q323" s="110" t="b">
        <f>IF(COUNTIF(RAW_APS!$A$2:$A815,A323)=0,TRUE,FALSE)</f>
        <v>0</v>
      </c>
      <c r="R323" s="241" t="b">
        <f t="shared" si="2"/>
        <v>0</v>
      </c>
      <c r="U323" s="112" t="str">
        <f t="shared" si="3"/>
        <v/>
      </c>
      <c r="V323" s="60"/>
      <c r="W323" s="60"/>
      <c r="X323" s="60"/>
      <c r="Y323" s="60"/>
      <c r="Z323" s="210"/>
      <c r="AA323" s="112" t="str">
        <f t="shared" si="4"/>
        <v>MA1075</v>
      </c>
      <c r="AB323" s="112" t="str">
        <f t="shared" si="5"/>
        <v/>
      </c>
      <c r="AC323" s="112" t="str">
        <f t="shared" si="6"/>
        <v/>
      </c>
      <c r="AD323" s="5"/>
      <c r="AE323" s="5"/>
    </row>
    <row r="324">
      <c r="A324" s="5" t="s">
        <v>1037</v>
      </c>
      <c r="B324" s="44">
        <v>44587.0</v>
      </c>
      <c r="C324" s="150">
        <v>0.3313425925925926</v>
      </c>
      <c r="D324" s="5"/>
      <c r="E324" s="5"/>
      <c r="F324" s="5"/>
      <c r="G324" s="5" t="s">
        <v>2184</v>
      </c>
      <c r="H324" s="5" t="s">
        <v>244</v>
      </c>
      <c r="I324" s="44">
        <v>44587.0</v>
      </c>
      <c r="J324" s="150">
        <v>0.5005555555555555</v>
      </c>
      <c r="K324" s="19">
        <v>1.0</v>
      </c>
      <c r="L324" s="10" t="b">
        <v>1</v>
      </c>
      <c r="M324" s="5" t="s">
        <v>2488</v>
      </c>
      <c r="N324" s="5" t="s">
        <v>247</v>
      </c>
      <c r="O324" s="5"/>
      <c r="P324" s="110" t="b">
        <f t="shared" si="1"/>
        <v>0</v>
      </c>
      <c r="Q324" s="110" t="b">
        <f>IF(COUNTIF(RAW_APS!$A$2:$A815,A324)=0,TRUE,FALSE)</f>
        <v>0</v>
      </c>
      <c r="R324" s="241" t="b">
        <f t="shared" si="2"/>
        <v>0</v>
      </c>
      <c r="U324" s="112" t="str">
        <f t="shared" si="3"/>
        <v/>
      </c>
      <c r="V324" s="60"/>
      <c r="W324" s="60"/>
      <c r="X324" s="60"/>
      <c r="Y324" s="60"/>
      <c r="Z324" s="210"/>
      <c r="AA324" s="112" t="str">
        <f t="shared" si="4"/>
        <v>MA1076</v>
      </c>
      <c r="AB324" s="112" t="str">
        <f t="shared" si="5"/>
        <v/>
      </c>
      <c r="AC324" s="112" t="str">
        <f t="shared" si="6"/>
        <v/>
      </c>
      <c r="AD324" s="5"/>
      <c r="AE324" s="5"/>
    </row>
    <row r="325">
      <c r="A325" s="5" t="s">
        <v>720</v>
      </c>
      <c r="B325" s="44">
        <v>44573.0</v>
      </c>
      <c r="C325" s="150">
        <v>0.3285532407407407</v>
      </c>
      <c r="D325" s="5"/>
      <c r="E325" s="5"/>
      <c r="F325" s="5"/>
      <c r="G325" s="5" t="s">
        <v>2184</v>
      </c>
      <c r="H325" s="5" t="s">
        <v>244</v>
      </c>
      <c r="I325" s="44">
        <v>44575.0</v>
      </c>
      <c r="J325" s="150">
        <v>0.48202546296296295</v>
      </c>
      <c r="K325" s="19">
        <v>1.0</v>
      </c>
      <c r="L325" s="10" t="b">
        <v>1</v>
      </c>
      <c r="M325" s="5" t="s">
        <v>2495</v>
      </c>
      <c r="N325" s="5" t="s">
        <v>247</v>
      </c>
      <c r="O325" s="5"/>
      <c r="P325" s="110" t="b">
        <f t="shared" si="1"/>
        <v>0</v>
      </c>
      <c r="Q325" s="110" t="b">
        <f>IF(COUNTIF(RAW_APS!$A$2:$A815,A325)=0,TRUE,FALSE)</f>
        <v>0</v>
      </c>
      <c r="R325" s="241" t="b">
        <f t="shared" si="2"/>
        <v>0</v>
      </c>
      <c r="U325" s="112" t="str">
        <f t="shared" si="3"/>
        <v/>
      </c>
      <c r="V325" s="60"/>
      <c r="W325" s="60"/>
      <c r="X325" s="60"/>
      <c r="Y325" s="60"/>
      <c r="Z325" s="210"/>
      <c r="AA325" s="112" t="str">
        <f t="shared" si="4"/>
        <v>MA1077</v>
      </c>
      <c r="AB325" s="112" t="str">
        <f t="shared" si="5"/>
        <v/>
      </c>
      <c r="AC325" s="112" t="str">
        <f t="shared" si="6"/>
        <v/>
      </c>
      <c r="AD325" s="5"/>
      <c r="AE325" s="5"/>
    </row>
    <row r="326">
      <c r="A326" s="5" t="s">
        <v>592</v>
      </c>
      <c r="B326" s="44">
        <v>44568.0</v>
      </c>
      <c r="C326" s="150">
        <v>0.34717592592592594</v>
      </c>
      <c r="D326" s="5"/>
      <c r="E326" s="5"/>
      <c r="F326" s="5"/>
      <c r="G326" s="5" t="s">
        <v>2184</v>
      </c>
      <c r="H326" s="5" t="s">
        <v>52</v>
      </c>
      <c r="I326" s="44">
        <v>44568.0</v>
      </c>
      <c r="J326" s="150">
        <v>0.5079050925925926</v>
      </c>
      <c r="K326" s="19">
        <v>1.0</v>
      </c>
      <c r="L326" s="10" t="b">
        <v>1</v>
      </c>
      <c r="M326" s="5"/>
      <c r="N326" s="5" t="s">
        <v>247</v>
      </c>
      <c r="O326" s="5"/>
      <c r="P326" s="110" t="b">
        <f t="shared" si="1"/>
        <v>0</v>
      </c>
      <c r="Q326" s="110" t="b">
        <f>IF(COUNTIF(RAW_APS!$A$2:$A815,A326)=0,TRUE,FALSE)</f>
        <v>0</v>
      </c>
      <c r="R326" s="241" t="b">
        <f t="shared" si="2"/>
        <v>0</v>
      </c>
      <c r="U326" s="112" t="str">
        <f t="shared" si="3"/>
        <v/>
      </c>
      <c r="V326" s="60"/>
      <c r="W326" s="60"/>
      <c r="X326" s="60"/>
      <c r="Y326" s="60"/>
      <c r="Z326" s="210"/>
      <c r="AA326" s="112" t="str">
        <f t="shared" si="4"/>
        <v>MA1078</v>
      </c>
      <c r="AB326" s="112" t="str">
        <f t="shared" si="5"/>
        <v/>
      </c>
      <c r="AC326" s="112" t="str">
        <f t="shared" si="6"/>
        <v/>
      </c>
      <c r="AD326" s="5"/>
      <c r="AE326" s="5"/>
    </row>
    <row r="327">
      <c r="A327" s="5" t="s">
        <v>1200</v>
      </c>
      <c r="B327" s="44">
        <v>44604.0</v>
      </c>
      <c r="C327" s="150">
        <v>0.3235763888888889</v>
      </c>
      <c r="D327" s="5"/>
      <c r="E327" s="5"/>
      <c r="F327" s="5"/>
      <c r="G327" s="5" t="s">
        <v>2184</v>
      </c>
      <c r="H327" s="5" t="s">
        <v>52</v>
      </c>
      <c r="I327" s="44">
        <v>44604.0</v>
      </c>
      <c r="J327" s="150">
        <v>0.3936689814814815</v>
      </c>
      <c r="K327" s="19">
        <v>1.0</v>
      </c>
      <c r="L327" s="10" t="b">
        <v>1</v>
      </c>
      <c r="M327" s="5" t="s">
        <v>2480</v>
      </c>
      <c r="N327" s="5" t="s">
        <v>247</v>
      </c>
      <c r="O327" s="5"/>
      <c r="P327" s="110" t="b">
        <f t="shared" si="1"/>
        <v>0</v>
      </c>
      <c r="Q327" s="110" t="b">
        <f>IF(COUNTIF(RAW_APS!$A$2:$A815,A327)=0,TRUE,FALSE)</f>
        <v>0</v>
      </c>
      <c r="R327" s="241" t="b">
        <f t="shared" si="2"/>
        <v>0</v>
      </c>
      <c r="U327" s="112" t="str">
        <f t="shared" si="3"/>
        <v/>
      </c>
      <c r="V327" s="60"/>
      <c r="W327" s="60"/>
      <c r="X327" s="60"/>
      <c r="Y327" s="60"/>
      <c r="Z327" s="210"/>
      <c r="AA327" s="112" t="str">
        <f t="shared" si="4"/>
        <v>MA1079</v>
      </c>
      <c r="AB327" s="112" t="str">
        <f t="shared" si="5"/>
        <v/>
      </c>
      <c r="AC327" s="112" t="str">
        <f t="shared" si="6"/>
        <v/>
      </c>
      <c r="AD327" s="5"/>
      <c r="AE327" s="5"/>
    </row>
    <row r="328">
      <c r="A328" s="5" t="s">
        <v>367</v>
      </c>
      <c r="B328" s="44">
        <v>44550.0</v>
      </c>
      <c r="C328" s="150">
        <v>0.4363425925925926</v>
      </c>
      <c r="D328" s="5"/>
      <c r="E328" s="5"/>
      <c r="F328" s="5"/>
      <c r="G328" s="5" t="s">
        <v>2184</v>
      </c>
      <c r="H328" s="5" t="s">
        <v>244</v>
      </c>
      <c r="I328" s="44">
        <v>44550.0</v>
      </c>
      <c r="J328" s="150">
        <v>0.4883449074074074</v>
      </c>
      <c r="K328" s="19">
        <v>1.0</v>
      </c>
      <c r="L328" s="10" t="b">
        <v>1</v>
      </c>
      <c r="M328" s="5" t="s">
        <v>2506</v>
      </c>
      <c r="N328" s="5" t="s">
        <v>247</v>
      </c>
      <c r="O328" s="5"/>
      <c r="P328" s="110" t="b">
        <f t="shared" si="1"/>
        <v>0</v>
      </c>
      <c r="Q328" s="110" t="b">
        <f>IF(COUNTIF(RAW_APS!$A$2:$A815,A328)=0,TRUE,FALSE)</f>
        <v>0</v>
      </c>
      <c r="R328" s="241" t="b">
        <f t="shared" si="2"/>
        <v>0</v>
      </c>
      <c r="U328" s="112" t="str">
        <f t="shared" si="3"/>
        <v/>
      </c>
      <c r="V328" s="51"/>
      <c r="W328" s="51"/>
      <c r="X328" s="51"/>
      <c r="Y328" s="51"/>
      <c r="Z328" s="210"/>
      <c r="AA328" s="112" t="str">
        <f t="shared" si="4"/>
        <v>MA1080</v>
      </c>
      <c r="AB328" s="112" t="str">
        <f t="shared" si="5"/>
        <v/>
      </c>
      <c r="AC328" s="112" t="str">
        <f t="shared" si="6"/>
        <v/>
      </c>
      <c r="AD328" s="5"/>
      <c r="AE328" s="5"/>
    </row>
    <row r="329">
      <c r="A329" s="5" t="s">
        <v>429</v>
      </c>
      <c r="B329" s="44">
        <v>44561.0</v>
      </c>
      <c r="C329" s="150">
        <v>0.3053240740740741</v>
      </c>
      <c r="D329" s="4"/>
      <c r="E329" s="5"/>
      <c r="F329" s="5"/>
      <c r="G329" s="5" t="s">
        <v>2184</v>
      </c>
      <c r="H329" s="5" t="s">
        <v>52</v>
      </c>
      <c r="I329" s="44">
        <v>44561.0</v>
      </c>
      <c r="J329" s="150">
        <v>0.44559027777777777</v>
      </c>
      <c r="K329" s="19">
        <v>1.0</v>
      </c>
      <c r="L329" s="10" t="b">
        <v>1</v>
      </c>
      <c r="M329" s="5" t="s">
        <v>2501</v>
      </c>
      <c r="N329" s="5" t="s">
        <v>247</v>
      </c>
      <c r="O329" s="5"/>
      <c r="P329" s="110" t="b">
        <f t="shared" si="1"/>
        <v>0</v>
      </c>
      <c r="Q329" s="110" t="b">
        <f>IF(COUNTIF(RAW_APS!$A$2:$A815,A329)=0,TRUE,FALSE)</f>
        <v>0</v>
      </c>
      <c r="R329" s="241" t="b">
        <f t="shared" si="2"/>
        <v>0</v>
      </c>
      <c r="U329" s="112" t="str">
        <f t="shared" si="3"/>
        <v/>
      </c>
      <c r="V329" s="51"/>
      <c r="W329" s="51"/>
      <c r="X329" s="51"/>
      <c r="Y329" s="51"/>
      <c r="Z329" s="210"/>
      <c r="AA329" s="112" t="str">
        <f t="shared" si="4"/>
        <v>MA1081</v>
      </c>
      <c r="AB329" s="112" t="str">
        <f t="shared" si="5"/>
        <v/>
      </c>
      <c r="AC329" s="112" t="str">
        <f t="shared" si="6"/>
        <v/>
      </c>
      <c r="AD329" s="5"/>
      <c r="AE329" s="5"/>
    </row>
    <row r="330">
      <c r="A330" s="5" t="s">
        <v>474</v>
      </c>
      <c r="B330" s="44">
        <v>44564.0</v>
      </c>
      <c r="C330" s="150">
        <v>0.3515509259259259</v>
      </c>
      <c r="D330" s="5"/>
      <c r="E330" s="5"/>
      <c r="F330" s="5"/>
      <c r="G330" s="5" t="s">
        <v>2184</v>
      </c>
      <c r="H330" s="5" t="s">
        <v>244</v>
      </c>
      <c r="I330" s="44">
        <v>44564.0</v>
      </c>
      <c r="J330" s="150">
        <v>0.5280439814814815</v>
      </c>
      <c r="K330" s="19">
        <v>1.0</v>
      </c>
      <c r="L330" s="10" t="b">
        <v>1</v>
      </c>
      <c r="M330" s="5" t="s">
        <v>2500</v>
      </c>
      <c r="N330" s="5" t="s">
        <v>247</v>
      </c>
      <c r="O330" s="5"/>
      <c r="P330" s="110" t="b">
        <f t="shared" si="1"/>
        <v>0</v>
      </c>
      <c r="Q330" s="110" t="b">
        <f>IF(COUNTIF(RAW_APS!$A$2:$A815,A330)=0,TRUE,FALSE)</f>
        <v>0</v>
      </c>
      <c r="R330" s="241" t="b">
        <f t="shared" si="2"/>
        <v>0</v>
      </c>
      <c r="U330" s="112" t="str">
        <f t="shared" si="3"/>
        <v/>
      </c>
      <c r="V330" s="60"/>
      <c r="W330" s="60"/>
      <c r="X330" s="60"/>
      <c r="Y330" s="60"/>
      <c r="Z330" s="210"/>
      <c r="AA330" s="112" t="str">
        <f t="shared" si="4"/>
        <v>MA1082</v>
      </c>
      <c r="AB330" s="112" t="str">
        <f t="shared" si="5"/>
        <v/>
      </c>
      <c r="AC330" s="112" t="str">
        <f t="shared" si="6"/>
        <v/>
      </c>
      <c r="AD330" s="5"/>
      <c r="AE330" s="5"/>
    </row>
    <row r="331">
      <c r="A331" s="5" t="s">
        <v>2445</v>
      </c>
      <c r="B331" s="44">
        <v>44561.0</v>
      </c>
      <c r="C331" s="150">
        <v>0.3366898148148148</v>
      </c>
      <c r="D331" s="5"/>
      <c r="E331" s="5"/>
      <c r="F331" s="5"/>
      <c r="G331" s="5" t="s">
        <v>2184</v>
      </c>
      <c r="H331" s="5" t="s">
        <v>244</v>
      </c>
      <c r="I331" s="44">
        <v>44561.0</v>
      </c>
      <c r="J331" s="150">
        <v>0.44493055555555555</v>
      </c>
      <c r="K331" s="19">
        <v>1.0</v>
      </c>
      <c r="L331" s="10" t="b">
        <v>1</v>
      </c>
      <c r="M331" s="5" t="s">
        <v>2502</v>
      </c>
      <c r="N331" s="5" t="s">
        <v>247</v>
      </c>
      <c r="O331" s="5"/>
      <c r="P331" s="110" t="b">
        <f t="shared" si="1"/>
        <v>0</v>
      </c>
      <c r="Q331" s="110" t="b">
        <f>IF(COUNTIF(RAW_APS!$A$2:$A815,A331)=0,TRUE,FALSE)</f>
        <v>0</v>
      </c>
      <c r="R331" s="241" t="b">
        <f t="shared" si="2"/>
        <v>0</v>
      </c>
      <c r="U331" s="112" t="str">
        <f t="shared" si="3"/>
        <v/>
      </c>
      <c r="V331" s="60"/>
      <c r="W331" s="60"/>
      <c r="X331" s="60"/>
      <c r="Y331" s="60"/>
      <c r="Z331" s="210"/>
      <c r="AA331" s="112" t="str">
        <f t="shared" si="4"/>
        <v>MA1084</v>
      </c>
      <c r="AB331" s="112" t="str">
        <f t="shared" si="5"/>
        <v/>
      </c>
      <c r="AC331" s="112" t="str">
        <f t="shared" si="6"/>
        <v/>
      </c>
      <c r="AD331" s="5"/>
      <c r="AE331" s="5"/>
    </row>
    <row r="332">
      <c r="A332" s="5" t="s">
        <v>1389</v>
      </c>
      <c r="B332" s="44">
        <v>44609.0</v>
      </c>
      <c r="C332" s="150">
        <v>0.34019675925925924</v>
      </c>
      <c r="D332" s="5"/>
      <c r="E332" s="5"/>
      <c r="F332" s="5"/>
      <c r="G332" s="5" t="s">
        <v>2184</v>
      </c>
      <c r="H332" s="5" t="s">
        <v>244</v>
      </c>
      <c r="I332" s="44">
        <v>44611.0</v>
      </c>
      <c r="J332" s="150">
        <v>0.38958333333333334</v>
      </c>
      <c r="K332" s="19">
        <v>1.0</v>
      </c>
      <c r="L332" s="10" t="b">
        <v>1</v>
      </c>
      <c r="M332" s="5" t="s">
        <v>2478</v>
      </c>
      <c r="N332" s="5" t="s">
        <v>247</v>
      </c>
      <c r="O332" s="5"/>
      <c r="P332" s="110" t="b">
        <f t="shared" si="1"/>
        <v>0</v>
      </c>
      <c r="Q332" s="110" t="b">
        <f>IF(COUNTIF(RAW_APS!$A$2:$A815,A332)=0,TRUE,FALSE)</f>
        <v>0</v>
      </c>
      <c r="R332" s="241" t="b">
        <f t="shared" si="2"/>
        <v>0</v>
      </c>
      <c r="U332" s="112" t="str">
        <f t="shared" si="3"/>
        <v/>
      </c>
      <c r="V332" s="60"/>
      <c r="W332" s="60"/>
      <c r="X332" s="60"/>
      <c r="Y332" s="60"/>
      <c r="Z332" s="210"/>
      <c r="AA332" s="112" t="str">
        <f t="shared" si="4"/>
        <v>MA1087</v>
      </c>
      <c r="AB332" s="112" t="str">
        <f t="shared" si="5"/>
        <v/>
      </c>
      <c r="AC332" s="112" t="str">
        <f t="shared" si="6"/>
        <v/>
      </c>
      <c r="AD332" s="5"/>
      <c r="AE332" s="5"/>
    </row>
    <row r="333">
      <c r="A333" s="4" t="s">
        <v>376</v>
      </c>
      <c r="B333" s="44">
        <v>44552.0</v>
      </c>
      <c r="C333" s="150">
        <v>0.35877314814814815</v>
      </c>
      <c r="D333" s="5"/>
      <c r="E333" s="5"/>
      <c r="F333" s="5"/>
      <c r="G333" s="5" t="s">
        <v>2184</v>
      </c>
      <c r="H333" s="5" t="s">
        <v>244</v>
      </c>
      <c r="I333" s="44">
        <v>44552.0</v>
      </c>
      <c r="J333" s="150">
        <v>0.4200462962962963</v>
      </c>
      <c r="K333" s="19">
        <v>1.0</v>
      </c>
      <c r="L333" s="10" t="b">
        <v>1</v>
      </c>
      <c r="M333" s="5" t="s">
        <v>2505</v>
      </c>
      <c r="N333" s="5" t="s">
        <v>247</v>
      </c>
      <c r="O333" s="5"/>
      <c r="P333" s="110" t="b">
        <f t="shared" si="1"/>
        <v>1</v>
      </c>
      <c r="Q333" s="110" t="b">
        <f>IF(COUNTIF(RAW_APS!$A$2:$A815,A333)=0,TRUE,FALSE)</f>
        <v>1</v>
      </c>
      <c r="R333" s="241" t="b">
        <f t="shared" si="2"/>
        <v>0</v>
      </c>
      <c r="T333" s="2">
        <v>4.2</v>
      </c>
      <c r="U333" s="112" t="str">
        <f t="shared" si="3"/>
        <v/>
      </c>
      <c r="V333" s="242"/>
      <c r="W333" s="242"/>
      <c r="X333" s="242"/>
      <c r="Y333" s="242"/>
      <c r="Z333" s="210"/>
      <c r="AA333" s="112" t="str">
        <f t="shared" si="4"/>
        <v>MA1088</v>
      </c>
      <c r="AB333" s="112" t="str">
        <f t="shared" si="5"/>
        <v/>
      </c>
      <c r="AC333" s="112" t="str">
        <f t="shared" si="6"/>
        <v/>
      </c>
      <c r="AD333" s="5"/>
      <c r="AE333" s="5"/>
    </row>
    <row r="334">
      <c r="A334" s="5" t="s">
        <v>1709</v>
      </c>
      <c r="B334" s="44">
        <v>44619.0</v>
      </c>
      <c r="C334" s="150">
        <v>0.32108796296296294</v>
      </c>
      <c r="D334" s="5"/>
      <c r="E334" s="5"/>
      <c r="F334" s="5"/>
      <c r="G334" s="5" t="s">
        <v>2184</v>
      </c>
      <c r="H334" s="5" t="s">
        <v>244</v>
      </c>
      <c r="I334" s="44">
        <v>44621.0</v>
      </c>
      <c r="J334" s="150">
        <v>0.4783449074074074</v>
      </c>
      <c r="K334" s="19">
        <v>0.0</v>
      </c>
      <c r="L334" s="10" t="b">
        <v>1</v>
      </c>
      <c r="M334" s="5" t="s">
        <v>2472</v>
      </c>
      <c r="N334" s="5" t="s">
        <v>247</v>
      </c>
      <c r="O334" s="5"/>
      <c r="P334" s="110" t="b">
        <f t="shared" si="1"/>
        <v>1</v>
      </c>
      <c r="Q334" s="110" t="b">
        <f>IF(COUNTIF(RAW_APS!$A$2:$A815,A334)=0,TRUE,FALSE)</f>
        <v>1</v>
      </c>
      <c r="R334" s="241" t="b">
        <f t="shared" si="2"/>
        <v>0</v>
      </c>
      <c r="U334" s="112" t="str">
        <f t="shared" si="3"/>
        <v/>
      </c>
      <c r="V334" s="51"/>
      <c r="W334" s="51"/>
      <c r="X334" s="51"/>
      <c r="Y334" s="51"/>
      <c r="Z334" s="210"/>
      <c r="AA334" s="112" t="str">
        <f t="shared" si="4"/>
        <v>MA1090</v>
      </c>
      <c r="AB334" s="112" t="str">
        <f t="shared" si="5"/>
        <v/>
      </c>
      <c r="AC334" s="112" t="str">
        <f t="shared" si="6"/>
        <v/>
      </c>
      <c r="AD334" s="5"/>
      <c r="AE334" s="5"/>
    </row>
    <row r="335">
      <c r="A335" s="5" t="s">
        <v>347</v>
      </c>
      <c r="B335" s="44">
        <v>44550.0</v>
      </c>
      <c r="C335" s="150">
        <v>0.31734953703703705</v>
      </c>
      <c r="D335" s="5"/>
      <c r="E335" s="5"/>
      <c r="F335" s="5"/>
      <c r="G335" s="5" t="s">
        <v>2184</v>
      </c>
      <c r="H335" s="5" t="s">
        <v>244</v>
      </c>
      <c r="I335" s="44">
        <v>44550.0</v>
      </c>
      <c r="J335" s="150">
        <v>0.4883449074074074</v>
      </c>
      <c r="K335" s="19">
        <v>1.0</v>
      </c>
      <c r="L335" s="10" t="b">
        <v>1</v>
      </c>
      <c r="M335" s="5" t="s">
        <v>2506</v>
      </c>
      <c r="N335" s="5" t="s">
        <v>247</v>
      </c>
      <c r="O335" s="5"/>
      <c r="P335" s="110" t="b">
        <f t="shared" si="1"/>
        <v>0</v>
      </c>
      <c r="Q335" s="110" t="b">
        <f>IF(COUNTIF(RAW_APS!$A$2:$A815,A335)=0,TRUE,FALSE)</f>
        <v>0</v>
      </c>
      <c r="R335" s="241" t="b">
        <f t="shared" si="2"/>
        <v>0</v>
      </c>
      <c r="U335" s="112" t="str">
        <f t="shared" si="3"/>
        <v/>
      </c>
      <c r="V335" s="51"/>
      <c r="W335" s="51"/>
      <c r="X335" s="51"/>
      <c r="Y335" s="51"/>
      <c r="Z335" s="210"/>
      <c r="AA335" s="112" t="str">
        <f t="shared" si="4"/>
        <v>MA1091</v>
      </c>
      <c r="AB335" s="112" t="str">
        <f t="shared" si="5"/>
        <v/>
      </c>
      <c r="AC335" s="112" t="str">
        <f t="shared" si="6"/>
        <v/>
      </c>
      <c r="AD335" s="5"/>
      <c r="AE335" s="5"/>
    </row>
    <row r="336">
      <c r="A336" s="5" t="s">
        <v>767</v>
      </c>
      <c r="B336" s="44">
        <v>44574.0</v>
      </c>
      <c r="C336" s="150">
        <v>0.6161342592592592</v>
      </c>
      <c r="D336" s="5"/>
      <c r="E336" s="5"/>
      <c r="F336" s="5"/>
      <c r="G336" s="5" t="s">
        <v>2184</v>
      </c>
      <c r="H336" s="5" t="s">
        <v>52</v>
      </c>
      <c r="I336" s="44">
        <v>44579.0</v>
      </c>
      <c r="J336" s="150">
        <v>0.5015856481481481</v>
      </c>
      <c r="K336" s="19">
        <v>1.0</v>
      </c>
      <c r="L336" s="10" t="b">
        <v>1</v>
      </c>
      <c r="M336" s="5"/>
      <c r="N336" s="5" t="s">
        <v>247</v>
      </c>
      <c r="O336" s="5"/>
      <c r="P336" s="110" t="b">
        <f t="shared" si="1"/>
        <v>0</v>
      </c>
      <c r="Q336" s="110" t="b">
        <f>IF(COUNTIF(RAW_APS!$A$2:$A815,A336)=0,TRUE,FALSE)</f>
        <v>0</v>
      </c>
      <c r="R336" s="241" t="b">
        <f t="shared" si="2"/>
        <v>0</v>
      </c>
      <c r="U336" s="112" t="str">
        <f t="shared" si="3"/>
        <v/>
      </c>
      <c r="V336" s="60"/>
      <c r="W336" s="60"/>
      <c r="X336" s="60"/>
      <c r="Y336" s="60"/>
      <c r="Z336" s="210"/>
      <c r="AA336" s="112" t="str">
        <f t="shared" si="4"/>
        <v>MA1092</v>
      </c>
      <c r="AB336" s="112" t="str">
        <f t="shared" si="5"/>
        <v/>
      </c>
      <c r="AC336" s="112" t="str">
        <f t="shared" si="6"/>
        <v/>
      </c>
      <c r="AD336" s="5"/>
      <c r="AE336" s="5"/>
    </row>
    <row r="337">
      <c r="A337" s="5" t="s">
        <v>1732</v>
      </c>
      <c r="B337" s="44">
        <v>44619.0</v>
      </c>
      <c r="C337" s="150">
        <v>0.35444444444444445</v>
      </c>
      <c r="D337" s="5"/>
      <c r="E337" s="5"/>
      <c r="F337" s="5"/>
      <c r="G337" s="5" t="s">
        <v>2184</v>
      </c>
      <c r="H337" s="5" t="s">
        <v>52</v>
      </c>
      <c r="I337" s="44">
        <v>44627.0</v>
      </c>
      <c r="J337" s="150">
        <v>0.4778935185185185</v>
      </c>
      <c r="K337" s="19">
        <v>1.0</v>
      </c>
      <c r="L337" s="10" t="b">
        <v>1</v>
      </c>
      <c r="M337" s="5"/>
      <c r="N337" s="5" t="s">
        <v>247</v>
      </c>
      <c r="O337" s="5"/>
      <c r="P337" s="110" t="b">
        <f t="shared" si="1"/>
        <v>0</v>
      </c>
      <c r="Q337" s="110" t="b">
        <f>IF(COUNTIF(RAW_APS!$A$2:$A815,A337)=0,TRUE,FALSE)</f>
        <v>0</v>
      </c>
      <c r="R337" s="241" t="b">
        <f t="shared" si="2"/>
        <v>0</v>
      </c>
      <c r="U337" s="112" t="str">
        <f t="shared" si="3"/>
        <v/>
      </c>
      <c r="V337" s="60"/>
      <c r="W337" s="60"/>
      <c r="X337" s="60"/>
      <c r="Y337" s="60"/>
      <c r="Z337" s="210"/>
      <c r="AA337" s="112" t="str">
        <f t="shared" si="4"/>
        <v>MA1095</v>
      </c>
      <c r="AB337" s="112" t="str">
        <f t="shared" si="5"/>
        <v/>
      </c>
      <c r="AC337" s="112" t="str">
        <f t="shared" si="6"/>
        <v/>
      </c>
      <c r="AD337" s="5"/>
      <c r="AE337" s="5"/>
    </row>
    <row r="338">
      <c r="A338" s="5" t="s">
        <v>1507</v>
      </c>
      <c r="B338" s="44">
        <v>44613.0</v>
      </c>
      <c r="C338" s="150">
        <v>0.3159722222222222</v>
      </c>
      <c r="D338" s="5"/>
      <c r="E338" s="5"/>
      <c r="F338" s="5"/>
      <c r="G338" s="5" t="s">
        <v>2184</v>
      </c>
      <c r="H338" s="5" t="s">
        <v>244</v>
      </c>
      <c r="I338" s="44">
        <v>44613.0</v>
      </c>
      <c r="J338" s="150">
        <v>0.4693981481481482</v>
      </c>
      <c r="K338" s="19">
        <v>1.0</v>
      </c>
      <c r="L338" s="10" t="b">
        <v>1</v>
      </c>
      <c r="M338" s="5" t="s">
        <v>2476</v>
      </c>
      <c r="N338" s="5" t="s">
        <v>247</v>
      </c>
      <c r="O338" s="5"/>
      <c r="P338" s="110" t="b">
        <f t="shared" si="1"/>
        <v>0</v>
      </c>
      <c r="Q338" s="110" t="b">
        <f>IF(COUNTIF(RAW_APS!$A$2:$A815,A338)=0,TRUE,FALSE)</f>
        <v>0</v>
      </c>
      <c r="R338" s="241" t="b">
        <f t="shared" si="2"/>
        <v>0</v>
      </c>
      <c r="U338" s="112" t="str">
        <f t="shared" si="3"/>
        <v/>
      </c>
      <c r="V338" s="60"/>
      <c r="W338" s="60"/>
      <c r="X338" s="60"/>
      <c r="Y338" s="60"/>
      <c r="Z338" s="210"/>
      <c r="AA338" s="112" t="str">
        <f t="shared" si="4"/>
        <v>MA1096</v>
      </c>
      <c r="AB338" s="112" t="str">
        <f t="shared" si="5"/>
        <v/>
      </c>
      <c r="AC338" s="112" t="str">
        <f t="shared" si="6"/>
        <v/>
      </c>
      <c r="AD338" s="5"/>
      <c r="AE338" s="5"/>
    </row>
    <row r="339">
      <c r="A339" s="5" t="s">
        <v>405</v>
      </c>
      <c r="B339" s="44">
        <v>44557.0</v>
      </c>
      <c r="C339" s="150">
        <v>0.36072916666666666</v>
      </c>
      <c r="D339" s="5"/>
      <c r="E339" s="5"/>
      <c r="F339" s="5"/>
      <c r="G339" s="5" t="s">
        <v>2184</v>
      </c>
      <c r="H339" s="5" t="s">
        <v>244</v>
      </c>
      <c r="I339" s="44">
        <v>44557.0</v>
      </c>
      <c r="J339" s="150">
        <v>0.4870949074074074</v>
      </c>
      <c r="K339" s="19">
        <v>1.0</v>
      </c>
      <c r="L339" s="10" t="b">
        <v>1</v>
      </c>
      <c r="M339" s="5" t="s">
        <v>2504</v>
      </c>
      <c r="N339" s="5" t="s">
        <v>247</v>
      </c>
      <c r="O339" s="5"/>
      <c r="P339" s="110" t="b">
        <f t="shared" si="1"/>
        <v>0</v>
      </c>
      <c r="Q339" s="110" t="b">
        <f>IF(COUNTIF(RAW_APS!$A$2:$A815,A339)=0,TRUE,FALSE)</f>
        <v>0</v>
      </c>
      <c r="R339" s="241" t="b">
        <f t="shared" si="2"/>
        <v>0</v>
      </c>
      <c r="U339" s="112" t="str">
        <f t="shared" si="3"/>
        <v/>
      </c>
      <c r="V339" s="51"/>
      <c r="W339" s="51"/>
      <c r="X339" s="51"/>
      <c r="Y339" s="51"/>
      <c r="Z339" s="210"/>
      <c r="AA339" s="112" t="str">
        <f t="shared" si="4"/>
        <v>MA1099</v>
      </c>
      <c r="AB339" s="112" t="str">
        <f t="shared" si="5"/>
        <v/>
      </c>
      <c r="AC339" s="112" t="str">
        <f t="shared" si="6"/>
        <v/>
      </c>
      <c r="AD339" s="5"/>
      <c r="AE339" s="5"/>
    </row>
    <row r="340">
      <c r="A340" s="5" t="s">
        <v>833</v>
      </c>
      <c r="B340" s="44">
        <v>44579.0</v>
      </c>
      <c r="C340" s="150">
        <v>0.3162037037037037</v>
      </c>
      <c r="D340" s="5"/>
      <c r="E340" s="5"/>
      <c r="F340" s="5"/>
      <c r="G340" s="5" t="s">
        <v>2184</v>
      </c>
      <c r="H340" s="5" t="s">
        <v>244</v>
      </c>
      <c r="I340" s="44">
        <v>44580.0</v>
      </c>
      <c r="J340" s="150">
        <v>0.5080092592592592</v>
      </c>
      <c r="K340" s="19">
        <v>1.0</v>
      </c>
      <c r="L340" s="10" t="b">
        <v>1</v>
      </c>
      <c r="M340" s="5" t="s">
        <v>2492</v>
      </c>
      <c r="N340" s="5" t="s">
        <v>247</v>
      </c>
      <c r="O340" s="5"/>
      <c r="P340" s="110" t="b">
        <f t="shared" si="1"/>
        <v>0</v>
      </c>
      <c r="Q340" s="110" t="b">
        <f>IF(COUNTIF(RAW_APS!$A$2:$A815,A340)=0,TRUE,FALSE)</f>
        <v>0</v>
      </c>
      <c r="R340" s="241" t="b">
        <f t="shared" si="2"/>
        <v>0</v>
      </c>
      <c r="U340" s="112" t="str">
        <f t="shared" si="3"/>
        <v/>
      </c>
      <c r="V340" s="60"/>
      <c r="W340" s="60"/>
      <c r="X340" s="60"/>
      <c r="Y340" s="60"/>
      <c r="Z340" s="210"/>
      <c r="AA340" s="112" t="str">
        <f t="shared" si="4"/>
        <v>MA1100</v>
      </c>
      <c r="AB340" s="112" t="str">
        <f t="shared" si="5"/>
        <v/>
      </c>
      <c r="AC340" s="112" t="str">
        <f t="shared" si="6"/>
        <v/>
      </c>
      <c r="AD340" s="5"/>
      <c r="AE340" s="5"/>
    </row>
    <row r="341">
      <c r="A341" s="5" t="s">
        <v>1253</v>
      </c>
      <c r="B341" s="44">
        <v>44607.0</v>
      </c>
      <c r="C341" s="150">
        <v>0.3147337962962963</v>
      </c>
      <c r="D341" s="5"/>
      <c r="E341" s="5"/>
      <c r="F341" s="5"/>
      <c r="G341" s="5" t="s">
        <v>2184</v>
      </c>
      <c r="H341" s="5" t="s">
        <v>244</v>
      </c>
      <c r="I341" s="44">
        <v>44607.0</v>
      </c>
      <c r="J341" s="150">
        <v>0.5868055555555556</v>
      </c>
      <c r="K341" s="19">
        <v>1.0</v>
      </c>
      <c r="L341" s="10" t="b">
        <v>1</v>
      </c>
      <c r="M341" s="5" t="s">
        <v>2479</v>
      </c>
      <c r="N341" s="5" t="s">
        <v>247</v>
      </c>
      <c r="O341" s="5"/>
      <c r="P341" s="110" t="b">
        <f t="shared" si="1"/>
        <v>0</v>
      </c>
      <c r="Q341" s="110" t="b">
        <f>IF(COUNTIF(RAW_APS!$A$2:$A815,A341)=0,TRUE,FALSE)</f>
        <v>0</v>
      </c>
      <c r="R341" s="241" t="b">
        <f t="shared" si="2"/>
        <v>0</v>
      </c>
      <c r="U341" s="112" t="str">
        <f t="shared" si="3"/>
        <v/>
      </c>
      <c r="V341" s="60"/>
      <c r="W341" s="60"/>
      <c r="X341" s="60"/>
      <c r="Y341" s="60"/>
      <c r="Z341" s="210"/>
      <c r="AA341" s="112" t="str">
        <f t="shared" si="4"/>
        <v>MA1103</v>
      </c>
      <c r="AB341" s="112" t="str">
        <f t="shared" si="5"/>
        <v/>
      </c>
      <c r="AC341" s="112" t="str">
        <f t="shared" si="6"/>
        <v/>
      </c>
      <c r="AD341" s="5"/>
      <c r="AE341" s="5"/>
    </row>
    <row r="342">
      <c r="A342" s="5" t="s">
        <v>1566</v>
      </c>
      <c r="B342" s="44">
        <v>44615.0</v>
      </c>
      <c r="C342" s="150">
        <v>0.31449074074074074</v>
      </c>
      <c r="D342" s="5"/>
      <c r="E342" s="5"/>
      <c r="F342" s="5"/>
      <c r="G342" s="5" t="s">
        <v>2184</v>
      </c>
      <c r="H342" s="5" t="s">
        <v>52</v>
      </c>
      <c r="I342" s="44">
        <v>44615.0</v>
      </c>
      <c r="J342" s="150">
        <v>0.4912384259259259</v>
      </c>
      <c r="K342" s="19">
        <v>1.0</v>
      </c>
      <c r="L342" s="10" t="b">
        <v>1</v>
      </c>
      <c r="M342" s="5" t="s">
        <v>2474</v>
      </c>
      <c r="N342" s="5" t="s">
        <v>247</v>
      </c>
      <c r="O342" s="5"/>
      <c r="P342" s="110" t="b">
        <f t="shared" si="1"/>
        <v>0</v>
      </c>
      <c r="Q342" s="110" t="b">
        <f>IF(COUNTIF(RAW_APS!$A$2:$A815,A342)=0,TRUE,FALSE)</f>
        <v>0</v>
      </c>
      <c r="R342" s="241" t="b">
        <f t="shared" si="2"/>
        <v>0</v>
      </c>
      <c r="U342" s="112" t="str">
        <f t="shared" si="3"/>
        <v/>
      </c>
      <c r="V342" s="60"/>
      <c r="W342" s="60"/>
      <c r="X342" s="60"/>
      <c r="Y342" s="60"/>
      <c r="Z342" s="210"/>
      <c r="AA342" s="112" t="str">
        <f t="shared" si="4"/>
        <v>MA1104</v>
      </c>
      <c r="AB342" s="112" t="str">
        <f t="shared" si="5"/>
        <v/>
      </c>
      <c r="AC342" s="112" t="str">
        <f t="shared" si="6"/>
        <v/>
      </c>
      <c r="AD342" s="5"/>
      <c r="AE342" s="5"/>
    </row>
    <row r="343">
      <c r="A343" s="5" t="s">
        <v>749</v>
      </c>
      <c r="B343" s="44">
        <v>44573.0</v>
      </c>
      <c r="C343" s="150">
        <v>0.39944444444444444</v>
      </c>
      <c r="D343" s="5"/>
      <c r="E343" s="5"/>
      <c r="F343" s="5"/>
      <c r="G343" s="5" t="s">
        <v>2184</v>
      </c>
      <c r="H343" s="5" t="s">
        <v>244</v>
      </c>
      <c r="I343" s="44">
        <v>44575.0</v>
      </c>
      <c r="J343" s="150">
        <v>0.48204861111111114</v>
      </c>
      <c r="K343" s="19">
        <v>1.0</v>
      </c>
      <c r="L343" s="10" t="b">
        <v>1</v>
      </c>
      <c r="M343" s="5" t="s">
        <v>2495</v>
      </c>
      <c r="N343" s="5" t="s">
        <v>247</v>
      </c>
      <c r="O343" s="5"/>
      <c r="P343" s="110" t="b">
        <f t="shared" si="1"/>
        <v>0</v>
      </c>
      <c r="Q343" s="110" t="b">
        <f>IF(COUNTIF(RAW_APS!$A$2:$A815,A343)=0,TRUE,FALSE)</f>
        <v>0</v>
      </c>
      <c r="R343" s="241" t="b">
        <f t="shared" si="2"/>
        <v>0</v>
      </c>
      <c r="U343" s="112" t="str">
        <f t="shared" si="3"/>
        <v/>
      </c>
      <c r="V343" s="60"/>
      <c r="W343" s="60"/>
      <c r="X343" s="60"/>
      <c r="Y343" s="60"/>
      <c r="Z343" s="210"/>
      <c r="AA343" s="112" t="str">
        <f t="shared" si="4"/>
        <v>MA1107</v>
      </c>
      <c r="AB343" s="112" t="str">
        <f t="shared" si="5"/>
        <v/>
      </c>
      <c r="AC343" s="112" t="str">
        <f t="shared" si="6"/>
        <v/>
      </c>
      <c r="AD343" s="5"/>
      <c r="AE343" s="5"/>
    </row>
    <row r="344">
      <c r="A344" s="5" t="s">
        <v>1587</v>
      </c>
      <c r="B344" s="44">
        <v>44615.0</v>
      </c>
      <c r="C344" s="150">
        <v>0.33490740740740743</v>
      </c>
      <c r="D344" s="5"/>
      <c r="E344" s="5"/>
      <c r="F344" s="5"/>
      <c r="G344" s="5" t="s">
        <v>2184</v>
      </c>
      <c r="H344" s="5" t="s">
        <v>52</v>
      </c>
      <c r="I344" s="44">
        <v>44615.0</v>
      </c>
      <c r="J344" s="150">
        <v>0.49125</v>
      </c>
      <c r="K344" s="19">
        <v>1.0</v>
      </c>
      <c r="L344" s="10" t="b">
        <v>1</v>
      </c>
      <c r="M344" s="5" t="s">
        <v>2474</v>
      </c>
      <c r="N344" s="5" t="s">
        <v>247</v>
      </c>
      <c r="O344" s="5"/>
      <c r="P344" s="110" t="b">
        <f t="shared" si="1"/>
        <v>0</v>
      </c>
      <c r="Q344" s="110" t="b">
        <f>IF(COUNTIF(RAW_APS!$A$2:$A815,A344)=0,TRUE,FALSE)</f>
        <v>0</v>
      </c>
      <c r="R344" s="241" t="b">
        <f t="shared" si="2"/>
        <v>0</v>
      </c>
      <c r="U344" s="112" t="str">
        <f t="shared" si="3"/>
        <v/>
      </c>
      <c r="V344" s="60"/>
      <c r="W344" s="60"/>
      <c r="X344" s="60"/>
      <c r="Y344" s="60"/>
      <c r="Z344" s="210"/>
      <c r="AA344" s="112" t="str">
        <f t="shared" si="4"/>
        <v>MA1108</v>
      </c>
      <c r="AB344" s="112" t="str">
        <f t="shared" si="5"/>
        <v/>
      </c>
      <c r="AC344" s="112" t="str">
        <f t="shared" si="6"/>
        <v/>
      </c>
      <c r="AD344" s="5"/>
      <c r="AE344" s="5"/>
    </row>
    <row r="345">
      <c r="A345" s="5" t="s">
        <v>826</v>
      </c>
      <c r="B345" s="44">
        <v>44579.0</v>
      </c>
      <c r="C345" s="150">
        <v>0.3022685185185185</v>
      </c>
      <c r="D345" s="5"/>
      <c r="E345" s="5"/>
      <c r="F345" s="5"/>
      <c r="G345" s="5" t="s">
        <v>2184</v>
      </c>
      <c r="H345" s="5" t="s">
        <v>244</v>
      </c>
      <c r="I345" s="44">
        <v>44580.0</v>
      </c>
      <c r="J345" s="150">
        <v>0.5079976851851852</v>
      </c>
      <c r="K345" s="19">
        <v>1.0</v>
      </c>
      <c r="L345" s="10" t="b">
        <v>1</v>
      </c>
      <c r="M345" s="5" t="s">
        <v>2492</v>
      </c>
      <c r="N345" s="5" t="s">
        <v>247</v>
      </c>
      <c r="O345" s="5"/>
      <c r="P345" s="110" t="b">
        <f t="shared" si="1"/>
        <v>0</v>
      </c>
      <c r="Q345" s="110" t="b">
        <f>IF(COUNTIF(RAW_APS!$A$2:$A815,A345)=0,TRUE,FALSE)</f>
        <v>0</v>
      </c>
      <c r="R345" s="241" t="b">
        <f t="shared" si="2"/>
        <v>0</v>
      </c>
      <c r="U345" s="112" t="str">
        <f t="shared" si="3"/>
        <v/>
      </c>
      <c r="V345" s="60"/>
      <c r="W345" s="60"/>
      <c r="X345" s="60"/>
      <c r="Y345" s="60"/>
      <c r="Z345" s="210"/>
      <c r="AA345" s="112" t="str">
        <f t="shared" si="4"/>
        <v>MA1109</v>
      </c>
      <c r="AB345" s="112" t="str">
        <f t="shared" si="5"/>
        <v/>
      </c>
      <c r="AC345" s="112" t="str">
        <f t="shared" si="6"/>
        <v/>
      </c>
      <c r="AD345" s="5"/>
      <c r="AE345" s="5"/>
    </row>
    <row r="346">
      <c r="A346" s="5" t="s">
        <v>1202</v>
      </c>
      <c r="B346" s="44">
        <v>44604.0</v>
      </c>
      <c r="C346" s="150">
        <v>0.3247569444444444</v>
      </c>
      <c r="D346" s="5"/>
      <c r="E346" s="5"/>
      <c r="F346" s="5"/>
      <c r="G346" s="5" t="s">
        <v>2184</v>
      </c>
      <c r="H346" s="5" t="s">
        <v>52</v>
      </c>
      <c r="I346" s="44">
        <v>44604.0</v>
      </c>
      <c r="J346" s="150">
        <v>0.3936689814814815</v>
      </c>
      <c r="K346" s="19">
        <v>1.0</v>
      </c>
      <c r="L346" s="10" t="b">
        <v>1</v>
      </c>
      <c r="M346" s="5" t="s">
        <v>2480</v>
      </c>
      <c r="N346" s="5" t="s">
        <v>247</v>
      </c>
      <c r="O346" s="5"/>
      <c r="P346" s="110" t="b">
        <f t="shared" si="1"/>
        <v>0</v>
      </c>
      <c r="Q346" s="110" t="b">
        <f>IF(COUNTIF(RAW_APS!$A$2:$A815,A346)=0,TRUE,FALSE)</f>
        <v>0</v>
      </c>
      <c r="R346" s="241" t="b">
        <f t="shared" si="2"/>
        <v>0</v>
      </c>
      <c r="U346" s="112" t="str">
        <f t="shared" si="3"/>
        <v/>
      </c>
      <c r="V346" s="60"/>
      <c r="W346" s="60"/>
      <c r="X346" s="60"/>
      <c r="Y346" s="60"/>
      <c r="Z346" s="210"/>
      <c r="AA346" s="112" t="str">
        <f t="shared" si="4"/>
        <v>MA1111</v>
      </c>
      <c r="AB346" s="112" t="str">
        <f t="shared" si="5"/>
        <v/>
      </c>
      <c r="AC346" s="112" t="str">
        <f t="shared" si="6"/>
        <v/>
      </c>
      <c r="AD346" s="5"/>
      <c r="AE346" s="5"/>
    </row>
    <row r="347">
      <c r="A347" s="5" t="s">
        <v>773</v>
      </c>
      <c r="B347" s="44">
        <v>44574.0</v>
      </c>
      <c r="C347" s="150">
        <v>0.8485069444444444</v>
      </c>
      <c r="D347" s="5"/>
      <c r="E347" s="5"/>
      <c r="F347" s="5"/>
      <c r="G347" s="5" t="s">
        <v>2184</v>
      </c>
      <c r="H347" s="5" t="s">
        <v>244</v>
      </c>
      <c r="I347" s="44">
        <v>44575.0</v>
      </c>
      <c r="J347" s="150">
        <v>0.48204861111111114</v>
      </c>
      <c r="K347" s="19">
        <v>1.0</v>
      </c>
      <c r="L347" s="10" t="b">
        <v>1</v>
      </c>
      <c r="M347" s="5" t="s">
        <v>2493</v>
      </c>
      <c r="N347" s="5" t="s">
        <v>247</v>
      </c>
      <c r="O347" s="5"/>
      <c r="P347" s="110" t="b">
        <f t="shared" si="1"/>
        <v>0</v>
      </c>
      <c r="Q347" s="110" t="b">
        <f>IF(COUNTIF(RAW_APS!$A$2:$A815,A347)=0,TRUE,FALSE)</f>
        <v>0</v>
      </c>
      <c r="R347" s="241" t="b">
        <f t="shared" si="2"/>
        <v>0</v>
      </c>
      <c r="U347" s="112" t="str">
        <f t="shared" si="3"/>
        <v/>
      </c>
      <c r="V347" s="60"/>
      <c r="W347" s="60"/>
      <c r="X347" s="60"/>
      <c r="Y347" s="60"/>
      <c r="Z347" s="210"/>
      <c r="AA347" s="112" t="str">
        <f t="shared" si="4"/>
        <v>MA1112</v>
      </c>
      <c r="AB347" s="112" t="str">
        <f t="shared" si="5"/>
        <v/>
      </c>
      <c r="AC347" s="112" t="str">
        <f t="shared" si="6"/>
        <v/>
      </c>
      <c r="AD347" s="5"/>
      <c r="AE347" s="5"/>
    </row>
    <row r="348">
      <c r="A348" s="5" t="s">
        <v>920</v>
      </c>
      <c r="B348" s="44">
        <v>44580.0</v>
      </c>
      <c r="C348" s="150">
        <v>0.3460648148148148</v>
      </c>
      <c r="D348" s="5"/>
      <c r="E348" s="5"/>
      <c r="F348" s="5"/>
      <c r="G348" s="5" t="s">
        <v>2184</v>
      </c>
      <c r="H348" s="5" t="s">
        <v>52</v>
      </c>
      <c r="I348" s="44">
        <v>44580.0</v>
      </c>
      <c r="J348" s="150">
        <v>0.5073611111111112</v>
      </c>
      <c r="K348" s="19">
        <v>1.0</v>
      </c>
      <c r="L348" s="10" t="b">
        <v>1</v>
      </c>
      <c r="M348" s="5"/>
      <c r="N348" s="5" t="s">
        <v>247</v>
      </c>
      <c r="O348" s="5"/>
      <c r="P348" s="110" t="b">
        <f t="shared" si="1"/>
        <v>0</v>
      </c>
      <c r="Q348" s="110" t="b">
        <f>IF(COUNTIF(RAW_APS!$A$2:$A815,A348)=0,TRUE,FALSE)</f>
        <v>0</v>
      </c>
      <c r="R348" s="241" t="b">
        <f t="shared" si="2"/>
        <v>0</v>
      </c>
      <c r="U348" s="112" t="str">
        <f t="shared" si="3"/>
        <v/>
      </c>
      <c r="V348" s="60"/>
      <c r="W348" s="60"/>
      <c r="X348" s="60"/>
      <c r="Y348" s="60"/>
      <c r="Z348" s="210"/>
      <c r="AA348" s="112" t="str">
        <f t="shared" si="4"/>
        <v>MA1115</v>
      </c>
      <c r="AB348" s="112" t="str">
        <f t="shared" si="5"/>
        <v/>
      </c>
      <c r="AC348" s="112" t="str">
        <f t="shared" si="6"/>
        <v/>
      </c>
      <c r="AD348" s="5"/>
      <c r="AE348" s="5"/>
    </row>
    <row r="349">
      <c r="A349" s="5" t="s">
        <v>1457</v>
      </c>
      <c r="B349" s="44">
        <v>44611.0</v>
      </c>
      <c r="C349" s="150">
        <v>0.3321875</v>
      </c>
      <c r="D349" s="5"/>
      <c r="E349" s="5"/>
      <c r="F349" s="5"/>
      <c r="G349" s="5" t="s">
        <v>2184</v>
      </c>
      <c r="H349" s="5" t="s">
        <v>244</v>
      </c>
      <c r="I349" s="44">
        <v>44611.0</v>
      </c>
      <c r="J349" s="150">
        <v>0.5041203703703704</v>
      </c>
      <c r="K349" s="19">
        <v>1.0</v>
      </c>
      <c r="L349" s="10" t="b">
        <v>1</v>
      </c>
      <c r="M349" s="5"/>
      <c r="N349" s="5" t="s">
        <v>247</v>
      </c>
      <c r="O349" s="5"/>
      <c r="P349" s="110" t="b">
        <f t="shared" si="1"/>
        <v>0</v>
      </c>
      <c r="Q349" s="110" t="b">
        <f>IF(COUNTIF(RAW_APS!$A$2:$A815,A349)=0,TRUE,FALSE)</f>
        <v>0</v>
      </c>
      <c r="R349" s="241" t="b">
        <f t="shared" si="2"/>
        <v>0</v>
      </c>
      <c r="U349" s="112" t="str">
        <f t="shared" si="3"/>
        <v/>
      </c>
      <c r="V349" s="60"/>
      <c r="W349" s="60"/>
      <c r="X349" s="60"/>
      <c r="Y349" s="60"/>
      <c r="Z349" s="210"/>
      <c r="AA349" s="112" t="str">
        <f t="shared" si="4"/>
        <v>MA1116</v>
      </c>
      <c r="AB349" s="112" t="str">
        <f t="shared" si="5"/>
        <v/>
      </c>
      <c r="AC349" s="112" t="str">
        <f t="shared" si="6"/>
        <v/>
      </c>
      <c r="AD349" s="5"/>
      <c r="AE349" s="5"/>
    </row>
    <row r="350">
      <c r="A350" s="5" t="s">
        <v>2494</v>
      </c>
      <c r="B350" s="44">
        <v>44574.0</v>
      </c>
      <c r="C350" s="150">
        <v>0.5852314814814815</v>
      </c>
      <c r="D350" s="5"/>
      <c r="E350" s="5"/>
      <c r="F350" s="5"/>
      <c r="G350" s="5" t="s">
        <v>2188</v>
      </c>
      <c r="H350" s="5" t="s">
        <v>254</v>
      </c>
      <c r="I350" s="44">
        <v>44861.0</v>
      </c>
      <c r="J350" s="150">
        <v>0.4895023148148148</v>
      </c>
      <c r="K350" s="19">
        <v>0.0</v>
      </c>
      <c r="L350" s="5"/>
      <c r="M350" s="5"/>
      <c r="N350" s="5" t="s">
        <v>247</v>
      </c>
      <c r="O350" s="5"/>
      <c r="P350" s="110" t="b">
        <f t="shared" si="1"/>
        <v>1</v>
      </c>
      <c r="Q350" s="110" t="b">
        <f>IF(COUNTIF(RAW_APS!$A$2:$A815,A350)=0,TRUE,FALSE)</f>
        <v>1</v>
      </c>
      <c r="R350" s="241" t="b">
        <f t="shared" si="2"/>
        <v>0</v>
      </c>
      <c r="U350" s="112" t="str">
        <f t="shared" si="3"/>
        <v/>
      </c>
      <c r="V350" s="51"/>
      <c r="W350" s="51"/>
      <c r="X350" s="51"/>
      <c r="Y350" s="51"/>
      <c r="Z350" s="210"/>
      <c r="AA350" s="112" t="str">
        <f t="shared" si="4"/>
        <v>MA1119</v>
      </c>
      <c r="AB350" s="112" t="str">
        <f t="shared" si="5"/>
        <v/>
      </c>
      <c r="AC350" s="112" t="str">
        <f t="shared" si="6"/>
        <v/>
      </c>
      <c r="AD350" s="5"/>
      <c r="AE350" s="5"/>
    </row>
    <row r="351">
      <c r="A351" s="5" t="s">
        <v>1059</v>
      </c>
      <c r="B351" s="44">
        <v>44589.0</v>
      </c>
      <c r="C351" s="150">
        <v>0.33208333333333334</v>
      </c>
      <c r="D351" s="5"/>
      <c r="E351" s="5"/>
      <c r="F351" s="5"/>
      <c r="G351" s="5" t="s">
        <v>2184</v>
      </c>
      <c r="H351" s="5" t="s">
        <v>244</v>
      </c>
      <c r="I351" s="44">
        <v>44589.0</v>
      </c>
      <c r="J351" s="150">
        <v>0.48390046296296296</v>
      </c>
      <c r="K351" s="19">
        <v>1.0</v>
      </c>
      <c r="L351" s="10" t="b">
        <v>1</v>
      </c>
      <c r="M351" s="5" t="s">
        <v>2487</v>
      </c>
      <c r="N351" s="5" t="s">
        <v>247</v>
      </c>
      <c r="O351" s="5"/>
      <c r="P351" s="110" t="b">
        <f t="shared" si="1"/>
        <v>0</v>
      </c>
      <c r="Q351" s="110" t="b">
        <f>IF(COUNTIF(RAW_APS!$A$2:$A815,A351)=0,TRUE,FALSE)</f>
        <v>0</v>
      </c>
      <c r="R351" s="241" t="b">
        <f t="shared" si="2"/>
        <v>0</v>
      </c>
      <c r="U351" s="112" t="str">
        <f t="shared" si="3"/>
        <v/>
      </c>
      <c r="V351" s="60"/>
      <c r="W351" s="60"/>
      <c r="X351" s="60"/>
      <c r="Y351" s="60"/>
      <c r="Z351" s="210"/>
      <c r="AA351" s="112" t="str">
        <f t="shared" si="4"/>
        <v>MA1120</v>
      </c>
      <c r="AB351" s="112" t="str">
        <f t="shared" si="5"/>
        <v/>
      </c>
      <c r="AC351" s="112" t="str">
        <f t="shared" si="6"/>
        <v/>
      </c>
      <c r="AD351" s="5"/>
      <c r="AE351" s="5"/>
    </row>
    <row r="352">
      <c r="A352" s="5" t="s">
        <v>1705</v>
      </c>
      <c r="B352" s="44">
        <v>44619.0</v>
      </c>
      <c r="C352" s="150">
        <v>0.3194212962962963</v>
      </c>
      <c r="D352" s="5"/>
      <c r="E352" s="5"/>
      <c r="F352" s="5"/>
      <c r="G352" s="5" t="s">
        <v>2184</v>
      </c>
      <c r="H352" s="5" t="s">
        <v>244</v>
      </c>
      <c r="I352" s="44">
        <v>44621.0</v>
      </c>
      <c r="J352" s="150">
        <v>0.4783449074074074</v>
      </c>
      <c r="K352" s="19">
        <v>1.0</v>
      </c>
      <c r="L352" s="10" t="b">
        <v>1</v>
      </c>
      <c r="M352" s="5" t="s">
        <v>2472</v>
      </c>
      <c r="N352" s="5" t="s">
        <v>247</v>
      </c>
      <c r="O352" s="5"/>
      <c r="P352" s="110" t="b">
        <f t="shared" si="1"/>
        <v>0</v>
      </c>
      <c r="Q352" s="110" t="b">
        <f>IF(COUNTIF(RAW_APS!$A$2:$A815,A352)=0,TRUE,FALSE)</f>
        <v>0</v>
      </c>
      <c r="R352" s="241" t="b">
        <f t="shared" si="2"/>
        <v>0</v>
      </c>
      <c r="U352" s="112" t="str">
        <f t="shared" si="3"/>
        <v/>
      </c>
      <c r="V352" s="60"/>
      <c r="W352" s="60"/>
      <c r="X352" s="60"/>
      <c r="Y352" s="60"/>
      <c r="Z352" s="210"/>
      <c r="AA352" s="112" t="str">
        <f t="shared" si="4"/>
        <v>MA1123</v>
      </c>
      <c r="AB352" s="112" t="str">
        <f t="shared" si="5"/>
        <v/>
      </c>
      <c r="AC352" s="112" t="str">
        <f t="shared" si="6"/>
        <v/>
      </c>
      <c r="AD352" s="5"/>
      <c r="AE352" s="5"/>
    </row>
    <row r="353">
      <c r="A353" s="5" t="s">
        <v>872</v>
      </c>
      <c r="B353" s="44">
        <v>44579.0</v>
      </c>
      <c r="C353" s="150">
        <v>0.34042824074074074</v>
      </c>
      <c r="D353" s="5"/>
      <c r="E353" s="5"/>
      <c r="F353" s="5"/>
      <c r="G353" s="5" t="s">
        <v>2184</v>
      </c>
      <c r="H353" s="5" t="s">
        <v>244</v>
      </c>
      <c r="I353" s="44">
        <v>44580.0</v>
      </c>
      <c r="J353" s="150">
        <v>0.5080092592592592</v>
      </c>
      <c r="K353" s="19">
        <v>1.0</v>
      </c>
      <c r="L353" s="10" t="b">
        <v>1</v>
      </c>
      <c r="M353" s="5" t="s">
        <v>2492</v>
      </c>
      <c r="N353" s="5" t="s">
        <v>247</v>
      </c>
      <c r="O353" s="5"/>
      <c r="P353" s="110" t="b">
        <f t="shared" si="1"/>
        <v>0</v>
      </c>
      <c r="Q353" s="110" t="b">
        <f>IF(COUNTIF(RAW_APS!$A$2:$A815,A353)=0,TRUE,FALSE)</f>
        <v>0</v>
      </c>
      <c r="R353" s="241" t="b">
        <f t="shared" si="2"/>
        <v>0</v>
      </c>
      <c r="U353" s="112" t="str">
        <f t="shared" si="3"/>
        <v/>
      </c>
      <c r="V353" s="60"/>
      <c r="W353" s="60"/>
      <c r="X353" s="60"/>
      <c r="Y353" s="60"/>
      <c r="Z353" s="210"/>
      <c r="AA353" s="112" t="str">
        <f t="shared" si="4"/>
        <v>MA1124</v>
      </c>
      <c r="AB353" s="112" t="str">
        <f t="shared" si="5"/>
        <v/>
      </c>
      <c r="AC353" s="112" t="str">
        <f t="shared" si="6"/>
        <v/>
      </c>
      <c r="AD353" s="5"/>
      <c r="AE353" s="5"/>
    </row>
    <row r="354">
      <c r="A354" s="5" t="s">
        <v>1499</v>
      </c>
      <c r="B354" s="44">
        <v>44613.0</v>
      </c>
      <c r="C354" s="150">
        <v>0.3089351851851852</v>
      </c>
      <c r="D354" s="5"/>
      <c r="E354" s="5"/>
      <c r="F354" s="5"/>
      <c r="G354" s="5" t="s">
        <v>2184</v>
      </c>
      <c r="H354" s="5" t="s">
        <v>244</v>
      </c>
      <c r="I354" s="44">
        <v>44613.0</v>
      </c>
      <c r="J354" s="150">
        <v>0.4693981481481482</v>
      </c>
      <c r="K354" s="19">
        <v>1.0</v>
      </c>
      <c r="L354" s="10" t="b">
        <v>1</v>
      </c>
      <c r="M354" s="5" t="s">
        <v>2476</v>
      </c>
      <c r="N354" s="5" t="s">
        <v>247</v>
      </c>
      <c r="O354" s="5"/>
      <c r="P354" s="110" t="b">
        <f t="shared" si="1"/>
        <v>0</v>
      </c>
      <c r="Q354" s="110" t="b">
        <f>IF(COUNTIF(RAW_APS!$A$2:$A815,A354)=0,TRUE,FALSE)</f>
        <v>0</v>
      </c>
      <c r="R354" s="241" t="b">
        <f t="shared" si="2"/>
        <v>0</v>
      </c>
      <c r="U354" s="112" t="str">
        <f t="shared" si="3"/>
        <v/>
      </c>
      <c r="V354" s="60"/>
      <c r="W354" s="60"/>
      <c r="X354" s="60"/>
      <c r="Y354" s="60"/>
      <c r="Z354" s="210"/>
      <c r="AA354" s="112" t="str">
        <f t="shared" si="4"/>
        <v>MA1127</v>
      </c>
      <c r="AB354" s="112" t="str">
        <f t="shared" si="5"/>
        <v/>
      </c>
      <c r="AC354" s="112" t="str">
        <f t="shared" si="6"/>
        <v/>
      </c>
      <c r="AD354" s="5"/>
      <c r="AE354" s="5"/>
    </row>
    <row r="355">
      <c r="A355" s="5" t="s">
        <v>1031</v>
      </c>
      <c r="B355" s="44">
        <v>44587.0</v>
      </c>
      <c r="C355" s="150">
        <v>0.32349537037037035</v>
      </c>
      <c r="D355" s="5"/>
      <c r="E355" s="5"/>
      <c r="F355" s="5"/>
      <c r="G355" s="5" t="s">
        <v>2184</v>
      </c>
      <c r="H355" s="5" t="s">
        <v>244</v>
      </c>
      <c r="I355" s="44">
        <v>44587.0</v>
      </c>
      <c r="J355" s="150">
        <v>0.5005439814814815</v>
      </c>
      <c r="K355" s="19">
        <v>1.0</v>
      </c>
      <c r="L355" s="10" t="b">
        <v>1</v>
      </c>
      <c r="M355" s="5" t="s">
        <v>2488</v>
      </c>
      <c r="N355" s="5" t="s">
        <v>247</v>
      </c>
      <c r="O355" s="5"/>
      <c r="P355" s="110" t="b">
        <f t="shared" si="1"/>
        <v>0</v>
      </c>
      <c r="Q355" s="110" t="b">
        <f>IF(COUNTIF(RAW_APS!$A$2:$A815,A355)=0,TRUE,FALSE)</f>
        <v>0</v>
      </c>
      <c r="R355" s="241" t="b">
        <f t="shared" si="2"/>
        <v>0</v>
      </c>
      <c r="U355" s="112" t="str">
        <f t="shared" si="3"/>
        <v/>
      </c>
      <c r="V355" s="60"/>
      <c r="W355" s="60"/>
      <c r="X355" s="60"/>
      <c r="Y355" s="60"/>
      <c r="Z355" s="210"/>
      <c r="AA355" s="112" t="str">
        <f t="shared" si="4"/>
        <v>MA1128</v>
      </c>
      <c r="AB355" s="112" t="str">
        <f t="shared" si="5"/>
        <v/>
      </c>
      <c r="AC355" s="112" t="str">
        <f t="shared" si="6"/>
        <v/>
      </c>
      <c r="AD355" s="5"/>
      <c r="AE355" s="5"/>
    </row>
    <row r="356">
      <c r="A356" s="5" t="s">
        <v>441</v>
      </c>
      <c r="B356" s="44">
        <v>44561.0</v>
      </c>
      <c r="C356" s="150">
        <v>0.33644675925925926</v>
      </c>
      <c r="D356" s="5"/>
      <c r="E356" s="5"/>
      <c r="F356" s="5"/>
      <c r="G356" s="5" t="s">
        <v>2184</v>
      </c>
      <c r="H356" s="5" t="s">
        <v>244</v>
      </c>
      <c r="I356" s="44">
        <v>44561.0</v>
      </c>
      <c r="J356" s="150">
        <v>0.44493055555555555</v>
      </c>
      <c r="K356" s="19">
        <v>1.0</v>
      </c>
      <c r="L356" s="10" t="b">
        <v>1</v>
      </c>
      <c r="M356" s="5" t="s">
        <v>2502</v>
      </c>
      <c r="N356" s="5" t="s">
        <v>247</v>
      </c>
      <c r="O356" s="5"/>
      <c r="P356" s="110" t="b">
        <f t="shared" si="1"/>
        <v>0</v>
      </c>
      <c r="Q356" s="110" t="b">
        <f>IF(COUNTIF(RAW_APS!$A$2:$A815,A356)=0,TRUE,FALSE)</f>
        <v>0</v>
      </c>
      <c r="R356" s="241" t="b">
        <f t="shared" si="2"/>
        <v>0</v>
      </c>
      <c r="U356" s="112" t="str">
        <f t="shared" si="3"/>
        <v/>
      </c>
      <c r="V356" s="60"/>
      <c r="W356" s="60"/>
      <c r="X356" s="60"/>
      <c r="Y356" s="60"/>
      <c r="Z356" s="210"/>
      <c r="AA356" s="112" t="str">
        <f t="shared" si="4"/>
        <v>MA1131</v>
      </c>
      <c r="AB356" s="112" t="str">
        <f t="shared" si="5"/>
        <v/>
      </c>
      <c r="AC356" s="112" t="str">
        <f t="shared" si="6"/>
        <v/>
      </c>
      <c r="AD356" s="5"/>
      <c r="AE356" s="5"/>
    </row>
    <row r="357">
      <c r="A357" s="5" t="s">
        <v>1063</v>
      </c>
      <c r="B357" s="44">
        <v>44589.0</v>
      </c>
      <c r="C357" s="150">
        <v>0.3478819444444444</v>
      </c>
      <c r="D357" s="5"/>
      <c r="E357" s="5"/>
      <c r="F357" s="5"/>
      <c r="G357" s="5" t="s">
        <v>2184</v>
      </c>
      <c r="H357" s="5" t="s">
        <v>244</v>
      </c>
      <c r="I357" s="44">
        <v>44589.0</v>
      </c>
      <c r="J357" s="150">
        <v>0.48390046296296296</v>
      </c>
      <c r="K357" s="19">
        <v>1.0</v>
      </c>
      <c r="L357" s="10" t="b">
        <v>1</v>
      </c>
      <c r="M357" s="5" t="s">
        <v>2487</v>
      </c>
      <c r="N357" s="5" t="s">
        <v>247</v>
      </c>
      <c r="O357" s="5"/>
      <c r="P357" s="110" t="b">
        <f t="shared" si="1"/>
        <v>0</v>
      </c>
      <c r="Q357" s="110" t="b">
        <f>IF(COUNTIF(RAW_APS!$A$2:$A815,A357)=0,TRUE,FALSE)</f>
        <v>0</v>
      </c>
      <c r="R357" s="241" t="b">
        <f t="shared" si="2"/>
        <v>0</v>
      </c>
      <c r="U357" s="112" t="str">
        <f t="shared" si="3"/>
        <v/>
      </c>
      <c r="V357" s="60"/>
      <c r="W357" s="60"/>
      <c r="X357" s="60"/>
      <c r="Y357" s="60"/>
      <c r="Z357" s="210"/>
      <c r="AA357" s="112" t="str">
        <f t="shared" si="4"/>
        <v>MA1135</v>
      </c>
      <c r="AB357" s="112" t="str">
        <f t="shared" si="5"/>
        <v/>
      </c>
      <c r="AC357" s="112" t="str">
        <f t="shared" si="6"/>
        <v/>
      </c>
      <c r="AD357" s="5"/>
      <c r="AE357" s="5"/>
    </row>
    <row r="358">
      <c r="A358" s="5" t="s">
        <v>1093</v>
      </c>
      <c r="B358" s="44">
        <v>44594.0</v>
      </c>
      <c r="C358" s="150">
        <v>0.34377314814814813</v>
      </c>
      <c r="D358" s="5"/>
      <c r="E358" s="5"/>
      <c r="F358" s="5"/>
      <c r="G358" s="5" t="s">
        <v>2184</v>
      </c>
      <c r="H358" s="5" t="s">
        <v>244</v>
      </c>
      <c r="I358" s="44">
        <v>44596.0</v>
      </c>
      <c r="J358" s="150">
        <v>0.48194444444444445</v>
      </c>
      <c r="K358" s="19">
        <v>1.0</v>
      </c>
      <c r="L358" s="10" t="b">
        <v>1</v>
      </c>
      <c r="M358" s="5" t="s">
        <v>2485</v>
      </c>
      <c r="N358" s="5" t="s">
        <v>247</v>
      </c>
      <c r="O358" s="5"/>
      <c r="P358" s="110" t="b">
        <f t="shared" si="1"/>
        <v>0</v>
      </c>
      <c r="Q358" s="110" t="b">
        <f>IF(COUNTIF(RAW_APS!$A$2:$A815,A358)=0,TRUE,FALSE)</f>
        <v>0</v>
      </c>
      <c r="R358" s="241" t="b">
        <f t="shared" si="2"/>
        <v>0</v>
      </c>
      <c r="U358" s="112" t="str">
        <f t="shared" si="3"/>
        <v/>
      </c>
      <c r="V358" s="60"/>
      <c r="W358" s="60"/>
      <c r="X358" s="60"/>
      <c r="Y358" s="60"/>
      <c r="Z358" s="210"/>
      <c r="AA358" s="112" t="str">
        <f t="shared" si="4"/>
        <v>MA1136</v>
      </c>
      <c r="AB358" s="112" t="str">
        <f t="shared" si="5"/>
        <v/>
      </c>
      <c r="AC358" s="112" t="str">
        <f t="shared" si="6"/>
        <v/>
      </c>
      <c r="AD358" s="5"/>
      <c r="AE358" s="5"/>
    </row>
    <row r="359">
      <c r="A359" s="5" t="s">
        <v>1401</v>
      </c>
      <c r="B359" s="44">
        <v>44609.0</v>
      </c>
      <c r="C359" s="150">
        <v>0.3872685185185185</v>
      </c>
      <c r="D359" s="5"/>
      <c r="E359" s="5"/>
      <c r="F359" s="5"/>
      <c r="G359" s="5" t="s">
        <v>2184</v>
      </c>
      <c r="H359" s="5" t="s">
        <v>244</v>
      </c>
      <c r="I359" s="44">
        <v>44611.0</v>
      </c>
      <c r="J359" s="150">
        <v>0.48824074074074075</v>
      </c>
      <c r="K359" s="19">
        <v>1.0</v>
      </c>
      <c r="L359" s="10" t="b">
        <v>1</v>
      </c>
      <c r="M359" s="5" t="s">
        <v>2477</v>
      </c>
      <c r="N359" s="5" t="s">
        <v>247</v>
      </c>
      <c r="O359" s="5"/>
      <c r="P359" s="110" t="b">
        <f t="shared" si="1"/>
        <v>0</v>
      </c>
      <c r="Q359" s="110" t="b">
        <f>IF(COUNTIF(RAW_APS!$A$2:$A815,A359)=0,TRUE,FALSE)</f>
        <v>0</v>
      </c>
      <c r="R359" s="241" t="b">
        <f t="shared" si="2"/>
        <v>0</v>
      </c>
      <c r="U359" s="112" t="str">
        <f t="shared" si="3"/>
        <v/>
      </c>
      <c r="V359" s="60"/>
      <c r="W359" s="60"/>
      <c r="X359" s="60"/>
      <c r="Y359" s="60"/>
      <c r="Z359" s="210"/>
      <c r="AA359" s="112" t="str">
        <f t="shared" si="4"/>
        <v>MA1139</v>
      </c>
      <c r="AB359" s="112" t="str">
        <f t="shared" si="5"/>
        <v/>
      </c>
      <c r="AC359" s="112" t="str">
        <f t="shared" si="6"/>
        <v/>
      </c>
      <c r="AD359" s="5"/>
      <c r="AE359" s="5"/>
    </row>
    <row r="360">
      <c r="A360" s="5" t="s">
        <v>1635</v>
      </c>
      <c r="B360" s="44">
        <v>44617.0</v>
      </c>
      <c r="C360" s="150">
        <v>0.31829861111111113</v>
      </c>
      <c r="D360" s="5"/>
      <c r="E360" s="5"/>
      <c r="F360" s="5"/>
      <c r="G360" s="5" t="s">
        <v>2184</v>
      </c>
      <c r="H360" s="5" t="s">
        <v>244</v>
      </c>
      <c r="I360" s="44">
        <v>44617.0</v>
      </c>
      <c r="J360" s="150">
        <v>0.5033680555555555</v>
      </c>
      <c r="K360" s="19">
        <v>1.0</v>
      </c>
      <c r="L360" s="10" t="b">
        <v>1</v>
      </c>
      <c r="M360" s="5" t="s">
        <v>2473</v>
      </c>
      <c r="N360" s="5" t="s">
        <v>247</v>
      </c>
      <c r="O360" s="5"/>
      <c r="P360" s="110" t="b">
        <f t="shared" si="1"/>
        <v>0</v>
      </c>
      <c r="Q360" s="110" t="b">
        <f>IF(COUNTIF(RAW_APS!$A$2:$A815,A360)=0,TRUE,FALSE)</f>
        <v>0</v>
      </c>
      <c r="R360" s="241" t="b">
        <f t="shared" si="2"/>
        <v>0</v>
      </c>
      <c r="U360" s="112" t="str">
        <f t="shared" si="3"/>
        <v/>
      </c>
      <c r="V360" s="60"/>
      <c r="W360" s="60"/>
      <c r="X360" s="60"/>
      <c r="Y360" s="60"/>
      <c r="Z360" s="210"/>
      <c r="AA360" s="112" t="str">
        <f t="shared" si="4"/>
        <v>MA1140</v>
      </c>
      <c r="AB360" s="112" t="str">
        <f t="shared" si="5"/>
        <v/>
      </c>
      <c r="AC360" s="112" t="str">
        <f t="shared" si="6"/>
        <v/>
      </c>
      <c r="AD360" s="5"/>
      <c r="AE360" s="5"/>
    </row>
    <row r="361">
      <c r="A361" s="5" t="s">
        <v>2442</v>
      </c>
      <c r="B361" s="44">
        <v>44568.0</v>
      </c>
      <c r="C361" s="150">
        <v>0.3139351851851852</v>
      </c>
      <c r="D361" s="5"/>
      <c r="E361" s="5"/>
      <c r="F361" s="5"/>
      <c r="G361" s="5" t="s">
        <v>2184</v>
      </c>
      <c r="H361" s="5" t="s">
        <v>244</v>
      </c>
      <c r="I361" s="44">
        <v>44568.0</v>
      </c>
      <c r="J361" s="150">
        <v>0.5079050925925926</v>
      </c>
      <c r="K361" s="19">
        <v>1.0</v>
      </c>
      <c r="L361" s="10" t="b">
        <v>1</v>
      </c>
      <c r="M361" s="5" t="s">
        <v>2498</v>
      </c>
      <c r="N361" s="5" t="s">
        <v>247</v>
      </c>
      <c r="O361" s="5"/>
      <c r="P361" s="110" t="b">
        <f t="shared" si="1"/>
        <v>0</v>
      </c>
      <c r="Q361" s="110" t="b">
        <f>IF(COUNTIF(RAW_APS!$A$2:$A815,A361)=0,TRUE,FALSE)</f>
        <v>0</v>
      </c>
      <c r="R361" s="241" t="b">
        <f t="shared" si="2"/>
        <v>0</v>
      </c>
      <c r="U361" s="112" t="str">
        <f t="shared" si="3"/>
        <v/>
      </c>
      <c r="V361" s="60"/>
      <c r="W361" s="60"/>
      <c r="X361" s="60"/>
      <c r="Y361" s="60"/>
      <c r="Z361" s="210"/>
      <c r="AA361" s="112" t="str">
        <f t="shared" si="4"/>
        <v>MA1143</v>
      </c>
      <c r="AB361" s="112" t="str">
        <f t="shared" si="5"/>
        <v/>
      </c>
      <c r="AC361" s="112" t="str">
        <f t="shared" si="6"/>
        <v/>
      </c>
      <c r="AD361" s="5"/>
      <c r="AE361" s="5"/>
    </row>
    <row r="362">
      <c r="A362" s="5" t="s">
        <v>835</v>
      </c>
      <c r="B362" s="44">
        <v>44579.0</v>
      </c>
      <c r="C362" s="150">
        <v>0.3205324074074074</v>
      </c>
      <c r="D362" s="5"/>
      <c r="E362" s="5"/>
      <c r="F362" s="5"/>
      <c r="G362" s="5" t="s">
        <v>2184</v>
      </c>
      <c r="H362" s="5" t="s">
        <v>244</v>
      </c>
      <c r="I362" s="44">
        <v>44580.0</v>
      </c>
      <c r="J362" s="150">
        <v>0.5080092592592592</v>
      </c>
      <c r="K362" s="19">
        <v>1.0</v>
      </c>
      <c r="L362" s="10" t="b">
        <v>1</v>
      </c>
      <c r="M362" s="5" t="s">
        <v>2492</v>
      </c>
      <c r="N362" s="5" t="s">
        <v>247</v>
      </c>
      <c r="O362" s="5"/>
      <c r="P362" s="110" t="b">
        <f t="shared" si="1"/>
        <v>0</v>
      </c>
      <c r="Q362" s="110" t="b">
        <f>IF(COUNTIF(RAW_APS!$A$2:$A815,A362)=0,TRUE,FALSE)</f>
        <v>0</v>
      </c>
      <c r="R362" s="241" t="b">
        <f t="shared" si="2"/>
        <v>0</v>
      </c>
      <c r="U362" s="112" t="str">
        <f t="shared" si="3"/>
        <v/>
      </c>
      <c r="V362" s="60"/>
      <c r="W362" s="60"/>
      <c r="X362" s="60"/>
      <c r="Y362" s="60"/>
      <c r="Z362" s="210"/>
      <c r="AA362" s="112" t="str">
        <f t="shared" si="4"/>
        <v>MA1145</v>
      </c>
      <c r="AB362" s="112" t="str">
        <f t="shared" si="5"/>
        <v/>
      </c>
      <c r="AC362" s="112" t="str">
        <f t="shared" si="6"/>
        <v/>
      </c>
      <c r="AD362" s="5"/>
      <c r="AE362" s="5"/>
    </row>
    <row r="363">
      <c r="A363" s="5" t="s">
        <v>898</v>
      </c>
      <c r="B363" s="44">
        <v>44579.0</v>
      </c>
      <c r="C363" s="150">
        <v>0.41368055555555555</v>
      </c>
      <c r="D363" s="5"/>
      <c r="E363" s="5"/>
      <c r="F363" s="5"/>
      <c r="G363" s="5" t="s">
        <v>2184</v>
      </c>
      <c r="H363" s="5" t="s">
        <v>52</v>
      </c>
      <c r="I363" s="44">
        <v>44579.0</v>
      </c>
      <c r="J363" s="150">
        <v>0.5015972222222222</v>
      </c>
      <c r="K363" s="19">
        <v>1.0</v>
      </c>
      <c r="L363" s="10" t="b">
        <v>1</v>
      </c>
      <c r="M363" s="5"/>
      <c r="N363" s="5" t="s">
        <v>247</v>
      </c>
      <c r="O363" s="5"/>
      <c r="P363" s="110" t="b">
        <f t="shared" si="1"/>
        <v>0</v>
      </c>
      <c r="Q363" s="110" t="b">
        <f>IF(COUNTIF(RAW_APS!$A$2:$A815,A363)=0,TRUE,FALSE)</f>
        <v>0</v>
      </c>
      <c r="R363" s="241" t="b">
        <f t="shared" si="2"/>
        <v>0</v>
      </c>
      <c r="U363" s="112" t="str">
        <f t="shared" si="3"/>
        <v/>
      </c>
      <c r="V363" s="60"/>
      <c r="W363" s="60"/>
      <c r="X363" s="60"/>
      <c r="Y363" s="60"/>
      <c r="Z363" s="210"/>
      <c r="AA363" s="112" t="str">
        <f t="shared" si="4"/>
        <v>MA1146</v>
      </c>
      <c r="AB363" s="112" t="str">
        <f t="shared" si="5"/>
        <v/>
      </c>
      <c r="AC363" s="112" t="str">
        <f t="shared" si="6"/>
        <v/>
      </c>
      <c r="AD363" s="5"/>
      <c r="AE363" s="5"/>
    </row>
    <row r="364">
      <c r="A364" s="5" t="s">
        <v>654</v>
      </c>
      <c r="B364" s="44">
        <v>44571.0</v>
      </c>
      <c r="C364" s="150">
        <v>0.35587962962962966</v>
      </c>
      <c r="D364" s="5"/>
      <c r="E364" s="5"/>
      <c r="F364" s="5"/>
      <c r="G364" s="5" t="s">
        <v>2184</v>
      </c>
      <c r="H364" s="5" t="s">
        <v>244</v>
      </c>
      <c r="I364" s="44">
        <v>44571.0</v>
      </c>
      <c r="J364" s="150">
        <v>0.46598379629629627</v>
      </c>
      <c r="K364" s="19">
        <v>1.0</v>
      </c>
      <c r="L364" s="10" t="b">
        <v>1</v>
      </c>
      <c r="M364" s="5" t="s">
        <v>2496</v>
      </c>
      <c r="N364" s="5" t="s">
        <v>247</v>
      </c>
      <c r="O364" s="5"/>
      <c r="P364" s="110" t="b">
        <f t="shared" si="1"/>
        <v>0</v>
      </c>
      <c r="Q364" s="110" t="b">
        <f>IF(COUNTIF(RAW_APS!$A$2:$A815,A364)=0,TRUE,FALSE)</f>
        <v>0</v>
      </c>
      <c r="R364" s="241" t="b">
        <f t="shared" si="2"/>
        <v>0</v>
      </c>
      <c r="U364" s="112" t="str">
        <f t="shared" si="3"/>
        <v/>
      </c>
      <c r="V364" s="60"/>
      <c r="W364" s="60"/>
      <c r="X364" s="60"/>
      <c r="Y364" s="60"/>
      <c r="Z364" s="210"/>
      <c r="AA364" s="112" t="str">
        <f t="shared" si="4"/>
        <v>MA1147</v>
      </c>
      <c r="AB364" s="112" t="str">
        <f t="shared" si="5"/>
        <v/>
      </c>
      <c r="AC364" s="112" t="str">
        <f t="shared" si="6"/>
        <v/>
      </c>
      <c r="AD364" s="5"/>
      <c r="AE364" s="5"/>
    </row>
    <row r="365">
      <c r="A365" s="5" t="s">
        <v>558</v>
      </c>
      <c r="B365" s="44">
        <v>44568.0</v>
      </c>
      <c r="C365" s="150">
        <v>0.022118055555555554</v>
      </c>
      <c r="D365" s="5"/>
      <c r="E365" s="5"/>
      <c r="F365" s="5"/>
      <c r="G365" s="5" t="s">
        <v>2184</v>
      </c>
      <c r="H365" s="5" t="s">
        <v>244</v>
      </c>
      <c r="I365" s="44">
        <v>44568.0</v>
      </c>
      <c r="J365" s="150">
        <v>0.5079050925925926</v>
      </c>
      <c r="K365" s="19">
        <v>1.0</v>
      </c>
      <c r="L365" s="10" t="b">
        <v>1</v>
      </c>
      <c r="M365" s="5" t="s">
        <v>2498</v>
      </c>
      <c r="N365" s="5" t="s">
        <v>247</v>
      </c>
      <c r="O365" s="5"/>
      <c r="P365" s="110" t="b">
        <f t="shared" si="1"/>
        <v>0</v>
      </c>
      <c r="Q365" s="110" t="b">
        <f>IF(COUNTIF(RAW_APS!$A$2:$A815,A365)=0,TRUE,FALSE)</f>
        <v>0</v>
      </c>
      <c r="R365" s="241" t="b">
        <f t="shared" si="2"/>
        <v>0</v>
      </c>
      <c r="U365" s="112" t="str">
        <f t="shared" si="3"/>
        <v/>
      </c>
      <c r="V365" s="60"/>
      <c r="W365" s="60"/>
      <c r="X365" s="60"/>
      <c r="Y365" s="60"/>
      <c r="Z365" s="210"/>
      <c r="AA365" s="112" t="str">
        <f t="shared" si="4"/>
        <v>MA1149</v>
      </c>
      <c r="AB365" s="112" t="str">
        <f t="shared" si="5"/>
        <v/>
      </c>
      <c r="AC365" s="112" t="str">
        <f t="shared" si="6"/>
        <v/>
      </c>
      <c r="AD365" s="5"/>
      <c r="AE365" s="5"/>
    </row>
    <row r="366">
      <c r="A366" s="5" t="s">
        <v>885</v>
      </c>
      <c r="B366" s="44">
        <v>44579.0</v>
      </c>
      <c r="C366" s="150">
        <v>0.35052083333333334</v>
      </c>
      <c r="D366" s="5"/>
      <c r="E366" s="5"/>
      <c r="F366" s="5"/>
      <c r="G366" s="5" t="s">
        <v>2184</v>
      </c>
      <c r="H366" s="5" t="s">
        <v>244</v>
      </c>
      <c r="I366" s="44">
        <v>44580.0</v>
      </c>
      <c r="J366" s="150">
        <v>0.5080208333333334</v>
      </c>
      <c r="K366" s="19">
        <v>1.0</v>
      </c>
      <c r="L366" s="10" t="b">
        <v>1</v>
      </c>
      <c r="M366" s="5" t="s">
        <v>2492</v>
      </c>
      <c r="N366" s="5" t="s">
        <v>247</v>
      </c>
      <c r="O366" s="5"/>
      <c r="P366" s="110" t="b">
        <f t="shared" si="1"/>
        <v>0</v>
      </c>
      <c r="Q366" s="110" t="b">
        <f>IF(COUNTIF(RAW_APS!$A$2:$A815,A366)=0,TRUE,FALSE)</f>
        <v>0</v>
      </c>
      <c r="R366" s="241" t="b">
        <f t="shared" si="2"/>
        <v>0</v>
      </c>
      <c r="U366" s="112" t="str">
        <f t="shared" si="3"/>
        <v/>
      </c>
      <c r="V366" s="60"/>
      <c r="W366" s="60"/>
      <c r="X366" s="60"/>
      <c r="Y366" s="60"/>
      <c r="Z366" s="210"/>
      <c r="AA366" s="112" t="str">
        <f t="shared" si="4"/>
        <v>MA1150</v>
      </c>
      <c r="AB366" s="112" t="str">
        <f t="shared" si="5"/>
        <v/>
      </c>
      <c r="AC366" s="112" t="str">
        <f t="shared" si="6"/>
        <v/>
      </c>
      <c r="AD366" s="5"/>
      <c r="AE366" s="5"/>
    </row>
    <row r="367">
      <c r="A367" s="5" t="s">
        <v>957</v>
      </c>
      <c r="B367" s="44">
        <v>44582.0</v>
      </c>
      <c r="C367" s="150">
        <v>0.31300925925925926</v>
      </c>
      <c r="D367" s="5"/>
      <c r="E367" s="5"/>
      <c r="F367" s="5"/>
      <c r="G367" s="5" t="s">
        <v>2184</v>
      </c>
      <c r="H367" s="5" t="s">
        <v>244</v>
      </c>
      <c r="I367" s="44">
        <v>44582.0</v>
      </c>
      <c r="J367" s="150">
        <v>0.4883912037037037</v>
      </c>
      <c r="K367" s="19">
        <v>1.0</v>
      </c>
      <c r="L367" s="10" t="b">
        <v>1</v>
      </c>
      <c r="M367" s="5" t="s">
        <v>2490</v>
      </c>
      <c r="N367" s="5" t="s">
        <v>247</v>
      </c>
      <c r="O367" s="5"/>
      <c r="P367" s="110" t="b">
        <f t="shared" si="1"/>
        <v>0</v>
      </c>
      <c r="Q367" s="110" t="b">
        <f>IF(COUNTIF(RAW_APS!$A$2:$A815,A367)=0,TRUE,FALSE)</f>
        <v>0</v>
      </c>
      <c r="R367" s="241" t="b">
        <f t="shared" si="2"/>
        <v>0</v>
      </c>
      <c r="U367" s="112" t="str">
        <f t="shared" si="3"/>
        <v/>
      </c>
      <c r="V367" s="60"/>
      <c r="W367" s="60"/>
      <c r="X367" s="60"/>
      <c r="Y367" s="60"/>
      <c r="Z367" s="210"/>
      <c r="AA367" s="112" t="str">
        <f t="shared" si="4"/>
        <v>MA1151</v>
      </c>
      <c r="AB367" s="112" t="str">
        <f t="shared" si="5"/>
        <v/>
      </c>
      <c r="AC367" s="112" t="str">
        <f t="shared" si="6"/>
        <v/>
      </c>
      <c r="AD367" s="5"/>
      <c r="AE367" s="5"/>
    </row>
    <row r="368">
      <c r="A368" s="5" t="s">
        <v>447</v>
      </c>
      <c r="B368" s="44">
        <v>44561.0</v>
      </c>
      <c r="C368" s="150">
        <v>0.38902777777777775</v>
      </c>
      <c r="D368" s="5"/>
      <c r="E368" s="5"/>
      <c r="F368" s="5"/>
      <c r="G368" s="5" t="s">
        <v>2497</v>
      </c>
      <c r="H368" s="5" t="s">
        <v>254</v>
      </c>
      <c r="I368" s="44">
        <v>44861.0</v>
      </c>
      <c r="J368" s="150">
        <v>0.4895023148148148</v>
      </c>
      <c r="K368" s="19">
        <v>1.0</v>
      </c>
      <c r="L368" s="5"/>
      <c r="M368" s="5"/>
      <c r="N368" s="5" t="s">
        <v>247</v>
      </c>
      <c r="O368" s="5"/>
      <c r="P368" s="110" t="b">
        <f t="shared" si="1"/>
        <v>0</v>
      </c>
      <c r="Q368" s="110" t="b">
        <f>IF(COUNTIF(RAW_APS!$A$2:$A815,A368)=0,TRUE,FALSE)</f>
        <v>0</v>
      </c>
      <c r="R368" s="241" t="b">
        <f t="shared" si="2"/>
        <v>0</v>
      </c>
      <c r="U368" s="112" t="str">
        <f t="shared" si="3"/>
        <v/>
      </c>
      <c r="V368" s="60"/>
      <c r="W368" s="60"/>
      <c r="X368" s="60"/>
      <c r="Y368" s="60"/>
      <c r="Z368" s="210"/>
      <c r="AA368" s="112" t="str">
        <f t="shared" si="4"/>
        <v>MA1152</v>
      </c>
      <c r="AB368" s="112" t="str">
        <f t="shared" si="5"/>
        <v/>
      </c>
      <c r="AC368" s="112" t="str">
        <f t="shared" si="6"/>
        <v/>
      </c>
      <c r="AD368" s="5"/>
      <c r="AE368" s="5"/>
    </row>
    <row r="369">
      <c r="A369" s="5" t="s">
        <v>439</v>
      </c>
      <c r="B369" s="44">
        <v>44561.0</v>
      </c>
      <c r="C369" s="150">
        <v>0.32719907407407406</v>
      </c>
      <c r="D369" s="5"/>
      <c r="E369" s="5"/>
      <c r="F369" s="5"/>
      <c r="G369" s="5" t="s">
        <v>2184</v>
      </c>
      <c r="H369" s="5" t="s">
        <v>244</v>
      </c>
      <c r="I369" s="44">
        <v>44561.0</v>
      </c>
      <c r="J369" s="150">
        <v>0.44493055555555555</v>
      </c>
      <c r="K369" s="19">
        <v>1.0</v>
      </c>
      <c r="L369" s="10" t="b">
        <v>1</v>
      </c>
      <c r="M369" s="5" t="s">
        <v>2502</v>
      </c>
      <c r="N369" s="5" t="s">
        <v>247</v>
      </c>
      <c r="O369" s="5"/>
      <c r="P369" s="110" t="b">
        <f t="shared" si="1"/>
        <v>0</v>
      </c>
      <c r="Q369" s="110" t="b">
        <f>IF(COUNTIF(RAW_APS!$A$2:$A815,A369)=0,TRUE,FALSE)</f>
        <v>0</v>
      </c>
      <c r="R369" s="241" t="b">
        <f t="shared" si="2"/>
        <v>0</v>
      </c>
      <c r="U369" s="112" t="str">
        <f t="shared" si="3"/>
        <v/>
      </c>
      <c r="V369" s="51"/>
      <c r="W369" s="51"/>
      <c r="X369" s="51"/>
      <c r="Y369" s="51"/>
      <c r="Z369" s="210"/>
      <c r="AA369" s="112" t="str">
        <f t="shared" si="4"/>
        <v>MA1153</v>
      </c>
      <c r="AB369" s="112" t="str">
        <f t="shared" si="5"/>
        <v/>
      </c>
      <c r="AC369" s="112" t="str">
        <f t="shared" si="6"/>
        <v/>
      </c>
      <c r="AD369" s="5"/>
      <c r="AE369" s="5"/>
    </row>
    <row r="370">
      <c r="A370" s="5" t="s">
        <v>327</v>
      </c>
      <c r="B370" s="44">
        <v>44545.0</v>
      </c>
      <c r="C370" s="150">
        <v>0.6686805555555555</v>
      </c>
      <c r="D370" s="5"/>
      <c r="E370" s="5"/>
      <c r="F370" s="5"/>
      <c r="G370" s="5" t="s">
        <v>2184</v>
      </c>
      <c r="H370" s="5" t="s">
        <v>244</v>
      </c>
      <c r="I370" s="44">
        <v>44550.0</v>
      </c>
      <c r="J370" s="150">
        <v>0.4883449074074074</v>
      </c>
      <c r="K370" s="19">
        <v>1.0</v>
      </c>
      <c r="L370" s="10" t="b">
        <v>1</v>
      </c>
      <c r="M370" s="5" t="s">
        <v>2506</v>
      </c>
      <c r="N370" s="5" t="s">
        <v>247</v>
      </c>
      <c r="O370" s="5"/>
      <c r="P370" s="110" t="b">
        <f t="shared" si="1"/>
        <v>0</v>
      </c>
      <c r="Q370" s="110" t="b">
        <f>IF(COUNTIF(RAW_APS!$A$2:$A815,A370)=0,TRUE,FALSE)</f>
        <v>0</v>
      </c>
      <c r="R370" s="241" t="b">
        <f t="shared" si="2"/>
        <v>0</v>
      </c>
      <c r="U370" s="112" t="str">
        <f t="shared" si="3"/>
        <v/>
      </c>
      <c r="V370" s="51"/>
      <c r="W370" s="51"/>
      <c r="X370" s="51"/>
      <c r="Y370" s="51"/>
      <c r="Z370" s="210"/>
      <c r="AA370" s="112" t="str">
        <f t="shared" si="4"/>
        <v>MA1155</v>
      </c>
      <c r="AB370" s="112" t="str">
        <f t="shared" si="5"/>
        <v/>
      </c>
      <c r="AC370" s="112" t="str">
        <f t="shared" si="6"/>
        <v/>
      </c>
      <c r="AD370" s="5"/>
      <c r="AE370" s="5"/>
    </row>
    <row r="371">
      <c r="A371" s="5" t="s">
        <v>716</v>
      </c>
      <c r="B371" s="44">
        <v>44573.0</v>
      </c>
      <c r="C371" s="150">
        <v>0.32337962962962963</v>
      </c>
      <c r="D371" s="5"/>
      <c r="E371" s="5"/>
      <c r="F371" s="5"/>
      <c r="G371" s="5" t="s">
        <v>2184</v>
      </c>
      <c r="H371" s="5" t="s">
        <v>52</v>
      </c>
      <c r="I371" s="44">
        <v>44579.0</v>
      </c>
      <c r="J371" s="150">
        <v>0.5015856481481481</v>
      </c>
      <c r="K371" s="19">
        <v>1.0</v>
      </c>
      <c r="L371" s="10" t="b">
        <v>1</v>
      </c>
      <c r="M371" s="5"/>
      <c r="N371" s="5" t="s">
        <v>247</v>
      </c>
      <c r="O371" s="5"/>
      <c r="P371" s="110" t="b">
        <f t="shared" si="1"/>
        <v>0</v>
      </c>
      <c r="Q371" s="110" t="b">
        <f>IF(COUNTIF(RAW_APS!$A$2:$A815,A371)=0,TRUE,FALSE)</f>
        <v>0</v>
      </c>
      <c r="R371" s="241" t="b">
        <f t="shared" si="2"/>
        <v>0</v>
      </c>
      <c r="U371" s="112" t="str">
        <f t="shared" si="3"/>
        <v/>
      </c>
      <c r="V371" s="60"/>
      <c r="W371" s="60"/>
      <c r="X371" s="60"/>
      <c r="Y371" s="60"/>
      <c r="Z371" s="210"/>
      <c r="AA371" s="112" t="str">
        <f t="shared" si="4"/>
        <v>MA1156</v>
      </c>
      <c r="AB371" s="112" t="str">
        <f t="shared" si="5"/>
        <v/>
      </c>
      <c r="AC371" s="112" t="str">
        <f t="shared" si="6"/>
        <v/>
      </c>
      <c r="AD371" s="5"/>
      <c r="AE371" s="5"/>
    </row>
    <row r="372">
      <c r="A372" s="5" t="s">
        <v>1071</v>
      </c>
      <c r="B372" s="44">
        <v>44592.0</v>
      </c>
      <c r="C372" s="150">
        <v>0.3271759259259259</v>
      </c>
      <c r="D372" s="5"/>
      <c r="E372" s="5"/>
      <c r="F372" s="5"/>
      <c r="G372" s="5" t="s">
        <v>2184</v>
      </c>
      <c r="H372" s="5" t="s">
        <v>244</v>
      </c>
      <c r="I372" s="44">
        <v>44592.0</v>
      </c>
      <c r="J372" s="150">
        <v>0.46024305555555556</v>
      </c>
      <c r="K372" s="19">
        <v>1.0</v>
      </c>
      <c r="L372" s="10" t="b">
        <v>1</v>
      </c>
      <c r="M372" s="5" t="s">
        <v>2486</v>
      </c>
      <c r="N372" s="5" t="s">
        <v>247</v>
      </c>
      <c r="O372" s="5"/>
      <c r="P372" s="110" t="b">
        <f t="shared" si="1"/>
        <v>0</v>
      </c>
      <c r="Q372" s="110" t="b">
        <f>IF(COUNTIF(RAW_APS!$A$2:$A815,A372)=0,TRUE,FALSE)</f>
        <v>0</v>
      </c>
      <c r="R372" s="241" t="b">
        <f t="shared" si="2"/>
        <v>0</v>
      </c>
      <c r="U372" s="112" t="str">
        <f t="shared" si="3"/>
        <v/>
      </c>
      <c r="V372" s="60"/>
      <c r="W372" s="60"/>
      <c r="X372" s="60"/>
      <c r="Y372" s="60"/>
      <c r="Z372" s="210"/>
      <c r="AA372" s="112" t="str">
        <f t="shared" si="4"/>
        <v>MA1158</v>
      </c>
      <c r="AB372" s="112" t="str">
        <f t="shared" si="5"/>
        <v/>
      </c>
      <c r="AC372" s="112" t="str">
        <f t="shared" si="6"/>
        <v/>
      </c>
      <c r="AD372" s="5"/>
      <c r="AE372" s="5"/>
    </row>
    <row r="373">
      <c r="A373" s="5" t="s">
        <v>623</v>
      </c>
      <c r="B373" s="44">
        <v>44571.0</v>
      </c>
      <c r="C373" s="150">
        <v>0.3181365740740741</v>
      </c>
      <c r="D373" s="5"/>
      <c r="E373" s="5"/>
      <c r="F373" s="5"/>
      <c r="G373" s="5" t="s">
        <v>2184</v>
      </c>
      <c r="H373" s="5" t="s">
        <v>244</v>
      </c>
      <c r="I373" s="44">
        <v>44571.0</v>
      </c>
      <c r="J373" s="150">
        <v>0.46598379629629627</v>
      </c>
      <c r="K373" s="19">
        <v>1.0</v>
      </c>
      <c r="L373" s="10" t="b">
        <v>1</v>
      </c>
      <c r="M373" s="5" t="s">
        <v>2496</v>
      </c>
      <c r="N373" s="5" t="s">
        <v>247</v>
      </c>
      <c r="O373" s="5"/>
      <c r="P373" s="110" t="b">
        <f t="shared" si="1"/>
        <v>0</v>
      </c>
      <c r="Q373" s="110" t="b">
        <f>IF(COUNTIF(RAW_APS!$A$2:$A815,A373)=0,TRUE,FALSE)</f>
        <v>0</v>
      </c>
      <c r="R373" s="241" t="b">
        <f t="shared" si="2"/>
        <v>0</v>
      </c>
      <c r="U373" s="112" t="str">
        <f t="shared" si="3"/>
        <v/>
      </c>
      <c r="V373" s="60"/>
      <c r="W373" s="60"/>
      <c r="X373" s="60"/>
      <c r="Y373" s="60"/>
      <c r="Z373" s="210"/>
      <c r="AA373" s="112" t="str">
        <f t="shared" si="4"/>
        <v>MA1159</v>
      </c>
      <c r="AB373" s="112" t="str">
        <f t="shared" si="5"/>
        <v/>
      </c>
      <c r="AC373" s="112" t="str">
        <f t="shared" si="6"/>
        <v/>
      </c>
      <c r="AD373" s="5"/>
      <c r="AE373" s="5"/>
    </row>
    <row r="374">
      <c r="A374" s="5" t="s">
        <v>349</v>
      </c>
      <c r="B374" s="44">
        <v>44550.0</v>
      </c>
      <c r="C374" s="150">
        <v>0.33541666666666664</v>
      </c>
      <c r="D374" s="5"/>
      <c r="E374" s="5"/>
      <c r="F374" s="5"/>
      <c r="G374" s="5" t="s">
        <v>2184</v>
      </c>
      <c r="H374" s="5" t="s">
        <v>244</v>
      </c>
      <c r="I374" s="44">
        <v>44550.0</v>
      </c>
      <c r="J374" s="150">
        <v>0.4883449074074074</v>
      </c>
      <c r="K374" s="19">
        <v>1.0</v>
      </c>
      <c r="L374" s="10" t="b">
        <v>1</v>
      </c>
      <c r="M374" s="5" t="s">
        <v>2506</v>
      </c>
      <c r="N374" s="5" t="s">
        <v>247</v>
      </c>
      <c r="O374" s="5"/>
      <c r="P374" s="110" t="b">
        <f t="shared" si="1"/>
        <v>0</v>
      </c>
      <c r="Q374" s="110" t="b">
        <f>IF(COUNTIF(RAW_APS!$A$2:$A815,A374)=0,TRUE,FALSE)</f>
        <v>0</v>
      </c>
      <c r="R374" s="241" t="b">
        <f t="shared" si="2"/>
        <v>0</v>
      </c>
      <c r="U374" s="112" t="str">
        <f t="shared" si="3"/>
        <v/>
      </c>
      <c r="V374" s="51"/>
      <c r="W374" s="51"/>
      <c r="X374" s="51"/>
      <c r="Y374" s="51"/>
      <c r="Z374" s="210"/>
      <c r="AA374" s="112" t="str">
        <f t="shared" si="4"/>
        <v>MA1160</v>
      </c>
      <c r="AB374" s="112" t="str">
        <f t="shared" si="5"/>
        <v/>
      </c>
      <c r="AC374" s="112" t="str">
        <f t="shared" si="6"/>
        <v/>
      </c>
      <c r="AD374" s="5"/>
      <c r="AE374" s="5"/>
    </row>
    <row r="375">
      <c r="A375" s="5" t="s">
        <v>1102</v>
      </c>
      <c r="B375" s="44">
        <v>44594.0</v>
      </c>
      <c r="C375" s="150">
        <v>0.3539351851851852</v>
      </c>
      <c r="D375" s="5"/>
      <c r="E375" s="5"/>
      <c r="F375" s="5"/>
      <c r="G375" s="5" t="s">
        <v>2184</v>
      </c>
      <c r="H375" s="5" t="s">
        <v>244</v>
      </c>
      <c r="I375" s="44">
        <v>44596.0</v>
      </c>
      <c r="J375" s="150">
        <v>0.48194444444444445</v>
      </c>
      <c r="K375" s="19">
        <v>1.0</v>
      </c>
      <c r="L375" s="10" t="b">
        <v>1</v>
      </c>
      <c r="M375" s="5" t="s">
        <v>2485</v>
      </c>
      <c r="N375" s="5" t="s">
        <v>247</v>
      </c>
      <c r="O375" s="5"/>
      <c r="P375" s="110" t="b">
        <f t="shared" si="1"/>
        <v>0</v>
      </c>
      <c r="Q375" s="110" t="b">
        <f>IF(COUNTIF(RAW_APS!$A$2:$A815,A375)=0,TRUE,FALSE)</f>
        <v>0</v>
      </c>
      <c r="R375" s="241" t="b">
        <f t="shared" si="2"/>
        <v>0</v>
      </c>
      <c r="U375" s="112" t="str">
        <f t="shared" si="3"/>
        <v/>
      </c>
      <c r="V375" s="60"/>
      <c r="W375" s="60"/>
      <c r="X375" s="60"/>
      <c r="Y375" s="60"/>
      <c r="Z375" s="210"/>
      <c r="AA375" s="112" t="str">
        <f t="shared" si="4"/>
        <v>MA1161</v>
      </c>
      <c r="AB375" s="112" t="str">
        <f t="shared" si="5"/>
        <v/>
      </c>
      <c r="AC375" s="112" t="str">
        <f t="shared" si="6"/>
        <v/>
      </c>
      <c r="AD375" s="5"/>
      <c r="AE375" s="5"/>
    </row>
    <row r="376">
      <c r="A376" s="5" t="s">
        <v>901</v>
      </c>
      <c r="B376" s="44">
        <v>44579.0</v>
      </c>
      <c r="C376" s="150">
        <v>0.4140740740740741</v>
      </c>
      <c r="D376" s="5"/>
      <c r="E376" s="5"/>
      <c r="F376" s="5"/>
      <c r="G376" s="5" t="s">
        <v>2184</v>
      </c>
      <c r="H376" s="5" t="s">
        <v>52</v>
      </c>
      <c r="I376" s="44">
        <v>44579.0</v>
      </c>
      <c r="J376" s="150">
        <v>0.5015972222222222</v>
      </c>
      <c r="K376" s="19">
        <v>1.0</v>
      </c>
      <c r="L376" s="10" t="b">
        <v>1</v>
      </c>
      <c r="M376" s="5"/>
      <c r="N376" s="5" t="s">
        <v>247</v>
      </c>
      <c r="O376" s="5"/>
      <c r="P376" s="110" t="b">
        <f t="shared" si="1"/>
        <v>0</v>
      </c>
      <c r="Q376" s="110" t="b">
        <f>IF(COUNTIF(RAW_APS!$A$2:$A815,A376)=0,TRUE,FALSE)</f>
        <v>0</v>
      </c>
      <c r="R376" s="241" t="b">
        <f t="shared" si="2"/>
        <v>0</v>
      </c>
      <c r="U376" s="112" t="str">
        <f t="shared" si="3"/>
        <v/>
      </c>
      <c r="V376" s="60"/>
      <c r="W376" s="60"/>
      <c r="X376" s="60"/>
      <c r="Y376" s="60"/>
      <c r="Z376" s="210"/>
      <c r="AA376" s="112" t="str">
        <f t="shared" si="4"/>
        <v>MA1162</v>
      </c>
      <c r="AB376" s="112" t="str">
        <f t="shared" si="5"/>
        <v/>
      </c>
      <c r="AC376" s="112" t="str">
        <f t="shared" si="6"/>
        <v/>
      </c>
      <c r="AD376" s="5"/>
      <c r="AE376" s="5"/>
    </row>
    <row r="377">
      <c r="A377" s="5" t="s">
        <v>784</v>
      </c>
      <c r="B377" s="44">
        <v>44575.0</v>
      </c>
      <c r="C377" s="150">
        <v>0.3111574074074074</v>
      </c>
      <c r="D377" s="5"/>
      <c r="E377" s="5"/>
      <c r="F377" s="5"/>
      <c r="G377" s="5" t="s">
        <v>2184</v>
      </c>
      <c r="H377" s="5" t="s">
        <v>244</v>
      </c>
      <c r="I377" s="44">
        <v>44575.0</v>
      </c>
      <c r="J377" s="150">
        <v>0.4820601851851852</v>
      </c>
      <c r="K377" s="19">
        <v>1.0</v>
      </c>
      <c r="L377" s="10" t="b">
        <v>1</v>
      </c>
      <c r="M377" s="5" t="s">
        <v>2493</v>
      </c>
      <c r="N377" s="5" t="s">
        <v>247</v>
      </c>
      <c r="O377" s="5"/>
      <c r="P377" s="110" t="b">
        <f t="shared" si="1"/>
        <v>0</v>
      </c>
      <c r="Q377" s="110" t="b">
        <f>IF(COUNTIF(RAW_APS!$A$2:$A815,A377)=0,TRUE,FALSE)</f>
        <v>0</v>
      </c>
      <c r="R377" s="241" t="b">
        <f t="shared" si="2"/>
        <v>0</v>
      </c>
      <c r="U377" s="112" t="str">
        <f t="shared" si="3"/>
        <v/>
      </c>
      <c r="V377" s="60"/>
      <c r="W377" s="60"/>
      <c r="X377" s="60"/>
      <c r="Y377" s="60"/>
      <c r="Z377" s="210"/>
      <c r="AA377" s="112" t="str">
        <f t="shared" si="4"/>
        <v>MA1163</v>
      </c>
      <c r="AB377" s="112" t="str">
        <f t="shared" si="5"/>
        <v/>
      </c>
      <c r="AC377" s="112" t="str">
        <f t="shared" si="6"/>
        <v/>
      </c>
      <c r="AD377" s="5"/>
      <c r="AE377" s="5"/>
    </row>
    <row r="378">
      <c r="A378" s="5" t="s">
        <v>878</v>
      </c>
      <c r="B378" s="44">
        <v>44579.0</v>
      </c>
      <c r="C378" s="150">
        <v>0.34629629629629627</v>
      </c>
      <c r="D378" s="5"/>
      <c r="E378" s="5"/>
      <c r="F378" s="5"/>
      <c r="G378" s="5" t="s">
        <v>2184</v>
      </c>
      <c r="H378" s="5" t="s">
        <v>244</v>
      </c>
      <c r="I378" s="44">
        <v>44580.0</v>
      </c>
      <c r="J378" s="150">
        <v>0.5080208333333334</v>
      </c>
      <c r="K378" s="19">
        <v>1.0</v>
      </c>
      <c r="L378" s="10" t="b">
        <v>1</v>
      </c>
      <c r="M378" s="5" t="s">
        <v>2492</v>
      </c>
      <c r="N378" s="5" t="s">
        <v>247</v>
      </c>
      <c r="O378" s="5"/>
      <c r="P378" s="110" t="b">
        <f t="shared" si="1"/>
        <v>0</v>
      </c>
      <c r="Q378" s="110" t="b">
        <f>IF(COUNTIF(RAW_APS!$A$2:$A815,A378)=0,TRUE,FALSE)</f>
        <v>0</v>
      </c>
      <c r="R378" s="241" t="b">
        <f t="shared" si="2"/>
        <v>0</v>
      </c>
      <c r="U378" s="112" t="str">
        <f t="shared" si="3"/>
        <v/>
      </c>
      <c r="V378" s="60"/>
      <c r="W378" s="60"/>
      <c r="X378" s="60"/>
      <c r="Y378" s="60"/>
      <c r="Z378" s="210"/>
      <c r="AA378" s="112" t="str">
        <f t="shared" si="4"/>
        <v>MA1165</v>
      </c>
      <c r="AB378" s="112" t="str">
        <f t="shared" si="5"/>
        <v/>
      </c>
      <c r="AC378" s="112" t="str">
        <f t="shared" si="6"/>
        <v/>
      </c>
      <c r="AD378" s="5"/>
      <c r="AE378" s="5"/>
    </row>
    <row r="379">
      <c r="A379" s="5" t="s">
        <v>796</v>
      </c>
      <c r="B379" s="44">
        <v>44575.0</v>
      </c>
      <c r="C379" s="150">
        <v>0.3453703703703704</v>
      </c>
      <c r="D379" s="5"/>
      <c r="E379" s="5"/>
      <c r="F379" s="5"/>
      <c r="G379" s="5" t="s">
        <v>2184</v>
      </c>
      <c r="H379" s="5" t="s">
        <v>244</v>
      </c>
      <c r="I379" s="44">
        <v>44575.0</v>
      </c>
      <c r="J379" s="150">
        <v>0.4820601851851852</v>
      </c>
      <c r="K379" s="19">
        <v>1.0</v>
      </c>
      <c r="L379" s="10" t="b">
        <v>1</v>
      </c>
      <c r="M379" s="5" t="s">
        <v>2493</v>
      </c>
      <c r="N379" s="5" t="s">
        <v>247</v>
      </c>
      <c r="O379" s="5"/>
      <c r="P379" s="110" t="b">
        <f t="shared" si="1"/>
        <v>0</v>
      </c>
      <c r="Q379" s="110" t="b">
        <f>IF(COUNTIF(RAW_APS!$A$2:$A815,A379)=0,TRUE,FALSE)</f>
        <v>0</v>
      </c>
      <c r="R379" s="241" t="b">
        <f t="shared" si="2"/>
        <v>0</v>
      </c>
      <c r="U379" s="112" t="str">
        <f t="shared" si="3"/>
        <v/>
      </c>
      <c r="V379" s="60"/>
      <c r="W379" s="60"/>
      <c r="X379" s="60"/>
      <c r="Y379" s="60"/>
      <c r="Z379" s="210"/>
      <c r="AA379" s="112" t="str">
        <f t="shared" si="4"/>
        <v>MA1166</v>
      </c>
      <c r="AB379" s="112" t="str">
        <f t="shared" si="5"/>
        <v/>
      </c>
      <c r="AC379" s="112" t="str">
        <f t="shared" si="6"/>
        <v/>
      </c>
      <c r="AD379" s="5"/>
      <c r="AE379" s="5"/>
    </row>
    <row r="380">
      <c r="A380" s="5" t="s">
        <v>499</v>
      </c>
      <c r="B380" s="44">
        <v>44566.0</v>
      </c>
      <c r="C380" s="150">
        <v>0.3086921296296296</v>
      </c>
      <c r="D380" s="5"/>
      <c r="E380" s="5"/>
      <c r="F380" s="5"/>
      <c r="G380" s="5" t="s">
        <v>2184</v>
      </c>
      <c r="H380" s="5" t="s">
        <v>244</v>
      </c>
      <c r="I380" s="44">
        <v>44566.0</v>
      </c>
      <c r="J380" s="150">
        <v>0.4565625</v>
      </c>
      <c r="K380" s="19">
        <v>0.0</v>
      </c>
      <c r="L380" s="10" t="b">
        <v>1</v>
      </c>
      <c r="M380" s="5" t="s">
        <v>2499</v>
      </c>
      <c r="N380" s="5" t="s">
        <v>247</v>
      </c>
      <c r="O380" s="5"/>
      <c r="P380" s="110" t="b">
        <f t="shared" si="1"/>
        <v>1</v>
      </c>
      <c r="Q380" s="110" t="b">
        <f>IF(COUNTIF(RAW_APS!$A$2:$A815,A380)=0,TRUE,FALSE)</f>
        <v>1</v>
      </c>
      <c r="R380" s="241" t="b">
        <f t="shared" si="2"/>
        <v>0</v>
      </c>
      <c r="U380" s="112" t="str">
        <f t="shared" si="3"/>
        <v/>
      </c>
      <c r="V380" s="51"/>
      <c r="W380" s="51"/>
      <c r="X380" s="51"/>
      <c r="Y380" s="51"/>
      <c r="Z380" s="210"/>
      <c r="AA380" s="112" t="str">
        <f t="shared" si="4"/>
        <v>MA1173</v>
      </c>
      <c r="AB380" s="112" t="str">
        <f t="shared" si="5"/>
        <v/>
      </c>
      <c r="AC380" s="112" t="str">
        <f t="shared" si="6"/>
        <v/>
      </c>
      <c r="AD380" s="5"/>
      <c r="AE380" s="5"/>
    </row>
    <row r="381">
      <c r="A381" s="5" t="s">
        <v>1125</v>
      </c>
      <c r="B381" s="44">
        <v>44599.0</v>
      </c>
      <c r="C381" s="150">
        <v>0.3065393518518518</v>
      </c>
      <c r="D381" s="5"/>
      <c r="E381" s="5"/>
      <c r="F381" s="5"/>
      <c r="G381" s="5" t="s">
        <v>2184</v>
      </c>
      <c r="H381" s="5" t="s">
        <v>244</v>
      </c>
      <c r="I381" s="44">
        <v>44599.0</v>
      </c>
      <c r="J381" s="150">
        <v>0.4875347222222222</v>
      </c>
      <c r="K381" s="19">
        <v>1.0</v>
      </c>
      <c r="L381" s="10" t="b">
        <v>1</v>
      </c>
      <c r="M381" s="5" t="s">
        <v>2483</v>
      </c>
      <c r="N381" s="5" t="s">
        <v>247</v>
      </c>
      <c r="O381" s="5"/>
      <c r="P381" s="110" t="b">
        <f t="shared" si="1"/>
        <v>0</v>
      </c>
      <c r="Q381" s="110" t="b">
        <f>IF(COUNTIF(RAW_APS!$A$2:$A815,A381)=0,TRUE,FALSE)</f>
        <v>0</v>
      </c>
      <c r="R381" s="241" t="b">
        <f t="shared" si="2"/>
        <v>0</v>
      </c>
      <c r="U381" s="112" t="str">
        <f t="shared" si="3"/>
        <v/>
      </c>
      <c r="V381" s="60"/>
      <c r="W381" s="60"/>
      <c r="X381" s="60"/>
      <c r="Y381" s="60"/>
      <c r="Z381" s="210"/>
      <c r="AA381" s="112" t="str">
        <f t="shared" si="4"/>
        <v>MA1174</v>
      </c>
      <c r="AB381" s="112" t="str">
        <f t="shared" si="5"/>
        <v/>
      </c>
      <c r="AC381" s="112" t="str">
        <f t="shared" si="6"/>
        <v/>
      </c>
      <c r="AD381" s="5"/>
      <c r="AE381" s="5"/>
    </row>
    <row r="382">
      <c r="A382" s="5" t="s">
        <v>617</v>
      </c>
      <c r="B382" s="44">
        <v>44571.0</v>
      </c>
      <c r="C382" s="150">
        <v>0.31167824074074074</v>
      </c>
      <c r="D382" s="5"/>
      <c r="E382" s="5"/>
      <c r="F382" s="5"/>
      <c r="G382" s="5" t="s">
        <v>2184</v>
      </c>
      <c r="H382" s="5" t="s">
        <v>244</v>
      </c>
      <c r="I382" s="44">
        <v>44571.0</v>
      </c>
      <c r="J382" s="150">
        <v>0.46598379629629627</v>
      </c>
      <c r="K382" s="19">
        <v>1.0</v>
      </c>
      <c r="L382" s="10" t="b">
        <v>1</v>
      </c>
      <c r="M382" s="5" t="s">
        <v>2496</v>
      </c>
      <c r="N382" s="5" t="s">
        <v>247</v>
      </c>
      <c r="O382" s="5"/>
      <c r="P382" s="110" t="b">
        <f t="shared" si="1"/>
        <v>0</v>
      </c>
      <c r="Q382" s="110" t="b">
        <f>IF(COUNTIF(RAW_APS!$A$2:$A815,A382)=0,TRUE,FALSE)</f>
        <v>0</v>
      </c>
      <c r="R382" s="241" t="b">
        <f t="shared" si="2"/>
        <v>0</v>
      </c>
      <c r="U382" s="112" t="str">
        <f t="shared" si="3"/>
        <v/>
      </c>
      <c r="V382" s="60"/>
      <c r="W382" s="60"/>
      <c r="X382" s="60"/>
      <c r="Y382" s="60"/>
      <c r="Z382" s="210"/>
      <c r="AA382" s="112" t="str">
        <f t="shared" si="4"/>
        <v>MA1175</v>
      </c>
      <c r="AB382" s="112" t="str">
        <f t="shared" si="5"/>
        <v/>
      </c>
      <c r="AC382" s="112" t="str">
        <f t="shared" si="6"/>
        <v/>
      </c>
      <c r="AD382" s="5"/>
      <c r="AE382" s="5"/>
    </row>
    <row r="383">
      <c r="A383" s="5" t="s">
        <v>562</v>
      </c>
      <c r="B383" s="44">
        <v>44568.0</v>
      </c>
      <c r="C383" s="150">
        <v>0.2981828703703704</v>
      </c>
      <c r="D383" s="5"/>
      <c r="E383" s="5"/>
      <c r="F383" s="5"/>
      <c r="G383" s="5" t="s">
        <v>2184</v>
      </c>
      <c r="H383" s="5" t="s">
        <v>244</v>
      </c>
      <c r="I383" s="44">
        <v>44568.0</v>
      </c>
      <c r="J383" s="150">
        <v>0.5079050925925926</v>
      </c>
      <c r="K383" s="19">
        <v>0.0</v>
      </c>
      <c r="L383" s="10" t="b">
        <v>1</v>
      </c>
      <c r="M383" s="5" t="s">
        <v>2498</v>
      </c>
      <c r="N383" s="5" t="s">
        <v>247</v>
      </c>
      <c r="O383" s="5"/>
      <c r="P383" s="110" t="b">
        <f t="shared" si="1"/>
        <v>1</v>
      </c>
      <c r="Q383" s="110" t="b">
        <f>IF(COUNTIF(RAW_APS!$A$2:$A815,A383)=0,TRUE,FALSE)</f>
        <v>1</v>
      </c>
      <c r="R383" s="241" t="b">
        <f t="shared" si="2"/>
        <v>0</v>
      </c>
      <c r="U383" s="112" t="str">
        <f t="shared" si="3"/>
        <v/>
      </c>
      <c r="V383" s="51"/>
      <c r="W383" s="51"/>
      <c r="X383" s="51"/>
      <c r="Y383" s="51"/>
      <c r="Z383" s="210"/>
      <c r="AA383" s="112" t="str">
        <f t="shared" si="4"/>
        <v>MA1177</v>
      </c>
      <c r="AB383" s="112" t="str">
        <f t="shared" si="5"/>
        <v/>
      </c>
      <c r="AC383" s="112" t="str">
        <f t="shared" si="6"/>
        <v/>
      </c>
      <c r="AD383" s="5"/>
      <c r="AE383" s="5"/>
    </row>
    <row r="384">
      <c r="A384" s="5" t="s">
        <v>1006</v>
      </c>
      <c r="B384" s="44">
        <v>44585.0</v>
      </c>
      <c r="C384" s="150">
        <v>0.32657407407407407</v>
      </c>
      <c r="D384" s="5"/>
      <c r="E384" s="5"/>
      <c r="F384" s="5"/>
      <c r="G384" s="5" t="s">
        <v>2184</v>
      </c>
      <c r="H384" s="5" t="s">
        <v>244</v>
      </c>
      <c r="I384" s="44">
        <v>44585.0</v>
      </c>
      <c r="J384" s="150">
        <v>0.4705902777777778</v>
      </c>
      <c r="K384" s="19">
        <v>1.0</v>
      </c>
      <c r="L384" s="10" t="b">
        <v>1</v>
      </c>
      <c r="M384" s="5" t="s">
        <v>2489</v>
      </c>
      <c r="N384" s="5" t="s">
        <v>247</v>
      </c>
      <c r="O384" s="5"/>
      <c r="P384" s="110" t="b">
        <f t="shared" si="1"/>
        <v>0</v>
      </c>
      <c r="Q384" s="110" t="b">
        <f>IF(COUNTIF(RAW_APS!$A$2:$A815,A384)=0,TRUE,FALSE)</f>
        <v>0</v>
      </c>
      <c r="R384" s="241" t="b">
        <f t="shared" si="2"/>
        <v>0</v>
      </c>
      <c r="U384" s="112" t="str">
        <f t="shared" si="3"/>
        <v/>
      </c>
      <c r="V384" s="60"/>
      <c r="W384" s="60"/>
      <c r="X384" s="60"/>
      <c r="Y384" s="60"/>
      <c r="Z384" s="210"/>
      <c r="AA384" s="112" t="str">
        <f t="shared" si="4"/>
        <v>MA1178</v>
      </c>
      <c r="AB384" s="112" t="str">
        <f t="shared" si="5"/>
        <v/>
      </c>
      <c r="AC384" s="112" t="str">
        <f t="shared" si="6"/>
        <v/>
      </c>
      <c r="AD384" s="5"/>
      <c r="AE384" s="5"/>
    </row>
    <row r="385">
      <c r="A385" s="5" t="s">
        <v>383</v>
      </c>
      <c r="B385" s="44">
        <v>44557.0</v>
      </c>
      <c r="C385" s="150">
        <v>0.3123148148148148</v>
      </c>
      <c r="D385" s="5"/>
      <c r="E385" s="5"/>
      <c r="F385" s="5"/>
      <c r="G385" s="5" t="s">
        <v>2184</v>
      </c>
      <c r="H385" s="5" t="s">
        <v>244</v>
      </c>
      <c r="I385" s="44">
        <v>44557.0</v>
      </c>
      <c r="J385" s="150">
        <v>0.4870949074074074</v>
      </c>
      <c r="K385" s="19">
        <v>1.0</v>
      </c>
      <c r="L385" s="10" t="b">
        <v>1</v>
      </c>
      <c r="M385" s="5" t="s">
        <v>2504</v>
      </c>
      <c r="N385" s="5" t="s">
        <v>247</v>
      </c>
      <c r="O385" s="5"/>
      <c r="P385" s="110" t="b">
        <f t="shared" si="1"/>
        <v>0</v>
      </c>
      <c r="Q385" s="110" t="b">
        <f>IF(COUNTIF(RAW_APS!$A$2:$A815,A385)=0,TRUE,FALSE)</f>
        <v>0</v>
      </c>
      <c r="R385" s="241" t="b">
        <f t="shared" si="2"/>
        <v>0</v>
      </c>
      <c r="U385" s="112" t="str">
        <f t="shared" si="3"/>
        <v/>
      </c>
      <c r="V385" s="51"/>
      <c r="W385" s="51"/>
      <c r="X385" s="51"/>
      <c r="Y385" s="51"/>
      <c r="Z385" s="210"/>
      <c r="AA385" s="112" t="str">
        <f t="shared" si="4"/>
        <v>MA1179</v>
      </c>
      <c r="AB385" s="112" t="str">
        <f t="shared" si="5"/>
        <v/>
      </c>
      <c r="AC385" s="112" t="str">
        <f t="shared" si="6"/>
        <v/>
      </c>
      <c r="AD385" s="5"/>
      <c r="AE385" s="5"/>
    </row>
    <row r="386">
      <c r="A386" s="5" t="s">
        <v>1010</v>
      </c>
      <c r="B386" s="44">
        <v>44585.0</v>
      </c>
      <c r="C386" s="150">
        <v>0.33292824074074073</v>
      </c>
      <c r="D386" s="5"/>
      <c r="E386" s="5"/>
      <c r="F386" s="5"/>
      <c r="G386" s="5" t="s">
        <v>2184</v>
      </c>
      <c r="H386" s="5" t="s">
        <v>244</v>
      </c>
      <c r="I386" s="44">
        <v>44585.0</v>
      </c>
      <c r="J386" s="150">
        <v>0.4705902777777778</v>
      </c>
      <c r="K386" s="19">
        <v>1.0</v>
      </c>
      <c r="L386" s="10" t="b">
        <v>1</v>
      </c>
      <c r="M386" s="5" t="s">
        <v>2489</v>
      </c>
      <c r="N386" s="5" t="s">
        <v>247</v>
      </c>
      <c r="O386" s="5"/>
      <c r="P386" s="110" t="b">
        <f t="shared" si="1"/>
        <v>0</v>
      </c>
      <c r="Q386" s="110" t="b">
        <f>IF(COUNTIF(RAW_APS!$A$2:$A815,A386)=0,TRUE,FALSE)</f>
        <v>0</v>
      </c>
      <c r="R386" s="241" t="b">
        <f t="shared" si="2"/>
        <v>0</v>
      </c>
      <c r="U386" s="112" t="str">
        <f t="shared" si="3"/>
        <v/>
      </c>
      <c r="V386" s="60"/>
      <c r="W386" s="60"/>
      <c r="X386" s="60"/>
      <c r="Y386" s="60"/>
      <c r="Z386" s="210"/>
      <c r="AA386" s="112" t="str">
        <f t="shared" si="4"/>
        <v>MA1180</v>
      </c>
      <c r="AB386" s="112" t="str">
        <f t="shared" si="5"/>
        <v/>
      </c>
      <c r="AC386" s="112" t="str">
        <f t="shared" si="6"/>
        <v/>
      </c>
      <c r="AD386" s="5"/>
      <c r="AE386" s="5"/>
    </row>
    <row r="387">
      <c r="A387" s="5" t="s">
        <v>416</v>
      </c>
      <c r="B387" s="44">
        <v>44557.0</v>
      </c>
      <c r="C387" s="150">
        <v>0.4258796296296296</v>
      </c>
      <c r="D387" s="5"/>
      <c r="E387" s="5"/>
      <c r="F387" s="5"/>
      <c r="G387" s="5" t="s">
        <v>2184</v>
      </c>
      <c r="H387" s="5" t="s">
        <v>244</v>
      </c>
      <c r="I387" s="44">
        <v>44557.0</v>
      </c>
      <c r="J387" s="150">
        <v>0.4871064814814815</v>
      </c>
      <c r="K387" s="19">
        <v>1.0</v>
      </c>
      <c r="L387" s="10" t="b">
        <v>1</v>
      </c>
      <c r="M387" s="5" t="s">
        <v>2504</v>
      </c>
      <c r="N387" s="5" t="s">
        <v>247</v>
      </c>
      <c r="O387" s="5"/>
      <c r="P387" s="110" t="b">
        <f t="shared" si="1"/>
        <v>0</v>
      </c>
      <c r="Q387" s="110" t="b">
        <f>IF(COUNTIF(RAW_APS!$A$2:$A815,A387)=0,TRUE,FALSE)</f>
        <v>0</v>
      </c>
      <c r="R387" s="241" t="b">
        <f t="shared" si="2"/>
        <v>0</v>
      </c>
      <c r="U387" s="112" t="str">
        <f t="shared" si="3"/>
        <v/>
      </c>
      <c r="V387" s="51"/>
      <c r="W387" s="51"/>
      <c r="X387" s="51"/>
      <c r="Y387" s="51"/>
      <c r="Z387" s="210"/>
      <c r="AA387" s="112" t="str">
        <f t="shared" si="4"/>
        <v>MA1183</v>
      </c>
      <c r="AB387" s="112" t="str">
        <f t="shared" si="5"/>
        <v/>
      </c>
      <c r="AC387" s="112" t="str">
        <f t="shared" si="6"/>
        <v/>
      </c>
      <c r="AD387" s="5"/>
      <c r="AE387" s="5"/>
    </row>
    <row r="388">
      <c r="A388" s="5" t="s">
        <v>883</v>
      </c>
      <c r="B388" s="44">
        <v>44579.0</v>
      </c>
      <c r="C388" s="150">
        <v>0.34877314814814814</v>
      </c>
      <c r="D388" s="5"/>
      <c r="E388" s="5"/>
      <c r="F388" s="5"/>
      <c r="G388" s="5" t="s">
        <v>2184</v>
      </c>
      <c r="H388" s="5" t="s">
        <v>244</v>
      </c>
      <c r="I388" s="44">
        <v>44580.0</v>
      </c>
      <c r="J388" s="150">
        <v>0.5080208333333334</v>
      </c>
      <c r="K388" s="19">
        <v>1.0</v>
      </c>
      <c r="L388" s="10" t="b">
        <v>1</v>
      </c>
      <c r="M388" s="5" t="s">
        <v>2492</v>
      </c>
      <c r="N388" s="5" t="s">
        <v>247</v>
      </c>
      <c r="O388" s="5"/>
      <c r="P388" s="110" t="b">
        <f t="shared" si="1"/>
        <v>0</v>
      </c>
      <c r="Q388" s="110" t="b">
        <f>IF(COUNTIF(RAW_APS!$A$2:$A815,A388)=0,TRUE,FALSE)</f>
        <v>0</v>
      </c>
      <c r="R388" s="241" t="b">
        <f t="shared" si="2"/>
        <v>0</v>
      </c>
      <c r="U388" s="112" t="str">
        <f t="shared" si="3"/>
        <v/>
      </c>
      <c r="V388" s="60"/>
      <c r="W388" s="60"/>
      <c r="X388" s="60"/>
      <c r="Y388" s="60"/>
      <c r="Z388" s="210"/>
      <c r="AA388" s="112" t="str">
        <f t="shared" si="4"/>
        <v>MA1184</v>
      </c>
      <c r="AB388" s="112" t="str">
        <f t="shared" si="5"/>
        <v/>
      </c>
      <c r="AC388" s="112" t="str">
        <f t="shared" si="6"/>
        <v/>
      </c>
      <c r="AD388" s="5"/>
      <c r="AE388" s="5"/>
    </row>
    <row r="389">
      <c r="A389" s="5" t="s">
        <v>792</v>
      </c>
      <c r="B389" s="44">
        <v>44575.0</v>
      </c>
      <c r="C389" s="150">
        <v>0.3400578703703704</v>
      </c>
      <c r="D389" s="5"/>
      <c r="E389" s="5"/>
      <c r="F389" s="5"/>
      <c r="G389" s="5" t="s">
        <v>2184</v>
      </c>
      <c r="H389" s="5" t="s">
        <v>52</v>
      </c>
      <c r="I389" s="44">
        <v>44579.0</v>
      </c>
      <c r="J389" s="150">
        <v>0.5015856481481481</v>
      </c>
      <c r="K389" s="19">
        <v>1.0</v>
      </c>
      <c r="L389" s="10" t="b">
        <v>1</v>
      </c>
      <c r="M389" s="5"/>
      <c r="N389" s="5" t="s">
        <v>247</v>
      </c>
      <c r="O389" s="5"/>
      <c r="P389" s="110" t="b">
        <f t="shared" si="1"/>
        <v>0</v>
      </c>
      <c r="Q389" s="110" t="b">
        <f>IF(COUNTIF(RAW_APS!$A$2:$A815,A389)=0,TRUE,FALSE)</f>
        <v>0</v>
      </c>
      <c r="R389" s="241" t="b">
        <f t="shared" si="2"/>
        <v>0</v>
      </c>
      <c r="U389" s="112" t="str">
        <f t="shared" si="3"/>
        <v/>
      </c>
      <c r="V389" s="60"/>
      <c r="W389" s="60"/>
      <c r="X389" s="60"/>
      <c r="Y389" s="60"/>
      <c r="Z389" s="210"/>
      <c r="AA389" s="112" t="str">
        <f t="shared" si="4"/>
        <v>MA1186</v>
      </c>
      <c r="AB389" s="112" t="str">
        <f t="shared" si="5"/>
        <v/>
      </c>
      <c r="AC389" s="112" t="str">
        <f t="shared" si="6"/>
        <v/>
      </c>
      <c r="AD389" s="5"/>
      <c r="AE389" s="5"/>
    </row>
    <row r="390">
      <c r="A390" s="5" t="s">
        <v>1653</v>
      </c>
      <c r="B390" s="44">
        <v>44617.0</v>
      </c>
      <c r="C390" s="150">
        <v>0.32384259259259257</v>
      </c>
      <c r="D390" s="5"/>
      <c r="E390" s="5"/>
      <c r="F390" s="5"/>
      <c r="G390" s="5" t="s">
        <v>2184</v>
      </c>
      <c r="H390" s="5" t="s">
        <v>244</v>
      </c>
      <c r="I390" s="44">
        <v>44617.0</v>
      </c>
      <c r="J390" s="150">
        <v>0.5033796296296297</v>
      </c>
      <c r="K390" s="19">
        <v>1.0</v>
      </c>
      <c r="L390" s="10" t="b">
        <v>1</v>
      </c>
      <c r="M390" s="5" t="s">
        <v>2473</v>
      </c>
      <c r="N390" s="5" t="s">
        <v>247</v>
      </c>
      <c r="O390" s="5"/>
      <c r="P390" s="110" t="b">
        <f t="shared" si="1"/>
        <v>0</v>
      </c>
      <c r="Q390" s="110" t="b">
        <f>IF(COUNTIF(RAW_APS!$A$2:$A815,A390)=0,TRUE,FALSE)</f>
        <v>0</v>
      </c>
      <c r="R390" s="241" t="b">
        <f t="shared" si="2"/>
        <v>0</v>
      </c>
      <c r="U390" s="112" t="str">
        <f t="shared" si="3"/>
        <v/>
      </c>
      <c r="V390" s="60"/>
      <c r="W390" s="60"/>
      <c r="X390" s="60"/>
      <c r="Y390" s="60"/>
      <c r="Z390" s="210"/>
      <c r="AA390" s="112" t="str">
        <f t="shared" si="4"/>
        <v>MA1187</v>
      </c>
      <c r="AB390" s="112" t="str">
        <f t="shared" si="5"/>
        <v/>
      </c>
      <c r="AC390" s="112" t="str">
        <f t="shared" si="6"/>
        <v/>
      </c>
      <c r="AD390" s="5"/>
      <c r="AE390" s="5"/>
    </row>
    <row r="391">
      <c r="A391" s="5" t="s">
        <v>580</v>
      </c>
      <c r="B391" s="44">
        <v>44568.0</v>
      </c>
      <c r="C391" s="150">
        <v>0.34097222222222223</v>
      </c>
      <c r="D391" s="5"/>
      <c r="E391" s="5"/>
      <c r="F391" s="5"/>
      <c r="G391" s="5" t="s">
        <v>2184</v>
      </c>
      <c r="H391" s="5" t="s">
        <v>52</v>
      </c>
      <c r="I391" s="44">
        <v>44568.0</v>
      </c>
      <c r="J391" s="150">
        <v>0.5079050925925926</v>
      </c>
      <c r="K391" s="19">
        <v>1.0</v>
      </c>
      <c r="L391" s="10" t="b">
        <v>1</v>
      </c>
      <c r="M391" s="5"/>
      <c r="N391" s="5" t="s">
        <v>247</v>
      </c>
      <c r="O391" s="5"/>
      <c r="P391" s="110" t="b">
        <f t="shared" si="1"/>
        <v>0</v>
      </c>
      <c r="Q391" s="110" t="b">
        <f>IF(COUNTIF(RAW_APS!$A$2:$A815,A391)=0,TRUE,FALSE)</f>
        <v>0</v>
      </c>
      <c r="R391" s="241" t="b">
        <f t="shared" si="2"/>
        <v>0</v>
      </c>
      <c r="U391" s="112" t="str">
        <f t="shared" si="3"/>
        <v/>
      </c>
      <c r="V391" s="60"/>
      <c r="W391" s="60"/>
      <c r="X391" s="60"/>
      <c r="Y391" s="60"/>
      <c r="Z391" s="210"/>
      <c r="AA391" s="112" t="str">
        <f t="shared" si="4"/>
        <v>MA1188</v>
      </c>
      <c r="AB391" s="112" t="str">
        <f t="shared" si="5"/>
        <v/>
      </c>
      <c r="AC391" s="112" t="str">
        <f t="shared" si="6"/>
        <v/>
      </c>
      <c r="AD391" s="5"/>
      <c r="AE391" s="5"/>
    </row>
    <row r="392">
      <c r="A392" s="5" t="s">
        <v>1123</v>
      </c>
      <c r="B392" s="44">
        <v>44599.0</v>
      </c>
      <c r="C392" s="150">
        <v>0.30591435185185184</v>
      </c>
      <c r="D392" s="5"/>
      <c r="E392" s="5"/>
      <c r="F392" s="5"/>
      <c r="G392" s="5" t="s">
        <v>2184</v>
      </c>
      <c r="H392" s="5" t="s">
        <v>244</v>
      </c>
      <c r="I392" s="44">
        <v>44599.0</v>
      </c>
      <c r="J392" s="150">
        <v>0.4875347222222222</v>
      </c>
      <c r="K392" s="19">
        <v>1.0</v>
      </c>
      <c r="L392" s="10" t="b">
        <v>1</v>
      </c>
      <c r="M392" s="5" t="s">
        <v>2483</v>
      </c>
      <c r="N392" s="5" t="s">
        <v>247</v>
      </c>
      <c r="O392" s="5"/>
      <c r="P392" s="110" t="b">
        <f t="shared" si="1"/>
        <v>0</v>
      </c>
      <c r="Q392" s="110" t="b">
        <f>IF(COUNTIF(RAW_APS!$A$2:$A815,A392)=0,TRUE,FALSE)</f>
        <v>0</v>
      </c>
      <c r="R392" s="241" t="b">
        <f t="shared" si="2"/>
        <v>0</v>
      </c>
      <c r="U392" s="112" t="str">
        <f t="shared" si="3"/>
        <v/>
      </c>
      <c r="V392" s="60"/>
      <c r="W392" s="60"/>
      <c r="X392" s="60"/>
      <c r="Y392" s="60"/>
      <c r="Z392" s="210"/>
      <c r="AA392" s="112" t="str">
        <f t="shared" si="4"/>
        <v>MA1190</v>
      </c>
      <c r="AB392" s="112" t="str">
        <f t="shared" si="5"/>
        <v/>
      </c>
      <c r="AC392" s="112" t="str">
        <f t="shared" si="6"/>
        <v/>
      </c>
      <c r="AD392" s="5"/>
      <c r="AE392" s="5"/>
    </row>
    <row r="393">
      <c r="A393" s="5" t="s">
        <v>1098</v>
      </c>
      <c r="B393" s="44">
        <v>44594.0</v>
      </c>
      <c r="C393" s="150">
        <v>0.34739583333333335</v>
      </c>
      <c r="D393" s="5"/>
      <c r="E393" s="5"/>
      <c r="F393" s="5"/>
      <c r="G393" s="5" t="s">
        <v>2184</v>
      </c>
      <c r="H393" s="5" t="s">
        <v>244</v>
      </c>
      <c r="I393" s="44">
        <v>44596.0</v>
      </c>
      <c r="J393" s="150">
        <v>0.48194444444444445</v>
      </c>
      <c r="K393" s="19">
        <v>1.0</v>
      </c>
      <c r="L393" s="10" t="b">
        <v>1</v>
      </c>
      <c r="M393" s="5" t="s">
        <v>2485</v>
      </c>
      <c r="N393" s="5" t="s">
        <v>247</v>
      </c>
      <c r="O393" s="5"/>
      <c r="P393" s="110" t="b">
        <f t="shared" si="1"/>
        <v>0</v>
      </c>
      <c r="Q393" s="110" t="b">
        <f>IF(COUNTIF(RAW_APS!$A$2:$A815,A393)=0,TRUE,FALSE)</f>
        <v>0</v>
      </c>
      <c r="R393" s="241" t="b">
        <f t="shared" si="2"/>
        <v>0</v>
      </c>
      <c r="U393" s="112" t="str">
        <f t="shared" si="3"/>
        <v/>
      </c>
      <c r="V393" s="60"/>
      <c r="W393" s="60"/>
      <c r="X393" s="60"/>
      <c r="Y393" s="60"/>
      <c r="Z393" s="210"/>
      <c r="AA393" s="112" t="str">
        <f t="shared" si="4"/>
        <v>MA1195</v>
      </c>
      <c r="AB393" s="112" t="str">
        <f t="shared" si="5"/>
        <v/>
      </c>
      <c r="AC393" s="112" t="str">
        <f t="shared" si="6"/>
        <v/>
      </c>
      <c r="AD393" s="5"/>
      <c r="AE393" s="5"/>
    </row>
    <row r="394">
      <c r="A394" s="5" t="s">
        <v>2437</v>
      </c>
      <c r="B394" s="44">
        <v>44573.0</v>
      </c>
      <c r="C394" s="150">
        <v>0.35030092592592593</v>
      </c>
      <c r="D394" s="5"/>
      <c r="E394" s="5"/>
      <c r="F394" s="5"/>
      <c r="G394" s="5" t="s">
        <v>2184</v>
      </c>
      <c r="H394" s="5" t="s">
        <v>244</v>
      </c>
      <c r="I394" s="44">
        <v>44575.0</v>
      </c>
      <c r="J394" s="150">
        <v>0.48203703703703704</v>
      </c>
      <c r="K394" s="19">
        <v>1.0</v>
      </c>
      <c r="L394" s="10" t="b">
        <v>1</v>
      </c>
      <c r="M394" s="5" t="s">
        <v>2495</v>
      </c>
      <c r="N394" s="5" t="s">
        <v>247</v>
      </c>
      <c r="O394" s="5"/>
      <c r="P394" s="110" t="b">
        <f t="shared" si="1"/>
        <v>0</v>
      </c>
      <c r="Q394" s="110" t="b">
        <f>IF(COUNTIF(RAW_APS!$A$2:$A815,A394)=0,TRUE,FALSE)</f>
        <v>0</v>
      </c>
      <c r="R394" s="241" t="b">
        <f t="shared" si="2"/>
        <v>0</v>
      </c>
      <c r="U394" s="112" t="str">
        <f t="shared" si="3"/>
        <v/>
      </c>
      <c r="V394" s="60"/>
      <c r="W394" s="60"/>
      <c r="X394" s="60"/>
      <c r="Y394" s="60"/>
      <c r="Z394" s="210"/>
      <c r="AA394" s="112" t="str">
        <f t="shared" si="4"/>
        <v>MA1199</v>
      </c>
      <c r="AB394" s="112" t="str">
        <f t="shared" si="5"/>
        <v/>
      </c>
      <c r="AC394" s="112" t="str">
        <f t="shared" si="6"/>
        <v/>
      </c>
      <c r="AD394" s="5"/>
      <c r="AE394" s="5"/>
    </row>
    <row r="395">
      <c r="A395" s="5" t="s">
        <v>1603</v>
      </c>
      <c r="B395" s="44">
        <v>44615.0</v>
      </c>
      <c r="C395" s="150">
        <v>0.3433217592592593</v>
      </c>
      <c r="D395" s="5"/>
      <c r="E395" s="5"/>
      <c r="F395" s="5"/>
      <c r="G395" s="5" t="s">
        <v>2184</v>
      </c>
      <c r="H395" s="5" t="s">
        <v>52</v>
      </c>
      <c r="I395" s="44">
        <v>44615.0</v>
      </c>
      <c r="J395" s="150">
        <v>0.49126157407407406</v>
      </c>
      <c r="K395" s="19">
        <v>1.0</v>
      </c>
      <c r="L395" s="10" t="b">
        <v>1</v>
      </c>
      <c r="M395" s="5" t="s">
        <v>2474</v>
      </c>
      <c r="N395" s="5" t="s">
        <v>247</v>
      </c>
      <c r="O395" s="5"/>
      <c r="P395" s="110" t="b">
        <f t="shared" si="1"/>
        <v>0</v>
      </c>
      <c r="Q395" s="110" t="b">
        <f>IF(COUNTIF(RAW_APS!$A$2:$A815,A395)=0,TRUE,FALSE)</f>
        <v>0</v>
      </c>
      <c r="R395" s="241" t="b">
        <f t="shared" si="2"/>
        <v>0</v>
      </c>
      <c r="U395" s="112" t="str">
        <f t="shared" si="3"/>
        <v/>
      </c>
      <c r="V395" s="60"/>
      <c r="W395" s="60"/>
      <c r="X395" s="60"/>
      <c r="Y395" s="60"/>
      <c r="Z395" s="210"/>
      <c r="AA395" s="112" t="str">
        <f t="shared" si="4"/>
        <v>MA1201</v>
      </c>
      <c r="AB395" s="112" t="str">
        <f t="shared" si="5"/>
        <v/>
      </c>
      <c r="AC395" s="112" t="str">
        <f t="shared" si="6"/>
        <v/>
      </c>
      <c r="AD395" s="5"/>
      <c r="AE395" s="5"/>
    </row>
    <row r="396">
      <c r="A396" s="5" t="s">
        <v>1896</v>
      </c>
      <c r="B396" s="44">
        <v>44623.0</v>
      </c>
      <c r="C396" s="150">
        <v>0.3914930555555556</v>
      </c>
      <c r="D396" s="5"/>
      <c r="E396" s="5"/>
      <c r="F396" s="5"/>
      <c r="G396" s="5" t="s">
        <v>2184</v>
      </c>
      <c r="H396" s="5" t="s">
        <v>52</v>
      </c>
      <c r="I396" s="44">
        <v>44623.0</v>
      </c>
      <c r="J396" s="150">
        <v>0.46038194444444447</v>
      </c>
      <c r="K396" s="19">
        <v>0.0</v>
      </c>
      <c r="L396" s="10" t="b">
        <v>0</v>
      </c>
      <c r="M396" s="5" t="s">
        <v>2468</v>
      </c>
      <c r="N396" s="5" t="s">
        <v>247</v>
      </c>
      <c r="O396" s="5"/>
      <c r="P396" s="110" t="b">
        <f t="shared" si="1"/>
        <v>1</v>
      </c>
      <c r="Q396" s="110" t="b">
        <f>IF(COUNTIF(RAW_APS!$A$2:$A815,A396)=0,TRUE,FALSE)</f>
        <v>1</v>
      </c>
      <c r="R396" s="241" t="b">
        <f t="shared" si="2"/>
        <v>0</v>
      </c>
      <c r="U396" s="112" t="str">
        <f t="shared" si="3"/>
        <v/>
      </c>
      <c r="V396" s="51"/>
      <c r="W396" s="51"/>
      <c r="X396" s="51"/>
      <c r="Y396" s="51"/>
      <c r="Z396" s="210"/>
      <c r="AA396" s="112" t="str">
        <f t="shared" si="4"/>
        <v>MA1202</v>
      </c>
      <c r="AB396" s="112" t="str">
        <f t="shared" si="5"/>
        <v/>
      </c>
      <c r="AC396" s="112" t="str">
        <f t="shared" si="6"/>
        <v/>
      </c>
      <c r="AD396" s="5"/>
      <c r="AE396" s="5"/>
    </row>
    <row r="397">
      <c r="A397" s="4" t="s">
        <v>373</v>
      </c>
      <c r="B397" s="44">
        <v>44552.0</v>
      </c>
      <c r="C397" s="150">
        <v>0.34879629629629627</v>
      </c>
      <c r="D397" s="5"/>
      <c r="E397" s="5"/>
      <c r="F397" s="5"/>
      <c r="G397" s="5" t="s">
        <v>2188</v>
      </c>
      <c r="H397" s="5" t="s">
        <v>254</v>
      </c>
      <c r="I397" s="44">
        <v>44861.0</v>
      </c>
      <c r="J397" s="150">
        <v>0.4895023148148148</v>
      </c>
      <c r="K397" s="19">
        <v>1.0</v>
      </c>
      <c r="L397" s="5"/>
      <c r="M397" s="5"/>
      <c r="N397" s="5" t="s">
        <v>247</v>
      </c>
      <c r="O397" s="5"/>
      <c r="P397" s="110" t="b">
        <f t="shared" si="1"/>
        <v>1</v>
      </c>
      <c r="Q397" s="110" t="b">
        <f>IF(COUNTIF(RAW_APS!$A$2:$A815,A397)=0,TRUE,FALSE)</f>
        <v>1</v>
      </c>
      <c r="R397" s="241" t="b">
        <f t="shared" si="2"/>
        <v>0</v>
      </c>
      <c r="T397" s="2">
        <v>4.2</v>
      </c>
      <c r="U397" s="112" t="str">
        <f t="shared" si="3"/>
        <v/>
      </c>
      <c r="V397" s="242"/>
      <c r="W397" s="242"/>
      <c r="X397" s="242"/>
      <c r="Y397" s="242"/>
      <c r="Z397" s="210"/>
      <c r="AA397" s="112" t="str">
        <f t="shared" si="4"/>
        <v>MA1203</v>
      </c>
      <c r="AB397" s="112" t="str">
        <f t="shared" si="5"/>
        <v/>
      </c>
      <c r="AC397" s="112" t="str">
        <f t="shared" si="6"/>
        <v/>
      </c>
      <c r="AD397" s="5"/>
      <c r="AE397" s="5"/>
    </row>
    <row r="398">
      <c r="A398" s="5" t="s">
        <v>1089</v>
      </c>
      <c r="B398" s="44">
        <v>44594.0</v>
      </c>
      <c r="C398" s="150">
        <v>0.3348263888888889</v>
      </c>
      <c r="D398" s="5"/>
      <c r="E398" s="5"/>
      <c r="F398" s="5"/>
      <c r="G398" s="5" t="s">
        <v>2184</v>
      </c>
      <c r="H398" s="5" t="s">
        <v>244</v>
      </c>
      <c r="I398" s="44">
        <v>44596.0</v>
      </c>
      <c r="J398" s="150">
        <v>0.48193287037037036</v>
      </c>
      <c r="K398" s="19">
        <v>1.0</v>
      </c>
      <c r="L398" s="10" t="b">
        <v>1</v>
      </c>
      <c r="M398" s="5" t="s">
        <v>2485</v>
      </c>
      <c r="N398" s="5" t="s">
        <v>247</v>
      </c>
      <c r="O398" s="5"/>
      <c r="P398" s="110" t="b">
        <f t="shared" si="1"/>
        <v>0</v>
      </c>
      <c r="Q398" s="110" t="b">
        <f>IF(COUNTIF(RAW_APS!$A$2:$A815,A398)=0,TRUE,FALSE)</f>
        <v>0</v>
      </c>
      <c r="R398" s="241" t="b">
        <f t="shared" si="2"/>
        <v>0</v>
      </c>
      <c r="U398" s="112" t="str">
        <f t="shared" si="3"/>
        <v/>
      </c>
      <c r="V398" s="60"/>
      <c r="W398" s="60"/>
      <c r="X398" s="60"/>
      <c r="Y398" s="60"/>
      <c r="Z398" s="210"/>
      <c r="AA398" s="112" t="str">
        <f t="shared" si="4"/>
        <v>MA1209</v>
      </c>
      <c r="AB398" s="112" t="str">
        <f t="shared" si="5"/>
        <v/>
      </c>
      <c r="AC398" s="112" t="str">
        <f t="shared" si="6"/>
        <v/>
      </c>
      <c r="AD398" s="5"/>
      <c r="AE398" s="5"/>
    </row>
    <row r="399">
      <c r="A399" s="5" t="s">
        <v>2092</v>
      </c>
      <c r="B399" s="44">
        <v>44631.0</v>
      </c>
      <c r="C399" s="150">
        <v>0.2678009259259259</v>
      </c>
      <c r="D399" s="5"/>
      <c r="E399" s="5"/>
      <c r="F399" s="5"/>
      <c r="G399" s="5" t="s">
        <v>2184</v>
      </c>
      <c r="H399" s="5" t="s">
        <v>244</v>
      </c>
      <c r="I399" s="44">
        <v>44631.0</v>
      </c>
      <c r="J399" s="150">
        <v>0.4860763888888889</v>
      </c>
      <c r="K399" s="19">
        <v>1.0</v>
      </c>
      <c r="L399" s="10" t="b">
        <v>1</v>
      </c>
      <c r="M399" s="5" t="s">
        <v>2464</v>
      </c>
      <c r="N399" s="5" t="s">
        <v>247</v>
      </c>
      <c r="O399" s="5"/>
      <c r="P399" s="110" t="b">
        <f t="shared" si="1"/>
        <v>0</v>
      </c>
      <c r="Q399" s="110" t="b">
        <f>IF(COUNTIF(RAW_APS!$A$2:$A815,A399)=0,TRUE,FALSE)</f>
        <v>0</v>
      </c>
      <c r="R399" s="241" t="b">
        <f t="shared" si="2"/>
        <v>0</v>
      </c>
      <c r="U399" s="112" t="str">
        <f t="shared" si="3"/>
        <v/>
      </c>
      <c r="V399" s="60"/>
      <c r="W399" s="60"/>
      <c r="X399" s="60"/>
      <c r="Y399" s="60"/>
      <c r="Z399" s="210"/>
      <c r="AA399" s="112" t="str">
        <f t="shared" si="4"/>
        <v>MA1210</v>
      </c>
      <c r="AB399" s="112" t="str">
        <f t="shared" si="5"/>
        <v/>
      </c>
      <c r="AC399" s="112" t="str">
        <f t="shared" si="6"/>
        <v/>
      </c>
      <c r="AD399" s="5"/>
      <c r="AE399" s="5"/>
    </row>
    <row r="400">
      <c r="A400" s="5" t="s">
        <v>2438</v>
      </c>
      <c r="B400" s="44">
        <v>44573.0</v>
      </c>
      <c r="C400" s="150">
        <v>0.347650462962963</v>
      </c>
      <c r="D400" s="5"/>
      <c r="E400" s="5"/>
      <c r="F400" s="5"/>
      <c r="G400" s="5" t="s">
        <v>2184</v>
      </c>
      <c r="H400" s="5" t="s">
        <v>244</v>
      </c>
      <c r="I400" s="44">
        <v>44575.0</v>
      </c>
      <c r="J400" s="150">
        <v>0.48202546296296295</v>
      </c>
      <c r="K400" s="19">
        <v>1.0</v>
      </c>
      <c r="L400" s="10" t="b">
        <v>1</v>
      </c>
      <c r="M400" s="5" t="s">
        <v>2495</v>
      </c>
      <c r="N400" s="5" t="s">
        <v>247</v>
      </c>
      <c r="O400" s="5"/>
      <c r="P400" s="110" t="b">
        <f t="shared" si="1"/>
        <v>0</v>
      </c>
      <c r="Q400" s="110" t="b">
        <f>IF(COUNTIF(RAW_APS!$A$2:$A815,A400)=0,TRUE,FALSE)</f>
        <v>0</v>
      </c>
      <c r="R400" s="241" t="b">
        <f t="shared" si="2"/>
        <v>0</v>
      </c>
      <c r="U400" s="112" t="str">
        <f t="shared" si="3"/>
        <v/>
      </c>
      <c r="V400" s="60"/>
      <c r="W400" s="60"/>
      <c r="X400" s="60"/>
      <c r="Y400" s="60"/>
      <c r="Z400" s="210"/>
      <c r="AA400" s="112" t="str">
        <f t="shared" si="4"/>
        <v>MA1217</v>
      </c>
      <c r="AB400" s="112" t="str">
        <f t="shared" si="5"/>
        <v/>
      </c>
      <c r="AC400" s="112" t="str">
        <f t="shared" si="6"/>
        <v/>
      </c>
      <c r="AD400" s="5"/>
      <c r="AE400" s="5"/>
    </row>
    <row r="401">
      <c r="A401" s="5" t="s">
        <v>1599</v>
      </c>
      <c r="B401" s="44">
        <v>44615.0</v>
      </c>
      <c r="C401" s="150">
        <v>0.34300925925925924</v>
      </c>
      <c r="D401" s="5"/>
      <c r="E401" s="5"/>
      <c r="F401" s="5"/>
      <c r="G401" s="5" t="s">
        <v>2184</v>
      </c>
      <c r="H401" s="5" t="s">
        <v>52</v>
      </c>
      <c r="I401" s="44">
        <v>44615.0</v>
      </c>
      <c r="J401" s="150">
        <v>0.49125</v>
      </c>
      <c r="K401" s="19">
        <v>1.0</v>
      </c>
      <c r="L401" s="10" t="b">
        <v>1</v>
      </c>
      <c r="M401" s="5" t="s">
        <v>2474</v>
      </c>
      <c r="N401" s="5" t="s">
        <v>247</v>
      </c>
      <c r="O401" s="5"/>
      <c r="P401" s="110" t="b">
        <f t="shared" si="1"/>
        <v>0</v>
      </c>
      <c r="Q401" s="110" t="b">
        <f>IF(COUNTIF(RAW_APS!$A$2:$A815,A401)=0,TRUE,FALSE)</f>
        <v>0</v>
      </c>
      <c r="R401" s="241" t="b">
        <f t="shared" si="2"/>
        <v>0</v>
      </c>
      <c r="U401" s="112" t="str">
        <f t="shared" si="3"/>
        <v/>
      </c>
      <c r="V401" s="60"/>
      <c r="W401" s="60"/>
      <c r="X401" s="60"/>
      <c r="Y401" s="60"/>
      <c r="Z401" s="210"/>
      <c r="AA401" s="112" t="str">
        <f t="shared" si="4"/>
        <v>MA1223</v>
      </c>
      <c r="AB401" s="112" t="str">
        <f t="shared" si="5"/>
        <v/>
      </c>
      <c r="AC401" s="112" t="str">
        <f t="shared" si="6"/>
        <v/>
      </c>
      <c r="AD401" s="5"/>
      <c r="AE401" s="5"/>
    </row>
    <row r="402">
      <c r="A402" s="5" t="s">
        <v>565</v>
      </c>
      <c r="B402" s="44">
        <v>44568.0</v>
      </c>
      <c r="C402" s="150">
        <v>0.29863425925925924</v>
      </c>
      <c r="D402" s="5"/>
      <c r="E402" s="5"/>
      <c r="F402" s="5"/>
      <c r="G402" s="5" t="s">
        <v>2184</v>
      </c>
      <c r="H402" s="5" t="s">
        <v>244</v>
      </c>
      <c r="I402" s="44">
        <v>44568.0</v>
      </c>
      <c r="J402" s="150">
        <v>0.5079050925925926</v>
      </c>
      <c r="K402" s="19">
        <v>0.0</v>
      </c>
      <c r="L402" s="10" t="b">
        <v>1</v>
      </c>
      <c r="M402" s="5" t="s">
        <v>2498</v>
      </c>
      <c r="N402" s="5" t="s">
        <v>247</v>
      </c>
      <c r="O402" s="5"/>
      <c r="P402" s="110" t="b">
        <f t="shared" si="1"/>
        <v>1</v>
      </c>
      <c r="Q402" s="110" t="b">
        <f>IF(COUNTIF(RAW_APS!$A$2:$A815,A402)=0,TRUE,FALSE)</f>
        <v>1</v>
      </c>
      <c r="R402" s="241" t="b">
        <f t="shared" si="2"/>
        <v>0</v>
      </c>
      <c r="U402" s="112" t="str">
        <f t="shared" si="3"/>
        <v/>
      </c>
      <c r="V402" s="51"/>
      <c r="W402" s="51"/>
      <c r="X402" s="51"/>
      <c r="Y402" s="51"/>
      <c r="Z402" s="210"/>
      <c r="AA402" s="112" t="str">
        <f t="shared" si="4"/>
        <v>MA1224</v>
      </c>
      <c r="AB402" s="112" t="str">
        <f t="shared" si="5"/>
        <v/>
      </c>
      <c r="AC402" s="112" t="str">
        <f t="shared" si="6"/>
        <v/>
      </c>
      <c r="AD402" s="5"/>
      <c r="AE402" s="5"/>
    </row>
    <row r="403">
      <c r="A403" s="5" t="s">
        <v>1431</v>
      </c>
      <c r="B403" s="44">
        <v>44611.0</v>
      </c>
      <c r="C403" s="150">
        <v>0.31581018518518517</v>
      </c>
      <c r="D403" s="5"/>
      <c r="E403" s="5"/>
      <c r="F403" s="5"/>
      <c r="G403" s="5" t="s">
        <v>2184</v>
      </c>
      <c r="H403" s="5" t="s">
        <v>244</v>
      </c>
      <c r="I403" s="44">
        <v>44611.0</v>
      </c>
      <c r="J403" s="150">
        <v>0.4882523148148148</v>
      </c>
      <c r="K403" s="19">
        <v>0.0</v>
      </c>
      <c r="L403" s="10" t="b">
        <v>1</v>
      </c>
      <c r="M403" s="5" t="s">
        <v>2477</v>
      </c>
      <c r="N403" s="5" t="s">
        <v>247</v>
      </c>
      <c r="O403" s="5"/>
      <c r="P403" s="110" t="b">
        <f t="shared" si="1"/>
        <v>1</v>
      </c>
      <c r="Q403" s="110" t="b">
        <f>IF(COUNTIF(RAW_APS!$A$2:$A815,A403)=0,TRUE,FALSE)</f>
        <v>1</v>
      </c>
      <c r="R403" s="241" t="b">
        <f t="shared" si="2"/>
        <v>0</v>
      </c>
      <c r="U403" s="112" t="str">
        <f t="shared" si="3"/>
        <v/>
      </c>
      <c r="V403" s="51"/>
      <c r="W403" s="51"/>
      <c r="X403" s="51"/>
      <c r="Y403" s="51"/>
      <c r="Z403" s="210"/>
      <c r="AA403" s="112" t="str">
        <f t="shared" si="4"/>
        <v>MA1225</v>
      </c>
      <c r="AB403" s="112" t="str">
        <f t="shared" si="5"/>
        <v/>
      </c>
      <c r="AC403" s="112" t="str">
        <f t="shared" si="6"/>
        <v/>
      </c>
      <c r="AD403" s="5"/>
      <c r="AE403" s="5"/>
    </row>
    <row r="404">
      <c r="A404" s="5" t="s">
        <v>2008</v>
      </c>
      <c r="B404" s="44">
        <v>44627.0</v>
      </c>
      <c r="C404" s="150">
        <v>0.32047453703703704</v>
      </c>
      <c r="D404" s="5"/>
      <c r="E404" s="5"/>
      <c r="F404" s="5"/>
      <c r="G404" s="5" t="s">
        <v>2184</v>
      </c>
      <c r="H404" s="5" t="s">
        <v>244</v>
      </c>
      <c r="I404" s="44">
        <v>44627.0</v>
      </c>
      <c r="J404" s="150">
        <v>0.4778935185185185</v>
      </c>
      <c r="K404" s="19">
        <v>1.0</v>
      </c>
      <c r="L404" s="10" t="b">
        <v>1</v>
      </c>
      <c r="M404" s="5" t="s">
        <v>2466</v>
      </c>
      <c r="N404" s="5" t="s">
        <v>247</v>
      </c>
      <c r="O404" s="5"/>
      <c r="P404" s="110" t="b">
        <f t="shared" si="1"/>
        <v>0</v>
      </c>
      <c r="Q404" s="110" t="b">
        <f>IF(COUNTIF(RAW_APS!$A$2:$A815,A404)=0,TRUE,FALSE)</f>
        <v>0</v>
      </c>
      <c r="R404" s="241" t="b">
        <f t="shared" si="2"/>
        <v>0</v>
      </c>
      <c r="U404" s="112" t="str">
        <f t="shared" si="3"/>
        <v/>
      </c>
      <c r="V404" s="60"/>
      <c r="W404" s="60"/>
      <c r="X404" s="60"/>
      <c r="Y404" s="60"/>
      <c r="Z404" s="210"/>
      <c r="AA404" s="112" t="str">
        <f t="shared" si="4"/>
        <v>MA1227</v>
      </c>
      <c r="AB404" s="112" t="str">
        <f t="shared" si="5"/>
        <v/>
      </c>
      <c r="AC404" s="112" t="str">
        <f t="shared" si="6"/>
        <v/>
      </c>
      <c r="AD404" s="5"/>
      <c r="AE404" s="5"/>
    </row>
    <row r="405">
      <c r="A405" s="5" t="s">
        <v>560</v>
      </c>
      <c r="B405" s="44">
        <v>44568.0</v>
      </c>
      <c r="C405" s="150">
        <v>0.29755787037037035</v>
      </c>
      <c r="D405" s="5"/>
      <c r="E405" s="5"/>
      <c r="F405" s="5"/>
      <c r="G405" s="5" t="s">
        <v>2184</v>
      </c>
      <c r="H405" s="5" t="s">
        <v>244</v>
      </c>
      <c r="I405" s="44">
        <v>44568.0</v>
      </c>
      <c r="J405" s="150">
        <v>0.5079050925925926</v>
      </c>
      <c r="K405" s="19">
        <v>0.0</v>
      </c>
      <c r="L405" s="10" t="b">
        <v>1</v>
      </c>
      <c r="M405" s="5" t="s">
        <v>2498</v>
      </c>
      <c r="N405" s="5" t="s">
        <v>247</v>
      </c>
      <c r="O405" s="5"/>
      <c r="P405" s="110" t="b">
        <f t="shared" si="1"/>
        <v>1</v>
      </c>
      <c r="Q405" s="110" t="b">
        <f>IF(COUNTIF(RAW_APS!$A$2:$A815,A405)=0,TRUE,FALSE)</f>
        <v>1</v>
      </c>
      <c r="R405" s="241" t="b">
        <f t="shared" si="2"/>
        <v>0</v>
      </c>
      <c r="U405" s="112" t="str">
        <f t="shared" si="3"/>
        <v/>
      </c>
      <c r="V405" s="51"/>
      <c r="W405" s="51"/>
      <c r="X405" s="51"/>
      <c r="Y405" s="51"/>
      <c r="Z405" s="210"/>
      <c r="AA405" s="112" t="str">
        <f t="shared" si="4"/>
        <v>MA1228</v>
      </c>
      <c r="AB405" s="112" t="str">
        <f t="shared" si="5"/>
        <v/>
      </c>
      <c r="AC405" s="112" t="str">
        <f t="shared" si="6"/>
        <v/>
      </c>
      <c r="AD405" s="5"/>
      <c r="AE405" s="5"/>
    </row>
    <row r="406">
      <c r="A406" s="5" t="s">
        <v>1137</v>
      </c>
      <c r="B406" s="44">
        <v>44599.0</v>
      </c>
      <c r="C406" s="150">
        <v>0.34703703703703703</v>
      </c>
      <c r="D406" s="5"/>
      <c r="E406" s="5"/>
      <c r="F406" s="5"/>
      <c r="G406" s="5" t="s">
        <v>2184</v>
      </c>
      <c r="H406" s="5" t="s">
        <v>244</v>
      </c>
      <c r="I406" s="44">
        <v>44599.0</v>
      </c>
      <c r="J406" s="150">
        <v>0.4875462962962963</v>
      </c>
      <c r="K406" s="19">
        <v>1.0</v>
      </c>
      <c r="L406" s="10" t="b">
        <v>1</v>
      </c>
      <c r="M406" s="5" t="s">
        <v>2483</v>
      </c>
      <c r="N406" s="5" t="s">
        <v>247</v>
      </c>
      <c r="O406" s="5"/>
      <c r="P406" s="110" t="b">
        <f t="shared" si="1"/>
        <v>0</v>
      </c>
      <c r="Q406" s="110" t="b">
        <f>IF(COUNTIF(RAW_APS!$A$2:$A815,A406)=0,TRUE,FALSE)</f>
        <v>0</v>
      </c>
      <c r="R406" s="241" t="b">
        <f t="shared" si="2"/>
        <v>0</v>
      </c>
      <c r="U406" s="112" t="str">
        <f t="shared" si="3"/>
        <v/>
      </c>
      <c r="V406" s="60"/>
      <c r="W406" s="60"/>
      <c r="X406" s="60"/>
      <c r="Y406" s="60"/>
      <c r="Z406" s="210"/>
      <c r="AA406" s="112" t="str">
        <f t="shared" si="4"/>
        <v>MA1229</v>
      </c>
      <c r="AB406" s="112" t="str">
        <f t="shared" si="5"/>
        <v/>
      </c>
      <c r="AC406" s="112" t="str">
        <f t="shared" si="6"/>
        <v/>
      </c>
      <c r="AD406" s="5"/>
      <c r="AE406" s="5"/>
    </row>
    <row r="407">
      <c r="A407" s="5" t="s">
        <v>1675</v>
      </c>
      <c r="B407" s="44">
        <v>44617.0</v>
      </c>
      <c r="C407" s="150">
        <v>0.3387847222222222</v>
      </c>
      <c r="D407" s="5"/>
      <c r="E407" s="5"/>
      <c r="F407" s="5"/>
      <c r="G407" s="5" t="s">
        <v>2184</v>
      </c>
      <c r="H407" s="5" t="s">
        <v>244</v>
      </c>
      <c r="I407" s="44">
        <v>44617.0</v>
      </c>
      <c r="J407" s="150">
        <v>0.5033796296296297</v>
      </c>
      <c r="K407" s="19">
        <v>1.0</v>
      </c>
      <c r="L407" s="10" t="b">
        <v>1</v>
      </c>
      <c r="M407" s="5" t="s">
        <v>2473</v>
      </c>
      <c r="N407" s="5" t="s">
        <v>247</v>
      </c>
      <c r="O407" s="5"/>
      <c r="P407" s="110" t="b">
        <f t="shared" si="1"/>
        <v>0</v>
      </c>
      <c r="Q407" s="110" t="b">
        <f>IF(COUNTIF(RAW_APS!$A$2:$A815,A407)=0,TRUE,FALSE)</f>
        <v>0</v>
      </c>
      <c r="R407" s="241" t="b">
        <f t="shared" si="2"/>
        <v>0</v>
      </c>
      <c r="U407" s="112" t="str">
        <f t="shared" si="3"/>
        <v/>
      </c>
      <c r="V407" s="60"/>
      <c r="W407" s="60"/>
      <c r="X407" s="60"/>
      <c r="Y407" s="60"/>
      <c r="Z407" s="210"/>
      <c r="AA407" s="112" t="str">
        <f t="shared" si="4"/>
        <v>MA1230</v>
      </c>
      <c r="AB407" s="112" t="str">
        <f t="shared" si="5"/>
        <v/>
      </c>
      <c r="AC407" s="112" t="str">
        <f t="shared" si="6"/>
        <v/>
      </c>
      <c r="AD407" s="5"/>
      <c r="AE407" s="5"/>
    </row>
    <row r="408">
      <c r="A408" s="5" t="s">
        <v>1631</v>
      </c>
      <c r="B408" s="44">
        <v>44617.0</v>
      </c>
      <c r="C408" s="150">
        <v>0.3161921296296296</v>
      </c>
      <c r="D408" s="5"/>
      <c r="E408" s="5"/>
      <c r="F408" s="5"/>
      <c r="G408" s="5" t="s">
        <v>2184</v>
      </c>
      <c r="H408" s="5" t="s">
        <v>244</v>
      </c>
      <c r="I408" s="44">
        <v>44617.0</v>
      </c>
      <c r="J408" s="150">
        <v>0.5033680555555555</v>
      </c>
      <c r="K408" s="19">
        <v>0.0</v>
      </c>
      <c r="L408" s="10" t="b">
        <v>1</v>
      </c>
      <c r="M408" s="5" t="s">
        <v>2473</v>
      </c>
      <c r="N408" s="5" t="s">
        <v>247</v>
      </c>
      <c r="O408" s="5"/>
      <c r="P408" s="110" t="b">
        <f t="shared" si="1"/>
        <v>1</v>
      </c>
      <c r="Q408" s="110" t="b">
        <f>IF(COUNTIF(RAW_APS!$A$2:$A815,A408)=0,TRUE,FALSE)</f>
        <v>1</v>
      </c>
      <c r="R408" s="241" t="b">
        <f t="shared" si="2"/>
        <v>0</v>
      </c>
      <c r="U408" s="112" t="str">
        <f t="shared" si="3"/>
        <v/>
      </c>
      <c r="V408" s="51"/>
      <c r="W408" s="51"/>
      <c r="X408" s="51"/>
      <c r="Y408" s="51"/>
      <c r="Z408" s="210"/>
      <c r="AA408" s="112" t="str">
        <f t="shared" si="4"/>
        <v>MA1231</v>
      </c>
      <c r="AB408" s="112" t="str">
        <f t="shared" si="5"/>
        <v/>
      </c>
      <c r="AC408" s="112" t="str">
        <f t="shared" si="6"/>
        <v/>
      </c>
      <c r="AD408" s="5"/>
      <c r="AE408" s="5"/>
    </row>
    <row r="409">
      <c r="A409" s="5" t="s">
        <v>1184</v>
      </c>
      <c r="B409" s="44">
        <v>44603.0</v>
      </c>
      <c r="C409" s="150">
        <v>0.31798611111111114</v>
      </c>
      <c r="D409" s="5"/>
      <c r="E409" s="5"/>
      <c r="F409" s="5"/>
      <c r="G409" s="5" t="s">
        <v>2184</v>
      </c>
      <c r="H409" s="5" t="s">
        <v>244</v>
      </c>
      <c r="I409" s="44">
        <v>44603.0</v>
      </c>
      <c r="J409" s="150">
        <v>0.46979166666666666</v>
      </c>
      <c r="K409" s="19">
        <v>1.0</v>
      </c>
      <c r="L409" s="10" t="b">
        <v>1</v>
      </c>
      <c r="M409" s="5" t="s">
        <v>2481</v>
      </c>
      <c r="N409" s="5" t="s">
        <v>247</v>
      </c>
      <c r="O409" s="5"/>
      <c r="P409" s="110" t="b">
        <f t="shared" si="1"/>
        <v>0</v>
      </c>
      <c r="Q409" s="110" t="b">
        <f>IF(COUNTIF(RAW_APS!$A$2:$A815,A409)=0,TRUE,FALSE)</f>
        <v>0</v>
      </c>
      <c r="R409" s="241" t="b">
        <f t="shared" si="2"/>
        <v>0</v>
      </c>
      <c r="U409" s="112" t="str">
        <f t="shared" si="3"/>
        <v/>
      </c>
      <c r="V409" s="60"/>
      <c r="W409" s="60"/>
      <c r="X409" s="60"/>
      <c r="Y409" s="60"/>
      <c r="Z409" s="210"/>
      <c r="AA409" s="112" t="str">
        <f t="shared" si="4"/>
        <v>MA1233</v>
      </c>
      <c r="AB409" s="112" t="str">
        <f t="shared" si="5"/>
        <v/>
      </c>
      <c r="AC409" s="112" t="str">
        <f t="shared" si="6"/>
        <v/>
      </c>
      <c r="AD409" s="5"/>
      <c r="AE409" s="5"/>
    </row>
    <row r="410">
      <c r="A410" s="5" t="s">
        <v>700</v>
      </c>
      <c r="B410" s="44">
        <v>44572.0</v>
      </c>
      <c r="C410" s="150">
        <v>0.536875</v>
      </c>
      <c r="D410" s="5"/>
      <c r="E410" s="5"/>
      <c r="F410" s="5"/>
      <c r="G410" s="5" t="s">
        <v>2188</v>
      </c>
      <c r="H410" s="5" t="s">
        <v>254</v>
      </c>
      <c r="I410" s="44">
        <v>44861.0</v>
      </c>
      <c r="J410" s="150">
        <v>0.4895023148148148</v>
      </c>
      <c r="K410" s="19">
        <v>1.0</v>
      </c>
      <c r="L410" s="5"/>
      <c r="M410" s="5"/>
      <c r="N410" s="5" t="s">
        <v>247</v>
      </c>
      <c r="O410" s="5"/>
      <c r="P410" s="110" t="b">
        <f t="shared" si="1"/>
        <v>0</v>
      </c>
      <c r="Q410" s="110" t="b">
        <f>IF(COUNTIF(RAW_APS!$A$2:$A815,A410)=0,TRUE,FALSE)</f>
        <v>0</v>
      </c>
      <c r="R410" s="241" t="b">
        <f t="shared" si="2"/>
        <v>0</v>
      </c>
      <c r="U410" s="112" t="str">
        <f t="shared" si="3"/>
        <v/>
      </c>
      <c r="V410" s="60"/>
      <c r="W410" s="60"/>
      <c r="X410" s="60"/>
      <c r="Y410" s="60"/>
      <c r="Z410" s="210"/>
      <c r="AA410" s="112" t="str">
        <f t="shared" si="4"/>
        <v>MA1234</v>
      </c>
      <c r="AB410" s="112" t="str">
        <f t="shared" si="5"/>
        <v/>
      </c>
      <c r="AC410" s="112" t="str">
        <f t="shared" si="6"/>
        <v/>
      </c>
      <c r="AD410" s="5"/>
      <c r="AE410" s="5"/>
    </row>
    <row r="411">
      <c r="A411" s="5" t="s">
        <v>1971</v>
      </c>
      <c r="B411" s="44">
        <v>44625.0</v>
      </c>
      <c r="C411" s="150">
        <v>0.39457175925925925</v>
      </c>
      <c r="D411" s="5"/>
      <c r="E411" s="5"/>
      <c r="F411" s="5"/>
      <c r="G411" s="5" t="s">
        <v>2184</v>
      </c>
      <c r="H411" s="5" t="s">
        <v>244</v>
      </c>
      <c r="I411" s="44">
        <v>44625.0</v>
      </c>
      <c r="J411" s="150">
        <v>0.48975694444444445</v>
      </c>
      <c r="K411" s="19">
        <v>1.0</v>
      </c>
      <c r="L411" s="10" t="b">
        <v>1</v>
      </c>
      <c r="M411" s="5" t="s">
        <v>2467</v>
      </c>
      <c r="N411" s="5" t="s">
        <v>247</v>
      </c>
      <c r="O411" s="5"/>
      <c r="P411" s="110" t="b">
        <f t="shared" si="1"/>
        <v>0</v>
      </c>
      <c r="Q411" s="110" t="b">
        <f>IF(COUNTIF(RAW_APS!$A$2:$A815,A411)=0,TRUE,FALSE)</f>
        <v>0</v>
      </c>
      <c r="R411" s="241" t="b">
        <f t="shared" si="2"/>
        <v>0</v>
      </c>
      <c r="U411" s="112" t="str">
        <f t="shared" si="3"/>
        <v/>
      </c>
      <c r="V411" s="60"/>
      <c r="W411" s="60"/>
      <c r="X411" s="60"/>
      <c r="Y411" s="60"/>
      <c r="Z411" s="210"/>
      <c r="AA411" s="112" t="str">
        <f t="shared" si="4"/>
        <v>MA1235</v>
      </c>
      <c r="AB411" s="112" t="str">
        <f t="shared" si="5"/>
        <v/>
      </c>
      <c r="AC411" s="112" t="str">
        <f t="shared" si="6"/>
        <v/>
      </c>
      <c r="AD411" s="5"/>
      <c r="AE411" s="5"/>
    </row>
    <row r="412">
      <c r="A412" s="5" t="s">
        <v>435</v>
      </c>
      <c r="B412" s="44">
        <v>44561.0</v>
      </c>
      <c r="C412" s="150">
        <v>0.32125</v>
      </c>
      <c r="D412" s="5"/>
      <c r="E412" s="5"/>
      <c r="F412" s="5"/>
      <c r="G412" s="5" t="s">
        <v>2184</v>
      </c>
      <c r="H412" s="5" t="s">
        <v>244</v>
      </c>
      <c r="I412" s="44">
        <v>44561.0</v>
      </c>
      <c r="J412" s="150">
        <v>0.44493055555555555</v>
      </c>
      <c r="K412" s="19">
        <v>1.0</v>
      </c>
      <c r="L412" s="10" t="b">
        <v>1</v>
      </c>
      <c r="M412" s="5" t="s">
        <v>2502</v>
      </c>
      <c r="N412" s="5" t="s">
        <v>247</v>
      </c>
      <c r="O412" s="5"/>
      <c r="P412" s="110" t="b">
        <f t="shared" si="1"/>
        <v>0</v>
      </c>
      <c r="Q412" s="110" t="b">
        <f>IF(COUNTIF(RAW_APS!$A$2:$A815,A412)=0,TRUE,FALSE)</f>
        <v>0</v>
      </c>
      <c r="R412" s="241" t="b">
        <f t="shared" si="2"/>
        <v>0</v>
      </c>
      <c r="U412" s="112" t="str">
        <f t="shared" si="3"/>
        <v/>
      </c>
      <c r="V412" s="51"/>
      <c r="W412" s="51"/>
      <c r="X412" s="51"/>
      <c r="Y412" s="51"/>
      <c r="Z412" s="210"/>
      <c r="AA412" s="112" t="str">
        <f t="shared" si="4"/>
        <v>MA1236</v>
      </c>
      <c r="AB412" s="112" t="str">
        <f t="shared" si="5"/>
        <v/>
      </c>
      <c r="AC412" s="112" t="str">
        <f t="shared" si="6"/>
        <v/>
      </c>
      <c r="AD412" s="5"/>
      <c r="AE412" s="5"/>
    </row>
    <row r="413">
      <c r="A413" s="5" t="s">
        <v>1014</v>
      </c>
      <c r="B413" s="44">
        <v>44585.0</v>
      </c>
      <c r="C413" s="150">
        <v>0.3784722222222222</v>
      </c>
      <c r="D413" s="5"/>
      <c r="E413" s="5"/>
      <c r="F413" s="5"/>
      <c r="G413" s="5" t="s">
        <v>2184</v>
      </c>
      <c r="H413" s="5" t="s">
        <v>244</v>
      </c>
      <c r="I413" s="44">
        <v>44585.0</v>
      </c>
      <c r="J413" s="150">
        <v>0.4705902777777778</v>
      </c>
      <c r="K413" s="19">
        <v>1.0</v>
      </c>
      <c r="L413" s="10" t="b">
        <v>1</v>
      </c>
      <c r="M413" s="5" t="s">
        <v>2489</v>
      </c>
      <c r="N413" s="5" t="s">
        <v>247</v>
      </c>
      <c r="O413" s="5"/>
      <c r="P413" s="110" t="b">
        <f t="shared" si="1"/>
        <v>0</v>
      </c>
      <c r="Q413" s="110" t="b">
        <f>IF(COUNTIF(RAW_APS!$A$2:$A815,A413)=0,TRUE,FALSE)</f>
        <v>0</v>
      </c>
      <c r="R413" s="241" t="b">
        <f t="shared" si="2"/>
        <v>0</v>
      </c>
      <c r="U413" s="112" t="str">
        <f t="shared" si="3"/>
        <v/>
      </c>
      <c r="V413" s="60"/>
      <c r="W413" s="60"/>
      <c r="X413" s="60"/>
      <c r="Y413" s="60"/>
      <c r="Z413" s="210"/>
      <c r="AA413" s="112" t="str">
        <f t="shared" si="4"/>
        <v>MA1237</v>
      </c>
      <c r="AB413" s="112" t="str">
        <f t="shared" si="5"/>
        <v/>
      </c>
      <c r="AC413" s="112" t="str">
        <f t="shared" si="6"/>
        <v/>
      </c>
      <c r="AD413" s="5"/>
      <c r="AE413" s="5"/>
    </row>
    <row r="414">
      <c r="A414" s="5" t="s">
        <v>1935</v>
      </c>
      <c r="B414" s="44">
        <v>44625.0</v>
      </c>
      <c r="C414" s="150">
        <v>0.3109953703703704</v>
      </c>
      <c r="D414" s="5"/>
      <c r="E414" s="5"/>
      <c r="F414" s="5"/>
      <c r="G414" s="5" t="s">
        <v>2184</v>
      </c>
      <c r="H414" s="5" t="s">
        <v>244</v>
      </c>
      <c r="I414" s="44">
        <v>44625.0</v>
      </c>
      <c r="J414" s="150">
        <v>0.48974537037037036</v>
      </c>
      <c r="K414" s="19">
        <v>1.0</v>
      </c>
      <c r="L414" s="10" t="b">
        <v>1</v>
      </c>
      <c r="M414" s="5" t="s">
        <v>2467</v>
      </c>
      <c r="N414" s="5" t="s">
        <v>247</v>
      </c>
      <c r="O414" s="5"/>
      <c r="P414" s="110" t="b">
        <f t="shared" si="1"/>
        <v>0</v>
      </c>
      <c r="Q414" s="110" t="b">
        <f>IF(COUNTIF(RAW_APS!$A$2:$A815,A414)=0,TRUE,FALSE)</f>
        <v>0</v>
      </c>
      <c r="R414" s="241" t="b">
        <f t="shared" si="2"/>
        <v>0</v>
      </c>
      <c r="U414" s="112" t="str">
        <f t="shared" si="3"/>
        <v/>
      </c>
      <c r="V414" s="60"/>
      <c r="W414" s="60"/>
      <c r="X414" s="60"/>
      <c r="Y414" s="60"/>
      <c r="Z414" s="210"/>
      <c r="AA414" s="112" t="str">
        <f t="shared" si="4"/>
        <v>MA1238</v>
      </c>
      <c r="AB414" s="112" t="str">
        <f t="shared" si="5"/>
        <v/>
      </c>
      <c r="AC414" s="112" t="str">
        <f t="shared" si="6"/>
        <v/>
      </c>
      <c r="AD414" s="5"/>
      <c r="AE414" s="5"/>
    </row>
    <row r="415">
      <c r="A415" s="5" t="s">
        <v>1679</v>
      </c>
      <c r="B415" s="44">
        <v>44617.0</v>
      </c>
      <c r="C415" s="150">
        <v>0.34774305555555557</v>
      </c>
      <c r="D415" s="5"/>
      <c r="E415" s="5"/>
      <c r="F415" s="5"/>
      <c r="G415" s="5" t="s">
        <v>2184</v>
      </c>
      <c r="H415" s="5" t="s">
        <v>244</v>
      </c>
      <c r="I415" s="44">
        <v>44617.0</v>
      </c>
      <c r="J415" s="150">
        <v>0.5033796296296297</v>
      </c>
      <c r="K415" s="19">
        <v>1.0</v>
      </c>
      <c r="L415" s="10" t="b">
        <v>1</v>
      </c>
      <c r="M415" s="5" t="s">
        <v>2473</v>
      </c>
      <c r="N415" s="5" t="s">
        <v>247</v>
      </c>
      <c r="O415" s="5"/>
      <c r="P415" s="110" t="b">
        <f t="shared" si="1"/>
        <v>0</v>
      </c>
      <c r="Q415" s="110" t="b">
        <f>IF(COUNTIF(RAW_APS!$A$2:$A815,A415)=0,TRUE,FALSE)</f>
        <v>0</v>
      </c>
      <c r="R415" s="241" t="b">
        <f t="shared" si="2"/>
        <v>0</v>
      </c>
      <c r="U415" s="112" t="str">
        <f t="shared" si="3"/>
        <v/>
      </c>
      <c r="V415" s="60"/>
      <c r="W415" s="60"/>
      <c r="X415" s="60"/>
      <c r="Y415" s="60"/>
      <c r="Z415" s="210"/>
      <c r="AA415" s="112" t="str">
        <f t="shared" si="4"/>
        <v>MA1240</v>
      </c>
      <c r="AB415" s="112" t="str">
        <f t="shared" si="5"/>
        <v/>
      </c>
      <c r="AC415" s="112" t="str">
        <f t="shared" si="6"/>
        <v/>
      </c>
      <c r="AD415" s="5"/>
      <c r="AE415" s="5"/>
    </row>
    <row r="416">
      <c r="A416" s="5" t="s">
        <v>788</v>
      </c>
      <c r="B416" s="44">
        <v>44575.0</v>
      </c>
      <c r="C416" s="150">
        <v>0.3230439814814815</v>
      </c>
      <c r="D416" s="5"/>
      <c r="E416" s="5"/>
      <c r="F416" s="5"/>
      <c r="G416" s="5" t="s">
        <v>2184</v>
      </c>
      <c r="H416" s="5" t="s">
        <v>52</v>
      </c>
      <c r="I416" s="44">
        <v>44579.0</v>
      </c>
      <c r="J416" s="150">
        <v>0.5015856481481481</v>
      </c>
      <c r="K416" s="19">
        <v>1.0</v>
      </c>
      <c r="L416" s="10" t="b">
        <v>1</v>
      </c>
      <c r="M416" s="5"/>
      <c r="N416" s="5" t="s">
        <v>247</v>
      </c>
      <c r="O416" s="5"/>
      <c r="P416" s="110" t="b">
        <f t="shared" si="1"/>
        <v>0</v>
      </c>
      <c r="Q416" s="110" t="b">
        <f>IF(COUNTIF(RAW_APS!$A$2:$A815,A416)=0,TRUE,FALSE)</f>
        <v>0</v>
      </c>
      <c r="R416" s="241" t="b">
        <f t="shared" si="2"/>
        <v>0</v>
      </c>
      <c r="U416" s="112" t="str">
        <f t="shared" si="3"/>
        <v/>
      </c>
      <c r="V416" s="60"/>
      <c r="W416" s="60"/>
      <c r="X416" s="60"/>
      <c r="Y416" s="60"/>
      <c r="Z416" s="210"/>
      <c r="AA416" s="112" t="str">
        <f t="shared" si="4"/>
        <v>MA1243</v>
      </c>
      <c r="AB416" s="112" t="str">
        <f t="shared" si="5"/>
        <v/>
      </c>
      <c r="AC416" s="112" t="str">
        <f t="shared" si="6"/>
        <v/>
      </c>
      <c r="AD416" s="5"/>
      <c r="AE416" s="5"/>
    </row>
    <row r="417">
      <c r="A417" s="5" t="s">
        <v>1033</v>
      </c>
      <c r="B417" s="44">
        <v>44587.0</v>
      </c>
      <c r="C417" s="150">
        <v>0.32371527777777775</v>
      </c>
      <c r="D417" s="5"/>
      <c r="E417" s="5"/>
      <c r="F417" s="5"/>
      <c r="G417" s="5" t="s">
        <v>2184</v>
      </c>
      <c r="H417" s="5" t="s">
        <v>244</v>
      </c>
      <c r="I417" s="44">
        <v>44587.0</v>
      </c>
      <c r="J417" s="150">
        <v>0.5005439814814815</v>
      </c>
      <c r="K417" s="19">
        <v>1.0</v>
      </c>
      <c r="L417" s="10" t="b">
        <v>1</v>
      </c>
      <c r="M417" s="5" t="s">
        <v>2488</v>
      </c>
      <c r="N417" s="5" t="s">
        <v>247</v>
      </c>
      <c r="O417" s="5"/>
      <c r="P417" s="110" t="b">
        <f t="shared" si="1"/>
        <v>0</v>
      </c>
      <c r="Q417" s="110" t="b">
        <f>IF(COUNTIF(RAW_APS!$A$2:$A815,A417)=0,TRUE,FALSE)</f>
        <v>0</v>
      </c>
      <c r="R417" s="241" t="b">
        <f t="shared" si="2"/>
        <v>0</v>
      </c>
      <c r="U417" s="112" t="str">
        <f t="shared" si="3"/>
        <v/>
      </c>
      <c r="V417" s="60"/>
      <c r="W417" s="60"/>
      <c r="X417" s="60"/>
      <c r="Y417" s="60"/>
      <c r="Z417" s="210"/>
      <c r="AA417" s="112" t="str">
        <f t="shared" si="4"/>
        <v>MA1245</v>
      </c>
      <c r="AB417" s="112" t="str">
        <f t="shared" si="5"/>
        <v/>
      </c>
      <c r="AC417" s="112" t="str">
        <f t="shared" si="6"/>
        <v/>
      </c>
      <c r="AD417" s="5"/>
      <c r="AE417" s="5"/>
    </row>
    <row r="418">
      <c r="A418" s="5" t="s">
        <v>892</v>
      </c>
      <c r="B418" s="44">
        <v>44579.0</v>
      </c>
      <c r="C418" s="150">
        <v>0.41303240740740743</v>
      </c>
      <c r="D418" s="5"/>
      <c r="E418" s="5"/>
      <c r="F418" s="5"/>
      <c r="G418" s="5" t="s">
        <v>2184</v>
      </c>
      <c r="H418" s="5" t="s">
        <v>244</v>
      </c>
      <c r="I418" s="44">
        <v>44580.0</v>
      </c>
      <c r="J418" s="150">
        <v>0.5080208333333334</v>
      </c>
      <c r="K418" s="19">
        <v>1.0</v>
      </c>
      <c r="L418" s="10" t="b">
        <v>1</v>
      </c>
      <c r="M418" s="5" t="s">
        <v>2492</v>
      </c>
      <c r="N418" s="5" t="s">
        <v>247</v>
      </c>
      <c r="O418" s="5"/>
      <c r="P418" s="110" t="b">
        <f t="shared" si="1"/>
        <v>0</v>
      </c>
      <c r="Q418" s="110" t="b">
        <f>IF(COUNTIF(RAW_APS!$A$2:$A815,A418)=0,TRUE,FALSE)</f>
        <v>0</v>
      </c>
      <c r="R418" s="241" t="b">
        <f t="shared" si="2"/>
        <v>0</v>
      </c>
      <c r="U418" s="112" t="str">
        <f t="shared" si="3"/>
        <v/>
      </c>
      <c r="V418" s="60"/>
      <c r="W418" s="60"/>
      <c r="X418" s="60"/>
      <c r="Y418" s="60"/>
      <c r="Z418" s="210"/>
      <c r="AA418" s="112" t="str">
        <f t="shared" si="4"/>
        <v>MA1248</v>
      </c>
      <c r="AB418" s="112" t="str">
        <f t="shared" si="5"/>
        <v/>
      </c>
      <c r="AC418" s="112" t="str">
        <f t="shared" si="6"/>
        <v/>
      </c>
      <c r="AD418" s="5"/>
      <c r="AE418" s="5"/>
    </row>
    <row r="419">
      <c r="A419" s="5" t="s">
        <v>1827</v>
      </c>
      <c r="B419" s="44">
        <v>44621.0</v>
      </c>
      <c r="C419" s="150">
        <v>0.46792824074074074</v>
      </c>
      <c r="D419" s="5"/>
      <c r="E419" s="5"/>
      <c r="F419" s="5"/>
      <c r="G419" s="5" t="s">
        <v>2184</v>
      </c>
      <c r="H419" s="5" t="s">
        <v>244</v>
      </c>
      <c r="I419" s="44">
        <v>44627.0</v>
      </c>
      <c r="J419" s="150">
        <v>0.4779398148148148</v>
      </c>
      <c r="K419" s="19">
        <v>0.0</v>
      </c>
      <c r="L419" s="10" t="b">
        <v>1</v>
      </c>
      <c r="M419" s="5" t="s">
        <v>2470</v>
      </c>
      <c r="N419" s="5" t="s">
        <v>247</v>
      </c>
      <c r="O419" s="5"/>
      <c r="P419" s="110" t="b">
        <f t="shared" si="1"/>
        <v>1</v>
      </c>
      <c r="Q419" s="110" t="b">
        <f>IF(COUNTIF(RAW_APS!$A$2:$A815,A419)=0,TRUE,FALSE)</f>
        <v>1</v>
      </c>
      <c r="R419" s="241" t="b">
        <f t="shared" si="2"/>
        <v>0</v>
      </c>
      <c r="U419" s="112" t="str">
        <f t="shared" si="3"/>
        <v/>
      </c>
      <c r="V419" s="51"/>
      <c r="W419" s="51"/>
      <c r="X419" s="51"/>
      <c r="Y419" s="51"/>
      <c r="Z419" s="210"/>
      <c r="AA419" s="112" t="str">
        <f t="shared" si="4"/>
        <v>MA1251</v>
      </c>
      <c r="AB419" s="112" t="str">
        <f t="shared" si="5"/>
        <v/>
      </c>
      <c r="AC419" s="112" t="str">
        <f t="shared" si="6"/>
        <v/>
      </c>
      <c r="AD419" s="5"/>
      <c r="AE419" s="5"/>
    </row>
    <row r="420">
      <c r="A420" s="5" t="s">
        <v>939</v>
      </c>
      <c r="B420" s="44">
        <v>44580.0</v>
      </c>
      <c r="C420" s="150">
        <v>0.4405208333333333</v>
      </c>
      <c r="D420" s="5"/>
      <c r="E420" s="5"/>
      <c r="F420" s="5"/>
      <c r="G420" s="5" t="s">
        <v>2184</v>
      </c>
      <c r="H420" s="5" t="s">
        <v>52</v>
      </c>
      <c r="I420" s="44">
        <v>44580.0</v>
      </c>
      <c r="J420" s="150">
        <v>0.5073726851851852</v>
      </c>
      <c r="K420" s="19">
        <v>1.0</v>
      </c>
      <c r="L420" s="10" t="b">
        <v>1</v>
      </c>
      <c r="M420" s="5"/>
      <c r="N420" s="5" t="s">
        <v>247</v>
      </c>
      <c r="O420" s="5"/>
      <c r="P420" s="110" t="b">
        <f t="shared" si="1"/>
        <v>0</v>
      </c>
      <c r="Q420" s="110" t="b">
        <f>IF(COUNTIF(RAW_APS!$A$2:$A815,A420)=0,TRUE,FALSE)</f>
        <v>0</v>
      </c>
      <c r="R420" s="241" t="b">
        <f t="shared" si="2"/>
        <v>0</v>
      </c>
      <c r="U420" s="112" t="str">
        <f t="shared" si="3"/>
        <v/>
      </c>
      <c r="V420" s="60"/>
      <c r="W420" s="60"/>
      <c r="X420" s="60"/>
      <c r="Y420" s="60"/>
      <c r="Z420" s="210"/>
      <c r="AA420" s="112" t="str">
        <f t="shared" si="4"/>
        <v>MA1252</v>
      </c>
      <c r="AB420" s="112" t="str">
        <f t="shared" si="5"/>
        <v/>
      </c>
      <c r="AC420" s="112" t="str">
        <f t="shared" si="6"/>
        <v/>
      </c>
      <c r="AD420" s="5"/>
      <c r="AE420" s="5"/>
    </row>
    <row r="421">
      <c r="A421" s="5" t="s">
        <v>888</v>
      </c>
      <c r="B421" s="44">
        <v>44579.0</v>
      </c>
      <c r="C421" s="150">
        <v>0.36159722222222224</v>
      </c>
      <c r="D421" s="5"/>
      <c r="E421" s="5"/>
      <c r="F421" s="5"/>
      <c r="G421" s="5" t="s">
        <v>2184</v>
      </c>
      <c r="H421" s="5" t="s">
        <v>244</v>
      </c>
      <c r="I421" s="44">
        <v>44580.0</v>
      </c>
      <c r="J421" s="150">
        <v>0.5080208333333334</v>
      </c>
      <c r="K421" s="19">
        <v>1.0</v>
      </c>
      <c r="L421" s="10" t="b">
        <v>1</v>
      </c>
      <c r="M421" s="5" t="s">
        <v>2491</v>
      </c>
      <c r="N421" s="5" t="s">
        <v>247</v>
      </c>
      <c r="O421" s="5"/>
      <c r="P421" s="110" t="b">
        <f t="shared" si="1"/>
        <v>0</v>
      </c>
      <c r="Q421" s="110" t="b">
        <f>IF(COUNTIF(RAW_APS!$A$2:$A815,A421)=0,TRUE,FALSE)</f>
        <v>0</v>
      </c>
      <c r="R421" s="241" t="b">
        <f t="shared" si="2"/>
        <v>0</v>
      </c>
      <c r="U421" s="112" t="str">
        <f t="shared" si="3"/>
        <v/>
      </c>
      <c r="V421" s="60"/>
      <c r="W421" s="60"/>
      <c r="X421" s="60"/>
      <c r="Y421" s="60"/>
      <c r="Z421" s="210"/>
      <c r="AA421" s="112" t="str">
        <f t="shared" si="4"/>
        <v>MA1253</v>
      </c>
      <c r="AB421" s="112" t="str">
        <f t="shared" si="5"/>
        <v/>
      </c>
      <c r="AC421" s="112" t="str">
        <f t="shared" si="6"/>
        <v/>
      </c>
      <c r="AD421" s="5"/>
      <c r="AE421" s="5"/>
    </row>
    <row r="422">
      <c r="A422" s="5" t="s">
        <v>2086</v>
      </c>
      <c r="B422" s="44">
        <v>44629.0</v>
      </c>
      <c r="C422" s="150">
        <v>0.407349537037037</v>
      </c>
      <c r="D422" s="5"/>
      <c r="E422" s="5"/>
      <c r="F422" s="5"/>
      <c r="G422" s="5" t="s">
        <v>2188</v>
      </c>
      <c r="H422" s="5" t="s">
        <v>254</v>
      </c>
      <c r="I422" s="44">
        <v>44861.0</v>
      </c>
      <c r="J422" s="150">
        <v>0.4895023148148148</v>
      </c>
      <c r="K422" s="19">
        <v>0.0</v>
      </c>
      <c r="L422" s="5"/>
      <c r="M422" s="5"/>
      <c r="N422" s="5" t="s">
        <v>247</v>
      </c>
      <c r="O422" s="5"/>
      <c r="P422" s="110" t="b">
        <f t="shared" si="1"/>
        <v>1</v>
      </c>
      <c r="Q422" s="110" t="b">
        <f>IF(COUNTIF(RAW_APS!$A$2:$A815,A422)=0,TRUE,FALSE)</f>
        <v>1</v>
      </c>
      <c r="R422" s="241" t="b">
        <f t="shared" si="2"/>
        <v>0</v>
      </c>
      <c r="U422" s="112" t="str">
        <f t="shared" si="3"/>
        <v/>
      </c>
      <c r="V422" s="51"/>
      <c r="W422" s="51"/>
      <c r="X422" s="51"/>
      <c r="Y422" s="51"/>
      <c r="Z422" s="210"/>
      <c r="AA422" s="112" t="str">
        <f t="shared" si="4"/>
        <v>MA1254</v>
      </c>
      <c r="AB422" s="112" t="str">
        <f t="shared" si="5"/>
        <v/>
      </c>
      <c r="AC422" s="112" t="str">
        <f t="shared" si="6"/>
        <v/>
      </c>
      <c r="AD422" s="5"/>
      <c r="AE422" s="5"/>
    </row>
    <row r="423">
      <c r="A423" s="5" t="s">
        <v>313</v>
      </c>
      <c r="B423" s="44">
        <v>44545.0</v>
      </c>
      <c r="C423" s="150">
        <v>0.5749768518518519</v>
      </c>
      <c r="D423" s="5"/>
      <c r="E423" s="5"/>
      <c r="F423" s="5"/>
      <c r="G423" s="5" t="s">
        <v>2184</v>
      </c>
      <c r="H423" s="5" t="s">
        <v>244</v>
      </c>
      <c r="I423" s="44">
        <v>44545.0</v>
      </c>
      <c r="J423" s="150">
        <v>0.7641550925925926</v>
      </c>
      <c r="K423" s="19">
        <v>1.0</v>
      </c>
      <c r="L423" s="10" t="b">
        <v>1</v>
      </c>
      <c r="M423" s="5" t="s">
        <v>2508</v>
      </c>
      <c r="N423" s="5" t="s">
        <v>247</v>
      </c>
      <c r="O423" s="5"/>
      <c r="P423" s="110" t="b">
        <f t="shared" si="1"/>
        <v>0</v>
      </c>
      <c r="Q423" s="110" t="b">
        <f>IF(COUNTIF(RAW_APS!$A$2:$A815,A423)=0,TRUE,FALSE)</f>
        <v>0</v>
      </c>
      <c r="R423" s="241" t="b">
        <f t="shared" si="2"/>
        <v>0</v>
      </c>
      <c r="U423" s="112" t="str">
        <f t="shared" si="3"/>
        <v/>
      </c>
      <c r="V423" s="51"/>
      <c r="W423" s="51"/>
      <c r="X423" s="51"/>
      <c r="Y423" s="51"/>
      <c r="Z423" s="210"/>
      <c r="AA423" s="112" t="str">
        <f t="shared" si="4"/>
        <v>MA1255</v>
      </c>
      <c r="AB423" s="112" t="str">
        <f t="shared" si="5"/>
        <v/>
      </c>
      <c r="AC423" s="112" t="str">
        <f t="shared" si="6"/>
        <v/>
      </c>
      <c r="AD423" s="5"/>
      <c r="AE423" s="5"/>
    </row>
    <row r="424">
      <c r="A424" s="5" t="s">
        <v>1110</v>
      </c>
      <c r="B424" s="44">
        <v>44596.0</v>
      </c>
      <c r="C424" s="150">
        <v>0.3431712962962963</v>
      </c>
      <c r="D424" s="5"/>
      <c r="E424" s="5"/>
      <c r="F424" s="5"/>
      <c r="G424" s="5" t="s">
        <v>2184</v>
      </c>
      <c r="H424" s="5" t="s">
        <v>244</v>
      </c>
      <c r="I424" s="44">
        <v>44596.0</v>
      </c>
      <c r="J424" s="150">
        <v>0.48193287037037036</v>
      </c>
      <c r="K424" s="19">
        <v>1.0</v>
      </c>
      <c r="L424" s="10" t="b">
        <v>1</v>
      </c>
      <c r="M424" s="5" t="s">
        <v>2484</v>
      </c>
      <c r="N424" s="5" t="s">
        <v>247</v>
      </c>
      <c r="O424" s="5"/>
      <c r="P424" s="110" t="b">
        <f t="shared" si="1"/>
        <v>0</v>
      </c>
      <c r="Q424" s="110" t="b">
        <f>IF(COUNTIF(RAW_APS!$A$2:$A815,A424)=0,TRUE,FALSE)</f>
        <v>0</v>
      </c>
      <c r="R424" s="241" t="b">
        <f t="shared" si="2"/>
        <v>0</v>
      </c>
      <c r="U424" s="112" t="str">
        <f t="shared" si="3"/>
        <v/>
      </c>
      <c r="V424" s="60"/>
      <c r="W424" s="60"/>
      <c r="X424" s="60"/>
      <c r="Y424" s="60"/>
      <c r="Z424" s="210"/>
      <c r="AA424" s="112" t="str">
        <f t="shared" si="4"/>
        <v>MA1257</v>
      </c>
      <c r="AB424" s="112" t="str">
        <f t="shared" si="5"/>
        <v/>
      </c>
      <c r="AC424" s="112" t="str">
        <f t="shared" si="6"/>
        <v/>
      </c>
      <c r="AD424" s="5"/>
      <c r="AE424" s="5"/>
    </row>
    <row r="425">
      <c r="A425" s="5" t="s">
        <v>1873</v>
      </c>
      <c r="B425" s="44">
        <v>44623.0</v>
      </c>
      <c r="C425" s="150">
        <v>0.32719907407407406</v>
      </c>
      <c r="D425" s="5"/>
      <c r="E425" s="5"/>
      <c r="F425" s="5"/>
      <c r="G425" s="5" t="s">
        <v>2184</v>
      </c>
      <c r="H425" s="5" t="s">
        <v>244</v>
      </c>
      <c r="I425" s="44">
        <v>44623.0</v>
      </c>
      <c r="J425" s="150">
        <v>0.4605902777777778</v>
      </c>
      <c r="K425" s="19">
        <v>0.0</v>
      </c>
      <c r="L425" s="10" t="b">
        <v>0</v>
      </c>
      <c r="M425" s="5" t="s">
        <v>2468</v>
      </c>
      <c r="N425" s="5" t="s">
        <v>247</v>
      </c>
      <c r="O425" s="5"/>
      <c r="P425" s="110" t="b">
        <f t="shared" si="1"/>
        <v>1</v>
      </c>
      <c r="Q425" s="110" t="b">
        <f>IF(COUNTIF(RAW_APS!$A$2:$A815,A425)=0,TRUE,FALSE)</f>
        <v>1</v>
      </c>
      <c r="R425" s="241" t="b">
        <f t="shared" si="2"/>
        <v>0</v>
      </c>
      <c r="U425" s="112" t="str">
        <f t="shared" si="3"/>
        <v/>
      </c>
      <c r="V425" s="51"/>
      <c r="W425" s="51"/>
      <c r="X425" s="51"/>
      <c r="Y425" s="51"/>
      <c r="Z425" s="210"/>
      <c r="AA425" s="112" t="str">
        <f t="shared" si="4"/>
        <v>MA1258</v>
      </c>
      <c r="AB425" s="112" t="str">
        <f t="shared" si="5"/>
        <v/>
      </c>
      <c r="AC425" s="112" t="str">
        <f t="shared" si="6"/>
        <v/>
      </c>
      <c r="AD425" s="5"/>
      <c r="AE425" s="5"/>
    </row>
    <row r="426">
      <c r="A426" s="5" t="s">
        <v>1257</v>
      </c>
      <c r="B426" s="44">
        <v>44607.0</v>
      </c>
      <c r="C426" s="150">
        <v>0.31958333333333333</v>
      </c>
      <c r="D426" s="5"/>
      <c r="E426" s="5"/>
      <c r="F426" s="5"/>
      <c r="G426" s="5" t="s">
        <v>2184</v>
      </c>
      <c r="H426" s="5" t="s">
        <v>244</v>
      </c>
      <c r="I426" s="44">
        <v>44607.0</v>
      </c>
      <c r="J426" s="150">
        <v>0.5868055555555556</v>
      </c>
      <c r="K426" s="19">
        <v>1.0</v>
      </c>
      <c r="L426" s="10" t="b">
        <v>1</v>
      </c>
      <c r="M426" s="5" t="s">
        <v>2479</v>
      </c>
      <c r="N426" s="5" t="s">
        <v>247</v>
      </c>
      <c r="O426" s="5"/>
      <c r="P426" s="110" t="b">
        <f t="shared" si="1"/>
        <v>0</v>
      </c>
      <c r="Q426" s="110" t="b">
        <f>IF(COUNTIF(RAW_APS!$A$2:$A815,A426)=0,TRUE,FALSE)</f>
        <v>0</v>
      </c>
      <c r="R426" s="241" t="b">
        <f t="shared" si="2"/>
        <v>0</v>
      </c>
      <c r="U426" s="112" t="str">
        <f t="shared" si="3"/>
        <v/>
      </c>
      <c r="V426" s="60"/>
      <c r="W426" s="60"/>
      <c r="X426" s="60"/>
      <c r="Y426" s="60"/>
      <c r="Z426" s="210"/>
      <c r="AA426" s="112" t="str">
        <f t="shared" si="4"/>
        <v>MA1259</v>
      </c>
      <c r="AB426" s="112" t="str">
        <f t="shared" si="5"/>
        <v/>
      </c>
      <c r="AC426" s="112" t="str">
        <f t="shared" si="6"/>
        <v/>
      </c>
      <c r="AD426" s="5"/>
      <c r="AE426" s="5"/>
    </row>
    <row r="427">
      <c r="A427" s="5" t="s">
        <v>1259</v>
      </c>
      <c r="B427" s="44">
        <v>44607.0</v>
      </c>
      <c r="C427" s="150">
        <v>0.32024305555555554</v>
      </c>
      <c r="D427" s="5"/>
      <c r="E427" s="5"/>
      <c r="F427" s="5"/>
      <c r="G427" s="5" t="s">
        <v>2184</v>
      </c>
      <c r="H427" s="5" t="s">
        <v>244</v>
      </c>
      <c r="I427" s="44">
        <v>44607.0</v>
      </c>
      <c r="J427" s="150">
        <v>0.5868055555555556</v>
      </c>
      <c r="K427" s="19">
        <v>1.0</v>
      </c>
      <c r="L427" s="10" t="b">
        <v>1</v>
      </c>
      <c r="M427" s="5" t="s">
        <v>2479</v>
      </c>
      <c r="N427" s="5" t="s">
        <v>247</v>
      </c>
      <c r="O427" s="5"/>
      <c r="P427" s="110" t="b">
        <f t="shared" si="1"/>
        <v>0</v>
      </c>
      <c r="Q427" s="110" t="b">
        <f>IF(COUNTIF(RAW_APS!$A$2:$A815,A427)=0,TRUE,FALSE)</f>
        <v>0</v>
      </c>
      <c r="R427" s="241" t="b">
        <f t="shared" si="2"/>
        <v>0</v>
      </c>
      <c r="U427" s="112" t="str">
        <f t="shared" si="3"/>
        <v/>
      </c>
      <c r="V427" s="60"/>
      <c r="W427" s="60"/>
      <c r="X427" s="60"/>
      <c r="Y427" s="60"/>
      <c r="Z427" s="210"/>
      <c r="AA427" s="112" t="str">
        <f t="shared" si="4"/>
        <v>MA1261</v>
      </c>
      <c r="AB427" s="112" t="str">
        <f t="shared" si="5"/>
        <v/>
      </c>
      <c r="AC427" s="112" t="str">
        <f t="shared" si="6"/>
        <v/>
      </c>
      <c r="AD427" s="5"/>
      <c r="AE427" s="5"/>
    </row>
    <row r="428">
      <c r="A428" s="5" t="s">
        <v>1707</v>
      </c>
      <c r="B428" s="44">
        <v>44619.0</v>
      </c>
      <c r="C428" s="150">
        <v>0.3200462962962963</v>
      </c>
      <c r="D428" s="5"/>
      <c r="E428" s="5"/>
      <c r="F428" s="5"/>
      <c r="G428" s="5" t="s">
        <v>2184</v>
      </c>
      <c r="H428" s="5" t="s">
        <v>244</v>
      </c>
      <c r="I428" s="44">
        <v>44621.0</v>
      </c>
      <c r="J428" s="150">
        <v>0.4783449074074074</v>
      </c>
      <c r="K428" s="19">
        <v>1.0</v>
      </c>
      <c r="L428" s="10" t="b">
        <v>1</v>
      </c>
      <c r="M428" s="5" t="s">
        <v>2472</v>
      </c>
      <c r="N428" s="5" t="s">
        <v>247</v>
      </c>
      <c r="O428" s="5"/>
      <c r="P428" s="110" t="b">
        <f t="shared" si="1"/>
        <v>0</v>
      </c>
      <c r="Q428" s="110" t="b">
        <f>IF(COUNTIF(RAW_APS!$A$2:$A815,A428)=0,TRUE,FALSE)</f>
        <v>0</v>
      </c>
      <c r="R428" s="241" t="b">
        <f t="shared" si="2"/>
        <v>0</v>
      </c>
      <c r="U428" s="112" t="str">
        <f t="shared" si="3"/>
        <v/>
      </c>
      <c r="V428" s="60"/>
      <c r="W428" s="60"/>
      <c r="X428" s="60"/>
      <c r="Y428" s="60"/>
      <c r="Z428" s="210"/>
      <c r="AA428" s="112" t="str">
        <f t="shared" si="4"/>
        <v>MA1263</v>
      </c>
      <c r="AB428" s="112" t="str">
        <f t="shared" si="5"/>
        <v/>
      </c>
      <c r="AC428" s="112" t="str">
        <f t="shared" si="6"/>
        <v/>
      </c>
      <c r="AD428" s="5"/>
      <c r="AE428" s="5"/>
    </row>
    <row r="429">
      <c r="A429" s="5" t="s">
        <v>1787</v>
      </c>
      <c r="B429" s="44">
        <v>44621.0</v>
      </c>
      <c r="C429" s="150">
        <v>0.31734953703703705</v>
      </c>
      <c r="D429" s="5"/>
      <c r="E429" s="5"/>
      <c r="F429" s="5"/>
      <c r="G429" s="5" t="s">
        <v>2184</v>
      </c>
      <c r="H429" s="5" t="s">
        <v>244</v>
      </c>
      <c r="I429" s="44">
        <v>44627.0</v>
      </c>
      <c r="J429" s="150">
        <v>0.47791666666666666</v>
      </c>
      <c r="K429" s="19">
        <v>1.0</v>
      </c>
      <c r="L429" s="10" t="b">
        <v>1</v>
      </c>
      <c r="M429" s="5" t="s">
        <v>2470</v>
      </c>
      <c r="N429" s="5" t="s">
        <v>247</v>
      </c>
      <c r="O429" s="5"/>
      <c r="P429" s="110" t="b">
        <f t="shared" si="1"/>
        <v>0</v>
      </c>
      <c r="Q429" s="110" t="b">
        <f>IF(COUNTIF(RAW_APS!$A$2:$A815,A429)=0,TRUE,FALSE)</f>
        <v>0</v>
      </c>
      <c r="R429" s="241" t="b">
        <f t="shared" si="2"/>
        <v>0</v>
      </c>
      <c r="U429" s="112" t="str">
        <f t="shared" si="3"/>
        <v/>
      </c>
      <c r="V429" s="60"/>
      <c r="W429" s="60"/>
      <c r="X429" s="60"/>
      <c r="Y429" s="60"/>
      <c r="Z429" s="210"/>
      <c r="AA429" s="112" t="str">
        <f t="shared" si="4"/>
        <v>MA1264</v>
      </c>
      <c r="AB429" s="112" t="str">
        <f t="shared" si="5"/>
        <v/>
      </c>
      <c r="AC429" s="112" t="str">
        <f t="shared" si="6"/>
        <v/>
      </c>
      <c r="AD429" s="5"/>
      <c r="AE429" s="5"/>
    </row>
    <row r="430">
      <c r="A430" s="5" t="s">
        <v>1601</v>
      </c>
      <c r="B430" s="44">
        <v>44615.0</v>
      </c>
      <c r="C430" s="150">
        <v>0.3431828703703704</v>
      </c>
      <c r="D430" s="5"/>
      <c r="E430" s="5"/>
      <c r="F430" s="5"/>
      <c r="G430" s="5" t="s">
        <v>2184</v>
      </c>
      <c r="H430" s="5" t="s">
        <v>52</v>
      </c>
      <c r="I430" s="44">
        <v>44615.0</v>
      </c>
      <c r="J430" s="150">
        <v>0.49125</v>
      </c>
      <c r="K430" s="19">
        <v>1.0</v>
      </c>
      <c r="L430" s="10" t="b">
        <v>1</v>
      </c>
      <c r="M430" s="5" t="s">
        <v>2474</v>
      </c>
      <c r="N430" s="5" t="s">
        <v>247</v>
      </c>
      <c r="O430" s="5"/>
      <c r="P430" s="110" t="b">
        <f t="shared" si="1"/>
        <v>0</v>
      </c>
      <c r="Q430" s="110" t="b">
        <f>IF(COUNTIF(RAW_APS!$A$2:$A815,A430)=0,TRUE,FALSE)</f>
        <v>0</v>
      </c>
      <c r="R430" s="241" t="b">
        <f t="shared" si="2"/>
        <v>0</v>
      </c>
      <c r="U430" s="112" t="str">
        <f t="shared" si="3"/>
        <v/>
      </c>
      <c r="V430" s="60"/>
      <c r="W430" s="60"/>
      <c r="X430" s="60"/>
      <c r="Y430" s="60"/>
      <c r="Z430" s="210"/>
      <c r="AA430" s="112" t="str">
        <f t="shared" si="4"/>
        <v>MA1267</v>
      </c>
      <c r="AB430" s="112" t="str">
        <f t="shared" si="5"/>
        <v/>
      </c>
      <c r="AC430" s="112" t="str">
        <f t="shared" si="6"/>
        <v/>
      </c>
      <c r="AD430" s="5"/>
      <c r="AE430" s="5"/>
    </row>
    <row r="431">
      <c r="A431" s="5" t="s">
        <v>1821</v>
      </c>
      <c r="B431" s="44">
        <v>44621.0</v>
      </c>
      <c r="C431" s="150">
        <v>0.34618055555555555</v>
      </c>
      <c r="D431" s="5"/>
      <c r="E431" s="5"/>
      <c r="F431" s="5"/>
      <c r="G431" s="5" t="s">
        <v>2184</v>
      </c>
      <c r="H431" s="5" t="s">
        <v>244</v>
      </c>
      <c r="I431" s="44">
        <v>44627.0</v>
      </c>
      <c r="J431" s="150">
        <v>0.47792824074074075</v>
      </c>
      <c r="K431" s="19">
        <v>1.0</v>
      </c>
      <c r="L431" s="10" t="b">
        <v>1</v>
      </c>
      <c r="M431" s="5" t="s">
        <v>2470</v>
      </c>
      <c r="N431" s="5" t="s">
        <v>247</v>
      </c>
      <c r="O431" s="5"/>
      <c r="P431" s="110" t="b">
        <f t="shared" si="1"/>
        <v>0</v>
      </c>
      <c r="Q431" s="110" t="b">
        <f>IF(COUNTIF(RAW_APS!$A$2:$A815,A431)=0,TRUE,FALSE)</f>
        <v>0</v>
      </c>
      <c r="R431" s="241" t="b">
        <f t="shared" si="2"/>
        <v>0</v>
      </c>
      <c r="U431" s="112" t="str">
        <f t="shared" si="3"/>
        <v/>
      </c>
      <c r="V431" s="60"/>
      <c r="W431" s="60"/>
      <c r="X431" s="60"/>
      <c r="Y431" s="60"/>
      <c r="Z431" s="210"/>
      <c r="AA431" s="112" t="str">
        <f t="shared" si="4"/>
        <v>MA1269</v>
      </c>
      <c r="AB431" s="112" t="str">
        <f t="shared" si="5"/>
        <v/>
      </c>
      <c r="AC431" s="112" t="str">
        <f t="shared" si="6"/>
        <v/>
      </c>
      <c r="AD431" s="5"/>
      <c r="AE431" s="5"/>
    </row>
    <row r="432">
      <c r="A432" s="5" t="s">
        <v>1969</v>
      </c>
      <c r="B432" s="44">
        <v>44625.0</v>
      </c>
      <c r="C432" s="150">
        <v>0.3943171296296296</v>
      </c>
      <c r="D432" s="5"/>
      <c r="E432" s="5"/>
      <c r="F432" s="5"/>
      <c r="G432" s="5" t="s">
        <v>2184</v>
      </c>
      <c r="H432" s="5" t="s">
        <v>244</v>
      </c>
      <c r="I432" s="44">
        <v>44625.0</v>
      </c>
      <c r="J432" s="150">
        <v>0.48975694444444445</v>
      </c>
      <c r="K432" s="19">
        <v>1.0</v>
      </c>
      <c r="L432" s="10" t="b">
        <v>1</v>
      </c>
      <c r="M432" s="5" t="s">
        <v>2467</v>
      </c>
      <c r="N432" s="5" t="s">
        <v>247</v>
      </c>
      <c r="O432" s="5"/>
      <c r="P432" s="110" t="b">
        <f t="shared" si="1"/>
        <v>0</v>
      </c>
      <c r="Q432" s="110" t="b">
        <f>IF(COUNTIF(RAW_APS!$A$2:$A815,A432)=0,TRUE,FALSE)</f>
        <v>0</v>
      </c>
      <c r="R432" s="241" t="b">
        <f t="shared" si="2"/>
        <v>0</v>
      </c>
      <c r="U432" s="112" t="str">
        <f t="shared" si="3"/>
        <v/>
      </c>
      <c r="V432" s="60"/>
      <c r="W432" s="60"/>
      <c r="X432" s="60"/>
      <c r="Y432" s="60"/>
      <c r="Z432" s="210"/>
      <c r="AA432" s="112" t="str">
        <f t="shared" si="4"/>
        <v>MA1270</v>
      </c>
      <c r="AB432" s="112" t="str">
        <f t="shared" si="5"/>
        <v/>
      </c>
      <c r="AC432" s="112" t="str">
        <f t="shared" si="6"/>
        <v/>
      </c>
      <c r="AD432" s="5"/>
      <c r="AE432" s="5"/>
    </row>
    <row r="433">
      <c r="A433" s="5" t="s">
        <v>1519</v>
      </c>
      <c r="B433" s="44">
        <v>44613.0</v>
      </c>
      <c r="C433" s="150">
        <v>0.3198611111111111</v>
      </c>
      <c r="D433" s="5"/>
      <c r="E433" s="5"/>
      <c r="F433" s="5"/>
      <c r="G433" s="5" t="s">
        <v>2184</v>
      </c>
      <c r="H433" s="5" t="s">
        <v>244</v>
      </c>
      <c r="I433" s="44">
        <v>44613.0</v>
      </c>
      <c r="J433" s="150">
        <v>0.4694097222222222</v>
      </c>
      <c r="K433" s="19">
        <v>1.0</v>
      </c>
      <c r="L433" s="10" t="b">
        <v>1</v>
      </c>
      <c r="M433" s="5" t="s">
        <v>2476</v>
      </c>
      <c r="N433" s="5" t="s">
        <v>247</v>
      </c>
      <c r="O433" s="5"/>
      <c r="P433" s="110" t="b">
        <f t="shared" si="1"/>
        <v>0</v>
      </c>
      <c r="Q433" s="110" t="b">
        <f>IF(COUNTIF(RAW_APS!$A$2:$A815,A433)=0,TRUE,FALSE)</f>
        <v>0</v>
      </c>
      <c r="R433" s="241" t="b">
        <f t="shared" si="2"/>
        <v>0</v>
      </c>
      <c r="U433" s="112" t="str">
        <f t="shared" si="3"/>
        <v/>
      </c>
      <c r="V433" s="60"/>
      <c r="W433" s="60"/>
      <c r="X433" s="60"/>
      <c r="Y433" s="60"/>
      <c r="Z433" s="210"/>
      <c r="AA433" s="112" t="str">
        <f t="shared" si="4"/>
        <v>MA1271</v>
      </c>
      <c r="AB433" s="112" t="str">
        <f t="shared" si="5"/>
        <v/>
      </c>
      <c r="AC433" s="112" t="str">
        <f t="shared" si="6"/>
        <v/>
      </c>
      <c r="AD433" s="5"/>
      <c r="AE433" s="5"/>
    </row>
    <row r="434">
      <c r="A434" s="5" t="s">
        <v>1941</v>
      </c>
      <c r="B434" s="44">
        <v>44625.0</v>
      </c>
      <c r="C434" s="150">
        <v>0.31592592592592594</v>
      </c>
      <c r="D434" s="5"/>
      <c r="E434" s="5"/>
      <c r="F434" s="5"/>
      <c r="G434" s="5" t="s">
        <v>2184</v>
      </c>
      <c r="H434" s="5" t="s">
        <v>244</v>
      </c>
      <c r="I434" s="44">
        <v>44625.0</v>
      </c>
      <c r="J434" s="150">
        <v>0.48975694444444445</v>
      </c>
      <c r="K434" s="19">
        <v>1.0</v>
      </c>
      <c r="L434" s="10" t="b">
        <v>1</v>
      </c>
      <c r="M434" s="5" t="s">
        <v>2467</v>
      </c>
      <c r="N434" s="5" t="s">
        <v>247</v>
      </c>
      <c r="O434" s="5"/>
      <c r="P434" s="110" t="b">
        <f t="shared" si="1"/>
        <v>0</v>
      </c>
      <c r="Q434" s="110" t="b">
        <f>IF(COUNTIF(RAW_APS!$A$2:$A815,A434)=0,TRUE,FALSE)</f>
        <v>0</v>
      </c>
      <c r="R434" s="241" t="b">
        <f t="shared" si="2"/>
        <v>0</v>
      </c>
      <c r="U434" s="112" t="str">
        <f t="shared" si="3"/>
        <v/>
      </c>
      <c r="V434" s="60"/>
      <c r="W434" s="60"/>
      <c r="X434" s="60"/>
      <c r="Y434" s="60"/>
      <c r="Z434" s="210"/>
      <c r="AA434" s="112" t="str">
        <f t="shared" si="4"/>
        <v>MA1272</v>
      </c>
      <c r="AB434" s="112" t="str">
        <f t="shared" si="5"/>
        <v/>
      </c>
      <c r="AC434" s="112" t="str">
        <f t="shared" si="6"/>
        <v/>
      </c>
      <c r="AD434" s="5"/>
      <c r="AE434" s="5"/>
    </row>
    <row r="435">
      <c r="A435" s="5" t="s">
        <v>830</v>
      </c>
      <c r="B435" s="44">
        <v>44579.0</v>
      </c>
      <c r="C435" s="150">
        <v>0.3112847222222222</v>
      </c>
      <c r="D435" s="5"/>
      <c r="E435" s="5"/>
      <c r="F435" s="5"/>
      <c r="G435" s="5" t="s">
        <v>2184</v>
      </c>
      <c r="H435" s="5" t="s">
        <v>63</v>
      </c>
      <c r="I435" s="44">
        <v>44579.0</v>
      </c>
      <c r="J435" s="150">
        <v>0.5014930555555556</v>
      </c>
      <c r="K435" s="19">
        <v>1.0</v>
      </c>
      <c r="L435" s="10" t="b">
        <v>1</v>
      </c>
      <c r="M435" s="5"/>
      <c r="N435" s="5" t="s">
        <v>247</v>
      </c>
      <c r="O435" s="5"/>
      <c r="P435" s="110" t="b">
        <f t="shared" si="1"/>
        <v>0</v>
      </c>
      <c r="Q435" s="110" t="b">
        <f>IF(COUNTIF(RAW_APS!$A$2:$A815,A435)=0,TRUE,FALSE)</f>
        <v>0</v>
      </c>
      <c r="R435" s="241" t="b">
        <f t="shared" si="2"/>
        <v>0</v>
      </c>
      <c r="U435" s="112" t="str">
        <f t="shared" si="3"/>
        <v/>
      </c>
      <c r="V435" s="60"/>
      <c r="W435" s="60"/>
      <c r="X435" s="60"/>
      <c r="Y435" s="60"/>
      <c r="Z435" s="210"/>
      <c r="AA435" s="112" t="str">
        <f t="shared" si="4"/>
        <v>MA1274</v>
      </c>
      <c r="AB435" s="112" t="str">
        <f t="shared" si="5"/>
        <v/>
      </c>
      <c r="AC435" s="112" t="str">
        <f t="shared" si="6"/>
        <v/>
      </c>
      <c r="AD435" s="5"/>
      <c r="AE435" s="5"/>
    </row>
    <row r="436">
      <c r="A436" s="5" t="s">
        <v>2042</v>
      </c>
      <c r="B436" s="44">
        <v>44629.0</v>
      </c>
      <c r="C436" s="150">
        <v>0.31177083333333333</v>
      </c>
      <c r="D436" s="5"/>
      <c r="E436" s="5"/>
      <c r="F436" s="5"/>
      <c r="G436" s="5" t="s">
        <v>2184</v>
      </c>
      <c r="H436" s="5" t="s">
        <v>244</v>
      </c>
      <c r="I436" s="44">
        <v>44629.0</v>
      </c>
      <c r="J436" s="150">
        <v>0.49944444444444447</v>
      </c>
      <c r="K436" s="19">
        <v>1.0</v>
      </c>
      <c r="L436" s="10" t="b">
        <v>1</v>
      </c>
      <c r="M436" s="5" t="s">
        <v>2465</v>
      </c>
      <c r="N436" s="5" t="s">
        <v>247</v>
      </c>
      <c r="O436" s="5"/>
      <c r="P436" s="110" t="b">
        <f t="shared" si="1"/>
        <v>0</v>
      </c>
      <c r="Q436" s="110" t="b">
        <f>IF(COUNTIF(RAW_APS!$A$2:$A815,A436)=0,TRUE,FALSE)</f>
        <v>0</v>
      </c>
      <c r="R436" s="241" t="b">
        <f t="shared" si="2"/>
        <v>0</v>
      </c>
      <c r="U436" s="112" t="str">
        <f t="shared" si="3"/>
        <v/>
      </c>
      <c r="V436" s="60"/>
      <c r="W436" s="60"/>
      <c r="X436" s="60"/>
      <c r="Y436" s="60"/>
      <c r="Z436" s="210"/>
      <c r="AA436" s="112" t="str">
        <f t="shared" si="4"/>
        <v>MA1275</v>
      </c>
      <c r="AB436" s="112" t="str">
        <f t="shared" si="5"/>
        <v/>
      </c>
      <c r="AC436" s="112" t="str">
        <f t="shared" si="6"/>
        <v/>
      </c>
      <c r="AD436" s="5"/>
      <c r="AE436" s="5"/>
    </row>
    <row r="437">
      <c r="A437" s="5" t="s">
        <v>1687</v>
      </c>
      <c r="B437" s="44">
        <v>44617.0</v>
      </c>
      <c r="C437" s="150">
        <v>0.41888888888888887</v>
      </c>
      <c r="D437" s="5"/>
      <c r="E437" s="5"/>
      <c r="F437" s="5"/>
      <c r="G437" s="5" t="s">
        <v>2184</v>
      </c>
      <c r="H437" s="5" t="s">
        <v>244</v>
      </c>
      <c r="I437" s="44">
        <v>44617.0</v>
      </c>
      <c r="J437" s="150">
        <v>0.5033912037037037</v>
      </c>
      <c r="K437" s="19">
        <v>1.0</v>
      </c>
      <c r="L437" s="10" t="b">
        <v>1</v>
      </c>
      <c r="M437" s="5" t="s">
        <v>2473</v>
      </c>
      <c r="N437" s="5" t="s">
        <v>247</v>
      </c>
      <c r="O437" s="5"/>
      <c r="P437" s="110" t="b">
        <f t="shared" si="1"/>
        <v>0</v>
      </c>
      <c r="Q437" s="110" t="b">
        <f>IF(COUNTIF(RAW_APS!$A$2:$A815,A437)=0,TRUE,FALSE)</f>
        <v>0</v>
      </c>
      <c r="R437" s="241" t="b">
        <f t="shared" si="2"/>
        <v>0</v>
      </c>
      <c r="U437" s="112" t="str">
        <f t="shared" si="3"/>
        <v/>
      </c>
      <c r="V437" s="60"/>
      <c r="W437" s="60"/>
      <c r="X437" s="60"/>
      <c r="Y437" s="60"/>
      <c r="Z437" s="210"/>
      <c r="AA437" s="112" t="str">
        <f t="shared" si="4"/>
        <v>MA1276</v>
      </c>
      <c r="AB437" s="112" t="str">
        <f t="shared" si="5"/>
        <v/>
      </c>
      <c r="AC437" s="112" t="str">
        <f t="shared" si="6"/>
        <v/>
      </c>
      <c r="AD437" s="5"/>
      <c r="AE437" s="5"/>
    </row>
    <row r="438">
      <c r="A438" s="5" t="s">
        <v>1046</v>
      </c>
      <c r="B438" s="44">
        <v>44587.0</v>
      </c>
      <c r="C438" s="150">
        <v>0.3502314814814815</v>
      </c>
      <c r="D438" s="5"/>
      <c r="E438" s="5"/>
      <c r="F438" s="5"/>
      <c r="G438" s="5" t="s">
        <v>2184</v>
      </c>
      <c r="H438" s="5" t="s">
        <v>244</v>
      </c>
      <c r="I438" s="44">
        <v>44587.0</v>
      </c>
      <c r="J438" s="150">
        <v>0.5005555555555555</v>
      </c>
      <c r="K438" s="19">
        <v>1.0</v>
      </c>
      <c r="L438" s="10" t="b">
        <v>1</v>
      </c>
      <c r="M438" s="5" t="s">
        <v>2488</v>
      </c>
      <c r="N438" s="5" t="s">
        <v>247</v>
      </c>
      <c r="O438" s="5"/>
      <c r="P438" s="110" t="b">
        <f t="shared" si="1"/>
        <v>0</v>
      </c>
      <c r="Q438" s="110" t="b">
        <f>IF(COUNTIF(RAW_APS!$A$2:$A815,A438)=0,TRUE,FALSE)</f>
        <v>0</v>
      </c>
      <c r="R438" s="241" t="b">
        <f t="shared" si="2"/>
        <v>0</v>
      </c>
      <c r="U438" s="112" t="str">
        <f t="shared" si="3"/>
        <v/>
      </c>
      <c r="V438" s="60"/>
      <c r="W438" s="60"/>
      <c r="X438" s="60"/>
      <c r="Y438" s="60"/>
      <c r="Z438" s="210"/>
      <c r="AA438" s="112" t="str">
        <f t="shared" si="4"/>
        <v>MA1278</v>
      </c>
      <c r="AB438" s="112" t="str">
        <f t="shared" si="5"/>
        <v/>
      </c>
      <c r="AC438" s="112" t="str">
        <f t="shared" si="6"/>
        <v/>
      </c>
      <c r="AD438" s="5"/>
      <c r="AE438" s="5"/>
    </row>
    <row r="439">
      <c r="A439" s="5" t="s">
        <v>445</v>
      </c>
      <c r="B439" s="44">
        <v>44561.0</v>
      </c>
      <c r="C439" s="150">
        <v>0.3527777777777778</v>
      </c>
      <c r="D439" s="5"/>
      <c r="E439" s="5"/>
      <c r="F439" s="5"/>
      <c r="G439" s="5" t="s">
        <v>2184</v>
      </c>
      <c r="H439" s="5" t="s">
        <v>244</v>
      </c>
      <c r="I439" s="44">
        <v>44561.0</v>
      </c>
      <c r="J439" s="150">
        <v>0.44493055555555555</v>
      </c>
      <c r="K439" s="19">
        <v>1.0</v>
      </c>
      <c r="L439" s="10" t="b">
        <v>1</v>
      </c>
      <c r="M439" s="5" t="s">
        <v>2502</v>
      </c>
      <c r="N439" s="5" t="s">
        <v>247</v>
      </c>
      <c r="O439" s="5"/>
      <c r="P439" s="110" t="b">
        <f t="shared" si="1"/>
        <v>0</v>
      </c>
      <c r="Q439" s="110" t="b">
        <f>IF(COUNTIF(RAW_APS!$A$2:$A815,A439)=0,TRUE,FALSE)</f>
        <v>0</v>
      </c>
      <c r="R439" s="241" t="b">
        <f t="shared" si="2"/>
        <v>0</v>
      </c>
      <c r="U439" s="112" t="str">
        <f t="shared" si="3"/>
        <v/>
      </c>
      <c r="V439" s="60"/>
      <c r="W439" s="60"/>
      <c r="X439" s="60"/>
      <c r="Y439" s="60"/>
      <c r="Z439" s="210"/>
      <c r="AA439" s="112" t="str">
        <f t="shared" si="4"/>
        <v>MA1280</v>
      </c>
      <c r="AB439" s="112" t="str">
        <f t="shared" si="5"/>
        <v/>
      </c>
      <c r="AC439" s="112" t="str">
        <f t="shared" si="6"/>
        <v/>
      </c>
      <c r="AD439" s="5"/>
      <c r="AE439" s="5"/>
    </row>
    <row r="440">
      <c r="A440" s="5" t="s">
        <v>1777</v>
      </c>
      <c r="B440" s="44">
        <v>44621.0</v>
      </c>
      <c r="C440" s="150">
        <v>0.3096875</v>
      </c>
      <c r="D440" s="5"/>
      <c r="E440" s="5"/>
      <c r="F440" s="5"/>
      <c r="G440" s="5" t="s">
        <v>2184</v>
      </c>
      <c r="H440" s="5" t="s">
        <v>244</v>
      </c>
      <c r="I440" s="44">
        <v>44627.0</v>
      </c>
      <c r="J440" s="150">
        <v>0.47791666666666666</v>
      </c>
      <c r="K440" s="19">
        <v>1.0</v>
      </c>
      <c r="L440" s="10" t="b">
        <v>1</v>
      </c>
      <c r="M440" s="5" t="s">
        <v>2470</v>
      </c>
      <c r="N440" s="5" t="s">
        <v>247</v>
      </c>
      <c r="O440" s="5"/>
      <c r="P440" s="110" t="b">
        <f t="shared" si="1"/>
        <v>0</v>
      </c>
      <c r="Q440" s="110" t="b">
        <f>IF(COUNTIF(RAW_APS!$A$2:$A815,A440)=0,TRUE,FALSE)</f>
        <v>0</v>
      </c>
      <c r="R440" s="241" t="b">
        <f t="shared" si="2"/>
        <v>0</v>
      </c>
      <c r="U440" s="112" t="str">
        <f t="shared" si="3"/>
        <v/>
      </c>
      <c r="V440" s="60"/>
      <c r="W440" s="60"/>
      <c r="X440" s="60"/>
      <c r="Y440" s="60"/>
      <c r="Z440" s="210"/>
      <c r="AA440" s="112" t="str">
        <f t="shared" si="4"/>
        <v>MA1282</v>
      </c>
      <c r="AB440" s="112" t="str">
        <f t="shared" si="5"/>
        <v/>
      </c>
      <c r="AC440" s="112" t="str">
        <f t="shared" si="6"/>
        <v/>
      </c>
      <c r="AD440" s="5"/>
      <c r="AE440" s="5"/>
    </row>
    <row r="441">
      <c r="A441" s="5" t="s">
        <v>2002</v>
      </c>
      <c r="B441" s="44">
        <v>44627.0</v>
      </c>
      <c r="C441" s="150">
        <v>0.3199768518518519</v>
      </c>
      <c r="D441" s="5"/>
      <c r="E441" s="5"/>
      <c r="F441" s="5"/>
      <c r="G441" s="5" t="s">
        <v>2184</v>
      </c>
      <c r="H441" s="5" t="s">
        <v>244</v>
      </c>
      <c r="I441" s="44">
        <v>44627.0</v>
      </c>
      <c r="J441" s="150">
        <v>0.4778935185185185</v>
      </c>
      <c r="K441" s="19">
        <v>1.0</v>
      </c>
      <c r="L441" s="10" t="b">
        <v>1</v>
      </c>
      <c r="M441" s="5" t="s">
        <v>2466</v>
      </c>
      <c r="N441" s="5" t="s">
        <v>247</v>
      </c>
      <c r="O441" s="5"/>
      <c r="P441" s="110" t="b">
        <f t="shared" si="1"/>
        <v>0</v>
      </c>
      <c r="Q441" s="110" t="b">
        <f>IF(COUNTIF(RAW_APS!$A$2:$A815,A441)=0,TRUE,FALSE)</f>
        <v>0</v>
      </c>
      <c r="R441" s="241" t="b">
        <f t="shared" si="2"/>
        <v>0</v>
      </c>
      <c r="U441" s="112" t="str">
        <f t="shared" si="3"/>
        <v/>
      </c>
      <c r="V441" s="60"/>
      <c r="W441" s="60"/>
      <c r="X441" s="60"/>
      <c r="Y441" s="60"/>
      <c r="Z441" s="210"/>
      <c r="AA441" s="112" t="str">
        <f t="shared" si="4"/>
        <v>MA1284</v>
      </c>
      <c r="AB441" s="112" t="str">
        <f t="shared" si="5"/>
        <v/>
      </c>
      <c r="AC441" s="112" t="str">
        <f t="shared" si="6"/>
        <v/>
      </c>
      <c r="AD441" s="5"/>
      <c r="AE441" s="5"/>
    </row>
    <row r="442">
      <c r="A442" s="5" t="s">
        <v>1734</v>
      </c>
      <c r="B442" s="44">
        <v>44619.0</v>
      </c>
      <c r="C442" s="150">
        <v>0.35575231481481484</v>
      </c>
      <c r="D442" s="5"/>
      <c r="E442" s="5"/>
      <c r="F442" s="5"/>
      <c r="G442" s="5" t="s">
        <v>2184</v>
      </c>
      <c r="H442" s="5" t="s">
        <v>244</v>
      </c>
      <c r="I442" s="44">
        <v>44621.0</v>
      </c>
      <c r="J442" s="150">
        <v>0.47835648148148147</v>
      </c>
      <c r="K442" s="19">
        <v>1.0</v>
      </c>
      <c r="L442" s="10" t="b">
        <v>1</v>
      </c>
      <c r="M442" s="5" t="s">
        <v>2472</v>
      </c>
      <c r="N442" s="5" t="s">
        <v>247</v>
      </c>
      <c r="O442" s="5"/>
      <c r="P442" s="110" t="b">
        <f t="shared" si="1"/>
        <v>0</v>
      </c>
      <c r="Q442" s="110" t="b">
        <f>IF(COUNTIF(RAW_APS!$A$2:$A815,A442)=0,TRUE,FALSE)</f>
        <v>0</v>
      </c>
      <c r="R442" s="241" t="b">
        <f t="shared" si="2"/>
        <v>0</v>
      </c>
      <c r="U442" s="112" t="str">
        <f t="shared" si="3"/>
        <v/>
      </c>
      <c r="V442" s="60"/>
      <c r="W442" s="60"/>
      <c r="X442" s="60"/>
      <c r="Y442" s="60"/>
      <c r="Z442" s="210"/>
      <c r="AA442" s="112" t="str">
        <f t="shared" si="4"/>
        <v>MA1288</v>
      </c>
      <c r="AB442" s="112" t="str">
        <f t="shared" si="5"/>
        <v/>
      </c>
      <c r="AC442" s="112" t="str">
        <f t="shared" si="6"/>
        <v/>
      </c>
      <c r="AD442" s="5"/>
      <c r="AE442" s="5"/>
    </row>
    <row r="443">
      <c r="A443" s="5" t="s">
        <v>1830</v>
      </c>
      <c r="B443" s="44">
        <v>44621.0</v>
      </c>
      <c r="C443" s="150">
        <v>0.46814814814814815</v>
      </c>
      <c r="D443" s="5"/>
      <c r="E443" s="5"/>
      <c r="F443" s="5"/>
      <c r="G443" s="5" t="s">
        <v>2184</v>
      </c>
      <c r="H443" s="5" t="s">
        <v>244</v>
      </c>
      <c r="I443" s="44">
        <v>44627.0</v>
      </c>
      <c r="J443" s="150">
        <v>0.4779398148148148</v>
      </c>
      <c r="K443" s="19">
        <v>0.0</v>
      </c>
      <c r="L443" s="10" t="b">
        <v>1</v>
      </c>
      <c r="M443" s="5" t="s">
        <v>2470</v>
      </c>
      <c r="N443" s="5" t="s">
        <v>247</v>
      </c>
      <c r="O443" s="5"/>
      <c r="P443" s="110" t="b">
        <f t="shared" si="1"/>
        <v>1</v>
      </c>
      <c r="Q443" s="110" t="b">
        <f>IF(COUNTIF(RAW_APS!$A$2:$A815,A443)=0,TRUE,FALSE)</f>
        <v>1</v>
      </c>
      <c r="R443" s="241" t="b">
        <f t="shared" si="2"/>
        <v>0</v>
      </c>
      <c r="U443" s="112" t="str">
        <f t="shared" si="3"/>
        <v/>
      </c>
      <c r="V443" s="51"/>
      <c r="W443" s="51"/>
      <c r="X443" s="51"/>
      <c r="Y443" s="51"/>
      <c r="Z443" s="210"/>
      <c r="AA443" s="112" t="str">
        <f t="shared" si="4"/>
        <v>MA1293</v>
      </c>
      <c r="AB443" s="112" t="str">
        <f t="shared" si="5"/>
        <v/>
      </c>
      <c r="AC443" s="112" t="str">
        <f t="shared" si="6"/>
        <v/>
      </c>
      <c r="AD443" s="5"/>
      <c r="AE443" s="5"/>
    </row>
    <row r="444">
      <c r="A444" s="5" t="s">
        <v>1961</v>
      </c>
      <c r="B444" s="44">
        <v>44625.0</v>
      </c>
      <c r="C444" s="150">
        <v>0.35530092592592594</v>
      </c>
      <c r="D444" s="5"/>
      <c r="E444" s="5"/>
      <c r="F444" s="5"/>
      <c r="G444" s="5" t="s">
        <v>2184</v>
      </c>
      <c r="H444" s="5" t="s">
        <v>52</v>
      </c>
      <c r="I444" s="44">
        <v>44627.0</v>
      </c>
      <c r="J444" s="150">
        <v>0.4779861111111111</v>
      </c>
      <c r="K444" s="19">
        <v>1.0</v>
      </c>
      <c r="L444" s="10" t="b">
        <v>1</v>
      </c>
      <c r="M444" s="5"/>
      <c r="N444" s="5" t="s">
        <v>247</v>
      </c>
      <c r="O444" s="5"/>
      <c r="P444" s="110" t="b">
        <f t="shared" si="1"/>
        <v>0</v>
      </c>
      <c r="Q444" s="110" t="b">
        <f>IF(COUNTIF(RAW_APS!$A$2:$A815,A444)=0,TRUE,FALSE)</f>
        <v>0</v>
      </c>
      <c r="R444" s="241" t="b">
        <f t="shared" si="2"/>
        <v>0</v>
      </c>
      <c r="U444" s="112" t="str">
        <f t="shared" si="3"/>
        <v/>
      </c>
      <c r="V444" s="60"/>
      <c r="W444" s="60"/>
      <c r="X444" s="60"/>
      <c r="Y444" s="60"/>
      <c r="Z444" s="210"/>
      <c r="AA444" s="112" t="str">
        <f t="shared" si="4"/>
        <v>MA1294</v>
      </c>
      <c r="AB444" s="112" t="str">
        <f t="shared" si="5"/>
        <v/>
      </c>
      <c r="AC444" s="112" t="str">
        <f t="shared" si="6"/>
        <v/>
      </c>
      <c r="AD444" s="5"/>
      <c r="AE444" s="5"/>
    </row>
    <row r="445">
      <c r="A445" s="5" t="s">
        <v>1511</v>
      </c>
      <c r="B445" s="44">
        <v>44613.0</v>
      </c>
      <c r="C445" s="150">
        <v>0.3174652777777778</v>
      </c>
      <c r="D445" s="5"/>
      <c r="E445" s="5"/>
      <c r="F445" s="5"/>
      <c r="G445" s="5" t="s">
        <v>2184</v>
      </c>
      <c r="H445" s="5" t="s">
        <v>244</v>
      </c>
      <c r="I445" s="44">
        <v>44613.0</v>
      </c>
      <c r="J445" s="150">
        <v>0.4693981481481482</v>
      </c>
      <c r="K445" s="19">
        <v>1.0</v>
      </c>
      <c r="L445" s="10" t="b">
        <v>1</v>
      </c>
      <c r="M445" s="5" t="s">
        <v>2476</v>
      </c>
      <c r="N445" s="5" t="s">
        <v>247</v>
      </c>
      <c r="O445" s="5"/>
      <c r="P445" s="110" t="b">
        <f t="shared" si="1"/>
        <v>0</v>
      </c>
      <c r="Q445" s="110" t="b">
        <f>IF(COUNTIF(RAW_APS!$A$2:$A815,A445)=0,TRUE,FALSE)</f>
        <v>0</v>
      </c>
      <c r="R445" s="241" t="b">
        <f t="shared" si="2"/>
        <v>0</v>
      </c>
      <c r="U445" s="112" t="str">
        <f t="shared" si="3"/>
        <v/>
      </c>
      <c r="V445" s="60"/>
      <c r="W445" s="60"/>
      <c r="X445" s="60"/>
      <c r="Y445" s="60"/>
      <c r="Z445" s="210"/>
      <c r="AA445" s="112" t="str">
        <f t="shared" si="4"/>
        <v>MA1295</v>
      </c>
      <c r="AB445" s="112" t="str">
        <f t="shared" si="5"/>
        <v/>
      </c>
      <c r="AC445" s="112" t="str">
        <f t="shared" si="6"/>
        <v/>
      </c>
      <c r="AD445" s="5"/>
      <c r="AE445" s="5"/>
    </row>
    <row r="446">
      <c r="A446" s="5" t="s">
        <v>1433</v>
      </c>
      <c r="B446" s="44">
        <v>44611.0</v>
      </c>
      <c r="C446" s="150">
        <v>0.3173611111111111</v>
      </c>
      <c r="D446" s="5"/>
      <c r="E446" s="5"/>
      <c r="F446" s="5"/>
      <c r="G446" s="5" t="s">
        <v>2184</v>
      </c>
      <c r="H446" s="5" t="s">
        <v>244</v>
      </c>
      <c r="I446" s="44">
        <v>44611.0</v>
      </c>
      <c r="J446" s="150">
        <v>0.4882523148148148</v>
      </c>
      <c r="K446" s="19">
        <v>1.0</v>
      </c>
      <c r="L446" s="10" t="b">
        <v>1</v>
      </c>
      <c r="M446" s="5" t="s">
        <v>2477</v>
      </c>
      <c r="N446" s="5" t="s">
        <v>247</v>
      </c>
      <c r="O446" s="5"/>
      <c r="P446" s="110" t="b">
        <f t="shared" si="1"/>
        <v>0</v>
      </c>
      <c r="Q446" s="110" t="b">
        <f>IF(COUNTIF(RAW_APS!$A$2:$A815,A446)=0,TRUE,FALSE)</f>
        <v>0</v>
      </c>
      <c r="R446" s="241" t="b">
        <f t="shared" si="2"/>
        <v>0</v>
      </c>
      <c r="U446" s="112" t="str">
        <f t="shared" si="3"/>
        <v/>
      </c>
      <c r="V446" s="60"/>
      <c r="W446" s="60"/>
      <c r="X446" s="60"/>
      <c r="Y446" s="60"/>
      <c r="Z446" s="210"/>
      <c r="AA446" s="112" t="str">
        <f t="shared" si="4"/>
        <v>MA1296</v>
      </c>
      <c r="AB446" s="112" t="str">
        <f t="shared" si="5"/>
        <v/>
      </c>
      <c r="AC446" s="112" t="str">
        <f t="shared" si="6"/>
        <v/>
      </c>
      <c r="AD446" s="5"/>
      <c r="AE446" s="5"/>
    </row>
    <row r="447">
      <c r="A447" s="5" t="s">
        <v>422</v>
      </c>
      <c r="B447" s="44">
        <v>44559.0</v>
      </c>
      <c r="C447" s="150">
        <v>0.35658564814814814</v>
      </c>
      <c r="D447" s="5"/>
      <c r="E447" s="5"/>
      <c r="F447" s="5"/>
      <c r="G447" s="5" t="s">
        <v>2184</v>
      </c>
      <c r="H447" s="5" t="s">
        <v>244</v>
      </c>
      <c r="I447" s="44">
        <v>44559.0</v>
      </c>
      <c r="J447" s="150">
        <v>0.4366319444444444</v>
      </c>
      <c r="K447" s="19">
        <v>1.0</v>
      </c>
      <c r="L447" s="10" t="b">
        <v>1</v>
      </c>
      <c r="M447" s="5" t="s">
        <v>2503</v>
      </c>
      <c r="N447" s="5" t="s">
        <v>247</v>
      </c>
      <c r="O447" s="5"/>
      <c r="P447" s="110" t="b">
        <f t="shared" si="1"/>
        <v>0</v>
      </c>
      <c r="Q447" s="110" t="b">
        <f>IF(COUNTIF(RAW_APS!$A$2:$A815,A447)=0,TRUE,FALSE)</f>
        <v>0</v>
      </c>
      <c r="R447" s="241" t="b">
        <f t="shared" si="2"/>
        <v>0</v>
      </c>
      <c r="U447" s="112" t="str">
        <f t="shared" si="3"/>
        <v/>
      </c>
      <c r="V447" s="51"/>
      <c r="W447" s="51"/>
      <c r="X447" s="51"/>
      <c r="Y447" s="51"/>
      <c r="Z447" s="210"/>
      <c r="AA447" s="112" t="str">
        <f t="shared" si="4"/>
        <v>MA1299</v>
      </c>
      <c r="AB447" s="112" t="str">
        <f t="shared" si="5"/>
        <v/>
      </c>
      <c r="AC447" s="112" t="str">
        <f t="shared" si="6"/>
        <v/>
      </c>
      <c r="AD447" s="5"/>
      <c r="AE447" s="5"/>
    </row>
    <row r="448">
      <c r="A448" s="5" t="s">
        <v>966</v>
      </c>
      <c r="B448" s="44">
        <v>44582.0</v>
      </c>
      <c r="C448" s="150">
        <v>0.35087962962962965</v>
      </c>
      <c r="D448" s="5"/>
      <c r="E448" s="5"/>
      <c r="F448" s="5"/>
      <c r="G448" s="5" t="s">
        <v>2184</v>
      </c>
      <c r="H448" s="5" t="s">
        <v>244</v>
      </c>
      <c r="I448" s="44">
        <v>44582.0</v>
      </c>
      <c r="J448" s="150">
        <v>0.4884027777777778</v>
      </c>
      <c r="K448" s="19">
        <v>0.0</v>
      </c>
      <c r="L448" s="10" t="b">
        <v>1</v>
      </c>
      <c r="M448" s="5" t="s">
        <v>2490</v>
      </c>
      <c r="N448" s="5" t="s">
        <v>247</v>
      </c>
      <c r="O448" s="5"/>
      <c r="P448" s="110" t="b">
        <f t="shared" si="1"/>
        <v>1</v>
      </c>
      <c r="Q448" s="110" t="b">
        <f>IF(COUNTIF(RAW_APS!$A$2:$A815,A448)=0,TRUE,FALSE)</f>
        <v>1</v>
      </c>
      <c r="R448" s="241" t="b">
        <f t="shared" si="2"/>
        <v>0</v>
      </c>
      <c r="U448" s="112" t="str">
        <f t="shared" si="3"/>
        <v/>
      </c>
      <c r="V448" s="51"/>
      <c r="W448" s="51"/>
      <c r="X448" s="51"/>
      <c r="Y448" s="51"/>
      <c r="Z448" s="210"/>
      <c r="AA448" s="112" t="str">
        <f t="shared" si="4"/>
        <v>MA1300</v>
      </c>
      <c r="AB448" s="112" t="str">
        <f t="shared" si="5"/>
        <v/>
      </c>
      <c r="AC448" s="112" t="str">
        <f t="shared" si="6"/>
        <v/>
      </c>
      <c r="AD448" s="5"/>
      <c r="AE448" s="5"/>
    </row>
    <row r="449">
      <c r="A449" s="5" t="s">
        <v>2094</v>
      </c>
      <c r="B449" s="44">
        <v>44631.0</v>
      </c>
      <c r="C449" s="150">
        <v>0.2694328703703704</v>
      </c>
      <c r="D449" s="5"/>
      <c r="E449" s="5"/>
      <c r="F449" s="5"/>
      <c r="G449" s="5" t="s">
        <v>2184</v>
      </c>
      <c r="H449" s="5" t="s">
        <v>244</v>
      </c>
      <c r="I449" s="44">
        <v>44631.0</v>
      </c>
      <c r="J449" s="150">
        <v>0.4860763888888889</v>
      </c>
      <c r="K449" s="19">
        <v>1.0</v>
      </c>
      <c r="L449" s="10" t="b">
        <v>1</v>
      </c>
      <c r="M449" s="5" t="s">
        <v>2464</v>
      </c>
      <c r="N449" s="5" t="s">
        <v>247</v>
      </c>
      <c r="O449" s="5"/>
      <c r="P449" s="110" t="b">
        <f t="shared" si="1"/>
        <v>0</v>
      </c>
      <c r="Q449" s="110" t="b">
        <f>IF(COUNTIF(RAW_APS!$A$2:$A815,A449)=0,TRUE,FALSE)</f>
        <v>0</v>
      </c>
      <c r="R449" s="241" t="b">
        <f t="shared" si="2"/>
        <v>0</v>
      </c>
      <c r="U449" s="112" t="str">
        <f t="shared" si="3"/>
        <v/>
      </c>
      <c r="V449" s="60"/>
      <c r="W449" s="60"/>
      <c r="X449" s="60"/>
      <c r="Y449" s="60"/>
      <c r="Z449" s="210"/>
      <c r="AA449" s="112" t="str">
        <f t="shared" si="4"/>
        <v>MA1302</v>
      </c>
      <c r="AB449" s="112" t="str">
        <f t="shared" si="5"/>
        <v/>
      </c>
      <c r="AC449" s="112" t="str">
        <f t="shared" si="6"/>
        <v/>
      </c>
      <c r="AD449" s="5"/>
      <c r="AE449" s="5"/>
    </row>
    <row r="450">
      <c r="A450" s="243" t="s">
        <v>1423</v>
      </c>
      <c r="B450" s="244">
        <v>44611.0</v>
      </c>
      <c r="C450" s="245">
        <v>0.3137962962962963</v>
      </c>
      <c r="D450" s="243"/>
      <c r="E450" s="243"/>
      <c r="F450" s="243"/>
      <c r="G450" s="243" t="s">
        <v>2184</v>
      </c>
      <c r="H450" s="243" t="s">
        <v>244</v>
      </c>
      <c r="I450" s="244">
        <v>44611.0</v>
      </c>
      <c r="J450" s="245">
        <v>0.4882523148148148</v>
      </c>
      <c r="K450" s="246">
        <v>0.0</v>
      </c>
      <c r="L450" s="247" t="b">
        <v>1</v>
      </c>
      <c r="M450" s="243" t="s">
        <v>2477</v>
      </c>
      <c r="N450" s="243" t="s">
        <v>247</v>
      </c>
      <c r="O450" s="243"/>
      <c r="P450" s="110" t="b">
        <f t="shared" si="1"/>
        <v>1</v>
      </c>
      <c r="Q450" s="110" t="b">
        <f>IF(COUNTIF(RAW_APS!$A$2:$A815,A450)=0,TRUE,FALSE)</f>
        <v>1</v>
      </c>
      <c r="R450" s="241" t="b">
        <f t="shared" si="2"/>
        <v>0</v>
      </c>
      <c r="S450" s="248"/>
      <c r="T450" s="248"/>
      <c r="U450" s="112" t="str">
        <f t="shared" si="3"/>
        <v/>
      </c>
      <c r="V450" s="249"/>
      <c r="W450" s="249"/>
      <c r="X450" s="249"/>
      <c r="Y450" s="249"/>
      <c r="Z450" s="210"/>
      <c r="AA450" s="112" t="str">
        <f t="shared" si="4"/>
        <v>MA1303</v>
      </c>
      <c r="AB450" s="112" t="str">
        <f t="shared" si="5"/>
        <v/>
      </c>
      <c r="AC450" s="112" t="str">
        <f t="shared" si="6"/>
        <v/>
      </c>
      <c r="AD450" s="5"/>
      <c r="AE450" s="5"/>
    </row>
    <row r="451">
      <c r="A451" s="5" t="s">
        <v>1819</v>
      </c>
      <c r="B451" s="44">
        <v>44621.0</v>
      </c>
      <c r="C451" s="150">
        <v>0.3439699074074074</v>
      </c>
      <c r="D451" s="5"/>
      <c r="E451" s="5"/>
      <c r="F451" s="5"/>
      <c r="G451" s="5" t="s">
        <v>2184</v>
      </c>
      <c r="H451" s="5" t="s">
        <v>244</v>
      </c>
      <c r="I451" s="44">
        <v>44627.0</v>
      </c>
      <c r="J451" s="150">
        <v>0.47792824074074075</v>
      </c>
      <c r="K451" s="19">
        <v>1.0</v>
      </c>
      <c r="L451" s="10" t="b">
        <v>1</v>
      </c>
      <c r="M451" s="5" t="s">
        <v>2470</v>
      </c>
      <c r="N451" s="5" t="s">
        <v>247</v>
      </c>
      <c r="O451" s="5"/>
      <c r="P451" s="110" t="b">
        <f t="shared" si="1"/>
        <v>0</v>
      </c>
      <c r="Q451" s="110" t="b">
        <f>IF(COUNTIF(RAW_APS!$A$2:$A815,A451)=0,TRUE,FALSE)</f>
        <v>0</v>
      </c>
      <c r="R451" s="241" t="b">
        <f t="shared" si="2"/>
        <v>0</v>
      </c>
      <c r="U451" s="112" t="str">
        <f t="shared" si="3"/>
        <v/>
      </c>
      <c r="V451" s="60"/>
      <c r="W451" s="60"/>
      <c r="X451" s="60"/>
      <c r="Y451" s="60"/>
      <c r="Z451" s="210"/>
      <c r="AA451" s="112" t="str">
        <f t="shared" si="4"/>
        <v>MA1304</v>
      </c>
      <c r="AB451" s="112" t="str">
        <f t="shared" si="5"/>
        <v/>
      </c>
      <c r="AC451" s="112" t="str">
        <f t="shared" si="6"/>
        <v/>
      </c>
      <c r="AD451" s="5"/>
      <c r="AE451" s="5"/>
    </row>
    <row r="452">
      <c r="A452" s="5" t="s">
        <v>1890</v>
      </c>
      <c r="B452" s="44">
        <v>44623.0</v>
      </c>
      <c r="C452" s="150">
        <v>0.3910416666666667</v>
      </c>
      <c r="D452" s="5"/>
      <c r="E452" s="5"/>
      <c r="F452" s="5"/>
      <c r="G452" s="5" t="s">
        <v>2184</v>
      </c>
      <c r="H452" s="5" t="s">
        <v>52</v>
      </c>
      <c r="I452" s="44">
        <v>44623.0</v>
      </c>
      <c r="J452" s="150">
        <v>0.46038194444444447</v>
      </c>
      <c r="K452" s="19">
        <v>0.0</v>
      </c>
      <c r="L452" s="10" t="b">
        <v>0</v>
      </c>
      <c r="M452" s="5" t="s">
        <v>2468</v>
      </c>
      <c r="N452" s="5" t="s">
        <v>247</v>
      </c>
      <c r="O452" s="5"/>
      <c r="P452" s="110" t="b">
        <f t="shared" si="1"/>
        <v>1</v>
      </c>
      <c r="Q452" s="110" t="b">
        <f>IF(COUNTIF(RAW_APS!$A$2:$A815,A452)=0,TRUE,FALSE)</f>
        <v>1</v>
      </c>
      <c r="R452" s="241" t="b">
        <f t="shared" si="2"/>
        <v>0</v>
      </c>
      <c r="U452" s="112" t="str">
        <f t="shared" si="3"/>
        <v/>
      </c>
      <c r="V452" s="51"/>
      <c r="W452" s="51"/>
      <c r="X452" s="51"/>
      <c r="Y452" s="51"/>
      <c r="Z452" s="210"/>
      <c r="AA452" s="112" t="str">
        <f t="shared" si="4"/>
        <v>MA1305</v>
      </c>
      <c r="AB452" s="112" t="str">
        <f t="shared" si="5"/>
        <v/>
      </c>
      <c r="AC452" s="112" t="str">
        <f t="shared" si="6"/>
        <v/>
      </c>
      <c r="AD452" s="5"/>
      <c r="AE452" s="5"/>
    </row>
    <row r="453">
      <c r="A453" s="5" t="s">
        <v>1887</v>
      </c>
      <c r="B453" s="44">
        <v>44623.0</v>
      </c>
      <c r="C453" s="150">
        <v>0.3907638888888889</v>
      </c>
      <c r="D453" s="5"/>
      <c r="E453" s="5"/>
      <c r="F453" s="5"/>
      <c r="G453" s="5" t="s">
        <v>2184</v>
      </c>
      <c r="H453" s="5" t="s">
        <v>244</v>
      </c>
      <c r="I453" s="44">
        <v>44623.0</v>
      </c>
      <c r="J453" s="150">
        <v>0.4606018518518519</v>
      </c>
      <c r="K453" s="19">
        <v>0.0</v>
      </c>
      <c r="L453" s="10" t="b">
        <v>0</v>
      </c>
      <c r="M453" s="5" t="s">
        <v>2468</v>
      </c>
      <c r="N453" s="5" t="s">
        <v>247</v>
      </c>
      <c r="O453" s="5"/>
      <c r="P453" s="110" t="b">
        <f t="shared" si="1"/>
        <v>1</v>
      </c>
      <c r="Q453" s="110" t="b">
        <f>IF(COUNTIF(RAW_APS!$A$2:$A815,A453)=0,TRUE,FALSE)</f>
        <v>1</v>
      </c>
      <c r="R453" s="241" t="b">
        <f t="shared" si="2"/>
        <v>0</v>
      </c>
      <c r="U453" s="112" t="str">
        <f t="shared" si="3"/>
        <v/>
      </c>
      <c r="V453" s="51"/>
      <c r="W453" s="51"/>
      <c r="X453" s="51"/>
      <c r="Y453" s="51"/>
      <c r="Z453" s="210"/>
      <c r="AA453" s="112" t="str">
        <f t="shared" si="4"/>
        <v>MA1307</v>
      </c>
      <c r="AB453" s="112" t="str">
        <f t="shared" si="5"/>
        <v/>
      </c>
      <c r="AC453" s="112" t="str">
        <f t="shared" si="6"/>
        <v/>
      </c>
      <c r="AD453" s="5"/>
      <c r="AE453" s="5"/>
    </row>
    <row r="454">
      <c r="A454" s="5" t="s">
        <v>1967</v>
      </c>
      <c r="B454" s="44">
        <v>44625.0</v>
      </c>
      <c r="C454" s="150">
        <v>0.3939930555555556</v>
      </c>
      <c r="D454" s="5"/>
      <c r="E454" s="5"/>
      <c r="F454" s="5"/>
      <c r="G454" s="5" t="s">
        <v>2184</v>
      </c>
      <c r="H454" s="5" t="s">
        <v>244</v>
      </c>
      <c r="I454" s="44">
        <v>44625.0</v>
      </c>
      <c r="J454" s="150">
        <v>0.48998842592592595</v>
      </c>
      <c r="K454" s="19">
        <v>1.0</v>
      </c>
      <c r="L454" s="10" t="b">
        <v>1</v>
      </c>
      <c r="M454" s="5"/>
      <c r="N454" s="5" t="s">
        <v>247</v>
      </c>
      <c r="O454" s="5"/>
      <c r="P454" s="110" t="b">
        <f t="shared" si="1"/>
        <v>0</v>
      </c>
      <c r="Q454" s="110" t="b">
        <f>IF(COUNTIF(RAW_APS!$A$2:$A815,A454)=0,TRUE,FALSE)</f>
        <v>0</v>
      </c>
      <c r="R454" s="241" t="b">
        <f t="shared" si="2"/>
        <v>0</v>
      </c>
      <c r="U454" s="112" t="str">
        <f t="shared" si="3"/>
        <v/>
      </c>
      <c r="V454" s="60"/>
      <c r="W454" s="60"/>
      <c r="X454" s="60"/>
      <c r="Y454" s="60"/>
      <c r="Z454" s="210"/>
      <c r="AA454" s="112" t="str">
        <f t="shared" si="4"/>
        <v>MA1308</v>
      </c>
      <c r="AB454" s="112" t="str">
        <f t="shared" si="5"/>
        <v/>
      </c>
      <c r="AC454" s="112" t="str">
        <f t="shared" si="6"/>
        <v/>
      </c>
      <c r="AD454" s="5"/>
      <c r="AE454" s="5"/>
    </row>
    <row r="455">
      <c r="A455" s="5" t="s">
        <v>1509</v>
      </c>
      <c r="B455" s="44">
        <v>44613.0</v>
      </c>
      <c r="C455" s="150">
        <v>0.316724537037037</v>
      </c>
      <c r="D455" s="5"/>
      <c r="E455" s="5"/>
      <c r="F455" s="5"/>
      <c r="G455" s="5" t="s">
        <v>2184</v>
      </c>
      <c r="H455" s="5" t="s">
        <v>244</v>
      </c>
      <c r="I455" s="44">
        <v>44613.0</v>
      </c>
      <c r="J455" s="150">
        <v>0.4693981481481482</v>
      </c>
      <c r="K455" s="19">
        <v>1.0</v>
      </c>
      <c r="L455" s="10" t="b">
        <v>1</v>
      </c>
      <c r="M455" s="5" t="s">
        <v>2476</v>
      </c>
      <c r="N455" s="5" t="s">
        <v>247</v>
      </c>
      <c r="O455" s="5"/>
      <c r="P455" s="110" t="b">
        <f t="shared" si="1"/>
        <v>0</v>
      </c>
      <c r="Q455" s="110" t="b">
        <f>IF(COUNTIF(RAW_APS!$A$2:$A815,A455)=0,TRUE,FALSE)</f>
        <v>0</v>
      </c>
      <c r="R455" s="241" t="b">
        <f t="shared" si="2"/>
        <v>0</v>
      </c>
      <c r="U455" s="112" t="str">
        <f t="shared" si="3"/>
        <v/>
      </c>
      <c r="V455" s="60"/>
      <c r="W455" s="60"/>
      <c r="X455" s="60"/>
      <c r="Y455" s="60"/>
      <c r="Z455" s="210"/>
      <c r="AA455" s="112" t="str">
        <f t="shared" si="4"/>
        <v>MA1312</v>
      </c>
      <c r="AB455" s="112" t="str">
        <f t="shared" si="5"/>
        <v/>
      </c>
      <c r="AC455" s="112" t="str">
        <f t="shared" si="6"/>
        <v/>
      </c>
      <c r="AD455" s="5"/>
      <c r="AE455" s="5"/>
    </row>
    <row r="456">
      <c r="A456" s="5" t="s">
        <v>2084</v>
      </c>
      <c r="B456" s="44">
        <v>44629.0</v>
      </c>
      <c r="C456" s="150">
        <v>0.40596064814814814</v>
      </c>
      <c r="D456" s="5"/>
      <c r="E456" s="5"/>
      <c r="F456" s="5"/>
      <c r="G456" s="5" t="s">
        <v>2184</v>
      </c>
      <c r="H456" s="5" t="s">
        <v>244</v>
      </c>
      <c r="I456" s="44">
        <v>44629.0</v>
      </c>
      <c r="J456" s="150">
        <v>0.4994560185185185</v>
      </c>
      <c r="K456" s="19">
        <v>1.0</v>
      </c>
      <c r="L456" s="10" t="b">
        <v>1</v>
      </c>
      <c r="M456" s="5" t="s">
        <v>2465</v>
      </c>
      <c r="N456" s="5" t="s">
        <v>247</v>
      </c>
      <c r="O456" s="5"/>
      <c r="P456" s="110" t="b">
        <f t="shared" si="1"/>
        <v>0</v>
      </c>
      <c r="Q456" s="110" t="b">
        <f>IF(COUNTIF(RAW_APS!$A$2:$A815,A456)=0,TRUE,FALSE)</f>
        <v>0</v>
      </c>
      <c r="R456" s="241" t="b">
        <f t="shared" si="2"/>
        <v>0</v>
      </c>
      <c r="U456" s="112" t="str">
        <f t="shared" si="3"/>
        <v/>
      </c>
      <c r="V456" s="60"/>
      <c r="W456" s="60"/>
      <c r="X456" s="60"/>
      <c r="Y456" s="60"/>
      <c r="Z456" s="210"/>
      <c r="AA456" s="112" t="str">
        <f t="shared" si="4"/>
        <v>MA1313</v>
      </c>
      <c r="AB456" s="112" t="str">
        <f t="shared" si="5"/>
        <v/>
      </c>
      <c r="AC456" s="112" t="str">
        <f t="shared" si="6"/>
        <v/>
      </c>
      <c r="AD456" s="5"/>
      <c r="AE456" s="5"/>
    </row>
    <row r="457">
      <c r="A457" s="5" t="s">
        <v>371</v>
      </c>
      <c r="B457" s="44">
        <v>44551.0</v>
      </c>
      <c r="C457" s="150">
        <v>0.47054398148148147</v>
      </c>
      <c r="D457" s="5"/>
      <c r="E457" s="5"/>
      <c r="F457" s="5"/>
      <c r="G457" s="5" t="s">
        <v>2184</v>
      </c>
      <c r="H457" s="5" t="s">
        <v>244</v>
      </c>
      <c r="I457" s="44">
        <v>44552.0</v>
      </c>
      <c r="J457" s="150">
        <v>0.4200462962962963</v>
      </c>
      <c r="K457" s="19">
        <v>1.0</v>
      </c>
      <c r="L457" s="10" t="b">
        <v>1</v>
      </c>
      <c r="M457" s="5" t="s">
        <v>2505</v>
      </c>
      <c r="N457" s="5" t="s">
        <v>247</v>
      </c>
      <c r="O457" s="5"/>
      <c r="P457" s="110" t="b">
        <f t="shared" si="1"/>
        <v>0</v>
      </c>
      <c r="Q457" s="110" t="b">
        <f>IF(COUNTIF(RAW_APS!$A$2:$A815,A457)=0,TRUE,FALSE)</f>
        <v>0</v>
      </c>
      <c r="R457" s="241" t="b">
        <f t="shared" si="2"/>
        <v>0</v>
      </c>
      <c r="U457" s="112" t="str">
        <f t="shared" si="3"/>
        <v/>
      </c>
      <c r="V457" s="51"/>
      <c r="W457" s="51"/>
      <c r="X457" s="51"/>
      <c r="Y457" s="51"/>
      <c r="Z457" s="210"/>
      <c r="AA457" s="112" t="str">
        <f t="shared" si="4"/>
        <v>MA1315</v>
      </c>
      <c r="AB457" s="112" t="str">
        <f t="shared" si="5"/>
        <v/>
      </c>
      <c r="AC457" s="112" t="str">
        <f t="shared" si="6"/>
        <v/>
      </c>
      <c r="AD457" s="5"/>
      <c r="AE457" s="5"/>
    </row>
    <row r="458">
      <c r="A458" s="5" t="s">
        <v>1893</v>
      </c>
      <c r="B458" s="44">
        <v>44623.0</v>
      </c>
      <c r="C458" s="150">
        <v>0.3912731481481482</v>
      </c>
      <c r="D458" s="5"/>
      <c r="E458" s="5"/>
      <c r="F458" s="5"/>
      <c r="G458" s="5" t="s">
        <v>2184</v>
      </c>
      <c r="H458" s="5" t="s">
        <v>244</v>
      </c>
      <c r="I458" s="44">
        <v>44623.0</v>
      </c>
      <c r="J458" s="150">
        <v>0.4606018518518519</v>
      </c>
      <c r="K458" s="19">
        <v>0.0</v>
      </c>
      <c r="L458" s="10" t="b">
        <v>0</v>
      </c>
      <c r="M458" s="5" t="s">
        <v>2468</v>
      </c>
      <c r="N458" s="5" t="s">
        <v>247</v>
      </c>
      <c r="O458" s="5"/>
      <c r="P458" s="110" t="b">
        <f t="shared" si="1"/>
        <v>1</v>
      </c>
      <c r="Q458" s="110" t="b">
        <f>IF(COUNTIF(RAW_APS!$A$2:$A815,A458)=0,TRUE,FALSE)</f>
        <v>1</v>
      </c>
      <c r="R458" s="241" t="b">
        <f t="shared" si="2"/>
        <v>0</v>
      </c>
      <c r="U458" s="112" t="str">
        <f t="shared" si="3"/>
        <v/>
      </c>
      <c r="V458" s="51"/>
      <c r="W458" s="51"/>
      <c r="X458" s="51"/>
      <c r="Y458" s="51"/>
      <c r="Z458" s="210"/>
      <c r="AA458" s="112" t="str">
        <f t="shared" si="4"/>
        <v>MA1316</v>
      </c>
      <c r="AB458" s="112" t="str">
        <f t="shared" si="5"/>
        <v/>
      </c>
      <c r="AC458" s="112" t="str">
        <f t="shared" si="6"/>
        <v/>
      </c>
      <c r="AD458" s="5"/>
      <c r="AE458" s="5"/>
    </row>
    <row r="459">
      <c r="A459" s="5" t="s">
        <v>1998</v>
      </c>
      <c r="B459" s="44">
        <v>44627.0</v>
      </c>
      <c r="C459" s="150">
        <v>0.318125</v>
      </c>
      <c r="D459" s="5"/>
      <c r="E459" s="5"/>
      <c r="F459" s="5"/>
      <c r="G459" s="5" t="s">
        <v>2184</v>
      </c>
      <c r="H459" s="5" t="s">
        <v>244</v>
      </c>
      <c r="I459" s="44">
        <v>44627.0</v>
      </c>
      <c r="J459" s="150">
        <v>0.4778935185185185</v>
      </c>
      <c r="K459" s="19">
        <v>1.0</v>
      </c>
      <c r="L459" s="10" t="b">
        <v>1</v>
      </c>
      <c r="M459" s="5" t="s">
        <v>2466</v>
      </c>
      <c r="N459" s="5" t="s">
        <v>247</v>
      </c>
      <c r="O459" s="5"/>
      <c r="P459" s="110" t="b">
        <f t="shared" si="1"/>
        <v>0</v>
      </c>
      <c r="Q459" s="110" t="b">
        <f>IF(COUNTIF(RAW_APS!$A$2:$A815,A459)=0,TRUE,FALSE)</f>
        <v>0</v>
      </c>
      <c r="R459" s="241" t="b">
        <f t="shared" si="2"/>
        <v>0</v>
      </c>
      <c r="U459" s="112" t="str">
        <f t="shared" si="3"/>
        <v/>
      </c>
      <c r="V459" s="60"/>
      <c r="W459" s="60"/>
      <c r="X459" s="60"/>
      <c r="Y459" s="60"/>
      <c r="Z459" s="210"/>
      <c r="AA459" s="112" t="str">
        <f t="shared" si="4"/>
        <v>MA1318</v>
      </c>
      <c r="AB459" s="112" t="str">
        <f t="shared" si="5"/>
        <v/>
      </c>
      <c r="AC459" s="112" t="str">
        <f t="shared" si="6"/>
        <v/>
      </c>
      <c r="AD459" s="5"/>
      <c r="AE459" s="5"/>
    </row>
    <row r="460">
      <c r="A460" s="5" t="s">
        <v>1863</v>
      </c>
      <c r="B460" s="44">
        <v>44623.0</v>
      </c>
      <c r="C460" s="150">
        <v>0.32178240740740743</v>
      </c>
      <c r="D460" s="5"/>
      <c r="E460" s="5"/>
      <c r="F460" s="5"/>
      <c r="G460" s="5" t="s">
        <v>2184</v>
      </c>
      <c r="H460" s="5" t="s">
        <v>244</v>
      </c>
      <c r="I460" s="44">
        <v>44623.0</v>
      </c>
      <c r="J460" s="150">
        <v>0.4605902777777778</v>
      </c>
      <c r="K460" s="19">
        <v>1.0</v>
      </c>
      <c r="L460" s="10" t="b">
        <v>0</v>
      </c>
      <c r="M460" s="5" t="s">
        <v>2468</v>
      </c>
      <c r="N460" s="5" t="s">
        <v>247</v>
      </c>
      <c r="O460" s="5"/>
      <c r="P460" s="110" t="b">
        <f t="shared" si="1"/>
        <v>0</v>
      </c>
      <c r="Q460" s="110" t="b">
        <f>IF(COUNTIF(RAW_APS!$A$2:$A815,A460)=0,TRUE,FALSE)</f>
        <v>0</v>
      </c>
      <c r="R460" s="241" t="b">
        <f t="shared" si="2"/>
        <v>0</v>
      </c>
      <c r="U460" s="112" t="str">
        <f t="shared" si="3"/>
        <v/>
      </c>
      <c r="V460" s="60"/>
      <c r="W460" s="60"/>
      <c r="X460" s="60"/>
      <c r="Y460" s="60"/>
      <c r="Z460" s="210"/>
      <c r="AA460" s="112" t="str">
        <f t="shared" si="4"/>
        <v>MA1319</v>
      </c>
      <c r="AB460" s="112" t="str">
        <f t="shared" si="5"/>
        <v/>
      </c>
      <c r="AC460" s="112" t="str">
        <f t="shared" si="6"/>
        <v/>
      </c>
      <c r="AD460" s="5"/>
      <c r="AE460" s="5"/>
    </row>
    <row r="461">
      <c r="A461" s="5" t="s">
        <v>1736</v>
      </c>
      <c r="B461" s="44">
        <v>44619.0</v>
      </c>
      <c r="C461" s="150">
        <v>0.3563773148148148</v>
      </c>
      <c r="D461" s="5"/>
      <c r="E461" s="5"/>
      <c r="F461" s="5"/>
      <c r="G461" s="5" t="s">
        <v>2184</v>
      </c>
      <c r="H461" s="5" t="s">
        <v>244</v>
      </c>
      <c r="I461" s="44">
        <v>44621.0</v>
      </c>
      <c r="J461" s="150">
        <v>0.47835648148148147</v>
      </c>
      <c r="K461" s="19">
        <v>1.0</v>
      </c>
      <c r="L461" s="10" t="b">
        <v>1</v>
      </c>
      <c r="M461" s="5" t="s">
        <v>2472</v>
      </c>
      <c r="N461" s="5" t="s">
        <v>247</v>
      </c>
      <c r="O461" s="5"/>
      <c r="P461" s="110" t="b">
        <f t="shared" si="1"/>
        <v>0</v>
      </c>
      <c r="Q461" s="110" t="b">
        <f>IF(COUNTIF(RAW_APS!$A$2:$A815,A461)=0,TRUE,FALSE)</f>
        <v>0</v>
      </c>
      <c r="R461" s="241" t="b">
        <f t="shared" si="2"/>
        <v>0</v>
      </c>
      <c r="U461" s="112" t="str">
        <f t="shared" si="3"/>
        <v/>
      </c>
      <c r="V461" s="60"/>
      <c r="W461" s="60"/>
      <c r="X461" s="60"/>
      <c r="Y461" s="60"/>
      <c r="Z461" s="210"/>
      <c r="AA461" s="112" t="str">
        <f t="shared" si="4"/>
        <v>MA1320</v>
      </c>
      <c r="AB461" s="112" t="str">
        <f t="shared" si="5"/>
        <v/>
      </c>
      <c r="AC461" s="112" t="str">
        <f t="shared" si="6"/>
        <v/>
      </c>
      <c r="AD461" s="5"/>
      <c r="AE461" s="5"/>
    </row>
    <row r="462">
      <c r="A462" s="5" t="s">
        <v>606</v>
      </c>
      <c r="B462" s="44">
        <v>44568.0</v>
      </c>
      <c r="C462" s="150">
        <v>0.5227083333333333</v>
      </c>
      <c r="D462" s="5"/>
      <c r="E462" s="5"/>
      <c r="F462" s="5"/>
      <c r="G462" s="5" t="s">
        <v>2497</v>
      </c>
      <c r="H462" s="5" t="s">
        <v>254</v>
      </c>
      <c r="I462" s="44">
        <v>44861.0</v>
      </c>
      <c r="J462" s="150">
        <v>0.4895023148148148</v>
      </c>
      <c r="K462" s="19">
        <v>1.0</v>
      </c>
      <c r="L462" s="5"/>
      <c r="M462" s="5"/>
      <c r="N462" s="5" t="s">
        <v>247</v>
      </c>
      <c r="O462" s="5"/>
      <c r="P462" s="110" t="b">
        <f t="shared" si="1"/>
        <v>0</v>
      </c>
      <c r="Q462" s="110" t="b">
        <f>IF(COUNTIF(RAW_APS!$A$2:$A815,A462)=0,TRUE,FALSE)</f>
        <v>0</v>
      </c>
      <c r="R462" s="241" t="b">
        <f t="shared" si="2"/>
        <v>0</v>
      </c>
      <c r="U462" s="112" t="str">
        <f t="shared" si="3"/>
        <v/>
      </c>
      <c r="V462" s="60"/>
      <c r="W462" s="60"/>
      <c r="X462" s="60"/>
      <c r="Y462" s="60"/>
      <c r="Z462" s="210"/>
      <c r="AA462" s="112" t="str">
        <f t="shared" si="4"/>
        <v>MA1352</v>
      </c>
      <c r="AB462" s="112" t="str">
        <f t="shared" si="5"/>
        <v/>
      </c>
      <c r="AC462" s="112" t="str">
        <f t="shared" si="6"/>
        <v/>
      </c>
      <c r="AD462" s="5"/>
      <c r="AE462" s="5"/>
    </row>
    <row r="463">
      <c r="A463" s="5" t="s">
        <v>351</v>
      </c>
      <c r="B463" s="44">
        <v>44550.0</v>
      </c>
      <c r="C463" s="150">
        <v>0.3403009259259259</v>
      </c>
      <c r="D463" s="5"/>
      <c r="E463" s="5"/>
      <c r="F463" s="5"/>
      <c r="G463" s="5" t="s">
        <v>2188</v>
      </c>
      <c r="H463" s="5" t="s">
        <v>254</v>
      </c>
      <c r="I463" s="44">
        <v>44861.0</v>
      </c>
      <c r="J463" s="150">
        <v>0.4895023148148148</v>
      </c>
      <c r="K463" s="19">
        <v>1.0</v>
      </c>
      <c r="L463" s="5"/>
      <c r="M463" s="5"/>
      <c r="N463" s="5" t="s">
        <v>247</v>
      </c>
      <c r="O463" s="5"/>
      <c r="P463" s="110" t="b">
        <f t="shared" si="1"/>
        <v>0</v>
      </c>
      <c r="Q463" s="110" t="b">
        <f>IF(COUNTIF(RAW_APS!$A$2:$A815,A463)=0,TRUE,FALSE)</f>
        <v>0</v>
      </c>
      <c r="R463" s="241" t="b">
        <f t="shared" si="2"/>
        <v>0</v>
      </c>
      <c r="U463" s="112" t="str">
        <f t="shared" si="3"/>
        <v/>
      </c>
      <c r="V463" s="51"/>
      <c r="W463" s="51"/>
      <c r="X463" s="51"/>
      <c r="Y463" s="51"/>
      <c r="Z463" s="210"/>
      <c r="AA463" s="112" t="str">
        <f t="shared" si="4"/>
        <v>MA1365</v>
      </c>
      <c r="AB463" s="112" t="str">
        <f t="shared" si="5"/>
        <v/>
      </c>
      <c r="AC463" s="112" t="str">
        <f t="shared" si="6"/>
        <v/>
      </c>
      <c r="AD463" s="5"/>
      <c r="AE463" s="5"/>
    </row>
    <row r="464">
      <c r="A464" s="5" t="s">
        <v>2179</v>
      </c>
      <c r="B464" s="44">
        <v>44692.0</v>
      </c>
      <c r="C464" s="150">
        <v>0.3093634259259259</v>
      </c>
      <c r="D464" s="5"/>
      <c r="E464" s="5"/>
      <c r="F464" s="5"/>
      <c r="G464" s="5" t="s">
        <v>2184</v>
      </c>
      <c r="H464" s="5" t="s">
        <v>244</v>
      </c>
      <c r="I464" s="44">
        <v>44692.0</v>
      </c>
      <c r="J464" s="150">
        <v>0.5025231481481481</v>
      </c>
      <c r="K464" s="19">
        <v>1.0</v>
      </c>
      <c r="L464" s="10" t="b">
        <v>1</v>
      </c>
      <c r="M464" s="5" t="s">
        <v>2462</v>
      </c>
      <c r="N464" s="5" t="s">
        <v>247</v>
      </c>
      <c r="O464" s="5"/>
      <c r="P464" s="110" t="b">
        <f t="shared" si="1"/>
        <v>0</v>
      </c>
      <c r="Q464" s="110" t="b">
        <f>IF(COUNTIF(RAW_APS!$A$2:$A815,A464)=0,TRUE,FALSE)</f>
        <v>0</v>
      </c>
      <c r="R464" s="241" t="b">
        <f t="shared" si="2"/>
        <v>0</v>
      </c>
      <c r="U464" s="112" t="str">
        <f t="shared" si="3"/>
        <v/>
      </c>
      <c r="V464" s="60"/>
      <c r="W464" s="60"/>
      <c r="X464" s="60"/>
      <c r="Y464" s="60"/>
      <c r="Z464" s="210"/>
      <c r="AA464" s="112" t="str">
        <f t="shared" si="4"/>
        <v>MA1384</v>
      </c>
      <c r="AB464" s="112" t="str">
        <f t="shared" si="5"/>
        <v/>
      </c>
      <c r="AC464" s="112" t="str">
        <f t="shared" si="6"/>
        <v/>
      </c>
      <c r="AD464" s="5"/>
      <c r="AE464" s="5"/>
    </row>
    <row r="465">
      <c r="A465" s="5" t="s">
        <v>2172</v>
      </c>
      <c r="B465" s="44">
        <v>44692.0</v>
      </c>
      <c r="C465" s="150">
        <v>0.2888541666666667</v>
      </c>
      <c r="D465" s="5"/>
      <c r="E465" s="5"/>
      <c r="F465" s="5"/>
      <c r="G465" s="5" t="s">
        <v>2184</v>
      </c>
      <c r="H465" s="5" t="s">
        <v>244</v>
      </c>
      <c r="I465" s="44">
        <v>44692.0</v>
      </c>
      <c r="J465" s="150">
        <v>0.5025231481481481</v>
      </c>
      <c r="K465" s="19">
        <v>1.0</v>
      </c>
      <c r="L465" s="10" t="b">
        <v>1</v>
      </c>
      <c r="M465" s="5" t="s">
        <v>2462</v>
      </c>
      <c r="N465" s="5" t="s">
        <v>247</v>
      </c>
      <c r="O465" s="5"/>
      <c r="P465" s="110" t="b">
        <f t="shared" si="1"/>
        <v>0</v>
      </c>
      <c r="Q465" s="110" t="b">
        <f>IF(COUNTIF(RAW_APS!$A$2:$A815,A465)=0,TRUE,FALSE)</f>
        <v>0</v>
      </c>
      <c r="R465" s="241" t="b">
        <f t="shared" si="2"/>
        <v>0</v>
      </c>
      <c r="U465" s="112" t="str">
        <f t="shared" si="3"/>
        <v/>
      </c>
      <c r="V465" s="60"/>
      <c r="W465" s="60"/>
      <c r="X465" s="60"/>
      <c r="Y465" s="60"/>
      <c r="Z465" s="210"/>
      <c r="AA465" s="112" t="str">
        <f t="shared" si="4"/>
        <v>MA1392</v>
      </c>
      <c r="AB465" s="112" t="str">
        <f t="shared" si="5"/>
        <v/>
      </c>
      <c r="AC465" s="112" t="str">
        <f t="shared" si="6"/>
        <v/>
      </c>
      <c r="AD465" s="5"/>
      <c r="AE465" s="5"/>
    </row>
    <row r="466">
      <c r="A466" s="5" t="s">
        <v>2170</v>
      </c>
      <c r="B466" s="44">
        <v>44692.0</v>
      </c>
      <c r="C466" s="150">
        <v>0.2788773148148148</v>
      </c>
      <c r="D466" s="5"/>
      <c r="E466" s="5"/>
      <c r="F466" s="5"/>
      <c r="G466" s="5" t="s">
        <v>2184</v>
      </c>
      <c r="H466" s="5" t="s">
        <v>244</v>
      </c>
      <c r="I466" s="44">
        <v>44692.0</v>
      </c>
      <c r="J466" s="150">
        <v>0.5025231481481481</v>
      </c>
      <c r="K466" s="19">
        <v>1.0</v>
      </c>
      <c r="L466" s="10" t="b">
        <v>1</v>
      </c>
      <c r="M466" s="5" t="s">
        <v>2462</v>
      </c>
      <c r="N466" s="5" t="s">
        <v>247</v>
      </c>
      <c r="O466" s="5"/>
      <c r="P466" s="110" t="b">
        <f t="shared" si="1"/>
        <v>0</v>
      </c>
      <c r="Q466" s="110" t="b">
        <f>IF(COUNTIF(RAW_APS!$A$2:$A815,A466)=0,TRUE,FALSE)</f>
        <v>0</v>
      </c>
      <c r="R466" s="241" t="b">
        <f t="shared" si="2"/>
        <v>0</v>
      </c>
      <c r="U466" s="112" t="str">
        <f t="shared" si="3"/>
        <v/>
      </c>
      <c r="V466" s="60"/>
      <c r="W466" s="60"/>
      <c r="X466" s="60"/>
      <c r="Y466" s="60"/>
      <c r="Z466" s="210"/>
      <c r="AA466" s="112" t="str">
        <f t="shared" si="4"/>
        <v>MA1397</v>
      </c>
      <c r="AB466" s="112" t="str">
        <f t="shared" si="5"/>
        <v/>
      </c>
      <c r="AC466" s="112" t="str">
        <f t="shared" si="6"/>
        <v/>
      </c>
      <c r="AD466" s="5"/>
      <c r="AE466" s="5"/>
    </row>
    <row r="467">
      <c r="A467" s="5" t="s">
        <v>2177</v>
      </c>
      <c r="B467" s="44">
        <v>44692.0</v>
      </c>
      <c r="C467" s="150">
        <v>0.30903935185185183</v>
      </c>
      <c r="D467" s="5"/>
      <c r="E467" s="5"/>
      <c r="F467" s="5"/>
      <c r="G467" s="5" t="s">
        <v>2184</v>
      </c>
      <c r="H467" s="5" t="s">
        <v>244</v>
      </c>
      <c r="I467" s="44">
        <v>44692.0</v>
      </c>
      <c r="J467" s="150">
        <v>0.5025231481481481</v>
      </c>
      <c r="K467" s="19">
        <v>1.0</v>
      </c>
      <c r="L467" s="10" t="b">
        <v>1</v>
      </c>
      <c r="M467" s="5" t="s">
        <v>2462</v>
      </c>
      <c r="N467" s="5" t="s">
        <v>247</v>
      </c>
      <c r="O467" s="5"/>
      <c r="P467" s="110" t="b">
        <f t="shared" si="1"/>
        <v>0</v>
      </c>
      <c r="Q467" s="110" t="b">
        <f>IF(COUNTIF(RAW_APS!$A$2:$A815,A467)=0,TRUE,FALSE)</f>
        <v>0</v>
      </c>
      <c r="R467" s="241" t="b">
        <f t="shared" si="2"/>
        <v>0</v>
      </c>
      <c r="U467" s="112" t="str">
        <f t="shared" si="3"/>
        <v/>
      </c>
      <c r="V467" s="60"/>
      <c r="W467" s="60"/>
      <c r="X467" s="60"/>
      <c r="Y467" s="60"/>
      <c r="Z467" s="210"/>
      <c r="AA467" s="112" t="str">
        <f t="shared" si="4"/>
        <v>MA1398</v>
      </c>
      <c r="AB467" s="112" t="str">
        <f t="shared" si="5"/>
        <v/>
      </c>
      <c r="AC467" s="112" t="str">
        <f t="shared" si="6"/>
        <v/>
      </c>
      <c r="AD467" s="5"/>
      <c r="AE467" s="5"/>
    </row>
    <row r="468">
      <c r="A468" s="5" t="s">
        <v>2166</v>
      </c>
      <c r="B468" s="44">
        <v>44692.0</v>
      </c>
      <c r="C468" s="150">
        <v>0.2778703703703704</v>
      </c>
      <c r="D468" s="5"/>
      <c r="E468" s="5"/>
      <c r="F468" s="5"/>
      <c r="G468" s="5" t="s">
        <v>2184</v>
      </c>
      <c r="H468" s="5" t="s">
        <v>244</v>
      </c>
      <c r="I468" s="44">
        <v>44692.0</v>
      </c>
      <c r="J468" s="150">
        <v>0.5025115740740741</v>
      </c>
      <c r="K468" s="19">
        <v>1.0</v>
      </c>
      <c r="L468" s="10" t="b">
        <v>1</v>
      </c>
      <c r="M468" s="5" t="s">
        <v>2462</v>
      </c>
      <c r="N468" s="5" t="s">
        <v>247</v>
      </c>
      <c r="O468" s="5"/>
      <c r="P468" s="110" t="b">
        <f t="shared" si="1"/>
        <v>0</v>
      </c>
      <c r="Q468" s="110" t="b">
        <f>IF(COUNTIF(RAW_APS!$A$2:$A815,A468)=0,TRUE,FALSE)</f>
        <v>0</v>
      </c>
      <c r="R468" s="241" t="b">
        <f t="shared" si="2"/>
        <v>0</v>
      </c>
      <c r="U468" s="112" t="str">
        <f t="shared" si="3"/>
        <v/>
      </c>
      <c r="V468" s="60"/>
      <c r="W468" s="60"/>
      <c r="X468" s="60"/>
      <c r="Y468" s="60"/>
      <c r="Z468" s="210"/>
      <c r="AA468" s="112" t="str">
        <f t="shared" si="4"/>
        <v>MA1405</v>
      </c>
      <c r="AB468" s="112" t="str">
        <f t="shared" si="5"/>
        <v/>
      </c>
      <c r="AC468" s="112" t="str">
        <f t="shared" si="6"/>
        <v/>
      </c>
      <c r="AD468" s="5"/>
      <c r="AE468" s="5"/>
    </row>
    <row r="469">
      <c r="A469" s="5" t="s">
        <v>2175</v>
      </c>
      <c r="B469" s="44">
        <v>44692.0</v>
      </c>
      <c r="C469" s="150">
        <v>0.30863425925925925</v>
      </c>
      <c r="D469" s="5"/>
      <c r="E469" s="5"/>
      <c r="F469" s="5"/>
      <c r="G469" s="5" t="s">
        <v>2184</v>
      </c>
      <c r="H469" s="5" t="s">
        <v>244</v>
      </c>
      <c r="I469" s="44">
        <v>44692.0</v>
      </c>
      <c r="J469" s="150">
        <v>0.5025231481481481</v>
      </c>
      <c r="K469" s="19">
        <v>1.0</v>
      </c>
      <c r="L469" s="10" t="b">
        <v>1</v>
      </c>
      <c r="M469" s="5" t="s">
        <v>2462</v>
      </c>
      <c r="N469" s="5" t="s">
        <v>247</v>
      </c>
      <c r="O469" s="5"/>
      <c r="P469" s="110" t="b">
        <f t="shared" si="1"/>
        <v>0</v>
      </c>
      <c r="Q469" s="110" t="b">
        <f>IF(COUNTIF(RAW_APS!$A$2:$A815,A469)=0,TRUE,FALSE)</f>
        <v>0</v>
      </c>
      <c r="R469" s="241" t="b">
        <f t="shared" si="2"/>
        <v>0</v>
      </c>
      <c r="U469" s="112" t="str">
        <f t="shared" si="3"/>
        <v/>
      </c>
      <c r="V469" s="60"/>
      <c r="W469" s="60"/>
      <c r="X469" s="60"/>
      <c r="Y469" s="60"/>
      <c r="Z469" s="210"/>
      <c r="AA469" s="112" t="str">
        <f t="shared" si="4"/>
        <v>MA1429</v>
      </c>
      <c r="AB469" s="112" t="str">
        <f t="shared" si="5"/>
        <v/>
      </c>
      <c r="AC469" s="112" t="str">
        <f t="shared" si="6"/>
        <v/>
      </c>
      <c r="AD469" s="5"/>
      <c r="AE469" s="5"/>
    </row>
    <row r="470">
      <c r="A470" s="5" t="s">
        <v>2168</v>
      </c>
      <c r="B470" s="44">
        <v>44692.0</v>
      </c>
      <c r="C470" s="150">
        <v>0.2784259259259259</v>
      </c>
      <c r="D470" s="5"/>
      <c r="E470" s="5"/>
      <c r="F470" s="5"/>
      <c r="G470" s="5" t="s">
        <v>2184</v>
      </c>
      <c r="H470" s="5" t="s">
        <v>244</v>
      </c>
      <c r="I470" s="44">
        <v>44692.0</v>
      </c>
      <c r="J470" s="150">
        <v>0.5025115740740741</v>
      </c>
      <c r="K470" s="19">
        <v>1.0</v>
      </c>
      <c r="L470" s="10" t="b">
        <v>1</v>
      </c>
      <c r="M470" s="5" t="s">
        <v>2462</v>
      </c>
      <c r="N470" s="5" t="s">
        <v>247</v>
      </c>
      <c r="O470" s="5"/>
      <c r="P470" s="110" t="b">
        <f t="shared" si="1"/>
        <v>0</v>
      </c>
      <c r="Q470" s="110" t="b">
        <f>IF(COUNTIF(RAW_APS!$A$2:$A815,A470)=0,TRUE,FALSE)</f>
        <v>0</v>
      </c>
      <c r="R470" s="241" t="b">
        <f t="shared" si="2"/>
        <v>0</v>
      </c>
      <c r="U470" s="112" t="str">
        <f t="shared" si="3"/>
        <v/>
      </c>
      <c r="V470" s="60"/>
      <c r="W470" s="60"/>
      <c r="X470" s="60"/>
      <c r="Y470" s="60"/>
      <c r="Z470" s="210"/>
      <c r="AA470" s="112" t="str">
        <f t="shared" si="4"/>
        <v>MA1453</v>
      </c>
      <c r="AB470" s="112" t="str">
        <f t="shared" si="5"/>
        <v/>
      </c>
      <c r="AC470" s="112" t="str">
        <f t="shared" si="6"/>
        <v/>
      </c>
      <c r="AD470" s="5"/>
      <c r="AE470" s="5"/>
    </row>
    <row r="471">
      <c r="A471" s="5" t="s">
        <v>1177</v>
      </c>
      <c r="B471" s="44">
        <v>44601.0</v>
      </c>
      <c r="C471" s="150">
        <v>0.3924884259259259</v>
      </c>
      <c r="D471" s="5"/>
      <c r="E471" s="5"/>
      <c r="F471" s="5"/>
      <c r="G471" s="5" t="s">
        <v>2184</v>
      </c>
      <c r="H471" s="5" t="s">
        <v>244</v>
      </c>
      <c r="I471" s="44">
        <v>44601.0</v>
      </c>
      <c r="J471" s="150">
        <v>0.48203703703703704</v>
      </c>
      <c r="K471" s="19">
        <v>1.0</v>
      </c>
      <c r="L471" s="10" t="b">
        <v>1</v>
      </c>
      <c r="M471" s="5" t="s">
        <v>2482</v>
      </c>
      <c r="N471" s="5" t="s">
        <v>247</v>
      </c>
      <c r="O471" s="5"/>
      <c r="P471" s="110" t="b">
        <f t="shared" si="1"/>
        <v>0</v>
      </c>
      <c r="Q471" s="110" t="b">
        <f>IF(COUNTIF(RAW_APS!$A$2:$A815,A471)=0,TRUE,FALSE)</f>
        <v>0</v>
      </c>
      <c r="R471" s="241" t="b">
        <f t="shared" si="2"/>
        <v>0</v>
      </c>
      <c r="U471" s="112" t="str">
        <f t="shared" si="3"/>
        <v/>
      </c>
      <c r="V471" s="60"/>
      <c r="W471" s="60"/>
      <c r="X471" s="60"/>
      <c r="Y471" s="60"/>
      <c r="Z471" s="210"/>
      <c r="AA471" s="112" t="str">
        <f t="shared" si="4"/>
        <v>MA1490</v>
      </c>
      <c r="AB471" s="112" t="str">
        <f t="shared" si="5"/>
        <v/>
      </c>
      <c r="AC471" s="112" t="str">
        <f t="shared" si="6"/>
        <v/>
      </c>
      <c r="AD471" s="5"/>
      <c r="AE471" s="5"/>
    </row>
    <row r="472">
      <c r="A472" s="5" t="s">
        <v>2174</v>
      </c>
      <c r="B472" s="44">
        <v>44692.0</v>
      </c>
      <c r="C472" s="150">
        <v>0.29189814814814813</v>
      </c>
      <c r="D472" s="5"/>
      <c r="E472" s="5"/>
      <c r="F472" s="5"/>
      <c r="G472" s="5" t="s">
        <v>2184</v>
      </c>
      <c r="H472" s="5" t="s">
        <v>244</v>
      </c>
      <c r="I472" s="44">
        <v>44692.0</v>
      </c>
      <c r="J472" s="150">
        <v>0.5025231481481481</v>
      </c>
      <c r="K472" s="19">
        <v>1.0</v>
      </c>
      <c r="L472" s="10" t="b">
        <v>1</v>
      </c>
      <c r="M472" s="5" t="s">
        <v>2462</v>
      </c>
      <c r="N472" s="5" t="s">
        <v>247</v>
      </c>
      <c r="O472" s="5"/>
      <c r="P472" s="110" t="b">
        <f t="shared" si="1"/>
        <v>0</v>
      </c>
      <c r="Q472" s="110" t="b">
        <f>IF(COUNTIF(RAW_APS!$A$2:$A815,A472)=0,TRUE,FALSE)</f>
        <v>0</v>
      </c>
      <c r="R472" s="241" t="b">
        <f t="shared" si="2"/>
        <v>0</v>
      </c>
      <c r="U472" s="112" t="str">
        <f t="shared" si="3"/>
        <v/>
      </c>
      <c r="V472" s="60"/>
      <c r="W472" s="60"/>
      <c r="X472" s="60"/>
      <c r="Y472" s="60"/>
      <c r="Z472" s="210"/>
      <c r="AA472" s="112" t="str">
        <f t="shared" si="4"/>
        <v>MA1497</v>
      </c>
      <c r="AB472" s="112" t="str">
        <f t="shared" si="5"/>
        <v/>
      </c>
      <c r="AC472" s="112" t="str">
        <f t="shared" si="6"/>
        <v/>
      </c>
      <c r="AD472" s="5"/>
      <c r="AE472" s="5"/>
    </row>
    <row r="473">
      <c r="A473" s="5" t="s">
        <v>1353</v>
      </c>
      <c r="B473" s="44">
        <v>44609.0</v>
      </c>
      <c r="C473" s="150">
        <v>0.3194328703703704</v>
      </c>
      <c r="D473" s="5"/>
      <c r="E473" s="5"/>
      <c r="F473" s="5"/>
      <c r="G473" s="5" t="s">
        <v>2184</v>
      </c>
      <c r="H473" s="5" t="s">
        <v>244</v>
      </c>
      <c r="I473" s="44">
        <v>44611.0</v>
      </c>
      <c r="J473" s="150">
        <v>0.38957175925925924</v>
      </c>
      <c r="K473" s="19">
        <v>1.0</v>
      </c>
      <c r="L473" s="10" t="b">
        <v>1</v>
      </c>
      <c r="M473" s="5" t="s">
        <v>2478</v>
      </c>
      <c r="N473" s="5" t="s">
        <v>247</v>
      </c>
      <c r="O473" s="5"/>
      <c r="P473" s="110" t="b">
        <f t="shared" si="1"/>
        <v>0</v>
      </c>
      <c r="Q473" s="110" t="b">
        <f>IF(COUNTIF(RAW_APS!$A$2:$A815,A473)=0,TRUE,FALSE)</f>
        <v>0</v>
      </c>
      <c r="R473" s="241" t="b">
        <f t="shared" si="2"/>
        <v>0</v>
      </c>
      <c r="U473" s="112" t="str">
        <f t="shared" si="3"/>
        <v/>
      </c>
      <c r="V473" s="60"/>
      <c r="W473" s="60"/>
      <c r="X473" s="60"/>
      <c r="Y473" s="60"/>
      <c r="Z473" s="210"/>
      <c r="AA473" s="112" t="str">
        <f t="shared" si="4"/>
        <v>MA181</v>
      </c>
      <c r="AB473" s="112" t="str">
        <f t="shared" si="5"/>
        <v/>
      </c>
      <c r="AC473" s="112" t="str">
        <f t="shared" si="6"/>
        <v/>
      </c>
      <c r="AD473" s="5"/>
      <c r="AE473" s="5"/>
    </row>
    <row r="474">
      <c r="A474" s="5" t="s">
        <v>1341</v>
      </c>
      <c r="B474" s="44">
        <v>44609.0</v>
      </c>
      <c r="C474" s="150">
        <v>0.31559027777777776</v>
      </c>
      <c r="D474" s="5"/>
      <c r="E474" s="5"/>
      <c r="F474" s="5"/>
      <c r="G474" s="5" t="s">
        <v>2184</v>
      </c>
      <c r="H474" s="5" t="s">
        <v>244</v>
      </c>
      <c r="I474" s="44">
        <v>44611.0</v>
      </c>
      <c r="J474" s="150">
        <v>0.38957175925925924</v>
      </c>
      <c r="K474" s="19">
        <v>1.0</v>
      </c>
      <c r="L474" s="10" t="b">
        <v>1</v>
      </c>
      <c r="M474" s="5" t="s">
        <v>2478</v>
      </c>
      <c r="N474" s="5" t="s">
        <v>247</v>
      </c>
      <c r="O474" s="5"/>
      <c r="P474" s="110" t="b">
        <f t="shared" si="1"/>
        <v>0</v>
      </c>
      <c r="Q474" s="110" t="b">
        <f>IF(COUNTIF(RAW_APS!$A$2:$A815,A474)=0,TRUE,FALSE)</f>
        <v>0</v>
      </c>
      <c r="R474" s="241" t="b">
        <f t="shared" si="2"/>
        <v>0</v>
      </c>
      <c r="U474" s="112" t="str">
        <f t="shared" si="3"/>
        <v/>
      </c>
      <c r="V474" s="60"/>
      <c r="W474" s="60"/>
      <c r="X474" s="60"/>
      <c r="Y474" s="60"/>
      <c r="Z474" s="210"/>
      <c r="AA474" s="112" t="str">
        <f t="shared" si="4"/>
        <v>MA182</v>
      </c>
      <c r="AB474" s="112" t="str">
        <f t="shared" si="5"/>
        <v/>
      </c>
      <c r="AC474" s="112" t="str">
        <f t="shared" si="6"/>
        <v/>
      </c>
      <c r="AD474" s="5"/>
      <c r="AE474" s="5"/>
    </row>
    <row r="475">
      <c r="A475" s="5" t="s">
        <v>1684</v>
      </c>
      <c r="B475" s="44">
        <v>44617.0</v>
      </c>
      <c r="C475" s="150">
        <v>0.3496412037037037</v>
      </c>
      <c r="D475" s="5"/>
      <c r="E475" s="5"/>
      <c r="F475" s="5"/>
      <c r="G475" s="5" t="s">
        <v>2184</v>
      </c>
      <c r="H475" s="5" t="s">
        <v>244</v>
      </c>
      <c r="I475" s="44">
        <v>44617.0</v>
      </c>
      <c r="J475" s="150">
        <v>0.5033796296296297</v>
      </c>
      <c r="K475" s="19">
        <v>1.0</v>
      </c>
      <c r="L475" s="10" t="b">
        <v>1</v>
      </c>
      <c r="M475" s="5" t="s">
        <v>2473</v>
      </c>
      <c r="N475" s="5" t="s">
        <v>247</v>
      </c>
      <c r="O475" s="5"/>
      <c r="P475" s="110" t="b">
        <f t="shared" si="1"/>
        <v>0</v>
      </c>
      <c r="Q475" s="110" t="b">
        <f>IF(COUNTIF(RAW_APS!$A$2:$A815,A475)=0,TRUE,FALSE)</f>
        <v>0</v>
      </c>
      <c r="R475" s="241" t="b">
        <f t="shared" si="2"/>
        <v>0</v>
      </c>
      <c r="U475" s="112" t="str">
        <f t="shared" si="3"/>
        <v/>
      </c>
      <c r="V475" s="60"/>
      <c r="W475" s="60"/>
      <c r="X475" s="60"/>
      <c r="Y475" s="60"/>
      <c r="Z475" s="210"/>
      <c r="AA475" s="112" t="str">
        <f t="shared" si="4"/>
        <v>MA186</v>
      </c>
      <c r="AB475" s="112" t="str">
        <f t="shared" si="5"/>
        <v/>
      </c>
      <c r="AC475" s="112" t="str">
        <f t="shared" si="6"/>
        <v/>
      </c>
      <c r="AD475" s="5"/>
      <c r="AE475" s="5"/>
    </row>
    <row r="476">
      <c r="A476" s="5" t="s">
        <v>1235</v>
      </c>
      <c r="B476" s="44">
        <v>44607.0</v>
      </c>
      <c r="C476" s="150">
        <v>0.31167824074074074</v>
      </c>
      <c r="D476" s="5"/>
      <c r="E476" s="5"/>
      <c r="F476" s="5"/>
      <c r="G476" s="5" t="s">
        <v>2184</v>
      </c>
      <c r="H476" s="5" t="s">
        <v>244</v>
      </c>
      <c r="I476" s="44">
        <v>44607.0</v>
      </c>
      <c r="J476" s="150">
        <v>0.5867939814814814</v>
      </c>
      <c r="K476" s="19">
        <v>1.0</v>
      </c>
      <c r="L476" s="10" t="b">
        <v>1</v>
      </c>
      <c r="M476" s="5" t="s">
        <v>2479</v>
      </c>
      <c r="N476" s="5" t="s">
        <v>247</v>
      </c>
      <c r="O476" s="5"/>
      <c r="P476" s="110" t="b">
        <f t="shared" si="1"/>
        <v>0</v>
      </c>
      <c r="Q476" s="110" t="b">
        <f>IF(COUNTIF(RAW_APS!$A$2:$A815,A476)=0,TRUE,FALSE)</f>
        <v>0</v>
      </c>
      <c r="R476" s="241" t="b">
        <f t="shared" si="2"/>
        <v>0</v>
      </c>
      <c r="U476" s="112" t="str">
        <f t="shared" si="3"/>
        <v/>
      </c>
      <c r="V476" s="60"/>
      <c r="W476" s="60"/>
      <c r="X476" s="60"/>
      <c r="Y476" s="60"/>
      <c r="Z476" s="210"/>
      <c r="AA476" s="112" t="str">
        <f t="shared" si="4"/>
        <v>MA189</v>
      </c>
      <c r="AB476" s="112" t="str">
        <f t="shared" si="5"/>
        <v/>
      </c>
      <c r="AC476" s="112" t="str">
        <f t="shared" si="6"/>
        <v/>
      </c>
      <c r="AD476" s="5"/>
      <c r="AE476" s="5"/>
    </row>
    <row r="477">
      <c r="A477" s="5" t="s">
        <v>751</v>
      </c>
      <c r="B477" s="44">
        <v>44573.0</v>
      </c>
      <c r="C477" s="150">
        <v>0.4143287037037037</v>
      </c>
      <c r="D477" s="5"/>
      <c r="E477" s="5"/>
      <c r="F477" s="5"/>
      <c r="G477" s="5" t="s">
        <v>2184</v>
      </c>
      <c r="H477" s="5" t="s">
        <v>244</v>
      </c>
      <c r="I477" s="44">
        <v>44575.0</v>
      </c>
      <c r="J477" s="150">
        <v>0.48204861111111114</v>
      </c>
      <c r="K477" s="19">
        <v>1.0</v>
      </c>
      <c r="L477" s="10" t="b">
        <v>1</v>
      </c>
      <c r="M477" s="5" t="s">
        <v>2495</v>
      </c>
      <c r="N477" s="5" t="s">
        <v>247</v>
      </c>
      <c r="O477" s="5"/>
      <c r="P477" s="110" t="b">
        <f t="shared" si="1"/>
        <v>0</v>
      </c>
      <c r="Q477" s="110" t="b">
        <f>IF(COUNTIF(RAW_APS!$A$2:$A815,A477)=0,TRUE,FALSE)</f>
        <v>0</v>
      </c>
      <c r="R477" s="241" t="b">
        <f t="shared" si="2"/>
        <v>0</v>
      </c>
      <c r="U477" s="112" t="str">
        <f t="shared" si="3"/>
        <v/>
      </c>
      <c r="V477" s="60"/>
      <c r="W477" s="60"/>
      <c r="X477" s="60"/>
      <c r="Y477" s="60"/>
      <c r="Z477" s="210"/>
      <c r="AA477" s="112" t="str">
        <f t="shared" si="4"/>
        <v>MA190</v>
      </c>
      <c r="AB477" s="112" t="str">
        <f t="shared" si="5"/>
        <v/>
      </c>
      <c r="AC477" s="112" t="str">
        <f t="shared" si="6"/>
        <v/>
      </c>
      <c r="AD477" s="5"/>
      <c r="AE477" s="5"/>
    </row>
    <row r="478">
      <c r="A478" s="5" t="s">
        <v>1435</v>
      </c>
      <c r="B478" s="44">
        <v>44611.0</v>
      </c>
      <c r="C478" s="150">
        <v>0.3180439814814815</v>
      </c>
      <c r="D478" s="5"/>
      <c r="E478" s="5"/>
      <c r="F478" s="5"/>
      <c r="G478" s="5" t="s">
        <v>2184</v>
      </c>
      <c r="H478" s="5" t="s">
        <v>244</v>
      </c>
      <c r="I478" s="44">
        <v>44611.0</v>
      </c>
      <c r="J478" s="150">
        <v>0.4882523148148148</v>
      </c>
      <c r="K478" s="19">
        <v>0.0</v>
      </c>
      <c r="L478" s="10" t="b">
        <v>1</v>
      </c>
      <c r="M478" s="5" t="s">
        <v>2477</v>
      </c>
      <c r="N478" s="5" t="s">
        <v>247</v>
      </c>
      <c r="O478" s="5"/>
      <c r="P478" s="110" t="b">
        <f t="shared" si="1"/>
        <v>1</v>
      </c>
      <c r="Q478" s="110" t="b">
        <f>IF(COUNTIF(RAW_APS!$A$2:$A815,A478)=0,TRUE,FALSE)</f>
        <v>1</v>
      </c>
      <c r="R478" s="241" t="b">
        <f t="shared" si="2"/>
        <v>0</v>
      </c>
      <c r="U478" s="112" t="str">
        <f t="shared" si="3"/>
        <v/>
      </c>
      <c r="V478" s="51"/>
      <c r="W478" s="51"/>
      <c r="X478" s="51"/>
      <c r="Y478" s="51"/>
      <c r="Z478" s="210"/>
      <c r="AA478" s="112" t="str">
        <f t="shared" si="4"/>
        <v>MA193</v>
      </c>
      <c r="AB478" s="112" t="str">
        <f t="shared" si="5"/>
        <v/>
      </c>
      <c r="AC478" s="112" t="str">
        <f t="shared" si="6"/>
        <v/>
      </c>
      <c r="AD478" s="5"/>
      <c r="AE478" s="5"/>
    </row>
    <row r="479">
      <c r="A479" s="5" t="s">
        <v>1728</v>
      </c>
      <c r="B479" s="44">
        <v>44619.0</v>
      </c>
      <c r="C479" s="150">
        <v>0.3308564814814815</v>
      </c>
      <c r="D479" s="5"/>
      <c r="E479" s="5"/>
      <c r="F479" s="5"/>
      <c r="G479" s="5" t="s">
        <v>2184</v>
      </c>
      <c r="H479" s="5" t="s">
        <v>244</v>
      </c>
      <c r="I479" s="44">
        <v>44621.0</v>
      </c>
      <c r="J479" s="150">
        <v>0.47835648148148147</v>
      </c>
      <c r="K479" s="19">
        <v>1.0</v>
      </c>
      <c r="L479" s="10" t="b">
        <v>1</v>
      </c>
      <c r="M479" s="5" t="s">
        <v>2472</v>
      </c>
      <c r="N479" s="5" t="s">
        <v>247</v>
      </c>
      <c r="O479" s="5"/>
      <c r="P479" s="110" t="b">
        <f t="shared" si="1"/>
        <v>0</v>
      </c>
      <c r="Q479" s="110" t="b">
        <f>IF(COUNTIF(RAW_APS!$A$2:$A815,A479)=0,TRUE,FALSE)</f>
        <v>0</v>
      </c>
      <c r="R479" s="241" t="b">
        <f t="shared" si="2"/>
        <v>0</v>
      </c>
      <c r="U479" s="112" t="str">
        <f t="shared" si="3"/>
        <v/>
      </c>
      <c r="V479" s="60"/>
      <c r="W479" s="60"/>
      <c r="X479" s="60"/>
      <c r="Y479" s="60"/>
      <c r="Z479" s="210"/>
      <c r="AA479" s="112" t="str">
        <f t="shared" si="4"/>
        <v>MA194</v>
      </c>
      <c r="AB479" s="112" t="str">
        <f t="shared" si="5"/>
        <v/>
      </c>
      <c r="AC479" s="112" t="str">
        <f t="shared" si="6"/>
        <v/>
      </c>
      <c r="AD479" s="5"/>
      <c r="AE479" s="5"/>
    </row>
    <row r="480">
      <c r="A480" s="4" t="s">
        <v>2454</v>
      </c>
      <c r="B480" s="44">
        <v>44550.0</v>
      </c>
      <c r="C480" s="150">
        <v>0.4013541666666667</v>
      </c>
      <c r="D480" s="5"/>
      <c r="E480" s="5"/>
      <c r="F480" s="5"/>
      <c r="G480" s="5" t="s">
        <v>2188</v>
      </c>
      <c r="H480" s="5" t="s">
        <v>254</v>
      </c>
      <c r="I480" s="44">
        <v>44861.0</v>
      </c>
      <c r="J480" s="150">
        <v>0.4895023148148148</v>
      </c>
      <c r="K480" s="19">
        <v>1.0</v>
      </c>
      <c r="L480" s="5"/>
      <c r="M480" s="5"/>
      <c r="N480" s="5" t="s">
        <v>247</v>
      </c>
      <c r="O480" s="5"/>
      <c r="P480" s="110" t="b">
        <f t="shared" si="1"/>
        <v>0</v>
      </c>
      <c r="Q480" s="110" t="b">
        <f>IF(COUNTIF(RAW_APS!$A$2:$A815,A480)=0,TRUE,FALSE)</f>
        <v>0</v>
      </c>
      <c r="R480" s="241" t="b">
        <f t="shared" si="2"/>
        <v>1</v>
      </c>
      <c r="U480" s="112" t="str">
        <f t="shared" si="3"/>
        <v/>
      </c>
      <c r="V480" s="51"/>
      <c r="W480" s="51"/>
      <c r="X480" s="51"/>
      <c r="Y480" s="51"/>
      <c r="Z480" s="210"/>
      <c r="AA480" s="112" t="str">
        <f t="shared" si="4"/>
        <v>MA197</v>
      </c>
      <c r="AB480" s="112" t="str">
        <f t="shared" si="5"/>
        <v>MA197</v>
      </c>
      <c r="AC480" s="112">
        <f t="shared" si="6"/>
        <v>2</v>
      </c>
      <c r="AD480" s="5"/>
      <c r="AE480" s="5"/>
    </row>
    <row r="481">
      <c r="A481" s="5" t="s">
        <v>355</v>
      </c>
      <c r="B481" s="44">
        <v>44550.0</v>
      </c>
      <c r="C481" s="150">
        <v>0.4460648148148148</v>
      </c>
      <c r="D481" s="5"/>
      <c r="E481" s="5"/>
      <c r="F481" s="5"/>
      <c r="G481" s="5" t="s">
        <v>2184</v>
      </c>
      <c r="H481" s="5" t="s">
        <v>244</v>
      </c>
      <c r="I481" s="44">
        <v>44550.0</v>
      </c>
      <c r="J481" s="150">
        <v>0.4883449074074074</v>
      </c>
      <c r="K481" s="19">
        <v>1.0</v>
      </c>
      <c r="L481" s="10" t="b">
        <v>1</v>
      </c>
      <c r="M481" s="5" t="s">
        <v>2506</v>
      </c>
      <c r="N481" s="5" t="s">
        <v>247</v>
      </c>
      <c r="O481" s="5"/>
      <c r="P481" s="110" t="b">
        <f t="shared" si="1"/>
        <v>0</v>
      </c>
      <c r="Q481" s="110" t="b">
        <f>IF(COUNTIF(RAW_APS!$A$2:$A815,A481)=0,TRUE,FALSE)</f>
        <v>0</v>
      </c>
      <c r="R481" s="241" t="b">
        <f t="shared" si="2"/>
        <v>1</v>
      </c>
      <c r="U481" s="112" t="str">
        <f t="shared" si="3"/>
        <v/>
      </c>
      <c r="V481" s="51"/>
      <c r="W481" s="51"/>
      <c r="X481" s="51"/>
      <c r="Y481" s="51"/>
      <c r="Z481" s="210"/>
      <c r="AA481" s="112" t="str">
        <f t="shared" si="4"/>
        <v>MA197</v>
      </c>
      <c r="AB481" s="112" t="str">
        <f t="shared" si="5"/>
        <v/>
      </c>
      <c r="AC481" s="112" t="str">
        <f t="shared" si="6"/>
        <v/>
      </c>
      <c r="AD481" s="5"/>
      <c r="AE481" s="5"/>
    </row>
    <row r="482">
      <c r="A482" s="5" t="s">
        <v>941</v>
      </c>
      <c r="B482" s="44">
        <v>44580.0</v>
      </c>
      <c r="C482" s="150">
        <v>0.4436689814814815</v>
      </c>
      <c r="D482" s="5"/>
      <c r="E482" s="5"/>
      <c r="F482" s="5"/>
      <c r="G482" s="5" t="s">
        <v>2184</v>
      </c>
      <c r="H482" s="5" t="s">
        <v>244</v>
      </c>
      <c r="I482" s="44">
        <v>44580.0</v>
      </c>
      <c r="J482" s="150">
        <v>0.5080324074074074</v>
      </c>
      <c r="K482" s="19">
        <v>1.0</v>
      </c>
      <c r="L482" s="10" t="b">
        <v>1</v>
      </c>
      <c r="M482" s="5" t="s">
        <v>2491</v>
      </c>
      <c r="N482" s="5" t="s">
        <v>247</v>
      </c>
      <c r="O482" s="5"/>
      <c r="P482" s="110" t="b">
        <f t="shared" si="1"/>
        <v>0</v>
      </c>
      <c r="Q482" s="110" t="b">
        <f>IF(COUNTIF(RAW_APS!$A$2:$A815,A482)=0,TRUE,FALSE)</f>
        <v>0</v>
      </c>
      <c r="R482" s="241" t="b">
        <f t="shared" si="2"/>
        <v>0</v>
      </c>
      <c r="U482" s="112" t="str">
        <f t="shared" si="3"/>
        <v/>
      </c>
      <c r="V482" s="60"/>
      <c r="W482" s="60"/>
      <c r="X482" s="60"/>
      <c r="Y482" s="60"/>
      <c r="Z482" s="210"/>
      <c r="AA482" s="112" t="str">
        <f t="shared" si="4"/>
        <v>MA198</v>
      </c>
      <c r="AB482" s="112" t="str">
        <f t="shared" si="5"/>
        <v/>
      </c>
      <c r="AC482" s="112" t="str">
        <f t="shared" si="6"/>
        <v/>
      </c>
      <c r="AD482" s="5"/>
      <c r="AE482" s="5"/>
    </row>
    <row r="483">
      <c r="A483" s="5" t="s">
        <v>1521</v>
      </c>
      <c r="B483" s="44">
        <v>44613.0</v>
      </c>
      <c r="C483" s="150">
        <v>0.32069444444444445</v>
      </c>
      <c r="D483" s="5"/>
      <c r="E483" s="5"/>
      <c r="F483" s="5"/>
      <c r="G483" s="5" t="s">
        <v>2184</v>
      </c>
      <c r="H483" s="5" t="s">
        <v>244</v>
      </c>
      <c r="I483" s="44">
        <v>44613.0</v>
      </c>
      <c r="J483" s="150">
        <v>0.4694097222222222</v>
      </c>
      <c r="K483" s="19">
        <v>1.0</v>
      </c>
      <c r="L483" s="10" t="b">
        <v>1</v>
      </c>
      <c r="M483" s="5" t="s">
        <v>2476</v>
      </c>
      <c r="N483" s="5" t="s">
        <v>247</v>
      </c>
      <c r="O483" s="5"/>
      <c r="P483" s="110" t="b">
        <f t="shared" si="1"/>
        <v>0</v>
      </c>
      <c r="Q483" s="110" t="b">
        <f>IF(COUNTIF(RAW_APS!$A$2:$A815,A483)=0,TRUE,FALSE)</f>
        <v>0</v>
      </c>
      <c r="R483" s="241" t="b">
        <f t="shared" si="2"/>
        <v>0</v>
      </c>
      <c r="U483" s="112" t="str">
        <f t="shared" si="3"/>
        <v/>
      </c>
      <c r="V483" s="60"/>
      <c r="W483" s="60"/>
      <c r="X483" s="60"/>
      <c r="Y483" s="60"/>
      <c r="Z483" s="210"/>
      <c r="AA483" s="112" t="str">
        <f t="shared" si="4"/>
        <v>MA202</v>
      </c>
      <c r="AB483" s="112" t="str">
        <f t="shared" si="5"/>
        <v/>
      </c>
      <c r="AC483" s="112" t="str">
        <f t="shared" si="6"/>
        <v/>
      </c>
      <c r="AD483" s="5"/>
      <c r="AE483" s="5"/>
    </row>
    <row r="484">
      <c r="A484" s="5" t="s">
        <v>1180</v>
      </c>
      <c r="B484" s="44">
        <v>44603.0</v>
      </c>
      <c r="C484" s="150">
        <v>0.28810185185185183</v>
      </c>
      <c r="D484" s="5"/>
      <c r="E484" s="5"/>
      <c r="F484" s="5"/>
      <c r="G484" s="5" t="s">
        <v>2184</v>
      </c>
      <c r="H484" s="5" t="s">
        <v>244</v>
      </c>
      <c r="I484" s="44">
        <v>44603.0</v>
      </c>
      <c r="J484" s="150">
        <v>0.46979166666666666</v>
      </c>
      <c r="K484" s="19">
        <v>1.0</v>
      </c>
      <c r="L484" s="10" t="b">
        <v>1</v>
      </c>
      <c r="M484" s="5" t="s">
        <v>2481</v>
      </c>
      <c r="N484" s="5" t="s">
        <v>247</v>
      </c>
      <c r="O484" s="5"/>
      <c r="P484" s="110" t="b">
        <f t="shared" si="1"/>
        <v>0</v>
      </c>
      <c r="Q484" s="110" t="b">
        <f>IF(COUNTIF(RAW_APS!$A$2:$A815,A484)=0,TRUE,FALSE)</f>
        <v>0</v>
      </c>
      <c r="R484" s="241" t="b">
        <f t="shared" si="2"/>
        <v>0</v>
      </c>
      <c r="U484" s="112" t="str">
        <f t="shared" si="3"/>
        <v/>
      </c>
      <c r="V484" s="60"/>
      <c r="W484" s="60"/>
      <c r="X484" s="60"/>
      <c r="Y484" s="60"/>
      <c r="Z484" s="210"/>
      <c r="AA484" s="112" t="str">
        <f t="shared" si="4"/>
        <v>MA203</v>
      </c>
      <c r="AB484" s="112" t="str">
        <f t="shared" si="5"/>
        <v/>
      </c>
      <c r="AC484" s="112" t="str">
        <f t="shared" si="6"/>
        <v/>
      </c>
      <c r="AD484" s="5"/>
      <c r="AE484" s="5"/>
    </row>
    <row r="485">
      <c r="A485" s="5" t="s">
        <v>1220</v>
      </c>
      <c r="B485" s="44">
        <v>44607.0</v>
      </c>
      <c r="C485" s="150">
        <v>0.2941435185185185</v>
      </c>
      <c r="D485" s="5"/>
      <c r="E485" s="5"/>
      <c r="F485" s="5"/>
      <c r="G485" s="5" t="s">
        <v>2188</v>
      </c>
      <c r="H485" s="5" t="s">
        <v>254</v>
      </c>
      <c r="I485" s="44">
        <v>44861.0</v>
      </c>
      <c r="J485" s="150">
        <v>0.4895023148148148</v>
      </c>
      <c r="K485" s="19">
        <v>1.0</v>
      </c>
      <c r="L485" s="5"/>
      <c r="M485" s="5"/>
      <c r="N485" s="5" t="s">
        <v>247</v>
      </c>
      <c r="O485" s="5"/>
      <c r="P485" s="110" t="b">
        <f t="shared" si="1"/>
        <v>0</v>
      </c>
      <c r="Q485" s="110" t="b">
        <f>IF(COUNTIF(RAW_APS!$A$2:$A815,A485)=0,TRUE,FALSE)</f>
        <v>0</v>
      </c>
      <c r="R485" s="241" t="b">
        <f t="shared" si="2"/>
        <v>0</v>
      </c>
      <c r="U485" s="112" t="str">
        <f t="shared" si="3"/>
        <v/>
      </c>
      <c r="V485" s="60"/>
      <c r="W485" s="60"/>
      <c r="X485" s="60"/>
      <c r="Y485" s="60"/>
      <c r="Z485" s="210"/>
      <c r="AA485" s="112" t="str">
        <f t="shared" si="4"/>
        <v>MA205</v>
      </c>
      <c r="AB485" s="112" t="str">
        <f t="shared" si="5"/>
        <v/>
      </c>
      <c r="AC485" s="112" t="str">
        <f t="shared" si="6"/>
        <v/>
      </c>
      <c r="AD485" s="5"/>
      <c r="AE485" s="5"/>
    </row>
    <row r="486">
      <c r="A486" s="5" t="s">
        <v>1345</v>
      </c>
      <c r="B486" s="44">
        <v>44609.0</v>
      </c>
      <c r="C486" s="150">
        <v>0.3156365740740741</v>
      </c>
      <c r="D486" s="5"/>
      <c r="E486" s="5"/>
      <c r="F486" s="5"/>
      <c r="G486" s="5" t="s">
        <v>2184</v>
      </c>
      <c r="H486" s="5" t="s">
        <v>244</v>
      </c>
      <c r="I486" s="44">
        <v>44611.0</v>
      </c>
      <c r="J486" s="150">
        <v>0.38957175925925924</v>
      </c>
      <c r="K486" s="19">
        <v>1.0</v>
      </c>
      <c r="L486" s="10" t="b">
        <v>1</v>
      </c>
      <c r="M486" s="5" t="s">
        <v>2478</v>
      </c>
      <c r="N486" s="5" t="s">
        <v>247</v>
      </c>
      <c r="O486" s="5"/>
      <c r="P486" s="110" t="b">
        <f t="shared" si="1"/>
        <v>0</v>
      </c>
      <c r="Q486" s="110" t="b">
        <f>IF(COUNTIF(RAW_APS!$A$2:$A815,A486)=0,TRUE,FALSE)</f>
        <v>0</v>
      </c>
      <c r="R486" s="241" t="b">
        <f t="shared" si="2"/>
        <v>0</v>
      </c>
      <c r="U486" s="112" t="str">
        <f t="shared" si="3"/>
        <v/>
      </c>
      <c r="V486" s="60"/>
      <c r="W486" s="60"/>
      <c r="X486" s="60"/>
      <c r="Y486" s="60"/>
      <c r="Z486" s="210"/>
      <c r="AA486" s="112" t="str">
        <f t="shared" si="4"/>
        <v>MA206</v>
      </c>
      <c r="AB486" s="112" t="str">
        <f t="shared" si="5"/>
        <v/>
      </c>
      <c r="AC486" s="112" t="str">
        <f t="shared" si="6"/>
        <v/>
      </c>
      <c r="AD486" s="5"/>
      <c r="AE486" s="5"/>
    </row>
    <row r="487">
      <c r="A487" s="5" t="s">
        <v>454</v>
      </c>
      <c r="B487" s="44">
        <v>44564.0</v>
      </c>
      <c r="C487" s="150">
        <v>0.2034837962962963</v>
      </c>
      <c r="D487" s="5"/>
      <c r="E487" s="5"/>
      <c r="F487" s="5"/>
      <c r="G487" s="5" t="s">
        <v>2184</v>
      </c>
      <c r="H487" s="5" t="s">
        <v>244</v>
      </c>
      <c r="I487" s="44">
        <v>44564.0</v>
      </c>
      <c r="J487" s="150">
        <v>0.5280439814814815</v>
      </c>
      <c r="K487" s="19">
        <v>1.0</v>
      </c>
      <c r="L487" s="10" t="b">
        <v>1</v>
      </c>
      <c r="M487" s="5" t="s">
        <v>2500</v>
      </c>
      <c r="N487" s="5" t="s">
        <v>247</v>
      </c>
      <c r="O487" s="5"/>
      <c r="P487" s="110" t="b">
        <f t="shared" si="1"/>
        <v>0</v>
      </c>
      <c r="Q487" s="110" t="b">
        <f>IF(COUNTIF(RAW_APS!$A$2:$A815,A487)=0,TRUE,FALSE)</f>
        <v>0</v>
      </c>
      <c r="R487" s="241" t="b">
        <f t="shared" si="2"/>
        <v>0</v>
      </c>
      <c r="U487" s="112" t="str">
        <f t="shared" si="3"/>
        <v/>
      </c>
      <c r="V487" s="60"/>
      <c r="W487" s="60"/>
      <c r="X487" s="60"/>
      <c r="Y487" s="60"/>
      <c r="Z487" s="210"/>
      <c r="AA487" s="112" t="str">
        <f t="shared" si="4"/>
        <v>MA207</v>
      </c>
      <c r="AB487" s="112" t="str">
        <f t="shared" si="5"/>
        <v/>
      </c>
      <c r="AC487" s="112" t="str">
        <f t="shared" si="6"/>
        <v/>
      </c>
      <c r="AD487" s="5"/>
      <c r="AE487" s="5"/>
    </row>
    <row r="488">
      <c r="A488" s="5" t="s">
        <v>1439</v>
      </c>
      <c r="B488" s="44">
        <v>44611.0</v>
      </c>
      <c r="C488" s="150">
        <v>0.3209606481481482</v>
      </c>
      <c r="D488" s="5"/>
      <c r="E488" s="5"/>
      <c r="F488" s="5"/>
      <c r="G488" s="5" t="s">
        <v>2184</v>
      </c>
      <c r="H488" s="5" t="s">
        <v>244</v>
      </c>
      <c r="I488" s="44">
        <v>44611.0</v>
      </c>
      <c r="J488" s="150">
        <v>0.4882523148148148</v>
      </c>
      <c r="K488" s="19">
        <v>1.0</v>
      </c>
      <c r="L488" s="10" t="b">
        <v>1</v>
      </c>
      <c r="M488" s="5" t="s">
        <v>2477</v>
      </c>
      <c r="N488" s="5" t="s">
        <v>247</v>
      </c>
      <c r="O488" s="5"/>
      <c r="P488" s="110" t="b">
        <f t="shared" si="1"/>
        <v>0</v>
      </c>
      <c r="Q488" s="110" t="b">
        <f>IF(COUNTIF(RAW_APS!$A$2:$A815,A488)=0,TRUE,FALSE)</f>
        <v>0</v>
      </c>
      <c r="R488" s="241" t="b">
        <f t="shared" si="2"/>
        <v>0</v>
      </c>
      <c r="U488" s="112" t="str">
        <f t="shared" si="3"/>
        <v/>
      </c>
      <c r="V488" s="60"/>
      <c r="W488" s="60"/>
      <c r="X488" s="60"/>
      <c r="Y488" s="60"/>
      <c r="Z488" s="210"/>
      <c r="AA488" s="112" t="str">
        <f t="shared" si="4"/>
        <v>MA209</v>
      </c>
      <c r="AB488" s="112" t="str">
        <f t="shared" si="5"/>
        <v/>
      </c>
      <c r="AC488" s="112" t="str">
        <f t="shared" si="6"/>
        <v/>
      </c>
      <c r="AD488" s="5"/>
      <c r="AE488" s="5"/>
    </row>
    <row r="489">
      <c r="A489" s="5" t="s">
        <v>1779</v>
      </c>
      <c r="B489" s="44">
        <v>44621.0</v>
      </c>
      <c r="C489" s="150">
        <v>0.30995370370370373</v>
      </c>
      <c r="D489" s="5"/>
      <c r="E489" s="5"/>
      <c r="F489" s="5"/>
      <c r="G489" s="5" t="s">
        <v>2188</v>
      </c>
      <c r="H489" s="5" t="s">
        <v>254</v>
      </c>
      <c r="I489" s="44">
        <v>44861.0</v>
      </c>
      <c r="J489" s="150">
        <v>0.4895023148148148</v>
      </c>
      <c r="K489" s="19">
        <v>1.0</v>
      </c>
      <c r="L489" s="5"/>
      <c r="M489" s="5"/>
      <c r="N489" s="5" t="s">
        <v>247</v>
      </c>
      <c r="O489" s="5"/>
      <c r="P489" s="110" t="b">
        <f t="shared" si="1"/>
        <v>0</v>
      </c>
      <c r="Q489" s="110" t="b">
        <f>IF(COUNTIF(RAW_APS!$A$2:$A815,A489)=0,TRUE,FALSE)</f>
        <v>0</v>
      </c>
      <c r="R489" s="241" t="b">
        <f t="shared" si="2"/>
        <v>0</v>
      </c>
      <c r="U489" s="112" t="str">
        <f t="shared" si="3"/>
        <v/>
      </c>
      <c r="V489" s="60"/>
      <c r="W489" s="60"/>
      <c r="X489" s="60"/>
      <c r="Y489" s="60"/>
      <c r="Z489" s="210"/>
      <c r="AA489" s="112" t="str">
        <f t="shared" si="4"/>
        <v>MA2090</v>
      </c>
      <c r="AB489" s="112" t="str">
        <f t="shared" si="5"/>
        <v/>
      </c>
      <c r="AC489" s="112" t="str">
        <f t="shared" si="6"/>
        <v/>
      </c>
      <c r="AD489" s="5"/>
      <c r="AE489" s="5"/>
    </row>
    <row r="490">
      <c r="A490" s="5" t="s">
        <v>1515</v>
      </c>
      <c r="B490" s="44">
        <v>44613.0</v>
      </c>
      <c r="C490" s="150">
        <v>0.3193634259259259</v>
      </c>
      <c r="D490" s="5"/>
      <c r="E490" s="5"/>
      <c r="F490" s="5"/>
      <c r="G490" s="5" t="s">
        <v>2184</v>
      </c>
      <c r="H490" s="5" t="s">
        <v>244</v>
      </c>
      <c r="I490" s="44">
        <v>44613.0</v>
      </c>
      <c r="J490" s="150">
        <v>0.4694097222222222</v>
      </c>
      <c r="K490" s="19">
        <v>1.0</v>
      </c>
      <c r="L490" s="10" t="b">
        <v>1</v>
      </c>
      <c r="M490" s="5" t="s">
        <v>2476</v>
      </c>
      <c r="N490" s="5" t="s">
        <v>247</v>
      </c>
      <c r="O490" s="5"/>
      <c r="P490" s="110" t="b">
        <f t="shared" si="1"/>
        <v>0</v>
      </c>
      <c r="Q490" s="110" t="b">
        <f>IF(COUNTIF(RAW_APS!$A$2:$A815,A490)=0,TRUE,FALSE)</f>
        <v>0</v>
      </c>
      <c r="R490" s="241" t="b">
        <f t="shared" si="2"/>
        <v>0</v>
      </c>
      <c r="U490" s="112" t="str">
        <f t="shared" si="3"/>
        <v/>
      </c>
      <c r="V490" s="60"/>
      <c r="W490" s="60"/>
      <c r="X490" s="60"/>
      <c r="Y490" s="60"/>
      <c r="Z490" s="210"/>
      <c r="AA490" s="112" t="str">
        <f t="shared" si="4"/>
        <v>MA210</v>
      </c>
      <c r="AB490" s="112" t="str">
        <f t="shared" si="5"/>
        <v/>
      </c>
      <c r="AC490" s="112" t="str">
        <f t="shared" si="6"/>
        <v/>
      </c>
      <c r="AD490" s="5"/>
      <c r="AE490" s="5"/>
    </row>
    <row r="491">
      <c r="A491" s="5" t="s">
        <v>1283</v>
      </c>
      <c r="B491" s="44">
        <v>44607.0</v>
      </c>
      <c r="C491" s="150">
        <v>0.3297685185185185</v>
      </c>
      <c r="D491" s="5"/>
      <c r="E491" s="5"/>
      <c r="F491" s="5"/>
      <c r="G491" s="5" t="s">
        <v>2184</v>
      </c>
      <c r="H491" s="5" t="s">
        <v>244</v>
      </c>
      <c r="I491" s="44">
        <v>44607.0</v>
      </c>
      <c r="J491" s="150">
        <v>0.5868171296296296</v>
      </c>
      <c r="K491" s="19">
        <v>1.0</v>
      </c>
      <c r="L491" s="10" t="b">
        <v>1</v>
      </c>
      <c r="M491" s="5" t="s">
        <v>2479</v>
      </c>
      <c r="N491" s="5" t="s">
        <v>247</v>
      </c>
      <c r="O491" s="5"/>
      <c r="P491" s="110" t="b">
        <f t="shared" si="1"/>
        <v>0</v>
      </c>
      <c r="Q491" s="110" t="b">
        <f>IF(COUNTIF(RAW_APS!$A$2:$A815,A491)=0,TRUE,FALSE)</f>
        <v>0</v>
      </c>
      <c r="R491" s="241" t="b">
        <f t="shared" si="2"/>
        <v>0</v>
      </c>
      <c r="U491" s="112" t="str">
        <f t="shared" si="3"/>
        <v/>
      </c>
      <c r="V491" s="60"/>
      <c r="W491" s="60"/>
      <c r="X491" s="60"/>
      <c r="Y491" s="60"/>
      <c r="Z491" s="210"/>
      <c r="AA491" s="112" t="str">
        <f t="shared" si="4"/>
        <v>MA211</v>
      </c>
      <c r="AB491" s="112" t="str">
        <f t="shared" si="5"/>
        <v/>
      </c>
      <c r="AC491" s="112" t="str">
        <f t="shared" si="6"/>
        <v/>
      </c>
      <c r="AD491" s="5"/>
      <c r="AE491" s="5"/>
    </row>
    <row r="492">
      <c r="A492" s="5" t="s">
        <v>1931</v>
      </c>
      <c r="B492" s="44">
        <v>44625.0</v>
      </c>
      <c r="C492" s="150">
        <v>0.3098148148148148</v>
      </c>
      <c r="D492" s="5"/>
      <c r="E492" s="5"/>
      <c r="F492" s="5"/>
      <c r="G492" s="5" t="s">
        <v>2184</v>
      </c>
      <c r="H492" s="5" t="s">
        <v>244</v>
      </c>
      <c r="I492" s="44">
        <v>44625.0</v>
      </c>
      <c r="J492" s="150">
        <v>0.48974537037037036</v>
      </c>
      <c r="K492" s="19">
        <v>1.0</v>
      </c>
      <c r="L492" s="10" t="b">
        <v>1</v>
      </c>
      <c r="M492" s="5" t="s">
        <v>2467</v>
      </c>
      <c r="N492" s="5" t="s">
        <v>247</v>
      </c>
      <c r="O492" s="5"/>
      <c r="P492" s="110" t="b">
        <f t="shared" si="1"/>
        <v>0</v>
      </c>
      <c r="Q492" s="110" t="b">
        <f>IF(COUNTIF(RAW_APS!$A$2:$A815,A492)=0,TRUE,FALSE)</f>
        <v>0</v>
      </c>
      <c r="R492" s="241" t="b">
        <f t="shared" si="2"/>
        <v>0</v>
      </c>
      <c r="U492" s="112" t="str">
        <f t="shared" si="3"/>
        <v/>
      </c>
      <c r="V492" s="60"/>
      <c r="W492" s="60"/>
      <c r="X492" s="60"/>
      <c r="Y492" s="60"/>
      <c r="Z492" s="210"/>
      <c r="AA492" s="112" t="str">
        <f t="shared" si="4"/>
        <v>MA213</v>
      </c>
      <c r="AB492" s="112" t="str">
        <f t="shared" si="5"/>
        <v/>
      </c>
      <c r="AC492" s="112" t="str">
        <f t="shared" si="6"/>
        <v/>
      </c>
      <c r="AD492" s="5"/>
      <c r="AE492" s="5"/>
    </row>
    <row r="493">
      <c r="A493" s="5" t="s">
        <v>1558</v>
      </c>
      <c r="B493" s="44">
        <v>44615.0</v>
      </c>
      <c r="C493" s="150">
        <v>0.30931712962962965</v>
      </c>
      <c r="D493" s="5"/>
      <c r="E493" s="5"/>
      <c r="F493" s="5"/>
      <c r="G493" s="5" t="s">
        <v>2184</v>
      </c>
      <c r="H493" s="5" t="s">
        <v>52</v>
      </c>
      <c r="I493" s="44">
        <v>44615.0</v>
      </c>
      <c r="J493" s="150">
        <v>0.4912384259259259</v>
      </c>
      <c r="K493" s="19">
        <v>1.0</v>
      </c>
      <c r="L493" s="10" t="b">
        <v>1</v>
      </c>
      <c r="M493" s="5" t="s">
        <v>2474</v>
      </c>
      <c r="N493" s="5" t="s">
        <v>247</v>
      </c>
      <c r="O493" s="5"/>
      <c r="P493" s="110" t="b">
        <f t="shared" si="1"/>
        <v>0</v>
      </c>
      <c r="Q493" s="110" t="b">
        <f>IF(COUNTIF(RAW_APS!$A$2:$A815,A493)=0,TRUE,FALSE)</f>
        <v>0</v>
      </c>
      <c r="R493" s="241" t="b">
        <f t="shared" si="2"/>
        <v>0</v>
      </c>
      <c r="U493" s="112" t="str">
        <f t="shared" si="3"/>
        <v/>
      </c>
      <c r="V493" s="60"/>
      <c r="W493" s="60"/>
      <c r="X493" s="60"/>
      <c r="Y493" s="60"/>
      <c r="Z493" s="210"/>
      <c r="AA493" s="112" t="str">
        <f t="shared" si="4"/>
        <v>MA214</v>
      </c>
      <c r="AB493" s="112" t="str">
        <f t="shared" si="5"/>
        <v/>
      </c>
      <c r="AC493" s="112" t="str">
        <f t="shared" si="6"/>
        <v/>
      </c>
      <c r="AD493" s="5"/>
      <c r="AE493" s="5"/>
    </row>
    <row r="494">
      <c r="A494" s="5" t="s">
        <v>1222</v>
      </c>
      <c r="B494" s="44">
        <v>44607.0</v>
      </c>
      <c r="C494" s="150">
        <v>0.29422453703703705</v>
      </c>
      <c r="D494" s="5"/>
      <c r="E494" s="5"/>
      <c r="F494" s="5"/>
      <c r="G494" s="5" t="s">
        <v>2188</v>
      </c>
      <c r="H494" s="5" t="s">
        <v>254</v>
      </c>
      <c r="I494" s="44">
        <v>44861.0</v>
      </c>
      <c r="J494" s="150">
        <v>0.4895023148148148</v>
      </c>
      <c r="K494" s="19">
        <v>1.0</v>
      </c>
      <c r="L494" s="5"/>
      <c r="M494" s="5"/>
      <c r="N494" s="5" t="s">
        <v>247</v>
      </c>
      <c r="O494" s="5"/>
      <c r="P494" s="110" t="b">
        <f t="shared" si="1"/>
        <v>0</v>
      </c>
      <c r="Q494" s="110" t="b">
        <f>IF(COUNTIF(RAW_APS!$A$2:$A815,A494)=0,TRUE,FALSE)</f>
        <v>0</v>
      </c>
      <c r="R494" s="241" t="b">
        <f t="shared" si="2"/>
        <v>0</v>
      </c>
      <c r="U494" s="112" t="str">
        <f t="shared" si="3"/>
        <v/>
      </c>
      <c r="V494" s="60"/>
      <c r="W494" s="60"/>
      <c r="X494" s="60"/>
      <c r="Y494" s="60"/>
      <c r="Z494" s="210"/>
      <c r="AA494" s="112" t="str">
        <f t="shared" si="4"/>
        <v>MA217</v>
      </c>
      <c r="AB494" s="112" t="str">
        <f t="shared" si="5"/>
        <v/>
      </c>
      <c r="AC494" s="112" t="str">
        <f t="shared" si="6"/>
        <v/>
      </c>
      <c r="AD494" s="5"/>
      <c r="AE494" s="5"/>
    </row>
    <row r="495">
      <c r="A495" s="5" t="s">
        <v>515</v>
      </c>
      <c r="B495" s="44">
        <v>44566.0</v>
      </c>
      <c r="C495" s="150">
        <v>0.3307638888888889</v>
      </c>
      <c r="D495" s="5"/>
      <c r="E495" s="5"/>
      <c r="F495" s="5"/>
      <c r="G495" s="5" t="s">
        <v>2184</v>
      </c>
      <c r="H495" s="5" t="s">
        <v>52</v>
      </c>
      <c r="I495" s="44">
        <v>44568.0</v>
      </c>
      <c r="J495" s="150">
        <v>0.508275462962963</v>
      </c>
      <c r="K495" s="19">
        <v>1.0</v>
      </c>
      <c r="L495" s="10" t="b">
        <v>1</v>
      </c>
      <c r="M495" s="5"/>
      <c r="N495" s="5" t="s">
        <v>247</v>
      </c>
      <c r="O495" s="5"/>
      <c r="P495" s="110" t="b">
        <f t="shared" si="1"/>
        <v>0</v>
      </c>
      <c r="Q495" s="110" t="b">
        <f>IF(COUNTIF(RAW_APS!$A$2:$A815,A495)=0,TRUE,FALSE)</f>
        <v>0</v>
      </c>
      <c r="R495" s="241" t="b">
        <f t="shared" si="2"/>
        <v>0</v>
      </c>
      <c r="U495" s="112" t="str">
        <f t="shared" si="3"/>
        <v/>
      </c>
      <c r="V495" s="60"/>
      <c r="W495" s="60"/>
      <c r="X495" s="60"/>
      <c r="Y495" s="60"/>
      <c r="Z495" s="210"/>
      <c r="AA495" s="112" t="str">
        <f t="shared" si="4"/>
        <v>MA218</v>
      </c>
      <c r="AB495" s="112" t="str">
        <f t="shared" si="5"/>
        <v/>
      </c>
      <c r="AC495" s="112" t="str">
        <f t="shared" si="6"/>
        <v/>
      </c>
      <c r="AD495" s="5"/>
      <c r="AE495" s="5"/>
    </row>
    <row r="496">
      <c r="A496" s="5" t="s">
        <v>1503</v>
      </c>
      <c r="B496" s="44">
        <v>44613.0</v>
      </c>
      <c r="C496" s="150">
        <v>0.3148726851851852</v>
      </c>
      <c r="D496" s="5"/>
      <c r="E496" s="5"/>
      <c r="F496" s="5"/>
      <c r="G496" s="5" t="s">
        <v>2184</v>
      </c>
      <c r="H496" s="5" t="s">
        <v>244</v>
      </c>
      <c r="I496" s="44">
        <v>44613.0</v>
      </c>
      <c r="J496" s="150">
        <v>0.4693981481481482</v>
      </c>
      <c r="K496" s="19">
        <v>1.0</v>
      </c>
      <c r="L496" s="10" t="b">
        <v>1</v>
      </c>
      <c r="M496" s="5" t="s">
        <v>2476</v>
      </c>
      <c r="N496" s="5" t="s">
        <v>247</v>
      </c>
      <c r="O496" s="5"/>
      <c r="P496" s="110" t="b">
        <f t="shared" si="1"/>
        <v>0</v>
      </c>
      <c r="Q496" s="110" t="b">
        <f>IF(COUNTIF(RAW_APS!$A$2:$A815,A496)=0,TRUE,FALSE)</f>
        <v>0</v>
      </c>
      <c r="R496" s="241" t="b">
        <f t="shared" si="2"/>
        <v>0</v>
      </c>
      <c r="U496" s="112" t="str">
        <f t="shared" si="3"/>
        <v/>
      </c>
      <c r="V496" s="60"/>
      <c r="W496" s="60"/>
      <c r="X496" s="60"/>
      <c r="Y496" s="60"/>
      <c r="Z496" s="210"/>
      <c r="AA496" s="112" t="str">
        <f t="shared" si="4"/>
        <v>MA219</v>
      </c>
      <c r="AB496" s="112" t="str">
        <f t="shared" si="5"/>
        <v/>
      </c>
      <c r="AC496" s="112" t="str">
        <f t="shared" si="6"/>
        <v/>
      </c>
      <c r="AD496" s="5"/>
      <c r="AE496" s="5"/>
    </row>
    <row r="497">
      <c r="A497" s="5" t="s">
        <v>998</v>
      </c>
      <c r="B497" s="44">
        <v>44585.0</v>
      </c>
      <c r="C497" s="150">
        <v>0.3088310185185185</v>
      </c>
      <c r="D497" s="5"/>
      <c r="E497" s="5"/>
      <c r="F497" s="5"/>
      <c r="G497" s="5" t="s">
        <v>2184</v>
      </c>
      <c r="H497" s="5" t="s">
        <v>244</v>
      </c>
      <c r="I497" s="44">
        <v>44585.0</v>
      </c>
      <c r="J497" s="150">
        <v>0.46827546296296296</v>
      </c>
      <c r="K497" s="19">
        <v>1.0</v>
      </c>
      <c r="L497" s="10" t="b">
        <v>1</v>
      </c>
      <c r="M497" s="5"/>
      <c r="N497" s="5" t="s">
        <v>247</v>
      </c>
      <c r="O497" s="5"/>
      <c r="P497" s="110" t="b">
        <f t="shared" si="1"/>
        <v>0</v>
      </c>
      <c r="Q497" s="110" t="b">
        <f>IF(COUNTIF(RAW_APS!$A$2:$A815,A497)=0,TRUE,FALSE)</f>
        <v>0</v>
      </c>
      <c r="R497" s="241" t="b">
        <f t="shared" si="2"/>
        <v>0</v>
      </c>
      <c r="U497" s="112" t="str">
        <f t="shared" si="3"/>
        <v/>
      </c>
      <c r="V497" s="60"/>
      <c r="W497" s="60"/>
      <c r="X497" s="60"/>
      <c r="Y497" s="60"/>
      <c r="Z497" s="210"/>
      <c r="AA497" s="112" t="str">
        <f t="shared" si="4"/>
        <v>MA221</v>
      </c>
      <c r="AB497" s="112" t="str">
        <f t="shared" si="5"/>
        <v/>
      </c>
      <c r="AC497" s="112" t="str">
        <f t="shared" si="6"/>
        <v/>
      </c>
      <c r="AD497" s="5"/>
      <c r="AE497" s="5"/>
    </row>
    <row r="498">
      <c r="A498" s="5" t="s">
        <v>1554</v>
      </c>
      <c r="B498" s="44">
        <v>44615.0</v>
      </c>
      <c r="C498" s="150">
        <v>0.3086689814814815</v>
      </c>
      <c r="D498" s="5"/>
      <c r="E498" s="5"/>
      <c r="F498" s="5"/>
      <c r="G498" s="5" t="s">
        <v>2184</v>
      </c>
      <c r="H498" s="5" t="s">
        <v>52</v>
      </c>
      <c r="I498" s="44">
        <v>44615.0</v>
      </c>
      <c r="J498" s="150">
        <v>0.4912384259259259</v>
      </c>
      <c r="K498" s="19">
        <v>1.0</v>
      </c>
      <c r="L498" s="10" t="b">
        <v>1</v>
      </c>
      <c r="M498" s="5" t="s">
        <v>2474</v>
      </c>
      <c r="N498" s="5" t="s">
        <v>247</v>
      </c>
      <c r="O498" s="5"/>
      <c r="P498" s="110" t="b">
        <f t="shared" si="1"/>
        <v>0</v>
      </c>
      <c r="Q498" s="110" t="b">
        <f>IF(COUNTIF(RAW_APS!$A$2:$A815,A498)=0,TRUE,FALSE)</f>
        <v>0</v>
      </c>
      <c r="R498" s="241" t="b">
        <f t="shared" si="2"/>
        <v>0</v>
      </c>
      <c r="U498" s="112" t="str">
        <f t="shared" si="3"/>
        <v/>
      </c>
      <c r="V498" s="60"/>
      <c r="W498" s="60"/>
      <c r="X498" s="60"/>
      <c r="Y498" s="60"/>
      <c r="Z498" s="210"/>
      <c r="AA498" s="112" t="str">
        <f t="shared" si="4"/>
        <v>MA222</v>
      </c>
      <c r="AB498" s="112" t="str">
        <f t="shared" si="5"/>
        <v/>
      </c>
      <c r="AC498" s="112" t="str">
        <f t="shared" si="6"/>
        <v/>
      </c>
      <c r="AD498" s="5"/>
      <c r="AE498" s="5"/>
    </row>
    <row r="499">
      <c r="A499" s="5" t="s">
        <v>1625</v>
      </c>
      <c r="B499" s="44">
        <v>44617.0</v>
      </c>
      <c r="C499" s="150">
        <v>0.30461805555555554</v>
      </c>
      <c r="D499" s="5"/>
      <c r="E499" s="5"/>
      <c r="F499" s="5"/>
      <c r="G499" s="5" t="s">
        <v>2184</v>
      </c>
      <c r="H499" s="5" t="s">
        <v>244</v>
      </c>
      <c r="I499" s="44">
        <v>44617.0</v>
      </c>
      <c r="J499" s="150">
        <v>0.5033680555555555</v>
      </c>
      <c r="K499" s="19">
        <v>1.0</v>
      </c>
      <c r="L499" s="10" t="b">
        <v>1</v>
      </c>
      <c r="M499" s="5" t="s">
        <v>2473</v>
      </c>
      <c r="N499" s="5" t="s">
        <v>247</v>
      </c>
      <c r="O499" s="5"/>
      <c r="P499" s="110" t="b">
        <f t="shared" si="1"/>
        <v>0</v>
      </c>
      <c r="Q499" s="110" t="b">
        <f>IF(COUNTIF(RAW_APS!$A$2:$A815,A499)=0,TRUE,FALSE)</f>
        <v>0</v>
      </c>
      <c r="R499" s="241" t="b">
        <f t="shared" si="2"/>
        <v>0</v>
      </c>
      <c r="U499" s="112" t="str">
        <f t="shared" si="3"/>
        <v/>
      </c>
      <c r="V499" s="60"/>
      <c r="W499" s="60"/>
      <c r="X499" s="60"/>
      <c r="Y499" s="60"/>
      <c r="Z499" s="210"/>
      <c r="AA499" s="112" t="str">
        <f t="shared" si="4"/>
        <v>MA225</v>
      </c>
      <c r="AB499" s="112" t="str">
        <f t="shared" si="5"/>
        <v/>
      </c>
      <c r="AC499" s="112" t="str">
        <f t="shared" si="6"/>
        <v/>
      </c>
      <c r="AD499" s="5"/>
      <c r="AE499" s="5"/>
    </row>
    <row r="500">
      <c r="A500" s="5" t="s">
        <v>1319</v>
      </c>
      <c r="B500" s="44">
        <v>44609.0</v>
      </c>
      <c r="C500" s="150">
        <v>0.29255787037037034</v>
      </c>
      <c r="D500" s="5"/>
      <c r="E500" s="5"/>
      <c r="F500" s="5"/>
      <c r="G500" s="5" t="s">
        <v>2184</v>
      </c>
      <c r="H500" s="5" t="s">
        <v>244</v>
      </c>
      <c r="I500" s="44">
        <v>44611.0</v>
      </c>
      <c r="J500" s="150">
        <v>0.3895601851851852</v>
      </c>
      <c r="K500" s="19">
        <v>1.0</v>
      </c>
      <c r="L500" s="10" t="b">
        <v>1</v>
      </c>
      <c r="M500" s="5" t="s">
        <v>2478</v>
      </c>
      <c r="N500" s="5" t="s">
        <v>247</v>
      </c>
      <c r="O500" s="5"/>
      <c r="P500" s="110" t="b">
        <f t="shared" si="1"/>
        <v>0</v>
      </c>
      <c r="Q500" s="110" t="b">
        <f>IF(COUNTIF(RAW_APS!$A$2:$A815,A500)=0,TRUE,FALSE)</f>
        <v>0</v>
      </c>
      <c r="R500" s="241" t="b">
        <f t="shared" si="2"/>
        <v>0</v>
      </c>
      <c r="U500" s="112" t="str">
        <f t="shared" si="3"/>
        <v/>
      </c>
      <c r="V500" s="60"/>
      <c r="W500" s="60"/>
      <c r="X500" s="60"/>
      <c r="Y500" s="60"/>
      <c r="Z500" s="210"/>
      <c r="AA500" s="112" t="str">
        <f t="shared" si="4"/>
        <v>MA226</v>
      </c>
      <c r="AB500" s="112" t="str">
        <f t="shared" si="5"/>
        <v/>
      </c>
      <c r="AC500" s="112" t="str">
        <f t="shared" si="6"/>
        <v/>
      </c>
      <c r="AD500" s="5"/>
      <c r="AE500" s="5"/>
    </row>
    <row r="501">
      <c r="A501" s="5" t="s">
        <v>1527</v>
      </c>
      <c r="B501" s="44">
        <v>44613.0</v>
      </c>
      <c r="C501" s="150">
        <v>0.3221643518518518</v>
      </c>
      <c r="D501" s="5"/>
      <c r="E501" s="5"/>
      <c r="F501" s="5"/>
      <c r="G501" s="5" t="s">
        <v>2184</v>
      </c>
      <c r="H501" s="5" t="s">
        <v>244</v>
      </c>
      <c r="I501" s="44">
        <v>44613.0</v>
      </c>
      <c r="J501" s="150">
        <v>0.4694097222222222</v>
      </c>
      <c r="K501" s="19">
        <v>1.0</v>
      </c>
      <c r="L501" s="10" t="b">
        <v>1</v>
      </c>
      <c r="M501" s="5" t="s">
        <v>2476</v>
      </c>
      <c r="N501" s="5" t="s">
        <v>247</v>
      </c>
      <c r="O501" s="5"/>
      <c r="P501" s="110" t="b">
        <f t="shared" si="1"/>
        <v>0</v>
      </c>
      <c r="Q501" s="110" t="b">
        <f>IF(COUNTIF(RAW_APS!$A$2:$A815,A501)=0,TRUE,FALSE)</f>
        <v>0</v>
      </c>
      <c r="R501" s="241" t="b">
        <f t="shared" si="2"/>
        <v>0</v>
      </c>
      <c r="U501" s="112" t="str">
        <f t="shared" si="3"/>
        <v/>
      </c>
      <c r="V501" s="60"/>
      <c r="W501" s="60"/>
      <c r="X501" s="60"/>
      <c r="Y501" s="60"/>
      <c r="Z501" s="210"/>
      <c r="AA501" s="112" t="str">
        <f t="shared" si="4"/>
        <v>MA227</v>
      </c>
      <c r="AB501" s="112" t="str">
        <f t="shared" si="5"/>
        <v/>
      </c>
      <c r="AC501" s="112" t="str">
        <f t="shared" si="6"/>
        <v/>
      </c>
      <c r="AD501" s="5"/>
      <c r="AE501" s="5"/>
    </row>
    <row r="502">
      <c r="A502" s="5" t="s">
        <v>1476</v>
      </c>
      <c r="B502" s="44">
        <v>44611.0</v>
      </c>
      <c r="C502" s="150">
        <v>0.4735300925925926</v>
      </c>
      <c r="D502" s="5"/>
      <c r="E502" s="5"/>
      <c r="F502" s="5"/>
      <c r="G502" s="5" t="s">
        <v>2184</v>
      </c>
      <c r="H502" s="5" t="s">
        <v>244</v>
      </c>
      <c r="I502" s="44">
        <v>44611.0</v>
      </c>
      <c r="J502" s="150">
        <v>0.4882638888888889</v>
      </c>
      <c r="K502" s="19">
        <v>1.0</v>
      </c>
      <c r="L502" s="10" t="b">
        <v>1</v>
      </c>
      <c r="M502" s="5" t="s">
        <v>2477</v>
      </c>
      <c r="N502" s="5" t="s">
        <v>247</v>
      </c>
      <c r="O502" s="5"/>
      <c r="P502" s="110" t="b">
        <f t="shared" si="1"/>
        <v>0</v>
      </c>
      <c r="Q502" s="110" t="b">
        <f>IF(COUNTIF(RAW_APS!$A$2:$A815,A502)=0,TRUE,FALSE)</f>
        <v>0</v>
      </c>
      <c r="R502" s="241" t="b">
        <f t="shared" si="2"/>
        <v>0</v>
      </c>
      <c r="U502" s="112" t="str">
        <f t="shared" si="3"/>
        <v/>
      </c>
      <c r="V502" s="60"/>
      <c r="W502" s="60"/>
      <c r="X502" s="60"/>
      <c r="Y502" s="60"/>
      <c r="Z502" s="210"/>
      <c r="AA502" s="112" t="str">
        <f t="shared" si="4"/>
        <v>MA229</v>
      </c>
      <c r="AB502" s="112" t="str">
        <f t="shared" si="5"/>
        <v/>
      </c>
      <c r="AC502" s="112" t="str">
        <f t="shared" si="6"/>
        <v/>
      </c>
      <c r="AD502" s="5"/>
      <c r="AE502" s="5"/>
    </row>
    <row r="503">
      <c r="A503" s="5" t="s">
        <v>519</v>
      </c>
      <c r="B503" s="44">
        <v>44566.0</v>
      </c>
      <c r="C503" s="150">
        <v>0.3388888888888889</v>
      </c>
      <c r="D503" s="5"/>
      <c r="E503" s="5"/>
      <c r="F503" s="5"/>
      <c r="G503" s="5" t="s">
        <v>2184</v>
      </c>
      <c r="H503" s="5" t="s">
        <v>244</v>
      </c>
      <c r="I503" s="44">
        <v>44566.0</v>
      </c>
      <c r="J503" s="150">
        <v>0.4565625</v>
      </c>
      <c r="K503" s="19">
        <v>1.0</v>
      </c>
      <c r="L503" s="10" t="b">
        <v>1</v>
      </c>
      <c r="M503" s="5" t="s">
        <v>2499</v>
      </c>
      <c r="N503" s="5" t="s">
        <v>247</v>
      </c>
      <c r="O503" s="5"/>
      <c r="P503" s="110" t="b">
        <f t="shared" si="1"/>
        <v>0</v>
      </c>
      <c r="Q503" s="110" t="b">
        <f>IF(COUNTIF(RAW_APS!$A$2:$A815,A503)=0,TRUE,FALSE)</f>
        <v>0</v>
      </c>
      <c r="R503" s="241" t="b">
        <f t="shared" si="2"/>
        <v>0</v>
      </c>
      <c r="U503" s="112" t="str">
        <f t="shared" si="3"/>
        <v/>
      </c>
      <c r="V503" s="60"/>
      <c r="W503" s="60"/>
      <c r="X503" s="60"/>
      <c r="Y503" s="60"/>
      <c r="Z503" s="210"/>
      <c r="AA503" s="112" t="str">
        <f t="shared" si="4"/>
        <v>MA230</v>
      </c>
      <c r="AB503" s="112" t="str">
        <f t="shared" si="5"/>
        <v/>
      </c>
      <c r="AC503" s="112" t="str">
        <f t="shared" si="6"/>
        <v/>
      </c>
      <c r="AD503" s="5"/>
      <c r="AE503" s="5"/>
    </row>
    <row r="504">
      <c r="A504" s="5" t="s">
        <v>1556</v>
      </c>
      <c r="B504" s="44">
        <v>44615.0</v>
      </c>
      <c r="C504" s="150">
        <v>0.3092361111111111</v>
      </c>
      <c r="D504" s="5"/>
      <c r="E504" s="5"/>
      <c r="F504" s="5"/>
      <c r="G504" s="5" t="s">
        <v>2184</v>
      </c>
      <c r="H504" s="5" t="s">
        <v>52</v>
      </c>
      <c r="I504" s="44">
        <v>44615.0</v>
      </c>
      <c r="J504" s="150">
        <v>0.4912384259259259</v>
      </c>
      <c r="K504" s="19">
        <v>1.0</v>
      </c>
      <c r="L504" s="10" t="b">
        <v>1</v>
      </c>
      <c r="M504" s="5" t="s">
        <v>2474</v>
      </c>
      <c r="N504" s="5" t="s">
        <v>247</v>
      </c>
      <c r="O504" s="5"/>
      <c r="P504" s="110" t="b">
        <f t="shared" si="1"/>
        <v>0</v>
      </c>
      <c r="Q504" s="110" t="b">
        <f>IF(COUNTIF(RAW_APS!$A$2:$A815,A504)=0,TRUE,FALSE)</f>
        <v>0</v>
      </c>
      <c r="R504" s="241" t="b">
        <f t="shared" si="2"/>
        <v>0</v>
      </c>
      <c r="U504" s="112" t="str">
        <f t="shared" si="3"/>
        <v/>
      </c>
      <c r="V504" s="60"/>
      <c r="W504" s="60"/>
      <c r="X504" s="60"/>
      <c r="Y504" s="60"/>
      <c r="Z504" s="210"/>
      <c r="AA504" s="112" t="str">
        <f t="shared" si="4"/>
        <v>MA231</v>
      </c>
      <c r="AB504" s="112" t="str">
        <f t="shared" si="5"/>
        <v/>
      </c>
      <c r="AC504" s="112" t="str">
        <f t="shared" si="6"/>
        <v/>
      </c>
      <c r="AD504" s="5"/>
      <c r="AE504" s="5"/>
    </row>
    <row r="505">
      <c r="A505" s="5" t="s">
        <v>627</v>
      </c>
      <c r="B505" s="44">
        <v>44571.0</v>
      </c>
      <c r="C505" s="150">
        <v>0.3261689814814815</v>
      </c>
      <c r="D505" s="5"/>
      <c r="E505" s="5"/>
      <c r="F505" s="5"/>
      <c r="G505" s="5" t="s">
        <v>2184</v>
      </c>
      <c r="H505" s="5" t="s">
        <v>244</v>
      </c>
      <c r="I505" s="44">
        <v>44571.0</v>
      </c>
      <c r="J505" s="150">
        <v>0.46598379629629627</v>
      </c>
      <c r="K505" s="19">
        <v>0.0</v>
      </c>
      <c r="L505" s="10" t="b">
        <v>1</v>
      </c>
      <c r="M505" s="5" t="s">
        <v>2496</v>
      </c>
      <c r="N505" s="5" t="s">
        <v>247</v>
      </c>
      <c r="O505" s="5"/>
      <c r="P505" s="110" t="b">
        <f t="shared" si="1"/>
        <v>1</v>
      </c>
      <c r="Q505" s="110" t="b">
        <f>IF(COUNTIF(RAW_APS!$A$2:$A815,A505)=0,TRUE,FALSE)</f>
        <v>1</v>
      </c>
      <c r="R505" s="241" t="b">
        <f t="shared" si="2"/>
        <v>0</v>
      </c>
      <c r="U505" s="112" t="str">
        <f t="shared" si="3"/>
        <v/>
      </c>
      <c r="V505" s="51"/>
      <c r="W505" s="51"/>
      <c r="X505" s="51"/>
      <c r="Y505" s="51"/>
      <c r="Z505" s="210"/>
      <c r="AA505" s="112" t="str">
        <f t="shared" si="4"/>
        <v>MA233</v>
      </c>
      <c r="AB505" s="112" t="str">
        <f t="shared" si="5"/>
        <v/>
      </c>
      <c r="AC505" s="112" t="str">
        <f t="shared" si="6"/>
        <v/>
      </c>
      <c r="AD505" s="5"/>
      <c r="AE505" s="5"/>
    </row>
    <row r="506">
      <c r="A506" s="5" t="s">
        <v>1627</v>
      </c>
      <c r="B506" s="44">
        <v>44617.0</v>
      </c>
      <c r="C506" s="150">
        <v>0.30627314814814816</v>
      </c>
      <c r="D506" s="5"/>
      <c r="E506" s="5"/>
      <c r="F506" s="5"/>
      <c r="G506" s="5" t="s">
        <v>2184</v>
      </c>
      <c r="H506" s="5" t="s">
        <v>244</v>
      </c>
      <c r="I506" s="44">
        <v>44617.0</v>
      </c>
      <c r="J506" s="150">
        <v>0.5033680555555555</v>
      </c>
      <c r="K506" s="19">
        <v>1.0</v>
      </c>
      <c r="L506" s="10" t="b">
        <v>1</v>
      </c>
      <c r="M506" s="5" t="s">
        <v>2473</v>
      </c>
      <c r="N506" s="5" t="s">
        <v>247</v>
      </c>
      <c r="O506" s="5"/>
      <c r="P506" s="110" t="b">
        <f t="shared" si="1"/>
        <v>0</v>
      </c>
      <c r="Q506" s="110" t="b">
        <f>IF(COUNTIF(RAW_APS!$A$2:$A815,A506)=0,TRUE,FALSE)</f>
        <v>0</v>
      </c>
      <c r="R506" s="241" t="b">
        <f t="shared" si="2"/>
        <v>0</v>
      </c>
      <c r="U506" s="112" t="str">
        <f t="shared" si="3"/>
        <v/>
      </c>
      <c r="V506" s="60"/>
      <c r="W506" s="60"/>
      <c r="X506" s="60"/>
      <c r="Y506" s="60"/>
      <c r="Z506" s="210"/>
      <c r="AA506" s="112" t="str">
        <f t="shared" si="4"/>
        <v>MA234</v>
      </c>
      <c r="AB506" s="112" t="str">
        <f t="shared" si="5"/>
        <v/>
      </c>
      <c r="AC506" s="112" t="str">
        <f t="shared" si="6"/>
        <v/>
      </c>
      <c r="AD506" s="5"/>
      <c r="AE506" s="5"/>
    </row>
    <row r="507">
      <c r="A507" s="5" t="s">
        <v>1392</v>
      </c>
      <c r="B507" s="44">
        <v>44609.0</v>
      </c>
      <c r="C507" s="150">
        <v>0.3439814814814815</v>
      </c>
      <c r="D507" s="5"/>
      <c r="E507" s="5"/>
      <c r="F507" s="5"/>
      <c r="G507" s="5" t="s">
        <v>2184</v>
      </c>
      <c r="H507" s="5" t="s">
        <v>244</v>
      </c>
      <c r="I507" s="44">
        <v>44611.0</v>
      </c>
      <c r="J507" s="150">
        <v>0.38958333333333334</v>
      </c>
      <c r="K507" s="19">
        <v>1.0</v>
      </c>
      <c r="L507" s="10" t="b">
        <v>1</v>
      </c>
      <c r="M507" s="5" t="s">
        <v>2478</v>
      </c>
      <c r="N507" s="5" t="s">
        <v>247</v>
      </c>
      <c r="O507" s="5"/>
      <c r="P507" s="110" t="b">
        <f t="shared" si="1"/>
        <v>0</v>
      </c>
      <c r="Q507" s="110" t="b">
        <f>IF(COUNTIF(RAW_APS!$A$2:$A815,A507)=0,TRUE,FALSE)</f>
        <v>0</v>
      </c>
      <c r="R507" s="241" t="b">
        <f t="shared" si="2"/>
        <v>0</v>
      </c>
      <c r="U507" s="112" t="str">
        <f t="shared" si="3"/>
        <v/>
      </c>
      <c r="V507" s="60"/>
      <c r="W507" s="60"/>
      <c r="X507" s="60"/>
      <c r="Y507" s="60"/>
      <c r="Z507" s="210"/>
      <c r="AA507" s="112" t="str">
        <f t="shared" si="4"/>
        <v>MA237</v>
      </c>
      <c r="AB507" s="112" t="str">
        <f t="shared" si="5"/>
        <v/>
      </c>
      <c r="AC507" s="112" t="str">
        <f t="shared" si="6"/>
        <v/>
      </c>
      <c r="AD507" s="5"/>
      <c r="AE507" s="5"/>
    </row>
    <row r="508">
      <c r="A508" s="5" t="s">
        <v>2441</v>
      </c>
      <c r="B508" s="44">
        <v>44568.0</v>
      </c>
      <c r="C508" s="150">
        <v>0.34716435185185185</v>
      </c>
      <c r="D508" s="5"/>
      <c r="E508" s="5"/>
      <c r="F508" s="5"/>
      <c r="G508" s="5" t="s">
        <v>2184</v>
      </c>
      <c r="H508" s="5" t="s">
        <v>244</v>
      </c>
      <c r="I508" s="44">
        <v>44568.0</v>
      </c>
      <c r="J508" s="150">
        <v>0.5079166666666667</v>
      </c>
      <c r="K508" s="19">
        <v>1.0</v>
      </c>
      <c r="L508" s="10" t="b">
        <v>1</v>
      </c>
      <c r="M508" s="5" t="s">
        <v>2498</v>
      </c>
      <c r="N508" s="5" t="s">
        <v>247</v>
      </c>
      <c r="O508" s="5"/>
      <c r="P508" s="110" t="b">
        <f t="shared" si="1"/>
        <v>0</v>
      </c>
      <c r="Q508" s="110" t="b">
        <f>IF(COUNTIF(RAW_APS!$A$2:$A815,A508)=0,TRUE,FALSE)</f>
        <v>0</v>
      </c>
      <c r="R508" s="241" t="b">
        <f t="shared" si="2"/>
        <v>0</v>
      </c>
      <c r="U508" s="112" t="str">
        <f t="shared" si="3"/>
        <v/>
      </c>
      <c r="V508" s="60"/>
      <c r="W508" s="60"/>
      <c r="X508" s="60"/>
      <c r="Y508" s="60"/>
      <c r="Z508" s="210"/>
      <c r="AA508" s="112" t="str">
        <f t="shared" si="4"/>
        <v>MA238</v>
      </c>
      <c r="AB508" s="112" t="str">
        <f t="shared" si="5"/>
        <v/>
      </c>
      <c r="AC508" s="112" t="str">
        <f t="shared" si="6"/>
        <v/>
      </c>
      <c r="AD508" s="5"/>
      <c r="AE508" s="5"/>
    </row>
    <row r="509">
      <c r="A509" s="5" t="s">
        <v>1411</v>
      </c>
      <c r="B509" s="44">
        <v>44611.0</v>
      </c>
      <c r="C509" s="150">
        <v>0.30855324074074075</v>
      </c>
      <c r="D509" s="5"/>
      <c r="E509" s="5"/>
      <c r="F509" s="5"/>
      <c r="G509" s="5" t="s">
        <v>2184</v>
      </c>
      <c r="H509" s="5" t="s">
        <v>244</v>
      </c>
      <c r="I509" s="44">
        <v>44611.0</v>
      </c>
      <c r="J509" s="150">
        <v>0.48824074074074075</v>
      </c>
      <c r="K509" s="19">
        <v>1.0</v>
      </c>
      <c r="L509" s="10" t="b">
        <v>1</v>
      </c>
      <c r="M509" s="5" t="s">
        <v>2477</v>
      </c>
      <c r="N509" s="5" t="s">
        <v>247</v>
      </c>
      <c r="O509" s="5"/>
      <c r="P509" s="110" t="b">
        <f t="shared" si="1"/>
        <v>0</v>
      </c>
      <c r="Q509" s="110" t="b">
        <f>IF(COUNTIF(RAW_APS!$A$2:$A815,A509)=0,TRUE,FALSE)</f>
        <v>0</v>
      </c>
      <c r="R509" s="241" t="b">
        <f t="shared" si="2"/>
        <v>0</v>
      </c>
      <c r="U509" s="112" t="str">
        <f t="shared" si="3"/>
        <v/>
      </c>
      <c r="V509" s="60"/>
      <c r="W509" s="60"/>
      <c r="X509" s="60"/>
      <c r="Y509" s="60"/>
      <c r="Z509" s="210"/>
      <c r="AA509" s="112" t="str">
        <f t="shared" si="4"/>
        <v>MA239</v>
      </c>
      <c r="AB509" s="112" t="str">
        <f t="shared" si="5"/>
        <v/>
      </c>
      <c r="AC509" s="112" t="str">
        <f t="shared" si="6"/>
        <v/>
      </c>
      <c r="AD509" s="5"/>
      <c r="AE509" s="5"/>
    </row>
    <row r="510">
      <c r="A510" s="5" t="s">
        <v>615</v>
      </c>
      <c r="B510" s="44">
        <v>44571.0</v>
      </c>
      <c r="C510" s="150">
        <v>0.2969212962962963</v>
      </c>
      <c r="D510" s="5"/>
      <c r="E510" s="5"/>
      <c r="F510" s="5"/>
      <c r="G510" s="5" t="s">
        <v>2184</v>
      </c>
      <c r="H510" s="5" t="s">
        <v>244</v>
      </c>
      <c r="I510" s="44">
        <v>44571.0</v>
      </c>
      <c r="J510" s="150">
        <v>0.46598379629629627</v>
      </c>
      <c r="K510" s="19">
        <v>1.0</v>
      </c>
      <c r="L510" s="10" t="b">
        <v>1</v>
      </c>
      <c r="M510" s="5" t="s">
        <v>2496</v>
      </c>
      <c r="N510" s="5" t="s">
        <v>247</v>
      </c>
      <c r="O510" s="5"/>
      <c r="P510" s="110" t="b">
        <f t="shared" si="1"/>
        <v>0</v>
      </c>
      <c r="Q510" s="110" t="b">
        <f>IF(COUNTIF(RAW_APS!$A$2:$A815,A510)=0,TRUE,FALSE)</f>
        <v>0</v>
      </c>
      <c r="R510" s="241" t="b">
        <f t="shared" si="2"/>
        <v>0</v>
      </c>
      <c r="U510" s="112" t="str">
        <f t="shared" si="3"/>
        <v/>
      </c>
      <c r="V510" s="60"/>
      <c r="W510" s="60"/>
      <c r="X510" s="60"/>
      <c r="Y510" s="60"/>
      <c r="Z510" s="210"/>
      <c r="AA510" s="112" t="str">
        <f t="shared" si="4"/>
        <v>MA241</v>
      </c>
      <c r="AB510" s="112" t="str">
        <f t="shared" si="5"/>
        <v/>
      </c>
      <c r="AC510" s="112" t="str">
        <f t="shared" si="6"/>
        <v/>
      </c>
      <c r="AD510" s="5"/>
      <c r="AE510" s="5"/>
    </row>
    <row r="511">
      <c r="A511" s="5" t="s">
        <v>1633</v>
      </c>
      <c r="B511" s="44">
        <v>44617.0</v>
      </c>
      <c r="C511" s="150">
        <v>0.31754629629629627</v>
      </c>
      <c r="D511" s="5"/>
      <c r="E511" s="5"/>
      <c r="F511" s="5"/>
      <c r="G511" s="5" t="s">
        <v>2184</v>
      </c>
      <c r="H511" s="5" t="s">
        <v>244</v>
      </c>
      <c r="I511" s="44">
        <v>44617.0</v>
      </c>
      <c r="J511" s="150">
        <v>0.5033680555555555</v>
      </c>
      <c r="K511" s="19">
        <v>1.0</v>
      </c>
      <c r="L511" s="10" t="b">
        <v>1</v>
      </c>
      <c r="M511" s="5" t="s">
        <v>2473</v>
      </c>
      <c r="N511" s="5" t="s">
        <v>247</v>
      </c>
      <c r="O511" s="5"/>
      <c r="P511" s="110" t="b">
        <f t="shared" si="1"/>
        <v>0</v>
      </c>
      <c r="Q511" s="110" t="b">
        <f>IF(COUNTIF(RAW_APS!$A$2:$A815,A511)=0,TRUE,FALSE)</f>
        <v>0</v>
      </c>
      <c r="R511" s="241" t="b">
        <f t="shared" si="2"/>
        <v>0</v>
      </c>
      <c r="U511" s="112" t="str">
        <f t="shared" si="3"/>
        <v/>
      </c>
      <c r="V511" s="60"/>
      <c r="W511" s="60"/>
      <c r="X511" s="60"/>
      <c r="Y511" s="60"/>
      <c r="Z511" s="210"/>
      <c r="AA511" s="112" t="str">
        <f t="shared" si="4"/>
        <v>MA243</v>
      </c>
      <c r="AB511" s="112" t="str">
        <f t="shared" si="5"/>
        <v/>
      </c>
      <c r="AC511" s="112" t="str">
        <f t="shared" si="6"/>
        <v/>
      </c>
      <c r="AD511" s="5"/>
      <c r="AE511" s="5"/>
    </row>
    <row r="512">
      <c r="A512" s="5" t="s">
        <v>1055</v>
      </c>
      <c r="B512" s="44">
        <v>44589.0</v>
      </c>
      <c r="C512" s="150">
        <v>0.33037037037037037</v>
      </c>
      <c r="D512" s="5"/>
      <c r="E512" s="5"/>
      <c r="F512" s="5"/>
      <c r="G512" s="5" t="s">
        <v>2184</v>
      </c>
      <c r="H512" s="5" t="s">
        <v>244</v>
      </c>
      <c r="I512" s="44">
        <v>44589.0</v>
      </c>
      <c r="J512" s="150">
        <v>0.48390046296296296</v>
      </c>
      <c r="K512" s="19">
        <v>1.0</v>
      </c>
      <c r="L512" s="10" t="b">
        <v>1</v>
      </c>
      <c r="M512" s="5" t="s">
        <v>2487</v>
      </c>
      <c r="N512" s="5" t="s">
        <v>247</v>
      </c>
      <c r="O512" s="5"/>
      <c r="P512" s="110" t="b">
        <f t="shared" si="1"/>
        <v>0</v>
      </c>
      <c r="Q512" s="110" t="b">
        <f>IF(COUNTIF(RAW_APS!$A$2:$A815,A512)=0,TRUE,FALSE)</f>
        <v>0</v>
      </c>
      <c r="R512" s="241" t="b">
        <f t="shared" si="2"/>
        <v>0</v>
      </c>
      <c r="U512" s="112" t="str">
        <f t="shared" si="3"/>
        <v/>
      </c>
      <c r="V512" s="60"/>
      <c r="W512" s="60"/>
      <c r="X512" s="60"/>
      <c r="Y512" s="60"/>
      <c r="Z512" s="210"/>
      <c r="AA512" s="112" t="str">
        <f t="shared" si="4"/>
        <v>MA247</v>
      </c>
      <c r="AB512" s="112" t="str">
        <f t="shared" si="5"/>
        <v/>
      </c>
      <c r="AC512" s="112" t="str">
        <f t="shared" si="6"/>
        <v/>
      </c>
      <c r="AD512" s="5"/>
      <c r="AE512" s="5"/>
    </row>
    <row r="513">
      <c r="A513" s="5" t="s">
        <v>2444</v>
      </c>
      <c r="B513" s="44">
        <v>44564.0</v>
      </c>
      <c r="C513" s="150">
        <v>0.39762731481481484</v>
      </c>
      <c r="D513" s="5"/>
      <c r="E513" s="5"/>
      <c r="F513" s="5"/>
      <c r="G513" s="5" t="s">
        <v>2184</v>
      </c>
      <c r="H513" s="5" t="s">
        <v>244</v>
      </c>
      <c r="I513" s="44">
        <v>44564.0</v>
      </c>
      <c r="J513" s="150">
        <v>0.5280439814814815</v>
      </c>
      <c r="K513" s="19">
        <v>1.0</v>
      </c>
      <c r="L513" s="10" t="b">
        <v>1</v>
      </c>
      <c r="M513" s="5" t="s">
        <v>2500</v>
      </c>
      <c r="N513" s="5" t="s">
        <v>247</v>
      </c>
      <c r="O513" s="5"/>
      <c r="P513" s="110" t="b">
        <f t="shared" si="1"/>
        <v>0</v>
      </c>
      <c r="Q513" s="110" t="b">
        <f>IF(COUNTIF(RAW_APS!$A$2:$A815,A513)=0,TRUE,FALSE)</f>
        <v>0</v>
      </c>
      <c r="R513" s="241" t="b">
        <f t="shared" si="2"/>
        <v>0</v>
      </c>
      <c r="U513" s="112" t="str">
        <f t="shared" si="3"/>
        <v/>
      </c>
      <c r="V513" s="60"/>
      <c r="W513" s="60"/>
      <c r="X513" s="60"/>
      <c r="Y513" s="60"/>
      <c r="Z513" s="210"/>
      <c r="AA513" s="112" t="str">
        <f t="shared" si="4"/>
        <v>MA248</v>
      </c>
      <c r="AB513" s="112" t="str">
        <f t="shared" si="5"/>
        <v/>
      </c>
      <c r="AC513" s="112" t="str">
        <f t="shared" si="6"/>
        <v/>
      </c>
      <c r="AD513" s="5"/>
      <c r="AE513" s="5"/>
    </row>
    <row r="514">
      <c r="A514" s="5" t="s">
        <v>1577</v>
      </c>
      <c r="B514" s="44">
        <v>44615.0</v>
      </c>
      <c r="C514" s="150">
        <v>0.3237962962962963</v>
      </c>
      <c r="D514" s="5"/>
      <c r="E514" s="5"/>
      <c r="F514" s="5"/>
      <c r="G514" s="5" t="s">
        <v>2184</v>
      </c>
      <c r="H514" s="5" t="s">
        <v>52</v>
      </c>
      <c r="I514" s="44">
        <v>44615.0</v>
      </c>
      <c r="J514" s="150">
        <v>0.49125</v>
      </c>
      <c r="K514" s="19">
        <v>1.0</v>
      </c>
      <c r="L514" s="10" t="b">
        <v>1</v>
      </c>
      <c r="M514" s="5" t="s">
        <v>2474</v>
      </c>
      <c r="N514" s="5" t="s">
        <v>247</v>
      </c>
      <c r="O514" s="5"/>
      <c r="P514" s="110" t="b">
        <f t="shared" si="1"/>
        <v>0</v>
      </c>
      <c r="Q514" s="110" t="b">
        <f>IF(COUNTIF(RAW_APS!$A$2:$A815,A514)=0,TRUE,FALSE)</f>
        <v>0</v>
      </c>
      <c r="R514" s="241" t="b">
        <f t="shared" si="2"/>
        <v>0</v>
      </c>
      <c r="U514" s="112" t="str">
        <f t="shared" si="3"/>
        <v/>
      </c>
      <c r="V514" s="60"/>
      <c r="W514" s="60"/>
      <c r="X514" s="60"/>
      <c r="Y514" s="60"/>
      <c r="Z514" s="210"/>
      <c r="AA514" s="112" t="str">
        <f t="shared" si="4"/>
        <v>MA251</v>
      </c>
      <c r="AB514" s="112" t="str">
        <f t="shared" si="5"/>
        <v/>
      </c>
      <c r="AC514" s="112" t="str">
        <f t="shared" si="6"/>
        <v/>
      </c>
      <c r="AD514" s="5"/>
      <c r="AE514" s="5"/>
    </row>
    <row r="515">
      <c r="A515" s="5" t="s">
        <v>1157</v>
      </c>
      <c r="B515" s="44">
        <v>44601.0</v>
      </c>
      <c r="C515" s="150">
        <v>0.3174074074074074</v>
      </c>
      <c r="D515" s="5"/>
      <c r="E515" s="5"/>
      <c r="F515" s="5"/>
      <c r="G515" s="5" t="s">
        <v>2184</v>
      </c>
      <c r="H515" s="5" t="s">
        <v>244</v>
      </c>
      <c r="I515" s="44">
        <v>44601.0</v>
      </c>
      <c r="J515" s="150">
        <v>0.48203703703703704</v>
      </c>
      <c r="K515" s="19">
        <v>1.0</v>
      </c>
      <c r="L515" s="10" t="b">
        <v>1</v>
      </c>
      <c r="M515" s="5" t="s">
        <v>2482</v>
      </c>
      <c r="N515" s="5" t="s">
        <v>247</v>
      </c>
      <c r="O515" s="5"/>
      <c r="P515" s="110" t="b">
        <f t="shared" si="1"/>
        <v>0</v>
      </c>
      <c r="Q515" s="110" t="b">
        <f>IF(COUNTIF(RAW_APS!$A$2:$A815,A515)=0,TRUE,FALSE)</f>
        <v>0</v>
      </c>
      <c r="R515" s="241" t="b">
        <f t="shared" si="2"/>
        <v>0</v>
      </c>
      <c r="U515" s="112" t="str">
        <f t="shared" si="3"/>
        <v/>
      </c>
      <c r="V515" s="60"/>
      <c r="W515" s="60"/>
      <c r="X515" s="60"/>
      <c r="Y515" s="60"/>
      <c r="Z515" s="210"/>
      <c r="AA515" s="112" t="str">
        <f t="shared" si="4"/>
        <v>MA252</v>
      </c>
      <c r="AB515" s="112" t="str">
        <f t="shared" si="5"/>
        <v/>
      </c>
      <c r="AC515" s="112" t="str">
        <f t="shared" si="6"/>
        <v/>
      </c>
      <c r="AD515" s="5"/>
      <c r="AE515" s="5"/>
    </row>
    <row r="516">
      <c r="A516" s="5" t="s">
        <v>1133</v>
      </c>
      <c r="B516" s="44">
        <v>44599.0</v>
      </c>
      <c r="C516" s="150">
        <v>0.33288194444444447</v>
      </c>
      <c r="D516" s="5"/>
      <c r="E516" s="5"/>
      <c r="F516" s="5"/>
      <c r="G516" s="5" t="s">
        <v>2184</v>
      </c>
      <c r="H516" s="5" t="s">
        <v>52</v>
      </c>
      <c r="I516" s="44">
        <v>44599.0</v>
      </c>
      <c r="J516" s="150">
        <v>0.4875347222222222</v>
      </c>
      <c r="K516" s="19">
        <v>1.0</v>
      </c>
      <c r="L516" s="10" t="b">
        <v>1</v>
      </c>
      <c r="M516" s="5"/>
      <c r="N516" s="5" t="s">
        <v>247</v>
      </c>
      <c r="O516" s="5"/>
      <c r="P516" s="110" t="b">
        <f t="shared" si="1"/>
        <v>0</v>
      </c>
      <c r="Q516" s="110" t="b">
        <f>IF(COUNTIF(RAW_APS!$A$2:$A815,A516)=0,TRUE,FALSE)</f>
        <v>0</v>
      </c>
      <c r="R516" s="241" t="b">
        <f t="shared" si="2"/>
        <v>0</v>
      </c>
      <c r="U516" s="112" t="str">
        <f t="shared" si="3"/>
        <v/>
      </c>
      <c r="V516" s="60"/>
      <c r="W516" s="60"/>
      <c r="X516" s="60"/>
      <c r="Y516" s="60"/>
      <c r="Z516" s="210"/>
      <c r="AA516" s="112" t="str">
        <f t="shared" si="4"/>
        <v>MA253</v>
      </c>
      <c r="AB516" s="112" t="str">
        <f t="shared" si="5"/>
        <v/>
      </c>
      <c r="AC516" s="112" t="str">
        <f t="shared" si="6"/>
        <v/>
      </c>
      <c r="AD516" s="5"/>
      <c r="AE516" s="5"/>
    </row>
    <row r="517">
      <c r="A517" s="5" t="s">
        <v>576</v>
      </c>
      <c r="B517" s="44">
        <v>44568.0</v>
      </c>
      <c r="C517" s="150">
        <v>0.3361689814814815</v>
      </c>
      <c r="D517" s="5"/>
      <c r="E517" s="5"/>
      <c r="F517" s="5"/>
      <c r="G517" s="5" t="s">
        <v>2184</v>
      </c>
      <c r="H517" s="5" t="s">
        <v>244</v>
      </c>
      <c r="I517" s="44">
        <v>44568.0</v>
      </c>
      <c r="J517" s="150">
        <v>0.5079050925925926</v>
      </c>
      <c r="K517" s="19">
        <v>1.0</v>
      </c>
      <c r="L517" s="10" t="b">
        <v>1</v>
      </c>
      <c r="M517" s="5" t="s">
        <v>2498</v>
      </c>
      <c r="N517" s="5" t="s">
        <v>247</v>
      </c>
      <c r="O517" s="5"/>
      <c r="P517" s="110" t="b">
        <f t="shared" si="1"/>
        <v>0</v>
      </c>
      <c r="Q517" s="110" t="b">
        <f>IF(COUNTIF(RAW_APS!$A$2:$A815,A517)=0,TRUE,FALSE)</f>
        <v>0</v>
      </c>
      <c r="R517" s="241" t="b">
        <f t="shared" si="2"/>
        <v>0</v>
      </c>
      <c r="U517" s="112" t="str">
        <f t="shared" si="3"/>
        <v/>
      </c>
      <c r="V517" s="60"/>
      <c r="W517" s="60"/>
      <c r="X517" s="60"/>
      <c r="Y517" s="60"/>
      <c r="Z517" s="210"/>
      <c r="AA517" s="112" t="str">
        <f t="shared" si="4"/>
        <v>MA254</v>
      </c>
      <c r="AB517" s="112" t="str">
        <f t="shared" si="5"/>
        <v/>
      </c>
      <c r="AC517" s="112" t="str">
        <f t="shared" si="6"/>
        <v/>
      </c>
      <c r="AD517" s="5"/>
      <c r="AE517" s="5"/>
    </row>
    <row r="518">
      <c r="A518" s="5" t="s">
        <v>1347</v>
      </c>
      <c r="B518" s="44">
        <v>44609.0</v>
      </c>
      <c r="C518" s="150">
        <v>0.31603009259259257</v>
      </c>
      <c r="D518" s="5"/>
      <c r="E518" s="5"/>
      <c r="F518" s="5"/>
      <c r="G518" s="5" t="s">
        <v>2184</v>
      </c>
      <c r="H518" s="5" t="s">
        <v>244</v>
      </c>
      <c r="I518" s="44">
        <v>44611.0</v>
      </c>
      <c r="J518" s="150">
        <v>0.38957175925925924</v>
      </c>
      <c r="K518" s="19">
        <v>1.0</v>
      </c>
      <c r="L518" s="10" t="b">
        <v>1</v>
      </c>
      <c r="M518" s="5" t="s">
        <v>2478</v>
      </c>
      <c r="N518" s="5" t="s">
        <v>247</v>
      </c>
      <c r="O518" s="5"/>
      <c r="P518" s="110" t="b">
        <f t="shared" si="1"/>
        <v>0</v>
      </c>
      <c r="Q518" s="110" t="b">
        <f>IF(COUNTIF(RAW_APS!$A$2:$A815,A518)=0,TRUE,FALSE)</f>
        <v>0</v>
      </c>
      <c r="R518" s="241" t="b">
        <f t="shared" si="2"/>
        <v>0</v>
      </c>
      <c r="U518" s="112" t="str">
        <f t="shared" si="3"/>
        <v/>
      </c>
      <c r="V518" s="60"/>
      <c r="W518" s="60"/>
      <c r="X518" s="60"/>
      <c r="Y518" s="60"/>
      <c r="Z518" s="210"/>
      <c r="AA518" s="112" t="str">
        <f t="shared" si="4"/>
        <v>MA255</v>
      </c>
      <c r="AB518" s="112" t="str">
        <f t="shared" si="5"/>
        <v/>
      </c>
      <c r="AC518" s="112" t="str">
        <f t="shared" si="6"/>
        <v/>
      </c>
      <c r="AD518" s="5"/>
      <c r="AE518" s="5"/>
    </row>
    <row r="519">
      <c r="A519" s="5" t="s">
        <v>1069</v>
      </c>
      <c r="B519" s="44">
        <v>44592.0</v>
      </c>
      <c r="C519" s="150">
        <v>0.3260416666666667</v>
      </c>
      <c r="D519" s="5"/>
      <c r="E519" s="5"/>
      <c r="F519" s="5"/>
      <c r="G519" s="5" t="s">
        <v>2184</v>
      </c>
      <c r="H519" s="5" t="s">
        <v>244</v>
      </c>
      <c r="I519" s="44">
        <v>44592.0</v>
      </c>
      <c r="J519" s="150">
        <v>0.46024305555555556</v>
      </c>
      <c r="K519" s="19">
        <v>1.0</v>
      </c>
      <c r="L519" s="10" t="b">
        <v>1</v>
      </c>
      <c r="M519" s="5" t="s">
        <v>2486</v>
      </c>
      <c r="N519" s="5" t="s">
        <v>247</v>
      </c>
      <c r="O519" s="5"/>
      <c r="P519" s="110" t="b">
        <f t="shared" si="1"/>
        <v>0</v>
      </c>
      <c r="Q519" s="110" t="b">
        <f>IF(COUNTIF(RAW_APS!$A$2:$A815,A519)=0,TRUE,FALSE)</f>
        <v>0</v>
      </c>
      <c r="R519" s="241" t="b">
        <f t="shared" si="2"/>
        <v>0</v>
      </c>
      <c r="U519" s="112" t="str">
        <f t="shared" si="3"/>
        <v/>
      </c>
      <c r="V519" s="60"/>
      <c r="W519" s="60"/>
      <c r="X519" s="60"/>
      <c r="Y519" s="60"/>
      <c r="Z519" s="210"/>
      <c r="AA519" s="112" t="str">
        <f t="shared" si="4"/>
        <v>MA256</v>
      </c>
      <c r="AB519" s="112" t="str">
        <f t="shared" si="5"/>
        <v/>
      </c>
      <c r="AC519" s="112" t="str">
        <f t="shared" si="6"/>
        <v/>
      </c>
      <c r="AD519" s="5"/>
      <c r="AE519" s="5"/>
    </row>
    <row r="520">
      <c r="A520" s="5" t="s">
        <v>408</v>
      </c>
      <c r="B520" s="44">
        <v>44557.0</v>
      </c>
      <c r="C520" s="150">
        <v>0.37775462962962963</v>
      </c>
      <c r="D520" s="5"/>
      <c r="E520" s="5"/>
      <c r="F520" s="5"/>
      <c r="G520" s="5" t="s">
        <v>2184</v>
      </c>
      <c r="H520" s="5" t="s">
        <v>244</v>
      </c>
      <c r="I520" s="44">
        <v>44557.0</v>
      </c>
      <c r="J520" s="150">
        <v>0.4870949074074074</v>
      </c>
      <c r="K520" s="19">
        <v>1.0</v>
      </c>
      <c r="L520" s="10" t="b">
        <v>1</v>
      </c>
      <c r="M520" s="5" t="s">
        <v>2504</v>
      </c>
      <c r="N520" s="5" t="s">
        <v>247</v>
      </c>
      <c r="O520" s="5"/>
      <c r="P520" s="110" t="b">
        <f t="shared" si="1"/>
        <v>0</v>
      </c>
      <c r="Q520" s="110" t="b">
        <f>IF(COUNTIF(RAW_APS!$A$2:$A815,A520)=0,TRUE,FALSE)</f>
        <v>0</v>
      </c>
      <c r="R520" s="241" t="b">
        <f t="shared" si="2"/>
        <v>0</v>
      </c>
      <c r="U520" s="112" t="str">
        <f t="shared" si="3"/>
        <v/>
      </c>
      <c r="V520" s="51"/>
      <c r="W520" s="51"/>
      <c r="X520" s="51"/>
      <c r="Y520" s="51"/>
      <c r="Z520" s="210"/>
      <c r="AA520" s="112" t="str">
        <f t="shared" si="4"/>
        <v>MA257</v>
      </c>
      <c r="AB520" s="112" t="str">
        <f t="shared" si="5"/>
        <v/>
      </c>
      <c r="AC520" s="112" t="str">
        <f t="shared" si="6"/>
        <v/>
      </c>
      <c r="AD520" s="5"/>
      <c r="AE520" s="5"/>
    </row>
    <row r="521">
      <c r="A521" s="5" t="s">
        <v>1351</v>
      </c>
      <c r="B521" s="44">
        <v>44609.0</v>
      </c>
      <c r="C521" s="150">
        <v>0.31873842592592594</v>
      </c>
      <c r="D521" s="5"/>
      <c r="E521" s="5"/>
      <c r="F521" s="5"/>
      <c r="G521" s="5" t="s">
        <v>2184</v>
      </c>
      <c r="H521" s="5" t="s">
        <v>244</v>
      </c>
      <c r="I521" s="44">
        <v>44611.0</v>
      </c>
      <c r="J521" s="150">
        <v>0.38957175925925924</v>
      </c>
      <c r="K521" s="19">
        <v>1.0</v>
      </c>
      <c r="L521" s="10" t="b">
        <v>1</v>
      </c>
      <c r="M521" s="5" t="s">
        <v>2478</v>
      </c>
      <c r="N521" s="5" t="s">
        <v>247</v>
      </c>
      <c r="O521" s="5"/>
      <c r="P521" s="110" t="b">
        <f t="shared" si="1"/>
        <v>0</v>
      </c>
      <c r="Q521" s="110" t="b">
        <f>IF(COUNTIF(RAW_APS!$A$2:$A815,A521)=0,TRUE,FALSE)</f>
        <v>0</v>
      </c>
      <c r="R521" s="241" t="b">
        <f t="shared" si="2"/>
        <v>0</v>
      </c>
      <c r="U521" s="112" t="str">
        <f t="shared" si="3"/>
        <v/>
      </c>
      <c r="V521" s="60"/>
      <c r="W521" s="60"/>
      <c r="X521" s="60"/>
      <c r="Y521" s="60"/>
      <c r="Z521" s="210"/>
      <c r="AA521" s="112" t="str">
        <f t="shared" si="4"/>
        <v>MA259</v>
      </c>
      <c r="AB521" s="112" t="str">
        <f t="shared" si="5"/>
        <v/>
      </c>
      <c r="AC521" s="112" t="str">
        <f t="shared" si="6"/>
        <v/>
      </c>
      <c r="AD521" s="5"/>
      <c r="AE521" s="5"/>
    </row>
    <row r="522">
      <c r="A522" s="5" t="s">
        <v>1589</v>
      </c>
      <c r="B522" s="44">
        <v>44615.0</v>
      </c>
      <c r="C522" s="150">
        <v>0.3352893518518518</v>
      </c>
      <c r="D522" s="5"/>
      <c r="E522" s="5"/>
      <c r="F522" s="5"/>
      <c r="G522" s="5" t="s">
        <v>2184</v>
      </c>
      <c r="H522" s="5" t="s">
        <v>52</v>
      </c>
      <c r="I522" s="44">
        <v>44615.0</v>
      </c>
      <c r="J522" s="150">
        <v>0.49125</v>
      </c>
      <c r="K522" s="19">
        <v>1.0</v>
      </c>
      <c r="L522" s="10" t="b">
        <v>1</v>
      </c>
      <c r="M522" s="5" t="s">
        <v>2474</v>
      </c>
      <c r="N522" s="5" t="s">
        <v>247</v>
      </c>
      <c r="O522" s="5"/>
      <c r="P522" s="110" t="b">
        <f t="shared" si="1"/>
        <v>0</v>
      </c>
      <c r="Q522" s="110" t="b">
        <f>IF(COUNTIF(RAW_APS!$A$2:$A815,A522)=0,TRUE,FALSE)</f>
        <v>0</v>
      </c>
      <c r="R522" s="241" t="b">
        <f t="shared" si="2"/>
        <v>0</v>
      </c>
      <c r="U522" s="112" t="str">
        <f t="shared" si="3"/>
        <v/>
      </c>
      <c r="V522" s="60"/>
      <c r="W522" s="60"/>
      <c r="X522" s="60"/>
      <c r="Y522" s="60"/>
      <c r="Z522" s="210"/>
      <c r="AA522" s="112" t="str">
        <f t="shared" si="4"/>
        <v>MA260</v>
      </c>
      <c r="AB522" s="112" t="str">
        <f t="shared" si="5"/>
        <v/>
      </c>
      <c r="AC522" s="112" t="str">
        <f t="shared" si="6"/>
        <v/>
      </c>
      <c r="AD522" s="5"/>
      <c r="AE522" s="5"/>
    </row>
    <row r="523">
      <c r="A523" s="5" t="s">
        <v>880</v>
      </c>
      <c r="B523" s="44">
        <v>44579.0</v>
      </c>
      <c r="C523" s="150">
        <v>0.3482060185185185</v>
      </c>
      <c r="D523" s="5"/>
      <c r="E523" s="5"/>
      <c r="F523" s="5"/>
      <c r="G523" s="5" t="s">
        <v>2184</v>
      </c>
      <c r="H523" s="5" t="s">
        <v>244</v>
      </c>
      <c r="I523" s="44">
        <v>44580.0</v>
      </c>
      <c r="J523" s="150">
        <v>0.5080208333333334</v>
      </c>
      <c r="K523" s="19">
        <v>1.0</v>
      </c>
      <c r="L523" s="10" t="b">
        <v>1</v>
      </c>
      <c r="M523" s="5" t="s">
        <v>2492</v>
      </c>
      <c r="N523" s="5" t="s">
        <v>247</v>
      </c>
      <c r="O523" s="5"/>
      <c r="P523" s="110" t="b">
        <f t="shared" si="1"/>
        <v>0</v>
      </c>
      <c r="Q523" s="110" t="b">
        <f>IF(COUNTIF(RAW_APS!$A$2:$A815,A523)=0,TRUE,FALSE)</f>
        <v>0</v>
      </c>
      <c r="R523" s="241" t="b">
        <f t="shared" si="2"/>
        <v>0</v>
      </c>
      <c r="U523" s="112" t="str">
        <f t="shared" si="3"/>
        <v/>
      </c>
      <c r="V523" s="60"/>
      <c r="W523" s="60"/>
      <c r="X523" s="60"/>
      <c r="Y523" s="60"/>
      <c r="Z523" s="210"/>
      <c r="AA523" s="112" t="str">
        <f t="shared" si="4"/>
        <v>MA262</v>
      </c>
      <c r="AB523" s="112" t="str">
        <f t="shared" si="5"/>
        <v/>
      </c>
      <c r="AC523" s="112" t="str">
        <f t="shared" si="6"/>
        <v/>
      </c>
      <c r="AD523" s="5"/>
      <c r="AE523" s="5"/>
    </row>
    <row r="524">
      <c r="A524" s="5" t="s">
        <v>511</v>
      </c>
      <c r="B524" s="44">
        <v>44566.0</v>
      </c>
      <c r="C524" s="150">
        <v>0.3297453703703704</v>
      </c>
      <c r="D524" s="5"/>
      <c r="E524" s="5"/>
      <c r="F524" s="5"/>
      <c r="G524" s="5" t="s">
        <v>2184</v>
      </c>
      <c r="H524" s="5" t="s">
        <v>52</v>
      </c>
      <c r="I524" s="44">
        <v>44568.0</v>
      </c>
      <c r="J524" s="150">
        <v>0.508275462962963</v>
      </c>
      <c r="K524" s="19">
        <v>1.0</v>
      </c>
      <c r="L524" s="10" t="b">
        <v>1</v>
      </c>
      <c r="M524" s="5"/>
      <c r="N524" s="5" t="s">
        <v>247</v>
      </c>
      <c r="O524" s="5"/>
      <c r="P524" s="110" t="b">
        <f t="shared" si="1"/>
        <v>0</v>
      </c>
      <c r="Q524" s="110" t="b">
        <f>IF(COUNTIF(RAW_APS!$A$2:$A815,A524)=0,TRUE,FALSE)</f>
        <v>0</v>
      </c>
      <c r="R524" s="241" t="b">
        <f t="shared" si="2"/>
        <v>0</v>
      </c>
      <c r="U524" s="112" t="str">
        <f t="shared" si="3"/>
        <v/>
      </c>
      <c r="V524" s="60"/>
      <c r="W524" s="60"/>
      <c r="X524" s="60"/>
      <c r="Y524" s="60"/>
      <c r="Z524" s="210"/>
      <c r="AA524" s="112" t="str">
        <f t="shared" si="4"/>
        <v>MA263</v>
      </c>
      <c r="AB524" s="112" t="str">
        <f t="shared" si="5"/>
        <v/>
      </c>
      <c r="AC524" s="112" t="str">
        <f t="shared" si="6"/>
        <v/>
      </c>
      <c r="AD524" s="5"/>
      <c r="AE524" s="5"/>
    </row>
    <row r="525">
      <c r="A525" s="5" t="s">
        <v>1659</v>
      </c>
      <c r="B525" s="44">
        <v>44617.0</v>
      </c>
      <c r="C525" s="150">
        <v>0.3303935185185185</v>
      </c>
      <c r="D525" s="5"/>
      <c r="E525" s="5"/>
      <c r="F525" s="5"/>
      <c r="G525" s="5" t="s">
        <v>2184</v>
      </c>
      <c r="H525" s="5" t="s">
        <v>244</v>
      </c>
      <c r="I525" s="44">
        <v>44617.0</v>
      </c>
      <c r="J525" s="150">
        <v>0.5033796296296297</v>
      </c>
      <c r="K525" s="19">
        <v>1.0</v>
      </c>
      <c r="L525" s="10" t="b">
        <v>1</v>
      </c>
      <c r="M525" s="5" t="s">
        <v>2473</v>
      </c>
      <c r="N525" s="5" t="s">
        <v>247</v>
      </c>
      <c r="O525" s="5"/>
      <c r="P525" s="110" t="b">
        <f t="shared" si="1"/>
        <v>0</v>
      </c>
      <c r="Q525" s="110" t="b">
        <f>IF(COUNTIF(RAW_APS!$A$2:$A815,A525)=0,TRUE,FALSE)</f>
        <v>0</v>
      </c>
      <c r="R525" s="241" t="b">
        <f t="shared" si="2"/>
        <v>0</v>
      </c>
      <c r="U525" s="112" t="str">
        <f t="shared" si="3"/>
        <v/>
      </c>
      <c r="V525" s="60"/>
      <c r="W525" s="60"/>
      <c r="X525" s="60"/>
      <c r="Y525" s="60"/>
      <c r="Z525" s="210"/>
      <c r="AA525" s="112" t="str">
        <f t="shared" si="4"/>
        <v>MA266</v>
      </c>
      <c r="AB525" s="112" t="str">
        <f t="shared" si="5"/>
        <v/>
      </c>
      <c r="AC525" s="112" t="str">
        <f t="shared" si="6"/>
        <v/>
      </c>
      <c r="AD525" s="5"/>
      <c r="AE525" s="5"/>
    </row>
    <row r="526">
      <c r="A526" s="5" t="s">
        <v>1279</v>
      </c>
      <c r="B526" s="44">
        <v>44607.0</v>
      </c>
      <c r="C526" s="150">
        <v>0.3281712962962963</v>
      </c>
      <c r="D526" s="5"/>
      <c r="E526" s="5"/>
      <c r="F526" s="5"/>
      <c r="G526" s="5" t="s">
        <v>2188</v>
      </c>
      <c r="H526" s="5" t="s">
        <v>254</v>
      </c>
      <c r="I526" s="44">
        <v>44861.0</v>
      </c>
      <c r="J526" s="150">
        <v>0.4895023148148148</v>
      </c>
      <c r="K526" s="19">
        <v>1.0</v>
      </c>
      <c r="L526" s="5"/>
      <c r="M526" s="5"/>
      <c r="N526" s="5" t="s">
        <v>247</v>
      </c>
      <c r="O526" s="5"/>
      <c r="P526" s="110" t="b">
        <f t="shared" si="1"/>
        <v>0</v>
      </c>
      <c r="Q526" s="110" t="b">
        <f>IF(COUNTIF(RAW_APS!$A$2:$A815,A526)=0,TRUE,FALSE)</f>
        <v>0</v>
      </c>
      <c r="R526" s="241" t="b">
        <f t="shared" si="2"/>
        <v>0</v>
      </c>
      <c r="U526" s="112" t="str">
        <f t="shared" si="3"/>
        <v/>
      </c>
      <c r="V526" s="60"/>
      <c r="W526" s="60"/>
      <c r="X526" s="60"/>
      <c r="Y526" s="60"/>
      <c r="Z526" s="210"/>
      <c r="AA526" s="112" t="str">
        <f t="shared" si="4"/>
        <v>MA267</v>
      </c>
      <c r="AB526" s="112" t="str">
        <f t="shared" si="5"/>
        <v/>
      </c>
      <c r="AC526" s="112" t="str">
        <f t="shared" si="6"/>
        <v/>
      </c>
      <c r="AD526" s="5"/>
      <c r="AE526" s="5"/>
    </row>
    <row r="527">
      <c r="A527" s="5" t="s">
        <v>1443</v>
      </c>
      <c r="B527" s="44">
        <v>44611.0</v>
      </c>
      <c r="C527" s="150">
        <v>0.3233333333333333</v>
      </c>
      <c r="D527" s="5"/>
      <c r="E527" s="5"/>
      <c r="F527" s="5"/>
      <c r="G527" s="5" t="s">
        <v>2184</v>
      </c>
      <c r="H527" s="5" t="s">
        <v>244</v>
      </c>
      <c r="I527" s="44">
        <v>44611.0</v>
      </c>
      <c r="J527" s="150">
        <v>0.4882523148148148</v>
      </c>
      <c r="K527" s="19">
        <v>1.0</v>
      </c>
      <c r="L527" s="10" t="b">
        <v>1</v>
      </c>
      <c r="M527" s="5" t="s">
        <v>2477</v>
      </c>
      <c r="N527" s="5" t="s">
        <v>247</v>
      </c>
      <c r="O527" s="5"/>
      <c r="P527" s="110" t="b">
        <f t="shared" si="1"/>
        <v>0</v>
      </c>
      <c r="Q527" s="110" t="b">
        <f>IF(COUNTIF(RAW_APS!$A$2:$A815,A527)=0,TRUE,FALSE)</f>
        <v>0</v>
      </c>
      <c r="R527" s="241" t="b">
        <f t="shared" si="2"/>
        <v>0</v>
      </c>
      <c r="U527" s="112" t="str">
        <f t="shared" si="3"/>
        <v/>
      </c>
      <c r="V527" s="60"/>
      <c r="W527" s="60"/>
      <c r="X527" s="60"/>
      <c r="Y527" s="60"/>
      <c r="Z527" s="210"/>
      <c r="AA527" s="112" t="str">
        <f t="shared" si="4"/>
        <v>MA268</v>
      </c>
      <c r="AB527" s="112" t="str">
        <f t="shared" si="5"/>
        <v/>
      </c>
      <c r="AC527" s="112" t="str">
        <f t="shared" si="6"/>
        <v/>
      </c>
      <c r="AD527" s="5"/>
      <c r="AE527" s="5"/>
    </row>
    <row r="528">
      <c r="A528" s="5" t="s">
        <v>2453</v>
      </c>
      <c r="B528" s="44">
        <v>44550.0</v>
      </c>
      <c r="C528" s="150">
        <v>0.401875</v>
      </c>
      <c r="D528" s="5"/>
      <c r="E528" s="5"/>
      <c r="F528" s="5"/>
      <c r="G528" s="5" t="s">
        <v>2188</v>
      </c>
      <c r="H528" s="5" t="s">
        <v>254</v>
      </c>
      <c r="I528" s="44">
        <v>44861.0</v>
      </c>
      <c r="J528" s="150">
        <v>0.4895023148148148</v>
      </c>
      <c r="K528" s="19">
        <v>1.0</v>
      </c>
      <c r="L528" s="5"/>
      <c r="M528" s="5"/>
      <c r="N528" s="5" t="s">
        <v>247</v>
      </c>
      <c r="O528" s="5"/>
      <c r="P528" s="110" t="b">
        <f t="shared" si="1"/>
        <v>0</v>
      </c>
      <c r="Q528" s="110" t="b">
        <f>IF(COUNTIF(RAW_APS!$A$2:$A815,A528)=0,TRUE,FALSE)</f>
        <v>0</v>
      </c>
      <c r="R528" s="241" t="b">
        <f t="shared" si="2"/>
        <v>1</v>
      </c>
      <c r="U528" s="112" t="str">
        <f t="shared" si="3"/>
        <v/>
      </c>
      <c r="V528" s="51"/>
      <c r="W528" s="51"/>
      <c r="X528" s="51"/>
      <c r="Y528" s="51"/>
      <c r="Z528" s="210"/>
      <c r="AA528" s="112" t="str">
        <f t="shared" si="4"/>
        <v>MA269</v>
      </c>
      <c r="AB528" s="112" t="str">
        <f t="shared" si="5"/>
        <v>MA269</v>
      </c>
      <c r="AC528" s="112">
        <f t="shared" si="6"/>
        <v>2</v>
      </c>
      <c r="AD528" s="5"/>
      <c r="AE528" s="5"/>
    </row>
    <row r="529">
      <c r="A529" s="5" t="s">
        <v>361</v>
      </c>
      <c r="B529" s="44">
        <v>44550.0</v>
      </c>
      <c r="C529" s="150">
        <v>0.4465162037037037</v>
      </c>
      <c r="D529" s="5"/>
      <c r="E529" s="5"/>
      <c r="F529" s="5"/>
      <c r="G529" s="5" t="s">
        <v>2184</v>
      </c>
      <c r="H529" s="5" t="s">
        <v>244</v>
      </c>
      <c r="I529" s="44">
        <v>44550.0</v>
      </c>
      <c r="J529" s="150">
        <v>0.4883449074074074</v>
      </c>
      <c r="K529" s="19">
        <v>1.0</v>
      </c>
      <c r="L529" s="10" t="b">
        <v>1</v>
      </c>
      <c r="M529" s="5" t="s">
        <v>2506</v>
      </c>
      <c r="N529" s="5" t="s">
        <v>247</v>
      </c>
      <c r="O529" s="5"/>
      <c r="P529" s="110" t="b">
        <f t="shared" si="1"/>
        <v>0</v>
      </c>
      <c r="Q529" s="110" t="b">
        <f>IF(COUNTIF(RAW_APS!$A$2:$A815,A529)=0,TRUE,FALSE)</f>
        <v>0</v>
      </c>
      <c r="R529" s="241" t="b">
        <f t="shared" si="2"/>
        <v>1</v>
      </c>
      <c r="U529" s="112" t="str">
        <f t="shared" si="3"/>
        <v/>
      </c>
      <c r="V529" s="51"/>
      <c r="W529" s="51"/>
      <c r="X529" s="51"/>
      <c r="Y529" s="51"/>
      <c r="Z529" s="210"/>
      <c r="AA529" s="112" t="str">
        <f t="shared" si="4"/>
        <v>MA269</v>
      </c>
      <c r="AB529" s="112" t="str">
        <f t="shared" si="5"/>
        <v/>
      </c>
      <c r="AC529" s="112" t="str">
        <f t="shared" si="6"/>
        <v/>
      </c>
      <c r="AD529" s="5"/>
      <c r="AE529" s="5"/>
    </row>
    <row r="530">
      <c r="A530" s="5" t="s">
        <v>1053</v>
      </c>
      <c r="B530" s="44">
        <v>44589.0</v>
      </c>
      <c r="C530" s="150">
        <v>0.31453703703703706</v>
      </c>
      <c r="D530" s="5"/>
      <c r="E530" s="5"/>
      <c r="F530" s="5"/>
      <c r="G530" s="5" t="s">
        <v>2184</v>
      </c>
      <c r="H530" s="5" t="s">
        <v>244</v>
      </c>
      <c r="I530" s="44">
        <v>44589.0</v>
      </c>
      <c r="J530" s="150">
        <v>0.48390046296296296</v>
      </c>
      <c r="K530" s="19">
        <v>1.0</v>
      </c>
      <c r="L530" s="10" t="b">
        <v>1</v>
      </c>
      <c r="M530" s="5" t="s">
        <v>2487</v>
      </c>
      <c r="N530" s="5" t="s">
        <v>247</v>
      </c>
      <c r="O530" s="5"/>
      <c r="P530" s="110" t="b">
        <f t="shared" si="1"/>
        <v>0</v>
      </c>
      <c r="Q530" s="110" t="b">
        <f>IF(COUNTIF(RAW_APS!$A$2:$A815,A530)=0,TRUE,FALSE)</f>
        <v>0</v>
      </c>
      <c r="R530" s="241" t="b">
        <f t="shared" si="2"/>
        <v>0</v>
      </c>
      <c r="U530" s="112" t="str">
        <f t="shared" si="3"/>
        <v/>
      </c>
      <c r="V530" s="60"/>
      <c r="W530" s="60"/>
      <c r="X530" s="60"/>
      <c r="Y530" s="60"/>
      <c r="Z530" s="210"/>
      <c r="AA530" s="112" t="str">
        <f t="shared" si="4"/>
        <v>MA271</v>
      </c>
      <c r="AB530" s="112" t="str">
        <f t="shared" si="5"/>
        <v/>
      </c>
      <c r="AC530" s="112" t="str">
        <f t="shared" si="6"/>
        <v/>
      </c>
      <c r="AD530" s="5"/>
      <c r="AE530" s="5"/>
    </row>
    <row r="531">
      <c r="A531" s="5" t="s">
        <v>1623</v>
      </c>
      <c r="B531" s="44">
        <v>44617.0</v>
      </c>
      <c r="C531" s="150">
        <v>0.3043518518518519</v>
      </c>
      <c r="D531" s="5"/>
      <c r="E531" s="5"/>
      <c r="F531" s="5"/>
      <c r="G531" s="5" t="s">
        <v>2184</v>
      </c>
      <c r="H531" s="5" t="s">
        <v>244</v>
      </c>
      <c r="I531" s="44">
        <v>44617.0</v>
      </c>
      <c r="J531" s="150">
        <v>0.5033680555555555</v>
      </c>
      <c r="K531" s="19">
        <v>1.0</v>
      </c>
      <c r="L531" s="10" t="b">
        <v>1</v>
      </c>
      <c r="M531" s="5" t="s">
        <v>2473</v>
      </c>
      <c r="N531" s="5" t="s">
        <v>247</v>
      </c>
      <c r="O531" s="5"/>
      <c r="P531" s="110" t="b">
        <f t="shared" si="1"/>
        <v>0</v>
      </c>
      <c r="Q531" s="110" t="b">
        <f>IF(COUNTIF(RAW_APS!$A$2:$A815,A531)=0,TRUE,FALSE)</f>
        <v>0</v>
      </c>
      <c r="R531" s="241" t="b">
        <f t="shared" si="2"/>
        <v>0</v>
      </c>
      <c r="U531" s="112" t="str">
        <f t="shared" si="3"/>
        <v/>
      </c>
      <c r="V531" s="60"/>
      <c r="W531" s="60"/>
      <c r="X531" s="60"/>
      <c r="Y531" s="60"/>
      <c r="Z531" s="210"/>
      <c r="AA531" s="112" t="str">
        <f t="shared" si="4"/>
        <v>MA273</v>
      </c>
      <c r="AB531" s="112" t="str">
        <f t="shared" si="5"/>
        <v/>
      </c>
      <c r="AC531" s="112" t="str">
        <f t="shared" si="6"/>
        <v/>
      </c>
      <c r="AD531" s="5"/>
      <c r="AE531" s="5"/>
    </row>
    <row r="532">
      <c r="A532" s="5" t="s">
        <v>1131</v>
      </c>
      <c r="B532" s="44">
        <v>44599.0</v>
      </c>
      <c r="C532" s="150">
        <v>0.32459490740740743</v>
      </c>
      <c r="D532" s="5"/>
      <c r="E532" s="5"/>
      <c r="F532" s="5"/>
      <c r="G532" s="5" t="s">
        <v>2184</v>
      </c>
      <c r="H532" s="5" t="s">
        <v>244</v>
      </c>
      <c r="I532" s="44">
        <v>44599.0</v>
      </c>
      <c r="J532" s="150">
        <v>0.4875462962962963</v>
      </c>
      <c r="K532" s="19">
        <v>1.0</v>
      </c>
      <c r="L532" s="10" t="b">
        <v>1</v>
      </c>
      <c r="M532" s="5" t="s">
        <v>2483</v>
      </c>
      <c r="N532" s="5" t="s">
        <v>247</v>
      </c>
      <c r="O532" s="5"/>
      <c r="P532" s="110" t="b">
        <f t="shared" si="1"/>
        <v>0</v>
      </c>
      <c r="Q532" s="110" t="b">
        <f>IF(COUNTIF(RAW_APS!$A$2:$A815,A532)=0,TRUE,FALSE)</f>
        <v>0</v>
      </c>
      <c r="R532" s="241" t="b">
        <f t="shared" si="2"/>
        <v>0</v>
      </c>
      <c r="U532" s="112" t="str">
        <f t="shared" si="3"/>
        <v/>
      </c>
      <c r="V532" s="60"/>
      <c r="W532" s="60"/>
      <c r="X532" s="60"/>
      <c r="Y532" s="60"/>
      <c r="Z532" s="210"/>
      <c r="AA532" s="112" t="str">
        <f t="shared" si="4"/>
        <v>MA274</v>
      </c>
      <c r="AB532" s="112" t="str">
        <f t="shared" si="5"/>
        <v/>
      </c>
      <c r="AC532" s="112" t="str">
        <f t="shared" si="6"/>
        <v/>
      </c>
      <c r="AD532" s="5"/>
      <c r="AE532" s="5"/>
    </row>
    <row r="533">
      <c r="A533" s="5" t="s">
        <v>1065</v>
      </c>
      <c r="B533" s="44">
        <v>44589.0</v>
      </c>
      <c r="C533" s="150">
        <v>0.3656828703703704</v>
      </c>
      <c r="D533" s="5"/>
      <c r="E533" s="5"/>
      <c r="F533" s="5"/>
      <c r="G533" s="5" t="s">
        <v>2184</v>
      </c>
      <c r="H533" s="5" t="s">
        <v>244</v>
      </c>
      <c r="I533" s="44">
        <v>44589.0</v>
      </c>
      <c r="J533" s="150">
        <v>0.48391203703703706</v>
      </c>
      <c r="K533" s="19">
        <v>1.0</v>
      </c>
      <c r="L533" s="10" t="b">
        <v>1</v>
      </c>
      <c r="M533" s="5" t="s">
        <v>2487</v>
      </c>
      <c r="N533" s="5" t="s">
        <v>247</v>
      </c>
      <c r="O533" s="5"/>
      <c r="P533" s="110" t="b">
        <f t="shared" si="1"/>
        <v>0</v>
      </c>
      <c r="Q533" s="110" t="b">
        <f>IF(COUNTIF(RAW_APS!$A$2:$A815,A533)=0,TRUE,FALSE)</f>
        <v>0</v>
      </c>
      <c r="R533" s="241" t="b">
        <f t="shared" si="2"/>
        <v>0</v>
      </c>
      <c r="U533" s="112" t="str">
        <f t="shared" si="3"/>
        <v/>
      </c>
      <c r="V533" s="60"/>
      <c r="W533" s="60"/>
      <c r="X533" s="60"/>
      <c r="Y533" s="60"/>
      <c r="Z533" s="210"/>
      <c r="AA533" s="112" t="str">
        <f t="shared" si="4"/>
        <v>MA276</v>
      </c>
      <c r="AB533" s="112" t="str">
        <f t="shared" si="5"/>
        <v/>
      </c>
      <c r="AC533" s="112" t="str">
        <f t="shared" si="6"/>
        <v/>
      </c>
      <c r="AD533" s="5"/>
      <c r="AE533" s="5"/>
    </row>
    <row r="534">
      <c r="A534" s="5" t="s">
        <v>1419</v>
      </c>
      <c r="B534" s="44">
        <v>44611.0</v>
      </c>
      <c r="C534" s="150">
        <v>0.3116550925925926</v>
      </c>
      <c r="D534" s="5"/>
      <c r="E534" s="5"/>
      <c r="F534" s="5"/>
      <c r="G534" s="5" t="s">
        <v>2184</v>
      </c>
      <c r="H534" s="5" t="s">
        <v>244</v>
      </c>
      <c r="I534" s="44">
        <v>44611.0</v>
      </c>
      <c r="J534" s="150">
        <v>0.4882523148148148</v>
      </c>
      <c r="K534" s="19">
        <v>1.0</v>
      </c>
      <c r="L534" s="10" t="b">
        <v>1</v>
      </c>
      <c r="M534" s="5" t="s">
        <v>2477</v>
      </c>
      <c r="N534" s="5" t="s">
        <v>247</v>
      </c>
      <c r="O534" s="5"/>
      <c r="P534" s="110" t="b">
        <f t="shared" si="1"/>
        <v>0</v>
      </c>
      <c r="Q534" s="110" t="b">
        <f>IF(COUNTIF(RAW_APS!$A$2:$A815,A534)=0,TRUE,FALSE)</f>
        <v>0</v>
      </c>
      <c r="R534" s="241" t="b">
        <f t="shared" si="2"/>
        <v>0</v>
      </c>
      <c r="U534" s="112" t="str">
        <f t="shared" si="3"/>
        <v/>
      </c>
      <c r="V534" s="60"/>
      <c r="W534" s="60"/>
      <c r="X534" s="60"/>
      <c r="Y534" s="60"/>
      <c r="Z534" s="210"/>
      <c r="AA534" s="112" t="str">
        <f t="shared" si="4"/>
        <v>MA277</v>
      </c>
      <c r="AB534" s="112" t="str">
        <f t="shared" si="5"/>
        <v/>
      </c>
      <c r="AC534" s="112" t="str">
        <f t="shared" si="6"/>
        <v/>
      </c>
      <c r="AD534" s="5"/>
      <c r="AE534" s="5"/>
    </row>
    <row r="535">
      <c r="A535" s="5" t="s">
        <v>946</v>
      </c>
      <c r="B535" s="44">
        <v>44581.0</v>
      </c>
      <c r="C535" s="150">
        <v>0.31288194444444445</v>
      </c>
      <c r="D535" s="5"/>
      <c r="E535" s="5"/>
      <c r="F535" s="5"/>
      <c r="G535" s="5" t="s">
        <v>2184</v>
      </c>
      <c r="H535" s="5" t="s">
        <v>52</v>
      </c>
      <c r="I535" s="44">
        <v>44582.0</v>
      </c>
      <c r="J535" s="150">
        <v>0.4883912037037037</v>
      </c>
      <c r="K535" s="19">
        <v>1.0</v>
      </c>
      <c r="L535" s="10" t="b">
        <v>1</v>
      </c>
      <c r="M535" s="5"/>
      <c r="N535" s="5" t="s">
        <v>247</v>
      </c>
      <c r="O535" s="5"/>
      <c r="P535" s="110" t="b">
        <f t="shared" si="1"/>
        <v>0</v>
      </c>
      <c r="Q535" s="110" t="b">
        <f>IF(COUNTIF(RAW_APS!$A$2:$A815,A535)=0,TRUE,FALSE)</f>
        <v>0</v>
      </c>
      <c r="R535" s="241" t="b">
        <f t="shared" si="2"/>
        <v>0</v>
      </c>
      <c r="U535" s="112" t="str">
        <f t="shared" si="3"/>
        <v/>
      </c>
      <c r="V535" s="60"/>
      <c r="W535" s="60"/>
      <c r="X535" s="60"/>
      <c r="Y535" s="60"/>
      <c r="Z535" s="210"/>
      <c r="AA535" s="112" t="str">
        <f t="shared" si="4"/>
        <v>MA278</v>
      </c>
      <c r="AB535" s="112" t="str">
        <f t="shared" si="5"/>
        <v/>
      </c>
      <c r="AC535" s="112" t="str">
        <f t="shared" si="6"/>
        <v/>
      </c>
      <c r="AD535" s="5"/>
      <c r="AE535" s="5"/>
    </row>
    <row r="536">
      <c r="A536" s="5" t="s">
        <v>1489</v>
      </c>
      <c r="B536" s="44">
        <v>44613.0</v>
      </c>
      <c r="C536" s="150">
        <v>0.2935763888888889</v>
      </c>
      <c r="D536" s="5"/>
      <c r="E536" s="5"/>
      <c r="F536" s="5"/>
      <c r="G536" s="5" t="s">
        <v>2184</v>
      </c>
      <c r="H536" s="5" t="s">
        <v>244</v>
      </c>
      <c r="I536" s="44">
        <v>44613.0</v>
      </c>
      <c r="J536" s="150">
        <v>0.4693981481481482</v>
      </c>
      <c r="K536" s="19">
        <v>1.0</v>
      </c>
      <c r="L536" s="10" t="b">
        <v>1</v>
      </c>
      <c r="M536" s="5" t="s">
        <v>2476</v>
      </c>
      <c r="N536" s="5" t="s">
        <v>247</v>
      </c>
      <c r="O536" s="5"/>
      <c r="P536" s="110" t="b">
        <f t="shared" si="1"/>
        <v>0</v>
      </c>
      <c r="Q536" s="110" t="b">
        <f>IF(COUNTIF(RAW_APS!$A$2:$A815,A536)=0,TRUE,FALSE)</f>
        <v>0</v>
      </c>
      <c r="R536" s="241" t="b">
        <f t="shared" si="2"/>
        <v>0</v>
      </c>
      <c r="U536" s="112" t="str">
        <f t="shared" si="3"/>
        <v/>
      </c>
      <c r="V536" s="60"/>
      <c r="W536" s="60"/>
      <c r="X536" s="60"/>
      <c r="Y536" s="60"/>
      <c r="Z536" s="210"/>
      <c r="AA536" s="112" t="str">
        <f t="shared" si="4"/>
        <v>MA279</v>
      </c>
      <c r="AB536" s="112" t="str">
        <f t="shared" si="5"/>
        <v/>
      </c>
      <c r="AC536" s="112" t="str">
        <f t="shared" si="6"/>
        <v/>
      </c>
      <c r="AD536" s="5"/>
      <c r="AE536" s="5"/>
    </row>
    <row r="537">
      <c r="A537" s="5" t="s">
        <v>1441</v>
      </c>
      <c r="B537" s="44">
        <v>44611.0</v>
      </c>
      <c r="C537" s="150">
        <v>0.3225925925925926</v>
      </c>
      <c r="D537" s="5"/>
      <c r="E537" s="5"/>
      <c r="F537" s="5"/>
      <c r="G537" s="5" t="s">
        <v>2184</v>
      </c>
      <c r="H537" s="5" t="s">
        <v>244</v>
      </c>
      <c r="I537" s="44">
        <v>44611.0</v>
      </c>
      <c r="J537" s="150">
        <v>0.4882523148148148</v>
      </c>
      <c r="K537" s="19">
        <v>1.0</v>
      </c>
      <c r="L537" s="10" t="b">
        <v>1</v>
      </c>
      <c r="M537" s="5" t="s">
        <v>2477</v>
      </c>
      <c r="N537" s="5" t="s">
        <v>247</v>
      </c>
      <c r="O537" s="5"/>
      <c r="P537" s="110" t="b">
        <f t="shared" si="1"/>
        <v>0</v>
      </c>
      <c r="Q537" s="110" t="b">
        <f>IF(COUNTIF(RAW_APS!$A$2:$A815,A537)=0,TRUE,FALSE)</f>
        <v>0</v>
      </c>
      <c r="R537" s="241" t="b">
        <f t="shared" si="2"/>
        <v>0</v>
      </c>
      <c r="U537" s="112" t="str">
        <f t="shared" si="3"/>
        <v/>
      </c>
      <c r="V537" s="60"/>
      <c r="W537" s="60"/>
      <c r="X537" s="60"/>
      <c r="Y537" s="60"/>
      <c r="Z537" s="210"/>
      <c r="AA537" s="112" t="str">
        <f t="shared" si="4"/>
        <v>MA281</v>
      </c>
      <c r="AB537" s="112" t="str">
        <f t="shared" si="5"/>
        <v/>
      </c>
      <c r="AC537" s="112" t="str">
        <f t="shared" si="6"/>
        <v/>
      </c>
      <c r="AD537" s="5"/>
      <c r="AE537" s="5"/>
    </row>
    <row r="538">
      <c r="A538" s="5" t="s">
        <v>488</v>
      </c>
      <c r="B538" s="44">
        <v>44564.0</v>
      </c>
      <c r="C538" s="150">
        <v>0.40229166666666666</v>
      </c>
      <c r="D538" s="5"/>
      <c r="E538" s="5"/>
      <c r="F538" s="5"/>
      <c r="G538" s="5" t="s">
        <v>2184</v>
      </c>
      <c r="H538" s="5" t="s">
        <v>244</v>
      </c>
      <c r="I538" s="44">
        <v>44564.0</v>
      </c>
      <c r="J538" s="150">
        <v>0.5280439814814815</v>
      </c>
      <c r="K538" s="19">
        <v>1.0</v>
      </c>
      <c r="L538" s="10" t="b">
        <v>1</v>
      </c>
      <c r="M538" s="5" t="s">
        <v>2500</v>
      </c>
      <c r="N538" s="5" t="s">
        <v>247</v>
      </c>
      <c r="O538" s="5"/>
      <c r="P538" s="110" t="b">
        <f t="shared" si="1"/>
        <v>0</v>
      </c>
      <c r="Q538" s="110" t="b">
        <f>IF(COUNTIF(RAW_APS!$A$2:$A815,A538)=0,TRUE,FALSE)</f>
        <v>0</v>
      </c>
      <c r="R538" s="241" t="b">
        <f t="shared" si="2"/>
        <v>0</v>
      </c>
      <c r="U538" s="112" t="str">
        <f t="shared" si="3"/>
        <v/>
      </c>
      <c r="V538" s="60"/>
      <c r="W538" s="60"/>
      <c r="X538" s="60"/>
      <c r="Y538" s="60"/>
      <c r="Z538" s="210"/>
      <c r="AA538" s="112" t="str">
        <f t="shared" si="4"/>
        <v>MA282</v>
      </c>
      <c r="AB538" s="112" t="str">
        <f t="shared" si="5"/>
        <v/>
      </c>
      <c r="AC538" s="112" t="str">
        <f t="shared" si="6"/>
        <v/>
      </c>
      <c r="AD538" s="5"/>
      <c r="AE538" s="5"/>
    </row>
    <row r="539">
      <c r="A539" s="5" t="s">
        <v>1061</v>
      </c>
      <c r="B539" s="44">
        <v>44589.0</v>
      </c>
      <c r="C539" s="150">
        <v>0.3442013888888889</v>
      </c>
      <c r="D539" s="5"/>
      <c r="E539" s="5"/>
      <c r="F539" s="5"/>
      <c r="G539" s="5" t="s">
        <v>2184</v>
      </c>
      <c r="H539" s="5" t="s">
        <v>244</v>
      </c>
      <c r="I539" s="44">
        <v>44589.0</v>
      </c>
      <c r="J539" s="150">
        <v>0.48390046296296296</v>
      </c>
      <c r="K539" s="19">
        <v>1.0</v>
      </c>
      <c r="L539" s="10" t="b">
        <v>1</v>
      </c>
      <c r="M539" s="5" t="s">
        <v>2487</v>
      </c>
      <c r="N539" s="5" t="s">
        <v>247</v>
      </c>
      <c r="O539" s="5"/>
      <c r="P539" s="110" t="b">
        <f t="shared" si="1"/>
        <v>0</v>
      </c>
      <c r="Q539" s="110" t="b">
        <f>IF(COUNTIF(RAW_APS!$A$2:$A815,A539)=0,TRUE,FALSE)</f>
        <v>0</v>
      </c>
      <c r="R539" s="241" t="b">
        <f t="shared" si="2"/>
        <v>0</v>
      </c>
      <c r="U539" s="112" t="str">
        <f t="shared" si="3"/>
        <v/>
      </c>
      <c r="V539" s="60"/>
      <c r="W539" s="60"/>
      <c r="X539" s="60"/>
      <c r="Y539" s="60"/>
      <c r="Z539" s="210"/>
      <c r="AA539" s="112" t="str">
        <f t="shared" si="4"/>
        <v>MA283</v>
      </c>
      <c r="AB539" s="112" t="str">
        <f t="shared" si="5"/>
        <v/>
      </c>
      <c r="AC539" s="112" t="str">
        <f t="shared" si="6"/>
        <v/>
      </c>
      <c r="AD539" s="5"/>
      <c r="AE539" s="5"/>
    </row>
    <row r="540">
      <c r="A540" s="5" t="s">
        <v>1615</v>
      </c>
      <c r="B540" s="44">
        <v>44617.0</v>
      </c>
      <c r="C540" s="150">
        <v>0.29310185185185184</v>
      </c>
      <c r="D540" s="5"/>
      <c r="E540" s="5"/>
      <c r="F540" s="5"/>
      <c r="G540" s="5" t="s">
        <v>2184</v>
      </c>
      <c r="H540" s="5" t="s">
        <v>244</v>
      </c>
      <c r="I540" s="44">
        <v>44617.0</v>
      </c>
      <c r="J540" s="150">
        <v>0.5033680555555555</v>
      </c>
      <c r="K540" s="19">
        <v>1.0</v>
      </c>
      <c r="L540" s="10" t="b">
        <v>1</v>
      </c>
      <c r="M540" s="5" t="s">
        <v>2473</v>
      </c>
      <c r="N540" s="5" t="s">
        <v>247</v>
      </c>
      <c r="O540" s="5"/>
      <c r="P540" s="110" t="b">
        <f t="shared" si="1"/>
        <v>0</v>
      </c>
      <c r="Q540" s="110" t="b">
        <f>IF(COUNTIF(RAW_APS!$A$2:$A815,A540)=0,TRUE,FALSE)</f>
        <v>0</v>
      </c>
      <c r="R540" s="241" t="b">
        <f t="shared" si="2"/>
        <v>0</v>
      </c>
      <c r="U540" s="112" t="str">
        <f t="shared" si="3"/>
        <v/>
      </c>
      <c r="V540" s="60"/>
      <c r="W540" s="60"/>
      <c r="X540" s="60"/>
      <c r="Y540" s="60"/>
      <c r="Z540" s="210"/>
      <c r="AA540" s="112" t="str">
        <f t="shared" si="4"/>
        <v>MA284</v>
      </c>
      <c r="AB540" s="112" t="str">
        <f t="shared" si="5"/>
        <v/>
      </c>
      <c r="AC540" s="112" t="str">
        <f t="shared" si="6"/>
        <v/>
      </c>
      <c r="AD540" s="5"/>
      <c r="AE540" s="5"/>
    </row>
    <row r="541">
      <c r="A541" s="5" t="s">
        <v>805</v>
      </c>
      <c r="B541" s="44">
        <v>44575.0</v>
      </c>
      <c r="C541" s="150">
        <v>0.35594907407407406</v>
      </c>
      <c r="D541" s="5"/>
      <c r="E541" s="5"/>
      <c r="F541" s="5"/>
      <c r="G541" s="5" t="s">
        <v>2184</v>
      </c>
      <c r="H541" s="5" t="s">
        <v>244</v>
      </c>
      <c r="I541" s="44">
        <v>44575.0</v>
      </c>
      <c r="J541" s="150">
        <v>0.4820601851851852</v>
      </c>
      <c r="K541" s="19">
        <v>1.0</v>
      </c>
      <c r="L541" s="10" t="b">
        <v>1</v>
      </c>
      <c r="M541" s="5" t="s">
        <v>2493</v>
      </c>
      <c r="N541" s="5" t="s">
        <v>247</v>
      </c>
      <c r="O541" s="5"/>
      <c r="P541" s="110" t="b">
        <f t="shared" si="1"/>
        <v>0</v>
      </c>
      <c r="Q541" s="110" t="b">
        <f>IF(COUNTIF(RAW_APS!$A$2:$A815,A541)=0,TRUE,FALSE)</f>
        <v>0</v>
      </c>
      <c r="R541" s="241" t="b">
        <f t="shared" si="2"/>
        <v>0</v>
      </c>
      <c r="U541" s="112" t="str">
        <f t="shared" si="3"/>
        <v/>
      </c>
      <c r="V541" s="60"/>
      <c r="W541" s="60"/>
      <c r="X541" s="60"/>
      <c r="Y541" s="60"/>
      <c r="Z541" s="210"/>
      <c r="AA541" s="112" t="str">
        <f t="shared" si="4"/>
        <v>MA286</v>
      </c>
      <c r="AB541" s="112" t="str">
        <f t="shared" si="5"/>
        <v/>
      </c>
      <c r="AC541" s="112" t="str">
        <f t="shared" si="6"/>
        <v/>
      </c>
      <c r="AD541" s="5"/>
      <c r="AE541" s="5"/>
    </row>
    <row r="542">
      <c r="A542" s="5" t="s">
        <v>476</v>
      </c>
      <c r="B542" s="44">
        <v>44564.0</v>
      </c>
      <c r="C542" s="150">
        <v>0.35965277777777777</v>
      </c>
      <c r="D542" s="5"/>
      <c r="E542" s="5"/>
      <c r="F542" s="5"/>
      <c r="G542" s="5" t="s">
        <v>2184</v>
      </c>
      <c r="H542" s="5" t="s">
        <v>52</v>
      </c>
      <c r="I542" s="44">
        <v>44564.0</v>
      </c>
      <c r="J542" s="150">
        <v>0.5280439814814815</v>
      </c>
      <c r="K542" s="19">
        <v>1.0</v>
      </c>
      <c r="L542" s="10" t="b">
        <v>1</v>
      </c>
      <c r="M542" s="5"/>
      <c r="N542" s="5" t="s">
        <v>247</v>
      </c>
      <c r="O542" s="5"/>
      <c r="P542" s="110" t="b">
        <f t="shared" si="1"/>
        <v>0</v>
      </c>
      <c r="Q542" s="110" t="b">
        <f>IF(COUNTIF(RAW_APS!$A$2:$A815,A542)=0,TRUE,FALSE)</f>
        <v>0</v>
      </c>
      <c r="R542" s="241" t="b">
        <f t="shared" si="2"/>
        <v>0</v>
      </c>
      <c r="U542" s="112" t="str">
        <f t="shared" si="3"/>
        <v/>
      </c>
      <c r="V542" s="60"/>
      <c r="W542" s="60"/>
      <c r="X542" s="60"/>
      <c r="Y542" s="60"/>
      <c r="Z542" s="210"/>
      <c r="AA542" s="112" t="str">
        <f t="shared" si="4"/>
        <v>MA287</v>
      </c>
      <c r="AB542" s="112" t="str">
        <f t="shared" si="5"/>
        <v/>
      </c>
      <c r="AC542" s="112" t="str">
        <f t="shared" si="6"/>
        <v/>
      </c>
      <c r="AD542" s="5"/>
      <c r="AE542" s="5"/>
    </row>
    <row r="543">
      <c r="A543" s="5" t="s">
        <v>1233</v>
      </c>
      <c r="B543" s="44">
        <v>44607.0</v>
      </c>
      <c r="C543" s="150">
        <v>0.30743055555555554</v>
      </c>
      <c r="D543" s="5"/>
      <c r="E543" s="5"/>
      <c r="F543" s="5"/>
      <c r="G543" s="5" t="s">
        <v>2188</v>
      </c>
      <c r="H543" s="5" t="s">
        <v>254</v>
      </c>
      <c r="I543" s="44">
        <v>44861.0</v>
      </c>
      <c r="J543" s="150">
        <v>0.4895023148148148</v>
      </c>
      <c r="K543" s="19">
        <v>1.0</v>
      </c>
      <c r="L543" s="5"/>
      <c r="M543" s="5"/>
      <c r="N543" s="5" t="s">
        <v>247</v>
      </c>
      <c r="O543" s="5"/>
      <c r="P543" s="110" t="b">
        <f t="shared" si="1"/>
        <v>0</v>
      </c>
      <c r="Q543" s="110" t="b">
        <f>IF(COUNTIF(RAW_APS!$A$2:$A815,A543)=0,TRUE,FALSE)</f>
        <v>0</v>
      </c>
      <c r="R543" s="241" t="b">
        <f t="shared" si="2"/>
        <v>0</v>
      </c>
      <c r="U543" s="112" t="str">
        <f t="shared" si="3"/>
        <v/>
      </c>
      <c r="V543" s="60"/>
      <c r="W543" s="60"/>
      <c r="X543" s="60"/>
      <c r="Y543" s="60"/>
      <c r="Z543" s="210"/>
      <c r="AA543" s="112" t="str">
        <f t="shared" si="4"/>
        <v>MA288</v>
      </c>
      <c r="AB543" s="112" t="str">
        <f t="shared" si="5"/>
        <v/>
      </c>
      <c r="AC543" s="112" t="str">
        <f t="shared" si="6"/>
        <v/>
      </c>
      <c r="AD543" s="5"/>
      <c r="AE543" s="5"/>
    </row>
    <row r="544">
      <c r="A544" s="5" t="s">
        <v>1241</v>
      </c>
      <c r="B544" s="44">
        <v>44607.0</v>
      </c>
      <c r="C544" s="150">
        <v>0.31328703703703703</v>
      </c>
      <c r="D544" s="5"/>
      <c r="E544" s="5"/>
      <c r="F544" s="5"/>
      <c r="G544" s="5" t="s">
        <v>2184</v>
      </c>
      <c r="H544" s="5" t="s">
        <v>244</v>
      </c>
      <c r="I544" s="44">
        <v>44607.0</v>
      </c>
      <c r="J544" s="150">
        <v>0.5868055555555556</v>
      </c>
      <c r="K544" s="19">
        <v>1.0</v>
      </c>
      <c r="L544" s="10" t="b">
        <v>1</v>
      </c>
      <c r="M544" s="5" t="s">
        <v>2479</v>
      </c>
      <c r="N544" s="5" t="s">
        <v>247</v>
      </c>
      <c r="O544" s="5"/>
      <c r="P544" s="110" t="b">
        <f t="shared" si="1"/>
        <v>0</v>
      </c>
      <c r="Q544" s="110" t="b">
        <f>IF(COUNTIF(RAW_APS!$A$2:$A815,A544)=0,TRUE,FALSE)</f>
        <v>0</v>
      </c>
      <c r="R544" s="241" t="b">
        <f t="shared" si="2"/>
        <v>0</v>
      </c>
      <c r="U544" s="112" t="str">
        <f t="shared" si="3"/>
        <v/>
      </c>
      <c r="V544" s="60"/>
      <c r="W544" s="60"/>
      <c r="X544" s="60"/>
      <c r="Y544" s="60"/>
      <c r="Z544" s="210"/>
      <c r="AA544" s="112" t="str">
        <f t="shared" si="4"/>
        <v>MA290</v>
      </c>
      <c r="AB544" s="112" t="str">
        <f t="shared" si="5"/>
        <v/>
      </c>
      <c r="AC544" s="112" t="str">
        <f t="shared" si="6"/>
        <v/>
      </c>
      <c r="AD544" s="5"/>
      <c r="AE544" s="5"/>
    </row>
    <row r="545">
      <c r="A545" s="5" t="s">
        <v>1383</v>
      </c>
      <c r="B545" s="44">
        <v>44609.0</v>
      </c>
      <c r="C545" s="150">
        <v>0.33414351851851853</v>
      </c>
      <c r="D545" s="5"/>
      <c r="E545" s="5"/>
      <c r="F545" s="5"/>
      <c r="G545" s="5" t="s">
        <v>2184</v>
      </c>
      <c r="H545" s="5" t="s">
        <v>244</v>
      </c>
      <c r="I545" s="44">
        <v>44611.0</v>
      </c>
      <c r="J545" s="150">
        <v>0.38958333333333334</v>
      </c>
      <c r="K545" s="19">
        <v>1.0</v>
      </c>
      <c r="L545" s="10" t="b">
        <v>1</v>
      </c>
      <c r="M545" s="5" t="s">
        <v>2478</v>
      </c>
      <c r="N545" s="5" t="s">
        <v>247</v>
      </c>
      <c r="O545" s="5"/>
      <c r="P545" s="110" t="b">
        <f t="shared" si="1"/>
        <v>0</v>
      </c>
      <c r="Q545" s="110" t="b">
        <f>IF(COUNTIF(RAW_APS!$A$2:$A815,A545)=0,TRUE,FALSE)</f>
        <v>0</v>
      </c>
      <c r="R545" s="241" t="b">
        <f t="shared" si="2"/>
        <v>0</v>
      </c>
      <c r="U545" s="112" t="str">
        <f t="shared" si="3"/>
        <v/>
      </c>
      <c r="V545" s="60"/>
      <c r="W545" s="60"/>
      <c r="X545" s="60"/>
      <c r="Y545" s="60"/>
      <c r="Z545" s="210"/>
      <c r="AA545" s="112" t="str">
        <f t="shared" si="4"/>
        <v>MA291</v>
      </c>
      <c r="AB545" s="112" t="str">
        <f t="shared" si="5"/>
        <v/>
      </c>
      <c r="AC545" s="112" t="str">
        <f t="shared" si="6"/>
        <v/>
      </c>
      <c r="AD545" s="5"/>
      <c r="AE545" s="5"/>
    </row>
    <row r="546">
      <c r="A546" s="5" t="s">
        <v>1379</v>
      </c>
      <c r="B546" s="44">
        <v>44609.0</v>
      </c>
      <c r="C546" s="150">
        <v>0.33399305555555553</v>
      </c>
      <c r="D546" s="5"/>
      <c r="E546" s="5"/>
      <c r="F546" s="5"/>
      <c r="G546" s="5" t="s">
        <v>2184</v>
      </c>
      <c r="H546" s="5" t="s">
        <v>244</v>
      </c>
      <c r="I546" s="44">
        <v>44611.0</v>
      </c>
      <c r="J546" s="150">
        <v>0.38958333333333334</v>
      </c>
      <c r="K546" s="19">
        <v>1.0</v>
      </c>
      <c r="L546" s="10" t="b">
        <v>1</v>
      </c>
      <c r="M546" s="5" t="s">
        <v>2478</v>
      </c>
      <c r="N546" s="5" t="s">
        <v>247</v>
      </c>
      <c r="O546" s="5"/>
      <c r="P546" s="110" t="b">
        <f t="shared" si="1"/>
        <v>0</v>
      </c>
      <c r="Q546" s="110" t="b">
        <f>IF(COUNTIF(RAW_APS!$A$2:$A815,A546)=0,TRUE,FALSE)</f>
        <v>0</v>
      </c>
      <c r="R546" s="241" t="b">
        <f t="shared" si="2"/>
        <v>0</v>
      </c>
      <c r="U546" s="112" t="str">
        <f t="shared" si="3"/>
        <v/>
      </c>
      <c r="V546" s="60"/>
      <c r="W546" s="60"/>
      <c r="X546" s="60"/>
      <c r="Y546" s="60"/>
      <c r="Z546" s="210"/>
      <c r="AA546" s="112" t="str">
        <f t="shared" si="4"/>
        <v>MA292</v>
      </c>
      <c r="AB546" s="112" t="str">
        <f t="shared" si="5"/>
        <v/>
      </c>
      <c r="AC546" s="112" t="str">
        <f t="shared" si="6"/>
        <v/>
      </c>
      <c r="AD546" s="5"/>
      <c r="AE546" s="5"/>
    </row>
    <row r="547">
      <c r="A547" s="5" t="s">
        <v>1239</v>
      </c>
      <c r="B547" s="44">
        <v>44607.0</v>
      </c>
      <c r="C547" s="150">
        <v>0.31320601851851854</v>
      </c>
      <c r="D547" s="5"/>
      <c r="E547" s="5"/>
      <c r="F547" s="5"/>
      <c r="G547" s="5" t="s">
        <v>2184</v>
      </c>
      <c r="H547" s="5" t="s">
        <v>244</v>
      </c>
      <c r="I547" s="44">
        <v>44607.0</v>
      </c>
      <c r="J547" s="150">
        <v>0.5868055555555556</v>
      </c>
      <c r="K547" s="19">
        <v>1.0</v>
      </c>
      <c r="L547" s="10" t="b">
        <v>1</v>
      </c>
      <c r="M547" s="5" t="s">
        <v>2479</v>
      </c>
      <c r="N547" s="5" t="s">
        <v>247</v>
      </c>
      <c r="O547" s="5"/>
      <c r="P547" s="110" t="b">
        <f t="shared" si="1"/>
        <v>0</v>
      </c>
      <c r="Q547" s="110" t="b">
        <f>IF(COUNTIF(RAW_APS!$A$2:$A815,A547)=0,TRUE,FALSE)</f>
        <v>0</v>
      </c>
      <c r="R547" s="241" t="b">
        <f t="shared" si="2"/>
        <v>0</v>
      </c>
      <c r="U547" s="112" t="str">
        <f t="shared" si="3"/>
        <v/>
      </c>
      <c r="V547" s="60"/>
      <c r="W547" s="60"/>
      <c r="X547" s="60"/>
      <c r="Y547" s="60"/>
      <c r="Z547" s="210"/>
      <c r="AA547" s="112" t="str">
        <f t="shared" si="4"/>
        <v>MA294</v>
      </c>
      <c r="AB547" s="112" t="str">
        <f t="shared" si="5"/>
        <v/>
      </c>
      <c r="AC547" s="112" t="str">
        <f t="shared" si="6"/>
        <v/>
      </c>
      <c r="AD547" s="5"/>
      <c r="AE547" s="5"/>
    </row>
    <row r="548">
      <c r="A548" s="5" t="s">
        <v>845</v>
      </c>
      <c r="B548" s="44">
        <v>44579.0</v>
      </c>
      <c r="C548" s="150">
        <v>0.3278935185185185</v>
      </c>
      <c r="D548" s="5"/>
      <c r="E548" s="5"/>
      <c r="F548" s="5"/>
      <c r="G548" s="5" t="s">
        <v>2184</v>
      </c>
      <c r="H548" s="5" t="s">
        <v>244</v>
      </c>
      <c r="I548" s="44">
        <v>44580.0</v>
      </c>
      <c r="J548" s="150">
        <v>0.5080092592592592</v>
      </c>
      <c r="K548" s="19">
        <v>1.0</v>
      </c>
      <c r="L548" s="10" t="b">
        <v>1</v>
      </c>
      <c r="M548" s="5" t="s">
        <v>2492</v>
      </c>
      <c r="N548" s="5" t="s">
        <v>247</v>
      </c>
      <c r="O548" s="5"/>
      <c r="P548" s="110" t="b">
        <f t="shared" si="1"/>
        <v>0</v>
      </c>
      <c r="Q548" s="110" t="b">
        <f>IF(COUNTIF(RAW_APS!$A$2:$A815,A548)=0,TRUE,FALSE)</f>
        <v>0</v>
      </c>
      <c r="R548" s="241" t="b">
        <f t="shared" si="2"/>
        <v>0</v>
      </c>
      <c r="U548" s="112" t="str">
        <f t="shared" si="3"/>
        <v/>
      </c>
      <c r="V548" s="60"/>
      <c r="W548" s="60"/>
      <c r="X548" s="60"/>
      <c r="Y548" s="60"/>
      <c r="Z548" s="210"/>
      <c r="AA548" s="112" t="str">
        <f t="shared" si="4"/>
        <v>MA295</v>
      </c>
      <c r="AB548" s="112" t="str">
        <f t="shared" si="5"/>
        <v/>
      </c>
      <c r="AC548" s="112" t="str">
        <f t="shared" si="6"/>
        <v/>
      </c>
      <c r="AD548" s="5"/>
      <c r="AE548" s="5"/>
    </row>
    <row r="549">
      <c r="A549" s="5" t="s">
        <v>1265</v>
      </c>
      <c r="B549" s="44">
        <v>44607.0</v>
      </c>
      <c r="C549" s="150">
        <v>0.32350694444444444</v>
      </c>
      <c r="D549" s="5"/>
      <c r="E549" s="5"/>
      <c r="F549" s="5"/>
      <c r="G549" s="5" t="s">
        <v>2184</v>
      </c>
      <c r="H549" s="5" t="s">
        <v>244</v>
      </c>
      <c r="I549" s="44">
        <v>44607.0</v>
      </c>
      <c r="J549" s="150">
        <v>0.5868055555555556</v>
      </c>
      <c r="K549" s="19">
        <v>1.0</v>
      </c>
      <c r="L549" s="10" t="b">
        <v>1</v>
      </c>
      <c r="M549" s="5" t="s">
        <v>2479</v>
      </c>
      <c r="N549" s="5" t="s">
        <v>247</v>
      </c>
      <c r="O549" s="5"/>
      <c r="P549" s="110" t="b">
        <f t="shared" si="1"/>
        <v>0</v>
      </c>
      <c r="Q549" s="110" t="b">
        <f>IF(COUNTIF(RAW_APS!$A$2:$A815,A549)=0,TRUE,FALSE)</f>
        <v>0</v>
      </c>
      <c r="R549" s="241" t="b">
        <f t="shared" si="2"/>
        <v>0</v>
      </c>
      <c r="U549" s="112" t="str">
        <f t="shared" si="3"/>
        <v/>
      </c>
      <c r="V549" s="60"/>
      <c r="W549" s="60"/>
      <c r="X549" s="60"/>
      <c r="Y549" s="60"/>
      <c r="Z549" s="210"/>
      <c r="AA549" s="112" t="str">
        <f t="shared" si="4"/>
        <v>MA296</v>
      </c>
      <c r="AB549" s="112" t="str">
        <f t="shared" si="5"/>
        <v/>
      </c>
      <c r="AC549" s="112" t="str">
        <f t="shared" si="6"/>
        <v/>
      </c>
      <c r="AD549" s="5"/>
      <c r="AE549" s="5"/>
    </row>
    <row r="550">
      <c r="A550" s="5" t="s">
        <v>1682</v>
      </c>
      <c r="B550" s="44">
        <v>44617.0</v>
      </c>
      <c r="C550" s="150">
        <v>0.3486342592592593</v>
      </c>
      <c r="D550" s="5"/>
      <c r="E550" s="5"/>
      <c r="F550" s="5"/>
      <c r="G550" s="5" t="s">
        <v>2184</v>
      </c>
      <c r="H550" s="5" t="s">
        <v>244</v>
      </c>
      <c r="I550" s="44">
        <v>44617.0</v>
      </c>
      <c r="J550" s="150">
        <v>0.5033796296296297</v>
      </c>
      <c r="K550" s="19">
        <v>1.0</v>
      </c>
      <c r="L550" s="10" t="b">
        <v>1</v>
      </c>
      <c r="M550" s="5" t="s">
        <v>2473</v>
      </c>
      <c r="N550" s="5" t="s">
        <v>247</v>
      </c>
      <c r="O550" s="5"/>
      <c r="P550" s="110" t="b">
        <f t="shared" si="1"/>
        <v>0</v>
      </c>
      <c r="Q550" s="110" t="b">
        <f>IF(COUNTIF(RAW_APS!$A$2:$A815,A550)=0,TRUE,FALSE)</f>
        <v>0</v>
      </c>
      <c r="R550" s="241" t="b">
        <f t="shared" si="2"/>
        <v>0</v>
      </c>
      <c r="U550" s="112" t="str">
        <f t="shared" si="3"/>
        <v/>
      </c>
      <c r="V550" s="60"/>
      <c r="W550" s="60"/>
      <c r="X550" s="60"/>
      <c r="Y550" s="60"/>
      <c r="Z550" s="210"/>
      <c r="AA550" s="112" t="str">
        <f t="shared" si="4"/>
        <v>MA298</v>
      </c>
      <c r="AB550" s="112" t="str">
        <f t="shared" si="5"/>
        <v/>
      </c>
      <c r="AC550" s="112" t="str">
        <f t="shared" si="6"/>
        <v/>
      </c>
      <c r="AD550" s="5"/>
      <c r="AE550" s="5"/>
    </row>
    <row r="551">
      <c r="A551" s="5" t="s">
        <v>1564</v>
      </c>
      <c r="B551" s="44">
        <v>44615.0</v>
      </c>
      <c r="C551" s="150">
        <v>0.3108912037037037</v>
      </c>
      <c r="D551" s="5"/>
      <c r="E551" s="5"/>
      <c r="F551" s="5"/>
      <c r="G551" s="5" t="s">
        <v>2184</v>
      </c>
      <c r="H551" s="5" t="s">
        <v>52</v>
      </c>
      <c r="I551" s="44">
        <v>44615.0</v>
      </c>
      <c r="J551" s="150">
        <v>0.4912384259259259</v>
      </c>
      <c r="K551" s="19">
        <v>1.0</v>
      </c>
      <c r="L551" s="10" t="b">
        <v>1</v>
      </c>
      <c r="M551" s="5" t="s">
        <v>2474</v>
      </c>
      <c r="N551" s="5" t="s">
        <v>247</v>
      </c>
      <c r="O551" s="5"/>
      <c r="P551" s="110" t="b">
        <f t="shared" si="1"/>
        <v>0</v>
      </c>
      <c r="Q551" s="110" t="b">
        <f>IF(COUNTIF(RAW_APS!$A$2:$A815,A551)=0,TRUE,FALSE)</f>
        <v>0</v>
      </c>
      <c r="R551" s="241" t="b">
        <f t="shared" si="2"/>
        <v>0</v>
      </c>
      <c r="U551" s="112" t="str">
        <f t="shared" si="3"/>
        <v/>
      </c>
      <c r="V551" s="60"/>
      <c r="W551" s="60"/>
      <c r="X551" s="60"/>
      <c r="Y551" s="60"/>
      <c r="Z551" s="210"/>
      <c r="AA551" s="112" t="str">
        <f t="shared" si="4"/>
        <v>MA299</v>
      </c>
      <c r="AB551" s="112" t="str">
        <f t="shared" si="5"/>
        <v/>
      </c>
      <c r="AC551" s="112" t="str">
        <f t="shared" si="6"/>
        <v/>
      </c>
      <c r="AD551" s="5"/>
      <c r="AE551" s="5"/>
    </row>
    <row r="552">
      <c r="A552" s="5" t="s">
        <v>1548</v>
      </c>
      <c r="B552" s="44">
        <v>44615.0</v>
      </c>
      <c r="C552" s="150">
        <v>0.2953587962962963</v>
      </c>
      <c r="D552" s="5"/>
      <c r="E552" s="5"/>
      <c r="F552" s="5"/>
      <c r="G552" s="5" t="s">
        <v>2184</v>
      </c>
      <c r="H552" s="5" t="s">
        <v>52</v>
      </c>
      <c r="I552" s="44">
        <v>44615.0</v>
      </c>
      <c r="J552" s="150">
        <v>0.4912384259259259</v>
      </c>
      <c r="K552" s="19">
        <v>1.0</v>
      </c>
      <c r="L552" s="10" t="b">
        <v>1</v>
      </c>
      <c r="M552" s="5" t="s">
        <v>2474</v>
      </c>
      <c r="N552" s="5" t="s">
        <v>247</v>
      </c>
      <c r="O552" s="5"/>
      <c r="P552" s="110" t="b">
        <f t="shared" si="1"/>
        <v>0</v>
      </c>
      <c r="Q552" s="110" t="b">
        <f>IF(COUNTIF(RAW_APS!$A$2:$A815,A552)=0,TRUE,FALSE)</f>
        <v>0</v>
      </c>
      <c r="R552" s="241" t="b">
        <f t="shared" si="2"/>
        <v>0</v>
      </c>
      <c r="U552" s="112" t="str">
        <f t="shared" si="3"/>
        <v/>
      </c>
      <c r="V552" s="60"/>
      <c r="W552" s="60"/>
      <c r="X552" s="60"/>
      <c r="Y552" s="60"/>
      <c r="Z552" s="210"/>
      <c r="AA552" s="112" t="str">
        <f t="shared" si="4"/>
        <v>MA300</v>
      </c>
      <c r="AB552" s="112" t="str">
        <f t="shared" si="5"/>
        <v/>
      </c>
      <c r="AC552" s="112" t="str">
        <f t="shared" si="6"/>
        <v/>
      </c>
      <c r="AD552" s="5"/>
      <c r="AE552" s="5"/>
    </row>
    <row r="553">
      <c r="A553" s="5" t="s">
        <v>1293</v>
      </c>
      <c r="B553" s="44">
        <v>44607.0</v>
      </c>
      <c r="C553" s="150">
        <v>0.33814814814814814</v>
      </c>
      <c r="D553" s="5"/>
      <c r="E553" s="5"/>
      <c r="F553" s="5"/>
      <c r="G553" s="5" t="s">
        <v>2184</v>
      </c>
      <c r="H553" s="5" t="s">
        <v>244</v>
      </c>
      <c r="I553" s="44">
        <v>44607.0</v>
      </c>
      <c r="J553" s="150">
        <v>0.5868171296296296</v>
      </c>
      <c r="K553" s="19">
        <v>1.0</v>
      </c>
      <c r="L553" s="10" t="b">
        <v>1</v>
      </c>
      <c r="M553" s="5" t="s">
        <v>2479</v>
      </c>
      <c r="N553" s="5" t="s">
        <v>247</v>
      </c>
      <c r="O553" s="5"/>
      <c r="P553" s="110" t="b">
        <f t="shared" si="1"/>
        <v>0</v>
      </c>
      <c r="Q553" s="110" t="b">
        <f>IF(COUNTIF(RAW_APS!$A$2:$A815,A553)=0,TRUE,FALSE)</f>
        <v>0</v>
      </c>
      <c r="R553" s="241" t="b">
        <f t="shared" si="2"/>
        <v>0</v>
      </c>
      <c r="U553" s="112" t="str">
        <f t="shared" si="3"/>
        <v/>
      </c>
      <c r="V553" s="60"/>
      <c r="W553" s="60"/>
      <c r="X553" s="60"/>
      <c r="Y553" s="60"/>
      <c r="Z553" s="210"/>
      <c r="AA553" s="112" t="str">
        <f t="shared" si="4"/>
        <v>MA301</v>
      </c>
      <c r="AB553" s="112" t="str">
        <f t="shared" si="5"/>
        <v/>
      </c>
      <c r="AC553" s="112" t="str">
        <f t="shared" si="6"/>
        <v/>
      </c>
      <c r="AD553" s="5"/>
      <c r="AE553" s="5"/>
    </row>
    <row r="554">
      <c r="A554" s="5" t="s">
        <v>847</v>
      </c>
      <c r="B554" s="44">
        <v>44579.0</v>
      </c>
      <c r="C554" s="150">
        <v>0.32914351851851853</v>
      </c>
      <c r="D554" s="5"/>
      <c r="E554" s="5"/>
      <c r="F554" s="5"/>
      <c r="G554" s="5" t="s">
        <v>2184</v>
      </c>
      <c r="H554" s="5" t="s">
        <v>244</v>
      </c>
      <c r="I554" s="44">
        <v>44580.0</v>
      </c>
      <c r="J554" s="150">
        <v>0.5080092592592592</v>
      </c>
      <c r="K554" s="19">
        <v>1.0</v>
      </c>
      <c r="L554" s="10" t="b">
        <v>1</v>
      </c>
      <c r="M554" s="5" t="s">
        <v>2492</v>
      </c>
      <c r="N554" s="5" t="s">
        <v>247</v>
      </c>
      <c r="O554" s="5"/>
      <c r="P554" s="110" t="b">
        <f t="shared" si="1"/>
        <v>0</v>
      </c>
      <c r="Q554" s="110" t="b">
        <f>IF(COUNTIF(RAW_APS!$A$2:$A815,A554)=0,TRUE,FALSE)</f>
        <v>0</v>
      </c>
      <c r="R554" s="241" t="b">
        <f t="shared" si="2"/>
        <v>0</v>
      </c>
      <c r="U554" s="112" t="str">
        <f t="shared" si="3"/>
        <v/>
      </c>
      <c r="V554" s="60"/>
      <c r="W554" s="60"/>
      <c r="X554" s="60"/>
      <c r="Y554" s="60"/>
      <c r="Z554" s="210"/>
      <c r="AA554" s="112" t="str">
        <f t="shared" si="4"/>
        <v>MA302</v>
      </c>
      <c r="AB554" s="112" t="str">
        <f t="shared" si="5"/>
        <v/>
      </c>
      <c r="AC554" s="112" t="str">
        <f t="shared" si="6"/>
        <v/>
      </c>
      <c r="AD554" s="5"/>
      <c r="AE554" s="5"/>
    </row>
    <row r="555">
      <c r="A555" s="5" t="s">
        <v>932</v>
      </c>
      <c r="B555" s="44">
        <v>44580.0</v>
      </c>
      <c r="C555" s="150">
        <v>0.4154398148148148</v>
      </c>
      <c r="D555" s="5"/>
      <c r="E555" s="5"/>
      <c r="F555" s="5"/>
      <c r="G555" s="5" t="s">
        <v>2184</v>
      </c>
      <c r="H555" s="5" t="s">
        <v>52</v>
      </c>
      <c r="I555" s="44">
        <v>44580.0</v>
      </c>
      <c r="J555" s="150">
        <v>0.5073726851851852</v>
      </c>
      <c r="K555" s="19">
        <v>1.0</v>
      </c>
      <c r="L555" s="10" t="b">
        <v>1</v>
      </c>
      <c r="M555" s="5"/>
      <c r="N555" s="5" t="s">
        <v>247</v>
      </c>
      <c r="O555" s="5"/>
      <c r="P555" s="110" t="b">
        <f t="shared" si="1"/>
        <v>0</v>
      </c>
      <c r="Q555" s="110" t="b">
        <f>IF(COUNTIF(RAW_APS!$A$2:$A815,A555)=0,TRUE,FALSE)</f>
        <v>0</v>
      </c>
      <c r="R555" s="241" t="b">
        <f t="shared" si="2"/>
        <v>0</v>
      </c>
      <c r="U555" s="112" t="str">
        <f t="shared" si="3"/>
        <v/>
      </c>
      <c r="V555" s="60"/>
      <c r="W555" s="60"/>
      <c r="X555" s="60"/>
      <c r="Y555" s="60"/>
      <c r="Z555" s="210"/>
      <c r="AA555" s="112" t="str">
        <f t="shared" si="4"/>
        <v>MA303</v>
      </c>
      <c r="AB555" s="112" t="str">
        <f t="shared" si="5"/>
        <v/>
      </c>
      <c r="AC555" s="112" t="str">
        <f t="shared" si="6"/>
        <v/>
      </c>
      <c r="AD555" s="5"/>
      <c r="AE555" s="5"/>
    </row>
    <row r="556">
      <c r="A556" s="5" t="s">
        <v>972</v>
      </c>
      <c r="B556" s="44">
        <v>44582.0</v>
      </c>
      <c r="C556" s="150">
        <v>0.39038194444444446</v>
      </c>
      <c r="D556" s="5"/>
      <c r="E556" s="5"/>
      <c r="F556" s="5"/>
      <c r="G556" s="5" t="s">
        <v>2184</v>
      </c>
      <c r="H556" s="5" t="s">
        <v>52</v>
      </c>
      <c r="I556" s="44">
        <v>44582.0</v>
      </c>
      <c r="J556" s="150">
        <v>0.4884027777777778</v>
      </c>
      <c r="K556" s="19">
        <v>1.0</v>
      </c>
      <c r="L556" s="10" t="b">
        <v>1</v>
      </c>
      <c r="M556" s="5"/>
      <c r="N556" s="5" t="s">
        <v>247</v>
      </c>
      <c r="O556" s="5"/>
      <c r="P556" s="110" t="b">
        <f t="shared" si="1"/>
        <v>0</v>
      </c>
      <c r="Q556" s="110" t="b">
        <f>IF(COUNTIF(RAW_APS!$A$2:$A815,A556)=0,TRUE,FALSE)</f>
        <v>0</v>
      </c>
      <c r="R556" s="241" t="b">
        <f t="shared" si="2"/>
        <v>0</v>
      </c>
      <c r="U556" s="112" t="str">
        <f t="shared" si="3"/>
        <v/>
      </c>
      <c r="V556" s="60"/>
      <c r="W556" s="60"/>
      <c r="X556" s="60"/>
      <c r="Y556" s="60"/>
      <c r="Z556" s="210"/>
      <c r="AA556" s="112" t="str">
        <f t="shared" si="4"/>
        <v>MA305</v>
      </c>
      <c r="AB556" s="112" t="str">
        <f t="shared" si="5"/>
        <v/>
      </c>
      <c r="AC556" s="112" t="str">
        <f t="shared" si="6"/>
        <v/>
      </c>
      <c r="AD556" s="5"/>
      <c r="AE556" s="5"/>
    </row>
    <row r="557">
      <c r="A557" s="5" t="s">
        <v>2156</v>
      </c>
      <c r="B557" s="44">
        <v>44633.0</v>
      </c>
      <c r="C557" s="150">
        <v>0.3531712962962963</v>
      </c>
      <c r="D557" s="5"/>
      <c r="E557" s="5"/>
      <c r="F557" s="5"/>
      <c r="G557" s="5" t="s">
        <v>2188</v>
      </c>
      <c r="H557" s="5" t="s">
        <v>254</v>
      </c>
      <c r="I557" s="44">
        <v>44861.0</v>
      </c>
      <c r="J557" s="150">
        <v>0.4895023148148148</v>
      </c>
      <c r="K557" s="19">
        <v>1.0</v>
      </c>
      <c r="L557" s="5"/>
      <c r="M557" s="5"/>
      <c r="N557" s="5" t="s">
        <v>247</v>
      </c>
      <c r="O557" s="5"/>
      <c r="P557" s="110" t="b">
        <f t="shared" si="1"/>
        <v>0</v>
      </c>
      <c r="Q557" s="110" t="b">
        <f>IF(COUNTIF(RAW_APS!$A$2:$A815,A557)=0,TRUE,FALSE)</f>
        <v>0</v>
      </c>
      <c r="R557" s="241" t="b">
        <f t="shared" si="2"/>
        <v>0</v>
      </c>
      <c r="U557" s="112" t="str">
        <f t="shared" si="3"/>
        <v/>
      </c>
      <c r="V557" s="60"/>
      <c r="W557" s="60"/>
      <c r="X557" s="60"/>
      <c r="Y557" s="60"/>
      <c r="Z557" s="210"/>
      <c r="AA557" s="112" t="str">
        <f t="shared" si="4"/>
        <v>MA306</v>
      </c>
      <c r="AB557" s="112" t="str">
        <f t="shared" si="5"/>
        <v/>
      </c>
      <c r="AC557" s="112" t="str">
        <f t="shared" si="6"/>
        <v/>
      </c>
      <c r="AD557" s="5"/>
      <c r="AE557" s="5"/>
    </row>
    <row r="558">
      <c r="A558" s="5" t="s">
        <v>389</v>
      </c>
      <c r="B558" s="44">
        <v>44557.0</v>
      </c>
      <c r="C558" s="150">
        <v>0.32893518518518516</v>
      </c>
      <c r="D558" s="5"/>
      <c r="E558" s="5"/>
      <c r="F558" s="5"/>
      <c r="G558" s="5" t="s">
        <v>2184</v>
      </c>
      <c r="H558" s="5" t="s">
        <v>244</v>
      </c>
      <c r="I558" s="44">
        <v>44557.0</v>
      </c>
      <c r="J558" s="150">
        <v>0.4870949074074074</v>
      </c>
      <c r="K558" s="19">
        <v>1.0</v>
      </c>
      <c r="L558" s="10" t="b">
        <v>1</v>
      </c>
      <c r="M558" s="5" t="s">
        <v>2504</v>
      </c>
      <c r="N558" s="5" t="s">
        <v>247</v>
      </c>
      <c r="O558" s="5"/>
      <c r="P558" s="110" t="b">
        <f t="shared" si="1"/>
        <v>0</v>
      </c>
      <c r="Q558" s="110" t="b">
        <f>IF(COUNTIF(RAW_APS!$A$2:$A815,A558)=0,TRUE,FALSE)</f>
        <v>0</v>
      </c>
      <c r="R558" s="241" t="b">
        <f t="shared" si="2"/>
        <v>0</v>
      </c>
      <c r="U558" s="112" t="str">
        <f t="shared" si="3"/>
        <v/>
      </c>
      <c r="V558" s="51"/>
      <c r="W558" s="51"/>
      <c r="X558" s="51"/>
      <c r="Y558" s="51"/>
      <c r="Z558" s="210"/>
      <c r="AA558" s="112" t="str">
        <f t="shared" si="4"/>
        <v>MA307</v>
      </c>
      <c r="AB558" s="112" t="str">
        <f t="shared" si="5"/>
        <v/>
      </c>
      <c r="AC558" s="112" t="str">
        <f t="shared" si="6"/>
        <v/>
      </c>
      <c r="AD558" s="5"/>
      <c r="AE558" s="5"/>
    </row>
    <row r="559">
      <c r="A559" s="5" t="s">
        <v>1087</v>
      </c>
      <c r="B559" s="44">
        <v>44594.0</v>
      </c>
      <c r="C559" s="150">
        <v>0.3244675925925926</v>
      </c>
      <c r="D559" s="5"/>
      <c r="E559" s="5"/>
      <c r="F559" s="5"/>
      <c r="G559" s="5" t="s">
        <v>2184</v>
      </c>
      <c r="H559" s="5" t="s">
        <v>52</v>
      </c>
      <c r="I559" s="44">
        <v>44594.0</v>
      </c>
      <c r="J559" s="150">
        <v>0.48358796296296297</v>
      </c>
      <c r="K559" s="19">
        <v>1.0</v>
      </c>
      <c r="L559" s="10" t="b">
        <v>1</v>
      </c>
      <c r="M559" s="5"/>
      <c r="N559" s="5" t="s">
        <v>247</v>
      </c>
      <c r="O559" s="5"/>
      <c r="P559" s="110" t="b">
        <f t="shared" si="1"/>
        <v>0</v>
      </c>
      <c r="Q559" s="110" t="b">
        <f>IF(COUNTIF(RAW_APS!$A$2:$A815,A559)=0,TRUE,FALSE)</f>
        <v>0</v>
      </c>
      <c r="R559" s="241" t="b">
        <f t="shared" si="2"/>
        <v>0</v>
      </c>
      <c r="U559" s="112" t="str">
        <f t="shared" si="3"/>
        <v/>
      </c>
      <c r="V559" s="60"/>
      <c r="W559" s="60"/>
      <c r="X559" s="60"/>
      <c r="Y559" s="60"/>
      <c r="Z559" s="210"/>
      <c r="AA559" s="112" t="str">
        <f t="shared" si="4"/>
        <v>MA310</v>
      </c>
      <c r="AB559" s="112" t="str">
        <f t="shared" si="5"/>
        <v/>
      </c>
      <c r="AC559" s="112" t="str">
        <f t="shared" si="6"/>
        <v/>
      </c>
      <c r="AD559" s="5"/>
      <c r="AE559" s="5"/>
    </row>
    <row r="560">
      <c r="A560" s="5" t="s">
        <v>1309</v>
      </c>
      <c r="B560" s="44">
        <v>44607.0</v>
      </c>
      <c r="C560" s="150">
        <v>0.3924884259259259</v>
      </c>
      <c r="D560" s="5"/>
      <c r="E560" s="5"/>
      <c r="F560" s="5"/>
      <c r="G560" s="5" t="s">
        <v>2184</v>
      </c>
      <c r="H560" s="5" t="s">
        <v>244</v>
      </c>
      <c r="I560" s="44">
        <v>44607.0</v>
      </c>
      <c r="J560" s="150">
        <v>0.5868171296296296</v>
      </c>
      <c r="K560" s="19">
        <v>4.0</v>
      </c>
      <c r="L560" s="10" t="b">
        <v>1</v>
      </c>
      <c r="M560" s="5" t="s">
        <v>2479</v>
      </c>
      <c r="N560" s="5" t="s">
        <v>247</v>
      </c>
      <c r="O560" s="5"/>
      <c r="P560" s="110" t="b">
        <f t="shared" si="1"/>
        <v>0</v>
      </c>
      <c r="Q560" s="110" t="b">
        <f>IF(COUNTIF(RAW_APS!$A$2:$A815,A560)=0,TRUE,FALSE)</f>
        <v>0</v>
      </c>
      <c r="R560" s="241" t="b">
        <f t="shared" si="2"/>
        <v>0</v>
      </c>
      <c r="U560" s="112" t="str">
        <f t="shared" si="3"/>
        <v/>
      </c>
      <c r="V560" s="60"/>
      <c r="W560" s="60"/>
      <c r="X560" s="60"/>
      <c r="Y560" s="60"/>
      <c r="Z560" s="210"/>
      <c r="AA560" s="112" t="str">
        <f t="shared" si="4"/>
        <v>MA312</v>
      </c>
      <c r="AB560" s="112" t="str">
        <f t="shared" si="5"/>
        <v/>
      </c>
      <c r="AC560" s="112" t="str">
        <f t="shared" si="6"/>
        <v/>
      </c>
      <c r="AD560" s="5"/>
      <c r="AE560" s="5"/>
    </row>
    <row r="561">
      <c r="A561" s="5" t="s">
        <v>2034</v>
      </c>
      <c r="B561" s="44">
        <v>44627.0</v>
      </c>
      <c r="C561" s="150">
        <v>0.34769675925925925</v>
      </c>
      <c r="D561" s="5"/>
      <c r="E561" s="5"/>
      <c r="F561" s="5"/>
      <c r="G561" s="5" t="s">
        <v>2184</v>
      </c>
      <c r="H561" s="5" t="s">
        <v>244</v>
      </c>
      <c r="I561" s="44">
        <v>44627.0</v>
      </c>
      <c r="J561" s="150">
        <v>0.4779050925925926</v>
      </c>
      <c r="K561" s="19">
        <v>1.0</v>
      </c>
      <c r="L561" s="10" t="b">
        <v>1</v>
      </c>
      <c r="M561" s="5" t="s">
        <v>2466</v>
      </c>
      <c r="N561" s="5" t="s">
        <v>247</v>
      </c>
      <c r="O561" s="5"/>
      <c r="P561" s="110" t="b">
        <f t="shared" si="1"/>
        <v>0</v>
      </c>
      <c r="Q561" s="110" t="b">
        <f>IF(COUNTIF(RAW_APS!$A$2:$A815,A561)=0,TRUE,FALSE)</f>
        <v>0</v>
      </c>
      <c r="R561" s="241" t="b">
        <f t="shared" si="2"/>
        <v>0</v>
      </c>
      <c r="U561" s="112" t="str">
        <f t="shared" si="3"/>
        <v/>
      </c>
      <c r="V561" s="60"/>
      <c r="W561" s="60"/>
      <c r="X561" s="60"/>
      <c r="Y561" s="60"/>
      <c r="Z561" s="210"/>
      <c r="AA561" s="112" t="str">
        <f t="shared" si="4"/>
        <v>MA314</v>
      </c>
      <c r="AB561" s="112" t="str">
        <f t="shared" si="5"/>
        <v/>
      </c>
      <c r="AC561" s="112" t="str">
        <f t="shared" si="6"/>
        <v/>
      </c>
      <c r="AD561" s="5"/>
      <c r="AE561" s="5"/>
    </row>
    <row r="562">
      <c r="A562" s="5" t="s">
        <v>1756</v>
      </c>
      <c r="B562" s="44">
        <v>44619.0</v>
      </c>
      <c r="C562" s="150">
        <v>0.5150231481481482</v>
      </c>
      <c r="D562" s="5"/>
      <c r="E562" s="5"/>
      <c r="F562" s="5"/>
      <c r="G562" s="5" t="s">
        <v>2184</v>
      </c>
      <c r="H562" s="5" t="s">
        <v>244</v>
      </c>
      <c r="I562" s="44">
        <v>44621.0</v>
      </c>
      <c r="J562" s="150">
        <v>0.47836805555555556</v>
      </c>
      <c r="K562" s="19">
        <v>1.0</v>
      </c>
      <c r="L562" s="10" t="b">
        <v>1</v>
      </c>
      <c r="M562" s="5" t="s">
        <v>2471</v>
      </c>
      <c r="N562" s="5" t="s">
        <v>247</v>
      </c>
      <c r="O562" s="5"/>
      <c r="P562" s="110" t="b">
        <f t="shared" si="1"/>
        <v>0</v>
      </c>
      <c r="Q562" s="110" t="b">
        <f>IF(COUNTIF(RAW_APS!$A$2:$A815,A562)=0,TRUE,FALSE)</f>
        <v>0</v>
      </c>
      <c r="R562" s="241" t="b">
        <f t="shared" si="2"/>
        <v>0</v>
      </c>
      <c r="U562" s="112" t="str">
        <f t="shared" si="3"/>
        <v/>
      </c>
      <c r="V562" s="60"/>
      <c r="W562" s="60"/>
      <c r="X562" s="60"/>
      <c r="Y562" s="60"/>
      <c r="Z562" s="210"/>
      <c r="AA562" s="112" t="str">
        <f t="shared" si="4"/>
        <v>MA315</v>
      </c>
      <c r="AB562" s="112" t="str">
        <f t="shared" si="5"/>
        <v/>
      </c>
      <c r="AC562" s="112" t="str">
        <f t="shared" si="6"/>
        <v/>
      </c>
      <c r="AD562" s="5"/>
      <c r="AE562" s="5"/>
    </row>
    <row r="563">
      <c r="A563" s="5" t="s">
        <v>449</v>
      </c>
      <c r="B563" s="44">
        <v>44561.0</v>
      </c>
      <c r="C563" s="150">
        <v>0.40042824074074074</v>
      </c>
      <c r="D563" s="5"/>
      <c r="E563" s="5"/>
      <c r="F563" s="5"/>
      <c r="G563" s="5" t="s">
        <v>2184</v>
      </c>
      <c r="H563" s="5" t="s">
        <v>52</v>
      </c>
      <c r="I563" s="44">
        <v>44561.0</v>
      </c>
      <c r="J563" s="150">
        <v>0.44559027777777777</v>
      </c>
      <c r="K563" s="19">
        <v>1.0</v>
      </c>
      <c r="L563" s="10" t="b">
        <v>1</v>
      </c>
      <c r="M563" s="5" t="s">
        <v>2501</v>
      </c>
      <c r="N563" s="5" t="s">
        <v>247</v>
      </c>
      <c r="O563" s="5"/>
      <c r="P563" s="110" t="b">
        <f t="shared" si="1"/>
        <v>0</v>
      </c>
      <c r="Q563" s="110" t="b">
        <f>IF(COUNTIF(RAW_APS!$A$2:$A815,A563)=0,TRUE,FALSE)</f>
        <v>0</v>
      </c>
      <c r="R563" s="241" t="b">
        <f t="shared" si="2"/>
        <v>0</v>
      </c>
      <c r="U563" s="112" t="str">
        <f t="shared" si="3"/>
        <v/>
      </c>
      <c r="V563" s="60"/>
      <c r="W563" s="60"/>
      <c r="X563" s="60"/>
      <c r="Y563" s="60"/>
      <c r="Z563" s="210"/>
      <c r="AA563" s="112" t="str">
        <f t="shared" si="4"/>
        <v>MA316</v>
      </c>
      <c r="AB563" s="112" t="str">
        <f t="shared" si="5"/>
        <v/>
      </c>
      <c r="AC563" s="112" t="str">
        <f t="shared" si="6"/>
        <v/>
      </c>
      <c r="AD563" s="5"/>
      <c r="AE563" s="5"/>
    </row>
    <row r="564">
      <c r="A564" s="5" t="s">
        <v>1907</v>
      </c>
      <c r="B564" s="44">
        <v>44625.0</v>
      </c>
      <c r="C564" s="150">
        <v>0.2652893518518519</v>
      </c>
      <c r="D564" s="5"/>
      <c r="E564" s="5"/>
      <c r="F564" s="5"/>
      <c r="G564" s="5" t="s">
        <v>2184</v>
      </c>
      <c r="H564" s="5" t="s">
        <v>244</v>
      </c>
      <c r="I564" s="44">
        <v>44625.0</v>
      </c>
      <c r="J564" s="150">
        <v>0.48974537037037036</v>
      </c>
      <c r="K564" s="19">
        <v>1.0</v>
      </c>
      <c r="L564" s="10" t="b">
        <v>1</v>
      </c>
      <c r="M564" s="5" t="s">
        <v>2467</v>
      </c>
      <c r="N564" s="5" t="s">
        <v>247</v>
      </c>
      <c r="O564" s="5"/>
      <c r="P564" s="110" t="b">
        <f t="shared" si="1"/>
        <v>0</v>
      </c>
      <c r="Q564" s="110" t="b">
        <f>IF(COUNTIF(RAW_APS!$A$2:$A815,A564)=0,TRUE,FALSE)</f>
        <v>0</v>
      </c>
      <c r="R564" s="241" t="b">
        <f t="shared" si="2"/>
        <v>0</v>
      </c>
      <c r="U564" s="112" t="str">
        <f t="shared" si="3"/>
        <v/>
      </c>
      <c r="V564" s="60"/>
      <c r="W564" s="60"/>
      <c r="X564" s="60"/>
      <c r="Y564" s="60"/>
      <c r="Z564" s="210"/>
      <c r="AA564" s="112" t="str">
        <f t="shared" si="4"/>
        <v>MA319</v>
      </c>
      <c r="AB564" s="112" t="str">
        <f t="shared" si="5"/>
        <v/>
      </c>
      <c r="AC564" s="112" t="str">
        <f t="shared" si="6"/>
        <v/>
      </c>
      <c r="AD564" s="5"/>
      <c r="AE564" s="5"/>
    </row>
    <row r="565">
      <c r="A565" s="5" t="s">
        <v>1785</v>
      </c>
      <c r="B565" s="44">
        <v>44621.0</v>
      </c>
      <c r="C565" s="150">
        <v>0.3153587962962963</v>
      </c>
      <c r="D565" s="5"/>
      <c r="E565" s="5"/>
      <c r="F565" s="5"/>
      <c r="G565" s="5" t="s">
        <v>2184</v>
      </c>
      <c r="H565" s="5" t="s">
        <v>244</v>
      </c>
      <c r="I565" s="44">
        <v>44623.0</v>
      </c>
      <c r="J565" s="150">
        <v>0.4605787037037037</v>
      </c>
      <c r="K565" s="19">
        <v>1.0</v>
      </c>
      <c r="L565" s="10" t="b">
        <v>0</v>
      </c>
      <c r="M565" s="5" t="s">
        <v>2468</v>
      </c>
      <c r="N565" s="5" t="s">
        <v>247</v>
      </c>
      <c r="O565" s="5"/>
      <c r="P565" s="110" t="b">
        <f t="shared" si="1"/>
        <v>0</v>
      </c>
      <c r="Q565" s="110" t="b">
        <f>IF(COUNTIF(RAW_APS!$A$2:$A815,A565)=0,TRUE,FALSE)</f>
        <v>0</v>
      </c>
      <c r="R565" s="241" t="b">
        <f t="shared" si="2"/>
        <v>0</v>
      </c>
      <c r="U565" s="112" t="str">
        <f t="shared" si="3"/>
        <v/>
      </c>
      <c r="V565" s="60"/>
      <c r="W565" s="60"/>
      <c r="X565" s="60"/>
      <c r="Y565" s="60"/>
      <c r="Z565" s="210"/>
      <c r="AA565" s="112" t="str">
        <f t="shared" si="4"/>
        <v>MA322</v>
      </c>
      <c r="AB565" s="112" t="str">
        <f t="shared" si="5"/>
        <v/>
      </c>
      <c r="AC565" s="112" t="str">
        <f t="shared" si="6"/>
        <v/>
      </c>
      <c r="AD565" s="5"/>
      <c r="AE565" s="5"/>
    </row>
    <row r="566">
      <c r="A566" s="5" t="s">
        <v>464</v>
      </c>
      <c r="B566" s="44">
        <v>44564.0</v>
      </c>
      <c r="C566" s="150">
        <v>0.3261574074074074</v>
      </c>
      <c r="D566" s="5"/>
      <c r="E566" s="5"/>
      <c r="F566" s="5"/>
      <c r="G566" s="5" t="s">
        <v>2184</v>
      </c>
      <c r="H566" s="5" t="s">
        <v>244</v>
      </c>
      <c r="I566" s="44">
        <v>44564.0</v>
      </c>
      <c r="J566" s="150">
        <v>0.5280439814814815</v>
      </c>
      <c r="K566" s="19">
        <v>1.0</v>
      </c>
      <c r="L566" s="10" t="b">
        <v>1</v>
      </c>
      <c r="M566" s="5" t="s">
        <v>2500</v>
      </c>
      <c r="N566" s="5" t="s">
        <v>247</v>
      </c>
      <c r="O566" s="5"/>
      <c r="P566" s="110" t="b">
        <f t="shared" si="1"/>
        <v>0</v>
      </c>
      <c r="Q566" s="110" t="b">
        <f>IF(COUNTIF(RAW_APS!$A$2:$A815,A566)=0,TRUE,FALSE)</f>
        <v>0</v>
      </c>
      <c r="R566" s="241" t="b">
        <f t="shared" si="2"/>
        <v>0</v>
      </c>
      <c r="U566" s="112" t="str">
        <f t="shared" si="3"/>
        <v/>
      </c>
      <c r="V566" s="60"/>
      <c r="W566" s="60"/>
      <c r="X566" s="60"/>
      <c r="Y566" s="60"/>
      <c r="Z566" s="210"/>
      <c r="AA566" s="112" t="str">
        <f t="shared" si="4"/>
        <v>MA323</v>
      </c>
      <c r="AB566" s="112" t="str">
        <f t="shared" si="5"/>
        <v/>
      </c>
      <c r="AC566" s="112" t="str">
        <f t="shared" si="6"/>
        <v/>
      </c>
      <c r="AD566" s="5"/>
      <c r="AE566" s="5"/>
    </row>
    <row r="567">
      <c r="A567" s="5" t="s">
        <v>2111</v>
      </c>
      <c r="B567" s="44">
        <v>44631.0</v>
      </c>
      <c r="C567" s="150">
        <v>0.3019560185185185</v>
      </c>
      <c r="D567" s="5"/>
      <c r="E567" s="5"/>
      <c r="F567" s="5"/>
      <c r="G567" s="5" t="s">
        <v>2184</v>
      </c>
      <c r="H567" s="5" t="s">
        <v>244</v>
      </c>
      <c r="I567" s="44">
        <v>44631.0</v>
      </c>
      <c r="J567" s="150">
        <v>0.48608796296296297</v>
      </c>
      <c r="K567" s="19">
        <v>1.0</v>
      </c>
      <c r="L567" s="10" t="b">
        <v>1</v>
      </c>
      <c r="M567" s="5" t="s">
        <v>2464</v>
      </c>
      <c r="N567" s="5" t="s">
        <v>247</v>
      </c>
      <c r="O567" s="5"/>
      <c r="P567" s="110" t="b">
        <f t="shared" si="1"/>
        <v>0</v>
      </c>
      <c r="Q567" s="110" t="b">
        <f>IF(COUNTIF(RAW_APS!$A$2:$A815,A567)=0,TRUE,FALSE)</f>
        <v>0</v>
      </c>
      <c r="R567" s="241" t="b">
        <f t="shared" si="2"/>
        <v>0</v>
      </c>
      <c r="U567" s="112" t="str">
        <f t="shared" si="3"/>
        <v/>
      </c>
      <c r="V567" s="60"/>
      <c r="W567" s="60"/>
      <c r="X567" s="60"/>
      <c r="Y567" s="60"/>
      <c r="Z567" s="210"/>
      <c r="AA567" s="112" t="str">
        <f t="shared" si="4"/>
        <v>MA325</v>
      </c>
      <c r="AB567" s="112" t="str">
        <f t="shared" si="5"/>
        <v/>
      </c>
      <c r="AC567" s="112" t="str">
        <f t="shared" si="6"/>
        <v/>
      </c>
      <c r="AD567" s="5"/>
      <c r="AE567" s="5"/>
    </row>
    <row r="568">
      <c r="A568" s="5" t="s">
        <v>462</v>
      </c>
      <c r="B568" s="44">
        <v>44564.0</v>
      </c>
      <c r="C568" s="150">
        <v>0.32538194444444446</v>
      </c>
      <c r="D568" s="5"/>
      <c r="E568" s="5"/>
      <c r="F568" s="5"/>
      <c r="G568" s="5" t="s">
        <v>2184</v>
      </c>
      <c r="H568" s="5" t="s">
        <v>244</v>
      </c>
      <c r="I568" s="44">
        <v>44564.0</v>
      </c>
      <c r="J568" s="150">
        <v>0.5280439814814815</v>
      </c>
      <c r="K568" s="19">
        <v>1.0</v>
      </c>
      <c r="L568" s="10" t="b">
        <v>1</v>
      </c>
      <c r="M568" s="5" t="s">
        <v>2500</v>
      </c>
      <c r="N568" s="5" t="s">
        <v>247</v>
      </c>
      <c r="O568" s="5"/>
      <c r="P568" s="110" t="b">
        <f t="shared" si="1"/>
        <v>0</v>
      </c>
      <c r="Q568" s="110" t="b">
        <f>IF(COUNTIF(RAW_APS!$A$2:$A815,A568)=0,TRUE,FALSE)</f>
        <v>0</v>
      </c>
      <c r="R568" s="241" t="b">
        <f t="shared" si="2"/>
        <v>0</v>
      </c>
      <c r="U568" s="112" t="str">
        <f t="shared" si="3"/>
        <v/>
      </c>
      <c r="V568" s="60"/>
      <c r="W568" s="60"/>
      <c r="X568" s="60"/>
      <c r="Y568" s="60"/>
      <c r="Z568" s="210"/>
      <c r="AA568" s="112" t="str">
        <f t="shared" si="4"/>
        <v>MA326</v>
      </c>
      <c r="AB568" s="112" t="str">
        <f t="shared" si="5"/>
        <v/>
      </c>
      <c r="AC568" s="112" t="str">
        <f t="shared" si="6"/>
        <v/>
      </c>
      <c r="AD568" s="5"/>
      <c r="AE568" s="5"/>
    </row>
    <row r="569">
      <c r="A569" s="5" t="s">
        <v>317</v>
      </c>
      <c r="B569" s="44">
        <v>44545.0</v>
      </c>
      <c r="C569" s="150">
        <v>0.5862152777777778</v>
      </c>
      <c r="D569" s="5"/>
      <c r="E569" s="5"/>
      <c r="F569" s="5"/>
      <c r="G569" s="5" t="s">
        <v>2184</v>
      </c>
      <c r="H569" s="5" t="s">
        <v>244</v>
      </c>
      <c r="I569" s="44">
        <v>44545.0</v>
      </c>
      <c r="J569" s="150">
        <v>0.7641550925925926</v>
      </c>
      <c r="K569" s="19">
        <v>1.0</v>
      </c>
      <c r="L569" s="10" t="b">
        <v>1</v>
      </c>
      <c r="M569" s="5" t="s">
        <v>2508</v>
      </c>
      <c r="N569" s="5" t="s">
        <v>247</v>
      </c>
      <c r="O569" s="5"/>
      <c r="P569" s="110" t="b">
        <f t="shared" si="1"/>
        <v>0</v>
      </c>
      <c r="Q569" s="110" t="b">
        <f>IF(COUNTIF(RAW_APS!$A$2:$A815,A569)=0,TRUE,FALSE)</f>
        <v>0</v>
      </c>
      <c r="R569" s="241" t="b">
        <f t="shared" si="2"/>
        <v>0</v>
      </c>
      <c r="U569" s="112" t="str">
        <f t="shared" si="3"/>
        <v/>
      </c>
      <c r="V569" s="51"/>
      <c r="W569" s="51"/>
      <c r="X569" s="51"/>
      <c r="Y569" s="51"/>
      <c r="Z569" s="210"/>
      <c r="AA569" s="112" t="str">
        <f t="shared" si="4"/>
        <v>MA327</v>
      </c>
      <c r="AB569" s="112" t="str">
        <f t="shared" si="5"/>
        <v/>
      </c>
      <c r="AC569" s="112" t="str">
        <f t="shared" si="6"/>
        <v/>
      </c>
      <c r="AD569" s="5"/>
      <c r="AE569" s="5"/>
    </row>
    <row r="570">
      <c r="A570" s="5" t="s">
        <v>1909</v>
      </c>
      <c r="B570" s="44">
        <v>44625.0</v>
      </c>
      <c r="C570" s="150">
        <v>0.2703587962962963</v>
      </c>
      <c r="D570" s="5"/>
      <c r="E570" s="5"/>
      <c r="F570" s="5"/>
      <c r="G570" s="5" t="s">
        <v>2184</v>
      </c>
      <c r="H570" s="5" t="s">
        <v>244</v>
      </c>
      <c r="I570" s="44">
        <v>44625.0</v>
      </c>
      <c r="J570" s="150">
        <v>0.48974537037037036</v>
      </c>
      <c r="K570" s="19">
        <v>1.0</v>
      </c>
      <c r="L570" s="10" t="b">
        <v>1</v>
      </c>
      <c r="M570" s="5" t="s">
        <v>2467</v>
      </c>
      <c r="N570" s="5" t="s">
        <v>247</v>
      </c>
      <c r="O570" s="5"/>
      <c r="P570" s="110" t="b">
        <f t="shared" si="1"/>
        <v>0</v>
      </c>
      <c r="Q570" s="110" t="b">
        <f>IF(COUNTIF(RAW_APS!$A$2:$A815,A570)=0,TRUE,FALSE)</f>
        <v>0</v>
      </c>
      <c r="R570" s="241" t="b">
        <f t="shared" si="2"/>
        <v>0</v>
      </c>
      <c r="U570" s="112" t="str">
        <f t="shared" si="3"/>
        <v/>
      </c>
      <c r="V570" s="60"/>
      <c r="W570" s="60"/>
      <c r="X570" s="60"/>
      <c r="Y570" s="60"/>
      <c r="Z570" s="210"/>
      <c r="AA570" s="112" t="str">
        <f t="shared" si="4"/>
        <v>MA328</v>
      </c>
      <c r="AB570" s="112" t="str">
        <f t="shared" si="5"/>
        <v/>
      </c>
      <c r="AC570" s="112" t="str">
        <f t="shared" si="6"/>
        <v/>
      </c>
      <c r="AD570" s="5"/>
      <c r="AE570" s="5"/>
    </row>
    <row r="571">
      <c r="A571" s="5" t="s">
        <v>778</v>
      </c>
      <c r="B571" s="44">
        <v>44575.0</v>
      </c>
      <c r="C571" s="150">
        <v>0.22658564814814816</v>
      </c>
      <c r="D571" s="5"/>
      <c r="E571" s="5"/>
      <c r="F571" s="5"/>
      <c r="G571" s="5" t="s">
        <v>2184</v>
      </c>
      <c r="H571" s="5" t="s">
        <v>244</v>
      </c>
      <c r="I571" s="44">
        <v>44575.0</v>
      </c>
      <c r="J571" s="150">
        <v>0.4820601851851852</v>
      </c>
      <c r="K571" s="19">
        <v>1.0</v>
      </c>
      <c r="L571" s="10" t="b">
        <v>1</v>
      </c>
      <c r="M571" s="5" t="s">
        <v>2493</v>
      </c>
      <c r="N571" s="5" t="s">
        <v>247</v>
      </c>
      <c r="O571" s="5"/>
      <c r="P571" s="110" t="b">
        <f t="shared" si="1"/>
        <v>0</v>
      </c>
      <c r="Q571" s="110" t="b">
        <f>IF(COUNTIF(RAW_APS!$A$2:$A815,A571)=0,TRUE,FALSE)</f>
        <v>0</v>
      </c>
      <c r="R571" s="241" t="b">
        <f t="shared" si="2"/>
        <v>0</v>
      </c>
      <c r="U571" s="112" t="str">
        <f t="shared" si="3"/>
        <v/>
      </c>
      <c r="V571" s="60"/>
      <c r="W571" s="60"/>
      <c r="X571" s="60"/>
      <c r="Y571" s="60"/>
      <c r="Z571" s="210"/>
      <c r="AA571" s="112" t="str">
        <f t="shared" si="4"/>
        <v>MA330</v>
      </c>
      <c r="AB571" s="112" t="str">
        <f t="shared" si="5"/>
        <v/>
      </c>
      <c r="AC571" s="112" t="str">
        <f t="shared" si="6"/>
        <v/>
      </c>
      <c r="AD571" s="5"/>
      <c r="AE571" s="5"/>
    </row>
    <row r="572">
      <c r="A572" s="5" t="s">
        <v>800</v>
      </c>
      <c r="B572" s="44">
        <v>44575.0</v>
      </c>
      <c r="C572" s="150">
        <v>0.3471180555555556</v>
      </c>
      <c r="D572" s="5"/>
      <c r="E572" s="5"/>
      <c r="F572" s="5"/>
      <c r="G572" s="5" t="s">
        <v>2184</v>
      </c>
      <c r="H572" s="5" t="s">
        <v>244</v>
      </c>
      <c r="I572" s="44">
        <v>44575.0</v>
      </c>
      <c r="J572" s="150">
        <v>0.4820601851851852</v>
      </c>
      <c r="K572" s="19">
        <v>1.0</v>
      </c>
      <c r="L572" s="10" t="b">
        <v>1</v>
      </c>
      <c r="M572" s="5" t="s">
        <v>2493</v>
      </c>
      <c r="N572" s="5" t="s">
        <v>247</v>
      </c>
      <c r="O572" s="5"/>
      <c r="P572" s="110" t="b">
        <f t="shared" si="1"/>
        <v>0</v>
      </c>
      <c r="Q572" s="110" t="b">
        <f>IF(COUNTIF(RAW_APS!$A$2:$A815,A572)=0,TRUE,FALSE)</f>
        <v>0</v>
      </c>
      <c r="R572" s="241" t="b">
        <f t="shared" si="2"/>
        <v>0</v>
      </c>
      <c r="U572" s="112" t="str">
        <f t="shared" si="3"/>
        <v/>
      </c>
      <c r="V572" s="60"/>
      <c r="W572" s="60"/>
      <c r="X572" s="60"/>
      <c r="Y572" s="60"/>
      <c r="Z572" s="210"/>
      <c r="AA572" s="112" t="str">
        <f t="shared" si="4"/>
        <v>MA331</v>
      </c>
      <c r="AB572" s="112" t="str">
        <f t="shared" si="5"/>
        <v/>
      </c>
      <c r="AC572" s="112" t="str">
        <f t="shared" si="6"/>
        <v/>
      </c>
      <c r="AD572" s="5"/>
      <c r="AE572" s="5"/>
    </row>
    <row r="573">
      <c r="A573" s="5" t="s">
        <v>680</v>
      </c>
      <c r="B573" s="44">
        <v>44571.0</v>
      </c>
      <c r="C573" s="150">
        <v>0.3924884259259259</v>
      </c>
      <c r="D573" s="5"/>
      <c r="E573" s="5"/>
      <c r="F573" s="5"/>
      <c r="G573" s="5" t="s">
        <v>2184</v>
      </c>
      <c r="H573" s="5" t="s">
        <v>244</v>
      </c>
      <c r="I573" s="44">
        <v>44571.0</v>
      </c>
      <c r="J573" s="150">
        <v>0.46598379629629627</v>
      </c>
      <c r="K573" s="19">
        <v>1.0</v>
      </c>
      <c r="L573" s="10" t="b">
        <v>1</v>
      </c>
      <c r="M573" s="5" t="s">
        <v>2496</v>
      </c>
      <c r="N573" s="5" t="s">
        <v>247</v>
      </c>
      <c r="O573" s="5"/>
      <c r="P573" s="110" t="b">
        <f t="shared" si="1"/>
        <v>0</v>
      </c>
      <c r="Q573" s="110" t="b">
        <f>IF(COUNTIF(RAW_APS!$A$2:$A815,A573)=0,TRUE,FALSE)</f>
        <v>0</v>
      </c>
      <c r="R573" s="241" t="b">
        <f t="shared" si="2"/>
        <v>0</v>
      </c>
      <c r="U573" s="112" t="str">
        <f t="shared" si="3"/>
        <v/>
      </c>
      <c r="V573" s="60"/>
      <c r="W573" s="60"/>
      <c r="X573" s="60"/>
      <c r="Y573" s="60"/>
      <c r="Z573" s="210"/>
      <c r="AA573" s="112" t="str">
        <f t="shared" si="4"/>
        <v>MA332</v>
      </c>
      <c r="AB573" s="112" t="str">
        <f t="shared" si="5"/>
        <v/>
      </c>
      <c r="AC573" s="112" t="str">
        <f t="shared" si="6"/>
        <v/>
      </c>
      <c r="AD573" s="5"/>
      <c r="AE573" s="5"/>
    </row>
    <row r="574">
      <c r="A574" s="5" t="s">
        <v>2070</v>
      </c>
      <c r="B574" s="44">
        <v>44629.0</v>
      </c>
      <c r="C574" s="150">
        <v>0.32828703703703704</v>
      </c>
      <c r="D574" s="5"/>
      <c r="E574" s="5"/>
      <c r="F574" s="5"/>
      <c r="G574" s="5" t="s">
        <v>2184</v>
      </c>
      <c r="H574" s="5" t="s">
        <v>244</v>
      </c>
      <c r="I574" s="44">
        <v>44629.0</v>
      </c>
      <c r="J574" s="150">
        <v>0.4994560185185185</v>
      </c>
      <c r="K574" s="19">
        <v>1.0</v>
      </c>
      <c r="L574" s="10" t="b">
        <v>1</v>
      </c>
      <c r="M574" s="5" t="s">
        <v>2465</v>
      </c>
      <c r="N574" s="5" t="s">
        <v>247</v>
      </c>
      <c r="O574" s="5"/>
      <c r="P574" s="110" t="b">
        <f t="shared" si="1"/>
        <v>0</v>
      </c>
      <c r="Q574" s="110" t="b">
        <f>IF(COUNTIF(RAW_APS!$A$2:$A815,A574)=0,TRUE,FALSE)</f>
        <v>0</v>
      </c>
      <c r="R574" s="241" t="b">
        <f t="shared" si="2"/>
        <v>0</v>
      </c>
      <c r="U574" s="112" t="str">
        <f t="shared" si="3"/>
        <v/>
      </c>
      <c r="V574" s="60"/>
      <c r="W574" s="60"/>
      <c r="X574" s="60"/>
      <c r="Y574" s="60"/>
      <c r="Z574" s="210"/>
      <c r="AA574" s="112" t="str">
        <f t="shared" si="4"/>
        <v>MA333</v>
      </c>
      <c r="AB574" s="112" t="str">
        <f t="shared" si="5"/>
        <v/>
      </c>
      <c r="AC574" s="112" t="str">
        <f t="shared" si="6"/>
        <v/>
      </c>
      <c r="AD574" s="5"/>
      <c r="AE574" s="5"/>
    </row>
    <row r="575">
      <c r="A575" s="5" t="s">
        <v>611</v>
      </c>
      <c r="B575" s="44">
        <v>44571.0</v>
      </c>
      <c r="C575" s="150">
        <v>0.2715856481481482</v>
      </c>
      <c r="D575" s="5"/>
      <c r="E575" s="5"/>
      <c r="F575" s="5"/>
      <c r="G575" s="5" t="s">
        <v>2184</v>
      </c>
      <c r="H575" s="5" t="s">
        <v>244</v>
      </c>
      <c r="I575" s="44">
        <v>44571.0</v>
      </c>
      <c r="J575" s="150">
        <v>0.46598379629629627</v>
      </c>
      <c r="K575" s="19">
        <v>1.0</v>
      </c>
      <c r="L575" s="10" t="b">
        <v>1</v>
      </c>
      <c r="M575" s="5" t="s">
        <v>2496</v>
      </c>
      <c r="N575" s="5" t="s">
        <v>247</v>
      </c>
      <c r="O575" s="5"/>
      <c r="P575" s="110" t="b">
        <f t="shared" si="1"/>
        <v>0</v>
      </c>
      <c r="Q575" s="110" t="b">
        <f>IF(COUNTIF(RAW_APS!$A$2:$A815,A575)=0,TRUE,FALSE)</f>
        <v>0</v>
      </c>
      <c r="R575" s="241" t="b">
        <f t="shared" si="2"/>
        <v>0</v>
      </c>
      <c r="U575" s="112" t="str">
        <f t="shared" si="3"/>
        <v/>
      </c>
      <c r="V575" s="60"/>
      <c r="W575" s="60"/>
      <c r="X575" s="60"/>
      <c r="Y575" s="60"/>
      <c r="Z575" s="210"/>
      <c r="AA575" s="112" t="str">
        <f t="shared" si="4"/>
        <v>MA335</v>
      </c>
      <c r="AB575" s="112" t="str">
        <f t="shared" si="5"/>
        <v/>
      </c>
      <c r="AC575" s="112" t="str">
        <f t="shared" si="6"/>
        <v/>
      </c>
      <c r="AD575" s="5"/>
      <c r="AE575" s="5"/>
    </row>
    <row r="576">
      <c r="A576" s="5" t="s">
        <v>975</v>
      </c>
      <c r="B576" s="44">
        <v>44582.0</v>
      </c>
      <c r="C576" s="150">
        <v>0.39101851851851854</v>
      </c>
      <c r="D576" s="5"/>
      <c r="E576" s="5"/>
      <c r="F576" s="5"/>
      <c r="G576" s="5" t="s">
        <v>2184</v>
      </c>
      <c r="H576" s="5" t="s">
        <v>52</v>
      </c>
      <c r="I576" s="44">
        <v>44582.0</v>
      </c>
      <c r="J576" s="150">
        <v>0.4884027777777778</v>
      </c>
      <c r="K576" s="19">
        <v>1.0</v>
      </c>
      <c r="L576" s="10" t="b">
        <v>1</v>
      </c>
      <c r="M576" s="5"/>
      <c r="N576" s="5" t="s">
        <v>247</v>
      </c>
      <c r="O576" s="5"/>
      <c r="P576" s="110" t="b">
        <f t="shared" si="1"/>
        <v>0</v>
      </c>
      <c r="Q576" s="110" t="b">
        <f>IF(COUNTIF(RAW_APS!$A$2:$A815,A576)=0,TRUE,FALSE)</f>
        <v>0</v>
      </c>
      <c r="R576" s="241" t="b">
        <f t="shared" si="2"/>
        <v>0</v>
      </c>
      <c r="U576" s="112" t="str">
        <f t="shared" si="3"/>
        <v/>
      </c>
      <c r="V576" s="60"/>
      <c r="W576" s="60"/>
      <c r="X576" s="60"/>
      <c r="Y576" s="60"/>
      <c r="Z576" s="210"/>
      <c r="AA576" s="112" t="str">
        <f t="shared" si="4"/>
        <v>MA337</v>
      </c>
      <c r="AB576" s="112" t="str">
        <f t="shared" si="5"/>
        <v/>
      </c>
      <c r="AC576" s="112" t="str">
        <f t="shared" si="6"/>
        <v/>
      </c>
      <c r="AD576" s="5"/>
      <c r="AE576" s="5"/>
    </row>
    <row r="577">
      <c r="A577" s="5" t="s">
        <v>1996</v>
      </c>
      <c r="B577" s="44">
        <v>44627.0</v>
      </c>
      <c r="C577" s="150">
        <v>0.3145833333333333</v>
      </c>
      <c r="D577" s="5"/>
      <c r="E577" s="5"/>
      <c r="F577" s="5"/>
      <c r="G577" s="5" t="s">
        <v>2184</v>
      </c>
      <c r="H577" s="5" t="s">
        <v>244</v>
      </c>
      <c r="I577" s="44">
        <v>44627.0</v>
      </c>
      <c r="J577" s="150">
        <v>0.4778935185185185</v>
      </c>
      <c r="K577" s="19">
        <v>1.0</v>
      </c>
      <c r="L577" s="10" t="b">
        <v>1</v>
      </c>
      <c r="M577" s="5" t="s">
        <v>2466</v>
      </c>
      <c r="N577" s="5" t="s">
        <v>247</v>
      </c>
      <c r="O577" s="5"/>
      <c r="P577" s="110" t="b">
        <f t="shared" si="1"/>
        <v>0</v>
      </c>
      <c r="Q577" s="110" t="b">
        <f>IF(COUNTIF(RAW_APS!$A$2:$A815,A577)=0,TRUE,FALSE)</f>
        <v>0</v>
      </c>
      <c r="R577" s="241" t="b">
        <f t="shared" si="2"/>
        <v>0</v>
      </c>
      <c r="U577" s="112" t="str">
        <f t="shared" si="3"/>
        <v/>
      </c>
      <c r="V577" s="60"/>
      <c r="W577" s="60"/>
      <c r="X577" s="60"/>
      <c r="Y577" s="60"/>
      <c r="Z577" s="210"/>
      <c r="AA577" s="112" t="str">
        <f t="shared" si="4"/>
        <v>MA340</v>
      </c>
      <c r="AB577" s="112" t="str">
        <f t="shared" si="5"/>
        <v/>
      </c>
      <c r="AC577" s="112" t="str">
        <f t="shared" si="6"/>
        <v/>
      </c>
      <c r="AD577" s="5"/>
      <c r="AE577" s="5"/>
    </row>
    <row r="578">
      <c r="A578" s="5" t="s">
        <v>683</v>
      </c>
      <c r="B578" s="44">
        <v>44571.0</v>
      </c>
      <c r="C578" s="150">
        <v>0.3928935185185185</v>
      </c>
      <c r="D578" s="5"/>
      <c r="E578" s="5"/>
      <c r="F578" s="5"/>
      <c r="G578" s="5" t="s">
        <v>2184</v>
      </c>
      <c r="H578" s="5" t="s">
        <v>52</v>
      </c>
      <c r="I578" s="44">
        <v>44579.0</v>
      </c>
      <c r="J578" s="150">
        <v>0.5015740740740741</v>
      </c>
      <c r="K578" s="19">
        <v>1.0</v>
      </c>
      <c r="L578" s="10" t="b">
        <v>1</v>
      </c>
      <c r="M578" s="5"/>
      <c r="N578" s="5" t="s">
        <v>247</v>
      </c>
      <c r="O578" s="5"/>
      <c r="P578" s="110" t="b">
        <f t="shared" si="1"/>
        <v>0</v>
      </c>
      <c r="Q578" s="110" t="b">
        <f>IF(COUNTIF(RAW_APS!$A$2:$A815,A578)=0,TRUE,FALSE)</f>
        <v>0</v>
      </c>
      <c r="R578" s="241" t="b">
        <f t="shared" si="2"/>
        <v>0</v>
      </c>
      <c r="U578" s="112" t="str">
        <f t="shared" si="3"/>
        <v/>
      </c>
      <c r="V578" s="60"/>
      <c r="W578" s="60"/>
      <c r="X578" s="60"/>
      <c r="Y578" s="60"/>
      <c r="Z578" s="210"/>
      <c r="AA578" s="112" t="str">
        <f t="shared" si="4"/>
        <v>MA341</v>
      </c>
      <c r="AB578" s="112" t="str">
        <f t="shared" si="5"/>
        <v/>
      </c>
      <c r="AC578" s="112" t="str">
        <f t="shared" si="6"/>
        <v/>
      </c>
      <c r="AD578" s="5"/>
      <c r="AE578" s="5"/>
    </row>
    <row r="579">
      <c r="A579" s="5" t="s">
        <v>401</v>
      </c>
      <c r="B579" s="44">
        <v>44557.0</v>
      </c>
      <c r="C579" s="150">
        <v>0.34118055555555554</v>
      </c>
      <c r="D579" s="5"/>
      <c r="E579" s="5"/>
      <c r="F579" s="5"/>
      <c r="G579" s="5" t="s">
        <v>2184</v>
      </c>
      <c r="H579" s="5" t="s">
        <v>244</v>
      </c>
      <c r="I579" s="44">
        <v>44557.0</v>
      </c>
      <c r="J579" s="150">
        <v>0.4870949074074074</v>
      </c>
      <c r="K579" s="19">
        <v>1.0</v>
      </c>
      <c r="L579" s="10" t="b">
        <v>1</v>
      </c>
      <c r="M579" s="5" t="s">
        <v>2504</v>
      </c>
      <c r="N579" s="5" t="s">
        <v>247</v>
      </c>
      <c r="O579" s="5"/>
      <c r="P579" s="110" t="b">
        <f t="shared" si="1"/>
        <v>0</v>
      </c>
      <c r="Q579" s="110" t="b">
        <f>IF(COUNTIF(RAW_APS!$A$2:$A815,A579)=0,TRUE,FALSE)</f>
        <v>0</v>
      </c>
      <c r="R579" s="241" t="b">
        <f t="shared" si="2"/>
        <v>0</v>
      </c>
      <c r="U579" s="112" t="str">
        <f t="shared" si="3"/>
        <v/>
      </c>
      <c r="V579" s="51"/>
      <c r="W579" s="51"/>
      <c r="X579" s="51"/>
      <c r="Y579" s="51"/>
      <c r="Z579" s="210"/>
      <c r="AA579" s="112" t="str">
        <f t="shared" si="4"/>
        <v>MA343</v>
      </c>
      <c r="AB579" s="112" t="str">
        <f t="shared" si="5"/>
        <v/>
      </c>
      <c r="AC579" s="112" t="str">
        <f t="shared" si="6"/>
        <v/>
      </c>
      <c r="AD579" s="5"/>
      <c r="AE579" s="5"/>
    </row>
    <row r="580">
      <c r="A580" s="5" t="s">
        <v>677</v>
      </c>
      <c r="B580" s="44">
        <v>44571.0</v>
      </c>
      <c r="C580" s="150">
        <v>0.39194444444444443</v>
      </c>
      <c r="D580" s="5"/>
      <c r="E580" s="5"/>
      <c r="F580" s="5"/>
      <c r="G580" s="5" t="s">
        <v>2184</v>
      </c>
      <c r="H580" s="5" t="s">
        <v>244</v>
      </c>
      <c r="I580" s="44">
        <v>44571.0</v>
      </c>
      <c r="J580" s="150">
        <v>0.46598379629629627</v>
      </c>
      <c r="K580" s="19">
        <v>1.0</v>
      </c>
      <c r="L580" s="10" t="b">
        <v>1</v>
      </c>
      <c r="M580" s="5" t="s">
        <v>2496</v>
      </c>
      <c r="N580" s="5" t="s">
        <v>247</v>
      </c>
      <c r="O580" s="5"/>
      <c r="P580" s="110" t="b">
        <f t="shared" si="1"/>
        <v>0</v>
      </c>
      <c r="Q580" s="110" t="b">
        <f>IF(COUNTIF(RAW_APS!$A$2:$A815,A580)=0,TRUE,FALSE)</f>
        <v>0</v>
      </c>
      <c r="R580" s="241" t="b">
        <f t="shared" si="2"/>
        <v>0</v>
      </c>
      <c r="U580" s="112" t="str">
        <f t="shared" si="3"/>
        <v/>
      </c>
      <c r="V580" s="60"/>
      <c r="W580" s="60"/>
      <c r="X580" s="60"/>
      <c r="Y580" s="60"/>
      <c r="Z580" s="210"/>
      <c r="AA580" s="112" t="str">
        <f t="shared" si="4"/>
        <v>MA344</v>
      </c>
      <c r="AB580" s="112" t="str">
        <f t="shared" si="5"/>
        <v/>
      </c>
      <c r="AC580" s="112" t="str">
        <f t="shared" si="6"/>
        <v/>
      </c>
      <c r="AD580" s="5"/>
      <c r="AE580" s="5"/>
    </row>
    <row r="581">
      <c r="A581" s="5" t="s">
        <v>2097</v>
      </c>
      <c r="B581" s="44">
        <v>44631.0</v>
      </c>
      <c r="C581" s="150">
        <v>0.2769097222222222</v>
      </c>
      <c r="D581" s="5"/>
      <c r="E581" s="5"/>
      <c r="F581" s="5"/>
      <c r="G581" s="5" t="s">
        <v>2184</v>
      </c>
      <c r="H581" s="5" t="s">
        <v>244</v>
      </c>
      <c r="I581" s="44">
        <v>44631.0</v>
      </c>
      <c r="J581" s="150">
        <v>0.4860763888888889</v>
      </c>
      <c r="K581" s="19">
        <v>1.0</v>
      </c>
      <c r="L581" s="10" t="b">
        <v>1</v>
      </c>
      <c r="M581" s="5" t="s">
        <v>2464</v>
      </c>
      <c r="N581" s="5" t="s">
        <v>247</v>
      </c>
      <c r="O581" s="5"/>
      <c r="P581" s="110" t="b">
        <f t="shared" si="1"/>
        <v>0</v>
      </c>
      <c r="Q581" s="110" t="b">
        <f>IF(COUNTIF(RAW_APS!$A$2:$A815,A581)=0,TRUE,FALSE)</f>
        <v>0</v>
      </c>
      <c r="R581" s="241" t="b">
        <f t="shared" si="2"/>
        <v>0</v>
      </c>
      <c r="U581" s="112" t="str">
        <f t="shared" si="3"/>
        <v/>
      </c>
      <c r="V581" s="60"/>
      <c r="W581" s="60"/>
      <c r="X581" s="60"/>
      <c r="Y581" s="60"/>
      <c r="Z581" s="210"/>
      <c r="AA581" s="112" t="str">
        <f t="shared" si="4"/>
        <v>MA345</v>
      </c>
      <c r="AB581" s="112" t="str">
        <f t="shared" si="5"/>
        <v/>
      </c>
      <c r="AC581" s="112" t="str">
        <f t="shared" si="6"/>
        <v/>
      </c>
      <c r="AD581" s="5"/>
      <c r="AE581" s="5"/>
    </row>
    <row r="582">
      <c r="A582" s="5" t="s">
        <v>582</v>
      </c>
      <c r="B582" s="44">
        <v>44568.0</v>
      </c>
      <c r="C582" s="150">
        <v>0.34206018518518516</v>
      </c>
      <c r="D582" s="5"/>
      <c r="E582" s="5"/>
      <c r="F582" s="5"/>
      <c r="G582" s="5" t="s">
        <v>2184</v>
      </c>
      <c r="H582" s="5" t="s">
        <v>63</v>
      </c>
      <c r="I582" s="44">
        <v>44568.0</v>
      </c>
      <c r="J582" s="150">
        <v>0.5079050925925926</v>
      </c>
      <c r="K582" s="19">
        <v>1.0</v>
      </c>
      <c r="L582" s="10" t="b">
        <v>1</v>
      </c>
      <c r="M582" s="5"/>
      <c r="N582" s="5" t="s">
        <v>247</v>
      </c>
      <c r="O582" s="5"/>
      <c r="P582" s="110" t="b">
        <f t="shared" si="1"/>
        <v>0</v>
      </c>
      <c r="Q582" s="110" t="b">
        <f>IF(COUNTIF(RAW_APS!$A$2:$A815,A582)=0,TRUE,FALSE)</f>
        <v>0</v>
      </c>
      <c r="R582" s="241" t="b">
        <f t="shared" si="2"/>
        <v>0</v>
      </c>
      <c r="U582" s="112" t="str">
        <f t="shared" si="3"/>
        <v/>
      </c>
      <c r="V582" s="60"/>
      <c r="W582" s="60"/>
      <c r="X582" s="60"/>
      <c r="Y582" s="60"/>
      <c r="Z582" s="210"/>
      <c r="AA582" s="112" t="str">
        <f t="shared" si="4"/>
        <v>MA347</v>
      </c>
      <c r="AB582" s="112" t="str">
        <f t="shared" si="5"/>
        <v/>
      </c>
      <c r="AC582" s="112" t="str">
        <f t="shared" si="6"/>
        <v/>
      </c>
      <c r="AD582" s="5"/>
      <c r="AE582" s="5"/>
    </row>
    <row r="583">
      <c r="A583" s="5" t="s">
        <v>1075</v>
      </c>
      <c r="B583" s="44">
        <v>44592.0</v>
      </c>
      <c r="C583" s="150">
        <v>0.3297337962962963</v>
      </c>
      <c r="D583" s="5"/>
      <c r="E583" s="5"/>
      <c r="F583" s="5"/>
      <c r="G583" s="5" t="s">
        <v>2184</v>
      </c>
      <c r="H583" s="5" t="s">
        <v>244</v>
      </c>
      <c r="I583" s="44">
        <v>44592.0</v>
      </c>
      <c r="J583" s="150">
        <v>0.46024305555555556</v>
      </c>
      <c r="K583" s="19">
        <v>1.0</v>
      </c>
      <c r="L583" s="10" t="b">
        <v>1</v>
      </c>
      <c r="M583" s="5" t="s">
        <v>2486</v>
      </c>
      <c r="N583" s="5" t="s">
        <v>247</v>
      </c>
      <c r="O583" s="5"/>
      <c r="P583" s="110" t="b">
        <f t="shared" si="1"/>
        <v>0</v>
      </c>
      <c r="Q583" s="110" t="b">
        <f>IF(COUNTIF(RAW_APS!$A$2:$A815,A583)=0,TRUE,FALSE)</f>
        <v>0</v>
      </c>
      <c r="R583" s="241" t="b">
        <f t="shared" si="2"/>
        <v>0</v>
      </c>
      <c r="U583" s="112" t="str">
        <f t="shared" si="3"/>
        <v/>
      </c>
      <c r="V583" s="60"/>
      <c r="W583" s="60"/>
      <c r="X583" s="60"/>
      <c r="Y583" s="60"/>
      <c r="Z583" s="210"/>
      <c r="AA583" s="112" t="str">
        <f t="shared" si="4"/>
        <v>MA348</v>
      </c>
      <c r="AB583" s="112" t="str">
        <f t="shared" si="5"/>
        <v/>
      </c>
      <c r="AC583" s="112" t="str">
        <f t="shared" si="6"/>
        <v/>
      </c>
      <c r="AD583" s="5"/>
      <c r="AE583" s="5"/>
    </row>
    <row r="584">
      <c r="A584" s="5" t="s">
        <v>1693</v>
      </c>
      <c r="B584" s="44">
        <v>44619.0</v>
      </c>
      <c r="C584" s="150">
        <v>0.28652777777777777</v>
      </c>
      <c r="D584" s="5"/>
      <c r="E584" s="5"/>
      <c r="F584" s="5"/>
      <c r="G584" s="5" t="s">
        <v>2184</v>
      </c>
      <c r="H584" s="5" t="s">
        <v>244</v>
      </c>
      <c r="I584" s="44">
        <v>44621.0</v>
      </c>
      <c r="J584" s="150">
        <v>0.4783449074074074</v>
      </c>
      <c r="K584" s="19">
        <v>1.0</v>
      </c>
      <c r="L584" s="10" t="b">
        <v>1</v>
      </c>
      <c r="M584" s="5" t="s">
        <v>2472</v>
      </c>
      <c r="N584" s="5" t="s">
        <v>247</v>
      </c>
      <c r="O584" s="5"/>
      <c r="P584" s="110" t="b">
        <f t="shared" si="1"/>
        <v>0</v>
      </c>
      <c r="Q584" s="110" t="b">
        <f>IF(COUNTIF(RAW_APS!$A$2:$A815,A584)=0,TRUE,FALSE)</f>
        <v>0</v>
      </c>
      <c r="R584" s="241" t="b">
        <f t="shared" si="2"/>
        <v>0</v>
      </c>
      <c r="U584" s="112" t="str">
        <f t="shared" si="3"/>
        <v/>
      </c>
      <c r="V584" s="60"/>
      <c r="W584" s="60"/>
      <c r="X584" s="60"/>
      <c r="Y584" s="60"/>
      <c r="Z584" s="210"/>
      <c r="AA584" s="112" t="str">
        <f t="shared" si="4"/>
        <v>MA349</v>
      </c>
      <c r="AB584" s="112" t="str">
        <f t="shared" si="5"/>
        <v/>
      </c>
      <c r="AC584" s="112" t="str">
        <f t="shared" si="6"/>
        <v/>
      </c>
      <c r="AD584" s="5"/>
      <c r="AE584" s="5"/>
    </row>
    <row r="585">
      <c r="A585" s="5" t="s">
        <v>1976</v>
      </c>
      <c r="B585" s="44">
        <v>44627.0</v>
      </c>
      <c r="C585" s="150">
        <v>0.27618055555555554</v>
      </c>
      <c r="D585" s="5"/>
      <c r="E585" s="5"/>
      <c r="F585" s="5"/>
      <c r="G585" s="5" t="s">
        <v>2184</v>
      </c>
      <c r="H585" s="5" t="s">
        <v>244</v>
      </c>
      <c r="I585" s="44">
        <v>44627.0</v>
      </c>
      <c r="J585" s="150">
        <v>0.4778935185185185</v>
      </c>
      <c r="K585" s="19">
        <v>1.0</v>
      </c>
      <c r="L585" s="10" t="b">
        <v>1</v>
      </c>
      <c r="M585" s="5" t="s">
        <v>2466</v>
      </c>
      <c r="N585" s="5" t="s">
        <v>247</v>
      </c>
      <c r="O585" s="5"/>
      <c r="P585" s="110" t="b">
        <f t="shared" si="1"/>
        <v>0</v>
      </c>
      <c r="Q585" s="110" t="b">
        <f>IF(COUNTIF(RAW_APS!$A$2:$A815,A585)=0,TRUE,FALSE)</f>
        <v>0</v>
      </c>
      <c r="R585" s="241" t="b">
        <f t="shared" si="2"/>
        <v>0</v>
      </c>
      <c r="U585" s="112" t="str">
        <f t="shared" si="3"/>
        <v/>
      </c>
      <c r="V585" s="60"/>
      <c r="W585" s="60"/>
      <c r="X585" s="60"/>
      <c r="Y585" s="60"/>
      <c r="Z585" s="210"/>
      <c r="AA585" s="112" t="str">
        <f t="shared" si="4"/>
        <v>MA350</v>
      </c>
      <c r="AB585" s="112" t="str">
        <f t="shared" si="5"/>
        <v/>
      </c>
      <c r="AC585" s="112" t="str">
        <f t="shared" si="6"/>
        <v/>
      </c>
      <c r="AD585" s="5"/>
      <c r="AE585" s="5"/>
    </row>
    <row r="586">
      <c r="A586" s="5" t="s">
        <v>2028</v>
      </c>
      <c r="B586" s="44">
        <v>44627.0</v>
      </c>
      <c r="C586" s="150">
        <v>0.3383449074074074</v>
      </c>
      <c r="D586" s="5"/>
      <c r="E586" s="5"/>
      <c r="F586" s="5"/>
      <c r="G586" s="5" t="s">
        <v>2184</v>
      </c>
      <c r="H586" s="5" t="s">
        <v>244</v>
      </c>
      <c r="I586" s="44">
        <v>44627.0</v>
      </c>
      <c r="J586" s="150">
        <v>0.4779050925925926</v>
      </c>
      <c r="K586" s="19">
        <v>1.0</v>
      </c>
      <c r="L586" s="10" t="b">
        <v>1</v>
      </c>
      <c r="M586" s="5" t="s">
        <v>2466</v>
      </c>
      <c r="N586" s="5" t="s">
        <v>247</v>
      </c>
      <c r="O586" s="5"/>
      <c r="P586" s="110" t="b">
        <f t="shared" si="1"/>
        <v>0</v>
      </c>
      <c r="Q586" s="110" t="b">
        <f>IF(COUNTIF(RAW_APS!$A$2:$A815,A586)=0,TRUE,FALSE)</f>
        <v>0</v>
      </c>
      <c r="R586" s="241" t="b">
        <f t="shared" si="2"/>
        <v>0</v>
      </c>
      <c r="U586" s="112" t="str">
        <f t="shared" si="3"/>
        <v/>
      </c>
      <c r="V586" s="60"/>
      <c r="W586" s="60"/>
      <c r="X586" s="60"/>
      <c r="Y586" s="60"/>
      <c r="Z586" s="210"/>
      <c r="AA586" s="112" t="str">
        <f t="shared" si="4"/>
        <v>MA353</v>
      </c>
      <c r="AB586" s="112" t="str">
        <f t="shared" si="5"/>
        <v/>
      </c>
      <c r="AC586" s="112" t="str">
        <f t="shared" si="6"/>
        <v/>
      </c>
      <c r="AD586" s="5"/>
      <c r="AE586" s="5"/>
    </row>
    <row r="587">
      <c r="A587" s="5" t="s">
        <v>822</v>
      </c>
      <c r="B587" s="44">
        <v>44578.0</v>
      </c>
      <c r="C587" s="150">
        <v>0.35052083333333334</v>
      </c>
      <c r="D587" s="5"/>
      <c r="E587" s="5"/>
      <c r="F587" s="5"/>
      <c r="G587" s="5" t="s">
        <v>2184</v>
      </c>
      <c r="H587" s="5" t="s">
        <v>244</v>
      </c>
      <c r="I587" s="44">
        <v>44580.0</v>
      </c>
      <c r="J587" s="150">
        <v>0.5079976851851852</v>
      </c>
      <c r="K587" s="19">
        <v>1.0</v>
      </c>
      <c r="L587" s="10" t="b">
        <v>1</v>
      </c>
      <c r="M587" s="5" t="s">
        <v>2492</v>
      </c>
      <c r="N587" s="5" t="s">
        <v>247</v>
      </c>
      <c r="O587" s="5"/>
      <c r="P587" s="110" t="b">
        <f t="shared" si="1"/>
        <v>0</v>
      </c>
      <c r="Q587" s="110" t="b">
        <f>IF(COUNTIF(RAW_APS!$A$2:$A815,A587)=0,TRUE,FALSE)</f>
        <v>0</v>
      </c>
      <c r="R587" s="241" t="b">
        <f t="shared" si="2"/>
        <v>0</v>
      </c>
      <c r="U587" s="112" t="str">
        <f t="shared" si="3"/>
        <v/>
      </c>
      <c r="V587" s="60"/>
      <c r="W587" s="60"/>
      <c r="X587" s="60"/>
      <c r="Y587" s="60"/>
      <c r="Z587" s="210"/>
      <c r="AA587" s="112" t="str">
        <f t="shared" si="4"/>
        <v>MA355</v>
      </c>
      <c r="AB587" s="112" t="str">
        <f t="shared" si="5"/>
        <v/>
      </c>
      <c r="AC587" s="112" t="str">
        <f t="shared" si="6"/>
        <v/>
      </c>
      <c r="AD587" s="5"/>
      <c r="AE587" s="5"/>
    </row>
    <row r="588">
      <c r="A588" s="5" t="s">
        <v>507</v>
      </c>
      <c r="B588" s="44">
        <v>44566.0</v>
      </c>
      <c r="C588" s="150">
        <v>0.32104166666666667</v>
      </c>
      <c r="D588" s="5"/>
      <c r="E588" s="5"/>
      <c r="F588" s="5"/>
      <c r="G588" s="5" t="s">
        <v>2184</v>
      </c>
      <c r="H588" s="5" t="s">
        <v>244</v>
      </c>
      <c r="I588" s="44">
        <v>44566.0</v>
      </c>
      <c r="J588" s="150">
        <v>0.4565625</v>
      </c>
      <c r="K588" s="19">
        <v>1.0</v>
      </c>
      <c r="L588" s="10" t="b">
        <v>1</v>
      </c>
      <c r="M588" s="5" t="s">
        <v>2499</v>
      </c>
      <c r="N588" s="5" t="s">
        <v>247</v>
      </c>
      <c r="O588" s="5"/>
      <c r="P588" s="110" t="b">
        <f t="shared" si="1"/>
        <v>0</v>
      </c>
      <c r="Q588" s="110" t="b">
        <f>IF(COUNTIF(RAW_APS!$A$2:$A815,A588)=0,TRUE,FALSE)</f>
        <v>0</v>
      </c>
      <c r="R588" s="241" t="b">
        <f t="shared" si="2"/>
        <v>0</v>
      </c>
      <c r="U588" s="112" t="str">
        <f t="shared" si="3"/>
        <v/>
      </c>
      <c r="V588" s="60"/>
      <c r="W588" s="60"/>
      <c r="X588" s="60"/>
      <c r="Y588" s="60"/>
      <c r="Z588" s="210"/>
      <c r="AA588" s="112" t="str">
        <f t="shared" si="4"/>
        <v>MA356</v>
      </c>
      <c r="AB588" s="112" t="str">
        <f t="shared" si="5"/>
        <v/>
      </c>
      <c r="AC588" s="112" t="str">
        <f t="shared" si="6"/>
        <v/>
      </c>
      <c r="AD588" s="5"/>
      <c r="AE588" s="5"/>
    </row>
    <row r="589">
      <c r="A589" s="5" t="s">
        <v>2074</v>
      </c>
      <c r="B589" s="44">
        <v>44629.0</v>
      </c>
      <c r="C589" s="150">
        <v>0.3330324074074074</v>
      </c>
      <c r="D589" s="5"/>
      <c r="E589" s="5"/>
      <c r="F589" s="5"/>
      <c r="G589" s="5" t="s">
        <v>2184</v>
      </c>
      <c r="H589" s="5" t="s">
        <v>244</v>
      </c>
      <c r="I589" s="44">
        <v>44629.0</v>
      </c>
      <c r="J589" s="150">
        <v>0.4994560185185185</v>
      </c>
      <c r="K589" s="19">
        <v>1.0</v>
      </c>
      <c r="L589" s="10" t="b">
        <v>1</v>
      </c>
      <c r="M589" s="5" t="s">
        <v>2465</v>
      </c>
      <c r="N589" s="5" t="s">
        <v>247</v>
      </c>
      <c r="O589" s="5"/>
      <c r="P589" s="110" t="b">
        <f t="shared" si="1"/>
        <v>0</v>
      </c>
      <c r="Q589" s="110" t="b">
        <f>IF(COUNTIF(RAW_APS!$A$2:$A815,A589)=0,TRUE,FALSE)</f>
        <v>0</v>
      </c>
      <c r="R589" s="241" t="b">
        <f t="shared" si="2"/>
        <v>0</v>
      </c>
      <c r="U589" s="112" t="str">
        <f t="shared" si="3"/>
        <v/>
      </c>
      <c r="V589" s="60"/>
      <c r="W589" s="60"/>
      <c r="X589" s="60"/>
      <c r="Y589" s="60"/>
      <c r="Z589" s="210"/>
      <c r="AA589" s="112" t="str">
        <f t="shared" si="4"/>
        <v>MA357</v>
      </c>
      <c r="AB589" s="112" t="str">
        <f t="shared" si="5"/>
        <v/>
      </c>
      <c r="AC589" s="112" t="str">
        <f t="shared" si="6"/>
        <v/>
      </c>
      <c r="AD589" s="5"/>
      <c r="AE589" s="5"/>
    </row>
    <row r="590">
      <c r="A590" s="5" t="s">
        <v>1218</v>
      </c>
      <c r="B590" s="44">
        <v>44607.0</v>
      </c>
      <c r="C590" s="150">
        <v>0.2821412037037037</v>
      </c>
      <c r="D590" s="5"/>
      <c r="E590" s="5"/>
      <c r="F590" s="5"/>
      <c r="G590" s="5" t="s">
        <v>2184</v>
      </c>
      <c r="H590" s="5" t="s">
        <v>244</v>
      </c>
      <c r="I590" s="44">
        <v>44607.0</v>
      </c>
      <c r="J590" s="150">
        <v>0.5867939814814814</v>
      </c>
      <c r="K590" s="19">
        <v>1.0</v>
      </c>
      <c r="L590" s="10" t="b">
        <v>1</v>
      </c>
      <c r="M590" s="5" t="s">
        <v>2479</v>
      </c>
      <c r="N590" s="5" t="s">
        <v>247</v>
      </c>
      <c r="O590" s="5"/>
      <c r="P590" s="110" t="b">
        <f t="shared" si="1"/>
        <v>0</v>
      </c>
      <c r="Q590" s="110" t="b">
        <f>IF(COUNTIF(RAW_APS!$A$2:$A815,A590)=0,TRUE,FALSE)</f>
        <v>0</v>
      </c>
      <c r="R590" s="241" t="b">
        <f t="shared" si="2"/>
        <v>0</v>
      </c>
      <c r="U590" s="112" t="str">
        <f t="shared" si="3"/>
        <v/>
      </c>
      <c r="V590" s="60"/>
      <c r="W590" s="60"/>
      <c r="X590" s="60"/>
      <c r="Y590" s="60"/>
      <c r="Z590" s="210"/>
      <c r="AA590" s="112" t="str">
        <f t="shared" si="4"/>
        <v>MA362</v>
      </c>
      <c r="AB590" s="112" t="str">
        <f t="shared" si="5"/>
        <v/>
      </c>
      <c r="AC590" s="112" t="str">
        <f t="shared" si="6"/>
        <v/>
      </c>
      <c r="AD590" s="5"/>
      <c r="AE590" s="5"/>
    </row>
    <row r="591">
      <c r="A591" s="5" t="s">
        <v>1902</v>
      </c>
      <c r="B591" s="44">
        <v>44623.0</v>
      </c>
      <c r="C591" s="150">
        <v>0.4583564814814815</v>
      </c>
      <c r="D591" s="5"/>
      <c r="E591" s="5"/>
      <c r="F591" s="5"/>
      <c r="G591" s="5" t="s">
        <v>2184</v>
      </c>
      <c r="H591" s="5" t="s">
        <v>244</v>
      </c>
      <c r="I591" s="44">
        <v>44623.0</v>
      </c>
      <c r="J591" s="150">
        <v>0.4606018518518519</v>
      </c>
      <c r="K591" s="19">
        <v>1.0</v>
      </c>
      <c r="L591" s="10" t="b">
        <v>0</v>
      </c>
      <c r="M591" s="5" t="s">
        <v>2468</v>
      </c>
      <c r="N591" s="5" t="s">
        <v>247</v>
      </c>
      <c r="O591" s="5"/>
      <c r="P591" s="110" t="b">
        <f t="shared" si="1"/>
        <v>0</v>
      </c>
      <c r="Q591" s="110" t="b">
        <f>IF(COUNTIF(RAW_APS!$A$2:$A815,A591)=0,TRUE,FALSE)</f>
        <v>0</v>
      </c>
      <c r="R591" s="241" t="b">
        <f t="shared" si="2"/>
        <v>0</v>
      </c>
      <c r="U591" s="112" t="str">
        <f t="shared" si="3"/>
        <v/>
      </c>
      <c r="V591" s="60"/>
      <c r="W591" s="60"/>
      <c r="X591" s="60"/>
      <c r="Y591" s="60"/>
      <c r="Z591" s="210"/>
      <c r="AA591" s="112" t="str">
        <f t="shared" si="4"/>
        <v>MA363</v>
      </c>
      <c r="AB591" s="112" t="str">
        <f t="shared" si="5"/>
        <v/>
      </c>
      <c r="AC591" s="112" t="str">
        <f t="shared" si="6"/>
        <v/>
      </c>
      <c r="AD591" s="5"/>
      <c r="AE591" s="5"/>
    </row>
    <row r="592">
      <c r="A592" s="5" t="s">
        <v>1791</v>
      </c>
      <c r="B592" s="44">
        <v>44621.0</v>
      </c>
      <c r="C592" s="150">
        <v>0.3244675925925926</v>
      </c>
      <c r="D592" s="5"/>
      <c r="E592" s="5"/>
      <c r="F592" s="5"/>
      <c r="G592" s="5" t="s">
        <v>2184</v>
      </c>
      <c r="H592" s="5" t="s">
        <v>244</v>
      </c>
      <c r="I592" s="44">
        <v>44627.0</v>
      </c>
      <c r="J592" s="150">
        <v>0.47791666666666666</v>
      </c>
      <c r="K592" s="19">
        <v>1.0</v>
      </c>
      <c r="L592" s="10" t="b">
        <v>1</v>
      </c>
      <c r="M592" s="5" t="s">
        <v>2470</v>
      </c>
      <c r="N592" s="5" t="s">
        <v>247</v>
      </c>
      <c r="O592" s="5"/>
      <c r="P592" s="110" t="b">
        <f t="shared" si="1"/>
        <v>0</v>
      </c>
      <c r="Q592" s="110" t="b">
        <f>IF(COUNTIF(RAW_APS!$A$2:$A815,A592)=0,TRUE,FALSE)</f>
        <v>0</v>
      </c>
      <c r="R592" s="241" t="b">
        <f t="shared" si="2"/>
        <v>0</v>
      </c>
      <c r="U592" s="112" t="str">
        <f t="shared" si="3"/>
        <v/>
      </c>
      <c r="V592" s="60"/>
      <c r="W592" s="60"/>
      <c r="X592" s="60"/>
      <c r="Y592" s="60"/>
      <c r="Z592" s="210"/>
      <c r="AA592" s="112" t="str">
        <f t="shared" si="4"/>
        <v>MA364</v>
      </c>
      <c r="AB592" s="112" t="str">
        <f t="shared" si="5"/>
        <v/>
      </c>
      <c r="AC592" s="112" t="str">
        <f t="shared" si="6"/>
        <v/>
      </c>
      <c r="AD592" s="5"/>
      <c r="AE592" s="5"/>
    </row>
    <row r="593">
      <c r="A593" s="5" t="s">
        <v>497</v>
      </c>
      <c r="B593" s="44">
        <v>44566.0</v>
      </c>
      <c r="C593" s="150">
        <v>0.30583333333333335</v>
      </c>
      <c r="D593" s="5"/>
      <c r="E593" s="5"/>
      <c r="F593" s="5"/>
      <c r="G593" s="5" t="s">
        <v>2184</v>
      </c>
      <c r="H593" s="5" t="s">
        <v>244</v>
      </c>
      <c r="I593" s="44">
        <v>44566.0</v>
      </c>
      <c r="J593" s="150">
        <v>0.4565625</v>
      </c>
      <c r="K593" s="19">
        <v>1.0</v>
      </c>
      <c r="L593" s="10" t="b">
        <v>1</v>
      </c>
      <c r="M593" s="5" t="s">
        <v>2499</v>
      </c>
      <c r="N593" s="5" t="s">
        <v>247</v>
      </c>
      <c r="O593" s="5"/>
      <c r="P593" s="110" t="b">
        <f t="shared" si="1"/>
        <v>0</v>
      </c>
      <c r="Q593" s="110" t="b">
        <f>IF(COUNTIF(RAW_APS!$A$2:$A815,A593)=0,TRUE,FALSE)</f>
        <v>0</v>
      </c>
      <c r="R593" s="241" t="b">
        <f t="shared" si="2"/>
        <v>0</v>
      </c>
      <c r="U593" s="112" t="str">
        <f t="shared" si="3"/>
        <v/>
      </c>
      <c r="V593" s="60"/>
      <c r="W593" s="60"/>
      <c r="X593" s="60"/>
      <c r="Y593" s="60"/>
      <c r="Z593" s="210"/>
      <c r="AA593" s="112" t="str">
        <f t="shared" si="4"/>
        <v>MA366</v>
      </c>
      <c r="AB593" s="112" t="str">
        <f t="shared" si="5"/>
        <v/>
      </c>
      <c r="AC593" s="112" t="str">
        <f t="shared" si="6"/>
        <v/>
      </c>
      <c r="AD593" s="5"/>
      <c r="AE593" s="5"/>
    </row>
    <row r="594">
      <c r="A594" s="5" t="s">
        <v>1121</v>
      </c>
      <c r="B594" s="44">
        <v>44599.0</v>
      </c>
      <c r="C594" s="150">
        <v>0.3005902777777778</v>
      </c>
      <c r="D594" s="5"/>
      <c r="E594" s="5"/>
      <c r="F594" s="5"/>
      <c r="G594" s="5" t="s">
        <v>2184</v>
      </c>
      <c r="H594" s="5" t="s">
        <v>244</v>
      </c>
      <c r="I594" s="44">
        <v>44599.0</v>
      </c>
      <c r="J594" s="150">
        <v>0.4875347222222222</v>
      </c>
      <c r="K594" s="19">
        <v>1.0</v>
      </c>
      <c r="L594" s="10" t="b">
        <v>1</v>
      </c>
      <c r="M594" s="5" t="s">
        <v>2483</v>
      </c>
      <c r="N594" s="5" t="s">
        <v>247</v>
      </c>
      <c r="O594" s="5"/>
      <c r="P594" s="110" t="b">
        <f t="shared" si="1"/>
        <v>0</v>
      </c>
      <c r="Q594" s="110" t="b">
        <f>IF(COUNTIF(RAW_APS!$A$2:$A815,A594)=0,TRUE,FALSE)</f>
        <v>0</v>
      </c>
      <c r="R594" s="241" t="b">
        <f t="shared" si="2"/>
        <v>0</v>
      </c>
      <c r="U594" s="112" t="str">
        <f t="shared" si="3"/>
        <v/>
      </c>
      <c r="V594" s="60"/>
      <c r="W594" s="60"/>
      <c r="X594" s="60"/>
      <c r="Y594" s="60"/>
      <c r="Z594" s="210"/>
      <c r="AA594" s="112" t="str">
        <f t="shared" si="4"/>
        <v>MA368</v>
      </c>
      <c r="AB594" s="112" t="str">
        <f t="shared" si="5"/>
        <v/>
      </c>
      <c r="AC594" s="112" t="str">
        <f t="shared" si="6"/>
        <v/>
      </c>
      <c r="AD594" s="5"/>
      <c r="AE594" s="5"/>
    </row>
    <row r="595">
      <c r="A595" s="5" t="s">
        <v>1937</v>
      </c>
      <c r="B595" s="44">
        <v>44625.0</v>
      </c>
      <c r="C595" s="150">
        <v>0.3150115740740741</v>
      </c>
      <c r="D595" s="5"/>
      <c r="E595" s="5"/>
      <c r="F595" s="5"/>
      <c r="G595" s="5" t="s">
        <v>2184</v>
      </c>
      <c r="H595" s="5" t="s">
        <v>244</v>
      </c>
      <c r="I595" s="44">
        <v>44625.0</v>
      </c>
      <c r="J595" s="150">
        <v>0.48974537037037036</v>
      </c>
      <c r="K595" s="19">
        <v>1.0</v>
      </c>
      <c r="L595" s="10" t="b">
        <v>1</v>
      </c>
      <c r="M595" s="5" t="s">
        <v>2467</v>
      </c>
      <c r="N595" s="5" t="s">
        <v>247</v>
      </c>
      <c r="O595" s="5"/>
      <c r="P595" s="110" t="b">
        <f t="shared" si="1"/>
        <v>0</v>
      </c>
      <c r="Q595" s="110" t="b">
        <f>IF(COUNTIF(RAW_APS!$A$2:$A815,A595)=0,TRUE,FALSE)</f>
        <v>0</v>
      </c>
      <c r="R595" s="241" t="b">
        <f t="shared" si="2"/>
        <v>0</v>
      </c>
      <c r="U595" s="112" t="str">
        <f t="shared" si="3"/>
        <v/>
      </c>
      <c r="V595" s="60"/>
      <c r="W595" s="60"/>
      <c r="X595" s="60"/>
      <c r="Y595" s="60"/>
      <c r="Z595" s="210"/>
      <c r="AA595" s="112" t="str">
        <f t="shared" si="4"/>
        <v>MA370</v>
      </c>
      <c r="AB595" s="112" t="str">
        <f t="shared" si="5"/>
        <v/>
      </c>
      <c r="AC595" s="112" t="str">
        <f t="shared" si="6"/>
        <v/>
      </c>
      <c r="AD595" s="5"/>
      <c r="AE595" s="5"/>
    </row>
    <row r="596">
      <c r="A596" s="5" t="s">
        <v>2448</v>
      </c>
      <c r="B596" s="44">
        <v>44557.0</v>
      </c>
      <c r="C596" s="150">
        <v>0.35445601851851855</v>
      </c>
      <c r="D596" s="5"/>
      <c r="E596" s="5"/>
      <c r="F596" s="5"/>
      <c r="G596" s="5" t="s">
        <v>2184</v>
      </c>
      <c r="H596" s="5" t="s">
        <v>244</v>
      </c>
      <c r="I596" s="44">
        <v>44557.0</v>
      </c>
      <c r="J596" s="150">
        <v>0.4870949074074074</v>
      </c>
      <c r="K596" s="19">
        <v>1.0</v>
      </c>
      <c r="L596" s="10" t="b">
        <v>1</v>
      </c>
      <c r="M596" s="5" t="s">
        <v>2504</v>
      </c>
      <c r="N596" s="5" t="s">
        <v>247</v>
      </c>
      <c r="O596" s="5"/>
      <c r="P596" s="110" t="b">
        <f t="shared" si="1"/>
        <v>0</v>
      </c>
      <c r="Q596" s="110" t="b">
        <f>IF(COUNTIF(RAW_APS!$A$2:$A815,A596)=0,TRUE,FALSE)</f>
        <v>0</v>
      </c>
      <c r="R596" s="241" t="b">
        <f t="shared" si="2"/>
        <v>0</v>
      </c>
      <c r="U596" s="112" t="str">
        <f t="shared" si="3"/>
        <v/>
      </c>
      <c r="V596" s="51"/>
      <c r="W596" s="51"/>
      <c r="X596" s="51"/>
      <c r="Y596" s="51"/>
      <c r="Z596" s="210"/>
      <c r="AA596" s="112" t="str">
        <f t="shared" si="4"/>
        <v>MA371</v>
      </c>
      <c r="AB596" s="112" t="str">
        <f t="shared" si="5"/>
        <v/>
      </c>
      <c r="AC596" s="112" t="str">
        <f t="shared" si="6"/>
        <v/>
      </c>
      <c r="AD596" s="5"/>
      <c r="AE596" s="5"/>
    </row>
    <row r="597">
      <c r="A597" s="5" t="s">
        <v>930</v>
      </c>
      <c r="B597" s="44">
        <v>44580.0</v>
      </c>
      <c r="C597" s="150">
        <v>0.415</v>
      </c>
      <c r="D597" s="5"/>
      <c r="E597" s="5"/>
      <c r="F597" s="5"/>
      <c r="G597" s="5" t="s">
        <v>2184</v>
      </c>
      <c r="H597" s="5" t="s">
        <v>52</v>
      </c>
      <c r="I597" s="44">
        <v>44580.0</v>
      </c>
      <c r="J597" s="150">
        <v>0.5073726851851852</v>
      </c>
      <c r="K597" s="19">
        <v>1.0</v>
      </c>
      <c r="L597" s="10" t="b">
        <v>1</v>
      </c>
      <c r="M597" s="5"/>
      <c r="N597" s="5" t="s">
        <v>247</v>
      </c>
      <c r="O597" s="5"/>
      <c r="P597" s="110" t="b">
        <f t="shared" si="1"/>
        <v>0</v>
      </c>
      <c r="Q597" s="110" t="b">
        <f>IF(COUNTIF(RAW_APS!$A$2:$A815,A597)=0,TRUE,FALSE)</f>
        <v>0</v>
      </c>
      <c r="R597" s="241" t="b">
        <f t="shared" si="2"/>
        <v>0</v>
      </c>
      <c r="U597" s="112" t="str">
        <f t="shared" si="3"/>
        <v/>
      </c>
      <c r="V597" s="60"/>
      <c r="W597" s="60"/>
      <c r="X597" s="60"/>
      <c r="Y597" s="60"/>
      <c r="Z597" s="210"/>
      <c r="AA597" s="112" t="str">
        <f t="shared" si="4"/>
        <v>MA372</v>
      </c>
      <c r="AB597" s="112" t="str">
        <f t="shared" si="5"/>
        <v/>
      </c>
      <c r="AC597" s="112" t="str">
        <f t="shared" si="6"/>
        <v/>
      </c>
      <c r="AD597" s="5"/>
      <c r="AE597" s="5"/>
    </row>
    <row r="598">
      <c r="A598" s="5" t="s">
        <v>2144</v>
      </c>
      <c r="B598" s="44">
        <v>44631.0</v>
      </c>
      <c r="C598" s="150">
        <v>0.34501157407407407</v>
      </c>
      <c r="D598" s="5"/>
      <c r="E598" s="5"/>
      <c r="F598" s="5"/>
      <c r="G598" s="5" t="s">
        <v>2184</v>
      </c>
      <c r="H598" s="5" t="s">
        <v>244</v>
      </c>
      <c r="I598" s="44">
        <v>44631.0</v>
      </c>
      <c r="J598" s="150">
        <v>0.486099537037037</v>
      </c>
      <c r="K598" s="19">
        <v>1.0</v>
      </c>
      <c r="L598" s="10" t="b">
        <v>1</v>
      </c>
      <c r="M598" s="5" t="s">
        <v>2464</v>
      </c>
      <c r="N598" s="5" t="s">
        <v>247</v>
      </c>
      <c r="O598" s="5"/>
      <c r="P598" s="110" t="b">
        <f t="shared" si="1"/>
        <v>0</v>
      </c>
      <c r="Q598" s="110" t="b">
        <f>IF(COUNTIF(RAW_APS!$A$2:$A815,A598)=0,TRUE,FALSE)</f>
        <v>0</v>
      </c>
      <c r="R598" s="241" t="b">
        <f t="shared" si="2"/>
        <v>0</v>
      </c>
      <c r="U598" s="112" t="str">
        <f t="shared" si="3"/>
        <v/>
      </c>
      <c r="V598" s="60"/>
      <c r="W598" s="60"/>
      <c r="X598" s="60"/>
      <c r="Y598" s="60"/>
      <c r="Z598" s="210"/>
      <c r="AA598" s="112" t="str">
        <f t="shared" si="4"/>
        <v>MA375</v>
      </c>
      <c r="AB598" s="112" t="str">
        <f t="shared" si="5"/>
        <v/>
      </c>
      <c r="AC598" s="112" t="str">
        <f t="shared" si="6"/>
        <v/>
      </c>
      <c r="AD598" s="5"/>
      <c r="AE598" s="5"/>
    </row>
    <row r="599">
      <c r="A599" s="5" t="s">
        <v>964</v>
      </c>
      <c r="B599" s="44">
        <v>44582.0</v>
      </c>
      <c r="C599" s="150">
        <v>0.35019675925925925</v>
      </c>
      <c r="D599" s="5"/>
      <c r="E599" s="5"/>
      <c r="F599" s="5"/>
      <c r="G599" s="5" t="s">
        <v>2184</v>
      </c>
      <c r="H599" s="5" t="s">
        <v>244</v>
      </c>
      <c r="I599" s="44">
        <v>44582.0</v>
      </c>
      <c r="J599" s="150">
        <v>0.4884027777777778</v>
      </c>
      <c r="K599" s="19">
        <v>1.0</v>
      </c>
      <c r="L599" s="10" t="b">
        <v>1</v>
      </c>
      <c r="M599" s="5" t="s">
        <v>2490</v>
      </c>
      <c r="N599" s="5" t="s">
        <v>247</v>
      </c>
      <c r="O599" s="5"/>
      <c r="P599" s="110" t="b">
        <f t="shared" si="1"/>
        <v>0</v>
      </c>
      <c r="Q599" s="110" t="b">
        <f>IF(COUNTIF(RAW_APS!$A$2:$A815,A599)=0,TRUE,FALSE)</f>
        <v>0</v>
      </c>
      <c r="R599" s="241" t="b">
        <f t="shared" si="2"/>
        <v>0</v>
      </c>
      <c r="U599" s="112" t="str">
        <f t="shared" si="3"/>
        <v/>
      </c>
      <c r="V599" s="60"/>
      <c r="W599" s="60"/>
      <c r="X599" s="60"/>
      <c r="Y599" s="60"/>
      <c r="Z599" s="210"/>
      <c r="AA599" s="112" t="str">
        <f t="shared" si="4"/>
        <v>MA376</v>
      </c>
      <c r="AB599" s="112" t="str">
        <f t="shared" si="5"/>
        <v/>
      </c>
      <c r="AC599" s="112" t="str">
        <f t="shared" si="6"/>
        <v/>
      </c>
      <c r="AD599" s="5"/>
      <c r="AE599" s="5"/>
    </row>
    <row r="600">
      <c r="A600" s="5" t="s">
        <v>1000</v>
      </c>
      <c r="B600" s="44">
        <v>44585.0</v>
      </c>
      <c r="C600" s="150">
        <v>0.3161921296296296</v>
      </c>
      <c r="D600" s="5"/>
      <c r="E600" s="5"/>
      <c r="F600" s="5"/>
      <c r="G600" s="5" t="s">
        <v>2184</v>
      </c>
      <c r="H600" s="5" t="s">
        <v>244</v>
      </c>
      <c r="I600" s="44">
        <v>44585.0</v>
      </c>
      <c r="J600" s="150">
        <v>0.46827546296296296</v>
      </c>
      <c r="K600" s="19">
        <v>1.0</v>
      </c>
      <c r="L600" s="10" t="b">
        <v>1</v>
      </c>
      <c r="M600" s="5"/>
      <c r="N600" s="5" t="s">
        <v>247</v>
      </c>
      <c r="O600" s="5"/>
      <c r="P600" s="110" t="b">
        <f t="shared" si="1"/>
        <v>0</v>
      </c>
      <c r="Q600" s="110" t="b">
        <f>IF(COUNTIF(RAW_APS!$A$2:$A815,A600)=0,TRUE,FALSE)</f>
        <v>0</v>
      </c>
      <c r="R600" s="241" t="b">
        <f t="shared" si="2"/>
        <v>0</v>
      </c>
      <c r="U600" s="112" t="str">
        <f t="shared" si="3"/>
        <v/>
      </c>
      <c r="V600" s="60"/>
      <c r="W600" s="60"/>
      <c r="X600" s="60"/>
      <c r="Y600" s="60"/>
      <c r="Z600" s="210"/>
      <c r="AA600" s="112" t="str">
        <f t="shared" si="4"/>
        <v>MA377</v>
      </c>
      <c r="AB600" s="112" t="str">
        <f t="shared" si="5"/>
        <v/>
      </c>
      <c r="AC600" s="112" t="str">
        <f t="shared" si="6"/>
        <v/>
      </c>
      <c r="AD600" s="5"/>
      <c r="AE600" s="5"/>
    </row>
    <row r="601">
      <c r="A601" s="5" t="s">
        <v>2026</v>
      </c>
      <c r="B601" s="44">
        <v>44627.0</v>
      </c>
      <c r="C601" s="150">
        <v>0.3370023148148148</v>
      </c>
      <c r="D601" s="5"/>
      <c r="E601" s="5"/>
      <c r="F601" s="5"/>
      <c r="G601" s="5" t="s">
        <v>2184</v>
      </c>
      <c r="H601" s="5" t="s">
        <v>244</v>
      </c>
      <c r="I601" s="44">
        <v>44627.0</v>
      </c>
      <c r="J601" s="150">
        <v>0.4779050925925926</v>
      </c>
      <c r="K601" s="19">
        <v>1.0</v>
      </c>
      <c r="L601" s="10" t="b">
        <v>1</v>
      </c>
      <c r="M601" s="5" t="s">
        <v>2466</v>
      </c>
      <c r="N601" s="5" t="s">
        <v>247</v>
      </c>
      <c r="O601" s="5"/>
      <c r="P601" s="110" t="b">
        <f t="shared" si="1"/>
        <v>0</v>
      </c>
      <c r="Q601" s="110" t="b">
        <f>IF(COUNTIF(RAW_APS!$A$2:$A815,A601)=0,TRUE,FALSE)</f>
        <v>0</v>
      </c>
      <c r="R601" s="241" t="b">
        <f t="shared" si="2"/>
        <v>0</v>
      </c>
      <c r="U601" s="112" t="str">
        <f t="shared" si="3"/>
        <v/>
      </c>
      <c r="V601" s="60"/>
      <c r="W601" s="60"/>
      <c r="X601" s="60"/>
      <c r="Y601" s="60"/>
      <c r="Z601" s="210"/>
      <c r="AA601" s="112" t="str">
        <f t="shared" si="4"/>
        <v>MA378</v>
      </c>
      <c r="AB601" s="112" t="str">
        <f t="shared" si="5"/>
        <v/>
      </c>
      <c r="AC601" s="112" t="str">
        <f t="shared" si="6"/>
        <v/>
      </c>
      <c r="AD601" s="5"/>
      <c r="AE601" s="5"/>
    </row>
    <row r="602">
      <c r="A602" s="5" t="s">
        <v>2078</v>
      </c>
      <c r="B602" s="44">
        <v>44629.0</v>
      </c>
      <c r="C602" s="150">
        <v>0.33490740740740743</v>
      </c>
      <c r="D602" s="5"/>
      <c r="E602" s="5"/>
      <c r="F602" s="5"/>
      <c r="G602" s="5" t="s">
        <v>2184</v>
      </c>
      <c r="H602" s="5" t="s">
        <v>244</v>
      </c>
      <c r="I602" s="44">
        <v>44629.0</v>
      </c>
      <c r="J602" s="150">
        <v>0.4994560185185185</v>
      </c>
      <c r="K602" s="19">
        <v>1.0</v>
      </c>
      <c r="L602" s="10" t="b">
        <v>1</v>
      </c>
      <c r="M602" s="5" t="s">
        <v>2465</v>
      </c>
      <c r="N602" s="5" t="s">
        <v>247</v>
      </c>
      <c r="O602" s="5"/>
      <c r="P602" s="110" t="b">
        <f t="shared" si="1"/>
        <v>0</v>
      </c>
      <c r="Q602" s="110" t="b">
        <f>IF(COUNTIF(RAW_APS!$A$2:$A815,A602)=0,TRUE,FALSE)</f>
        <v>0</v>
      </c>
      <c r="R602" s="241" t="b">
        <f t="shared" si="2"/>
        <v>0</v>
      </c>
      <c r="U602" s="112" t="str">
        <f t="shared" si="3"/>
        <v/>
      </c>
      <c r="V602" s="60"/>
      <c r="W602" s="60"/>
      <c r="X602" s="60"/>
      <c r="Y602" s="60"/>
      <c r="Z602" s="210"/>
      <c r="AA602" s="112" t="str">
        <f t="shared" si="4"/>
        <v>MA379</v>
      </c>
      <c r="AB602" s="112" t="str">
        <f t="shared" si="5"/>
        <v/>
      </c>
      <c r="AC602" s="112" t="str">
        <f t="shared" si="6"/>
        <v/>
      </c>
      <c r="AD602" s="5"/>
      <c r="AE602" s="5"/>
    </row>
    <row r="603">
      <c r="A603" s="5" t="s">
        <v>1789</v>
      </c>
      <c r="B603" s="44">
        <v>44621.0</v>
      </c>
      <c r="C603" s="150">
        <v>0.32395833333333335</v>
      </c>
      <c r="D603" s="5"/>
      <c r="E603" s="5"/>
      <c r="F603" s="5"/>
      <c r="G603" s="5" t="s">
        <v>2184</v>
      </c>
      <c r="H603" s="5" t="s">
        <v>244</v>
      </c>
      <c r="I603" s="44">
        <v>44627.0</v>
      </c>
      <c r="J603" s="150">
        <v>0.47791666666666666</v>
      </c>
      <c r="K603" s="19">
        <v>1.0</v>
      </c>
      <c r="L603" s="10" t="b">
        <v>1</v>
      </c>
      <c r="M603" s="5" t="s">
        <v>2470</v>
      </c>
      <c r="N603" s="5" t="s">
        <v>247</v>
      </c>
      <c r="O603" s="5"/>
      <c r="P603" s="110" t="b">
        <f t="shared" si="1"/>
        <v>0</v>
      </c>
      <c r="Q603" s="110" t="b">
        <f>IF(COUNTIF(RAW_APS!$A$2:$A815,A603)=0,TRUE,FALSE)</f>
        <v>0</v>
      </c>
      <c r="R603" s="241" t="b">
        <f t="shared" si="2"/>
        <v>0</v>
      </c>
      <c r="U603" s="112" t="str">
        <f t="shared" si="3"/>
        <v/>
      </c>
      <c r="V603" s="60"/>
      <c r="W603" s="60"/>
      <c r="X603" s="60"/>
      <c r="Y603" s="60"/>
      <c r="Z603" s="210"/>
      <c r="AA603" s="112" t="str">
        <f t="shared" si="4"/>
        <v>MA380</v>
      </c>
      <c r="AB603" s="112" t="str">
        <f t="shared" si="5"/>
        <v/>
      </c>
      <c r="AC603" s="112" t="str">
        <f t="shared" si="6"/>
        <v/>
      </c>
      <c r="AD603" s="5"/>
      <c r="AE603" s="5"/>
    </row>
    <row r="604">
      <c r="A604" s="5" t="s">
        <v>928</v>
      </c>
      <c r="B604" s="44">
        <v>44580.0</v>
      </c>
      <c r="C604" s="150">
        <v>0.41456018518518517</v>
      </c>
      <c r="D604" s="5"/>
      <c r="E604" s="5"/>
      <c r="F604" s="5"/>
      <c r="G604" s="5" t="s">
        <v>2184</v>
      </c>
      <c r="H604" s="5" t="s">
        <v>52</v>
      </c>
      <c r="I604" s="44">
        <v>44580.0</v>
      </c>
      <c r="J604" s="150">
        <v>0.5073611111111112</v>
      </c>
      <c r="K604" s="19">
        <v>1.0</v>
      </c>
      <c r="L604" s="10" t="b">
        <v>1</v>
      </c>
      <c r="M604" s="5"/>
      <c r="N604" s="5" t="s">
        <v>247</v>
      </c>
      <c r="O604" s="5"/>
      <c r="P604" s="110" t="b">
        <f t="shared" si="1"/>
        <v>0</v>
      </c>
      <c r="Q604" s="110" t="b">
        <f>IF(COUNTIF(RAW_APS!$A$2:$A815,A604)=0,TRUE,FALSE)</f>
        <v>0</v>
      </c>
      <c r="R604" s="241" t="b">
        <f t="shared" si="2"/>
        <v>0</v>
      </c>
      <c r="U604" s="112" t="str">
        <f t="shared" si="3"/>
        <v/>
      </c>
      <c r="V604" s="60"/>
      <c r="W604" s="60"/>
      <c r="X604" s="60"/>
      <c r="Y604" s="60"/>
      <c r="Z604" s="210"/>
      <c r="AA604" s="112" t="str">
        <f t="shared" si="4"/>
        <v>MA383</v>
      </c>
      <c r="AB604" s="112" t="str">
        <f t="shared" si="5"/>
        <v/>
      </c>
      <c r="AC604" s="112" t="str">
        <f t="shared" si="6"/>
        <v/>
      </c>
      <c r="AD604" s="5"/>
      <c r="AE604" s="5"/>
    </row>
    <row r="605">
      <c r="A605" s="5" t="s">
        <v>674</v>
      </c>
      <c r="B605" s="44">
        <v>44571.0</v>
      </c>
      <c r="C605" s="150">
        <v>0.39141203703703703</v>
      </c>
      <c r="D605" s="5"/>
      <c r="E605" s="5"/>
      <c r="F605" s="5"/>
      <c r="G605" s="5" t="s">
        <v>2184</v>
      </c>
      <c r="H605" s="5" t="s">
        <v>244</v>
      </c>
      <c r="I605" s="44">
        <v>44571.0</v>
      </c>
      <c r="J605" s="150">
        <v>0.46598379629629627</v>
      </c>
      <c r="K605" s="19">
        <v>1.0</v>
      </c>
      <c r="L605" s="10" t="b">
        <v>1</v>
      </c>
      <c r="M605" s="5" t="s">
        <v>2496</v>
      </c>
      <c r="N605" s="5" t="s">
        <v>247</v>
      </c>
      <c r="O605" s="5"/>
      <c r="P605" s="110" t="b">
        <f t="shared" si="1"/>
        <v>0</v>
      </c>
      <c r="Q605" s="110" t="b">
        <f>IF(COUNTIF(RAW_APS!$A$2:$A815,A605)=0,TRUE,FALSE)</f>
        <v>0</v>
      </c>
      <c r="R605" s="241" t="b">
        <f t="shared" si="2"/>
        <v>0</v>
      </c>
      <c r="U605" s="112" t="str">
        <f t="shared" si="3"/>
        <v/>
      </c>
      <c r="V605" s="60"/>
      <c r="W605" s="60"/>
      <c r="X605" s="60"/>
      <c r="Y605" s="60"/>
      <c r="Z605" s="210"/>
      <c r="AA605" s="112" t="str">
        <f t="shared" si="4"/>
        <v>MA384</v>
      </c>
      <c r="AB605" s="112" t="str">
        <f t="shared" si="5"/>
        <v/>
      </c>
      <c r="AC605" s="112" t="str">
        <f t="shared" si="6"/>
        <v/>
      </c>
      <c r="AD605" s="5"/>
      <c r="AE605" s="5"/>
    </row>
    <row r="606">
      <c r="A606" s="5" t="s">
        <v>874</v>
      </c>
      <c r="B606" s="44">
        <v>44579.0</v>
      </c>
      <c r="C606" s="150">
        <v>0.3413888888888889</v>
      </c>
      <c r="D606" s="5"/>
      <c r="E606" s="5"/>
      <c r="F606" s="5"/>
      <c r="G606" s="5" t="s">
        <v>2184</v>
      </c>
      <c r="H606" s="5" t="s">
        <v>244</v>
      </c>
      <c r="I606" s="44">
        <v>44580.0</v>
      </c>
      <c r="J606" s="150">
        <v>0.5080208333333334</v>
      </c>
      <c r="K606" s="19">
        <v>1.0</v>
      </c>
      <c r="L606" s="10" t="b">
        <v>1</v>
      </c>
      <c r="M606" s="5" t="s">
        <v>2492</v>
      </c>
      <c r="N606" s="5" t="s">
        <v>247</v>
      </c>
      <c r="O606" s="5"/>
      <c r="P606" s="110" t="b">
        <f t="shared" si="1"/>
        <v>0</v>
      </c>
      <c r="Q606" s="110" t="b">
        <f>IF(COUNTIF(RAW_APS!$A$2:$A815,A606)=0,TRUE,FALSE)</f>
        <v>0</v>
      </c>
      <c r="R606" s="241" t="b">
        <f t="shared" si="2"/>
        <v>0</v>
      </c>
      <c r="U606" s="112" t="str">
        <f t="shared" si="3"/>
        <v/>
      </c>
      <c r="V606" s="60"/>
      <c r="W606" s="60"/>
      <c r="X606" s="60"/>
      <c r="Y606" s="60"/>
      <c r="Z606" s="210"/>
      <c r="AA606" s="112" t="str">
        <f t="shared" si="4"/>
        <v>MA386</v>
      </c>
      <c r="AB606" s="112" t="str">
        <f t="shared" si="5"/>
        <v/>
      </c>
      <c r="AC606" s="112" t="str">
        <f t="shared" si="6"/>
        <v/>
      </c>
      <c r="AD606" s="5"/>
      <c r="AE606" s="5"/>
    </row>
    <row r="607">
      <c r="A607" s="5" t="s">
        <v>1119</v>
      </c>
      <c r="B607" s="44">
        <v>44599.0</v>
      </c>
      <c r="C607" s="150">
        <v>0.2763541666666667</v>
      </c>
      <c r="D607" s="5"/>
      <c r="E607" s="5"/>
      <c r="F607" s="5"/>
      <c r="G607" s="5" t="s">
        <v>2184</v>
      </c>
      <c r="H607" s="5" t="s">
        <v>244</v>
      </c>
      <c r="I607" s="44">
        <v>44599.0</v>
      </c>
      <c r="J607" s="150">
        <v>0.4875347222222222</v>
      </c>
      <c r="K607" s="19">
        <v>1.0</v>
      </c>
      <c r="L607" s="10" t="b">
        <v>1</v>
      </c>
      <c r="M607" s="5" t="s">
        <v>2483</v>
      </c>
      <c r="N607" s="5" t="s">
        <v>247</v>
      </c>
      <c r="O607" s="5"/>
      <c r="P607" s="110" t="b">
        <f t="shared" si="1"/>
        <v>0</v>
      </c>
      <c r="Q607" s="110" t="b">
        <f>IF(COUNTIF(RAW_APS!$A$2:$A815,A607)=0,TRUE,FALSE)</f>
        <v>0</v>
      </c>
      <c r="R607" s="241" t="b">
        <f t="shared" si="2"/>
        <v>0</v>
      </c>
      <c r="U607" s="112" t="str">
        <f t="shared" si="3"/>
        <v/>
      </c>
      <c r="V607" s="60"/>
      <c r="W607" s="60"/>
      <c r="X607" s="60"/>
      <c r="Y607" s="60"/>
      <c r="Z607" s="210"/>
      <c r="AA607" s="112" t="str">
        <f t="shared" si="4"/>
        <v>MA390</v>
      </c>
      <c r="AB607" s="112" t="str">
        <f t="shared" si="5"/>
        <v/>
      </c>
      <c r="AC607" s="112" t="str">
        <f t="shared" si="6"/>
        <v/>
      </c>
      <c r="AD607" s="5"/>
      <c r="AE607" s="5"/>
    </row>
    <row r="608">
      <c r="A608" s="5" t="s">
        <v>1273</v>
      </c>
      <c r="B608" s="44">
        <v>44607.0</v>
      </c>
      <c r="C608" s="150">
        <v>0.3254398148148148</v>
      </c>
      <c r="D608" s="5"/>
      <c r="E608" s="5"/>
      <c r="F608" s="5"/>
      <c r="G608" s="5" t="s">
        <v>2184</v>
      </c>
      <c r="H608" s="5" t="s">
        <v>244</v>
      </c>
      <c r="I608" s="44">
        <v>44607.0</v>
      </c>
      <c r="J608" s="150">
        <v>0.5868055555555556</v>
      </c>
      <c r="K608" s="19">
        <v>1.0</v>
      </c>
      <c r="L608" s="10" t="b">
        <v>1</v>
      </c>
      <c r="M608" s="5" t="s">
        <v>2479</v>
      </c>
      <c r="N608" s="5" t="s">
        <v>247</v>
      </c>
      <c r="O608" s="5"/>
      <c r="P608" s="110" t="b">
        <f t="shared" si="1"/>
        <v>0</v>
      </c>
      <c r="Q608" s="110" t="b">
        <f>IF(COUNTIF(RAW_APS!$A$2:$A815,A608)=0,TRUE,FALSE)</f>
        <v>0</v>
      </c>
      <c r="R608" s="241" t="b">
        <f t="shared" si="2"/>
        <v>0</v>
      </c>
      <c r="U608" s="112" t="str">
        <f t="shared" si="3"/>
        <v/>
      </c>
      <c r="V608" s="60"/>
      <c r="W608" s="60"/>
      <c r="X608" s="60"/>
      <c r="Y608" s="60"/>
      <c r="Z608" s="210"/>
      <c r="AA608" s="112" t="str">
        <f t="shared" si="4"/>
        <v>MA391</v>
      </c>
      <c r="AB608" s="112" t="str">
        <f t="shared" si="5"/>
        <v/>
      </c>
      <c r="AC608" s="112" t="str">
        <f t="shared" si="6"/>
        <v/>
      </c>
      <c r="AD608" s="5"/>
      <c r="AE608" s="5"/>
    </row>
    <row r="609">
      <c r="A609" s="5" t="s">
        <v>1701</v>
      </c>
      <c r="B609" s="44">
        <v>44619.0</v>
      </c>
      <c r="C609" s="150">
        <v>0.3128587962962963</v>
      </c>
      <c r="D609" s="5"/>
      <c r="E609" s="5"/>
      <c r="F609" s="5"/>
      <c r="G609" s="5" t="s">
        <v>2184</v>
      </c>
      <c r="H609" s="5" t="s">
        <v>244</v>
      </c>
      <c r="I609" s="44">
        <v>44621.0</v>
      </c>
      <c r="J609" s="150">
        <v>0.4783449074074074</v>
      </c>
      <c r="K609" s="19">
        <v>1.0</v>
      </c>
      <c r="L609" s="10" t="b">
        <v>1</v>
      </c>
      <c r="M609" s="5" t="s">
        <v>2472</v>
      </c>
      <c r="N609" s="5" t="s">
        <v>247</v>
      </c>
      <c r="O609" s="5"/>
      <c r="P609" s="110" t="b">
        <f t="shared" si="1"/>
        <v>0</v>
      </c>
      <c r="Q609" s="110" t="b">
        <f>IF(COUNTIF(RAW_APS!$A$2:$A815,A609)=0,TRUE,FALSE)</f>
        <v>0</v>
      </c>
      <c r="R609" s="241" t="b">
        <f t="shared" si="2"/>
        <v>0</v>
      </c>
      <c r="U609" s="112" t="str">
        <f t="shared" si="3"/>
        <v/>
      </c>
      <c r="V609" s="60"/>
      <c r="W609" s="60"/>
      <c r="X609" s="60"/>
      <c r="Y609" s="60"/>
      <c r="Z609" s="210"/>
      <c r="AA609" s="112" t="str">
        <f t="shared" si="4"/>
        <v>MA394</v>
      </c>
      <c r="AB609" s="112" t="str">
        <f t="shared" si="5"/>
        <v/>
      </c>
      <c r="AC609" s="112" t="str">
        <f t="shared" si="6"/>
        <v/>
      </c>
      <c r="AD609" s="5"/>
      <c r="AE609" s="5"/>
    </row>
    <row r="610">
      <c r="A610" s="5" t="s">
        <v>2076</v>
      </c>
      <c r="B610" s="44">
        <v>44629.0</v>
      </c>
      <c r="C610" s="150">
        <v>0.334837962962963</v>
      </c>
      <c r="D610" s="5"/>
      <c r="E610" s="5"/>
      <c r="F610" s="5"/>
      <c r="G610" s="5" t="s">
        <v>2184</v>
      </c>
      <c r="H610" s="5" t="s">
        <v>244</v>
      </c>
      <c r="I610" s="44">
        <v>44629.0</v>
      </c>
      <c r="J610" s="150">
        <v>0.4994560185185185</v>
      </c>
      <c r="K610" s="19">
        <v>1.0</v>
      </c>
      <c r="L610" s="10" t="b">
        <v>1</v>
      </c>
      <c r="M610" s="5" t="s">
        <v>2465</v>
      </c>
      <c r="N610" s="5" t="s">
        <v>247</v>
      </c>
      <c r="O610" s="5"/>
      <c r="P610" s="110" t="b">
        <f t="shared" si="1"/>
        <v>0</v>
      </c>
      <c r="Q610" s="110" t="b">
        <f>IF(COUNTIF(RAW_APS!$A$2:$A815,A610)=0,TRUE,FALSE)</f>
        <v>0</v>
      </c>
      <c r="R610" s="241" t="b">
        <f t="shared" si="2"/>
        <v>0</v>
      </c>
      <c r="U610" s="112" t="str">
        <f t="shared" si="3"/>
        <v/>
      </c>
      <c r="V610" s="60"/>
      <c r="W610" s="60"/>
      <c r="X610" s="60"/>
      <c r="Y610" s="60"/>
      <c r="Z610" s="210"/>
      <c r="AA610" s="112" t="str">
        <f t="shared" si="4"/>
        <v>MA395</v>
      </c>
      <c r="AB610" s="112" t="str">
        <f t="shared" si="5"/>
        <v/>
      </c>
      <c r="AC610" s="112" t="str">
        <f t="shared" si="6"/>
        <v/>
      </c>
      <c r="AD610" s="5"/>
      <c r="AE610" s="5"/>
    </row>
    <row r="611">
      <c r="A611" s="5" t="s">
        <v>726</v>
      </c>
      <c r="B611" s="44">
        <v>44573.0</v>
      </c>
      <c r="C611" s="150">
        <v>0.3486574074074074</v>
      </c>
      <c r="D611" s="5"/>
      <c r="E611" s="5"/>
      <c r="F611" s="5"/>
      <c r="G611" s="5" t="s">
        <v>2184</v>
      </c>
      <c r="H611" s="5" t="s">
        <v>244</v>
      </c>
      <c r="I611" s="44">
        <v>44575.0</v>
      </c>
      <c r="J611" s="150">
        <v>0.48202546296296295</v>
      </c>
      <c r="K611" s="19">
        <v>1.0</v>
      </c>
      <c r="L611" s="10" t="b">
        <v>1</v>
      </c>
      <c r="M611" s="5" t="s">
        <v>2495</v>
      </c>
      <c r="N611" s="5" t="s">
        <v>247</v>
      </c>
      <c r="O611" s="5"/>
      <c r="P611" s="110" t="b">
        <f t="shared" si="1"/>
        <v>0</v>
      </c>
      <c r="Q611" s="110" t="b">
        <f>IF(COUNTIF(RAW_APS!$A$2:$A815,A611)=0,TRUE,FALSE)</f>
        <v>0</v>
      </c>
      <c r="R611" s="241" t="b">
        <f t="shared" si="2"/>
        <v>0</v>
      </c>
      <c r="U611" s="112" t="str">
        <f t="shared" si="3"/>
        <v/>
      </c>
      <c r="V611" s="60"/>
      <c r="W611" s="60"/>
      <c r="X611" s="60"/>
      <c r="Y611" s="60"/>
      <c r="Z611" s="210"/>
      <c r="AA611" s="112" t="str">
        <f t="shared" si="4"/>
        <v>MA396</v>
      </c>
      <c r="AB611" s="112" t="str">
        <f t="shared" si="5"/>
        <v/>
      </c>
      <c r="AC611" s="112" t="str">
        <f t="shared" si="6"/>
        <v/>
      </c>
      <c r="AD611" s="5"/>
      <c r="AE611" s="5"/>
    </row>
    <row r="612">
      <c r="A612" s="5" t="s">
        <v>1083</v>
      </c>
      <c r="B612" s="44">
        <v>44592.0</v>
      </c>
      <c r="C612" s="150">
        <v>0.3622800925925926</v>
      </c>
      <c r="D612" s="5"/>
      <c r="E612" s="5"/>
      <c r="F612" s="5"/>
      <c r="G612" s="5" t="s">
        <v>2184</v>
      </c>
      <c r="H612" s="5" t="s">
        <v>244</v>
      </c>
      <c r="I612" s="44">
        <v>44592.0</v>
      </c>
      <c r="J612" s="150">
        <v>0.46024305555555556</v>
      </c>
      <c r="K612" s="19">
        <v>1.0</v>
      </c>
      <c r="L612" s="10" t="b">
        <v>1</v>
      </c>
      <c r="M612" s="5" t="s">
        <v>2486</v>
      </c>
      <c r="N612" s="5" t="s">
        <v>247</v>
      </c>
      <c r="O612" s="5"/>
      <c r="P612" s="110" t="b">
        <f t="shared" si="1"/>
        <v>0</v>
      </c>
      <c r="Q612" s="110" t="b">
        <f>IF(COUNTIF(RAW_APS!$A$2:$A815,A612)=0,TRUE,FALSE)</f>
        <v>0</v>
      </c>
      <c r="R612" s="241" t="b">
        <f t="shared" si="2"/>
        <v>0</v>
      </c>
      <c r="U612" s="112" t="str">
        <f t="shared" si="3"/>
        <v/>
      </c>
      <c r="V612" s="60"/>
      <c r="W612" s="60"/>
      <c r="X612" s="60"/>
      <c r="Y612" s="60"/>
      <c r="Z612" s="210"/>
      <c r="AA612" s="112" t="str">
        <f t="shared" si="4"/>
        <v>MA397</v>
      </c>
      <c r="AB612" s="112" t="str">
        <f t="shared" si="5"/>
        <v/>
      </c>
      <c r="AC612" s="112" t="str">
        <f t="shared" si="6"/>
        <v/>
      </c>
      <c r="AD612" s="5"/>
      <c r="AE612" s="5"/>
    </row>
    <row r="613">
      <c r="A613" s="5" t="s">
        <v>1227</v>
      </c>
      <c r="B613" s="44">
        <v>44607.0</v>
      </c>
      <c r="C613" s="150">
        <v>0.2986226851851852</v>
      </c>
      <c r="D613" s="5"/>
      <c r="E613" s="5"/>
      <c r="F613" s="5"/>
      <c r="G613" s="5" t="s">
        <v>2184</v>
      </c>
      <c r="H613" s="5" t="s">
        <v>244</v>
      </c>
      <c r="I613" s="44">
        <v>44607.0</v>
      </c>
      <c r="J613" s="150">
        <v>0.5867939814814814</v>
      </c>
      <c r="K613" s="19">
        <v>1.0</v>
      </c>
      <c r="L613" s="10" t="b">
        <v>1</v>
      </c>
      <c r="M613" s="5" t="s">
        <v>2479</v>
      </c>
      <c r="N613" s="5" t="s">
        <v>247</v>
      </c>
      <c r="O613" s="5"/>
      <c r="P613" s="110" t="b">
        <f t="shared" si="1"/>
        <v>0</v>
      </c>
      <c r="Q613" s="110" t="b">
        <f>IF(COUNTIF(RAW_APS!$A$2:$A815,A613)=0,TRUE,FALSE)</f>
        <v>0</v>
      </c>
      <c r="R613" s="241" t="b">
        <f t="shared" si="2"/>
        <v>0</v>
      </c>
      <c r="U613" s="112" t="str">
        <f t="shared" si="3"/>
        <v/>
      </c>
      <c r="V613" s="60"/>
      <c r="W613" s="60"/>
      <c r="X613" s="60"/>
      <c r="Y613" s="60"/>
      <c r="Z613" s="210"/>
      <c r="AA613" s="112" t="str">
        <f t="shared" si="4"/>
        <v>MA398</v>
      </c>
      <c r="AB613" s="112" t="str">
        <f t="shared" si="5"/>
        <v/>
      </c>
      <c r="AC613" s="112" t="str">
        <f t="shared" si="6"/>
        <v/>
      </c>
      <c r="AD613" s="5"/>
      <c r="AE613" s="5"/>
    </row>
    <row r="614">
      <c r="A614" s="5" t="s">
        <v>2154</v>
      </c>
      <c r="B614" s="44">
        <v>44633.0</v>
      </c>
      <c r="C614" s="150">
        <v>0.3360416666666667</v>
      </c>
      <c r="D614" s="5"/>
      <c r="E614" s="5"/>
      <c r="F614" s="5"/>
      <c r="G614" s="5" t="s">
        <v>2188</v>
      </c>
      <c r="H614" s="5" t="s">
        <v>254</v>
      </c>
      <c r="I614" s="44">
        <v>44861.0</v>
      </c>
      <c r="J614" s="150">
        <v>0.4895023148148148</v>
      </c>
      <c r="K614" s="19">
        <v>0.0</v>
      </c>
      <c r="L614" s="5"/>
      <c r="M614" s="5"/>
      <c r="N614" s="5" t="s">
        <v>247</v>
      </c>
      <c r="O614" s="5"/>
      <c r="P614" s="110" t="b">
        <f t="shared" si="1"/>
        <v>1</v>
      </c>
      <c r="Q614" s="110" t="b">
        <f>IF(COUNTIF(RAW_APS!$A$2:$A815,A614)=0,TRUE,FALSE)</f>
        <v>1</v>
      </c>
      <c r="R614" s="241" t="b">
        <f t="shared" si="2"/>
        <v>0</v>
      </c>
      <c r="U614" s="112" t="str">
        <f t="shared" si="3"/>
        <v/>
      </c>
      <c r="V614" s="51"/>
      <c r="W614" s="51"/>
      <c r="X614" s="51"/>
      <c r="Y614" s="51"/>
      <c r="Z614" s="210"/>
      <c r="AA614" s="112" t="str">
        <f t="shared" si="4"/>
        <v>MA399</v>
      </c>
      <c r="AB614" s="112" t="str">
        <f t="shared" si="5"/>
        <v/>
      </c>
      <c r="AC614" s="112" t="str">
        <f t="shared" si="6"/>
        <v/>
      </c>
      <c r="AD614" s="5"/>
      <c r="AE614" s="5"/>
    </row>
    <row r="615">
      <c r="A615" s="5" t="s">
        <v>1949</v>
      </c>
      <c r="B615" s="44">
        <v>44625.0</v>
      </c>
      <c r="C615" s="150">
        <v>0.33188657407407407</v>
      </c>
      <c r="D615" s="5"/>
      <c r="E615" s="5"/>
      <c r="F615" s="5"/>
      <c r="G615" s="5" t="s">
        <v>2184</v>
      </c>
      <c r="H615" s="5" t="s">
        <v>244</v>
      </c>
      <c r="I615" s="44">
        <v>44625.0</v>
      </c>
      <c r="J615" s="150">
        <v>0.48975694444444445</v>
      </c>
      <c r="K615" s="19">
        <v>1.0</v>
      </c>
      <c r="L615" s="10" t="b">
        <v>1</v>
      </c>
      <c r="M615" s="5" t="s">
        <v>2467</v>
      </c>
      <c r="N615" s="5" t="s">
        <v>247</v>
      </c>
      <c r="O615" s="5"/>
      <c r="P615" s="110" t="b">
        <f t="shared" si="1"/>
        <v>0</v>
      </c>
      <c r="Q615" s="110" t="b">
        <f>IF(COUNTIF(RAW_APS!$A$2:$A815,A615)=0,TRUE,FALSE)</f>
        <v>0</v>
      </c>
      <c r="R615" s="241" t="b">
        <f t="shared" si="2"/>
        <v>0</v>
      </c>
      <c r="U615" s="112" t="str">
        <f t="shared" si="3"/>
        <v/>
      </c>
      <c r="V615" s="60"/>
      <c r="W615" s="60"/>
      <c r="X615" s="60"/>
      <c r="Y615" s="60"/>
      <c r="Z615" s="210"/>
      <c r="AA615" s="112" t="str">
        <f t="shared" si="4"/>
        <v>MA403</v>
      </c>
      <c r="AB615" s="112" t="str">
        <f t="shared" si="5"/>
        <v/>
      </c>
      <c r="AC615" s="112" t="str">
        <f t="shared" si="6"/>
        <v/>
      </c>
      <c r="AD615" s="5"/>
      <c r="AE615" s="5"/>
    </row>
    <row r="616">
      <c r="A616" s="5" t="s">
        <v>424</v>
      </c>
      <c r="B616" s="44">
        <v>44559.0</v>
      </c>
      <c r="C616" s="150">
        <v>0.3973263888888889</v>
      </c>
      <c r="D616" s="5"/>
      <c r="E616" s="5"/>
      <c r="F616" s="5"/>
      <c r="G616" s="5" t="s">
        <v>2184</v>
      </c>
      <c r="H616" s="5" t="s">
        <v>244</v>
      </c>
      <c r="I616" s="44">
        <v>44559.0</v>
      </c>
      <c r="J616" s="150">
        <v>0.4366319444444444</v>
      </c>
      <c r="K616" s="19">
        <v>1.0</v>
      </c>
      <c r="L616" s="10" t="b">
        <v>1</v>
      </c>
      <c r="M616" s="5" t="s">
        <v>2503</v>
      </c>
      <c r="N616" s="5" t="s">
        <v>247</v>
      </c>
      <c r="O616" s="5"/>
      <c r="P616" s="110" t="b">
        <f t="shared" si="1"/>
        <v>0</v>
      </c>
      <c r="Q616" s="110" t="b">
        <f>IF(COUNTIF(RAW_APS!$A$2:$A815,A616)=0,TRUE,FALSE)</f>
        <v>0</v>
      </c>
      <c r="R616" s="241" t="b">
        <f t="shared" si="2"/>
        <v>0</v>
      </c>
      <c r="U616" s="112" t="str">
        <f t="shared" si="3"/>
        <v/>
      </c>
      <c r="V616" s="51"/>
      <c r="W616" s="51"/>
      <c r="X616" s="51"/>
      <c r="Y616" s="51"/>
      <c r="Z616" s="210"/>
      <c r="AA616" s="112" t="str">
        <f t="shared" si="4"/>
        <v>MA404</v>
      </c>
      <c r="AB616" s="112" t="str">
        <f t="shared" si="5"/>
        <v/>
      </c>
      <c r="AC616" s="112" t="str">
        <f t="shared" si="6"/>
        <v/>
      </c>
      <c r="AD616" s="5"/>
      <c r="AE616" s="5"/>
    </row>
    <row r="617">
      <c r="A617" s="5" t="s">
        <v>2109</v>
      </c>
      <c r="B617" s="44">
        <v>44631.0</v>
      </c>
      <c r="C617" s="150">
        <v>0.30194444444444446</v>
      </c>
      <c r="D617" s="5"/>
      <c r="E617" s="5"/>
      <c r="F617" s="5"/>
      <c r="G617" s="5" t="s">
        <v>2184</v>
      </c>
      <c r="H617" s="5" t="s">
        <v>244</v>
      </c>
      <c r="I617" s="44">
        <v>44631.0</v>
      </c>
      <c r="J617" s="150">
        <v>0.48608796296296297</v>
      </c>
      <c r="K617" s="19">
        <v>1.0</v>
      </c>
      <c r="L617" s="10" t="b">
        <v>1</v>
      </c>
      <c r="M617" s="5" t="s">
        <v>2464</v>
      </c>
      <c r="N617" s="5" t="s">
        <v>247</v>
      </c>
      <c r="O617" s="5"/>
      <c r="P617" s="110" t="b">
        <f t="shared" si="1"/>
        <v>0</v>
      </c>
      <c r="Q617" s="110" t="b">
        <f>IF(COUNTIF(RAW_APS!$A$2:$A815,A617)=0,TRUE,FALSE)</f>
        <v>0</v>
      </c>
      <c r="R617" s="241" t="b">
        <f t="shared" si="2"/>
        <v>0</v>
      </c>
      <c r="U617" s="112" t="str">
        <f t="shared" si="3"/>
        <v/>
      </c>
      <c r="V617" s="60"/>
      <c r="W617" s="60"/>
      <c r="X617" s="60"/>
      <c r="Y617" s="60"/>
      <c r="Z617" s="210"/>
      <c r="AA617" s="112" t="str">
        <f t="shared" si="4"/>
        <v>MA407</v>
      </c>
      <c r="AB617" s="112" t="str">
        <f t="shared" si="5"/>
        <v/>
      </c>
      <c r="AC617" s="112" t="str">
        <f t="shared" si="6"/>
        <v/>
      </c>
      <c r="AD617" s="5"/>
      <c r="AE617" s="5"/>
    </row>
    <row r="618">
      <c r="A618" s="5" t="s">
        <v>1317</v>
      </c>
      <c r="B618" s="44">
        <v>44609.0</v>
      </c>
      <c r="C618" s="150">
        <v>0.28282407407407406</v>
      </c>
      <c r="D618" s="5"/>
      <c r="E618" s="5"/>
      <c r="F618" s="5"/>
      <c r="G618" s="5" t="s">
        <v>2184</v>
      </c>
      <c r="H618" s="5" t="s">
        <v>244</v>
      </c>
      <c r="I618" s="44">
        <v>44611.0</v>
      </c>
      <c r="J618" s="150">
        <v>0.3895601851851852</v>
      </c>
      <c r="K618" s="19">
        <v>1.0</v>
      </c>
      <c r="L618" s="10" t="b">
        <v>1</v>
      </c>
      <c r="M618" s="5" t="s">
        <v>2478</v>
      </c>
      <c r="N618" s="5" t="s">
        <v>247</v>
      </c>
      <c r="O618" s="5"/>
      <c r="P618" s="110" t="b">
        <f t="shared" si="1"/>
        <v>0</v>
      </c>
      <c r="Q618" s="110" t="b">
        <f>IF(COUNTIF(RAW_APS!$A$2:$A815,A618)=0,TRUE,FALSE)</f>
        <v>0</v>
      </c>
      <c r="R618" s="241" t="b">
        <f t="shared" si="2"/>
        <v>0</v>
      </c>
      <c r="U618" s="112" t="str">
        <f t="shared" si="3"/>
        <v/>
      </c>
      <c r="V618" s="60"/>
      <c r="W618" s="60"/>
      <c r="X618" s="60"/>
      <c r="Y618" s="60"/>
      <c r="Z618" s="210"/>
      <c r="AA618" s="112" t="str">
        <f t="shared" si="4"/>
        <v>MA408</v>
      </c>
      <c r="AB618" s="112" t="str">
        <f t="shared" si="5"/>
        <v/>
      </c>
      <c r="AC618" s="112" t="str">
        <f t="shared" si="6"/>
        <v/>
      </c>
      <c r="AD618" s="5"/>
      <c r="AE618" s="5"/>
    </row>
    <row r="619">
      <c r="A619" s="5" t="s">
        <v>1039</v>
      </c>
      <c r="B619" s="44">
        <v>44587.0</v>
      </c>
      <c r="C619" s="150">
        <v>0.33185185185185184</v>
      </c>
      <c r="D619" s="5"/>
      <c r="E619" s="5"/>
      <c r="F619" s="5"/>
      <c r="G619" s="5" t="s">
        <v>2184</v>
      </c>
      <c r="H619" s="5" t="s">
        <v>244</v>
      </c>
      <c r="I619" s="44">
        <v>44587.0</v>
      </c>
      <c r="J619" s="150">
        <v>0.5005555555555555</v>
      </c>
      <c r="K619" s="19">
        <v>1.0</v>
      </c>
      <c r="L619" s="10" t="b">
        <v>1</v>
      </c>
      <c r="M619" s="5" t="s">
        <v>2488</v>
      </c>
      <c r="N619" s="5" t="s">
        <v>247</v>
      </c>
      <c r="O619" s="5"/>
      <c r="P619" s="110" t="b">
        <f t="shared" si="1"/>
        <v>0</v>
      </c>
      <c r="Q619" s="110" t="b">
        <f>IF(COUNTIF(RAW_APS!$A$2:$A815,A619)=0,TRUE,FALSE)</f>
        <v>0</v>
      </c>
      <c r="R619" s="241" t="b">
        <f t="shared" si="2"/>
        <v>0</v>
      </c>
      <c r="U619" s="112" t="str">
        <f t="shared" si="3"/>
        <v/>
      </c>
      <c r="V619" s="60"/>
      <c r="W619" s="60"/>
      <c r="X619" s="60"/>
      <c r="Y619" s="60"/>
      <c r="Z619" s="210"/>
      <c r="AA619" s="112" t="str">
        <f t="shared" si="4"/>
        <v>MA411</v>
      </c>
      <c r="AB619" s="112" t="str">
        <f t="shared" si="5"/>
        <v/>
      </c>
      <c r="AC619" s="112" t="str">
        <f t="shared" si="6"/>
        <v/>
      </c>
      <c r="AD619" s="5"/>
      <c r="AE619" s="5"/>
    </row>
    <row r="620">
      <c r="A620" s="5" t="s">
        <v>1297</v>
      </c>
      <c r="B620" s="44">
        <v>44607.0</v>
      </c>
      <c r="C620" s="150">
        <v>0.34164351851851854</v>
      </c>
      <c r="D620" s="5"/>
      <c r="E620" s="5"/>
      <c r="F620" s="5"/>
      <c r="G620" s="5" t="s">
        <v>2184</v>
      </c>
      <c r="H620" s="5" t="s">
        <v>244</v>
      </c>
      <c r="I620" s="44">
        <v>44607.0</v>
      </c>
      <c r="J620" s="150">
        <v>0.5868171296296296</v>
      </c>
      <c r="K620" s="19">
        <v>1.0</v>
      </c>
      <c r="L620" s="10" t="b">
        <v>1</v>
      </c>
      <c r="M620" s="5" t="s">
        <v>2479</v>
      </c>
      <c r="N620" s="5" t="s">
        <v>247</v>
      </c>
      <c r="O620" s="5"/>
      <c r="P620" s="110" t="b">
        <f t="shared" si="1"/>
        <v>0</v>
      </c>
      <c r="Q620" s="110" t="b">
        <f>IF(COUNTIF(RAW_APS!$A$2:$A815,A620)=0,TRUE,FALSE)</f>
        <v>0</v>
      </c>
      <c r="R620" s="241" t="b">
        <f t="shared" si="2"/>
        <v>0</v>
      </c>
      <c r="U620" s="112" t="str">
        <f t="shared" si="3"/>
        <v/>
      </c>
      <c r="V620" s="60"/>
      <c r="W620" s="60"/>
      <c r="X620" s="60"/>
      <c r="Y620" s="60"/>
      <c r="Z620" s="210"/>
      <c r="AA620" s="112" t="str">
        <f t="shared" si="4"/>
        <v>MA412</v>
      </c>
      <c r="AB620" s="112" t="str">
        <f t="shared" si="5"/>
        <v/>
      </c>
      <c r="AC620" s="112" t="str">
        <f t="shared" si="6"/>
        <v/>
      </c>
      <c r="AD620" s="5"/>
      <c r="AE620" s="5"/>
    </row>
    <row r="621">
      <c r="A621" s="5" t="s">
        <v>934</v>
      </c>
      <c r="B621" s="44">
        <v>44580.0</v>
      </c>
      <c r="C621" s="150">
        <v>0.42681712962962964</v>
      </c>
      <c r="D621" s="5"/>
      <c r="E621" s="5"/>
      <c r="F621" s="5"/>
      <c r="G621" s="5" t="s">
        <v>2184</v>
      </c>
      <c r="H621" s="5" t="s">
        <v>244</v>
      </c>
      <c r="I621" s="44">
        <v>44580.0</v>
      </c>
      <c r="J621" s="150">
        <v>0.5080324074074074</v>
      </c>
      <c r="K621" s="19">
        <v>1.0</v>
      </c>
      <c r="L621" s="10" t="b">
        <v>1</v>
      </c>
      <c r="M621" s="5" t="s">
        <v>2491</v>
      </c>
      <c r="N621" s="5" t="s">
        <v>247</v>
      </c>
      <c r="O621" s="5"/>
      <c r="P621" s="110" t="b">
        <f t="shared" si="1"/>
        <v>0</v>
      </c>
      <c r="Q621" s="110" t="b">
        <f>IF(COUNTIF(RAW_APS!$A$2:$A815,A621)=0,TRUE,FALSE)</f>
        <v>0</v>
      </c>
      <c r="R621" s="241" t="b">
        <f t="shared" si="2"/>
        <v>0</v>
      </c>
      <c r="U621" s="112" t="str">
        <f t="shared" si="3"/>
        <v/>
      </c>
      <c r="V621" s="60"/>
      <c r="W621" s="60"/>
      <c r="X621" s="60"/>
      <c r="Y621" s="60"/>
      <c r="Z621" s="210"/>
      <c r="AA621" s="112" t="str">
        <f t="shared" si="4"/>
        <v>MA420</v>
      </c>
      <c r="AB621" s="112" t="str">
        <f t="shared" si="5"/>
        <v/>
      </c>
      <c r="AC621" s="112" t="str">
        <f t="shared" si="6"/>
        <v/>
      </c>
      <c r="AD621" s="5"/>
      <c r="AE621" s="5"/>
    </row>
    <row r="622">
      <c r="A622" s="5" t="s">
        <v>895</v>
      </c>
      <c r="B622" s="44">
        <v>44579.0</v>
      </c>
      <c r="C622" s="150">
        <v>0.41333333333333333</v>
      </c>
      <c r="D622" s="5"/>
      <c r="E622" s="5"/>
      <c r="F622" s="5"/>
      <c r="G622" s="5" t="s">
        <v>2184</v>
      </c>
      <c r="H622" s="5" t="s">
        <v>52</v>
      </c>
      <c r="I622" s="44">
        <v>44579.0</v>
      </c>
      <c r="J622" s="150">
        <v>0.5015972222222222</v>
      </c>
      <c r="K622" s="19">
        <v>1.0</v>
      </c>
      <c r="L622" s="10" t="b">
        <v>1</v>
      </c>
      <c r="M622" s="5"/>
      <c r="N622" s="5" t="s">
        <v>247</v>
      </c>
      <c r="O622" s="5"/>
      <c r="P622" s="110" t="b">
        <f t="shared" si="1"/>
        <v>0</v>
      </c>
      <c r="Q622" s="110" t="b">
        <f>IF(COUNTIF(RAW_APS!$A$2:$A815,A622)=0,TRUE,FALSE)</f>
        <v>0</v>
      </c>
      <c r="R622" s="241" t="b">
        <f t="shared" si="2"/>
        <v>0</v>
      </c>
      <c r="U622" s="112" t="str">
        <f t="shared" si="3"/>
        <v/>
      </c>
      <c r="V622" s="60"/>
      <c r="W622" s="60"/>
      <c r="X622" s="60"/>
      <c r="Y622" s="60"/>
      <c r="Z622" s="210"/>
      <c r="AA622" s="112" t="str">
        <f t="shared" si="4"/>
        <v>MA422</v>
      </c>
      <c r="AB622" s="112" t="str">
        <f t="shared" si="5"/>
        <v/>
      </c>
      <c r="AC622" s="112" t="str">
        <f t="shared" si="6"/>
        <v/>
      </c>
      <c r="AD622" s="5"/>
      <c r="AE622" s="5"/>
    </row>
    <row r="623">
      <c r="A623" s="5" t="s">
        <v>1135</v>
      </c>
      <c r="B623" s="44">
        <v>44599.0</v>
      </c>
      <c r="C623" s="150">
        <v>0.3376736111111111</v>
      </c>
      <c r="D623" s="5"/>
      <c r="E623" s="5"/>
      <c r="F623" s="5"/>
      <c r="G623" s="5" t="s">
        <v>2184</v>
      </c>
      <c r="H623" s="5" t="s">
        <v>244</v>
      </c>
      <c r="I623" s="44">
        <v>44599.0</v>
      </c>
      <c r="J623" s="150">
        <v>0.4875462962962963</v>
      </c>
      <c r="K623" s="19">
        <v>1.0</v>
      </c>
      <c r="L623" s="10" t="b">
        <v>1</v>
      </c>
      <c r="M623" s="5" t="s">
        <v>2483</v>
      </c>
      <c r="N623" s="5" t="s">
        <v>247</v>
      </c>
      <c r="O623" s="5"/>
      <c r="P623" s="110" t="b">
        <f t="shared" si="1"/>
        <v>0</v>
      </c>
      <c r="Q623" s="110" t="b">
        <f>IF(COUNTIF(RAW_APS!$A$2:$A815,A623)=0,TRUE,FALSE)</f>
        <v>0</v>
      </c>
      <c r="R623" s="241" t="b">
        <f t="shared" si="2"/>
        <v>0</v>
      </c>
      <c r="U623" s="112" t="str">
        <f t="shared" si="3"/>
        <v/>
      </c>
      <c r="V623" s="60"/>
      <c r="W623" s="60"/>
      <c r="X623" s="60"/>
      <c r="Y623" s="60"/>
      <c r="Z623" s="210"/>
      <c r="AA623" s="112" t="str">
        <f t="shared" si="4"/>
        <v>MA423</v>
      </c>
      <c r="AB623" s="112" t="str">
        <f t="shared" si="5"/>
        <v/>
      </c>
      <c r="AC623" s="112" t="str">
        <f t="shared" si="6"/>
        <v/>
      </c>
      <c r="AD623" s="5"/>
      <c r="AE623" s="5"/>
    </row>
    <row r="624">
      <c r="A624" s="5" t="s">
        <v>1139</v>
      </c>
      <c r="B624" s="44">
        <v>44599.0</v>
      </c>
      <c r="C624" s="150">
        <v>0.4626388888888889</v>
      </c>
      <c r="D624" s="5"/>
      <c r="E624" s="5"/>
      <c r="F624" s="5"/>
      <c r="G624" s="5" t="s">
        <v>2184</v>
      </c>
      <c r="H624" s="5" t="s">
        <v>244</v>
      </c>
      <c r="I624" s="44">
        <v>44599.0</v>
      </c>
      <c r="J624" s="150">
        <v>0.4875462962962963</v>
      </c>
      <c r="K624" s="19">
        <v>1.0</v>
      </c>
      <c r="L624" s="10" t="b">
        <v>1</v>
      </c>
      <c r="M624" s="5" t="s">
        <v>2483</v>
      </c>
      <c r="N624" s="5" t="s">
        <v>247</v>
      </c>
      <c r="O624" s="5"/>
      <c r="P624" s="110" t="b">
        <f t="shared" si="1"/>
        <v>0</v>
      </c>
      <c r="Q624" s="110" t="b">
        <f>IF(COUNTIF(RAW_APS!$A$2:$A815,A624)=0,TRUE,FALSE)</f>
        <v>0</v>
      </c>
      <c r="R624" s="241" t="b">
        <f t="shared" si="2"/>
        <v>0</v>
      </c>
      <c r="U624" s="112" t="str">
        <f t="shared" si="3"/>
        <v/>
      </c>
      <c r="V624" s="60"/>
      <c r="W624" s="60"/>
      <c r="X624" s="60"/>
      <c r="Y624" s="60"/>
      <c r="Z624" s="210"/>
      <c r="AA624" s="112" t="str">
        <f t="shared" si="4"/>
        <v>MA424</v>
      </c>
      <c r="AB624" s="112" t="str">
        <f t="shared" si="5"/>
        <v/>
      </c>
      <c r="AC624" s="112" t="str">
        <f t="shared" si="6"/>
        <v/>
      </c>
      <c r="AD624" s="5"/>
      <c r="AE624" s="5"/>
    </row>
    <row r="625">
      <c r="A625" s="5" t="s">
        <v>1145</v>
      </c>
      <c r="B625" s="44">
        <v>44599.0</v>
      </c>
      <c r="C625" s="150">
        <v>0.47069444444444447</v>
      </c>
      <c r="D625" s="5"/>
      <c r="E625" s="5"/>
      <c r="F625" s="5"/>
      <c r="G625" s="5" t="s">
        <v>2184</v>
      </c>
      <c r="H625" s="5" t="s">
        <v>244</v>
      </c>
      <c r="I625" s="44">
        <v>44599.0</v>
      </c>
      <c r="J625" s="150">
        <v>0.4875462962962963</v>
      </c>
      <c r="K625" s="19">
        <v>1.0</v>
      </c>
      <c r="L625" s="10" t="b">
        <v>1</v>
      </c>
      <c r="M625" s="5" t="s">
        <v>2483</v>
      </c>
      <c r="N625" s="5" t="s">
        <v>247</v>
      </c>
      <c r="O625" s="5"/>
      <c r="P625" s="110" t="b">
        <f t="shared" si="1"/>
        <v>0</v>
      </c>
      <c r="Q625" s="110" t="b">
        <f>IF(COUNTIF(RAW_APS!$A$2:$A815,A625)=0,TRUE,FALSE)</f>
        <v>0</v>
      </c>
      <c r="R625" s="241" t="b">
        <f t="shared" si="2"/>
        <v>0</v>
      </c>
      <c r="U625" s="112" t="str">
        <f t="shared" si="3"/>
        <v/>
      </c>
      <c r="V625" s="60"/>
      <c r="W625" s="60"/>
      <c r="X625" s="60"/>
      <c r="Y625" s="60"/>
      <c r="Z625" s="210"/>
      <c r="AA625" s="112" t="str">
        <f t="shared" si="4"/>
        <v>MA426</v>
      </c>
      <c r="AB625" s="112" t="str">
        <f t="shared" si="5"/>
        <v/>
      </c>
      <c r="AC625" s="112" t="str">
        <f t="shared" si="6"/>
        <v/>
      </c>
      <c r="AD625" s="5"/>
      <c r="AE625" s="5"/>
    </row>
    <row r="626">
      <c r="A626" s="5" t="s">
        <v>556</v>
      </c>
      <c r="B626" s="44">
        <v>44567.0</v>
      </c>
      <c r="C626" s="150">
        <v>0.9922800925925926</v>
      </c>
      <c r="D626" s="5"/>
      <c r="E626" s="5"/>
      <c r="F626" s="5"/>
      <c r="G626" s="5" t="s">
        <v>2184</v>
      </c>
      <c r="H626" s="5" t="s">
        <v>244</v>
      </c>
      <c r="I626" s="44">
        <v>44568.0</v>
      </c>
      <c r="J626" s="150">
        <v>0.5079050925925926</v>
      </c>
      <c r="K626" s="19">
        <v>1.0</v>
      </c>
      <c r="L626" s="10" t="b">
        <v>1</v>
      </c>
      <c r="M626" s="5" t="s">
        <v>2498</v>
      </c>
      <c r="N626" s="5" t="s">
        <v>247</v>
      </c>
      <c r="O626" s="5"/>
      <c r="P626" s="110" t="b">
        <f t="shared" si="1"/>
        <v>0</v>
      </c>
      <c r="Q626" s="110" t="b">
        <f>IF(COUNTIF(RAW_APS!$A$2:$A815,A626)=0,TRUE,FALSE)</f>
        <v>0</v>
      </c>
      <c r="R626" s="241" t="b">
        <f t="shared" si="2"/>
        <v>0</v>
      </c>
      <c r="U626" s="112" t="str">
        <f t="shared" si="3"/>
        <v/>
      </c>
      <c r="V626" s="60"/>
      <c r="W626" s="60"/>
      <c r="X626" s="60"/>
      <c r="Y626" s="60"/>
      <c r="Z626" s="210"/>
      <c r="AA626" s="112" t="str">
        <f t="shared" si="4"/>
        <v>MA427</v>
      </c>
      <c r="AB626" s="112" t="str">
        <f t="shared" si="5"/>
        <v/>
      </c>
      <c r="AC626" s="112" t="str">
        <f t="shared" si="6"/>
        <v/>
      </c>
      <c r="AD626" s="5"/>
      <c r="AE626" s="5"/>
    </row>
    <row r="627">
      <c r="A627" s="5" t="s">
        <v>856</v>
      </c>
      <c r="B627" s="44">
        <v>44579.0</v>
      </c>
      <c r="C627" s="150">
        <v>0.33121527777777776</v>
      </c>
      <c r="D627" s="5"/>
      <c r="E627" s="5"/>
      <c r="F627" s="5"/>
      <c r="G627" s="5" t="s">
        <v>2184</v>
      </c>
      <c r="H627" s="5" t="s">
        <v>244</v>
      </c>
      <c r="I627" s="44">
        <v>44580.0</v>
      </c>
      <c r="J627" s="150">
        <v>0.5080092592592592</v>
      </c>
      <c r="K627" s="19">
        <v>1.0</v>
      </c>
      <c r="L627" s="10" t="b">
        <v>1</v>
      </c>
      <c r="M627" s="5" t="s">
        <v>2492</v>
      </c>
      <c r="N627" s="5" t="s">
        <v>247</v>
      </c>
      <c r="O627" s="5"/>
      <c r="P627" s="110" t="b">
        <f t="shared" si="1"/>
        <v>0</v>
      </c>
      <c r="Q627" s="110" t="b">
        <f>IF(COUNTIF(RAW_APS!$A$2:$A815,A627)=0,TRUE,FALSE)</f>
        <v>0</v>
      </c>
      <c r="R627" s="241" t="b">
        <f t="shared" si="2"/>
        <v>0</v>
      </c>
      <c r="U627" s="112" t="str">
        <f t="shared" si="3"/>
        <v/>
      </c>
      <c r="V627" s="60"/>
      <c r="W627" s="60"/>
      <c r="X627" s="60"/>
      <c r="Y627" s="60"/>
      <c r="Z627" s="210"/>
      <c r="AA627" s="112" t="str">
        <f t="shared" si="4"/>
        <v>MA431</v>
      </c>
      <c r="AB627" s="112" t="str">
        <f t="shared" si="5"/>
        <v/>
      </c>
      <c r="AC627" s="112" t="str">
        <f t="shared" si="6"/>
        <v/>
      </c>
      <c r="AD627" s="5"/>
      <c r="AE627" s="5"/>
    </row>
    <row r="628">
      <c r="A628" s="5" t="s">
        <v>638</v>
      </c>
      <c r="B628" s="44">
        <v>44571.0</v>
      </c>
      <c r="C628" s="150">
        <v>0.3337731481481481</v>
      </c>
      <c r="D628" s="5"/>
      <c r="E628" s="5"/>
      <c r="F628" s="5"/>
      <c r="G628" s="5" t="s">
        <v>2184</v>
      </c>
      <c r="H628" s="5" t="s">
        <v>244</v>
      </c>
      <c r="I628" s="44">
        <v>44571.0</v>
      </c>
      <c r="J628" s="150">
        <v>0.46598379629629627</v>
      </c>
      <c r="K628" s="19">
        <v>1.0</v>
      </c>
      <c r="L628" s="10" t="b">
        <v>1</v>
      </c>
      <c r="M628" s="5" t="s">
        <v>2496</v>
      </c>
      <c r="N628" s="5" t="s">
        <v>247</v>
      </c>
      <c r="O628" s="5"/>
      <c r="P628" s="110" t="b">
        <f t="shared" si="1"/>
        <v>0</v>
      </c>
      <c r="Q628" s="110" t="b">
        <f>IF(COUNTIF(RAW_APS!$A$2:$A815,A628)=0,TRUE,FALSE)</f>
        <v>0</v>
      </c>
      <c r="R628" s="241" t="b">
        <f t="shared" si="2"/>
        <v>0</v>
      </c>
      <c r="U628" s="112" t="str">
        <f t="shared" si="3"/>
        <v/>
      </c>
      <c r="V628" s="60"/>
      <c r="W628" s="60"/>
      <c r="X628" s="60"/>
      <c r="Y628" s="60"/>
      <c r="Z628" s="210"/>
      <c r="AA628" s="112" t="str">
        <f t="shared" si="4"/>
        <v>MA433</v>
      </c>
      <c r="AB628" s="112" t="str">
        <f t="shared" si="5"/>
        <v/>
      </c>
      <c r="AC628" s="112" t="str">
        <f t="shared" si="6"/>
        <v/>
      </c>
      <c r="AD628" s="5"/>
      <c r="AE628" s="5"/>
    </row>
    <row r="629">
      <c r="A629" s="5" t="s">
        <v>780</v>
      </c>
      <c r="B629" s="44">
        <v>44575.0</v>
      </c>
      <c r="C629" s="150">
        <v>0.2949421296296296</v>
      </c>
      <c r="D629" s="5"/>
      <c r="E629" s="5"/>
      <c r="F629" s="5"/>
      <c r="G629" s="5" t="s">
        <v>2184</v>
      </c>
      <c r="H629" s="5" t="s">
        <v>244</v>
      </c>
      <c r="I629" s="44">
        <v>44575.0</v>
      </c>
      <c r="J629" s="150">
        <v>0.4820601851851852</v>
      </c>
      <c r="K629" s="19">
        <v>1.0</v>
      </c>
      <c r="L629" s="10" t="b">
        <v>1</v>
      </c>
      <c r="M629" s="5" t="s">
        <v>2493</v>
      </c>
      <c r="N629" s="5" t="s">
        <v>247</v>
      </c>
      <c r="O629" s="5"/>
      <c r="P629" s="110" t="b">
        <f t="shared" si="1"/>
        <v>0</v>
      </c>
      <c r="Q629" s="110" t="b">
        <f>IF(COUNTIF(RAW_APS!$A$2:$A815,A629)=0,TRUE,FALSE)</f>
        <v>0</v>
      </c>
      <c r="R629" s="241" t="b">
        <f t="shared" si="2"/>
        <v>0</v>
      </c>
      <c r="U629" s="112" t="str">
        <f t="shared" si="3"/>
        <v/>
      </c>
      <c r="V629" s="60"/>
      <c r="W629" s="60"/>
      <c r="X629" s="60"/>
      <c r="Y629" s="60"/>
      <c r="Z629" s="210"/>
      <c r="AA629" s="112" t="str">
        <f t="shared" si="4"/>
        <v>MA434</v>
      </c>
      <c r="AB629" s="112" t="str">
        <f t="shared" si="5"/>
        <v/>
      </c>
      <c r="AC629" s="112" t="str">
        <f t="shared" si="6"/>
        <v/>
      </c>
      <c r="AD629" s="5"/>
      <c r="AE629" s="5"/>
    </row>
    <row r="630">
      <c r="A630" s="5" t="s">
        <v>689</v>
      </c>
      <c r="B630" s="44">
        <v>44571.0</v>
      </c>
      <c r="C630" s="150">
        <v>0.42716435185185186</v>
      </c>
      <c r="D630" s="5"/>
      <c r="E630" s="5"/>
      <c r="F630" s="5"/>
      <c r="G630" s="5" t="s">
        <v>2184</v>
      </c>
      <c r="H630" s="5" t="s">
        <v>52</v>
      </c>
      <c r="I630" s="44">
        <v>44579.0</v>
      </c>
      <c r="J630" s="150">
        <v>0.5015740740740741</v>
      </c>
      <c r="K630" s="19">
        <v>1.0</v>
      </c>
      <c r="L630" s="10" t="b">
        <v>1</v>
      </c>
      <c r="M630" s="5"/>
      <c r="N630" s="5" t="s">
        <v>247</v>
      </c>
      <c r="O630" s="5"/>
      <c r="P630" s="110" t="b">
        <f t="shared" si="1"/>
        <v>0</v>
      </c>
      <c r="Q630" s="110" t="b">
        <f>IF(COUNTIF(RAW_APS!$A$2:$A815,A630)=0,TRUE,FALSE)</f>
        <v>0</v>
      </c>
      <c r="R630" s="241" t="b">
        <f t="shared" si="2"/>
        <v>0</v>
      </c>
      <c r="U630" s="112" t="str">
        <f t="shared" si="3"/>
        <v/>
      </c>
      <c r="V630" s="60"/>
      <c r="W630" s="60"/>
      <c r="X630" s="60"/>
      <c r="Y630" s="60"/>
      <c r="Z630" s="210"/>
      <c r="AA630" s="112" t="str">
        <f t="shared" si="4"/>
        <v>MA435</v>
      </c>
      <c r="AB630" s="112" t="str">
        <f t="shared" si="5"/>
        <v/>
      </c>
      <c r="AC630" s="112" t="str">
        <f t="shared" si="6"/>
        <v/>
      </c>
      <c r="AD630" s="5"/>
      <c r="AE630" s="5"/>
    </row>
    <row r="631">
      <c r="A631" s="5" t="s">
        <v>691</v>
      </c>
      <c r="B631" s="44">
        <v>44571.0</v>
      </c>
      <c r="C631" s="150">
        <v>0.42811342592592594</v>
      </c>
      <c r="D631" s="5"/>
      <c r="E631" s="5"/>
      <c r="F631" s="5"/>
      <c r="G631" s="5" t="s">
        <v>2184</v>
      </c>
      <c r="H631" s="5" t="s">
        <v>244</v>
      </c>
      <c r="I631" s="44">
        <v>44571.0</v>
      </c>
      <c r="J631" s="150">
        <v>0.46598379629629627</v>
      </c>
      <c r="K631" s="19">
        <v>1.0</v>
      </c>
      <c r="L631" s="10" t="b">
        <v>1</v>
      </c>
      <c r="M631" s="5" t="s">
        <v>2496</v>
      </c>
      <c r="N631" s="5" t="s">
        <v>247</v>
      </c>
      <c r="O631" s="5"/>
      <c r="P631" s="110" t="b">
        <f t="shared" si="1"/>
        <v>0</v>
      </c>
      <c r="Q631" s="110" t="b">
        <f>IF(COUNTIF(RAW_APS!$A$2:$A815,A631)=0,TRUE,FALSE)</f>
        <v>0</v>
      </c>
      <c r="R631" s="241" t="b">
        <f t="shared" si="2"/>
        <v>0</v>
      </c>
      <c r="U631" s="112" t="str">
        <f t="shared" si="3"/>
        <v/>
      </c>
      <c r="V631" s="60"/>
      <c r="W631" s="60"/>
      <c r="X631" s="60"/>
      <c r="Y631" s="60"/>
      <c r="Z631" s="210"/>
      <c r="AA631" s="112" t="str">
        <f t="shared" si="4"/>
        <v>MA436</v>
      </c>
      <c r="AB631" s="112" t="str">
        <f t="shared" si="5"/>
        <v/>
      </c>
      <c r="AC631" s="112" t="str">
        <f t="shared" si="6"/>
        <v/>
      </c>
      <c r="AD631" s="5"/>
      <c r="AE631" s="5"/>
    </row>
    <row r="632">
      <c r="A632" s="5" t="s">
        <v>552</v>
      </c>
      <c r="B632" s="44">
        <v>44567.0</v>
      </c>
      <c r="C632" s="150">
        <v>0.3252662037037037</v>
      </c>
      <c r="D632" s="5"/>
      <c r="E632" s="5"/>
      <c r="F632" s="5"/>
      <c r="G632" s="5" t="s">
        <v>2184</v>
      </c>
      <c r="H632" s="5" t="s">
        <v>244</v>
      </c>
      <c r="I632" s="44">
        <v>44568.0</v>
      </c>
      <c r="J632" s="150">
        <v>0.5079050925925926</v>
      </c>
      <c r="K632" s="19">
        <v>1.0</v>
      </c>
      <c r="L632" s="10" t="b">
        <v>1</v>
      </c>
      <c r="M632" s="5" t="s">
        <v>2498</v>
      </c>
      <c r="N632" s="5" t="s">
        <v>247</v>
      </c>
      <c r="O632" s="5"/>
      <c r="P632" s="110" t="b">
        <f t="shared" si="1"/>
        <v>0</v>
      </c>
      <c r="Q632" s="110" t="b">
        <f>IF(COUNTIF(RAW_APS!$A$2:$A815,A632)=0,TRUE,FALSE)</f>
        <v>0</v>
      </c>
      <c r="R632" s="241" t="b">
        <f t="shared" si="2"/>
        <v>0</v>
      </c>
      <c r="U632" s="112" t="str">
        <f t="shared" si="3"/>
        <v/>
      </c>
      <c r="V632" s="60"/>
      <c r="W632" s="60"/>
      <c r="X632" s="60"/>
      <c r="Y632" s="60"/>
      <c r="Z632" s="210"/>
      <c r="AA632" s="112" t="str">
        <f t="shared" si="4"/>
        <v>MA438</v>
      </c>
      <c r="AB632" s="112" t="str">
        <f t="shared" si="5"/>
        <v/>
      </c>
      <c r="AC632" s="112" t="str">
        <f t="shared" si="6"/>
        <v/>
      </c>
      <c r="AD632" s="5"/>
      <c r="AE632" s="5"/>
    </row>
    <row r="633">
      <c r="A633" s="5" t="s">
        <v>1127</v>
      </c>
      <c r="B633" s="44">
        <v>44599.0</v>
      </c>
      <c r="C633" s="150">
        <v>0.3181365740740741</v>
      </c>
      <c r="D633" s="5"/>
      <c r="E633" s="5"/>
      <c r="F633" s="5"/>
      <c r="G633" s="5" t="s">
        <v>2184</v>
      </c>
      <c r="H633" s="5" t="s">
        <v>244</v>
      </c>
      <c r="I633" s="44">
        <v>44599.0</v>
      </c>
      <c r="J633" s="150">
        <v>0.4875462962962963</v>
      </c>
      <c r="K633" s="19">
        <v>1.0</v>
      </c>
      <c r="L633" s="10" t="b">
        <v>1</v>
      </c>
      <c r="M633" s="5" t="s">
        <v>2483</v>
      </c>
      <c r="N633" s="5" t="s">
        <v>247</v>
      </c>
      <c r="O633" s="5"/>
      <c r="P633" s="110" t="b">
        <f t="shared" si="1"/>
        <v>0</v>
      </c>
      <c r="Q633" s="110" t="b">
        <f>IF(COUNTIF(RAW_APS!$A$2:$A815,A633)=0,TRUE,FALSE)</f>
        <v>0</v>
      </c>
      <c r="R633" s="241" t="b">
        <f t="shared" si="2"/>
        <v>0</v>
      </c>
      <c r="U633" s="112" t="str">
        <f t="shared" si="3"/>
        <v/>
      </c>
      <c r="V633" s="60"/>
      <c r="W633" s="60"/>
      <c r="X633" s="60"/>
      <c r="Y633" s="60"/>
      <c r="Z633" s="210"/>
      <c r="AA633" s="112" t="str">
        <f t="shared" si="4"/>
        <v>MA440</v>
      </c>
      <c r="AB633" s="112" t="str">
        <f t="shared" si="5"/>
        <v/>
      </c>
      <c r="AC633" s="112" t="str">
        <f t="shared" si="6"/>
        <v/>
      </c>
      <c r="AD633" s="5"/>
      <c r="AE633" s="5"/>
    </row>
    <row r="634">
      <c r="A634" s="5" t="s">
        <v>532</v>
      </c>
      <c r="B634" s="44">
        <v>44566.0</v>
      </c>
      <c r="C634" s="150">
        <v>0.4174305555555556</v>
      </c>
      <c r="D634" s="5"/>
      <c r="E634" s="5"/>
      <c r="F634" s="5"/>
      <c r="G634" s="5" t="s">
        <v>2184</v>
      </c>
      <c r="H634" s="5" t="s">
        <v>244</v>
      </c>
      <c r="I634" s="44">
        <v>44566.0</v>
      </c>
      <c r="J634" s="150">
        <v>0.4565625</v>
      </c>
      <c r="K634" s="19">
        <v>0.0</v>
      </c>
      <c r="L634" s="10" t="b">
        <v>1</v>
      </c>
      <c r="M634" s="5" t="s">
        <v>2499</v>
      </c>
      <c r="N634" s="5" t="s">
        <v>247</v>
      </c>
      <c r="O634" s="5"/>
      <c r="P634" s="110" t="b">
        <f t="shared" si="1"/>
        <v>1</v>
      </c>
      <c r="Q634" s="110" t="b">
        <f>IF(COUNTIF(RAW_APS!$A$2:$A815,A634)=0,TRUE,FALSE)</f>
        <v>1</v>
      </c>
      <c r="R634" s="241" t="b">
        <f t="shared" si="2"/>
        <v>0</v>
      </c>
      <c r="U634" s="112" t="str">
        <f t="shared" si="3"/>
        <v/>
      </c>
      <c r="V634" s="51"/>
      <c r="W634" s="51"/>
      <c r="X634" s="51"/>
      <c r="Y634" s="51"/>
      <c r="Z634" s="210"/>
      <c r="AA634" s="112" t="str">
        <f t="shared" si="4"/>
        <v>MA444</v>
      </c>
      <c r="AB634" s="112" t="str">
        <f t="shared" si="5"/>
        <v/>
      </c>
      <c r="AC634" s="112" t="str">
        <f t="shared" si="6"/>
        <v/>
      </c>
      <c r="AD634" s="5"/>
      <c r="AE634" s="5"/>
    </row>
    <row r="635">
      <c r="A635" s="5" t="s">
        <v>910</v>
      </c>
      <c r="B635" s="44">
        <v>44579.0</v>
      </c>
      <c r="C635" s="150">
        <v>0.4159259259259259</v>
      </c>
      <c r="D635" s="5"/>
      <c r="E635" s="5"/>
      <c r="F635" s="5"/>
      <c r="G635" s="5" t="s">
        <v>2184</v>
      </c>
      <c r="H635" s="5" t="s">
        <v>52</v>
      </c>
      <c r="I635" s="44">
        <v>44579.0</v>
      </c>
      <c r="J635" s="150">
        <v>0.5015972222222222</v>
      </c>
      <c r="K635" s="19">
        <v>1.0</v>
      </c>
      <c r="L635" s="10" t="b">
        <v>1</v>
      </c>
      <c r="M635" s="5"/>
      <c r="N635" s="5" t="s">
        <v>247</v>
      </c>
      <c r="O635" s="5"/>
      <c r="P635" s="110" t="b">
        <f t="shared" si="1"/>
        <v>0</v>
      </c>
      <c r="Q635" s="110" t="b">
        <f>IF(COUNTIF(RAW_APS!$A$2:$A815,A635)=0,TRUE,FALSE)</f>
        <v>0</v>
      </c>
      <c r="R635" s="241" t="b">
        <f t="shared" si="2"/>
        <v>0</v>
      </c>
      <c r="U635" s="112" t="str">
        <f t="shared" si="3"/>
        <v/>
      </c>
      <c r="V635" s="60"/>
      <c r="W635" s="60"/>
      <c r="X635" s="60"/>
      <c r="Y635" s="60"/>
      <c r="Z635" s="210"/>
      <c r="AA635" s="112" t="str">
        <f t="shared" si="4"/>
        <v>MA446</v>
      </c>
      <c r="AB635" s="112" t="str">
        <f t="shared" si="5"/>
        <v/>
      </c>
      <c r="AC635" s="112" t="str">
        <f t="shared" si="6"/>
        <v/>
      </c>
      <c r="AD635" s="5"/>
      <c r="AE635" s="5"/>
    </row>
    <row r="636">
      <c r="A636" s="5" t="s">
        <v>381</v>
      </c>
      <c r="B636" s="44">
        <v>44556.0</v>
      </c>
      <c r="C636" s="150">
        <v>0.6234837962962962</v>
      </c>
      <c r="D636" s="5"/>
      <c r="E636" s="5"/>
      <c r="F636" s="5"/>
      <c r="G636" s="5" t="s">
        <v>2184</v>
      </c>
      <c r="H636" s="5" t="s">
        <v>244</v>
      </c>
      <c r="I636" s="44">
        <v>44557.0</v>
      </c>
      <c r="J636" s="150">
        <v>0.4870949074074074</v>
      </c>
      <c r="K636" s="19">
        <v>1.0</v>
      </c>
      <c r="L636" s="10" t="b">
        <v>1</v>
      </c>
      <c r="M636" s="5" t="s">
        <v>2504</v>
      </c>
      <c r="N636" s="5" t="s">
        <v>247</v>
      </c>
      <c r="O636" s="5"/>
      <c r="P636" s="110" t="b">
        <f t="shared" si="1"/>
        <v>0</v>
      </c>
      <c r="Q636" s="110" t="b">
        <f>IF(COUNTIF(RAW_APS!$A$2:$A815,A636)=0,TRUE,FALSE)</f>
        <v>0</v>
      </c>
      <c r="R636" s="241" t="b">
        <f t="shared" si="2"/>
        <v>0</v>
      </c>
      <c r="U636" s="112" t="str">
        <f t="shared" si="3"/>
        <v/>
      </c>
      <c r="V636" s="51"/>
      <c r="W636" s="51"/>
      <c r="X636" s="51"/>
      <c r="Y636" s="51"/>
      <c r="Z636" s="210"/>
      <c r="AA636" s="112" t="str">
        <f t="shared" si="4"/>
        <v>MA447</v>
      </c>
      <c r="AB636" s="112" t="str">
        <f t="shared" si="5"/>
        <v/>
      </c>
      <c r="AC636" s="112" t="str">
        <f t="shared" si="6"/>
        <v/>
      </c>
      <c r="AD636" s="5"/>
      <c r="AE636" s="5"/>
    </row>
    <row r="637">
      <c r="A637" s="5" t="s">
        <v>468</v>
      </c>
      <c r="B637" s="44">
        <v>44564.0</v>
      </c>
      <c r="C637" s="150">
        <v>0.33775462962962965</v>
      </c>
      <c r="D637" s="5"/>
      <c r="E637" s="5"/>
      <c r="F637" s="5"/>
      <c r="G637" s="5" t="s">
        <v>2184</v>
      </c>
      <c r="H637" s="5" t="s">
        <v>52</v>
      </c>
      <c r="I637" s="44">
        <v>44564.0</v>
      </c>
      <c r="J637" s="150">
        <v>0.5280439814814815</v>
      </c>
      <c r="K637" s="19">
        <v>1.0</v>
      </c>
      <c r="L637" s="10" t="b">
        <v>1</v>
      </c>
      <c r="M637" s="5"/>
      <c r="N637" s="5" t="s">
        <v>247</v>
      </c>
      <c r="O637" s="5"/>
      <c r="P637" s="110" t="b">
        <f t="shared" si="1"/>
        <v>0</v>
      </c>
      <c r="Q637" s="110" t="b">
        <f>IF(COUNTIF(RAW_APS!$A$2:$A815,A637)=0,TRUE,FALSE)</f>
        <v>0</v>
      </c>
      <c r="R637" s="241" t="b">
        <f t="shared" si="2"/>
        <v>0</v>
      </c>
      <c r="U637" s="112" t="str">
        <f t="shared" si="3"/>
        <v/>
      </c>
      <c r="V637" s="60"/>
      <c r="W637" s="60"/>
      <c r="X637" s="60"/>
      <c r="Y637" s="60"/>
      <c r="Z637" s="210"/>
      <c r="AA637" s="112" t="str">
        <f t="shared" si="4"/>
        <v>MA448</v>
      </c>
      <c r="AB637" s="112" t="str">
        <f t="shared" si="5"/>
        <v/>
      </c>
      <c r="AC637" s="112" t="str">
        <f t="shared" si="6"/>
        <v/>
      </c>
      <c r="AD637" s="5"/>
      <c r="AE637" s="5"/>
    </row>
    <row r="638">
      <c r="A638" s="5" t="s">
        <v>1002</v>
      </c>
      <c r="B638" s="44">
        <v>44585.0</v>
      </c>
      <c r="C638" s="150">
        <v>0.31993055555555555</v>
      </c>
      <c r="D638" s="5"/>
      <c r="E638" s="5"/>
      <c r="F638" s="5"/>
      <c r="G638" s="5" t="s">
        <v>2184</v>
      </c>
      <c r="H638" s="5" t="s">
        <v>244</v>
      </c>
      <c r="I638" s="44">
        <v>44585.0</v>
      </c>
      <c r="J638" s="150">
        <v>0.4705902777777778</v>
      </c>
      <c r="K638" s="19">
        <v>1.0</v>
      </c>
      <c r="L638" s="10" t="b">
        <v>1</v>
      </c>
      <c r="M638" s="5" t="s">
        <v>2489</v>
      </c>
      <c r="N638" s="5" t="s">
        <v>247</v>
      </c>
      <c r="O638" s="5"/>
      <c r="P638" s="110" t="b">
        <f t="shared" si="1"/>
        <v>0</v>
      </c>
      <c r="Q638" s="110" t="b">
        <f>IF(COUNTIF(RAW_APS!$A$2:$A815,A638)=0,TRUE,FALSE)</f>
        <v>0</v>
      </c>
      <c r="R638" s="241" t="b">
        <f t="shared" si="2"/>
        <v>0</v>
      </c>
      <c r="U638" s="112" t="str">
        <f t="shared" si="3"/>
        <v/>
      </c>
      <c r="V638" s="60"/>
      <c r="W638" s="60"/>
      <c r="X638" s="60"/>
      <c r="Y638" s="60"/>
      <c r="Z638" s="210"/>
      <c r="AA638" s="112" t="str">
        <f t="shared" si="4"/>
        <v>MA449</v>
      </c>
      <c r="AB638" s="112" t="str">
        <f t="shared" si="5"/>
        <v/>
      </c>
      <c r="AC638" s="112" t="str">
        <f t="shared" si="6"/>
        <v/>
      </c>
      <c r="AD638" s="5"/>
      <c r="AE638" s="5"/>
    </row>
    <row r="639">
      <c r="A639" s="5" t="s">
        <v>503</v>
      </c>
      <c r="B639" s="44">
        <v>44566.0</v>
      </c>
      <c r="C639" s="150">
        <v>0.3115277777777778</v>
      </c>
      <c r="D639" s="5"/>
      <c r="E639" s="5"/>
      <c r="F639" s="5"/>
      <c r="G639" s="5" t="s">
        <v>2184</v>
      </c>
      <c r="H639" s="5" t="s">
        <v>244</v>
      </c>
      <c r="I639" s="44">
        <v>44566.0</v>
      </c>
      <c r="J639" s="150">
        <v>0.4565625</v>
      </c>
      <c r="K639" s="19">
        <v>1.0</v>
      </c>
      <c r="L639" s="10" t="b">
        <v>1</v>
      </c>
      <c r="M639" s="5" t="s">
        <v>2499</v>
      </c>
      <c r="N639" s="5" t="s">
        <v>247</v>
      </c>
      <c r="O639" s="5"/>
      <c r="P639" s="110" t="b">
        <f t="shared" si="1"/>
        <v>0</v>
      </c>
      <c r="Q639" s="110" t="b">
        <f>IF(COUNTIF(RAW_APS!$A$2:$A815,A639)=0,TRUE,FALSE)</f>
        <v>0</v>
      </c>
      <c r="R639" s="241" t="b">
        <f t="shared" si="2"/>
        <v>0</v>
      </c>
      <c r="U639" s="112" t="str">
        <f t="shared" si="3"/>
        <v/>
      </c>
      <c r="V639" s="60"/>
      <c r="W639" s="60"/>
      <c r="X639" s="60"/>
      <c r="Y639" s="60"/>
      <c r="Z639" s="210"/>
      <c r="AA639" s="112" t="str">
        <f t="shared" si="4"/>
        <v>MA451</v>
      </c>
      <c r="AB639" s="112" t="str">
        <f t="shared" si="5"/>
        <v/>
      </c>
      <c r="AC639" s="112" t="str">
        <f t="shared" si="6"/>
        <v/>
      </c>
      <c r="AD639" s="5"/>
      <c r="AE639" s="5"/>
    </row>
    <row r="640">
      <c r="A640" s="5" t="s">
        <v>968</v>
      </c>
      <c r="B640" s="44">
        <v>44582.0</v>
      </c>
      <c r="C640" s="150">
        <v>0.3514351851851852</v>
      </c>
      <c r="D640" s="5"/>
      <c r="E640" s="5"/>
      <c r="F640" s="5"/>
      <c r="G640" s="5" t="s">
        <v>2184</v>
      </c>
      <c r="H640" s="5" t="s">
        <v>244</v>
      </c>
      <c r="I640" s="44">
        <v>44582.0</v>
      </c>
      <c r="J640" s="150">
        <v>0.4884027777777778</v>
      </c>
      <c r="K640" s="19">
        <v>1.0</v>
      </c>
      <c r="L640" s="10" t="b">
        <v>1</v>
      </c>
      <c r="M640" s="5" t="s">
        <v>2490</v>
      </c>
      <c r="N640" s="5" t="s">
        <v>247</v>
      </c>
      <c r="O640" s="5"/>
      <c r="P640" s="110" t="b">
        <f t="shared" si="1"/>
        <v>0</v>
      </c>
      <c r="Q640" s="110" t="b">
        <f>IF(COUNTIF(RAW_APS!$A$2:$A815,A640)=0,TRUE,FALSE)</f>
        <v>0</v>
      </c>
      <c r="R640" s="241" t="b">
        <f t="shared" si="2"/>
        <v>0</v>
      </c>
      <c r="U640" s="112" t="str">
        <f t="shared" si="3"/>
        <v/>
      </c>
      <c r="V640" s="60"/>
      <c r="W640" s="60"/>
      <c r="X640" s="60"/>
      <c r="Y640" s="60"/>
      <c r="Z640" s="210"/>
      <c r="AA640" s="112" t="str">
        <f t="shared" si="4"/>
        <v>MA452</v>
      </c>
      <c r="AB640" s="112" t="str">
        <f t="shared" si="5"/>
        <v/>
      </c>
      <c r="AC640" s="112" t="str">
        <f t="shared" si="6"/>
        <v/>
      </c>
      <c r="AD640" s="5"/>
      <c r="AE640" s="5"/>
    </row>
    <row r="641">
      <c r="A641" s="5" t="s">
        <v>535</v>
      </c>
      <c r="B641" s="44">
        <v>44566.0</v>
      </c>
      <c r="C641" s="150">
        <v>0.4181828703703704</v>
      </c>
      <c r="D641" s="5"/>
      <c r="E641" s="5"/>
      <c r="F641" s="5"/>
      <c r="G641" s="5" t="s">
        <v>2184</v>
      </c>
      <c r="H641" s="5" t="s">
        <v>244</v>
      </c>
      <c r="I641" s="44">
        <v>44566.0</v>
      </c>
      <c r="J641" s="150">
        <v>0.4565625</v>
      </c>
      <c r="K641" s="19">
        <v>0.0</v>
      </c>
      <c r="L641" s="10" t="b">
        <v>1</v>
      </c>
      <c r="M641" s="5" t="s">
        <v>2499</v>
      </c>
      <c r="N641" s="5" t="s">
        <v>247</v>
      </c>
      <c r="O641" s="5"/>
      <c r="P641" s="110" t="b">
        <f t="shared" si="1"/>
        <v>1</v>
      </c>
      <c r="Q641" s="110" t="b">
        <f>IF(COUNTIF(RAW_APS!$A$2:$A815,A641)=0,TRUE,FALSE)</f>
        <v>1</v>
      </c>
      <c r="R641" s="241" t="b">
        <f t="shared" si="2"/>
        <v>0</v>
      </c>
      <c r="U641" s="112" t="str">
        <f t="shared" si="3"/>
        <v/>
      </c>
      <c r="V641" s="51"/>
      <c r="W641" s="51"/>
      <c r="X641" s="51"/>
      <c r="Y641" s="51"/>
      <c r="Z641" s="210"/>
      <c r="AA641" s="112" t="str">
        <f t="shared" si="4"/>
        <v>MA453</v>
      </c>
      <c r="AB641" s="112" t="str">
        <f t="shared" si="5"/>
        <v/>
      </c>
      <c r="AC641" s="112" t="str">
        <f t="shared" si="6"/>
        <v/>
      </c>
      <c r="AD641" s="5"/>
      <c r="AE641" s="5"/>
    </row>
    <row r="642">
      <c r="A642" s="5" t="s">
        <v>1044</v>
      </c>
      <c r="B642" s="44">
        <v>44587.0</v>
      </c>
      <c r="C642" s="150">
        <v>0.3372222222222222</v>
      </c>
      <c r="D642" s="5"/>
      <c r="E642" s="5"/>
      <c r="F642" s="5"/>
      <c r="G642" s="5" t="s">
        <v>2184</v>
      </c>
      <c r="H642" s="5" t="s">
        <v>244</v>
      </c>
      <c r="I642" s="44">
        <v>44587.0</v>
      </c>
      <c r="J642" s="150">
        <v>0.5005555555555555</v>
      </c>
      <c r="K642" s="19">
        <v>1.0</v>
      </c>
      <c r="L642" s="10" t="b">
        <v>1</v>
      </c>
      <c r="M642" s="5" t="s">
        <v>2488</v>
      </c>
      <c r="N642" s="5" t="s">
        <v>247</v>
      </c>
      <c r="O642" s="5"/>
      <c r="P642" s="110" t="b">
        <f t="shared" si="1"/>
        <v>0</v>
      </c>
      <c r="Q642" s="110" t="b">
        <f>IF(COUNTIF(RAW_APS!$A$2:$A815,A642)=0,TRUE,FALSE)</f>
        <v>0</v>
      </c>
      <c r="R642" s="241" t="b">
        <f t="shared" si="2"/>
        <v>0</v>
      </c>
      <c r="U642" s="112" t="str">
        <f t="shared" si="3"/>
        <v/>
      </c>
      <c r="V642" s="60"/>
      <c r="W642" s="60"/>
      <c r="X642" s="60"/>
      <c r="Y642" s="60"/>
      <c r="Z642" s="210"/>
      <c r="AA642" s="112" t="str">
        <f t="shared" si="4"/>
        <v>MA454</v>
      </c>
      <c r="AB642" s="112" t="str">
        <f t="shared" si="5"/>
        <v/>
      </c>
      <c r="AC642" s="112" t="str">
        <f t="shared" si="6"/>
        <v/>
      </c>
      <c r="AD642" s="5"/>
      <c r="AE642" s="5"/>
    </row>
    <row r="643">
      <c r="A643" s="5" t="s">
        <v>538</v>
      </c>
      <c r="B643" s="44">
        <v>44566.0</v>
      </c>
      <c r="C643" s="150">
        <v>0.41854166666666665</v>
      </c>
      <c r="D643" s="5"/>
      <c r="E643" s="5"/>
      <c r="F643" s="5"/>
      <c r="G643" s="5" t="s">
        <v>2184</v>
      </c>
      <c r="H643" s="5" t="s">
        <v>244</v>
      </c>
      <c r="I643" s="44">
        <v>44566.0</v>
      </c>
      <c r="J643" s="150">
        <v>0.4565625</v>
      </c>
      <c r="K643" s="19">
        <v>0.0</v>
      </c>
      <c r="L643" s="10" t="b">
        <v>1</v>
      </c>
      <c r="M643" s="5" t="s">
        <v>2499</v>
      </c>
      <c r="N643" s="5" t="s">
        <v>247</v>
      </c>
      <c r="O643" s="5"/>
      <c r="P643" s="110" t="b">
        <f t="shared" si="1"/>
        <v>1</v>
      </c>
      <c r="Q643" s="110" t="b">
        <f>IF(COUNTIF(RAW_APS!$A$2:$A815,A643)=0,TRUE,FALSE)</f>
        <v>1</v>
      </c>
      <c r="R643" s="241" t="b">
        <f t="shared" si="2"/>
        <v>0</v>
      </c>
      <c r="U643" s="112" t="str">
        <f t="shared" si="3"/>
        <v/>
      </c>
      <c r="V643" s="51"/>
      <c r="W643" s="51"/>
      <c r="X643" s="51"/>
      <c r="Y643" s="51"/>
      <c r="Z643" s="210"/>
      <c r="AA643" s="112" t="str">
        <f t="shared" si="4"/>
        <v>MA455</v>
      </c>
      <c r="AB643" s="112" t="str">
        <f t="shared" si="5"/>
        <v/>
      </c>
      <c r="AC643" s="112" t="str">
        <f t="shared" si="6"/>
        <v/>
      </c>
      <c r="AD643" s="5"/>
      <c r="AE643" s="5"/>
    </row>
    <row r="644">
      <c r="A644" s="5" t="s">
        <v>603</v>
      </c>
      <c r="B644" s="44">
        <v>44568.0</v>
      </c>
      <c r="C644" s="150">
        <v>0.5221759259259259</v>
      </c>
      <c r="D644" s="5"/>
      <c r="E644" s="5"/>
      <c r="F644" s="5"/>
      <c r="G644" s="5" t="s">
        <v>2497</v>
      </c>
      <c r="H644" s="5" t="s">
        <v>254</v>
      </c>
      <c r="I644" s="44">
        <v>44861.0</v>
      </c>
      <c r="J644" s="150">
        <v>0.4895023148148148</v>
      </c>
      <c r="K644" s="19">
        <v>1.0</v>
      </c>
      <c r="L644" s="5"/>
      <c r="M644" s="5"/>
      <c r="N644" s="5" t="s">
        <v>247</v>
      </c>
      <c r="O644" s="5"/>
      <c r="P644" s="110" t="b">
        <f t="shared" si="1"/>
        <v>0</v>
      </c>
      <c r="Q644" s="110" t="b">
        <f>IF(COUNTIF(RAW_APS!$A$2:$A815,A644)=0,TRUE,FALSE)</f>
        <v>0</v>
      </c>
      <c r="R644" s="241" t="b">
        <f t="shared" si="2"/>
        <v>0</v>
      </c>
      <c r="U644" s="112" t="str">
        <f t="shared" si="3"/>
        <v/>
      </c>
      <c r="V644" s="60"/>
      <c r="W644" s="60"/>
      <c r="X644" s="60"/>
      <c r="Y644" s="60"/>
      <c r="Z644" s="210"/>
      <c r="AA644" s="112" t="str">
        <f t="shared" si="4"/>
        <v>MA456</v>
      </c>
      <c r="AB644" s="112" t="str">
        <f t="shared" si="5"/>
        <v/>
      </c>
      <c r="AC644" s="112" t="str">
        <f t="shared" si="6"/>
        <v/>
      </c>
      <c r="AD644" s="5"/>
      <c r="AE644" s="5"/>
    </row>
    <row r="645">
      <c r="A645" s="5" t="s">
        <v>2443</v>
      </c>
      <c r="B645" s="44">
        <v>44567.0</v>
      </c>
      <c r="C645" s="150">
        <v>0.32329861111111113</v>
      </c>
      <c r="D645" s="5"/>
      <c r="E645" s="5"/>
      <c r="F645" s="5"/>
      <c r="G645" s="5" t="s">
        <v>2184</v>
      </c>
      <c r="H645" s="5" t="s">
        <v>244</v>
      </c>
      <c r="I645" s="44">
        <v>44568.0</v>
      </c>
      <c r="J645" s="150">
        <v>0.5079050925925926</v>
      </c>
      <c r="K645" s="19">
        <v>1.0</v>
      </c>
      <c r="L645" s="10" t="b">
        <v>1</v>
      </c>
      <c r="M645" s="5" t="s">
        <v>2498</v>
      </c>
      <c r="N645" s="5" t="s">
        <v>247</v>
      </c>
      <c r="O645" s="5"/>
      <c r="P645" s="110" t="b">
        <f t="shared" si="1"/>
        <v>0</v>
      </c>
      <c r="Q645" s="110" t="b">
        <f>IF(COUNTIF(RAW_APS!$A$2:$A815,A645)=0,TRUE,FALSE)</f>
        <v>0</v>
      </c>
      <c r="R645" s="241" t="b">
        <f t="shared" si="2"/>
        <v>0</v>
      </c>
      <c r="U645" s="112" t="str">
        <f t="shared" si="3"/>
        <v/>
      </c>
      <c r="V645" s="60"/>
      <c r="W645" s="60"/>
      <c r="X645" s="60"/>
      <c r="Y645" s="60"/>
      <c r="Z645" s="210"/>
      <c r="AA645" s="112" t="str">
        <f t="shared" si="4"/>
        <v>MA457</v>
      </c>
      <c r="AB645" s="112" t="str">
        <f t="shared" si="5"/>
        <v/>
      </c>
      <c r="AC645" s="112" t="str">
        <f t="shared" si="6"/>
        <v/>
      </c>
      <c r="AD645" s="5"/>
      <c r="AE645" s="5"/>
    </row>
    <row r="646">
      <c r="A646" s="5" t="s">
        <v>2434</v>
      </c>
      <c r="B646" s="44">
        <v>44579.0</v>
      </c>
      <c r="C646" s="150">
        <v>0.3317824074074074</v>
      </c>
      <c r="D646" s="5"/>
      <c r="E646" s="5"/>
      <c r="F646" s="5"/>
      <c r="G646" s="5" t="s">
        <v>2184</v>
      </c>
      <c r="H646" s="5" t="s">
        <v>244</v>
      </c>
      <c r="I646" s="44">
        <v>44580.0</v>
      </c>
      <c r="J646" s="150">
        <v>0.5080092592592592</v>
      </c>
      <c r="K646" s="19">
        <v>1.0</v>
      </c>
      <c r="L646" s="10" t="b">
        <v>1</v>
      </c>
      <c r="M646" s="5" t="s">
        <v>2492</v>
      </c>
      <c r="N646" s="5" t="s">
        <v>247</v>
      </c>
      <c r="O646" s="5"/>
      <c r="P646" s="110" t="b">
        <f t="shared" si="1"/>
        <v>0</v>
      </c>
      <c r="Q646" s="110" t="b">
        <f>IF(COUNTIF(RAW_APS!$A$2:$A815,A646)=0,TRUE,FALSE)</f>
        <v>0</v>
      </c>
      <c r="R646" s="241" t="b">
        <f t="shared" si="2"/>
        <v>0</v>
      </c>
      <c r="U646" s="112" t="str">
        <f t="shared" si="3"/>
        <v/>
      </c>
      <c r="V646" s="60"/>
      <c r="W646" s="60"/>
      <c r="X646" s="60"/>
      <c r="Y646" s="60"/>
      <c r="Z646" s="210"/>
      <c r="AA646" s="112" t="str">
        <f t="shared" si="4"/>
        <v>MA458</v>
      </c>
      <c r="AB646" s="112" t="str">
        <f t="shared" si="5"/>
        <v/>
      </c>
      <c r="AC646" s="112" t="str">
        <f t="shared" si="6"/>
        <v/>
      </c>
      <c r="AD646" s="5"/>
      <c r="AE646" s="5"/>
    </row>
    <row r="647">
      <c r="A647" s="5" t="s">
        <v>2457</v>
      </c>
      <c r="B647" s="44">
        <v>44545.0</v>
      </c>
      <c r="C647" s="150">
        <v>0.6131944444444445</v>
      </c>
      <c r="D647" s="5"/>
      <c r="E647" s="5"/>
      <c r="F647" s="5"/>
      <c r="G647" s="5" t="s">
        <v>2188</v>
      </c>
      <c r="H647" s="5" t="s">
        <v>254</v>
      </c>
      <c r="I647" s="44">
        <v>44861.0</v>
      </c>
      <c r="J647" s="150">
        <v>0.4895023148148148</v>
      </c>
      <c r="K647" s="19">
        <v>1.0</v>
      </c>
      <c r="L647" s="5"/>
      <c r="M647" s="5"/>
      <c r="N647" s="5" t="s">
        <v>247</v>
      </c>
      <c r="O647" s="5"/>
      <c r="P647" s="110" t="b">
        <f t="shared" si="1"/>
        <v>0</v>
      </c>
      <c r="Q647" s="110" t="b">
        <f>IF(COUNTIF(RAW_APS!$A$2:$A815,A647)=0,TRUE,FALSE)</f>
        <v>0</v>
      </c>
      <c r="R647" s="241" t="b">
        <f t="shared" si="2"/>
        <v>1</v>
      </c>
      <c r="U647" s="112" t="str">
        <f t="shared" si="3"/>
        <v/>
      </c>
      <c r="V647" s="51"/>
      <c r="W647" s="51"/>
      <c r="X647" s="51"/>
      <c r="Y647" s="51"/>
      <c r="Z647" s="210"/>
      <c r="AA647" s="112" t="str">
        <f t="shared" si="4"/>
        <v>MA460</v>
      </c>
      <c r="AB647" s="112" t="str">
        <f t="shared" si="5"/>
        <v>MA460</v>
      </c>
      <c r="AC647" s="112">
        <f t="shared" si="6"/>
        <v>2</v>
      </c>
      <c r="AD647" s="5"/>
      <c r="AE647" s="5"/>
    </row>
    <row r="648">
      <c r="A648" s="5" t="s">
        <v>321</v>
      </c>
      <c r="B648" s="44">
        <v>44545.0</v>
      </c>
      <c r="C648" s="150">
        <v>0.7007175925925926</v>
      </c>
      <c r="D648" s="5"/>
      <c r="E648" s="5"/>
      <c r="F648" s="5"/>
      <c r="G648" s="5" t="s">
        <v>2184</v>
      </c>
      <c r="H648" s="5" t="s">
        <v>244</v>
      </c>
      <c r="I648" s="44">
        <v>44545.0</v>
      </c>
      <c r="J648" s="150">
        <v>0.7641550925925926</v>
      </c>
      <c r="K648" s="19">
        <v>1.0</v>
      </c>
      <c r="L648" s="10" t="b">
        <v>1</v>
      </c>
      <c r="M648" s="5" t="s">
        <v>2508</v>
      </c>
      <c r="N648" s="5" t="s">
        <v>247</v>
      </c>
      <c r="O648" s="5"/>
      <c r="P648" s="110" t="b">
        <f t="shared" si="1"/>
        <v>0</v>
      </c>
      <c r="Q648" s="110" t="b">
        <f>IF(COUNTIF(RAW_APS!$A$2:$A815,A648)=0,TRUE,FALSE)</f>
        <v>0</v>
      </c>
      <c r="R648" s="241" t="b">
        <f t="shared" si="2"/>
        <v>1</v>
      </c>
      <c r="U648" s="112" t="str">
        <f t="shared" si="3"/>
        <v/>
      </c>
      <c r="V648" s="51"/>
      <c r="W648" s="51"/>
      <c r="X648" s="51"/>
      <c r="Y648" s="51"/>
      <c r="Z648" s="210"/>
      <c r="AA648" s="112" t="str">
        <f t="shared" si="4"/>
        <v>MA460</v>
      </c>
      <c r="AB648" s="112" t="str">
        <f t="shared" si="5"/>
        <v/>
      </c>
      <c r="AC648" s="112" t="str">
        <f t="shared" si="6"/>
        <v/>
      </c>
      <c r="AD648" s="5"/>
      <c r="AE648" s="5"/>
    </row>
    <row r="649">
      <c r="A649" s="5" t="s">
        <v>586</v>
      </c>
      <c r="B649" s="44">
        <v>44568.0</v>
      </c>
      <c r="C649" s="150">
        <v>0.3421064814814815</v>
      </c>
      <c r="D649" s="5"/>
      <c r="E649" s="5"/>
      <c r="F649" s="5"/>
      <c r="G649" s="5" t="s">
        <v>2184</v>
      </c>
      <c r="H649" s="5" t="s">
        <v>244</v>
      </c>
      <c r="I649" s="44">
        <v>44568.0</v>
      </c>
      <c r="J649" s="150">
        <v>0.5079050925925926</v>
      </c>
      <c r="K649" s="19">
        <v>1.0</v>
      </c>
      <c r="L649" s="10" t="b">
        <v>1</v>
      </c>
      <c r="M649" s="5" t="s">
        <v>2498</v>
      </c>
      <c r="N649" s="5" t="s">
        <v>247</v>
      </c>
      <c r="O649" s="5"/>
      <c r="P649" s="110" t="b">
        <f t="shared" si="1"/>
        <v>0</v>
      </c>
      <c r="Q649" s="110" t="b">
        <f>IF(COUNTIF(RAW_APS!$A$2:$A815,A649)=0,TRUE,FALSE)</f>
        <v>0</v>
      </c>
      <c r="R649" s="241" t="b">
        <f t="shared" si="2"/>
        <v>0</v>
      </c>
      <c r="U649" s="112" t="str">
        <f t="shared" si="3"/>
        <v/>
      </c>
      <c r="V649" s="60"/>
      <c r="W649" s="60"/>
      <c r="X649" s="60"/>
      <c r="Y649" s="60"/>
      <c r="Z649" s="210"/>
      <c r="AA649" s="112" t="str">
        <f t="shared" si="4"/>
        <v>MA461</v>
      </c>
      <c r="AB649" s="112" t="str">
        <f t="shared" si="5"/>
        <v/>
      </c>
      <c r="AC649" s="112" t="str">
        <f t="shared" si="6"/>
        <v/>
      </c>
      <c r="AD649" s="5"/>
      <c r="AE649" s="5"/>
    </row>
    <row r="650">
      <c r="A650" s="5" t="s">
        <v>572</v>
      </c>
      <c r="B650" s="44">
        <v>44568.0</v>
      </c>
      <c r="C650" s="150">
        <v>0.3309490740740741</v>
      </c>
      <c r="D650" s="5"/>
      <c r="E650" s="5"/>
      <c r="F650" s="5"/>
      <c r="G650" s="5" t="s">
        <v>2184</v>
      </c>
      <c r="H650" s="5" t="s">
        <v>244</v>
      </c>
      <c r="I650" s="44">
        <v>44568.0</v>
      </c>
      <c r="J650" s="150">
        <v>0.5079050925925926</v>
      </c>
      <c r="K650" s="19">
        <v>1.0</v>
      </c>
      <c r="L650" s="10" t="b">
        <v>1</v>
      </c>
      <c r="M650" s="5" t="s">
        <v>2498</v>
      </c>
      <c r="N650" s="5" t="s">
        <v>247</v>
      </c>
      <c r="O650" s="5"/>
      <c r="P650" s="110" t="b">
        <f t="shared" si="1"/>
        <v>0</v>
      </c>
      <c r="Q650" s="110" t="b">
        <f>IF(COUNTIF(RAW_APS!$A$2:$A815,A650)=0,TRUE,FALSE)</f>
        <v>0</v>
      </c>
      <c r="R650" s="241" t="b">
        <f t="shared" si="2"/>
        <v>0</v>
      </c>
      <c r="U650" s="112" t="str">
        <f t="shared" si="3"/>
        <v/>
      </c>
      <c r="V650" s="60"/>
      <c r="W650" s="60"/>
      <c r="X650" s="60"/>
      <c r="Y650" s="60"/>
      <c r="Z650" s="210"/>
      <c r="AA650" s="112" t="str">
        <f t="shared" si="4"/>
        <v>MA462</v>
      </c>
      <c r="AB650" s="112" t="str">
        <f t="shared" si="5"/>
        <v/>
      </c>
      <c r="AC650" s="112" t="str">
        <f t="shared" si="6"/>
        <v/>
      </c>
      <c r="AD650" s="5"/>
      <c r="AE650" s="5"/>
    </row>
    <row r="651">
      <c r="A651" s="5" t="s">
        <v>657</v>
      </c>
      <c r="B651" s="44">
        <v>44571.0</v>
      </c>
      <c r="C651" s="150">
        <v>0.3882638888888889</v>
      </c>
      <c r="D651" s="5"/>
      <c r="E651" s="5"/>
      <c r="F651" s="5"/>
      <c r="G651" s="5" t="s">
        <v>2184</v>
      </c>
      <c r="H651" s="5" t="s">
        <v>52</v>
      </c>
      <c r="I651" s="44">
        <v>44579.0</v>
      </c>
      <c r="J651" s="150">
        <v>0.5015740740740741</v>
      </c>
      <c r="K651" s="19">
        <v>1.0</v>
      </c>
      <c r="L651" s="10" t="b">
        <v>1</v>
      </c>
      <c r="M651" s="5"/>
      <c r="N651" s="5" t="s">
        <v>247</v>
      </c>
      <c r="O651" s="5"/>
      <c r="P651" s="110" t="b">
        <f t="shared" si="1"/>
        <v>0</v>
      </c>
      <c r="Q651" s="110" t="b">
        <f>IF(COUNTIF(RAW_APS!$A$2:$A815,A651)=0,TRUE,FALSE)</f>
        <v>0</v>
      </c>
      <c r="R651" s="241" t="b">
        <f t="shared" si="2"/>
        <v>0</v>
      </c>
      <c r="U651" s="112" t="str">
        <f t="shared" si="3"/>
        <v/>
      </c>
      <c r="V651" s="60"/>
      <c r="W651" s="60"/>
      <c r="X651" s="60"/>
      <c r="Y651" s="60"/>
      <c r="Z651" s="210"/>
      <c r="AA651" s="112" t="str">
        <f t="shared" si="4"/>
        <v>MA463</v>
      </c>
      <c r="AB651" s="112" t="str">
        <f t="shared" si="5"/>
        <v/>
      </c>
      <c r="AC651" s="112" t="str">
        <f t="shared" si="6"/>
        <v/>
      </c>
      <c r="AD651" s="5"/>
      <c r="AE651" s="5"/>
    </row>
    <row r="652">
      <c r="A652" s="5" t="s">
        <v>541</v>
      </c>
      <c r="B652" s="44">
        <v>44566.0</v>
      </c>
      <c r="C652" s="150">
        <v>0.4192361111111111</v>
      </c>
      <c r="D652" s="5"/>
      <c r="E652" s="5"/>
      <c r="F652" s="5"/>
      <c r="G652" s="5" t="s">
        <v>2184</v>
      </c>
      <c r="H652" s="5" t="s">
        <v>244</v>
      </c>
      <c r="I652" s="44">
        <v>44566.0</v>
      </c>
      <c r="J652" s="150">
        <v>0.4565625</v>
      </c>
      <c r="K652" s="19">
        <v>0.0</v>
      </c>
      <c r="L652" s="10" t="b">
        <v>1</v>
      </c>
      <c r="M652" s="5" t="s">
        <v>2499</v>
      </c>
      <c r="N652" s="5" t="s">
        <v>247</v>
      </c>
      <c r="O652" s="5"/>
      <c r="P652" s="110" t="b">
        <f t="shared" si="1"/>
        <v>1</v>
      </c>
      <c r="Q652" s="110" t="b">
        <f>IF(COUNTIF(RAW_APS!$A$2:$A815,A652)=0,TRUE,FALSE)</f>
        <v>1</v>
      </c>
      <c r="R652" s="241" t="b">
        <f t="shared" si="2"/>
        <v>0</v>
      </c>
      <c r="U652" s="112" t="str">
        <f t="shared" si="3"/>
        <v/>
      </c>
      <c r="V652" s="51"/>
      <c r="W652" s="51"/>
      <c r="X652" s="51"/>
      <c r="Y652" s="51"/>
      <c r="Z652" s="210"/>
      <c r="AA652" s="112" t="str">
        <f t="shared" si="4"/>
        <v>MA464</v>
      </c>
      <c r="AB652" s="112" t="str">
        <f t="shared" si="5"/>
        <v/>
      </c>
      <c r="AC652" s="112" t="str">
        <f t="shared" si="6"/>
        <v/>
      </c>
      <c r="AD652" s="5"/>
      <c r="AE652" s="5"/>
    </row>
    <row r="653">
      <c r="A653" s="5" t="s">
        <v>632</v>
      </c>
      <c r="B653" s="44">
        <v>44571.0</v>
      </c>
      <c r="C653" s="150">
        <v>0.3333101851851852</v>
      </c>
      <c r="D653" s="5"/>
      <c r="E653" s="5"/>
      <c r="F653" s="5"/>
      <c r="G653" s="5" t="s">
        <v>2184</v>
      </c>
      <c r="H653" s="5" t="s">
        <v>244</v>
      </c>
      <c r="I653" s="44">
        <v>44571.0</v>
      </c>
      <c r="J653" s="150">
        <v>0.46598379629629627</v>
      </c>
      <c r="K653" s="19">
        <v>1.0</v>
      </c>
      <c r="L653" s="10" t="b">
        <v>1</v>
      </c>
      <c r="M653" s="5" t="s">
        <v>2496</v>
      </c>
      <c r="N653" s="5" t="s">
        <v>247</v>
      </c>
      <c r="O653" s="5"/>
      <c r="P653" s="110" t="b">
        <f t="shared" si="1"/>
        <v>0</v>
      </c>
      <c r="Q653" s="110" t="b">
        <f>IF(COUNTIF(RAW_APS!$A$2:$A815,A653)=0,TRUE,FALSE)</f>
        <v>0</v>
      </c>
      <c r="R653" s="241" t="b">
        <f t="shared" si="2"/>
        <v>0</v>
      </c>
      <c r="U653" s="112" t="str">
        <f t="shared" si="3"/>
        <v/>
      </c>
      <c r="V653" s="60"/>
      <c r="W653" s="60"/>
      <c r="X653" s="60"/>
      <c r="Y653" s="60"/>
      <c r="Z653" s="210"/>
      <c r="AA653" s="112" t="str">
        <f t="shared" si="4"/>
        <v>MA466</v>
      </c>
      <c r="AB653" s="112" t="str">
        <f t="shared" si="5"/>
        <v/>
      </c>
      <c r="AC653" s="112" t="str">
        <f t="shared" si="6"/>
        <v/>
      </c>
      <c r="AD653" s="5"/>
      <c r="AE653" s="5"/>
    </row>
    <row r="654">
      <c r="A654" s="5" t="s">
        <v>1029</v>
      </c>
      <c r="B654" s="44">
        <v>44587.0</v>
      </c>
      <c r="C654" s="150">
        <v>0.3039351851851852</v>
      </c>
      <c r="D654" s="5"/>
      <c r="E654" s="5"/>
      <c r="F654" s="5"/>
      <c r="G654" s="5" t="s">
        <v>2184</v>
      </c>
      <c r="H654" s="5" t="s">
        <v>244</v>
      </c>
      <c r="I654" s="44">
        <v>44587.0</v>
      </c>
      <c r="J654" s="150">
        <v>0.5005439814814815</v>
      </c>
      <c r="K654" s="19">
        <v>1.0</v>
      </c>
      <c r="L654" s="10" t="b">
        <v>1</v>
      </c>
      <c r="M654" s="5" t="s">
        <v>2488</v>
      </c>
      <c r="N654" s="5" t="s">
        <v>247</v>
      </c>
      <c r="O654" s="5"/>
      <c r="P654" s="110" t="b">
        <f t="shared" si="1"/>
        <v>0</v>
      </c>
      <c r="Q654" s="110" t="b">
        <f>IF(COUNTIF(RAW_APS!$A$2:$A815,A654)=0,TRUE,FALSE)</f>
        <v>0</v>
      </c>
      <c r="R654" s="241" t="b">
        <f t="shared" si="2"/>
        <v>0</v>
      </c>
      <c r="U654" s="112" t="str">
        <f t="shared" si="3"/>
        <v/>
      </c>
      <c r="V654" s="60"/>
      <c r="W654" s="60"/>
      <c r="X654" s="60"/>
      <c r="Y654" s="60"/>
      <c r="Z654" s="210"/>
      <c r="AA654" s="112" t="str">
        <f t="shared" si="4"/>
        <v>MA467</v>
      </c>
      <c r="AB654" s="112" t="str">
        <f t="shared" si="5"/>
        <v/>
      </c>
      <c r="AC654" s="112" t="str">
        <f t="shared" si="6"/>
        <v/>
      </c>
      <c r="AD654" s="5"/>
      <c r="AE654" s="5"/>
    </row>
    <row r="655">
      <c r="A655" s="5" t="s">
        <v>693</v>
      </c>
      <c r="B655" s="44">
        <v>44571.0</v>
      </c>
      <c r="C655" s="150">
        <v>0.4286111111111111</v>
      </c>
      <c r="D655" s="5"/>
      <c r="E655" s="5"/>
      <c r="F655" s="5"/>
      <c r="G655" s="5" t="s">
        <v>2184</v>
      </c>
      <c r="H655" s="5" t="s">
        <v>244</v>
      </c>
      <c r="I655" s="44">
        <v>44571.0</v>
      </c>
      <c r="J655" s="150">
        <v>0.46598379629629627</v>
      </c>
      <c r="K655" s="19">
        <v>1.0</v>
      </c>
      <c r="L655" s="10" t="b">
        <v>1</v>
      </c>
      <c r="M655" s="5" t="s">
        <v>2496</v>
      </c>
      <c r="N655" s="5" t="s">
        <v>247</v>
      </c>
      <c r="O655" s="5"/>
      <c r="P655" s="110" t="b">
        <f t="shared" si="1"/>
        <v>0</v>
      </c>
      <c r="Q655" s="110" t="b">
        <f>IF(COUNTIF(RAW_APS!$A$2:$A815,A655)=0,TRUE,FALSE)</f>
        <v>0</v>
      </c>
      <c r="R655" s="241" t="b">
        <f t="shared" si="2"/>
        <v>0</v>
      </c>
      <c r="U655" s="112" t="str">
        <f t="shared" si="3"/>
        <v/>
      </c>
      <c r="V655" s="60"/>
      <c r="W655" s="60"/>
      <c r="X655" s="60"/>
      <c r="Y655" s="60"/>
      <c r="Z655" s="210"/>
      <c r="AA655" s="112" t="str">
        <f t="shared" si="4"/>
        <v>MA468</v>
      </c>
      <c r="AB655" s="112" t="str">
        <f t="shared" si="5"/>
        <v/>
      </c>
      <c r="AC655" s="112" t="str">
        <f t="shared" si="6"/>
        <v/>
      </c>
      <c r="AD655" s="5"/>
      <c r="AE655" s="5"/>
    </row>
    <row r="656">
      <c r="A656" s="5" t="s">
        <v>452</v>
      </c>
      <c r="B656" s="44">
        <v>44561.0</v>
      </c>
      <c r="C656" s="150">
        <v>0.4247916666666667</v>
      </c>
      <c r="D656" s="5"/>
      <c r="E656" s="5"/>
      <c r="F656" s="5"/>
      <c r="G656" s="5" t="s">
        <v>2188</v>
      </c>
      <c r="H656" s="5" t="s">
        <v>254</v>
      </c>
      <c r="I656" s="44">
        <v>44861.0</v>
      </c>
      <c r="J656" s="150">
        <v>0.4895023148148148</v>
      </c>
      <c r="K656" s="19">
        <v>1.0</v>
      </c>
      <c r="L656" s="5"/>
      <c r="M656" s="5"/>
      <c r="N656" s="5" t="s">
        <v>247</v>
      </c>
      <c r="O656" s="5"/>
      <c r="P656" s="110" t="b">
        <f t="shared" si="1"/>
        <v>0</v>
      </c>
      <c r="Q656" s="110" t="b">
        <f>IF(COUNTIF(RAW_APS!$A$2:$A815,A656)=0,TRUE,FALSE)</f>
        <v>0</v>
      </c>
      <c r="R656" s="241" t="b">
        <f t="shared" si="2"/>
        <v>0</v>
      </c>
      <c r="U656" s="112" t="str">
        <f t="shared" si="3"/>
        <v/>
      </c>
      <c r="V656" s="60"/>
      <c r="W656" s="60"/>
      <c r="X656" s="60"/>
      <c r="Y656" s="60"/>
      <c r="Z656" s="210"/>
      <c r="AA656" s="112" t="str">
        <f t="shared" si="4"/>
        <v>MA469</v>
      </c>
      <c r="AB656" s="112" t="str">
        <f t="shared" si="5"/>
        <v/>
      </c>
      <c r="AC656" s="112" t="str">
        <f t="shared" si="6"/>
        <v/>
      </c>
      <c r="AD656" s="5"/>
      <c r="AE656" s="5"/>
    </row>
    <row r="657">
      <c r="A657" s="5" t="s">
        <v>479</v>
      </c>
      <c r="B657" s="44">
        <v>44564.0</v>
      </c>
      <c r="C657" s="150">
        <v>0.3654513888888889</v>
      </c>
      <c r="D657" s="5"/>
      <c r="E657" s="5"/>
      <c r="F657" s="5"/>
      <c r="G657" s="5" t="s">
        <v>2184</v>
      </c>
      <c r="H657" s="5" t="s">
        <v>52</v>
      </c>
      <c r="I657" s="44">
        <v>44564.0</v>
      </c>
      <c r="J657" s="150">
        <v>0.5280439814814815</v>
      </c>
      <c r="K657" s="19">
        <v>1.0</v>
      </c>
      <c r="L657" s="10" t="b">
        <v>1</v>
      </c>
      <c r="M657" s="5"/>
      <c r="N657" s="5" t="s">
        <v>247</v>
      </c>
      <c r="O657" s="5"/>
      <c r="P657" s="110" t="b">
        <f t="shared" si="1"/>
        <v>0</v>
      </c>
      <c r="Q657" s="110" t="b">
        <f>IF(COUNTIF(RAW_APS!$A$2:$A815,A657)=0,TRUE,FALSE)</f>
        <v>0</v>
      </c>
      <c r="R657" s="241" t="b">
        <f t="shared" si="2"/>
        <v>0</v>
      </c>
      <c r="U657" s="112" t="str">
        <f t="shared" si="3"/>
        <v/>
      </c>
      <c r="V657" s="60"/>
      <c r="W657" s="60"/>
      <c r="X657" s="60"/>
      <c r="Y657" s="60"/>
      <c r="Z657" s="210"/>
      <c r="AA657" s="112" t="str">
        <f t="shared" si="4"/>
        <v>MA473</v>
      </c>
      <c r="AB657" s="112" t="str">
        <f t="shared" si="5"/>
        <v/>
      </c>
      <c r="AC657" s="112" t="str">
        <f t="shared" si="6"/>
        <v/>
      </c>
      <c r="AD657" s="5"/>
      <c r="AE657" s="5"/>
    </row>
    <row r="658">
      <c r="A658" s="5" t="s">
        <v>686</v>
      </c>
      <c r="B658" s="44">
        <v>44571.0</v>
      </c>
      <c r="C658" s="150">
        <v>0.42594907407407406</v>
      </c>
      <c r="D658" s="5"/>
      <c r="E658" s="5"/>
      <c r="F658" s="5"/>
      <c r="G658" s="5" t="s">
        <v>2184</v>
      </c>
      <c r="H658" s="5" t="s">
        <v>244</v>
      </c>
      <c r="I658" s="44">
        <v>44571.0</v>
      </c>
      <c r="J658" s="150">
        <v>0.46598379629629627</v>
      </c>
      <c r="K658" s="19">
        <v>1.0</v>
      </c>
      <c r="L658" s="10" t="b">
        <v>1</v>
      </c>
      <c r="M658" s="5" t="s">
        <v>2496</v>
      </c>
      <c r="N658" s="5" t="s">
        <v>247</v>
      </c>
      <c r="O658" s="5"/>
      <c r="P658" s="110" t="b">
        <f t="shared" si="1"/>
        <v>0</v>
      </c>
      <c r="Q658" s="110" t="b">
        <f>IF(COUNTIF(RAW_APS!$A$2:$A815,A658)=0,TRUE,FALSE)</f>
        <v>0</v>
      </c>
      <c r="R658" s="241" t="b">
        <f t="shared" si="2"/>
        <v>0</v>
      </c>
      <c r="U658" s="112" t="str">
        <f t="shared" si="3"/>
        <v/>
      </c>
      <c r="V658" s="60"/>
      <c r="W658" s="60"/>
      <c r="X658" s="60"/>
      <c r="Y658" s="60"/>
      <c r="Z658" s="210"/>
      <c r="AA658" s="112" t="str">
        <f t="shared" si="4"/>
        <v>MA474</v>
      </c>
      <c r="AB658" s="112" t="str">
        <f t="shared" si="5"/>
        <v/>
      </c>
      <c r="AC658" s="112" t="str">
        <f t="shared" si="6"/>
        <v/>
      </c>
      <c r="AD658" s="5"/>
      <c r="AE658" s="5"/>
    </row>
    <row r="659">
      <c r="A659" s="5" t="s">
        <v>544</v>
      </c>
      <c r="B659" s="44">
        <v>44566.0</v>
      </c>
      <c r="C659" s="150">
        <v>0.41961805555555554</v>
      </c>
      <c r="D659" s="5"/>
      <c r="E659" s="5"/>
      <c r="F659" s="5"/>
      <c r="G659" s="5" t="s">
        <v>2184</v>
      </c>
      <c r="H659" s="5" t="s">
        <v>244</v>
      </c>
      <c r="I659" s="44">
        <v>44566.0</v>
      </c>
      <c r="J659" s="150">
        <v>0.4565625</v>
      </c>
      <c r="K659" s="19">
        <v>0.0</v>
      </c>
      <c r="L659" s="10" t="b">
        <v>1</v>
      </c>
      <c r="M659" s="5" t="s">
        <v>2499</v>
      </c>
      <c r="N659" s="5" t="s">
        <v>247</v>
      </c>
      <c r="O659" s="5"/>
      <c r="P659" s="110" t="b">
        <f t="shared" si="1"/>
        <v>1</v>
      </c>
      <c r="Q659" s="110" t="b">
        <f>IF(COUNTIF(RAW_APS!$A$2:$A815,A659)=0,TRUE,FALSE)</f>
        <v>1</v>
      </c>
      <c r="R659" s="241" t="b">
        <f t="shared" si="2"/>
        <v>0</v>
      </c>
      <c r="U659" s="112" t="str">
        <f t="shared" si="3"/>
        <v/>
      </c>
      <c r="V659" s="51"/>
      <c r="W659" s="51"/>
      <c r="X659" s="51"/>
      <c r="Y659" s="51"/>
      <c r="Z659" s="210"/>
      <c r="AA659" s="112" t="str">
        <f t="shared" si="4"/>
        <v>MA475</v>
      </c>
      <c r="AB659" s="112" t="str">
        <f t="shared" si="5"/>
        <v/>
      </c>
      <c r="AC659" s="112" t="str">
        <f t="shared" si="6"/>
        <v/>
      </c>
      <c r="AD659" s="5"/>
      <c r="AE659" s="5"/>
    </row>
    <row r="660">
      <c r="A660" s="5" t="s">
        <v>818</v>
      </c>
      <c r="B660" s="44">
        <v>44575.0</v>
      </c>
      <c r="C660" s="150">
        <v>0.40739583333333335</v>
      </c>
      <c r="D660" s="5"/>
      <c r="E660" s="5"/>
      <c r="F660" s="5"/>
      <c r="G660" s="5" t="s">
        <v>2184</v>
      </c>
      <c r="H660" s="5" t="s">
        <v>244</v>
      </c>
      <c r="I660" s="44">
        <v>44575.0</v>
      </c>
      <c r="J660" s="150">
        <v>0.4820601851851852</v>
      </c>
      <c r="K660" s="19">
        <v>1.0</v>
      </c>
      <c r="L660" s="10" t="b">
        <v>1</v>
      </c>
      <c r="M660" s="5" t="s">
        <v>2493</v>
      </c>
      <c r="N660" s="5" t="s">
        <v>247</v>
      </c>
      <c r="O660" s="5"/>
      <c r="P660" s="110" t="b">
        <f t="shared" si="1"/>
        <v>0</v>
      </c>
      <c r="Q660" s="110" t="b">
        <f>IF(COUNTIF(RAW_APS!$A$2:$A815,A660)=0,TRUE,FALSE)</f>
        <v>0</v>
      </c>
      <c r="R660" s="241" t="b">
        <f t="shared" si="2"/>
        <v>0</v>
      </c>
      <c r="U660" s="112" t="str">
        <f t="shared" si="3"/>
        <v/>
      </c>
      <c r="V660" s="60"/>
      <c r="W660" s="60"/>
      <c r="X660" s="60"/>
      <c r="Y660" s="60"/>
      <c r="Z660" s="210"/>
      <c r="AA660" s="112" t="str">
        <f t="shared" si="4"/>
        <v>MA477</v>
      </c>
      <c r="AB660" s="112" t="str">
        <f t="shared" si="5"/>
        <v/>
      </c>
      <c r="AC660" s="112" t="str">
        <f t="shared" si="6"/>
        <v/>
      </c>
      <c r="AD660" s="5"/>
      <c r="AE660" s="5"/>
    </row>
    <row r="661">
      <c r="A661" s="5" t="s">
        <v>621</v>
      </c>
      <c r="B661" s="44">
        <v>44571.0</v>
      </c>
      <c r="C661" s="150">
        <v>0.313125</v>
      </c>
      <c r="D661" s="5"/>
      <c r="E661" s="5"/>
      <c r="F661" s="5"/>
      <c r="G661" s="5" t="s">
        <v>2184</v>
      </c>
      <c r="H661" s="5" t="s">
        <v>244</v>
      </c>
      <c r="I661" s="44">
        <v>44571.0</v>
      </c>
      <c r="J661" s="150">
        <v>0.46598379629629627</v>
      </c>
      <c r="K661" s="19">
        <v>1.0</v>
      </c>
      <c r="L661" s="10" t="b">
        <v>1</v>
      </c>
      <c r="M661" s="5" t="s">
        <v>2496</v>
      </c>
      <c r="N661" s="5" t="s">
        <v>247</v>
      </c>
      <c r="O661" s="5"/>
      <c r="P661" s="110" t="b">
        <f t="shared" si="1"/>
        <v>0</v>
      </c>
      <c r="Q661" s="110" t="b">
        <f>IF(COUNTIF(RAW_APS!$A$2:$A815,A661)=0,TRUE,FALSE)</f>
        <v>0</v>
      </c>
      <c r="R661" s="241" t="b">
        <f t="shared" si="2"/>
        <v>0</v>
      </c>
      <c r="U661" s="112" t="str">
        <f t="shared" si="3"/>
        <v/>
      </c>
      <c r="V661" s="60"/>
      <c r="W661" s="60"/>
      <c r="X661" s="60"/>
      <c r="Y661" s="60"/>
      <c r="Z661" s="210"/>
      <c r="AA661" s="112" t="str">
        <f t="shared" si="4"/>
        <v>MA478</v>
      </c>
      <c r="AB661" s="112" t="str">
        <f t="shared" si="5"/>
        <v/>
      </c>
      <c r="AC661" s="112" t="str">
        <f t="shared" si="6"/>
        <v/>
      </c>
      <c r="AD661" s="5"/>
      <c r="AE661" s="5"/>
    </row>
    <row r="662">
      <c r="A662" s="5" t="s">
        <v>2447</v>
      </c>
      <c r="B662" s="44">
        <v>44559.0</v>
      </c>
      <c r="C662" s="150">
        <v>0.2964467592592593</v>
      </c>
      <c r="D662" s="5"/>
      <c r="E662" s="5"/>
      <c r="F662" s="5"/>
      <c r="G662" s="5" t="s">
        <v>2184</v>
      </c>
      <c r="H662" s="5" t="s">
        <v>244</v>
      </c>
      <c r="I662" s="44">
        <v>44559.0</v>
      </c>
      <c r="J662" s="150">
        <v>0.4366319444444444</v>
      </c>
      <c r="K662" s="19">
        <v>1.0</v>
      </c>
      <c r="L662" s="10" t="b">
        <v>1</v>
      </c>
      <c r="M662" s="5" t="s">
        <v>2503</v>
      </c>
      <c r="N662" s="5" t="s">
        <v>247</v>
      </c>
      <c r="O662" s="5"/>
      <c r="P662" s="110" t="b">
        <f t="shared" si="1"/>
        <v>0</v>
      </c>
      <c r="Q662" s="110" t="b">
        <f>IF(COUNTIF(RAW_APS!$A$2:$A815,A662)=0,TRUE,FALSE)</f>
        <v>0</v>
      </c>
      <c r="R662" s="241" t="b">
        <f t="shared" si="2"/>
        <v>0</v>
      </c>
      <c r="U662" s="112" t="str">
        <f t="shared" si="3"/>
        <v/>
      </c>
      <c r="V662" s="51"/>
      <c r="W662" s="51"/>
      <c r="X662" s="51"/>
      <c r="Y662" s="51"/>
      <c r="Z662" s="210"/>
      <c r="AA662" s="112" t="str">
        <f t="shared" si="4"/>
        <v>MA479</v>
      </c>
      <c r="AB662" s="112" t="str">
        <f t="shared" si="5"/>
        <v/>
      </c>
      <c r="AC662" s="112" t="str">
        <f t="shared" si="6"/>
        <v/>
      </c>
      <c r="AD662" s="5"/>
      <c r="AE662" s="5"/>
    </row>
    <row r="663">
      <c r="A663" s="5" t="s">
        <v>608</v>
      </c>
      <c r="B663" s="44">
        <v>44569.0</v>
      </c>
      <c r="C663" s="150">
        <v>0.3123842592592593</v>
      </c>
      <c r="D663" s="5"/>
      <c r="E663" s="5"/>
      <c r="F663" s="5"/>
      <c r="G663" s="5" t="s">
        <v>2188</v>
      </c>
      <c r="H663" s="5" t="s">
        <v>254</v>
      </c>
      <c r="I663" s="44">
        <v>44861.0</v>
      </c>
      <c r="J663" s="150">
        <v>0.4895023148148148</v>
      </c>
      <c r="K663" s="19">
        <v>1.0</v>
      </c>
      <c r="L663" s="5"/>
      <c r="M663" s="5"/>
      <c r="N663" s="5" t="s">
        <v>247</v>
      </c>
      <c r="O663" s="5"/>
      <c r="P663" s="110" t="b">
        <f t="shared" si="1"/>
        <v>0</v>
      </c>
      <c r="Q663" s="110" t="b">
        <f>IF(COUNTIF(RAW_APS!$A$2:$A815,A663)=0,TRUE,FALSE)</f>
        <v>0</v>
      </c>
      <c r="R663" s="241" t="b">
        <f t="shared" si="2"/>
        <v>0</v>
      </c>
      <c r="U663" s="112" t="str">
        <f t="shared" si="3"/>
        <v/>
      </c>
      <c r="V663" s="60"/>
      <c r="W663" s="60"/>
      <c r="X663" s="60"/>
      <c r="Y663" s="60"/>
      <c r="Z663" s="210"/>
      <c r="AA663" s="112" t="str">
        <f t="shared" si="4"/>
        <v>MA480</v>
      </c>
      <c r="AB663" s="112" t="str">
        <f t="shared" si="5"/>
        <v/>
      </c>
      <c r="AC663" s="112" t="str">
        <f t="shared" si="6"/>
        <v/>
      </c>
      <c r="AD663" s="5"/>
      <c r="AE663" s="5"/>
    </row>
    <row r="664">
      <c r="A664" s="5" t="s">
        <v>2436</v>
      </c>
      <c r="B664" s="44">
        <v>44575.0</v>
      </c>
      <c r="C664" s="150">
        <v>0.3125925925925926</v>
      </c>
      <c r="D664" s="5"/>
      <c r="E664" s="5"/>
      <c r="F664" s="5"/>
      <c r="G664" s="5" t="s">
        <v>2184</v>
      </c>
      <c r="H664" s="5" t="s">
        <v>244</v>
      </c>
      <c r="I664" s="44">
        <v>44575.0</v>
      </c>
      <c r="J664" s="150">
        <v>0.4820601851851852</v>
      </c>
      <c r="K664" s="19">
        <v>1.0</v>
      </c>
      <c r="L664" s="10" t="b">
        <v>1</v>
      </c>
      <c r="M664" s="5" t="s">
        <v>2493</v>
      </c>
      <c r="N664" s="5" t="s">
        <v>247</v>
      </c>
      <c r="O664" s="5"/>
      <c r="P664" s="110" t="b">
        <f t="shared" si="1"/>
        <v>0</v>
      </c>
      <c r="Q664" s="110" t="b">
        <f>IF(COUNTIF(RAW_APS!$A$2:$A815,A664)=0,TRUE,FALSE)</f>
        <v>0</v>
      </c>
      <c r="R664" s="241" t="b">
        <f t="shared" si="2"/>
        <v>0</v>
      </c>
      <c r="U664" s="112" t="str">
        <f t="shared" si="3"/>
        <v/>
      </c>
      <c r="V664" s="60"/>
      <c r="W664" s="60"/>
      <c r="X664" s="60"/>
      <c r="Y664" s="60"/>
      <c r="Z664" s="210"/>
      <c r="AA664" s="112" t="str">
        <f t="shared" si="4"/>
        <v>MA490</v>
      </c>
      <c r="AB664" s="112" t="str">
        <f t="shared" si="5"/>
        <v/>
      </c>
      <c r="AC664" s="112" t="str">
        <f t="shared" si="6"/>
        <v/>
      </c>
      <c r="AD664" s="5"/>
      <c r="AE664" s="5"/>
    </row>
    <row r="665">
      <c r="A665" s="5" t="s">
        <v>1048</v>
      </c>
      <c r="B665" s="44">
        <v>44587.0</v>
      </c>
      <c r="C665" s="150">
        <v>0.3566898148148148</v>
      </c>
      <c r="D665" s="5"/>
      <c r="E665" s="5"/>
      <c r="F665" s="5"/>
      <c r="G665" s="5" t="s">
        <v>2184</v>
      </c>
      <c r="H665" s="5" t="s">
        <v>244</v>
      </c>
      <c r="I665" s="44">
        <v>44587.0</v>
      </c>
      <c r="J665" s="150">
        <v>0.5005671296296297</v>
      </c>
      <c r="K665" s="19">
        <v>1.0</v>
      </c>
      <c r="L665" s="10" t="b">
        <v>1</v>
      </c>
      <c r="M665" s="5" t="s">
        <v>2488</v>
      </c>
      <c r="N665" s="5" t="s">
        <v>247</v>
      </c>
      <c r="O665" s="5"/>
      <c r="P665" s="110" t="b">
        <f t="shared" si="1"/>
        <v>0</v>
      </c>
      <c r="Q665" s="110" t="b">
        <f>IF(COUNTIF(RAW_APS!$A$2:$A815,A665)=0,TRUE,FALSE)</f>
        <v>0</v>
      </c>
      <c r="R665" s="241" t="b">
        <f t="shared" si="2"/>
        <v>0</v>
      </c>
      <c r="U665" s="112" t="str">
        <f t="shared" si="3"/>
        <v/>
      </c>
      <c r="V665" s="60"/>
      <c r="W665" s="60"/>
      <c r="X665" s="60"/>
      <c r="Y665" s="60"/>
      <c r="Z665" s="210"/>
      <c r="AA665" s="112" t="str">
        <f t="shared" si="4"/>
        <v>MA524</v>
      </c>
      <c r="AB665" s="112" t="str">
        <f t="shared" si="5"/>
        <v/>
      </c>
      <c r="AC665" s="112" t="str">
        <f t="shared" si="6"/>
        <v/>
      </c>
      <c r="AD665" s="5"/>
      <c r="AE665" s="5"/>
    </row>
    <row r="666">
      <c r="A666" s="5" t="s">
        <v>353</v>
      </c>
      <c r="B666" s="44">
        <v>44550.0</v>
      </c>
      <c r="C666" s="150">
        <v>0.3432986111111111</v>
      </c>
      <c r="D666" s="5"/>
      <c r="E666" s="5"/>
      <c r="F666" s="5"/>
      <c r="G666" s="5" t="s">
        <v>2184</v>
      </c>
      <c r="H666" s="5" t="s">
        <v>244</v>
      </c>
      <c r="I666" s="44">
        <v>44550.0</v>
      </c>
      <c r="J666" s="150">
        <v>0.4883449074074074</v>
      </c>
      <c r="K666" s="19">
        <v>1.0</v>
      </c>
      <c r="L666" s="10" t="b">
        <v>1</v>
      </c>
      <c r="M666" s="5" t="s">
        <v>2506</v>
      </c>
      <c r="N666" s="5" t="s">
        <v>247</v>
      </c>
      <c r="O666" s="5"/>
      <c r="P666" s="110" t="b">
        <f t="shared" si="1"/>
        <v>0</v>
      </c>
      <c r="Q666" s="110" t="b">
        <f>IF(COUNTIF(RAW_APS!$A$2:$A815,A666)=0,TRUE,FALSE)</f>
        <v>0</v>
      </c>
      <c r="R666" s="241" t="b">
        <f t="shared" si="2"/>
        <v>0</v>
      </c>
      <c r="U666" s="112" t="str">
        <f t="shared" si="3"/>
        <v/>
      </c>
      <c r="V666" s="51"/>
      <c r="W666" s="51"/>
      <c r="X666" s="51"/>
      <c r="Y666" s="51"/>
      <c r="Z666" s="210"/>
      <c r="AA666" s="112" t="str">
        <f t="shared" si="4"/>
        <v>MA542</v>
      </c>
      <c r="AB666" s="112" t="str">
        <f t="shared" si="5"/>
        <v/>
      </c>
      <c r="AC666" s="112" t="str">
        <f t="shared" si="6"/>
        <v/>
      </c>
      <c r="AD666" s="5"/>
      <c r="AE666" s="5"/>
    </row>
    <row r="667">
      <c r="A667" s="5" t="s">
        <v>1012</v>
      </c>
      <c r="B667" s="44">
        <v>44585.0</v>
      </c>
      <c r="C667" s="150">
        <v>0.3420949074074074</v>
      </c>
      <c r="D667" s="5"/>
      <c r="E667" s="5"/>
      <c r="F667" s="5"/>
      <c r="G667" s="5" t="s">
        <v>2184</v>
      </c>
      <c r="H667" s="5" t="s">
        <v>52</v>
      </c>
      <c r="I667" s="44">
        <v>44587.0</v>
      </c>
      <c r="J667" s="150">
        <v>0.5008796296296296</v>
      </c>
      <c r="K667" s="19">
        <v>1.0</v>
      </c>
      <c r="L667" s="10" t="b">
        <v>1</v>
      </c>
      <c r="M667" s="5"/>
      <c r="N667" s="5" t="s">
        <v>247</v>
      </c>
      <c r="O667" s="5"/>
      <c r="P667" s="110" t="b">
        <f t="shared" si="1"/>
        <v>0</v>
      </c>
      <c r="Q667" s="110" t="b">
        <f>IF(COUNTIF(RAW_APS!$A$2:$A815,A667)=0,TRUE,FALSE)</f>
        <v>0</v>
      </c>
      <c r="R667" s="241" t="b">
        <f t="shared" si="2"/>
        <v>0</v>
      </c>
      <c r="U667" s="112" t="str">
        <f t="shared" si="3"/>
        <v/>
      </c>
      <c r="V667" s="60"/>
      <c r="W667" s="60"/>
      <c r="X667" s="60"/>
      <c r="Y667" s="60"/>
      <c r="Z667" s="210"/>
      <c r="AA667" s="112" t="str">
        <f t="shared" si="4"/>
        <v>MA545</v>
      </c>
      <c r="AB667" s="112" t="str">
        <f t="shared" si="5"/>
        <v/>
      </c>
      <c r="AC667" s="112" t="str">
        <f t="shared" si="6"/>
        <v/>
      </c>
      <c r="AD667" s="5"/>
      <c r="AE667" s="5"/>
    </row>
    <row r="668">
      <c r="A668" s="5" t="s">
        <v>904</v>
      </c>
      <c r="B668" s="44">
        <v>44579.0</v>
      </c>
      <c r="C668" s="150">
        <v>0.41445601851851854</v>
      </c>
      <c r="D668" s="5"/>
      <c r="E668" s="5"/>
      <c r="F668" s="5"/>
      <c r="G668" s="5" t="s">
        <v>2184</v>
      </c>
      <c r="H668" s="5" t="s">
        <v>52</v>
      </c>
      <c r="I668" s="44">
        <v>44579.0</v>
      </c>
      <c r="J668" s="150">
        <v>0.5015972222222222</v>
      </c>
      <c r="K668" s="19">
        <v>1.0</v>
      </c>
      <c r="L668" s="10" t="b">
        <v>1</v>
      </c>
      <c r="M668" s="5"/>
      <c r="N668" s="5" t="s">
        <v>247</v>
      </c>
      <c r="O668" s="5"/>
      <c r="P668" s="110" t="b">
        <f t="shared" si="1"/>
        <v>0</v>
      </c>
      <c r="Q668" s="110" t="b">
        <f>IF(COUNTIF(RAW_APS!$A$2:$A815,A668)=0,TRUE,FALSE)</f>
        <v>0</v>
      </c>
      <c r="R668" s="241" t="b">
        <f t="shared" si="2"/>
        <v>0</v>
      </c>
      <c r="U668" s="112" t="str">
        <f t="shared" si="3"/>
        <v/>
      </c>
      <c r="V668" s="60"/>
      <c r="W668" s="60"/>
      <c r="X668" s="60"/>
      <c r="Y668" s="60"/>
      <c r="Z668" s="210"/>
      <c r="AA668" s="112" t="str">
        <f t="shared" si="4"/>
        <v>MA547</v>
      </c>
      <c r="AB668" s="112" t="str">
        <f t="shared" si="5"/>
        <v/>
      </c>
      <c r="AC668" s="112" t="str">
        <f t="shared" si="6"/>
        <v/>
      </c>
      <c r="AD668" s="5"/>
      <c r="AE668" s="5"/>
    </row>
    <row r="669">
      <c r="A669" s="5" t="s">
        <v>554</v>
      </c>
      <c r="B669" s="44">
        <v>44567.0</v>
      </c>
      <c r="C669" s="150">
        <v>0.9539351851851852</v>
      </c>
      <c r="D669" s="5"/>
      <c r="E669" s="5"/>
      <c r="F669" s="5"/>
      <c r="G669" s="5" t="s">
        <v>2184</v>
      </c>
      <c r="H669" s="5" t="s">
        <v>244</v>
      </c>
      <c r="I669" s="44">
        <v>44568.0</v>
      </c>
      <c r="J669" s="150">
        <v>0.5079050925925926</v>
      </c>
      <c r="K669" s="19">
        <v>1.0</v>
      </c>
      <c r="L669" s="10" t="b">
        <v>1</v>
      </c>
      <c r="M669" s="5" t="s">
        <v>2498</v>
      </c>
      <c r="N669" s="5" t="s">
        <v>247</v>
      </c>
      <c r="O669" s="5"/>
      <c r="P669" s="110" t="b">
        <f t="shared" si="1"/>
        <v>0</v>
      </c>
      <c r="Q669" s="110" t="b">
        <f>IF(COUNTIF(RAW_APS!$A$2:$A815,A669)=0,TRUE,FALSE)</f>
        <v>0</v>
      </c>
      <c r="R669" s="241" t="b">
        <f t="shared" si="2"/>
        <v>0</v>
      </c>
      <c r="U669" s="112" t="str">
        <f t="shared" si="3"/>
        <v/>
      </c>
      <c r="V669" s="60"/>
      <c r="W669" s="60"/>
      <c r="X669" s="60"/>
      <c r="Y669" s="60"/>
      <c r="Z669" s="210"/>
      <c r="AA669" s="112" t="str">
        <f t="shared" si="4"/>
        <v>MA556</v>
      </c>
      <c r="AB669" s="112" t="str">
        <f t="shared" si="5"/>
        <v/>
      </c>
      <c r="AC669" s="112" t="str">
        <f t="shared" si="6"/>
        <v/>
      </c>
      <c r="AD669" s="5"/>
      <c r="AE669" s="5"/>
    </row>
    <row r="670">
      <c r="A670" s="5" t="s">
        <v>1008</v>
      </c>
      <c r="B670" s="44">
        <v>44585.0</v>
      </c>
      <c r="C670" s="150">
        <v>0.33229166666666665</v>
      </c>
      <c r="D670" s="5"/>
      <c r="E670" s="5"/>
      <c r="F670" s="5"/>
      <c r="G670" s="5" t="s">
        <v>2184</v>
      </c>
      <c r="H670" s="5" t="s">
        <v>244</v>
      </c>
      <c r="I670" s="44">
        <v>44585.0</v>
      </c>
      <c r="J670" s="150">
        <v>0.4705902777777778</v>
      </c>
      <c r="K670" s="19">
        <v>1.0</v>
      </c>
      <c r="L670" s="10" t="b">
        <v>1</v>
      </c>
      <c r="M670" s="5" t="s">
        <v>2489</v>
      </c>
      <c r="N670" s="5" t="s">
        <v>247</v>
      </c>
      <c r="O670" s="5"/>
      <c r="P670" s="110" t="b">
        <f t="shared" si="1"/>
        <v>0</v>
      </c>
      <c r="Q670" s="110" t="b">
        <f>IF(COUNTIF(RAW_APS!$A$2:$A815,A670)=0,TRUE,FALSE)</f>
        <v>0</v>
      </c>
      <c r="R670" s="241" t="b">
        <f t="shared" si="2"/>
        <v>0</v>
      </c>
      <c r="U670" s="112" t="str">
        <f t="shared" si="3"/>
        <v/>
      </c>
      <c r="V670" s="60"/>
      <c r="W670" s="60"/>
      <c r="X670" s="60"/>
      <c r="Y670" s="60"/>
      <c r="Z670" s="210"/>
      <c r="AA670" s="112" t="str">
        <f t="shared" si="4"/>
        <v>MA574</v>
      </c>
      <c r="AB670" s="112" t="str">
        <f t="shared" si="5"/>
        <v/>
      </c>
      <c r="AC670" s="112" t="str">
        <f t="shared" si="6"/>
        <v/>
      </c>
      <c r="AD670" s="5"/>
      <c r="AE670" s="5"/>
    </row>
    <row r="671">
      <c r="A671" s="5" t="s">
        <v>1018</v>
      </c>
      <c r="B671" s="44">
        <v>44585.0</v>
      </c>
      <c r="C671" s="150">
        <v>0.38797453703703705</v>
      </c>
      <c r="D671" s="5"/>
      <c r="E671" s="5"/>
      <c r="F671" s="5"/>
      <c r="G671" s="5" t="s">
        <v>2184</v>
      </c>
      <c r="H671" s="5" t="s">
        <v>52</v>
      </c>
      <c r="I671" s="44">
        <v>44587.0</v>
      </c>
      <c r="J671" s="150">
        <v>0.5008796296296296</v>
      </c>
      <c r="K671" s="19">
        <v>1.0</v>
      </c>
      <c r="L671" s="10" t="b">
        <v>1</v>
      </c>
      <c r="M671" s="5"/>
      <c r="N671" s="5" t="s">
        <v>247</v>
      </c>
      <c r="O671" s="5"/>
      <c r="P671" s="110" t="b">
        <f t="shared" si="1"/>
        <v>0</v>
      </c>
      <c r="Q671" s="110" t="b">
        <f>IF(COUNTIF(RAW_APS!$A$2:$A815,A671)=0,TRUE,FALSE)</f>
        <v>0</v>
      </c>
      <c r="R671" s="241" t="b">
        <f t="shared" si="2"/>
        <v>0</v>
      </c>
      <c r="U671" s="112" t="str">
        <f t="shared" si="3"/>
        <v/>
      </c>
      <c r="V671" s="60"/>
      <c r="W671" s="60"/>
      <c r="X671" s="60"/>
      <c r="Y671" s="60"/>
      <c r="Z671" s="210"/>
      <c r="AA671" s="112" t="str">
        <f t="shared" si="4"/>
        <v>MA598</v>
      </c>
      <c r="AB671" s="112" t="str">
        <f t="shared" si="5"/>
        <v/>
      </c>
      <c r="AC671" s="112" t="str">
        <f t="shared" si="6"/>
        <v/>
      </c>
      <c r="AD671" s="5"/>
      <c r="AE671" s="5"/>
    </row>
    <row r="672">
      <c r="A672" s="5" t="s">
        <v>2449</v>
      </c>
      <c r="B672" s="44">
        <v>44557.0</v>
      </c>
      <c r="C672" s="150">
        <v>0.3368865740740741</v>
      </c>
      <c r="D672" s="5"/>
      <c r="E672" s="5"/>
      <c r="F672" s="5"/>
      <c r="G672" s="5" t="s">
        <v>2184</v>
      </c>
      <c r="H672" s="5" t="s">
        <v>244</v>
      </c>
      <c r="I672" s="44">
        <v>44557.0</v>
      </c>
      <c r="J672" s="150">
        <v>0.4870949074074074</v>
      </c>
      <c r="K672" s="19">
        <v>1.0</v>
      </c>
      <c r="L672" s="10" t="b">
        <v>1</v>
      </c>
      <c r="M672" s="5" t="s">
        <v>2504</v>
      </c>
      <c r="N672" s="5" t="s">
        <v>247</v>
      </c>
      <c r="O672" s="5"/>
      <c r="P672" s="110" t="b">
        <f t="shared" si="1"/>
        <v>0</v>
      </c>
      <c r="Q672" s="110" t="b">
        <f>IF(COUNTIF(RAW_APS!$A$2:$A815,A672)=0,TRUE,FALSE)</f>
        <v>0</v>
      </c>
      <c r="R672" s="241" t="b">
        <f t="shared" si="2"/>
        <v>0</v>
      </c>
      <c r="U672" s="112" t="str">
        <f t="shared" si="3"/>
        <v/>
      </c>
      <c r="V672" s="51"/>
      <c r="W672" s="51"/>
      <c r="X672" s="51"/>
      <c r="Y672" s="51"/>
      <c r="Z672" s="210"/>
      <c r="AA672" s="112" t="str">
        <f t="shared" si="4"/>
        <v>MA603</v>
      </c>
      <c r="AB672" s="112" t="str">
        <f t="shared" si="5"/>
        <v/>
      </c>
      <c r="AC672" s="112" t="str">
        <f t="shared" si="6"/>
        <v/>
      </c>
      <c r="AD672" s="5"/>
      <c r="AE672" s="5"/>
    </row>
    <row r="673">
      <c r="A673" s="5" t="s">
        <v>1091</v>
      </c>
      <c r="B673" s="44">
        <v>44594.0</v>
      </c>
      <c r="C673" s="150">
        <v>0.33846064814814814</v>
      </c>
      <c r="D673" s="5"/>
      <c r="E673" s="5"/>
      <c r="F673" s="5"/>
      <c r="G673" s="5" t="s">
        <v>2184</v>
      </c>
      <c r="H673" s="5" t="s">
        <v>244</v>
      </c>
      <c r="I673" s="44">
        <v>44596.0</v>
      </c>
      <c r="J673" s="150">
        <v>0.48194444444444445</v>
      </c>
      <c r="K673" s="19">
        <v>1.0</v>
      </c>
      <c r="L673" s="10" t="b">
        <v>1</v>
      </c>
      <c r="M673" s="5" t="s">
        <v>2485</v>
      </c>
      <c r="N673" s="5" t="s">
        <v>247</v>
      </c>
      <c r="O673" s="5"/>
      <c r="P673" s="110" t="b">
        <f t="shared" si="1"/>
        <v>0</v>
      </c>
      <c r="Q673" s="110" t="b">
        <f>IF(COUNTIF(RAW_APS!$A$2:$A815,A673)=0,TRUE,FALSE)</f>
        <v>0</v>
      </c>
      <c r="R673" s="241" t="b">
        <f t="shared" si="2"/>
        <v>0</v>
      </c>
      <c r="U673" s="112" t="str">
        <f t="shared" si="3"/>
        <v/>
      </c>
      <c r="V673" s="60"/>
      <c r="W673" s="60"/>
      <c r="X673" s="60"/>
      <c r="Y673" s="60"/>
      <c r="Z673" s="210"/>
      <c r="AA673" s="112" t="str">
        <f t="shared" si="4"/>
        <v>MA604</v>
      </c>
      <c r="AB673" s="112" t="str">
        <f t="shared" si="5"/>
        <v/>
      </c>
      <c r="AC673" s="112" t="str">
        <f t="shared" si="6"/>
        <v/>
      </c>
      <c r="AD673" s="5"/>
      <c r="AE673" s="5"/>
    </row>
    <row r="674">
      <c r="A674" s="5" t="s">
        <v>547</v>
      </c>
      <c r="B674" s="44">
        <v>44566.0</v>
      </c>
      <c r="C674" s="150">
        <v>0.4199421296296296</v>
      </c>
      <c r="D674" s="5"/>
      <c r="E674" s="5"/>
      <c r="F674" s="5"/>
      <c r="G674" s="5" t="s">
        <v>2184</v>
      </c>
      <c r="H674" s="5" t="s">
        <v>52</v>
      </c>
      <c r="I674" s="44">
        <v>44568.0</v>
      </c>
      <c r="J674" s="150">
        <v>0.508275462962963</v>
      </c>
      <c r="K674" s="19">
        <v>0.0</v>
      </c>
      <c r="L674" s="10" t="b">
        <v>1</v>
      </c>
      <c r="M674" s="5"/>
      <c r="N674" s="5" t="s">
        <v>247</v>
      </c>
      <c r="O674" s="5"/>
      <c r="P674" s="110" t="b">
        <f t="shared" si="1"/>
        <v>1</v>
      </c>
      <c r="Q674" s="110" t="b">
        <f>IF(COUNTIF(RAW_APS!$A$2:$A815,A674)=0,TRUE,FALSE)</f>
        <v>1</v>
      </c>
      <c r="R674" s="241" t="b">
        <f t="shared" si="2"/>
        <v>0</v>
      </c>
      <c r="U674" s="112" t="str">
        <f t="shared" si="3"/>
        <v/>
      </c>
      <c r="V674" s="51"/>
      <c r="W674" s="51"/>
      <c r="X674" s="51"/>
      <c r="Y674" s="51"/>
      <c r="Z674" s="210"/>
      <c r="AA674" s="112" t="str">
        <f t="shared" si="4"/>
        <v>MA605</v>
      </c>
      <c r="AB674" s="112" t="str">
        <f t="shared" si="5"/>
        <v/>
      </c>
      <c r="AC674" s="112" t="str">
        <f t="shared" si="6"/>
        <v/>
      </c>
      <c r="AD674" s="5"/>
      <c r="AE674" s="5"/>
    </row>
    <row r="675">
      <c r="A675" s="5" t="s">
        <v>2446</v>
      </c>
      <c r="B675" s="44">
        <v>44561.0</v>
      </c>
      <c r="C675" s="150">
        <v>0.3167361111111111</v>
      </c>
      <c r="D675" s="5"/>
      <c r="E675" s="5"/>
      <c r="F675" s="5"/>
      <c r="G675" s="5" t="s">
        <v>2184</v>
      </c>
      <c r="H675" s="5" t="s">
        <v>244</v>
      </c>
      <c r="I675" s="44">
        <v>44561.0</v>
      </c>
      <c r="J675" s="150">
        <v>0.44493055555555555</v>
      </c>
      <c r="K675" s="19">
        <v>1.0</v>
      </c>
      <c r="L675" s="10" t="b">
        <v>1</v>
      </c>
      <c r="M675" s="5" t="s">
        <v>2502</v>
      </c>
      <c r="N675" s="5" t="s">
        <v>247</v>
      </c>
      <c r="O675" s="5"/>
      <c r="P675" s="110" t="b">
        <f t="shared" si="1"/>
        <v>0</v>
      </c>
      <c r="Q675" s="110" t="b">
        <f>IF(COUNTIF(RAW_APS!$A$2:$A815,A675)=0,TRUE,FALSE)</f>
        <v>0</v>
      </c>
      <c r="R675" s="241" t="b">
        <f t="shared" si="2"/>
        <v>0</v>
      </c>
      <c r="U675" s="112" t="str">
        <f t="shared" si="3"/>
        <v/>
      </c>
      <c r="V675" s="51"/>
      <c r="W675" s="51"/>
      <c r="X675" s="51"/>
      <c r="Y675" s="51"/>
      <c r="Z675" s="210"/>
      <c r="AA675" s="112" t="str">
        <f t="shared" si="4"/>
        <v>MA606</v>
      </c>
      <c r="AB675" s="112" t="str">
        <f t="shared" si="5"/>
        <v/>
      </c>
      <c r="AC675" s="112" t="str">
        <f t="shared" si="6"/>
        <v/>
      </c>
      <c r="AD675" s="5"/>
      <c r="AE675" s="5"/>
    </row>
    <row r="676">
      <c r="A676" s="5" t="s">
        <v>1057</v>
      </c>
      <c r="B676" s="44">
        <v>44589.0</v>
      </c>
      <c r="C676" s="150">
        <v>0.33152777777777775</v>
      </c>
      <c r="D676" s="5"/>
      <c r="E676" s="5"/>
      <c r="F676" s="5"/>
      <c r="G676" s="5" t="s">
        <v>2184</v>
      </c>
      <c r="H676" s="5" t="s">
        <v>244</v>
      </c>
      <c r="I676" s="44">
        <v>44589.0</v>
      </c>
      <c r="J676" s="150">
        <v>0.48390046296296296</v>
      </c>
      <c r="K676" s="19">
        <v>1.0</v>
      </c>
      <c r="L676" s="10" t="b">
        <v>1</v>
      </c>
      <c r="M676" s="5" t="s">
        <v>2487</v>
      </c>
      <c r="N676" s="5" t="s">
        <v>247</v>
      </c>
      <c r="O676" s="5"/>
      <c r="P676" s="110" t="b">
        <f t="shared" si="1"/>
        <v>0</v>
      </c>
      <c r="Q676" s="110" t="b">
        <f>IF(COUNTIF(RAW_APS!$A$2:$A815,A676)=0,TRUE,FALSE)</f>
        <v>0</v>
      </c>
      <c r="R676" s="241" t="b">
        <f t="shared" si="2"/>
        <v>0</v>
      </c>
      <c r="U676" s="112" t="str">
        <f t="shared" si="3"/>
        <v/>
      </c>
      <c r="V676" s="60"/>
      <c r="W676" s="60"/>
      <c r="X676" s="60"/>
      <c r="Y676" s="60"/>
      <c r="Z676" s="210"/>
      <c r="AA676" s="112" t="str">
        <f t="shared" si="4"/>
        <v>MA607</v>
      </c>
      <c r="AB676" s="112" t="str">
        <f t="shared" si="5"/>
        <v/>
      </c>
      <c r="AC676" s="112" t="str">
        <f t="shared" si="6"/>
        <v/>
      </c>
      <c r="AD676" s="5"/>
      <c r="AE676" s="5"/>
    </row>
    <row r="677">
      <c r="A677" s="5" t="s">
        <v>1467</v>
      </c>
      <c r="B677" s="44">
        <v>44611.0</v>
      </c>
      <c r="C677" s="150">
        <v>0.3349537037037037</v>
      </c>
      <c r="D677" s="5"/>
      <c r="E677" s="5"/>
      <c r="F677" s="5"/>
      <c r="G677" s="5" t="s">
        <v>2184</v>
      </c>
      <c r="H677" s="5" t="s">
        <v>244</v>
      </c>
      <c r="I677" s="44">
        <v>44611.0</v>
      </c>
      <c r="J677" s="150">
        <v>0.5041203703703704</v>
      </c>
      <c r="K677" s="19">
        <v>1.0</v>
      </c>
      <c r="L677" s="10" t="b">
        <v>1</v>
      </c>
      <c r="M677" s="5"/>
      <c r="N677" s="5" t="s">
        <v>247</v>
      </c>
      <c r="O677" s="5"/>
      <c r="P677" s="110" t="b">
        <f t="shared" si="1"/>
        <v>0</v>
      </c>
      <c r="Q677" s="110" t="b">
        <f>IF(COUNTIF(RAW_APS!$A$2:$A815,A677)=0,TRUE,FALSE)</f>
        <v>0</v>
      </c>
      <c r="R677" s="241" t="b">
        <f t="shared" si="2"/>
        <v>0</v>
      </c>
      <c r="U677" s="112" t="str">
        <f t="shared" si="3"/>
        <v/>
      </c>
      <c r="V677" s="60"/>
      <c r="W677" s="60"/>
      <c r="X677" s="60"/>
      <c r="Y677" s="60"/>
      <c r="Z677" s="210"/>
      <c r="AA677" s="112" t="str">
        <f t="shared" si="4"/>
        <v>MA608</v>
      </c>
      <c r="AB677" s="112" t="str">
        <f t="shared" si="5"/>
        <v/>
      </c>
      <c r="AC677" s="112" t="str">
        <f t="shared" si="6"/>
        <v/>
      </c>
      <c r="AD677" s="5"/>
      <c r="AE677" s="5"/>
    </row>
    <row r="678">
      <c r="A678" s="5" t="s">
        <v>393</v>
      </c>
      <c r="B678" s="44">
        <v>44557.0</v>
      </c>
      <c r="C678" s="150">
        <v>0.3337037037037037</v>
      </c>
      <c r="D678" s="5"/>
      <c r="E678" s="5"/>
      <c r="F678" s="5"/>
      <c r="G678" s="5" t="s">
        <v>2184</v>
      </c>
      <c r="H678" s="5" t="s">
        <v>244</v>
      </c>
      <c r="I678" s="44">
        <v>44557.0</v>
      </c>
      <c r="J678" s="150">
        <v>0.4870949074074074</v>
      </c>
      <c r="K678" s="19">
        <v>1.0</v>
      </c>
      <c r="L678" s="10" t="b">
        <v>1</v>
      </c>
      <c r="M678" s="5" t="s">
        <v>2504</v>
      </c>
      <c r="N678" s="5" t="s">
        <v>247</v>
      </c>
      <c r="O678" s="5"/>
      <c r="P678" s="110" t="b">
        <f t="shared" si="1"/>
        <v>0</v>
      </c>
      <c r="Q678" s="110" t="b">
        <f>IF(COUNTIF(RAW_APS!$A$2:$A815,A678)=0,TRUE,FALSE)</f>
        <v>0</v>
      </c>
      <c r="R678" s="241" t="b">
        <f t="shared" si="2"/>
        <v>0</v>
      </c>
      <c r="U678" s="112" t="str">
        <f t="shared" si="3"/>
        <v/>
      </c>
      <c r="V678" s="51"/>
      <c r="W678" s="51"/>
      <c r="X678" s="51"/>
      <c r="Y678" s="51"/>
      <c r="Z678" s="210"/>
      <c r="AA678" s="112" t="str">
        <f t="shared" si="4"/>
        <v>MA609</v>
      </c>
      <c r="AB678" s="112" t="str">
        <f t="shared" si="5"/>
        <v/>
      </c>
      <c r="AC678" s="112" t="str">
        <f t="shared" si="6"/>
        <v/>
      </c>
      <c r="AD678" s="5"/>
      <c r="AE678" s="5"/>
    </row>
    <row r="679">
      <c r="A679" s="5" t="s">
        <v>1042</v>
      </c>
      <c r="B679" s="44">
        <v>44587.0</v>
      </c>
      <c r="C679" s="150">
        <v>0.3365972222222222</v>
      </c>
      <c r="D679" s="5"/>
      <c r="E679" s="5"/>
      <c r="F679" s="5"/>
      <c r="G679" s="5" t="s">
        <v>2184</v>
      </c>
      <c r="H679" s="5" t="s">
        <v>244</v>
      </c>
      <c r="I679" s="44">
        <v>44587.0</v>
      </c>
      <c r="J679" s="150">
        <v>0.5005555555555555</v>
      </c>
      <c r="K679" s="19">
        <v>1.0</v>
      </c>
      <c r="L679" s="10" t="b">
        <v>1</v>
      </c>
      <c r="M679" s="5" t="s">
        <v>2488</v>
      </c>
      <c r="N679" s="5" t="s">
        <v>247</v>
      </c>
      <c r="O679" s="5"/>
      <c r="P679" s="110" t="b">
        <f t="shared" si="1"/>
        <v>0</v>
      </c>
      <c r="Q679" s="110" t="b">
        <f>IF(COUNTIF(RAW_APS!$A$2:$A815,A679)=0,TRUE,FALSE)</f>
        <v>0</v>
      </c>
      <c r="R679" s="241" t="b">
        <f t="shared" si="2"/>
        <v>0</v>
      </c>
      <c r="U679" s="112" t="str">
        <f t="shared" si="3"/>
        <v/>
      </c>
      <c r="V679" s="60"/>
      <c r="W679" s="60"/>
      <c r="X679" s="60"/>
      <c r="Y679" s="60"/>
      <c r="Z679" s="210"/>
      <c r="AA679" s="112" t="str">
        <f t="shared" si="4"/>
        <v>MA610</v>
      </c>
      <c r="AB679" s="112" t="str">
        <f t="shared" si="5"/>
        <v/>
      </c>
      <c r="AC679" s="112" t="str">
        <f t="shared" si="6"/>
        <v/>
      </c>
      <c r="AD679" s="5"/>
      <c r="AE679" s="5"/>
    </row>
    <row r="680">
      <c r="A680" s="5" t="s">
        <v>1079</v>
      </c>
      <c r="B680" s="44">
        <v>44592.0</v>
      </c>
      <c r="C680" s="150">
        <v>0.33368055555555554</v>
      </c>
      <c r="D680" s="5"/>
      <c r="E680" s="5"/>
      <c r="F680" s="5"/>
      <c r="G680" s="5" t="s">
        <v>2184</v>
      </c>
      <c r="H680" s="5" t="s">
        <v>244</v>
      </c>
      <c r="I680" s="44">
        <v>44592.0</v>
      </c>
      <c r="J680" s="150">
        <v>0.46024305555555556</v>
      </c>
      <c r="K680" s="19">
        <v>1.0</v>
      </c>
      <c r="L680" s="10" t="b">
        <v>1</v>
      </c>
      <c r="M680" s="5" t="s">
        <v>2486</v>
      </c>
      <c r="N680" s="5" t="s">
        <v>247</v>
      </c>
      <c r="O680" s="5"/>
      <c r="P680" s="110" t="b">
        <f t="shared" si="1"/>
        <v>0</v>
      </c>
      <c r="Q680" s="110" t="b">
        <f>IF(COUNTIF(RAW_APS!$A$2:$A815,A680)=0,TRUE,FALSE)</f>
        <v>0</v>
      </c>
      <c r="R680" s="241" t="b">
        <f t="shared" si="2"/>
        <v>0</v>
      </c>
      <c r="U680" s="112" t="str">
        <f t="shared" si="3"/>
        <v/>
      </c>
      <c r="V680" s="60"/>
      <c r="W680" s="60"/>
      <c r="X680" s="60"/>
      <c r="Y680" s="60"/>
      <c r="Z680" s="210"/>
      <c r="AA680" s="112" t="str">
        <f t="shared" si="4"/>
        <v>MA613</v>
      </c>
      <c r="AB680" s="112" t="str">
        <f t="shared" si="5"/>
        <v/>
      </c>
      <c r="AC680" s="112" t="str">
        <f t="shared" si="6"/>
        <v/>
      </c>
      <c r="AD680" s="5"/>
      <c r="AE680" s="5"/>
    </row>
    <row r="681">
      <c r="A681" s="5" t="s">
        <v>1077</v>
      </c>
      <c r="B681" s="44">
        <v>44592.0</v>
      </c>
      <c r="C681" s="150">
        <v>0.33358796296296295</v>
      </c>
      <c r="D681" s="5"/>
      <c r="E681" s="5"/>
      <c r="F681" s="5"/>
      <c r="G681" s="5" t="s">
        <v>2184</v>
      </c>
      <c r="H681" s="5" t="s">
        <v>244</v>
      </c>
      <c r="I681" s="44">
        <v>44592.0</v>
      </c>
      <c r="J681" s="150">
        <v>0.46024305555555556</v>
      </c>
      <c r="K681" s="19">
        <v>1.0</v>
      </c>
      <c r="L681" s="10" t="b">
        <v>1</v>
      </c>
      <c r="M681" s="5" t="s">
        <v>2486</v>
      </c>
      <c r="N681" s="5" t="s">
        <v>247</v>
      </c>
      <c r="O681" s="5"/>
      <c r="P681" s="110" t="b">
        <f t="shared" si="1"/>
        <v>0</v>
      </c>
      <c r="Q681" s="110" t="b">
        <f>IF(COUNTIF(RAW_APS!$A$2:$A815,A681)=0,TRUE,FALSE)</f>
        <v>0</v>
      </c>
      <c r="R681" s="241" t="b">
        <f t="shared" si="2"/>
        <v>0</v>
      </c>
      <c r="U681" s="112" t="str">
        <f t="shared" si="3"/>
        <v/>
      </c>
      <c r="V681" s="60"/>
      <c r="W681" s="60"/>
      <c r="X681" s="60"/>
      <c r="Y681" s="60"/>
      <c r="Z681" s="210"/>
      <c r="AA681" s="112" t="str">
        <f t="shared" si="4"/>
        <v>MA615</v>
      </c>
      <c r="AB681" s="112" t="str">
        <f t="shared" si="5"/>
        <v/>
      </c>
      <c r="AC681" s="112" t="str">
        <f t="shared" si="6"/>
        <v/>
      </c>
      <c r="AD681" s="5"/>
      <c r="AE681" s="5"/>
    </row>
    <row r="682">
      <c r="A682" s="5" t="s">
        <v>1583</v>
      </c>
      <c r="B682" s="44">
        <v>44615.0</v>
      </c>
      <c r="C682" s="150">
        <v>0.3322569444444444</v>
      </c>
      <c r="D682" s="5"/>
      <c r="E682" s="5"/>
      <c r="F682" s="5"/>
      <c r="G682" s="5" t="s">
        <v>2184</v>
      </c>
      <c r="H682" s="5" t="s">
        <v>52</v>
      </c>
      <c r="I682" s="44">
        <v>44615.0</v>
      </c>
      <c r="J682" s="150">
        <v>0.49125</v>
      </c>
      <c r="K682" s="19">
        <v>1.0</v>
      </c>
      <c r="L682" s="10" t="b">
        <v>1</v>
      </c>
      <c r="M682" s="5" t="s">
        <v>2474</v>
      </c>
      <c r="N682" s="5" t="s">
        <v>247</v>
      </c>
      <c r="O682" s="5"/>
      <c r="P682" s="110" t="b">
        <f t="shared" si="1"/>
        <v>0</v>
      </c>
      <c r="Q682" s="110" t="b">
        <f>IF(COUNTIF(RAW_APS!$A$2:$A815,A682)=0,TRUE,FALSE)</f>
        <v>0</v>
      </c>
      <c r="R682" s="241" t="b">
        <f t="shared" si="2"/>
        <v>0</v>
      </c>
      <c r="U682" s="112" t="str">
        <f t="shared" si="3"/>
        <v/>
      </c>
      <c r="V682" s="60"/>
      <c r="W682" s="60"/>
      <c r="X682" s="60"/>
      <c r="Y682" s="60"/>
      <c r="Z682" s="210"/>
      <c r="AA682" s="112" t="str">
        <f t="shared" si="4"/>
        <v>MA616</v>
      </c>
      <c r="AB682" s="112" t="str">
        <f t="shared" si="5"/>
        <v/>
      </c>
      <c r="AC682" s="112" t="str">
        <f t="shared" si="6"/>
        <v/>
      </c>
      <c r="AD682" s="5"/>
      <c r="AE682" s="5"/>
    </row>
    <row r="683">
      <c r="A683" s="5" t="s">
        <v>601</v>
      </c>
      <c r="B683" s="44">
        <v>44568.0</v>
      </c>
      <c r="C683" s="150">
        <v>0.4141782407407407</v>
      </c>
      <c r="D683" s="5"/>
      <c r="E683" s="5"/>
      <c r="F683" s="5"/>
      <c r="G683" s="5" t="s">
        <v>2184</v>
      </c>
      <c r="H683" s="5" t="s">
        <v>244</v>
      </c>
      <c r="I683" s="44">
        <v>44568.0</v>
      </c>
      <c r="J683" s="150">
        <v>0.5079166666666667</v>
      </c>
      <c r="K683" s="19">
        <v>1.0</v>
      </c>
      <c r="L683" s="10" t="b">
        <v>1</v>
      </c>
      <c r="M683" s="5" t="s">
        <v>2498</v>
      </c>
      <c r="N683" s="5" t="s">
        <v>247</v>
      </c>
      <c r="O683" s="5"/>
      <c r="P683" s="110" t="b">
        <f t="shared" si="1"/>
        <v>0</v>
      </c>
      <c r="Q683" s="110" t="b">
        <f>IF(COUNTIF(RAW_APS!$A$2:$A815,A683)=0,TRUE,FALSE)</f>
        <v>0</v>
      </c>
      <c r="R683" s="241" t="b">
        <f t="shared" si="2"/>
        <v>0</v>
      </c>
      <c r="U683" s="112" t="str">
        <f t="shared" si="3"/>
        <v/>
      </c>
      <c r="V683" s="60"/>
      <c r="W683" s="60"/>
      <c r="X683" s="60"/>
      <c r="Y683" s="60"/>
      <c r="Z683" s="210"/>
      <c r="AA683" s="112" t="str">
        <f t="shared" si="4"/>
        <v>MA617</v>
      </c>
      <c r="AB683" s="112" t="str">
        <f t="shared" si="5"/>
        <v/>
      </c>
      <c r="AC683" s="112" t="str">
        <f t="shared" si="6"/>
        <v/>
      </c>
      <c r="AD683" s="5"/>
      <c r="AE683" s="5"/>
    </row>
    <row r="684">
      <c r="A684" s="5" t="s">
        <v>1073</v>
      </c>
      <c r="B684" s="44">
        <v>44592.0</v>
      </c>
      <c r="C684" s="150">
        <v>0.32744212962962965</v>
      </c>
      <c r="D684" s="5"/>
      <c r="E684" s="5"/>
      <c r="F684" s="5"/>
      <c r="G684" s="5" t="s">
        <v>2184</v>
      </c>
      <c r="H684" s="5" t="s">
        <v>244</v>
      </c>
      <c r="I684" s="44">
        <v>44592.0</v>
      </c>
      <c r="J684" s="150">
        <v>0.46024305555555556</v>
      </c>
      <c r="K684" s="19">
        <v>1.0</v>
      </c>
      <c r="L684" s="10" t="b">
        <v>1</v>
      </c>
      <c r="M684" s="5" t="s">
        <v>2486</v>
      </c>
      <c r="N684" s="5" t="s">
        <v>247</v>
      </c>
      <c r="O684" s="5"/>
      <c r="P684" s="110" t="b">
        <f t="shared" si="1"/>
        <v>0</v>
      </c>
      <c r="Q684" s="110" t="b">
        <f>IF(COUNTIF(RAW_APS!$A$2:$A815,A684)=0,TRUE,FALSE)</f>
        <v>0</v>
      </c>
      <c r="R684" s="241" t="b">
        <f t="shared" si="2"/>
        <v>0</v>
      </c>
      <c r="U684" s="112" t="str">
        <f t="shared" si="3"/>
        <v/>
      </c>
      <c r="V684" s="60"/>
      <c r="W684" s="60"/>
      <c r="X684" s="60"/>
      <c r="Y684" s="60"/>
      <c r="Z684" s="210"/>
      <c r="AA684" s="112" t="str">
        <f t="shared" si="4"/>
        <v>MA619</v>
      </c>
      <c r="AB684" s="112" t="str">
        <f t="shared" si="5"/>
        <v/>
      </c>
      <c r="AC684" s="112" t="str">
        <f t="shared" si="6"/>
        <v/>
      </c>
      <c r="AD684" s="5"/>
      <c r="AE684" s="5"/>
    </row>
    <row r="685">
      <c r="A685" s="5" t="s">
        <v>1194</v>
      </c>
      <c r="B685" s="44">
        <v>44603.0</v>
      </c>
      <c r="C685" s="150">
        <v>0.33946759259259257</v>
      </c>
      <c r="D685" s="5"/>
      <c r="E685" s="5"/>
      <c r="F685" s="5"/>
      <c r="G685" s="5" t="s">
        <v>2184</v>
      </c>
      <c r="H685" s="5" t="s">
        <v>52</v>
      </c>
      <c r="I685" s="44">
        <v>44603.0</v>
      </c>
      <c r="J685" s="150">
        <v>0.46979166666666666</v>
      </c>
      <c r="K685" s="19">
        <v>1.0</v>
      </c>
      <c r="L685" s="10" t="b">
        <v>1</v>
      </c>
      <c r="M685" s="5"/>
      <c r="N685" s="5" t="s">
        <v>247</v>
      </c>
      <c r="O685" s="5"/>
      <c r="P685" s="110" t="b">
        <f t="shared" si="1"/>
        <v>0</v>
      </c>
      <c r="Q685" s="110" t="b">
        <f>IF(COUNTIF(RAW_APS!$A$2:$A815,A685)=0,TRUE,FALSE)</f>
        <v>0</v>
      </c>
      <c r="R685" s="241" t="b">
        <f t="shared" si="2"/>
        <v>0</v>
      </c>
      <c r="U685" s="112" t="str">
        <f t="shared" si="3"/>
        <v/>
      </c>
      <c r="V685" s="60"/>
      <c r="W685" s="60"/>
      <c r="X685" s="60"/>
      <c r="Y685" s="60"/>
      <c r="Z685" s="210"/>
      <c r="AA685" s="112" t="str">
        <f t="shared" si="4"/>
        <v>MA620</v>
      </c>
      <c r="AB685" s="112" t="str">
        <f t="shared" si="5"/>
        <v/>
      </c>
      <c r="AC685" s="112" t="str">
        <f t="shared" si="6"/>
        <v/>
      </c>
      <c r="AD685" s="5"/>
      <c r="AE685" s="5"/>
    </row>
    <row r="686">
      <c r="A686" s="5" t="s">
        <v>695</v>
      </c>
      <c r="B686" s="44">
        <v>44571.0</v>
      </c>
      <c r="C686" s="150">
        <v>0.4290162037037037</v>
      </c>
      <c r="D686" s="5"/>
      <c r="E686" s="5"/>
      <c r="F686" s="5"/>
      <c r="G686" s="5" t="s">
        <v>2184</v>
      </c>
      <c r="H686" s="5" t="s">
        <v>244</v>
      </c>
      <c r="I686" s="44">
        <v>44571.0</v>
      </c>
      <c r="J686" s="150">
        <v>0.46598379629629627</v>
      </c>
      <c r="K686" s="19">
        <v>1.0</v>
      </c>
      <c r="L686" s="10" t="b">
        <v>1</v>
      </c>
      <c r="M686" s="5" t="s">
        <v>2496</v>
      </c>
      <c r="N686" s="5" t="s">
        <v>247</v>
      </c>
      <c r="O686" s="5"/>
      <c r="P686" s="110" t="b">
        <f t="shared" si="1"/>
        <v>0</v>
      </c>
      <c r="Q686" s="110" t="b">
        <f>IF(COUNTIF(RAW_APS!$A$2:$A815,A686)=0,TRUE,FALSE)</f>
        <v>0</v>
      </c>
      <c r="R686" s="241" t="b">
        <f t="shared" si="2"/>
        <v>0</v>
      </c>
      <c r="U686" s="112" t="str">
        <f t="shared" si="3"/>
        <v/>
      </c>
      <c r="V686" s="60"/>
      <c r="W686" s="60"/>
      <c r="X686" s="60"/>
      <c r="Y686" s="60"/>
      <c r="Z686" s="210"/>
      <c r="AA686" s="112" t="str">
        <f t="shared" si="4"/>
        <v>MA622</v>
      </c>
      <c r="AB686" s="112" t="str">
        <f t="shared" si="5"/>
        <v/>
      </c>
      <c r="AC686" s="112" t="str">
        <f t="shared" si="6"/>
        <v/>
      </c>
      <c r="AD686" s="5"/>
      <c r="AE686" s="5"/>
    </row>
    <row r="687">
      <c r="A687" s="5" t="s">
        <v>2440</v>
      </c>
      <c r="B687" s="44">
        <v>44571.0</v>
      </c>
      <c r="C687" s="150">
        <v>0.33339120370370373</v>
      </c>
      <c r="D687" s="5"/>
      <c r="E687" s="5"/>
      <c r="F687" s="5"/>
      <c r="G687" s="5" t="s">
        <v>2184</v>
      </c>
      <c r="H687" s="5" t="s">
        <v>244</v>
      </c>
      <c r="I687" s="44">
        <v>44571.0</v>
      </c>
      <c r="J687" s="150">
        <v>0.46598379629629627</v>
      </c>
      <c r="K687" s="19">
        <v>1.0</v>
      </c>
      <c r="L687" s="10" t="b">
        <v>1</v>
      </c>
      <c r="M687" s="5" t="s">
        <v>2496</v>
      </c>
      <c r="N687" s="5" t="s">
        <v>247</v>
      </c>
      <c r="O687" s="5"/>
      <c r="P687" s="110" t="b">
        <f t="shared" si="1"/>
        <v>0</v>
      </c>
      <c r="Q687" s="110" t="b">
        <f>IF(COUNTIF(RAW_APS!$A$2:$A815,A687)=0,TRUE,FALSE)</f>
        <v>0</v>
      </c>
      <c r="R687" s="241" t="b">
        <f t="shared" si="2"/>
        <v>0</v>
      </c>
      <c r="U687" s="112" t="str">
        <f t="shared" si="3"/>
        <v/>
      </c>
      <c r="V687" s="60"/>
      <c r="W687" s="60"/>
      <c r="X687" s="60"/>
      <c r="Y687" s="60"/>
      <c r="Z687" s="210"/>
      <c r="AA687" s="112" t="str">
        <f t="shared" si="4"/>
        <v>MA623</v>
      </c>
      <c r="AB687" s="112" t="str">
        <f t="shared" si="5"/>
        <v/>
      </c>
      <c r="AC687" s="112" t="str">
        <f t="shared" si="6"/>
        <v/>
      </c>
      <c r="AD687" s="5"/>
      <c r="AE687" s="5"/>
    </row>
    <row r="688">
      <c r="A688" s="5" t="s">
        <v>412</v>
      </c>
      <c r="B688" s="44">
        <v>44557.0</v>
      </c>
      <c r="C688" s="150">
        <v>0.3893287037037037</v>
      </c>
      <c r="D688" s="5"/>
      <c r="E688" s="5"/>
      <c r="F688" s="5"/>
      <c r="G688" s="5" t="s">
        <v>2184</v>
      </c>
      <c r="H688" s="5" t="s">
        <v>244</v>
      </c>
      <c r="I688" s="44">
        <v>44557.0</v>
      </c>
      <c r="J688" s="150">
        <v>0.4870949074074074</v>
      </c>
      <c r="K688" s="19">
        <v>1.0</v>
      </c>
      <c r="L688" s="10" t="b">
        <v>1</v>
      </c>
      <c r="M688" s="5" t="s">
        <v>2504</v>
      </c>
      <c r="N688" s="5" t="s">
        <v>247</v>
      </c>
      <c r="O688" s="5"/>
      <c r="P688" s="110" t="b">
        <f t="shared" si="1"/>
        <v>0</v>
      </c>
      <c r="Q688" s="110" t="b">
        <f>IF(COUNTIF(RAW_APS!$A$2:$A815,A688)=0,TRUE,FALSE)</f>
        <v>0</v>
      </c>
      <c r="R688" s="241" t="b">
        <f t="shared" si="2"/>
        <v>0</v>
      </c>
      <c r="U688" s="112" t="str">
        <f t="shared" si="3"/>
        <v/>
      </c>
      <c r="V688" s="51"/>
      <c r="W688" s="51"/>
      <c r="X688" s="51"/>
      <c r="Y688" s="51"/>
      <c r="Z688" s="210"/>
      <c r="AA688" s="112" t="str">
        <f t="shared" si="4"/>
        <v>MA624</v>
      </c>
      <c r="AB688" s="112" t="str">
        <f t="shared" si="5"/>
        <v/>
      </c>
      <c r="AC688" s="112" t="str">
        <f t="shared" si="6"/>
        <v/>
      </c>
      <c r="AD688" s="5"/>
      <c r="AE688" s="5"/>
    </row>
    <row r="689">
      <c r="A689" s="5" t="s">
        <v>1081</v>
      </c>
      <c r="B689" s="44">
        <v>44592.0</v>
      </c>
      <c r="C689" s="150">
        <v>0.34346064814814814</v>
      </c>
      <c r="D689" s="5"/>
      <c r="E689" s="5"/>
      <c r="F689" s="5"/>
      <c r="G689" s="5" t="s">
        <v>2184</v>
      </c>
      <c r="H689" s="5" t="s">
        <v>244</v>
      </c>
      <c r="I689" s="44">
        <v>44592.0</v>
      </c>
      <c r="J689" s="150">
        <v>0.46024305555555556</v>
      </c>
      <c r="K689" s="19">
        <v>1.0</v>
      </c>
      <c r="L689" s="10" t="b">
        <v>1</v>
      </c>
      <c r="M689" s="5" t="s">
        <v>2486</v>
      </c>
      <c r="N689" s="5" t="s">
        <v>247</v>
      </c>
      <c r="O689" s="5"/>
      <c r="P689" s="110" t="b">
        <f t="shared" si="1"/>
        <v>0</v>
      </c>
      <c r="Q689" s="110" t="b">
        <f>IF(COUNTIF(RAW_APS!$A$2:$A815,A689)=0,TRUE,FALSE)</f>
        <v>0</v>
      </c>
      <c r="R689" s="241" t="b">
        <f t="shared" si="2"/>
        <v>0</v>
      </c>
      <c r="U689" s="112" t="str">
        <f t="shared" si="3"/>
        <v/>
      </c>
      <c r="V689" s="60"/>
      <c r="W689" s="60"/>
      <c r="X689" s="60"/>
      <c r="Y689" s="60"/>
      <c r="Z689" s="210"/>
      <c r="AA689" s="112" t="str">
        <f t="shared" si="4"/>
        <v>MA625</v>
      </c>
      <c r="AB689" s="112" t="str">
        <f t="shared" si="5"/>
        <v/>
      </c>
      <c r="AC689" s="112" t="str">
        <f t="shared" si="6"/>
        <v/>
      </c>
      <c r="AD689" s="5"/>
      <c r="AE689" s="5"/>
    </row>
    <row r="690">
      <c r="A690" s="5" t="s">
        <v>843</v>
      </c>
      <c r="B690" s="44">
        <v>44579.0</v>
      </c>
      <c r="C690" s="150">
        <v>0.3233101851851852</v>
      </c>
      <c r="D690" s="5"/>
      <c r="E690" s="5"/>
      <c r="F690" s="5"/>
      <c r="G690" s="5" t="s">
        <v>2184</v>
      </c>
      <c r="H690" s="5" t="s">
        <v>244</v>
      </c>
      <c r="I690" s="44">
        <v>44580.0</v>
      </c>
      <c r="J690" s="150">
        <v>0.5080092592592592</v>
      </c>
      <c r="K690" s="19">
        <v>1.0</v>
      </c>
      <c r="L690" s="10" t="b">
        <v>1</v>
      </c>
      <c r="M690" s="5" t="s">
        <v>2492</v>
      </c>
      <c r="N690" s="5" t="s">
        <v>247</v>
      </c>
      <c r="O690" s="5"/>
      <c r="P690" s="110" t="b">
        <f t="shared" si="1"/>
        <v>0</v>
      </c>
      <c r="Q690" s="110" t="b">
        <f>IF(COUNTIF(RAW_APS!$A$2:$A815,A690)=0,TRUE,FALSE)</f>
        <v>0</v>
      </c>
      <c r="R690" s="241" t="b">
        <f t="shared" si="2"/>
        <v>0</v>
      </c>
      <c r="U690" s="112" t="str">
        <f t="shared" si="3"/>
        <v/>
      </c>
      <c r="V690" s="60"/>
      <c r="W690" s="60"/>
      <c r="X690" s="60"/>
      <c r="Y690" s="60"/>
      <c r="Z690" s="210"/>
      <c r="AA690" s="112" t="str">
        <f t="shared" si="4"/>
        <v>MA627</v>
      </c>
      <c r="AB690" s="112" t="str">
        <f t="shared" si="5"/>
        <v/>
      </c>
      <c r="AC690" s="112" t="str">
        <f t="shared" si="6"/>
        <v/>
      </c>
      <c r="AD690" s="5"/>
      <c r="AE690" s="5"/>
    </row>
    <row r="691">
      <c r="A691" s="5" t="s">
        <v>861</v>
      </c>
      <c r="B691" s="44">
        <v>44579.0</v>
      </c>
      <c r="C691" s="150">
        <v>0.332025462962963</v>
      </c>
      <c r="D691" s="5"/>
      <c r="E691" s="5"/>
      <c r="F691" s="5"/>
      <c r="G691" s="5" t="s">
        <v>2184</v>
      </c>
      <c r="H691" s="5" t="s">
        <v>244</v>
      </c>
      <c r="I691" s="44">
        <v>44580.0</v>
      </c>
      <c r="J691" s="150">
        <v>0.5080092592592592</v>
      </c>
      <c r="K691" s="19">
        <v>1.0</v>
      </c>
      <c r="L691" s="10" t="b">
        <v>1</v>
      </c>
      <c r="M691" s="5" t="s">
        <v>2492</v>
      </c>
      <c r="N691" s="5" t="s">
        <v>247</v>
      </c>
      <c r="O691" s="5"/>
      <c r="P691" s="110" t="b">
        <f t="shared" si="1"/>
        <v>0</v>
      </c>
      <c r="Q691" s="110" t="b">
        <f>IF(COUNTIF(RAW_APS!$A$2:$A815,A691)=0,TRUE,FALSE)</f>
        <v>0</v>
      </c>
      <c r="R691" s="241" t="b">
        <f t="shared" si="2"/>
        <v>0</v>
      </c>
      <c r="U691" s="112" t="str">
        <f t="shared" si="3"/>
        <v/>
      </c>
      <c r="V691" s="60"/>
      <c r="W691" s="60"/>
      <c r="X691" s="60"/>
      <c r="Y691" s="60"/>
      <c r="Z691" s="210"/>
      <c r="AA691" s="112" t="str">
        <f t="shared" si="4"/>
        <v>MA629</v>
      </c>
      <c r="AB691" s="112" t="str">
        <f t="shared" si="5"/>
        <v/>
      </c>
      <c r="AC691" s="112" t="str">
        <f t="shared" si="6"/>
        <v/>
      </c>
      <c r="AD691" s="5"/>
      <c r="AE691" s="5"/>
    </row>
    <row r="692">
      <c r="A692" s="5" t="s">
        <v>2455</v>
      </c>
      <c r="B692" s="44">
        <v>44549.0</v>
      </c>
      <c r="C692" s="150">
        <v>0.37657407407407406</v>
      </c>
      <c r="D692" s="5"/>
      <c r="E692" s="5"/>
      <c r="F692" s="5"/>
      <c r="G692" s="5" t="s">
        <v>2188</v>
      </c>
      <c r="H692" s="5" t="s">
        <v>254</v>
      </c>
      <c r="I692" s="44">
        <v>44861.0</v>
      </c>
      <c r="J692" s="150">
        <v>0.4895023148148148</v>
      </c>
      <c r="K692" s="19">
        <v>1.0</v>
      </c>
      <c r="L692" s="5"/>
      <c r="M692" s="5"/>
      <c r="N692" s="5" t="s">
        <v>247</v>
      </c>
      <c r="O692" s="5"/>
      <c r="P692" s="110" t="b">
        <f t="shared" si="1"/>
        <v>0</v>
      </c>
      <c r="Q692" s="110" t="b">
        <f>IF(COUNTIF(RAW_APS!$A$2:$A815,A692)=0,TRUE,FALSE)</f>
        <v>0</v>
      </c>
      <c r="R692" s="241" t="b">
        <f t="shared" si="2"/>
        <v>0</v>
      </c>
      <c r="U692" s="112" t="str">
        <f t="shared" si="3"/>
        <v/>
      </c>
      <c r="V692" s="51"/>
      <c r="W692" s="51"/>
      <c r="X692" s="51"/>
      <c r="Y692" s="51"/>
      <c r="Z692" s="210"/>
      <c r="AA692" s="112" t="str">
        <f t="shared" si="4"/>
        <v>MA630</v>
      </c>
      <c r="AB692" s="112" t="str">
        <f t="shared" si="5"/>
        <v/>
      </c>
      <c r="AC692" s="112" t="str">
        <f t="shared" si="6"/>
        <v/>
      </c>
      <c r="AD692" s="5"/>
      <c r="AE692" s="5"/>
    </row>
    <row r="693">
      <c r="A693" s="5" t="s">
        <v>341</v>
      </c>
      <c r="B693" s="44">
        <v>44549.0</v>
      </c>
      <c r="C693" s="150">
        <v>0.3750115740740741</v>
      </c>
      <c r="D693" s="5"/>
      <c r="E693" s="5"/>
      <c r="F693" s="5"/>
      <c r="G693" s="5" t="s">
        <v>2188</v>
      </c>
      <c r="H693" s="5" t="s">
        <v>254</v>
      </c>
      <c r="I693" s="44">
        <v>44861.0</v>
      </c>
      <c r="J693" s="150">
        <v>0.4895023148148148</v>
      </c>
      <c r="K693" s="19">
        <v>1.0</v>
      </c>
      <c r="L693" s="5"/>
      <c r="M693" s="5"/>
      <c r="N693" s="5" t="s">
        <v>247</v>
      </c>
      <c r="O693" s="5"/>
      <c r="P693" s="110" t="b">
        <f t="shared" si="1"/>
        <v>0</v>
      </c>
      <c r="Q693" s="110" t="b">
        <f>IF(COUNTIF(RAW_APS!$A$2:$A815,A693)=0,TRUE,FALSE)</f>
        <v>0</v>
      </c>
      <c r="R693" s="241" t="b">
        <f t="shared" si="2"/>
        <v>0</v>
      </c>
      <c r="U693" s="112" t="str">
        <f t="shared" si="3"/>
        <v/>
      </c>
      <c r="V693" s="51"/>
      <c r="W693" s="51"/>
      <c r="X693" s="51"/>
      <c r="Y693" s="51"/>
      <c r="Z693" s="210"/>
      <c r="AA693" s="112" t="str">
        <f t="shared" si="4"/>
        <v>MA631</v>
      </c>
      <c r="AB693" s="112" t="str">
        <f t="shared" si="5"/>
        <v/>
      </c>
      <c r="AC693" s="112" t="str">
        <f t="shared" si="6"/>
        <v/>
      </c>
      <c r="AD693" s="5"/>
      <c r="AE693" s="5"/>
    </row>
    <row r="694">
      <c r="A694" s="5" t="s">
        <v>1190</v>
      </c>
      <c r="B694" s="44">
        <v>44603.0</v>
      </c>
      <c r="C694" s="150">
        <v>0.3391550925925926</v>
      </c>
      <c r="D694" s="5"/>
      <c r="E694" s="5"/>
      <c r="F694" s="5"/>
      <c r="G694" s="5" t="s">
        <v>2184</v>
      </c>
      <c r="H694" s="5" t="s">
        <v>52</v>
      </c>
      <c r="I694" s="44">
        <v>44603.0</v>
      </c>
      <c r="J694" s="150">
        <v>0.46979166666666666</v>
      </c>
      <c r="K694" s="19">
        <v>1.0</v>
      </c>
      <c r="L694" s="10" t="b">
        <v>1</v>
      </c>
      <c r="M694" s="5"/>
      <c r="N694" s="5" t="s">
        <v>247</v>
      </c>
      <c r="O694" s="5"/>
      <c r="P694" s="110" t="b">
        <f t="shared" si="1"/>
        <v>0</v>
      </c>
      <c r="Q694" s="110" t="b">
        <f>IF(COUNTIF(RAW_APS!$A$2:$A815,A694)=0,TRUE,FALSE)</f>
        <v>0</v>
      </c>
      <c r="R694" s="241" t="b">
        <f t="shared" si="2"/>
        <v>0</v>
      </c>
      <c r="U694" s="112" t="str">
        <f t="shared" si="3"/>
        <v/>
      </c>
      <c r="V694" s="60"/>
      <c r="W694" s="60"/>
      <c r="X694" s="60"/>
      <c r="Y694" s="60"/>
      <c r="Z694" s="210"/>
      <c r="AA694" s="112" t="str">
        <f t="shared" si="4"/>
        <v>MA632</v>
      </c>
      <c r="AB694" s="112" t="str">
        <f t="shared" si="5"/>
        <v/>
      </c>
      <c r="AC694" s="112" t="str">
        <f t="shared" si="6"/>
        <v/>
      </c>
      <c r="AD694" s="5"/>
      <c r="AE694" s="5"/>
    </row>
    <row r="695">
      <c r="A695" s="5" t="s">
        <v>2439</v>
      </c>
      <c r="B695" s="44">
        <v>44573.0</v>
      </c>
      <c r="C695" s="150">
        <v>0.3347800925925926</v>
      </c>
      <c r="D695" s="5"/>
      <c r="E695" s="5"/>
      <c r="F695" s="5"/>
      <c r="G695" s="5" t="s">
        <v>2184</v>
      </c>
      <c r="H695" s="5" t="s">
        <v>244</v>
      </c>
      <c r="I695" s="44">
        <v>44575.0</v>
      </c>
      <c r="J695" s="150">
        <v>0.48202546296296295</v>
      </c>
      <c r="K695" s="19">
        <v>1.0</v>
      </c>
      <c r="L695" s="10" t="b">
        <v>1</v>
      </c>
      <c r="M695" s="5" t="s">
        <v>2495</v>
      </c>
      <c r="N695" s="5" t="s">
        <v>247</v>
      </c>
      <c r="O695" s="5"/>
      <c r="P695" s="110" t="b">
        <f t="shared" si="1"/>
        <v>0</v>
      </c>
      <c r="Q695" s="110" t="b">
        <f>IF(COUNTIF(RAW_APS!$A$2:$A815,A695)=0,TRUE,FALSE)</f>
        <v>0</v>
      </c>
      <c r="R695" s="241" t="b">
        <f t="shared" si="2"/>
        <v>0</v>
      </c>
      <c r="U695" s="112" t="str">
        <f t="shared" si="3"/>
        <v/>
      </c>
      <c r="V695" s="60"/>
      <c r="W695" s="60"/>
      <c r="X695" s="60"/>
      <c r="Y695" s="60"/>
      <c r="Z695" s="210"/>
      <c r="AA695" s="112" t="str">
        <f t="shared" si="4"/>
        <v>MA633</v>
      </c>
      <c r="AB695" s="112" t="str">
        <f t="shared" si="5"/>
        <v/>
      </c>
      <c r="AC695" s="112" t="str">
        <f t="shared" si="6"/>
        <v/>
      </c>
      <c r="AD695" s="5"/>
      <c r="AE695" s="5"/>
    </row>
    <row r="696">
      <c r="A696" s="5" t="s">
        <v>710</v>
      </c>
      <c r="B696" s="44">
        <v>44573.0</v>
      </c>
      <c r="C696" s="150">
        <v>0.2912037037037037</v>
      </c>
      <c r="D696" s="5"/>
      <c r="E696" s="5"/>
      <c r="F696" s="5"/>
      <c r="G696" s="5" t="s">
        <v>2184</v>
      </c>
      <c r="H696" s="5" t="s">
        <v>244</v>
      </c>
      <c r="I696" s="44">
        <v>44575.0</v>
      </c>
      <c r="J696" s="150">
        <v>0.48202546296296295</v>
      </c>
      <c r="K696" s="19">
        <v>1.0</v>
      </c>
      <c r="L696" s="10" t="b">
        <v>1</v>
      </c>
      <c r="M696" s="5" t="s">
        <v>2495</v>
      </c>
      <c r="N696" s="5" t="s">
        <v>247</v>
      </c>
      <c r="O696" s="5"/>
      <c r="P696" s="110" t="b">
        <f t="shared" si="1"/>
        <v>0</v>
      </c>
      <c r="Q696" s="110" t="b">
        <f>IF(COUNTIF(RAW_APS!$A$2:$A815,A696)=0,TRUE,FALSE)</f>
        <v>0</v>
      </c>
      <c r="R696" s="241" t="b">
        <f t="shared" si="2"/>
        <v>0</v>
      </c>
      <c r="U696" s="112" t="str">
        <f t="shared" si="3"/>
        <v/>
      </c>
      <c r="V696" s="60"/>
      <c r="W696" s="60"/>
      <c r="X696" s="60"/>
      <c r="Y696" s="60"/>
      <c r="Z696" s="210"/>
      <c r="AA696" s="112" t="str">
        <f t="shared" si="4"/>
        <v>MA634</v>
      </c>
      <c r="AB696" s="112" t="str">
        <f t="shared" si="5"/>
        <v/>
      </c>
      <c r="AC696" s="112" t="str">
        <f t="shared" si="6"/>
        <v/>
      </c>
      <c r="AD696" s="5"/>
      <c r="AE696" s="5"/>
    </row>
    <row r="697">
      <c r="A697" s="5" t="s">
        <v>1115</v>
      </c>
      <c r="B697" s="44">
        <v>44596.0</v>
      </c>
      <c r="C697" s="150">
        <v>0.35225694444444444</v>
      </c>
      <c r="D697" s="5"/>
      <c r="E697" s="5"/>
      <c r="F697" s="5"/>
      <c r="G697" s="5" t="s">
        <v>2184</v>
      </c>
      <c r="H697" s="5" t="s">
        <v>244</v>
      </c>
      <c r="I697" s="44">
        <v>44596.0</v>
      </c>
      <c r="J697" s="150">
        <v>0.48193287037037036</v>
      </c>
      <c r="K697" s="19">
        <v>1.0</v>
      </c>
      <c r="L697" s="10" t="b">
        <v>1</v>
      </c>
      <c r="M697" s="5" t="s">
        <v>2484</v>
      </c>
      <c r="N697" s="5" t="s">
        <v>247</v>
      </c>
      <c r="O697" s="5"/>
      <c r="P697" s="110" t="b">
        <f t="shared" si="1"/>
        <v>0</v>
      </c>
      <c r="Q697" s="110" t="b">
        <f>IF(COUNTIF(RAW_APS!$A$2:$A815,A697)=0,TRUE,FALSE)</f>
        <v>0</v>
      </c>
      <c r="R697" s="241" t="b">
        <f t="shared" si="2"/>
        <v>0</v>
      </c>
      <c r="U697" s="112" t="str">
        <f t="shared" si="3"/>
        <v/>
      </c>
      <c r="V697" s="60"/>
      <c r="W697" s="60"/>
      <c r="X697" s="60"/>
      <c r="Y697" s="60"/>
      <c r="Z697" s="210"/>
      <c r="AA697" s="112" t="str">
        <f t="shared" si="4"/>
        <v>MA635</v>
      </c>
      <c r="AB697" s="112" t="str">
        <f t="shared" si="5"/>
        <v/>
      </c>
      <c r="AC697" s="112" t="str">
        <f t="shared" si="6"/>
        <v/>
      </c>
      <c r="AD697" s="5"/>
      <c r="AE697" s="5"/>
    </row>
    <row r="698">
      <c r="A698" s="5" t="s">
        <v>523</v>
      </c>
      <c r="B698" s="44">
        <v>44566.0</v>
      </c>
      <c r="C698" s="150">
        <v>0.35116898148148146</v>
      </c>
      <c r="D698" s="5"/>
      <c r="E698" s="5"/>
      <c r="F698" s="5"/>
      <c r="G698" s="5" t="s">
        <v>2184</v>
      </c>
      <c r="H698" s="5" t="s">
        <v>244</v>
      </c>
      <c r="I698" s="44">
        <v>44566.0</v>
      </c>
      <c r="J698" s="150">
        <v>0.4565625</v>
      </c>
      <c r="K698" s="19">
        <v>1.0</v>
      </c>
      <c r="L698" s="10" t="b">
        <v>1</v>
      </c>
      <c r="M698" s="5" t="s">
        <v>2499</v>
      </c>
      <c r="N698" s="5" t="s">
        <v>247</v>
      </c>
      <c r="O698" s="5"/>
      <c r="P698" s="110" t="b">
        <f t="shared" si="1"/>
        <v>0</v>
      </c>
      <c r="Q698" s="110" t="b">
        <f>IF(COUNTIF(RAW_APS!$A$2:$A815,A698)=0,TRUE,FALSE)</f>
        <v>0</v>
      </c>
      <c r="R698" s="241" t="b">
        <f t="shared" si="2"/>
        <v>0</v>
      </c>
      <c r="U698" s="112" t="str">
        <f t="shared" si="3"/>
        <v/>
      </c>
      <c r="V698" s="60"/>
      <c r="W698" s="60"/>
      <c r="X698" s="60"/>
      <c r="Y698" s="60"/>
      <c r="Z698" s="210"/>
      <c r="AA698" s="112" t="str">
        <f t="shared" si="4"/>
        <v>MA636</v>
      </c>
      <c r="AB698" s="112" t="str">
        <f t="shared" si="5"/>
        <v/>
      </c>
      <c r="AC698" s="112" t="str">
        <f t="shared" si="6"/>
        <v/>
      </c>
      <c r="AD698" s="5"/>
      <c r="AE698" s="5"/>
    </row>
    <row r="699">
      <c r="A699" s="5" t="s">
        <v>2435</v>
      </c>
      <c r="B699" s="44">
        <v>44579.0</v>
      </c>
      <c r="C699" s="150">
        <v>0.2984837962962963</v>
      </c>
      <c r="D699" s="5"/>
      <c r="E699" s="5"/>
      <c r="F699" s="5"/>
      <c r="G699" s="5" t="s">
        <v>2184</v>
      </c>
      <c r="H699" s="5" t="s">
        <v>244</v>
      </c>
      <c r="I699" s="44">
        <v>44580.0</v>
      </c>
      <c r="J699" s="150">
        <v>0.5079976851851852</v>
      </c>
      <c r="K699" s="19">
        <v>1.0</v>
      </c>
      <c r="L699" s="10" t="b">
        <v>1</v>
      </c>
      <c r="M699" s="5" t="s">
        <v>2492</v>
      </c>
      <c r="N699" s="5" t="s">
        <v>247</v>
      </c>
      <c r="O699" s="5"/>
      <c r="P699" s="110" t="b">
        <f t="shared" si="1"/>
        <v>0</v>
      </c>
      <c r="Q699" s="110" t="b">
        <f>IF(COUNTIF(RAW_APS!$A$2:$A815,A699)=0,TRUE,FALSE)</f>
        <v>0</v>
      </c>
      <c r="R699" s="241" t="b">
        <f t="shared" si="2"/>
        <v>0</v>
      </c>
      <c r="U699" s="112" t="str">
        <f t="shared" si="3"/>
        <v/>
      </c>
      <c r="V699" s="60"/>
      <c r="W699" s="60"/>
      <c r="X699" s="60"/>
      <c r="Y699" s="60"/>
      <c r="Z699" s="210"/>
      <c r="AA699" s="112" t="str">
        <f t="shared" si="4"/>
        <v>MA638</v>
      </c>
      <c r="AB699" s="112" t="str">
        <f t="shared" si="5"/>
        <v/>
      </c>
      <c r="AC699" s="112" t="str">
        <f t="shared" si="6"/>
        <v/>
      </c>
      <c r="AD699" s="5"/>
      <c r="AE699" s="5"/>
    </row>
    <row r="700">
      <c r="A700" s="5" t="s">
        <v>456</v>
      </c>
      <c r="B700" s="44">
        <v>44564.0</v>
      </c>
      <c r="C700" s="150">
        <v>0.3048032407407407</v>
      </c>
      <c r="D700" s="5"/>
      <c r="E700" s="5"/>
      <c r="F700" s="5"/>
      <c r="G700" s="5" t="s">
        <v>2184</v>
      </c>
      <c r="H700" s="5" t="s">
        <v>52</v>
      </c>
      <c r="I700" s="44">
        <v>44564.0</v>
      </c>
      <c r="J700" s="150">
        <v>0.5280439814814815</v>
      </c>
      <c r="K700" s="19">
        <v>1.0</v>
      </c>
      <c r="L700" s="10" t="b">
        <v>1</v>
      </c>
      <c r="M700" s="5"/>
      <c r="N700" s="5" t="s">
        <v>247</v>
      </c>
      <c r="O700" s="5"/>
      <c r="P700" s="110" t="b">
        <f t="shared" si="1"/>
        <v>0</v>
      </c>
      <c r="Q700" s="110" t="b">
        <f>IF(COUNTIF(RAW_APS!$A$2:$A815,A700)=0,TRUE,FALSE)</f>
        <v>0</v>
      </c>
      <c r="R700" s="241" t="b">
        <f t="shared" si="2"/>
        <v>0</v>
      </c>
      <c r="U700" s="112" t="str">
        <f t="shared" si="3"/>
        <v/>
      </c>
      <c r="V700" s="60"/>
      <c r="W700" s="60"/>
      <c r="X700" s="60"/>
      <c r="Y700" s="60"/>
      <c r="Z700" s="210"/>
      <c r="AA700" s="112" t="str">
        <f t="shared" si="4"/>
        <v>MA639</v>
      </c>
      <c r="AB700" s="112" t="str">
        <f t="shared" si="5"/>
        <v/>
      </c>
      <c r="AC700" s="112" t="str">
        <f t="shared" si="6"/>
        <v/>
      </c>
      <c r="AD700" s="5"/>
      <c r="AE700" s="5"/>
    </row>
    <row r="701">
      <c r="A701" s="5" t="s">
        <v>803</v>
      </c>
      <c r="B701" s="44">
        <v>44575.0</v>
      </c>
      <c r="C701" s="150">
        <v>0.3519097222222222</v>
      </c>
      <c r="D701" s="5"/>
      <c r="E701" s="5"/>
      <c r="F701" s="5"/>
      <c r="G701" s="5" t="s">
        <v>2184</v>
      </c>
      <c r="H701" s="5" t="s">
        <v>244</v>
      </c>
      <c r="I701" s="44">
        <v>44575.0</v>
      </c>
      <c r="J701" s="150">
        <v>0.4820601851851852</v>
      </c>
      <c r="K701" s="19">
        <v>1.0</v>
      </c>
      <c r="L701" s="10" t="b">
        <v>1</v>
      </c>
      <c r="M701" s="5" t="s">
        <v>2493</v>
      </c>
      <c r="N701" s="5" t="s">
        <v>247</v>
      </c>
      <c r="O701" s="5"/>
      <c r="P701" s="110" t="b">
        <f t="shared" si="1"/>
        <v>0</v>
      </c>
      <c r="Q701" s="110" t="b">
        <f>IF(COUNTIF(RAW_APS!$A$2:$A815,A701)=0,TRUE,FALSE)</f>
        <v>0</v>
      </c>
      <c r="R701" s="241" t="b">
        <f t="shared" si="2"/>
        <v>0</v>
      </c>
      <c r="U701" s="112" t="str">
        <f t="shared" si="3"/>
        <v/>
      </c>
      <c r="V701" s="60"/>
      <c r="W701" s="60"/>
      <c r="X701" s="60"/>
      <c r="Y701" s="60"/>
      <c r="Z701" s="210"/>
      <c r="AA701" s="112" t="str">
        <f t="shared" si="4"/>
        <v>MA641</v>
      </c>
      <c r="AB701" s="112" t="str">
        <f t="shared" si="5"/>
        <v/>
      </c>
      <c r="AC701" s="112" t="str">
        <f t="shared" si="6"/>
        <v/>
      </c>
      <c r="AD701" s="5"/>
      <c r="AE701" s="5"/>
    </row>
    <row r="702">
      <c r="A702" s="5" t="s">
        <v>529</v>
      </c>
      <c r="B702" s="44">
        <v>44566.0</v>
      </c>
      <c r="C702" s="150">
        <v>0.3824652777777778</v>
      </c>
      <c r="D702" s="5"/>
      <c r="E702" s="5"/>
      <c r="F702" s="5"/>
      <c r="G702" s="5" t="s">
        <v>2184</v>
      </c>
      <c r="H702" s="5" t="s">
        <v>244</v>
      </c>
      <c r="I702" s="44">
        <v>44566.0</v>
      </c>
      <c r="J702" s="150">
        <v>0.4565625</v>
      </c>
      <c r="K702" s="19">
        <v>1.0</v>
      </c>
      <c r="L702" s="10" t="b">
        <v>1</v>
      </c>
      <c r="M702" s="5" t="s">
        <v>2499</v>
      </c>
      <c r="N702" s="5" t="s">
        <v>247</v>
      </c>
      <c r="O702" s="5"/>
      <c r="P702" s="110" t="b">
        <f t="shared" si="1"/>
        <v>0</v>
      </c>
      <c r="Q702" s="110" t="b">
        <f>IF(COUNTIF(RAW_APS!$A$2:$A815,A702)=0,TRUE,FALSE)</f>
        <v>0</v>
      </c>
      <c r="R702" s="241" t="b">
        <f t="shared" si="2"/>
        <v>0</v>
      </c>
      <c r="U702" s="112" t="str">
        <f t="shared" si="3"/>
        <v/>
      </c>
      <c r="V702" s="60"/>
      <c r="W702" s="60"/>
      <c r="X702" s="60"/>
      <c r="Y702" s="60"/>
      <c r="Z702" s="210"/>
      <c r="AA702" s="112" t="str">
        <f t="shared" si="4"/>
        <v>MA643</v>
      </c>
      <c r="AB702" s="112" t="str">
        <f t="shared" si="5"/>
        <v/>
      </c>
      <c r="AC702" s="112" t="str">
        <f t="shared" si="6"/>
        <v/>
      </c>
      <c r="AD702" s="5"/>
      <c r="AE702" s="5"/>
    </row>
    <row r="703">
      <c r="A703" s="5" t="s">
        <v>484</v>
      </c>
      <c r="B703" s="44">
        <v>44564.0</v>
      </c>
      <c r="C703" s="150">
        <v>0.38413194444444443</v>
      </c>
      <c r="D703" s="5"/>
      <c r="E703" s="5"/>
      <c r="F703" s="5"/>
      <c r="G703" s="5" t="s">
        <v>2184</v>
      </c>
      <c r="H703" s="5" t="s">
        <v>244</v>
      </c>
      <c r="I703" s="44">
        <v>44564.0</v>
      </c>
      <c r="J703" s="150">
        <v>0.5280439814814815</v>
      </c>
      <c r="K703" s="19">
        <v>1.0</v>
      </c>
      <c r="L703" s="10" t="b">
        <v>1</v>
      </c>
      <c r="M703" s="5" t="s">
        <v>2500</v>
      </c>
      <c r="N703" s="5" t="s">
        <v>247</v>
      </c>
      <c r="O703" s="5"/>
      <c r="P703" s="110" t="b">
        <f t="shared" si="1"/>
        <v>0</v>
      </c>
      <c r="Q703" s="110" t="b">
        <f>IF(COUNTIF(RAW_APS!$A$2:$A815,A703)=0,TRUE,FALSE)</f>
        <v>0</v>
      </c>
      <c r="R703" s="241" t="b">
        <f t="shared" si="2"/>
        <v>0</v>
      </c>
      <c r="U703" s="112" t="str">
        <f t="shared" si="3"/>
        <v/>
      </c>
      <c r="V703" s="60"/>
      <c r="W703" s="60"/>
      <c r="X703" s="60"/>
      <c r="Y703" s="60"/>
      <c r="Z703" s="210"/>
      <c r="AA703" s="112" t="str">
        <f t="shared" si="4"/>
        <v>MA644</v>
      </c>
      <c r="AB703" s="112" t="str">
        <f t="shared" si="5"/>
        <v/>
      </c>
      <c r="AC703" s="112" t="str">
        <f t="shared" si="6"/>
        <v/>
      </c>
      <c r="AD703" s="5"/>
      <c r="AE703" s="5"/>
    </row>
    <row r="704">
      <c r="A704" s="5" t="s">
        <v>841</v>
      </c>
      <c r="B704" s="44">
        <v>44579.0</v>
      </c>
      <c r="C704" s="150">
        <v>0.3232175925925926</v>
      </c>
      <c r="D704" s="5"/>
      <c r="E704" s="5"/>
      <c r="F704" s="5"/>
      <c r="G704" s="5" t="s">
        <v>2184</v>
      </c>
      <c r="H704" s="5" t="s">
        <v>244</v>
      </c>
      <c r="I704" s="44">
        <v>44580.0</v>
      </c>
      <c r="J704" s="150">
        <v>0.5080092592592592</v>
      </c>
      <c r="K704" s="19">
        <v>1.0</v>
      </c>
      <c r="L704" s="10" t="b">
        <v>1</v>
      </c>
      <c r="M704" s="5" t="s">
        <v>2492</v>
      </c>
      <c r="N704" s="5" t="s">
        <v>247</v>
      </c>
      <c r="O704" s="5"/>
      <c r="P704" s="110" t="b">
        <f t="shared" si="1"/>
        <v>0</v>
      </c>
      <c r="Q704" s="110" t="b">
        <f>IF(COUNTIF(RAW_APS!$A$2:$A815,A704)=0,TRUE,FALSE)</f>
        <v>0</v>
      </c>
      <c r="R704" s="241" t="b">
        <f t="shared" si="2"/>
        <v>0</v>
      </c>
      <c r="U704" s="112" t="str">
        <f t="shared" si="3"/>
        <v/>
      </c>
      <c r="V704" s="60"/>
      <c r="W704" s="60"/>
      <c r="X704" s="60"/>
      <c r="Y704" s="60"/>
      <c r="Z704" s="210"/>
      <c r="AA704" s="112" t="str">
        <f t="shared" si="4"/>
        <v>MA645</v>
      </c>
      <c r="AB704" s="112" t="str">
        <f t="shared" si="5"/>
        <v/>
      </c>
      <c r="AC704" s="112" t="str">
        <f t="shared" si="6"/>
        <v/>
      </c>
      <c r="AD704" s="5"/>
      <c r="AE704" s="5"/>
    </row>
    <row r="705">
      <c r="A705" s="5" t="s">
        <v>644</v>
      </c>
      <c r="B705" s="44">
        <v>44571.0</v>
      </c>
      <c r="C705" s="150">
        <v>0.3371412037037037</v>
      </c>
      <c r="D705" s="5"/>
      <c r="E705" s="5"/>
      <c r="F705" s="5"/>
      <c r="G705" s="5" t="s">
        <v>2184</v>
      </c>
      <c r="H705" s="5" t="s">
        <v>244</v>
      </c>
      <c r="I705" s="44">
        <v>44571.0</v>
      </c>
      <c r="J705" s="150">
        <v>0.46598379629629627</v>
      </c>
      <c r="K705" s="19">
        <v>1.0</v>
      </c>
      <c r="L705" s="10" t="b">
        <v>1</v>
      </c>
      <c r="M705" s="5" t="s">
        <v>2496</v>
      </c>
      <c r="N705" s="5" t="s">
        <v>247</v>
      </c>
      <c r="O705" s="5"/>
      <c r="P705" s="110" t="b">
        <f t="shared" si="1"/>
        <v>0</v>
      </c>
      <c r="Q705" s="110" t="b">
        <f>IF(COUNTIF(RAW_APS!$A$2:$A815,A705)=0,TRUE,FALSE)</f>
        <v>0</v>
      </c>
      <c r="R705" s="241" t="b">
        <f t="shared" si="2"/>
        <v>0</v>
      </c>
      <c r="U705" s="112" t="str">
        <f t="shared" si="3"/>
        <v/>
      </c>
      <c r="V705" s="60"/>
      <c r="W705" s="60"/>
      <c r="X705" s="60"/>
      <c r="Y705" s="60"/>
      <c r="Z705" s="210"/>
      <c r="AA705" s="112" t="str">
        <f t="shared" si="4"/>
        <v>MA647</v>
      </c>
      <c r="AB705" s="112" t="str">
        <f t="shared" si="5"/>
        <v/>
      </c>
      <c r="AC705" s="112" t="str">
        <f t="shared" si="6"/>
        <v/>
      </c>
      <c r="AD705" s="5"/>
      <c r="AE705" s="5"/>
    </row>
    <row r="706">
      <c r="A706" s="5" t="s">
        <v>527</v>
      </c>
      <c r="B706" s="44">
        <v>44566.0</v>
      </c>
      <c r="C706" s="150">
        <v>0.38178240740740743</v>
      </c>
      <c r="D706" s="5"/>
      <c r="E706" s="5"/>
      <c r="F706" s="5"/>
      <c r="G706" s="5" t="s">
        <v>2184</v>
      </c>
      <c r="H706" s="5" t="s">
        <v>244</v>
      </c>
      <c r="I706" s="44">
        <v>44566.0</v>
      </c>
      <c r="J706" s="150">
        <v>0.4565625</v>
      </c>
      <c r="K706" s="19">
        <v>1.0</v>
      </c>
      <c r="L706" s="10" t="b">
        <v>1</v>
      </c>
      <c r="M706" s="5" t="s">
        <v>2499</v>
      </c>
      <c r="N706" s="5" t="s">
        <v>247</v>
      </c>
      <c r="O706" s="5"/>
      <c r="P706" s="110" t="b">
        <f t="shared" si="1"/>
        <v>0</v>
      </c>
      <c r="Q706" s="110" t="b">
        <f>IF(COUNTIF(RAW_APS!$A$2:$A815,A706)=0,TRUE,FALSE)</f>
        <v>0</v>
      </c>
      <c r="R706" s="241" t="b">
        <f t="shared" si="2"/>
        <v>0</v>
      </c>
      <c r="U706" s="112" t="str">
        <f t="shared" si="3"/>
        <v/>
      </c>
      <c r="V706" s="60"/>
      <c r="W706" s="60"/>
      <c r="X706" s="60"/>
      <c r="Y706" s="60"/>
      <c r="Z706" s="210"/>
      <c r="AA706" s="112" t="str">
        <f t="shared" si="4"/>
        <v>MA648</v>
      </c>
      <c r="AB706" s="112" t="str">
        <f t="shared" si="5"/>
        <v/>
      </c>
      <c r="AC706" s="112" t="str">
        <f t="shared" si="6"/>
        <v/>
      </c>
      <c r="AD706" s="5"/>
      <c r="AE706" s="5"/>
    </row>
    <row r="707">
      <c r="A707" s="5" t="s">
        <v>642</v>
      </c>
      <c r="B707" s="44">
        <v>44571.0</v>
      </c>
      <c r="C707" s="150">
        <v>0.3345138888888889</v>
      </c>
      <c r="D707" s="5"/>
      <c r="E707" s="5"/>
      <c r="F707" s="5"/>
      <c r="G707" s="5" t="s">
        <v>2184</v>
      </c>
      <c r="H707" s="5" t="s">
        <v>244</v>
      </c>
      <c r="I707" s="44">
        <v>44571.0</v>
      </c>
      <c r="J707" s="150">
        <v>0.46598379629629627</v>
      </c>
      <c r="K707" s="19">
        <v>1.0</v>
      </c>
      <c r="L707" s="10" t="b">
        <v>1</v>
      </c>
      <c r="M707" s="5" t="s">
        <v>2496</v>
      </c>
      <c r="N707" s="5" t="s">
        <v>247</v>
      </c>
      <c r="O707" s="5"/>
      <c r="P707" s="110" t="b">
        <f t="shared" si="1"/>
        <v>0</v>
      </c>
      <c r="Q707" s="110" t="b">
        <f>IF(COUNTIF(RAW_APS!$A$2:$A815,A707)=0,TRUE,FALSE)</f>
        <v>0</v>
      </c>
      <c r="R707" s="241" t="b">
        <f t="shared" si="2"/>
        <v>0</v>
      </c>
      <c r="U707" s="112" t="str">
        <f t="shared" si="3"/>
        <v/>
      </c>
      <c r="V707" s="60"/>
      <c r="W707" s="60"/>
      <c r="X707" s="60"/>
      <c r="Y707" s="60"/>
      <c r="Z707" s="210"/>
      <c r="AA707" s="112" t="str">
        <f t="shared" si="4"/>
        <v>MA649</v>
      </c>
      <c r="AB707" s="112" t="str">
        <f t="shared" si="5"/>
        <v/>
      </c>
      <c r="AC707" s="112" t="str">
        <f t="shared" si="6"/>
        <v/>
      </c>
      <c r="AD707" s="5"/>
      <c r="AE707" s="5"/>
    </row>
    <row r="708">
      <c r="A708" s="5" t="s">
        <v>867</v>
      </c>
      <c r="B708" s="44">
        <v>44579.0</v>
      </c>
      <c r="C708" s="150">
        <v>0.3324884259259259</v>
      </c>
      <c r="D708" s="5"/>
      <c r="E708" s="5"/>
      <c r="F708" s="5"/>
      <c r="G708" s="5" t="s">
        <v>2184</v>
      </c>
      <c r="H708" s="5" t="s">
        <v>244</v>
      </c>
      <c r="I708" s="44">
        <v>44580.0</v>
      </c>
      <c r="J708" s="150">
        <v>0.5080092592592592</v>
      </c>
      <c r="K708" s="19">
        <v>1.0</v>
      </c>
      <c r="L708" s="10" t="b">
        <v>1</v>
      </c>
      <c r="M708" s="5" t="s">
        <v>2492</v>
      </c>
      <c r="N708" s="5" t="s">
        <v>247</v>
      </c>
      <c r="O708" s="5"/>
      <c r="P708" s="110" t="b">
        <f t="shared" si="1"/>
        <v>0</v>
      </c>
      <c r="Q708" s="110" t="b">
        <f>IF(COUNTIF(RAW_APS!$A$2:$A815,A708)=0,TRUE,FALSE)</f>
        <v>0</v>
      </c>
      <c r="R708" s="241" t="b">
        <f t="shared" si="2"/>
        <v>0</v>
      </c>
      <c r="U708" s="112" t="str">
        <f t="shared" si="3"/>
        <v/>
      </c>
      <c r="V708" s="60"/>
      <c r="W708" s="60"/>
      <c r="X708" s="60"/>
      <c r="Y708" s="60"/>
      <c r="Z708" s="210"/>
      <c r="AA708" s="112" t="str">
        <f t="shared" si="4"/>
        <v>MA650</v>
      </c>
      <c r="AB708" s="112" t="str">
        <f t="shared" si="5"/>
        <v/>
      </c>
      <c r="AC708" s="112" t="str">
        <f t="shared" si="6"/>
        <v/>
      </c>
      <c r="AD708" s="5"/>
      <c r="AE708" s="5"/>
    </row>
    <row r="709">
      <c r="A709" s="5" t="s">
        <v>494</v>
      </c>
      <c r="B709" s="44">
        <v>44565.0</v>
      </c>
      <c r="C709" s="150">
        <v>0.716099537037037</v>
      </c>
      <c r="D709" s="5"/>
      <c r="E709" s="5"/>
      <c r="F709" s="5"/>
      <c r="G709" s="5" t="s">
        <v>2184</v>
      </c>
      <c r="H709" s="5" t="s">
        <v>244</v>
      </c>
      <c r="I709" s="44">
        <v>44566.0</v>
      </c>
      <c r="J709" s="150">
        <v>0.4565625</v>
      </c>
      <c r="K709" s="19">
        <v>1.0</v>
      </c>
      <c r="L709" s="10" t="b">
        <v>1</v>
      </c>
      <c r="M709" s="5" t="s">
        <v>2499</v>
      </c>
      <c r="N709" s="5" t="s">
        <v>247</v>
      </c>
      <c r="O709" s="5"/>
      <c r="P709" s="110" t="b">
        <f t="shared" si="1"/>
        <v>0</v>
      </c>
      <c r="Q709" s="110" t="b">
        <f>IF(COUNTIF(RAW_APS!$A$2:$A815,A709)=0,TRUE,FALSE)</f>
        <v>0</v>
      </c>
      <c r="R709" s="241" t="b">
        <f t="shared" si="2"/>
        <v>0</v>
      </c>
      <c r="U709" s="112" t="str">
        <f t="shared" si="3"/>
        <v/>
      </c>
      <c r="V709" s="60"/>
      <c r="W709" s="60"/>
      <c r="X709" s="60"/>
      <c r="Y709" s="60"/>
      <c r="Z709" s="210"/>
      <c r="AA709" s="112" t="str">
        <f t="shared" si="4"/>
        <v>MA651</v>
      </c>
      <c r="AB709" s="112" t="str">
        <f t="shared" si="5"/>
        <v/>
      </c>
      <c r="AC709" s="112" t="str">
        <f t="shared" si="6"/>
        <v/>
      </c>
      <c r="AD709" s="5"/>
      <c r="AE709" s="5"/>
    </row>
    <row r="710">
      <c r="A710" s="5" t="s">
        <v>2433</v>
      </c>
      <c r="B710" s="44">
        <v>44579.0</v>
      </c>
      <c r="C710" s="150">
        <v>0.3321296296296296</v>
      </c>
      <c r="D710" s="5"/>
      <c r="E710" s="5"/>
      <c r="F710" s="5"/>
      <c r="G710" s="5" t="s">
        <v>2184</v>
      </c>
      <c r="H710" s="5" t="s">
        <v>244</v>
      </c>
      <c r="I710" s="44">
        <v>44580.0</v>
      </c>
      <c r="J710" s="150">
        <v>0.5080092592592592</v>
      </c>
      <c r="K710" s="19">
        <v>1.0</v>
      </c>
      <c r="L710" s="10" t="b">
        <v>1</v>
      </c>
      <c r="M710" s="5" t="s">
        <v>2492</v>
      </c>
      <c r="N710" s="5" t="s">
        <v>247</v>
      </c>
      <c r="O710" s="5"/>
      <c r="P710" s="110" t="b">
        <f t="shared" si="1"/>
        <v>0</v>
      </c>
      <c r="Q710" s="110" t="b">
        <f>IF(COUNTIF(RAW_APS!$A$2:$A815,A710)=0,TRUE,FALSE)</f>
        <v>0</v>
      </c>
      <c r="R710" s="241" t="b">
        <f t="shared" si="2"/>
        <v>0</v>
      </c>
      <c r="U710" s="112" t="str">
        <f t="shared" si="3"/>
        <v/>
      </c>
      <c r="V710" s="60"/>
      <c r="W710" s="60"/>
      <c r="X710" s="60"/>
      <c r="Y710" s="60"/>
      <c r="AA710" s="112" t="str">
        <f t="shared" si="4"/>
        <v>MA652</v>
      </c>
      <c r="AB710" s="112" t="str">
        <f t="shared" si="5"/>
        <v/>
      </c>
      <c r="AC710" s="112" t="str">
        <f t="shared" si="6"/>
        <v/>
      </c>
      <c r="AD710" s="5"/>
      <c r="AE710" s="5"/>
    </row>
    <row r="711">
      <c r="A711" s="5" t="s">
        <v>698</v>
      </c>
      <c r="B711" s="44">
        <v>44571.0</v>
      </c>
      <c r="C711" s="150">
        <v>0.42944444444444446</v>
      </c>
      <c r="D711" s="5"/>
      <c r="E711" s="5"/>
      <c r="F711" s="5"/>
      <c r="G711" s="5" t="s">
        <v>2184</v>
      </c>
      <c r="H711" s="5" t="s">
        <v>244</v>
      </c>
      <c r="I711" s="44">
        <v>44571.0</v>
      </c>
      <c r="J711" s="150">
        <v>0.46598379629629627</v>
      </c>
      <c r="K711" s="19">
        <v>1.0</v>
      </c>
      <c r="L711" s="10" t="b">
        <v>1</v>
      </c>
      <c r="M711" s="5" t="s">
        <v>2496</v>
      </c>
      <c r="N711" s="5" t="s">
        <v>247</v>
      </c>
      <c r="O711" s="5"/>
      <c r="P711" s="110" t="b">
        <f t="shared" si="1"/>
        <v>0</v>
      </c>
      <c r="Q711" s="110" t="b">
        <f>IF(COUNTIF(RAW_APS!$A$2:$A815,A711)=0,TRUE,FALSE)</f>
        <v>0</v>
      </c>
      <c r="R711" s="241" t="b">
        <f t="shared" si="2"/>
        <v>0</v>
      </c>
      <c r="U711" s="112" t="str">
        <f t="shared" si="3"/>
        <v/>
      </c>
      <c r="V711" s="60"/>
      <c r="W711" s="60"/>
      <c r="X711" s="60"/>
      <c r="Y711" s="60"/>
      <c r="AA711" s="112" t="str">
        <f t="shared" si="4"/>
        <v>MA653</v>
      </c>
      <c r="AB711" s="112" t="str">
        <f t="shared" si="5"/>
        <v/>
      </c>
      <c r="AC711" s="112" t="str">
        <f t="shared" si="6"/>
        <v/>
      </c>
      <c r="AD711" s="5"/>
      <c r="AE711" s="5"/>
    </row>
    <row r="712">
      <c r="A712" s="5" t="s">
        <v>517</v>
      </c>
      <c r="B712" s="44">
        <v>44566.0</v>
      </c>
      <c r="C712" s="150">
        <v>0.33738425925925924</v>
      </c>
      <c r="D712" s="5"/>
      <c r="E712" s="5"/>
      <c r="F712" s="5"/>
      <c r="G712" s="5" t="s">
        <v>2184</v>
      </c>
      <c r="H712" s="5" t="s">
        <v>244</v>
      </c>
      <c r="I712" s="44">
        <v>44566.0</v>
      </c>
      <c r="J712" s="150">
        <v>0.4565625</v>
      </c>
      <c r="K712" s="19">
        <v>1.0</v>
      </c>
      <c r="L712" s="10" t="b">
        <v>1</v>
      </c>
      <c r="M712" s="5" t="s">
        <v>2499</v>
      </c>
      <c r="N712" s="5" t="s">
        <v>247</v>
      </c>
      <c r="O712" s="5"/>
      <c r="P712" s="110" t="b">
        <f t="shared" si="1"/>
        <v>0</v>
      </c>
      <c r="Q712" s="110" t="b">
        <f>IF(COUNTIF(RAW_APS!$A$2:$A815,A712)=0,TRUE,FALSE)</f>
        <v>0</v>
      </c>
      <c r="R712" s="241" t="b">
        <f t="shared" si="2"/>
        <v>0</v>
      </c>
      <c r="U712" s="112" t="str">
        <f t="shared" si="3"/>
        <v/>
      </c>
      <c r="V712" s="60"/>
      <c r="W712" s="60"/>
      <c r="X712" s="60"/>
      <c r="Y712" s="60"/>
      <c r="AA712" s="112" t="str">
        <f t="shared" si="4"/>
        <v>MA654</v>
      </c>
      <c r="AB712" s="112" t="str">
        <f t="shared" si="5"/>
        <v/>
      </c>
      <c r="AC712" s="112" t="str">
        <f t="shared" si="6"/>
        <v/>
      </c>
      <c r="AD712" s="5"/>
      <c r="AE712" s="5"/>
    </row>
    <row r="713">
      <c r="A713" s="5" t="s">
        <v>838</v>
      </c>
      <c r="B713" s="44">
        <v>44579.0</v>
      </c>
      <c r="C713" s="150">
        <v>0.32251157407407405</v>
      </c>
      <c r="D713" s="5"/>
      <c r="E713" s="5"/>
      <c r="F713" s="5"/>
      <c r="G713" s="5" t="s">
        <v>2184</v>
      </c>
      <c r="H713" s="5" t="s">
        <v>52</v>
      </c>
      <c r="I713" s="44">
        <v>44579.0</v>
      </c>
      <c r="J713" s="150">
        <v>0.5015972222222222</v>
      </c>
      <c r="K713" s="19">
        <v>1.0</v>
      </c>
      <c r="L713" s="10" t="b">
        <v>1</v>
      </c>
      <c r="M713" s="5"/>
      <c r="N713" s="5" t="s">
        <v>247</v>
      </c>
      <c r="O713" s="5"/>
      <c r="P713" s="110" t="b">
        <f t="shared" si="1"/>
        <v>0</v>
      </c>
      <c r="Q713" s="110" t="b">
        <f>IF(COUNTIF(RAW_APS!$A$2:$A815,A713)=0,TRUE,FALSE)</f>
        <v>0</v>
      </c>
      <c r="R713" s="241" t="b">
        <f t="shared" si="2"/>
        <v>0</v>
      </c>
      <c r="U713" s="112" t="str">
        <f t="shared" si="3"/>
        <v/>
      </c>
      <c r="V713" s="60"/>
      <c r="W713" s="60"/>
      <c r="X713" s="60"/>
      <c r="Y713" s="60"/>
      <c r="AA713" s="112" t="str">
        <f t="shared" si="4"/>
        <v>MA655</v>
      </c>
      <c r="AB713" s="112" t="str">
        <f t="shared" si="5"/>
        <v/>
      </c>
      <c r="AC713" s="112" t="str">
        <f t="shared" si="6"/>
        <v/>
      </c>
      <c r="AD713" s="5"/>
      <c r="AE713" s="5"/>
    </row>
    <row r="714">
      <c r="A714" s="5" t="s">
        <v>869</v>
      </c>
      <c r="B714" s="44">
        <v>44579.0</v>
      </c>
      <c r="C714" s="150">
        <v>0.3325462962962963</v>
      </c>
      <c r="D714" s="5"/>
      <c r="E714" s="5"/>
      <c r="F714" s="5"/>
      <c r="G714" s="5" t="s">
        <v>2184</v>
      </c>
      <c r="H714" s="5" t="s">
        <v>244</v>
      </c>
      <c r="I714" s="44">
        <v>44580.0</v>
      </c>
      <c r="J714" s="150">
        <v>0.5080092592592592</v>
      </c>
      <c r="K714" s="19">
        <v>1.0</v>
      </c>
      <c r="L714" s="10" t="b">
        <v>1</v>
      </c>
      <c r="M714" s="5" t="s">
        <v>2492</v>
      </c>
      <c r="N714" s="5" t="s">
        <v>247</v>
      </c>
      <c r="O714" s="5"/>
      <c r="P714" s="110" t="b">
        <f t="shared" si="1"/>
        <v>0</v>
      </c>
      <c r="Q714" s="110" t="b">
        <f>IF(COUNTIF(RAW_APS!$A$2:$A815,A714)=0,TRUE,FALSE)</f>
        <v>0</v>
      </c>
      <c r="R714" s="241" t="b">
        <f t="shared" si="2"/>
        <v>0</v>
      </c>
      <c r="U714" s="112" t="str">
        <f t="shared" si="3"/>
        <v/>
      </c>
      <c r="V714" s="60"/>
      <c r="W714" s="60"/>
      <c r="X714" s="60"/>
      <c r="Y714" s="60"/>
      <c r="AA714" s="112" t="str">
        <f t="shared" si="4"/>
        <v>MA656</v>
      </c>
      <c r="AB714" s="112" t="str">
        <f t="shared" si="5"/>
        <v/>
      </c>
      <c r="AC714" s="112" t="str">
        <f t="shared" si="6"/>
        <v/>
      </c>
      <c r="AD714" s="5"/>
      <c r="AE714" s="5"/>
    </row>
    <row r="715">
      <c r="A715" s="5" t="s">
        <v>853</v>
      </c>
      <c r="B715" s="44">
        <v>44579.0</v>
      </c>
      <c r="C715" s="150">
        <v>0.33101851851851855</v>
      </c>
      <c r="D715" s="5"/>
      <c r="E715" s="5"/>
      <c r="F715" s="5"/>
      <c r="G715" s="5" t="s">
        <v>2184</v>
      </c>
      <c r="H715" s="5" t="s">
        <v>244</v>
      </c>
      <c r="I715" s="44">
        <v>44580.0</v>
      </c>
      <c r="J715" s="150">
        <v>0.5080092592592592</v>
      </c>
      <c r="K715" s="19">
        <v>1.0</v>
      </c>
      <c r="L715" s="10" t="b">
        <v>1</v>
      </c>
      <c r="M715" s="5" t="s">
        <v>2492</v>
      </c>
      <c r="N715" s="5" t="s">
        <v>247</v>
      </c>
      <c r="O715" s="5"/>
      <c r="P715" s="110" t="b">
        <f t="shared" si="1"/>
        <v>0</v>
      </c>
      <c r="Q715" s="110" t="b">
        <f>IF(COUNTIF(RAW_APS!$A$2:$A815,A715)=0,TRUE,FALSE)</f>
        <v>0</v>
      </c>
      <c r="R715" s="241" t="b">
        <f t="shared" si="2"/>
        <v>0</v>
      </c>
      <c r="U715" s="112" t="str">
        <f t="shared" si="3"/>
        <v/>
      </c>
      <c r="V715" s="60"/>
      <c r="W715" s="60"/>
      <c r="X715" s="60"/>
      <c r="Y715" s="60"/>
      <c r="AA715" s="112" t="str">
        <f t="shared" si="4"/>
        <v>MA657</v>
      </c>
      <c r="AB715" s="112" t="str">
        <f t="shared" si="5"/>
        <v/>
      </c>
      <c r="AC715" s="112" t="str">
        <f t="shared" si="6"/>
        <v/>
      </c>
      <c r="AD715" s="5"/>
      <c r="AE715" s="5"/>
    </row>
    <row r="716">
      <c r="A716" s="5" t="s">
        <v>712</v>
      </c>
      <c r="B716" s="44">
        <v>44573.0</v>
      </c>
      <c r="C716" s="150">
        <v>0.29791666666666666</v>
      </c>
      <c r="D716" s="5"/>
      <c r="E716" s="5"/>
      <c r="F716" s="5"/>
      <c r="G716" s="5" t="s">
        <v>2184</v>
      </c>
      <c r="H716" s="5" t="s">
        <v>244</v>
      </c>
      <c r="I716" s="44">
        <v>44575.0</v>
      </c>
      <c r="J716" s="150">
        <v>0.48202546296296295</v>
      </c>
      <c r="K716" s="19">
        <v>1.0</v>
      </c>
      <c r="L716" s="10" t="b">
        <v>1</v>
      </c>
      <c r="M716" s="5" t="s">
        <v>2495</v>
      </c>
      <c r="N716" s="5" t="s">
        <v>247</v>
      </c>
      <c r="O716" s="5"/>
      <c r="P716" s="110" t="b">
        <f t="shared" si="1"/>
        <v>0</v>
      </c>
      <c r="Q716" s="110" t="b">
        <f>IF(COUNTIF(RAW_APS!$A$2:$A815,A716)=0,TRUE,FALSE)</f>
        <v>0</v>
      </c>
      <c r="R716" s="241" t="b">
        <f t="shared" si="2"/>
        <v>0</v>
      </c>
      <c r="U716" s="112" t="str">
        <f t="shared" si="3"/>
        <v/>
      </c>
      <c r="V716" s="60"/>
      <c r="W716" s="60"/>
      <c r="X716" s="60"/>
      <c r="Y716" s="60"/>
      <c r="AA716" s="112" t="str">
        <f t="shared" si="4"/>
        <v>MA658</v>
      </c>
      <c r="AB716" s="112" t="str">
        <f t="shared" si="5"/>
        <v/>
      </c>
      <c r="AC716" s="112" t="str">
        <f t="shared" si="6"/>
        <v/>
      </c>
      <c r="AD716" s="5"/>
      <c r="AE716" s="5"/>
    </row>
    <row r="717">
      <c r="A717" s="5" t="s">
        <v>1142</v>
      </c>
      <c r="B717" s="44">
        <v>44599.0</v>
      </c>
      <c r="C717" s="150">
        <v>0.46304398148148146</v>
      </c>
      <c r="D717" s="5"/>
      <c r="E717" s="5"/>
      <c r="F717" s="5"/>
      <c r="G717" s="5" t="s">
        <v>2184</v>
      </c>
      <c r="H717" s="5" t="s">
        <v>244</v>
      </c>
      <c r="I717" s="44">
        <v>44599.0</v>
      </c>
      <c r="J717" s="150">
        <v>0.4875462962962963</v>
      </c>
      <c r="K717" s="19">
        <v>1.0</v>
      </c>
      <c r="L717" s="10" t="b">
        <v>1</v>
      </c>
      <c r="M717" s="5" t="s">
        <v>2483</v>
      </c>
      <c r="N717" s="5" t="s">
        <v>247</v>
      </c>
      <c r="O717" s="5"/>
      <c r="P717" s="110" t="b">
        <f t="shared" si="1"/>
        <v>0</v>
      </c>
      <c r="Q717" s="110" t="b">
        <f>IF(COUNTIF(RAW_APS!$A$2:$A815,A717)=0,TRUE,FALSE)</f>
        <v>0</v>
      </c>
      <c r="R717" s="241" t="b">
        <f t="shared" si="2"/>
        <v>0</v>
      </c>
      <c r="U717" s="112" t="str">
        <f t="shared" si="3"/>
        <v/>
      </c>
      <c r="V717" s="60"/>
      <c r="W717" s="60"/>
      <c r="X717" s="60"/>
      <c r="Y717" s="60"/>
      <c r="AA717" s="112" t="str">
        <f t="shared" si="4"/>
        <v>MA659</v>
      </c>
      <c r="AB717" s="112" t="str">
        <f t="shared" si="5"/>
        <v/>
      </c>
      <c r="AC717" s="112" t="str">
        <f t="shared" si="6"/>
        <v/>
      </c>
      <c r="AD717" s="5"/>
      <c r="AE717" s="5"/>
    </row>
    <row r="718">
      <c r="A718" s="5" t="s">
        <v>490</v>
      </c>
      <c r="B718" s="44">
        <v>44565.0</v>
      </c>
      <c r="C718" s="150">
        <v>0.6911574074074074</v>
      </c>
      <c r="D718" s="5"/>
      <c r="E718" s="5"/>
      <c r="F718" s="5"/>
      <c r="G718" s="5" t="s">
        <v>2184</v>
      </c>
      <c r="H718" s="5" t="s">
        <v>244</v>
      </c>
      <c r="I718" s="44">
        <v>44566.0</v>
      </c>
      <c r="J718" s="150">
        <v>0.4565625</v>
      </c>
      <c r="K718" s="19">
        <v>1.0</v>
      </c>
      <c r="L718" s="10" t="b">
        <v>1</v>
      </c>
      <c r="M718" s="5" t="s">
        <v>2499</v>
      </c>
      <c r="N718" s="5" t="s">
        <v>247</v>
      </c>
      <c r="O718" s="5"/>
      <c r="P718" s="110" t="b">
        <f t="shared" si="1"/>
        <v>0</v>
      </c>
      <c r="Q718" s="110" t="b">
        <f>IF(COUNTIF(RAW_APS!$A$2:$A815,A718)=0,TRUE,FALSE)</f>
        <v>0</v>
      </c>
      <c r="R718" s="241" t="b">
        <f t="shared" si="2"/>
        <v>0</v>
      </c>
      <c r="U718" s="112" t="str">
        <f t="shared" si="3"/>
        <v/>
      </c>
      <c r="V718" s="60"/>
      <c r="W718" s="60"/>
      <c r="X718" s="60"/>
      <c r="Y718" s="60"/>
      <c r="AA718" s="112" t="str">
        <f t="shared" si="4"/>
        <v>MA660</v>
      </c>
      <c r="AB718" s="112" t="str">
        <f t="shared" si="5"/>
        <v/>
      </c>
      <c r="AC718" s="112" t="str">
        <f t="shared" si="6"/>
        <v/>
      </c>
      <c r="AD718" s="5"/>
      <c r="AE718" s="5"/>
    </row>
    <row r="719">
      <c r="A719" s="5" t="s">
        <v>705</v>
      </c>
      <c r="B719" s="44">
        <v>44573.0</v>
      </c>
      <c r="C719" s="150">
        <v>0.28099537037037037</v>
      </c>
      <c r="D719" s="5"/>
      <c r="E719" s="5"/>
      <c r="F719" s="5"/>
      <c r="G719" s="5" t="s">
        <v>2184</v>
      </c>
      <c r="H719" s="5" t="s">
        <v>244</v>
      </c>
      <c r="I719" s="44">
        <v>44575.0</v>
      </c>
      <c r="J719" s="150">
        <v>0.48202546296296295</v>
      </c>
      <c r="K719" s="19">
        <v>1.0</v>
      </c>
      <c r="L719" s="10" t="b">
        <v>1</v>
      </c>
      <c r="M719" s="5" t="s">
        <v>2495</v>
      </c>
      <c r="N719" s="5" t="s">
        <v>247</v>
      </c>
      <c r="O719" s="5"/>
      <c r="P719" s="110" t="b">
        <f t="shared" si="1"/>
        <v>0</v>
      </c>
      <c r="Q719" s="110" t="b">
        <f>IF(COUNTIF(RAW_APS!$A$2:$A815,A719)=0,TRUE,FALSE)</f>
        <v>0</v>
      </c>
      <c r="R719" s="241" t="b">
        <f t="shared" si="2"/>
        <v>0</v>
      </c>
      <c r="U719" s="112" t="str">
        <f t="shared" si="3"/>
        <v/>
      </c>
      <c r="V719" s="60"/>
      <c r="W719" s="60"/>
      <c r="X719" s="60"/>
      <c r="Y719" s="60"/>
      <c r="AA719" s="112" t="str">
        <f t="shared" si="4"/>
        <v>MA683</v>
      </c>
      <c r="AB719" s="112" t="str">
        <f t="shared" si="5"/>
        <v/>
      </c>
      <c r="AC719" s="112" t="str">
        <f t="shared" si="6"/>
        <v/>
      </c>
      <c r="AD719" s="5"/>
      <c r="AE719" s="5"/>
    </row>
    <row r="720">
      <c r="A720" s="5" t="s">
        <v>385</v>
      </c>
      <c r="B720" s="44">
        <v>44557.0</v>
      </c>
      <c r="C720" s="150">
        <v>0.31266203703703704</v>
      </c>
      <c r="D720" s="5"/>
      <c r="E720" s="5"/>
      <c r="F720" s="5"/>
      <c r="G720" s="5" t="s">
        <v>2184</v>
      </c>
      <c r="H720" s="5" t="s">
        <v>244</v>
      </c>
      <c r="I720" s="44">
        <v>44557.0</v>
      </c>
      <c r="J720" s="150">
        <v>0.4870949074074074</v>
      </c>
      <c r="K720" s="19">
        <v>1.0</v>
      </c>
      <c r="L720" s="10" t="b">
        <v>1</v>
      </c>
      <c r="M720" s="5" t="s">
        <v>2504</v>
      </c>
      <c r="N720" s="5" t="s">
        <v>247</v>
      </c>
      <c r="O720" s="5"/>
      <c r="P720" s="110" t="b">
        <f t="shared" si="1"/>
        <v>0</v>
      </c>
      <c r="Q720" s="110" t="b">
        <f>IF(COUNTIF(RAW_APS!$A$2:$A815,A720)=0,TRUE,FALSE)</f>
        <v>0</v>
      </c>
      <c r="R720" s="241" t="b">
        <f t="shared" si="2"/>
        <v>0</v>
      </c>
      <c r="U720" s="112" t="str">
        <f t="shared" si="3"/>
        <v/>
      </c>
      <c r="V720" s="51"/>
      <c r="W720" s="51"/>
      <c r="X720" s="51"/>
      <c r="Y720" s="51"/>
      <c r="AA720" s="112" t="str">
        <f t="shared" si="4"/>
        <v>MA690</v>
      </c>
      <c r="AB720" s="112" t="str">
        <f t="shared" si="5"/>
        <v/>
      </c>
      <c r="AC720" s="112" t="str">
        <f t="shared" si="6"/>
        <v/>
      </c>
      <c r="AD720" s="5"/>
      <c r="AE720" s="5"/>
    </row>
    <row r="721">
      <c r="A721" s="5" t="s">
        <v>714</v>
      </c>
      <c r="B721" s="44">
        <v>44573.0</v>
      </c>
      <c r="C721" s="150">
        <v>0.31827546296296294</v>
      </c>
      <c r="D721" s="5"/>
      <c r="E721" s="5"/>
      <c r="F721" s="5"/>
      <c r="G721" s="5" t="s">
        <v>2184</v>
      </c>
      <c r="H721" s="5" t="s">
        <v>244</v>
      </c>
      <c r="I721" s="44">
        <v>44575.0</v>
      </c>
      <c r="J721" s="150">
        <v>0.48202546296296295</v>
      </c>
      <c r="K721" s="19">
        <v>1.0</v>
      </c>
      <c r="L721" s="10" t="b">
        <v>1</v>
      </c>
      <c r="M721" s="5" t="s">
        <v>2495</v>
      </c>
      <c r="N721" s="5" t="s">
        <v>247</v>
      </c>
      <c r="O721" s="5"/>
      <c r="P721" s="110" t="b">
        <f t="shared" si="1"/>
        <v>0</v>
      </c>
      <c r="Q721" s="110" t="b">
        <f>IF(COUNTIF(RAW_APS!$A$2:$A815,A721)=0,TRUE,FALSE)</f>
        <v>0</v>
      </c>
      <c r="R721" s="241" t="b">
        <f t="shared" si="2"/>
        <v>0</v>
      </c>
      <c r="U721" s="112" t="str">
        <f t="shared" si="3"/>
        <v/>
      </c>
      <c r="V721" s="60"/>
      <c r="W721" s="60"/>
      <c r="X721" s="60"/>
      <c r="Y721" s="60"/>
      <c r="AA721" s="112" t="str">
        <f t="shared" si="4"/>
        <v>MA700</v>
      </c>
      <c r="AB721" s="112" t="str">
        <f t="shared" si="5"/>
        <v/>
      </c>
      <c r="AC721" s="112" t="str">
        <f t="shared" si="6"/>
        <v/>
      </c>
      <c r="AD721" s="5"/>
      <c r="AE721" s="5"/>
    </row>
    <row r="722">
      <c r="A722" s="5" t="s">
        <v>345</v>
      </c>
      <c r="B722" s="44">
        <v>44549.0</v>
      </c>
      <c r="C722" s="150">
        <v>0.8899537037037037</v>
      </c>
      <c r="D722" s="5"/>
      <c r="E722" s="5"/>
      <c r="F722" s="5"/>
      <c r="G722" s="5" t="s">
        <v>2184</v>
      </c>
      <c r="H722" s="5" t="s">
        <v>244</v>
      </c>
      <c r="I722" s="44">
        <v>44550.0</v>
      </c>
      <c r="J722" s="150">
        <v>0.4883449074074074</v>
      </c>
      <c r="K722" s="19">
        <v>1.0</v>
      </c>
      <c r="L722" s="10" t="b">
        <v>1</v>
      </c>
      <c r="M722" s="5" t="s">
        <v>2506</v>
      </c>
      <c r="N722" s="5" t="s">
        <v>247</v>
      </c>
      <c r="O722" s="5"/>
      <c r="P722" s="110" t="b">
        <f t="shared" si="1"/>
        <v>0</v>
      </c>
      <c r="Q722" s="110" t="b">
        <f>IF(COUNTIF(RAW_APS!$A$2:$A815,A722)=0,TRUE,FALSE)</f>
        <v>0</v>
      </c>
      <c r="R722" s="241" t="b">
        <f t="shared" si="2"/>
        <v>0</v>
      </c>
      <c r="U722" s="112" t="str">
        <f t="shared" si="3"/>
        <v/>
      </c>
      <c r="V722" s="51"/>
      <c r="W722" s="51"/>
      <c r="X722" s="51"/>
      <c r="Y722" s="51"/>
      <c r="AA722" s="112" t="str">
        <f t="shared" si="4"/>
        <v>MA705</v>
      </c>
      <c r="AB722" s="112" t="str">
        <f t="shared" si="5"/>
        <v/>
      </c>
      <c r="AC722" s="112" t="str">
        <f t="shared" si="6"/>
        <v/>
      </c>
      <c r="AD722" s="5"/>
      <c r="AE722" s="5"/>
    </row>
    <row r="723">
      <c r="A723" s="5" t="s">
        <v>387</v>
      </c>
      <c r="B723" s="44">
        <v>44557.0</v>
      </c>
      <c r="C723" s="150">
        <v>0.3275462962962963</v>
      </c>
      <c r="D723" s="5"/>
      <c r="E723" s="5"/>
      <c r="F723" s="5"/>
      <c r="G723" s="5" t="s">
        <v>2184</v>
      </c>
      <c r="H723" s="5" t="s">
        <v>244</v>
      </c>
      <c r="I723" s="44">
        <v>44557.0</v>
      </c>
      <c r="J723" s="150">
        <v>0.4870949074074074</v>
      </c>
      <c r="K723" s="19">
        <v>1.0</v>
      </c>
      <c r="L723" s="10" t="b">
        <v>1</v>
      </c>
      <c r="M723" s="5" t="s">
        <v>2504</v>
      </c>
      <c r="N723" s="5" t="s">
        <v>247</v>
      </c>
      <c r="O723" s="5"/>
      <c r="P723" s="110" t="b">
        <f t="shared" si="1"/>
        <v>0</v>
      </c>
      <c r="Q723" s="110" t="b">
        <f>IF(COUNTIF(RAW_APS!$A$2:$A815,A723)=0,TRUE,FALSE)</f>
        <v>0</v>
      </c>
      <c r="R723" s="241" t="b">
        <f t="shared" si="2"/>
        <v>0</v>
      </c>
      <c r="U723" s="112" t="str">
        <f t="shared" si="3"/>
        <v/>
      </c>
      <c r="V723" s="51"/>
      <c r="W723" s="51"/>
      <c r="X723" s="51"/>
      <c r="Y723" s="51"/>
      <c r="AA723" s="112" t="str">
        <f t="shared" si="4"/>
        <v>MA707</v>
      </c>
      <c r="AB723" s="112" t="str">
        <f t="shared" si="5"/>
        <v/>
      </c>
      <c r="AC723" s="112" t="str">
        <f t="shared" si="6"/>
        <v/>
      </c>
      <c r="AD723" s="5"/>
      <c r="AE723" s="5"/>
    </row>
    <row r="724">
      <c r="A724" s="5" t="s">
        <v>782</v>
      </c>
      <c r="B724" s="44">
        <v>44575.0</v>
      </c>
      <c r="C724" s="150">
        <v>0.3110763888888889</v>
      </c>
      <c r="D724" s="5"/>
      <c r="E724" s="5"/>
      <c r="F724" s="5"/>
      <c r="G724" s="5" t="s">
        <v>2184</v>
      </c>
      <c r="H724" s="5" t="s">
        <v>244</v>
      </c>
      <c r="I724" s="44">
        <v>44575.0</v>
      </c>
      <c r="J724" s="150">
        <v>0.4820601851851852</v>
      </c>
      <c r="K724" s="19">
        <v>1.0</v>
      </c>
      <c r="L724" s="10" t="b">
        <v>1</v>
      </c>
      <c r="M724" s="5" t="s">
        <v>2493</v>
      </c>
      <c r="N724" s="5" t="s">
        <v>247</v>
      </c>
      <c r="O724" s="5"/>
      <c r="P724" s="110" t="b">
        <f t="shared" si="1"/>
        <v>0</v>
      </c>
      <c r="Q724" s="110" t="b">
        <f>IF(COUNTIF(RAW_APS!$A$2:$A815,A724)=0,TRUE,FALSE)</f>
        <v>0</v>
      </c>
      <c r="R724" s="241" t="b">
        <f t="shared" si="2"/>
        <v>0</v>
      </c>
      <c r="U724" s="112" t="str">
        <f t="shared" si="3"/>
        <v/>
      </c>
      <c r="V724" s="60"/>
      <c r="W724" s="60"/>
      <c r="X724" s="60"/>
      <c r="Y724" s="60"/>
      <c r="AA724" s="112" t="str">
        <f t="shared" si="4"/>
        <v>MA711</v>
      </c>
      <c r="AB724" s="112" t="str">
        <f t="shared" si="5"/>
        <v/>
      </c>
      <c r="AC724" s="112" t="str">
        <f t="shared" si="6"/>
        <v/>
      </c>
      <c r="AD724" s="5"/>
      <c r="AE724" s="5"/>
    </row>
    <row r="725">
      <c r="A725" s="5" t="s">
        <v>917</v>
      </c>
      <c r="B725" s="44">
        <v>44580.0</v>
      </c>
      <c r="C725" s="150">
        <v>0.29824074074074075</v>
      </c>
      <c r="D725" s="5"/>
      <c r="E725" s="5"/>
      <c r="F725" s="5"/>
      <c r="G725" s="5" t="s">
        <v>2184</v>
      </c>
      <c r="H725" s="5" t="s">
        <v>244</v>
      </c>
      <c r="I725" s="44">
        <v>44580.0</v>
      </c>
      <c r="J725" s="150">
        <v>0.5080208333333334</v>
      </c>
      <c r="K725" s="19">
        <v>0.0</v>
      </c>
      <c r="L725" s="10" t="b">
        <v>1</v>
      </c>
      <c r="M725" s="5" t="s">
        <v>2491</v>
      </c>
      <c r="N725" s="5" t="s">
        <v>247</v>
      </c>
      <c r="O725" s="5"/>
      <c r="P725" s="110" t="b">
        <f t="shared" si="1"/>
        <v>1</v>
      </c>
      <c r="Q725" s="110" t="b">
        <f>IF(COUNTIF(RAW_APS!$A$2:$A815,A725)=0,TRUE,FALSE)</f>
        <v>1</v>
      </c>
      <c r="R725" s="241" t="b">
        <f t="shared" si="2"/>
        <v>0</v>
      </c>
      <c r="U725" s="112" t="str">
        <f t="shared" si="3"/>
        <v/>
      </c>
      <c r="V725" s="51"/>
      <c r="W725" s="51"/>
      <c r="X725" s="51"/>
      <c r="Y725" s="51"/>
      <c r="AA725" s="112" t="str">
        <f t="shared" si="4"/>
        <v>MA727</v>
      </c>
      <c r="AB725" s="112" t="str">
        <f t="shared" si="5"/>
        <v/>
      </c>
      <c r="AC725" s="112" t="str">
        <f t="shared" si="6"/>
        <v/>
      </c>
      <c r="AD725" s="5"/>
      <c r="AE725" s="5"/>
    </row>
    <row r="726">
      <c r="A726" s="5" t="s">
        <v>1067</v>
      </c>
      <c r="B726" s="44">
        <v>44592.0</v>
      </c>
      <c r="C726" s="150">
        <v>0.32427083333333334</v>
      </c>
      <c r="D726" s="5"/>
      <c r="E726" s="5"/>
      <c r="F726" s="5"/>
      <c r="G726" s="5" t="s">
        <v>2184</v>
      </c>
      <c r="H726" s="5" t="s">
        <v>244</v>
      </c>
      <c r="I726" s="44">
        <v>44592.0</v>
      </c>
      <c r="J726" s="150">
        <v>0.46023148148148146</v>
      </c>
      <c r="K726" s="19">
        <v>1.0</v>
      </c>
      <c r="L726" s="10" t="b">
        <v>1</v>
      </c>
      <c r="M726" s="5" t="s">
        <v>2486</v>
      </c>
      <c r="N726" s="5" t="s">
        <v>247</v>
      </c>
      <c r="O726" s="5"/>
      <c r="P726" s="110" t="b">
        <f t="shared" si="1"/>
        <v>0</v>
      </c>
      <c r="Q726" s="110" t="b">
        <f>IF(COUNTIF(RAW_APS!$A$2:$A815,A726)=0,TRUE,FALSE)</f>
        <v>0</v>
      </c>
      <c r="R726" s="241" t="b">
        <f t="shared" si="2"/>
        <v>0</v>
      </c>
      <c r="U726" s="112" t="str">
        <f t="shared" si="3"/>
        <v/>
      </c>
      <c r="V726" s="60"/>
      <c r="W726" s="60"/>
      <c r="X726" s="60"/>
      <c r="Y726" s="60"/>
      <c r="AA726" s="112" t="str">
        <f t="shared" si="4"/>
        <v>MA917</v>
      </c>
      <c r="AB726" s="112" t="str">
        <f t="shared" si="5"/>
        <v/>
      </c>
      <c r="AC726" s="112" t="str">
        <f t="shared" si="6"/>
        <v/>
      </c>
      <c r="AD726" s="5"/>
      <c r="AE726" s="5"/>
    </row>
    <row r="727">
      <c r="A727" s="5" t="s">
        <v>1129</v>
      </c>
      <c r="B727" s="44">
        <v>44599.0</v>
      </c>
      <c r="C727" s="150">
        <v>0.31884259259259257</v>
      </c>
      <c r="D727" s="5"/>
      <c r="E727" s="5"/>
      <c r="F727" s="5"/>
      <c r="G727" s="5" t="s">
        <v>2184</v>
      </c>
      <c r="H727" s="5" t="s">
        <v>244</v>
      </c>
      <c r="I727" s="44">
        <v>44599.0</v>
      </c>
      <c r="J727" s="150">
        <v>0.4875462962962963</v>
      </c>
      <c r="K727" s="19">
        <v>1.0</v>
      </c>
      <c r="L727" s="10" t="b">
        <v>1</v>
      </c>
      <c r="M727" s="5" t="s">
        <v>2483</v>
      </c>
      <c r="N727" s="5" t="s">
        <v>247</v>
      </c>
      <c r="O727" s="5"/>
      <c r="P727" s="110" t="b">
        <f t="shared" si="1"/>
        <v>0</v>
      </c>
      <c r="Q727" s="110" t="b">
        <f>IF(COUNTIF(RAW_APS!$A$2:$A815,A727)=0,TRUE,FALSE)</f>
        <v>0</v>
      </c>
      <c r="R727" s="241" t="b">
        <f t="shared" si="2"/>
        <v>0</v>
      </c>
      <c r="U727" s="112" t="str">
        <f t="shared" si="3"/>
        <v/>
      </c>
      <c r="V727" s="60"/>
      <c r="W727" s="60"/>
      <c r="X727" s="60"/>
      <c r="Y727" s="60"/>
      <c r="AA727" s="112" t="str">
        <f t="shared" si="4"/>
        <v>MA959</v>
      </c>
      <c r="AB727" s="112" t="str">
        <f t="shared" si="5"/>
        <v/>
      </c>
      <c r="AC727" s="112" t="str">
        <f t="shared" si="6"/>
        <v/>
      </c>
      <c r="AD727" s="5"/>
      <c r="AE727" s="5"/>
    </row>
    <row r="728">
      <c r="A728" s="5" t="s">
        <v>630</v>
      </c>
      <c r="B728" s="44">
        <v>44571.0</v>
      </c>
      <c r="C728" s="150">
        <v>0.32885416666666667</v>
      </c>
      <c r="D728" s="5"/>
      <c r="E728" s="5"/>
      <c r="F728" s="5"/>
      <c r="G728" s="5" t="s">
        <v>2184</v>
      </c>
      <c r="H728" s="5" t="s">
        <v>244</v>
      </c>
      <c r="I728" s="44">
        <v>44571.0</v>
      </c>
      <c r="J728" s="150">
        <v>0.46598379629629627</v>
      </c>
      <c r="K728" s="19">
        <v>1.0</v>
      </c>
      <c r="L728" s="10" t="b">
        <v>1</v>
      </c>
      <c r="M728" s="5" t="s">
        <v>2496</v>
      </c>
      <c r="N728" s="5" t="s">
        <v>247</v>
      </c>
      <c r="O728" s="5"/>
      <c r="P728" s="110" t="b">
        <f t="shared" si="1"/>
        <v>0</v>
      </c>
      <c r="Q728" s="110" t="b">
        <f>IF(COUNTIF(RAW_APS!$A$2:$A815,A728)=0,TRUE,FALSE)</f>
        <v>0</v>
      </c>
      <c r="R728" s="241" t="b">
        <f t="shared" si="2"/>
        <v>0</v>
      </c>
      <c r="U728" s="112" t="str">
        <f t="shared" si="3"/>
        <v/>
      </c>
      <c r="V728" s="60"/>
      <c r="W728" s="60"/>
      <c r="X728" s="60"/>
      <c r="Y728" s="60"/>
      <c r="AA728" s="112" t="str">
        <f t="shared" si="4"/>
        <v>MA977</v>
      </c>
      <c r="AB728" s="112" t="str">
        <f t="shared" si="5"/>
        <v/>
      </c>
      <c r="AC728" s="112" t="str">
        <f t="shared" si="6"/>
        <v/>
      </c>
      <c r="AD728" s="5"/>
      <c r="AE728" s="5"/>
    </row>
    <row r="729">
      <c r="A729" s="5" t="s">
        <v>1529</v>
      </c>
      <c r="B729" s="44">
        <v>44613.0</v>
      </c>
      <c r="C729" s="150">
        <v>0.3222685185185185</v>
      </c>
      <c r="D729" s="5"/>
      <c r="E729" s="5"/>
      <c r="F729" s="5"/>
      <c r="G729" s="5" t="s">
        <v>2184</v>
      </c>
      <c r="H729" s="5" t="s">
        <v>244</v>
      </c>
      <c r="I729" s="44">
        <v>44613.0</v>
      </c>
      <c r="J729" s="150">
        <v>0.4694097222222222</v>
      </c>
      <c r="K729" s="19">
        <v>1.0</v>
      </c>
      <c r="L729" s="10" t="b">
        <v>1</v>
      </c>
      <c r="M729" s="5" t="s">
        <v>2476</v>
      </c>
      <c r="N729" s="5" t="s">
        <v>247</v>
      </c>
      <c r="O729" s="5"/>
      <c r="P729" s="110" t="b">
        <f t="shared" si="1"/>
        <v>0</v>
      </c>
      <c r="Q729" s="110" t="b">
        <f>IF(COUNTIF(RAW_APS!$A$2:$A815,A729)=0,TRUE,FALSE)</f>
        <v>0</v>
      </c>
      <c r="R729" s="241" t="b">
        <f t="shared" si="2"/>
        <v>0</v>
      </c>
      <c r="U729" s="112" t="str">
        <f t="shared" si="3"/>
        <v/>
      </c>
      <c r="V729" s="60"/>
      <c r="W729" s="60"/>
      <c r="X729" s="60"/>
      <c r="Y729" s="60"/>
      <c r="AA729" s="112" t="str">
        <f t="shared" si="4"/>
        <v>MAX100</v>
      </c>
      <c r="AB729" s="112" t="str">
        <f t="shared" si="5"/>
        <v/>
      </c>
      <c r="AC729" s="112" t="str">
        <f t="shared" si="6"/>
        <v/>
      </c>
      <c r="AD729" s="5"/>
      <c r="AE729" s="5"/>
    </row>
    <row r="730">
      <c r="A730" s="5" t="s">
        <v>1357</v>
      </c>
      <c r="B730" s="44">
        <v>44609.0</v>
      </c>
      <c r="C730" s="150">
        <v>0.3199768518518519</v>
      </c>
      <c r="D730" s="5"/>
      <c r="E730" s="5"/>
      <c r="F730" s="5"/>
      <c r="G730" s="5" t="s">
        <v>2184</v>
      </c>
      <c r="H730" s="5" t="s">
        <v>244</v>
      </c>
      <c r="I730" s="44">
        <v>44611.0</v>
      </c>
      <c r="J730" s="150">
        <v>0.38957175925925924</v>
      </c>
      <c r="K730" s="19">
        <v>1.0</v>
      </c>
      <c r="L730" s="10" t="b">
        <v>1</v>
      </c>
      <c r="M730" s="5" t="s">
        <v>2478</v>
      </c>
      <c r="N730" s="5" t="s">
        <v>247</v>
      </c>
      <c r="O730" s="5"/>
      <c r="P730" s="110" t="b">
        <f t="shared" si="1"/>
        <v>0</v>
      </c>
      <c r="Q730" s="110" t="b">
        <f>IF(COUNTIF(RAW_APS!$A$2:$A815,A730)=0,TRUE,FALSE)</f>
        <v>0</v>
      </c>
      <c r="R730" s="241" t="b">
        <f t="shared" si="2"/>
        <v>0</v>
      </c>
      <c r="U730" s="112" t="str">
        <f t="shared" si="3"/>
        <v/>
      </c>
      <c r="V730" s="60"/>
      <c r="W730" s="60"/>
      <c r="X730" s="60"/>
      <c r="Y730" s="60"/>
      <c r="AA730" s="112" t="str">
        <f t="shared" si="4"/>
        <v>MAX101</v>
      </c>
      <c r="AB730" s="112" t="str">
        <f t="shared" si="5"/>
        <v/>
      </c>
      <c r="AC730" s="112" t="str">
        <f t="shared" si="6"/>
        <v/>
      </c>
      <c r="AD730" s="5"/>
      <c r="AE730" s="5"/>
    </row>
    <row r="731">
      <c r="A731" s="5" t="s">
        <v>1196</v>
      </c>
      <c r="B731" s="44">
        <v>44603.0</v>
      </c>
      <c r="C731" s="150">
        <v>0.3788888888888889</v>
      </c>
      <c r="D731" s="5"/>
      <c r="E731" s="5"/>
      <c r="F731" s="5"/>
      <c r="G731" s="5" t="s">
        <v>2184</v>
      </c>
      <c r="H731" s="5" t="s">
        <v>244</v>
      </c>
      <c r="I731" s="44">
        <v>44603.0</v>
      </c>
      <c r="J731" s="150">
        <v>0.46979166666666666</v>
      </c>
      <c r="K731" s="19">
        <v>1.0</v>
      </c>
      <c r="L731" s="10" t="b">
        <v>1</v>
      </c>
      <c r="M731" s="5" t="s">
        <v>2481</v>
      </c>
      <c r="N731" s="5" t="s">
        <v>247</v>
      </c>
      <c r="O731" s="5"/>
      <c r="P731" s="110" t="b">
        <f t="shared" si="1"/>
        <v>0</v>
      </c>
      <c r="Q731" s="110" t="b">
        <f>IF(COUNTIF(RAW_APS!$A$2:$A815,A731)=0,TRUE,FALSE)</f>
        <v>0</v>
      </c>
      <c r="R731" s="241" t="b">
        <f t="shared" si="2"/>
        <v>0</v>
      </c>
      <c r="U731" s="112" t="str">
        <f t="shared" si="3"/>
        <v/>
      </c>
      <c r="V731" s="60"/>
      <c r="W731" s="60"/>
      <c r="X731" s="60"/>
      <c r="Y731" s="60"/>
      <c r="AA731" s="112" t="str">
        <f t="shared" si="4"/>
        <v>MAX102</v>
      </c>
      <c r="AB731" s="112" t="str">
        <f t="shared" si="5"/>
        <v/>
      </c>
      <c r="AC731" s="112" t="str">
        <f t="shared" si="6"/>
        <v/>
      </c>
      <c r="AD731" s="5"/>
      <c r="AE731" s="5"/>
    </row>
    <row r="732">
      <c r="A732" s="5" t="s">
        <v>1020</v>
      </c>
      <c r="B732" s="44">
        <v>44585.0</v>
      </c>
      <c r="C732" s="150">
        <v>0.4306712962962963</v>
      </c>
      <c r="D732" s="5"/>
      <c r="E732" s="5"/>
      <c r="F732" s="5"/>
      <c r="G732" s="5" t="s">
        <v>2184</v>
      </c>
      <c r="H732" s="5" t="s">
        <v>244</v>
      </c>
      <c r="I732" s="44">
        <v>44585.0</v>
      </c>
      <c r="J732" s="150">
        <v>0.4705902777777778</v>
      </c>
      <c r="K732" s="19">
        <v>1.0</v>
      </c>
      <c r="L732" s="10" t="b">
        <v>1</v>
      </c>
      <c r="M732" s="5" t="s">
        <v>2489</v>
      </c>
      <c r="N732" s="5" t="s">
        <v>247</v>
      </c>
      <c r="O732" s="5"/>
      <c r="P732" s="110" t="b">
        <f t="shared" si="1"/>
        <v>0</v>
      </c>
      <c r="Q732" s="110" t="b">
        <f>IF(COUNTIF(RAW_APS!$A$2:$A815,A732)=0,TRUE,FALSE)</f>
        <v>0</v>
      </c>
      <c r="R732" s="241" t="b">
        <f t="shared" si="2"/>
        <v>0</v>
      </c>
      <c r="U732" s="112" t="str">
        <f t="shared" si="3"/>
        <v/>
      </c>
      <c r="V732" s="60"/>
      <c r="W732" s="60"/>
      <c r="X732" s="60"/>
      <c r="Y732" s="60"/>
      <c r="AA732" s="112" t="str">
        <f t="shared" si="4"/>
        <v>MAX103</v>
      </c>
      <c r="AB732" s="112" t="str">
        <f t="shared" si="5"/>
        <v/>
      </c>
      <c r="AC732" s="112" t="str">
        <f t="shared" si="6"/>
        <v/>
      </c>
      <c r="AD732" s="5"/>
      <c r="AE732" s="5"/>
    </row>
    <row r="733">
      <c r="A733" s="5" t="s">
        <v>747</v>
      </c>
      <c r="B733" s="44">
        <v>44573.0</v>
      </c>
      <c r="C733" s="150">
        <v>0.3873263888888889</v>
      </c>
      <c r="D733" s="5"/>
      <c r="E733" s="5"/>
      <c r="F733" s="5"/>
      <c r="G733" s="5" t="s">
        <v>2184</v>
      </c>
      <c r="H733" s="5" t="s">
        <v>244</v>
      </c>
      <c r="I733" s="44">
        <v>44575.0</v>
      </c>
      <c r="J733" s="150">
        <v>0.48203703703703704</v>
      </c>
      <c r="K733" s="19">
        <v>1.0</v>
      </c>
      <c r="L733" s="10" t="b">
        <v>1</v>
      </c>
      <c r="M733" s="5" t="s">
        <v>2495</v>
      </c>
      <c r="N733" s="5" t="s">
        <v>247</v>
      </c>
      <c r="O733" s="5"/>
      <c r="P733" s="110" t="b">
        <f t="shared" si="1"/>
        <v>0</v>
      </c>
      <c r="Q733" s="110" t="b">
        <f>IF(COUNTIF(RAW_APS!$A$2:$A815,A733)=0,TRUE,FALSE)</f>
        <v>0</v>
      </c>
      <c r="R733" s="241" t="b">
        <f t="shared" si="2"/>
        <v>0</v>
      </c>
      <c r="U733" s="112" t="str">
        <f t="shared" si="3"/>
        <v/>
      </c>
      <c r="V733" s="60"/>
      <c r="W733" s="60"/>
      <c r="X733" s="60"/>
      <c r="Y733" s="60"/>
      <c r="Z733" s="2"/>
      <c r="AA733" s="112" t="str">
        <f t="shared" si="4"/>
        <v>MAX104</v>
      </c>
      <c r="AB733" s="112" t="str">
        <f t="shared" si="5"/>
        <v/>
      </c>
      <c r="AC733" s="112" t="str">
        <f t="shared" si="6"/>
        <v/>
      </c>
      <c r="AD733" s="5"/>
      <c r="AE733" s="5"/>
    </row>
    <row r="734">
      <c r="A734" s="5" t="s">
        <v>1104</v>
      </c>
      <c r="B734" s="44">
        <v>44594.0</v>
      </c>
      <c r="C734" s="150">
        <v>0.3751157407407407</v>
      </c>
      <c r="D734" s="5"/>
      <c r="E734" s="5"/>
      <c r="F734" s="5"/>
      <c r="G734" s="5" t="s">
        <v>2184</v>
      </c>
      <c r="H734" s="5" t="s">
        <v>244</v>
      </c>
      <c r="I734" s="44">
        <v>44596.0</v>
      </c>
      <c r="J734" s="150">
        <v>0.48194444444444445</v>
      </c>
      <c r="K734" s="19">
        <v>1.0</v>
      </c>
      <c r="L734" s="10" t="b">
        <v>1</v>
      </c>
      <c r="M734" s="5" t="s">
        <v>2485</v>
      </c>
      <c r="N734" s="5" t="s">
        <v>247</v>
      </c>
      <c r="O734" s="5"/>
      <c r="P734" s="110" t="b">
        <f t="shared" si="1"/>
        <v>0</v>
      </c>
      <c r="Q734" s="110" t="b">
        <f>IF(COUNTIF(RAW_APS!$A$2:$A815,A734)=0,TRUE,FALSE)</f>
        <v>0</v>
      </c>
      <c r="R734" s="241" t="b">
        <f t="shared" si="2"/>
        <v>0</v>
      </c>
      <c r="U734" s="112" t="str">
        <f t="shared" si="3"/>
        <v/>
      </c>
      <c r="V734" s="60"/>
      <c r="W734" s="60"/>
      <c r="X734" s="60"/>
      <c r="Y734" s="60"/>
      <c r="Z734" s="2"/>
      <c r="AA734" s="112" t="str">
        <f t="shared" si="4"/>
        <v>MAX105</v>
      </c>
      <c r="AB734" s="112" t="str">
        <f t="shared" si="5"/>
        <v/>
      </c>
      <c r="AC734" s="112" t="str">
        <f t="shared" si="6"/>
        <v/>
      </c>
      <c r="AD734" s="5"/>
      <c r="AE734" s="5"/>
    </row>
    <row r="735">
      <c r="A735" s="5" t="s">
        <v>1745</v>
      </c>
      <c r="B735" s="44">
        <v>44619.0</v>
      </c>
      <c r="C735" s="150">
        <v>0.47128472222222223</v>
      </c>
      <c r="D735" s="5"/>
      <c r="E735" s="5"/>
      <c r="F735" s="5"/>
      <c r="G735" s="5" t="s">
        <v>2184</v>
      </c>
      <c r="H735" s="5" t="s">
        <v>244</v>
      </c>
      <c r="I735" s="44">
        <v>44621.0</v>
      </c>
      <c r="J735" s="150">
        <v>0.47835648148148147</v>
      </c>
      <c r="K735" s="19">
        <v>1.0</v>
      </c>
      <c r="L735" s="10" t="b">
        <v>1</v>
      </c>
      <c r="M735" s="5" t="s">
        <v>2472</v>
      </c>
      <c r="N735" s="5" t="s">
        <v>247</v>
      </c>
      <c r="O735" s="5"/>
      <c r="P735" s="110" t="b">
        <f t="shared" si="1"/>
        <v>0</v>
      </c>
      <c r="Q735" s="110" t="b">
        <f>IF(COUNTIF(RAW_APS!$A$2:$A815,A735)=0,TRUE,FALSE)</f>
        <v>0</v>
      </c>
      <c r="R735" s="241" t="b">
        <f t="shared" si="2"/>
        <v>0</v>
      </c>
      <c r="U735" s="112" t="str">
        <f t="shared" si="3"/>
        <v/>
      </c>
      <c r="V735" s="60"/>
      <c r="W735" s="60"/>
      <c r="X735" s="60"/>
      <c r="Y735" s="60"/>
      <c r="Z735" s="2"/>
      <c r="AA735" s="112" t="str">
        <f t="shared" si="4"/>
        <v>MAX106</v>
      </c>
      <c r="AB735" s="112" t="str">
        <f t="shared" si="5"/>
        <v/>
      </c>
      <c r="AC735" s="112" t="str">
        <f t="shared" si="6"/>
        <v/>
      </c>
      <c r="AD735" s="5"/>
      <c r="AE735" s="5"/>
    </row>
    <row r="736">
      <c r="A736" s="5" t="s">
        <v>738</v>
      </c>
      <c r="B736" s="44">
        <v>44573.0</v>
      </c>
      <c r="C736" s="150">
        <v>0.38538194444444446</v>
      </c>
      <c r="D736" s="5"/>
      <c r="E736" s="5"/>
      <c r="F736" s="5"/>
      <c r="G736" s="5" t="s">
        <v>2184</v>
      </c>
      <c r="H736" s="5" t="s">
        <v>244</v>
      </c>
      <c r="I736" s="44">
        <v>44575.0</v>
      </c>
      <c r="J736" s="150">
        <v>0.48203703703703704</v>
      </c>
      <c r="K736" s="19">
        <v>1.0</v>
      </c>
      <c r="L736" s="10" t="b">
        <v>1</v>
      </c>
      <c r="M736" s="5" t="s">
        <v>2495</v>
      </c>
      <c r="N736" s="5" t="s">
        <v>247</v>
      </c>
      <c r="O736" s="5"/>
      <c r="P736" s="110" t="b">
        <f t="shared" si="1"/>
        <v>0</v>
      </c>
      <c r="Q736" s="110" t="b">
        <f>IF(COUNTIF(RAW_APS!$A$2:$A815,A736)=0,TRUE,FALSE)</f>
        <v>0</v>
      </c>
      <c r="R736" s="241" t="b">
        <f t="shared" si="2"/>
        <v>0</v>
      </c>
      <c r="U736" s="112" t="str">
        <f t="shared" si="3"/>
        <v/>
      </c>
      <c r="V736" s="60"/>
      <c r="W736" s="60"/>
      <c r="X736" s="60"/>
      <c r="Y736" s="60"/>
      <c r="AA736" s="112" t="str">
        <f t="shared" si="4"/>
        <v>MAX107</v>
      </c>
      <c r="AB736" s="112" t="str">
        <f t="shared" si="5"/>
        <v/>
      </c>
      <c r="AC736" s="112" t="str">
        <f t="shared" si="6"/>
        <v/>
      </c>
      <c r="AD736" s="5"/>
      <c r="AE736" s="5"/>
    </row>
    <row r="737">
      <c r="A737" s="5" t="s">
        <v>1108</v>
      </c>
      <c r="B737" s="44">
        <v>44596.0</v>
      </c>
      <c r="C737" s="150">
        <v>0.30917824074074074</v>
      </c>
      <c r="D737" s="5"/>
      <c r="E737" s="5"/>
      <c r="F737" s="5"/>
      <c r="G737" s="5" t="s">
        <v>2184</v>
      </c>
      <c r="H737" s="5" t="s">
        <v>244</v>
      </c>
      <c r="I737" s="44">
        <v>44596.0</v>
      </c>
      <c r="J737" s="150">
        <v>0.48193287037037036</v>
      </c>
      <c r="K737" s="19">
        <v>1.0</v>
      </c>
      <c r="L737" s="10" t="b">
        <v>1</v>
      </c>
      <c r="M737" s="5" t="s">
        <v>2484</v>
      </c>
      <c r="N737" s="5" t="s">
        <v>247</v>
      </c>
      <c r="O737" s="5"/>
      <c r="P737" s="110" t="b">
        <f t="shared" si="1"/>
        <v>0</v>
      </c>
      <c r="Q737" s="110" t="b">
        <f>IF(COUNTIF(RAW_APS!$A$2:$A815,A737)=0,TRUE,FALSE)</f>
        <v>0</v>
      </c>
      <c r="R737" s="241" t="b">
        <f t="shared" si="2"/>
        <v>0</v>
      </c>
      <c r="U737" s="112" t="str">
        <f t="shared" si="3"/>
        <v/>
      </c>
      <c r="V737" s="60"/>
      <c r="W737" s="60"/>
      <c r="X737" s="60"/>
      <c r="Y737" s="60"/>
      <c r="AA737" s="112" t="str">
        <f t="shared" si="4"/>
        <v>MAX108</v>
      </c>
      <c r="AB737" s="112" t="str">
        <f t="shared" si="5"/>
        <v/>
      </c>
      <c r="AC737" s="112" t="str">
        <f t="shared" si="6"/>
        <v/>
      </c>
      <c r="AD737" s="5"/>
      <c r="AE737" s="5"/>
    </row>
    <row r="738">
      <c r="A738" s="5" t="s">
        <v>1023</v>
      </c>
      <c r="B738" s="44">
        <v>44585.0</v>
      </c>
      <c r="C738" s="150">
        <v>0.43105324074074075</v>
      </c>
      <c r="D738" s="5"/>
      <c r="E738" s="5"/>
      <c r="F738" s="5"/>
      <c r="G738" s="5" t="s">
        <v>2184</v>
      </c>
      <c r="H738" s="5" t="s">
        <v>244</v>
      </c>
      <c r="I738" s="44">
        <v>44585.0</v>
      </c>
      <c r="J738" s="150">
        <v>0.4705902777777778</v>
      </c>
      <c r="K738" s="19">
        <v>1.0</v>
      </c>
      <c r="L738" s="10" t="b">
        <v>1</v>
      </c>
      <c r="M738" s="5" t="s">
        <v>2489</v>
      </c>
      <c r="N738" s="5" t="s">
        <v>247</v>
      </c>
      <c r="O738" s="5"/>
      <c r="P738" s="110" t="b">
        <f t="shared" si="1"/>
        <v>0</v>
      </c>
      <c r="Q738" s="110" t="b">
        <f>IF(COUNTIF(RAW_APS!$A$2:$A815,A738)=0,TRUE,FALSE)</f>
        <v>0</v>
      </c>
      <c r="R738" s="241" t="b">
        <f t="shared" si="2"/>
        <v>0</v>
      </c>
      <c r="U738" s="112" t="str">
        <f t="shared" si="3"/>
        <v/>
      </c>
      <c r="V738" s="60"/>
      <c r="W738" s="60"/>
      <c r="X738" s="60"/>
      <c r="Y738" s="60"/>
      <c r="AA738" s="112" t="str">
        <f t="shared" si="4"/>
        <v>MAX109</v>
      </c>
      <c r="AB738" s="112" t="str">
        <f t="shared" si="5"/>
        <v/>
      </c>
      <c r="AC738" s="112" t="str">
        <f t="shared" si="6"/>
        <v/>
      </c>
      <c r="AD738" s="5"/>
      <c r="AE738" s="5"/>
    </row>
    <row r="739">
      <c r="A739" s="5" t="s">
        <v>809</v>
      </c>
      <c r="B739" s="44">
        <v>44575.0</v>
      </c>
      <c r="C739" s="150">
        <v>0.3859722222222222</v>
      </c>
      <c r="D739" s="5"/>
      <c r="E739" s="5"/>
      <c r="F739" s="5"/>
      <c r="G739" s="5" t="s">
        <v>2184</v>
      </c>
      <c r="H739" s="5" t="s">
        <v>52</v>
      </c>
      <c r="I739" s="44">
        <v>44579.0</v>
      </c>
      <c r="J739" s="150">
        <v>0.5015856481481481</v>
      </c>
      <c r="K739" s="19">
        <v>1.0</v>
      </c>
      <c r="L739" s="10" t="b">
        <v>1</v>
      </c>
      <c r="M739" s="5"/>
      <c r="N739" s="5" t="s">
        <v>247</v>
      </c>
      <c r="O739" s="5"/>
      <c r="P739" s="110" t="b">
        <f t="shared" si="1"/>
        <v>0</v>
      </c>
      <c r="Q739" s="110" t="b">
        <f>IF(COUNTIF(RAW_APS!$A$2:$A815,A739)=0,TRUE,FALSE)</f>
        <v>0</v>
      </c>
      <c r="R739" s="241" t="b">
        <f t="shared" si="2"/>
        <v>0</v>
      </c>
      <c r="U739" s="112" t="str">
        <f t="shared" si="3"/>
        <v/>
      </c>
      <c r="V739" s="60"/>
      <c r="W739" s="60"/>
      <c r="X739" s="60"/>
      <c r="Y739" s="60"/>
      <c r="AA739" s="112" t="str">
        <f t="shared" si="4"/>
        <v>MAX110</v>
      </c>
      <c r="AB739" s="112" t="str">
        <f t="shared" si="5"/>
        <v/>
      </c>
      <c r="AC739" s="112" t="str">
        <f t="shared" si="6"/>
        <v/>
      </c>
      <c r="AD739" s="5"/>
      <c r="AE739" s="5"/>
    </row>
    <row r="740">
      <c r="A740" s="5" t="s">
        <v>290</v>
      </c>
      <c r="B740" s="44">
        <v>44543.0</v>
      </c>
      <c r="C740" s="150">
        <v>0.5629166666666666</v>
      </c>
      <c r="D740" s="5"/>
      <c r="E740" s="5"/>
      <c r="F740" s="5"/>
      <c r="G740" s="5" t="s">
        <v>2184</v>
      </c>
      <c r="H740" s="5" t="s">
        <v>244</v>
      </c>
      <c r="I740" s="44">
        <v>44543.0</v>
      </c>
      <c r="J740" s="150">
        <v>0.7849884259259259</v>
      </c>
      <c r="K740" s="19">
        <v>1.0</v>
      </c>
      <c r="L740" s="10" t="b">
        <v>1</v>
      </c>
      <c r="M740" s="5" t="s">
        <v>2509</v>
      </c>
      <c r="N740" s="5" t="s">
        <v>247</v>
      </c>
      <c r="O740" s="5"/>
      <c r="P740" s="110" t="b">
        <f t="shared" si="1"/>
        <v>0</v>
      </c>
      <c r="Q740" s="110" t="b">
        <f>IF(COUNTIF(RAW_APS!$A$2:$A815,A740)=0,TRUE,FALSE)</f>
        <v>0</v>
      </c>
      <c r="R740" s="241" t="b">
        <f t="shared" si="2"/>
        <v>0</v>
      </c>
      <c r="U740" s="112" t="str">
        <f t="shared" si="3"/>
        <v/>
      </c>
      <c r="V740" s="51"/>
      <c r="W740" s="51"/>
      <c r="X740" s="51"/>
      <c r="Y740" s="51"/>
      <c r="AA740" s="112" t="str">
        <f t="shared" si="4"/>
        <v>MAX111</v>
      </c>
      <c r="AB740" s="112" t="str">
        <f t="shared" si="5"/>
        <v/>
      </c>
      <c r="AC740" s="112" t="str">
        <f t="shared" si="6"/>
        <v/>
      </c>
      <c r="AD740" s="5"/>
      <c r="AE740" s="5"/>
    </row>
    <row r="741">
      <c r="A741" s="5" t="s">
        <v>1027</v>
      </c>
      <c r="B741" s="44">
        <v>44587.0</v>
      </c>
      <c r="C741" s="150">
        <v>0.2965162037037037</v>
      </c>
      <c r="D741" s="5"/>
      <c r="E741" s="5"/>
      <c r="F741" s="5"/>
      <c r="G741" s="5" t="s">
        <v>2184</v>
      </c>
      <c r="H741" s="5" t="s">
        <v>244</v>
      </c>
      <c r="I741" s="44">
        <v>44587.0</v>
      </c>
      <c r="J741" s="150">
        <v>0.5005439814814815</v>
      </c>
      <c r="K741" s="19">
        <v>1.0</v>
      </c>
      <c r="L741" s="10" t="b">
        <v>1</v>
      </c>
      <c r="M741" s="5" t="s">
        <v>2488</v>
      </c>
      <c r="N741" s="5" t="s">
        <v>247</v>
      </c>
      <c r="O741" s="5"/>
      <c r="P741" s="110" t="b">
        <f t="shared" si="1"/>
        <v>0</v>
      </c>
      <c r="Q741" s="110" t="b">
        <f>IF(COUNTIF(RAW_APS!$A$2:$A815,A741)=0,TRUE,FALSE)</f>
        <v>0</v>
      </c>
      <c r="R741" s="241" t="b">
        <f t="shared" si="2"/>
        <v>0</v>
      </c>
      <c r="U741" s="112" t="str">
        <f t="shared" si="3"/>
        <v/>
      </c>
      <c r="V741" s="60"/>
      <c r="W741" s="60"/>
      <c r="X741" s="60"/>
      <c r="Y741" s="60"/>
      <c r="AA741" s="112" t="str">
        <f t="shared" si="4"/>
        <v>MAX112</v>
      </c>
      <c r="AB741" s="112" t="str">
        <f t="shared" si="5"/>
        <v/>
      </c>
      <c r="AC741" s="112" t="str">
        <f t="shared" si="6"/>
        <v/>
      </c>
      <c r="AD741" s="5"/>
      <c r="AE741" s="5"/>
    </row>
    <row r="742">
      <c r="A742" s="5" t="s">
        <v>294</v>
      </c>
      <c r="B742" s="44">
        <v>44543.0</v>
      </c>
      <c r="C742" s="150">
        <v>0.5630208333333333</v>
      </c>
      <c r="D742" s="5"/>
      <c r="E742" s="5"/>
      <c r="F742" s="5"/>
      <c r="G742" s="5" t="s">
        <v>2184</v>
      </c>
      <c r="H742" s="5" t="s">
        <v>244</v>
      </c>
      <c r="I742" s="44">
        <v>44543.0</v>
      </c>
      <c r="J742" s="150">
        <v>0.7849884259259259</v>
      </c>
      <c r="K742" s="19">
        <v>1.0</v>
      </c>
      <c r="L742" s="10" t="b">
        <v>1</v>
      </c>
      <c r="M742" s="5" t="s">
        <v>2509</v>
      </c>
      <c r="N742" s="5" t="s">
        <v>247</v>
      </c>
      <c r="O742" s="5"/>
      <c r="P742" s="110" t="b">
        <f t="shared" si="1"/>
        <v>0</v>
      </c>
      <c r="Q742" s="110" t="b">
        <f>IF(COUNTIF(RAW_APS!$A$2:$A815,A742)=0,TRUE,FALSE)</f>
        <v>0</v>
      </c>
      <c r="R742" s="241" t="b">
        <f t="shared" si="2"/>
        <v>0</v>
      </c>
      <c r="U742" s="112" t="str">
        <f t="shared" si="3"/>
        <v/>
      </c>
      <c r="V742" s="51"/>
      <c r="W742" s="51"/>
      <c r="X742" s="51"/>
      <c r="Y742" s="51"/>
      <c r="AA742" s="112" t="str">
        <f t="shared" si="4"/>
        <v>MAX113</v>
      </c>
      <c r="AB742" s="112" t="str">
        <f t="shared" si="5"/>
        <v/>
      </c>
      <c r="AC742" s="112" t="str">
        <f t="shared" si="6"/>
        <v/>
      </c>
      <c r="AD742" s="5"/>
      <c r="AE742" s="5"/>
    </row>
    <row r="743">
      <c r="A743" s="5" t="s">
        <v>943</v>
      </c>
      <c r="B743" s="44">
        <v>44580.0</v>
      </c>
      <c r="C743" s="150">
        <v>0.4467476851851852</v>
      </c>
      <c r="D743" s="5"/>
      <c r="E743" s="5"/>
      <c r="F743" s="5"/>
      <c r="G743" s="5" t="s">
        <v>2184</v>
      </c>
      <c r="H743" s="5" t="s">
        <v>244</v>
      </c>
      <c r="I743" s="44">
        <v>44580.0</v>
      </c>
      <c r="J743" s="150">
        <v>0.5080324074074074</v>
      </c>
      <c r="K743" s="19">
        <v>1.0</v>
      </c>
      <c r="L743" s="10" t="b">
        <v>1</v>
      </c>
      <c r="M743" s="5" t="s">
        <v>2491</v>
      </c>
      <c r="N743" s="5" t="s">
        <v>247</v>
      </c>
      <c r="O743" s="5"/>
      <c r="P743" s="110" t="b">
        <f t="shared" si="1"/>
        <v>0</v>
      </c>
      <c r="Q743" s="110" t="b">
        <f>IF(COUNTIF(RAW_APS!$A$2:$A815,A743)=0,TRUE,FALSE)</f>
        <v>0</v>
      </c>
      <c r="R743" s="241" t="b">
        <f t="shared" si="2"/>
        <v>0</v>
      </c>
      <c r="U743" s="112" t="str">
        <f t="shared" si="3"/>
        <v/>
      </c>
      <c r="V743" s="60"/>
      <c r="W743" s="60"/>
      <c r="X743" s="60"/>
      <c r="Y743" s="60"/>
      <c r="AA743" s="112" t="str">
        <f t="shared" si="4"/>
        <v>MAX114</v>
      </c>
      <c r="AB743" s="112" t="str">
        <f t="shared" si="5"/>
        <v/>
      </c>
      <c r="AC743" s="112" t="str">
        <f t="shared" si="6"/>
        <v/>
      </c>
      <c r="AD743" s="5"/>
      <c r="AE743" s="5"/>
    </row>
    <row r="744">
      <c r="A744" s="5" t="s">
        <v>1323</v>
      </c>
      <c r="B744" s="44">
        <v>44609.0</v>
      </c>
      <c r="C744" s="150">
        <v>0.2938541666666667</v>
      </c>
      <c r="D744" s="5"/>
      <c r="E744" s="5"/>
      <c r="F744" s="5"/>
      <c r="G744" s="5" t="s">
        <v>2184</v>
      </c>
      <c r="H744" s="5" t="s">
        <v>244</v>
      </c>
      <c r="I744" s="44">
        <v>44611.0</v>
      </c>
      <c r="J744" s="150">
        <v>0.3895601851851852</v>
      </c>
      <c r="K744" s="19">
        <v>1.0</v>
      </c>
      <c r="L744" s="10" t="b">
        <v>1</v>
      </c>
      <c r="M744" s="5" t="s">
        <v>2478</v>
      </c>
      <c r="N744" s="5" t="s">
        <v>247</v>
      </c>
      <c r="O744" s="5"/>
      <c r="P744" s="110" t="b">
        <f t="shared" si="1"/>
        <v>0</v>
      </c>
      <c r="Q744" s="110" t="b">
        <f>IF(COUNTIF(RAW_APS!$A$2:$A815,A744)=0,TRUE,FALSE)</f>
        <v>0</v>
      </c>
      <c r="R744" s="241" t="b">
        <f t="shared" si="2"/>
        <v>0</v>
      </c>
      <c r="U744" s="112" t="str">
        <f t="shared" si="3"/>
        <v/>
      </c>
      <c r="V744" s="60"/>
      <c r="W744" s="60"/>
      <c r="X744" s="60"/>
      <c r="Y744" s="60"/>
      <c r="AA744" s="112" t="str">
        <f t="shared" si="4"/>
        <v>MAX115</v>
      </c>
      <c r="AB744" s="112" t="str">
        <f t="shared" si="5"/>
        <v/>
      </c>
      <c r="AC744" s="112" t="str">
        <f t="shared" si="6"/>
        <v/>
      </c>
      <c r="AD744" s="5"/>
      <c r="AE744" s="5"/>
    </row>
    <row r="745">
      <c r="A745" s="5" t="s">
        <v>1164</v>
      </c>
      <c r="B745" s="44">
        <v>44601.0</v>
      </c>
      <c r="C745" s="150">
        <v>0.3448726851851852</v>
      </c>
      <c r="D745" s="5"/>
      <c r="E745" s="5"/>
      <c r="F745" s="5"/>
      <c r="G745" s="5" t="s">
        <v>2184</v>
      </c>
      <c r="H745" s="5" t="s">
        <v>244</v>
      </c>
      <c r="I745" s="44">
        <v>44601.0</v>
      </c>
      <c r="J745" s="150">
        <v>0.48203703703703704</v>
      </c>
      <c r="K745" s="19">
        <v>1.0</v>
      </c>
      <c r="L745" s="10" t="b">
        <v>1</v>
      </c>
      <c r="M745" s="5" t="s">
        <v>2482</v>
      </c>
      <c r="N745" s="5" t="s">
        <v>247</v>
      </c>
      <c r="O745" s="5"/>
      <c r="P745" s="110" t="b">
        <f t="shared" si="1"/>
        <v>0</v>
      </c>
      <c r="Q745" s="110" t="b">
        <f>IF(COUNTIF(RAW_APS!$A$2:$A815,A745)=0,TRUE,FALSE)</f>
        <v>0</v>
      </c>
      <c r="R745" s="241" t="b">
        <f t="shared" si="2"/>
        <v>0</v>
      </c>
      <c r="U745" s="112" t="str">
        <f t="shared" si="3"/>
        <v/>
      </c>
      <c r="V745" s="60"/>
      <c r="W745" s="60"/>
      <c r="X745" s="60"/>
      <c r="Y745" s="60"/>
      <c r="AA745" s="112" t="str">
        <f t="shared" si="4"/>
        <v>MAX116</v>
      </c>
      <c r="AB745" s="112" t="str">
        <f t="shared" si="5"/>
        <v/>
      </c>
      <c r="AC745" s="112" t="str">
        <f t="shared" si="6"/>
        <v/>
      </c>
      <c r="AD745" s="5"/>
      <c r="AE745" s="5"/>
    </row>
    <row r="746">
      <c r="A746" s="5" t="s">
        <v>1321</v>
      </c>
      <c r="B746" s="44">
        <v>44609.0</v>
      </c>
      <c r="C746" s="150">
        <v>0.2935185185185185</v>
      </c>
      <c r="D746" s="5"/>
      <c r="E746" s="5"/>
      <c r="F746" s="5"/>
      <c r="G746" s="5" t="s">
        <v>2184</v>
      </c>
      <c r="H746" s="5" t="s">
        <v>244</v>
      </c>
      <c r="I746" s="44">
        <v>44611.0</v>
      </c>
      <c r="J746" s="150">
        <v>0.3895601851851852</v>
      </c>
      <c r="K746" s="19">
        <v>1.0</v>
      </c>
      <c r="L746" s="10" t="b">
        <v>1</v>
      </c>
      <c r="M746" s="5" t="s">
        <v>2478</v>
      </c>
      <c r="N746" s="5" t="s">
        <v>247</v>
      </c>
      <c r="O746" s="5"/>
      <c r="P746" s="110" t="b">
        <f t="shared" si="1"/>
        <v>0</v>
      </c>
      <c r="Q746" s="110" t="b">
        <f>IF(COUNTIF(RAW_APS!$A$2:$A815,A746)=0,TRUE,FALSE)</f>
        <v>0</v>
      </c>
      <c r="R746" s="241" t="b">
        <f t="shared" si="2"/>
        <v>0</v>
      </c>
      <c r="U746" s="112" t="str">
        <f t="shared" si="3"/>
        <v/>
      </c>
      <c r="V746" s="60"/>
      <c r="W746" s="60"/>
      <c r="X746" s="60"/>
      <c r="Y746" s="60"/>
      <c r="AA746" s="112" t="str">
        <f t="shared" si="4"/>
        <v>MAX117</v>
      </c>
      <c r="AB746" s="112" t="str">
        <f t="shared" si="5"/>
        <v/>
      </c>
      <c r="AC746" s="112" t="str">
        <f t="shared" si="6"/>
        <v/>
      </c>
      <c r="AD746" s="5"/>
      <c r="AE746" s="5"/>
    </row>
    <row r="747">
      <c r="A747" s="5" t="s">
        <v>1611</v>
      </c>
      <c r="B747" s="44">
        <v>44615.0</v>
      </c>
      <c r="C747" s="150">
        <v>0.4183912037037037</v>
      </c>
      <c r="D747" s="5"/>
      <c r="E747" s="5"/>
      <c r="F747" s="5"/>
      <c r="G747" s="5" t="s">
        <v>2184</v>
      </c>
      <c r="H747" s="5" t="s">
        <v>52</v>
      </c>
      <c r="I747" s="44">
        <v>44615.0</v>
      </c>
      <c r="J747" s="150">
        <v>0.49126157407407406</v>
      </c>
      <c r="K747" s="19">
        <v>1.0</v>
      </c>
      <c r="L747" s="10" t="b">
        <v>1</v>
      </c>
      <c r="M747" s="5" t="s">
        <v>2474</v>
      </c>
      <c r="N747" s="5" t="s">
        <v>247</v>
      </c>
      <c r="O747" s="5"/>
      <c r="P747" s="110" t="b">
        <f t="shared" si="1"/>
        <v>0</v>
      </c>
      <c r="Q747" s="110" t="b">
        <f>IF(COUNTIF(RAW_APS!$A$2:$A815,A747)=0,TRUE,FALSE)</f>
        <v>0</v>
      </c>
      <c r="R747" s="241" t="b">
        <f t="shared" si="2"/>
        <v>0</v>
      </c>
      <c r="U747" s="112" t="str">
        <f t="shared" si="3"/>
        <v/>
      </c>
      <c r="V747" s="60"/>
      <c r="W747" s="60"/>
      <c r="X747" s="60"/>
      <c r="Y747" s="60"/>
      <c r="AA747" s="112" t="str">
        <f t="shared" si="4"/>
        <v>MAX118</v>
      </c>
      <c r="AB747" s="112" t="str">
        <f t="shared" si="5"/>
        <v/>
      </c>
      <c r="AC747" s="112" t="str">
        <f t="shared" si="6"/>
        <v/>
      </c>
      <c r="AD747" s="5"/>
      <c r="AE747" s="5"/>
    </row>
    <row r="748">
      <c r="A748" s="5" t="s">
        <v>671</v>
      </c>
      <c r="B748" s="44">
        <v>44571.0</v>
      </c>
      <c r="C748" s="150">
        <v>0.3904398148148148</v>
      </c>
      <c r="D748" s="5"/>
      <c r="E748" s="5"/>
      <c r="F748" s="5"/>
      <c r="G748" s="5" t="s">
        <v>2184</v>
      </c>
      <c r="H748" s="5" t="s">
        <v>244</v>
      </c>
      <c r="I748" s="44">
        <v>44571.0</v>
      </c>
      <c r="J748" s="150">
        <v>0.46598379629629627</v>
      </c>
      <c r="K748" s="19">
        <v>1.0</v>
      </c>
      <c r="L748" s="10" t="b">
        <v>1</v>
      </c>
      <c r="M748" s="5" t="s">
        <v>2496</v>
      </c>
      <c r="N748" s="5" t="s">
        <v>247</v>
      </c>
      <c r="O748" s="5"/>
      <c r="P748" s="110" t="b">
        <f t="shared" si="1"/>
        <v>0</v>
      </c>
      <c r="Q748" s="110" t="b">
        <f>IF(COUNTIF(RAW_APS!$A$2:$A815,A748)=0,TRUE,FALSE)</f>
        <v>0</v>
      </c>
      <c r="R748" s="241" t="b">
        <f t="shared" si="2"/>
        <v>0</v>
      </c>
      <c r="U748" s="112" t="str">
        <f t="shared" si="3"/>
        <v/>
      </c>
      <c r="V748" s="60"/>
      <c r="W748" s="60"/>
      <c r="X748" s="60"/>
      <c r="Y748" s="60"/>
      <c r="AA748" s="112" t="str">
        <f t="shared" si="4"/>
        <v>MAX119</v>
      </c>
      <c r="AB748" s="112" t="str">
        <f t="shared" si="5"/>
        <v/>
      </c>
      <c r="AC748" s="112" t="str">
        <f t="shared" si="6"/>
        <v/>
      </c>
      <c r="AD748" s="5"/>
      <c r="AE748" s="5"/>
    </row>
    <row r="749">
      <c r="A749" s="5" t="s">
        <v>1161</v>
      </c>
      <c r="B749" s="44">
        <v>44601.0</v>
      </c>
      <c r="C749" s="150">
        <v>0.3444212962962963</v>
      </c>
      <c r="D749" s="5"/>
      <c r="E749" s="5"/>
      <c r="F749" s="5"/>
      <c r="G749" s="5" t="s">
        <v>2184</v>
      </c>
      <c r="H749" s="5" t="s">
        <v>244</v>
      </c>
      <c r="I749" s="44">
        <v>44601.0</v>
      </c>
      <c r="J749" s="150">
        <v>0.48203703703703704</v>
      </c>
      <c r="K749" s="19">
        <v>1.0</v>
      </c>
      <c r="L749" s="10" t="b">
        <v>1</v>
      </c>
      <c r="M749" s="5" t="s">
        <v>2482</v>
      </c>
      <c r="N749" s="5" t="s">
        <v>247</v>
      </c>
      <c r="O749" s="5"/>
      <c r="P749" s="110" t="b">
        <f t="shared" si="1"/>
        <v>0</v>
      </c>
      <c r="Q749" s="110" t="b">
        <f>IF(COUNTIF(RAW_APS!$A$2:$A815,A749)=0,TRUE,FALSE)</f>
        <v>0</v>
      </c>
      <c r="R749" s="241" t="b">
        <f t="shared" si="2"/>
        <v>0</v>
      </c>
      <c r="U749" s="112" t="str">
        <f t="shared" si="3"/>
        <v/>
      </c>
      <c r="V749" s="60"/>
      <c r="W749" s="60"/>
      <c r="X749" s="60"/>
      <c r="Y749" s="60"/>
      <c r="AA749" s="112" t="str">
        <f t="shared" si="4"/>
        <v>MAX12</v>
      </c>
      <c r="AB749" s="112" t="str">
        <f t="shared" si="5"/>
        <v/>
      </c>
      <c r="AC749" s="112" t="str">
        <f t="shared" si="6"/>
        <v/>
      </c>
      <c r="AD749" s="5"/>
      <c r="AE749" s="5"/>
    </row>
    <row r="750">
      <c r="A750" s="5" t="s">
        <v>1175</v>
      </c>
      <c r="B750" s="44">
        <v>44601.0</v>
      </c>
      <c r="C750" s="150">
        <v>0.3908912037037037</v>
      </c>
      <c r="D750" s="5"/>
      <c r="E750" s="5"/>
      <c r="F750" s="5"/>
      <c r="G750" s="5" t="s">
        <v>2184</v>
      </c>
      <c r="H750" s="5" t="s">
        <v>244</v>
      </c>
      <c r="I750" s="44">
        <v>44601.0</v>
      </c>
      <c r="J750" s="150">
        <v>0.48203703703703704</v>
      </c>
      <c r="K750" s="19">
        <v>1.0</v>
      </c>
      <c r="L750" s="10" t="b">
        <v>1</v>
      </c>
      <c r="M750" s="5" t="s">
        <v>2482</v>
      </c>
      <c r="N750" s="5" t="s">
        <v>247</v>
      </c>
      <c r="O750" s="5"/>
      <c r="P750" s="110" t="b">
        <f t="shared" si="1"/>
        <v>0</v>
      </c>
      <c r="Q750" s="110" t="b">
        <f>IF(COUNTIF(RAW_APS!$A$2:$A815,A750)=0,TRUE,FALSE)</f>
        <v>0</v>
      </c>
      <c r="R750" s="241" t="b">
        <f t="shared" si="2"/>
        <v>0</v>
      </c>
      <c r="U750" s="112" t="str">
        <f t="shared" si="3"/>
        <v/>
      </c>
      <c r="V750" s="60"/>
      <c r="W750" s="60"/>
      <c r="X750" s="60"/>
      <c r="Y750" s="60"/>
      <c r="AA750" s="112" t="str">
        <f t="shared" si="4"/>
        <v>MAX120</v>
      </c>
      <c r="AB750" s="112" t="str">
        <f t="shared" si="5"/>
        <v/>
      </c>
      <c r="AC750" s="112" t="str">
        <f t="shared" si="6"/>
        <v/>
      </c>
      <c r="AD750" s="5"/>
      <c r="AE750" s="5"/>
    </row>
    <row r="751">
      <c r="A751" s="5" t="s">
        <v>298</v>
      </c>
      <c r="B751" s="44">
        <v>44543.0</v>
      </c>
      <c r="C751" s="150">
        <v>0.5931712962962963</v>
      </c>
      <c r="D751" s="5"/>
      <c r="E751" s="5"/>
      <c r="F751" s="5"/>
      <c r="G751" s="5" t="s">
        <v>2184</v>
      </c>
      <c r="H751" s="5" t="s">
        <v>244</v>
      </c>
      <c r="I751" s="44">
        <v>44543.0</v>
      </c>
      <c r="J751" s="150">
        <v>0.7849884259259259</v>
      </c>
      <c r="K751" s="19">
        <v>1.0</v>
      </c>
      <c r="L751" s="10" t="b">
        <v>1</v>
      </c>
      <c r="M751" s="5" t="s">
        <v>2509</v>
      </c>
      <c r="N751" s="5" t="s">
        <v>247</v>
      </c>
      <c r="O751" s="5"/>
      <c r="P751" s="110" t="b">
        <f t="shared" si="1"/>
        <v>0</v>
      </c>
      <c r="Q751" s="110" t="b">
        <f>IF(COUNTIF(RAW_APS!$A$2:$A815,A751)=0,TRUE,FALSE)</f>
        <v>0</v>
      </c>
      <c r="R751" s="241" t="b">
        <f t="shared" si="2"/>
        <v>0</v>
      </c>
      <c r="U751" s="112" t="str">
        <f t="shared" si="3"/>
        <v/>
      </c>
      <c r="V751" s="51"/>
      <c r="W751" s="51"/>
      <c r="X751" s="51"/>
      <c r="Y751" s="51"/>
      <c r="AA751" s="112" t="str">
        <f t="shared" si="4"/>
        <v>MAX122</v>
      </c>
      <c r="AB751" s="112" t="str">
        <f t="shared" si="5"/>
        <v/>
      </c>
      <c r="AC751" s="112" t="str">
        <f t="shared" si="6"/>
        <v/>
      </c>
      <c r="AD751" s="5"/>
      <c r="AE751" s="5"/>
    </row>
    <row r="752">
      <c r="A752" s="5" t="s">
        <v>1051</v>
      </c>
      <c r="B752" s="44">
        <v>44587.0</v>
      </c>
      <c r="C752" s="150">
        <v>0.38894675925925926</v>
      </c>
      <c r="D752" s="5"/>
      <c r="E752" s="5"/>
      <c r="F752" s="5"/>
      <c r="G752" s="5" t="s">
        <v>2184</v>
      </c>
      <c r="H752" s="5" t="s">
        <v>244</v>
      </c>
      <c r="I752" s="44">
        <v>44587.0</v>
      </c>
      <c r="J752" s="150">
        <v>0.5005671296296297</v>
      </c>
      <c r="K752" s="19">
        <v>1.0</v>
      </c>
      <c r="L752" s="10" t="b">
        <v>1</v>
      </c>
      <c r="M752" s="5" t="s">
        <v>2488</v>
      </c>
      <c r="N752" s="5" t="s">
        <v>247</v>
      </c>
      <c r="O752" s="5"/>
      <c r="P752" s="110" t="b">
        <f t="shared" si="1"/>
        <v>0</v>
      </c>
      <c r="Q752" s="110" t="b">
        <f>IF(COUNTIF(RAW_APS!$A$2:$A815,A752)=0,TRUE,FALSE)</f>
        <v>0</v>
      </c>
      <c r="R752" s="241" t="b">
        <f t="shared" si="2"/>
        <v>0</v>
      </c>
      <c r="U752" s="112" t="str">
        <f t="shared" si="3"/>
        <v/>
      </c>
      <c r="V752" s="60"/>
      <c r="W752" s="60"/>
      <c r="X752" s="60"/>
      <c r="Y752" s="60"/>
      <c r="AA752" s="112" t="str">
        <f t="shared" si="4"/>
        <v>MAX123</v>
      </c>
      <c r="AB752" s="112" t="str">
        <f t="shared" si="5"/>
        <v/>
      </c>
      <c r="AC752" s="112" t="str">
        <f t="shared" si="6"/>
        <v/>
      </c>
      <c r="AD752" s="5"/>
      <c r="AE752" s="5"/>
    </row>
    <row r="753">
      <c r="A753" s="5" t="s">
        <v>1159</v>
      </c>
      <c r="B753" s="44">
        <v>44601.0</v>
      </c>
      <c r="C753" s="150">
        <v>0.3438310185185185</v>
      </c>
      <c r="D753" s="5"/>
      <c r="E753" s="5"/>
      <c r="F753" s="5"/>
      <c r="G753" s="5" t="s">
        <v>2184</v>
      </c>
      <c r="H753" s="5" t="s">
        <v>244</v>
      </c>
      <c r="I753" s="44">
        <v>44601.0</v>
      </c>
      <c r="J753" s="150">
        <v>0.48203703703703704</v>
      </c>
      <c r="K753" s="19">
        <v>1.0</v>
      </c>
      <c r="L753" s="10" t="b">
        <v>1</v>
      </c>
      <c r="M753" s="5" t="s">
        <v>2482</v>
      </c>
      <c r="N753" s="5" t="s">
        <v>247</v>
      </c>
      <c r="O753" s="5"/>
      <c r="P753" s="110" t="b">
        <f t="shared" si="1"/>
        <v>0</v>
      </c>
      <c r="Q753" s="110" t="b">
        <f>IF(COUNTIF(RAW_APS!$A$2:$A815,A753)=0,TRUE,FALSE)</f>
        <v>0</v>
      </c>
      <c r="R753" s="241" t="b">
        <f t="shared" si="2"/>
        <v>0</v>
      </c>
      <c r="U753" s="112" t="str">
        <f t="shared" si="3"/>
        <v/>
      </c>
      <c r="V753" s="60"/>
      <c r="W753" s="60"/>
      <c r="X753" s="60"/>
      <c r="Y753" s="60"/>
      <c r="AA753" s="112" t="str">
        <f t="shared" si="4"/>
        <v>MAX124</v>
      </c>
      <c r="AB753" s="112" t="str">
        <f t="shared" si="5"/>
        <v/>
      </c>
      <c r="AC753" s="112" t="str">
        <f t="shared" si="6"/>
        <v/>
      </c>
      <c r="AD753" s="5"/>
      <c r="AE753" s="5"/>
    </row>
    <row r="754">
      <c r="A754" s="5" t="s">
        <v>596</v>
      </c>
      <c r="B754" s="44">
        <v>44568.0</v>
      </c>
      <c r="C754" s="150">
        <v>0.35561342592592593</v>
      </c>
      <c r="D754" s="5"/>
      <c r="E754" s="5"/>
      <c r="F754" s="5"/>
      <c r="G754" s="5" t="s">
        <v>2184</v>
      </c>
      <c r="H754" s="5" t="s">
        <v>244</v>
      </c>
      <c r="I754" s="44">
        <v>44568.0</v>
      </c>
      <c r="J754" s="150">
        <v>0.5079166666666667</v>
      </c>
      <c r="K754" s="19">
        <v>1.0</v>
      </c>
      <c r="L754" s="10" t="b">
        <v>1</v>
      </c>
      <c r="M754" s="5" t="s">
        <v>2498</v>
      </c>
      <c r="N754" s="5" t="s">
        <v>247</v>
      </c>
      <c r="O754" s="5"/>
      <c r="P754" s="110" t="b">
        <f t="shared" si="1"/>
        <v>0</v>
      </c>
      <c r="Q754" s="110" t="b">
        <f>IF(COUNTIF(RAW_APS!$A$2:$A815,A754)=0,TRUE,FALSE)</f>
        <v>0</v>
      </c>
      <c r="R754" s="241" t="b">
        <f t="shared" si="2"/>
        <v>0</v>
      </c>
      <c r="U754" s="112" t="str">
        <f t="shared" si="3"/>
        <v/>
      </c>
      <c r="V754" s="60"/>
      <c r="W754" s="60"/>
      <c r="X754" s="60"/>
      <c r="Y754" s="60"/>
      <c r="AA754" s="112" t="str">
        <f t="shared" si="4"/>
        <v>MAX125</v>
      </c>
      <c r="AB754" s="112" t="str">
        <f t="shared" si="5"/>
        <v/>
      </c>
      <c r="AC754" s="112" t="str">
        <f t="shared" si="6"/>
        <v/>
      </c>
      <c r="AD754" s="5"/>
      <c r="AE754" s="5"/>
    </row>
    <row r="755">
      <c r="A755" s="5" t="s">
        <v>707</v>
      </c>
      <c r="B755" s="44">
        <v>44573.0</v>
      </c>
      <c r="C755" s="150">
        <v>0.28774305555555557</v>
      </c>
      <c r="D755" s="5"/>
      <c r="E755" s="5"/>
      <c r="F755" s="5"/>
      <c r="G755" s="5" t="s">
        <v>2184</v>
      </c>
      <c r="H755" s="5" t="s">
        <v>244</v>
      </c>
      <c r="I755" s="44">
        <v>44575.0</v>
      </c>
      <c r="J755" s="150">
        <v>0.48202546296296295</v>
      </c>
      <c r="K755" s="19">
        <v>1.0</v>
      </c>
      <c r="L755" s="10" t="b">
        <v>1</v>
      </c>
      <c r="M755" s="5" t="s">
        <v>2495</v>
      </c>
      <c r="N755" s="5" t="s">
        <v>247</v>
      </c>
      <c r="O755" s="5"/>
      <c r="P755" s="110" t="b">
        <f t="shared" si="1"/>
        <v>0</v>
      </c>
      <c r="Q755" s="110" t="b">
        <f>IF(COUNTIF(RAW_APS!$A$2:$A815,A755)=0,TRUE,FALSE)</f>
        <v>0</v>
      </c>
      <c r="R755" s="241" t="b">
        <f t="shared" si="2"/>
        <v>0</v>
      </c>
      <c r="U755" s="112" t="str">
        <f t="shared" si="3"/>
        <v/>
      </c>
      <c r="V755" s="60"/>
      <c r="W755" s="60"/>
      <c r="X755" s="60"/>
      <c r="Y755" s="60"/>
      <c r="AA755" s="112" t="str">
        <f t="shared" si="4"/>
        <v>MAX128</v>
      </c>
      <c r="AB755" s="112" t="str">
        <f t="shared" si="5"/>
        <v/>
      </c>
      <c r="AC755" s="112" t="str">
        <f t="shared" si="6"/>
        <v/>
      </c>
      <c r="AD755" s="5"/>
      <c r="AE755" s="5"/>
    </row>
    <row r="756">
      <c r="A756" s="5" t="s">
        <v>1172</v>
      </c>
      <c r="B756" s="44">
        <v>44601.0</v>
      </c>
      <c r="C756" s="150">
        <v>0.34619212962962964</v>
      </c>
      <c r="D756" s="5"/>
      <c r="E756" s="5"/>
      <c r="F756" s="5"/>
      <c r="G756" s="5" t="s">
        <v>2184</v>
      </c>
      <c r="H756" s="5" t="s">
        <v>244</v>
      </c>
      <c r="I756" s="44">
        <v>44601.0</v>
      </c>
      <c r="J756" s="150">
        <v>0.48203703703703704</v>
      </c>
      <c r="K756" s="19">
        <v>1.0</v>
      </c>
      <c r="L756" s="10" t="b">
        <v>1</v>
      </c>
      <c r="M756" s="5" t="s">
        <v>2482</v>
      </c>
      <c r="N756" s="5" t="s">
        <v>247</v>
      </c>
      <c r="O756" s="5"/>
      <c r="P756" s="110" t="b">
        <f t="shared" si="1"/>
        <v>0</v>
      </c>
      <c r="Q756" s="110" t="b">
        <f>IF(COUNTIF(RAW_APS!$A$2:$A815,A756)=0,TRUE,FALSE)</f>
        <v>0</v>
      </c>
      <c r="R756" s="241" t="b">
        <f t="shared" si="2"/>
        <v>0</v>
      </c>
      <c r="U756" s="112" t="str">
        <f t="shared" si="3"/>
        <v/>
      </c>
      <c r="V756" s="60"/>
      <c r="W756" s="60"/>
      <c r="X756" s="60"/>
      <c r="Y756" s="60"/>
      <c r="AA756" s="112" t="str">
        <f t="shared" si="4"/>
        <v>MAX131</v>
      </c>
      <c r="AB756" s="112" t="str">
        <f t="shared" si="5"/>
        <v/>
      </c>
      <c r="AC756" s="112" t="str">
        <f t="shared" si="6"/>
        <v/>
      </c>
      <c r="AD756" s="5"/>
      <c r="AE756" s="5"/>
    </row>
    <row r="757">
      <c r="A757" s="5" t="s">
        <v>1153</v>
      </c>
      <c r="B757" s="44">
        <v>44601.0</v>
      </c>
      <c r="C757" s="150">
        <v>0.30150462962962965</v>
      </c>
      <c r="D757" s="5"/>
      <c r="E757" s="5"/>
      <c r="F757" s="5"/>
      <c r="G757" s="5" t="s">
        <v>2184</v>
      </c>
      <c r="H757" s="5" t="s">
        <v>244</v>
      </c>
      <c r="I757" s="44">
        <v>44601.0</v>
      </c>
      <c r="J757" s="150">
        <v>0.48203703703703704</v>
      </c>
      <c r="K757" s="19">
        <v>1.0</v>
      </c>
      <c r="L757" s="10" t="b">
        <v>1</v>
      </c>
      <c r="M757" s="5" t="s">
        <v>2482</v>
      </c>
      <c r="N757" s="5" t="s">
        <v>247</v>
      </c>
      <c r="O757" s="5"/>
      <c r="P757" s="110" t="b">
        <f t="shared" si="1"/>
        <v>0</v>
      </c>
      <c r="Q757" s="110" t="b">
        <f>IF(COUNTIF(RAW_APS!$A$2:$A815,A757)=0,TRUE,FALSE)</f>
        <v>0</v>
      </c>
      <c r="R757" s="241" t="b">
        <f t="shared" si="2"/>
        <v>0</v>
      </c>
      <c r="U757" s="112" t="str">
        <f t="shared" si="3"/>
        <v/>
      </c>
      <c r="V757" s="60"/>
      <c r="W757" s="60"/>
      <c r="X757" s="60"/>
      <c r="Y757" s="60"/>
      <c r="AA757" s="112" t="str">
        <f t="shared" si="4"/>
        <v>MAX132</v>
      </c>
      <c r="AB757" s="112" t="str">
        <f t="shared" si="5"/>
        <v/>
      </c>
      <c r="AC757" s="112" t="str">
        <f t="shared" si="6"/>
        <v/>
      </c>
      <c r="AD757" s="5"/>
      <c r="AE757" s="5"/>
    </row>
    <row r="758">
      <c r="A758" s="5" t="s">
        <v>284</v>
      </c>
      <c r="B758" s="44">
        <v>44543.0</v>
      </c>
      <c r="C758" s="150">
        <v>0.49180555555555555</v>
      </c>
      <c r="D758" s="5"/>
      <c r="E758" s="5"/>
      <c r="F758" s="5"/>
      <c r="G758" s="5" t="s">
        <v>2188</v>
      </c>
      <c r="H758" s="5" t="s">
        <v>254</v>
      </c>
      <c r="I758" s="44">
        <v>44861.0</v>
      </c>
      <c r="J758" s="150">
        <v>0.4895023148148148</v>
      </c>
      <c r="K758" s="19">
        <v>1.0</v>
      </c>
      <c r="L758" s="5"/>
      <c r="M758" s="5"/>
      <c r="N758" s="5" t="s">
        <v>247</v>
      </c>
      <c r="O758" s="5"/>
      <c r="P758" s="110" t="b">
        <f t="shared" si="1"/>
        <v>0</v>
      </c>
      <c r="Q758" s="110" t="b">
        <f>IF(COUNTIF(RAW_APS!$A$2:$A815,A758)=0,TRUE,FALSE)</f>
        <v>0</v>
      </c>
      <c r="R758" s="241" t="b">
        <f t="shared" si="2"/>
        <v>0</v>
      </c>
      <c r="U758" s="112" t="str">
        <f t="shared" si="3"/>
        <v/>
      </c>
      <c r="V758" s="51"/>
      <c r="W758" s="51"/>
      <c r="X758" s="51"/>
      <c r="Y758" s="51"/>
      <c r="AA758" s="112" t="str">
        <f t="shared" si="4"/>
        <v>MAX133</v>
      </c>
      <c r="AB758" s="112" t="str">
        <f t="shared" si="5"/>
        <v/>
      </c>
      <c r="AC758" s="112" t="str">
        <f t="shared" si="6"/>
        <v/>
      </c>
      <c r="AD758" s="5"/>
      <c r="AE758" s="5"/>
    </row>
    <row r="759">
      <c r="A759" s="5" t="s">
        <v>1117</v>
      </c>
      <c r="B759" s="44">
        <v>44596.0</v>
      </c>
      <c r="C759" s="150">
        <v>0.3524189814814815</v>
      </c>
      <c r="D759" s="5"/>
      <c r="E759" s="5"/>
      <c r="F759" s="5"/>
      <c r="G759" s="5" t="s">
        <v>2184</v>
      </c>
      <c r="H759" s="5" t="s">
        <v>244</v>
      </c>
      <c r="I759" s="44">
        <v>44596.0</v>
      </c>
      <c r="J759" s="150">
        <v>0.48193287037037036</v>
      </c>
      <c r="K759" s="19">
        <v>1.0</v>
      </c>
      <c r="L759" s="10" t="b">
        <v>1</v>
      </c>
      <c r="M759" s="5" t="s">
        <v>2484</v>
      </c>
      <c r="N759" s="5" t="s">
        <v>247</v>
      </c>
      <c r="O759" s="5"/>
      <c r="P759" s="110" t="b">
        <f t="shared" si="1"/>
        <v>0</v>
      </c>
      <c r="Q759" s="110" t="b">
        <f>IF(COUNTIF(RAW_APS!$A$2:$A815,A759)=0,TRUE,FALSE)</f>
        <v>0</v>
      </c>
      <c r="R759" s="241" t="b">
        <f t="shared" si="2"/>
        <v>0</v>
      </c>
      <c r="U759" s="112" t="str">
        <f t="shared" si="3"/>
        <v/>
      </c>
      <c r="V759" s="60"/>
      <c r="W759" s="60"/>
      <c r="X759" s="60"/>
      <c r="Y759" s="60"/>
      <c r="AA759" s="112" t="str">
        <f t="shared" si="4"/>
        <v>MAX134</v>
      </c>
      <c r="AB759" s="112" t="str">
        <f t="shared" si="5"/>
        <v/>
      </c>
      <c r="AC759" s="112" t="str">
        <f t="shared" si="6"/>
        <v/>
      </c>
      <c r="AD759" s="5"/>
      <c r="AE759" s="5"/>
    </row>
    <row r="760">
      <c r="A760" s="5" t="s">
        <v>1267</v>
      </c>
      <c r="B760" s="44">
        <v>44607.0</v>
      </c>
      <c r="C760" s="150">
        <v>0.3248726851851852</v>
      </c>
      <c r="D760" s="5"/>
      <c r="E760" s="5"/>
      <c r="F760" s="5"/>
      <c r="G760" s="5" t="s">
        <v>2184</v>
      </c>
      <c r="H760" s="5" t="s">
        <v>244</v>
      </c>
      <c r="I760" s="44">
        <v>44607.0</v>
      </c>
      <c r="J760" s="150">
        <v>0.5868055555555556</v>
      </c>
      <c r="K760" s="19">
        <v>1.0</v>
      </c>
      <c r="L760" s="10" t="b">
        <v>1</v>
      </c>
      <c r="M760" s="5" t="s">
        <v>2479</v>
      </c>
      <c r="N760" s="5" t="s">
        <v>247</v>
      </c>
      <c r="O760" s="5"/>
      <c r="P760" s="110" t="b">
        <f t="shared" si="1"/>
        <v>0</v>
      </c>
      <c r="Q760" s="110" t="b">
        <f>IF(COUNTIF(RAW_APS!$A$2:$A815,A760)=0,TRUE,FALSE)</f>
        <v>0</v>
      </c>
      <c r="R760" s="241" t="b">
        <f t="shared" si="2"/>
        <v>0</v>
      </c>
      <c r="U760" s="112" t="str">
        <f t="shared" si="3"/>
        <v/>
      </c>
      <c r="V760" s="60"/>
      <c r="W760" s="60"/>
      <c r="X760" s="60"/>
      <c r="Y760" s="60"/>
      <c r="AA760" s="112" t="str">
        <f t="shared" si="4"/>
        <v>MAX135</v>
      </c>
      <c r="AB760" s="112" t="str">
        <f t="shared" si="5"/>
        <v/>
      </c>
      <c r="AC760" s="112" t="str">
        <f t="shared" si="6"/>
        <v/>
      </c>
      <c r="AD760" s="5"/>
      <c r="AE760" s="5"/>
    </row>
    <row r="761">
      <c r="A761" s="5" t="s">
        <v>260</v>
      </c>
      <c r="B761" s="44">
        <v>44540.0</v>
      </c>
      <c r="C761" s="150">
        <v>0.29800925925925925</v>
      </c>
      <c r="D761" s="5"/>
      <c r="E761" s="5"/>
      <c r="F761" s="5"/>
      <c r="G761" s="5" t="s">
        <v>2184</v>
      </c>
      <c r="H761" s="5" t="s">
        <v>244</v>
      </c>
      <c r="I761" s="44">
        <v>44543.0</v>
      </c>
      <c r="J761" s="150">
        <v>0.7857175925925926</v>
      </c>
      <c r="K761" s="19">
        <v>1.0</v>
      </c>
      <c r="L761" s="10" t="b">
        <v>1</v>
      </c>
      <c r="M761" s="5" t="s">
        <v>2510</v>
      </c>
      <c r="N761" s="5" t="s">
        <v>247</v>
      </c>
      <c r="O761" s="5"/>
      <c r="P761" s="110" t="b">
        <f t="shared" si="1"/>
        <v>0</v>
      </c>
      <c r="Q761" s="110" t="b">
        <f>IF(COUNTIF(RAW_APS!$A$2:$A815,A761)=0,TRUE,FALSE)</f>
        <v>0</v>
      </c>
      <c r="R761" s="241" t="b">
        <f t="shared" si="2"/>
        <v>0</v>
      </c>
      <c r="U761" s="112" t="str">
        <f t="shared" si="3"/>
        <v/>
      </c>
      <c r="V761" s="51"/>
      <c r="W761" s="51"/>
      <c r="X761" s="51"/>
      <c r="Y761" s="51"/>
      <c r="AA761" s="112" t="str">
        <f t="shared" si="4"/>
        <v>MAX136</v>
      </c>
      <c r="AB761" s="112" t="str">
        <f t="shared" si="5"/>
        <v/>
      </c>
      <c r="AC761" s="112" t="str">
        <f t="shared" si="6"/>
        <v/>
      </c>
      <c r="AD761" s="5"/>
      <c r="AE761" s="5"/>
    </row>
    <row r="762">
      <c r="A762" s="5" t="s">
        <v>1025</v>
      </c>
      <c r="B762" s="44">
        <v>44587.0</v>
      </c>
      <c r="C762" s="150">
        <v>0.29574074074074075</v>
      </c>
      <c r="D762" s="5"/>
      <c r="E762" s="5"/>
      <c r="F762" s="5"/>
      <c r="G762" s="5" t="s">
        <v>2184</v>
      </c>
      <c r="H762" s="5" t="s">
        <v>244</v>
      </c>
      <c r="I762" s="44">
        <v>44587.0</v>
      </c>
      <c r="J762" s="150">
        <v>0.5005439814814815</v>
      </c>
      <c r="K762" s="19">
        <v>1.0</v>
      </c>
      <c r="L762" s="10" t="b">
        <v>1</v>
      </c>
      <c r="M762" s="5" t="s">
        <v>2488</v>
      </c>
      <c r="N762" s="5" t="s">
        <v>247</v>
      </c>
      <c r="O762" s="5"/>
      <c r="P762" s="110" t="b">
        <f t="shared" si="1"/>
        <v>0</v>
      </c>
      <c r="Q762" s="110" t="b">
        <f>IF(COUNTIF(RAW_APS!$A$2:$A815,A762)=0,TRUE,FALSE)</f>
        <v>0</v>
      </c>
      <c r="R762" s="241" t="b">
        <f t="shared" si="2"/>
        <v>0</v>
      </c>
      <c r="U762" s="112" t="str">
        <f t="shared" si="3"/>
        <v/>
      </c>
      <c r="V762" s="60"/>
      <c r="W762" s="60"/>
      <c r="X762" s="60"/>
      <c r="Y762" s="60"/>
      <c r="AA762" s="112" t="str">
        <f t="shared" si="4"/>
        <v>MAX137</v>
      </c>
      <c r="AB762" s="112" t="str">
        <f t="shared" si="5"/>
        <v/>
      </c>
      <c r="AC762" s="112" t="str">
        <f t="shared" si="6"/>
        <v/>
      </c>
      <c r="AD762" s="5"/>
      <c r="AE762" s="5"/>
    </row>
    <row r="763">
      <c r="A763" s="5" t="s">
        <v>1106</v>
      </c>
      <c r="B763" s="44">
        <v>44594.0</v>
      </c>
      <c r="C763" s="150">
        <v>0.37555555555555553</v>
      </c>
      <c r="D763" s="5"/>
      <c r="E763" s="5"/>
      <c r="F763" s="5"/>
      <c r="G763" s="5" t="s">
        <v>2184</v>
      </c>
      <c r="H763" s="5" t="s">
        <v>244</v>
      </c>
      <c r="I763" s="44">
        <v>44596.0</v>
      </c>
      <c r="J763" s="150">
        <v>0.48194444444444445</v>
      </c>
      <c r="K763" s="19">
        <v>1.0</v>
      </c>
      <c r="L763" s="10" t="b">
        <v>1</v>
      </c>
      <c r="M763" s="5" t="s">
        <v>2485</v>
      </c>
      <c r="N763" s="5" t="s">
        <v>247</v>
      </c>
      <c r="O763" s="5"/>
      <c r="P763" s="110" t="b">
        <f t="shared" si="1"/>
        <v>0</v>
      </c>
      <c r="Q763" s="110" t="b">
        <f>IF(COUNTIF(RAW_APS!$A$2:$A815,A763)=0,TRUE,FALSE)</f>
        <v>0</v>
      </c>
      <c r="R763" s="241" t="b">
        <f t="shared" si="2"/>
        <v>0</v>
      </c>
      <c r="U763" s="112" t="str">
        <f t="shared" si="3"/>
        <v/>
      </c>
      <c r="V763" s="60"/>
      <c r="W763" s="60"/>
      <c r="X763" s="60"/>
      <c r="Y763" s="60"/>
      <c r="AA763" s="112" t="str">
        <f t="shared" si="4"/>
        <v>MAX138</v>
      </c>
      <c r="AB763" s="112" t="str">
        <f t="shared" si="5"/>
        <v/>
      </c>
      <c r="AC763" s="112" t="str">
        <f t="shared" si="6"/>
        <v/>
      </c>
      <c r="AD763" s="5"/>
      <c r="AE763" s="5"/>
    </row>
    <row r="764">
      <c r="A764" s="5" t="s">
        <v>414</v>
      </c>
      <c r="B764" s="44">
        <v>44557.0</v>
      </c>
      <c r="C764" s="150">
        <v>0.4255902777777778</v>
      </c>
      <c r="D764" s="5"/>
      <c r="E764" s="5"/>
      <c r="F764" s="5"/>
      <c r="G764" s="5" t="s">
        <v>2184</v>
      </c>
      <c r="H764" s="5" t="s">
        <v>244</v>
      </c>
      <c r="I764" s="44">
        <v>44557.0</v>
      </c>
      <c r="J764" s="150">
        <v>0.4871064814814815</v>
      </c>
      <c r="K764" s="19">
        <v>1.0</v>
      </c>
      <c r="L764" s="10" t="b">
        <v>1</v>
      </c>
      <c r="M764" s="5" t="s">
        <v>2504</v>
      </c>
      <c r="N764" s="5" t="s">
        <v>247</v>
      </c>
      <c r="O764" s="5"/>
      <c r="P764" s="110" t="b">
        <f t="shared" si="1"/>
        <v>0</v>
      </c>
      <c r="Q764" s="110" t="b">
        <f>IF(COUNTIF(RAW_APS!$A$2:$A815,A764)=0,TRUE,FALSE)</f>
        <v>0</v>
      </c>
      <c r="R764" s="241" t="b">
        <f t="shared" si="2"/>
        <v>0</v>
      </c>
      <c r="U764" s="112" t="str">
        <f t="shared" si="3"/>
        <v/>
      </c>
      <c r="V764" s="51"/>
      <c r="W764" s="51"/>
      <c r="X764" s="51"/>
      <c r="Y764" s="51"/>
      <c r="AA764" s="112" t="str">
        <f t="shared" si="4"/>
        <v>MAX139</v>
      </c>
      <c r="AB764" s="112" t="str">
        <f t="shared" si="5"/>
        <v/>
      </c>
      <c r="AC764" s="112" t="str">
        <f t="shared" si="6"/>
        <v/>
      </c>
      <c r="AD764" s="5"/>
      <c r="AE764" s="5"/>
    </row>
    <row r="765">
      <c r="A765" s="5" t="s">
        <v>981</v>
      </c>
      <c r="B765" s="44">
        <v>44582.0</v>
      </c>
      <c r="C765" s="150">
        <v>0.3978009259259259</v>
      </c>
      <c r="D765" s="5"/>
      <c r="E765" s="5"/>
      <c r="F765" s="5"/>
      <c r="G765" s="5" t="s">
        <v>2184</v>
      </c>
      <c r="H765" s="5" t="s">
        <v>52</v>
      </c>
      <c r="I765" s="44">
        <v>44582.0</v>
      </c>
      <c r="J765" s="150">
        <v>0.4884027777777778</v>
      </c>
      <c r="K765" s="19">
        <v>1.0</v>
      </c>
      <c r="L765" s="10" t="b">
        <v>1</v>
      </c>
      <c r="M765" s="5"/>
      <c r="N765" s="5" t="s">
        <v>247</v>
      </c>
      <c r="O765" s="5"/>
      <c r="P765" s="110" t="b">
        <f t="shared" si="1"/>
        <v>0</v>
      </c>
      <c r="Q765" s="110" t="b">
        <f>IF(COUNTIF(RAW_APS!$A$2:$A815,A765)=0,TRUE,FALSE)</f>
        <v>0</v>
      </c>
      <c r="R765" s="241" t="b">
        <f t="shared" si="2"/>
        <v>0</v>
      </c>
      <c r="U765" s="112" t="str">
        <f t="shared" si="3"/>
        <v/>
      </c>
      <c r="V765" s="60"/>
      <c r="W765" s="60"/>
      <c r="X765" s="60"/>
      <c r="Y765" s="60"/>
      <c r="AA765" s="112" t="str">
        <f t="shared" si="4"/>
        <v>MAX141</v>
      </c>
      <c r="AB765" s="112" t="str">
        <f t="shared" si="5"/>
        <v/>
      </c>
      <c r="AC765" s="112" t="str">
        <f t="shared" si="6"/>
        <v/>
      </c>
      <c r="AD765" s="5"/>
      <c r="AE765" s="5"/>
    </row>
    <row r="766">
      <c r="A766" s="5" t="s">
        <v>1112</v>
      </c>
      <c r="B766" s="44">
        <v>44596.0</v>
      </c>
      <c r="C766" s="150">
        <v>0.351875</v>
      </c>
      <c r="D766" s="5"/>
      <c r="E766" s="5"/>
      <c r="F766" s="5"/>
      <c r="G766" s="5" t="s">
        <v>2184</v>
      </c>
      <c r="H766" s="5" t="s">
        <v>244</v>
      </c>
      <c r="I766" s="44">
        <v>44596.0</v>
      </c>
      <c r="J766" s="150">
        <v>0.48193287037037036</v>
      </c>
      <c r="K766" s="19">
        <v>1.0</v>
      </c>
      <c r="L766" s="10" t="b">
        <v>1</v>
      </c>
      <c r="M766" s="5" t="s">
        <v>2484</v>
      </c>
      <c r="N766" s="5" t="s">
        <v>247</v>
      </c>
      <c r="O766" s="5"/>
      <c r="P766" s="110" t="b">
        <f t="shared" si="1"/>
        <v>0</v>
      </c>
      <c r="Q766" s="110" t="b">
        <f>IF(COUNTIF(RAW_APS!$A$2:$A815,A766)=0,TRUE,FALSE)</f>
        <v>0</v>
      </c>
      <c r="R766" s="241" t="b">
        <f t="shared" si="2"/>
        <v>0</v>
      </c>
      <c r="U766" s="112" t="str">
        <f t="shared" si="3"/>
        <v/>
      </c>
      <c r="V766" s="60"/>
      <c r="W766" s="60"/>
      <c r="X766" s="60"/>
      <c r="Y766" s="60"/>
      <c r="AA766" s="112" t="str">
        <f t="shared" si="4"/>
        <v>MAX142</v>
      </c>
      <c r="AB766" s="112" t="str">
        <f t="shared" si="5"/>
        <v/>
      </c>
      <c r="AC766" s="112" t="str">
        <f t="shared" si="6"/>
        <v/>
      </c>
      <c r="AD766" s="5"/>
      <c r="AE766" s="5"/>
    </row>
    <row r="767">
      <c r="A767" s="5" t="s">
        <v>736</v>
      </c>
      <c r="B767" s="44">
        <v>44573.0</v>
      </c>
      <c r="C767" s="150">
        <v>0.38359953703703703</v>
      </c>
      <c r="D767" s="5"/>
      <c r="E767" s="5"/>
      <c r="F767" s="5"/>
      <c r="G767" s="5" t="s">
        <v>2184</v>
      </c>
      <c r="H767" s="5" t="s">
        <v>52</v>
      </c>
      <c r="I767" s="44">
        <v>44579.0</v>
      </c>
      <c r="J767" s="150">
        <v>0.5015856481481481</v>
      </c>
      <c r="K767" s="19">
        <v>1.0</v>
      </c>
      <c r="L767" s="10" t="b">
        <v>1</v>
      </c>
      <c r="M767" s="5"/>
      <c r="N767" s="5" t="s">
        <v>247</v>
      </c>
      <c r="O767" s="5"/>
      <c r="P767" s="110" t="b">
        <f t="shared" si="1"/>
        <v>0</v>
      </c>
      <c r="Q767" s="110" t="b">
        <f>IF(COUNTIF(RAW_APS!$A$2:$A815,A767)=0,TRUE,FALSE)</f>
        <v>0</v>
      </c>
      <c r="R767" s="241" t="b">
        <f t="shared" si="2"/>
        <v>0</v>
      </c>
      <c r="U767" s="112" t="str">
        <f t="shared" si="3"/>
        <v/>
      </c>
      <c r="V767" s="60"/>
      <c r="W767" s="60"/>
      <c r="X767" s="60"/>
      <c r="Y767" s="60"/>
      <c r="AA767" s="112" t="str">
        <f t="shared" si="4"/>
        <v>MAX20</v>
      </c>
      <c r="AB767" s="112" t="str">
        <f t="shared" si="5"/>
        <v/>
      </c>
      <c r="AC767" s="112" t="str">
        <f t="shared" si="6"/>
        <v/>
      </c>
      <c r="AD767" s="5"/>
      <c r="AE767" s="5"/>
    </row>
    <row r="768">
      <c r="A768" s="5" t="s">
        <v>1543</v>
      </c>
      <c r="B768" s="44">
        <v>44615.0</v>
      </c>
      <c r="C768" s="150">
        <v>0.2632523148148148</v>
      </c>
      <c r="D768" s="5"/>
      <c r="E768" s="5"/>
      <c r="F768" s="5"/>
      <c r="G768" s="5" t="s">
        <v>2184</v>
      </c>
      <c r="H768" s="5" t="s">
        <v>52</v>
      </c>
      <c r="I768" s="44">
        <v>44615.0</v>
      </c>
      <c r="J768" s="150">
        <v>0.49122685185185183</v>
      </c>
      <c r="K768" s="19">
        <v>1.0</v>
      </c>
      <c r="L768" s="10" t="b">
        <v>1</v>
      </c>
      <c r="M768" s="5" t="s">
        <v>2474</v>
      </c>
      <c r="N768" s="5" t="s">
        <v>247</v>
      </c>
      <c r="O768" s="5"/>
      <c r="P768" s="110" t="b">
        <f t="shared" si="1"/>
        <v>0</v>
      </c>
      <c r="Q768" s="110" t="b">
        <f>IF(COUNTIF(RAW_APS!$A$2:$A815,A768)=0,TRUE,FALSE)</f>
        <v>0</v>
      </c>
      <c r="R768" s="241" t="b">
        <f t="shared" si="2"/>
        <v>0</v>
      </c>
      <c r="U768" s="112" t="str">
        <f t="shared" si="3"/>
        <v/>
      </c>
      <c r="V768" s="60"/>
      <c r="W768" s="60"/>
      <c r="X768" s="60"/>
      <c r="Y768" s="60"/>
      <c r="AA768" s="112" t="str">
        <f t="shared" si="4"/>
        <v>MAX24</v>
      </c>
      <c r="AB768" s="112" t="str">
        <f t="shared" si="5"/>
        <v/>
      </c>
      <c r="AC768" s="112" t="str">
        <f t="shared" si="6"/>
        <v/>
      </c>
      <c r="AD768" s="5"/>
      <c r="AE768" s="5"/>
    </row>
    <row r="769">
      <c r="A769" s="5" t="s">
        <v>306</v>
      </c>
      <c r="B769" s="44">
        <v>44543.0</v>
      </c>
      <c r="C769" s="150">
        <v>0.5984027777777777</v>
      </c>
      <c r="D769" s="5"/>
      <c r="E769" s="5"/>
      <c r="F769" s="5"/>
      <c r="G769" s="5" t="s">
        <v>2184</v>
      </c>
      <c r="H769" s="5" t="s">
        <v>244</v>
      </c>
      <c r="I769" s="44">
        <v>44543.0</v>
      </c>
      <c r="J769" s="150">
        <v>0.7849884259259259</v>
      </c>
      <c r="K769" s="19">
        <v>1.0</v>
      </c>
      <c r="L769" s="10" t="b">
        <v>1</v>
      </c>
      <c r="M769" s="5" t="s">
        <v>2509</v>
      </c>
      <c r="N769" s="5" t="s">
        <v>247</v>
      </c>
      <c r="O769" s="5"/>
      <c r="P769" s="110" t="b">
        <f t="shared" si="1"/>
        <v>0</v>
      </c>
      <c r="Q769" s="110" t="b">
        <f>IF(COUNTIF(RAW_APS!$A$2:$A815,A769)=0,TRUE,FALSE)</f>
        <v>0</v>
      </c>
      <c r="R769" s="241" t="b">
        <f t="shared" si="2"/>
        <v>0</v>
      </c>
      <c r="U769" s="112" t="str">
        <f t="shared" si="3"/>
        <v/>
      </c>
      <c r="V769" s="51"/>
      <c r="W769" s="51"/>
      <c r="X769" s="51"/>
      <c r="Y769" s="51"/>
      <c r="AA769" s="112" t="str">
        <f t="shared" si="4"/>
        <v>MAX28</v>
      </c>
      <c r="AB769" s="112" t="str">
        <f t="shared" si="5"/>
        <v/>
      </c>
      <c r="AC769" s="112" t="str">
        <f t="shared" si="6"/>
        <v/>
      </c>
      <c r="AD769" s="5"/>
      <c r="AE769" s="5"/>
    </row>
    <row r="770">
      <c r="A770" s="5" t="s">
        <v>745</v>
      </c>
      <c r="B770" s="44">
        <v>44573.0</v>
      </c>
      <c r="C770" s="150">
        <v>0.3869444444444444</v>
      </c>
      <c r="D770" s="5"/>
      <c r="E770" s="5"/>
      <c r="F770" s="5"/>
      <c r="G770" s="5" t="s">
        <v>2184</v>
      </c>
      <c r="H770" s="5" t="s">
        <v>52</v>
      </c>
      <c r="I770" s="44">
        <v>44579.0</v>
      </c>
      <c r="J770" s="150">
        <v>0.5015856481481481</v>
      </c>
      <c r="K770" s="19">
        <v>1.0</v>
      </c>
      <c r="L770" s="10" t="b">
        <v>1</v>
      </c>
      <c r="M770" s="5"/>
      <c r="N770" s="5" t="s">
        <v>247</v>
      </c>
      <c r="O770" s="5"/>
      <c r="P770" s="110" t="b">
        <f t="shared" si="1"/>
        <v>0</v>
      </c>
      <c r="Q770" s="110" t="b">
        <f>IF(COUNTIF(RAW_APS!$A$2:$A815,A770)=0,TRUE,FALSE)</f>
        <v>0</v>
      </c>
      <c r="R770" s="241" t="b">
        <f t="shared" si="2"/>
        <v>0</v>
      </c>
      <c r="U770" s="112" t="str">
        <f t="shared" si="3"/>
        <v/>
      </c>
      <c r="V770" s="60"/>
      <c r="W770" s="60"/>
      <c r="X770" s="60"/>
      <c r="Y770" s="60"/>
      <c r="AA770" s="112" t="str">
        <f t="shared" si="4"/>
        <v>MAX36</v>
      </c>
      <c r="AB770" s="112" t="str">
        <f t="shared" si="5"/>
        <v/>
      </c>
      <c r="AC770" s="112" t="str">
        <f t="shared" si="6"/>
        <v/>
      </c>
      <c r="AD770" s="5"/>
      <c r="AE770" s="5"/>
    </row>
    <row r="771">
      <c r="A771" s="5" t="s">
        <v>925</v>
      </c>
      <c r="B771" s="44">
        <v>44580.0</v>
      </c>
      <c r="C771" s="150">
        <v>0.41006944444444443</v>
      </c>
      <c r="D771" s="5"/>
      <c r="E771" s="5"/>
      <c r="F771" s="5"/>
      <c r="G771" s="5" t="s">
        <v>2184</v>
      </c>
      <c r="H771" s="5" t="s">
        <v>244</v>
      </c>
      <c r="I771" s="44">
        <v>44580.0</v>
      </c>
      <c r="J771" s="150">
        <v>0.5080208333333334</v>
      </c>
      <c r="K771" s="19">
        <v>1.0</v>
      </c>
      <c r="L771" s="10" t="b">
        <v>1</v>
      </c>
      <c r="M771" s="5" t="s">
        <v>2491</v>
      </c>
      <c r="N771" s="5" t="s">
        <v>247</v>
      </c>
      <c r="O771" s="5"/>
      <c r="P771" s="110" t="b">
        <f t="shared" si="1"/>
        <v>0</v>
      </c>
      <c r="Q771" s="110" t="b">
        <f>IF(COUNTIF(RAW_APS!$A$2:$A815,A771)=0,TRUE,FALSE)</f>
        <v>0</v>
      </c>
      <c r="R771" s="241" t="b">
        <f t="shared" si="2"/>
        <v>0</v>
      </c>
      <c r="U771" s="112" t="str">
        <f t="shared" si="3"/>
        <v/>
      </c>
      <c r="V771" s="60"/>
      <c r="W771" s="60"/>
      <c r="X771" s="60"/>
      <c r="Y771" s="60"/>
      <c r="AA771" s="112" t="str">
        <f t="shared" si="4"/>
        <v>MAX4</v>
      </c>
      <c r="AB771" s="112" t="str">
        <f t="shared" si="5"/>
        <v/>
      </c>
      <c r="AC771" s="112" t="str">
        <f t="shared" si="6"/>
        <v/>
      </c>
      <c r="AD771" s="5"/>
      <c r="AE771" s="5"/>
    </row>
    <row r="772">
      <c r="A772" s="5" t="s">
        <v>1742</v>
      </c>
      <c r="B772" s="44">
        <v>44619.0</v>
      </c>
      <c r="C772" s="150">
        <v>0.47077546296296297</v>
      </c>
      <c r="D772" s="5"/>
      <c r="E772" s="5"/>
      <c r="F772" s="5"/>
      <c r="G772" s="5" t="s">
        <v>2184</v>
      </c>
      <c r="H772" s="5" t="s">
        <v>52</v>
      </c>
      <c r="I772" s="44">
        <v>44627.0</v>
      </c>
      <c r="J772" s="150">
        <v>0.4778935185185185</v>
      </c>
      <c r="K772" s="19">
        <v>1.0</v>
      </c>
      <c r="L772" s="10" t="b">
        <v>1</v>
      </c>
      <c r="M772" s="5"/>
      <c r="N772" s="5" t="s">
        <v>247</v>
      </c>
      <c r="O772" s="5"/>
      <c r="P772" s="110" t="b">
        <f t="shared" si="1"/>
        <v>0</v>
      </c>
      <c r="Q772" s="110" t="b">
        <f>IF(COUNTIF(RAW_APS!$A$2:$A815,A772)=0,TRUE,FALSE)</f>
        <v>0</v>
      </c>
      <c r="R772" s="241" t="b">
        <f t="shared" si="2"/>
        <v>0</v>
      </c>
      <c r="U772" s="112" t="str">
        <f t="shared" si="3"/>
        <v/>
      </c>
      <c r="V772" s="60"/>
      <c r="W772" s="60"/>
      <c r="X772" s="60"/>
      <c r="Y772" s="60"/>
      <c r="AA772" s="112" t="str">
        <f t="shared" si="4"/>
        <v>MAX40</v>
      </c>
      <c r="AB772" s="112" t="str">
        <f t="shared" si="5"/>
        <v/>
      </c>
      <c r="AC772" s="112" t="str">
        <f t="shared" si="6"/>
        <v/>
      </c>
      <c r="AD772" s="5"/>
      <c r="AE772" s="5"/>
    </row>
    <row r="773">
      <c r="A773" s="5" t="s">
        <v>890</v>
      </c>
      <c r="B773" s="44">
        <v>44579.0</v>
      </c>
      <c r="C773" s="150">
        <v>0.40466435185185184</v>
      </c>
      <c r="D773" s="5"/>
      <c r="E773" s="5"/>
      <c r="F773" s="5"/>
      <c r="G773" s="5" t="s">
        <v>2184</v>
      </c>
      <c r="H773" s="5" t="s">
        <v>52</v>
      </c>
      <c r="I773" s="44">
        <v>44579.0</v>
      </c>
      <c r="J773" s="150">
        <v>0.5015972222222222</v>
      </c>
      <c r="K773" s="19">
        <v>1.0</v>
      </c>
      <c r="L773" s="10" t="b">
        <v>1</v>
      </c>
      <c r="M773" s="5"/>
      <c r="N773" s="5" t="s">
        <v>247</v>
      </c>
      <c r="O773" s="5"/>
      <c r="P773" s="110" t="b">
        <f t="shared" si="1"/>
        <v>0</v>
      </c>
      <c r="Q773" s="110" t="b">
        <f>IF(COUNTIF(RAW_APS!$A$2:$A815,A773)=0,TRUE,FALSE)</f>
        <v>0</v>
      </c>
      <c r="R773" s="241" t="b">
        <f t="shared" si="2"/>
        <v>0</v>
      </c>
      <c r="U773" s="112" t="str">
        <f t="shared" si="3"/>
        <v/>
      </c>
      <c r="V773" s="60"/>
      <c r="W773" s="60"/>
      <c r="X773" s="60"/>
      <c r="Y773" s="60"/>
      <c r="AA773" s="112" t="str">
        <f t="shared" si="4"/>
        <v>MAX44</v>
      </c>
      <c r="AB773" s="112" t="str">
        <f t="shared" si="5"/>
        <v/>
      </c>
      <c r="AC773" s="112" t="str">
        <f t="shared" si="6"/>
        <v/>
      </c>
      <c r="AD773" s="5"/>
      <c r="AE773" s="5"/>
    </row>
    <row r="774">
      <c r="A774" s="5" t="s">
        <v>1751</v>
      </c>
      <c r="B774" s="44">
        <v>44619.0</v>
      </c>
      <c r="C774" s="150">
        <v>0.47225694444444444</v>
      </c>
      <c r="D774" s="5"/>
      <c r="E774" s="5"/>
      <c r="F774" s="5"/>
      <c r="G774" s="5" t="s">
        <v>2184</v>
      </c>
      <c r="H774" s="5" t="s">
        <v>244</v>
      </c>
      <c r="I774" s="44">
        <v>44621.0</v>
      </c>
      <c r="J774" s="150">
        <v>0.47836805555555556</v>
      </c>
      <c r="K774" s="19">
        <v>1.0</v>
      </c>
      <c r="L774" s="10" t="b">
        <v>1</v>
      </c>
      <c r="M774" s="5" t="s">
        <v>2472</v>
      </c>
      <c r="N774" s="5" t="s">
        <v>247</v>
      </c>
      <c r="O774" s="5"/>
      <c r="P774" s="110" t="b">
        <f t="shared" si="1"/>
        <v>0</v>
      </c>
      <c r="Q774" s="110" t="b">
        <f>IF(COUNTIF(RAW_APS!$A$2:$A815,A774)=0,TRUE,FALSE)</f>
        <v>0</v>
      </c>
      <c r="R774" s="241" t="b">
        <f t="shared" si="2"/>
        <v>0</v>
      </c>
      <c r="U774" s="112" t="str">
        <f t="shared" si="3"/>
        <v/>
      </c>
      <c r="V774" s="60"/>
      <c r="W774" s="60"/>
      <c r="X774" s="60"/>
      <c r="Y774" s="60"/>
      <c r="AA774" s="112" t="str">
        <f t="shared" si="4"/>
        <v>MAX48</v>
      </c>
      <c r="AB774" s="112" t="str">
        <f t="shared" si="5"/>
        <v/>
      </c>
      <c r="AC774" s="112" t="str">
        <f t="shared" si="6"/>
        <v/>
      </c>
      <c r="AD774" s="5"/>
      <c r="AE774" s="5"/>
    </row>
    <row r="775">
      <c r="A775" s="5" t="s">
        <v>663</v>
      </c>
      <c r="B775" s="44">
        <v>44571.0</v>
      </c>
      <c r="C775" s="150">
        <v>0.38880787037037035</v>
      </c>
      <c r="D775" s="5"/>
      <c r="E775" s="5"/>
      <c r="F775" s="5"/>
      <c r="G775" s="5" t="s">
        <v>2184</v>
      </c>
      <c r="H775" s="5" t="s">
        <v>52</v>
      </c>
      <c r="I775" s="44">
        <v>44579.0</v>
      </c>
      <c r="J775" s="150">
        <v>0.5015740740740741</v>
      </c>
      <c r="K775" s="19">
        <v>1.0</v>
      </c>
      <c r="L775" s="10" t="b">
        <v>1</v>
      </c>
      <c r="M775" s="5"/>
      <c r="N775" s="5" t="s">
        <v>247</v>
      </c>
      <c r="O775" s="5"/>
      <c r="P775" s="110" t="b">
        <f t="shared" si="1"/>
        <v>0</v>
      </c>
      <c r="Q775" s="110" t="b">
        <f>IF(COUNTIF(RAW_APS!$A$2:$A815,A775)=0,TRUE,FALSE)</f>
        <v>0</v>
      </c>
      <c r="R775" s="241" t="b">
        <f t="shared" si="2"/>
        <v>0</v>
      </c>
      <c r="U775" s="112" t="str">
        <f t="shared" si="3"/>
        <v/>
      </c>
      <c r="V775" s="60"/>
      <c r="W775" s="60"/>
      <c r="X775" s="60"/>
      <c r="Y775" s="60"/>
      <c r="AA775" s="112" t="str">
        <f t="shared" si="4"/>
        <v>MAX51</v>
      </c>
      <c r="AB775" s="112" t="str">
        <f t="shared" si="5"/>
        <v/>
      </c>
      <c r="AC775" s="112" t="str">
        <f t="shared" si="6"/>
        <v/>
      </c>
      <c r="AD775" s="5"/>
      <c r="AE775" s="5"/>
    </row>
    <row r="776">
      <c r="A776" s="5" t="s">
        <v>397</v>
      </c>
      <c r="B776" s="44">
        <v>44557.0</v>
      </c>
      <c r="C776" s="150">
        <v>0.34068287037037037</v>
      </c>
      <c r="D776" s="5"/>
      <c r="E776" s="5"/>
      <c r="F776" s="5"/>
      <c r="G776" s="5" t="s">
        <v>2184</v>
      </c>
      <c r="H776" s="5" t="s">
        <v>244</v>
      </c>
      <c r="I776" s="44">
        <v>44557.0</v>
      </c>
      <c r="J776" s="150">
        <v>0.4870949074074074</v>
      </c>
      <c r="K776" s="19">
        <v>1.0</v>
      </c>
      <c r="L776" s="10" t="b">
        <v>1</v>
      </c>
      <c r="M776" s="5" t="s">
        <v>2504</v>
      </c>
      <c r="N776" s="5" t="s">
        <v>247</v>
      </c>
      <c r="O776" s="5"/>
      <c r="P776" s="110" t="b">
        <f t="shared" si="1"/>
        <v>0</v>
      </c>
      <c r="Q776" s="110" t="b">
        <f>IF(COUNTIF(RAW_APS!$A$2:$A815,A776)=0,TRUE,FALSE)</f>
        <v>0</v>
      </c>
      <c r="R776" s="241" t="b">
        <f t="shared" si="2"/>
        <v>0</v>
      </c>
      <c r="U776" s="112" t="str">
        <f t="shared" si="3"/>
        <v/>
      </c>
      <c r="V776" s="51"/>
      <c r="W776" s="51"/>
      <c r="X776" s="51"/>
      <c r="Y776" s="51"/>
      <c r="AA776" s="112" t="str">
        <f t="shared" si="4"/>
        <v>MAX55</v>
      </c>
      <c r="AB776" s="112" t="str">
        <f t="shared" si="5"/>
        <v/>
      </c>
      <c r="AC776" s="112" t="str">
        <f t="shared" si="6"/>
        <v/>
      </c>
      <c r="AD776" s="5"/>
      <c r="AE776" s="5"/>
    </row>
    <row r="777">
      <c r="A777" s="5" t="s">
        <v>922</v>
      </c>
      <c r="B777" s="44">
        <v>44580.0</v>
      </c>
      <c r="C777" s="150">
        <v>0.40792824074074074</v>
      </c>
      <c r="D777" s="5"/>
      <c r="E777" s="5"/>
      <c r="F777" s="5"/>
      <c r="G777" s="5" t="s">
        <v>2184</v>
      </c>
      <c r="H777" s="5" t="s">
        <v>244</v>
      </c>
      <c r="I777" s="44">
        <v>44580.0</v>
      </c>
      <c r="J777" s="150">
        <v>0.5080208333333334</v>
      </c>
      <c r="K777" s="19">
        <v>1.0</v>
      </c>
      <c r="L777" s="10" t="b">
        <v>1</v>
      </c>
      <c r="M777" s="5" t="s">
        <v>2491</v>
      </c>
      <c r="N777" s="5" t="s">
        <v>247</v>
      </c>
      <c r="O777" s="5"/>
      <c r="P777" s="110" t="b">
        <f t="shared" si="1"/>
        <v>0</v>
      </c>
      <c r="Q777" s="110" t="b">
        <f>IF(COUNTIF(RAW_APS!$A$2:$A815,A777)=0,TRUE,FALSE)</f>
        <v>0</v>
      </c>
      <c r="R777" s="241" t="b">
        <f t="shared" si="2"/>
        <v>0</v>
      </c>
      <c r="U777" s="112" t="str">
        <f t="shared" si="3"/>
        <v/>
      </c>
      <c r="V777" s="60"/>
      <c r="W777" s="60"/>
      <c r="X777" s="60"/>
      <c r="Y777" s="60"/>
      <c r="AA777" s="112" t="str">
        <f t="shared" si="4"/>
        <v>MAX56</v>
      </c>
      <c r="AB777" s="112" t="str">
        <f t="shared" si="5"/>
        <v/>
      </c>
      <c r="AC777" s="112" t="str">
        <f t="shared" si="6"/>
        <v/>
      </c>
      <c r="AD777" s="5"/>
      <c r="AE777" s="5"/>
    </row>
    <row r="778">
      <c r="A778" s="5" t="s">
        <v>646</v>
      </c>
      <c r="B778" s="44">
        <v>44571.0</v>
      </c>
      <c r="C778" s="150">
        <v>0.3444212962962963</v>
      </c>
      <c r="D778" s="5"/>
      <c r="E778" s="5"/>
      <c r="F778" s="5"/>
      <c r="G778" s="5" t="s">
        <v>2184</v>
      </c>
      <c r="H778" s="5" t="s">
        <v>244</v>
      </c>
      <c r="I778" s="44">
        <v>44571.0</v>
      </c>
      <c r="J778" s="150">
        <v>0.46598379629629627</v>
      </c>
      <c r="K778" s="19">
        <v>0.0</v>
      </c>
      <c r="L778" s="10" t="b">
        <v>1</v>
      </c>
      <c r="M778" s="5" t="s">
        <v>2496</v>
      </c>
      <c r="N778" s="5" t="s">
        <v>247</v>
      </c>
      <c r="O778" s="5"/>
      <c r="P778" s="110" t="b">
        <f t="shared" si="1"/>
        <v>1</v>
      </c>
      <c r="Q778" s="110" t="b">
        <f>IF(COUNTIF(RAW_APS!$A$2:$A815,A778)=0,TRUE,FALSE)</f>
        <v>1</v>
      </c>
      <c r="R778" s="241" t="b">
        <f t="shared" si="2"/>
        <v>0</v>
      </c>
      <c r="U778" s="112" t="str">
        <f t="shared" si="3"/>
        <v/>
      </c>
      <c r="V778" s="51"/>
      <c r="W778" s="51"/>
      <c r="X778" s="51"/>
      <c r="Y778" s="51"/>
      <c r="AA778" s="112" t="str">
        <f t="shared" si="4"/>
        <v>MAX59</v>
      </c>
      <c r="AB778" s="112" t="str">
        <f t="shared" si="5"/>
        <v/>
      </c>
      <c r="AC778" s="112" t="str">
        <f t="shared" si="6"/>
        <v/>
      </c>
      <c r="AD778" s="5"/>
      <c r="AE778" s="5"/>
    </row>
    <row r="779">
      <c r="A779" s="5" t="s">
        <v>1151</v>
      </c>
      <c r="B779" s="44">
        <v>44601.0</v>
      </c>
      <c r="C779" s="150">
        <v>0.3012037037037037</v>
      </c>
      <c r="D779" s="5"/>
      <c r="E779" s="5"/>
      <c r="F779" s="5"/>
      <c r="G779" s="5" t="s">
        <v>2184</v>
      </c>
      <c r="H779" s="5" t="s">
        <v>244</v>
      </c>
      <c r="I779" s="44">
        <v>44601.0</v>
      </c>
      <c r="J779" s="150">
        <v>0.48203703703703704</v>
      </c>
      <c r="K779" s="19">
        <v>1.0</v>
      </c>
      <c r="L779" s="10" t="b">
        <v>1</v>
      </c>
      <c r="M779" s="5" t="s">
        <v>2482</v>
      </c>
      <c r="N779" s="5" t="s">
        <v>247</v>
      </c>
      <c r="O779" s="5"/>
      <c r="P779" s="110" t="b">
        <f t="shared" si="1"/>
        <v>0</v>
      </c>
      <c r="Q779" s="110" t="b">
        <f>IF(COUNTIF(RAW_APS!$A$2:$A815,A779)=0,TRUE,FALSE)</f>
        <v>0</v>
      </c>
      <c r="R779" s="241" t="b">
        <f t="shared" si="2"/>
        <v>0</v>
      </c>
      <c r="U779" s="112" t="str">
        <f t="shared" si="3"/>
        <v/>
      </c>
      <c r="V779" s="60"/>
      <c r="W779" s="60"/>
      <c r="X779" s="60"/>
      <c r="Y779" s="60"/>
      <c r="AA779" s="112" t="str">
        <f t="shared" si="4"/>
        <v>MAX60</v>
      </c>
      <c r="AB779" s="112" t="str">
        <f t="shared" si="5"/>
        <v/>
      </c>
      <c r="AC779" s="112" t="str">
        <f t="shared" si="6"/>
        <v/>
      </c>
      <c r="AD779" s="5"/>
      <c r="AE779" s="5"/>
    </row>
    <row r="780">
      <c r="A780" s="5" t="s">
        <v>915</v>
      </c>
      <c r="B780" s="44">
        <v>44580.0</v>
      </c>
      <c r="C780" s="150">
        <v>0.2900578703703704</v>
      </c>
      <c r="D780" s="5"/>
      <c r="E780" s="5"/>
      <c r="F780" s="5"/>
      <c r="G780" s="5" t="s">
        <v>2184</v>
      </c>
      <c r="H780" s="5" t="s">
        <v>244</v>
      </c>
      <c r="I780" s="44">
        <v>44580.0</v>
      </c>
      <c r="J780" s="150">
        <v>0.5080208333333334</v>
      </c>
      <c r="K780" s="19">
        <v>1.0</v>
      </c>
      <c r="L780" s="10" t="b">
        <v>1</v>
      </c>
      <c r="M780" s="5" t="s">
        <v>2491</v>
      </c>
      <c r="N780" s="5" t="s">
        <v>247</v>
      </c>
      <c r="O780" s="5"/>
      <c r="P780" s="110" t="b">
        <f t="shared" si="1"/>
        <v>0</v>
      </c>
      <c r="Q780" s="110" t="b">
        <f>IF(COUNTIF(RAW_APS!$A$2:$A815,A780)=0,TRUE,FALSE)</f>
        <v>0</v>
      </c>
      <c r="R780" s="241" t="b">
        <f t="shared" si="2"/>
        <v>0</v>
      </c>
      <c r="U780" s="112" t="str">
        <f t="shared" si="3"/>
        <v/>
      </c>
      <c r="V780" s="60"/>
      <c r="W780" s="60"/>
      <c r="X780" s="60"/>
      <c r="Y780" s="60"/>
      <c r="AA780" s="112" t="str">
        <f t="shared" si="4"/>
        <v>MAX62</v>
      </c>
      <c r="AB780" s="112" t="str">
        <f t="shared" si="5"/>
        <v/>
      </c>
      <c r="AC780" s="112" t="str">
        <f t="shared" si="6"/>
        <v/>
      </c>
      <c r="AD780" s="5"/>
      <c r="AE780" s="5"/>
    </row>
    <row r="781">
      <c r="A781" s="5" t="s">
        <v>309</v>
      </c>
      <c r="B781" s="44">
        <v>44543.0</v>
      </c>
      <c r="C781" s="150">
        <v>0.6040740740740741</v>
      </c>
      <c r="D781" s="5"/>
      <c r="E781" s="5"/>
      <c r="F781" s="5"/>
      <c r="G781" s="5" t="s">
        <v>2184</v>
      </c>
      <c r="H781" s="5" t="s">
        <v>244</v>
      </c>
      <c r="I781" s="44">
        <v>44543.0</v>
      </c>
      <c r="J781" s="150">
        <v>0.7849884259259259</v>
      </c>
      <c r="K781" s="19">
        <v>1.0</v>
      </c>
      <c r="L781" s="10" t="b">
        <v>1</v>
      </c>
      <c r="M781" s="5" t="s">
        <v>2509</v>
      </c>
      <c r="N781" s="5" t="s">
        <v>247</v>
      </c>
      <c r="O781" s="5"/>
      <c r="P781" s="110" t="b">
        <f t="shared" si="1"/>
        <v>0</v>
      </c>
      <c r="Q781" s="110" t="b">
        <f>IF(COUNTIF(RAW_APS!$A$2:$A815,A781)=0,TRUE,FALSE)</f>
        <v>0</v>
      </c>
      <c r="R781" s="241" t="b">
        <f t="shared" si="2"/>
        <v>0</v>
      </c>
      <c r="U781" s="112" t="str">
        <f t="shared" si="3"/>
        <v/>
      </c>
      <c r="V781" s="51"/>
      <c r="W781" s="51"/>
      <c r="X781" s="51"/>
      <c r="Y781" s="51"/>
      <c r="AA781" s="112" t="str">
        <f t="shared" si="4"/>
        <v>MAX63</v>
      </c>
      <c r="AB781" s="112" t="str">
        <f t="shared" si="5"/>
        <v/>
      </c>
      <c r="AC781" s="112" t="str">
        <f t="shared" si="6"/>
        <v/>
      </c>
      <c r="AD781" s="5"/>
      <c r="AE781" s="5"/>
    </row>
    <row r="782">
      <c r="A782" s="5" t="s">
        <v>268</v>
      </c>
      <c r="B782" s="44">
        <v>44540.0</v>
      </c>
      <c r="C782" s="150">
        <v>0.30105324074074075</v>
      </c>
      <c r="D782" s="5"/>
      <c r="E782" s="5"/>
      <c r="F782" s="5"/>
      <c r="G782" s="5" t="s">
        <v>2184</v>
      </c>
      <c r="H782" s="5" t="s">
        <v>244</v>
      </c>
      <c r="I782" s="44">
        <v>44543.0</v>
      </c>
      <c r="J782" s="150">
        <v>0.7857291666666667</v>
      </c>
      <c r="K782" s="19">
        <v>1.0</v>
      </c>
      <c r="L782" s="10" t="b">
        <v>1</v>
      </c>
      <c r="M782" s="5" t="s">
        <v>2510</v>
      </c>
      <c r="N782" s="5" t="s">
        <v>247</v>
      </c>
      <c r="O782" s="5"/>
      <c r="P782" s="110" t="b">
        <f t="shared" si="1"/>
        <v>0</v>
      </c>
      <c r="Q782" s="110" t="b">
        <f>IF(COUNTIF(RAW_APS!$A$2:$A815,A782)=0,TRUE,FALSE)</f>
        <v>0</v>
      </c>
      <c r="R782" s="241" t="b">
        <f t="shared" si="2"/>
        <v>0</v>
      </c>
      <c r="U782" s="112" t="str">
        <f t="shared" si="3"/>
        <v/>
      </c>
      <c r="V782" s="51"/>
      <c r="W782" s="51"/>
      <c r="X782" s="51"/>
      <c r="Y782" s="51"/>
      <c r="AA782" s="112" t="str">
        <f t="shared" si="4"/>
        <v>MAX64</v>
      </c>
      <c r="AB782" s="112" t="str">
        <f t="shared" si="5"/>
        <v/>
      </c>
      <c r="AC782" s="112" t="str">
        <f t="shared" si="6"/>
        <v/>
      </c>
      <c r="AD782" s="5"/>
      <c r="AE782" s="5"/>
    </row>
    <row r="783">
      <c r="A783" s="5" t="s">
        <v>525</v>
      </c>
      <c r="B783" s="44">
        <v>44566.0</v>
      </c>
      <c r="C783" s="150">
        <v>0.3789351851851852</v>
      </c>
      <c r="D783" s="5"/>
      <c r="E783" s="5"/>
      <c r="F783" s="5"/>
      <c r="G783" s="5" t="s">
        <v>2184</v>
      </c>
      <c r="H783" s="5" t="s">
        <v>244</v>
      </c>
      <c r="I783" s="44">
        <v>44566.0</v>
      </c>
      <c r="J783" s="150">
        <v>0.4565625</v>
      </c>
      <c r="K783" s="19">
        <v>1.0</v>
      </c>
      <c r="L783" s="10" t="b">
        <v>1</v>
      </c>
      <c r="M783" s="5" t="s">
        <v>2499</v>
      </c>
      <c r="N783" s="5" t="s">
        <v>247</v>
      </c>
      <c r="O783" s="5"/>
      <c r="P783" s="110" t="b">
        <f t="shared" si="1"/>
        <v>0</v>
      </c>
      <c r="Q783" s="110" t="b">
        <f>IF(COUNTIF(RAW_APS!$A$2:$A815,A783)=0,TRUE,FALSE)</f>
        <v>0</v>
      </c>
      <c r="R783" s="241" t="b">
        <f t="shared" si="2"/>
        <v>0</v>
      </c>
      <c r="U783" s="112" t="str">
        <f t="shared" si="3"/>
        <v/>
      </c>
      <c r="V783" s="60"/>
      <c r="W783" s="60"/>
      <c r="X783" s="60"/>
      <c r="Y783" s="60"/>
      <c r="AA783" s="112" t="str">
        <f t="shared" si="4"/>
        <v>MAX65</v>
      </c>
      <c r="AB783" s="112" t="str">
        <f t="shared" si="5"/>
        <v/>
      </c>
      <c r="AC783" s="112" t="str">
        <f t="shared" si="6"/>
        <v/>
      </c>
      <c r="AD783" s="5"/>
      <c r="AE783" s="5"/>
    </row>
    <row r="784">
      <c r="A784" s="5" t="s">
        <v>1166</v>
      </c>
      <c r="B784" s="44">
        <v>44601.0</v>
      </c>
      <c r="C784" s="150">
        <v>0.34546296296296297</v>
      </c>
      <c r="D784" s="5"/>
      <c r="E784" s="5"/>
      <c r="F784" s="5"/>
      <c r="G784" s="5" t="s">
        <v>2184</v>
      </c>
      <c r="H784" s="5" t="s">
        <v>244</v>
      </c>
      <c r="I784" s="44">
        <v>44601.0</v>
      </c>
      <c r="J784" s="150">
        <v>0.48203703703703704</v>
      </c>
      <c r="K784" s="19">
        <v>1.0</v>
      </c>
      <c r="L784" s="10" t="b">
        <v>1</v>
      </c>
      <c r="M784" s="5" t="s">
        <v>2482</v>
      </c>
      <c r="N784" s="5" t="s">
        <v>247</v>
      </c>
      <c r="O784" s="5"/>
      <c r="P784" s="110" t="b">
        <f t="shared" si="1"/>
        <v>0</v>
      </c>
      <c r="Q784" s="110" t="b">
        <f>IF(COUNTIF(RAW_APS!$A$2:$A815,A784)=0,TRUE,FALSE)</f>
        <v>0</v>
      </c>
      <c r="R784" s="241" t="b">
        <f t="shared" si="2"/>
        <v>0</v>
      </c>
      <c r="U784" s="112" t="str">
        <f t="shared" si="3"/>
        <v/>
      </c>
      <c r="V784" s="60"/>
      <c r="W784" s="60"/>
      <c r="X784" s="60"/>
      <c r="Y784" s="60"/>
      <c r="AA784" s="112" t="str">
        <f t="shared" si="4"/>
        <v>MAX67</v>
      </c>
      <c r="AB784" s="112" t="str">
        <f t="shared" si="5"/>
        <v/>
      </c>
      <c r="AC784" s="112" t="str">
        <f t="shared" si="6"/>
        <v/>
      </c>
      <c r="AD784" s="5"/>
      <c r="AE784" s="5"/>
    </row>
    <row r="785">
      <c r="A785" s="5" t="s">
        <v>849</v>
      </c>
      <c r="B785" s="44">
        <v>44579.0</v>
      </c>
      <c r="C785" s="150">
        <v>0.33091435185185186</v>
      </c>
      <c r="D785" s="5"/>
      <c r="E785" s="5"/>
      <c r="F785" s="5"/>
      <c r="G785" s="5" t="s">
        <v>2184</v>
      </c>
      <c r="H785" s="5" t="s">
        <v>52</v>
      </c>
      <c r="I785" s="44">
        <v>44579.0</v>
      </c>
      <c r="J785" s="150">
        <v>0.5015972222222222</v>
      </c>
      <c r="K785" s="19">
        <v>1.0</v>
      </c>
      <c r="L785" s="10" t="b">
        <v>1</v>
      </c>
      <c r="M785" s="5"/>
      <c r="N785" s="5" t="s">
        <v>247</v>
      </c>
      <c r="O785" s="5"/>
      <c r="P785" s="110" t="b">
        <f t="shared" si="1"/>
        <v>0</v>
      </c>
      <c r="Q785" s="110" t="b">
        <f>IF(COUNTIF(RAW_APS!$A$2:$A815,A785)=0,TRUE,FALSE)</f>
        <v>0</v>
      </c>
      <c r="R785" s="241" t="b">
        <f t="shared" si="2"/>
        <v>0</v>
      </c>
      <c r="U785" s="112" t="str">
        <f t="shared" si="3"/>
        <v/>
      </c>
      <c r="V785" s="60"/>
      <c r="W785" s="60"/>
      <c r="X785" s="60"/>
      <c r="Y785" s="60"/>
      <c r="AA785" s="112" t="str">
        <f t="shared" si="4"/>
        <v>MAX68</v>
      </c>
      <c r="AB785" s="112" t="str">
        <f t="shared" si="5"/>
        <v/>
      </c>
      <c r="AC785" s="112" t="str">
        <f t="shared" si="6"/>
        <v/>
      </c>
      <c r="AD785" s="5"/>
      <c r="AE785" s="5"/>
    </row>
    <row r="786">
      <c r="A786" s="5" t="s">
        <v>668</v>
      </c>
      <c r="B786" s="44">
        <v>44571.0</v>
      </c>
      <c r="C786" s="150">
        <v>0.3899768518518518</v>
      </c>
      <c r="D786" s="5"/>
      <c r="E786" s="5"/>
      <c r="F786" s="5"/>
      <c r="G786" s="5" t="s">
        <v>2184</v>
      </c>
      <c r="H786" s="5" t="s">
        <v>52</v>
      </c>
      <c r="I786" s="44">
        <v>44579.0</v>
      </c>
      <c r="J786" s="150">
        <v>0.5015740740740741</v>
      </c>
      <c r="K786" s="19">
        <v>1.0</v>
      </c>
      <c r="L786" s="10" t="b">
        <v>1</v>
      </c>
      <c r="M786" s="5"/>
      <c r="N786" s="5" t="s">
        <v>247</v>
      </c>
      <c r="O786" s="5"/>
      <c r="P786" s="110" t="b">
        <f t="shared" si="1"/>
        <v>0</v>
      </c>
      <c r="Q786" s="110" t="b">
        <f>IF(COUNTIF(RAW_APS!$A$2:$A815,A786)=0,TRUE,FALSE)</f>
        <v>0</v>
      </c>
      <c r="R786" s="241" t="b">
        <f t="shared" si="2"/>
        <v>0</v>
      </c>
      <c r="U786" s="112" t="str">
        <f t="shared" si="3"/>
        <v/>
      </c>
      <c r="V786" s="60"/>
      <c r="W786" s="60"/>
      <c r="X786" s="60"/>
      <c r="Y786" s="60"/>
      <c r="AA786" s="112" t="str">
        <f t="shared" si="4"/>
        <v>MAX69</v>
      </c>
      <c r="AB786" s="112" t="str">
        <f t="shared" si="5"/>
        <v/>
      </c>
      <c r="AC786" s="112" t="str">
        <f t="shared" si="6"/>
        <v/>
      </c>
      <c r="AD786" s="5"/>
      <c r="AE786" s="5"/>
    </row>
    <row r="787">
      <c r="A787" s="5" t="s">
        <v>286</v>
      </c>
      <c r="B787" s="44">
        <v>44543.0</v>
      </c>
      <c r="C787" s="150">
        <v>0.4924074074074074</v>
      </c>
      <c r="D787" s="5"/>
      <c r="E787" s="5"/>
      <c r="F787" s="5"/>
      <c r="G787" s="5" t="s">
        <v>2184</v>
      </c>
      <c r="H787" s="5" t="s">
        <v>244</v>
      </c>
      <c r="I787" s="44">
        <v>44543.0</v>
      </c>
      <c r="J787" s="150">
        <v>0.7849884259259259</v>
      </c>
      <c r="K787" s="19">
        <v>1.0</v>
      </c>
      <c r="L787" s="10" t="b">
        <v>1</v>
      </c>
      <c r="M787" s="5" t="s">
        <v>2509</v>
      </c>
      <c r="N787" s="5" t="s">
        <v>247</v>
      </c>
      <c r="O787" s="5"/>
      <c r="P787" s="110" t="b">
        <f t="shared" si="1"/>
        <v>0</v>
      </c>
      <c r="Q787" s="110" t="b">
        <f>IF(COUNTIF(RAW_APS!$A$2:$A815,A787)=0,TRUE,FALSE)</f>
        <v>0</v>
      </c>
      <c r="R787" s="241" t="b">
        <f t="shared" si="2"/>
        <v>0</v>
      </c>
      <c r="U787" s="112" t="str">
        <f t="shared" si="3"/>
        <v/>
      </c>
      <c r="V787" s="51"/>
      <c r="W787" s="51"/>
      <c r="X787" s="51"/>
      <c r="Y787" s="51"/>
      <c r="AA787" s="112" t="str">
        <f t="shared" si="4"/>
        <v>MAX70</v>
      </c>
      <c r="AB787" s="112" t="str">
        <f t="shared" si="5"/>
        <v/>
      </c>
      <c r="AC787" s="112" t="str">
        <f t="shared" si="6"/>
        <v/>
      </c>
      <c r="AD787" s="5"/>
      <c r="AE787" s="5"/>
    </row>
    <row r="788">
      <c r="A788" s="5" t="s">
        <v>740</v>
      </c>
      <c r="B788" s="44">
        <v>44573.0</v>
      </c>
      <c r="C788" s="150">
        <v>0.3858564814814815</v>
      </c>
      <c r="D788" s="5"/>
      <c r="E788" s="5"/>
      <c r="F788" s="5"/>
      <c r="G788" s="5" t="s">
        <v>2184</v>
      </c>
      <c r="H788" s="5" t="s">
        <v>52</v>
      </c>
      <c r="I788" s="44">
        <v>44579.0</v>
      </c>
      <c r="J788" s="150">
        <v>0.5015856481481481</v>
      </c>
      <c r="K788" s="19">
        <v>1.0</v>
      </c>
      <c r="L788" s="10" t="b">
        <v>1</v>
      </c>
      <c r="M788" s="5"/>
      <c r="N788" s="5" t="s">
        <v>247</v>
      </c>
      <c r="O788" s="5"/>
      <c r="P788" s="110" t="b">
        <f t="shared" si="1"/>
        <v>0</v>
      </c>
      <c r="Q788" s="110" t="b">
        <f>IF(COUNTIF(RAW_APS!$A$2:$A815,A788)=0,TRUE,FALSE)</f>
        <v>0</v>
      </c>
      <c r="R788" s="241" t="b">
        <f t="shared" si="2"/>
        <v>0</v>
      </c>
      <c r="U788" s="112" t="str">
        <f t="shared" si="3"/>
        <v/>
      </c>
      <c r="V788" s="60"/>
      <c r="W788" s="60"/>
      <c r="X788" s="60"/>
      <c r="Y788" s="60"/>
      <c r="AA788" s="112" t="str">
        <f t="shared" si="4"/>
        <v>MAX72</v>
      </c>
      <c r="AB788" s="112" t="str">
        <f t="shared" si="5"/>
        <v/>
      </c>
      <c r="AC788" s="112" t="str">
        <f t="shared" si="6"/>
        <v/>
      </c>
      <c r="AD788" s="5"/>
      <c r="AE788" s="5"/>
    </row>
    <row r="789">
      <c r="A789" s="5" t="s">
        <v>599</v>
      </c>
      <c r="B789" s="44">
        <v>44568.0</v>
      </c>
      <c r="C789" s="150">
        <v>0.3647800925925926</v>
      </c>
      <c r="D789" s="5"/>
      <c r="E789" s="5"/>
      <c r="F789" s="5"/>
      <c r="G789" s="5" t="s">
        <v>2184</v>
      </c>
      <c r="H789" s="5" t="s">
        <v>52</v>
      </c>
      <c r="I789" s="44">
        <v>44568.0</v>
      </c>
      <c r="J789" s="150">
        <v>0.508275462962963</v>
      </c>
      <c r="K789" s="19">
        <v>1.0</v>
      </c>
      <c r="L789" s="10" t="b">
        <v>1</v>
      </c>
      <c r="M789" s="5"/>
      <c r="N789" s="5" t="s">
        <v>247</v>
      </c>
      <c r="O789" s="5"/>
      <c r="P789" s="110" t="b">
        <f t="shared" si="1"/>
        <v>0</v>
      </c>
      <c r="Q789" s="110" t="b">
        <f>IF(COUNTIF(RAW_APS!$A$2:$A815,A789)=0,TRUE,FALSE)</f>
        <v>0</v>
      </c>
      <c r="R789" s="241" t="b">
        <f t="shared" si="2"/>
        <v>0</v>
      </c>
      <c r="U789" s="112" t="str">
        <f t="shared" si="3"/>
        <v/>
      </c>
      <c r="V789" s="60"/>
      <c r="W789" s="60"/>
      <c r="X789" s="60"/>
      <c r="Y789" s="60"/>
      <c r="AA789" s="112" t="str">
        <f t="shared" si="4"/>
        <v>MAX74</v>
      </c>
      <c r="AB789" s="112" t="str">
        <f t="shared" si="5"/>
        <v/>
      </c>
      <c r="AC789" s="112" t="str">
        <f t="shared" si="6"/>
        <v/>
      </c>
      <c r="AD789" s="5"/>
      <c r="AE789" s="5"/>
    </row>
    <row r="790">
      <c r="A790" s="5" t="s">
        <v>1169</v>
      </c>
      <c r="B790" s="44">
        <v>44601.0</v>
      </c>
      <c r="C790" s="150">
        <v>0.34578703703703706</v>
      </c>
      <c r="D790" s="5"/>
      <c r="E790" s="5"/>
      <c r="F790" s="5"/>
      <c r="G790" s="5" t="s">
        <v>2184</v>
      </c>
      <c r="H790" s="5" t="s">
        <v>244</v>
      </c>
      <c r="I790" s="44">
        <v>44601.0</v>
      </c>
      <c r="J790" s="150">
        <v>0.48203703703703704</v>
      </c>
      <c r="K790" s="19">
        <v>1.0</v>
      </c>
      <c r="L790" s="10" t="b">
        <v>1</v>
      </c>
      <c r="M790" s="5" t="s">
        <v>2482</v>
      </c>
      <c r="N790" s="5" t="s">
        <v>247</v>
      </c>
      <c r="O790" s="5"/>
      <c r="P790" s="110" t="b">
        <f t="shared" si="1"/>
        <v>0</v>
      </c>
      <c r="Q790" s="110" t="b">
        <f>IF(COUNTIF(RAW_APS!$A$2:$A815,A790)=0,TRUE,FALSE)</f>
        <v>0</v>
      </c>
      <c r="R790" s="241" t="b">
        <f t="shared" si="2"/>
        <v>0</v>
      </c>
      <c r="U790" s="112" t="str">
        <f t="shared" si="3"/>
        <v/>
      </c>
      <c r="V790" s="60"/>
      <c r="W790" s="60"/>
      <c r="X790" s="60"/>
      <c r="Y790" s="60"/>
      <c r="AA790" s="112" t="str">
        <f t="shared" si="4"/>
        <v>MAX75</v>
      </c>
      <c r="AB790" s="112" t="str">
        <f t="shared" si="5"/>
        <v/>
      </c>
      <c r="AC790" s="112" t="str">
        <f t="shared" si="6"/>
        <v/>
      </c>
      <c r="AD790" s="5"/>
      <c r="AE790" s="5"/>
    </row>
    <row r="791">
      <c r="A791" s="5" t="s">
        <v>936</v>
      </c>
      <c r="B791" s="44">
        <v>44580.0</v>
      </c>
      <c r="C791" s="150">
        <v>0.43203703703703705</v>
      </c>
      <c r="D791" s="5"/>
      <c r="E791" s="5"/>
      <c r="F791" s="5"/>
      <c r="G791" s="5" t="s">
        <v>2184</v>
      </c>
      <c r="H791" s="5" t="s">
        <v>52</v>
      </c>
      <c r="I791" s="44">
        <v>44580.0</v>
      </c>
      <c r="J791" s="150">
        <v>0.5073726851851852</v>
      </c>
      <c r="K791" s="19">
        <v>1.0</v>
      </c>
      <c r="L791" s="10" t="b">
        <v>1</v>
      </c>
      <c r="M791" s="5"/>
      <c r="N791" s="5" t="s">
        <v>247</v>
      </c>
      <c r="O791" s="5"/>
      <c r="P791" s="110" t="b">
        <f t="shared" si="1"/>
        <v>0</v>
      </c>
      <c r="Q791" s="110" t="b">
        <f>IF(COUNTIF(RAW_APS!$A$2:$A815,A791)=0,TRUE,FALSE)</f>
        <v>0</v>
      </c>
      <c r="R791" s="241" t="b">
        <f t="shared" si="2"/>
        <v>0</v>
      </c>
      <c r="U791" s="112" t="str">
        <f t="shared" si="3"/>
        <v/>
      </c>
      <c r="V791" s="60"/>
      <c r="W791" s="60"/>
      <c r="X791" s="60"/>
      <c r="Y791" s="60"/>
      <c r="AA791" s="112" t="str">
        <f t="shared" si="4"/>
        <v>MAX76</v>
      </c>
      <c r="AB791" s="112" t="str">
        <f t="shared" si="5"/>
        <v/>
      </c>
      <c r="AC791" s="112" t="str">
        <f t="shared" si="6"/>
        <v/>
      </c>
      <c r="AD791" s="5"/>
      <c r="AE791" s="5"/>
    </row>
    <row r="792">
      <c r="A792" s="5" t="s">
        <v>264</v>
      </c>
      <c r="B792" s="44">
        <v>44540.0</v>
      </c>
      <c r="C792" s="150">
        <v>0.3005439814814815</v>
      </c>
      <c r="D792" s="5"/>
      <c r="E792" s="5"/>
      <c r="F792" s="5"/>
      <c r="G792" s="5" t="s">
        <v>2184</v>
      </c>
      <c r="H792" s="5" t="s">
        <v>244</v>
      </c>
      <c r="I792" s="44">
        <v>44543.0</v>
      </c>
      <c r="J792" s="150">
        <v>0.7857175925925926</v>
      </c>
      <c r="K792" s="19">
        <v>2.0</v>
      </c>
      <c r="L792" s="10" t="b">
        <v>1</v>
      </c>
      <c r="M792" s="5" t="s">
        <v>2510</v>
      </c>
      <c r="N792" s="5" t="s">
        <v>247</v>
      </c>
      <c r="O792" s="5"/>
      <c r="P792" s="110" t="b">
        <f t="shared" si="1"/>
        <v>0</v>
      </c>
      <c r="Q792" s="110" t="b">
        <f>IF(COUNTIF(RAW_APS!$A$2:$A815,A792)=0,TRUE,FALSE)</f>
        <v>0</v>
      </c>
      <c r="R792" s="241" t="b">
        <f t="shared" si="2"/>
        <v>0</v>
      </c>
      <c r="U792" s="112" t="str">
        <f t="shared" si="3"/>
        <v/>
      </c>
      <c r="V792" s="51"/>
      <c r="W792" s="51"/>
      <c r="X792" s="51"/>
      <c r="Y792" s="51"/>
      <c r="AA792" s="112" t="str">
        <f t="shared" si="4"/>
        <v>MAX79</v>
      </c>
      <c r="AB792" s="112" t="str">
        <f t="shared" si="5"/>
        <v/>
      </c>
      <c r="AC792" s="112" t="str">
        <f t="shared" si="6"/>
        <v/>
      </c>
      <c r="AD792" s="5"/>
      <c r="AE792" s="5"/>
    </row>
    <row r="793">
      <c r="A793" s="5" t="s">
        <v>1325</v>
      </c>
      <c r="B793" s="44">
        <v>44609.0</v>
      </c>
      <c r="C793" s="150">
        <v>0.2951736111111111</v>
      </c>
      <c r="D793" s="5"/>
      <c r="E793" s="5"/>
      <c r="F793" s="5"/>
      <c r="G793" s="5" t="s">
        <v>2184</v>
      </c>
      <c r="H793" s="5" t="s">
        <v>244</v>
      </c>
      <c r="I793" s="44">
        <v>44611.0</v>
      </c>
      <c r="J793" s="150">
        <v>0.3895601851851852</v>
      </c>
      <c r="K793" s="19">
        <v>1.0</v>
      </c>
      <c r="L793" s="10" t="b">
        <v>1</v>
      </c>
      <c r="M793" s="5" t="s">
        <v>2478</v>
      </c>
      <c r="N793" s="5" t="s">
        <v>247</v>
      </c>
      <c r="O793" s="5"/>
      <c r="P793" s="110" t="b">
        <f t="shared" si="1"/>
        <v>0</v>
      </c>
      <c r="Q793" s="110" t="b">
        <f>IF(COUNTIF(RAW_APS!$A$2:$A815,A793)=0,TRUE,FALSE)</f>
        <v>0</v>
      </c>
      <c r="R793" s="241" t="b">
        <f t="shared" si="2"/>
        <v>0</v>
      </c>
      <c r="U793" s="112" t="str">
        <f t="shared" si="3"/>
        <v/>
      </c>
      <c r="V793" s="60"/>
      <c r="W793" s="60"/>
      <c r="X793" s="60"/>
      <c r="Y793" s="60"/>
      <c r="AA793" s="112" t="str">
        <f t="shared" si="4"/>
        <v>MAX8</v>
      </c>
      <c r="AB793" s="112" t="str">
        <f t="shared" si="5"/>
        <v/>
      </c>
      <c r="AC793" s="112" t="str">
        <f t="shared" si="6"/>
        <v/>
      </c>
      <c r="AD793" s="5"/>
      <c r="AE793" s="5"/>
    </row>
    <row r="794">
      <c r="A794" s="5" t="s">
        <v>952</v>
      </c>
      <c r="B794" s="44">
        <v>44582.0</v>
      </c>
      <c r="C794" s="150">
        <v>0.28474537037037034</v>
      </c>
      <c r="D794" s="5"/>
      <c r="E794" s="5"/>
      <c r="F794" s="5"/>
      <c r="G794" s="5" t="s">
        <v>2184</v>
      </c>
      <c r="H794" s="5" t="s">
        <v>52</v>
      </c>
      <c r="I794" s="44">
        <v>44582.0</v>
      </c>
      <c r="J794" s="150">
        <v>0.4884027777777778</v>
      </c>
      <c r="K794" s="19">
        <v>1.0</v>
      </c>
      <c r="L794" s="10" t="b">
        <v>1</v>
      </c>
      <c r="M794" s="5"/>
      <c r="N794" s="5" t="s">
        <v>247</v>
      </c>
      <c r="O794" s="5"/>
      <c r="P794" s="110" t="b">
        <f t="shared" si="1"/>
        <v>0</v>
      </c>
      <c r="Q794" s="110" t="b">
        <f>IF(COUNTIF(RAW_APS!$A$2:$A815,A794)=0,TRUE,FALSE)</f>
        <v>0</v>
      </c>
      <c r="R794" s="241" t="b">
        <f t="shared" si="2"/>
        <v>0</v>
      </c>
      <c r="U794" s="112" t="str">
        <f t="shared" si="3"/>
        <v/>
      </c>
      <c r="V794" s="60"/>
      <c r="W794" s="60"/>
      <c r="X794" s="60"/>
      <c r="Y794" s="60"/>
      <c r="AA794" s="112" t="str">
        <f t="shared" si="4"/>
        <v>MAX80</v>
      </c>
      <c r="AB794" s="112" t="str">
        <f t="shared" si="5"/>
        <v/>
      </c>
      <c r="AC794" s="112" t="str">
        <f t="shared" si="6"/>
        <v/>
      </c>
      <c r="AD794" s="5"/>
      <c r="AE794" s="5"/>
    </row>
    <row r="795">
      <c r="A795" s="5" t="s">
        <v>743</v>
      </c>
      <c r="B795" s="44">
        <v>44573.0</v>
      </c>
      <c r="C795" s="150">
        <v>0.38631944444444444</v>
      </c>
      <c r="D795" s="5"/>
      <c r="E795" s="5"/>
      <c r="F795" s="5"/>
      <c r="G795" s="5" t="s">
        <v>2184</v>
      </c>
      <c r="H795" s="5" t="s">
        <v>244</v>
      </c>
      <c r="I795" s="44">
        <v>44575.0</v>
      </c>
      <c r="J795" s="150">
        <v>0.48203703703703704</v>
      </c>
      <c r="K795" s="19">
        <v>1.0</v>
      </c>
      <c r="L795" s="10" t="b">
        <v>1</v>
      </c>
      <c r="M795" s="5" t="s">
        <v>2495</v>
      </c>
      <c r="N795" s="5" t="s">
        <v>247</v>
      </c>
      <c r="O795" s="5"/>
      <c r="P795" s="110" t="b">
        <f t="shared" si="1"/>
        <v>0</v>
      </c>
      <c r="Q795" s="110" t="b">
        <f>IF(COUNTIF(RAW_APS!$A$2:$A815,A795)=0,TRUE,FALSE)</f>
        <v>0</v>
      </c>
      <c r="R795" s="241" t="b">
        <f t="shared" si="2"/>
        <v>0</v>
      </c>
      <c r="U795" s="112" t="str">
        <f t="shared" si="3"/>
        <v/>
      </c>
      <c r="V795" s="60"/>
      <c r="W795" s="60"/>
      <c r="X795" s="60"/>
      <c r="Y795" s="60"/>
      <c r="AA795" s="112" t="str">
        <f t="shared" si="4"/>
        <v>MAX81</v>
      </c>
      <c r="AB795" s="112" t="str">
        <f t="shared" si="5"/>
        <v/>
      </c>
      <c r="AC795" s="112" t="str">
        <f t="shared" si="6"/>
        <v/>
      </c>
      <c r="AD795" s="5"/>
      <c r="AE795" s="5"/>
    </row>
    <row r="796">
      <c r="A796" s="5" t="s">
        <v>1613</v>
      </c>
      <c r="B796" s="44">
        <v>44615.0</v>
      </c>
      <c r="C796" s="150">
        <v>0.41844907407407406</v>
      </c>
      <c r="D796" s="5"/>
      <c r="E796" s="5"/>
      <c r="F796" s="5"/>
      <c r="G796" s="5" t="s">
        <v>2184</v>
      </c>
      <c r="H796" s="5" t="s">
        <v>52</v>
      </c>
      <c r="I796" s="44">
        <v>44615.0</v>
      </c>
      <c r="J796" s="150">
        <v>0.49126157407407406</v>
      </c>
      <c r="K796" s="19">
        <v>1.0</v>
      </c>
      <c r="L796" s="10" t="b">
        <v>1</v>
      </c>
      <c r="M796" s="5" t="s">
        <v>2474</v>
      </c>
      <c r="N796" s="5" t="s">
        <v>247</v>
      </c>
      <c r="O796" s="5"/>
      <c r="P796" s="110" t="b">
        <f t="shared" si="1"/>
        <v>0</v>
      </c>
      <c r="Q796" s="110" t="b">
        <f>IF(COUNTIF(RAW_APS!$A$2:$A815,A796)=0,TRUE,FALSE)</f>
        <v>0</v>
      </c>
      <c r="R796" s="241" t="b">
        <f t="shared" si="2"/>
        <v>0</v>
      </c>
      <c r="U796" s="112" t="str">
        <f t="shared" si="3"/>
        <v/>
      </c>
      <c r="V796" s="60"/>
      <c r="W796" s="60"/>
      <c r="X796" s="60"/>
      <c r="Y796" s="60"/>
      <c r="AA796" s="112" t="str">
        <f t="shared" si="4"/>
        <v>MAX82</v>
      </c>
      <c r="AB796" s="112" t="str">
        <f t="shared" si="5"/>
        <v/>
      </c>
      <c r="AC796" s="112" t="str">
        <f t="shared" si="6"/>
        <v/>
      </c>
      <c r="AD796" s="5"/>
      <c r="AE796" s="5"/>
    </row>
    <row r="797">
      <c r="A797" s="5" t="s">
        <v>814</v>
      </c>
      <c r="B797" s="44">
        <v>44575.0</v>
      </c>
      <c r="C797" s="150">
        <v>0.3866550925925926</v>
      </c>
      <c r="D797" s="5"/>
      <c r="E797" s="5"/>
      <c r="F797" s="5"/>
      <c r="G797" s="5" t="s">
        <v>2184</v>
      </c>
      <c r="H797" s="5" t="s">
        <v>52</v>
      </c>
      <c r="I797" s="44">
        <v>44579.0</v>
      </c>
      <c r="J797" s="150">
        <v>0.5015856481481481</v>
      </c>
      <c r="K797" s="19">
        <v>1.0</v>
      </c>
      <c r="L797" s="10" t="b">
        <v>1</v>
      </c>
      <c r="M797" s="5"/>
      <c r="N797" s="5" t="s">
        <v>247</v>
      </c>
      <c r="O797" s="5"/>
      <c r="P797" s="110" t="b">
        <f t="shared" si="1"/>
        <v>0</v>
      </c>
      <c r="Q797" s="110" t="b">
        <f>IF(COUNTIF(RAW_APS!$A$2:$A815,A797)=0,TRUE,FALSE)</f>
        <v>0</v>
      </c>
      <c r="R797" s="241" t="b">
        <f t="shared" si="2"/>
        <v>0</v>
      </c>
      <c r="U797" s="112" t="str">
        <f t="shared" si="3"/>
        <v/>
      </c>
      <c r="V797" s="60"/>
      <c r="W797" s="60"/>
      <c r="X797" s="60"/>
      <c r="Y797" s="60"/>
      <c r="AA797" s="112" t="str">
        <f t="shared" si="4"/>
        <v>MAX84</v>
      </c>
      <c r="AB797" s="112" t="str">
        <f t="shared" si="5"/>
        <v/>
      </c>
      <c r="AC797" s="112" t="str">
        <f t="shared" si="6"/>
        <v/>
      </c>
      <c r="AD797" s="5"/>
      <c r="AE797" s="5"/>
    </row>
    <row r="798">
      <c r="A798" s="5" t="s">
        <v>1085</v>
      </c>
      <c r="B798" s="44">
        <v>44592.0</v>
      </c>
      <c r="C798" s="150">
        <v>0.42983796296296295</v>
      </c>
      <c r="D798" s="5"/>
      <c r="E798" s="5"/>
      <c r="F798" s="5"/>
      <c r="G798" s="5" t="s">
        <v>2184</v>
      </c>
      <c r="H798" s="5" t="s">
        <v>244</v>
      </c>
      <c r="I798" s="44">
        <v>44592.0</v>
      </c>
      <c r="J798" s="150">
        <v>0.46024305555555556</v>
      </c>
      <c r="K798" s="19">
        <v>1.0</v>
      </c>
      <c r="L798" s="10" t="b">
        <v>1</v>
      </c>
      <c r="M798" s="5" t="s">
        <v>2486</v>
      </c>
      <c r="N798" s="5" t="s">
        <v>247</v>
      </c>
      <c r="O798" s="5"/>
      <c r="P798" s="110" t="b">
        <f t="shared" si="1"/>
        <v>0</v>
      </c>
      <c r="Q798" s="110" t="b">
        <f>IF(COUNTIF(RAW_APS!$A$2:$A815,A798)=0,TRUE,FALSE)</f>
        <v>0</v>
      </c>
      <c r="R798" s="241" t="b">
        <f t="shared" si="2"/>
        <v>0</v>
      </c>
      <c r="U798" s="112" t="str">
        <f t="shared" si="3"/>
        <v/>
      </c>
      <c r="V798" s="60"/>
      <c r="W798" s="60"/>
      <c r="X798" s="60"/>
      <c r="Y798" s="60"/>
      <c r="Z798" s="248"/>
      <c r="AA798" s="112" t="str">
        <f t="shared" si="4"/>
        <v>MAX85</v>
      </c>
      <c r="AB798" s="112" t="str">
        <f t="shared" si="5"/>
        <v/>
      </c>
      <c r="AC798" s="112" t="str">
        <f t="shared" si="6"/>
        <v/>
      </c>
      <c r="AD798" s="5"/>
      <c r="AE798" s="5"/>
    </row>
    <row r="799">
      <c r="A799" s="5" t="s">
        <v>256</v>
      </c>
      <c r="B799" s="44">
        <v>44540.0</v>
      </c>
      <c r="C799" s="150">
        <v>0.2940162037037037</v>
      </c>
      <c r="D799" s="5"/>
      <c r="E799" s="5"/>
      <c r="F799" s="5"/>
      <c r="G799" s="5" t="s">
        <v>2184</v>
      </c>
      <c r="H799" s="5" t="s">
        <v>244</v>
      </c>
      <c r="I799" s="44">
        <v>44543.0</v>
      </c>
      <c r="J799" s="150">
        <v>0.7857175925925926</v>
      </c>
      <c r="K799" s="19">
        <v>1.0</v>
      </c>
      <c r="L799" s="10" t="b">
        <v>1</v>
      </c>
      <c r="M799" s="5" t="s">
        <v>2510</v>
      </c>
      <c r="N799" s="5" t="s">
        <v>247</v>
      </c>
      <c r="O799" s="5"/>
      <c r="P799" s="110" t="b">
        <f t="shared" si="1"/>
        <v>0</v>
      </c>
      <c r="Q799" s="110" t="b">
        <f>IF(COUNTIF(RAW_APS!$A$2:$A815,A799)=0,TRUE,FALSE)</f>
        <v>0</v>
      </c>
      <c r="R799" s="241" t="b">
        <f t="shared" si="2"/>
        <v>0</v>
      </c>
      <c r="U799" s="112" t="str">
        <f t="shared" si="3"/>
        <v/>
      </c>
      <c r="V799" s="51"/>
      <c r="W799" s="51"/>
      <c r="X799" s="51"/>
      <c r="Y799" s="51"/>
      <c r="AA799" s="112" t="str">
        <f t="shared" si="4"/>
        <v>MAX88</v>
      </c>
      <c r="AB799" s="112" t="str">
        <f t="shared" si="5"/>
        <v/>
      </c>
      <c r="AC799" s="112" t="str">
        <f t="shared" si="6"/>
        <v/>
      </c>
      <c r="AD799" s="5"/>
      <c r="AE799" s="5"/>
    </row>
    <row r="800">
      <c r="A800" s="5" t="s">
        <v>954</v>
      </c>
      <c r="B800" s="44">
        <v>44582.0</v>
      </c>
      <c r="C800" s="150">
        <v>0.28693287037037035</v>
      </c>
      <c r="D800" s="5"/>
      <c r="E800" s="5"/>
      <c r="F800" s="5"/>
      <c r="G800" s="5" t="s">
        <v>2184</v>
      </c>
      <c r="H800" s="5" t="s">
        <v>52</v>
      </c>
      <c r="I800" s="44">
        <v>44582.0</v>
      </c>
      <c r="J800" s="150">
        <v>0.4884027777777778</v>
      </c>
      <c r="K800" s="19">
        <v>1.0</v>
      </c>
      <c r="L800" s="10" t="b">
        <v>1</v>
      </c>
      <c r="M800" s="5"/>
      <c r="N800" s="5" t="s">
        <v>247</v>
      </c>
      <c r="O800" s="5"/>
      <c r="P800" s="110" t="b">
        <f t="shared" si="1"/>
        <v>0</v>
      </c>
      <c r="Q800" s="110" t="b">
        <f>IF(COUNTIF(RAW_APS!$A$2:$A815,A800)=0,TRUE,FALSE)</f>
        <v>0</v>
      </c>
      <c r="R800" s="241" t="b">
        <f t="shared" si="2"/>
        <v>0</v>
      </c>
      <c r="U800" s="112" t="str">
        <f t="shared" si="3"/>
        <v/>
      </c>
      <c r="V800" s="60"/>
      <c r="W800" s="60"/>
      <c r="X800" s="60"/>
      <c r="Y800" s="60"/>
      <c r="AA800" s="112" t="str">
        <f t="shared" si="4"/>
        <v>MAX89</v>
      </c>
      <c r="AB800" s="112" t="str">
        <f t="shared" si="5"/>
        <v/>
      </c>
      <c r="AC800" s="112" t="str">
        <f t="shared" si="6"/>
        <v/>
      </c>
      <c r="AD800" s="5"/>
      <c r="AE800" s="5"/>
    </row>
    <row r="801">
      <c r="A801" s="5" t="s">
        <v>912</v>
      </c>
      <c r="B801" s="44">
        <v>44580.0</v>
      </c>
      <c r="C801" s="150">
        <v>0.2888310185185185</v>
      </c>
      <c r="D801" s="5"/>
      <c r="E801" s="5"/>
      <c r="F801" s="5"/>
      <c r="G801" s="5" t="s">
        <v>2184</v>
      </c>
      <c r="H801" s="5" t="s">
        <v>244</v>
      </c>
      <c r="I801" s="44">
        <v>44580.0</v>
      </c>
      <c r="J801" s="150">
        <v>0.5080208333333334</v>
      </c>
      <c r="K801" s="19">
        <v>1.0</v>
      </c>
      <c r="L801" s="10" t="b">
        <v>1</v>
      </c>
      <c r="M801" s="5" t="s">
        <v>2491</v>
      </c>
      <c r="N801" s="5" t="s">
        <v>247</v>
      </c>
      <c r="O801" s="5"/>
      <c r="P801" s="110" t="b">
        <f t="shared" si="1"/>
        <v>0</v>
      </c>
      <c r="Q801" s="110" t="b">
        <f>IF(COUNTIF(RAW_APS!$A$2:$A815,A801)=0,TRUE,FALSE)</f>
        <v>0</v>
      </c>
      <c r="R801" s="241" t="b">
        <f t="shared" si="2"/>
        <v>0</v>
      </c>
      <c r="U801" s="112" t="str">
        <f t="shared" si="3"/>
        <v/>
      </c>
      <c r="V801" s="60"/>
      <c r="W801" s="60"/>
      <c r="X801" s="60"/>
      <c r="Y801" s="60"/>
      <c r="AA801" s="112" t="str">
        <f t="shared" si="4"/>
        <v>MAX90</v>
      </c>
      <c r="AB801" s="112" t="str">
        <f t="shared" si="5"/>
        <v/>
      </c>
      <c r="AC801" s="112" t="str">
        <f t="shared" si="6"/>
        <v/>
      </c>
      <c r="AD801" s="5"/>
      <c r="AE801" s="5"/>
    </row>
    <row r="802">
      <c r="A802" s="5" t="s">
        <v>756</v>
      </c>
      <c r="B802" s="44">
        <v>44573.0</v>
      </c>
      <c r="C802" s="150">
        <v>0.42453703703703705</v>
      </c>
      <c r="D802" s="5"/>
      <c r="E802" s="5"/>
      <c r="F802" s="5"/>
      <c r="G802" s="5" t="s">
        <v>2184</v>
      </c>
      <c r="H802" s="5" t="s">
        <v>244</v>
      </c>
      <c r="I802" s="44">
        <v>44575.0</v>
      </c>
      <c r="J802" s="150">
        <v>0.48204861111111114</v>
      </c>
      <c r="K802" s="19">
        <v>1.0</v>
      </c>
      <c r="L802" s="10" t="b">
        <v>1</v>
      </c>
      <c r="M802" s="5" t="s">
        <v>2495</v>
      </c>
      <c r="N802" s="5" t="s">
        <v>247</v>
      </c>
      <c r="O802" s="5"/>
      <c r="P802" s="110" t="b">
        <f t="shared" si="1"/>
        <v>0</v>
      </c>
      <c r="Q802" s="110" t="b">
        <f>IF(COUNTIF(RAW_APS!$A$2:$A815,A802)=0,TRUE,FALSE)</f>
        <v>0</v>
      </c>
      <c r="R802" s="241" t="b">
        <f t="shared" si="2"/>
        <v>0</v>
      </c>
      <c r="U802" s="112" t="str">
        <f t="shared" si="3"/>
        <v/>
      </c>
      <c r="V802" s="60"/>
      <c r="W802" s="60"/>
      <c r="X802" s="60"/>
      <c r="Y802" s="60"/>
      <c r="AA802" s="112" t="str">
        <f t="shared" si="4"/>
        <v>MAX92</v>
      </c>
      <c r="AB802" s="112" t="str">
        <f t="shared" si="5"/>
        <v/>
      </c>
      <c r="AC802" s="112" t="str">
        <f t="shared" si="6"/>
        <v/>
      </c>
      <c r="AD802" s="5"/>
      <c r="AE802" s="5"/>
    </row>
    <row r="803">
      <c r="A803" s="5" t="s">
        <v>1748</v>
      </c>
      <c r="B803" s="44">
        <v>44619.0</v>
      </c>
      <c r="C803" s="150">
        <v>0.4717476851851852</v>
      </c>
      <c r="D803" s="5"/>
      <c r="E803" s="5"/>
      <c r="F803" s="5"/>
      <c r="G803" s="5" t="s">
        <v>2184</v>
      </c>
      <c r="H803" s="5" t="s">
        <v>244</v>
      </c>
      <c r="I803" s="44">
        <v>44621.0</v>
      </c>
      <c r="J803" s="150">
        <v>0.47836805555555556</v>
      </c>
      <c r="K803" s="19">
        <v>1.0</v>
      </c>
      <c r="L803" s="10" t="b">
        <v>1</v>
      </c>
      <c r="M803" s="5" t="s">
        <v>2472</v>
      </c>
      <c r="N803" s="5" t="s">
        <v>247</v>
      </c>
      <c r="O803" s="5"/>
      <c r="P803" s="110" t="b">
        <f t="shared" si="1"/>
        <v>0</v>
      </c>
      <c r="Q803" s="110" t="b">
        <f>IF(COUNTIF(RAW_APS!$A$2:$A815,A803)=0,TRUE,FALSE)</f>
        <v>0</v>
      </c>
      <c r="R803" s="241" t="b">
        <f t="shared" si="2"/>
        <v>0</v>
      </c>
      <c r="U803" s="112" t="str">
        <f t="shared" si="3"/>
        <v/>
      </c>
      <c r="V803" s="60"/>
      <c r="W803" s="60"/>
      <c r="X803" s="60"/>
      <c r="Y803" s="60"/>
      <c r="AA803" s="112" t="str">
        <f t="shared" si="4"/>
        <v>MAX93</v>
      </c>
      <c r="AB803" s="112" t="str">
        <f t="shared" si="5"/>
        <v/>
      </c>
      <c r="AC803" s="112" t="str">
        <f t="shared" si="6"/>
        <v/>
      </c>
      <c r="AD803" s="5"/>
      <c r="AE803" s="5"/>
    </row>
    <row r="804">
      <c r="A804" s="5" t="s">
        <v>302</v>
      </c>
      <c r="B804" s="44">
        <v>44543.0</v>
      </c>
      <c r="C804" s="150">
        <v>0.5967476851851852</v>
      </c>
      <c r="D804" s="5"/>
      <c r="E804" s="5"/>
      <c r="F804" s="5"/>
      <c r="G804" s="5" t="s">
        <v>2184</v>
      </c>
      <c r="H804" s="5" t="s">
        <v>244</v>
      </c>
      <c r="I804" s="44">
        <v>44543.0</v>
      </c>
      <c r="J804" s="150">
        <v>0.7849884259259259</v>
      </c>
      <c r="K804" s="19">
        <v>1.0</v>
      </c>
      <c r="L804" s="10" t="b">
        <v>1</v>
      </c>
      <c r="M804" s="5" t="s">
        <v>2509</v>
      </c>
      <c r="N804" s="5" t="s">
        <v>247</v>
      </c>
      <c r="O804" s="5"/>
      <c r="P804" s="110" t="b">
        <f t="shared" si="1"/>
        <v>0</v>
      </c>
      <c r="Q804" s="110" t="b">
        <f>IF(COUNTIF(RAW_APS!$A$2:$A815,A804)=0,TRUE,FALSE)</f>
        <v>0</v>
      </c>
      <c r="R804" s="241" t="b">
        <f t="shared" si="2"/>
        <v>0</v>
      </c>
      <c r="U804" s="112" t="str">
        <f t="shared" si="3"/>
        <v/>
      </c>
      <c r="V804" s="51"/>
      <c r="W804" s="51"/>
      <c r="X804" s="51"/>
      <c r="Y804" s="51"/>
      <c r="AA804" s="112" t="str">
        <f t="shared" si="4"/>
        <v>MAX94</v>
      </c>
      <c r="AB804" s="112" t="str">
        <f t="shared" si="5"/>
        <v/>
      </c>
      <c r="AC804" s="112" t="str">
        <f t="shared" si="6"/>
        <v/>
      </c>
      <c r="AD804" s="5"/>
      <c r="AE804" s="5"/>
    </row>
    <row r="805">
      <c r="A805" s="5" t="s">
        <v>665</v>
      </c>
      <c r="B805" s="44">
        <v>44571.0</v>
      </c>
      <c r="C805" s="150">
        <v>0.38936342592592593</v>
      </c>
      <c r="D805" s="5"/>
      <c r="E805" s="5"/>
      <c r="F805" s="5"/>
      <c r="G805" s="5" t="s">
        <v>2184</v>
      </c>
      <c r="H805" s="5" t="s">
        <v>52</v>
      </c>
      <c r="I805" s="44">
        <v>44579.0</v>
      </c>
      <c r="J805" s="150">
        <v>0.5015740740740741</v>
      </c>
      <c r="K805" s="19">
        <v>1.0</v>
      </c>
      <c r="L805" s="10" t="b">
        <v>1</v>
      </c>
      <c r="M805" s="5"/>
      <c r="N805" s="5" t="s">
        <v>247</v>
      </c>
      <c r="O805" s="5"/>
      <c r="P805" s="110" t="b">
        <f t="shared" si="1"/>
        <v>0</v>
      </c>
      <c r="Q805" s="110" t="b">
        <f>IF(COUNTIF(RAW_APS!$A$2:$A815,A805)=0,TRUE,FALSE)</f>
        <v>0</v>
      </c>
      <c r="R805" s="241" t="b">
        <f t="shared" si="2"/>
        <v>0</v>
      </c>
      <c r="U805" s="112" t="str">
        <f t="shared" si="3"/>
        <v/>
      </c>
      <c r="V805" s="60"/>
      <c r="W805" s="60"/>
      <c r="X805" s="60"/>
      <c r="Y805" s="60"/>
      <c r="AA805" s="112" t="str">
        <f t="shared" si="4"/>
        <v>MAX95</v>
      </c>
      <c r="AB805" s="112" t="str">
        <f t="shared" si="5"/>
        <v/>
      </c>
      <c r="AC805" s="112" t="str">
        <f t="shared" si="6"/>
        <v/>
      </c>
      <c r="AD805" s="5"/>
      <c r="AE805" s="5"/>
    </row>
    <row r="806">
      <c r="A806" s="5" t="s">
        <v>816</v>
      </c>
      <c r="B806" s="44">
        <v>44575.0</v>
      </c>
      <c r="C806" s="150">
        <v>0.38960648148148147</v>
      </c>
      <c r="D806" s="5"/>
      <c r="E806" s="5"/>
      <c r="F806" s="5"/>
      <c r="G806" s="5" t="s">
        <v>2184</v>
      </c>
      <c r="H806" s="5" t="s">
        <v>244</v>
      </c>
      <c r="I806" s="44">
        <v>44575.0</v>
      </c>
      <c r="J806" s="150">
        <v>0.4820601851851852</v>
      </c>
      <c r="K806" s="19">
        <v>1.0</v>
      </c>
      <c r="L806" s="10" t="b">
        <v>1</v>
      </c>
      <c r="M806" s="5" t="s">
        <v>2493</v>
      </c>
      <c r="N806" s="5" t="s">
        <v>247</v>
      </c>
      <c r="O806" s="5"/>
      <c r="P806" s="110" t="b">
        <f t="shared" si="1"/>
        <v>0</v>
      </c>
      <c r="Q806" s="110" t="b">
        <f>IF(COUNTIF(RAW_APS!$A$2:$A815,A806)=0,TRUE,FALSE)</f>
        <v>0</v>
      </c>
      <c r="R806" s="241" t="b">
        <f t="shared" si="2"/>
        <v>0</v>
      </c>
      <c r="U806" s="112" t="str">
        <f t="shared" si="3"/>
        <v/>
      </c>
      <c r="V806" s="60"/>
      <c r="W806" s="60"/>
      <c r="X806" s="60"/>
      <c r="Y806" s="60"/>
      <c r="AA806" s="112" t="str">
        <f t="shared" si="4"/>
        <v>MAX97</v>
      </c>
      <c r="AB806" s="112" t="str">
        <f t="shared" si="5"/>
        <v/>
      </c>
      <c r="AC806" s="112" t="str">
        <f t="shared" si="6"/>
        <v/>
      </c>
      <c r="AD806" s="5"/>
      <c r="AE806" s="5"/>
    </row>
    <row r="807">
      <c r="A807" s="5" t="s">
        <v>734</v>
      </c>
      <c r="B807" s="44">
        <v>44573.0</v>
      </c>
      <c r="C807" s="150">
        <v>0.38329861111111113</v>
      </c>
      <c r="D807" s="5"/>
      <c r="E807" s="5"/>
      <c r="F807" s="5"/>
      <c r="G807" s="5" t="s">
        <v>2184</v>
      </c>
      <c r="H807" s="5" t="s">
        <v>244</v>
      </c>
      <c r="I807" s="44">
        <v>44575.0</v>
      </c>
      <c r="J807" s="150">
        <v>0.48203703703703704</v>
      </c>
      <c r="K807" s="19">
        <v>1.0</v>
      </c>
      <c r="L807" s="10" t="b">
        <v>1</v>
      </c>
      <c r="M807" s="5" t="s">
        <v>2495</v>
      </c>
      <c r="N807" s="5" t="s">
        <v>247</v>
      </c>
      <c r="O807" s="5"/>
      <c r="P807" s="110" t="b">
        <f t="shared" si="1"/>
        <v>0</v>
      </c>
      <c r="Q807" s="110" t="b">
        <f>IF(COUNTIF(RAW_APS!$A$2:$A815,A807)=0,TRUE,FALSE)</f>
        <v>0</v>
      </c>
      <c r="R807" s="241" t="b">
        <f t="shared" si="2"/>
        <v>0</v>
      </c>
      <c r="U807" s="112" t="str">
        <f t="shared" si="3"/>
        <v/>
      </c>
      <c r="V807" s="60"/>
      <c r="W807" s="60"/>
      <c r="X807" s="60"/>
      <c r="Y807" s="60"/>
      <c r="AA807" s="112" t="str">
        <f t="shared" si="4"/>
        <v>MAX98</v>
      </c>
      <c r="AB807" s="112" t="str">
        <f t="shared" si="5"/>
        <v/>
      </c>
      <c r="AC807" s="112" t="str">
        <f t="shared" si="6"/>
        <v/>
      </c>
      <c r="AD807" s="5"/>
      <c r="AE807" s="5"/>
    </row>
    <row r="808">
      <c r="A808" s="5" t="s">
        <v>2182</v>
      </c>
      <c r="B808" s="44">
        <v>44861.0</v>
      </c>
      <c r="C808" s="150">
        <v>0.4895023148148148</v>
      </c>
      <c r="D808" s="5"/>
      <c r="E808" s="5"/>
      <c r="F808" s="5"/>
      <c r="G808" s="5" t="s">
        <v>2512</v>
      </c>
      <c r="H808" s="5" t="s">
        <v>254</v>
      </c>
      <c r="I808" s="44">
        <v>44861.0</v>
      </c>
      <c r="J808" s="150">
        <v>0.4895023148148148</v>
      </c>
      <c r="K808" s="19">
        <v>1.0</v>
      </c>
      <c r="L808" s="5"/>
      <c r="M808" s="5"/>
      <c r="N808" s="5" t="s">
        <v>247</v>
      </c>
      <c r="O808" s="5"/>
      <c r="P808" s="110" t="b">
        <f t="shared" si="1"/>
        <v>0</v>
      </c>
      <c r="Q808" s="110" t="b">
        <f>IF(COUNTIF(RAW_APS!$A$2:$A815,A808)=0,TRUE,FALSE)</f>
        <v>0</v>
      </c>
      <c r="R808" s="241" t="b">
        <f t="shared" si="2"/>
        <v>0</v>
      </c>
      <c r="U808" s="112" t="str">
        <f t="shared" si="3"/>
        <v/>
      </c>
      <c r="V808" s="51"/>
      <c r="W808" s="51"/>
      <c r="X808" s="51"/>
      <c r="Y808" s="51"/>
      <c r="AA808" s="112" t="str">
        <f t="shared" si="4"/>
        <v>MN3330</v>
      </c>
      <c r="AB808" s="112" t="str">
        <f t="shared" si="5"/>
        <v/>
      </c>
      <c r="AC808" s="112" t="str">
        <f t="shared" si="6"/>
        <v/>
      </c>
      <c r="AD808" s="5"/>
      <c r="AE808" s="5"/>
    </row>
    <row r="809">
      <c r="A809" s="5" t="s">
        <v>253</v>
      </c>
      <c r="B809" s="44">
        <v>44537.0</v>
      </c>
      <c r="C809" s="150">
        <v>0.5915393518518518</v>
      </c>
      <c r="D809" s="5"/>
      <c r="E809" s="5"/>
      <c r="F809" s="5"/>
      <c r="G809" s="5" t="s">
        <v>2188</v>
      </c>
      <c r="H809" s="5" t="s">
        <v>254</v>
      </c>
      <c r="I809" s="44">
        <v>44861.0</v>
      </c>
      <c r="J809" s="150">
        <v>0.4895023148148148</v>
      </c>
      <c r="K809" s="19">
        <v>1.0</v>
      </c>
      <c r="L809" s="5"/>
      <c r="M809" s="5"/>
      <c r="N809" s="5" t="s">
        <v>247</v>
      </c>
      <c r="O809" s="5"/>
      <c r="P809" s="110" t="b">
        <f t="shared" si="1"/>
        <v>0</v>
      </c>
      <c r="Q809" s="110" t="b">
        <f>IF(COUNTIF(RAW_APS!$A$2:$A815,A809)=0,TRUE,FALSE)</f>
        <v>0</v>
      </c>
      <c r="R809" s="241" t="b">
        <f t="shared" si="2"/>
        <v>0</v>
      </c>
      <c r="U809" s="112" t="str">
        <f t="shared" si="3"/>
        <v/>
      </c>
      <c r="V809" s="51"/>
      <c r="W809" s="51"/>
      <c r="X809" s="51"/>
      <c r="Y809" s="51"/>
      <c r="AA809" s="112" t="str">
        <f t="shared" si="4"/>
        <v>TEST12</v>
      </c>
      <c r="AB809" s="112" t="str">
        <f t="shared" si="5"/>
        <v/>
      </c>
      <c r="AC809" s="112" t="str">
        <f t="shared" si="6"/>
        <v/>
      </c>
      <c r="AD809" s="5"/>
      <c r="AE809" s="5"/>
    </row>
    <row r="810">
      <c r="A810" s="5" t="s">
        <v>251</v>
      </c>
      <c r="B810" s="44">
        <v>44537.0</v>
      </c>
      <c r="C810" s="150">
        <v>0.5913657407407408</v>
      </c>
      <c r="D810" s="5"/>
      <c r="E810" s="5"/>
      <c r="F810" s="5"/>
      <c r="G810" s="5" t="s">
        <v>2184</v>
      </c>
      <c r="H810" s="5" t="s">
        <v>52</v>
      </c>
      <c r="I810" s="44">
        <v>44537.0</v>
      </c>
      <c r="J810" s="150">
        <v>0.5980439814814815</v>
      </c>
      <c r="K810" s="19">
        <v>0.0</v>
      </c>
      <c r="L810" s="10" t="b">
        <v>1</v>
      </c>
      <c r="M810" s="5"/>
      <c r="N810" s="5" t="s">
        <v>247</v>
      </c>
      <c r="O810" s="5"/>
      <c r="P810" s="110" t="b">
        <f t="shared" si="1"/>
        <v>1</v>
      </c>
      <c r="Q810" s="110" t="b">
        <f>IF(COUNTIF(RAW_APS!$A$2:$A815,A810)=0,TRUE,FALSE)</f>
        <v>1</v>
      </c>
      <c r="R810" s="241" t="b">
        <f t="shared" si="2"/>
        <v>0</v>
      </c>
      <c r="U810" s="112" t="str">
        <f t="shared" si="3"/>
        <v/>
      </c>
      <c r="V810" s="51"/>
      <c r="W810" s="51"/>
      <c r="X810" s="51"/>
      <c r="Y810" s="51"/>
      <c r="AA810" s="112" t="str">
        <f t="shared" si="4"/>
        <v>TEST123</v>
      </c>
      <c r="AB810" s="112" t="str">
        <f t="shared" si="5"/>
        <v/>
      </c>
      <c r="AC810" s="112" t="str">
        <f t="shared" si="6"/>
        <v/>
      </c>
      <c r="AD810" s="5"/>
      <c r="AE810" s="5"/>
    </row>
    <row r="811">
      <c r="A811" s="5" t="s">
        <v>276</v>
      </c>
      <c r="B811" s="44">
        <v>44540.0</v>
      </c>
      <c r="C811" s="150">
        <v>0.37903935185185184</v>
      </c>
      <c r="D811" s="5"/>
      <c r="E811" s="5"/>
      <c r="F811" s="5"/>
      <c r="G811" s="5" t="s">
        <v>2188</v>
      </c>
      <c r="H811" s="5" t="s">
        <v>254</v>
      </c>
      <c r="I811" s="44">
        <v>44861.0</v>
      </c>
      <c r="J811" s="150">
        <v>0.4895023148148148</v>
      </c>
      <c r="K811" s="19">
        <v>1.0</v>
      </c>
      <c r="L811" s="5"/>
      <c r="M811" s="5"/>
      <c r="N811" s="5" t="s">
        <v>247</v>
      </c>
      <c r="O811" s="5"/>
      <c r="P811" s="110" t="b">
        <f t="shared" si="1"/>
        <v>0</v>
      </c>
      <c r="Q811" s="110" t="b">
        <f>IF(COUNTIF(RAW_APS!$A$2:$A815,A811)=0,TRUE,FALSE)</f>
        <v>0</v>
      </c>
      <c r="R811" s="241" t="b">
        <f t="shared" si="2"/>
        <v>0</v>
      </c>
      <c r="U811" s="112" t="str">
        <f t="shared" si="3"/>
        <v/>
      </c>
      <c r="V811" s="51"/>
      <c r="W811" s="51"/>
      <c r="X811" s="51"/>
      <c r="Y811" s="51"/>
      <c r="AA811" s="112" t="str">
        <f t="shared" si="4"/>
        <v>TEST2</v>
      </c>
      <c r="AB811" s="112" t="str">
        <f t="shared" si="5"/>
        <v/>
      </c>
      <c r="AC811" s="112" t="str">
        <f t="shared" si="6"/>
        <v/>
      </c>
      <c r="AD811" s="5"/>
      <c r="AE811" s="5"/>
    </row>
    <row r="812">
      <c r="A812" s="5" t="s">
        <v>278</v>
      </c>
      <c r="B812" s="44">
        <v>44540.0</v>
      </c>
      <c r="C812" s="150">
        <v>0.37935185185185183</v>
      </c>
      <c r="D812" s="5"/>
      <c r="E812" s="5"/>
      <c r="F812" s="5"/>
      <c r="G812" s="5" t="s">
        <v>2188</v>
      </c>
      <c r="H812" s="5" t="s">
        <v>254</v>
      </c>
      <c r="I812" s="44">
        <v>44861.0</v>
      </c>
      <c r="J812" s="150">
        <v>0.4895023148148148</v>
      </c>
      <c r="K812" s="19">
        <v>1.0</v>
      </c>
      <c r="L812" s="5"/>
      <c r="M812" s="5"/>
      <c r="N812" s="5" t="s">
        <v>247</v>
      </c>
      <c r="O812" s="5"/>
      <c r="P812" s="110" t="b">
        <f t="shared" si="1"/>
        <v>0</v>
      </c>
      <c r="Q812" s="110" t="b">
        <f>IF(COUNTIF(RAW_APS!$A$2:$A815,A812)=0,TRUE,FALSE)</f>
        <v>0</v>
      </c>
      <c r="R812" s="241" t="b">
        <f t="shared" si="2"/>
        <v>0</v>
      </c>
      <c r="U812" s="112" t="str">
        <f t="shared" si="3"/>
        <v/>
      </c>
      <c r="V812" s="51"/>
      <c r="W812" s="51"/>
      <c r="X812" s="51"/>
      <c r="Y812" s="51"/>
      <c r="AA812" s="112" t="str">
        <f t="shared" si="4"/>
        <v>TEST3</v>
      </c>
      <c r="AB812" s="112" t="str">
        <f t="shared" si="5"/>
        <v/>
      </c>
      <c r="AC812" s="112" t="str">
        <f t="shared" si="6"/>
        <v/>
      </c>
      <c r="AD812" s="5"/>
      <c r="AE812" s="5"/>
    </row>
    <row r="813">
      <c r="A813" s="5" t="s">
        <v>280</v>
      </c>
      <c r="B813" s="44">
        <v>44540.0</v>
      </c>
      <c r="C813" s="150">
        <v>0.3798726851851852</v>
      </c>
      <c r="D813" s="5"/>
      <c r="E813" s="5"/>
      <c r="F813" s="5"/>
      <c r="G813" s="5" t="s">
        <v>2188</v>
      </c>
      <c r="H813" s="5" t="s">
        <v>254</v>
      </c>
      <c r="I813" s="44">
        <v>44861.0</v>
      </c>
      <c r="J813" s="150">
        <v>0.4895023148148148</v>
      </c>
      <c r="K813" s="19">
        <v>1.0</v>
      </c>
      <c r="L813" s="5"/>
      <c r="M813" s="5"/>
      <c r="N813" s="5" t="s">
        <v>247</v>
      </c>
      <c r="O813" s="5"/>
      <c r="P813" s="110" t="b">
        <f t="shared" si="1"/>
        <v>0</v>
      </c>
      <c r="Q813" s="110" t="b">
        <f>IF(COUNTIF(RAW_APS!$A$2:$A815,A813)=0,TRUE,FALSE)</f>
        <v>0</v>
      </c>
      <c r="R813" s="241" t="b">
        <f t="shared" si="2"/>
        <v>0</v>
      </c>
      <c r="U813" s="112" t="str">
        <f t="shared" si="3"/>
        <v/>
      </c>
      <c r="V813" s="51"/>
      <c r="W813" s="51"/>
      <c r="X813" s="51"/>
      <c r="Y813" s="51"/>
      <c r="AA813" s="112" t="str">
        <f t="shared" si="4"/>
        <v>TEST4</v>
      </c>
      <c r="AB813" s="112" t="str">
        <f t="shared" si="5"/>
        <v/>
      </c>
      <c r="AC813" s="112" t="str">
        <f t="shared" si="6"/>
        <v/>
      </c>
      <c r="AD813" s="5"/>
      <c r="AE813" s="5"/>
    </row>
    <row r="814">
      <c r="A814" s="5" t="s">
        <v>282</v>
      </c>
      <c r="B814" s="44">
        <v>44540.0</v>
      </c>
      <c r="C814" s="150">
        <v>0.38046296296296295</v>
      </c>
      <c r="D814" s="5"/>
      <c r="E814" s="5"/>
      <c r="F814" s="5"/>
      <c r="G814" s="5" t="s">
        <v>2188</v>
      </c>
      <c r="H814" s="5" t="s">
        <v>254</v>
      </c>
      <c r="I814" s="44">
        <v>44861.0</v>
      </c>
      <c r="J814" s="150">
        <v>0.4895023148148148</v>
      </c>
      <c r="K814" s="19">
        <v>1.0</v>
      </c>
      <c r="L814" s="5"/>
      <c r="M814" s="5"/>
      <c r="N814" s="5" t="s">
        <v>247</v>
      </c>
      <c r="O814" s="5"/>
      <c r="P814" s="110" t="b">
        <f t="shared" si="1"/>
        <v>0</v>
      </c>
      <c r="Q814" s="110" t="b">
        <f>IF(COUNTIF(RAW_APS!$A$2:$A815,A814)=0,TRUE,FALSE)</f>
        <v>0</v>
      </c>
      <c r="R814" s="241" t="b">
        <f t="shared" si="2"/>
        <v>0</v>
      </c>
      <c r="U814" s="112" t="str">
        <f t="shared" si="3"/>
        <v/>
      </c>
      <c r="V814" s="51"/>
      <c r="W814" s="51"/>
      <c r="X814" s="51"/>
      <c r="Y814" s="51"/>
      <c r="AA814" s="112" t="str">
        <f t="shared" si="4"/>
        <v>TEST5</v>
      </c>
      <c r="AB814" s="112" t="str">
        <f t="shared" si="5"/>
        <v/>
      </c>
      <c r="AC814" s="112" t="str">
        <f t="shared" si="6"/>
        <v/>
      </c>
      <c r="AD814" s="5"/>
      <c r="AE814" s="5"/>
    </row>
    <row r="815">
      <c r="A815" s="5" t="s">
        <v>338</v>
      </c>
      <c r="B815" s="44">
        <v>44547.0</v>
      </c>
      <c r="C815" s="150">
        <v>0.4038310185185185</v>
      </c>
      <c r="D815" s="5"/>
      <c r="E815" s="5"/>
      <c r="F815" s="5"/>
      <c r="G815" s="5" t="s">
        <v>2184</v>
      </c>
      <c r="H815" s="5" t="s">
        <v>339</v>
      </c>
      <c r="I815" s="44">
        <v>44547.0</v>
      </c>
      <c r="J815" s="150">
        <v>0.4971759259259259</v>
      </c>
      <c r="K815" s="19">
        <v>1.0</v>
      </c>
      <c r="L815" s="10" t="b">
        <v>1</v>
      </c>
      <c r="M815" s="5"/>
      <c r="N815" s="5" t="s">
        <v>247</v>
      </c>
      <c r="O815" s="5"/>
      <c r="P815" s="110" t="b">
        <f t="shared" si="1"/>
        <v>0</v>
      </c>
      <c r="Q815" s="110" t="b">
        <f>IF(COUNTIF(RAW_APS!$A$2:$A815,A815)=0,TRUE,FALSE)</f>
        <v>0</v>
      </c>
      <c r="R815" s="241" t="b">
        <f t="shared" si="2"/>
        <v>0</v>
      </c>
      <c r="U815" s="112" t="str">
        <f t="shared" si="3"/>
        <v/>
      </c>
      <c r="V815" s="51"/>
      <c r="W815" s="51"/>
      <c r="X815" s="51"/>
      <c r="Y815" s="51"/>
      <c r="AA815" s="112" t="str">
        <f t="shared" si="4"/>
        <v>TESTN</v>
      </c>
      <c r="AB815" s="112" t="str">
        <f t="shared" si="5"/>
        <v/>
      </c>
      <c r="AC815" s="112" t="str">
        <f t="shared" si="6"/>
        <v/>
      </c>
      <c r="AD815" s="5"/>
      <c r="AE815" s="5"/>
    </row>
  </sheetData>
  <customSheetViews>
    <customSheetView guid="{9421838C-6254-4AC2-AD61-57A3A762302D}" filter="1" showAutoFilter="1">
      <autoFilter ref="$A$1:$AE$815">
        <filterColumn colId="15">
          <filters>
            <filter val="TRUE"/>
          </filters>
        </filterColumn>
      </autoFilter>
    </customSheetView>
    <customSheetView guid="{175D1447-8185-4C6D-8D8E-F18964270594}" filter="1" showAutoFilter="1">
      <autoFilter ref="$Q$1:$Q$815">
        <filterColumn colId="0">
          <filters>
            <filter val="TRUE"/>
          </filters>
        </filterColumn>
      </autoFilter>
    </customSheetView>
    <customSheetView guid="{970CFC62-ED62-4C53-B743-4DC83B12D83A}" filter="1" showAutoFilter="1">
      <autoFilter ref="$Q$1:$Q$815">
        <filterColumn colId="0">
          <filters>
            <filter val="TRUE"/>
          </filters>
        </filterColumn>
      </autoFilter>
    </customSheetView>
  </customSheetViews>
  <conditionalFormatting sqref="P1:R815">
    <cfRule type="cellIs" dxfId="12" priority="1" operator="equal">
      <formula>"TRUE"</formula>
    </cfRule>
  </conditionalFormatting>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1.38"/>
    <col customWidth="1" min="5" max="5" width="26.88"/>
    <col customWidth="1" min="6" max="6" width="3.0"/>
    <col customWidth="1" min="7" max="8" width="11.38"/>
    <col customWidth="1" min="9" max="9" width="34.13"/>
    <col customWidth="1" min="10" max="10" width="11.38"/>
    <col customWidth="1" min="11" max="11" width="12.63"/>
    <col customWidth="1" min="12" max="14" width="11.38"/>
    <col customWidth="1" min="15" max="15" width="10.25"/>
  </cols>
  <sheetData>
    <row r="1">
      <c r="A1" s="75" t="str">
        <f>CONCATENATE("Missing Tube ID, Collect Date or Time? ",COUNTIF(A2:A786,TRUE)) </f>
        <v>Missing Tube ID, Collect Date or Time? 1</v>
      </c>
      <c r="B1" s="240" t="s">
        <v>2522</v>
      </c>
      <c r="C1" s="75" t="s">
        <v>2523</v>
      </c>
      <c r="D1" s="75" t="s">
        <v>2524</v>
      </c>
      <c r="E1" s="8" t="s">
        <v>2525</v>
      </c>
      <c r="F1" s="250"/>
      <c r="G1" s="91" t="str">
        <f>CONCATENATE("Rep Tube IDs Sorted = ",COUNTA(N3:N786))</f>
        <v>Rep Tube IDs Sorted = 4</v>
      </c>
      <c r="H1" s="91" t="s">
        <v>234</v>
      </c>
      <c r="I1" s="251" t="s">
        <v>2526</v>
      </c>
      <c r="J1" s="251" t="s">
        <v>236</v>
      </c>
      <c r="K1" s="83" t="s">
        <v>2527</v>
      </c>
      <c r="L1" s="93" t="s">
        <v>238</v>
      </c>
      <c r="M1" s="93" t="s">
        <v>239</v>
      </c>
      <c r="N1" s="93" t="s">
        <v>240</v>
      </c>
      <c r="O1" s="5"/>
      <c r="P1" s="5"/>
      <c r="Q1" s="5"/>
      <c r="R1" s="5"/>
      <c r="S1" s="5"/>
      <c r="T1" s="5"/>
      <c r="U1" s="5"/>
      <c r="V1" s="5"/>
      <c r="W1" s="5"/>
    </row>
    <row r="2">
      <c r="A2" s="112" t="str">
        <f>IF(OR(ISBLANK(RAW_APS!A2),ISBLANK(RAW_APS!B2),ISBLANK(RAW_APS!C2)),TRUE,IFERROR(0/0,""))</f>
        <v/>
      </c>
      <c r="B2" s="252"/>
      <c r="C2" s="112" t="str">
        <f>IF(ISBLANK(B2),IFERROR(0/0,""),RAW_APS!A2)</f>
        <v/>
      </c>
      <c r="D2" s="112" t="str">
        <f>IF(ISBLANK(C2),IFERROR(0/0,""), VLOOKUP(C2,preDEL!A$2:AG786,33,FALSE))</f>
        <v/>
      </c>
      <c r="E2" s="253"/>
      <c r="F2" s="254"/>
      <c r="G2" s="253" t="str">
        <f t="array" ref="G2:G786">SORT(N$2:N786,1,TRUE)</f>
        <v>MA1043</v>
      </c>
      <c r="H2" s="255">
        <f t="shared" ref="H2:H786" si="1">IF(COUNTIF(L$2:L786,G2)&gt;0,COUNTIF(L$2:L786,G2),IFERROR(0/0,""))</f>
        <v>2</v>
      </c>
      <c r="I2" s="256" t="str">
        <f>CONCATENATE(UPPER(RAW_APS!$A3),"__",RAW_APS!$B3,"_",RAW_APS!$C3)</f>
        <v>FM512__44692_0.345659722222222</v>
      </c>
      <c r="J2" s="257" t="str">
        <f t="shared" ref="J2:J786" si="2">IF(ISBLANK(IFERROR(MATCH(LEFT(I2, FIND("__",I2)-1),G$1:G786,0),"")),IFERROR(0/0,""),TRUE)</f>
        <v/>
      </c>
      <c r="K2" s="258" t="str">
        <f t="array" ref="K2:K779">SORT(UNIQUE(I$2:I786),1,TRUE)</f>
        <v>FM1__44607_0.262928240740741</v>
      </c>
      <c r="L2" s="258" t="str">
        <f t="shared" ref="L2:L786" si="3">IFERROR(LEFT(K2, FIND("__",K2)-1),"")</f>
        <v>FM1</v>
      </c>
      <c r="M2" s="259" t="b">
        <f t="shared" ref="M2:M785" si="4">IFERROR(AND(EXACT(L3,L2),NOT(EXACT(L2,L1))),"")</f>
        <v>0</v>
      </c>
      <c r="N2" s="258" t="str">
        <f t="shared" ref="N2:N786" si="5">IF(M2,L2,IFERROR(0/0,""))</f>
        <v/>
      </c>
      <c r="O2" s="5"/>
      <c r="P2" s="5"/>
      <c r="Q2" s="5"/>
      <c r="R2" s="5"/>
      <c r="S2" s="5"/>
      <c r="T2" s="5"/>
      <c r="U2" s="5"/>
      <c r="V2" s="5"/>
      <c r="W2" s="5"/>
    </row>
    <row r="3">
      <c r="A3" s="112" t="str">
        <f>IF(OR(ISBLANK(RAW_APS!A3),ISBLANK(RAW_APS!B3),ISBLANK(RAW_APS!C3)),TRUE,IFERROR(0/0,""))</f>
        <v/>
      </c>
      <c r="B3" s="252"/>
      <c r="C3" s="112" t="str">
        <f>IF(ISBLANK(B3),IFERROR(0/0,""),RAW_APS!A3)</f>
        <v/>
      </c>
      <c r="D3" s="112" t="str">
        <f>IF(ISBLANK(C3),IFERROR(0/0,""), VLOOKUP(C3,preDEL!A$2:AG786,33,FALSE))</f>
        <v/>
      </c>
      <c r="E3" s="252"/>
      <c r="F3" s="210"/>
      <c r="G3" s="252" t="s">
        <v>355</v>
      </c>
      <c r="H3" s="255">
        <f t="shared" si="1"/>
        <v>2</v>
      </c>
      <c r="I3" s="256" t="str">
        <f>CONCATENATE(UPPER(RAW_APS!$A4),"__",RAW_APS!$B4,"_",RAW_APS!$C4)</f>
        <v>MA1384__44692_0.309363425925926</v>
      </c>
      <c r="J3" s="257" t="str">
        <f t="shared" si="2"/>
        <v/>
      </c>
      <c r="K3" s="252" t="s">
        <v>248</v>
      </c>
      <c r="L3" s="258" t="str">
        <f t="shared" si="3"/>
        <v>FM1003</v>
      </c>
      <c r="M3" s="259" t="b">
        <f t="shared" si="4"/>
        <v>0</v>
      </c>
      <c r="N3" s="258" t="str">
        <f t="shared" si="5"/>
        <v/>
      </c>
      <c r="O3" s="5"/>
      <c r="P3" s="5"/>
      <c r="Q3" s="5"/>
      <c r="R3" s="5"/>
      <c r="S3" s="5"/>
      <c r="T3" s="5"/>
      <c r="U3" s="5"/>
      <c r="V3" s="5"/>
      <c r="W3" s="5"/>
    </row>
    <row r="4">
      <c r="A4" s="112" t="str">
        <f>IF(OR(ISBLANK(RAW_APS!A4),ISBLANK(RAW_APS!B4),ISBLANK(RAW_APS!C4)),TRUE,IFERROR(0/0,""))</f>
        <v/>
      </c>
      <c r="B4" s="252"/>
      <c r="C4" s="112" t="str">
        <f>IF(ISBLANK(B4),IFERROR(0/0,""),RAW_APS!A4)</f>
        <v/>
      </c>
      <c r="D4" s="112" t="str">
        <f>IF(ISBLANK(C4),IFERROR(0/0,""), VLOOKUP(C4,preDEL!A$2:AG786,33,FALSE))</f>
        <v/>
      </c>
      <c r="E4" s="252"/>
      <c r="F4" s="210"/>
      <c r="G4" s="252" t="s">
        <v>361</v>
      </c>
      <c r="H4" s="255">
        <f t="shared" si="1"/>
        <v>2</v>
      </c>
      <c r="I4" s="256" t="str">
        <f>CONCATENATE(UPPER(RAW_APS!$A5),"__",RAW_APS!$B5,"_",RAW_APS!$C5)</f>
        <v>MA1398__44692_0.309039351851852</v>
      </c>
      <c r="J4" s="257" t="str">
        <f t="shared" si="2"/>
        <v/>
      </c>
      <c r="K4" s="252" t="s">
        <v>250</v>
      </c>
      <c r="L4" s="258" t="str">
        <f t="shared" si="3"/>
        <v>FM1007</v>
      </c>
      <c r="M4" s="259" t="b">
        <f t="shared" si="4"/>
        <v>0</v>
      </c>
      <c r="N4" s="258" t="str">
        <f t="shared" si="5"/>
        <v/>
      </c>
      <c r="O4" s="5"/>
      <c r="P4" s="5"/>
      <c r="Q4" s="5"/>
      <c r="R4" s="5"/>
      <c r="S4" s="5"/>
      <c r="T4" s="5"/>
      <c r="U4" s="5"/>
      <c r="V4" s="5"/>
      <c r="W4" s="5"/>
    </row>
    <row r="5">
      <c r="A5" s="112" t="str">
        <f>IF(OR(ISBLANK(RAW_APS!A5),ISBLANK(RAW_APS!B5),ISBLANK(RAW_APS!C5)),TRUE,IFERROR(0/0,""))</f>
        <v/>
      </c>
      <c r="B5" s="252"/>
      <c r="C5" s="112" t="str">
        <f>IF(ISBLANK(B5),IFERROR(0/0,""),RAW_APS!A5)</f>
        <v/>
      </c>
      <c r="D5" s="112" t="str">
        <f>IF(ISBLANK(C5),IFERROR(0/0,""), VLOOKUP(C5,preDEL!A$2:AG786,33,FALSE))</f>
        <v/>
      </c>
      <c r="E5" s="252"/>
      <c r="F5" s="210"/>
      <c r="G5" s="252" t="s">
        <v>321</v>
      </c>
      <c r="H5" s="255">
        <f t="shared" si="1"/>
        <v>2</v>
      </c>
      <c r="I5" s="256" t="str">
        <f>CONCATENATE(UPPER(RAW_APS!$A6),"__",RAW_APS!$B6,"_",RAW_APS!$C6)</f>
        <v>MA1429__44692_0.308634259259259</v>
      </c>
      <c r="J5" s="257" t="str">
        <f t="shared" si="2"/>
        <v/>
      </c>
      <c r="K5" s="252" t="s">
        <v>252</v>
      </c>
      <c r="L5" s="258" t="str">
        <f t="shared" si="3"/>
        <v>FM1008</v>
      </c>
      <c r="M5" s="259" t="b">
        <f t="shared" si="4"/>
        <v>0</v>
      </c>
      <c r="N5" s="258" t="str">
        <f t="shared" si="5"/>
        <v/>
      </c>
      <c r="O5" s="5"/>
      <c r="P5" s="5"/>
      <c r="Q5" s="5"/>
      <c r="R5" s="5"/>
      <c r="S5" s="5"/>
      <c r="T5" s="5"/>
      <c r="U5" s="5"/>
      <c r="V5" s="5"/>
      <c r="W5" s="5"/>
    </row>
    <row r="6">
      <c r="A6" s="112" t="str">
        <f>IF(OR(ISBLANK(RAW_APS!A6),ISBLANK(RAW_APS!B6),ISBLANK(RAW_APS!C6)),TRUE,IFERROR(0/0,""))</f>
        <v/>
      </c>
      <c r="B6" s="252"/>
      <c r="C6" s="112" t="str">
        <f>IF(ISBLANK(B6),IFERROR(0/0,""),RAW_APS!A6)</f>
        <v/>
      </c>
      <c r="D6" s="112" t="str">
        <f>IF(ISBLANK(C6),IFERROR(0/0,""), VLOOKUP(C6,preDEL!A$2:AG786,33,FALSE))</f>
        <v/>
      </c>
      <c r="E6" s="252"/>
      <c r="F6" s="210"/>
      <c r="G6" s="252"/>
      <c r="H6" s="255" t="str">
        <f t="shared" si="1"/>
        <v/>
      </c>
      <c r="I6" s="256" t="str">
        <f>CONCATENATE(UPPER(RAW_APS!$A7),"__",RAW_APS!$B7,"_",RAW_APS!$C7)</f>
        <v>MA1497__44692_0.291898148148148</v>
      </c>
      <c r="J6" s="257" t="str">
        <f t="shared" si="2"/>
        <v/>
      </c>
      <c r="K6" s="252" t="s">
        <v>255</v>
      </c>
      <c r="L6" s="258" t="str">
        <f t="shared" si="3"/>
        <v>FM1010</v>
      </c>
      <c r="M6" s="259" t="b">
        <f t="shared" si="4"/>
        <v>0</v>
      </c>
      <c r="N6" s="258" t="str">
        <f t="shared" si="5"/>
        <v/>
      </c>
      <c r="O6" s="5"/>
      <c r="P6" s="5"/>
      <c r="Q6" s="5"/>
      <c r="R6" s="5"/>
      <c r="S6" s="5"/>
      <c r="T6" s="5"/>
      <c r="U6" s="5"/>
      <c r="V6" s="5"/>
      <c r="W6" s="5"/>
    </row>
    <row r="7">
      <c r="A7" s="112" t="str">
        <f>IF(OR(ISBLANK(RAW_APS!A7),ISBLANK(RAW_APS!B7),ISBLANK(RAW_APS!C7)),TRUE,IFERROR(0/0,""))</f>
        <v/>
      </c>
      <c r="B7" s="252"/>
      <c r="C7" s="112" t="str">
        <f>IF(ISBLANK(B7),IFERROR(0/0,""),RAW_APS!A7)</f>
        <v/>
      </c>
      <c r="D7" s="112" t="str">
        <f>IF(ISBLANK(C7),IFERROR(0/0,""), VLOOKUP(C7,preDEL!A$2:AG786,33,FALSE))</f>
        <v/>
      </c>
      <c r="E7" s="252"/>
      <c r="F7" s="210"/>
      <c r="G7" s="252"/>
      <c r="H7" s="255" t="str">
        <f t="shared" si="1"/>
        <v/>
      </c>
      <c r="I7" s="256" t="str">
        <f>CONCATENATE(UPPER(RAW_APS!$A8),"__",RAW_APS!$B8,"_",RAW_APS!$C8)</f>
        <v>MA1392__44692_0.288854166666667</v>
      </c>
      <c r="J7" s="257" t="str">
        <f t="shared" si="2"/>
        <v/>
      </c>
      <c r="K7" s="252" t="s">
        <v>259</v>
      </c>
      <c r="L7" s="258" t="str">
        <f t="shared" si="3"/>
        <v>FM1011</v>
      </c>
      <c r="M7" s="259" t="b">
        <f t="shared" si="4"/>
        <v>0</v>
      </c>
      <c r="N7" s="258" t="str">
        <f t="shared" si="5"/>
        <v/>
      </c>
      <c r="O7" s="5"/>
      <c r="P7" s="5"/>
      <c r="Q7" s="5"/>
      <c r="R7" s="5"/>
      <c r="S7" s="5"/>
      <c r="T7" s="5"/>
      <c r="U7" s="5"/>
      <c r="V7" s="5"/>
      <c r="W7" s="5"/>
    </row>
    <row r="8">
      <c r="A8" s="112" t="str">
        <f>IF(OR(ISBLANK(RAW_APS!A8),ISBLANK(RAW_APS!B8),ISBLANK(RAW_APS!C8)),TRUE,IFERROR(0/0,""))</f>
        <v/>
      </c>
      <c r="B8" s="252"/>
      <c r="C8" s="112" t="str">
        <f>IF(ISBLANK(B8),IFERROR(0/0,""),RAW_APS!A8)</f>
        <v/>
      </c>
      <c r="D8" s="112" t="str">
        <f>IF(ISBLANK(C8),IFERROR(0/0,""), VLOOKUP(C8,preDEL!A$2:AG786,33,FALSE))</f>
        <v/>
      </c>
      <c r="E8" s="252"/>
      <c r="F8" s="210"/>
      <c r="G8" s="252"/>
      <c r="H8" s="255" t="str">
        <f t="shared" si="1"/>
        <v/>
      </c>
      <c r="I8" s="256" t="str">
        <f>CONCATENATE(UPPER(RAW_APS!$A9),"__",RAW_APS!$B9,"_",RAW_APS!$C9)</f>
        <v>MA1397__44692_0.278877314814815</v>
      </c>
      <c r="J8" s="257" t="str">
        <f t="shared" si="2"/>
        <v/>
      </c>
      <c r="K8" s="252" t="s">
        <v>263</v>
      </c>
      <c r="L8" s="258" t="str">
        <f t="shared" si="3"/>
        <v>FM1020</v>
      </c>
      <c r="M8" s="259" t="b">
        <f t="shared" si="4"/>
        <v>0</v>
      </c>
      <c r="N8" s="258" t="str">
        <f t="shared" si="5"/>
        <v/>
      </c>
      <c r="O8" s="5"/>
      <c r="P8" s="5"/>
      <c r="Q8" s="5"/>
      <c r="R8" s="5"/>
      <c r="S8" s="5"/>
      <c r="T8" s="5"/>
      <c r="U8" s="5"/>
      <c r="V8" s="5"/>
      <c r="W8" s="5"/>
    </row>
    <row r="9">
      <c r="A9" s="112" t="str">
        <f>IF(OR(ISBLANK(RAW_APS!A9),ISBLANK(RAW_APS!B9),ISBLANK(RAW_APS!C9)),TRUE,IFERROR(0/0,""))</f>
        <v/>
      </c>
      <c r="B9" s="252"/>
      <c r="C9" s="112" t="str">
        <f>IF(ISBLANK(B9),IFERROR(0/0,""),RAW_APS!A9)</f>
        <v/>
      </c>
      <c r="D9" s="112" t="str">
        <f>IF(ISBLANK(C9),IFERROR(0/0,""), VLOOKUP(C9,preDEL!A$2:AG786,33,FALSE))</f>
        <v/>
      </c>
      <c r="E9" s="252"/>
      <c r="F9" s="210"/>
      <c r="G9" s="252"/>
      <c r="H9" s="255" t="str">
        <f t="shared" si="1"/>
        <v/>
      </c>
      <c r="I9" s="256" t="str">
        <f>CONCATENATE(UPPER(RAW_APS!$A10),"__",RAW_APS!$B10,"_",RAW_APS!$C10)</f>
        <v>MA1453__44692_0.278425925925926</v>
      </c>
      <c r="J9" s="257" t="str">
        <f t="shared" si="2"/>
        <v/>
      </c>
      <c r="K9" s="252" t="s">
        <v>265</v>
      </c>
      <c r="L9" s="258" t="str">
        <f t="shared" si="3"/>
        <v>FM105</v>
      </c>
      <c r="M9" s="259" t="b">
        <f t="shared" si="4"/>
        <v>0</v>
      </c>
      <c r="N9" s="258" t="str">
        <f t="shared" si="5"/>
        <v/>
      </c>
      <c r="O9" s="5"/>
      <c r="P9" s="5"/>
      <c r="Q9" s="5"/>
      <c r="R9" s="5"/>
      <c r="S9" s="5"/>
      <c r="T9" s="5"/>
      <c r="U9" s="5"/>
      <c r="V9" s="5"/>
      <c r="W9" s="5"/>
    </row>
    <row r="10">
      <c r="A10" s="112" t="str">
        <f>IF(OR(ISBLANK(RAW_APS!A10),ISBLANK(RAW_APS!B10),ISBLANK(RAW_APS!C10)),TRUE,IFERROR(0/0,""))</f>
        <v/>
      </c>
      <c r="B10" s="252"/>
      <c r="C10" s="112" t="str">
        <f>IF(ISBLANK(B10),IFERROR(0/0,""),RAW_APS!A10)</f>
        <v/>
      </c>
      <c r="D10" s="112" t="str">
        <f>IF(ISBLANK(C10),IFERROR(0/0,""), VLOOKUP(C10,preDEL!A$2:AG786,33,FALSE))</f>
        <v/>
      </c>
      <c r="E10" s="252"/>
      <c r="F10" s="210"/>
      <c r="G10" s="252"/>
      <c r="H10" s="255" t="str">
        <f t="shared" si="1"/>
        <v/>
      </c>
      <c r="I10" s="256" t="str">
        <f>CONCATENATE(UPPER(RAW_APS!$A11),"__",RAW_APS!$B11,"_",RAW_APS!$C11)</f>
        <v>MA1405__44692_0.27787037037037</v>
      </c>
      <c r="J10" s="257" t="str">
        <f t="shared" si="2"/>
        <v/>
      </c>
      <c r="K10" s="252" t="s">
        <v>267</v>
      </c>
      <c r="L10" s="258" t="str">
        <f t="shared" si="3"/>
        <v>FM106</v>
      </c>
      <c r="M10" s="259" t="b">
        <f t="shared" si="4"/>
        <v>0</v>
      </c>
      <c r="N10" s="258" t="str">
        <f t="shared" si="5"/>
        <v/>
      </c>
      <c r="O10" s="5"/>
      <c r="P10" s="5"/>
      <c r="Q10" s="5"/>
      <c r="R10" s="5"/>
      <c r="S10" s="5"/>
      <c r="T10" s="5"/>
      <c r="U10" s="5"/>
      <c r="V10" s="5"/>
      <c r="W10" s="5"/>
    </row>
    <row r="11">
      <c r="A11" s="112" t="str">
        <f>IF(OR(ISBLANK(RAW_APS!A11),ISBLANK(RAW_APS!B11),ISBLANK(RAW_APS!C11)),TRUE,IFERROR(0/0,""))</f>
        <v/>
      </c>
      <c r="B11" s="252"/>
      <c r="C11" s="112" t="str">
        <f>IF(ISBLANK(B11),IFERROR(0/0,""),RAW_APS!A11)</f>
        <v/>
      </c>
      <c r="D11" s="112" t="str">
        <f>IF(ISBLANK(C11),IFERROR(0/0,""), VLOOKUP(C11,preDEL!A$2:AG786,33,FALSE))</f>
        <v/>
      </c>
      <c r="E11" s="252"/>
      <c r="F11" s="210"/>
      <c r="G11" s="252"/>
      <c r="H11" s="255" t="str">
        <f t="shared" si="1"/>
        <v/>
      </c>
      <c r="I11" s="256" t="str">
        <f>CONCATENATE(UPPER(RAW_APS!$A12),"__",RAW_APS!$B12,"_",RAW_APS!$C12)</f>
        <v>FM532__44665_0.322002314814815</v>
      </c>
      <c r="J11" s="257" t="str">
        <f t="shared" si="2"/>
        <v/>
      </c>
      <c r="K11" s="252" t="s">
        <v>271</v>
      </c>
      <c r="L11" s="258" t="str">
        <f t="shared" si="3"/>
        <v>FM109</v>
      </c>
      <c r="M11" s="259" t="b">
        <f t="shared" si="4"/>
        <v>0</v>
      </c>
      <c r="N11" s="258" t="str">
        <f t="shared" si="5"/>
        <v/>
      </c>
      <c r="O11" s="5"/>
      <c r="P11" s="5"/>
      <c r="Q11" s="5"/>
      <c r="R11" s="5"/>
      <c r="S11" s="5"/>
      <c r="T11" s="5"/>
      <c r="U11" s="5"/>
      <c r="V11" s="5"/>
      <c r="W11" s="5"/>
    </row>
    <row r="12">
      <c r="A12" s="112" t="str">
        <f>IF(OR(ISBLANK(RAW_APS!A12),ISBLANK(RAW_APS!B12),ISBLANK(RAW_APS!C12)),TRUE,IFERROR(0/0,""))</f>
        <v/>
      </c>
      <c r="B12" s="252"/>
      <c r="C12" s="112" t="str">
        <f>IF(ISBLANK(B12),IFERROR(0/0,""),RAW_APS!A12)</f>
        <v/>
      </c>
      <c r="D12" s="112" t="str">
        <f>IF(ISBLANK(C12),IFERROR(0/0,""), VLOOKUP(C12,preDEL!A$2:AG786,33,FALSE))</f>
        <v/>
      </c>
      <c r="E12" s="252"/>
      <c r="F12" s="210"/>
      <c r="G12" s="252"/>
      <c r="H12" s="255" t="str">
        <f t="shared" si="1"/>
        <v/>
      </c>
      <c r="I12" s="256" t="str">
        <f>CONCATENATE(UPPER(RAW_APS!$A13),"__",RAW_APS!$B13,"_",RAW_APS!$C13)</f>
        <v>FM352__44657_0.351145833333333</v>
      </c>
      <c r="J12" s="257" t="str">
        <f t="shared" si="2"/>
        <v/>
      </c>
      <c r="K12" s="252" t="s">
        <v>279</v>
      </c>
      <c r="L12" s="258" t="str">
        <f t="shared" si="3"/>
        <v>FM114</v>
      </c>
      <c r="M12" s="259" t="b">
        <f t="shared" si="4"/>
        <v>0</v>
      </c>
      <c r="N12" s="258" t="str">
        <f t="shared" si="5"/>
        <v/>
      </c>
      <c r="O12" s="5"/>
      <c r="P12" s="5"/>
      <c r="Q12" s="5"/>
      <c r="R12" s="5"/>
      <c r="S12" s="5"/>
      <c r="T12" s="5"/>
      <c r="U12" s="5"/>
      <c r="V12" s="5"/>
      <c r="W12" s="5"/>
    </row>
    <row r="13">
      <c r="A13" s="112" t="str">
        <f>IF(OR(ISBLANK(RAW_APS!A13),ISBLANK(RAW_APS!B13),ISBLANK(RAW_APS!C13)),TRUE,IFERROR(0/0,""))</f>
        <v/>
      </c>
      <c r="B13" s="252"/>
      <c r="C13" s="112" t="str">
        <f>IF(ISBLANK(B13),IFERROR(0/0,""),RAW_APS!A13)</f>
        <v/>
      </c>
      <c r="D13" s="112" t="str">
        <f>IF(ISBLANK(C13),IFERROR(0/0,""), VLOOKUP(C13,preDEL!A$2:AG786,33,FALSE))</f>
        <v/>
      </c>
      <c r="E13" s="252"/>
      <c r="F13" s="210"/>
      <c r="G13" s="252"/>
      <c r="H13" s="255" t="str">
        <f t="shared" si="1"/>
        <v/>
      </c>
      <c r="I13" s="256" t="str">
        <f>CONCATENATE(UPPER(RAW_APS!$A14),"__",RAW_APS!$B14,"_",RAW_APS!$C14)</f>
        <v>FM2051__44637_0.289594907407407</v>
      </c>
      <c r="J13" s="257" t="str">
        <f t="shared" si="2"/>
        <v/>
      </c>
      <c r="K13" s="252" t="s">
        <v>281</v>
      </c>
      <c r="L13" s="258" t="str">
        <f t="shared" si="3"/>
        <v>FM117</v>
      </c>
      <c r="M13" s="259" t="b">
        <f t="shared" si="4"/>
        <v>0</v>
      </c>
      <c r="N13" s="258" t="str">
        <f t="shared" si="5"/>
        <v/>
      </c>
      <c r="O13" s="5"/>
      <c r="P13" s="5"/>
      <c r="Q13" s="5"/>
      <c r="R13" s="5"/>
      <c r="S13" s="5"/>
      <c r="T13" s="5"/>
      <c r="U13" s="5"/>
      <c r="V13" s="5"/>
      <c r="W13" s="5"/>
    </row>
    <row r="14">
      <c r="A14" s="112" t="str">
        <f>IF(OR(ISBLANK(RAW_APS!A14),ISBLANK(RAW_APS!B14),ISBLANK(RAW_APS!C14)),TRUE,IFERROR(0/0,""))</f>
        <v/>
      </c>
      <c r="B14" s="252"/>
      <c r="C14" s="112" t="str">
        <f>IF(ISBLANK(B14),IFERROR(0/0,""),RAW_APS!A14)</f>
        <v/>
      </c>
      <c r="D14" s="112" t="str">
        <f>IF(ISBLANK(C14),IFERROR(0/0,""), VLOOKUP(C14,preDEL!A$2:AG786,33,FALSE))</f>
        <v/>
      </c>
      <c r="E14" s="252"/>
      <c r="F14" s="210"/>
      <c r="G14" s="252"/>
      <c r="H14" s="255" t="str">
        <f t="shared" si="1"/>
        <v/>
      </c>
      <c r="I14" s="256" t="str">
        <f>CONCATENATE(UPPER(RAW_APS!$A15),"__",RAW_APS!$B15,"_",RAW_APS!$C15)</f>
        <v>FM31__44635_0.29900462962963</v>
      </c>
      <c r="J14" s="257" t="str">
        <f t="shared" si="2"/>
        <v/>
      </c>
      <c r="K14" s="252" t="s">
        <v>283</v>
      </c>
      <c r="L14" s="258" t="str">
        <f t="shared" si="3"/>
        <v>FM12</v>
      </c>
      <c r="M14" s="259" t="b">
        <f t="shared" si="4"/>
        <v>0</v>
      </c>
      <c r="N14" s="258" t="str">
        <f t="shared" si="5"/>
        <v/>
      </c>
      <c r="O14" s="5"/>
      <c r="P14" s="5"/>
      <c r="Q14" s="5"/>
      <c r="R14" s="5"/>
      <c r="S14" s="5"/>
      <c r="T14" s="5"/>
      <c r="U14" s="5"/>
      <c r="V14" s="5"/>
      <c r="W14" s="5"/>
    </row>
    <row r="15">
      <c r="A15" s="112" t="str">
        <f>IF(OR(ISBLANK(RAW_APS!A15),ISBLANK(RAW_APS!B15),ISBLANK(RAW_APS!C15)),TRUE,IFERROR(0/0,""))</f>
        <v/>
      </c>
      <c r="B15" s="252"/>
      <c r="C15" s="112" t="str">
        <f>IF(ISBLANK(B15),IFERROR(0/0,""),RAW_APS!A15)</f>
        <v/>
      </c>
      <c r="D15" s="112" t="str">
        <f>IF(ISBLANK(C15),IFERROR(0/0,""), VLOOKUP(C15,preDEL!A$2:AG786,33,FALSE))</f>
        <v/>
      </c>
      <c r="E15" s="252"/>
      <c r="F15" s="210"/>
      <c r="G15" s="252"/>
      <c r="H15" s="255" t="str">
        <f t="shared" si="1"/>
        <v/>
      </c>
      <c r="I15" s="256" t="str">
        <f>CONCATENATE(UPPER(RAW_APS!$A16),"__",RAW_APS!$B16,"_",RAW_APS!$C16)</f>
        <v>MA306__44633_0.353171296296296</v>
      </c>
      <c r="J15" s="257" t="str">
        <f t="shared" si="2"/>
        <v/>
      </c>
      <c r="K15" s="252" t="s">
        <v>285</v>
      </c>
      <c r="L15" s="258" t="str">
        <f t="shared" si="3"/>
        <v>FM1202</v>
      </c>
      <c r="M15" s="259" t="b">
        <f t="shared" si="4"/>
        <v>0</v>
      </c>
      <c r="N15" s="258" t="str">
        <f t="shared" si="5"/>
        <v/>
      </c>
      <c r="O15" s="5"/>
      <c r="P15" s="5"/>
      <c r="Q15" s="5"/>
      <c r="R15" s="5"/>
      <c r="S15" s="5"/>
      <c r="T15" s="5"/>
      <c r="U15" s="5"/>
      <c r="V15" s="5"/>
      <c r="W15" s="5"/>
    </row>
    <row r="16">
      <c r="A16" s="112" t="str">
        <f>IF(OR(ISBLANK(RAW_APS!A16),ISBLANK(RAW_APS!B16),ISBLANK(RAW_APS!C16)),TRUE,IFERROR(0/0,""))</f>
        <v/>
      </c>
      <c r="B16" s="252"/>
      <c r="C16" s="112" t="str">
        <f>IF(ISBLANK(B16),IFERROR(0/0,""),RAW_APS!A16)</f>
        <v/>
      </c>
      <c r="D16" s="112" t="str">
        <f>IF(ISBLANK(C16),IFERROR(0/0,""), VLOOKUP(C16,preDEL!A$2:AG786,33,FALSE))</f>
        <v/>
      </c>
      <c r="E16" s="252"/>
      <c r="F16" s="210"/>
      <c r="G16" s="252"/>
      <c r="H16" s="255" t="str">
        <f t="shared" si="1"/>
        <v/>
      </c>
      <c r="I16" s="256" t="str">
        <f>CONCATENATE(UPPER(RAW_APS!$A17),"__",RAW_APS!$B17,"_",RAW_APS!$C17)</f>
        <v>FM42__44633_0.296724537037037</v>
      </c>
      <c r="J16" s="257" t="str">
        <f t="shared" si="2"/>
        <v/>
      </c>
      <c r="K16" s="252" t="s">
        <v>289</v>
      </c>
      <c r="L16" s="258" t="str">
        <f t="shared" si="3"/>
        <v>FM13</v>
      </c>
      <c r="M16" s="259" t="b">
        <f t="shared" si="4"/>
        <v>0</v>
      </c>
      <c r="N16" s="258" t="str">
        <f t="shared" si="5"/>
        <v/>
      </c>
      <c r="O16" s="5"/>
      <c r="P16" s="5"/>
      <c r="Q16" s="5"/>
      <c r="R16" s="5"/>
      <c r="S16" s="5"/>
      <c r="T16" s="5"/>
      <c r="U16" s="5"/>
      <c r="V16" s="5"/>
      <c r="W16" s="5"/>
    </row>
    <row r="17">
      <c r="A17" s="112" t="str">
        <f>IF(OR(ISBLANK(RAW_APS!A17),ISBLANK(RAW_APS!B17),ISBLANK(RAW_APS!C17)),TRUE,IFERROR(0/0,""))</f>
        <v/>
      </c>
      <c r="B17" s="252"/>
      <c r="C17" s="112" t="str">
        <f>IF(ISBLANK(B17),IFERROR(0/0,""),RAW_APS!A17)</f>
        <v/>
      </c>
      <c r="D17" s="112" t="str">
        <f>IF(ISBLANK(C17),IFERROR(0/0,""), VLOOKUP(C17,preDEL!A$2:AG786,33,FALSE))</f>
        <v/>
      </c>
      <c r="E17" s="252"/>
      <c r="F17" s="210"/>
      <c r="G17" s="252"/>
      <c r="H17" s="255" t="str">
        <f t="shared" si="1"/>
        <v/>
      </c>
      <c r="I17" s="256" t="str">
        <f>CONCATENATE(UPPER(RAW_APS!$A18),"__",RAW_APS!$B18,"_",RAW_APS!$C18)</f>
        <v>FM475__44632_0.328900462962963</v>
      </c>
      <c r="J17" s="257" t="str">
        <f t="shared" si="2"/>
        <v/>
      </c>
      <c r="K17" s="252" t="s">
        <v>293</v>
      </c>
      <c r="L17" s="258" t="str">
        <f t="shared" si="3"/>
        <v>FM15</v>
      </c>
      <c r="M17" s="259" t="b">
        <f t="shared" si="4"/>
        <v>0</v>
      </c>
      <c r="N17" s="258" t="str">
        <f t="shared" si="5"/>
        <v/>
      </c>
      <c r="O17" s="5"/>
      <c r="P17" s="5"/>
      <c r="Q17" s="5"/>
      <c r="R17" s="5"/>
      <c r="S17" s="5"/>
      <c r="T17" s="5"/>
      <c r="U17" s="5"/>
      <c r="V17" s="5"/>
      <c r="W17" s="5"/>
    </row>
    <row r="18">
      <c r="A18" s="112" t="str">
        <f>IF(OR(ISBLANK(RAW_APS!A18),ISBLANK(RAW_APS!B18),ISBLANK(RAW_APS!C18)),TRUE,IFERROR(0/0,""))</f>
        <v/>
      </c>
      <c r="B18" s="252"/>
      <c r="C18" s="112" t="str">
        <f>IF(ISBLANK(B18),IFERROR(0/0,""),RAW_APS!A18)</f>
        <v/>
      </c>
      <c r="D18" s="112" t="str">
        <f>IF(ISBLANK(C18),IFERROR(0/0,""), VLOOKUP(C18,preDEL!A$2:AG786,33,FALSE))</f>
        <v/>
      </c>
      <c r="E18" s="252"/>
      <c r="F18" s="210"/>
      <c r="G18" s="252"/>
      <c r="H18" s="255" t="str">
        <f t="shared" si="1"/>
        <v/>
      </c>
      <c r="I18" s="256" t="str">
        <f>CONCATENATE(UPPER(RAW_APS!$A19),"__",RAW_APS!$B19,"_",RAW_APS!$C19)</f>
        <v>FM371__44631_0.405138888888889</v>
      </c>
      <c r="J18" s="257" t="str">
        <f t="shared" si="2"/>
        <v/>
      </c>
      <c r="K18" s="252" t="s">
        <v>297</v>
      </c>
      <c r="L18" s="258" t="str">
        <f t="shared" si="3"/>
        <v>FM16</v>
      </c>
      <c r="M18" s="259" t="b">
        <f t="shared" si="4"/>
        <v>0</v>
      </c>
      <c r="N18" s="258" t="str">
        <f t="shared" si="5"/>
        <v/>
      </c>
      <c r="O18" s="5"/>
      <c r="P18" s="5"/>
      <c r="Q18" s="5"/>
      <c r="R18" s="5"/>
      <c r="S18" s="5"/>
      <c r="T18" s="5"/>
      <c r="U18" s="5"/>
      <c r="V18" s="5"/>
      <c r="W18" s="5"/>
    </row>
    <row r="19">
      <c r="A19" s="112" t="str">
        <f>IF(OR(ISBLANK(RAW_APS!A19),ISBLANK(RAW_APS!B19),ISBLANK(RAW_APS!C19)),TRUE,IFERROR(0/0,""))</f>
        <v/>
      </c>
      <c r="B19" s="252"/>
      <c r="C19" s="112" t="str">
        <f>IF(ISBLANK(B19),IFERROR(0/0,""),RAW_APS!A19)</f>
        <v/>
      </c>
      <c r="D19" s="112" t="str">
        <f>IF(ISBLANK(C19),IFERROR(0/0,""), VLOOKUP(C19,preDEL!A$2:AG786,33,FALSE))</f>
        <v/>
      </c>
      <c r="E19" s="252"/>
      <c r="F19" s="210"/>
      <c r="G19" s="252"/>
      <c r="H19" s="255" t="str">
        <f t="shared" si="1"/>
        <v/>
      </c>
      <c r="I19" s="256" t="str">
        <f>CONCATENATE(UPPER(RAW_APS!$A20),"__",RAW_APS!$B20,"_",RAW_APS!$C20)</f>
        <v>MA375__44631_0.345011574074074</v>
      </c>
      <c r="J19" s="257" t="str">
        <f t="shared" si="2"/>
        <v/>
      </c>
      <c r="K19" s="252" t="s">
        <v>301</v>
      </c>
      <c r="L19" s="258" t="str">
        <f t="shared" si="3"/>
        <v>FM17</v>
      </c>
      <c r="M19" s="259" t="b">
        <f t="shared" si="4"/>
        <v>0</v>
      </c>
      <c r="N19" s="258" t="str">
        <f t="shared" si="5"/>
        <v/>
      </c>
      <c r="O19" s="5"/>
      <c r="P19" s="5"/>
      <c r="Q19" s="5"/>
      <c r="R19" s="5"/>
      <c r="S19" s="5"/>
      <c r="T19" s="5"/>
      <c r="U19" s="5"/>
      <c r="V19" s="5"/>
      <c r="W19" s="5"/>
    </row>
    <row r="20">
      <c r="A20" s="112" t="str">
        <f>IF(OR(ISBLANK(RAW_APS!A20),ISBLANK(RAW_APS!B20),ISBLANK(RAW_APS!C20)),TRUE,IFERROR(0/0,""))</f>
        <v/>
      </c>
      <c r="B20" s="252"/>
      <c r="C20" s="112" t="str">
        <f>IF(ISBLANK(B20),IFERROR(0/0,""),RAW_APS!A20)</f>
        <v/>
      </c>
      <c r="D20" s="112" t="str">
        <f>IF(ISBLANK(C20),IFERROR(0/0,""), VLOOKUP(C20,preDEL!A$2:AG786,33,FALSE))</f>
        <v/>
      </c>
      <c r="E20" s="252"/>
      <c r="F20" s="210"/>
      <c r="G20" s="252"/>
      <c r="H20" s="255" t="str">
        <f t="shared" si="1"/>
        <v/>
      </c>
      <c r="I20" s="256" t="str">
        <f>CONCATENATE(UPPER(RAW_APS!$A21),"__",RAW_APS!$B21,"_",RAW_APS!$C21)</f>
        <v>FM2044__44631_0.342939814814815</v>
      </c>
      <c r="J20" s="257" t="str">
        <f t="shared" si="2"/>
        <v/>
      </c>
      <c r="K20" s="252" t="s">
        <v>305</v>
      </c>
      <c r="L20" s="258" t="str">
        <f t="shared" si="3"/>
        <v>FM1786</v>
      </c>
      <c r="M20" s="259" t="b">
        <f t="shared" si="4"/>
        <v>0</v>
      </c>
      <c r="N20" s="258" t="str">
        <f t="shared" si="5"/>
        <v/>
      </c>
      <c r="O20" s="5"/>
      <c r="P20" s="5"/>
      <c r="Q20" s="5"/>
      <c r="R20" s="5"/>
      <c r="S20" s="5"/>
      <c r="T20" s="5"/>
      <c r="U20" s="5"/>
      <c r="V20" s="5"/>
      <c r="W20" s="5"/>
    </row>
    <row r="21">
      <c r="A21" s="112" t="str">
        <f>IF(OR(ISBLANK(RAW_APS!A21),ISBLANK(RAW_APS!B21),ISBLANK(RAW_APS!C21)),TRUE,IFERROR(0/0,""))</f>
        <v/>
      </c>
      <c r="B21" s="252"/>
      <c r="C21" s="112" t="str">
        <f>IF(ISBLANK(B21),IFERROR(0/0,""),RAW_APS!A21)</f>
        <v/>
      </c>
      <c r="D21" s="112" t="str">
        <f>IF(ISBLANK(C21),IFERROR(0/0,""), VLOOKUP(C21,preDEL!A$2:AG786,33,FALSE))</f>
        <v/>
      </c>
      <c r="E21" s="252"/>
      <c r="F21" s="210"/>
      <c r="G21" s="252"/>
      <c r="H21" s="255" t="str">
        <f t="shared" si="1"/>
        <v/>
      </c>
      <c r="I21" s="256" t="str">
        <f>CONCATENATE(UPPER(RAW_APS!$A22),"__",RAW_APS!$B22,"_",RAW_APS!$C22)</f>
        <v>FM569__44631_0.340960648148148</v>
      </c>
      <c r="J21" s="257" t="str">
        <f t="shared" si="2"/>
        <v/>
      </c>
      <c r="K21" s="252" t="s">
        <v>308</v>
      </c>
      <c r="L21" s="258" t="str">
        <f t="shared" si="3"/>
        <v>FM1789</v>
      </c>
      <c r="M21" s="259" t="b">
        <f t="shared" si="4"/>
        <v>0</v>
      </c>
      <c r="N21" s="258" t="str">
        <f t="shared" si="5"/>
        <v/>
      </c>
      <c r="O21" s="5"/>
      <c r="P21" s="5"/>
      <c r="Q21" s="5"/>
      <c r="R21" s="5"/>
      <c r="S21" s="5"/>
      <c r="T21" s="5"/>
      <c r="U21" s="5"/>
      <c r="V21" s="5"/>
      <c r="W21" s="5"/>
    </row>
    <row r="22">
      <c r="A22" s="112" t="str">
        <f>IF(OR(ISBLANK(RAW_APS!A22),ISBLANK(RAW_APS!B22),ISBLANK(RAW_APS!C22)),TRUE,IFERROR(0/0,""))</f>
        <v/>
      </c>
      <c r="B22" s="252"/>
      <c r="C22" s="112" t="str">
        <f>IF(ISBLANK(B22),IFERROR(0/0,""),RAW_APS!A22)</f>
        <v/>
      </c>
      <c r="D22" s="112" t="str">
        <f>IF(ISBLANK(C22),IFERROR(0/0,""), VLOOKUP(C22,preDEL!A$2:AG786,33,FALSE))</f>
        <v/>
      </c>
      <c r="E22" s="252"/>
      <c r="F22" s="210"/>
      <c r="G22" s="252"/>
      <c r="H22" s="255" t="str">
        <f t="shared" si="1"/>
        <v/>
      </c>
      <c r="I22" s="256" t="str">
        <f>CONCATENATE(UPPER(RAW_APS!$A23),"__",RAW_APS!$B23,"_",RAW_APS!$C23)</f>
        <v>FM599__44631_0.340625</v>
      </c>
      <c r="J22" s="257" t="str">
        <f t="shared" si="2"/>
        <v/>
      </c>
      <c r="K22" s="252" t="s">
        <v>312</v>
      </c>
      <c r="L22" s="258" t="str">
        <f t="shared" si="3"/>
        <v>FM1797</v>
      </c>
      <c r="M22" s="259" t="b">
        <f t="shared" si="4"/>
        <v>0</v>
      </c>
      <c r="N22" s="258" t="str">
        <f t="shared" si="5"/>
        <v/>
      </c>
      <c r="O22" s="5"/>
      <c r="P22" s="5"/>
      <c r="Q22" s="5"/>
      <c r="R22" s="5"/>
      <c r="S22" s="5"/>
      <c r="T22" s="5"/>
      <c r="U22" s="5"/>
      <c r="V22" s="5"/>
      <c r="W22" s="5"/>
    </row>
    <row r="23">
      <c r="A23" s="112" t="str">
        <f>IF(OR(ISBLANK(RAW_APS!A23),ISBLANK(RAW_APS!B23),ISBLANK(RAW_APS!C23)),TRUE,IFERROR(0/0,""))</f>
        <v/>
      </c>
      <c r="B23" s="252"/>
      <c r="C23" s="112" t="str">
        <f>IF(ISBLANK(B23),IFERROR(0/0,""),RAW_APS!A23)</f>
        <v/>
      </c>
      <c r="D23" s="112" t="str">
        <f>IF(ISBLANK(C23),IFERROR(0/0,""), VLOOKUP(C23,preDEL!A$2:AG786,33,FALSE))</f>
        <v/>
      </c>
      <c r="E23" s="252"/>
      <c r="F23" s="210"/>
      <c r="G23" s="252"/>
      <c r="H23" s="255" t="str">
        <f t="shared" si="1"/>
        <v/>
      </c>
      <c r="I23" s="256" t="str">
        <f>CONCATENATE(UPPER(RAW_APS!$A24),"__",RAW_APS!$B24,"_",RAW_APS!$C24)</f>
        <v>FM65__44631_0.336296296296296</v>
      </c>
      <c r="J23" s="257" t="str">
        <f t="shared" si="2"/>
        <v/>
      </c>
      <c r="K23" s="252" t="s">
        <v>316</v>
      </c>
      <c r="L23" s="258" t="str">
        <f t="shared" si="3"/>
        <v>FM18</v>
      </c>
      <c r="M23" s="259" t="b">
        <f t="shared" si="4"/>
        <v>0</v>
      </c>
      <c r="N23" s="258" t="str">
        <f t="shared" si="5"/>
        <v/>
      </c>
      <c r="O23" s="5"/>
      <c r="P23" s="5"/>
      <c r="Q23" s="5"/>
      <c r="R23" s="5"/>
      <c r="S23" s="5"/>
      <c r="T23" s="5"/>
      <c r="U23" s="5"/>
      <c r="V23" s="5"/>
      <c r="W23" s="5"/>
    </row>
    <row r="24">
      <c r="A24" s="112" t="str">
        <f>IF(OR(ISBLANK(RAW_APS!A24),ISBLANK(RAW_APS!B24),ISBLANK(RAW_APS!C24)),TRUE,IFERROR(0/0,""))</f>
        <v/>
      </c>
      <c r="B24" s="252"/>
      <c r="C24" s="112" t="str">
        <f>IF(ISBLANK(B24),IFERROR(0/0,""),RAW_APS!A24)</f>
        <v/>
      </c>
      <c r="D24" s="112" t="str">
        <f>IF(ISBLANK(C24),IFERROR(0/0,""), VLOOKUP(C24,preDEL!A$2:AG786,33,FALSE))</f>
        <v/>
      </c>
      <c r="E24" s="252"/>
      <c r="F24" s="210"/>
      <c r="G24" s="252"/>
      <c r="H24" s="255" t="str">
        <f t="shared" si="1"/>
        <v/>
      </c>
      <c r="I24" s="256" t="str">
        <f>CONCATENATE(UPPER(RAW_APS!$A25),"__",RAW_APS!$B25,"_",RAW_APS!$C25)</f>
        <v>FM360__44631_0.331423611111111</v>
      </c>
      <c r="J24" s="257" t="str">
        <f t="shared" si="2"/>
        <v/>
      </c>
      <c r="K24" s="252" t="s">
        <v>320</v>
      </c>
      <c r="L24" s="258" t="str">
        <f t="shared" si="3"/>
        <v>FM1870</v>
      </c>
      <c r="M24" s="259" t="b">
        <f t="shared" si="4"/>
        <v>0</v>
      </c>
      <c r="N24" s="258" t="str">
        <f t="shared" si="5"/>
        <v/>
      </c>
      <c r="O24" s="5"/>
      <c r="P24" s="5"/>
      <c r="Q24" s="5"/>
      <c r="R24" s="5"/>
      <c r="S24" s="5"/>
      <c r="T24" s="5"/>
      <c r="U24" s="5"/>
      <c r="V24" s="5"/>
      <c r="W24" s="5"/>
    </row>
    <row r="25">
      <c r="A25" s="112" t="str">
        <f>IF(OR(ISBLANK(RAW_APS!A25),ISBLANK(RAW_APS!B25),ISBLANK(RAW_APS!C25)),TRUE,IFERROR(0/0,""))</f>
        <v/>
      </c>
      <c r="B25" s="252"/>
      <c r="C25" s="112" t="str">
        <f>IF(ISBLANK(B25),IFERROR(0/0,""),RAW_APS!A25)</f>
        <v/>
      </c>
      <c r="D25" s="112" t="str">
        <f>IF(ISBLANK(C25),IFERROR(0/0,""), VLOOKUP(C25,preDEL!A$2:AG786,33,FALSE))</f>
        <v/>
      </c>
      <c r="E25" s="252"/>
      <c r="F25" s="210"/>
      <c r="G25" s="252"/>
      <c r="H25" s="255" t="str">
        <f t="shared" si="1"/>
        <v/>
      </c>
      <c r="I25" s="256" t="str">
        <f>CONCATENATE(UPPER(RAW_APS!$A26),"__",RAW_APS!$B26,"_",RAW_APS!$C26)</f>
        <v>FM464__44631_0.329988425925926</v>
      </c>
      <c r="J25" s="257" t="str">
        <f t="shared" si="2"/>
        <v/>
      </c>
      <c r="K25" s="252" t="s">
        <v>324</v>
      </c>
      <c r="L25" s="258" t="str">
        <f t="shared" si="3"/>
        <v>FM1889</v>
      </c>
      <c r="M25" s="259" t="b">
        <f t="shared" si="4"/>
        <v>0</v>
      </c>
      <c r="N25" s="258" t="str">
        <f t="shared" si="5"/>
        <v/>
      </c>
      <c r="O25" s="5"/>
      <c r="P25" s="5"/>
      <c r="Q25" s="5"/>
      <c r="R25" s="5"/>
      <c r="S25" s="5"/>
      <c r="T25" s="5"/>
      <c r="U25" s="5"/>
      <c r="V25" s="5"/>
      <c r="W25" s="5"/>
    </row>
    <row r="26">
      <c r="A26" s="112" t="str">
        <f>IF(OR(ISBLANK(RAW_APS!A26),ISBLANK(RAW_APS!B26),ISBLANK(RAW_APS!C26)),TRUE,IFERROR(0/0,""))</f>
        <v/>
      </c>
      <c r="B26" s="252"/>
      <c r="C26" s="112" t="str">
        <f>IF(ISBLANK(B26),IFERROR(0/0,""),RAW_APS!A26)</f>
        <v/>
      </c>
      <c r="D26" s="112" t="str">
        <f>IF(ISBLANK(C26),IFERROR(0/0,""), VLOOKUP(C26,preDEL!A$2:AG786,33,FALSE))</f>
        <v/>
      </c>
      <c r="E26" s="252"/>
      <c r="F26" s="210"/>
      <c r="G26" s="252"/>
      <c r="H26" s="255" t="str">
        <f t="shared" si="1"/>
        <v/>
      </c>
      <c r="I26" s="256" t="str">
        <f>CONCATENATE(UPPER(RAW_APS!$A27),"__",RAW_APS!$B27,"_",RAW_APS!$C27)</f>
        <v>FM404__44631_0.327106481481482</v>
      </c>
      <c r="J26" s="257" t="str">
        <f t="shared" si="2"/>
        <v/>
      </c>
      <c r="K26" s="252" t="s">
        <v>326</v>
      </c>
      <c r="L26" s="258" t="str">
        <f t="shared" si="3"/>
        <v>FM19</v>
      </c>
      <c r="M26" s="259" t="b">
        <f t="shared" si="4"/>
        <v>0</v>
      </c>
      <c r="N26" s="258" t="str">
        <f t="shared" si="5"/>
        <v/>
      </c>
      <c r="O26" s="5"/>
      <c r="P26" s="5"/>
      <c r="Q26" s="5"/>
      <c r="R26" s="5"/>
      <c r="S26" s="5"/>
      <c r="T26" s="5"/>
      <c r="U26" s="5"/>
      <c r="V26" s="5"/>
      <c r="W26" s="5"/>
    </row>
    <row r="27">
      <c r="A27" s="112" t="str">
        <f>IF(OR(ISBLANK(RAW_APS!A27),ISBLANK(RAW_APS!B27),ISBLANK(RAW_APS!C27)),TRUE,IFERROR(0/0,""))</f>
        <v/>
      </c>
      <c r="B27" s="252"/>
      <c r="C27" s="112" t="str">
        <f>IF(ISBLANK(B27),IFERROR(0/0,""),RAW_APS!A27)</f>
        <v/>
      </c>
      <c r="D27" s="112" t="str">
        <f>IF(ISBLANK(C27),IFERROR(0/0,""), VLOOKUP(C27,preDEL!A$2:AG786,33,FALSE))</f>
        <v/>
      </c>
      <c r="E27" s="252"/>
      <c r="F27" s="210"/>
      <c r="G27" s="252"/>
      <c r="H27" s="255" t="str">
        <f t="shared" si="1"/>
        <v/>
      </c>
      <c r="I27" s="256" t="str">
        <f>CONCATENATE(UPPER(RAW_APS!$A28),"__",RAW_APS!$B28,"_",RAW_APS!$C28)</f>
        <v>FM15__44631_0.323587962962963</v>
      </c>
      <c r="J27" s="257" t="str">
        <f t="shared" si="2"/>
        <v/>
      </c>
      <c r="K27" s="252" t="s">
        <v>330</v>
      </c>
      <c r="L27" s="258" t="str">
        <f t="shared" si="3"/>
        <v>FM1905</v>
      </c>
      <c r="M27" s="259" t="b">
        <f t="shared" si="4"/>
        <v>0</v>
      </c>
      <c r="N27" s="258" t="str">
        <f t="shared" si="5"/>
        <v/>
      </c>
      <c r="O27" s="5"/>
      <c r="P27" s="5"/>
      <c r="Q27" s="5"/>
      <c r="R27" s="5"/>
      <c r="S27" s="5"/>
      <c r="T27" s="5"/>
      <c r="U27" s="5"/>
      <c r="V27" s="5"/>
      <c r="W27" s="5"/>
    </row>
    <row r="28">
      <c r="A28" s="112" t="str">
        <f>IF(OR(ISBLANK(RAW_APS!A28),ISBLANK(RAW_APS!B28),ISBLANK(RAW_APS!C28)),TRUE,IFERROR(0/0,""))</f>
        <v/>
      </c>
      <c r="B28" s="252"/>
      <c r="C28" s="112" t="str">
        <f>IF(ISBLANK(B28),IFERROR(0/0,""),RAW_APS!A28)</f>
        <v/>
      </c>
      <c r="D28" s="112" t="str">
        <f>IF(ISBLANK(C28),IFERROR(0/0,""), VLOOKUP(C28,preDEL!A$2:AG786,33,FALSE))</f>
        <v/>
      </c>
      <c r="E28" s="252"/>
      <c r="F28" s="210"/>
      <c r="G28" s="252"/>
      <c r="H28" s="255" t="str">
        <f t="shared" si="1"/>
        <v/>
      </c>
      <c r="I28" s="256" t="str">
        <f>CONCATENATE(UPPER(RAW_APS!$A29),"__",RAW_APS!$B29,"_",RAW_APS!$C29)</f>
        <v>FM39__44631_0.323576388888889</v>
      </c>
      <c r="J28" s="257" t="str">
        <f t="shared" si="2"/>
        <v/>
      </c>
      <c r="K28" s="252" t="s">
        <v>332</v>
      </c>
      <c r="L28" s="258" t="str">
        <f t="shared" si="3"/>
        <v>FM1909</v>
      </c>
      <c r="M28" s="259" t="b">
        <f t="shared" si="4"/>
        <v>0</v>
      </c>
      <c r="N28" s="258" t="str">
        <f t="shared" si="5"/>
        <v/>
      </c>
      <c r="O28" s="5"/>
      <c r="P28" s="5"/>
      <c r="Q28" s="5"/>
      <c r="R28" s="5"/>
      <c r="S28" s="5"/>
      <c r="T28" s="5"/>
      <c r="U28" s="5"/>
      <c r="V28" s="5"/>
      <c r="W28" s="5"/>
    </row>
    <row r="29">
      <c r="A29" s="112" t="str">
        <f>IF(OR(ISBLANK(RAW_APS!A29),ISBLANK(RAW_APS!B29),ISBLANK(RAW_APS!C29)),TRUE,IFERROR(0/0,""))</f>
        <v/>
      </c>
      <c r="B29" s="252"/>
      <c r="C29" s="112" t="str">
        <f>IF(ISBLANK(B29),IFERROR(0/0,""),RAW_APS!A29)</f>
        <v/>
      </c>
      <c r="D29" s="112" t="str">
        <f>IF(ISBLANK(C29),IFERROR(0/0,""), VLOOKUP(C29,preDEL!A$2:AG786,33,FALSE))</f>
        <v/>
      </c>
      <c r="E29" s="252"/>
      <c r="F29" s="210"/>
      <c r="G29" s="252"/>
      <c r="H29" s="255" t="str">
        <f t="shared" si="1"/>
        <v/>
      </c>
      <c r="I29" s="256" t="str">
        <f>CONCATENATE(UPPER(RAW_APS!$A30),"__",RAW_APS!$B30,"_",RAW_APS!$C30)</f>
        <v>FM2063__44631_0.317303240740741</v>
      </c>
      <c r="J29" s="257" t="str">
        <f t="shared" si="2"/>
        <v/>
      </c>
      <c r="K29" s="252" t="s">
        <v>334</v>
      </c>
      <c r="L29" s="258" t="str">
        <f t="shared" si="3"/>
        <v>FM1917</v>
      </c>
      <c r="M29" s="259" t="b">
        <f t="shared" si="4"/>
        <v>0</v>
      </c>
      <c r="N29" s="258" t="str">
        <f t="shared" si="5"/>
        <v/>
      </c>
      <c r="O29" s="5"/>
      <c r="P29" s="5"/>
      <c r="Q29" s="5"/>
      <c r="R29" s="5"/>
      <c r="S29" s="5"/>
      <c r="T29" s="5"/>
      <c r="U29" s="5"/>
      <c r="V29" s="5"/>
      <c r="W29" s="5"/>
    </row>
    <row r="30">
      <c r="A30" s="112" t="str">
        <f>IF(OR(ISBLANK(RAW_APS!A30),ISBLANK(RAW_APS!B30),ISBLANK(RAW_APS!C30)),TRUE,IFERROR(0/0,""))</f>
        <v/>
      </c>
      <c r="B30" s="252"/>
      <c r="C30" s="112" t="str">
        <f>IF(ISBLANK(B30),IFERROR(0/0,""),RAW_APS!A30)</f>
        <v/>
      </c>
      <c r="D30" s="112" t="str">
        <f>IF(ISBLANK(C30),IFERROR(0/0,""), VLOOKUP(C30,preDEL!A$2:AG786,33,FALSE))</f>
        <v/>
      </c>
      <c r="E30" s="252"/>
      <c r="F30" s="210"/>
      <c r="G30" s="252"/>
      <c r="H30" s="255" t="str">
        <f t="shared" si="1"/>
        <v/>
      </c>
      <c r="I30" s="256" t="str">
        <f>CONCATENATE(UPPER(RAW_APS!$A31),"__",RAW_APS!$B31,"_",RAW_APS!$C31)</f>
        <v>FM1786__44631_0.309178240740741</v>
      </c>
      <c r="J30" s="257" t="str">
        <f t="shared" si="2"/>
        <v/>
      </c>
      <c r="K30" s="252" t="s">
        <v>340</v>
      </c>
      <c r="L30" s="258" t="str">
        <f t="shared" si="3"/>
        <v>FM2041</v>
      </c>
      <c r="M30" s="259" t="b">
        <f t="shared" si="4"/>
        <v>0</v>
      </c>
      <c r="N30" s="258" t="str">
        <f t="shared" si="5"/>
        <v/>
      </c>
      <c r="O30" s="5"/>
      <c r="P30" s="5"/>
      <c r="Q30" s="5"/>
      <c r="R30" s="5"/>
      <c r="S30" s="5"/>
      <c r="T30" s="5"/>
      <c r="U30" s="5"/>
      <c r="V30" s="5"/>
      <c r="W30" s="5"/>
    </row>
    <row r="31">
      <c r="A31" s="112" t="str">
        <f>IF(OR(ISBLANK(RAW_APS!A31),ISBLANK(RAW_APS!B31),ISBLANK(RAW_APS!C31)),TRUE,IFERROR(0/0,""))</f>
        <v/>
      </c>
      <c r="B31" s="252"/>
      <c r="C31" s="112" t="str">
        <f>IF(ISBLANK(B31),IFERROR(0/0,""),RAW_APS!A31)</f>
        <v/>
      </c>
      <c r="D31" s="112" t="str">
        <f>IF(ISBLANK(C31),IFERROR(0/0,""), VLOOKUP(C31,preDEL!A$2:AG786,33,FALSE))</f>
        <v/>
      </c>
      <c r="E31" s="252"/>
      <c r="F31" s="210"/>
      <c r="G31" s="252"/>
      <c r="H31" s="255" t="str">
        <f t="shared" si="1"/>
        <v/>
      </c>
      <c r="I31" s="256" t="str">
        <f>CONCATENATE(UPPER(RAW_APS!$A32),"__",RAW_APS!$B32,"_",RAW_APS!$C32)</f>
        <v>FM1870__44631_0.30849537037037</v>
      </c>
      <c r="J31" s="257" t="str">
        <f t="shared" si="2"/>
        <v/>
      </c>
      <c r="K31" s="252" t="s">
        <v>342</v>
      </c>
      <c r="L31" s="258" t="str">
        <f t="shared" si="3"/>
        <v>FM2042</v>
      </c>
      <c r="M31" s="259" t="b">
        <f t="shared" si="4"/>
        <v>0</v>
      </c>
      <c r="N31" s="258" t="str">
        <f t="shared" si="5"/>
        <v/>
      </c>
      <c r="O31" s="5"/>
      <c r="P31" s="5"/>
      <c r="Q31" s="5"/>
      <c r="R31" s="5"/>
      <c r="S31" s="5"/>
      <c r="T31" s="5"/>
      <c r="U31" s="5"/>
      <c r="V31" s="5"/>
      <c r="W31" s="5"/>
    </row>
    <row r="32">
      <c r="A32" s="112" t="str">
        <f>IF(OR(ISBLANK(RAW_APS!A32),ISBLANK(RAW_APS!B32),ISBLANK(RAW_APS!C32)),TRUE,IFERROR(0/0,""))</f>
        <v/>
      </c>
      <c r="B32" s="252"/>
      <c r="C32" s="112" t="str">
        <f>IF(ISBLANK(B32),IFERROR(0/0,""),RAW_APS!A32)</f>
        <v/>
      </c>
      <c r="D32" s="112" t="str">
        <f>IF(ISBLANK(C32),IFERROR(0/0,""), VLOOKUP(C32,preDEL!A$2:AG786,33,FALSE))</f>
        <v/>
      </c>
      <c r="E32" s="252"/>
      <c r="F32" s="210"/>
      <c r="G32" s="252"/>
      <c r="H32" s="255" t="str">
        <f t="shared" si="1"/>
        <v/>
      </c>
      <c r="I32" s="256" t="str">
        <f>CONCATENATE(UPPER(RAW_APS!$A33),"__",RAW_APS!$B33,"_",RAW_APS!$C33)</f>
        <v>FM105__44631_0.306689814814815</v>
      </c>
      <c r="J32" s="257" t="str">
        <f t="shared" si="2"/>
        <v/>
      </c>
      <c r="K32" s="252" t="s">
        <v>344</v>
      </c>
      <c r="L32" s="258" t="str">
        <f t="shared" si="3"/>
        <v>FM2044</v>
      </c>
      <c r="M32" s="259" t="b">
        <f t="shared" si="4"/>
        <v>0</v>
      </c>
      <c r="N32" s="258" t="str">
        <f t="shared" si="5"/>
        <v/>
      </c>
      <c r="O32" s="5"/>
      <c r="P32" s="5"/>
      <c r="Q32" s="5"/>
      <c r="R32" s="5"/>
      <c r="S32" s="5"/>
      <c r="T32" s="5"/>
      <c r="U32" s="5"/>
      <c r="V32" s="5"/>
      <c r="W32" s="5"/>
    </row>
    <row r="33">
      <c r="A33" s="112" t="str">
        <f>IF(OR(ISBLANK(RAW_APS!A33),ISBLANK(RAW_APS!B33),ISBLANK(RAW_APS!C33)),TRUE,IFERROR(0/0,""))</f>
        <v/>
      </c>
      <c r="B33" s="252"/>
      <c r="C33" s="112" t="str">
        <f>IF(ISBLANK(B33),IFERROR(0/0,""),RAW_APS!A33)</f>
        <v/>
      </c>
      <c r="D33" s="112" t="str">
        <f>IF(ISBLANK(C33),IFERROR(0/0,""), VLOOKUP(C33,preDEL!A$2:AG786,33,FALSE))</f>
        <v/>
      </c>
      <c r="E33" s="252"/>
      <c r="F33" s="210"/>
      <c r="G33" s="252"/>
      <c r="H33" s="255" t="str">
        <f t="shared" si="1"/>
        <v/>
      </c>
      <c r="I33" s="256" t="str">
        <f>CONCATENATE(UPPER(RAW_APS!$A34),"__",RAW_APS!$B34,"_",RAW_APS!$C34)</f>
        <v>FM17__44631_0.306446759259259</v>
      </c>
      <c r="J33" s="257" t="str">
        <f t="shared" si="2"/>
        <v/>
      </c>
      <c r="K33" s="252" t="s">
        <v>346</v>
      </c>
      <c r="L33" s="258" t="str">
        <f t="shared" si="3"/>
        <v>FM2045</v>
      </c>
      <c r="M33" s="259" t="b">
        <f t="shared" si="4"/>
        <v>0</v>
      </c>
      <c r="N33" s="258" t="str">
        <f t="shared" si="5"/>
        <v/>
      </c>
      <c r="O33" s="5"/>
      <c r="P33" s="5"/>
      <c r="Q33" s="5"/>
      <c r="R33" s="5"/>
      <c r="S33" s="5"/>
      <c r="T33" s="5"/>
      <c r="U33" s="5"/>
      <c r="V33" s="5"/>
      <c r="W33" s="5"/>
    </row>
    <row r="34">
      <c r="A34" s="112" t="str">
        <f>IF(OR(ISBLANK(RAW_APS!A34),ISBLANK(RAW_APS!B34),ISBLANK(RAW_APS!C34)),TRUE,IFERROR(0/0,""))</f>
        <v/>
      </c>
      <c r="B34" s="252"/>
      <c r="C34" s="112" t="str">
        <f>IF(ISBLANK(B34),IFERROR(0/0,""),RAW_APS!A34)</f>
        <v/>
      </c>
      <c r="D34" s="112" t="str">
        <f>IF(ISBLANK(C34),IFERROR(0/0,""), VLOOKUP(C34,preDEL!A$2:AG786,33,FALSE))</f>
        <v/>
      </c>
      <c r="E34" s="252"/>
      <c r="F34" s="210"/>
      <c r="G34" s="252"/>
      <c r="H34" s="255" t="str">
        <f t="shared" si="1"/>
        <v/>
      </c>
      <c r="I34" s="256" t="str">
        <f>CONCATENATE(UPPER(RAW_APS!$A35),"__",RAW_APS!$B35,"_",RAW_APS!$C35)</f>
        <v>MA325__44631_0.301956018518519</v>
      </c>
      <c r="J34" s="257" t="str">
        <f t="shared" si="2"/>
        <v/>
      </c>
      <c r="K34" s="252" t="s">
        <v>348</v>
      </c>
      <c r="L34" s="258" t="str">
        <f t="shared" si="3"/>
        <v>FM2046</v>
      </c>
      <c r="M34" s="259" t="b">
        <f t="shared" si="4"/>
        <v>0</v>
      </c>
      <c r="N34" s="258" t="str">
        <f t="shared" si="5"/>
        <v/>
      </c>
      <c r="O34" s="5"/>
      <c r="P34" s="5"/>
      <c r="Q34" s="5"/>
      <c r="R34" s="5"/>
      <c r="S34" s="5"/>
      <c r="T34" s="5"/>
      <c r="U34" s="5"/>
      <c r="V34" s="5"/>
      <c r="W34" s="5"/>
    </row>
    <row r="35">
      <c r="A35" s="112" t="str">
        <f>IF(OR(ISBLANK(RAW_APS!A35),ISBLANK(RAW_APS!B35),ISBLANK(RAW_APS!C35)),TRUE,IFERROR(0/0,""))</f>
        <v/>
      </c>
      <c r="B35" s="252"/>
      <c r="C35" s="112" t="str">
        <f>IF(ISBLANK(B35),IFERROR(0/0,""),RAW_APS!A35)</f>
        <v/>
      </c>
      <c r="D35" s="112" t="str">
        <f>IF(ISBLANK(C35),IFERROR(0/0,""), VLOOKUP(C35,preDEL!A$2:AG786,33,FALSE))</f>
        <v/>
      </c>
      <c r="E35" s="252"/>
      <c r="F35" s="210"/>
      <c r="G35" s="252"/>
      <c r="H35" s="255" t="str">
        <f t="shared" si="1"/>
        <v/>
      </c>
      <c r="I35" s="256" t="str">
        <f>CONCATENATE(UPPER(RAW_APS!$A36),"__",RAW_APS!$B36,"_",RAW_APS!$C36)</f>
        <v>MA407__44631_0.301944444444444</v>
      </c>
      <c r="J35" s="257" t="str">
        <f t="shared" si="2"/>
        <v/>
      </c>
      <c r="K35" s="252" t="s">
        <v>350</v>
      </c>
      <c r="L35" s="258" t="str">
        <f t="shared" si="3"/>
        <v>FM2048</v>
      </c>
      <c r="M35" s="259" t="b">
        <f t="shared" si="4"/>
        <v>0</v>
      </c>
      <c r="N35" s="258" t="str">
        <f t="shared" si="5"/>
        <v/>
      </c>
      <c r="O35" s="5"/>
      <c r="P35" s="5"/>
      <c r="Q35" s="5"/>
      <c r="R35" s="5"/>
      <c r="S35" s="5"/>
      <c r="T35" s="5"/>
      <c r="U35" s="5"/>
      <c r="V35" s="5"/>
      <c r="W35" s="5"/>
    </row>
    <row r="36">
      <c r="A36" s="112" t="str">
        <f>IF(OR(ISBLANK(RAW_APS!A36),ISBLANK(RAW_APS!B36),ISBLANK(RAW_APS!C36)),TRUE,IFERROR(0/0,""))</f>
        <v/>
      </c>
      <c r="B36" s="252"/>
      <c r="C36" s="112" t="str">
        <f>IF(ISBLANK(B36),IFERROR(0/0,""),RAW_APS!A36)</f>
        <v/>
      </c>
      <c r="D36" s="112" t="str">
        <f>IF(ISBLANK(C36),IFERROR(0/0,""), VLOOKUP(C36,preDEL!A$2:AG786,33,FALSE))</f>
        <v/>
      </c>
      <c r="E36" s="252"/>
      <c r="F36" s="210"/>
      <c r="G36" s="252"/>
      <c r="H36" s="255" t="str">
        <f t="shared" si="1"/>
        <v/>
      </c>
      <c r="I36" s="256" t="str">
        <f>CONCATENATE(UPPER(RAW_APS!$A37),"__",RAW_APS!$B37,"_",RAW_APS!$C37)</f>
        <v>FM355__44631_0.300671296296296</v>
      </c>
      <c r="J36" s="257" t="str">
        <f t="shared" si="2"/>
        <v/>
      </c>
      <c r="K36" s="252" t="s">
        <v>352</v>
      </c>
      <c r="L36" s="258" t="str">
        <f t="shared" si="3"/>
        <v>FM2049</v>
      </c>
      <c r="M36" s="259" t="b">
        <f t="shared" si="4"/>
        <v>0</v>
      </c>
      <c r="N36" s="258" t="str">
        <f t="shared" si="5"/>
        <v/>
      </c>
      <c r="O36" s="5"/>
      <c r="P36" s="5"/>
      <c r="Q36" s="5"/>
      <c r="R36" s="5"/>
      <c r="S36" s="5"/>
      <c r="T36" s="5"/>
      <c r="U36" s="5"/>
      <c r="V36" s="5"/>
      <c r="W36" s="5"/>
    </row>
    <row r="37">
      <c r="A37" s="112" t="str">
        <f>IF(OR(ISBLANK(RAW_APS!A37),ISBLANK(RAW_APS!B37),ISBLANK(RAW_APS!C37)),TRUE,IFERROR(0/0,""))</f>
        <v/>
      </c>
      <c r="B37" s="252"/>
      <c r="C37" s="112" t="str">
        <f>IF(ISBLANK(B37),IFERROR(0/0,""),RAW_APS!A37)</f>
        <v/>
      </c>
      <c r="D37" s="112" t="str">
        <f>IF(ISBLANK(C37),IFERROR(0/0,""), VLOOKUP(C37,preDEL!A$2:AG786,33,FALSE))</f>
        <v/>
      </c>
      <c r="E37" s="252"/>
      <c r="F37" s="210"/>
      <c r="G37" s="252"/>
      <c r="H37" s="255" t="str">
        <f t="shared" si="1"/>
        <v/>
      </c>
      <c r="I37" s="256" t="str">
        <f>CONCATENATE(UPPER(RAW_APS!$A38),"__",RAW_APS!$B38,"_",RAW_APS!$C38)</f>
        <v>FM438__44631_0.300416666666667</v>
      </c>
      <c r="J37" s="257" t="str">
        <f t="shared" si="2"/>
        <v/>
      </c>
      <c r="K37" s="252" t="s">
        <v>354</v>
      </c>
      <c r="L37" s="258" t="str">
        <f t="shared" si="3"/>
        <v>FM2051</v>
      </c>
      <c r="M37" s="259" t="b">
        <f t="shared" si="4"/>
        <v>0</v>
      </c>
      <c r="N37" s="258" t="str">
        <f t="shared" si="5"/>
        <v/>
      </c>
      <c r="O37" s="5"/>
      <c r="P37" s="5"/>
      <c r="Q37" s="5"/>
      <c r="R37" s="5"/>
      <c r="S37" s="5"/>
      <c r="T37" s="5"/>
      <c r="U37" s="5"/>
      <c r="V37" s="5"/>
      <c r="W37" s="5"/>
    </row>
    <row r="38">
      <c r="A38" s="112" t="str">
        <f>IF(OR(ISBLANK(RAW_APS!A38),ISBLANK(RAW_APS!B38),ISBLANK(RAW_APS!C38)),TRUE,IFERROR(0/0,""))</f>
        <v/>
      </c>
      <c r="B38" s="252"/>
      <c r="C38" s="112" t="str">
        <f>IF(ISBLANK(B38),IFERROR(0/0,""),RAW_APS!A38)</f>
        <v/>
      </c>
      <c r="D38" s="112" t="str">
        <f>IF(ISBLANK(C38),IFERROR(0/0,""), VLOOKUP(C38,preDEL!A$2:AG786,33,FALSE))</f>
        <v/>
      </c>
      <c r="E38" s="252"/>
      <c r="F38" s="210"/>
      <c r="G38" s="252"/>
      <c r="H38" s="255" t="str">
        <f t="shared" si="1"/>
        <v/>
      </c>
      <c r="I38" s="256" t="str">
        <f>CONCATENATE(UPPER(RAW_APS!$A39),"__",RAW_APS!$B39,"_",RAW_APS!$C39)</f>
        <v>FM2042__44631_0.2971875</v>
      </c>
      <c r="J38" s="257" t="str">
        <f t="shared" si="2"/>
        <v/>
      </c>
      <c r="K38" s="252" t="s">
        <v>358</v>
      </c>
      <c r="L38" s="258" t="str">
        <f t="shared" si="3"/>
        <v>FM2054</v>
      </c>
      <c r="M38" s="259" t="b">
        <f t="shared" si="4"/>
        <v>0</v>
      </c>
      <c r="N38" s="258" t="str">
        <f t="shared" si="5"/>
        <v/>
      </c>
      <c r="O38" s="5"/>
      <c r="P38" s="5"/>
      <c r="Q38" s="5"/>
      <c r="R38" s="5"/>
      <c r="S38" s="5"/>
      <c r="T38" s="5"/>
      <c r="U38" s="5"/>
      <c r="V38" s="5"/>
      <c r="W38" s="5"/>
    </row>
    <row r="39">
      <c r="A39" s="112" t="str">
        <f>IF(OR(ISBLANK(RAW_APS!A39),ISBLANK(RAW_APS!B39),ISBLANK(RAW_APS!C39)),TRUE,IFERROR(0/0,""))</f>
        <v/>
      </c>
      <c r="B39" s="252"/>
      <c r="C39" s="112" t="str">
        <f>IF(ISBLANK(B39),IFERROR(0/0,""),RAW_APS!A39)</f>
        <v/>
      </c>
      <c r="D39" s="112" t="str">
        <f>IF(ISBLANK(C39),IFERROR(0/0,""), VLOOKUP(C39,preDEL!A$2:AG786,33,FALSE))</f>
        <v/>
      </c>
      <c r="E39" s="252"/>
      <c r="F39" s="210"/>
      <c r="G39" s="252"/>
      <c r="H39" s="255" t="str">
        <f t="shared" si="1"/>
        <v/>
      </c>
      <c r="I39" s="256" t="str">
        <f>CONCATENATE(UPPER(RAW_APS!$A40),"__",RAW_APS!$B40,"_",RAW_APS!$C40)</f>
        <v>FM318__44631_0.290810185185185</v>
      </c>
      <c r="J39" s="257" t="str">
        <f t="shared" si="2"/>
        <v/>
      </c>
      <c r="K39" s="252" t="s">
        <v>360</v>
      </c>
      <c r="L39" s="258" t="str">
        <f t="shared" si="3"/>
        <v>FM2055</v>
      </c>
      <c r="M39" s="259" t="b">
        <f t="shared" si="4"/>
        <v>0</v>
      </c>
      <c r="N39" s="258" t="str">
        <f t="shared" si="5"/>
        <v/>
      </c>
      <c r="O39" s="5"/>
      <c r="P39" s="5"/>
      <c r="Q39" s="5"/>
      <c r="R39" s="5"/>
      <c r="S39" s="5"/>
      <c r="T39" s="5"/>
      <c r="U39" s="5"/>
      <c r="V39" s="5"/>
      <c r="W39" s="5"/>
    </row>
    <row r="40">
      <c r="A40" s="112" t="str">
        <f>IF(OR(ISBLANK(RAW_APS!A40),ISBLANK(RAW_APS!B40),ISBLANK(RAW_APS!C40)),TRUE,IFERROR(0/0,""))</f>
        <v/>
      </c>
      <c r="B40" s="252"/>
      <c r="C40" s="112" t="str">
        <f>IF(ISBLANK(B40),IFERROR(0/0,""),RAW_APS!A40)</f>
        <v/>
      </c>
      <c r="D40" s="112" t="str">
        <f>IF(ISBLANK(C40),IFERROR(0/0,""), VLOOKUP(C40,preDEL!A$2:AG786,33,FALSE))</f>
        <v/>
      </c>
      <c r="E40" s="252"/>
      <c r="F40" s="210"/>
      <c r="G40" s="252"/>
      <c r="H40" s="255" t="str">
        <f t="shared" si="1"/>
        <v/>
      </c>
      <c r="I40" s="256" t="str">
        <f>CONCATENATE(UPPER(RAW_APS!$A41),"__",RAW_APS!$B41,"_",RAW_APS!$C41)</f>
        <v>FM2060__44631_0.287662037037037</v>
      </c>
      <c r="J40" s="257" t="str">
        <f t="shared" si="2"/>
        <v/>
      </c>
      <c r="K40" s="252" t="s">
        <v>364</v>
      </c>
      <c r="L40" s="258" t="str">
        <f t="shared" si="3"/>
        <v>FM2057</v>
      </c>
      <c r="M40" s="259" t="b">
        <f t="shared" si="4"/>
        <v>0</v>
      </c>
      <c r="N40" s="258" t="str">
        <f t="shared" si="5"/>
        <v/>
      </c>
      <c r="O40" s="5"/>
      <c r="P40" s="5"/>
      <c r="Q40" s="5"/>
      <c r="R40" s="5"/>
      <c r="S40" s="5"/>
      <c r="T40" s="5"/>
      <c r="U40" s="5"/>
      <c r="V40" s="5"/>
      <c r="W40" s="5"/>
    </row>
    <row r="41">
      <c r="A41" s="112" t="str">
        <f>IF(OR(ISBLANK(RAW_APS!A41),ISBLANK(RAW_APS!B41),ISBLANK(RAW_APS!C41)),TRUE,IFERROR(0/0,""))</f>
        <v/>
      </c>
      <c r="B41" s="252"/>
      <c r="C41" s="112" t="str">
        <f>IF(ISBLANK(B41),IFERROR(0/0,""),RAW_APS!A41)</f>
        <v/>
      </c>
      <c r="D41" s="112" t="str">
        <f>IF(ISBLANK(C41),IFERROR(0/0,""), VLOOKUP(C41,preDEL!A$2:AG786,33,FALSE))</f>
        <v/>
      </c>
      <c r="E41" s="252"/>
      <c r="F41" s="210"/>
      <c r="G41" s="252"/>
      <c r="H41" s="255" t="str">
        <f t="shared" si="1"/>
        <v/>
      </c>
      <c r="I41" s="256" t="str">
        <f>CONCATENATE(UPPER(RAW_APS!$A42),"__",RAW_APS!$B42,"_",RAW_APS!$C42)</f>
        <v>MA345__44631_0.276909722222222</v>
      </c>
      <c r="J41" s="257" t="str">
        <f t="shared" si="2"/>
        <v/>
      </c>
      <c r="K41" s="252" t="s">
        <v>366</v>
      </c>
      <c r="L41" s="258" t="str">
        <f t="shared" si="3"/>
        <v>FM2059</v>
      </c>
      <c r="M41" s="259" t="b">
        <f t="shared" si="4"/>
        <v>0</v>
      </c>
      <c r="N41" s="258" t="str">
        <f t="shared" si="5"/>
        <v/>
      </c>
      <c r="O41" s="5"/>
      <c r="P41" s="5"/>
      <c r="Q41" s="5"/>
      <c r="R41" s="5"/>
      <c r="S41" s="5"/>
      <c r="T41" s="5"/>
      <c r="U41" s="5"/>
      <c r="V41" s="5"/>
      <c r="W41" s="5"/>
    </row>
    <row r="42">
      <c r="A42" s="112" t="str">
        <f>IF(OR(ISBLANK(RAW_APS!A42),ISBLANK(RAW_APS!B42),ISBLANK(RAW_APS!C42)),TRUE,IFERROR(0/0,""))</f>
        <v/>
      </c>
      <c r="B42" s="252"/>
      <c r="C42" s="112" t="str">
        <f>IF(ISBLANK(B42),IFERROR(0/0,""),RAW_APS!A42)</f>
        <v/>
      </c>
      <c r="D42" s="112" t="str">
        <f>IF(ISBLANK(C42),IFERROR(0/0,""), VLOOKUP(C42,preDEL!A$2:AG786,33,FALSE))</f>
        <v/>
      </c>
      <c r="E42" s="252"/>
      <c r="F42" s="210"/>
      <c r="G42" s="252"/>
      <c r="H42" s="255" t="str">
        <f t="shared" si="1"/>
        <v/>
      </c>
      <c r="I42" s="256" t="str">
        <f>CONCATENATE(UPPER(RAW_APS!$A43),"__",RAW_APS!$B43,"_",RAW_APS!$C43)</f>
        <v>MA1302__44631_0.26943287037037</v>
      </c>
      <c r="J42" s="257" t="str">
        <f t="shared" si="2"/>
        <v/>
      </c>
      <c r="K42" s="252" t="s">
        <v>368</v>
      </c>
      <c r="L42" s="258" t="str">
        <f t="shared" si="3"/>
        <v>FM2060</v>
      </c>
      <c r="M42" s="259" t="b">
        <f t="shared" si="4"/>
        <v>0</v>
      </c>
      <c r="N42" s="258" t="str">
        <f t="shared" si="5"/>
        <v/>
      </c>
      <c r="O42" s="5"/>
      <c r="P42" s="5"/>
      <c r="Q42" s="5"/>
      <c r="R42" s="5"/>
      <c r="S42" s="5"/>
      <c r="T42" s="5"/>
      <c r="U42" s="5"/>
      <c r="V42" s="5"/>
      <c r="W42" s="5"/>
    </row>
    <row r="43">
      <c r="A43" s="112" t="str">
        <f>IF(OR(ISBLANK(RAW_APS!A43),ISBLANK(RAW_APS!B43),ISBLANK(RAW_APS!C43)),TRUE,IFERROR(0/0,""))</f>
        <v/>
      </c>
      <c r="B43" s="252"/>
      <c r="C43" s="112" t="str">
        <f>IF(ISBLANK(B43),IFERROR(0/0,""),RAW_APS!A43)</f>
        <v/>
      </c>
      <c r="D43" s="112" t="str">
        <f>IF(ISBLANK(C43),IFERROR(0/0,""), VLOOKUP(C43,preDEL!A$2:AG786,33,FALSE))</f>
        <v/>
      </c>
      <c r="E43" s="252"/>
      <c r="F43" s="210"/>
      <c r="G43" s="252"/>
      <c r="H43" s="255" t="str">
        <f t="shared" si="1"/>
        <v/>
      </c>
      <c r="I43" s="256" t="str">
        <f>CONCATENATE(UPPER(RAW_APS!$A44),"__",RAW_APS!$B44,"_",RAW_APS!$C44)</f>
        <v>MA1210__44631_0.267800925925926</v>
      </c>
      <c r="J43" s="260" t="str">
        <f t="shared" si="2"/>
        <v/>
      </c>
      <c r="K43" s="252" t="s">
        <v>370</v>
      </c>
      <c r="L43" s="258" t="str">
        <f t="shared" si="3"/>
        <v>FM2061</v>
      </c>
      <c r="M43" s="259" t="b">
        <f t="shared" si="4"/>
        <v>0</v>
      </c>
      <c r="N43" s="258" t="str">
        <f t="shared" si="5"/>
        <v/>
      </c>
      <c r="O43" s="5"/>
      <c r="P43" s="5"/>
      <c r="Q43" s="5"/>
      <c r="R43" s="5"/>
      <c r="S43" s="5"/>
      <c r="T43" s="5"/>
      <c r="U43" s="5"/>
      <c r="V43" s="5"/>
      <c r="W43" s="5"/>
    </row>
    <row r="44">
      <c r="A44" s="112" t="str">
        <f>IF(OR(ISBLANK(RAW_APS!A44),ISBLANK(RAW_APS!B44),ISBLANK(RAW_APS!C44)),TRUE,IFERROR(0/0,""))</f>
        <v/>
      </c>
      <c r="B44" s="252"/>
      <c r="C44" s="112" t="str">
        <f>IF(ISBLANK(B44),IFERROR(0/0,""),RAW_APS!A44)</f>
        <v/>
      </c>
      <c r="D44" s="112" t="str">
        <f>IF(ISBLANK(C44),IFERROR(0/0,""), VLOOKUP(C44,preDEL!A$2:AG786,33,FALSE))</f>
        <v/>
      </c>
      <c r="E44" s="252"/>
      <c r="F44" s="210"/>
      <c r="G44" s="252"/>
      <c r="H44" s="255" t="str">
        <f t="shared" si="1"/>
        <v/>
      </c>
      <c r="I44" s="256" t="str">
        <f>CONCATENATE(UPPER(RAW_APS!$A45),"__",RAW_APS!$B45,"_",RAW_APS!$C45)</f>
        <v>FM439__44629_0.489907407407407</v>
      </c>
      <c r="J44" s="260" t="str">
        <f t="shared" si="2"/>
        <v/>
      </c>
      <c r="K44" s="252" t="s">
        <v>372</v>
      </c>
      <c r="L44" s="258" t="str">
        <f t="shared" si="3"/>
        <v>FM2062</v>
      </c>
      <c r="M44" s="259" t="b">
        <f t="shared" si="4"/>
        <v>0</v>
      </c>
      <c r="N44" s="258" t="str">
        <f t="shared" si="5"/>
        <v/>
      </c>
      <c r="O44" s="5"/>
      <c r="P44" s="5"/>
      <c r="Q44" s="5"/>
      <c r="R44" s="5"/>
      <c r="S44" s="5"/>
      <c r="T44" s="5"/>
      <c r="U44" s="5"/>
      <c r="V44" s="5"/>
      <c r="W44" s="5"/>
    </row>
    <row r="45">
      <c r="A45" s="112" t="str">
        <f>IF(OR(ISBLANK(RAW_APS!A45),ISBLANK(RAW_APS!B45),ISBLANK(RAW_APS!C45)),TRUE,IFERROR(0/0,""))</f>
        <v/>
      </c>
      <c r="B45" s="252"/>
      <c r="C45" s="112" t="str">
        <f>IF(ISBLANK(B45),IFERROR(0/0,""),RAW_APS!A45)</f>
        <v/>
      </c>
      <c r="D45" s="112" t="str">
        <f>IF(ISBLANK(C45),IFERROR(0/0,""), VLOOKUP(C45,preDEL!A$2:AG786,33,FALSE))</f>
        <v/>
      </c>
      <c r="E45" s="252"/>
      <c r="F45" s="210"/>
      <c r="G45" s="252"/>
      <c r="H45" s="255" t="str">
        <f t="shared" si="1"/>
        <v/>
      </c>
      <c r="I45" s="256" t="str">
        <f>CONCATENATE(UPPER(RAW_APS!$A46),"__",RAW_APS!$B46,"_",RAW_APS!$C46)</f>
        <v>FM427__44629_0.489328703703704</v>
      </c>
      <c r="J45" s="260" t="str">
        <f t="shared" si="2"/>
        <v/>
      </c>
      <c r="K45" s="252" t="s">
        <v>375</v>
      </c>
      <c r="L45" s="258" t="str">
        <f t="shared" si="3"/>
        <v>FM2063</v>
      </c>
      <c r="M45" s="259" t="b">
        <f t="shared" si="4"/>
        <v>0</v>
      </c>
      <c r="N45" s="258" t="str">
        <f t="shared" si="5"/>
        <v/>
      </c>
      <c r="O45" s="5"/>
      <c r="P45" s="5"/>
      <c r="Q45" s="5"/>
      <c r="R45" s="5"/>
      <c r="S45" s="5"/>
      <c r="T45" s="5"/>
      <c r="U45" s="5"/>
      <c r="V45" s="5"/>
      <c r="W45" s="5"/>
    </row>
    <row r="46">
      <c r="A46" s="112" t="str">
        <f>IF(OR(ISBLANK(RAW_APS!A46),ISBLANK(RAW_APS!B46),ISBLANK(RAW_APS!C46)),TRUE,IFERROR(0/0,""))</f>
        <v/>
      </c>
      <c r="B46" s="252"/>
      <c r="C46" s="112" t="str">
        <f>IF(ISBLANK(B46),IFERROR(0/0,""),RAW_APS!A46)</f>
        <v/>
      </c>
      <c r="D46" s="112" t="str">
        <f>IF(ISBLANK(C46),IFERROR(0/0,""), VLOOKUP(C46,preDEL!A$2:AG786,33,FALSE))</f>
        <v/>
      </c>
      <c r="E46" s="252"/>
      <c r="F46" s="210"/>
      <c r="G46" s="252"/>
      <c r="H46" s="255" t="str">
        <f t="shared" si="1"/>
        <v/>
      </c>
      <c r="I46" s="256" t="str">
        <f>CONCATENATE(UPPER(RAW_APS!$A47),"__",RAW_APS!$B47,"_",RAW_APS!$C47)</f>
        <v>MA1313__44629_0.405960648148148</v>
      </c>
      <c r="J46" s="257" t="str">
        <f t="shared" si="2"/>
        <v/>
      </c>
      <c r="K46" s="252" t="s">
        <v>378</v>
      </c>
      <c r="L46" s="258" t="str">
        <f t="shared" si="3"/>
        <v>FM2066</v>
      </c>
      <c r="M46" s="259" t="b">
        <f t="shared" si="4"/>
        <v>0</v>
      </c>
      <c r="N46" s="258" t="str">
        <f t="shared" si="5"/>
        <v/>
      </c>
      <c r="O46" s="5"/>
      <c r="P46" s="5"/>
      <c r="Q46" s="5"/>
      <c r="R46" s="5"/>
      <c r="S46" s="5"/>
      <c r="T46" s="5"/>
      <c r="U46" s="5"/>
      <c r="V46" s="5"/>
      <c r="W46" s="5"/>
    </row>
    <row r="47">
      <c r="A47" s="112" t="str">
        <f>IF(OR(ISBLANK(RAW_APS!A47),ISBLANK(RAW_APS!B47),ISBLANK(RAW_APS!C47)),TRUE,IFERROR(0/0,""))</f>
        <v/>
      </c>
      <c r="B47" s="252"/>
      <c r="C47" s="112" t="str">
        <f>IF(ISBLANK(B47),IFERROR(0/0,""),RAW_APS!A47)</f>
        <v/>
      </c>
      <c r="D47" s="112" t="str">
        <f>IF(ISBLANK(C47),IFERROR(0/0,""), VLOOKUP(C47,preDEL!A$2:AG786,33,FALSE))</f>
        <v/>
      </c>
      <c r="E47" s="252"/>
      <c r="F47" s="210"/>
      <c r="G47" s="252"/>
      <c r="H47" s="255" t="str">
        <f t="shared" si="1"/>
        <v/>
      </c>
      <c r="I47" s="256" t="str">
        <f>CONCATENATE(UPPER(RAW_APS!$A48),"__",RAW_APS!$B48,"_",RAW_APS!$C48)</f>
        <v>FM60__44629_0.401828703703704</v>
      </c>
      <c r="J47" s="257" t="str">
        <f t="shared" si="2"/>
        <v/>
      </c>
      <c r="K47" s="252" t="s">
        <v>380</v>
      </c>
      <c r="L47" s="258" t="str">
        <f t="shared" si="3"/>
        <v>FM2067</v>
      </c>
      <c r="M47" s="259" t="b">
        <f t="shared" si="4"/>
        <v>0</v>
      </c>
      <c r="N47" s="258" t="str">
        <f t="shared" si="5"/>
        <v/>
      </c>
      <c r="O47" s="5"/>
      <c r="P47" s="5"/>
      <c r="Q47" s="5"/>
      <c r="R47" s="5"/>
      <c r="S47" s="5"/>
      <c r="T47" s="5"/>
      <c r="U47" s="5"/>
      <c r="V47" s="5"/>
      <c r="W47" s="5"/>
    </row>
    <row r="48">
      <c r="A48" s="112" t="str">
        <f>IF(OR(ISBLANK(RAW_APS!A48),ISBLANK(RAW_APS!B48),ISBLANK(RAW_APS!C48)),TRUE,IFERROR(0/0,""))</f>
        <v/>
      </c>
      <c r="B48" s="252"/>
      <c r="C48" s="112" t="str">
        <f>IF(ISBLANK(B48),IFERROR(0/0,""),RAW_APS!A48)</f>
        <v/>
      </c>
      <c r="D48" s="112" t="str">
        <f>IF(ISBLANK(C48),IFERROR(0/0,""), VLOOKUP(C48,preDEL!A$2:AG786,33,FALSE))</f>
        <v/>
      </c>
      <c r="E48" s="252"/>
      <c r="F48" s="210"/>
      <c r="G48" s="252"/>
      <c r="H48" s="255" t="str">
        <f t="shared" si="1"/>
        <v/>
      </c>
      <c r="I48" s="256" t="str">
        <f>CONCATENATE(UPPER(RAW_APS!$A49),"__",RAW_APS!$B49,"_",RAW_APS!$C49)</f>
        <v>FM83__44629_0.337094907407407</v>
      </c>
      <c r="J48" s="257" t="str">
        <f t="shared" si="2"/>
        <v/>
      </c>
      <c r="K48" s="252" t="s">
        <v>382</v>
      </c>
      <c r="L48" s="258" t="str">
        <f t="shared" si="3"/>
        <v>FM2068</v>
      </c>
      <c r="M48" s="259" t="b">
        <f t="shared" si="4"/>
        <v>0</v>
      </c>
      <c r="N48" s="258" t="str">
        <f t="shared" si="5"/>
        <v/>
      </c>
      <c r="O48" s="5"/>
      <c r="P48" s="5"/>
      <c r="Q48" s="5"/>
      <c r="R48" s="5"/>
      <c r="S48" s="5"/>
      <c r="T48" s="5"/>
      <c r="U48" s="5"/>
      <c r="V48" s="5"/>
      <c r="W48" s="5"/>
    </row>
    <row r="49">
      <c r="A49" s="112" t="str">
        <f>IF(OR(ISBLANK(RAW_APS!A49),ISBLANK(RAW_APS!B49),ISBLANK(RAW_APS!C49)),TRUE,IFERROR(0/0,""))</f>
        <v/>
      </c>
      <c r="B49" s="252"/>
      <c r="C49" s="112" t="str">
        <f>IF(ISBLANK(B49),IFERROR(0/0,""),RAW_APS!A49)</f>
        <v/>
      </c>
      <c r="D49" s="112" t="str">
        <f>IF(ISBLANK(C49),IFERROR(0/0,""), VLOOKUP(C49,preDEL!A$2:AG786,33,FALSE))</f>
        <v/>
      </c>
      <c r="E49" s="252"/>
      <c r="F49" s="210"/>
      <c r="G49" s="252"/>
      <c r="H49" s="255" t="str">
        <f t="shared" si="1"/>
        <v/>
      </c>
      <c r="I49" s="256" t="str">
        <f>CONCATENATE(UPPER(RAW_APS!$A50),"__",RAW_APS!$B50,"_",RAW_APS!$C50)</f>
        <v>MA379__44629_0.334907407407407</v>
      </c>
      <c r="J49" s="257" t="str">
        <f t="shared" si="2"/>
        <v/>
      </c>
      <c r="K49" s="252" t="s">
        <v>384</v>
      </c>
      <c r="L49" s="258" t="str">
        <f t="shared" si="3"/>
        <v>FM2069</v>
      </c>
      <c r="M49" s="259" t="b">
        <f t="shared" si="4"/>
        <v>0</v>
      </c>
      <c r="N49" s="258" t="str">
        <f t="shared" si="5"/>
        <v/>
      </c>
      <c r="O49" s="5"/>
      <c r="P49" s="5"/>
      <c r="Q49" s="5"/>
      <c r="R49" s="5"/>
      <c r="S49" s="5"/>
      <c r="T49" s="5"/>
      <c r="U49" s="5"/>
      <c r="V49" s="5"/>
      <c r="W49" s="5"/>
    </row>
    <row r="50">
      <c r="A50" s="112" t="str">
        <f>IF(OR(ISBLANK(RAW_APS!A50),ISBLANK(RAW_APS!B50),ISBLANK(RAW_APS!C50)),TRUE,IFERROR(0/0,""))</f>
        <v/>
      </c>
      <c r="B50" s="252"/>
      <c r="C50" s="112" t="str">
        <f>IF(ISBLANK(B50),IFERROR(0/0,""),RAW_APS!A50)</f>
        <v/>
      </c>
      <c r="D50" s="112" t="str">
        <f>IF(ISBLANK(C50),IFERROR(0/0,""), VLOOKUP(C50,preDEL!A$2:AG786,33,FALSE))</f>
        <v/>
      </c>
      <c r="E50" s="252"/>
      <c r="F50" s="210"/>
      <c r="G50" s="252"/>
      <c r="H50" s="255" t="str">
        <f t="shared" si="1"/>
        <v/>
      </c>
      <c r="I50" s="256" t="str">
        <f>CONCATENATE(UPPER(RAW_APS!$A51),"__",RAW_APS!$B51,"_",RAW_APS!$C51)</f>
        <v>MA395__44629_0.334837962962963</v>
      </c>
      <c r="J50" s="257" t="str">
        <f t="shared" si="2"/>
        <v/>
      </c>
      <c r="K50" s="252" t="s">
        <v>386</v>
      </c>
      <c r="L50" s="258" t="str">
        <f t="shared" si="3"/>
        <v>FM2070</v>
      </c>
      <c r="M50" s="259" t="b">
        <f t="shared" si="4"/>
        <v>0</v>
      </c>
      <c r="N50" s="258" t="str">
        <f t="shared" si="5"/>
        <v/>
      </c>
      <c r="O50" s="5"/>
      <c r="P50" s="5"/>
      <c r="Q50" s="5"/>
      <c r="R50" s="5"/>
      <c r="S50" s="5"/>
      <c r="T50" s="5"/>
      <c r="U50" s="5"/>
      <c r="V50" s="5"/>
      <c r="W50" s="5"/>
    </row>
    <row r="51">
      <c r="A51" s="112" t="str">
        <f>IF(OR(ISBLANK(RAW_APS!A51),ISBLANK(RAW_APS!B51),ISBLANK(RAW_APS!C51)),TRUE,IFERROR(0/0,""))</f>
        <v/>
      </c>
      <c r="B51" s="252"/>
      <c r="C51" s="112" t="str">
        <f>IF(ISBLANK(B51),IFERROR(0/0,""),RAW_APS!A51)</f>
        <v/>
      </c>
      <c r="D51" s="112" t="str">
        <f>IF(ISBLANK(C51),IFERROR(0/0,""), VLOOKUP(C51,preDEL!A$2:AG786,33,FALSE))</f>
        <v/>
      </c>
      <c r="E51" s="252"/>
      <c r="F51" s="210"/>
      <c r="G51" s="252"/>
      <c r="H51" s="255" t="str">
        <f t="shared" si="1"/>
        <v/>
      </c>
      <c r="I51" s="256" t="str">
        <f>CONCATENATE(UPPER(RAW_APS!$A52),"__",RAW_APS!$B52,"_",RAW_APS!$C52)</f>
        <v>MA357__44629_0.333032407407407</v>
      </c>
      <c r="J51" s="257" t="str">
        <f t="shared" si="2"/>
        <v/>
      </c>
      <c r="K51" s="252" t="s">
        <v>388</v>
      </c>
      <c r="L51" s="258" t="str">
        <f t="shared" si="3"/>
        <v>FM2076</v>
      </c>
      <c r="M51" s="259" t="b">
        <f t="shared" si="4"/>
        <v>0</v>
      </c>
      <c r="N51" s="258" t="str">
        <f t="shared" si="5"/>
        <v/>
      </c>
      <c r="O51" s="5"/>
      <c r="P51" s="5"/>
      <c r="Q51" s="5"/>
      <c r="R51" s="5"/>
      <c r="S51" s="5"/>
      <c r="T51" s="5"/>
      <c r="U51" s="5"/>
      <c r="V51" s="5"/>
      <c r="W51" s="5"/>
    </row>
    <row r="52">
      <c r="A52" s="112" t="str">
        <f>IF(OR(ISBLANK(RAW_APS!A52),ISBLANK(RAW_APS!B52),ISBLANK(RAW_APS!C52)),TRUE,IFERROR(0/0,""))</f>
        <v/>
      </c>
      <c r="B52" s="252"/>
      <c r="C52" s="112" t="str">
        <f>IF(ISBLANK(B52),IFERROR(0/0,""),RAW_APS!A52)</f>
        <v/>
      </c>
      <c r="D52" s="112" t="str">
        <f>IF(ISBLANK(C52),IFERROR(0/0,""), VLOOKUP(C52,preDEL!A$2:AG786,33,FALSE))</f>
        <v/>
      </c>
      <c r="E52" s="252"/>
      <c r="F52" s="210"/>
      <c r="G52" s="252"/>
      <c r="H52" s="255" t="str">
        <f t="shared" si="1"/>
        <v/>
      </c>
      <c r="I52" s="256" t="str">
        <f>CONCATENATE(UPPER(RAW_APS!$A53),"__",RAW_APS!$B53,"_",RAW_APS!$C53)</f>
        <v>FM47__44629_0.328530092592593</v>
      </c>
      <c r="J52" s="257" t="str">
        <f t="shared" si="2"/>
        <v/>
      </c>
      <c r="K52" s="252" t="s">
        <v>392</v>
      </c>
      <c r="L52" s="258" t="str">
        <f t="shared" si="3"/>
        <v>FM2078</v>
      </c>
      <c r="M52" s="259" t="b">
        <f t="shared" si="4"/>
        <v>0</v>
      </c>
      <c r="N52" s="258" t="str">
        <f t="shared" si="5"/>
        <v/>
      </c>
      <c r="O52" s="5"/>
      <c r="P52" s="5"/>
      <c r="Q52" s="5"/>
      <c r="R52" s="5"/>
      <c r="S52" s="5"/>
      <c r="T52" s="5"/>
      <c r="U52" s="5"/>
      <c r="V52" s="5"/>
      <c r="W52" s="5"/>
    </row>
    <row r="53">
      <c r="A53" s="112" t="str">
        <f>IF(OR(ISBLANK(RAW_APS!A53),ISBLANK(RAW_APS!B53),ISBLANK(RAW_APS!C53)),TRUE,IFERROR(0/0,""))</f>
        <v/>
      </c>
      <c r="B53" s="252"/>
      <c r="C53" s="112" t="str">
        <f>IF(ISBLANK(B53),IFERROR(0/0,""),RAW_APS!A53)</f>
        <v/>
      </c>
      <c r="D53" s="112" t="str">
        <f>IF(ISBLANK(C53),IFERROR(0/0,""), VLOOKUP(C53,preDEL!A$2:AG786,33,FALSE))</f>
        <v/>
      </c>
      <c r="E53" s="252"/>
      <c r="F53" s="210"/>
      <c r="G53" s="252"/>
      <c r="H53" s="255" t="str">
        <f t="shared" si="1"/>
        <v/>
      </c>
      <c r="I53" s="256" t="str">
        <f>CONCATENATE(UPPER(RAW_APS!$A54),"__",RAW_APS!$B54,"_",RAW_APS!$C54)</f>
        <v>MA333__44629_0.328287037037037</v>
      </c>
      <c r="J53" s="257" t="str">
        <f t="shared" si="2"/>
        <v/>
      </c>
      <c r="K53" s="252" t="s">
        <v>394</v>
      </c>
      <c r="L53" s="258" t="str">
        <f t="shared" si="3"/>
        <v>FM2080</v>
      </c>
      <c r="M53" s="259" t="b">
        <f t="shared" si="4"/>
        <v>0</v>
      </c>
      <c r="N53" s="258" t="str">
        <f t="shared" si="5"/>
        <v/>
      </c>
      <c r="O53" s="5"/>
      <c r="P53" s="5"/>
      <c r="Q53" s="5"/>
      <c r="R53" s="5"/>
      <c r="S53" s="5"/>
      <c r="T53" s="5"/>
      <c r="U53" s="5"/>
      <c r="V53" s="5"/>
      <c r="W53" s="5"/>
    </row>
    <row r="54">
      <c r="A54" s="112" t="str">
        <f>IF(OR(ISBLANK(RAW_APS!A54),ISBLANK(RAW_APS!B54),ISBLANK(RAW_APS!C54)),TRUE,IFERROR(0/0,""))</f>
        <v/>
      </c>
      <c r="B54" s="252"/>
      <c r="C54" s="112" t="str">
        <f>IF(ISBLANK(B54),IFERROR(0/0,""),RAW_APS!A54)</f>
        <v/>
      </c>
      <c r="D54" s="112" t="str">
        <f>IF(ISBLANK(C54),IFERROR(0/0,""), VLOOKUP(C54,preDEL!A$2:AG786,33,FALSE))</f>
        <v/>
      </c>
      <c r="E54" s="252"/>
      <c r="F54" s="210"/>
      <c r="G54" s="252"/>
      <c r="H54" s="255" t="str">
        <f t="shared" si="1"/>
        <v/>
      </c>
      <c r="I54" s="256" t="str">
        <f>CONCATENATE(UPPER(RAW_APS!$A55),"__",RAW_APS!$B55,"_",RAW_APS!$C55)</f>
        <v>FM1797__44629_0.324016203703704</v>
      </c>
      <c r="J54" s="257" t="str">
        <f t="shared" si="2"/>
        <v/>
      </c>
      <c r="K54" s="252" t="s">
        <v>396</v>
      </c>
      <c r="L54" s="258" t="str">
        <f t="shared" si="3"/>
        <v>FM2081</v>
      </c>
      <c r="M54" s="259" t="b">
        <f t="shared" si="4"/>
        <v>0</v>
      </c>
      <c r="N54" s="258" t="str">
        <f t="shared" si="5"/>
        <v/>
      </c>
      <c r="O54" s="5"/>
      <c r="P54" s="5"/>
      <c r="Q54" s="5"/>
      <c r="R54" s="5"/>
      <c r="S54" s="5"/>
      <c r="T54" s="5"/>
      <c r="U54" s="5"/>
      <c r="V54" s="5"/>
      <c r="W54" s="5"/>
    </row>
    <row r="55">
      <c r="A55" s="112" t="str">
        <f>IF(OR(ISBLANK(RAW_APS!A55),ISBLANK(RAW_APS!B55),ISBLANK(RAW_APS!C55)),TRUE,IFERROR(0/0,""))</f>
        <v/>
      </c>
      <c r="B55" s="252"/>
      <c r="C55" s="112" t="str">
        <f>IF(ISBLANK(B55),IFERROR(0/0,""),RAW_APS!A55)</f>
        <v/>
      </c>
      <c r="D55" s="112" t="str">
        <f>IF(ISBLANK(C55),IFERROR(0/0,""), VLOOKUP(C55,preDEL!A$2:AG786,33,FALSE))</f>
        <v/>
      </c>
      <c r="E55" s="252"/>
      <c r="F55" s="210"/>
      <c r="G55" s="252"/>
      <c r="H55" s="255" t="str">
        <f t="shared" si="1"/>
        <v/>
      </c>
      <c r="I55" s="256" t="str">
        <f>CONCATENATE(UPPER(RAW_APS!$A56),"__",RAW_APS!$B56,"_",RAW_APS!$C56)</f>
        <v>FM401__44629_0.323784722222222</v>
      </c>
      <c r="J55" s="257" t="str">
        <f t="shared" si="2"/>
        <v/>
      </c>
      <c r="K55" s="252" t="s">
        <v>400</v>
      </c>
      <c r="L55" s="258" t="str">
        <f t="shared" si="3"/>
        <v>FM2082</v>
      </c>
      <c r="M55" s="259" t="b">
        <f t="shared" si="4"/>
        <v>0</v>
      </c>
      <c r="N55" s="258" t="str">
        <f t="shared" si="5"/>
        <v/>
      </c>
      <c r="O55" s="5"/>
      <c r="P55" s="5"/>
      <c r="Q55" s="5"/>
      <c r="R55" s="5"/>
      <c r="S55" s="5"/>
      <c r="T55" s="5"/>
      <c r="U55" s="5"/>
      <c r="V55" s="5"/>
      <c r="W55" s="5"/>
    </row>
    <row r="56">
      <c r="A56" s="112" t="str">
        <f>IF(OR(ISBLANK(RAW_APS!A56),ISBLANK(RAW_APS!B56),ISBLANK(RAW_APS!C56)),TRUE,IFERROR(0/0,""))</f>
        <v/>
      </c>
      <c r="B56" s="252"/>
      <c r="C56" s="112" t="str">
        <f>IF(ISBLANK(B56),IFERROR(0/0,""),RAW_APS!A56)</f>
        <v/>
      </c>
      <c r="D56" s="112" t="str">
        <f>IF(ISBLANK(C56),IFERROR(0/0,""), VLOOKUP(C56,preDEL!A$2:AG786,33,FALSE))</f>
        <v/>
      </c>
      <c r="E56" s="252"/>
      <c r="F56" s="210"/>
      <c r="G56" s="252"/>
      <c r="H56" s="255" t="str">
        <f t="shared" si="1"/>
        <v/>
      </c>
      <c r="I56" s="256" t="str">
        <f>CONCATENATE(UPPER(RAW_APS!$A57),"__",RAW_APS!$B57,"_",RAW_APS!$C57)</f>
        <v>FM1889__44629_0.321863425925926</v>
      </c>
      <c r="J56" s="257" t="str">
        <f t="shared" si="2"/>
        <v/>
      </c>
      <c r="K56" s="252" t="s">
        <v>402</v>
      </c>
      <c r="L56" s="258" t="str">
        <f t="shared" si="3"/>
        <v>FM2083</v>
      </c>
      <c r="M56" s="259" t="b">
        <f t="shared" si="4"/>
        <v>0</v>
      </c>
      <c r="N56" s="258" t="str">
        <f t="shared" si="5"/>
        <v/>
      </c>
      <c r="O56" s="5"/>
      <c r="P56" s="5"/>
      <c r="Q56" s="5"/>
      <c r="R56" s="5"/>
      <c r="S56" s="5"/>
      <c r="T56" s="5"/>
      <c r="U56" s="5"/>
      <c r="V56" s="5"/>
      <c r="W56" s="5"/>
    </row>
    <row r="57">
      <c r="A57" s="112" t="str">
        <f>IF(OR(ISBLANK(RAW_APS!A57),ISBLANK(RAW_APS!B57),ISBLANK(RAW_APS!C57)),TRUE,IFERROR(0/0,""))</f>
        <v/>
      </c>
      <c r="B57" s="252"/>
      <c r="C57" s="112" t="str">
        <f>IF(ISBLANK(B57),IFERROR(0/0,""),RAW_APS!A57)</f>
        <v/>
      </c>
      <c r="D57" s="112" t="str">
        <f>IF(ISBLANK(C57),IFERROR(0/0,""), VLOOKUP(C57,preDEL!A$2:AG786,33,FALSE))</f>
        <v/>
      </c>
      <c r="E57" s="252"/>
      <c r="F57" s="210"/>
      <c r="G57" s="252"/>
      <c r="H57" s="255" t="str">
        <f t="shared" si="1"/>
        <v/>
      </c>
      <c r="I57" s="256" t="str">
        <f>CONCATENATE(UPPER(RAW_APS!$A58),"__",RAW_APS!$B58,"_",RAW_APS!$C58)</f>
        <v>FM340__44629_0.320185185185185</v>
      </c>
      <c r="J57" s="257" t="str">
        <f t="shared" si="2"/>
        <v/>
      </c>
      <c r="K57" s="252" t="s">
        <v>404</v>
      </c>
      <c r="L57" s="258" t="str">
        <f t="shared" si="3"/>
        <v>FM2085</v>
      </c>
      <c r="M57" s="259" t="b">
        <f t="shared" si="4"/>
        <v>0</v>
      </c>
      <c r="N57" s="258" t="str">
        <f t="shared" si="5"/>
        <v/>
      </c>
      <c r="O57" s="5"/>
      <c r="P57" s="5"/>
      <c r="Q57" s="5"/>
      <c r="R57" s="5"/>
      <c r="S57" s="5"/>
      <c r="T57" s="5"/>
      <c r="U57" s="5"/>
      <c r="V57" s="5"/>
      <c r="W57" s="5"/>
    </row>
    <row r="58">
      <c r="A58" s="112" t="str">
        <f>IF(OR(ISBLANK(RAW_APS!A58),ISBLANK(RAW_APS!B58),ISBLANK(RAW_APS!C58)),TRUE,IFERROR(0/0,""))</f>
        <v/>
      </c>
      <c r="B58" s="252"/>
      <c r="C58" s="112" t="str">
        <f>IF(ISBLANK(B58),IFERROR(0/0,""),RAW_APS!A58)</f>
        <v/>
      </c>
      <c r="D58" s="112" t="str">
        <f>IF(ISBLANK(C58),IFERROR(0/0,""), VLOOKUP(C58,preDEL!A$2:AG786,33,FALSE))</f>
        <v/>
      </c>
      <c r="E58" s="252"/>
      <c r="F58" s="210"/>
      <c r="G58" s="252"/>
      <c r="H58" s="255" t="str">
        <f t="shared" si="1"/>
        <v/>
      </c>
      <c r="I58" s="256" t="str">
        <f>CONCATENATE(UPPER(RAW_APS!$A59),"__",RAW_APS!$B59,"_",RAW_APS!$C59)</f>
        <v>FM16__44629_0.318240740740741</v>
      </c>
      <c r="J58" s="257" t="str">
        <f t="shared" si="2"/>
        <v/>
      </c>
      <c r="K58" s="252" t="s">
        <v>407</v>
      </c>
      <c r="L58" s="258" t="str">
        <f t="shared" si="3"/>
        <v>FM2089</v>
      </c>
      <c r="M58" s="259" t="b">
        <f t="shared" si="4"/>
        <v>0</v>
      </c>
      <c r="N58" s="258" t="str">
        <f t="shared" si="5"/>
        <v/>
      </c>
      <c r="O58" s="5"/>
      <c r="P58" s="5"/>
      <c r="Q58" s="5"/>
      <c r="R58" s="5"/>
      <c r="S58" s="5"/>
      <c r="T58" s="5"/>
      <c r="U58" s="5"/>
      <c r="V58" s="5"/>
      <c r="W58" s="5"/>
    </row>
    <row r="59">
      <c r="A59" s="112" t="str">
        <f>IF(OR(ISBLANK(RAW_APS!A59),ISBLANK(RAW_APS!B59),ISBLANK(RAW_APS!C59)),TRUE,IFERROR(0/0,""))</f>
        <v/>
      </c>
      <c r="B59" s="252"/>
      <c r="C59" s="112" t="str">
        <f>IF(ISBLANK(B59),IFERROR(0/0,""),RAW_APS!A59)</f>
        <v/>
      </c>
      <c r="D59" s="112" t="str">
        <f>IF(ISBLANK(C59),IFERROR(0/0,""), VLOOKUP(C59,preDEL!A$2:AG786,33,FALSE))</f>
        <v/>
      </c>
      <c r="E59" s="252"/>
      <c r="F59" s="210"/>
      <c r="G59" s="252"/>
      <c r="H59" s="255" t="str">
        <f t="shared" si="1"/>
        <v/>
      </c>
      <c r="I59" s="256" t="str">
        <f>CONCATENATE(UPPER(RAW_APS!$A60),"__",RAW_APS!$B60,"_",RAW_APS!$C60)</f>
        <v>FM91__44629_0.317349537037037</v>
      </c>
      <c r="J59" s="257" t="str">
        <f t="shared" si="2"/>
        <v/>
      </c>
      <c r="K59" s="252" t="s">
        <v>411</v>
      </c>
      <c r="L59" s="258" t="str">
        <f t="shared" si="3"/>
        <v>FM2090</v>
      </c>
      <c r="M59" s="259" t="b">
        <f t="shared" si="4"/>
        <v>0</v>
      </c>
      <c r="N59" s="258" t="str">
        <f t="shared" si="5"/>
        <v/>
      </c>
      <c r="O59" s="5"/>
      <c r="P59" s="5"/>
      <c r="Q59" s="5"/>
      <c r="R59" s="5"/>
      <c r="S59" s="5"/>
      <c r="T59" s="5"/>
      <c r="U59" s="5"/>
      <c r="V59" s="5"/>
      <c r="W59" s="5"/>
    </row>
    <row r="60">
      <c r="A60" s="112" t="str">
        <f>IF(OR(ISBLANK(RAW_APS!A60),ISBLANK(RAW_APS!B60),ISBLANK(RAW_APS!C60)),TRUE,IFERROR(0/0,""))</f>
        <v/>
      </c>
      <c r="B60" s="252"/>
      <c r="C60" s="112" t="str">
        <f>IF(ISBLANK(B60),IFERROR(0/0,""),RAW_APS!A60)</f>
        <v/>
      </c>
      <c r="D60" s="112" t="str">
        <f>IF(ISBLANK(C60),IFERROR(0/0,""), VLOOKUP(C60,preDEL!A$2:AG786,33,FALSE))</f>
        <v/>
      </c>
      <c r="E60" s="252"/>
      <c r="F60" s="210"/>
      <c r="G60" s="252"/>
      <c r="H60" s="255" t="str">
        <f t="shared" si="1"/>
        <v/>
      </c>
      <c r="I60" s="256" t="str">
        <f>CONCATENATE(UPPER(RAW_APS!$A61),"__",RAW_APS!$B61,"_",RAW_APS!$C61)</f>
        <v>FM422__44629_0.31693287037037</v>
      </c>
      <c r="J60" s="257" t="str">
        <f t="shared" si="2"/>
        <v/>
      </c>
      <c r="K60" s="252" t="s">
        <v>413</v>
      </c>
      <c r="L60" s="258" t="str">
        <f t="shared" si="3"/>
        <v>FM2093</v>
      </c>
      <c r="M60" s="259" t="b">
        <f t="shared" si="4"/>
        <v>0</v>
      </c>
      <c r="N60" s="258" t="str">
        <f t="shared" si="5"/>
        <v/>
      </c>
      <c r="O60" s="5"/>
      <c r="P60" s="5"/>
      <c r="Q60" s="5"/>
      <c r="R60" s="5"/>
      <c r="S60" s="5"/>
      <c r="T60" s="5"/>
      <c r="U60" s="5"/>
      <c r="V60" s="5"/>
      <c r="W60" s="5"/>
    </row>
    <row r="61">
      <c r="A61" s="112" t="str">
        <f>IF(OR(ISBLANK(RAW_APS!A61),ISBLANK(RAW_APS!B61),ISBLANK(RAW_APS!C61)),TRUE,IFERROR(0/0,""))</f>
        <v/>
      </c>
      <c r="B61" s="252"/>
      <c r="C61" s="112" t="str">
        <f>IF(ISBLANK(B61),IFERROR(0/0,""),RAW_APS!A61)</f>
        <v/>
      </c>
      <c r="D61" s="112" t="str">
        <f>IF(ISBLANK(C61),IFERROR(0/0,""), VLOOKUP(C61,preDEL!A$2:AG786,33,FALSE))</f>
        <v/>
      </c>
      <c r="E61" s="252"/>
      <c r="F61" s="210"/>
      <c r="G61" s="252"/>
      <c r="H61" s="255" t="str">
        <f t="shared" si="1"/>
        <v/>
      </c>
      <c r="I61" s="256" t="str">
        <f>CONCATENATE(UPPER(RAW_APS!$A62),"__",RAW_APS!$B62,"_",RAW_APS!$C62)</f>
        <v>FM498__44629_0.314826388888889</v>
      </c>
      <c r="J61" s="257" t="str">
        <f t="shared" si="2"/>
        <v/>
      </c>
      <c r="K61" s="252" t="s">
        <v>415</v>
      </c>
      <c r="L61" s="258" t="str">
        <f t="shared" si="3"/>
        <v>FM2097</v>
      </c>
      <c r="M61" s="259" t="b">
        <f t="shared" si="4"/>
        <v>0</v>
      </c>
      <c r="N61" s="258" t="str">
        <f t="shared" si="5"/>
        <v/>
      </c>
      <c r="O61" s="5"/>
      <c r="P61" s="5"/>
      <c r="Q61" s="5"/>
      <c r="R61" s="5"/>
      <c r="S61" s="5"/>
      <c r="T61" s="5"/>
      <c r="U61" s="5"/>
      <c r="V61" s="5"/>
      <c r="W61" s="5"/>
    </row>
    <row r="62">
      <c r="A62" s="112" t="str">
        <f>IF(OR(ISBLANK(RAW_APS!A62),ISBLANK(RAW_APS!B62),ISBLANK(RAW_APS!C62)),TRUE,IFERROR(0/0,""))</f>
        <v/>
      </c>
      <c r="B62" s="252"/>
      <c r="C62" s="112" t="str">
        <f>IF(ISBLANK(B62),IFERROR(0/0,""),RAW_APS!A62)</f>
        <v/>
      </c>
      <c r="D62" s="112" t="str">
        <f>IF(ISBLANK(C62),IFERROR(0/0,""), VLOOKUP(C62,preDEL!A$2:AG786,33,FALSE))</f>
        <v/>
      </c>
      <c r="E62" s="252"/>
      <c r="F62" s="210"/>
      <c r="G62" s="252"/>
      <c r="H62" s="255" t="str">
        <f t="shared" si="1"/>
        <v/>
      </c>
      <c r="I62" s="256" t="str">
        <f>CONCATENATE(UPPER(RAW_APS!$A63),"__",RAW_APS!$B63,"_",RAW_APS!$C63)</f>
        <v>FM2097__44629_0.314409722222222</v>
      </c>
      <c r="J62" s="257" t="str">
        <f t="shared" si="2"/>
        <v/>
      </c>
      <c r="K62" s="252" t="s">
        <v>417</v>
      </c>
      <c r="L62" s="258" t="str">
        <f t="shared" si="3"/>
        <v>FM2099</v>
      </c>
      <c r="M62" s="259" t="b">
        <f t="shared" si="4"/>
        <v>0</v>
      </c>
      <c r="N62" s="258" t="str">
        <f t="shared" si="5"/>
        <v/>
      </c>
      <c r="O62" s="5"/>
      <c r="P62" s="5"/>
      <c r="Q62" s="5"/>
      <c r="R62" s="5"/>
      <c r="S62" s="5"/>
      <c r="T62" s="5"/>
      <c r="U62" s="5"/>
      <c r="V62" s="5"/>
      <c r="W62" s="5"/>
    </row>
    <row r="63">
      <c r="A63" s="112" t="str">
        <f>IF(OR(ISBLANK(RAW_APS!A63),ISBLANK(RAW_APS!B63),ISBLANK(RAW_APS!C63)),TRUE,IFERROR(0/0,""))</f>
        <v/>
      </c>
      <c r="B63" s="252"/>
      <c r="C63" s="112" t="str">
        <f>IF(ISBLANK(B63),IFERROR(0/0,""),RAW_APS!A63)</f>
        <v/>
      </c>
      <c r="D63" s="112" t="str">
        <f>IF(ISBLANK(C63),IFERROR(0/0,""), VLOOKUP(C63,preDEL!A$2:AG786,33,FALSE))</f>
        <v/>
      </c>
      <c r="E63" s="252"/>
      <c r="F63" s="210"/>
      <c r="G63" s="252"/>
      <c r="H63" s="255" t="str">
        <f t="shared" si="1"/>
        <v/>
      </c>
      <c r="I63" s="256" t="str">
        <f>CONCATENATE(UPPER(RAW_APS!$A64),"__",RAW_APS!$B64,"_",RAW_APS!$C64)</f>
        <v>FM304__44629_0.313090277777778</v>
      </c>
      <c r="J63" s="257" t="str">
        <f t="shared" si="2"/>
        <v/>
      </c>
      <c r="K63" s="252" t="s">
        <v>421</v>
      </c>
      <c r="L63" s="258" t="str">
        <f t="shared" si="3"/>
        <v>FM2100</v>
      </c>
      <c r="M63" s="259" t="b">
        <f t="shared" si="4"/>
        <v>0</v>
      </c>
      <c r="N63" s="258" t="str">
        <f t="shared" si="5"/>
        <v/>
      </c>
      <c r="O63" s="5"/>
      <c r="P63" s="5"/>
      <c r="Q63" s="5"/>
      <c r="R63" s="5"/>
      <c r="S63" s="5"/>
      <c r="T63" s="5"/>
      <c r="U63" s="5"/>
      <c r="V63" s="5"/>
      <c r="W63" s="5"/>
    </row>
    <row r="64">
      <c r="A64" s="112" t="str">
        <f>IF(OR(ISBLANK(RAW_APS!A64),ISBLANK(RAW_APS!B64),ISBLANK(RAW_APS!C64)),TRUE,IFERROR(0/0,""))</f>
        <v/>
      </c>
      <c r="B64" s="252"/>
      <c r="C64" s="112" t="str">
        <f>IF(ISBLANK(B64),IFERROR(0/0,""),RAW_APS!A64)</f>
        <v/>
      </c>
      <c r="D64" s="112" t="str">
        <f>IF(ISBLANK(C64),IFERROR(0/0,""), VLOOKUP(C64,preDEL!A$2:AG786,33,FALSE))</f>
        <v/>
      </c>
      <c r="E64" s="252"/>
      <c r="F64" s="210"/>
      <c r="G64" s="252"/>
      <c r="H64" s="255" t="str">
        <f t="shared" si="1"/>
        <v/>
      </c>
      <c r="I64" s="256" t="str">
        <f>CONCATENATE(UPPER(RAW_APS!$A65),"__",RAW_APS!$B65,"_",RAW_APS!$C65)</f>
        <v>FM2046__44629_0.312962962962963</v>
      </c>
      <c r="J64" s="257" t="str">
        <f t="shared" si="2"/>
        <v/>
      </c>
      <c r="K64" s="252" t="s">
        <v>423</v>
      </c>
      <c r="L64" s="258" t="str">
        <f t="shared" si="3"/>
        <v>FM23</v>
      </c>
      <c r="M64" s="259" t="b">
        <f t="shared" si="4"/>
        <v>0</v>
      </c>
      <c r="N64" s="258" t="str">
        <f t="shared" si="5"/>
        <v/>
      </c>
      <c r="O64" s="5"/>
      <c r="P64" s="5"/>
      <c r="Q64" s="5"/>
      <c r="R64" s="5"/>
      <c r="S64" s="5"/>
      <c r="T64" s="5"/>
      <c r="U64" s="5"/>
      <c r="V64" s="5"/>
      <c r="W64" s="5"/>
    </row>
    <row r="65">
      <c r="A65" s="112" t="str">
        <f>IF(OR(ISBLANK(RAW_APS!A65),ISBLANK(RAW_APS!B65),ISBLANK(RAW_APS!C65)),TRUE,IFERROR(0/0,""))</f>
        <v/>
      </c>
      <c r="B65" s="252"/>
      <c r="C65" s="112" t="str">
        <f>IF(ISBLANK(B65),IFERROR(0/0,""),RAW_APS!A65)</f>
        <v/>
      </c>
      <c r="D65" s="112" t="str">
        <f>IF(ISBLANK(C65),IFERROR(0/0,""), VLOOKUP(C65,preDEL!A$2:AG786,33,FALSE))</f>
        <v/>
      </c>
      <c r="E65" s="252"/>
      <c r="F65" s="210"/>
      <c r="G65" s="252"/>
      <c r="H65" s="255" t="str">
        <f t="shared" si="1"/>
        <v/>
      </c>
      <c r="I65" s="256" t="str">
        <f>CONCATENATE(UPPER(RAW_APS!$A66),"__",RAW_APS!$B66,"_",RAW_APS!$C66)</f>
        <v>FM310__44629_0.312256944444444</v>
      </c>
      <c r="J65" s="257" t="str">
        <f t="shared" si="2"/>
        <v/>
      </c>
      <c r="K65" s="252" t="s">
        <v>426</v>
      </c>
      <c r="L65" s="258" t="str">
        <f t="shared" si="3"/>
        <v>FM24</v>
      </c>
      <c r="M65" s="259" t="b">
        <f t="shared" si="4"/>
        <v>0</v>
      </c>
      <c r="N65" s="258" t="str">
        <f t="shared" si="5"/>
        <v/>
      </c>
      <c r="O65" s="5"/>
      <c r="P65" s="5"/>
      <c r="Q65" s="5"/>
      <c r="R65" s="5"/>
      <c r="S65" s="5"/>
      <c r="T65" s="5"/>
      <c r="U65" s="5"/>
      <c r="V65" s="5"/>
      <c r="W65" s="5"/>
    </row>
    <row r="66">
      <c r="A66" s="112" t="str">
        <f>IF(OR(ISBLANK(RAW_APS!A66),ISBLANK(RAW_APS!B66),ISBLANK(RAW_APS!C66)),TRUE,IFERROR(0/0,""))</f>
        <v/>
      </c>
      <c r="B66" s="252"/>
      <c r="C66" s="112" t="str">
        <f>IF(ISBLANK(B66),IFERROR(0/0,""),RAW_APS!A66)</f>
        <v/>
      </c>
      <c r="D66" s="112" t="str">
        <f>IF(ISBLANK(C66),IFERROR(0/0,""), VLOOKUP(C66,preDEL!A$2:AG786,33,FALSE))</f>
        <v/>
      </c>
      <c r="E66" s="252"/>
      <c r="F66" s="210"/>
      <c r="G66" s="252"/>
      <c r="H66" s="255" t="str">
        <f t="shared" si="1"/>
        <v/>
      </c>
      <c r="I66" s="256" t="str">
        <f>CONCATENATE(UPPER(RAW_APS!$A67),"__",RAW_APS!$B67,"_",RAW_APS!$C67)</f>
        <v>FM2067__44629_0.312152777777778</v>
      </c>
      <c r="J66" s="257" t="str">
        <f t="shared" si="2"/>
        <v/>
      </c>
      <c r="K66" s="252" t="s">
        <v>428</v>
      </c>
      <c r="L66" s="258" t="str">
        <f t="shared" si="3"/>
        <v>FM25</v>
      </c>
      <c r="M66" s="259" t="b">
        <f t="shared" si="4"/>
        <v>0</v>
      </c>
      <c r="N66" s="258" t="str">
        <f t="shared" si="5"/>
        <v/>
      </c>
      <c r="O66" s="5"/>
      <c r="P66" s="5"/>
      <c r="Q66" s="5"/>
      <c r="R66" s="5"/>
      <c r="S66" s="5"/>
      <c r="T66" s="5"/>
      <c r="U66" s="5"/>
      <c r="V66" s="5"/>
      <c r="W66" s="5"/>
    </row>
    <row r="67">
      <c r="A67" s="112" t="str">
        <f>IF(OR(ISBLANK(RAW_APS!A67),ISBLANK(RAW_APS!B67),ISBLANK(RAW_APS!C67)),TRUE,IFERROR(0/0,""))</f>
        <v/>
      </c>
      <c r="B67" s="252"/>
      <c r="C67" s="112" t="str">
        <f>IF(ISBLANK(B67),IFERROR(0/0,""),RAW_APS!A67)</f>
        <v/>
      </c>
      <c r="D67" s="112" t="str">
        <f>IF(ISBLANK(C67),IFERROR(0/0,""), VLOOKUP(C67,preDEL!A$2:AG786,33,FALSE))</f>
        <v/>
      </c>
      <c r="E67" s="252"/>
      <c r="F67" s="210"/>
      <c r="G67" s="252"/>
      <c r="H67" s="255" t="str">
        <f t="shared" si="1"/>
        <v/>
      </c>
      <c r="I67" s="256" t="str">
        <f>CONCATENATE(UPPER(RAW_APS!$A68),"__",RAW_APS!$B68,"_",RAW_APS!$C68)</f>
        <v>MA1275__44629_0.311770833333333</v>
      </c>
      <c r="J67" s="257" t="str">
        <f t="shared" si="2"/>
        <v/>
      </c>
      <c r="K67" s="252" t="s">
        <v>432</v>
      </c>
      <c r="L67" s="258" t="str">
        <f t="shared" si="3"/>
        <v>FM26</v>
      </c>
      <c r="M67" s="259" t="b">
        <f t="shared" si="4"/>
        <v>0</v>
      </c>
      <c r="N67" s="258" t="str">
        <f t="shared" si="5"/>
        <v/>
      </c>
      <c r="O67" s="5"/>
      <c r="P67" s="5"/>
      <c r="Q67" s="5"/>
      <c r="R67" s="5"/>
      <c r="S67" s="5"/>
      <c r="T67" s="5"/>
      <c r="U67" s="5"/>
      <c r="V67" s="5"/>
      <c r="W67" s="5"/>
    </row>
    <row r="68">
      <c r="A68" s="112" t="str">
        <f>IF(OR(ISBLANK(RAW_APS!A68),ISBLANK(RAW_APS!B68),ISBLANK(RAW_APS!C68)),TRUE,IFERROR(0/0,""))</f>
        <v/>
      </c>
      <c r="B68" s="252"/>
      <c r="C68" s="112" t="str">
        <f>IF(ISBLANK(B68),IFERROR(0/0,""),RAW_APS!A68)</f>
        <v/>
      </c>
      <c r="D68" s="112" t="str">
        <f>IF(ISBLANK(C68),IFERROR(0/0,""), VLOOKUP(C68,preDEL!A$2:AG786,33,FALSE))</f>
        <v/>
      </c>
      <c r="E68" s="252"/>
      <c r="F68" s="210"/>
      <c r="G68" s="252"/>
      <c r="H68" s="255" t="str">
        <f t="shared" si="1"/>
        <v/>
      </c>
      <c r="I68" s="256" t="str">
        <f>CONCATENATE(UPPER(RAW_APS!$A69),"__",RAW_APS!$B69,"_",RAW_APS!$C69)</f>
        <v>FM395__44629_0.311365740740741</v>
      </c>
      <c r="J68" s="257" t="str">
        <f t="shared" si="2"/>
        <v/>
      </c>
      <c r="K68" s="252" t="s">
        <v>434</v>
      </c>
      <c r="L68" s="258" t="str">
        <f t="shared" si="3"/>
        <v>FM27</v>
      </c>
      <c r="M68" s="259" t="b">
        <f t="shared" si="4"/>
        <v>0</v>
      </c>
      <c r="N68" s="258" t="str">
        <f t="shared" si="5"/>
        <v/>
      </c>
      <c r="O68" s="5"/>
      <c r="P68" s="5"/>
      <c r="Q68" s="5"/>
      <c r="R68" s="5"/>
      <c r="S68" s="5"/>
      <c r="T68" s="5"/>
      <c r="U68" s="5"/>
      <c r="V68" s="5"/>
      <c r="W68" s="5"/>
    </row>
    <row r="69">
      <c r="A69" s="112" t="str">
        <f>IF(OR(ISBLANK(RAW_APS!A69),ISBLANK(RAW_APS!B69),ISBLANK(RAW_APS!C69)),TRUE,IFERROR(0/0,""))</f>
        <v/>
      </c>
      <c r="B69" s="252"/>
      <c r="C69" s="112" t="str">
        <f>IF(ISBLANK(B69),IFERROR(0/0,""),RAW_APS!A69)</f>
        <v/>
      </c>
      <c r="D69" s="112" t="str">
        <f>IF(ISBLANK(C69),IFERROR(0/0,""), VLOOKUP(C69,preDEL!A$2:AG786,33,FALSE))</f>
        <v/>
      </c>
      <c r="E69" s="252"/>
      <c r="F69" s="210"/>
      <c r="G69" s="252"/>
      <c r="H69" s="255" t="str">
        <f t="shared" si="1"/>
        <v/>
      </c>
      <c r="I69" s="256" t="str">
        <f>CONCATENATE(UPPER(RAW_APS!$A70),"__",RAW_APS!$B70,"_",RAW_APS!$C70)</f>
        <v>FM2049__44629_0.293969907407407</v>
      </c>
      <c r="J69" s="257" t="str">
        <f t="shared" si="2"/>
        <v/>
      </c>
      <c r="K69" s="252" t="s">
        <v>438</v>
      </c>
      <c r="L69" s="258" t="str">
        <f t="shared" si="3"/>
        <v>FM28</v>
      </c>
      <c r="M69" s="259" t="b">
        <f t="shared" si="4"/>
        <v>0</v>
      </c>
      <c r="N69" s="258" t="str">
        <f t="shared" si="5"/>
        <v/>
      </c>
      <c r="O69" s="5"/>
      <c r="P69" s="5"/>
      <c r="Q69" s="5"/>
      <c r="R69" s="5"/>
      <c r="S69" s="5"/>
      <c r="T69" s="5"/>
      <c r="U69" s="5"/>
      <c r="V69" s="5"/>
      <c r="W69" s="5"/>
    </row>
    <row r="70">
      <c r="A70" s="112" t="str">
        <f>IF(OR(ISBLANK(RAW_APS!A70),ISBLANK(RAW_APS!B70),ISBLANK(RAW_APS!C70)),TRUE,IFERROR(0/0,""))</f>
        <v/>
      </c>
      <c r="B70" s="252"/>
      <c r="C70" s="112" t="str">
        <f>IF(ISBLANK(B70),IFERROR(0/0,""),RAW_APS!A70)</f>
        <v/>
      </c>
      <c r="D70" s="112" t="str">
        <f>IF(ISBLANK(C70),IFERROR(0/0,""), VLOOKUP(C70,preDEL!A$2:AG786,33,FALSE))</f>
        <v/>
      </c>
      <c r="E70" s="252"/>
      <c r="F70" s="210"/>
      <c r="G70" s="252"/>
      <c r="H70" s="255" t="str">
        <f t="shared" si="1"/>
        <v/>
      </c>
      <c r="I70" s="256" t="str">
        <f>CONCATENATE(UPPER(RAW_APS!$A71),"__",RAW_APS!$B71,"_",RAW_APS!$C71)</f>
        <v>FM2099__44627_0.351956018518519</v>
      </c>
      <c r="J70" s="257" t="str">
        <f t="shared" si="2"/>
        <v/>
      </c>
      <c r="K70" s="252" t="s">
        <v>440</v>
      </c>
      <c r="L70" s="258" t="str">
        <f t="shared" si="3"/>
        <v>FM29</v>
      </c>
      <c r="M70" s="259" t="b">
        <f t="shared" si="4"/>
        <v>0</v>
      </c>
      <c r="N70" s="258" t="str">
        <f t="shared" si="5"/>
        <v/>
      </c>
      <c r="O70" s="5"/>
      <c r="P70" s="5"/>
      <c r="Q70" s="5"/>
      <c r="R70" s="5"/>
      <c r="S70" s="5"/>
      <c r="T70" s="5"/>
      <c r="U70" s="5"/>
      <c r="V70" s="5"/>
      <c r="W70" s="5"/>
    </row>
    <row r="71">
      <c r="A71" s="112" t="str">
        <f>IF(OR(ISBLANK(RAW_APS!A71),ISBLANK(RAW_APS!B71),ISBLANK(RAW_APS!C71)),TRUE,IFERROR(0/0,""))</f>
        <v/>
      </c>
      <c r="B71" s="252"/>
      <c r="C71" s="112" t="str">
        <f>IF(ISBLANK(B71),IFERROR(0/0,""),RAW_APS!A71)</f>
        <v/>
      </c>
      <c r="D71" s="112" t="str">
        <f>IF(ISBLANK(C71),IFERROR(0/0,""), VLOOKUP(C71,preDEL!A$2:AG786,33,FALSE))</f>
        <v/>
      </c>
      <c r="E71" s="252"/>
      <c r="F71" s="210"/>
      <c r="G71" s="252"/>
      <c r="H71" s="255" t="str">
        <f t="shared" si="1"/>
        <v/>
      </c>
      <c r="I71" s="256" t="str">
        <f>CONCATENATE(UPPER(RAW_APS!$A72),"__",RAW_APS!$B72,"_",RAW_APS!$C72)</f>
        <v>MA314__44627_0.347696759259259</v>
      </c>
      <c r="J71" s="257" t="str">
        <f t="shared" si="2"/>
        <v/>
      </c>
      <c r="K71" s="252" t="s">
        <v>442</v>
      </c>
      <c r="L71" s="258" t="str">
        <f t="shared" si="3"/>
        <v>FM3</v>
      </c>
      <c r="M71" s="259" t="b">
        <f t="shared" si="4"/>
        <v>0</v>
      </c>
      <c r="N71" s="258" t="str">
        <f t="shared" si="5"/>
        <v/>
      </c>
      <c r="O71" s="5"/>
      <c r="P71" s="5"/>
      <c r="Q71" s="5"/>
      <c r="R71" s="5"/>
      <c r="S71" s="5"/>
      <c r="T71" s="5"/>
      <c r="U71" s="5"/>
      <c r="V71" s="5"/>
      <c r="W71" s="5"/>
    </row>
    <row r="72">
      <c r="A72" s="112" t="str">
        <f>IF(OR(ISBLANK(RAW_APS!A72),ISBLANK(RAW_APS!B72),ISBLANK(RAW_APS!C72)),TRUE,IFERROR(0/0,""))</f>
        <v/>
      </c>
      <c r="B72" s="252"/>
      <c r="C72" s="112" t="str">
        <f>IF(ISBLANK(B72),IFERROR(0/0,""),RAW_APS!A72)</f>
        <v/>
      </c>
      <c r="D72" s="112" t="str">
        <f>IF(ISBLANK(C72),IFERROR(0/0,""), VLOOKUP(C72,preDEL!A$2:AG786,33,FALSE))</f>
        <v/>
      </c>
      <c r="E72" s="252"/>
      <c r="F72" s="210"/>
      <c r="G72" s="252"/>
      <c r="H72" s="255" t="str">
        <f t="shared" si="1"/>
        <v/>
      </c>
      <c r="I72" s="256" t="str">
        <f>CONCATENATE(UPPER(RAW_APS!$A73),"__",RAW_APS!$B73,"_",RAW_APS!$C73)</f>
        <v>MN3330___</v>
      </c>
      <c r="J72" s="257" t="str">
        <f t="shared" si="2"/>
        <v/>
      </c>
      <c r="K72" s="252" t="s">
        <v>444</v>
      </c>
      <c r="L72" s="258" t="str">
        <f t="shared" si="3"/>
        <v>FM30</v>
      </c>
      <c r="M72" s="259" t="b">
        <f t="shared" si="4"/>
        <v>0</v>
      </c>
      <c r="N72" s="258" t="str">
        <f t="shared" si="5"/>
        <v/>
      </c>
      <c r="O72" s="5"/>
      <c r="P72" s="5"/>
      <c r="Q72" s="5"/>
      <c r="R72" s="5"/>
      <c r="S72" s="5"/>
      <c r="T72" s="5"/>
      <c r="U72" s="5"/>
      <c r="V72" s="5"/>
      <c r="W72" s="5"/>
    </row>
    <row r="73">
      <c r="A73" s="112" t="b">
        <f>IF(OR(ISBLANK(RAW_APS!A73),ISBLANK(RAW_APS!B73),ISBLANK(RAW_APS!C73)),TRUE,IFERROR(0/0,""))</f>
        <v>1</v>
      </c>
      <c r="B73" s="252" t="b">
        <v>1</v>
      </c>
      <c r="C73" s="112" t="str">
        <f>IF(ISBLANK(B73),IFERROR(0/0,""),RAW_APS!A73)</f>
        <v>MN3330</v>
      </c>
      <c r="D73" s="112" t="b">
        <f>IF(ISBLANK(C73),IFERROR(0/0,""), VLOOKUP(C73,preDEL!A$2:AG786,33,FALSE))</f>
        <v>1</v>
      </c>
      <c r="E73" s="4" t="s">
        <v>2528</v>
      </c>
      <c r="F73" s="210"/>
      <c r="G73" s="252"/>
      <c r="H73" s="255" t="str">
        <f t="shared" si="1"/>
        <v/>
      </c>
      <c r="I73" s="256" t="str">
        <f>CONCATENATE(UPPER(RAW_APS!$A74),"__",RAW_APS!$B74,"_",RAW_APS!$C74)</f>
        <v>FM413__44627_0.338645833333333</v>
      </c>
      <c r="J73" s="257" t="str">
        <f t="shared" si="2"/>
        <v/>
      </c>
      <c r="K73" s="252" t="s">
        <v>446</v>
      </c>
      <c r="L73" s="258" t="str">
        <f t="shared" si="3"/>
        <v>FM304</v>
      </c>
      <c r="M73" s="259" t="b">
        <f t="shared" si="4"/>
        <v>0</v>
      </c>
      <c r="N73" s="258" t="str">
        <f t="shared" si="5"/>
        <v/>
      </c>
      <c r="O73" s="5"/>
      <c r="P73" s="5"/>
      <c r="Q73" s="5"/>
      <c r="R73" s="5"/>
      <c r="S73" s="5"/>
      <c r="T73" s="5"/>
      <c r="U73" s="5"/>
      <c r="V73" s="5"/>
      <c r="W73" s="5"/>
    </row>
    <row r="74">
      <c r="A74" s="112" t="str">
        <f>IF(OR(ISBLANK(RAW_APS!A74),ISBLANK(RAW_APS!B74),ISBLANK(RAW_APS!C74)),TRUE,IFERROR(0/0,""))</f>
        <v/>
      </c>
      <c r="B74" s="252"/>
      <c r="C74" s="112" t="str">
        <f>IF(ISBLANK(B74),IFERROR(0/0,""),RAW_APS!A74)</f>
        <v/>
      </c>
      <c r="D74" s="112" t="str">
        <f>IF(ISBLANK(C74),IFERROR(0/0,""), VLOOKUP(C74,preDEL!A$2:AG786,33,FALSE))</f>
        <v/>
      </c>
      <c r="E74" s="252"/>
      <c r="F74" s="210"/>
      <c r="G74" s="252"/>
      <c r="H74" s="255" t="str">
        <f t="shared" si="1"/>
        <v/>
      </c>
      <c r="I74" s="256" t="str">
        <f>CONCATENATE(UPPER(RAW_APS!$A75),"__",RAW_APS!$B75,"_",RAW_APS!$C75)</f>
        <v>FM367__44627_0.338530092592593</v>
      </c>
      <c r="J74" s="257" t="str">
        <f t="shared" si="2"/>
        <v/>
      </c>
      <c r="K74" s="252" t="s">
        <v>448</v>
      </c>
      <c r="L74" s="258" t="str">
        <f t="shared" si="3"/>
        <v>FM31</v>
      </c>
      <c r="M74" s="259" t="b">
        <f t="shared" si="4"/>
        <v>0</v>
      </c>
      <c r="N74" s="258" t="str">
        <f t="shared" si="5"/>
        <v/>
      </c>
      <c r="O74" s="5"/>
      <c r="P74" s="5"/>
      <c r="Q74" s="5"/>
      <c r="R74" s="5"/>
      <c r="S74" s="5"/>
      <c r="T74" s="5"/>
      <c r="U74" s="5"/>
      <c r="V74" s="5"/>
      <c r="W74" s="5"/>
    </row>
    <row r="75">
      <c r="A75" s="112" t="str">
        <f>IF(OR(ISBLANK(RAW_APS!A75),ISBLANK(RAW_APS!B75),ISBLANK(RAW_APS!C75)),TRUE,IFERROR(0/0,""))</f>
        <v/>
      </c>
      <c r="B75" s="252"/>
      <c r="C75" s="112" t="str">
        <f>IF(ISBLANK(B75),IFERROR(0/0,""),RAW_APS!A75)</f>
        <v/>
      </c>
      <c r="D75" s="112" t="str">
        <f>IF(ISBLANK(C75),IFERROR(0/0,""), VLOOKUP(C75,preDEL!A$2:AG786,33,FALSE))</f>
        <v/>
      </c>
      <c r="E75" s="252"/>
      <c r="F75" s="210"/>
      <c r="G75" s="252"/>
      <c r="H75" s="255" t="str">
        <f t="shared" si="1"/>
        <v/>
      </c>
      <c r="I75" s="256" t="str">
        <f>CONCATENATE(UPPER(RAW_APS!$A76),"__",RAW_APS!$B76,"_",RAW_APS!$C76)</f>
        <v>MA353__44627_0.338344907407407</v>
      </c>
      <c r="J75" s="257" t="str">
        <f t="shared" si="2"/>
        <v/>
      </c>
      <c r="K75" s="252" t="s">
        <v>451</v>
      </c>
      <c r="L75" s="258" t="str">
        <f t="shared" si="3"/>
        <v>FM310</v>
      </c>
      <c r="M75" s="259" t="b">
        <f t="shared" si="4"/>
        <v>0</v>
      </c>
      <c r="N75" s="258" t="str">
        <f t="shared" si="5"/>
        <v/>
      </c>
      <c r="O75" s="5"/>
      <c r="P75" s="5"/>
      <c r="Q75" s="5"/>
      <c r="R75" s="5"/>
      <c r="S75" s="5"/>
      <c r="T75" s="5"/>
      <c r="U75" s="5"/>
      <c r="V75" s="5"/>
      <c r="W75" s="5"/>
    </row>
    <row r="76">
      <c r="A76" s="112" t="str">
        <f>IF(OR(ISBLANK(RAW_APS!A76),ISBLANK(RAW_APS!B76),ISBLANK(RAW_APS!C76)),TRUE,IFERROR(0/0,""))</f>
        <v/>
      </c>
      <c r="B76" s="252"/>
      <c r="C76" s="112" t="str">
        <f>IF(ISBLANK(B76),IFERROR(0/0,""),RAW_APS!A76)</f>
        <v/>
      </c>
      <c r="D76" s="112" t="str">
        <f>IF(ISBLANK(C76),IFERROR(0/0,""), VLOOKUP(C76,preDEL!A$2:AG786,33,FALSE))</f>
        <v/>
      </c>
      <c r="E76" s="252"/>
      <c r="F76" s="210"/>
      <c r="G76" s="252"/>
      <c r="H76" s="255" t="str">
        <f t="shared" si="1"/>
        <v/>
      </c>
      <c r="I76" s="256" t="str">
        <f>CONCATENATE(UPPER(RAW_APS!$A77),"__",RAW_APS!$B77,"_",RAW_APS!$C77)</f>
        <v>MA378__44627_0.337002314814815</v>
      </c>
      <c r="J76" s="257" t="str">
        <f t="shared" si="2"/>
        <v/>
      </c>
      <c r="K76" s="252" t="s">
        <v>453</v>
      </c>
      <c r="L76" s="258" t="str">
        <f t="shared" si="3"/>
        <v>FM312</v>
      </c>
      <c r="M76" s="259" t="b">
        <f t="shared" si="4"/>
        <v>0</v>
      </c>
      <c r="N76" s="258" t="str">
        <f t="shared" si="5"/>
        <v/>
      </c>
      <c r="O76" s="5"/>
      <c r="P76" s="5"/>
      <c r="Q76" s="5"/>
      <c r="R76" s="5"/>
      <c r="S76" s="5"/>
      <c r="T76" s="5"/>
      <c r="U76" s="5"/>
      <c r="V76" s="5"/>
      <c r="W76" s="5"/>
    </row>
    <row r="77">
      <c r="A77" s="112" t="str">
        <f>IF(OR(ISBLANK(RAW_APS!A77),ISBLANK(RAW_APS!B77),ISBLANK(RAW_APS!C77)),TRUE,IFERROR(0/0,""))</f>
        <v/>
      </c>
      <c r="B77" s="252"/>
      <c r="C77" s="112" t="str">
        <f>IF(ISBLANK(B77),IFERROR(0/0,""),RAW_APS!A77)</f>
        <v/>
      </c>
      <c r="D77" s="112" t="str">
        <f>IF(ISBLANK(C77),IFERROR(0/0,""), VLOOKUP(C77,preDEL!A$2:AG786,33,FALSE))</f>
        <v/>
      </c>
      <c r="E77" s="252"/>
      <c r="F77" s="210"/>
      <c r="G77" s="252"/>
      <c r="H77" s="255" t="str">
        <f t="shared" si="1"/>
        <v/>
      </c>
      <c r="I77" s="256" t="str">
        <f>CONCATENATE(UPPER(RAW_APS!$A78),"__",RAW_APS!$B78,"_",RAW_APS!$C78)</f>
        <v>FM1789__44627_0.327824074074074</v>
      </c>
      <c r="J77" s="257" t="str">
        <f t="shared" si="2"/>
        <v/>
      </c>
      <c r="K77" s="252" t="s">
        <v>455</v>
      </c>
      <c r="L77" s="258" t="str">
        <f t="shared" si="3"/>
        <v>FM315</v>
      </c>
      <c r="M77" s="259" t="b">
        <f t="shared" si="4"/>
        <v>0</v>
      </c>
      <c r="N77" s="258" t="str">
        <f t="shared" si="5"/>
        <v/>
      </c>
      <c r="O77" s="5"/>
      <c r="P77" s="5"/>
      <c r="Q77" s="5"/>
      <c r="R77" s="5"/>
      <c r="S77" s="5"/>
      <c r="T77" s="5"/>
      <c r="U77" s="5"/>
      <c r="V77" s="5"/>
      <c r="W77" s="5"/>
    </row>
    <row r="78">
      <c r="A78" s="112" t="str">
        <f>IF(OR(ISBLANK(RAW_APS!A78),ISBLANK(RAW_APS!B78),ISBLANK(RAW_APS!C78)),TRUE,IFERROR(0/0,""))</f>
        <v/>
      </c>
      <c r="B78" s="252"/>
      <c r="C78" s="112" t="str">
        <f>IF(ISBLANK(B78),IFERROR(0/0,""),RAW_APS!A78)</f>
        <v/>
      </c>
      <c r="D78" s="112" t="str">
        <f>IF(ISBLANK(C78),IFERROR(0/0,""), VLOOKUP(C78,preDEL!A$2:AG786,33,FALSE))</f>
        <v/>
      </c>
      <c r="E78" s="252"/>
      <c r="F78" s="210"/>
      <c r="G78" s="252"/>
      <c r="H78" s="255" t="str">
        <f t="shared" si="1"/>
        <v/>
      </c>
      <c r="I78" s="256" t="str">
        <f>CONCATENATE(UPPER(RAW_APS!$A79),"__",RAW_APS!$B79,"_",RAW_APS!$C79)</f>
        <v>FM2080__44627_0.326793981481482</v>
      </c>
      <c r="J78" s="257" t="str">
        <f t="shared" si="2"/>
        <v/>
      </c>
      <c r="K78" s="252" t="s">
        <v>459</v>
      </c>
      <c r="L78" s="258" t="str">
        <f t="shared" si="3"/>
        <v>FM318</v>
      </c>
      <c r="M78" s="259" t="b">
        <f t="shared" si="4"/>
        <v>0</v>
      </c>
      <c r="N78" s="258" t="str">
        <f t="shared" si="5"/>
        <v/>
      </c>
      <c r="O78" s="5"/>
      <c r="P78" s="5"/>
      <c r="Q78" s="5"/>
      <c r="R78" s="5"/>
      <c r="S78" s="5"/>
      <c r="T78" s="5"/>
      <c r="U78" s="5"/>
      <c r="V78" s="5"/>
      <c r="W78" s="5"/>
    </row>
    <row r="79">
      <c r="A79" s="112" t="str">
        <f>IF(OR(ISBLANK(RAW_APS!A79),ISBLANK(RAW_APS!B79),ISBLANK(RAW_APS!C79)),TRUE,IFERROR(0/0,""))</f>
        <v/>
      </c>
      <c r="B79" s="252"/>
      <c r="C79" s="112" t="str">
        <f>IF(ISBLANK(B79),IFERROR(0/0,""),RAW_APS!A79)</f>
        <v/>
      </c>
      <c r="D79" s="112" t="str">
        <f>IF(ISBLANK(C79),IFERROR(0/0,""), VLOOKUP(C79,preDEL!A$2:AG786,33,FALSE))</f>
        <v/>
      </c>
      <c r="E79" s="252"/>
      <c r="F79" s="210"/>
      <c r="G79" s="252"/>
      <c r="H79" s="255" t="str">
        <f t="shared" si="1"/>
        <v/>
      </c>
      <c r="I79" s="256" t="str">
        <f>CONCATENATE(UPPER(RAW_APS!$A80),"__",RAW_APS!$B80,"_",RAW_APS!$C80)</f>
        <v>FM448__44627_0.325671296296296</v>
      </c>
      <c r="J79" s="257" t="str">
        <f t="shared" si="2"/>
        <v/>
      </c>
      <c r="K79" s="252" t="s">
        <v>461</v>
      </c>
      <c r="L79" s="258" t="str">
        <f t="shared" si="3"/>
        <v>FM32</v>
      </c>
      <c r="M79" s="259" t="b">
        <f t="shared" si="4"/>
        <v>0</v>
      </c>
      <c r="N79" s="258" t="str">
        <f t="shared" si="5"/>
        <v/>
      </c>
      <c r="O79" s="5"/>
      <c r="P79" s="5"/>
      <c r="Q79" s="5"/>
      <c r="R79" s="5"/>
      <c r="S79" s="5"/>
      <c r="T79" s="5"/>
      <c r="U79" s="5"/>
      <c r="V79" s="5"/>
      <c r="W79" s="5"/>
    </row>
    <row r="80">
      <c r="A80" s="112" t="str">
        <f>IF(OR(ISBLANK(RAW_APS!A80),ISBLANK(RAW_APS!B80),ISBLANK(RAW_APS!C80)),TRUE,IFERROR(0/0,""))</f>
        <v/>
      </c>
      <c r="B80" s="252"/>
      <c r="C80" s="112" t="str">
        <f>IF(ISBLANK(B80),IFERROR(0/0,""),RAW_APS!A80)</f>
        <v/>
      </c>
      <c r="D80" s="112" t="str">
        <f>IF(ISBLANK(C80),IFERROR(0/0,""), VLOOKUP(C80,preDEL!A$2:AG786,33,FALSE))</f>
        <v/>
      </c>
      <c r="E80" s="252"/>
      <c r="F80" s="210"/>
      <c r="G80" s="252"/>
      <c r="H80" s="255" t="str">
        <f t="shared" si="1"/>
        <v/>
      </c>
      <c r="I80" s="256" t="str">
        <f>CONCATENATE(UPPER(RAW_APS!$A81),"__",RAW_APS!$B81,"_",RAW_APS!$C81)</f>
        <v>FM93__44627_0.3253125</v>
      </c>
      <c r="J80" s="257" t="str">
        <f t="shared" si="2"/>
        <v/>
      </c>
      <c r="K80" s="252" t="s">
        <v>463</v>
      </c>
      <c r="L80" s="258" t="str">
        <f t="shared" si="3"/>
        <v>FM329</v>
      </c>
      <c r="M80" s="259" t="b">
        <f t="shared" si="4"/>
        <v>0</v>
      </c>
      <c r="N80" s="258" t="str">
        <f t="shared" si="5"/>
        <v/>
      </c>
      <c r="O80" s="5"/>
      <c r="P80" s="5"/>
      <c r="Q80" s="5"/>
      <c r="R80" s="5"/>
      <c r="S80" s="5"/>
      <c r="T80" s="5"/>
      <c r="U80" s="5"/>
      <c r="V80" s="5"/>
      <c r="W80" s="5"/>
    </row>
    <row r="81">
      <c r="A81" s="112" t="str">
        <f>IF(OR(ISBLANK(RAW_APS!A81),ISBLANK(RAW_APS!B81),ISBLANK(RAW_APS!C81)),TRUE,IFERROR(0/0,""))</f>
        <v/>
      </c>
      <c r="B81" s="252"/>
      <c r="C81" s="112" t="str">
        <f>IF(ISBLANK(B81),IFERROR(0/0,""),RAW_APS!A81)</f>
        <v/>
      </c>
      <c r="D81" s="112" t="str">
        <f>IF(ISBLANK(C81),IFERROR(0/0,""), VLOOKUP(C81,preDEL!A$2:AG786,33,FALSE))</f>
        <v/>
      </c>
      <c r="E81" s="252"/>
      <c r="F81" s="210"/>
      <c r="G81" s="252"/>
      <c r="H81" s="255" t="str">
        <f t="shared" si="1"/>
        <v/>
      </c>
      <c r="I81" s="256" t="str">
        <f>CONCATENATE(UPPER(RAW_APS!$A82),"__",RAW_APS!$B82,"_",RAW_APS!$C82)</f>
        <v>FM1007__44627_0.324502314814815</v>
      </c>
      <c r="J81" s="257" t="str">
        <f t="shared" si="2"/>
        <v/>
      </c>
      <c r="K81" s="252" t="s">
        <v>467</v>
      </c>
      <c r="L81" s="258" t="str">
        <f t="shared" si="3"/>
        <v>FM33</v>
      </c>
      <c r="M81" s="259" t="b">
        <f t="shared" si="4"/>
        <v>0</v>
      </c>
      <c r="N81" s="258" t="str">
        <f t="shared" si="5"/>
        <v/>
      </c>
      <c r="O81" s="5"/>
      <c r="P81" s="5"/>
      <c r="Q81" s="5"/>
      <c r="R81" s="5"/>
      <c r="S81" s="5"/>
      <c r="T81" s="5"/>
      <c r="U81" s="5"/>
      <c r="V81" s="5"/>
      <c r="W81" s="5"/>
    </row>
    <row r="82">
      <c r="A82" s="112" t="str">
        <f>IF(OR(ISBLANK(RAW_APS!A82),ISBLANK(RAW_APS!B82),ISBLANK(RAW_APS!C82)),TRUE,IFERROR(0/0,""))</f>
        <v/>
      </c>
      <c r="B82" s="252"/>
      <c r="C82" s="112" t="str">
        <f>IF(ISBLANK(B82),IFERROR(0/0,""),RAW_APS!A82)</f>
        <v/>
      </c>
      <c r="D82" s="112" t="str">
        <f>IF(ISBLANK(C82),IFERROR(0/0,""), VLOOKUP(C82,preDEL!A$2:AG786,33,FALSE))</f>
        <v/>
      </c>
      <c r="E82" s="252"/>
      <c r="F82" s="210"/>
      <c r="G82" s="252"/>
      <c r="H82" s="255" t="str">
        <f t="shared" si="1"/>
        <v/>
      </c>
      <c r="I82" s="256" t="str">
        <f>CONCATENATE(UPPER(RAW_APS!$A83),"__",RAW_APS!$B83,"_",RAW_APS!$C83)</f>
        <v>FM521__44627_0.323101851851852</v>
      </c>
      <c r="J82" s="257" t="str">
        <f t="shared" si="2"/>
        <v/>
      </c>
      <c r="K82" s="252" t="s">
        <v>469</v>
      </c>
      <c r="L82" s="258" t="str">
        <f t="shared" si="3"/>
        <v>FM337</v>
      </c>
      <c r="M82" s="259" t="b">
        <f t="shared" si="4"/>
        <v>0</v>
      </c>
      <c r="N82" s="258" t="str">
        <f t="shared" si="5"/>
        <v/>
      </c>
      <c r="O82" s="5"/>
      <c r="P82" s="5"/>
      <c r="Q82" s="5"/>
      <c r="R82" s="5"/>
      <c r="S82" s="5"/>
      <c r="T82" s="5"/>
      <c r="U82" s="5"/>
      <c r="V82" s="5"/>
      <c r="W82" s="5"/>
    </row>
    <row r="83">
      <c r="A83" s="112" t="str">
        <f>IF(OR(ISBLANK(RAW_APS!A83),ISBLANK(RAW_APS!B83),ISBLANK(RAW_APS!C83)),TRUE,IFERROR(0/0,""))</f>
        <v/>
      </c>
      <c r="B83" s="252"/>
      <c r="C83" s="112" t="str">
        <f>IF(ISBLANK(B83),IFERROR(0/0,""),RAW_APS!A83)</f>
        <v/>
      </c>
      <c r="D83" s="112" t="str">
        <f>IF(ISBLANK(C83),IFERROR(0/0,""), VLOOKUP(C83,preDEL!A$2:AG786,33,FALSE))</f>
        <v/>
      </c>
      <c r="E83" s="252"/>
      <c r="F83" s="210"/>
      <c r="G83" s="252"/>
      <c r="H83" s="255" t="str">
        <f t="shared" si="1"/>
        <v/>
      </c>
      <c r="I83" s="256" t="str">
        <f>CONCATENATE(UPPER(RAW_APS!$A84),"__",RAW_APS!$B84,"_",RAW_APS!$C84)</f>
        <v>FM43__44627_0.321608796296296</v>
      </c>
      <c r="J83" s="257" t="str">
        <f t="shared" si="2"/>
        <v/>
      </c>
      <c r="K83" s="252" t="s">
        <v>475</v>
      </c>
      <c r="L83" s="258" t="str">
        <f t="shared" si="3"/>
        <v>FM34</v>
      </c>
      <c r="M83" s="259" t="b">
        <f t="shared" si="4"/>
        <v>0</v>
      </c>
      <c r="N83" s="258" t="str">
        <f t="shared" si="5"/>
        <v/>
      </c>
      <c r="O83" s="5"/>
      <c r="P83" s="5"/>
      <c r="Q83" s="5"/>
      <c r="R83" s="5"/>
      <c r="S83" s="5"/>
      <c r="T83" s="5"/>
      <c r="U83" s="5"/>
      <c r="V83" s="5"/>
      <c r="W83" s="5"/>
    </row>
    <row r="84">
      <c r="A84" s="112" t="str">
        <f>IF(OR(ISBLANK(RAW_APS!A84),ISBLANK(RAW_APS!B84),ISBLANK(RAW_APS!C84)),TRUE,IFERROR(0/0,""))</f>
        <v/>
      </c>
      <c r="B84" s="252"/>
      <c r="C84" s="112" t="str">
        <f>IF(ISBLANK(B84),IFERROR(0/0,""),RAW_APS!A84)</f>
        <v/>
      </c>
      <c r="D84" s="112" t="str">
        <f>IF(ISBLANK(C84),IFERROR(0/0,""), VLOOKUP(C84,preDEL!A$2:AG786,33,FALSE))</f>
        <v/>
      </c>
      <c r="E84" s="252"/>
      <c r="F84" s="210"/>
      <c r="G84" s="252"/>
      <c r="H84" s="255" t="str">
        <f t="shared" si="1"/>
        <v/>
      </c>
      <c r="I84" s="256" t="str">
        <f>CONCATENATE(UPPER(RAW_APS!$A85),"__",RAW_APS!$B85,"_",RAW_APS!$C85)</f>
        <v>FM63__44627_0.321574074074074</v>
      </c>
      <c r="J84" s="257" t="str">
        <f t="shared" si="2"/>
        <v/>
      </c>
      <c r="K84" s="252" t="s">
        <v>478</v>
      </c>
      <c r="L84" s="258" t="str">
        <f t="shared" si="3"/>
        <v>FM340</v>
      </c>
      <c r="M84" s="259" t="b">
        <f t="shared" si="4"/>
        <v>0</v>
      </c>
      <c r="N84" s="258" t="str">
        <f t="shared" si="5"/>
        <v/>
      </c>
      <c r="O84" s="5"/>
      <c r="P84" s="5"/>
      <c r="Q84" s="5"/>
      <c r="R84" s="5"/>
      <c r="S84" s="5"/>
      <c r="T84" s="5"/>
      <c r="U84" s="5"/>
      <c r="V84" s="5"/>
      <c r="W84" s="5"/>
    </row>
    <row r="85">
      <c r="A85" s="112" t="str">
        <f>IF(OR(ISBLANK(RAW_APS!A85),ISBLANK(RAW_APS!B85),ISBLANK(RAW_APS!C85)),TRUE,IFERROR(0/0,""))</f>
        <v/>
      </c>
      <c r="B85" s="252"/>
      <c r="C85" s="112" t="str">
        <f>IF(ISBLANK(B85),IFERROR(0/0,""),RAW_APS!A85)</f>
        <v/>
      </c>
      <c r="D85" s="112" t="str">
        <f>IF(ISBLANK(C85),IFERROR(0/0,""), VLOOKUP(C85,preDEL!A$2:AG786,33,FALSE))</f>
        <v/>
      </c>
      <c r="E85" s="252"/>
      <c r="F85" s="210"/>
      <c r="G85" s="252"/>
      <c r="H85" s="255" t="str">
        <f t="shared" si="1"/>
        <v/>
      </c>
      <c r="I85" s="256" t="str">
        <f>CONCATENATE(UPPER(RAW_APS!$A86),"__",RAW_APS!$B86,"_",RAW_APS!$C86)</f>
        <v>MA1227__44627_0.320474537037037</v>
      </c>
      <c r="J85" s="257" t="str">
        <f t="shared" si="2"/>
        <v/>
      </c>
      <c r="K85" s="252" t="s">
        <v>481</v>
      </c>
      <c r="L85" s="258" t="str">
        <f t="shared" si="3"/>
        <v>FM343</v>
      </c>
      <c r="M85" s="259" t="b">
        <f t="shared" si="4"/>
        <v>0</v>
      </c>
      <c r="N85" s="258" t="str">
        <f t="shared" si="5"/>
        <v/>
      </c>
      <c r="O85" s="5"/>
      <c r="P85" s="5"/>
      <c r="Q85" s="5"/>
      <c r="R85" s="5"/>
      <c r="S85" s="5"/>
      <c r="T85" s="5"/>
      <c r="U85" s="5"/>
      <c r="V85" s="5"/>
      <c r="W85" s="5"/>
    </row>
    <row r="86">
      <c r="A86" s="112" t="str">
        <f>IF(OR(ISBLANK(RAW_APS!A86),ISBLANK(RAW_APS!B86),ISBLANK(RAW_APS!C86)),TRUE,IFERROR(0/0,""))</f>
        <v/>
      </c>
      <c r="B86" s="252"/>
      <c r="C86" s="112" t="str">
        <f>IF(ISBLANK(B86),IFERROR(0/0,""),RAW_APS!A86)</f>
        <v/>
      </c>
      <c r="D86" s="112" t="str">
        <f>IF(ISBLANK(C86),IFERROR(0/0,""), VLOOKUP(C86,preDEL!A$2:AG786,33,FALSE))</f>
        <v/>
      </c>
      <c r="E86" s="252"/>
      <c r="F86" s="210"/>
      <c r="G86" s="252"/>
      <c r="H86" s="255" t="str">
        <f t="shared" si="1"/>
        <v/>
      </c>
      <c r="I86" s="256" t="str">
        <f>CONCATENATE(UPPER(RAW_APS!$A87),"__",RAW_APS!$B87,"_",RAW_APS!$C87)</f>
        <v>FM2062__44627_0.320092592592593</v>
      </c>
      <c r="J86" s="257" t="str">
        <f t="shared" si="2"/>
        <v/>
      </c>
      <c r="K86" s="252" t="s">
        <v>485</v>
      </c>
      <c r="L86" s="258" t="str">
        <f t="shared" si="3"/>
        <v>FM352</v>
      </c>
      <c r="M86" s="259" t="b">
        <f t="shared" si="4"/>
        <v>0</v>
      </c>
      <c r="N86" s="258" t="str">
        <f t="shared" si="5"/>
        <v/>
      </c>
      <c r="O86" s="5"/>
      <c r="P86" s="5"/>
      <c r="Q86" s="5"/>
      <c r="R86" s="5"/>
      <c r="S86" s="5"/>
      <c r="T86" s="5"/>
      <c r="U86" s="5"/>
      <c r="V86" s="5"/>
      <c r="W86" s="5"/>
    </row>
    <row r="87">
      <c r="A87" s="112" t="str">
        <f>IF(OR(ISBLANK(RAW_APS!A87),ISBLANK(RAW_APS!B87),ISBLANK(RAW_APS!C87)),TRUE,IFERROR(0/0,""))</f>
        <v/>
      </c>
      <c r="B87" s="252"/>
      <c r="C87" s="112" t="str">
        <f>IF(ISBLANK(B87),IFERROR(0/0,""),RAW_APS!A87)</f>
        <v/>
      </c>
      <c r="D87" s="112" t="str">
        <f>IF(ISBLANK(C87),IFERROR(0/0,""), VLOOKUP(C87,preDEL!A$2:AG786,33,FALSE))</f>
        <v/>
      </c>
      <c r="E87" s="252"/>
      <c r="F87" s="210"/>
      <c r="G87" s="252"/>
      <c r="H87" s="255" t="str">
        <f t="shared" si="1"/>
        <v/>
      </c>
      <c r="I87" s="256" t="str">
        <f>CONCATENATE(UPPER(RAW_APS!$A88),"__",RAW_APS!$B88,"_",RAW_APS!$C88)</f>
        <v>MA1284__44627_0.319976851851852</v>
      </c>
      <c r="J87" s="257" t="str">
        <f t="shared" si="2"/>
        <v/>
      </c>
      <c r="K87" s="252" t="s">
        <v>487</v>
      </c>
      <c r="L87" s="258" t="str">
        <f t="shared" si="3"/>
        <v>FM354</v>
      </c>
      <c r="M87" s="259" t="b">
        <f t="shared" si="4"/>
        <v>0</v>
      </c>
      <c r="N87" s="258" t="str">
        <f t="shared" si="5"/>
        <v/>
      </c>
      <c r="O87" s="5"/>
      <c r="P87" s="5"/>
      <c r="Q87" s="5"/>
      <c r="R87" s="5"/>
      <c r="S87" s="5"/>
      <c r="T87" s="5"/>
      <c r="U87" s="5"/>
      <c r="V87" s="5"/>
      <c r="W87" s="5"/>
    </row>
    <row r="88">
      <c r="A88" s="112" t="str">
        <f>IF(OR(ISBLANK(RAW_APS!A88),ISBLANK(RAW_APS!B88),ISBLANK(RAW_APS!C88)),TRUE,IFERROR(0/0,""))</f>
        <v/>
      </c>
      <c r="B88" s="252"/>
      <c r="C88" s="112" t="str">
        <f>IF(ISBLANK(B88),IFERROR(0/0,""),RAW_APS!A88)</f>
        <v/>
      </c>
      <c r="D88" s="112" t="str">
        <f>IF(ISBLANK(C88),IFERROR(0/0,""), VLOOKUP(C88,preDEL!A$2:AG786,33,FALSE))</f>
        <v/>
      </c>
      <c r="E88" s="252"/>
      <c r="F88" s="210"/>
      <c r="G88" s="252"/>
      <c r="H88" s="255" t="str">
        <f t="shared" si="1"/>
        <v/>
      </c>
      <c r="I88" s="256" t="str">
        <f>CONCATENATE(UPPER(RAW_APS!$A89),"__",RAW_APS!$B89,"_",RAW_APS!$C89)</f>
        <v>FM2068__44627_0.319849537037037</v>
      </c>
      <c r="J88" s="257" t="str">
        <f t="shared" si="2"/>
        <v/>
      </c>
      <c r="K88" s="252" t="s">
        <v>489</v>
      </c>
      <c r="L88" s="258" t="str">
        <f t="shared" si="3"/>
        <v>FM355</v>
      </c>
      <c r="M88" s="259" t="b">
        <f t="shared" si="4"/>
        <v>0</v>
      </c>
      <c r="N88" s="258" t="str">
        <f t="shared" si="5"/>
        <v/>
      </c>
      <c r="O88" s="5"/>
      <c r="P88" s="5"/>
      <c r="Q88" s="5"/>
      <c r="R88" s="5"/>
      <c r="S88" s="5"/>
      <c r="T88" s="5"/>
      <c r="U88" s="5"/>
      <c r="V88" s="5"/>
      <c r="W88" s="5"/>
    </row>
    <row r="89">
      <c r="A89" s="112" t="str">
        <f>IF(OR(ISBLANK(RAW_APS!A89),ISBLANK(RAW_APS!B89),ISBLANK(RAW_APS!C89)),TRUE,IFERROR(0/0,""))</f>
        <v/>
      </c>
      <c r="B89" s="252"/>
      <c r="C89" s="112" t="str">
        <f>IF(ISBLANK(B89),IFERROR(0/0,""),RAW_APS!A89)</f>
        <v/>
      </c>
      <c r="D89" s="112" t="str">
        <f>IF(ISBLANK(C89),IFERROR(0/0,""), VLOOKUP(C89,preDEL!A$2:AG786,33,FALSE))</f>
        <v/>
      </c>
      <c r="E89" s="252"/>
      <c r="F89" s="210"/>
      <c r="G89" s="252"/>
      <c r="H89" s="255" t="str">
        <f t="shared" si="1"/>
        <v/>
      </c>
      <c r="I89" s="256" t="str">
        <f>CONCATENATE(UPPER(RAW_APS!$A90),"__",RAW_APS!$B90,"_",RAW_APS!$C90)</f>
        <v>MA1318__44627_0.318125</v>
      </c>
      <c r="J89" s="257" t="str">
        <f t="shared" si="2"/>
        <v/>
      </c>
      <c r="K89" s="252" t="s">
        <v>493</v>
      </c>
      <c r="L89" s="258" t="str">
        <f t="shared" si="3"/>
        <v>FM360</v>
      </c>
      <c r="M89" s="259" t="b">
        <f t="shared" si="4"/>
        <v>0</v>
      </c>
      <c r="N89" s="258" t="str">
        <f t="shared" si="5"/>
        <v/>
      </c>
      <c r="O89" s="5"/>
      <c r="P89" s="5"/>
      <c r="Q89" s="5"/>
      <c r="R89" s="5"/>
      <c r="S89" s="5"/>
      <c r="T89" s="5"/>
      <c r="U89" s="5"/>
      <c r="V89" s="5"/>
      <c r="W89" s="5"/>
    </row>
    <row r="90">
      <c r="A90" s="112" t="str">
        <f>IF(OR(ISBLANK(RAW_APS!A90),ISBLANK(RAW_APS!B90),ISBLANK(RAW_APS!C90)),TRUE,IFERROR(0/0,""))</f>
        <v/>
      </c>
      <c r="B90" s="252"/>
      <c r="C90" s="112" t="str">
        <f>IF(ISBLANK(B90),IFERROR(0/0,""),RAW_APS!A90)</f>
        <v/>
      </c>
      <c r="D90" s="112" t="str">
        <f>IF(ISBLANK(C90),IFERROR(0/0,""), VLOOKUP(C90,preDEL!A$2:AG786,33,FALSE))</f>
        <v/>
      </c>
      <c r="E90" s="252"/>
      <c r="F90" s="210"/>
      <c r="G90" s="252"/>
      <c r="H90" s="255" t="str">
        <f t="shared" si="1"/>
        <v/>
      </c>
      <c r="I90" s="256" t="str">
        <f>CONCATENATE(UPPER(RAW_APS!$A91),"__",RAW_APS!$B91,"_",RAW_APS!$C91)</f>
        <v>MA340__44627_0.314583333333333</v>
      </c>
      <c r="J90" s="257" t="str">
        <f t="shared" si="2"/>
        <v/>
      </c>
      <c r="K90" s="252" t="s">
        <v>496</v>
      </c>
      <c r="L90" s="258" t="str">
        <f t="shared" si="3"/>
        <v>FM367</v>
      </c>
      <c r="M90" s="259" t="b">
        <f t="shared" si="4"/>
        <v>0</v>
      </c>
      <c r="N90" s="258" t="str">
        <f t="shared" si="5"/>
        <v/>
      </c>
      <c r="O90" s="5"/>
      <c r="P90" s="5"/>
      <c r="Q90" s="5"/>
      <c r="R90" s="5"/>
      <c r="S90" s="5"/>
      <c r="T90" s="5"/>
      <c r="U90" s="5"/>
      <c r="V90" s="5"/>
      <c r="W90" s="5"/>
    </row>
    <row r="91">
      <c r="A91" s="112" t="str">
        <f>IF(OR(ISBLANK(RAW_APS!A91),ISBLANK(RAW_APS!B91),ISBLANK(RAW_APS!C91)),TRUE,IFERROR(0/0,""))</f>
        <v/>
      </c>
      <c r="B91" s="252"/>
      <c r="C91" s="112" t="str">
        <f>IF(ISBLANK(B91),IFERROR(0/0,""),RAW_APS!A91)</f>
        <v/>
      </c>
      <c r="D91" s="112" t="str">
        <f>IF(ISBLANK(C91),IFERROR(0/0,""), VLOOKUP(C91,preDEL!A$2:AG786,33,FALSE))</f>
        <v/>
      </c>
      <c r="E91" s="252"/>
      <c r="F91" s="210"/>
      <c r="G91" s="252"/>
      <c r="H91" s="255" t="str">
        <f t="shared" si="1"/>
        <v/>
      </c>
      <c r="I91" s="256" t="str">
        <f>CONCATENATE(UPPER(RAW_APS!$A92),"__",RAW_APS!$B92,"_",RAW_APS!$C92)</f>
        <v>FM54__44627_0.313634259259259</v>
      </c>
      <c r="J91" s="257" t="str">
        <f t="shared" si="2"/>
        <v/>
      </c>
      <c r="K91" s="252" t="s">
        <v>498</v>
      </c>
      <c r="L91" s="258" t="str">
        <f t="shared" si="3"/>
        <v>FM369</v>
      </c>
      <c r="M91" s="259" t="b">
        <f t="shared" si="4"/>
        <v>0</v>
      </c>
      <c r="N91" s="258" t="str">
        <f t="shared" si="5"/>
        <v/>
      </c>
      <c r="O91" s="5"/>
      <c r="P91" s="5"/>
      <c r="Q91" s="5"/>
      <c r="R91" s="5"/>
      <c r="S91" s="5"/>
      <c r="T91" s="5"/>
      <c r="U91" s="5"/>
      <c r="V91" s="5"/>
      <c r="W91" s="5"/>
    </row>
    <row r="92">
      <c r="A92" s="112" t="str">
        <f>IF(OR(ISBLANK(RAW_APS!A92),ISBLANK(RAW_APS!B92),ISBLANK(RAW_APS!C92)),TRUE,IFERROR(0/0,""))</f>
        <v/>
      </c>
      <c r="B92" s="252"/>
      <c r="C92" s="112" t="str">
        <f>IF(ISBLANK(B92),IFERROR(0/0,""),RAW_APS!A92)</f>
        <v/>
      </c>
      <c r="D92" s="112" t="str">
        <f>IF(ISBLANK(C92),IFERROR(0/0,""), VLOOKUP(C92,preDEL!A$2:AG786,33,FALSE))</f>
        <v/>
      </c>
      <c r="E92" s="252"/>
      <c r="F92" s="210"/>
      <c r="G92" s="252"/>
      <c r="H92" s="255" t="str">
        <f t="shared" si="1"/>
        <v/>
      </c>
      <c r="I92" s="256" t="str">
        <f>CONCATENATE(UPPER(RAW_APS!$A93),"__",RAW_APS!$B93,"_",RAW_APS!$C93)</f>
        <v>FM369__44627_0.312777777777778</v>
      </c>
      <c r="J92" s="257" t="str">
        <f t="shared" si="2"/>
        <v/>
      </c>
      <c r="K92" s="252" t="s">
        <v>502</v>
      </c>
      <c r="L92" s="258" t="str">
        <f t="shared" si="3"/>
        <v>FM37</v>
      </c>
      <c r="M92" s="259" t="b">
        <f t="shared" si="4"/>
        <v>0</v>
      </c>
      <c r="N92" s="258" t="str">
        <f t="shared" si="5"/>
        <v/>
      </c>
      <c r="O92" s="5"/>
      <c r="P92" s="5"/>
      <c r="Q92" s="5"/>
      <c r="R92" s="5"/>
      <c r="S92" s="5"/>
      <c r="T92" s="5"/>
      <c r="U92" s="5"/>
      <c r="V92" s="5"/>
      <c r="W92" s="5"/>
    </row>
    <row r="93">
      <c r="A93" s="112" t="str">
        <f>IF(OR(ISBLANK(RAW_APS!A93),ISBLANK(RAW_APS!B93),ISBLANK(RAW_APS!C93)),TRUE,IFERROR(0/0,""))</f>
        <v/>
      </c>
      <c r="B93" s="252"/>
      <c r="C93" s="112" t="str">
        <f>IF(ISBLANK(B93),IFERROR(0/0,""),RAW_APS!A93)</f>
        <v/>
      </c>
      <c r="D93" s="112" t="str">
        <f>IF(ISBLANK(C93),IFERROR(0/0,""), VLOOKUP(C93,preDEL!A$2:AG786,33,FALSE))</f>
        <v/>
      </c>
      <c r="E93" s="252"/>
      <c r="F93" s="210"/>
      <c r="G93" s="252"/>
      <c r="H93" s="255" t="str">
        <f t="shared" si="1"/>
        <v/>
      </c>
      <c r="I93" s="256" t="str">
        <f>CONCATENATE(UPPER(RAW_APS!$A94),"__",RAW_APS!$B94,"_",RAW_APS!$C94)</f>
        <v>FM52__44627_0.308819444444444</v>
      </c>
      <c r="J93" s="257" t="str">
        <f t="shared" si="2"/>
        <v/>
      </c>
      <c r="K93" s="252" t="s">
        <v>506</v>
      </c>
      <c r="L93" s="258" t="str">
        <f t="shared" si="3"/>
        <v>FM370</v>
      </c>
      <c r="M93" s="259" t="b">
        <f t="shared" si="4"/>
        <v>0</v>
      </c>
      <c r="N93" s="258" t="str">
        <f t="shared" si="5"/>
        <v/>
      </c>
      <c r="O93" s="5"/>
      <c r="P93" s="5"/>
      <c r="Q93" s="5"/>
      <c r="R93" s="5"/>
      <c r="S93" s="5"/>
      <c r="T93" s="5"/>
      <c r="U93" s="5"/>
      <c r="V93" s="5"/>
      <c r="W93" s="5"/>
    </row>
    <row r="94">
      <c r="A94" s="112" t="str">
        <f>IF(OR(ISBLANK(RAW_APS!A94),ISBLANK(RAW_APS!B94),ISBLANK(RAW_APS!C94)),TRUE,IFERROR(0/0,""))</f>
        <v/>
      </c>
      <c r="B94" s="252"/>
      <c r="C94" s="112" t="str">
        <f>IF(ISBLANK(B94),IFERROR(0/0,""),RAW_APS!A94)</f>
        <v/>
      </c>
      <c r="D94" s="112" t="str">
        <f>IF(ISBLANK(C94),IFERROR(0/0,""), VLOOKUP(C94,preDEL!A$2:AG786,33,FALSE))</f>
        <v/>
      </c>
      <c r="E94" s="252"/>
      <c r="F94" s="210"/>
      <c r="G94" s="252"/>
      <c r="H94" s="255" t="str">
        <f t="shared" si="1"/>
        <v/>
      </c>
      <c r="I94" s="256" t="str">
        <f>CONCATENATE(UPPER(RAW_APS!$A95),"__",RAW_APS!$B95,"_",RAW_APS!$C95)</f>
        <v>FM388__44627_0.303715277777778</v>
      </c>
      <c r="J94" s="257" t="str">
        <f t="shared" si="2"/>
        <v/>
      </c>
      <c r="K94" s="252" t="s">
        <v>510</v>
      </c>
      <c r="L94" s="258" t="str">
        <f t="shared" si="3"/>
        <v>FM371</v>
      </c>
      <c r="M94" s="259" t="b">
        <f t="shared" si="4"/>
        <v>0</v>
      </c>
      <c r="N94" s="258" t="str">
        <f t="shared" si="5"/>
        <v/>
      </c>
      <c r="O94" s="5"/>
      <c r="P94" s="5"/>
      <c r="Q94" s="5"/>
      <c r="R94" s="5"/>
      <c r="S94" s="5"/>
      <c r="T94" s="5"/>
      <c r="U94" s="5"/>
      <c r="V94" s="5"/>
      <c r="W94" s="5"/>
    </row>
    <row r="95">
      <c r="A95" s="112" t="str">
        <f>IF(OR(ISBLANK(RAW_APS!A95),ISBLANK(RAW_APS!B95),ISBLANK(RAW_APS!C95)),TRUE,IFERROR(0/0,""))</f>
        <v/>
      </c>
      <c r="B95" s="252"/>
      <c r="C95" s="112" t="str">
        <f>IF(ISBLANK(B95),IFERROR(0/0,""),RAW_APS!A95)</f>
        <v/>
      </c>
      <c r="D95" s="112" t="str">
        <f>IF(ISBLANK(C95),IFERROR(0/0,""), VLOOKUP(C95,preDEL!A$2:AG786,33,FALSE))</f>
        <v/>
      </c>
      <c r="E95" s="252"/>
      <c r="F95" s="210"/>
      <c r="G95" s="252"/>
      <c r="H95" s="255" t="str">
        <f t="shared" si="1"/>
        <v/>
      </c>
      <c r="I95" s="256" t="str">
        <f>CONCATENATE(UPPER(RAW_APS!$A96),"__",RAW_APS!$B96,"_",RAW_APS!$C96)</f>
        <v>FM2082__44627_0.295717592592593</v>
      </c>
      <c r="J95" s="257" t="str">
        <f t="shared" si="2"/>
        <v/>
      </c>
      <c r="K95" s="252" t="s">
        <v>514</v>
      </c>
      <c r="L95" s="258" t="str">
        <f t="shared" si="3"/>
        <v>FM372</v>
      </c>
      <c r="M95" s="259" t="b">
        <f t="shared" si="4"/>
        <v>0</v>
      </c>
      <c r="N95" s="258" t="str">
        <f t="shared" si="5"/>
        <v/>
      </c>
      <c r="O95" s="5"/>
      <c r="P95" s="5"/>
      <c r="Q95" s="5"/>
      <c r="R95" s="5"/>
      <c r="S95" s="5"/>
      <c r="T95" s="5"/>
      <c r="U95" s="5"/>
      <c r="V95" s="5"/>
      <c r="W95" s="5"/>
    </row>
    <row r="96">
      <c r="A96" s="112" t="str">
        <f>IF(OR(ISBLANK(RAW_APS!A96),ISBLANK(RAW_APS!B96),ISBLANK(RAW_APS!C96)),TRUE,IFERROR(0/0,""))</f>
        <v/>
      </c>
      <c r="B96" s="252"/>
      <c r="C96" s="112" t="str">
        <f>IF(ISBLANK(B96),IFERROR(0/0,""),RAW_APS!A96)</f>
        <v/>
      </c>
      <c r="D96" s="112" t="str">
        <f>IF(ISBLANK(C96),IFERROR(0/0,""), VLOOKUP(C96,preDEL!A$2:AG786,33,FALSE))</f>
        <v/>
      </c>
      <c r="E96" s="252"/>
      <c r="F96" s="210"/>
      <c r="G96" s="252"/>
      <c r="H96" s="255" t="str">
        <f t="shared" si="1"/>
        <v/>
      </c>
      <c r="I96" s="256" t="str">
        <f>CONCATENATE(UPPER(RAW_APS!$A97),"__",RAW_APS!$B97,"_",RAW_APS!$C97)</f>
        <v>FM476__44627_0.297141203703704</v>
      </c>
      <c r="J96" s="257" t="str">
        <f t="shared" si="2"/>
        <v/>
      </c>
      <c r="K96" s="252" t="s">
        <v>516</v>
      </c>
      <c r="L96" s="258" t="str">
        <f t="shared" si="3"/>
        <v>FM374</v>
      </c>
      <c r="M96" s="259" t="b">
        <f t="shared" si="4"/>
        <v>0</v>
      </c>
      <c r="N96" s="258" t="str">
        <f t="shared" si="5"/>
        <v/>
      </c>
      <c r="O96" s="5"/>
      <c r="P96" s="5"/>
      <c r="Q96" s="5"/>
      <c r="R96" s="5"/>
      <c r="S96" s="5"/>
      <c r="T96" s="5"/>
      <c r="U96" s="5"/>
      <c r="V96" s="5"/>
      <c r="W96" s="5"/>
    </row>
    <row r="97">
      <c r="A97" s="112" t="str">
        <f>IF(OR(ISBLANK(RAW_APS!A97),ISBLANK(RAW_APS!B97),ISBLANK(RAW_APS!C97)),TRUE,IFERROR(0/0,""))</f>
        <v/>
      </c>
      <c r="B97" s="252"/>
      <c r="C97" s="112" t="str">
        <f>IF(ISBLANK(B97),IFERROR(0/0,""),RAW_APS!A97)</f>
        <v/>
      </c>
      <c r="D97" s="112" t="str">
        <f>IF(ISBLANK(C97),IFERROR(0/0,""), VLOOKUP(C97,preDEL!A$2:AG786,33,FALSE))</f>
        <v/>
      </c>
      <c r="E97" s="252"/>
      <c r="F97" s="210"/>
      <c r="G97" s="252"/>
      <c r="H97" s="255" t="str">
        <f t="shared" si="1"/>
        <v/>
      </c>
      <c r="I97" s="256" t="str">
        <f>CONCATENATE(UPPER(RAW_APS!$A98),"__",RAW_APS!$B98,"_",RAW_APS!$C98)</f>
        <v>FM417__44627_0.296435185185185</v>
      </c>
      <c r="J97" s="257" t="str">
        <f t="shared" si="2"/>
        <v/>
      </c>
      <c r="K97" s="252" t="s">
        <v>518</v>
      </c>
      <c r="L97" s="258" t="str">
        <f t="shared" si="3"/>
        <v>FM38</v>
      </c>
      <c r="M97" s="259" t="b">
        <f t="shared" si="4"/>
        <v>0</v>
      </c>
      <c r="N97" s="258" t="str">
        <f t="shared" si="5"/>
        <v/>
      </c>
      <c r="O97" s="5"/>
      <c r="P97" s="5"/>
      <c r="Q97" s="5"/>
      <c r="R97" s="5"/>
      <c r="S97" s="5"/>
      <c r="T97" s="5"/>
      <c r="U97" s="5"/>
      <c r="V97" s="5"/>
      <c r="W97" s="5"/>
    </row>
    <row r="98">
      <c r="A98" s="112" t="str">
        <f>IF(OR(ISBLANK(RAW_APS!A98),ISBLANK(RAW_APS!B98),ISBLANK(RAW_APS!C98)),TRUE,IFERROR(0/0,""))</f>
        <v/>
      </c>
      <c r="B98" s="252"/>
      <c r="C98" s="112" t="str">
        <f>IF(ISBLANK(B98),IFERROR(0/0,""),RAW_APS!A98)</f>
        <v/>
      </c>
      <c r="D98" s="112" t="str">
        <f>IF(ISBLANK(C98),IFERROR(0/0,""), VLOOKUP(C98,preDEL!A$2:AG786,33,FALSE))</f>
        <v/>
      </c>
      <c r="E98" s="252"/>
      <c r="F98" s="210"/>
      <c r="G98" s="252"/>
      <c r="H98" s="255" t="str">
        <f t="shared" si="1"/>
        <v/>
      </c>
      <c r="I98" s="256" t="str">
        <f>CONCATENATE(UPPER(RAW_APS!$A99),"__",RAW_APS!$B99,"_",RAW_APS!$C99)</f>
        <v>FM400__44627_0.294097222222222</v>
      </c>
      <c r="J98" s="257" t="str">
        <f t="shared" si="2"/>
        <v/>
      </c>
      <c r="K98" s="252" t="s">
        <v>522</v>
      </c>
      <c r="L98" s="258" t="str">
        <f t="shared" si="3"/>
        <v>FM380</v>
      </c>
      <c r="M98" s="259" t="b">
        <f t="shared" si="4"/>
        <v>0</v>
      </c>
      <c r="N98" s="258" t="str">
        <f t="shared" si="5"/>
        <v/>
      </c>
      <c r="O98" s="5"/>
      <c r="P98" s="5"/>
      <c r="Q98" s="5"/>
      <c r="R98" s="5"/>
      <c r="S98" s="5"/>
      <c r="T98" s="5"/>
      <c r="U98" s="5"/>
      <c r="V98" s="5"/>
      <c r="W98" s="5"/>
    </row>
    <row r="99">
      <c r="A99" s="112" t="str">
        <f>IF(OR(ISBLANK(RAW_APS!A99),ISBLANK(RAW_APS!B99),ISBLANK(RAW_APS!C99)),TRUE,IFERROR(0/0,""))</f>
        <v/>
      </c>
      <c r="B99" s="252"/>
      <c r="C99" s="112" t="str">
        <f>IF(ISBLANK(B99),IFERROR(0/0,""),RAW_APS!A99)</f>
        <v/>
      </c>
      <c r="D99" s="112" t="str">
        <f>IF(ISBLANK(C99),IFERROR(0/0,""), VLOOKUP(C99,preDEL!A$2:AG786,33,FALSE))</f>
        <v/>
      </c>
      <c r="E99" s="252"/>
      <c r="F99" s="210"/>
      <c r="G99" s="252"/>
      <c r="H99" s="255" t="str">
        <f t="shared" si="1"/>
        <v/>
      </c>
      <c r="I99" s="256" t="str">
        <f>CONCATENATE(UPPER(RAW_APS!$A100),"__",RAW_APS!$B100,"_",RAW_APS!$C100)</f>
        <v>FM380__44627_0.289039351851852</v>
      </c>
      <c r="J99" s="257" t="str">
        <f t="shared" si="2"/>
        <v/>
      </c>
      <c r="K99" s="252" t="s">
        <v>524</v>
      </c>
      <c r="L99" s="258" t="str">
        <f t="shared" si="3"/>
        <v>FM388</v>
      </c>
      <c r="M99" s="259" t="b">
        <f t="shared" si="4"/>
        <v>0</v>
      </c>
      <c r="N99" s="258" t="str">
        <f t="shared" si="5"/>
        <v/>
      </c>
      <c r="O99" s="5"/>
      <c r="P99" s="5"/>
      <c r="Q99" s="5"/>
      <c r="R99" s="5"/>
      <c r="S99" s="5"/>
      <c r="T99" s="5"/>
      <c r="U99" s="5"/>
      <c r="V99" s="5"/>
      <c r="W99" s="5"/>
    </row>
    <row r="100">
      <c r="A100" s="112" t="str">
        <f>IF(OR(ISBLANK(RAW_APS!A100),ISBLANK(RAW_APS!B100),ISBLANK(RAW_APS!C100)),TRUE,IFERROR(0/0,""))</f>
        <v/>
      </c>
      <c r="B100" s="252"/>
      <c r="C100" s="112" t="str">
        <f>IF(ISBLANK(B100),IFERROR(0/0,""),RAW_APS!A100)</f>
        <v/>
      </c>
      <c r="D100" s="112" t="str">
        <f>IF(ISBLANK(C100),IFERROR(0/0,""), VLOOKUP(C100,preDEL!A$2:AG786,33,FALSE))</f>
        <v/>
      </c>
      <c r="E100" s="252"/>
      <c r="F100" s="210"/>
      <c r="G100" s="252"/>
      <c r="H100" s="255" t="str">
        <f t="shared" si="1"/>
        <v/>
      </c>
      <c r="I100" s="256" t="str">
        <f>CONCATENATE(UPPER(RAW_APS!$A101),"__",RAW_APS!$B101,"_",RAW_APS!$C101)</f>
        <v>MA350__44627_0.276180555555556</v>
      </c>
      <c r="J100" s="257" t="str">
        <f t="shared" si="2"/>
        <v/>
      </c>
      <c r="K100" s="252" t="s">
        <v>526</v>
      </c>
      <c r="L100" s="258" t="str">
        <f t="shared" si="3"/>
        <v>FM39</v>
      </c>
      <c r="M100" s="259" t="b">
        <f t="shared" si="4"/>
        <v>0</v>
      </c>
      <c r="N100" s="258" t="str">
        <f t="shared" si="5"/>
        <v/>
      </c>
      <c r="O100" s="5"/>
      <c r="P100" s="5"/>
      <c r="Q100" s="5"/>
      <c r="R100" s="5"/>
      <c r="S100" s="5"/>
      <c r="T100" s="5"/>
      <c r="U100" s="5"/>
      <c r="V100" s="5"/>
      <c r="W100" s="5"/>
    </row>
    <row r="101">
      <c r="A101" s="112" t="str">
        <f>IF(OR(ISBLANK(RAW_APS!A101),ISBLANK(RAW_APS!B101),ISBLANK(RAW_APS!C101)),TRUE,IFERROR(0/0,""))</f>
        <v/>
      </c>
      <c r="B101" s="252"/>
      <c r="C101" s="112" t="str">
        <f>IF(ISBLANK(B101),IFERROR(0/0,""),RAW_APS!A101)</f>
        <v/>
      </c>
      <c r="D101" s="112" t="str">
        <f>IF(ISBLANK(C101),IFERROR(0/0,""), VLOOKUP(C101,preDEL!A$2:AG786,33,FALSE))</f>
        <v/>
      </c>
      <c r="E101" s="252"/>
      <c r="F101" s="210"/>
      <c r="G101" s="252"/>
      <c r="H101" s="255" t="str">
        <f t="shared" si="1"/>
        <v/>
      </c>
      <c r="I101" s="256" t="str">
        <f>CONCATENATE(UPPER(RAW_APS!$A102),"__",RAW_APS!$B102,"_",RAW_APS!$C102)</f>
        <v>FM410__44625_0.43181712962963</v>
      </c>
      <c r="J101" s="257" t="str">
        <f t="shared" si="2"/>
        <v/>
      </c>
      <c r="K101" s="252" t="s">
        <v>528</v>
      </c>
      <c r="L101" s="258" t="str">
        <f t="shared" si="3"/>
        <v>FM390</v>
      </c>
      <c r="M101" s="259" t="b">
        <f t="shared" si="4"/>
        <v>0</v>
      </c>
      <c r="N101" s="258" t="str">
        <f t="shared" si="5"/>
        <v/>
      </c>
      <c r="O101" s="5"/>
      <c r="P101" s="5"/>
      <c r="Q101" s="5"/>
      <c r="R101" s="5"/>
      <c r="S101" s="5"/>
      <c r="T101" s="5"/>
      <c r="U101" s="5"/>
      <c r="V101" s="5"/>
      <c r="W101" s="5"/>
    </row>
    <row r="102">
      <c r="A102" s="112" t="str">
        <f>IF(OR(ISBLANK(RAW_APS!A102),ISBLANK(RAW_APS!B102),ISBLANK(RAW_APS!C102)),TRUE,IFERROR(0/0,""))</f>
        <v/>
      </c>
      <c r="B102" s="252"/>
      <c r="C102" s="112" t="str">
        <f>IF(ISBLANK(B102),IFERROR(0/0,""),RAW_APS!A102)</f>
        <v/>
      </c>
      <c r="D102" s="112" t="str">
        <f>IF(ISBLANK(C102),IFERROR(0/0,""), VLOOKUP(C102,preDEL!A$2:AG786,33,FALSE))</f>
        <v/>
      </c>
      <c r="E102" s="252"/>
      <c r="F102" s="210"/>
      <c r="G102" s="252"/>
      <c r="H102" s="255" t="str">
        <f t="shared" si="1"/>
        <v/>
      </c>
      <c r="I102" s="256" t="str">
        <f>CONCATENATE(UPPER(RAW_APS!$A103),"__",RAW_APS!$B103,"_",RAW_APS!$C103)</f>
        <v>MA1235__44625_0.394571759259259</v>
      </c>
      <c r="J102" s="257" t="str">
        <f t="shared" si="2"/>
        <v/>
      </c>
      <c r="K102" s="252" t="s">
        <v>531</v>
      </c>
      <c r="L102" s="258" t="str">
        <f t="shared" si="3"/>
        <v>FM395</v>
      </c>
      <c r="M102" s="259" t="b">
        <f t="shared" si="4"/>
        <v>0</v>
      </c>
      <c r="N102" s="258" t="str">
        <f t="shared" si="5"/>
        <v/>
      </c>
      <c r="O102" s="5"/>
      <c r="P102" s="5"/>
      <c r="Q102" s="5"/>
      <c r="R102" s="5"/>
      <c r="S102" s="5"/>
      <c r="T102" s="5"/>
      <c r="U102" s="5"/>
      <c r="V102" s="5"/>
      <c r="W102" s="5"/>
    </row>
    <row r="103">
      <c r="A103" s="112" t="str">
        <f>IF(OR(ISBLANK(RAW_APS!A103),ISBLANK(RAW_APS!B103),ISBLANK(RAW_APS!C103)),TRUE,IFERROR(0/0,""))</f>
        <v/>
      </c>
      <c r="B103" s="252"/>
      <c r="C103" s="112" t="str">
        <f>IF(ISBLANK(B103),IFERROR(0/0,""),RAW_APS!A103)</f>
        <v/>
      </c>
      <c r="D103" s="112" t="str">
        <f>IF(ISBLANK(C103),IFERROR(0/0,""), VLOOKUP(C103,preDEL!A$2:AG786,33,FALSE))</f>
        <v/>
      </c>
      <c r="E103" s="252"/>
      <c r="F103" s="210"/>
      <c r="G103" s="252"/>
      <c r="H103" s="255" t="str">
        <f t="shared" si="1"/>
        <v/>
      </c>
      <c r="I103" s="256" t="str">
        <f>CONCATENATE(UPPER(RAW_APS!$A104),"__",RAW_APS!$B104,"_",RAW_APS!$C104)</f>
        <v>MA1270__44625_0.39431712962963</v>
      </c>
      <c r="J103" s="257" t="str">
        <f t="shared" si="2"/>
        <v/>
      </c>
      <c r="K103" s="252" t="s">
        <v>534</v>
      </c>
      <c r="L103" s="258" t="str">
        <f t="shared" si="3"/>
        <v>FM396</v>
      </c>
      <c r="M103" s="259" t="b">
        <f t="shared" si="4"/>
        <v>0</v>
      </c>
      <c r="N103" s="258" t="str">
        <f t="shared" si="5"/>
        <v/>
      </c>
      <c r="O103" s="5"/>
      <c r="P103" s="5"/>
      <c r="Q103" s="5"/>
      <c r="R103" s="5"/>
      <c r="S103" s="5"/>
      <c r="T103" s="5"/>
      <c r="U103" s="5"/>
      <c r="V103" s="5"/>
      <c r="W103" s="5"/>
    </row>
    <row r="104">
      <c r="A104" s="112" t="str">
        <f>IF(OR(ISBLANK(RAW_APS!A104),ISBLANK(RAW_APS!B104),ISBLANK(RAW_APS!C104)),TRUE,IFERROR(0/0,""))</f>
        <v/>
      </c>
      <c r="B104" s="252"/>
      <c r="C104" s="112" t="str">
        <f>IF(ISBLANK(B104),IFERROR(0/0,""),RAW_APS!A104)</f>
        <v/>
      </c>
      <c r="D104" s="112" t="str">
        <f>IF(ISBLANK(C104),IFERROR(0/0,""), VLOOKUP(C104,preDEL!A$2:AG786,33,FALSE))</f>
        <v/>
      </c>
      <c r="E104" s="252"/>
      <c r="F104" s="210"/>
      <c r="G104" s="252"/>
      <c r="H104" s="255" t="str">
        <f t="shared" si="1"/>
        <v/>
      </c>
      <c r="I104" s="256" t="str">
        <f>CONCATENATE(UPPER(RAW_APS!$A105),"__",RAW_APS!$B105,"_",RAW_APS!$C105)</f>
        <v>MA1308__44625_0.393993055555556</v>
      </c>
      <c r="J104" s="257" t="str">
        <f t="shared" si="2"/>
        <v/>
      </c>
      <c r="K104" s="252" t="s">
        <v>537</v>
      </c>
      <c r="L104" s="258" t="str">
        <f t="shared" si="3"/>
        <v>FM4</v>
      </c>
      <c r="M104" s="259" t="b">
        <f t="shared" si="4"/>
        <v>0</v>
      </c>
      <c r="N104" s="258" t="str">
        <f t="shared" si="5"/>
        <v/>
      </c>
      <c r="O104" s="5"/>
      <c r="P104" s="5"/>
      <c r="Q104" s="5"/>
      <c r="R104" s="5"/>
      <c r="S104" s="5"/>
      <c r="T104" s="5"/>
      <c r="U104" s="5"/>
      <c r="V104" s="5"/>
      <c r="W104" s="5"/>
    </row>
    <row r="105">
      <c r="A105" s="112" t="str">
        <f>IF(OR(ISBLANK(RAW_APS!A105),ISBLANK(RAW_APS!B105),ISBLANK(RAW_APS!C105)),TRUE,IFERROR(0/0,""))</f>
        <v/>
      </c>
      <c r="B105" s="252"/>
      <c r="C105" s="112" t="str">
        <f>IF(ISBLANK(B105),IFERROR(0/0,""),RAW_APS!A105)</f>
        <v/>
      </c>
      <c r="D105" s="112" t="str">
        <f>IF(ISBLANK(C105),IFERROR(0/0,""), VLOOKUP(C105,preDEL!A$2:AG786,33,FALSE))</f>
        <v/>
      </c>
      <c r="E105" s="252"/>
      <c r="F105" s="210"/>
      <c r="G105" s="252"/>
      <c r="H105" s="255" t="str">
        <f t="shared" si="1"/>
        <v/>
      </c>
      <c r="I105" s="256" t="str">
        <f>CONCATENATE(UPPER(RAW_APS!$A106),"__",RAW_APS!$B106,"_",RAW_APS!$C106)</f>
        <v>FM85__44625_0.385833333333333</v>
      </c>
      <c r="J105" s="257" t="str">
        <f t="shared" si="2"/>
        <v/>
      </c>
      <c r="K105" s="252" t="s">
        <v>540</v>
      </c>
      <c r="L105" s="258" t="str">
        <f t="shared" si="3"/>
        <v>FM40</v>
      </c>
      <c r="M105" s="259" t="b">
        <f t="shared" si="4"/>
        <v>0</v>
      </c>
      <c r="N105" s="258" t="str">
        <f t="shared" si="5"/>
        <v/>
      </c>
      <c r="O105" s="5"/>
      <c r="P105" s="5"/>
      <c r="Q105" s="5"/>
      <c r="R105" s="5"/>
      <c r="S105" s="5"/>
      <c r="T105" s="5"/>
      <c r="U105" s="5"/>
      <c r="V105" s="5"/>
      <c r="W105" s="5"/>
    </row>
    <row r="106">
      <c r="A106" s="112" t="str">
        <f>IF(OR(ISBLANK(RAW_APS!A106),ISBLANK(RAW_APS!B106),ISBLANK(RAW_APS!C106)),TRUE,IFERROR(0/0,""))</f>
        <v/>
      </c>
      <c r="B106" s="252"/>
      <c r="C106" s="112" t="str">
        <f>IF(ISBLANK(B106),IFERROR(0/0,""),RAW_APS!A106)</f>
        <v/>
      </c>
      <c r="D106" s="112" t="str">
        <f>IF(ISBLANK(C106),IFERROR(0/0,""), VLOOKUP(C106,preDEL!A$2:AG786,33,FALSE))</f>
        <v/>
      </c>
      <c r="E106" s="252"/>
      <c r="F106" s="210"/>
      <c r="G106" s="252"/>
      <c r="H106" s="255" t="str">
        <f t="shared" si="1"/>
        <v/>
      </c>
      <c r="I106" s="256" t="str">
        <f>CONCATENATE(UPPER(RAW_APS!$A107),"__",RAW_APS!$B107,"_",RAW_APS!$C107)</f>
        <v>FM1905__44625_0.367685185185185</v>
      </c>
      <c r="J106" s="257" t="str">
        <f t="shared" si="2"/>
        <v/>
      </c>
      <c r="K106" s="252" t="s">
        <v>543</v>
      </c>
      <c r="L106" s="258" t="str">
        <f t="shared" si="3"/>
        <v>FM400</v>
      </c>
      <c r="M106" s="259" t="b">
        <f t="shared" si="4"/>
        <v>0</v>
      </c>
      <c r="N106" s="258" t="str">
        <f t="shared" si="5"/>
        <v/>
      </c>
      <c r="O106" s="5"/>
      <c r="P106" s="5"/>
      <c r="Q106" s="5"/>
      <c r="R106" s="5"/>
      <c r="S106" s="5"/>
      <c r="T106" s="5"/>
      <c r="U106" s="5"/>
      <c r="V106" s="5"/>
      <c r="W106" s="5"/>
    </row>
    <row r="107">
      <c r="A107" s="112" t="str">
        <f>IF(OR(ISBLANK(RAW_APS!A107),ISBLANK(RAW_APS!B107),ISBLANK(RAW_APS!C107)),TRUE,IFERROR(0/0,""))</f>
        <v/>
      </c>
      <c r="B107" s="252"/>
      <c r="C107" s="112" t="str">
        <f>IF(ISBLANK(B107),IFERROR(0/0,""),RAW_APS!A107)</f>
        <v/>
      </c>
      <c r="D107" s="112" t="str">
        <f>IF(ISBLANK(C107),IFERROR(0/0,""), VLOOKUP(C107,preDEL!A$2:AG786,33,FALSE))</f>
        <v/>
      </c>
      <c r="E107" s="252"/>
      <c r="F107" s="210"/>
      <c r="G107" s="252"/>
      <c r="H107" s="255" t="str">
        <f t="shared" si="1"/>
        <v/>
      </c>
      <c r="I107" s="256" t="str">
        <f>CONCATENATE(UPPER(RAW_APS!$A108),"__",RAW_APS!$B108,"_",RAW_APS!$C108)</f>
        <v>MA1294__44625_0.355300925925926</v>
      </c>
      <c r="J107" s="257" t="str">
        <f t="shared" si="2"/>
        <v/>
      </c>
      <c r="K107" s="252" t="s">
        <v>546</v>
      </c>
      <c r="L107" s="258" t="str">
        <f t="shared" si="3"/>
        <v>FM401</v>
      </c>
      <c r="M107" s="259" t="b">
        <f t="shared" si="4"/>
        <v>0</v>
      </c>
      <c r="N107" s="258" t="str">
        <f t="shared" si="5"/>
        <v/>
      </c>
      <c r="O107" s="5"/>
      <c r="P107" s="5"/>
      <c r="Q107" s="5"/>
      <c r="R107" s="5"/>
      <c r="S107" s="5"/>
      <c r="T107" s="5"/>
      <c r="U107" s="5"/>
      <c r="V107" s="5"/>
      <c r="W107" s="5"/>
    </row>
    <row r="108">
      <c r="A108" s="112" t="str">
        <f>IF(OR(ISBLANK(RAW_APS!A108),ISBLANK(RAW_APS!B108),ISBLANK(RAW_APS!C108)),TRUE,IFERROR(0/0,""))</f>
        <v/>
      </c>
      <c r="B108" s="252"/>
      <c r="C108" s="112" t="str">
        <f>IF(ISBLANK(B108),IFERROR(0/0,""),RAW_APS!A108)</f>
        <v/>
      </c>
      <c r="D108" s="112" t="str">
        <f>IF(ISBLANK(C108),IFERROR(0/0,""), VLOOKUP(C108,preDEL!A$2:AG786,33,FALSE))</f>
        <v/>
      </c>
      <c r="E108" s="252"/>
      <c r="F108" s="210"/>
      <c r="G108" s="252"/>
      <c r="H108" s="255" t="str">
        <f t="shared" si="1"/>
        <v/>
      </c>
      <c r="I108" s="256" t="str">
        <f>CONCATENATE(UPPER(RAW_APS!$A109),"__",RAW_APS!$B109,"_",RAW_APS!$C109)</f>
        <v>FM75__44625_0.3421875</v>
      </c>
      <c r="J108" s="257" t="str">
        <f t="shared" si="2"/>
        <v/>
      </c>
      <c r="K108" s="252" t="s">
        <v>549</v>
      </c>
      <c r="L108" s="258" t="str">
        <f t="shared" si="3"/>
        <v>FM402</v>
      </c>
      <c r="M108" s="259" t="b">
        <f t="shared" si="4"/>
        <v>0</v>
      </c>
      <c r="N108" s="258" t="str">
        <f t="shared" si="5"/>
        <v/>
      </c>
      <c r="O108" s="5"/>
      <c r="P108" s="5"/>
      <c r="Q108" s="5"/>
      <c r="R108" s="5"/>
      <c r="S108" s="5"/>
      <c r="T108" s="5"/>
      <c r="U108" s="5"/>
      <c r="V108" s="5"/>
      <c r="W108" s="5"/>
    </row>
    <row r="109">
      <c r="A109" s="112" t="str">
        <f>IF(OR(ISBLANK(RAW_APS!A109),ISBLANK(RAW_APS!B109),ISBLANK(RAW_APS!C109)),TRUE,IFERROR(0/0,""))</f>
        <v/>
      </c>
      <c r="B109" s="252"/>
      <c r="C109" s="112" t="str">
        <f>IF(ISBLANK(B109),IFERROR(0/0,""),RAW_APS!A109)</f>
        <v/>
      </c>
      <c r="D109" s="112" t="str">
        <f>IF(ISBLANK(C109),IFERROR(0/0,""), VLOOKUP(C109,preDEL!A$2:AG786,33,FALSE))</f>
        <v/>
      </c>
      <c r="E109" s="252"/>
      <c r="F109" s="210"/>
      <c r="G109" s="252"/>
      <c r="H109" s="255" t="str">
        <f t="shared" si="1"/>
        <v/>
      </c>
      <c r="I109" s="256" t="str">
        <f>CONCATENATE(UPPER(RAW_APS!$A110),"__",RAW_APS!$B110,"_",RAW_APS!$C110)</f>
        <v>FM30__44625_0.34193287037037</v>
      </c>
      <c r="J109" s="257" t="str">
        <f t="shared" si="2"/>
        <v/>
      </c>
      <c r="K109" s="252" t="s">
        <v>551</v>
      </c>
      <c r="L109" s="258" t="str">
        <f t="shared" si="3"/>
        <v>FM404</v>
      </c>
      <c r="M109" s="259" t="b">
        <f t="shared" si="4"/>
        <v>0</v>
      </c>
      <c r="N109" s="258" t="str">
        <f t="shared" si="5"/>
        <v/>
      </c>
      <c r="O109" s="5"/>
      <c r="P109" s="5"/>
      <c r="Q109" s="5"/>
      <c r="R109" s="5"/>
      <c r="S109" s="5"/>
      <c r="T109" s="5"/>
      <c r="U109" s="5"/>
      <c r="V109" s="5"/>
      <c r="W109" s="5"/>
    </row>
    <row r="110">
      <c r="A110" s="112" t="str">
        <f>IF(OR(ISBLANK(RAW_APS!A110),ISBLANK(RAW_APS!B110),ISBLANK(RAW_APS!C110)),TRUE,IFERROR(0/0,""))</f>
        <v/>
      </c>
      <c r="B110" s="252"/>
      <c r="C110" s="112" t="str">
        <f>IF(ISBLANK(B110),IFERROR(0/0,""),RAW_APS!A110)</f>
        <v/>
      </c>
      <c r="D110" s="112" t="str">
        <f>IF(ISBLANK(C110),IFERROR(0/0,""), VLOOKUP(C110,preDEL!A$2:AG786,33,FALSE))</f>
        <v/>
      </c>
      <c r="E110" s="252"/>
      <c r="F110" s="210"/>
      <c r="G110" s="252"/>
      <c r="H110" s="255" t="str">
        <f t="shared" si="1"/>
        <v/>
      </c>
      <c r="I110" s="256" t="str">
        <f>CONCATENATE(UPPER(RAW_APS!$A111),"__",RAW_APS!$B111,"_",RAW_APS!$C111)</f>
        <v>FM8__44625_0.341666666666667</v>
      </c>
      <c r="J110" s="257" t="str">
        <f t="shared" si="2"/>
        <v/>
      </c>
      <c r="K110" s="252" t="s">
        <v>553</v>
      </c>
      <c r="L110" s="258" t="str">
        <f t="shared" si="3"/>
        <v>FM405</v>
      </c>
      <c r="M110" s="259" t="b">
        <f t="shared" si="4"/>
        <v>0</v>
      </c>
      <c r="N110" s="258" t="str">
        <f t="shared" si="5"/>
        <v/>
      </c>
      <c r="O110" s="5"/>
      <c r="P110" s="5"/>
      <c r="Q110" s="5"/>
      <c r="R110" s="5"/>
      <c r="S110" s="5"/>
      <c r="T110" s="5"/>
      <c r="U110" s="5"/>
      <c r="V110" s="5"/>
      <c r="W110" s="5"/>
    </row>
    <row r="111">
      <c r="A111" s="112" t="str">
        <f>IF(OR(ISBLANK(RAW_APS!A111),ISBLANK(RAW_APS!B111),ISBLANK(RAW_APS!C111)),TRUE,IFERROR(0/0,""))</f>
        <v/>
      </c>
      <c r="B111" s="252"/>
      <c r="C111" s="112" t="str">
        <f>IF(ISBLANK(B111),IFERROR(0/0,""),RAW_APS!A111)</f>
        <v/>
      </c>
      <c r="D111" s="112" t="str">
        <f>IF(ISBLANK(C111),IFERROR(0/0,""), VLOOKUP(C111,preDEL!A$2:AG786,33,FALSE))</f>
        <v/>
      </c>
      <c r="E111" s="252"/>
      <c r="F111" s="210"/>
      <c r="G111" s="252"/>
      <c r="H111" s="255" t="str">
        <f t="shared" si="1"/>
        <v/>
      </c>
      <c r="I111" s="256" t="str">
        <f>CONCATENATE(UPPER(RAW_APS!$A112),"__",RAW_APS!$B112,"_",RAW_APS!$C112)</f>
        <v>FM337__44625_0.335046296296296</v>
      </c>
      <c r="J111" s="257" t="str">
        <f t="shared" si="2"/>
        <v/>
      </c>
      <c r="K111" s="252" t="s">
        <v>555</v>
      </c>
      <c r="L111" s="258" t="str">
        <f t="shared" si="3"/>
        <v>FM408</v>
      </c>
      <c r="M111" s="259" t="b">
        <f t="shared" si="4"/>
        <v>0</v>
      </c>
      <c r="N111" s="258" t="str">
        <f t="shared" si="5"/>
        <v/>
      </c>
      <c r="O111" s="5"/>
      <c r="P111" s="5"/>
      <c r="Q111" s="5"/>
      <c r="R111" s="5"/>
      <c r="S111" s="5"/>
      <c r="T111" s="5"/>
      <c r="U111" s="5"/>
      <c r="V111" s="5"/>
      <c r="W111" s="5"/>
    </row>
    <row r="112">
      <c r="A112" s="112" t="str">
        <f>IF(OR(ISBLANK(RAW_APS!A112),ISBLANK(RAW_APS!B112),ISBLANK(RAW_APS!C112)),TRUE,IFERROR(0/0,""))</f>
        <v/>
      </c>
      <c r="B112" s="252"/>
      <c r="C112" s="112" t="str">
        <f>IF(ISBLANK(B112),IFERROR(0/0,""),RAW_APS!A112)</f>
        <v/>
      </c>
      <c r="D112" s="112" t="str">
        <f>IF(ISBLANK(C112),IFERROR(0/0,""), VLOOKUP(C112,preDEL!A$2:AG786,33,FALSE))</f>
        <v/>
      </c>
      <c r="E112" s="252"/>
      <c r="F112" s="210"/>
      <c r="G112" s="252"/>
      <c r="H112" s="255" t="str">
        <f t="shared" si="1"/>
        <v/>
      </c>
      <c r="I112" s="256" t="str">
        <f>CONCATENATE(UPPER(RAW_APS!$A113),"__",RAW_APS!$B113,"_",RAW_APS!$C113)</f>
        <v>FM470__44625_0.332488425925926</v>
      </c>
      <c r="J112" s="257" t="str">
        <f t="shared" si="2"/>
        <v/>
      </c>
      <c r="K112" s="252" t="s">
        <v>557</v>
      </c>
      <c r="L112" s="258" t="str">
        <f t="shared" si="3"/>
        <v>FM41</v>
      </c>
      <c r="M112" s="259" t="b">
        <f t="shared" si="4"/>
        <v>0</v>
      </c>
      <c r="N112" s="258" t="str">
        <f t="shared" si="5"/>
        <v/>
      </c>
      <c r="O112" s="5"/>
      <c r="P112" s="5"/>
      <c r="Q112" s="5"/>
      <c r="R112" s="5"/>
      <c r="S112" s="5"/>
      <c r="T112" s="5"/>
      <c r="U112" s="5"/>
      <c r="V112" s="5"/>
      <c r="W112" s="5"/>
    </row>
    <row r="113">
      <c r="A113" s="112" t="str">
        <f>IF(OR(ISBLANK(RAW_APS!A113),ISBLANK(RAW_APS!B113),ISBLANK(RAW_APS!C113)),TRUE,IFERROR(0/0,""))</f>
        <v/>
      </c>
      <c r="B113" s="252"/>
      <c r="C113" s="112" t="str">
        <f>IF(ISBLANK(B113),IFERROR(0/0,""),RAW_APS!A113)</f>
        <v/>
      </c>
      <c r="D113" s="112" t="str">
        <f>IF(ISBLANK(C113),IFERROR(0/0,""), VLOOKUP(C113,preDEL!A$2:AG786,33,FALSE))</f>
        <v/>
      </c>
      <c r="E113" s="252"/>
      <c r="F113" s="210"/>
      <c r="G113" s="252"/>
      <c r="H113" s="255" t="str">
        <f t="shared" si="1"/>
        <v/>
      </c>
      <c r="I113" s="256" t="str">
        <f>CONCATENATE(UPPER(RAW_APS!$A114),"__",RAW_APS!$B114,"_",RAW_APS!$C114)</f>
        <v>MA403__44625_0.331886574074074</v>
      </c>
      <c r="J113" s="257" t="str">
        <f t="shared" si="2"/>
        <v/>
      </c>
      <c r="K113" s="252" t="s">
        <v>559</v>
      </c>
      <c r="L113" s="258" t="str">
        <f t="shared" si="3"/>
        <v>FM410</v>
      </c>
      <c r="M113" s="259" t="b">
        <f t="shared" si="4"/>
        <v>0</v>
      </c>
      <c r="N113" s="258" t="str">
        <f t="shared" si="5"/>
        <v/>
      </c>
      <c r="O113" s="5"/>
      <c r="P113" s="5"/>
      <c r="Q113" s="5"/>
      <c r="R113" s="5"/>
      <c r="S113" s="5"/>
      <c r="T113" s="5"/>
      <c r="U113" s="5"/>
      <c r="V113" s="5"/>
      <c r="W113" s="5"/>
    </row>
    <row r="114">
      <c r="A114" s="112" t="str">
        <f>IF(OR(ISBLANK(RAW_APS!A114),ISBLANK(RAW_APS!B114),ISBLANK(RAW_APS!C114)),TRUE,IFERROR(0/0,""))</f>
        <v/>
      </c>
      <c r="B114" s="252"/>
      <c r="C114" s="112" t="str">
        <f>IF(ISBLANK(B114),IFERROR(0/0,""),RAW_APS!A114)</f>
        <v/>
      </c>
      <c r="D114" s="112" t="str">
        <f>IF(ISBLANK(C114),IFERROR(0/0,""), VLOOKUP(C114,preDEL!A$2:AG786,33,FALSE))</f>
        <v/>
      </c>
      <c r="E114" s="252"/>
      <c r="F114" s="210"/>
      <c r="G114" s="252"/>
      <c r="H114" s="255" t="str">
        <f t="shared" si="1"/>
        <v/>
      </c>
      <c r="I114" s="256" t="str">
        <f>CONCATENATE(UPPER(RAW_APS!$A115),"__",RAW_APS!$B115,"_",RAW_APS!$C115)</f>
        <v>FM2045__44625_0.323217592592593</v>
      </c>
      <c r="J114" s="257" t="str">
        <f t="shared" si="2"/>
        <v/>
      </c>
      <c r="K114" s="252" t="s">
        <v>561</v>
      </c>
      <c r="L114" s="258" t="str">
        <f t="shared" si="3"/>
        <v>FM413</v>
      </c>
      <c r="M114" s="259" t="b">
        <f t="shared" si="4"/>
        <v>0</v>
      </c>
      <c r="N114" s="258" t="str">
        <f t="shared" si="5"/>
        <v/>
      </c>
      <c r="O114" s="5"/>
      <c r="P114" s="5"/>
      <c r="Q114" s="5"/>
      <c r="R114" s="5"/>
      <c r="S114" s="5"/>
      <c r="T114" s="5"/>
      <c r="U114" s="5"/>
      <c r="V114" s="5"/>
      <c r="W114" s="5"/>
    </row>
    <row r="115">
      <c r="A115" s="112" t="str">
        <f>IF(OR(ISBLANK(RAW_APS!A115),ISBLANK(RAW_APS!B115),ISBLANK(RAW_APS!C115)),TRUE,IFERROR(0/0,""))</f>
        <v/>
      </c>
      <c r="B115" s="252"/>
      <c r="C115" s="112" t="str">
        <f>IF(ISBLANK(B115),IFERROR(0/0,""),RAW_APS!A115)</f>
        <v/>
      </c>
      <c r="D115" s="112" t="str">
        <f>IF(ISBLANK(C115),IFERROR(0/0,""), VLOOKUP(C115,preDEL!A$2:AG786,33,FALSE))</f>
        <v/>
      </c>
      <c r="E115" s="252"/>
      <c r="F115" s="210"/>
      <c r="G115" s="252"/>
      <c r="H115" s="255" t="str">
        <f t="shared" si="1"/>
        <v/>
      </c>
      <c r="I115" s="256" t="str">
        <f>CONCATENATE(UPPER(RAW_APS!$A116),"__",RAW_APS!$B116,"_",RAW_APS!$C116)</f>
        <v>FM446__44625_0.319027777777778</v>
      </c>
      <c r="J115" s="257" t="str">
        <f t="shared" si="2"/>
        <v/>
      </c>
      <c r="K115" s="252" t="s">
        <v>564</v>
      </c>
      <c r="L115" s="258" t="str">
        <f t="shared" si="3"/>
        <v>FM414</v>
      </c>
      <c r="M115" s="259" t="b">
        <f t="shared" si="4"/>
        <v>0</v>
      </c>
      <c r="N115" s="258" t="str">
        <f t="shared" si="5"/>
        <v/>
      </c>
      <c r="O115" s="5"/>
      <c r="P115" s="5"/>
      <c r="Q115" s="5"/>
      <c r="R115" s="5"/>
      <c r="S115" s="5"/>
      <c r="T115" s="5"/>
      <c r="U115" s="5"/>
      <c r="V115" s="5"/>
      <c r="W115" s="5"/>
    </row>
    <row r="116">
      <c r="A116" s="112" t="str">
        <f>IF(OR(ISBLANK(RAW_APS!A116),ISBLANK(RAW_APS!B116),ISBLANK(RAW_APS!C116)),TRUE,IFERROR(0/0,""))</f>
        <v/>
      </c>
      <c r="B116" s="252"/>
      <c r="C116" s="112" t="str">
        <f>IF(ISBLANK(B116),IFERROR(0/0,""),RAW_APS!A116)</f>
        <v/>
      </c>
      <c r="D116" s="112" t="str">
        <f>IF(ISBLANK(C116),IFERROR(0/0,""), VLOOKUP(C116,preDEL!A$2:AG786,33,FALSE))</f>
        <v/>
      </c>
      <c r="E116" s="252"/>
      <c r="F116" s="210"/>
      <c r="G116" s="252"/>
      <c r="H116" s="255" t="str">
        <f t="shared" si="1"/>
        <v/>
      </c>
      <c r="I116" s="256" t="str">
        <f>CONCATENATE(UPPER(RAW_APS!$A117),"__",RAW_APS!$B117,"_",RAW_APS!$C117)</f>
        <v>FM991__44625_0.318888888888889</v>
      </c>
      <c r="J116" s="257" t="str">
        <f t="shared" si="2"/>
        <v/>
      </c>
      <c r="K116" s="252" t="s">
        <v>567</v>
      </c>
      <c r="L116" s="258" t="str">
        <f t="shared" si="3"/>
        <v>FM417</v>
      </c>
      <c r="M116" s="259" t="b">
        <f t="shared" si="4"/>
        <v>0</v>
      </c>
      <c r="N116" s="258" t="str">
        <f t="shared" si="5"/>
        <v/>
      </c>
      <c r="O116" s="5"/>
      <c r="P116" s="5"/>
      <c r="Q116" s="5"/>
      <c r="R116" s="5"/>
      <c r="S116" s="5"/>
      <c r="T116" s="5"/>
      <c r="U116" s="5"/>
      <c r="V116" s="5"/>
      <c r="W116" s="5"/>
    </row>
    <row r="117">
      <c r="A117" s="112" t="str">
        <f>IF(OR(ISBLANK(RAW_APS!A117),ISBLANK(RAW_APS!B117),ISBLANK(RAW_APS!C117)),TRUE,IFERROR(0/0,""))</f>
        <v/>
      </c>
      <c r="B117" s="252"/>
      <c r="C117" s="112" t="str">
        <f>IF(ISBLANK(B117),IFERROR(0/0,""),RAW_APS!A117)</f>
        <v/>
      </c>
      <c r="D117" s="112" t="str">
        <f>IF(ISBLANK(C117),IFERROR(0/0,""), VLOOKUP(C117,preDEL!A$2:AG786,33,FALSE))</f>
        <v/>
      </c>
      <c r="E117" s="252"/>
      <c r="F117" s="210"/>
      <c r="G117" s="252"/>
      <c r="H117" s="255" t="str">
        <f t="shared" si="1"/>
        <v/>
      </c>
      <c r="I117" s="256" t="str">
        <f>CONCATENATE(UPPER(RAW_APS!$A118),"__",RAW_APS!$B118,"_",RAW_APS!$C118)</f>
        <v>MA1272__44625_0.315925925925926</v>
      </c>
      <c r="J117" s="257" t="str">
        <f t="shared" si="2"/>
        <v/>
      </c>
      <c r="K117" s="252" t="s">
        <v>569</v>
      </c>
      <c r="L117" s="258" t="str">
        <f t="shared" si="3"/>
        <v>FM42</v>
      </c>
      <c r="M117" s="259" t="b">
        <f t="shared" si="4"/>
        <v>0</v>
      </c>
      <c r="N117" s="258" t="str">
        <f t="shared" si="5"/>
        <v/>
      </c>
      <c r="O117" s="5"/>
      <c r="P117" s="5"/>
      <c r="Q117" s="5"/>
      <c r="R117" s="5"/>
      <c r="S117" s="5"/>
      <c r="T117" s="5"/>
      <c r="U117" s="5"/>
      <c r="V117" s="5"/>
      <c r="W117" s="5"/>
    </row>
    <row r="118">
      <c r="A118" s="112" t="str">
        <f>IF(OR(ISBLANK(RAW_APS!A118),ISBLANK(RAW_APS!B118),ISBLANK(RAW_APS!C118)),TRUE,IFERROR(0/0,""))</f>
        <v/>
      </c>
      <c r="B118" s="252"/>
      <c r="C118" s="112" t="str">
        <f>IF(ISBLANK(B118),IFERROR(0/0,""),RAW_APS!A118)</f>
        <v/>
      </c>
      <c r="D118" s="112" t="str">
        <f>IF(ISBLANK(C118),IFERROR(0/0,""), VLOOKUP(C118,preDEL!A$2:AG786,33,FALSE))</f>
        <v/>
      </c>
      <c r="E118" s="252"/>
      <c r="F118" s="210"/>
      <c r="G118" s="252"/>
      <c r="H118" s="255" t="str">
        <f t="shared" si="1"/>
        <v/>
      </c>
      <c r="I118" s="256" t="str">
        <f>CONCATENATE(UPPER(RAW_APS!$A119),"__",RAW_APS!$B119,"_",RAW_APS!$C119)</f>
        <v>FM477__44625_0.315856481481482</v>
      </c>
      <c r="J118" s="257" t="str">
        <f t="shared" si="2"/>
        <v/>
      </c>
      <c r="K118" s="252" t="s">
        <v>571</v>
      </c>
      <c r="L118" s="258" t="str">
        <f t="shared" si="3"/>
        <v>FM422</v>
      </c>
      <c r="M118" s="259" t="b">
        <f t="shared" si="4"/>
        <v>0</v>
      </c>
      <c r="N118" s="258" t="str">
        <f t="shared" si="5"/>
        <v/>
      </c>
      <c r="O118" s="5"/>
      <c r="P118" s="5"/>
      <c r="Q118" s="5"/>
      <c r="R118" s="5"/>
      <c r="S118" s="5"/>
      <c r="T118" s="5"/>
      <c r="U118" s="5"/>
      <c r="V118" s="5"/>
      <c r="W118" s="5"/>
    </row>
    <row r="119">
      <c r="A119" s="112" t="str">
        <f>IF(OR(ISBLANK(RAW_APS!A119),ISBLANK(RAW_APS!B119),ISBLANK(RAW_APS!C119)),TRUE,IFERROR(0/0,""))</f>
        <v/>
      </c>
      <c r="B119" s="252"/>
      <c r="C119" s="112" t="str">
        <f>IF(ISBLANK(B119),IFERROR(0/0,""),RAW_APS!A119)</f>
        <v/>
      </c>
      <c r="D119" s="112" t="str">
        <f>IF(ISBLANK(C119),IFERROR(0/0,""), VLOOKUP(C119,preDEL!A$2:AG786,33,FALSE))</f>
        <v/>
      </c>
      <c r="E119" s="252"/>
      <c r="F119" s="210"/>
      <c r="G119" s="252"/>
      <c r="H119" s="255" t="str">
        <f t="shared" si="1"/>
        <v/>
      </c>
      <c r="I119" s="256" t="str">
        <f>CONCATENATE(UPPER(RAW_APS!$A120),"__",RAW_APS!$B120,"_",RAW_APS!$C120)</f>
        <v>MA370__44625_0.315011574074074</v>
      </c>
      <c r="J119" s="257" t="str">
        <f t="shared" si="2"/>
        <v/>
      </c>
      <c r="K119" s="252" t="s">
        <v>575</v>
      </c>
      <c r="L119" s="258" t="str">
        <f t="shared" si="3"/>
        <v>FM423</v>
      </c>
      <c r="M119" s="259" t="b">
        <f t="shared" si="4"/>
        <v>0</v>
      </c>
      <c r="N119" s="258" t="str">
        <f t="shared" si="5"/>
        <v/>
      </c>
      <c r="O119" s="5"/>
      <c r="P119" s="5"/>
      <c r="Q119" s="5"/>
      <c r="R119" s="5"/>
      <c r="S119" s="5"/>
      <c r="T119" s="5"/>
      <c r="U119" s="5"/>
      <c r="V119" s="5"/>
      <c r="W119" s="5"/>
    </row>
    <row r="120">
      <c r="A120" s="112" t="str">
        <f>IF(OR(ISBLANK(RAW_APS!A120),ISBLANK(RAW_APS!B120),ISBLANK(RAW_APS!C120)),TRUE,IFERROR(0/0,""))</f>
        <v/>
      </c>
      <c r="B120" s="252"/>
      <c r="C120" s="112" t="str">
        <f>IF(ISBLANK(B120),IFERROR(0/0,""),RAW_APS!A120)</f>
        <v/>
      </c>
      <c r="D120" s="112" t="str">
        <f>IF(ISBLANK(C120),IFERROR(0/0,""), VLOOKUP(C120,preDEL!A$2:AG786,33,FALSE))</f>
        <v/>
      </c>
      <c r="E120" s="252"/>
      <c r="F120" s="210"/>
      <c r="G120" s="252"/>
      <c r="H120" s="255" t="str">
        <f t="shared" si="1"/>
        <v/>
      </c>
      <c r="I120" s="256" t="str">
        <f>CONCATENATE(UPPER(RAW_APS!$A121),"__",RAW_APS!$B121,"_",RAW_APS!$C121)</f>
        <v>MA1238__44625_0.31099537037037</v>
      </c>
      <c r="J120" s="257" t="str">
        <f t="shared" si="2"/>
        <v/>
      </c>
      <c r="K120" s="252" t="s">
        <v>579</v>
      </c>
      <c r="L120" s="258" t="str">
        <f t="shared" si="3"/>
        <v>FM425</v>
      </c>
      <c r="M120" s="259" t="b">
        <f t="shared" si="4"/>
        <v>0</v>
      </c>
      <c r="N120" s="258" t="str">
        <f t="shared" si="5"/>
        <v/>
      </c>
      <c r="O120" s="5"/>
      <c r="P120" s="5"/>
      <c r="Q120" s="5"/>
      <c r="R120" s="5"/>
      <c r="S120" s="5"/>
      <c r="T120" s="5"/>
      <c r="U120" s="5"/>
      <c r="V120" s="5"/>
      <c r="W120" s="5"/>
    </row>
    <row r="121">
      <c r="A121" s="112" t="str">
        <f>IF(OR(ISBLANK(RAW_APS!A121),ISBLANK(RAW_APS!B121),ISBLANK(RAW_APS!C121)),TRUE,IFERROR(0/0,""))</f>
        <v/>
      </c>
      <c r="B121" s="252"/>
      <c r="C121" s="112" t="str">
        <f>IF(ISBLANK(B121),IFERROR(0/0,""),RAW_APS!A121)</f>
        <v/>
      </c>
      <c r="D121" s="112" t="str">
        <f>IF(ISBLANK(C121),IFERROR(0/0,""), VLOOKUP(C121,preDEL!A$2:AG786,33,FALSE))</f>
        <v/>
      </c>
      <c r="E121" s="252"/>
      <c r="F121" s="210"/>
      <c r="G121" s="252"/>
      <c r="H121" s="255" t="str">
        <f t="shared" si="1"/>
        <v/>
      </c>
      <c r="I121" s="256" t="str">
        <f>CONCATENATE(UPPER(RAW_APS!$A122),"__",RAW_APS!$B122,"_",RAW_APS!$C122)</f>
        <v>FM2076__44625_0.310752314814815</v>
      </c>
      <c r="J121" s="257" t="str">
        <f t="shared" si="2"/>
        <v/>
      </c>
      <c r="K121" s="252" t="s">
        <v>581</v>
      </c>
      <c r="L121" s="258" t="str">
        <f t="shared" si="3"/>
        <v>FM427</v>
      </c>
      <c r="M121" s="259" t="b">
        <f t="shared" si="4"/>
        <v>0</v>
      </c>
      <c r="N121" s="258" t="str">
        <f t="shared" si="5"/>
        <v/>
      </c>
      <c r="O121" s="5"/>
      <c r="P121" s="5"/>
      <c r="Q121" s="5"/>
      <c r="R121" s="5"/>
      <c r="S121" s="5"/>
      <c r="T121" s="5"/>
      <c r="U121" s="5"/>
      <c r="V121" s="5"/>
      <c r="W121" s="5"/>
    </row>
    <row r="122">
      <c r="A122" s="112" t="str">
        <f>IF(OR(ISBLANK(RAW_APS!A122),ISBLANK(RAW_APS!B122),ISBLANK(RAW_APS!C122)),TRUE,IFERROR(0/0,""))</f>
        <v/>
      </c>
      <c r="B122" s="252"/>
      <c r="C122" s="112" t="str">
        <f>IF(ISBLANK(B122),IFERROR(0/0,""),RAW_APS!A122)</f>
        <v/>
      </c>
      <c r="D122" s="112" t="str">
        <f>IF(ISBLANK(C122),IFERROR(0/0,""), VLOOKUP(C122,preDEL!A$2:AG786,33,FALSE))</f>
        <v/>
      </c>
      <c r="E122" s="252"/>
      <c r="F122" s="210"/>
      <c r="G122" s="252"/>
      <c r="H122" s="255" t="str">
        <f t="shared" si="1"/>
        <v/>
      </c>
      <c r="I122" s="256" t="str">
        <f>CONCATENATE(UPPER(RAW_APS!$A123),"__",RAW_APS!$B123,"_",RAW_APS!$C123)</f>
        <v>MA213__44625_0.309814814814815</v>
      </c>
      <c r="J122" s="257" t="str">
        <f t="shared" si="2"/>
        <v/>
      </c>
      <c r="K122" s="252" t="s">
        <v>585</v>
      </c>
      <c r="L122" s="258" t="str">
        <f t="shared" si="3"/>
        <v>FM428</v>
      </c>
      <c r="M122" s="259" t="b">
        <f t="shared" si="4"/>
        <v>0</v>
      </c>
      <c r="N122" s="258" t="str">
        <f t="shared" si="5"/>
        <v/>
      </c>
      <c r="O122" s="5"/>
      <c r="P122" s="5"/>
      <c r="Q122" s="5"/>
      <c r="R122" s="5"/>
      <c r="S122" s="5"/>
      <c r="T122" s="5"/>
      <c r="U122" s="5"/>
      <c r="V122" s="5"/>
      <c r="W122" s="5"/>
    </row>
    <row r="123">
      <c r="A123" s="112" t="str">
        <f>IF(OR(ISBLANK(RAW_APS!A123),ISBLANK(RAW_APS!B123),ISBLANK(RAW_APS!C123)),TRUE,IFERROR(0/0,""))</f>
        <v/>
      </c>
      <c r="B123" s="252"/>
      <c r="C123" s="112" t="str">
        <f>IF(ISBLANK(B123),IFERROR(0/0,""),RAW_APS!A123)</f>
        <v/>
      </c>
      <c r="D123" s="112" t="str">
        <f>IF(ISBLANK(C123),IFERROR(0/0,""), VLOOKUP(C123,preDEL!A$2:AG786,33,FALSE))</f>
        <v/>
      </c>
      <c r="E123" s="252"/>
      <c r="F123" s="210"/>
      <c r="G123" s="252"/>
      <c r="H123" s="255" t="str">
        <f t="shared" si="1"/>
        <v/>
      </c>
      <c r="I123" s="256" t="str">
        <f>CONCATENATE(UPPER(RAW_APS!$A124),"__",RAW_APS!$B124,"_",RAW_APS!$C124)</f>
        <v>FM405__44625_0.308865740740741</v>
      </c>
      <c r="J123" s="257" t="str">
        <f t="shared" si="2"/>
        <v/>
      </c>
      <c r="K123" s="252" t="s">
        <v>589</v>
      </c>
      <c r="L123" s="258" t="str">
        <f t="shared" si="3"/>
        <v>FM429</v>
      </c>
      <c r="M123" s="259" t="b">
        <f t="shared" si="4"/>
        <v>0</v>
      </c>
      <c r="N123" s="258" t="str">
        <f t="shared" si="5"/>
        <v/>
      </c>
      <c r="O123" s="5"/>
      <c r="P123" s="5"/>
      <c r="Q123" s="5"/>
      <c r="R123" s="5"/>
      <c r="S123" s="5"/>
      <c r="T123" s="5"/>
      <c r="U123" s="5"/>
      <c r="V123" s="5"/>
      <c r="W123" s="5"/>
    </row>
    <row r="124">
      <c r="A124" s="112" t="str">
        <f>IF(OR(ISBLANK(RAW_APS!A124),ISBLANK(RAW_APS!B124),ISBLANK(RAW_APS!C124)),TRUE,IFERROR(0/0,""))</f>
        <v/>
      </c>
      <c r="B124" s="252"/>
      <c r="C124" s="112" t="str">
        <f>IF(ISBLANK(B124),IFERROR(0/0,""),RAW_APS!A124)</f>
        <v/>
      </c>
      <c r="D124" s="112" t="str">
        <f>IF(ISBLANK(C124),IFERROR(0/0,""), VLOOKUP(C124,preDEL!A$2:AG786,33,FALSE))</f>
        <v/>
      </c>
      <c r="E124" s="252"/>
      <c r="F124" s="210"/>
      <c r="G124" s="252"/>
      <c r="H124" s="255" t="str">
        <f t="shared" si="1"/>
        <v/>
      </c>
      <c r="I124" s="256" t="str">
        <f>CONCATENATE(UPPER(RAW_APS!$A125),"__",RAW_APS!$B125,"_",RAW_APS!$C125)</f>
        <v>FM2048__44625_0.308599537037037</v>
      </c>
      <c r="J124" s="257" t="str">
        <f t="shared" si="2"/>
        <v/>
      </c>
      <c r="K124" s="252" t="s">
        <v>591</v>
      </c>
      <c r="L124" s="258" t="str">
        <f t="shared" si="3"/>
        <v>FM43</v>
      </c>
      <c r="M124" s="259" t="b">
        <f t="shared" si="4"/>
        <v>0</v>
      </c>
      <c r="N124" s="258" t="str">
        <f t="shared" si="5"/>
        <v/>
      </c>
      <c r="O124" s="5"/>
      <c r="P124" s="5"/>
      <c r="Q124" s="5"/>
      <c r="R124" s="5"/>
      <c r="S124" s="5"/>
      <c r="T124" s="5"/>
      <c r="U124" s="5"/>
      <c r="V124" s="5"/>
      <c r="W124" s="5"/>
    </row>
    <row r="125">
      <c r="A125" s="112" t="str">
        <f>IF(OR(ISBLANK(RAW_APS!A125),ISBLANK(RAW_APS!B125),ISBLANK(RAW_APS!C125)),TRUE,IFERROR(0/0,""))</f>
        <v/>
      </c>
      <c r="B125" s="252"/>
      <c r="C125" s="112" t="str">
        <f>IF(ISBLANK(B125),IFERROR(0/0,""),RAW_APS!A125)</f>
        <v/>
      </c>
      <c r="D125" s="112" t="str">
        <f>IF(ISBLANK(C125),IFERROR(0/0,""), VLOOKUP(C125,preDEL!A$2:AG786,33,FALSE))</f>
        <v/>
      </c>
      <c r="E125" s="252"/>
      <c r="F125" s="210"/>
      <c r="G125" s="252"/>
      <c r="H125" s="255" t="str">
        <f t="shared" si="1"/>
        <v/>
      </c>
      <c r="I125" s="256" t="str">
        <f>CONCATENATE(UPPER(RAW_APS!$A126),"__",RAW_APS!$B126,"_",RAW_APS!$C126)</f>
        <v>FM458__44625_0.307986111111111</v>
      </c>
      <c r="J125" s="257" t="str">
        <f t="shared" si="2"/>
        <v/>
      </c>
      <c r="K125" s="252" t="s">
        <v>595</v>
      </c>
      <c r="L125" s="258" t="str">
        <f t="shared" si="3"/>
        <v>FM431</v>
      </c>
      <c r="M125" s="259" t="b">
        <f t="shared" si="4"/>
        <v>0</v>
      </c>
      <c r="N125" s="258" t="str">
        <f t="shared" si="5"/>
        <v/>
      </c>
      <c r="O125" s="5"/>
      <c r="P125" s="5"/>
      <c r="Q125" s="5"/>
      <c r="R125" s="5"/>
      <c r="S125" s="5"/>
      <c r="T125" s="5"/>
      <c r="U125" s="5"/>
      <c r="V125" s="5"/>
      <c r="W125" s="5"/>
    </row>
    <row r="126">
      <c r="A126" s="112" t="str">
        <f>IF(OR(ISBLANK(RAW_APS!A126),ISBLANK(RAW_APS!B126),ISBLANK(RAW_APS!C126)),TRUE,IFERROR(0/0,""))</f>
        <v/>
      </c>
      <c r="B126" s="252"/>
      <c r="C126" s="112" t="str">
        <f>IF(ISBLANK(B126),IFERROR(0/0,""),RAW_APS!A126)</f>
        <v/>
      </c>
      <c r="D126" s="112" t="str">
        <f>IF(ISBLANK(C126),IFERROR(0/0,""), VLOOKUP(C126,preDEL!A$2:AG786,33,FALSE))</f>
        <v/>
      </c>
      <c r="E126" s="252"/>
      <c r="F126" s="210"/>
      <c r="G126" s="252"/>
      <c r="H126" s="255" t="str">
        <f t="shared" si="1"/>
        <v/>
      </c>
      <c r="I126" s="256" t="str">
        <f>CONCATENATE(UPPER(RAW_APS!$A127),"__",RAW_APS!$B127,"_",RAW_APS!$C127)</f>
        <v>FM2055__44625_0.307893518518519</v>
      </c>
      <c r="J126" s="257" t="str">
        <f t="shared" si="2"/>
        <v/>
      </c>
      <c r="K126" s="252" t="s">
        <v>598</v>
      </c>
      <c r="L126" s="258" t="str">
        <f t="shared" si="3"/>
        <v>FM432</v>
      </c>
      <c r="M126" s="259" t="b">
        <f t="shared" si="4"/>
        <v>0</v>
      </c>
      <c r="N126" s="258" t="str">
        <f t="shared" si="5"/>
        <v/>
      </c>
      <c r="O126" s="5"/>
      <c r="P126" s="5"/>
      <c r="Q126" s="5"/>
      <c r="R126" s="5"/>
      <c r="S126" s="5"/>
      <c r="T126" s="5"/>
      <c r="U126" s="5"/>
      <c r="V126" s="5"/>
      <c r="W126" s="5"/>
    </row>
    <row r="127">
      <c r="A127" s="112" t="str">
        <f>IF(OR(ISBLANK(RAW_APS!A127),ISBLANK(RAW_APS!B127),ISBLANK(RAW_APS!C127)),TRUE,IFERROR(0/0,""))</f>
        <v/>
      </c>
      <c r="B127" s="252"/>
      <c r="C127" s="112" t="str">
        <f>IF(ISBLANK(B127),IFERROR(0/0,""),RAW_APS!A127)</f>
        <v/>
      </c>
      <c r="D127" s="112" t="str">
        <f>IF(ISBLANK(C127),IFERROR(0/0,""), VLOOKUP(C127,preDEL!A$2:AG786,33,FALSE))</f>
        <v/>
      </c>
      <c r="E127" s="252"/>
      <c r="F127" s="210"/>
      <c r="G127" s="252"/>
      <c r="H127" s="255" t="str">
        <f t="shared" si="1"/>
        <v/>
      </c>
      <c r="I127" s="256" t="str">
        <f>CONCATENATE(UPPER(RAW_APS!$A128),"__",RAW_APS!$B128,"_",RAW_APS!$C128)</f>
        <v>FM329__44625_0.305300925925926</v>
      </c>
      <c r="J127" s="257" t="str">
        <f t="shared" si="2"/>
        <v/>
      </c>
      <c r="K127" s="252" t="s">
        <v>600</v>
      </c>
      <c r="L127" s="258" t="str">
        <f t="shared" si="3"/>
        <v>FM433</v>
      </c>
      <c r="M127" s="259" t="b">
        <f t="shared" si="4"/>
        <v>0</v>
      </c>
      <c r="N127" s="258" t="str">
        <f t="shared" si="5"/>
        <v/>
      </c>
      <c r="O127" s="5"/>
      <c r="P127" s="5"/>
      <c r="Q127" s="5"/>
      <c r="R127" s="5"/>
      <c r="S127" s="5"/>
      <c r="T127" s="5"/>
      <c r="U127" s="5"/>
      <c r="V127" s="5"/>
      <c r="W127" s="5"/>
    </row>
    <row r="128">
      <c r="A128" s="112" t="str">
        <f>IF(OR(ISBLANK(RAW_APS!A128),ISBLANK(RAW_APS!B128),ISBLANK(RAW_APS!C128)),TRUE,IFERROR(0/0,""))</f>
        <v/>
      </c>
      <c r="B128" s="252"/>
      <c r="C128" s="112" t="str">
        <f>IF(ISBLANK(B128),IFERROR(0/0,""),RAW_APS!A128)</f>
        <v/>
      </c>
      <c r="D128" s="112" t="str">
        <f>IF(ISBLANK(C128),IFERROR(0/0,""), VLOOKUP(C128,preDEL!A$2:AG786,33,FALSE))</f>
        <v/>
      </c>
      <c r="E128" s="252"/>
      <c r="F128" s="210"/>
      <c r="G128" s="252"/>
      <c r="H128" s="255" t="str">
        <f t="shared" si="1"/>
        <v/>
      </c>
      <c r="I128" s="256" t="str">
        <f>CONCATENATE(UPPER(RAW_APS!$A129),"__",RAW_APS!$B129,"_",RAW_APS!$C129)</f>
        <v>FM370__44625_0.301157407407407</v>
      </c>
      <c r="J128" s="257" t="str">
        <f t="shared" si="2"/>
        <v/>
      </c>
      <c r="K128" s="252" t="s">
        <v>602</v>
      </c>
      <c r="L128" s="258" t="str">
        <f t="shared" si="3"/>
        <v>FM436</v>
      </c>
      <c r="M128" s="259" t="b">
        <f t="shared" si="4"/>
        <v>0</v>
      </c>
      <c r="N128" s="258" t="str">
        <f t="shared" si="5"/>
        <v/>
      </c>
      <c r="O128" s="5"/>
      <c r="P128" s="5"/>
      <c r="Q128" s="5"/>
      <c r="R128" s="5"/>
      <c r="S128" s="5"/>
      <c r="T128" s="5"/>
      <c r="U128" s="5"/>
      <c r="V128" s="5"/>
      <c r="W128" s="5"/>
    </row>
    <row r="129">
      <c r="A129" s="112" t="str">
        <f>IF(OR(ISBLANK(RAW_APS!A129),ISBLANK(RAW_APS!B129),ISBLANK(RAW_APS!C129)),TRUE,IFERROR(0/0,""))</f>
        <v/>
      </c>
      <c r="B129" s="252"/>
      <c r="C129" s="112" t="str">
        <f>IF(ISBLANK(B129),IFERROR(0/0,""),RAW_APS!A129)</f>
        <v/>
      </c>
      <c r="D129" s="112" t="str">
        <f>IF(ISBLANK(C129),IFERROR(0/0,""), VLOOKUP(C129,preDEL!A$2:AG786,33,FALSE))</f>
        <v/>
      </c>
      <c r="E129" s="252"/>
      <c r="F129" s="210"/>
      <c r="G129" s="252"/>
      <c r="H129" s="255" t="str">
        <f t="shared" si="1"/>
        <v/>
      </c>
      <c r="I129" s="256" t="str">
        <f>CONCATENATE(UPPER(RAW_APS!$A130),"__",RAW_APS!$B130,"_",RAW_APS!$C130)</f>
        <v>FM95__44625_0.29443287037037</v>
      </c>
      <c r="J129" s="257" t="str">
        <f t="shared" si="2"/>
        <v/>
      </c>
      <c r="K129" s="252" t="s">
        <v>605</v>
      </c>
      <c r="L129" s="258" t="str">
        <f t="shared" si="3"/>
        <v>FM437</v>
      </c>
      <c r="M129" s="259" t="b">
        <f t="shared" si="4"/>
        <v>0</v>
      </c>
      <c r="N129" s="258" t="str">
        <f t="shared" si="5"/>
        <v/>
      </c>
      <c r="O129" s="5"/>
      <c r="P129" s="5"/>
      <c r="Q129" s="5"/>
      <c r="R129" s="5"/>
      <c r="S129" s="5"/>
      <c r="T129" s="5"/>
      <c r="U129" s="5"/>
      <c r="V129" s="5"/>
      <c r="W129" s="5"/>
    </row>
    <row r="130">
      <c r="A130" s="112" t="str">
        <f>IF(OR(ISBLANK(RAW_APS!A130),ISBLANK(RAW_APS!B130),ISBLANK(RAW_APS!C130)),TRUE,IFERROR(0/0,""))</f>
        <v/>
      </c>
      <c r="B130" s="252"/>
      <c r="C130" s="112" t="str">
        <f>IF(ISBLANK(B130),IFERROR(0/0,""),RAW_APS!A130)</f>
        <v/>
      </c>
      <c r="D130" s="112" t="str">
        <f>IF(ISBLANK(C130),IFERROR(0/0,""), VLOOKUP(C130,preDEL!A$2:AG786,33,FALSE))</f>
        <v/>
      </c>
      <c r="E130" s="252"/>
      <c r="F130" s="210"/>
      <c r="G130" s="252"/>
      <c r="H130" s="255" t="str">
        <f t="shared" si="1"/>
        <v/>
      </c>
      <c r="I130" s="256" t="str">
        <f>CONCATENATE(UPPER(RAW_APS!$A131),"__",RAW_APS!$B131,"_",RAW_APS!$C131)</f>
        <v>FM2041__44625_0.292685185185185</v>
      </c>
      <c r="J130" s="257" t="str">
        <f t="shared" si="2"/>
        <v/>
      </c>
      <c r="K130" s="252" t="s">
        <v>607</v>
      </c>
      <c r="L130" s="258" t="str">
        <f t="shared" si="3"/>
        <v>FM438</v>
      </c>
      <c r="M130" s="259" t="b">
        <f t="shared" si="4"/>
        <v>0</v>
      </c>
      <c r="N130" s="258" t="str">
        <f t="shared" si="5"/>
        <v/>
      </c>
      <c r="O130" s="5"/>
      <c r="P130" s="5"/>
      <c r="Q130" s="5"/>
      <c r="R130" s="5"/>
      <c r="S130" s="5"/>
      <c r="T130" s="5"/>
      <c r="U130" s="5"/>
      <c r="V130" s="5"/>
      <c r="W130" s="5"/>
    </row>
    <row r="131">
      <c r="A131" s="112" t="str">
        <f>IF(OR(ISBLANK(RAW_APS!A131),ISBLANK(RAW_APS!B131),ISBLANK(RAW_APS!C131)),TRUE,IFERROR(0/0,""))</f>
        <v/>
      </c>
      <c r="B131" s="252"/>
      <c r="C131" s="112" t="str">
        <f>IF(ISBLANK(B131),IFERROR(0/0,""),RAW_APS!A131)</f>
        <v/>
      </c>
      <c r="D131" s="112" t="str">
        <f>IF(ISBLANK(C131),IFERROR(0/0,""), VLOOKUP(C131,preDEL!A$2:AG786,33,FALSE))</f>
        <v/>
      </c>
      <c r="E131" s="252"/>
      <c r="F131" s="210"/>
      <c r="G131" s="252"/>
      <c r="H131" s="255" t="str">
        <f t="shared" si="1"/>
        <v/>
      </c>
      <c r="I131" s="256" t="str">
        <f>CONCATENATE(UPPER(RAW_APS!$A132),"__",RAW_APS!$B132,"_",RAW_APS!$C132)</f>
        <v>FM423__44625_0.287696759259259</v>
      </c>
      <c r="J131" s="257" t="str">
        <f t="shared" si="2"/>
        <v/>
      </c>
      <c r="K131" s="252" t="s">
        <v>610</v>
      </c>
      <c r="L131" s="258" t="str">
        <f t="shared" si="3"/>
        <v>FM439</v>
      </c>
      <c r="M131" s="259" t="b">
        <f t="shared" si="4"/>
        <v>0</v>
      </c>
      <c r="N131" s="258" t="str">
        <f t="shared" si="5"/>
        <v/>
      </c>
      <c r="O131" s="5"/>
      <c r="P131" s="5"/>
      <c r="Q131" s="5"/>
      <c r="R131" s="5"/>
      <c r="S131" s="5"/>
      <c r="T131" s="5"/>
      <c r="U131" s="5"/>
      <c r="V131" s="5"/>
      <c r="W131" s="5"/>
    </row>
    <row r="132">
      <c r="A132" s="112" t="str">
        <f>IF(OR(ISBLANK(RAW_APS!A132),ISBLANK(RAW_APS!B132),ISBLANK(RAW_APS!C132)),TRUE,IFERROR(0/0,""))</f>
        <v/>
      </c>
      <c r="B132" s="252"/>
      <c r="C132" s="112" t="str">
        <f>IF(ISBLANK(B132),IFERROR(0/0,""),RAW_APS!A132)</f>
        <v/>
      </c>
      <c r="D132" s="112" t="str">
        <f>IF(ISBLANK(C132),IFERROR(0/0,""), VLOOKUP(C132,preDEL!A$2:AG786,33,FALSE))</f>
        <v/>
      </c>
      <c r="E132" s="252"/>
      <c r="F132" s="210"/>
      <c r="G132" s="252"/>
      <c r="H132" s="255" t="str">
        <f t="shared" si="1"/>
        <v/>
      </c>
      <c r="I132" s="256" t="str">
        <f>CONCATENATE(UPPER(RAW_APS!$A133),"__",RAW_APS!$B133,"_",RAW_APS!$C133)</f>
        <v>FM480__44625_0.272685185185185</v>
      </c>
      <c r="J132" s="257" t="str">
        <f t="shared" si="2"/>
        <v/>
      </c>
      <c r="K132" s="252" t="s">
        <v>614</v>
      </c>
      <c r="L132" s="258" t="str">
        <f t="shared" si="3"/>
        <v>FM44</v>
      </c>
      <c r="M132" s="259" t="b">
        <f t="shared" si="4"/>
        <v>0</v>
      </c>
      <c r="N132" s="258" t="str">
        <f t="shared" si="5"/>
        <v/>
      </c>
      <c r="O132" s="5"/>
      <c r="P132" s="5"/>
      <c r="Q132" s="5"/>
      <c r="R132" s="5"/>
      <c r="S132" s="5"/>
      <c r="T132" s="5"/>
      <c r="U132" s="5"/>
      <c r="V132" s="5"/>
      <c r="W132" s="5"/>
    </row>
    <row r="133">
      <c r="A133" s="112" t="str">
        <f>IF(OR(ISBLANK(RAW_APS!A133),ISBLANK(RAW_APS!B133),ISBLANK(RAW_APS!C133)),TRUE,IFERROR(0/0,""))</f>
        <v/>
      </c>
      <c r="B133" s="252"/>
      <c r="C133" s="112" t="str">
        <f>IF(ISBLANK(B133),IFERROR(0/0,""),RAW_APS!A133)</f>
        <v/>
      </c>
      <c r="D133" s="112" t="str">
        <f>IF(ISBLANK(C133),IFERROR(0/0,""), VLOOKUP(C133,preDEL!A$2:AG786,33,FALSE))</f>
        <v/>
      </c>
      <c r="E133" s="252"/>
      <c r="F133" s="210"/>
      <c r="G133" s="252"/>
      <c r="H133" s="255" t="str">
        <f t="shared" si="1"/>
        <v/>
      </c>
      <c r="I133" s="256" t="str">
        <f>CONCATENATE(UPPER(RAW_APS!$A134),"__",RAW_APS!$B134,"_",RAW_APS!$C134)</f>
        <v>MA328__44625_0.270358796296296</v>
      </c>
      <c r="J133" s="257" t="str">
        <f t="shared" si="2"/>
        <v/>
      </c>
      <c r="K133" s="252" t="s">
        <v>616</v>
      </c>
      <c r="L133" s="258" t="str">
        <f t="shared" si="3"/>
        <v>FM440</v>
      </c>
      <c r="M133" s="259" t="b">
        <f t="shared" si="4"/>
        <v>0</v>
      </c>
      <c r="N133" s="258" t="str">
        <f t="shared" si="5"/>
        <v/>
      </c>
      <c r="O133" s="5"/>
      <c r="P133" s="5"/>
      <c r="Q133" s="5"/>
      <c r="R133" s="5"/>
      <c r="S133" s="5"/>
      <c r="T133" s="5"/>
      <c r="U133" s="5"/>
      <c r="V133" s="5"/>
      <c r="W133" s="5"/>
    </row>
    <row r="134">
      <c r="A134" s="112" t="str">
        <f>IF(OR(ISBLANK(RAW_APS!A134),ISBLANK(RAW_APS!B134),ISBLANK(RAW_APS!C134)),TRUE,IFERROR(0/0,""))</f>
        <v/>
      </c>
      <c r="B134" s="252"/>
      <c r="C134" s="112" t="str">
        <f>IF(ISBLANK(B134),IFERROR(0/0,""),RAW_APS!A134)</f>
        <v/>
      </c>
      <c r="D134" s="112" t="str">
        <f>IF(ISBLANK(C134),IFERROR(0/0,""), VLOOKUP(C134,preDEL!A$2:AG786,33,FALSE))</f>
        <v/>
      </c>
      <c r="E134" s="252"/>
      <c r="F134" s="210"/>
      <c r="G134" s="252"/>
      <c r="H134" s="255" t="str">
        <f t="shared" si="1"/>
        <v/>
      </c>
      <c r="I134" s="256" t="str">
        <f>CONCATENATE(UPPER(RAW_APS!$A135),"__",RAW_APS!$B135,"_",RAW_APS!$C135)</f>
        <v>MA319__44625_0.265289351851852</v>
      </c>
      <c r="J134" s="257" t="str">
        <f t="shared" si="2"/>
        <v/>
      </c>
      <c r="K134" s="252" t="s">
        <v>620</v>
      </c>
      <c r="L134" s="258" t="str">
        <f t="shared" si="3"/>
        <v>FM442</v>
      </c>
      <c r="M134" s="259" t="b">
        <f t="shared" si="4"/>
        <v>0</v>
      </c>
      <c r="N134" s="258" t="str">
        <f t="shared" si="5"/>
        <v/>
      </c>
      <c r="O134" s="5"/>
      <c r="P134" s="5"/>
      <c r="Q134" s="5"/>
      <c r="R134" s="5"/>
      <c r="S134" s="5"/>
      <c r="T134" s="5"/>
      <c r="U134" s="5"/>
      <c r="V134" s="5"/>
      <c r="W134" s="5"/>
    </row>
    <row r="135">
      <c r="A135" s="112" t="str">
        <f>IF(OR(ISBLANK(RAW_APS!A135),ISBLANK(RAW_APS!B135),ISBLANK(RAW_APS!C135)),TRUE,IFERROR(0/0,""))</f>
        <v/>
      </c>
      <c r="B135" s="252"/>
      <c r="C135" s="112" t="str">
        <f>IF(ISBLANK(B135),IFERROR(0/0,""),RAW_APS!A135)</f>
        <v/>
      </c>
      <c r="D135" s="112" t="str">
        <f>IF(ISBLANK(C135),IFERROR(0/0,""), VLOOKUP(C135,preDEL!A$2:AG786,33,FALSE))</f>
        <v/>
      </c>
      <c r="E135" s="252"/>
      <c r="F135" s="210"/>
      <c r="G135" s="252"/>
      <c r="H135" s="255" t="str">
        <f t="shared" si="1"/>
        <v/>
      </c>
      <c r="I135" s="256" t="str">
        <f>CONCATENATE(UPPER(RAW_APS!$A136),"__",RAW_APS!$B136,"_",RAW_APS!$C136)</f>
        <v>FM1202__44623_0.469166666666667</v>
      </c>
      <c r="J135" s="257" t="str">
        <f t="shared" si="2"/>
        <v/>
      </c>
      <c r="K135" s="252" t="s">
        <v>622</v>
      </c>
      <c r="L135" s="258" t="str">
        <f t="shared" si="3"/>
        <v>FM443</v>
      </c>
      <c r="M135" s="259" t="b">
        <f t="shared" si="4"/>
        <v>0</v>
      </c>
      <c r="N135" s="258" t="str">
        <f t="shared" si="5"/>
        <v/>
      </c>
      <c r="O135" s="5"/>
      <c r="P135" s="5"/>
      <c r="Q135" s="5"/>
      <c r="R135" s="5"/>
      <c r="S135" s="5"/>
      <c r="T135" s="5"/>
      <c r="U135" s="5"/>
      <c r="V135" s="5"/>
      <c r="W135" s="5"/>
    </row>
    <row r="136">
      <c r="A136" s="112" t="str">
        <f>IF(OR(ISBLANK(RAW_APS!A136),ISBLANK(RAW_APS!B136),ISBLANK(RAW_APS!C136)),TRUE,IFERROR(0/0,""))</f>
        <v/>
      </c>
      <c r="B136" s="252"/>
      <c r="C136" s="112" t="str">
        <f>IF(ISBLANK(B136),IFERROR(0/0,""),RAW_APS!A136)</f>
        <v/>
      </c>
      <c r="D136" s="112" t="str">
        <f>IF(ISBLANK(C136),IFERROR(0/0,""), VLOOKUP(C136,preDEL!A$2:AG786,33,FALSE))</f>
        <v/>
      </c>
      <c r="E136" s="252"/>
      <c r="F136" s="210"/>
      <c r="G136" s="252"/>
      <c r="H136" s="255" t="str">
        <f t="shared" si="1"/>
        <v/>
      </c>
      <c r="I136" s="256" t="str">
        <f>CONCATENATE(UPPER(RAW_APS!$A137),"__",RAW_APS!$B137,"_",RAW_APS!$C137)</f>
        <v>MA363__44623_0.458356481481482</v>
      </c>
      <c r="J136" s="257" t="str">
        <f t="shared" si="2"/>
        <v/>
      </c>
      <c r="K136" s="252" t="s">
        <v>626</v>
      </c>
      <c r="L136" s="258" t="str">
        <f t="shared" si="3"/>
        <v>FM444</v>
      </c>
      <c r="M136" s="259" t="b">
        <f t="shared" si="4"/>
        <v>0</v>
      </c>
      <c r="N136" s="258" t="str">
        <f t="shared" si="5"/>
        <v/>
      </c>
      <c r="O136" s="5"/>
      <c r="P136" s="5"/>
      <c r="Q136" s="5"/>
      <c r="R136" s="5"/>
      <c r="S136" s="5"/>
      <c r="T136" s="5"/>
      <c r="U136" s="5"/>
      <c r="V136" s="5"/>
      <c r="W136" s="5"/>
    </row>
    <row r="137">
      <c r="A137" s="112" t="str">
        <f>IF(OR(ISBLANK(RAW_APS!A137),ISBLANK(RAW_APS!B137),ISBLANK(RAW_APS!C137)),TRUE,IFERROR(0/0,""))</f>
        <v/>
      </c>
      <c r="B137" s="252"/>
      <c r="C137" s="112" t="str">
        <f>IF(ISBLANK(B137),IFERROR(0/0,""),RAW_APS!A137)</f>
        <v/>
      </c>
      <c r="D137" s="112" t="str">
        <f>IF(ISBLANK(C137),IFERROR(0/0,""), VLOOKUP(C137,preDEL!A$2:AG786,33,FALSE))</f>
        <v/>
      </c>
      <c r="E137" s="252"/>
      <c r="F137" s="210"/>
      <c r="G137" s="252"/>
      <c r="H137" s="255" t="str">
        <f t="shared" si="1"/>
        <v/>
      </c>
      <c r="I137" s="256" t="str">
        <f>CONCATENATE(UPPER(RAW_APS!$A138),"__",RAW_APS!$B138,"_",RAW_APS!$C138)</f>
        <v>FM440__44623_0.411469907407407</v>
      </c>
      <c r="J137" s="257" t="str">
        <f t="shared" si="2"/>
        <v/>
      </c>
      <c r="K137" s="252" t="s">
        <v>629</v>
      </c>
      <c r="L137" s="258" t="str">
        <f t="shared" si="3"/>
        <v>FM445</v>
      </c>
      <c r="M137" s="259" t="b">
        <f t="shared" si="4"/>
        <v>0</v>
      </c>
      <c r="N137" s="258" t="str">
        <f t="shared" si="5"/>
        <v/>
      </c>
      <c r="O137" s="5"/>
      <c r="P137" s="5"/>
      <c r="Q137" s="5"/>
      <c r="R137" s="5"/>
      <c r="S137" s="5"/>
      <c r="T137" s="5"/>
      <c r="U137" s="5"/>
      <c r="V137" s="5"/>
      <c r="W137" s="5"/>
    </row>
    <row r="138">
      <c r="A138" s="112" t="str">
        <f>IF(OR(ISBLANK(RAW_APS!A138),ISBLANK(RAW_APS!B138),ISBLANK(RAW_APS!C138)),TRUE,IFERROR(0/0,""))</f>
        <v/>
      </c>
      <c r="B138" s="252"/>
      <c r="C138" s="112" t="str">
        <f>IF(ISBLANK(B138),IFERROR(0/0,""),RAW_APS!A138)</f>
        <v/>
      </c>
      <c r="D138" s="112" t="str">
        <f>IF(ISBLANK(C138),IFERROR(0/0,""), VLOOKUP(C138,preDEL!A$2:AG786,33,FALSE))</f>
        <v/>
      </c>
      <c r="E138" s="252"/>
      <c r="F138" s="210"/>
      <c r="G138" s="252"/>
      <c r="H138" s="255" t="str">
        <f t="shared" si="1"/>
        <v/>
      </c>
      <c r="I138" s="256" t="str">
        <f>CONCATENATE(UPPER(RAW_APS!$A139),"__",RAW_APS!$B139,"_",RAW_APS!$C139)</f>
        <v>FM646__44623_0.389409722222222</v>
      </c>
      <c r="J138" s="257" t="str">
        <f t="shared" si="2"/>
        <v/>
      </c>
      <c r="K138" s="252" t="s">
        <v>631</v>
      </c>
      <c r="L138" s="258" t="str">
        <f t="shared" si="3"/>
        <v>FM446</v>
      </c>
      <c r="M138" s="259" t="b">
        <f t="shared" si="4"/>
        <v>0</v>
      </c>
      <c r="N138" s="258" t="str">
        <f t="shared" si="5"/>
        <v/>
      </c>
      <c r="O138" s="5"/>
      <c r="P138" s="5"/>
      <c r="Q138" s="5"/>
      <c r="R138" s="5"/>
      <c r="S138" s="5"/>
      <c r="T138" s="5"/>
      <c r="U138" s="5"/>
      <c r="V138" s="5"/>
      <c r="W138" s="5"/>
    </row>
    <row r="139">
      <c r="A139" s="112" t="str">
        <f>IF(OR(ISBLANK(RAW_APS!A139),ISBLANK(RAW_APS!B139),ISBLANK(RAW_APS!C139)),TRUE,IFERROR(0/0,""))</f>
        <v/>
      </c>
      <c r="B139" s="252"/>
      <c r="C139" s="112" t="str">
        <f>IF(ISBLANK(B139),IFERROR(0/0,""),RAW_APS!A139)</f>
        <v/>
      </c>
      <c r="D139" s="112" t="str">
        <f>IF(ISBLANK(C139),IFERROR(0/0,""), VLOOKUP(C139,preDEL!A$2:AG786,33,FALSE))</f>
        <v/>
      </c>
      <c r="E139" s="252"/>
      <c r="F139" s="210"/>
      <c r="G139" s="252"/>
      <c r="H139" s="255" t="str">
        <f t="shared" si="1"/>
        <v/>
      </c>
      <c r="I139" s="256" t="str">
        <f>CONCATENATE(UPPER(RAW_APS!$A140),"__",RAW_APS!$B140,"_",RAW_APS!$C140)</f>
        <v>FM24__44623_0.354803240740741</v>
      </c>
      <c r="J139" s="257" t="str">
        <f t="shared" si="2"/>
        <v/>
      </c>
      <c r="K139" s="252" t="s">
        <v>635</v>
      </c>
      <c r="L139" s="258" t="str">
        <f t="shared" si="3"/>
        <v>FM448</v>
      </c>
      <c r="M139" s="259" t="b">
        <f t="shared" si="4"/>
        <v>0</v>
      </c>
      <c r="N139" s="258" t="str">
        <f t="shared" si="5"/>
        <v/>
      </c>
      <c r="O139" s="5"/>
      <c r="P139" s="5"/>
      <c r="Q139" s="5"/>
      <c r="R139" s="5"/>
      <c r="S139" s="5"/>
      <c r="T139" s="5"/>
      <c r="U139" s="5"/>
      <c r="V139" s="5"/>
      <c r="W139" s="5"/>
    </row>
    <row r="140">
      <c r="A140" s="112" t="str">
        <f>IF(OR(ISBLANK(RAW_APS!A140),ISBLANK(RAW_APS!B140),ISBLANK(RAW_APS!C140)),TRUE,IFERROR(0/0,""))</f>
        <v/>
      </c>
      <c r="B140" s="252"/>
      <c r="C140" s="112" t="str">
        <f>IF(ISBLANK(B140),IFERROR(0/0,""),RAW_APS!A140)</f>
        <v/>
      </c>
      <c r="D140" s="112" t="str">
        <f>IF(ISBLANK(C140),IFERROR(0/0,""), VLOOKUP(C140,preDEL!A$2:AG786,33,FALSE))</f>
        <v/>
      </c>
      <c r="E140" s="252"/>
      <c r="F140" s="210"/>
      <c r="G140" s="252"/>
      <c r="H140" s="255" t="str">
        <f t="shared" si="1"/>
        <v/>
      </c>
      <c r="I140" s="256" t="str">
        <f>CONCATENATE(UPPER(RAW_APS!$A141),"__",RAW_APS!$B141,"_",RAW_APS!$C141)</f>
        <v>FM58__44623_0.345914351851852</v>
      </c>
      <c r="J140" s="257" t="str">
        <f t="shared" si="2"/>
        <v/>
      </c>
      <c r="K140" s="252" t="s">
        <v>637</v>
      </c>
      <c r="L140" s="258" t="str">
        <f t="shared" si="3"/>
        <v>FM45</v>
      </c>
      <c r="M140" s="259" t="b">
        <f t="shared" si="4"/>
        <v>0</v>
      </c>
      <c r="N140" s="258" t="str">
        <f t="shared" si="5"/>
        <v/>
      </c>
      <c r="O140" s="5"/>
      <c r="P140" s="5"/>
      <c r="Q140" s="5"/>
      <c r="R140" s="5"/>
      <c r="S140" s="5"/>
      <c r="T140" s="5"/>
      <c r="U140" s="5"/>
      <c r="V140" s="5"/>
      <c r="W140" s="5"/>
    </row>
    <row r="141">
      <c r="A141" s="112" t="str">
        <f>IF(OR(ISBLANK(RAW_APS!A141),ISBLANK(RAW_APS!B141),ISBLANK(RAW_APS!C141)),TRUE,IFERROR(0/0,""))</f>
        <v/>
      </c>
      <c r="B141" s="252"/>
      <c r="C141" s="112" t="str">
        <f>IF(ISBLANK(B141),IFERROR(0/0,""),RAW_APS!A141)</f>
        <v/>
      </c>
      <c r="D141" s="112" t="str">
        <f>IF(ISBLANK(C141),IFERROR(0/0,""), VLOOKUP(C141,preDEL!A$2:AG786,33,FALSE))</f>
        <v/>
      </c>
      <c r="E141" s="252"/>
      <c r="F141" s="210"/>
      <c r="G141" s="252"/>
      <c r="H141" s="255" t="str">
        <f t="shared" si="1"/>
        <v/>
      </c>
      <c r="I141" s="256" t="str">
        <f>CONCATENATE(UPPER(RAW_APS!$A142),"__",RAW_APS!$B142,"_",RAW_APS!$C142)</f>
        <v>FM40__44623_0.336400462962963</v>
      </c>
      <c r="J141" s="257" t="str">
        <f t="shared" si="2"/>
        <v/>
      </c>
      <c r="K141" s="252" t="s">
        <v>641</v>
      </c>
      <c r="L141" s="258" t="str">
        <f t="shared" si="3"/>
        <v>FM450</v>
      </c>
      <c r="M141" s="259" t="b">
        <f t="shared" si="4"/>
        <v>0</v>
      </c>
      <c r="N141" s="258" t="str">
        <f t="shared" si="5"/>
        <v/>
      </c>
      <c r="O141" s="5"/>
      <c r="P141" s="5"/>
      <c r="Q141" s="5"/>
      <c r="R141" s="5"/>
      <c r="S141" s="5"/>
      <c r="T141" s="5"/>
      <c r="U141" s="5"/>
      <c r="V141" s="5"/>
      <c r="W141" s="5"/>
    </row>
    <row r="142">
      <c r="A142" s="112" t="str">
        <f>IF(OR(ISBLANK(RAW_APS!A142),ISBLANK(RAW_APS!B142),ISBLANK(RAW_APS!C142)),TRUE,IFERROR(0/0,""))</f>
        <v/>
      </c>
      <c r="B142" s="252"/>
      <c r="C142" s="112" t="str">
        <f>IF(ISBLANK(B142),IFERROR(0/0,""),RAW_APS!A142)</f>
        <v/>
      </c>
      <c r="D142" s="112" t="str">
        <f>IF(ISBLANK(C142),IFERROR(0/0,""), VLOOKUP(C142,preDEL!A$2:AG786,33,FALSE))</f>
        <v/>
      </c>
      <c r="E142" s="252"/>
      <c r="F142" s="210"/>
      <c r="G142" s="252"/>
      <c r="H142" s="255" t="str">
        <f t="shared" si="1"/>
        <v/>
      </c>
      <c r="I142" s="256" t="str">
        <f>CONCATENATE(UPPER(RAW_APS!$A143),"__",RAW_APS!$B143,"_",RAW_APS!$C143)</f>
        <v>FM29__44623_0.335729166666667</v>
      </c>
      <c r="J142" s="257" t="str">
        <f t="shared" si="2"/>
        <v/>
      </c>
      <c r="K142" s="252" t="s">
        <v>643</v>
      </c>
      <c r="L142" s="258" t="str">
        <f t="shared" si="3"/>
        <v>FM452</v>
      </c>
      <c r="M142" s="259" t="b">
        <f t="shared" si="4"/>
        <v>0</v>
      </c>
      <c r="N142" s="258" t="str">
        <f t="shared" si="5"/>
        <v/>
      </c>
      <c r="O142" s="5"/>
      <c r="P142" s="5"/>
      <c r="Q142" s="5"/>
      <c r="R142" s="5"/>
      <c r="S142" s="5"/>
      <c r="T142" s="5"/>
      <c r="U142" s="5"/>
      <c r="V142" s="5"/>
      <c r="W142" s="5"/>
    </row>
    <row r="143">
      <c r="A143" s="112" t="str">
        <f>IF(OR(ISBLANK(RAW_APS!A143),ISBLANK(RAW_APS!B143),ISBLANK(RAW_APS!C143)),TRUE,IFERROR(0/0,""))</f>
        <v/>
      </c>
      <c r="B143" s="252"/>
      <c r="C143" s="112" t="str">
        <f>IF(ISBLANK(B143),IFERROR(0/0,""),RAW_APS!A143)</f>
        <v/>
      </c>
      <c r="D143" s="112" t="str">
        <f>IF(ISBLANK(C143),IFERROR(0/0,""), VLOOKUP(C143,preDEL!A$2:AG786,33,FALSE))</f>
        <v/>
      </c>
      <c r="E143" s="252"/>
      <c r="F143" s="210"/>
      <c r="G143" s="252"/>
      <c r="H143" s="255" t="str">
        <f t="shared" si="1"/>
        <v/>
      </c>
      <c r="I143" s="256" t="str">
        <f>CONCATENATE(UPPER(RAW_APS!$A144),"__",RAW_APS!$B144,"_",RAW_APS!$C144)</f>
        <v>FM97__44623_0.334421296296296</v>
      </c>
      <c r="J143" s="257" t="str">
        <f t="shared" si="2"/>
        <v/>
      </c>
      <c r="K143" s="252" t="s">
        <v>645</v>
      </c>
      <c r="L143" s="258" t="str">
        <f t="shared" si="3"/>
        <v>FM454</v>
      </c>
      <c r="M143" s="259" t="b">
        <f t="shared" si="4"/>
        <v>0</v>
      </c>
      <c r="N143" s="258" t="str">
        <f t="shared" si="5"/>
        <v/>
      </c>
      <c r="O143" s="5"/>
      <c r="P143" s="5"/>
      <c r="Q143" s="5"/>
      <c r="R143" s="5"/>
      <c r="S143" s="5"/>
      <c r="T143" s="5"/>
      <c r="U143" s="5"/>
      <c r="V143" s="5"/>
      <c r="W143" s="5"/>
    </row>
    <row r="144">
      <c r="A144" s="112" t="str">
        <f>IF(OR(ISBLANK(RAW_APS!A144),ISBLANK(RAW_APS!B144),ISBLANK(RAW_APS!C144)),TRUE,IFERROR(0/0,""))</f>
        <v/>
      </c>
      <c r="B144" s="252"/>
      <c r="C144" s="112" t="str">
        <f>IF(ISBLANK(B144),IFERROR(0/0,""),RAW_APS!A144)</f>
        <v/>
      </c>
      <c r="D144" s="112" t="str">
        <f>IF(ISBLANK(C144),IFERROR(0/0,""), VLOOKUP(C144,preDEL!A$2:AG786,33,FALSE))</f>
        <v/>
      </c>
      <c r="E144" s="252"/>
      <c r="F144" s="210"/>
      <c r="G144" s="252"/>
      <c r="H144" s="255" t="str">
        <f t="shared" si="1"/>
        <v/>
      </c>
      <c r="I144" s="256" t="str">
        <f>CONCATENATE(UPPER(RAW_APS!$A145),"__",RAW_APS!$B145,"_",RAW_APS!$C145)</f>
        <v>FM396__44623_0.323634259259259</v>
      </c>
      <c r="J144" s="257" t="str">
        <f t="shared" si="2"/>
        <v/>
      </c>
      <c r="K144" s="252" t="s">
        <v>647</v>
      </c>
      <c r="L144" s="258" t="str">
        <f t="shared" si="3"/>
        <v>FM455</v>
      </c>
      <c r="M144" s="259" t="b">
        <f t="shared" si="4"/>
        <v>0</v>
      </c>
      <c r="N144" s="258" t="str">
        <f t="shared" si="5"/>
        <v/>
      </c>
      <c r="O144" s="5"/>
      <c r="P144" s="5"/>
      <c r="Q144" s="5"/>
      <c r="R144" s="5"/>
      <c r="S144" s="5"/>
      <c r="T144" s="5"/>
      <c r="U144" s="5"/>
      <c r="V144" s="5"/>
      <c r="W144" s="5"/>
    </row>
    <row r="145">
      <c r="A145" s="112" t="str">
        <f>IF(OR(ISBLANK(RAW_APS!A145),ISBLANK(RAW_APS!B145),ISBLANK(RAW_APS!C145)),TRUE,IFERROR(0/0,""))</f>
        <v/>
      </c>
      <c r="B145" s="252"/>
      <c r="C145" s="112" t="str">
        <f>IF(ISBLANK(B145),IFERROR(0/0,""),RAW_APS!A145)</f>
        <v/>
      </c>
      <c r="D145" s="112" t="str">
        <f>IF(ISBLANK(C145),IFERROR(0/0,""), VLOOKUP(C145,preDEL!A$2:AG786,33,FALSE))</f>
        <v/>
      </c>
      <c r="E145" s="252"/>
      <c r="F145" s="210"/>
      <c r="G145" s="252"/>
      <c r="H145" s="255" t="str">
        <f t="shared" si="1"/>
        <v/>
      </c>
      <c r="I145" s="256" t="str">
        <f>CONCATENATE(UPPER(RAW_APS!$A146),"__",RAW_APS!$B146,"_",RAW_APS!$C146)</f>
        <v>FM402__44623_0.322604166666667</v>
      </c>
      <c r="J145" s="257" t="str">
        <f t="shared" si="2"/>
        <v/>
      </c>
      <c r="K145" s="252" t="s">
        <v>650</v>
      </c>
      <c r="L145" s="258" t="str">
        <f t="shared" si="3"/>
        <v>FM456</v>
      </c>
      <c r="M145" s="259" t="b">
        <f t="shared" si="4"/>
        <v>0</v>
      </c>
      <c r="N145" s="258" t="str">
        <f t="shared" si="5"/>
        <v/>
      </c>
      <c r="O145" s="5"/>
      <c r="P145" s="5"/>
      <c r="Q145" s="5"/>
      <c r="R145" s="5"/>
      <c r="S145" s="5"/>
      <c r="T145" s="5"/>
      <c r="U145" s="5"/>
      <c r="V145" s="5"/>
      <c r="W145" s="5"/>
    </row>
    <row r="146">
      <c r="A146" s="112" t="str">
        <f>IF(OR(ISBLANK(RAW_APS!A146),ISBLANK(RAW_APS!B146),ISBLANK(RAW_APS!C146)),TRUE,IFERROR(0/0,""))</f>
        <v/>
      </c>
      <c r="B146" s="252"/>
      <c r="C146" s="112" t="str">
        <f>IF(ISBLANK(B146),IFERROR(0/0,""),RAW_APS!A146)</f>
        <v/>
      </c>
      <c r="D146" s="112" t="str">
        <f>IF(ISBLANK(C146),IFERROR(0/0,""), VLOOKUP(C146,preDEL!A$2:AG786,33,FALSE))</f>
        <v/>
      </c>
      <c r="E146" s="252"/>
      <c r="F146" s="210"/>
      <c r="G146" s="252"/>
      <c r="H146" s="255" t="str">
        <f t="shared" si="1"/>
        <v/>
      </c>
      <c r="I146" s="256" t="str">
        <f>CONCATENATE(UPPER(RAW_APS!$A147),"__",RAW_APS!$B147,"_",RAW_APS!$C147)</f>
        <v>FM315__44623_0.322569444444444</v>
      </c>
      <c r="J146" s="257" t="str">
        <f t="shared" si="2"/>
        <v/>
      </c>
      <c r="K146" s="252" t="s">
        <v>653</v>
      </c>
      <c r="L146" s="258" t="str">
        <f t="shared" si="3"/>
        <v>FM458</v>
      </c>
      <c r="M146" s="259" t="b">
        <f t="shared" si="4"/>
        <v>0</v>
      </c>
      <c r="N146" s="258" t="str">
        <f t="shared" si="5"/>
        <v/>
      </c>
      <c r="O146" s="5"/>
      <c r="P146" s="5"/>
      <c r="Q146" s="5"/>
      <c r="R146" s="5"/>
      <c r="S146" s="5"/>
      <c r="T146" s="5"/>
      <c r="U146" s="5"/>
      <c r="V146" s="5"/>
      <c r="W146" s="5"/>
    </row>
    <row r="147">
      <c r="A147" s="112" t="str">
        <f>IF(OR(ISBLANK(RAW_APS!A147),ISBLANK(RAW_APS!B147),ISBLANK(RAW_APS!C147)),TRUE,IFERROR(0/0,""))</f>
        <v/>
      </c>
      <c r="B147" s="252"/>
      <c r="C147" s="112" t="str">
        <f>IF(ISBLANK(B147),IFERROR(0/0,""),RAW_APS!A147)</f>
        <v/>
      </c>
      <c r="D147" s="112" t="str">
        <f>IF(ISBLANK(C147),IFERROR(0/0,""), VLOOKUP(C147,preDEL!A$2:AG786,33,FALSE))</f>
        <v/>
      </c>
      <c r="E147" s="252"/>
      <c r="F147" s="210"/>
      <c r="G147" s="252"/>
      <c r="H147" s="255" t="str">
        <f t="shared" si="1"/>
        <v/>
      </c>
      <c r="I147" s="256" t="str">
        <f>CONCATENATE(UPPER(RAW_APS!$A148),"__",RAW_APS!$B148,"_",RAW_APS!$C148)</f>
        <v>FM312__44623_0.321979166666667</v>
      </c>
      <c r="J147" s="257" t="str">
        <f t="shared" si="2"/>
        <v/>
      </c>
      <c r="K147" s="252" t="s">
        <v>656</v>
      </c>
      <c r="L147" s="258" t="str">
        <f t="shared" si="3"/>
        <v>FM459</v>
      </c>
      <c r="M147" s="259" t="b">
        <f t="shared" si="4"/>
        <v>0</v>
      </c>
      <c r="N147" s="258" t="str">
        <f t="shared" si="5"/>
        <v/>
      </c>
      <c r="O147" s="5"/>
      <c r="P147" s="5"/>
      <c r="Q147" s="5"/>
      <c r="R147" s="5"/>
      <c r="S147" s="5"/>
      <c r="T147" s="5"/>
      <c r="U147" s="5"/>
      <c r="V147" s="5"/>
      <c r="W147" s="5"/>
    </row>
    <row r="148">
      <c r="A148" s="112" t="str">
        <f>IF(OR(ISBLANK(RAW_APS!A148),ISBLANK(RAW_APS!B148),ISBLANK(RAW_APS!C148)),TRUE,IFERROR(0/0,""))</f>
        <v/>
      </c>
      <c r="B148" s="252"/>
      <c r="C148" s="112" t="str">
        <f>IF(ISBLANK(B148),IFERROR(0/0,""),RAW_APS!A148)</f>
        <v/>
      </c>
      <c r="D148" s="112" t="str">
        <f>IF(ISBLANK(C148),IFERROR(0/0,""), VLOOKUP(C148,preDEL!A$2:AG786,33,FALSE))</f>
        <v/>
      </c>
      <c r="E148" s="252"/>
      <c r="F148" s="210"/>
      <c r="G148" s="252"/>
      <c r="H148" s="255" t="str">
        <f t="shared" si="1"/>
        <v/>
      </c>
      <c r="I148" s="256" t="str">
        <f>CONCATENATE(UPPER(RAW_APS!$A149),"__",RAW_APS!$B149,"_",RAW_APS!$C149)</f>
        <v>MA1319__44623_0.321782407407407</v>
      </c>
      <c r="J148" s="257" t="str">
        <f t="shared" si="2"/>
        <v/>
      </c>
      <c r="K148" s="252" t="s">
        <v>659</v>
      </c>
      <c r="L148" s="258" t="str">
        <f t="shared" si="3"/>
        <v>FM46</v>
      </c>
      <c r="M148" s="259" t="b">
        <f t="shared" si="4"/>
        <v>0</v>
      </c>
      <c r="N148" s="258" t="str">
        <f t="shared" si="5"/>
        <v/>
      </c>
      <c r="O148" s="5"/>
      <c r="P148" s="5"/>
      <c r="Q148" s="5"/>
      <c r="R148" s="5"/>
      <c r="S148" s="5"/>
      <c r="T148" s="5"/>
      <c r="U148" s="5"/>
      <c r="V148" s="5"/>
      <c r="W148" s="5"/>
    </row>
    <row r="149">
      <c r="A149" s="112" t="str">
        <f>IF(OR(ISBLANK(RAW_APS!A149),ISBLANK(RAW_APS!B149),ISBLANK(RAW_APS!C149)),TRUE,IFERROR(0/0,""))</f>
        <v/>
      </c>
      <c r="B149" s="252"/>
      <c r="C149" s="112" t="str">
        <f>IF(ISBLANK(B149),IFERROR(0/0,""),RAW_APS!A149)</f>
        <v/>
      </c>
      <c r="D149" s="112" t="str">
        <f>IF(ISBLANK(C149),IFERROR(0/0,""), VLOOKUP(C149,preDEL!A$2:AG786,33,FALSE))</f>
        <v/>
      </c>
      <c r="E149" s="252"/>
      <c r="F149" s="210"/>
      <c r="G149" s="252"/>
      <c r="H149" s="255" t="str">
        <f t="shared" si="1"/>
        <v/>
      </c>
      <c r="I149" s="256" t="str">
        <f>CONCATENATE(UPPER(RAW_APS!$A150),"__",RAW_APS!$B150,"_",RAW_APS!$C150)</f>
        <v>FM802__44623_0.321122685185185</v>
      </c>
      <c r="J149" s="257" t="str">
        <f t="shared" si="2"/>
        <v/>
      </c>
      <c r="K149" s="252" t="s">
        <v>662</v>
      </c>
      <c r="L149" s="258" t="str">
        <f t="shared" si="3"/>
        <v>FM461</v>
      </c>
      <c r="M149" s="259" t="b">
        <f t="shared" si="4"/>
        <v>0</v>
      </c>
      <c r="N149" s="258" t="str">
        <f t="shared" si="5"/>
        <v/>
      </c>
      <c r="O149" s="5"/>
      <c r="P149" s="5"/>
      <c r="Q149" s="5"/>
      <c r="R149" s="5"/>
      <c r="S149" s="5"/>
      <c r="T149" s="5"/>
      <c r="U149" s="5"/>
      <c r="V149" s="5"/>
      <c r="W149" s="5"/>
    </row>
    <row r="150">
      <c r="A150" s="112" t="str">
        <f>IF(OR(ISBLANK(RAW_APS!A150),ISBLANK(RAW_APS!B150),ISBLANK(RAW_APS!C150)),TRUE,IFERROR(0/0,""))</f>
        <v/>
      </c>
      <c r="B150" s="252"/>
      <c r="C150" s="112" t="str">
        <f>IF(ISBLANK(B150),IFERROR(0/0,""),RAW_APS!A150)</f>
        <v/>
      </c>
      <c r="D150" s="112" t="str">
        <f>IF(ISBLANK(C150),IFERROR(0/0,""), VLOOKUP(C150,preDEL!A$2:AG786,33,FALSE))</f>
        <v/>
      </c>
      <c r="E150" s="252"/>
      <c r="F150" s="210"/>
      <c r="G150" s="252"/>
      <c r="H150" s="255" t="str">
        <f t="shared" si="1"/>
        <v/>
      </c>
      <c r="I150" s="256" t="str">
        <f>CONCATENATE(UPPER(RAW_APS!$A151),"__",RAW_APS!$B151,"_",RAW_APS!$C151)</f>
        <v>FM2085__44623_0.319282407407407</v>
      </c>
      <c r="J150" s="257" t="str">
        <f t="shared" si="2"/>
        <v/>
      </c>
      <c r="K150" s="252" t="s">
        <v>664</v>
      </c>
      <c r="L150" s="258" t="str">
        <f t="shared" si="3"/>
        <v>FM463</v>
      </c>
      <c r="M150" s="259" t="b">
        <f t="shared" si="4"/>
        <v>0</v>
      </c>
      <c r="N150" s="258" t="str">
        <f t="shared" si="5"/>
        <v/>
      </c>
      <c r="O150" s="5"/>
      <c r="P150" s="5"/>
      <c r="Q150" s="5"/>
      <c r="R150" s="5"/>
      <c r="S150" s="5"/>
      <c r="T150" s="5"/>
      <c r="U150" s="5"/>
      <c r="V150" s="5"/>
      <c r="W150" s="5"/>
    </row>
    <row r="151">
      <c r="A151" s="112" t="str">
        <f>IF(OR(ISBLANK(RAW_APS!A151),ISBLANK(RAW_APS!B151),ISBLANK(RAW_APS!C151)),TRUE,IFERROR(0/0,""))</f>
        <v/>
      </c>
      <c r="B151" s="252"/>
      <c r="C151" s="112" t="str">
        <f>IF(ISBLANK(B151),IFERROR(0/0,""),RAW_APS!A151)</f>
        <v/>
      </c>
      <c r="D151" s="112" t="str">
        <f>IF(ISBLANK(C151),IFERROR(0/0,""), VLOOKUP(C151,preDEL!A$2:AG786,33,FALSE))</f>
        <v/>
      </c>
      <c r="E151" s="252"/>
      <c r="F151" s="210"/>
      <c r="G151" s="252"/>
      <c r="H151" s="255" t="str">
        <f t="shared" si="1"/>
        <v/>
      </c>
      <c r="I151" s="256" t="str">
        <f>CONCATENATE(UPPER(RAW_APS!$A152),"__",RAW_APS!$B152,"_",RAW_APS!$C152)</f>
        <v>FM525__44623_0.317407407407407</v>
      </c>
      <c r="J151" s="257" t="str">
        <f t="shared" si="2"/>
        <v/>
      </c>
      <c r="K151" s="252" t="s">
        <v>667</v>
      </c>
      <c r="L151" s="258" t="str">
        <f t="shared" si="3"/>
        <v>FM464</v>
      </c>
      <c r="M151" s="259" t="b">
        <f t="shared" si="4"/>
        <v>0</v>
      </c>
      <c r="N151" s="258" t="str">
        <f t="shared" si="5"/>
        <v/>
      </c>
      <c r="O151" s="5"/>
      <c r="P151" s="5"/>
      <c r="Q151" s="5"/>
      <c r="R151" s="5"/>
      <c r="S151" s="5"/>
      <c r="T151" s="5"/>
      <c r="U151" s="5"/>
      <c r="V151" s="5"/>
      <c r="W151" s="5"/>
    </row>
    <row r="152">
      <c r="A152" s="112" t="str">
        <f>IF(OR(ISBLANK(RAW_APS!A152),ISBLANK(RAW_APS!B152),ISBLANK(RAW_APS!C152)),TRUE,IFERROR(0/0,""))</f>
        <v/>
      </c>
      <c r="B152" s="252"/>
      <c r="C152" s="112" t="str">
        <f>IF(ISBLANK(B152),IFERROR(0/0,""),RAW_APS!A152)</f>
        <v/>
      </c>
      <c r="D152" s="112" t="str">
        <f>IF(ISBLANK(C152),IFERROR(0/0,""), VLOOKUP(C152,preDEL!A$2:AG786,33,FALSE))</f>
        <v/>
      </c>
      <c r="E152" s="252"/>
      <c r="F152" s="210"/>
      <c r="G152" s="252"/>
      <c r="H152" s="255" t="str">
        <f t="shared" si="1"/>
        <v/>
      </c>
      <c r="I152" s="256" t="str">
        <f>CONCATENATE(UPPER(RAW_APS!$A153),"__",RAW_APS!$B153,"_",RAW_APS!$C153)</f>
        <v>FM2078__44623_0.315648148148148</v>
      </c>
      <c r="J152" s="257" t="str">
        <f t="shared" si="2"/>
        <v/>
      </c>
      <c r="K152" s="252" t="s">
        <v>670</v>
      </c>
      <c r="L152" s="258" t="str">
        <f t="shared" si="3"/>
        <v>FM466</v>
      </c>
      <c r="M152" s="259" t="b">
        <f t="shared" si="4"/>
        <v>0</v>
      </c>
      <c r="N152" s="258" t="str">
        <f t="shared" si="5"/>
        <v/>
      </c>
      <c r="O152" s="5"/>
      <c r="P152" s="5"/>
      <c r="Q152" s="5"/>
      <c r="R152" s="5"/>
      <c r="S152" s="5"/>
      <c r="T152" s="5"/>
      <c r="U152" s="5"/>
      <c r="V152" s="5"/>
      <c r="W152" s="5"/>
    </row>
    <row r="153">
      <c r="A153" s="112" t="str">
        <f>IF(OR(ISBLANK(RAW_APS!A153),ISBLANK(RAW_APS!B153),ISBLANK(RAW_APS!C153)),TRUE,IFERROR(0/0,""))</f>
        <v/>
      </c>
      <c r="B153" s="252"/>
      <c r="C153" s="112" t="str">
        <f>IF(ISBLANK(B153),IFERROR(0/0,""),RAW_APS!A153)</f>
        <v/>
      </c>
      <c r="D153" s="112" t="str">
        <f>IF(ISBLANK(C153),IFERROR(0/0,""), VLOOKUP(C153,preDEL!A$2:AG786,33,FALSE))</f>
        <v/>
      </c>
      <c r="E153" s="252"/>
      <c r="F153" s="210"/>
      <c r="G153" s="252"/>
      <c r="H153" s="255" t="str">
        <f t="shared" si="1"/>
        <v/>
      </c>
      <c r="I153" s="256" t="str">
        <f>CONCATENATE(UPPER(RAW_APS!$A154),"__",RAW_APS!$B154,"_",RAW_APS!$C154)</f>
        <v>FM968__44623_0.313252314814815</v>
      </c>
      <c r="J153" s="257" t="str">
        <f t="shared" si="2"/>
        <v/>
      </c>
      <c r="K153" s="252" t="s">
        <v>673</v>
      </c>
      <c r="L153" s="258" t="str">
        <f t="shared" si="3"/>
        <v>FM47</v>
      </c>
      <c r="M153" s="259" t="b">
        <f t="shared" si="4"/>
        <v>0</v>
      </c>
      <c r="N153" s="258" t="str">
        <f t="shared" si="5"/>
        <v/>
      </c>
      <c r="O153" s="5"/>
      <c r="P153" s="5"/>
      <c r="Q153" s="5"/>
      <c r="R153" s="5"/>
      <c r="S153" s="5"/>
      <c r="T153" s="5"/>
      <c r="U153" s="5"/>
      <c r="V153" s="5"/>
      <c r="W153" s="5"/>
    </row>
    <row r="154">
      <c r="A154" s="112" t="str">
        <f>IF(OR(ISBLANK(RAW_APS!A154),ISBLANK(RAW_APS!B154),ISBLANK(RAW_APS!C154)),TRUE,IFERROR(0/0,""))</f>
        <v/>
      </c>
      <c r="B154" s="252"/>
      <c r="C154" s="112" t="str">
        <f>IF(ISBLANK(B154),IFERROR(0/0,""),RAW_APS!A154)</f>
        <v/>
      </c>
      <c r="D154" s="112" t="str">
        <f>IF(ISBLANK(C154),IFERROR(0/0,""), VLOOKUP(C154,preDEL!A$2:AG786,33,FALSE))</f>
        <v/>
      </c>
      <c r="E154" s="252"/>
      <c r="F154" s="210"/>
      <c r="G154" s="252"/>
      <c r="H154" s="255" t="str">
        <f t="shared" si="1"/>
        <v/>
      </c>
      <c r="I154" s="256" t="str">
        <f>CONCATENATE(UPPER(RAW_APS!$A155),"__",RAW_APS!$B155,"_",RAW_APS!$C155)</f>
        <v>FM2089__44623_0.311041666666667</v>
      </c>
      <c r="J154" s="257" t="str">
        <f t="shared" si="2"/>
        <v/>
      </c>
      <c r="K154" s="252" t="s">
        <v>676</v>
      </c>
      <c r="L154" s="258" t="str">
        <f t="shared" si="3"/>
        <v>FM470</v>
      </c>
      <c r="M154" s="259" t="b">
        <f t="shared" si="4"/>
        <v>0</v>
      </c>
      <c r="N154" s="258" t="str">
        <f t="shared" si="5"/>
        <v/>
      </c>
      <c r="O154" s="5"/>
      <c r="P154" s="5"/>
      <c r="Q154" s="5"/>
      <c r="R154" s="5"/>
      <c r="S154" s="5"/>
      <c r="T154" s="5"/>
      <c r="U154" s="5"/>
      <c r="V154" s="5"/>
      <c r="W154" s="5"/>
    </row>
    <row r="155">
      <c r="A155" s="112" t="str">
        <f>IF(OR(ISBLANK(RAW_APS!A155),ISBLANK(RAW_APS!B155),ISBLANK(RAW_APS!C155)),TRUE,IFERROR(0/0,""))</f>
        <v/>
      </c>
      <c r="B155" s="252"/>
      <c r="C155" s="112" t="str">
        <f>IF(ISBLANK(B155),IFERROR(0/0,""),RAW_APS!A155)</f>
        <v/>
      </c>
      <c r="D155" s="112" t="str">
        <f>IF(ISBLANK(C155),IFERROR(0/0,""), VLOOKUP(C155,preDEL!A$2:AG786,33,FALSE))</f>
        <v/>
      </c>
      <c r="E155" s="252"/>
      <c r="F155" s="210"/>
      <c r="G155" s="252"/>
      <c r="H155" s="255" t="str">
        <f t="shared" si="1"/>
        <v/>
      </c>
      <c r="I155" s="256" t="str">
        <f>CONCATENATE(UPPER(RAW_APS!$A156),"__",RAW_APS!$B156,"_",RAW_APS!$C156)</f>
        <v>FM2081__44623_0.310868055555556</v>
      </c>
      <c r="J155" s="257" t="str">
        <f t="shared" si="2"/>
        <v/>
      </c>
      <c r="K155" s="252" t="s">
        <v>679</v>
      </c>
      <c r="L155" s="258" t="str">
        <f t="shared" si="3"/>
        <v>FM471</v>
      </c>
      <c r="M155" s="259" t="b">
        <f t="shared" si="4"/>
        <v>0</v>
      </c>
      <c r="N155" s="258" t="str">
        <f t="shared" si="5"/>
        <v/>
      </c>
      <c r="O155" s="5"/>
      <c r="P155" s="5"/>
      <c r="Q155" s="5"/>
      <c r="R155" s="5"/>
      <c r="S155" s="5"/>
      <c r="T155" s="5"/>
      <c r="U155" s="5"/>
      <c r="V155" s="5"/>
      <c r="W155" s="5"/>
    </row>
    <row r="156">
      <c r="A156" s="112" t="str">
        <f>IF(OR(ISBLANK(RAW_APS!A156),ISBLANK(RAW_APS!B156),ISBLANK(RAW_APS!C156)),TRUE,IFERROR(0/0,""))</f>
        <v/>
      </c>
      <c r="B156" s="252"/>
      <c r="C156" s="112" t="str">
        <f>IF(ISBLANK(B156),IFERROR(0/0,""),RAW_APS!A156)</f>
        <v/>
      </c>
      <c r="D156" s="112" t="str">
        <f>IF(ISBLANK(C156),IFERROR(0/0,""), VLOOKUP(C156,preDEL!A$2:AG786,33,FALSE))</f>
        <v/>
      </c>
      <c r="E156" s="252"/>
      <c r="F156" s="210"/>
      <c r="G156" s="252"/>
      <c r="H156" s="255" t="str">
        <f t="shared" si="1"/>
        <v/>
      </c>
      <c r="I156" s="256" t="str">
        <f>CONCATENATE(UPPER(RAW_APS!$A157),"__",RAW_APS!$B157,"_",RAW_APS!$C157)</f>
        <v>FM813__44623_0.310266203703704</v>
      </c>
      <c r="J156" s="257" t="str">
        <f t="shared" si="2"/>
        <v/>
      </c>
      <c r="K156" s="252" t="s">
        <v>682</v>
      </c>
      <c r="L156" s="258" t="str">
        <f t="shared" si="3"/>
        <v>FM472</v>
      </c>
      <c r="M156" s="259" t="b">
        <f t="shared" si="4"/>
        <v>0</v>
      </c>
      <c r="N156" s="258" t="str">
        <f t="shared" si="5"/>
        <v/>
      </c>
      <c r="O156" s="5"/>
      <c r="P156" s="5"/>
      <c r="Q156" s="5"/>
      <c r="R156" s="5"/>
      <c r="S156" s="5"/>
      <c r="T156" s="5"/>
      <c r="U156" s="5"/>
      <c r="V156" s="5"/>
      <c r="W156" s="5"/>
    </row>
    <row r="157">
      <c r="A157" s="112" t="str">
        <f>IF(OR(ISBLANK(RAW_APS!A157),ISBLANK(RAW_APS!B157),ISBLANK(RAW_APS!C157)),TRUE,IFERROR(0/0,""))</f>
        <v/>
      </c>
      <c r="B157" s="252"/>
      <c r="C157" s="112" t="str">
        <f>IF(ISBLANK(B157),IFERROR(0/0,""),RAW_APS!A157)</f>
        <v/>
      </c>
      <c r="D157" s="112" t="str">
        <f>IF(ISBLANK(C157),IFERROR(0/0,""), VLOOKUP(C157,preDEL!A$2:AG786,33,FALSE))</f>
        <v/>
      </c>
      <c r="E157" s="252"/>
      <c r="F157" s="210"/>
      <c r="G157" s="252"/>
      <c r="H157" s="255" t="str">
        <f t="shared" si="1"/>
        <v/>
      </c>
      <c r="I157" s="256" t="str">
        <f>CONCATENATE(UPPER(RAW_APS!$A158),"__",RAW_APS!$B158,"_",RAW_APS!$C158)</f>
        <v>FM2061__44623_0.309571759259259</v>
      </c>
      <c r="J157" s="257" t="str">
        <f t="shared" si="2"/>
        <v/>
      </c>
      <c r="K157" s="252" t="s">
        <v>685</v>
      </c>
      <c r="L157" s="258" t="str">
        <f t="shared" si="3"/>
        <v>FM475</v>
      </c>
      <c r="M157" s="259" t="b">
        <f t="shared" si="4"/>
        <v>0</v>
      </c>
      <c r="N157" s="258" t="str">
        <f t="shared" si="5"/>
        <v/>
      </c>
      <c r="O157" s="5"/>
      <c r="P157" s="5"/>
      <c r="Q157" s="5"/>
      <c r="R157" s="5"/>
      <c r="S157" s="5"/>
      <c r="T157" s="5"/>
      <c r="U157" s="5"/>
      <c r="V157" s="5"/>
      <c r="W157" s="5"/>
    </row>
    <row r="158">
      <c r="A158" s="112" t="str">
        <f>IF(OR(ISBLANK(RAW_APS!A158),ISBLANK(RAW_APS!B158),ISBLANK(RAW_APS!C158)),TRUE,IFERROR(0/0,""))</f>
        <v/>
      </c>
      <c r="B158" s="252"/>
      <c r="C158" s="112" t="str">
        <f>IF(ISBLANK(B158),IFERROR(0/0,""),RAW_APS!A158)</f>
        <v/>
      </c>
      <c r="D158" s="112" t="str">
        <f>IF(ISBLANK(C158),IFERROR(0/0,""), VLOOKUP(C158,preDEL!A$2:AG786,33,FALSE))</f>
        <v/>
      </c>
      <c r="E158" s="252"/>
      <c r="F158" s="210"/>
      <c r="G158" s="252"/>
      <c r="H158" s="255" t="str">
        <f t="shared" si="1"/>
        <v/>
      </c>
      <c r="I158" s="256" t="str">
        <f>CONCATENATE(UPPER(RAW_APS!$A159),"__",RAW_APS!$B159,"_",RAW_APS!$C159)</f>
        <v>FM436__44623_0.305138888888889</v>
      </c>
      <c r="J158" s="257" t="str">
        <f t="shared" si="2"/>
        <v/>
      </c>
      <c r="K158" s="252" t="s">
        <v>688</v>
      </c>
      <c r="L158" s="258" t="str">
        <f t="shared" si="3"/>
        <v>FM476</v>
      </c>
      <c r="M158" s="259" t="b">
        <f t="shared" si="4"/>
        <v>0</v>
      </c>
      <c r="N158" s="258" t="str">
        <f t="shared" si="5"/>
        <v/>
      </c>
      <c r="O158" s="5"/>
      <c r="P158" s="5"/>
      <c r="Q158" s="5"/>
      <c r="R158" s="5"/>
      <c r="S158" s="5"/>
      <c r="T158" s="5"/>
      <c r="U158" s="5"/>
      <c r="V158" s="5"/>
      <c r="W158" s="5"/>
    </row>
    <row r="159">
      <c r="A159" s="112" t="str">
        <f>IF(OR(ISBLANK(RAW_APS!A159),ISBLANK(RAW_APS!B159),ISBLANK(RAW_APS!C159)),TRUE,IFERROR(0/0,""))</f>
        <v/>
      </c>
      <c r="B159" s="252"/>
      <c r="C159" s="112" t="str">
        <f>IF(ISBLANK(B159),IFERROR(0/0,""),RAW_APS!A159)</f>
        <v/>
      </c>
      <c r="D159" s="112" t="str">
        <f>IF(ISBLANK(C159),IFERROR(0/0,""), VLOOKUP(C159,preDEL!A$2:AG786,33,FALSE))</f>
        <v/>
      </c>
      <c r="E159" s="252"/>
      <c r="F159" s="210"/>
      <c r="G159" s="252"/>
      <c r="H159" s="255" t="str">
        <f t="shared" si="1"/>
        <v/>
      </c>
      <c r="I159" s="256" t="str">
        <f>CONCATENATE(UPPER(RAW_APS!$A160),"__",RAW_APS!$B160,"_",RAW_APS!$C160)</f>
        <v>FM13__44623_0.304479166666667</v>
      </c>
      <c r="J159" s="257" t="str">
        <f t="shared" si="2"/>
        <v/>
      </c>
      <c r="K159" s="252" t="s">
        <v>690</v>
      </c>
      <c r="L159" s="258" t="str">
        <f t="shared" si="3"/>
        <v>FM477</v>
      </c>
      <c r="M159" s="259" t="b">
        <f t="shared" si="4"/>
        <v>0</v>
      </c>
      <c r="N159" s="258" t="str">
        <f t="shared" si="5"/>
        <v/>
      </c>
      <c r="O159" s="5"/>
      <c r="P159" s="5"/>
      <c r="Q159" s="5"/>
      <c r="R159" s="5"/>
      <c r="S159" s="5"/>
      <c r="T159" s="5"/>
      <c r="U159" s="5"/>
      <c r="V159" s="5"/>
      <c r="W159" s="5"/>
    </row>
    <row r="160">
      <c r="A160" s="112" t="str">
        <f>IF(OR(ISBLANK(RAW_APS!A160),ISBLANK(RAW_APS!B160),ISBLANK(RAW_APS!C160)),TRUE,IFERROR(0/0,""))</f>
        <v/>
      </c>
      <c r="B160" s="252"/>
      <c r="C160" s="112" t="str">
        <f>IF(ISBLANK(B160),IFERROR(0/0,""),RAW_APS!A160)</f>
        <v/>
      </c>
      <c r="D160" s="112" t="str">
        <f>IF(ISBLANK(C160),IFERROR(0/0,""), VLOOKUP(C160,preDEL!A$2:AG786,33,FALSE))</f>
        <v/>
      </c>
      <c r="E160" s="252"/>
      <c r="F160" s="210"/>
      <c r="G160" s="252"/>
      <c r="H160" s="255" t="str">
        <f t="shared" si="1"/>
        <v/>
      </c>
      <c r="I160" s="256" t="str">
        <f>CONCATENATE(UPPER(RAW_APS!$A161),"__",RAW_APS!$B161,"_",RAW_APS!$C161)</f>
        <v>FM114__44623_0.303854166666667</v>
      </c>
      <c r="J160" s="257" t="str">
        <f t="shared" si="2"/>
        <v/>
      </c>
      <c r="K160" s="252" t="s">
        <v>692</v>
      </c>
      <c r="L160" s="258" t="str">
        <f t="shared" si="3"/>
        <v>FM478</v>
      </c>
      <c r="M160" s="259" t="b">
        <f t="shared" si="4"/>
        <v>0</v>
      </c>
      <c r="N160" s="258" t="str">
        <f t="shared" si="5"/>
        <v/>
      </c>
      <c r="O160" s="5"/>
      <c r="P160" s="5"/>
      <c r="Q160" s="5"/>
      <c r="R160" s="5"/>
      <c r="S160" s="5"/>
      <c r="T160" s="5"/>
      <c r="U160" s="5"/>
      <c r="V160" s="5"/>
      <c r="W160" s="5"/>
    </row>
    <row r="161">
      <c r="A161" s="112" t="str">
        <f>IF(OR(ISBLANK(RAW_APS!A161),ISBLANK(RAW_APS!B161),ISBLANK(RAW_APS!C161)),TRUE,IFERROR(0/0,""))</f>
        <v/>
      </c>
      <c r="B161" s="252"/>
      <c r="C161" s="112" t="str">
        <f>IF(ISBLANK(B161),IFERROR(0/0,""),RAW_APS!A161)</f>
        <v/>
      </c>
      <c r="D161" s="112" t="str">
        <f>IF(ISBLANK(C161),IFERROR(0/0,""), VLOOKUP(C161,preDEL!A$2:AG786,33,FALSE))</f>
        <v/>
      </c>
      <c r="E161" s="252"/>
      <c r="F161" s="210"/>
      <c r="G161" s="252"/>
      <c r="H161" s="255" t="str">
        <f t="shared" si="1"/>
        <v/>
      </c>
      <c r="I161" s="256" t="str">
        <f>CONCATENATE(UPPER(RAW_APS!$A162),"__",RAW_APS!$B162,"_",RAW_APS!$C162)</f>
        <v>FM1917__44623_0.296157407407407</v>
      </c>
      <c r="J161" s="257" t="str">
        <f t="shared" si="2"/>
        <v/>
      </c>
      <c r="K161" s="252" t="s">
        <v>694</v>
      </c>
      <c r="L161" s="258" t="str">
        <f t="shared" si="3"/>
        <v>FM479</v>
      </c>
      <c r="M161" s="259" t="b">
        <f t="shared" si="4"/>
        <v>0</v>
      </c>
      <c r="N161" s="258" t="str">
        <f t="shared" si="5"/>
        <v/>
      </c>
      <c r="O161" s="5"/>
      <c r="P161" s="5"/>
      <c r="Q161" s="5"/>
      <c r="R161" s="5"/>
      <c r="S161" s="5"/>
      <c r="T161" s="5"/>
      <c r="U161" s="5"/>
      <c r="V161" s="5"/>
      <c r="W161" s="5"/>
    </row>
    <row r="162">
      <c r="A162" s="112" t="str">
        <f>IF(OR(ISBLANK(RAW_APS!A162),ISBLANK(RAW_APS!B162),ISBLANK(RAW_APS!C162)),TRUE,IFERROR(0/0,""))</f>
        <v/>
      </c>
      <c r="B162" s="252"/>
      <c r="C162" s="112" t="str">
        <f>IF(ISBLANK(B162),IFERROR(0/0,""),RAW_APS!A162)</f>
        <v/>
      </c>
      <c r="D162" s="112" t="str">
        <f>IF(ISBLANK(C162),IFERROR(0/0,""), VLOOKUP(C162,preDEL!A$2:AG786,33,FALSE))</f>
        <v/>
      </c>
      <c r="E162" s="252"/>
      <c r="F162" s="210"/>
      <c r="G162" s="252"/>
      <c r="H162" s="255" t="str">
        <f t="shared" si="1"/>
        <v/>
      </c>
      <c r="I162" s="256" t="str">
        <f>CONCATENATE(UPPER(RAW_APS!$A163),"__",RAW_APS!$B163,"_",RAW_APS!$C163)</f>
        <v>FM2083__44623_0.294328703703704</v>
      </c>
      <c r="J162" s="257" t="str">
        <f t="shared" si="2"/>
        <v/>
      </c>
      <c r="K162" s="252" t="s">
        <v>697</v>
      </c>
      <c r="L162" s="258" t="str">
        <f t="shared" si="3"/>
        <v>FM480</v>
      </c>
      <c r="M162" s="259" t="b">
        <f t="shared" si="4"/>
        <v>0</v>
      </c>
      <c r="N162" s="258" t="str">
        <f t="shared" si="5"/>
        <v/>
      </c>
      <c r="O162" s="5"/>
      <c r="P162" s="5"/>
      <c r="Q162" s="5"/>
      <c r="R162" s="5"/>
      <c r="S162" s="5"/>
      <c r="T162" s="5"/>
      <c r="U162" s="5"/>
      <c r="V162" s="5"/>
      <c r="W162" s="5"/>
    </row>
    <row r="163">
      <c r="A163" s="112" t="str">
        <f>IF(OR(ISBLANK(RAW_APS!A163),ISBLANK(RAW_APS!B163),ISBLANK(RAW_APS!C163)),TRUE,IFERROR(0/0,""))</f>
        <v/>
      </c>
      <c r="B163" s="252"/>
      <c r="C163" s="112" t="str">
        <f>IF(ISBLANK(B163),IFERROR(0/0,""),RAW_APS!A163)</f>
        <v/>
      </c>
      <c r="D163" s="112" t="str">
        <f>IF(ISBLANK(C163),IFERROR(0/0,""), VLOOKUP(C163,preDEL!A$2:AG786,33,FALSE))</f>
        <v/>
      </c>
      <c r="E163" s="252"/>
      <c r="F163" s="210"/>
      <c r="G163" s="252"/>
      <c r="H163" s="255" t="str">
        <f t="shared" si="1"/>
        <v/>
      </c>
      <c r="I163" s="256" t="str">
        <f>CONCATENATE(UPPER(RAW_APS!$A164),"__",RAW_APS!$B164,"_",RAW_APS!$C164)</f>
        <v>HERO11__44621_0.534328703703704</v>
      </c>
      <c r="J163" s="257" t="str">
        <f t="shared" si="2"/>
        <v/>
      </c>
      <c r="K163" s="252" t="s">
        <v>699</v>
      </c>
      <c r="L163" s="258" t="str">
        <f t="shared" si="3"/>
        <v>FM481</v>
      </c>
      <c r="M163" s="259" t="b">
        <f t="shared" si="4"/>
        <v>0</v>
      </c>
      <c r="N163" s="258" t="str">
        <f t="shared" si="5"/>
        <v/>
      </c>
      <c r="O163" s="5"/>
      <c r="P163" s="5"/>
      <c r="Q163" s="5"/>
      <c r="R163" s="5"/>
      <c r="S163" s="5"/>
      <c r="T163" s="5"/>
      <c r="U163" s="5"/>
      <c r="V163" s="5"/>
      <c r="W163" s="5"/>
    </row>
    <row r="164">
      <c r="A164" s="112" t="str">
        <f>IF(OR(ISBLANK(RAW_APS!A164),ISBLANK(RAW_APS!B164),ISBLANK(RAW_APS!C164)),TRUE,IFERROR(0/0,""))</f>
        <v/>
      </c>
      <c r="B164" s="252"/>
      <c r="C164" s="112" t="str">
        <f>IF(ISBLANK(B164),IFERROR(0/0,""),RAW_APS!A164)</f>
        <v/>
      </c>
      <c r="D164" s="112" t="str">
        <f>IF(ISBLANK(C164),IFERROR(0/0,""), VLOOKUP(C164,preDEL!A$2:AG786,33,FALSE))</f>
        <v/>
      </c>
      <c r="E164" s="252"/>
      <c r="F164" s="210"/>
      <c r="G164" s="252"/>
      <c r="H164" s="255" t="str">
        <f t="shared" si="1"/>
        <v/>
      </c>
      <c r="I164" s="256" t="str">
        <f>CONCATENATE(UPPER(RAW_APS!$A165),"__",RAW_APS!$B165,"_",RAW_APS!$C165)</f>
        <v>FM2090__44621_0.467465277777778</v>
      </c>
      <c r="J164" s="257" t="str">
        <f t="shared" si="2"/>
        <v/>
      </c>
      <c r="K164" s="252" t="s">
        <v>702</v>
      </c>
      <c r="L164" s="258" t="str">
        <f t="shared" si="3"/>
        <v>FM485</v>
      </c>
      <c r="M164" s="259" t="b">
        <f t="shared" si="4"/>
        <v>0</v>
      </c>
      <c r="N164" s="258" t="str">
        <f t="shared" si="5"/>
        <v/>
      </c>
      <c r="O164" s="5"/>
      <c r="P164" s="5"/>
      <c r="Q164" s="5"/>
      <c r="R164" s="5"/>
      <c r="S164" s="5"/>
      <c r="T164" s="5"/>
      <c r="U164" s="5"/>
      <c r="V164" s="5"/>
      <c r="W164" s="5"/>
    </row>
    <row r="165">
      <c r="A165" s="112" t="str">
        <f>IF(OR(ISBLANK(RAW_APS!A165),ISBLANK(RAW_APS!B165),ISBLANK(RAW_APS!C165)),TRUE,IFERROR(0/0,""))</f>
        <v/>
      </c>
      <c r="B165" s="252"/>
      <c r="C165" s="112" t="str">
        <f>IF(ISBLANK(B165),IFERROR(0/0,""),RAW_APS!A165)</f>
        <v/>
      </c>
      <c r="D165" s="112" t="str">
        <f>IF(ISBLANK(C165),IFERROR(0/0,""), VLOOKUP(C165,preDEL!A$2:AG786,33,FALSE))</f>
        <v/>
      </c>
      <c r="E165" s="252"/>
      <c r="F165" s="210"/>
      <c r="G165" s="252"/>
      <c r="H165" s="255" t="str">
        <f t="shared" si="1"/>
        <v/>
      </c>
      <c r="I165" s="256" t="str">
        <f>CONCATENATE(UPPER(RAW_APS!$A166),"__",RAW_APS!$B166,"_",RAW_APS!$C166)</f>
        <v>FM799__44621_0.445138888888889</v>
      </c>
      <c r="J165" s="257" t="str">
        <f t="shared" si="2"/>
        <v/>
      </c>
      <c r="K165" s="252" t="s">
        <v>704</v>
      </c>
      <c r="L165" s="258" t="str">
        <f t="shared" si="3"/>
        <v>FM486</v>
      </c>
      <c r="M165" s="259" t="b">
        <f t="shared" si="4"/>
        <v>0</v>
      </c>
      <c r="N165" s="258" t="str">
        <f t="shared" si="5"/>
        <v/>
      </c>
      <c r="O165" s="5"/>
      <c r="P165" s="5"/>
      <c r="Q165" s="5"/>
      <c r="R165" s="5"/>
      <c r="S165" s="5"/>
      <c r="T165" s="5"/>
      <c r="U165" s="5"/>
      <c r="V165" s="5"/>
      <c r="W165" s="5"/>
    </row>
    <row r="166">
      <c r="A166" s="112" t="str">
        <f>IF(OR(ISBLANK(RAW_APS!A166),ISBLANK(RAW_APS!B166),ISBLANK(RAW_APS!C166)),TRUE,IFERROR(0/0,""))</f>
        <v/>
      </c>
      <c r="B166" s="252"/>
      <c r="C166" s="112" t="str">
        <f>IF(ISBLANK(B166),IFERROR(0/0,""),RAW_APS!A166)</f>
        <v/>
      </c>
      <c r="D166" s="112" t="str">
        <f>IF(ISBLANK(C166),IFERROR(0/0,""), VLOOKUP(C166,preDEL!A$2:AG786,33,FALSE))</f>
        <v/>
      </c>
      <c r="E166" s="252"/>
      <c r="F166" s="210"/>
      <c r="G166" s="252"/>
      <c r="H166" s="255" t="str">
        <f t="shared" si="1"/>
        <v/>
      </c>
      <c r="I166" s="256" t="str">
        <f>CONCATENATE(UPPER(RAW_APS!$A167),"__",RAW_APS!$B167,"_",RAW_APS!$C167)</f>
        <v>MA1269__44621_0.346180555555556</v>
      </c>
      <c r="J166" s="257" t="str">
        <f t="shared" si="2"/>
        <v/>
      </c>
      <c r="K166" s="252" t="s">
        <v>706</v>
      </c>
      <c r="L166" s="258" t="str">
        <f t="shared" si="3"/>
        <v>FM489</v>
      </c>
      <c r="M166" s="259" t="b">
        <f t="shared" si="4"/>
        <v>0</v>
      </c>
      <c r="N166" s="258" t="str">
        <f t="shared" si="5"/>
        <v/>
      </c>
      <c r="O166" s="5"/>
      <c r="P166" s="5"/>
      <c r="Q166" s="5"/>
      <c r="R166" s="5"/>
      <c r="S166" s="5"/>
      <c r="T166" s="5"/>
      <c r="U166" s="5"/>
      <c r="V166" s="5"/>
      <c r="W166" s="5"/>
    </row>
    <row r="167">
      <c r="A167" s="112" t="str">
        <f>IF(OR(ISBLANK(RAW_APS!A167),ISBLANK(RAW_APS!B167),ISBLANK(RAW_APS!C167)),TRUE,IFERROR(0/0,""))</f>
        <v/>
      </c>
      <c r="B167" s="252"/>
      <c r="C167" s="112" t="str">
        <f>IF(ISBLANK(B167),IFERROR(0/0,""),RAW_APS!A167)</f>
        <v/>
      </c>
      <c r="D167" s="112" t="str">
        <f>IF(ISBLANK(C167),IFERROR(0/0,""), VLOOKUP(C167,preDEL!A$2:AG786,33,FALSE))</f>
        <v/>
      </c>
      <c r="E167" s="252"/>
      <c r="F167" s="210"/>
      <c r="G167" s="252"/>
      <c r="H167" s="255" t="str">
        <f t="shared" si="1"/>
        <v/>
      </c>
      <c r="I167" s="256" t="str">
        <f>CONCATENATE(UPPER(RAW_APS!$A168),"__",RAW_APS!$B168,"_",RAW_APS!$C168)</f>
        <v>MA1304__44621_0.343969907407407</v>
      </c>
      <c r="J167" s="257" t="str">
        <f t="shared" si="2"/>
        <v/>
      </c>
      <c r="K167" s="252" t="s">
        <v>709</v>
      </c>
      <c r="L167" s="258" t="str">
        <f t="shared" si="3"/>
        <v>FM493</v>
      </c>
      <c r="M167" s="259" t="b">
        <f t="shared" si="4"/>
        <v>0</v>
      </c>
      <c r="N167" s="258" t="str">
        <f t="shared" si="5"/>
        <v/>
      </c>
      <c r="O167" s="5"/>
      <c r="P167" s="5"/>
      <c r="Q167" s="5"/>
      <c r="R167" s="5"/>
      <c r="S167" s="5"/>
      <c r="T167" s="5"/>
      <c r="U167" s="5"/>
      <c r="V167" s="5"/>
      <c r="W167" s="5"/>
    </row>
    <row r="168">
      <c r="A168" s="112" t="str">
        <f>IF(OR(ISBLANK(RAW_APS!A168),ISBLANK(RAW_APS!B168),ISBLANK(RAW_APS!C168)),TRUE,IFERROR(0/0,""))</f>
        <v/>
      </c>
      <c r="B168" s="252"/>
      <c r="C168" s="112" t="str">
        <f>IF(ISBLANK(B168),IFERROR(0/0,""),RAW_APS!A168)</f>
        <v/>
      </c>
      <c r="D168" s="112" t="str">
        <f>IF(ISBLANK(C168),IFERROR(0/0,""), VLOOKUP(C168,preDEL!A$2:AG786,33,FALSE))</f>
        <v/>
      </c>
      <c r="E168" s="252"/>
      <c r="F168" s="210"/>
      <c r="G168" s="252"/>
      <c r="H168" s="255" t="str">
        <f t="shared" si="1"/>
        <v/>
      </c>
      <c r="I168" s="256" t="str">
        <f>CONCATENATE(UPPER(RAW_APS!$A169),"__",RAW_APS!$B169,"_",RAW_APS!$C169)</f>
        <v>FM529__44621_0.341435185185185</v>
      </c>
      <c r="J168" s="257" t="str">
        <f t="shared" si="2"/>
        <v/>
      </c>
      <c r="K168" s="252" t="s">
        <v>711</v>
      </c>
      <c r="L168" s="258" t="str">
        <f t="shared" si="3"/>
        <v>FM497</v>
      </c>
      <c r="M168" s="259" t="b">
        <f t="shared" si="4"/>
        <v>0</v>
      </c>
      <c r="N168" s="258" t="str">
        <f t="shared" si="5"/>
        <v/>
      </c>
      <c r="O168" s="5"/>
      <c r="P168" s="5"/>
      <c r="Q168" s="5"/>
      <c r="R168" s="5"/>
      <c r="S168" s="5"/>
      <c r="T168" s="5"/>
      <c r="U168" s="5"/>
      <c r="V168" s="5"/>
      <c r="W168" s="5"/>
    </row>
    <row r="169">
      <c r="A169" s="112" t="str">
        <f>IF(OR(ISBLANK(RAW_APS!A169),ISBLANK(RAW_APS!B169),ISBLANK(RAW_APS!C169)),TRUE,IFERROR(0/0,""))</f>
        <v/>
      </c>
      <c r="B169" s="252"/>
      <c r="C169" s="112" t="str">
        <f>IF(ISBLANK(B169),IFERROR(0/0,""),RAW_APS!A169)</f>
        <v/>
      </c>
      <c r="D169" s="112" t="str">
        <f>IF(ISBLANK(C169),IFERROR(0/0,""), VLOOKUP(C169,preDEL!A$2:AG786,33,FALSE))</f>
        <v/>
      </c>
      <c r="E169" s="252"/>
      <c r="F169" s="210"/>
      <c r="G169" s="252"/>
      <c r="H169" s="255" t="str">
        <f t="shared" si="1"/>
        <v/>
      </c>
      <c r="I169" s="256" t="str">
        <f>CONCATENATE(UPPER(RAW_APS!$A170),"__",RAW_APS!$B170,"_",RAW_APS!$C170)</f>
        <v>FM372__44621_0.335092592592593</v>
      </c>
      <c r="J169" s="257" t="str">
        <f t="shared" si="2"/>
        <v/>
      </c>
      <c r="K169" s="252" t="s">
        <v>713</v>
      </c>
      <c r="L169" s="258" t="str">
        <f t="shared" si="3"/>
        <v>FM498</v>
      </c>
      <c r="M169" s="259" t="b">
        <f t="shared" si="4"/>
        <v>0</v>
      </c>
      <c r="N169" s="258" t="str">
        <f t="shared" si="5"/>
        <v/>
      </c>
      <c r="O169" s="5"/>
      <c r="P169" s="5"/>
      <c r="Q169" s="5"/>
      <c r="R169" s="5"/>
      <c r="S169" s="5"/>
      <c r="T169" s="5"/>
      <c r="U169" s="5"/>
      <c r="V169" s="5"/>
      <c r="W169" s="5"/>
    </row>
    <row r="170">
      <c r="A170" s="112" t="str">
        <f>IF(OR(ISBLANK(RAW_APS!A170),ISBLANK(RAW_APS!B170),ISBLANK(RAW_APS!C170)),TRUE,IFERROR(0/0,""))</f>
        <v/>
      </c>
      <c r="B170" s="252"/>
      <c r="C170" s="112" t="str">
        <f>IF(ISBLANK(B170),IFERROR(0/0,""),RAW_APS!A170)</f>
        <v/>
      </c>
      <c r="D170" s="112" t="str">
        <f>IF(ISBLANK(C170),IFERROR(0/0,""), VLOOKUP(C170,preDEL!A$2:AG786,33,FALSE))</f>
        <v/>
      </c>
      <c r="E170" s="252"/>
      <c r="F170" s="210"/>
      <c r="G170" s="252"/>
      <c r="H170" s="255" t="str">
        <f t="shared" si="1"/>
        <v/>
      </c>
      <c r="I170" s="256" t="str">
        <f>CONCATENATE(UPPER(RAW_APS!$A171),"__",RAW_APS!$B171,"_",RAW_APS!$C171)</f>
        <v>FM792__44621_0.334594907407407</v>
      </c>
      <c r="J170" s="257" t="str">
        <f t="shared" si="2"/>
        <v/>
      </c>
      <c r="K170" s="252" t="s">
        <v>715</v>
      </c>
      <c r="L170" s="258" t="str">
        <f t="shared" si="3"/>
        <v>FM5</v>
      </c>
      <c r="M170" s="259" t="b">
        <f t="shared" si="4"/>
        <v>0</v>
      </c>
      <c r="N170" s="258" t="str">
        <f t="shared" si="5"/>
        <v/>
      </c>
      <c r="O170" s="5"/>
      <c r="P170" s="5"/>
      <c r="Q170" s="5"/>
      <c r="R170" s="5"/>
      <c r="S170" s="5"/>
      <c r="T170" s="5"/>
      <c r="U170" s="5"/>
      <c r="V170" s="5"/>
      <c r="W170" s="5"/>
    </row>
    <row r="171">
      <c r="A171" s="112" t="str">
        <f>IF(OR(ISBLANK(RAW_APS!A171),ISBLANK(RAW_APS!B171),ISBLANK(RAW_APS!C171)),TRUE,IFERROR(0/0,""))</f>
        <v/>
      </c>
      <c r="B171" s="252"/>
      <c r="C171" s="112" t="str">
        <f>IF(ISBLANK(B171),IFERROR(0/0,""),RAW_APS!A171)</f>
        <v/>
      </c>
      <c r="D171" s="112" t="str">
        <f>IF(ISBLANK(C171),IFERROR(0/0,""), VLOOKUP(C171,preDEL!A$2:AG786,33,FALSE))</f>
        <v/>
      </c>
      <c r="E171" s="252"/>
      <c r="F171" s="210"/>
      <c r="G171" s="252"/>
      <c r="H171" s="255" t="str">
        <f t="shared" si="1"/>
        <v/>
      </c>
      <c r="I171" s="256" t="str">
        <f>CONCATENATE(UPPER(RAW_APS!$A172),"__",RAW_APS!$B172,"_",RAW_APS!$C172)</f>
        <v>FM82__44621_0.33193287037037</v>
      </c>
      <c r="J171" s="257" t="str">
        <f t="shared" si="2"/>
        <v/>
      </c>
      <c r="K171" s="252" t="s">
        <v>719</v>
      </c>
      <c r="L171" s="258" t="str">
        <f t="shared" si="3"/>
        <v>FM50</v>
      </c>
      <c r="M171" s="259" t="b">
        <f t="shared" si="4"/>
        <v>0</v>
      </c>
      <c r="N171" s="258" t="str">
        <f t="shared" si="5"/>
        <v/>
      </c>
      <c r="O171" s="5"/>
      <c r="P171" s="5"/>
      <c r="Q171" s="5"/>
      <c r="R171" s="5"/>
      <c r="S171" s="5"/>
      <c r="T171" s="5"/>
      <c r="U171" s="5"/>
      <c r="V171" s="5"/>
      <c r="W171" s="5"/>
    </row>
    <row r="172">
      <c r="A172" s="112" t="str">
        <f>IF(OR(ISBLANK(RAW_APS!A172),ISBLANK(RAW_APS!B172),ISBLANK(RAW_APS!C172)),TRUE,IFERROR(0/0,""))</f>
        <v/>
      </c>
      <c r="B172" s="252"/>
      <c r="C172" s="112" t="str">
        <f>IF(ISBLANK(B172),IFERROR(0/0,""),RAW_APS!A172)</f>
        <v/>
      </c>
      <c r="D172" s="112" t="str">
        <f>IF(ISBLANK(C172),IFERROR(0/0,""), VLOOKUP(C172,preDEL!A$2:AG786,33,FALSE))</f>
        <v/>
      </c>
      <c r="E172" s="252"/>
      <c r="F172" s="210"/>
      <c r="G172" s="252"/>
      <c r="H172" s="255" t="str">
        <f t="shared" si="1"/>
        <v/>
      </c>
      <c r="I172" s="256" t="str">
        <f>CONCATENATE(UPPER(RAW_APS!$A173),"__",RAW_APS!$B173,"_",RAW_APS!$C173)</f>
        <v>FM46__44621_0.331435185185185</v>
      </c>
      <c r="J172" s="257" t="str">
        <f t="shared" si="2"/>
        <v/>
      </c>
      <c r="K172" s="252" t="s">
        <v>721</v>
      </c>
      <c r="L172" s="258" t="str">
        <f t="shared" si="3"/>
        <v>FM501</v>
      </c>
      <c r="M172" s="259" t="b">
        <f t="shared" si="4"/>
        <v>0</v>
      </c>
      <c r="N172" s="258" t="str">
        <f t="shared" si="5"/>
        <v/>
      </c>
      <c r="O172" s="5"/>
      <c r="P172" s="5"/>
      <c r="Q172" s="5"/>
      <c r="R172" s="5"/>
      <c r="S172" s="5"/>
      <c r="T172" s="5"/>
      <c r="U172" s="5"/>
      <c r="V172" s="5"/>
      <c r="W172" s="5"/>
    </row>
    <row r="173">
      <c r="A173" s="112" t="str">
        <f>IF(OR(ISBLANK(RAW_APS!A173),ISBLANK(RAW_APS!B173),ISBLANK(RAW_APS!C173)),TRUE,IFERROR(0/0,""))</f>
        <v/>
      </c>
      <c r="B173" s="252"/>
      <c r="C173" s="112" t="str">
        <f>IF(ISBLANK(B173),IFERROR(0/0,""),RAW_APS!A173)</f>
        <v/>
      </c>
      <c r="D173" s="112" t="str">
        <f>IF(ISBLANK(C173),IFERROR(0/0,""), VLOOKUP(C173,preDEL!A$2:AG786,33,FALSE))</f>
        <v/>
      </c>
      <c r="E173" s="252"/>
      <c r="F173" s="210"/>
      <c r="G173" s="252"/>
      <c r="H173" s="255" t="str">
        <f t="shared" si="1"/>
        <v/>
      </c>
      <c r="I173" s="256" t="str">
        <f>CONCATENATE(UPPER(RAW_APS!$A174),"__",RAW_APS!$B174,"_",RAW_APS!$C174)</f>
        <v>FM41__44621_0.331238425925926</v>
      </c>
      <c r="J173" s="257" t="str">
        <f t="shared" si="2"/>
        <v/>
      </c>
      <c r="K173" s="252" t="s">
        <v>723</v>
      </c>
      <c r="L173" s="258" t="str">
        <f t="shared" si="3"/>
        <v>FM505</v>
      </c>
      <c r="M173" s="259" t="b">
        <f t="shared" si="4"/>
        <v>0</v>
      </c>
      <c r="N173" s="258" t="str">
        <f t="shared" si="5"/>
        <v/>
      </c>
      <c r="O173" s="5"/>
      <c r="P173" s="5"/>
      <c r="Q173" s="5"/>
      <c r="R173" s="5"/>
      <c r="S173" s="5"/>
      <c r="T173" s="5"/>
      <c r="U173" s="5"/>
      <c r="V173" s="5"/>
      <c r="W173" s="5"/>
    </row>
    <row r="174">
      <c r="A174" s="112" t="str">
        <f>IF(OR(ISBLANK(RAW_APS!A174),ISBLANK(RAW_APS!B174),ISBLANK(RAW_APS!C174)),TRUE,IFERROR(0/0,""))</f>
        <v/>
      </c>
      <c r="B174" s="252"/>
      <c r="C174" s="112" t="str">
        <f>IF(ISBLANK(B174),IFERROR(0/0,""),RAW_APS!A174)</f>
        <v/>
      </c>
      <c r="D174" s="112" t="str">
        <f>IF(ISBLANK(C174),IFERROR(0/0,""), VLOOKUP(C174,preDEL!A$2:AG786,33,FALSE))</f>
        <v/>
      </c>
      <c r="E174" s="252"/>
      <c r="F174" s="210"/>
      <c r="G174" s="252"/>
      <c r="H174" s="255" t="str">
        <f t="shared" si="1"/>
        <v/>
      </c>
      <c r="I174" s="256" t="str">
        <f>CONCATENATE(UPPER(RAW_APS!$A175),"__",RAW_APS!$B175,"_",RAW_APS!$C175)</f>
        <v>FM821__44621_0.329525462962963</v>
      </c>
      <c r="J174" s="257" t="str">
        <f t="shared" si="2"/>
        <v/>
      </c>
      <c r="K174" s="252" t="s">
        <v>725</v>
      </c>
      <c r="L174" s="258" t="str">
        <f t="shared" si="3"/>
        <v>FM509</v>
      </c>
      <c r="M174" s="259" t="b">
        <f t="shared" si="4"/>
        <v>0</v>
      </c>
      <c r="N174" s="258" t="str">
        <f t="shared" si="5"/>
        <v/>
      </c>
      <c r="O174" s="5"/>
      <c r="P174" s="5"/>
      <c r="Q174" s="5"/>
      <c r="R174" s="5"/>
      <c r="S174" s="5"/>
      <c r="T174" s="5"/>
      <c r="U174" s="5"/>
      <c r="V174" s="5"/>
      <c r="W174" s="5"/>
    </row>
    <row r="175">
      <c r="A175" s="112" t="str">
        <f>IF(OR(ISBLANK(RAW_APS!A175),ISBLANK(RAW_APS!B175),ISBLANK(RAW_APS!C175)),TRUE,IFERROR(0/0,""))</f>
        <v/>
      </c>
      <c r="B175" s="252"/>
      <c r="C175" s="112" t="str">
        <f>IF(ISBLANK(B175),IFERROR(0/0,""),RAW_APS!A175)</f>
        <v/>
      </c>
      <c r="D175" s="112" t="str">
        <f>IF(ISBLANK(C175),IFERROR(0/0,""), VLOOKUP(C175,preDEL!A$2:AG786,33,FALSE))</f>
        <v/>
      </c>
      <c r="E175" s="252"/>
      <c r="F175" s="210"/>
      <c r="G175" s="252"/>
      <c r="H175" s="255" t="str">
        <f t="shared" si="1"/>
        <v/>
      </c>
      <c r="I175" s="256" t="str">
        <f>CONCATENATE(UPPER(RAW_APS!$A176),"__",RAW_APS!$B176,"_",RAW_APS!$C176)</f>
        <v>FM374__44621_0.329224537037037</v>
      </c>
      <c r="J175" s="257" t="str">
        <f t="shared" si="2"/>
        <v/>
      </c>
      <c r="K175" s="252" t="s">
        <v>729</v>
      </c>
      <c r="L175" s="258" t="str">
        <f t="shared" si="3"/>
        <v>FM51</v>
      </c>
      <c r="M175" s="259" t="b">
        <f t="shared" si="4"/>
        <v>0</v>
      </c>
      <c r="N175" s="258" t="str">
        <f t="shared" si="5"/>
        <v/>
      </c>
      <c r="O175" s="5"/>
      <c r="P175" s="5"/>
      <c r="Q175" s="5"/>
      <c r="R175" s="5"/>
      <c r="S175" s="5"/>
      <c r="T175" s="5"/>
      <c r="U175" s="5"/>
      <c r="V175" s="5"/>
      <c r="W175" s="5"/>
    </row>
    <row r="176">
      <c r="A176" s="112" t="str">
        <f>IF(OR(ISBLANK(RAW_APS!A176),ISBLANK(RAW_APS!B176),ISBLANK(RAW_APS!C176)),TRUE,IFERROR(0/0,""))</f>
        <v/>
      </c>
      <c r="B176" s="252"/>
      <c r="C176" s="112" t="str">
        <f>IF(ISBLANK(B176),IFERROR(0/0,""),RAW_APS!A176)</f>
        <v/>
      </c>
      <c r="D176" s="112" t="str">
        <f>IF(ISBLANK(C176),IFERROR(0/0,""), VLOOKUP(C176,preDEL!A$2:AG786,33,FALSE))</f>
        <v/>
      </c>
      <c r="E176" s="252"/>
      <c r="F176" s="210"/>
      <c r="G176" s="252"/>
      <c r="H176" s="255" t="str">
        <f t="shared" si="1"/>
        <v/>
      </c>
      <c r="I176" s="256" t="str">
        <f>CONCATENATE(UPPER(RAW_APS!$A177),"__",RAW_APS!$B177,"_",RAW_APS!$C177)</f>
        <v>FM106__44621_0.328564814814815</v>
      </c>
      <c r="J176" s="257" t="str">
        <f t="shared" si="2"/>
        <v/>
      </c>
      <c r="K176" s="252" t="s">
        <v>733</v>
      </c>
      <c r="L176" s="258" t="str">
        <f t="shared" si="3"/>
        <v>FM512</v>
      </c>
      <c r="M176" s="259" t="b">
        <f t="shared" si="4"/>
        <v>0</v>
      </c>
      <c r="N176" s="258" t="str">
        <f t="shared" si="5"/>
        <v/>
      </c>
      <c r="O176" s="5"/>
      <c r="P176" s="5"/>
      <c r="Q176" s="5"/>
      <c r="R176" s="5"/>
      <c r="S176" s="5"/>
      <c r="T176" s="5"/>
      <c r="U176" s="5"/>
      <c r="V176" s="5"/>
      <c r="W176" s="5"/>
    </row>
    <row r="177">
      <c r="A177" s="112" t="str">
        <f>IF(OR(ISBLANK(RAW_APS!A177),ISBLANK(RAW_APS!B177),ISBLANK(RAW_APS!C177)),TRUE,IFERROR(0/0,""))</f>
        <v/>
      </c>
      <c r="B177" s="252"/>
      <c r="C177" s="112" t="str">
        <f>IF(ISBLANK(B177),IFERROR(0/0,""),RAW_APS!A177)</f>
        <v/>
      </c>
      <c r="D177" s="112" t="str">
        <f>IF(ISBLANK(C177),IFERROR(0/0,""), VLOOKUP(C177,preDEL!A$2:AG786,33,FALSE))</f>
        <v/>
      </c>
      <c r="E177" s="252"/>
      <c r="F177" s="210"/>
      <c r="G177" s="252"/>
      <c r="H177" s="255" t="str">
        <f t="shared" si="1"/>
        <v/>
      </c>
      <c r="I177" s="256" t="str">
        <f>CONCATENATE(UPPER(RAW_APS!$A178),"__",RAW_APS!$B178,"_",RAW_APS!$C178)</f>
        <v>FM390__44621_0.32849537037037</v>
      </c>
      <c r="J177" s="257" t="str">
        <f t="shared" si="2"/>
        <v/>
      </c>
      <c r="K177" s="252" t="s">
        <v>735</v>
      </c>
      <c r="L177" s="258" t="str">
        <f t="shared" si="3"/>
        <v>FM513</v>
      </c>
      <c r="M177" s="259" t="b">
        <f t="shared" si="4"/>
        <v>0</v>
      </c>
      <c r="N177" s="258" t="str">
        <f t="shared" si="5"/>
        <v/>
      </c>
      <c r="O177" s="5"/>
      <c r="P177" s="5"/>
      <c r="Q177" s="5"/>
      <c r="R177" s="5"/>
      <c r="S177" s="5"/>
      <c r="T177" s="5"/>
      <c r="U177" s="5"/>
      <c r="V177" s="5"/>
      <c r="W177" s="5"/>
    </row>
    <row r="178">
      <c r="A178" s="112" t="str">
        <f>IF(OR(ISBLANK(RAW_APS!A178),ISBLANK(RAW_APS!B178),ISBLANK(RAW_APS!C178)),TRUE,IFERROR(0/0,""))</f>
        <v/>
      </c>
      <c r="B178" s="252"/>
      <c r="C178" s="112" t="str">
        <f>IF(ISBLANK(B178),IFERROR(0/0,""),RAW_APS!A178)</f>
        <v/>
      </c>
      <c r="D178" s="112" t="str">
        <f>IF(ISBLANK(C178),IFERROR(0/0,""), VLOOKUP(C178,preDEL!A$2:AG786,33,FALSE))</f>
        <v/>
      </c>
      <c r="E178" s="252"/>
      <c r="F178" s="210"/>
      <c r="G178" s="252"/>
      <c r="H178" s="255" t="str">
        <f t="shared" si="1"/>
        <v/>
      </c>
      <c r="I178" s="256" t="str">
        <f>CONCATENATE(UPPER(RAW_APS!$A179),"__",RAW_APS!$B179,"_",RAW_APS!$C179)</f>
        <v>FM433__44621_0.327152777777778</v>
      </c>
      <c r="J178" s="257" t="str">
        <f t="shared" si="2"/>
        <v/>
      </c>
      <c r="K178" s="252" t="s">
        <v>737</v>
      </c>
      <c r="L178" s="258" t="str">
        <f t="shared" si="3"/>
        <v>FM52</v>
      </c>
      <c r="M178" s="259" t="b">
        <f t="shared" si="4"/>
        <v>0</v>
      </c>
      <c r="N178" s="258" t="str">
        <f t="shared" si="5"/>
        <v/>
      </c>
      <c r="O178" s="5"/>
      <c r="P178" s="5"/>
      <c r="Q178" s="5"/>
      <c r="R178" s="5"/>
      <c r="S178" s="5"/>
      <c r="T178" s="5"/>
      <c r="U178" s="5"/>
      <c r="V178" s="5"/>
      <c r="W178" s="5"/>
    </row>
    <row r="179">
      <c r="A179" s="112" t="str">
        <f>IF(OR(ISBLANK(RAW_APS!A179),ISBLANK(RAW_APS!B179),ISBLANK(RAW_APS!C179)),TRUE,IFERROR(0/0,""))</f>
        <v/>
      </c>
      <c r="B179" s="252"/>
      <c r="C179" s="112" t="str">
        <f>IF(ISBLANK(B179),IFERROR(0/0,""),RAW_APS!A179)</f>
        <v/>
      </c>
      <c r="D179" s="112" t="str">
        <f>IF(ISBLANK(C179),IFERROR(0/0,""), VLOOKUP(C179,preDEL!A$2:AG786,33,FALSE))</f>
        <v/>
      </c>
      <c r="E179" s="252"/>
      <c r="F179" s="210"/>
      <c r="G179" s="252"/>
      <c r="H179" s="255" t="str">
        <f t="shared" si="1"/>
        <v/>
      </c>
      <c r="I179" s="256" t="str">
        <f>CONCATENATE(UPPER(RAW_APS!$A180),"__",RAW_APS!$B180,"_",RAW_APS!$C180)</f>
        <v>FM2057__44621_0.326701388888889</v>
      </c>
      <c r="J179" s="257" t="str">
        <f t="shared" si="2"/>
        <v/>
      </c>
      <c r="K179" s="252" t="s">
        <v>739</v>
      </c>
      <c r="L179" s="258" t="str">
        <f t="shared" si="3"/>
        <v>FM521</v>
      </c>
      <c r="M179" s="259" t="b">
        <f t="shared" si="4"/>
        <v>0</v>
      </c>
      <c r="N179" s="258" t="str">
        <f t="shared" si="5"/>
        <v/>
      </c>
      <c r="O179" s="5"/>
      <c r="P179" s="5"/>
      <c r="Q179" s="5"/>
      <c r="R179" s="5"/>
      <c r="S179" s="5"/>
      <c r="T179" s="5"/>
      <c r="U179" s="5"/>
      <c r="V179" s="5"/>
      <c r="W179" s="5"/>
    </row>
    <row r="180">
      <c r="A180" s="112" t="str">
        <f>IF(OR(ISBLANK(RAW_APS!A180),ISBLANK(RAW_APS!B180),ISBLANK(RAW_APS!C180)),TRUE,IFERROR(0/0,""))</f>
        <v/>
      </c>
      <c r="B180" s="252"/>
      <c r="C180" s="112" t="str">
        <f>IF(ISBLANK(B180),IFERROR(0/0,""),RAW_APS!A180)</f>
        <v/>
      </c>
      <c r="D180" s="112" t="str">
        <f>IF(ISBLANK(C180),IFERROR(0/0,""), VLOOKUP(C180,preDEL!A$2:AG786,33,FALSE))</f>
        <v/>
      </c>
      <c r="E180" s="252"/>
      <c r="F180" s="210"/>
      <c r="G180" s="252"/>
      <c r="H180" s="255" t="str">
        <f t="shared" si="1"/>
        <v/>
      </c>
      <c r="I180" s="256" t="str">
        <f>CONCATENATE(UPPER(RAW_APS!$A181),"__",RAW_APS!$B181,"_",RAW_APS!$C181)</f>
        <v>FM343__44621_0.326296296296296</v>
      </c>
      <c r="J180" s="257" t="str">
        <f t="shared" si="2"/>
        <v/>
      </c>
      <c r="K180" s="252" t="s">
        <v>742</v>
      </c>
      <c r="L180" s="258" t="str">
        <f t="shared" si="3"/>
        <v>FM525</v>
      </c>
      <c r="M180" s="259" t="b">
        <f t="shared" si="4"/>
        <v>0</v>
      </c>
      <c r="N180" s="258" t="str">
        <f t="shared" si="5"/>
        <v/>
      </c>
      <c r="O180" s="5"/>
      <c r="P180" s="5"/>
      <c r="Q180" s="5"/>
      <c r="R180" s="5"/>
      <c r="S180" s="5"/>
      <c r="T180" s="5"/>
      <c r="U180" s="5"/>
      <c r="V180" s="5"/>
      <c r="W180" s="5"/>
    </row>
    <row r="181">
      <c r="A181" s="112" t="str">
        <f>IF(OR(ISBLANK(RAW_APS!A181),ISBLANK(RAW_APS!B181),ISBLANK(RAW_APS!C181)),TRUE,IFERROR(0/0,""))</f>
        <v/>
      </c>
      <c r="B181" s="252"/>
      <c r="C181" s="112" t="str">
        <f>IF(ISBLANK(B181),IFERROR(0/0,""),RAW_APS!A181)</f>
        <v/>
      </c>
      <c r="D181" s="112" t="str">
        <f>IF(ISBLANK(C181),IFERROR(0/0,""), VLOOKUP(C181,preDEL!A$2:AG786,33,FALSE))</f>
        <v/>
      </c>
      <c r="E181" s="252"/>
      <c r="F181" s="210"/>
      <c r="G181" s="252"/>
      <c r="H181" s="255" t="str">
        <f t="shared" si="1"/>
        <v/>
      </c>
      <c r="I181" s="256" t="str">
        <f>CONCATENATE(UPPER(RAW_APS!$A182),"__",RAW_APS!$B182,"_",RAW_APS!$C182)</f>
        <v>MA364__44621_0.324467592592593</v>
      </c>
      <c r="J181" s="257" t="str">
        <f t="shared" si="2"/>
        <v/>
      </c>
      <c r="K181" s="252" t="s">
        <v>744</v>
      </c>
      <c r="L181" s="258" t="str">
        <f t="shared" si="3"/>
        <v>FM529</v>
      </c>
      <c r="M181" s="259" t="b">
        <f t="shared" si="4"/>
        <v>0</v>
      </c>
      <c r="N181" s="258" t="str">
        <f t="shared" si="5"/>
        <v/>
      </c>
      <c r="O181" s="5"/>
      <c r="P181" s="5"/>
      <c r="Q181" s="5"/>
      <c r="R181" s="5"/>
      <c r="S181" s="5"/>
      <c r="T181" s="5"/>
      <c r="U181" s="5"/>
      <c r="V181" s="5"/>
      <c r="W181" s="5"/>
    </row>
    <row r="182">
      <c r="A182" s="112" t="str">
        <f>IF(OR(ISBLANK(RAW_APS!A182),ISBLANK(RAW_APS!B182),ISBLANK(RAW_APS!C182)),TRUE,IFERROR(0/0,""))</f>
        <v/>
      </c>
      <c r="B182" s="252"/>
      <c r="C182" s="112" t="str">
        <f>IF(ISBLANK(B182),IFERROR(0/0,""),RAW_APS!A182)</f>
        <v/>
      </c>
      <c r="D182" s="112" t="str">
        <f>IF(ISBLANK(C182),IFERROR(0/0,""), VLOOKUP(C182,preDEL!A$2:AG786,33,FALSE))</f>
        <v/>
      </c>
      <c r="E182" s="252"/>
      <c r="F182" s="210"/>
      <c r="G182" s="252"/>
      <c r="H182" s="255" t="str">
        <f t="shared" si="1"/>
        <v/>
      </c>
      <c r="I182" s="256" t="str">
        <f>CONCATENATE(UPPER(RAW_APS!$A183),"__",RAW_APS!$B183,"_",RAW_APS!$C183)</f>
        <v>MA380__44621_0.323958333333333</v>
      </c>
      <c r="J182" s="257" t="str">
        <f t="shared" si="2"/>
        <v/>
      </c>
      <c r="K182" s="252" t="s">
        <v>746</v>
      </c>
      <c r="L182" s="258" t="str">
        <f t="shared" si="3"/>
        <v>FM53</v>
      </c>
      <c r="M182" s="259" t="b">
        <f t="shared" si="4"/>
        <v>0</v>
      </c>
      <c r="N182" s="258" t="str">
        <f t="shared" si="5"/>
        <v/>
      </c>
      <c r="O182" s="5"/>
      <c r="P182" s="5"/>
      <c r="Q182" s="5"/>
      <c r="R182" s="5"/>
      <c r="S182" s="5"/>
      <c r="T182" s="5"/>
      <c r="U182" s="5"/>
      <c r="V182" s="5"/>
      <c r="W182" s="5"/>
    </row>
    <row r="183">
      <c r="A183" s="112" t="str">
        <f>IF(OR(ISBLANK(RAW_APS!A183),ISBLANK(RAW_APS!B183),ISBLANK(RAW_APS!C183)),TRUE,IFERROR(0/0,""))</f>
        <v/>
      </c>
      <c r="B183" s="252"/>
      <c r="C183" s="112" t="str">
        <f>IF(ISBLANK(B183),IFERROR(0/0,""),RAW_APS!A183)</f>
        <v/>
      </c>
      <c r="D183" s="112" t="str">
        <f>IF(ISBLANK(C183),IFERROR(0/0,""), VLOOKUP(C183,preDEL!A$2:AG786,33,FALSE))</f>
        <v/>
      </c>
      <c r="E183" s="252"/>
      <c r="F183" s="210"/>
      <c r="G183" s="252"/>
      <c r="H183" s="255" t="str">
        <f t="shared" si="1"/>
        <v/>
      </c>
      <c r="I183" s="256" t="str">
        <f>CONCATENATE(UPPER(RAW_APS!$A184),"__",RAW_APS!$B184,"_",RAW_APS!$C184)</f>
        <v>MA1264__44621_0.317349537037037</v>
      </c>
      <c r="J183" s="257" t="str">
        <f t="shared" si="2"/>
        <v/>
      </c>
      <c r="K183" s="252" t="s">
        <v>748</v>
      </c>
      <c r="L183" s="258" t="str">
        <f t="shared" si="3"/>
        <v>FM532</v>
      </c>
      <c r="M183" s="259" t="b">
        <f t="shared" si="4"/>
        <v>0</v>
      </c>
      <c r="N183" s="258" t="str">
        <f t="shared" si="5"/>
        <v/>
      </c>
      <c r="O183" s="5"/>
      <c r="P183" s="5"/>
      <c r="Q183" s="5"/>
      <c r="R183" s="5"/>
      <c r="S183" s="5"/>
      <c r="T183" s="5"/>
      <c r="U183" s="5"/>
      <c r="V183" s="5"/>
      <c r="W183" s="5"/>
    </row>
    <row r="184">
      <c r="A184" s="112" t="str">
        <f>IF(OR(ISBLANK(RAW_APS!A184),ISBLANK(RAW_APS!B184),ISBLANK(RAW_APS!C184)),TRUE,IFERROR(0/0,""))</f>
        <v/>
      </c>
      <c r="B184" s="252"/>
      <c r="C184" s="112" t="str">
        <f>IF(ISBLANK(B184),IFERROR(0/0,""),RAW_APS!A184)</f>
        <v/>
      </c>
      <c r="D184" s="112" t="str">
        <f>IF(ISBLANK(C184),IFERROR(0/0,""), VLOOKUP(C184,preDEL!A$2:AG786,33,FALSE))</f>
        <v/>
      </c>
      <c r="E184" s="252"/>
      <c r="F184" s="210"/>
      <c r="G184" s="252"/>
      <c r="H184" s="255" t="str">
        <f t="shared" si="1"/>
        <v/>
      </c>
      <c r="I184" s="256" t="str">
        <f>CONCATENATE(UPPER(RAW_APS!$A185),"__",RAW_APS!$B185,"_",RAW_APS!$C185)</f>
        <v>MA322__44621_0.315358796296296</v>
      </c>
      <c r="J184" s="257" t="str">
        <f t="shared" si="2"/>
        <v/>
      </c>
      <c r="K184" s="252" t="s">
        <v>750</v>
      </c>
      <c r="L184" s="258" t="str">
        <f t="shared" si="3"/>
        <v>FM533</v>
      </c>
      <c r="M184" s="259" t="b">
        <f t="shared" si="4"/>
        <v>0</v>
      </c>
      <c r="N184" s="258" t="str">
        <f t="shared" si="5"/>
        <v/>
      </c>
      <c r="O184" s="5"/>
      <c r="P184" s="5"/>
      <c r="Q184" s="5"/>
      <c r="R184" s="5"/>
      <c r="S184" s="5"/>
      <c r="T184" s="5"/>
      <c r="U184" s="5"/>
      <c r="V184" s="5"/>
      <c r="W184" s="5"/>
    </row>
    <row r="185">
      <c r="A185" s="112" t="str">
        <f>IF(OR(ISBLANK(RAW_APS!A185),ISBLANK(RAW_APS!B185),ISBLANK(RAW_APS!C185)),TRUE,IFERROR(0/0,""))</f>
        <v/>
      </c>
      <c r="B185" s="252"/>
      <c r="C185" s="112" t="str">
        <f>IF(ISBLANK(B185),IFERROR(0/0,""),RAW_APS!A185)</f>
        <v/>
      </c>
      <c r="D185" s="112" t="str">
        <f>IF(ISBLANK(C185),IFERROR(0/0,""), VLOOKUP(C185,preDEL!A$2:AG786,33,FALSE))</f>
        <v/>
      </c>
      <c r="E185" s="252"/>
      <c r="F185" s="210"/>
      <c r="G185" s="252"/>
      <c r="H185" s="255" t="str">
        <f t="shared" si="1"/>
        <v/>
      </c>
      <c r="I185" s="256" t="str">
        <f>CONCATENATE(UPPER(RAW_APS!$A186),"__",RAW_APS!$B186,"_",RAW_APS!$C186)</f>
        <v>FM2054__44621_0.311967592592593</v>
      </c>
      <c r="J185" s="257" t="str">
        <f t="shared" si="2"/>
        <v/>
      </c>
      <c r="K185" s="252" t="s">
        <v>752</v>
      </c>
      <c r="L185" s="258" t="str">
        <f t="shared" si="3"/>
        <v>FM537</v>
      </c>
      <c r="M185" s="259" t="b">
        <f t="shared" si="4"/>
        <v>0</v>
      </c>
      <c r="N185" s="258" t="str">
        <f t="shared" si="5"/>
        <v/>
      </c>
      <c r="O185" s="5"/>
      <c r="P185" s="5"/>
      <c r="Q185" s="5"/>
      <c r="R185" s="5"/>
      <c r="S185" s="5"/>
      <c r="T185" s="5"/>
      <c r="U185" s="5"/>
      <c r="V185" s="5"/>
      <c r="W185" s="5"/>
    </row>
    <row r="186">
      <c r="A186" s="112" t="str">
        <f>IF(OR(ISBLANK(RAW_APS!A186),ISBLANK(RAW_APS!B186),ISBLANK(RAW_APS!C186)),TRUE,IFERROR(0/0,""))</f>
        <v/>
      </c>
      <c r="B186" s="252"/>
      <c r="C186" s="112" t="str">
        <f>IF(ISBLANK(B186),IFERROR(0/0,""),RAW_APS!A186)</f>
        <v/>
      </c>
      <c r="D186" s="112" t="str">
        <f>IF(ISBLANK(C186),IFERROR(0/0,""), VLOOKUP(C186,preDEL!A$2:AG786,33,FALSE))</f>
        <v/>
      </c>
      <c r="E186" s="252"/>
      <c r="F186" s="210"/>
      <c r="G186" s="252"/>
      <c r="H186" s="255" t="str">
        <f t="shared" si="1"/>
        <v/>
      </c>
      <c r="I186" s="256" t="str">
        <f>CONCATENATE(UPPER(RAW_APS!$A187),"__",RAW_APS!$B187,"_",RAW_APS!$C187)</f>
        <v>FM78__44621_0.31119212962963</v>
      </c>
      <c r="J186" s="257" t="str">
        <f t="shared" si="2"/>
        <v/>
      </c>
      <c r="K186" s="252" t="s">
        <v>757</v>
      </c>
      <c r="L186" s="258" t="str">
        <f t="shared" si="3"/>
        <v>FM54</v>
      </c>
      <c r="M186" s="259" t="b">
        <f t="shared" si="4"/>
        <v>0</v>
      </c>
      <c r="N186" s="258" t="str">
        <f t="shared" si="5"/>
        <v/>
      </c>
      <c r="O186" s="5"/>
      <c r="P186" s="5"/>
      <c r="Q186" s="5"/>
      <c r="R186" s="5"/>
      <c r="S186" s="5"/>
      <c r="T186" s="5"/>
      <c r="U186" s="5"/>
      <c r="V186" s="5"/>
      <c r="W186" s="5"/>
    </row>
    <row r="187">
      <c r="A187" s="112" t="str">
        <f>IF(OR(ISBLANK(RAW_APS!A187),ISBLANK(RAW_APS!B187),ISBLANK(RAW_APS!C187)),TRUE,IFERROR(0/0,""))</f>
        <v/>
      </c>
      <c r="B187" s="252"/>
      <c r="C187" s="112" t="str">
        <f>IF(ISBLANK(B187),IFERROR(0/0,""),RAW_APS!A187)</f>
        <v/>
      </c>
      <c r="D187" s="112" t="str">
        <f>IF(ISBLANK(C187),IFERROR(0/0,""), VLOOKUP(C187,preDEL!A$2:AG786,33,FALSE))</f>
        <v/>
      </c>
      <c r="E187" s="252"/>
      <c r="F187" s="210"/>
      <c r="G187" s="252"/>
      <c r="H187" s="255" t="str">
        <f t="shared" si="1"/>
        <v/>
      </c>
      <c r="I187" s="256" t="str">
        <f>CONCATENATE(UPPER(RAW_APS!$A188),"__",RAW_APS!$B188,"_",RAW_APS!$C188)</f>
        <v>MA2090__44621_0.309953703703704</v>
      </c>
      <c r="J187" s="257" t="str">
        <f t="shared" si="2"/>
        <v/>
      </c>
      <c r="K187" s="252" t="s">
        <v>760</v>
      </c>
      <c r="L187" s="258" t="str">
        <f t="shared" si="3"/>
        <v>FM55</v>
      </c>
      <c r="M187" s="259" t="b">
        <f t="shared" si="4"/>
        <v>0</v>
      </c>
      <c r="N187" s="258" t="str">
        <f t="shared" si="5"/>
        <v/>
      </c>
      <c r="O187" s="5"/>
      <c r="P187" s="5"/>
      <c r="Q187" s="5"/>
      <c r="R187" s="5"/>
      <c r="S187" s="5"/>
      <c r="T187" s="5"/>
      <c r="U187" s="5"/>
      <c r="V187" s="5"/>
      <c r="W187" s="5"/>
    </row>
    <row r="188">
      <c r="A188" s="112" t="str">
        <f>IF(OR(ISBLANK(RAW_APS!A188),ISBLANK(RAW_APS!B188),ISBLANK(RAW_APS!C188)),TRUE,IFERROR(0/0,""))</f>
        <v/>
      </c>
      <c r="B188" s="252"/>
      <c r="C188" s="112" t="str">
        <f>IF(ISBLANK(B188),IFERROR(0/0,""),RAW_APS!A188)</f>
        <v/>
      </c>
      <c r="D188" s="112" t="str">
        <f>IF(ISBLANK(C188),IFERROR(0/0,""), VLOOKUP(C188,preDEL!A$2:AG786,33,FALSE))</f>
        <v/>
      </c>
      <c r="E188" s="252"/>
      <c r="F188" s="210"/>
      <c r="G188" s="252"/>
      <c r="H188" s="255" t="str">
        <f t="shared" si="1"/>
        <v/>
      </c>
      <c r="I188" s="256" t="str">
        <f>CONCATENATE(UPPER(RAW_APS!$A189),"__",RAW_APS!$B189,"_",RAW_APS!$C189)</f>
        <v>MA1282__44621_0.3096875</v>
      </c>
      <c r="J188" s="257" t="str">
        <f t="shared" si="2"/>
        <v/>
      </c>
      <c r="K188" s="252" t="s">
        <v>764</v>
      </c>
      <c r="L188" s="258" t="str">
        <f t="shared" si="3"/>
        <v>FM56</v>
      </c>
      <c r="M188" s="259" t="b">
        <f t="shared" si="4"/>
        <v>0</v>
      </c>
      <c r="N188" s="258" t="str">
        <f t="shared" si="5"/>
        <v/>
      </c>
      <c r="O188" s="5"/>
      <c r="P188" s="5"/>
      <c r="Q188" s="5"/>
      <c r="R188" s="5"/>
      <c r="S188" s="5"/>
      <c r="T188" s="5"/>
      <c r="U188" s="5"/>
      <c r="V188" s="5"/>
      <c r="W188" s="5"/>
    </row>
    <row r="189">
      <c r="A189" s="112" t="str">
        <f>IF(OR(ISBLANK(RAW_APS!A189),ISBLANK(RAW_APS!B189),ISBLANK(RAW_APS!C189)),TRUE,IFERROR(0/0,""))</f>
        <v/>
      </c>
      <c r="B189" s="252"/>
      <c r="C189" s="112" t="str">
        <f>IF(ISBLANK(B189),IFERROR(0/0,""),RAW_APS!A189)</f>
        <v/>
      </c>
      <c r="D189" s="112" t="str">
        <f>IF(ISBLANK(C189),IFERROR(0/0,""), VLOOKUP(C189,preDEL!A$2:AG786,33,FALSE))</f>
        <v/>
      </c>
      <c r="E189" s="252"/>
      <c r="F189" s="210"/>
      <c r="G189" s="252"/>
      <c r="H189" s="255" t="str">
        <f t="shared" si="1"/>
        <v/>
      </c>
      <c r="I189" s="256" t="str">
        <f>CONCATENATE(UPPER(RAW_APS!$A190),"__",RAW_APS!$B190,"_",RAW_APS!$C190)</f>
        <v>FM481__44621_0.30869212962963</v>
      </c>
      <c r="J189" s="257" t="str">
        <f t="shared" si="2"/>
        <v/>
      </c>
      <c r="K189" s="252" t="s">
        <v>766</v>
      </c>
      <c r="L189" s="258" t="str">
        <f t="shared" si="3"/>
        <v>FM569</v>
      </c>
      <c r="M189" s="259" t="b">
        <f t="shared" si="4"/>
        <v>0</v>
      </c>
      <c r="N189" s="258" t="str">
        <f t="shared" si="5"/>
        <v/>
      </c>
      <c r="O189" s="5"/>
      <c r="P189" s="5"/>
      <c r="Q189" s="5"/>
      <c r="R189" s="5"/>
      <c r="S189" s="5"/>
      <c r="T189" s="5"/>
      <c r="U189" s="5"/>
      <c r="V189" s="5"/>
      <c r="W189" s="5"/>
    </row>
    <row r="190">
      <c r="A190" s="112" t="str">
        <f>IF(OR(ISBLANK(RAW_APS!A190),ISBLANK(RAW_APS!B190),ISBLANK(RAW_APS!C190)),TRUE,IFERROR(0/0,""))</f>
        <v/>
      </c>
      <c r="B190" s="252"/>
      <c r="C190" s="112" t="str">
        <f>IF(ISBLANK(B190),IFERROR(0/0,""),RAW_APS!A190)</f>
        <v/>
      </c>
      <c r="D190" s="112" t="str">
        <f>IF(ISBLANK(C190),IFERROR(0/0,""), VLOOKUP(C190,preDEL!A$2:AG786,33,FALSE))</f>
        <v/>
      </c>
      <c r="E190" s="252"/>
      <c r="F190" s="210"/>
      <c r="G190" s="252"/>
      <c r="H190" s="255" t="str">
        <f t="shared" si="1"/>
        <v/>
      </c>
      <c r="I190" s="256" t="str">
        <f>CONCATENATE(UPPER(RAW_APS!$A191),"__",RAW_APS!$B191,"_",RAW_APS!$C191)</f>
        <v>FM489__44621_0.307858796296296</v>
      </c>
      <c r="J190" s="257" t="str">
        <f t="shared" si="2"/>
        <v/>
      </c>
      <c r="K190" s="252" t="s">
        <v>769</v>
      </c>
      <c r="L190" s="258" t="str">
        <f t="shared" si="3"/>
        <v>FM57</v>
      </c>
      <c r="M190" s="259" t="b">
        <f t="shared" si="4"/>
        <v>0</v>
      </c>
      <c r="N190" s="258" t="str">
        <f t="shared" si="5"/>
        <v/>
      </c>
      <c r="O190" s="5"/>
      <c r="P190" s="5"/>
      <c r="Q190" s="5"/>
      <c r="R190" s="5"/>
      <c r="S190" s="5"/>
      <c r="T190" s="5"/>
      <c r="U190" s="5"/>
      <c r="V190" s="5"/>
      <c r="W190" s="5"/>
    </row>
    <row r="191">
      <c r="A191" s="112" t="str">
        <f>IF(OR(ISBLANK(RAW_APS!A191),ISBLANK(RAW_APS!B191),ISBLANK(RAW_APS!C191)),TRUE,IFERROR(0/0,""))</f>
        <v/>
      </c>
      <c r="B191" s="252"/>
      <c r="C191" s="112" t="str">
        <f>IF(ISBLANK(B191),IFERROR(0/0,""),RAW_APS!A191)</f>
        <v/>
      </c>
      <c r="D191" s="112" t="str">
        <f>IF(ISBLANK(C191),IFERROR(0/0,""), VLOOKUP(C191,preDEL!A$2:AG786,33,FALSE))</f>
        <v/>
      </c>
      <c r="E191" s="252"/>
      <c r="F191" s="210"/>
      <c r="G191" s="252"/>
      <c r="H191" s="255" t="str">
        <f t="shared" si="1"/>
        <v/>
      </c>
      <c r="I191" s="256" t="str">
        <f>CONCATENATE(UPPER(RAW_APS!$A192),"__",RAW_APS!$B192,"_",RAW_APS!$C192)</f>
        <v>FM354__44621_0.306770833333333</v>
      </c>
      <c r="J191" s="257" t="str">
        <f t="shared" si="2"/>
        <v/>
      </c>
      <c r="K191" s="252" t="s">
        <v>772</v>
      </c>
      <c r="L191" s="258" t="str">
        <f t="shared" si="3"/>
        <v>FM58</v>
      </c>
      <c r="M191" s="259" t="b">
        <f t="shared" si="4"/>
        <v>0</v>
      </c>
      <c r="N191" s="258" t="str">
        <f t="shared" si="5"/>
        <v/>
      </c>
      <c r="O191" s="5"/>
      <c r="P191" s="5"/>
      <c r="Q191" s="5"/>
      <c r="R191" s="5"/>
      <c r="S191" s="5"/>
      <c r="T191" s="5"/>
      <c r="U191" s="5"/>
      <c r="V191" s="5"/>
      <c r="W191" s="5"/>
    </row>
    <row r="192">
      <c r="A192" s="112" t="str">
        <f>IF(OR(ISBLANK(RAW_APS!A192),ISBLANK(RAW_APS!B192),ISBLANK(RAW_APS!C192)),TRUE,IFERROR(0/0,""))</f>
        <v/>
      </c>
      <c r="B192" s="252"/>
      <c r="C192" s="112" t="str">
        <f>IF(ISBLANK(B192),IFERROR(0/0,""),RAW_APS!A192)</f>
        <v/>
      </c>
      <c r="D192" s="112" t="str">
        <f>IF(ISBLANK(C192),IFERROR(0/0,""), VLOOKUP(C192,preDEL!A$2:AG786,33,FALSE))</f>
        <v/>
      </c>
      <c r="E192" s="252"/>
      <c r="F192" s="210"/>
      <c r="G192" s="252"/>
      <c r="H192" s="255" t="str">
        <f t="shared" si="1"/>
        <v/>
      </c>
      <c r="I192" s="256" t="str">
        <f>CONCATENATE(UPPER(RAW_APS!$A193),"__",RAW_APS!$B193,"_",RAW_APS!$C193)</f>
        <v>FM18__44621_0.306215277777778</v>
      </c>
      <c r="J192" s="257" t="str">
        <f t="shared" si="2"/>
        <v/>
      </c>
      <c r="K192" s="252" t="s">
        <v>774</v>
      </c>
      <c r="L192" s="258" t="str">
        <f t="shared" si="3"/>
        <v>FM59</v>
      </c>
      <c r="M192" s="259" t="b">
        <f t="shared" si="4"/>
        <v>0</v>
      </c>
      <c r="N192" s="258" t="str">
        <f t="shared" si="5"/>
        <v/>
      </c>
      <c r="O192" s="5"/>
      <c r="P192" s="5"/>
      <c r="Q192" s="5"/>
      <c r="R192" s="5"/>
      <c r="S192" s="5"/>
      <c r="T192" s="5"/>
      <c r="U192" s="5"/>
      <c r="V192" s="5"/>
      <c r="W192" s="5"/>
    </row>
    <row r="193">
      <c r="A193" s="112" t="str">
        <f>IF(OR(ISBLANK(RAW_APS!A193),ISBLANK(RAW_APS!B193),ISBLANK(RAW_APS!C193)),TRUE,IFERROR(0/0,""))</f>
        <v/>
      </c>
      <c r="B193" s="252"/>
      <c r="C193" s="112" t="str">
        <f>IF(ISBLANK(B193),IFERROR(0/0,""),RAW_APS!A193)</f>
        <v/>
      </c>
      <c r="D193" s="112" t="str">
        <f>IF(ISBLANK(C193),IFERROR(0/0,""), VLOOKUP(C193,preDEL!A$2:AG786,33,FALSE))</f>
        <v/>
      </c>
      <c r="E193" s="252"/>
      <c r="F193" s="210"/>
      <c r="G193" s="252"/>
      <c r="H193" s="255" t="str">
        <f t="shared" si="1"/>
        <v/>
      </c>
      <c r="I193" s="256" t="str">
        <f>CONCATENATE(UPPER(RAW_APS!$A194),"__",RAW_APS!$B194,"_",RAW_APS!$C194)</f>
        <v>FM2100__44621_0.300451388888889</v>
      </c>
      <c r="J193" s="257" t="str">
        <f t="shared" si="2"/>
        <v/>
      </c>
      <c r="K193" s="252" t="s">
        <v>777</v>
      </c>
      <c r="L193" s="258" t="str">
        <f t="shared" si="3"/>
        <v>FM599</v>
      </c>
      <c r="M193" s="259" t="b">
        <f t="shared" si="4"/>
        <v>0</v>
      </c>
      <c r="N193" s="258" t="str">
        <f t="shared" si="5"/>
        <v/>
      </c>
      <c r="O193" s="5"/>
      <c r="P193" s="5"/>
      <c r="Q193" s="5"/>
      <c r="R193" s="5"/>
      <c r="S193" s="5"/>
      <c r="T193" s="5"/>
      <c r="U193" s="5"/>
      <c r="V193" s="5"/>
      <c r="W193" s="5"/>
    </row>
    <row r="194">
      <c r="A194" s="112" t="str">
        <f>IF(OR(ISBLANK(RAW_APS!A194),ISBLANK(RAW_APS!B194),ISBLANK(RAW_APS!C194)),TRUE,IFERROR(0/0,""))</f>
        <v/>
      </c>
      <c r="B194" s="252"/>
      <c r="C194" s="112" t="str">
        <f>IF(ISBLANK(B194),IFERROR(0/0,""),RAW_APS!A194)</f>
        <v/>
      </c>
      <c r="D194" s="112" t="str">
        <f>IF(ISBLANK(C194),IFERROR(0/0,""), VLOOKUP(C194,preDEL!A$2:AG786,33,FALSE))</f>
        <v/>
      </c>
      <c r="E194" s="252"/>
      <c r="F194" s="210"/>
      <c r="G194" s="252"/>
      <c r="H194" s="255" t="str">
        <f t="shared" si="1"/>
        <v/>
      </c>
      <c r="I194" s="256" t="str">
        <f>CONCATENATE(UPPER(RAW_APS!$A195),"__",RAW_APS!$B195,"_",RAW_APS!$C195)</f>
        <v>FM2069__44621_0.294143518518519</v>
      </c>
      <c r="J194" s="257" t="str">
        <f t="shared" si="2"/>
        <v/>
      </c>
      <c r="K194" s="252" t="s">
        <v>779</v>
      </c>
      <c r="L194" s="258" t="str">
        <f t="shared" si="3"/>
        <v>FM6</v>
      </c>
      <c r="M194" s="259" t="b">
        <f t="shared" si="4"/>
        <v>0</v>
      </c>
      <c r="N194" s="258" t="str">
        <f t="shared" si="5"/>
        <v/>
      </c>
      <c r="O194" s="5"/>
      <c r="P194" s="5"/>
      <c r="Q194" s="5"/>
      <c r="R194" s="5"/>
      <c r="S194" s="5"/>
      <c r="T194" s="5"/>
      <c r="U194" s="5"/>
      <c r="V194" s="5"/>
      <c r="W194" s="5"/>
    </row>
    <row r="195">
      <c r="A195" s="112" t="str">
        <f>IF(OR(ISBLANK(RAW_APS!A195),ISBLANK(RAW_APS!B195),ISBLANK(RAW_APS!C195)),TRUE,IFERROR(0/0,""))</f>
        <v/>
      </c>
      <c r="B195" s="252"/>
      <c r="C195" s="112" t="str">
        <f>IF(ISBLANK(B195),IFERROR(0/0,""),RAW_APS!A195)</f>
        <v/>
      </c>
      <c r="D195" s="112" t="str">
        <f>IF(ISBLANK(C195),IFERROR(0/0,""), VLOOKUP(C195,preDEL!A$2:AG786,33,FALSE))</f>
        <v/>
      </c>
      <c r="E195" s="252"/>
      <c r="F195" s="210"/>
      <c r="G195" s="252"/>
      <c r="H195" s="255" t="str">
        <f t="shared" si="1"/>
        <v/>
      </c>
      <c r="I195" s="256" t="str">
        <f>CONCATENATE(UPPER(RAW_APS!$A196),"__",RAW_APS!$B196,"_",RAW_APS!$C196)</f>
        <v>FM1909__44621_0.269861111111111</v>
      </c>
      <c r="J195" s="257" t="str">
        <f t="shared" si="2"/>
        <v/>
      </c>
      <c r="K195" s="252" t="s">
        <v>781</v>
      </c>
      <c r="L195" s="258" t="str">
        <f t="shared" si="3"/>
        <v>FM60</v>
      </c>
      <c r="M195" s="259" t="b">
        <f t="shared" si="4"/>
        <v>0</v>
      </c>
      <c r="N195" s="258" t="str">
        <f t="shared" si="5"/>
        <v/>
      </c>
      <c r="O195" s="5"/>
      <c r="P195" s="5"/>
      <c r="Q195" s="5"/>
      <c r="R195" s="5"/>
      <c r="S195" s="5"/>
      <c r="T195" s="5"/>
      <c r="U195" s="5"/>
      <c r="V195" s="5"/>
      <c r="W195" s="5"/>
    </row>
    <row r="196">
      <c r="A196" s="112" t="str">
        <f>IF(OR(ISBLANK(RAW_APS!A196),ISBLANK(RAW_APS!B196),ISBLANK(RAW_APS!C196)),TRUE,IFERROR(0/0,""))</f>
        <v/>
      </c>
      <c r="B196" s="252"/>
      <c r="C196" s="112" t="str">
        <f>IF(ISBLANK(B196),IFERROR(0/0,""),RAW_APS!A196)</f>
        <v/>
      </c>
      <c r="D196" s="112" t="str">
        <f>IF(ISBLANK(C196),IFERROR(0/0,""), VLOOKUP(C196,preDEL!A$2:AG786,33,FALSE))</f>
        <v/>
      </c>
      <c r="E196" s="252"/>
      <c r="F196" s="210"/>
      <c r="G196" s="252"/>
      <c r="H196" s="255" t="str">
        <f t="shared" si="1"/>
        <v/>
      </c>
      <c r="I196" s="256" t="str">
        <f>CONCATENATE(UPPER(RAW_APS!$A197),"__",RAW_APS!$B197,"_",RAW_APS!$C197)</f>
        <v>FM51__44619_0.515428240740741</v>
      </c>
      <c r="J196" s="257" t="str">
        <f t="shared" si="2"/>
        <v/>
      </c>
      <c r="K196" s="252" t="s">
        <v>783</v>
      </c>
      <c r="L196" s="258" t="str">
        <f t="shared" si="3"/>
        <v>FM61</v>
      </c>
      <c r="M196" s="259" t="b">
        <f t="shared" si="4"/>
        <v>0</v>
      </c>
      <c r="N196" s="258" t="str">
        <f t="shared" si="5"/>
        <v/>
      </c>
      <c r="O196" s="5"/>
      <c r="P196" s="5"/>
      <c r="Q196" s="5"/>
      <c r="R196" s="5"/>
      <c r="S196" s="5"/>
      <c r="T196" s="5"/>
      <c r="U196" s="5"/>
      <c r="V196" s="5"/>
      <c r="W196" s="5"/>
    </row>
    <row r="197">
      <c r="A197" s="112" t="str">
        <f>IF(OR(ISBLANK(RAW_APS!A197),ISBLANK(RAW_APS!B197),ISBLANK(RAW_APS!C197)),TRUE,IFERROR(0/0,""))</f>
        <v/>
      </c>
      <c r="B197" s="252"/>
      <c r="C197" s="112" t="str">
        <f>IF(ISBLANK(B197),IFERROR(0/0,""),RAW_APS!A197)</f>
        <v/>
      </c>
      <c r="D197" s="112" t="str">
        <f>IF(ISBLANK(C197),IFERROR(0/0,""), VLOOKUP(C197,preDEL!A$2:AG786,33,FALSE))</f>
        <v/>
      </c>
      <c r="E197" s="252"/>
      <c r="F197" s="210"/>
      <c r="G197" s="252"/>
      <c r="H197" s="255" t="str">
        <f t="shared" si="1"/>
        <v/>
      </c>
      <c r="I197" s="256" t="str">
        <f>CONCATENATE(UPPER(RAW_APS!$A198),"__",RAW_APS!$B198,"_",RAW_APS!$C198)</f>
        <v>MA315__44619_0.515023148148148</v>
      </c>
      <c r="J197" s="257" t="str">
        <f t="shared" si="2"/>
        <v/>
      </c>
      <c r="K197" s="252" t="s">
        <v>785</v>
      </c>
      <c r="L197" s="258" t="str">
        <f t="shared" si="3"/>
        <v>FM617</v>
      </c>
      <c r="M197" s="259" t="b">
        <f t="shared" si="4"/>
        <v>0</v>
      </c>
      <c r="N197" s="258" t="str">
        <f t="shared" si="5"/>
        <v/>
      </c>
      <c r="O197" s="5"/>
      <c r="P197" s="5"/>
      <c r="Q197" s="5"/>
      <c r="R197" s="5"/>
      <c r="S197" s="5"/>
      <c r="T197" s="5"/>
      <c r="U197" s="5"/>
      <c r="V197" s="5"/>
      <c r="W197" s="5"/>
    </row>
    <row r="198">
      <c r="A198" s="112" t="str">
        <f>IF(OR(ISBLANK(RAW_APS!A198),ISBLANK(RAW_APS!B198),ISBLANK(RAW_APS!C198)),TRUE,IFERROR(0/0,""))</f>
        <v/>
      </c>
      <c r="B198" s="252"/>
      <c r="C198" s="112" t="str">
        <f>IF(ISBLANK(B198),IFERROR(0/0,""),RAW_APS!A198)</f>
        <v/>
      </c>
      <c r="D198" s="112" t="str">
        <f>IF(ISBLANK(C198),IFERROR(0/0,""), VLOOKUP(C198,preDEL!A$2:AG786,33,FALSE))</f>
        <v/>
      </c>
      <c r="E198" s="252"/>
      <c r="F198" s="210"/>
      <c r="G198" s="252"/>
      <c r="H198" s="255" t="str">
        <f t="shared" si="1"/>
        <v/>
      </c>
      <c r="I198" s="256" t="str">
        <f>CONCATENATE(UPPER(RAW_APS!$A199),"__",RAW_APS!$B199,"_",RAW_APS!$C199)</f>
        <v>FM2070__44619_0.472604166666667</v>
      </c>
      <c r="J198" s="257" t="str">
        <f t="shared" si="2"/>
        <v/>
      </c>
      <c r="K198" s="252" t="s">
        <v>787</v>
      </c>
      <c r="L198" s="258" t="str">
        <f t="shared" si="3"/>
        <v>FM62</v>
      </c>
      <c r="M198" s="259" t="b">
        <f t="shared" si="4"/>
        <v>0</v>
      </c>
      <c r="N198" s="258" t="str">
        <f t="shared" si="5"/>
        <v/>
      </c>
      <c r="O198" s="5"/>
      <c r="P198" s="5"/>
      <c r="Q198" s="5"/>
      <c r="R198" s="5"/>
      <c r="S198" s="5"/>
      <c r="T198" s="5"/>
      <c r="U198" s="5"/>
      <c r="V198" s="5"/>
      <c r="W198" s="5"/>
    </row>
    <row r="199">
      <c r="A199" s="112" t="str">
        <f>IF(OR(ISBLANK(RAW_APS!A199),ISBLANK(RAW_APS!B199),ISBLANK(RAW_APS!C199)),TRUE,IFERROR(0/0,""))</f>
        <v/>
      </c>
      <c r="B199" s="252"/>
      <c r="C199" s="112" t="str">
        <f>IF(ISBLANK(B199),IFERROR(0/0,""),RAW_APS!A199)</f>
        <v/>
      </c>
      <c r="D199" s="112" t="str">
        <f>IF(ISBLANK(C199),IFERROR(0/0,""), VLOOKUP(C199,preDEL!A$2:AG786,33,FALSE))</f>
        <v/>
      </c>
      <c r="E199" s="252"/>
      <c r="F199" s="210"/>
      <c r="G199" s="252"/>
      <c r="H199" s="255" t="str">
        <f t="shared" si="1"/>
        <v/>
      </c>
      <c r="I199" s="256" t="str">
        <f>CONCATENATE(UPPER(RAW_APS!$A200),"__",RAW_APS!$B200,"_",RAW_APS!$C200)</f>
        <v>MAX48__44619_0.472256944444444</v>
      </c>
      <c r="J199" s="257" t="str">
        <f t="shared" si="2"/>
        <v/>
      </c>
      <c r="K199" s="252" t="s">
        <v>789</v>
      </c>
      <c r="L199" s="258" t="str">
        <f t="shared" si="3"/>
        <v>FM63</v>
      </c>
      <c r="M199" s="259" t="b">
        <f t="shared" si="4"/>
        <v>0</v>
      </c>
      <c r="N199" s="258" t="str">
        <f t="shared" si="5"/>
        <v/>
      </c>
      <c r="O199" s="5"/>
      <c r="P199" s="5"/>
      <c r="Q199" s="5"/>
      <c r="R199" s="5"/>
      <c r="S199" s="5"/>
      <c r="T199" s="5"/>
      <c r="U199" s="5"/>
      <c r="V199" s="5"/>
      <c r="W199" s="5"/>
    </row>
    <row r="200">
      <c r="A200" s="112" t="str">
        <f>IF(OR(ISBLANK(RAW_APS!A200),ISBLANK(RAW_APS!B200),ISBLANK(RAW_APS!C200)),TRUE,IFERROR(0/0,""))</f>
        <v/>
      </c>
      <c r="B200" s="252"/>
      <c r="C200" s="112" t="str">
        <f>IF(ISBLANK(B200),IFERROR(0/0,""),RAW_APS!A200)</f>
        <v/>
      </c>
      <c r="D200" s="112" t="str">
        <f>IF(ISBLANK(C200),IFERROR(0/0,""), VLOOKUP(C200,preDEL!A$2:AG786,33,FALSE))</f>
        <v/>
      </c>
      <c r="E200" s="252"/>
      <c r="F200" s="210"/>
      <c r="G200" s="252"/>
      <c r="H200" s="255" t="str">
        <f t="shared" si="1"/>
        <v/>
      </c>
      <c r="I200" s="256" t="str">
        <f>CONCATENATE(UPPER(RAW_APS!$A201),"__",RAW_APS!$B201,"_",RAW_APS!$C201)</f>
        <v>MAX93__44619_0.471747685185185</v>
      </c>
      <c r="J200" s="257" t="str">
        <f t="shared" si="2"/>
        <v/>
      </c>
      <c r="K200" s="252" t="s">
        <v>791</v>
      </c>
      <c r="L200" s="258" t="str">
        <f t="shared" si="3"/>
        <v>FM646</v>
      </c>
      <c r="M200" s="259" t="b">
        <f t="shared" si="4"/>
        <v>0</v>
      </c>
      <c r="N200" s="258" t="str">
        <f t="shared" si="5"/>
        <v/>
      </c>
      <c r="O200" s="5"/>
      <c r="P200" s="5"/>
      <c r="Q200" s="5"/>
      <c r="R200" s="5"/>
      <c r="S200" s="5"/>
      <c r="T200" s="5"/>
      <c r="U200" s="5"/>
      <c r="V200" s="5"/>
      <c r="W200" s="5"/>
    </row>
    <row r="201">
      <c r="A201" s="112" t="str">
        <f>IF(OR(ISBLANK(RAW_APS!A201),ISBLANK(RAW_APS!B201),ISBLANK(RAW_APS!C201)),TRUE,IFERROR(0/0,""))</f>
        <v/>
      </c>
      <c r="B201" s="252"/>
      <c r="C201" s="112" t="str">
        <f>IF(ISBLANK(B201),IFERROR(0/0,""),RAW_APS!A201)</f>
        <v/>
      </c>
      <c r="D201" s="112" t="str">
        <f>IF(ISBLANK(C201),IFERROR(0/0,""), VLOOKUP(C201,preDEL!A$2:AG786,33,FALSE))</f>
        <v/>
      </c>
      <c r="E201" s="252"/>
      <c r="F201" s="210"/>
      <c r="G201" s="252"/>
      <c r="H201" s="255" t="str">
        <f t="shared" si="1"/>
        <v/>
      </c>
      <c r="I201" s="256" t="str">
        <f>CONCATENATE(UPPER(RAW_APS!$A202),"__",RAW_APS!$B202,"_",RAW_APS!$C202)</f>
        <v>MAX106__44619_0.471284722222222</v>
      </c>
      <c r="J201" s="257" t="str">
        <f t="shared" si="2"/>
        <v/>
      </c>
      <c r="K201" s="252" t="s">
        <v>795</v>
      </c>
      <c r="L201" s="258" t="str">
        <f t="shared" si="3"/>
        <v>FM65</v>
      </c>
      <c r="M201" s="259" t="b">
        <f t="shared" si="4"/>
        <v>0</v>
      </c>
      <c r="N201" s="258" t="str">
        <f t="shared" si="5"/>
        <v/>
      </c>
      <c r="O201" s="5"/>
      <c r="P201" s="5"/>
      <c r="Q201" s="5"/>
      <c r="R201" s="5"/>
      <c r="S201" s="5"/>
      <c r="T201" s="5"/>
      <c r="U201" s="5"/>
      <c r="V201" s="5"/>
      <c r="W201" s="5"/>
    </row>
    <row r="202">
      <c r="A202" s="112" t="str">
        <f>IF(OR(ISBLANK(RAW_APS!A202),ISBLANK(RAW_APS!B202),ISBLANK(RAW_APS!C202)),TRUE,IFERROR(0/0,""))</f>
        <v/>
      </c>
      <c r="B202" s="252"/>
      <c r="C202" s="112" t="str">
        <f>IF(ISBLANK(B202),IFERROR(0/0,""),RAW_APS!A202)</f>
        <v/>
      </c>
      <c r="D202" s="112" t="str">
        <f>IF(ISBLANK(C202),IFERROR(0/0,""), VLOOKUP(C202,preDEL!A$2:AG786,33,FALSE))</f>
        <v/>
      </c>
      <c r="E202" s="252"/>
      <c r="F202" s="210"/>
      <c r="G202" s="252"/>
      <c r="H202" s="255" t="str">
        <f t="shared" si="1"/>
        <v/>
      </c>
      <c r="I202" s="256" t="str">
        <f>CONCATENATE(UPPER(RAW_APS!$A203),"__",RAW_APS!$B203,"_",RAW_APS!$C203)</f>
        <v>MAX40__44619_0.470775462962963</v>
      </c>
      <c r="J202" s="257" t="str">
        <f t="shared" si="2"/>
        <v/>
      </c>
      <c r="K202" s="252" t="s">
        <v>799</v>
      </c>
      <c r="L202" s="258" t="str">
        <f t="shared" si="3"/>
        <v>FM66</v>
      </c>
      <c r="M202" s="259" t="b">
        <f t="shared" si="4"/>
        <v>0</v>
      </c>
      <c r="N202" s="258" t="str">
        <f t="shared" si="5"/>
        <v/>
      </c>
      <c r="O202" s="5"/>
      <c r="P202" s="5"/>
      <c r="Q202" s="5"/>
      <c r="R202" s="5"/>
      <c r="S202" s="5"/>
      <c r="T202" s="5"/>
      <c r="U202" s="5"/>
      <c r="V202" s="5"/>
      <c r="W202" s="5"/>
    </row>
    <row r="203">
      <c r="A203" s="112" t="str">
        <f>IF(OR(ISBLANK(RAW_APS!A203),ISBLANK(RAW_APS!B203),ISBLANK(RAW_APS!C203)),TRUE,IFERROR(0/0,""))</f>
        <v/>
      </c>
      <c r="B203" s="252"/>
      <c r="C203" s="112" t="str">
        <f>IF(ISBLANK(B203),IFERROR(0/0,""),RAW_APS!A203)</f>
        <v/>
      </c>
      <c r="D203" s="112" t="str">
        <f>IF(ISBLANK(C203),IFERROR(0/0,""), VLOOKUP(C203,preDEL!A$2:AG786,33,FALSE))</f>
        <v/>
      </c>
      <c r="E203" s="252"/>
      <c r="F203" s="210"/>
      <c r="G203" s="252"/>
      <c r="H203" s="255" t="str">
        <f t="shared" si="1"/>
        <v/>
      </c>
      <c r="I203" s="256" t="str">
        <f>CONCATENATE(UPPER(RAW_APS!$A204),"__",RAW_APS!$B204,"_",RAW_APS!$C204)</f>
        <v>FM6__44619_0.365451388888889</v>
      </c>
      <c r="J203" s="257" t="str">
        <f t="shared" si="2"/>
        <v/>
      </c>
      <c r="K203" s="252" t="s">
        <v>802</v>
      </c>
      <c r="L203" s="258" t="str">
        <f t="shared" si="3"/>
        <v>FM70</v>
      </c>
      <c r="M203" s="259" t="b">
        <f t="shared" si="4"/>
        <v>0</v>
      </c>
      <c r="N203" s="258" t="str">
        <f t="shared" si="5"/>
        <v/>
      </c>
      <c r="O203" s="5"/>
      <c r="P203" s="5"/>
      <c r="Q203" s="5"/>
      <c r="R203" s="5"/>
      <c r="S203" s="5"/>
      <c r="T203" s="5"/>
      <c r="U203" s="5"/>
      <c r="V203" s="5"/>
      <c r="W203" s="5"/>
    </row>
    <row r="204">
      <c r="A204" s="112" t="str">
        <f>IF(OR(ISBLANK(RAW_APS!A204),ISBLANK(RAW_APS!B204),ISBLANK(RAW_APS!C204)),TRUE,IFERROR(0/0,""))</f>
        <v/>
      </c>
      <c r="B204" s="252"/>
      <c r="C204" s="112" t="str">
        <f>IF(ISBLANK(B204),IFERROR(0/0,""),RAW_APS!A204)</f>
        <v/>
      </c>
      <c r="D204" s="112" t="str">
        <f>IF(ISBLANK(C204),IFERROR(0/0,""), VLOOKUP(C204,preDEL!A$2:AG786,33,FALSE))</f>
        <v/>
      </c>
      <c r="E204" s="252"/>
      <c r="F204" s="210"/>
      <c r="G204" s="252"/>
      <c r="H204" s="255" t="str">
        <f t="shared" si="1"/>
        <v/>
      </c>
      <c r="I204" s="256" t="str">
        <f>CONCATENATE(UPPER(RAW_APS!$A205),"__",RAW_APS!$B205,"_",RAW_APS!$C205)</f>
        <v>FM617__44619_0.362858796296296</v>
      </c>
      <c r="J204" s="257" t="str">
        <f t="shared" si="2"/>
        <v/>
      </c>
      <c r="K204" s="252" t="s">
        <v>804</v>
      </c>
      <c r="L204" s="258" t="str">
        <f t="shared" si="3"/>
        <v>FM71</v>
      </c>
      <c r="M204" s="259" t="b">
        <f t="shared" si="4"/>
        <v>0</v>
      </c>
      <c r="N204" s="258" t="str">
        <f t="shared" si="5"/>
        <v/>
      </c>
      <c r="O204" s="5"/>
      <c r="P204" s="5"/>
      <c r="Q204" s="5"/>
      <c r="R204" s="5"/>
      <c r="S204" s="5"/>
      <c r="T204" s="5"/>
      <c r="U204" s="5"/>
      <c r="V204" s="5"/>
      <c r="W204" s="5"/>
    </row>
    <row r="205">
      <c r="A205" s="112" t="str">
        <f>IF(OR(ISBLANK(RAW_APS!A205),ISBLANK(RAW_APS!B205),ISBLANK(RAW_APS!C205)),TRUE,IFERROR(0/0,""))</f>
        <v/>
      </c>
      <c r="B205" s="252"/>
      <c r="C205" s="112" t="str">
        <f>IF(ISBLANK(B205),IFERROR(0/0,""),RAW_APS!A205)</f>
        <v/>
      </c>
      <c r="D205" s="112" t="str">
        <f>IF(ISBLANK(C205),IFERROR(0/0,""), VLOOKUP(C205,preDEL!A$2:AG786,33,FALSE))</f>
        <v/>
      </c>
      <c r="E205" s="252"/>
      <c r="F205" s="210"/>
      <c r="G205" s="252"/>
      <c r="H205" s="255" t="str">
        <f t="shared" si="1"/>
        <v/>
      </c>
      <c r="I205" s="256" t="str">
        <f>CONCATENATE(UPPER(RAW_APS!$A206),"__",RAW_APS!$B206,"_",RAW_APS!$C206)</f>
        <v>MA1320__44619_0.356377314814815</v>
      </c>
      <c r="J205" s="257" t="str">
        <f t="shared" si="2"/>
        <v/>
      </c>
      <c r="K205" s="252" t="s">
        <v>808</v>
      </c>
      <c r="L205" s="258" t="str">
        <f t="shared" si="3"/>
        <v>FM73</v>
      </c>
      <c r="M205" s="259" t="b">
        <f t="shared" si="4"/>
        <v>0</v>
      </c>
      <c r="N205" s="258" t="str">
        <f t="shared" si="5"/>
        <v/>
      </c>
      <c r="O205" s="5"/>
      <c r="P205" s="5"/>
      <c r="Q205" s="5"/>
      <c r="R205" s="5"/>
      <c r="S205" s="5"/>
      <c r="T205" s="5"/>
      <c r="U205" s="5"/>
      <c r="V205" s="5"/>
      <c r="W205" s="5"/>
    </row>
    <row r="206">
      <c r="A206" s="112" t="str">
        <f>IF(OR(ISBLANK(RAW_APS!A206),ISBLANK(RAW_APS!B206),ISBLANK(RAW_APS!C206)),TRUE,IFERROR(0/0,""))</f>
        <v/>
      </c>
      <c r="B206" s="252"/>
      <c r="C206" s="112" t="str">
        <f>IF(ISBLANK(B206),IFERROR(0/0,""),RAW_APS!A206)</f>
        <v/>
      </c>
      <c r="D206" s="112" t="str">
        <f>IF(ISBLANK(C206),IFERROR(0/0,""), VLOOKUP(C206,preDEL!A$2:AG786,33,FALSE))</f>
        <v/>
      </c>
      <c r="E206" s="252"/>
      <c r="F206" s="210"/>
      <c r="G206" s="252"/>
      <c r="H206" s="255" t="str">
        <f t="shared" si="1"/>
        <v/>
      </c>
      <c r="I206" s="256" t="str">
        <f>CONCATENATE(UPPER(RAW_APS!$A207),"__",RAW_APS!$B207,"_",RAW_APS!$C207)</f>
        <v>MA1288__44619_0.355752314814815</v>
      </c>
      <c r="J206" s="257" t="str">
        <f t="shared" si="2"/>
        <v/>
      </c>
      <c r="K206" s="252" t="s">
        <v>810</v>
      </c>
      <c r="L206" s="258" t="str">
        <f t="shared" si="3"/>
        <v>FM75</v>
      </c>
      <c r="M206" s="259" t="b">
        <f t="shared" si="4"/>
        <v>0</v>
      </c>
      <c r="N206" s="258" t="str">
        <f t="shared" si="5"/>
        <v/>
      </c>
      <c r="O206" s="5"/>
      <c r="P206" s="5"/>
      <c r="Q206" s="5"/>
      <c r="R206" s="5"/>
      <c r="S206" s="5"/>
      <c r="T206" s="5"/>
      <c r="U206" s="5"/>
      <c r="V206" s="5"/>
      <c r="W206" s="5"/>
    </row>
    <row r="207">
      <c r="A207" s="112" t="str">
        <f>IF(OR(ISBLANK(RAW_APS!A207),ISBLANK(RAW_APS!B207),ISBLANK(RAW_APS!C207)),TRUE,IFERROR(0/0,""))</f>
        <v/>
      </c>
      <c r="B207" s="252"/>
      <c r="C207" s="112" t="str">
        <f>IF(ISBLANK(B207),IFERROR(0/0,""),RAW_APS!A207)</f>
        <v/>
      </c>
      <c r="D207" s="112" t="str">
        <f>IF(ISBLANK(C207),IFERROR(0/0,""), VLOOKUP(C207,preDEL!A$2:AG786,33,FALSE))</f>
        <v/>
      </c>
      <c r="E207" s="252"/>
      <c r="F207" s="210"/>
      <c r="G207" s="252"/>
      <c r="H207" s="255" t="str">
        <f t="shared" si="1"/>
        <v/>
      </c>
      <c r="I207" s="256" t="str">
        <f>CONCATENATE(UPPER(RAW_APS!$A208),"__",RAW_APS!$B208,"_",RAW_APS!$C208)</f>
        <v>MA1095__44619_0.354444444444444</v>
      </c>
      <c r="J207" s="257" t="str">
        <f t="shared" si="2"/>
        <v/>
      </c>
      <c r="K207" s="252" t="s">
        <v>813</v>
      </c>
      <c r="L207" s="258" t="str">
        <f t="shared" si="3"/>
        <v>FM77</v>
      </c>
      <c r="M207" s="259" t="b">
        <f t="shared" si="4"/>
        <v>0</v>
      </c>
      <c r="N207" s="258" t="str">
        <f t="shared" si="5"/>
        <v/>
      </c>
      <c r="O207" s="5"/>
      <c r="P207" s="5"/>
      <c r="Q207" s="5"/>
      <c r="R207" s="5"/>
      <c r="S207" s="5"/>
      <c r="T207" s="5"/>
      <c r="U207" s="5"/>
      <c r="V207" s="5"/>
      <c r="W207" s="5"/>
    </row>
    <row r="208">
      <c r="A208" s="112" t="str">
        <f>IF(OR(ISBLANK(RAW_APS!A208),ISBLANK(RAW_APS!B208),ISBLANK(RAW_APS!C208)),TRUE,IFERROR(0/0,""))</f>
        <v/>
      </c>
      <c r="B208" s="252"/>
      <c r="C208" s="112" t="str">
        <f>IF(ISBLANK(B208),IFERROR(0/0,""),RAW_APS!A208)</f>
        <v/>
      </c>
      <c r="D208" s="112" t="str">
        <f>IF(ISBLANK(C208),IFERROR(0/0,""), VLOOKUP(C208,preDEL!A$2:AG786,33,FALSE))</f>
        <v/>
      </c>
      <c r="E208" s="252"/>
      <c r="F208" s="210"/>
      <c r="G208" s="252"/>
      <c r="H208" s="255" t="str">
        <f t="shared" si="1"/>
        <v/>
      </c>
      <c r="I208" s="256" t="str">
        <f>CONCATENATE(UPPER(RAW_APS!$A209),"__",RAW_APS!$B209,"_",RAW_APS!$C209)</f>
        <v>FM414__44619_0.339305555555556</v>
      </c>
      <c r="J208" s="257" t="str">
        <f t="shared" si="2"/>
        <v/>
      </c>
      <c r="K208" s="252" t="s">
        <v>815</v>
      </c>
      <c r="L208" s="258" t="str">
        <f t="shared" si="3"/>
        <v>FM78</v>
      </c>
      <c r="M208" s="259" t="b">
        <f t="shared" si="4"/>
        <v>0</v>
      </c>
      <c r="N208" s="258" t="str">
        <f t="shared" si="5"/>
        <v/>
      </c>
      <c r="O208" s="5"/>
      <c r="P208" s="5"/>
      <c r="Q208" s="5"/>
      <c r="R208" s="5"/>
      <c r="S208" s="5"/>
      <c r="T208" s="5"/>
      <c r="U208" s="5"/>
      <c r="V208" s="5"/>
      <c r="W208" s="5"/>
    </row>
    <row r="209">
      <c r="A209" s="112" t="str">
        <f>IF(OR(ISBLANK(RAW_APS!A209),ISBLANK(RAW_APS!B209),ISBLANK(RAW_APS!C209)),TRUE,IFERROR(0/0,""))</f>
        <v/>
      </c>
      <c r="B209" s="252"/>
      <c r="C209" s="112" t="str">
        <f>IF(ISBLANK(B209),IFERROR(0/0,""),RAW_APS!A209)</f>
        <v/>
      </c>
      <c r="D209" s="112" t="str">
        <f>IF(ISBLANK(C209),IFERROR(0/0,""), VLOOKUP(C209,preDEL!A$2:AG786,33,FALSE))</f>
        <v/>
      </c>
      <c r="E209" s="252"/>
      <c r="F209" s="210"/>
      <c r="G209" s="252"/>
      <c r="H209" s="255" t="str">
        <f t="shared" si="1"/>
        <v/>
      </c>
      <c r="I209" s="256" t="str">
        <f>CONCATENATE(UPPER(RAW_APS!$A210),"__",RAW_APS!$B210,"_",RAW_APS!$C210)</f>
        <v>MA194__44619_0.330856481481482</v>
      </c>
      <c r="J209" s="257" t="str">
        <f t="shared" si="2"/>
        <v/>
      </c>
      <c r="K209" s="252" t="s">
        <v>817</v>
      </c>
      <c r="L209" s="258" t="str">
        <f t="shared" si="3"/>
        <v>FM782</v>
      </c>
      <c r="M209" s="259" t="b">
        <f t="shared" si="4"/>
        <v>0</v>
      </c>
      <c r="N209" s="258" t="str">
        <f t="shared" si="5"/>
        <v/>
      </c>
      <c r="O209" s="5"/>
      <c r="P209" s="5"/>
      <c r="Q209" s="5"/>
      <c r="R209" s="5"/>
      <c r="S209" s="5"/>
      <c r="T209" s="5"/>
      <c r="U209" s="5"/>
      <c r="V209" s="5"/>
      <c r="W209" s="5"/>
    </row>
    <row r="210">
      <c r="A210" s="112" t="str">
        <f>IF(OR(ISBLANK(RAW_APS!A210),ISBLANK(RAW_APS!B210),ISBLANK(RAW_APS!C210)),TRUE,IFERROR(0/0,""))</f>
        <v/>
      </c>
      <c r="B210" s="252"/>
      <c r="C210" s="112" t="str">
        <f>IF(ISBLANK(B210),IFERROR(0/0,""),RAW_APS!A210)</f>
        <v/>
      </c>
      <c r="D210" s="112" t="str">
        <f>IF(ISBLANK(C210),IFERROR(0/0,""), VLOOKUP(C210,preDEL!A$2:AG786,33,FALSE))</f>
        <v/>
      </c>
      <c r="E210" s="252"/>
      <c r="F210" s="210"/>
      <c r="G210" s="252"/>
      <c r="H210" s="255" t="str">
        <f t="shared" si="1"/>
        <v/>
      </c>
      <c r="I210" s="256" t="str">
        <f>CONCATENATE(UPPER(RAW_APS!$A211),"__",RAW_APS!$B211,"_",RAW_APS!$C211)</f>
        <v>FM444__44619_0.330844907407407</v>
      </c>
      <c r="J210" s="257" t="str">
        <f t="shared" si="2"/>
        <v/>
      </c>
      <c r="K210" s="252" t="s">
        <v>819</v>
      </c>
      <c r="L210" s="258" t="str">
        <f t="shared" si="3"/>
        <v>FM783</v>
      </c>
      <c r="M210" s="259" t="b">
        <f t="shared" si="4"/>
        <v>0</v>
      </c>
      <c r="N210" s="258" t="str">
        <f t="shared" si="5"/>
        <v/>
      </c>
      <c r="O210" s="5"/>
      <c r="P210" s="5"/>
      <c r="Q210" s="5"/>
      <c r="R210" s="5"/>
      <c r="S210" s="5"/>
      <c r="T210" s="5"/>
      <c r="U210" s="5"/>
      <c r="V210" s="5"/>
      <c r="W210" s="5"/>
    </row>
    <row r="211">
      <c r="A211" s="112" t="str">
        <f>IF(OR(ISBLANK(RAW_APS!A211),ISBLANK(RAW_APS!B211),ISBLANK(RAW_APS!C211)),TRUE,IFERROR(0/0,""))</f>
        <v/>
      </c>
      <c r="B211" s="252"/>
      <c r="C211" s="112" t="str">
        <f>IF(ISBLANK(B211),IFERROR(0/0,""),RAW_APS!A211)</f>
        <v/>
      </c>
      <c r="D211" s="112" t="str">
        <f>IF(ISBLANK(C211),IFERROR(0/0,""), VLOOKUP(C211,preDEL!A$2:AG786,33,FALSE))</f>
        <v/>
      </c>
      <c r="E211" s="252"/>
      <c r="F211" s="210"/>
      <c r="G211" s="252"/>
      <c r="H211" s="255" t="str">
        <f t="shared" si="1"/>
        <v/>
      </c>
      <c r="I211" s="256" t="str">
        <f>CONCATENATE(UPPER(RAW_APS!$A212),"__",RAW_APS!$B212,"_",RAW_APS!$C212)</f>
        <v>FM812__44619_0.330243055555556</v>
      </c>
      <c r="J211" s="257" t="str">
        <f t="shared" si="2"/>
        <v/>
      </c>
      <c r="K211" s="252" t="s">
        <v>821</v>
      </c>
      <c r="L211" s="258" t="str">
        <f t="shared" si="3"/>
        <v>FM786</v>
      </c>
      <c r="M211" s="259" t="b">
        <f t="shared" si="4"/>
        <v>0</v>
      </c>
      <c r="N211" s="258" t="str">
        <f t="shared" si="5"/>
        <v/>
      </c>
      <c r="O211" s="5"/>
      <c r="P211" s="5"/>
      <c r="Q211" s="5"/>
      <c r="R211" s="5"/>
      <c r="S211" s="5"/>
      <c r="T211" s="5"/>
      <c r="U211" s="5"/>
      <c r="V211" s="5"/>
      <c r="W211" s="5"/>
    </row>
    <row r="212">
      <c r="A212" s="112" t="str">
        <f>IF(OR(ISBLANK(RAW_APS!A212),ISBLANK(RAW_APS!B212),ISBLANK(RAW_APS!C212)),TRUE,IFERROR(0/0,""))</f>
        <v/>
      </c>
      <c r="B212" s="252"/>
      <c r="C212" s="112" t="str">
        <f>IF(ISBLANK(B212),IFERROR(0/0,""),RAW_APS!A212)</f>
        <v/>
      </c>
      <c r="D212" s="112" t="str">
        <f>IF(ISBLANK(C212),IFERROR(0/0,""), VLOOKUP(C212,preDEL!A$2:AG786,33,FALSE))</f>
        <v/>
      </c>
      <c r="E212" s="252"/>
      <c r="F212" s="210"/>
      <c r="G212" s="252"/>
      <c r="H212" s="255" t="str">
        <f t="shared" si="1"/>
        <v/>
      </c>
      <c r="I212" s="256" t="str">
        <f>CONCATENATE(UPPER(RAW_APS!$A213),"__",RAW_APS!$B213,"_",RAW_APS!$C213)</f>
        <v>FM471__44619_0.327430555555556</v>
      </c>
      <c r="J212" s="257" t="str">
        <f t="shared" si="2"/>
        <v/>
      </c>
      <c r="K212" s="252" t="s">
        <v>823</v>
      </c>
      <c r="L212" s="258" t="str">
        <f t="shared" si="3"/>
        <v>FM787</v>
      </c>
      <c r="M212" s="259" t="b">
        <f t="shared" si="4"/>
        <v>0</v>
      </c>
      <c r="N212" s="258" t="str">
        <f t="shared" si="5"/>
        <v/>
      </c>
      <c r="O212" s="5"/>
      <c r="P212" s="5"/>
      <c r="Q212" s="5"/>
      <c r="R212" s="5"/>
      <c r="S212" s="5"/>
      <c r="T212" s="5"/>
      <c r="U212" s="5"/>
      <c r="V212" s="5"/>
      <c r="W212" s="5"/>
    </row>
    <row r="213">
      <c r="A213" s="112" t="str">
        <f>IF(OR(ISBLANK(RAW_APS!A213),ISBLANK(RAW_APS!B213),ISBLANK(RAW_APS!C213)),TRUE,IFERROR(0/0,""))</f>
        <v/>
      </c>
      <c r="B213" s="252"/>
      <c r="C213" s="112" t="str">
        <f>IF(ISBLANK(B213),IFERROR(0/0,""),RAW_APS!A213)</f>
        <v/>
      </c>
      <c r="D213" s="112" t="str">
        <f>IF(ISBLANK(C213),IFERROR(0/0,""), VLOOKUP(C213,preDEL!A$2:AG786,33,FALSE))</f>
        <v/>
      </c>
      <c r="E213" s="252"/>
      <c r="F213" s="210"/>
      <c r="G213" s="252"/>
      <c r="H213" s="255" t="str">
        <f t="shared" si="1"/>
        <v/>
      </c>
      <c r="I213" s="256" t="str">
        <f>CONCATENATE(UPPER(RAW_APS!$A214),"__",RAW_APS!$B214,"_",RAW_APS!$C214)</f>
        <v>FM2059__44619_0.324976851851852</v>
      </c>
      <c r="J213" s="257" t="str">
        <f t="shared" si="2"/>
        <v/>
      </c>
      <c r="K213" s="252" t="s">
        <v>825</v>
      </c>
      <c r="L213" s="258" t="str">
        <f t="shared" si="3"/>
        <v>FM792</v>
      </c>
      <c r="M213" s="259" t="b">
        <f t="shared" si="4"/>
        <v>0</v>
      </c>
      <c r="N213" s="258" t="str">
        <f t="shared" si="5"/>
        <v/>
      </c>
      <c r="O213" s="5"/>
      <c r="P213" s="5"/>
      <c r="Q213" s="5"/>
      <c r="R213" s="5"/>
      <c r="S213" s="5"/>
      <c r="T213" s="5"/>
      <c r="U213" s="5"/>
      <c r="V213" s="5"/>
      <c r="W213" s="5"/>
    </row>
    <row r="214">
      <c r="A214" s="112" t="str">
        <f>IF(OR(ISBLANK(RAW_APS!A214),ISBLANK(RAW_APS!B214),ISBLANK(RAW_APS!C214)),TRUE,IFERROR(0/0,""))</f>
        <v/>
      </c>
      <c r="B214" s="252"/>
      <c r="C214" s="112" t="str">
        <f>IF(ISBLANK(B214),IFERROR(0/0,""),RAW_APS!A214)</f>
        <v/>
      </c>
      <c r="D214" s="112" t="str">
        <f>IF(ISBLANK(C214),IFERROR(0/0,""), VLOOKUP(C214,preDEL!A$2:AG786,33,FALSE))</f>
        <v/>
      </c>
      <c r="E214" s="252"/>
      <c r="F214" s="210"/>
      <c r="G214" s="252"/>
      <c r="H214" s="255" t="str">
        <f t="shared" si="1"/>
        <v/>
      </c>
      <c r="I214" s="256" t="str">
        <f>CONCATENATE(UPPER(RAW_APS!$A215),"__",RAW_APS!$B215,"_",RAW_APS!$C215)</f>
        <v>FM2066__44619_0.324675925925926</v>
      </c>
      <c r="J214" s="257" t="str">
        <f t="shared" si="2"/>
        <v/>
      </c>
      <c r="K214" s="252" t="s">
        <v>829</v>
      </c>
      <c r="L214" s="258" t="str">
        <f t="shared" si="3"/>
        <v>FM793</v>
      </c>
      <c r="M214" s="259" t="b">
        <f t="shared" si="4"/>
        <v>0</v>
      </c>
      <c r="N214" s="258" t="str">
        <f t="shared" si="5"/>
        <v/>
      </c>
      <c r="O214" s="5"/>
      <c r="P214" s="5"/>
      <c r="Q214" s="5"/>
      <c r="R214" s="5"/>
      <c r="S214" s="5"/>
      <c r="T214" s="5"/>
      <c r="U214" s="5"/>
      <c r="V214" s="5"/>
      <c r="W214" s="5"/>
    </row>
    <row r="215">
      <c r="A215" s="112" t="str">
        <f>IF(OR(ISBLANK(RAW_APS!A215),ISBLANK(RAW_APS!B215),ISBLANK(RAW_APS!C215)),TRUE,IFERROR(0/0,""))</f>
        <v/>
      </c>
      <c r="B215" s="252"/>
      <c r="C215" s="112" t="str">
        <f>IF(ISBLANK(B215),IFERROR(0/0,""),RAW_APS!A215)</f>
        <v/>
      </c>
      <c r="D215" s="112" t="str">
        <f>IF(ISBLANK(C215),IFERROR(0/0,""), VLOOKUP(C215,preDEL!A$2:AG786,33,FALSE))</f>
        <v/>
      </c>
      <c r="E215" s="252"/>
      <c r="F215" s="210"/>
      <c r="G215" s="252"/>
      <c r="H215" s="255" t="str">
        <f t="shared" si="1"/>
        <v/>
      </c>
      <c r="I215" s="256" t="str">
        <f>CONCATENATE(UPPER(RAW_APS!$A216),"__",RAW_APS!$B216,"_",RAW_APS!$C216)</f>
        <v>FM4__44619_0.323206018518519</v>
      </c>
      <c r="J215" s="257" t="str">
        <f t="shared" si="2"/>
        <v/>
      </c>
      <c r="K215" s="252" t="s">
        <v>832</v>
      </c>
      <c r="L215" s="258" t="str">
        <f t="shared" si="3"/>
        <v>FM794</v>
      </c>
      <c r="M215" s="259" t="b">
        <f t="shared" si="4"/>
        <v>0</v>
      </c>
      <c r="N215" s="258" t="str">
        <f t="shared" si="5"/>
        <v/>
      </c>
      <c r="O215" s="5"/>
      <c r="P215" s="5"/>
      <c r="Q215" s="5"/>
      <c r="R215" s="5"/>
      <c r="S215" s="5"/>
      <c r="T215" s="5"/>
      <c r="U215" s="5"/>
      <c r="V215" s="5"/>
      <c r="W215" s="5"/>
    </row>
    <row r="216">
      <c r="A216" s="112" t="str">
        <f>IF(OR(ISBLANK(RAW_APS!A216),ISBLANK(RAW_APS!B216),ISBLANK(RAW_APS!C216)),TRUE,IFERROR(0/0,""))</f>
        <v/>
      </c>
      <c r="B216" s="252"/>
      <c r="C216" s="112" t="str">
        <f>IF(ISBLANK(B216),IFERROR(0/0,""),RAW_APS!A216)</f>
        <v/>
      </c>
      <c r="D216" s="112" t="str">
        <f>IF(ISBLANK(C216),IFERROR(0/0,""), VLOOKUP(C216,preDEL!A$2:AG786,33,FALSE))</f>
        <v/>
      </c>
      <c r="E216" s="252"/>
      <c r="F216" s="210"/>
      <c r="G216" s="252"/>
      <c r="H216" s="255" t="str">
        <f t="shared" si="1"/>
        <v/>
      </c>
      <c r="I216" s="256" t="str">
        <f>CONCATENATE(UPPER(RAW_APS!$A217),"__",RAW_APS!$B217,"_",RAW_APS!$C217)</f>
        <v>FM4__44619_0.323206018518519</v>
      </c>
      <c r="J216" s="257" t="str">
        <f t="shared" si="2"/>
        <v/>
      </c>
      <c r="K216" s="252" t="s">
        <v>834</v>
      </c>
      <c r="L216" s="258" t="str">
        <f t="shared" si="3"/>
        <v>FM796</v>
      </c>
      <c r="M216" s="259" t="b">
        <f t="shared" si="4"/>
        <v>0</v>
      </c>
      <c r="N216" s="258" t="str">
        <f t="shared" si="5"/>
        <v/>
      </c>
      <c r="O216" s="5"/>
      <c r="P216" s="5"/>
      <c r="Q216" s="5"/>
      <c r="R216" s="5"/>
      <c r="S216" s="5"/>
      <c r="T216" s="5"/>
      <c r="U216" s="5"/>
      <c r="V216" s="5"/>
      <c r="W216" s="5"/>
    </row>
    <row r="217">
      <c r="A217" s="112" t="str">
        <f>IF(OR(ISBLANK(RAW_APS!A217),ISBLANK(RAW_APS!B217),ISBLANK(RAW_APS!C217)),TRUE,IFERROR(0/0,""))</f>
        <v/>
      </c>
      <c r="B217" s="252"/>
      <c r="C217" s="112" t="str">
        <f>IF(ISBLANK(B217),IFERROR(0/0,""),RAW_APS!A217)</f>
        <v/>
      </c>
      <c r="D217" s="112" t="str">
        <f>IF(ISBLANK(C217),IFERROR(0/0,""), VLOOKUP(C217,preDEL!A$2:AG786,33,FALSE))</f>
        <v/>
      </c>
      <c r="E217" s="252"/>
      <c r="F217" s="210"/>
      <c r="G217" s="252"/>
      <c r="H217" s="255" t="str">
        <f t="shared" si="1"/>
        <v/>
      </c>
      <c r="I217" s="256" t="str">
        <f>CONCATENATE(UPPER(RAW_APS!$A218),"__",RAW_APS!$B218,"_",RAW_APS!$C218)</f>
        <v>FM23__44619_0.322615740740741</v>
      </c>
      <c r="J217" s="257" t="str">
        <f t="shared" si="2"/>
        <v/>
      </c>
      <c r="K217" s="252" t="s">
        <v>837</v>
      </c>
      <c r="L217" s="258" t="str">
        <f t="shared" si="3"/>
        <v>FM799</v>
      </c>
      <c r="M217" s="259" t="b">
        <f t="shared" si="4"/>
        <v>0</v>
      </c>
      <c r="N217" s="258" t="str">
        <f t="shared" si="5"/>
        <v/>
      </c>
      <c r="O217" s="5"/>
      <c r="P217" s="5"/>
      <c r="Q217" s="5"/>
      <c r="R217" s="5"/>
      <c r="S217" s="5"/>
      <c r="T217" s="5"/>
      <c r="U217" s="5"/>
      <c r="V217" s="5"/>
      <c r="W217" s="5"/>
    </row>
    <row r="218">
      <c r="A218" s="112" t="str">
        <f>IF(OR(ISBLANK(RAW_APS!A218),ISBLANK(RAW_APS!B218),ISBLANK(RAW_APS!C218)),TRUE,IFERROR(0/0,""))</f>
        <v/>
      </c>
      <c r="B218" s="252"/>
      <c r="C218" s="112" t="str">
        <f>IF(ISBLANK(B218),IFERROR(0/0,""),RAW_APS!A218)</f>
        <v/>
      </c>
      <c r="D218" s="112" t="str">
        <f>IF(ISBLANK(C218),IFERROR(0/0,""), VLOOKUP(C218,preDEL!A$2:AG786,33,FALSE))</f>
        <v/>
      </c>
      <c r="E218" s="252"/>
      <c r="F218" s="210"/>
      <c r="G218" s="252"/>
      <c r="H218" s="255" t="str">
        <f t="shared" si="1"/>
        <v/>
      </c>
      <c r="I218" s="256" t="str">
        <f>CONCATENATE(UPPER(RAW_APS!$A219),"__",RAW_APS!$B219,"_",RAW_APS!$C219)</f>
        <v>FM23__44619_0.322615740740741</v>
      </c>
      <c r="J218" s="257" t="str">
        <f t="shared" si="2"/>
        <v/>
      </c>
      <c r="K218" s="252" t="s">
        <v>840</v>
      </c>
      <c r="L218" s="258" t="str">
        <f t="shared" si="3"/>
        <v>FM8</v>
      </c>
      <c r="M218" s="259" t="b">
        <f t="shared" si="4"/>
        <v>0</v>
      </c>
      <c r="N218" s="258" t="str">
        <f t="shared" si="5"/>
        <v/>
      </c>
      <c r="O218" s="5"/>
      <c r="P218" s="5"/>
      <c r="Q218" s="5"/>
      <c r="R218" s="5"/>
      <c r="S218" s="5"/>
      <c r="T218" s="5"/>
      <c r="U218" s="5"/>
      <c r="V218" s="5"/>
      <c r="W218" s="5"/>
    </row>
    <row r="219">
      <c r="A219" s="112" t="str">
        <f>IF(OR(ISBLANK(RAW_APS!A219),ISBLANK(RAW_APS!B219),ISBLANK(RAW_APS!C219)),TRUE,IFERROR(0/0,""))</f>
        <v/>
      </c>
      <c r="B219" s="252"/>
      <c r="C219" s="112" t="str">
        <f>IF(ISBLANK(B219),IFERROR(0/0,""),RAW_APS!A219)</f>
        <v/>
      </c>
      <c r="D219" s="112" t="str">
        <f>IF(ISBLANK(C219),IFERROR(0/0,""), VLOOKUP(C219,preDEL!A$2:AG786,33,FALSE))</f>
        <v/>
      </c>
      <c r="E219" s="252"/>
      <c r="F219" s="210"/>
      <c r="G219" s="252"/>
      <c r="H219" s="255" t="str">
        <f t="shared" si="1"/>
        <v/>
      </c>
      <c r="I219" s="256" t="str">
        <f>CONCATENATE(UPPER(RAW_APS!$A220),"__",RAW_APS!$B220,"_",RAW_APS!$C220)</f>
        <v>MA1263__44619_0.320046296296296</v>
      </c>
      <c r="J219" s="257" t="str">
        <f t="shared" si="2"/>
        <v/>
      </c>
      <c r="K219" s="252" t="s">
        <v>842</v>
      </c>
      <c r="L219" s="258" t="str">
        <f t="shared" si="3"/>
        <v>FM802</v>
      </c>
      <c r="M219" s="259" t="b">
        <f t="shared" si="4"/>
        <v>0</v>
      </c>
      <c r="N219" s="258" t="str">
        <f t="shared" si="5"/>
        <v/>
      </c>
      <c r="O219" s="5"/>
      <c r="P219" s="5"/>
      <c r="Q219" s="5"/>
      <c r="R219" s="5"/>
      <c r="S219" s="5"/>
      <c r="T219" s="5"/>
      <c r="U219" s="5"/>
      <c r="V219" s="5"/>
      <c r="W219" s="5"/>
    </row>
    <row r="220">
      <c r="A220" s="112" t="str">
        <f>IF(OR(ISBLANK(RAW_APS!A220),ISBLANK(RAW_APS!B220),ISBLANK(RAW_APS!C220)),TRUE,IFERROR(0/0,""))</f>
        <v/>
      </c>
      <c r="B220" s="252"/>
      <c r="C220" s="112" t="str">
        <f>IF(ISBLANK(B220),IFERROR(0/0,""),RAW_APS!A220)</f>
        <v/>
      </c>
      <c r="D220" s="112" t="str">
        <f>IF(ISBLANK(C220),IFERROR(0/0,""), VLOOKUP(C220,preDEL!A$2:AG786,33,FALSE))</f>
        <v/>
      </c>
      <c r="E220" s="252"/>
      <c r="F220" s="210"/>
      <c r="G220" s="252"/>
      <c r="H220" s="255" t="str">
        <f t="shared" si="1"/>
        <v/>
      </c>
      <c r="I220" s="256" t="str">
        <f>CONCATENATE(UPPER(RAW_APS!$A221),"__",RAW_APS!$B221,"_",RAW_APS!$C221)</f>
        <v>MA1123__44619_0.319421296296296</v>
      </c>
      <c r="J220" s="257" t="str">
        <f t="shared" si="2"/>
        <v/>
      </c>
      <c r="K220" s="252" t="s">
        <v>844</v>
      </c>
      <c r="L220" s="258" t="str">
        <f t="shared" si="3"/>
        <v>FM803</v>
      </c>
      <c r="M220" s="259" t="b">
        <f t="shared" si="4"/>
        <v>0</v>
      </c>
      <c r="N220" s="258" t="str">
        <f t="shared" si="5"/>
        <v/>
      </c>
      <c r="O220" s="5"/>
      <c r="P220" s="5"/>
      <c r="Q220" s="5"/>
      <c r="R220" s="5"/>
      <c r="S220" s="5"/>
      <c r="T220" s="5"/>
      <c r="U220" s="5"/>
      <c r="V220" s="5"/>
      <c r="W220" s="5"/>
    </row>
    <row r="221">
      <c r="A221" s="112" t="str">
        <f>IF(OR(ISBLANK(RAW_APS!A221),ISBLANK(RAW_APS!B221),ISBLANK(RAW_APS!C221)),TRUE,IFERROR(0/0,""))</f>
        <v/>
      </c>
      <c r="B221" s="252"/>
      <c r="C221" s="112" t="str">
        <f>IF(ISBLANK(B221),IFERROR(0/0,""),RAW_APS!A221)</f>
        <v/>
      </c>
      <c r="D221" s="112" t="str">
        <f>IF(ISBLANK(C221),IFERROR(0/0,""), VLOOKUP(C221,preDEL!A$2:AG786,33,FALSE))</f>
        <v/>
      </c>
      <c r="E221" s="252"/>
      <c r="F221" s="210"/>
      <c r="G221" s="252"/>
      <c r="H221" s="255" t="str">
        <f t="shared" si="1"/>
        <v/>
      </c>
      <c r="I221" s="256" t="str">
        <f>CONCATENATE(UPPER(RAW_APS!$A222),"__",RAW_APS!$B222,"_",RAW_APS!$C222)</f>
        <v>MA394__44619_0.312858796296296</v>
      </c>
      <c r="J221" s="257" t="str">
        <f t="shared" si="2"/>
        <v/>
      </c>
      <c r="K221" s="252" t="s">
        <v>846</v>
      </c>
      <c r="L221" s="258" t="str">
        <f t="shared" si="3"/>
        <v>FM804</v>
      </c>
      <c r="M221" s="259" t="b">
        <f t="shared" si="4"/>
        <v>0</v>
      </c>
      <c r="N221" s="258" t="str">
        <f t="shared" si="5"/>
        <v/>
      </c>
      <c r="O221" s="5"/>
      <c r="P221" s="5"/>
      <c r="Q221" s="5"/>
      <c r="R221" s="5"/>
      <c r="S221" s="5"/>
      <c r="T221" s="5"/>
      <c r="U221" s="5"/>
      <c r="V221" s="5"/>
      <c r="W221" s="5"/>
    </row>
    <row r="222">
      <c r="A222" s="112" t="str">
        <f>IF(OR(ISBLANK(RAW_APS!A222),ISBLANK(RAW_APS!B222),ISBLANK(RAW_APS!C222)),TRUE,IFERROR(0/0,""))</f>
        <v/>
      </c>
      <c r="B222" s="252"/>
      <c r="C222" s="112" t="str">
        <f>IF(ISBLANK(B222),IFERROR(0/0,""),RAW_APS!A222)</f>
        <v/>
      </c>
      <c r="D222" s="112" t="str">
        <f>IF(ISBLANK(C222),IFERROR(0/0,""), VLOOKUP(C222,preDEL!A$2:AG786,33,FALSE))</f>
        <v/>
      </c>
      <c r="E222" s="252"/>
      <c r="F222" s="210"/>
      <c r="G222" s="252"/>
      <c r="H222" s="255" t="str">
        <f t="shared" si="1"/>
        <v/>
      </c>
      <c r="I222" s="256" t="str">
        <f>CONCATENATE(UPPER(RAW_APS!$A223),"__",RAW_APS!$B223,"_",RAW_APS!$C223)</f>
        <v>FM445__44619_0.297303240740741</v>
      </c>
      <c r="J222" s="257" t="str">
        <f t="shared" si="2"/>
        <v/>
      </c>
      <c r="K222" s="252" t="s">
        <v>848</v>
      </c>
      <c r="L222" s="258" t="str">
        <f t="shared" si="3"/>
        <v>FM807</v>
      </c>
      <c r="M222" s="259" t="b">
        <f t="shared" si="4"/>
        <v>0</v>
      </c>
      <c r="N222" s="258" t="str">
        <f t="shared" si="5"/>
        <v/>
      </c>
      <c r="O222" s="5"/>
      <c r="P222" s="5"/>
      <c r="Q222" s="5"/>
      <c r="R222" s="5"/>
      <c r="S222" s="5"/>
      <c r="T222" s="5"/>
      <c r="U222" s="5"/>
      <c r="V222" s="5"/>
      <c r="W222" s="5"/>
    </row>
    <row r="223">
      <c r="A223" s="112" t="str">
        <f>IF(OR(ISBLANK(RAW_APS!A223),ISBLANK(RAW_APS!B223),ISBLANK(RAW_APS!C223)),TRUE,IFERROR(0/0,""))</f>
        <v/>
      </c>
      <c r="B223" s="252"/>
      <c r="C223" s="112" t="str">
        <f>IF(ISBLANK(B223),IFERROR(0/0,""),RAW_APS!A223)</f>
        <v/>
      </c>
      <c r="D223" s="112" t="str">
        <f>IF(ISBLANK(C223),IFERROR(0/0,""), VLOOKUP(C223,preDEL!A$2:AG786,33,FALSE))</f>
        <v/>
      </c>
      <c r="E223" s="252"/>
      <c r="F223" s="210"/>
      <c r="G223" s="252"/>
      <c r="H223" s="255" t="str">
        <f t="shared" si="1"/>
        <v/>
      </c>
      <c r="I223" s="256" t="str">
        <f>CONCATENATE(UPPER(RAW_APS!$A224),"__",RAW_APS!$B224,"_",RAW_APS!$C224)</f>
        <v>FM2093__44619_0.290949074074074</v>
      </c>
      <c r="J223" s="257" t="str">
        <f t="shared" si="2"/>
        <v/>
      </c>
      <c r="K223" s="252" t="s">
        <v>852</v>
      </c>
      <c r="L223" s="258" t="str">
        <f t="shared" si="3"/>
        <v>FM81</v>
      </c>
      <c r="M223" s="259" t="b">
        <f t="shared" si="4"/>
        <v>0</v>
      </c>
      <c r="N223" s="258" t="str">
        <f t="shared" si="5"/>
        <v/>
      </c>
      <c r="O223" s="5"/>
      <c r="P223" s="5"/>
      <c r="Q223" s="5"/>
      <c r="R223" s="5"/>
      <c r="S223" s="5"/>
      <c r="T223" s="5"/>
      <c r="U223" s="5"/>
      <c r="V223" s="5"/>
      <c r="W223" s="5"/>
    </row>
    <row r="224">
      <c r="A224" s="112" t="str">
        <f>IF(OR(ISBLANK(RAW_APS!A224),ISBLANK(RAW_APS!B224),ISBLANK(RAW_APS!C224)),TRUE,IFERROR(0/0,""))</f>
        <v/>
      </c>
      <c r="B224" s="252"/>
      <c r="C224" s="112" t="str">
        <f>IF(ISBLANK(B224),IFERROR(0/0,""),RAW_APS!A224)</f>
        <v/>
      </c>
      <c r="D224" s="112" t="str">
        <f>IF(ISBLANK(C224),IFERROR(0/0,""), VLOOKUP(C224,preDEL!A$2:AG786,33,FALSE))</f>
        <v/>
      </c>
      <c r="E224" s="252"/>
      <c r="F224" s="210"/>
      <c r="G224" s="252"/>
      <c r="H224" s="255" t="str">
        <f t="shared" si="1"/>
        <v/>
      </c>
      <c r="I224" s="256" t="str">
        <f>CONCATENATE(UPPER(RAW_APS!$A225),"__",RAW_APS!$B225,"_",RAW_APS!$C225)</f>
        <v>FM455__44619_0.287916666666667</v>
      </c>
      <c r="J224" s="257" t="str">
        <f t="shared" si="2"/>
        <v/>
      </c>
      <c r="K224" s="252" t="s">
        <v>855</v>
      </c>
      <c r="L224" s="258" t="str">
        <f t="shared" si="3"/>
        <v>FM812</v>
      </c>
      <c r="M224" s="259" t="b">
        <f t="shared" si="4"/>
        <v>0</v>
      </c>
      <c r="N224" s="258" t="str">
        <f t="shared" si="5"/>
        <v/>
      </c>
      <c r="O224" s="5"/>
      <c r="P224" s="5"/>
      <c r="Q224" s="5"/>
      <c r="R224" s="5"/>
      <c r="S224" s="5"/>
      <c r="T224" s="5"/>
      <c r="U224" s="5"/>
      <c r="V224" s="5"/>
      <c r="W224" s="5"/>
    </row>
    <row r="225">
      <c r="A225" s="112" t="str">
        <f>IF(OR(ISBLANK(RAW_APS!A225),ISBLANK(RAW_APS!B225),ISBLANK(RAW_APS!C225)),TRUE,IFERROR(0/0,""))</f>
        <v/>
      </c>
      <c r="B225" s="252"/>
      <c r="C225" s="112" t="str">
        <f>IF(ISBLANK(B225),IFERROR(0/0,""),RAW_APS!A225)</f>
        <v/>
      </c>
      <c r="D225" s="112" t="str">
        <f>IF(ISBLANK(C225),IFERROR(0/0,""), VLOOKUP(C225,preDEL!A$2:AG786,33,FALSE))</f>
        <v/>
      </c>
      <c r="E225" s="252"/>
      <c r="F225" s="210"/>
      <c r="G225" s="252"/>
      <c r="H225" s="255" t="str">
        <f t="shared" si="1"/>
        <v/>
      </c>
      <c r="I225" s="256" t="str">
        <f>CONCATENATE(UPPER(RAW_APS!$A226),"__",RAW_APS!$B226,"_",RAW_APS!$C226)</f>
        <v>MA349__44619_0.286527777777778</v>
      </c>
      <c r="J225" s="257" t="str">
        <f t="shared" si="2"/>
        <v/>
      </c>
      <c r="K225" s="252" t="s">
        <v>858</v>
      </c>
      <c r="L225" s="258" t="str">
        <f t="shared" si="3"/>
        <v>FM813</v>
      </c>
      <c r="M225" s="259" t="b">
        <f t="shared" si="4"/>
        <v>0</v>
      </c>
      <c r="N225" s="258" t="str">
        <f t="shared" si="5"/>
        <v/>
      </c>
      <c r="O225" s="5"/>
      <c r="P225" s="5"/>
      <c r="Q225" s="5"/>
      <c r="R225" s="5"/>
      <c r="S225" s="5"/>
      <c r="T225" s="5"/>
      <c r="U225" s="5"/>
      <c r="V225" s="5"/>
      <c r="W225" s="5"/>
    </row>
    <row r="226">
      <c r="A226" s="112" t="str">
        <f>IF(OR(ISBLANK(RAW_APS!A226),ISBLANK(RAW_APS!B226),ISBLANK(RAW_APS!C226)),TRUE,IFERROR(0/0,""))</f>
        <v/>
      </c>
      <c r="B226" s="252"/>
      <c r="C226" s="112" t="str">
        <f>IF(ISBLANK(B226),IFERROR(0/0,""),RAW_APS!A226)</f>
        <v/>
      </c>
      <c r="D226" s="112" t="str">
        <f>IF(ISBLANK(C226),IFERROR(0/0,""), VLOOKUP(C226,preDEL!A$2:AG786,33,FALSE))</f>
        <v/>
      </c>
      <c r="E226" s="252"/>
      <c r="F226" s="210"/>
      <c r="G226" s="252"/>
      <c r="H226" s="255" t="str">
        <f t="shared" si="1"/>
        <v/>
      </c>
      <c r="I226" s="256" t="str">
        <f>CONCATENATE(UPPER(RAW_APS!$A227),"__",RAW_APS!$B227,"_",RAW_APS!$C227)</f>
        <v>FM1011__44619_0.277604166666667</v>
      </c>
      <c r="J226" s="257" t="str">
        <f t="shared" si="2"/>
        <v/>
      </c>
      <c r="K226" s="252" t="s">
        <v>860</v>
      </c>
      <c r="L226" s="258" t="str">
        <f t="shared" si="3"/>
        <v>FM816</v>
      </c>
      <c r="M226" s="259" t="b">
        <f t="shared" si="4"/>
        <v>0</v>
      </c>
      <c r="N226" s="258" t="str">
        <f t="shared" si="5"/>
        <v/>
      </c>
      <c r="O226" s="5"/>
      <c r="P226" s="5"/>
      <c r="Q226" s="5"/>
      <c r="R226" s="5"/>
      <c r="S226" s="5"/>
      <c r="T226" s="5"/>
      <c r="U226" s="5"/>
      <c r="V226" s="5"/>
      <c r="W226" s="5"/>
    </row>
    <row r="227">
      <c r="A227" s="112" t="str">
        <f>IF(OR(ISBLANK(RAW_APS!A227),ISBLANK(RAW_APS!B227),ISBLANK(RAW_APS!C227)),TRUE,IFERROR(0/0,""))</f>
        <v/>
      </c>
      <c r="B227" s="252"/>
      <c r="C227" s="112" t="str">
        <f>IF(ISBLANK(B227),IFERROR(0/0,""),RAW_APS!A227)</f>
        <v/>
      </c>
      <c r="D227" s="112" t="str">
        <f>IF(ISBLANK(C227),IFERROR(0/0,""), VLOOKUP(C227,preDEL!A$2:AG786,33,FALSE))</f>
        <v/>
      </c>
      <c r="E227" s="252"/>
      <c r="F227" s="210"/>
      <c r="G227" s="252"/>
      <c r="H227" s="255" t="str">
        <f t="shared" si="1"/>
        <v/>
      </c>
      <c r="I227" s="256" t="str">
        <f>CONCATENATE(UPPER(RAW_APS!$A228),"__",RAW_APS!$B228,"_",RAW_APS!$C228)</f>
        <v>FM454__44619_0.262291666666667</v>
      </c>
      <c r="J227" s="257" t="str">
        <f t="shared" si="2"/>
        <v/>
      </c>
      <c r="K227" s="252" t="s">
        <v>863</v>
      </c>
      <c r="L227" s="258" t="str">
        <f t="shared" si="3"/>
        <v>FM819</v>
      </c>
      <c r="M227" s="259" t="b">
        <f t="shared" si="4"/>
        <v>0</v>
      </c>
      <c r="N227" s="258" t="str">
        <f t="shared" si="5"/>
        <v/>
      </c>
      <c r="O227" s="5"/>
      <c r="P227" s="5"/>
      <c r="Q227" s="5"/>
      <c r="R227" s="5"/>
      <c r="S227" s="5"/>
      <c r="T227" s="5"/>
      <c r="U227" s="5"/>
      <c r="V227" s="5"/>
      <c r="W227" s="5"/>
    </row>
    <row r="228">
      <c r="A228" s="112" t="str">
        <f>IF(OR(ISBLANK(RAW_APS!A228),ISBLANK(RAW_APS!B228),ISBLANK(RAW_APS!C228)),TRUE,IFERROR(0/0,""))</f>
        <v/>
      </c>
      <c r="B228" s="252"/>
      <c r="C228" s="112" t="str">
        <f>IF(ISBLANK(B228),IFERROR(0/0,""),RAW_APS!A228)</f>
        <v/>
      </c>
      <c r="D228" s="112" t="str">
        <f>IF(ISBLANK(C228),IFERROR(0/0,""), VLOOKUP(C228,preDEL!A$2:AG786,33,FALSE))</f>
        <v/>
      </c>
      <c r="E228" s="252"/>
      <c r="F228" s="210"/>
      <c r="G228" s="252"/>
      <c r="H228" s="255" t="str">
        <f t="shared" si="1"/>
        <v/>
      </c>
      <c r="I228" s="256" t="str">
        <f>CONCATENATE(UPPER(RAW_APS!$A229),"__",RAW_APS!$B229,"_",RAW_APS!$C229)</f>
        <v>MA1276__44617_0.418888888888889</v>
      </c>
      <c r="J228" s="257" t="str">
        <f t="shared" si="2"/>
        <v/>
      </c>
      <c r="K228" s="252" t="s">
        <v>866</v>
      </c>
      <c r="L228" s="258" t="str">
        <f t="shared" si="3"/>
        <v>FM82</v>
      </c>
      <c r="M228" s="259" t="b">
        <f t="shared" si="4"/>
        <v>0</v>
      </c>
      <c r="N228" s="258" t="str">
        <f t="shared" si="5"/>
        <v/>
      </c>
      <c r="O228" s="5"/>
      <c r="P228" s="5"/>
      <c r="Q228" s="5"/>
      <c r="R228" s="5"/>
      <c r="S228" s="5"/>
      <c r="T228" s="5"/>
      <c r="U228" s="5"/>
      <c r="V228" s="5"/>
      <c r="W228" s="5"/>
    </row>
    <row r="229">
      <c r="A229" s="112" t="str">
        <f>IF(OR(ISBLANK(RAW_APS!A229),ISBLANK(RAW_APS!B229),ISBLANK(RAW_APS!C229)),TRUE,IFERROR(0/0,""))</f>
        <v/>
      </c>
      <c r="B229" s="252"/>
      <c r="C229" s="112" t="str">
        <f>IF(ISBLANK(B229),IFERROR(0/0,""),RAW_APS!A229)</f>
        <v/>
      </c>
      <c r="D229" s="112" t="str">
        <f>IF(ISBLANK(C229),IFERROR(0/0,""), VLOOKUP(C229,preDEL!A$2:AG786,33,FALSE))</f>
        <v/>
      </c>
      <c r="E229" s="252"/>
      <c r="F229" s="210"/>
      <c r="G229" s="252"/>
      <c r="H229" s="255" t="str">
        <f t="shared" si="1"/>
        <v/>
      </c>
      <c r="I229" s="256" t="str">
        <f>CONCATENATE(UPPER(RAW_APS!$A230),"__",RAW_APS!$B230,"_",RAW_APS!$C230)</f>
        <v>MA186__44617_0.349641203703704</v>
      </c>
      <c r="J229" s="257" t="str">
        <f t="shared" si="2"/>
        <v/>
      </c>
      <c r="K229" s="252" t="s">
        <v>868</v>
      </c>
      <c r="L229" s="258" t="str">
        <f t="shared" si="3"/>
        <v>FM821</v>
      </c>
      <c r="M229" s="259" t="b">
        <f t="shared" si="4"/>
        <v>0</v>
      </c>
      <c r="N229" s="258" t="str">
        <f t="shared" si="5"/>
        <v/>
      </c>
      <c r="O229" s="5"/>
      <c r="P229" s="5"/>
      <c r="Q229" s="5"/>
      <c r="R229" s="5"/>
      <c r="S229" s="5"/>
      <c r="T229" s="5"/>
      <c r="U229" s="5"/>
      <c r="V229" s="5"/>
      <c r="W229" s="5"/>
    </row>
    <row r="230">
      <c r="A230" s="112" t="str">
        <f>IF(OR(ISBLANK(RAW_APS!A230),ISBLANK(RAW_APS!B230),ISBLANK(RAW_APS!C230)),TRUE,IFERROR(0/0,""))</f>
        <v/>
      </c>
      <c r="B230" s="252"/>
      <c r="C230" s="112" t="str">
        <f>IF(ISBLANK(B230),IFERROR(0/0,""),RAW_APS!A230)</f>
        <v/>
      </c>
      <c r="D230" s="112" t="str">
        <f>IF(ISBLANK(C230),IFERROR(0/0,""), VLOOKUP(C230,preDEL!A$2:AG786,33,FALSE))</f>
        <v/>
      </c>
      <c r="E230" s="252"/>
      <c r="F230" s="210"/>
      <c r="G230" s="252"/>
      <c r="H230" s="255" t="str">
        <f t="shared" si="1"/>
        <v/>
      </c>
      <c r="I230" s="256" t="str">
        <f>CONCATENATE(UPPER(RAW_APS!$A231),"__",RAW_APS!$B231,"_",RAW_APS!$C231)</f>
        <v>MA298__44617_0.348634259259259</v>
      </c>
      <c r="J230" s="257" t="str">
        <f t="shared" si="2"/>
        <v/>
      </c>
      <c r="K230" s="252" t="s">
        <v>871</v>
      </c>
      <c r="L230" s="258" t="str">
        <f t="shared" si="3"/>
        <v>FM823</v>
      </c>
      <c r="M230" s="259" t="b">
        <f t="shared" si="4"/>
        <v>0</v>
      </c>
      <c r="N230" s="258" t="str">
        <f t="shared" si="5"/>
        <v/>
      </c>
      <c r="O230" s="5"/>
      <c r="P230" s="5"/>
      <c r="Q230" s="5"/>
      <c r="R230" s="5"/>
      <c r="S230" s="5"/>
      <c r="T230" s="5"/>
      <c r="U230" s="5"/>
      <c r="V230" s="5"/>
      <c r="W230" s="5"/>
    </row>
    <row r="231">
      <c r="A231" s="112" t="str">
        <f>IF(OR(ISBLANK(RAW_APS!A231),ISBLANK(RAW_APS!B231),ISBLANK(RAW_APS!C231)),TRUE,IFERROR(0/0,""))</f>
        <v/>
      </c>
      <c r="B231" s="252"/>
      <c r="C231" s="112" t="str">
        <f>IF(ISBLANK(B231),IFERROR(0/0,""),RAW_APS!A231)</f>
        <v/>
      </c>
      <c r="D231" s="112" t="str">
        <f>IF(ISBLANK(C231),IFERROR(0/0,""), VLOOKUP(C231,preDEL!A$2:AG786,33,FALSE))</f>
        <v/>
      </c>
      <c r="E231" s="252"/>
      <c r="F231" s="210"/>
      <c r="G231" s="252"/>
      <c r="H231" s="255" t="str">
        <f t="shared" si="1"/>
        <v/>
      </c>
      <c r="I231" s="256" t="str">
        <f>CONCATENATE(UPPER(RAW_APS!$A232),"__",RAW_APS!$B232,"_",RAW_APS!$C232)</f>
        <v>MA1240__44617_0.347743055555556</v>
      </c>
      <c r="J231" s="257" t="str">
        <f t="shared" si="2"/>
        <v/>
      </c>
      <c r="K231" s="252" t="s">
        <v>873</v>
      </c>
      <c r="L231" s="258" t="str">
        <f t="shared" si="3"/>
        <v>FM824</v>
      </c>
      <c r="M231" s="259" t="b">
        <f t="shared" si="4"/>
        <v>0</v>
      </c>
      <c r="N231" s="258" t="str">
        <f t="shared" si="5"/>
        <v/>
      </c>
      <c r="O231" s="5"/>
      <c r="P231" s="5"/>
      <c r="Q231" s="5"/>
      <c r="R231" s="5"/>
      <c r="S231" s="5"/>
      <c r="T231" s="5"/>
      <c r="U231" s="5"/>
      <c r="V231" s="5"/>
      <c r="W231" s="5"/>
    </row>
    <row r="232">
      <c r="A232" s="112" t="str">
        <f>IF(OR(ISBLANK(RAW_APS!A232),ISBLANK(RAW_APS!B232),ISBLANK(RAW_APS!C232)),TRUE,IFERROR(0/0,""))</f>
        <v/>
      </c>
      <c r="B232" s="252"/>
      <c r="C232" s="112" t="str">
        <f>IF(ISBLANK(B232),IFERROR(0/0,""),RAW_APS!A232)</f>
        <v/>
      </c>
      <c r="D232" s="112" t="str">
        <f>IF(ISBLANK(C232),IFERROR(0/0,""), VLOOKUP(C232,preDEL!A$2:AG786,33,FALSE))</f>
        <v/>
      </c>
      <c r="E232" s="252"/>
      <c r="F232" s="210"/>
      <c r="G232" s="252"/>
      <c r="H232" s="255" t="str">
        <f t="shared" si="1"/>
        <v/>
      </c>
      <c r="I232" s="256" t="str">
        <f>CONCATENATE(UPPER(RAW_APS!$A233),"__",RAW_APS!$B233,"_",RAW_APS!$C233)</f>
        <v>FM45__44617_0.340324074074074</v>
      </c>
      <c r="J232" s="257" t="str">
        <f t="shared" si="2"/>
        <v/>
      </c>
      <c r="K232" s="252" t="s">
        <v>877</v>
      </c>
      <c r="L232" s="258" t="str">
        <f t="shared" si="3"/>
        <v>FM827</v>
      </c>
      <c r="M232" s="259" t="b">
        <f t="shared" si="4"/>
        <v>0</v>
      </c>
      <c r="N232" s="258" t="str">
        <f t="shared" si="5"/>
        <v/>
      </c>
      <c r="O232" s="5"/>
      <c r="P232" s="5"/>
      <c r="Q232" s="5"/>
      <c r="R232" s="5"/>
      <c r="S232" s="5"/>
      <c r="T232" s="5"/>
      <c r="U232" s="5"/>
      <c r="V232" s="5"/>
      <c r="W232" s="5"/>
    </row>
    <row r="233">
      <c r="A233" s="112" t="str">
        <f>IF(OR(ISBLANK(RAW_APS!A233),ISBLANK(RAW_APS!B233),ISBLANK(RAW_APS!C233)),TRUE,IFERROR(0/0,""))</f>
        <v/>
      </c>
      <c r="B233" s="252"/>
      <c r="C233" s="112" t="str">
        <f>IF(ISBLANK(B233),IFERROR(0/0,""),RAW_APS!A233)</f>
        <v/>
      </c>
      <c r="D233" s="112" t="str">
        <f>IF(ISBLANK(C233),IFERROR(0/0,""), VLOOKUP(C233,preDEL!A$2:AG786,33,FALSE))</f>
        <v/>
      </c>
      <c r="E233" s="252"/>
      <c r="F233" s="210"/>
      <c r="G233" s="252"/>
      <c r="H233" s="255" t="str">
        <f t="shared" si="1"/>
        <v/>
      </c>
      <c r="I233" s="256" t="str">
        <f>CONCATENATE(UPPER(RAW_APS!$A234),"__",RAW_APS!$B234,"_",RAW_APS!$C234)</f>
        <v>MA1230__44617_0.338784722222222</v>
      </c>
      <c r="J233" s="257" t="str">
        <f t="shared" si="2"/>
        <v/>
      </c>
      <c r="K233" s="252" t="s">
        <v>879</v>
      </c>
      <c r="L233" s="258" t="str">
        <f t="shared" si="3"/>
        <v>FM828</v>
      </c>
      <c r="M233" s="259" t="b">
        <f t="shared" si="4"/>
        <v>0</v>
      </c>
      <c r="N233" s="258" t="str">
        <f t="shared" si="5"/>
        <v/>
      </c>
      <c r="O233" s="5"/>
      <c r="P233" s="5"/>
      <c r="Q233" s="5"/>
      <c r="R233" s="5"/>
      <c r="S233" s="5"/>
      <c r="T233" s="5"/>
      <c r="U233" s="5"/>
      <c r="V233" s="5"/>
      <c r="W233" s="5"/>
    </row>
    <row r="234">
      <c r="A234" s="112" t="str">
        <f>IF(OR(ISBLANK(RAW_APS!A234),ISBLANK(RAW_APS!B234),ISBLANK(RAW_APS!C234)),TRUE,IFERROR(0/0,""))</f>
        <v/>
      </c>
      <c r="B234" s="252"/>
      <c r="C234" s="112" t="str">
        <f>IF(ISBLANK(B234),IFERROR(0/0,""),RAW_APS!A234)</f>
        <v/>
      </c>
      <c r="D234" s="112" t="str">
        <f>IF(ISBLANK(C234),IFERROR(0/0,""), VLOOKUP(C234,preDEL!A$2:AG786,33,FALSE))</f>
        <v/>
      </c>
      <c r="E234" s="252"/>
      <c r="F234" s="210"/>
      <c r="G234" s="252"/>
      <c r="H234" s="255" t="str">
        <f t="shared" si="1"/>
        <v/>
      </c>
      <c r="I234" s="256" t="str">
        <f>CONCATENATE(UPPER(RAW_APS!$A235),"__",RAW_APS!$B235,"_",RAW_APS!$C235)</f>
        <v>FM796__44617_0.332905092592593</v>
      </c>
      <c r="J234" s="257" t="str">
        <f t="shared" si="2"/>
        <v/>
      </c>
      <c r="K234" s="252" t="s">
        <v>882</v>
      </c>
      <c r="L234" s="258" t="str">
        <f t="shared" si="3"/>
        <v>FM829</v>
      </c>
      <c r="M234" s="259" t="b">
        <f t="shared" si="4"/>
        <v>0</v>
      </c>
      <c r="N234" s="258" t="str">
        <f t="shared" si="5"/>
        <v/>
      </c>
      <c r="O234" s="5"/>
      <c r="P234" s="5"/>
      <c r="Q234" s="5"/>
      <c r="R234" s="5"/>
      <c r="S234" s="5"/>
      <c r="T234" s="5"/>
      <c r="U234" s="5"/>
      <c r="V234" s="5"/>
      <c r="W234" s="5"/>
    </row>
    <row r="235">
      <c r="A235" s="112" t="str">
        <f>IF(OR(ISBLANK(RAW_APS!A235),ISBLANK(RAW_APS!B235),ISBLANK(RAW_APS!C235)),TRUE,IFERROR(0/0,""))</f>
        <v/>
      </c>
      <c r="B235" s="252"/>
      <c r="C235" s="112" t="str">
        <f>IF(ISBLANK(B235),IFERROR(0/0,""),RAW_APS!A235)</f>
        <v/>
      </c>
      <c r="D235" s="112" t="str">
        <f>IF(ISBLANK(C235),IFERROR(0/0,""), VLOOKUP(C235,preDEL!A$2:AG786,33,FALSE))</f>
        <v/>
      </c>
      <c r="E235" s="252"/>
      <c r="F235" s="210"/>
      <c r="G235" s="252"/>
      <c r="H235" s="255" t="str">
        <f t="shared" si="1"/>
        <v/>
      </c>
      <c r="I235" s="256" t="str">
        <f>CONCATENATE(UPPER(RAW_APS!$A236),"__",RAW_APS!$B236,"_",RAW_APS!$C236)</f>
        <v>FM794__44617_0.3321875</v>
      </c>
      <c r="J235" s="257" t="str">
        <f t="shared" si="2"/>
        <v/>
      </c>
      <c r="K235" s="252" t="s">
        <v>884</v>
      </c>
      <c r="L235" s="258" t="str">
        <f t="shared" si="3"/>
        <v>FM83</v>
      </c>
      <c r="M235" s="259" t="b">
        <f t="shared" si="4"/>
        <v>0</v>
      </c>
      <c r="N235" s="258" t="str">
        <f t="shared" si="5"/>
        <v/>
      </c>
      <c r="O235" s="5"/>
      <c r="P235" s="5"/>
      <c r="Q235" s="5"/>
      <c r="R235" s="5"/>
      <c r="S235" s="5"/>
      <c r="T235" s="5"/>
      <c r="U235" s="5"/>
      <c r="V235" s="5"/>
      <c r="W235" s="5"/>
    </row>
    <row r="236">
      <c r="A236" s="112" t="str">
        <f>IF(OR(ISBLANK(RAW_APS!A236),ISBLANK(RAW_APS!B236),ISBLANK(RAW_APS!C236)),TRUE,IFERROR(0/0,""))</f>
        <v/>
      </c>
      <c r="B236" s="252"/>
      <c r="C236" s="112" t="str">
        <f>IF(ISBLANK(B236),IFERROR(0/0,""),RAW_APS!A236)</f>
        <v/>
      </c>
      <c r="D236" s="112" t="str">
        <f>IF(ISBLANK(C236),IFERROR(0/0,""), VLOOKUP(C236,preDEL!A$2:AG786,33,FALSE))</f>
        <v/>
      </c>
      <c r="E236" s="252"/>
      <c r="F236" s="210"/>
      <c r="G236" s="252"/>
      <c r="H236" s="255" t="str">
        <f t="shared" si="1"/>
        <v/>
      </c>
      <c r="I236" s="256" t="str">
        <f>CONCATENATE(UPPER(RAW_APS!$A237),"__",RAW_APS!$B237,"_",RAW_APS!$C237)</f>
        <v>FM25__44617_0.33193287037037</v>
      </c>
      <c r="J236" s="257" t="str">
        <f t="shared" si="2"/>
        <v/>
      </c>
      <c r="K236" s="252" t="s">
        <v>887</v>
      </c>
      <c r="L236" s="258" t="str">
        <f t="shared" si="3"/>
        <v>FM831</v>
      </c>
      <c r="M236" s="259" t="b">
        <f t="shared" si="4"/>
        <v>0</v>
      </c>
      <c r="N236" s="258" t="str">
        <f t="shared" si="5"/>
        <v/>
      </c>
      <c r="O236" s="5"/>
      <c r="P236" s="5"/>
      <c r="Q236" s="5"/>
      <c r="R236" s="5"/>
      <c r="S236" s="5"/>
      <c r="T236" s="5"/>
      <c r="U236" s="5"/>
      <c r="V236" s="5"/>
      <c r="W236" s="5"/>
    </row>
    <row r="237">
      <c r="A237" s="112" t="str">
        <f>IF(OR(ISBLANK(RAW_APS!A237),ISBLANK(RAW_APS!B237),ISBLANK(RAW_APS!C237)),TRUE,IFERROR(0/0,""))</f>
        <v/>
      </c>
      <c r="B237" s="252"/>
      <c r="C237" s="112" t="str">
        <f>IF(ISBLANK(B237),IFERROR(0/0,""),RAW_APS!A237)</f>
        <v/>
      </c>
      <c r="D237" s="112" t="str">
        <f>IF(ISBLANK(C237),IFERROR(0/0,""), VLOOKUP(C237,preDEL!A$2:AG786,33,FALSE))</f>
        <v/>
      </c>
      <c r="E237" s="252"/>
      <c r="F237" s="210"/>
      <c r="G237" s="252"/>
      <c r="H237" s="255" t="str">
        <f t="shared" si="1"/>
        <v/>
      </c>
      <c r="I237" s="256" t="str">
        <f>CONCATENATE(UPPER(RAW_APS!$A238),"__",RAW_APS!$B238,"_",RAW_APS!$C238)</f>
        <v>FM831__44617_0.331678240740741</v>
      </c>
      <c r="J237" s="257" t="str">
        <f t="shared" si="2"/>
        <v/>
      </c>
      <c r="K237" s="252" t="s">
        <v>889</v>
      </c>
      <c r="L237" s="258" t="str">
        <f t="shared" si="3"/>
        <v>FM832</v>
      </c>
      <c r="M237" s="259" t="b">
        <f t="shared" si="4"/>
        <v>0</v>
      </c>
      <c r="N237" s="258" t="str">
        <f t="shared" si="5"/>
        <v/>
      </c>
      <c r="O237" s="5"/>
      <c r="P237" s="5"/>
      <c r="Q237" s="5"/>
      <c r="R237" s="5"/>
      <c r="S237" s="5"/>
      <c r="T237" s="5"/>
      <c r="U237" s="5"/>
      <c r="V237" s="5"/>
      <c r="W237" s="5"/>
    </row>
    <row r="238">
      <c r="A238" s="112" t="str">
        <f>IF(OR(ISBLANK(RAW_APS!A238),ISBLANK(RAW_APS!B238),ISBLANK(RAW_APS!C238)),TRUE,IFERROR(0/0,""))</f>
        <v/>
      </c>
      <c r="B238" s="252"/>
      <c r="C238" s="112" t="str">
        <f>IF(ISBLANK(B238),IFERROR(0/0,""),RAW_APS!A238)</f>
        <v/>
      </c>
      <c r="D238" s="112" t="str">
        <f>IF(ISBLANK(C238),IFERROR(0/0,""), VLOOKUP(C238,preDEL!A$2:AG786,33,FALSE))</f>
        <v/>
      </c>
      <c r="E238" s="252"/>
      <c r="F238" s="210"/>
      <c r="G238" s="252"/>
      <c r="H238" s="255" t="str">
        <f t="shared" si="1"/>
        <v/>
      </c>
      <c r="I238" s="256" t="str">
        <f>CONCATENATE(UPPER(RAW_APS!$A239),"__",RAW_APS!$B239,"_",RAW_APS!$C239)</f>
        <v>FM833__44617_0.331377314814815</v>
      </c>
      <c r="J238" s="257" t="str">
        <f t="shared" si="2"/>
        <v/>
      </c>
      <c r="K238" s="252" t="s">
        <v>891</v>
      </c>
      <c r="L238" s="258" t="str">
        <f t="shared" si="3"/>
        <v>FM833</v>
      </c>
      <c r="M238" s="259" t="b">
        <f t="shared" si="4"/>
        <v>0</v>
      </c>
      <c r="N238" s="258" t="str">
        <f t="shared" si="5"/>
        <v/>
      </c>
      <c r="O238" s="5"/>
      <c r="P238" s="5"/>
      <c r="Q238" s="5"/>
      <c r="R238" s="5"/>
      <c r="S238" s="5"/>
      <c r="T238" s="5"/>
      <c r="U238" s="5"/>
      <c r="V238" s="5"/>
      <c r="W238" s="5"/>
    </row>
    <row r="239">
      <c r="A239" s="112" t="str">
        <f>IF(OR(ISBLANK(RAW_APS!A239),ISBLANK(RAW_APS!B239),ISBLANK(RAW_APS!C239)),TRUE,IFERROR(0/0,""))</f>
        <v/>
      </c>
      <c r="B239" s="252"/>
      <c r="C239" s="112" t="str">
        <f>IF(ISBLANK(B239),IFERROR(0/0,""),RAW_APS!A239)</f>
        <v/>
      </c>
      <c r="D239" s="112" t="str">
        <f>IF(ISBLANK(C239),IFERROR(0/0,""), VLOOKUP(C239,preDEL!A$2:AG786,33,FALSE))</f>
        <v/>
      </c>
      <c r="E239" s="252"/>
      <c r="F239" s="210"/>
      <c r="G239" s="252"/>
      <c r="H239" s="255" t="str">
        <f t="shared" si="1"/>
        <v/>
      </c>
      <c r="I239" s="256" t="str">
        <f>CONCATENATE(UPPER(RAW_APS!$A240),"__",RAW_APS!$B240,"_",RAW_APS!$C240)</f>
        <v>FM994__44617_0.331342592592593</v>
      </c>
      <c r="J239" s="257" t="str">
        <f t="shared" si="2"/>
        <v/>
      </c>
      <c r="K239" s="252" t="s">
        <v>894</v>
      </c>
      <c r="L239" s="258" t="str">
        <f t="shared" si="3"/>
        <v>FM834</v>
      </c>
      <c r="M239" s="259" t="b">
        <f t="shared" si="4"/>
        <v>0</v>
      </c>
      <c r="N239" s="258" t="str">
        <f t="shared" si="5"/>
        <v/>
      </c>
      <c r="O239" s="5"/>
      <c r="P239" s="5"/>
      <c r="Q239" s="5"/>
      <c r="R239" s="5"/>
      <c r="S239" s="5"/>
      <c r="T239" s="5"/>
      <c r="U239" s="5"/>
      <c r="V239" s="5"/>
      <c r="W239" s="5"/>
    </row>
    <row r="240">
      <c r="A240" s="112" t="str">
        <f>IF(OR(ISBLANK(RAW_APS!A240),ISBLANK(RAW_APS!B240),ISBLANK(RAW_APS!C240)),TRUE,IFERROR(0/0,""))</f>
        <v/>
      </c>
      <c r="B240" s="252"/>
      <c r="C240" s="112" t="str">
        <f>IF(ISBLANK(B240),IFERROR(0/0,""),RAW_APS!A240)</f>
        <v/>
      </c>
      <c r="D240" s="112" t="str">
        <f>IF(ISBLANK(C240),IFERROR(0/0,""), VLOOKUP(C240,preDEL!A$2:AG786,33,FALSE))</f>
        <v/>
      </c>
      <c r="E240" s="252"/>
      <c r="F240" s="210"/>
      <c r="G240" s="252"/>
      <c r="H240" s="255" t="str">
        <f t="shared" si="1"/>
        <v/>
      </c>
      <c r="I240" s="256" t="str">
        <f>CONCATENATE(UPPER(RAW_APS!$A241),"__",RAW_APS!$B241,"_",RAW_APS!$C241)</f>
        <v>MA266__44617_0.330393518518519</v>
      </c>
      <c r="J240" s="257" t="str">
        <f t="shared" si="2"/>
        <v/>
      </c>
      <c r="K240" s="252" t="s">
        <v>897</v>
      </c>
      <c r="L240" s="258" t="str">
        <f t="shared" si="3"/>
        <v>FM836</v>
      </c>
      <c r="M240" s="259" t="b">
        <f t="shared" si="4"/>
        <v>0</v>
      </c>
      <c r="N240" s="258" t="str">
        <f t="shared" si="5"/>
        <v/>
      </c>
      <c r="O240" s="5"/>
      <c r="P240" s="5"/>
      <c r="Q240" s="5"/>
      <c r="R240" s="5"/>
      <c r="S240" s="5"/>
      <c r="T240" s="5"/>
      <c r="U240" s="5"/>
      <c r="V240" s="5"/>
      <c r="W240" s="5"/>
    </row>
    <row r="241">
      <c r="A241" s="112" t="str">
        <f>IF(OR(ISBLANK(RAW_APS!A241),ISBLANK(RAW_APS!B241),ISBLANK(RAW_APS!C241)),TRUE,IFERROR(0/0,""))</f>
        <v/>
      </c>
      <c r="B241" s="252"/>
      <c r="C241" s="112" t="str">
        <f>IF(ISBLANK(B241),IFERROR(0/0,""),RAW_APS!A241)</f>
        <v/>
      </c>
      <c r="D241" s="112" t="str">
        <f>IF(ISBLANK(C241),IFERROR(0/0,""), VLOOKUP(C241,preDEL!A$2:AG786,33,FALSE))</f>
        <v/>
      </c>
      <c r="E241" s="252"/>
      <c r="F241" s="210"/>
      <c r="G241" s="252"/>
      <c r="H241" s="255" t="str">
        <f t="shared" si="1"/>
        <v/>
      </c>
      <c r="I241" s="256" t="str">
        <f>CONCATENATE(UPPER(RAW_APS!$A242),"__",RAW_APS!$B242,"_",RAW_APS!$C242)</f>
        <v>FM479__44617_0.32974537037037</v>
      </c>
      <c r="J241" s="257" t="str">
        <f t="shared" si="2"/>
        <v/>
      </c>
      <c r="K241" s="252" t="s">
        <v>900</v>
      </c>
      <c r="L241" s="258" t="str">
        <f t="shared" si="3"/>
        <v>FM839</v>
      </c>
      <c r="M241" s="259" t="b">
        <f t="shared" si="4"/>
        <v>0</v>
      </c>
      <c r="N241" s="258" t="str">
        <f t="shared" si="5"/>
        <v/>
      </c>
      <c r="O241" s="5"/>
      <c r="P241" s="5"/>
      <c r="Q241" s="5"/>
      <c r="R241" s="5"/>
      <c r="S241" s="5"/>
      <c r="T241" s="5"/>
      <c r="U241" s="5"/>
      <c r="V241" s="5"/>
      <c r="W241" s="5"/>
    </row>
    <row r="242">
      <c r="A242" s="112" t="str">
        <f>IF(OR(ISBLANK(RAW_APS!A242),ISBLANK(RAW_APS!B242),ISBLANK(RAW_APS!C242)),TRUE,IFERROR(0/0,""))</f>
        <v/>
      </c>
      <c r="B242" s="252"/>
      <c r="C242" s="112" t="str">
        <f>IF(ISBLANK(B242),IFERROR(0/0,""),RAW_APS!A242)</f>
        <v/>
      </c>
      <c r="D242" s="112" t="str">
        <f>IF(ISBLANK(C242),IFERROR(0/0,""), VLOOKUP(C242,preDEL!A$2:AG786,33,FALSE))</f>
        <v/>
      </c>
      <c r="E242" s="252"/>
      <c r="F242" s="210"/>
      <c r="G242" s="252"/>
      <c r="H242" s="255" t="str">
        <f t="shared" si="1"/>
        <v/>
      </c>
      <c r="I242" s="256" t="str">
        <f>CONCATENATE(UPPER(RAW_APS!$A243),"__",RAW_APS!$B243,"_",RAW_APS!$C243)</f>
        <v>MA1187__44617_0.323842592592593</v>
      </c>
      <c r="J242" s="257" t="str">
        <f t="shared" si="2"/>
        <v/>
      </c>
      <c r="K242" s="252" t="s">
        <v>903</v>
      </c>
      <c r="L242" s="258" t="str">
        <f t="shared" si="3"/>
        <v>FM85</v>
      </c>
      <c r="M242" s="259" t="b">
        <f t="shared" si="4"/>
        <v>0</v>
      </c>
      <c r="N242" s="258" t="str">
        <f t="shared" si="5"/>
        <v/>
      </c>
      <c r="O242" s="5"/>
      <c r="P242" s="5"/>
      <c r="Q242" s="5"/>
      <c r="R242" s="5"/>
      <c r="S242" s="5"/>
      <c r="T242" s="5"/>
      <c r="U242" s="5"/>
      <c r="V242" s="5"/>
      <c r="W242" s="5"/>
    </row>
    <row r="243">
      <c r="A243" s="112" t="str">
        <f>IF(OR(ISBLANK(RAW_APS!A243),ISBLANK(RAW_APS!B243),ISBLANK(RAW_APS!C243)),TRUE,IFERROR(0/0,""))</f>
        <v/>
      </c>
      <c r="B243" s="252"/>
      <c r="C243" s="112" t="str">
        <f>IF(ISBLANK(B243),IFERROR(0/0,""),RAW_APS!A243)</f>
        <v/>
      </c>
      <c r="D243" s="112" t="str">
        <f>IF(ISBLANK(C243),IFERROR(0/0,""), VLOOKUP(C243,preDEL!A$2:AG786,33,FALSE))</f>
        <v/>
      </c>
      <c r="E243" s="252"/>
      <c r="F243" s="210"/>
      <c r="G243" s="252"/>
      <c r="H243" s="255" t="str">
        <f t="shared" si="1"/>
        <v/>
      </c>
      <c r="I243" s="256" t="str">
        <f>CONCATENATE(UPPER(RAW_APS!$A244),"__",RAW_APS!$B244,"_",RAW_APS!$C244)</f>
        <v>FM456__44617_0.322708333333333</v>
      </c>
      <c r="J243" s="257" t="str">
        <f t="shared" si="2"/>
        <v/>
      </c>
      <c r="K243" s="252" t="s">
        <v>906</v>
      </c>
      <c r="L243" s="258" t="str">
        <f t="shared" si="3"/>
        <v>FM87</v>
      </c>
      <c r="M243" s="259" t="b">
        <f t="shared" si="4"/>
        <v>0</v>
      </c>
      <c r="N243" s="258" t="str">
        <f t="shared" si="5"/>
        <v/>
      </c>
      <c r="O243" s="5"/>
      <c r="P243" s="5"/>
      <c r="Q243" s="5"/>
      <c r="R243" s="5"/>
      <c r="S243" s="5"/>
      <c r="T243" s="5"/>
      <c r="U243" s="5"/>
      <c r="V243" s="5"/>
      <c r="W243" s="5"/>
    </row>
    <row r="244">
      <c r="A244" s="112" t="str">
        <f>IF(OR(ISBLANK(RAW_APS!A244),ISBLANK(RAW_APS!B244),ISBLANK(RAW_APS!C244)),TRUE,IFERROR(0/0,""))</f>
        <v/>
      </c>
      <c r="B244" s="252"/>
      <c r="C244" s="112" t="str">
        <f>IF(ISBLANK(B244),IFERROR(0/0,""),RAW_APS!A244)</f>
        <v/>
      </c>
      <c r="D244" s="112" t="str">
        <f>IF(ISBLANK(C244),IFERROR(0/0,""), VLOOKUP(C244,preDEL!A$2:AG786,33,FALSE))</f>
        <v/>
      </c>
      <c r="E244" s="252"/>
      <c r="F244" s="210"/>
      <c r="G244" s="252"/>
      <c r="H244" s="255" t="str">
        <f t="shared" si="1"/>
        <v/>
      </c>
      <c r="I244" s="256" t="str">
        <f>CONCATENATE(UPPER(RAW_APS!$A245),"__",RAW_APS!$B245,"_",RAW_APS!$C245)</f>
        <v>FM425__44617_0.320810185185185</v>
      </c>
      <c r="J244" s="257" t="str">
        <f t="shared" si="2"/>
        <v/>
      </c>
      <c r="K244" s="252" t="s">
        <v>909</v>
      </c>
      <c r="L244" s="258" t="str">
        <f t="shared" si="3"/>
        <v>FM89</v>
      </c>
      <c r="M244" s="259" t="b">
        <f t="shared" si="4"/>
        <v>0</v>
      </c>
      <c r="N244" s="258" t="str">
        <f t="shared" si="5"/>
        <v/>
      </c>
      <c r="O244" s="5"/>
      <c r="P244" s="5"/>
      <c r="Q244" s="5"/>
      <c r="R244" s="5"/>
      <c r="S244" s="5"/>
      <c r="T244" s="5"/>
      <c r="U244" s="5"/>
      <c r="V244" s="5"/>
      <c r="W244" s="5"/>
    </row>
    <row r="245">
      <c r="A245" s="112" t="str">
        <f>IF(OR(ISBLANK(RAW_APS!A245),ISBLANK(RAW_APS!B245),ISBLANK(RAW_APS!C245)),TRUE,IFERROR(0/0,""))</f>
        <v/>
      </c>
      <c r="B245" s="252"/>
      <c r="C245" s="112" t="str">
        <f>IF(ISBLANK(B245),IFERROR(0/0,""),RAW_APS!A245)</f>
        <v/>
      </c>
      <c r="D245" s="112" t="str">
        <f>IF(ISBLANK(C245),IFERROR(0/0,""), VLOOKUP(C245,preDEL!A$2:AG786,33,FALSE))</f>
        <v/>
      </c>
      <c r="E245" s="252"/>
      <c r="F245" s="210"/>
      <c r="G245" s="252"/>
      <c r="H245" s="255" t="str">
        <f t="shared" si="1"/>
        <v/>
      </c>
      <c r="I245" s="256" t="str">
        <f>CONCATENATE(UPPER(RAW_APS!$A246),"__",RAW_APS!$B246,"_",RAW_APS!$C246)</f>
        <v>FM463__44617_0.320347222222222</v>
      </c>
      <c r="J245" s="257" t="str">
        <f t="shared" si="2"/>
        <v/>
      </c>
      <c r="K245" s="252" t="s">
        <v>911</v>
      </c>
      <c r="L245" s="258" t="str">
        <f t="shared" si="3"/>
        <v>FM9</v>
      </c>
      <c r="M245" s="259" t="b">
        <f t="shared" si="4"/>
        <v>0</v>
      </c>
      <c r="N245" s="258" t="str">
        <f t="shared" si="5"/>
        <v/>
      </c>
      <c r="O245" s="5"/>
      <c r="P245" s="5"/>
      <c r="Q245" s="5"/>
      <c r="R245" s="5"/>
      <c r="S245" s="5"/>
      <c r="T245" s="5"/>
      <c r="U245" s="5"/>
      <c r="V245" s="5"/>
      <c r="W245" s="5"/>
    </row>
    <row r="246">
      <c r="A246" s="112" t="str">
        <f>IF(OR(ISBLANK(RAW_APS!A246),ISBLANK(RAW_APS!B246),ISBLANK(RAW_APS!C246)),TRUE,IFERROR(0/0,""))</f>
        <v/>
      </c>
      <c r="B246" s="252"/>
      <c r="C246" s="112" t="str">
        <f>IF(ISBLANK(B246),IFERROR(0/0,""),RAW_APS!A246)</f>
        <v/>
      </c>
      <c r="D246" s="112" t="str">
        <f>IF(ISBLANK(C246),IFERROR(0/0,""), VLOOKUP(C246,preDEL!A$2:AG786,33,FALSE))</f>
        <v/>
      </c>
      <c r="E246" s="252"/>
      <c r="F246" s="210"/>
      <c r="G246" s="252"/>
      <c r="H246" s="255" t="str">
        <f t="shared" si="1"/>
        <v/>
      </c>
      <c r="I246" s="256" t="str">
        <f>CONCATENATE(UPPER(RAW_APS!$A247),"__",RAW_APS!$B247,"_",RAW_APS!$C247)</f>
        <v>FM793__44617_0.32025462962963</v>
      </c>
      <c r="J246" s="257" t="str">
        <f t="shared" si="2"/>
        <v/>
      </c>
      <c r="K246" s="252" t="s">
        <v>914</v>
      </c>
      <c r="L246" s="258" t="str">
        <f t="shared" si="3"/>
        <v>FM90</v>
      </c>
      <c r="M246" s="259" t="b">
        <f t="shared" si="4"/>
        <v>0</v>
      </c>
      <c r="N246" s="258" t="str">
        <f t="shared" si="5"/>
        <v/>
      </c>
      <c r="O246" s="5"/>
      <c r="P246" s="5"/>
      <c r="Q246" s="5"/>
      <c r="R246" s="5"/>
      <c r="S246" s="5"/>
      <c r="T246" s="5"/>
      <c r="U246" s="5"/>
      <c r="V246" s="5"/>
      <c r="W246" s="5"/>
    </row>
    <row r="247">
      <c r="A247" s="112" t="str">
        <f>IF(OR(ISBLANK(RAW_APS!A247),ISBLANK(RAW_APS!B247),ISBLANK(RAW_APS!C247)),TRUE,IFERROR(0/0,""))</f>
        <v/>
      </c>
      <c r="B247" s="252"/>
      <c r="C247" s="112" t="str">
        <f>IF(ISBLANK(B247),IFERROR(0/0,""),RAW_APS!A247)</f>
        <v/>
      </c>
      <c r="D247" s="112" t="str">
        <f>IF(ISBLANK(C247),IFERROR(0/0,""), VLOOKUP(C247,preDEL!A$2:AG786,33,FALSE))</f>
        <v/>
      </c>
      <c r="E247" s="252"/>
      <c r="F247" s="210"/>
      <c r="G247" s="252"/>
      <c r="H247" s="255" t="str">
        <f t="shared" si="1"/>
        <v/>
      </c>
      <c r="I247" s="256" t="str">
        <f>CONCATENATE(UPPER(RAW_APS!$A248),"__",RAW_APS!$B248,"_",RAW_APS!$C248)</f>
        <v>MA1039__44617_0.320243055555556</v>
      </c>
      <c r="J247" s="257" t="str">
        <f t="shared" si="2"/>
        <v/>
      </c>
      <c r="K247" s="252" t="s">
        <v>916</v>
      </c>
      <c r="L247" s="258" t="str">
        <f t="shared" si="3"/>
        <v>FM91</v>
      </c>
      <c r="M247" s="259" t="b">
        <f t="shared" si="4"/>
        <v>0</v>
      </c>
      <c r="N247" s="258" t="str">
        <f t="shared" si="5"/>
        <v/>
      </c>
      <c r="O247" s="5"/>
      <c r="P247" s="5"/>
      <c r="Q247" s="5"/>
      <c r="R247" s="5"/>
      <c r="S247" s="5"/>
      <c r="T247" s="5"/>
      <c r="U247" s="5"/>
      <c r="V247" s="5"/>
      <c r="W247" s="5"/>
    </row>
    <row r="248">
      <c r="A248" s="112" t="str">
        <f>IF(OR(ISBLANK(RAW_APS!A248),ISBLANK(RAW_APS!B248),ISBLANK(RAW_APS!C248)),TRUE,IFERROR(0/0,""))</f>
        <v/>
      </c>
      <c r="B248" s="252"/>
      <c r="C248" s="112" t="str">
        <f>IF(ISBLANK(B248),IFERROR(0/0,""),RAW_APS!A248)</f>
        <v/>
      </c>
      <c r="D248" s="112" t="str">
        <f>IF(ISBLANK(C248),IFERROR(0/0,""), VLOOKUP(C248,preDEL!A$2:AG786,33,FALSE))</f>
        <v/>
      </c>
      <c r="E248" s="252"/>
      <c r="F248" s="210"/>
      <c r="G248" s="252"/>
      <c r="H248" s="255" t="str">
        <f t="shared" si="1"/>
        <v/>
      </c>
      <c r="I248" s="256" t="str">
        <f>CONCATENATE(UPPER(RAW_APS!$A249),"__",RAW_APS!$B249,"_",RAW_APS!$C249)</f>
        <v>FM12__44617_0.320219907407407</v>
      </c>
      <c r="J248" s="257" t="str">
        <f t="shared" si="2"/>
        <v/>
      </c>
      <c r="K248" s="252" t="s">
        <v>919</v>
      </c>
      <c r="L248" s="258" t="str">
        <f t="shared" si="3"/>
        <v>FM93</v>
      </c>
      <c r="M248" s="259" t="b">
        <f t="shared" si="4"/>
        <v>0</v>
      </c>
      <c r="N248" s="258" t="str">
        <f t="shared" si="5"/>
        <v/>
      </c>
      <c r="O248" s="5"/>
      <c r="P248" s="5"/>
      <c r="Q248" s="5"/>
      <c r="R248" s="5"/>
      <c r="S248" s="5"/>
      <c r="T248" s="5"/>
      <c r="U248" s="5"/>
      <c r="V248" s="5"/>
      <c r="W248" s="5"/>
    </row>
    <row r="249">
      <c r="A249" s="112" t="str">
        <f>IF(OR(ISBLANK(RAW_APS!A249),ISBLANK(RAW_APS!B249),ISBLANK(RAW_APS!C249)),TRUE,IFERROR(0/0,""))</f>
        <v/>
      </c>
      <c r="B249" s="252"/>
      <c r="C249" s="112" t="str">
        <f>IF(ISBLANK(B249),IFERROR(0/0,""),RAW_APS!A249)</f>
        <v/>
      </c>
      <c r="D249" s="112" t="str">
        <f>IF(ISBLANK(C249),IFERROR(0/0,""), VLOOKUP(C249,preDEL!A$2:AG786,33,FALSE))</f>
        <v/>
      </c>
      <c r="E249" s="252"/>
      <c r="F249" s="210"/>
      <c r="G249" s="252"/>
      <c r="H249" s="255" t="str">
        <f t="shared" si="1"/>
        <v/>
      </c>
      <c r="I249" s="256" t="str">
        <f>CONCATENATE(UPPER(RAW_APS!$A250),"__",RAW_APS!$B250,"_",RAW_APS!$C250)</f>
        <v>MA1075__44617_0.318715277777778</v>
      </c>
      <c r="J249" s="257" t="str">
        <f t="shared" si="2"/>
        <v/>
      </c>
      <c r="K249" s="252" t="s">
        <v>921</v>
      </c>
      <c r="L249" s="258" t="str">
        <f t="shared" si="3"/>
        <v>FM95</v>
      </c>
      <c r="M249" s="259" t="b">
        <f t="shared" si="4"/>
        <v>0</v>
      </c>
      <c r="N249" s="258" t="str">
        <f t="shared" si="5"/>
        <v/>
      </c>
      <c r="O249" s="5"/>
      <c r="P249" s="5"/>
      <c r="Q249" s="5"/>
      <c r="R249" s="5"/>
      <c r="S249" s="5"/>
      <c r="T249" s="5"/>
      <c r="U249" s="5"/>
      <c r="V249" s="5"/>
      <c r="W249" s="5"/>
    </row>
    <row r="250">
      <c r="A250" s="112" t="str">
        <f>IF(OR(ISBLANK(RAW_APS!A250),ISBLANK(RAW_APS!B250),ISBLANK(RAW_APS!C250)),TRUE,IFERROR(0/0,""))</f>
        <v/>
      </c>
      <c r="B250" s="252"/>
      <c r="C250" s="112" t="str">
        <f>IF(ISBLANK(B250),IFERROR(0/0,""),RAW_APS!A250)</f>
        <v/>
      </c>
      <c r="D250" s="112" t="str">
        <f>IF(ISBLANK(C250),IFERROR(0/0,""), VLOOKUP(C250,preDEL!A$2:AG786,33,FALSE))</f>
        <v/>
      </c>
      <c r="E250" s="252"/>
      <c r="F250" s="210"/>
      <c r="G250" s="252"/>
      <c r="H250" s="255" t="str">
        <f t="shared" si="1"/>
        <v/>
      </c>
      <c r="I250" s="256" t="str">
        <f>CONCATENATE(UPPER(RAW_APS!$A251),"__",RAW_APS!$B251,"_",RAW_APS!$C251)</f>
        <v>MA1140__44617_0.318298611111111</v>
      </c>
      <c r="J250" s="257" t="str">
        <f t="shared" si="2"/>
        <v/>
      </c>
      <c r="K250" s="252" t="s">
        <v>924</v>
      </c>
      <c r="L250" s="258" t="str">
        <f t="shared" si="3"/>
        <v>FM967</v>
      </c>
      <c r="M250" s="259" t="b">
        <f t="shared" si="4"/>
        <v>0</v>
      </c>
      <c r="N250" s="258" t="str">
        <f t="shared" si="5"/>
        <v/>
      </c>
      <c r="O250" s="5"/>
      <c r="P250" s="5"/>
      <c r="Q250" s="5"/>
      <c r="R250" s="5"/>
      <c r="S250" s="5"/>
      <c r="T250" s="5"/>
      <c r="U250" s="5"/>
      <c r="V250" s="5"/>
      <c r="W250" s="5"/>
    </row>
    <row r="251">
      <c r="A251" s="112" t="str">
        <f>IF(OR(ISBLANK(RAW_APS!A251),ISBLANK(RAW_APS!B251),ISBLANK(RAW_APS!C251)),TRUE,IFERROR(0/0,""))</f>
        <v/>
      </c>
      <c r="B251" s="252"/>
      <c r="C251" s="112" t="str">
        <f>IF(ISBLANK(B251),IFERROR(0/0,""),RAW_APS!A251)</f>
        <v/>
      </c>
      <c r="D251" s="112" t="str">
        <f>IF(ISBLANK(C251),IFERROR(0/0,""), VLOOKUP(C251,preDEL!A$2:AG786,33,FALSE))</f>
        <v/>
      </c>
      <c r="E251" s="252"/>
      <c r="F251" s="210"/>
      <c r="G251" s="252"/>
      <c r="H251" s="255" t="str">
        <f t="shared" si="1"/>
        <v/>
      </c>
      <c r="I251" s="256" t="str">
        <f>CONCATENATE(UPPER(RAW_APS!$A252),"__",RAW_APS!$B252,"_",RAW_APS!$C252)</f>
        <v>MA243__44617_0.317546296296296</v>
      </c>
      <c r="J251" s="257" t="str">
        <f t="shared" si="2"/>
        <v/>
      </c>
      <c r="K251" s="252" t="s">
        <v>927</v>
      </c>
      <c r="L251" s="258" t="str">
        <f t="shared" si="3"/>
        <v>FM968</v>
      </c>
      <c r="M251" s="259" t="b">
        <f t="shared" si="4"/>
        <v>0</v>
      </c>
      <c r="N251" s="258" t="str">
        <f t="shared" si="5"/>
        <v/>
      </c>
      <c r="O251" s="5"/>
      <c r="P251" s="5"/>
      <c r="Q251" s="5"/>
      <c r="R251" s="5"/>
      <c r="S251" s="5"/>
      <c r="T251" s="5"/>
      <c r="U251" s="5"/>
      <c r="V251" s="5"/>
      <c r="W251" s="5"/>
    </row>
    <row r="252">
      <c r="A252" s="112" t="str">
        <f>IF(OR(ISBLANK(RAW_APS!A252),ISBLANK(RAW_APS!B252),ISBLANK(RAW_APS!C252)),TRUE,IFERROR(0/0,""))</f>
        <v/>
      </c>
      <c r="B252" s="252"/>
      <c r="C252" s="112" t="str">
        <f>IF(ISBLANK(B252),IFERROR(0/0,""),RAW_APS!A252)</f>
        <v/>
      </c>
      <c r="D252" s="112" t="str">
        <f>IF(ISBLANK(C252),IFERROR(0/0,""), VLOOKUP(C252,preDEL!A$2:AG786,33,FALSE))</f>
        <v/>
      </c>
      <c r="E252" s="252"/>
      <c r="F252" s="210"/>
      <c r="G252" s="252"/>
      <c r="H252" s="255" t="str">
        <f t="shared" si="1"/>
        <v/>
      </c>
      <c r="I252" s="256" t="str">
        <f>CONCATENATE(UPPER(RAW_APS!$A253),"__",RAW_APS!$B253,"_",RAW_APS!$C253)</f>
        <v>FM807__44617_0.312800925925926</v>
      </c>
      <c r="J252" s="257" t="str">
        <f t="shared" si="2"/>
        <v/>
      </c>
      <c r="K252" s="252" t="s">
        <v>929</v>
      </c>
      <c r="L252" s="258" t="str">
        <f t="shared" si="3"/>
        <v>FM97</v>
      </c>
      <c r="M252" s="259" t="b">
        <f t="shared" si="4"/>
        <v>0</v>
      </c>
      <c r="N252" s="258" t="str">
        <f t="shared" si="5"/>
        <v/>
      </c>
      <c r="O252" s="5"/>
      <c r="P252" s="5"/>
      <c r="Q252" s="5"/>
      <c r="R252" s="5"/>
      <c r="S252" s="5"/>
      <c r="T252" s="5"/>
      <c r="U252" s="5"/>
      <c r="V252" s="5"/>
      <c r="W252" s="5"/>
    </row>
    <row r="253">
      <c r="A253" s="112" t="str">
        <f>IF(OR(ISBLANK(RAW_APS!A253),ISBLANK(RAW_APS!B253),ISBLANK(RAW_APS!C253)),TRUE,IFERROR(0/0,""))</f>
        <v/>
      </c>
      <c r="B253" s="252"/>
      <c r="C253" s="112" t="str">
        <f>IF(ISBLANK(B253),IFERROR(0/0,""),RAW_APS!A253)</f>
        <v/>
      </c>
      <c r="D253" s="112" t="str">
        <f>IF(ISBLANK(C253),IFERROR(0/0,""), VLOOKUP(C253,preDEL!A$2:AG786,33,FALSE))</f>
        <v/>
      </c>
      <c r="E253" s="252"/>
      <c r="F253" s="210"/>
      <c r="G253" s="252"/>
      <c r="H253" s="255" t="str">
        <f t="shared" si="1"/>
        <v/>
      </c>
      <c r="I253" s="256" t="str">
        <f>CONCATENATE(UPPER(RAW_APS!$A254),"__",RAW_APS!$B254,"_",RAW_APS!$C254)</f>
        <v>MA234__44617_0.306273148148148</v>
      </c>
      <c r="J253" s="257" t="str">
        <f t="shared" si="2"/>
        <v/>
      </c>
      <c r="K253" s="252" t="s">
        <v>931</v>
      </c>
      <c r="L253" s="258" t="str">
        <f t="shared" si="3"/>
        <v>FM972</v>
      </c>
      <c r="M253" s="259" t="b">
        <f t="shared" si="4"/>
        <v>0</v>
      </c>
      <c r="N253" s="258" t="str">
        <f t="shared" si="5"/>
        <v/>
      </c>
      <c r="O253" s="5"/>
      <c r="P253" s="5"/>
      <c r="Q253" s="5"/>
      <c r="R253" s="5"/>
      <c r="S253" s="5"/>
      <c r="T253" s="5"/>
      <c r="U253" s="5"/>
      <c r="V253" s="5"/>
      <c r="W253" s="5"/>
    </row>
    <row r="254">
      <c r="A254" s="112" t="str">
        <f>IF(OR(ISBLANK(RAW_APS!A254),ISBLANK(RAW_APS!B254),ISBLANK(RAW_APS!C254)),TRUE,IFERROR(0/0,""))</f>
        <v/>
      </c>
      <c r="B254" s="252"/>
      <c r="C254" s="112" t="str">
        <f>IF(ISBLANK(B254),IFERROR(0/0,""),RAW_APS!A254)</f>
        <v/>
      </c>
      <c r="D254" s="112" t="str">
        <f>IF(ISBLANK(C254),IFERROR(0/0,""), VLOOKUP(C254,preDEL!A$2:AG786,33,FALSE))</f>
        <v/>
      </c>
      <c r="E254" s="252"/>
      <c r="F254" s="210"/>
      <c r="G254" s="252"/>
      <c r="H254" s="255" t="str">
        <f t="shared" si="1"/>
        <v/>
      </c>
      <c r="I254" s="256" t="str">
        <f>CONCATENATE(UPPER(RAW_APS!$A255),"__",RAW_APS!$B255,"_",RAW_APS!$C255)</f>
        <v>MA225__44617_0.304618055555556</v>
      </c>
      <c r="J254" s="257" t="str">
        <f t="shared" si="2"/>
        <v/>
      </c>
      <c r="K254" s="252" t="s">
        <v>933</v>
      </c>
      <c r="L254" s="258" t="str">
        <f t="shared" si="3"/>
        <v>FM976</v>
      </c>
      <c r="M254" s="259" t="b">
        <f t="shared" si="4"/>
        <v>0</v>
      </c>
      <c r="N254" s="258" t="str">
        <f t="shared" si="5"/>
        <v/>
      </c>
      <c r="O254" s="5"/>
      <c r="P254" s="5"/>
      <c r="Q254" s="5"/>
      <c r="R254" s="5"/>
      <c r="S254" s="5"/>
      <c r="T254" s="5"/>
      <c r="U254" s="5"/>
      <c r="V254" s="5"/>
      <c r="W254" s="5"/>
    </row>
    <row r="255">
      <c r="A255" s="112" t="str">
        <f>IF(OR(ISBLANK(RAW_APS!A255),ISBLANK(RAW_APS!B255),ISBLANK(RAW_APS!C255)),TRUE,IFERROR(0/0,""))</f>
        <v/>
      </c>
      <c r="B255" s="252"/>
      <c r="C255" s="112" t="str">
        <f>IF(ISBLANK(B255),IFERROR(0/0,""),RAW_APS!A255)</f>
        <v/>
      </c>
      <c r="D255" s="112" t="str">
        <f>IF(ISBLANK(C255),IFERROR(0/0,""), VLOOKUP(C255,preDEL!A$2:AG786,33,FALSE))</f>
        <v/>
      </c>
      <c r="E255" s="252"/>
      <c r="F255" s="210"/>
      <c r="G255" s="252"/>
      <c r="H255" s="255" t="str">
        <f t="shared" si="1"/>
        <v/>
      </c>
      <c r="I255" s="256" t="str">
        <f>CONCATENATE(UPPER(RAW_APS!$A256),"__",RAW_APS!$B256,"_",RAW_APS!$C256)</f>
        <v>MA273__44617_0.304351851851852</v>
      </c>
      <c r="J255" s="257" t="str">
        <f t="shared" si="2"/>
        <v/>
      </c>
      <c r="K255" s="252" t="s">
        <v>935</v>
      </c>
      <c r="L255" s="258" t="str">
        <f t="shared" si="3"/>
        <v>FM980</v>
      </c>
      <c r="M255" s="259" t="b">
        <f t="shared" si="4"/>
        <v>0</v>
      </c>
      <c r="N255" s="258" t="str">
        <f t="shared" si="5"/>
        <v/>
      </c>
      <c r="O255" s="5"/>
      <c r="P255" s="5"/>
      <c r="Q255" s="5"/>
      <c r="R255" s="5"/>
      <c r="S255" s="5"/>
      <c r="T255" s="5"/>
      <c r="U255" s="5"/>
      <c r="V255" s="5"/>
      <c r="W255" s="5"/>
    </row>
    <row r="256">
      <c r="A256" s="110" t="str">
        <f>IF(OR(ISBLANK(RAW_APS!A256),ISBLANK(RAW_APS!B256),ISBLANK(RAW_APS!C256)),TRUE,IFERROR(0/0,""))</f>
        <v/>
      </c>
      <c r="B256" s="261"/>
      <c r="C256" s="112" t="str">
        <f>IF(ISBLANK(B256),IFERROR(0/0,""),RAW_APS!A256)</f>
        <v/>
      </c>
      <c r="D256" s="110" t="str">
        <f>IF(ISBLANK(C256),IFERROR(0/0,""), VLOOKUP(C256,preDEL!A$2:AG786,33,FALSE))</f>
        <v/>
      </c>
      <c r="E256" s="252"/>
      <c r="F256" s="210"/>
      <c r="G256" s="252"/>
      <c r="H256" s="255" t="str">
        <f t="shared" si="1"/>
        <v/>
      </c>
      <c r="I256" s="256" t="str">
        <f>CONCATENATE(UPPER(RAW_APS!$A257),"__",RAW_APS!$B257,"_",RAW_APS!$C257)</f>
        <v>FM466__44617_0.303020833333333</v>
      </c>
      <c r="J256" s="257" t="str">
        <f t="shared" si="2"/>
        <v/>
      </c>
      <c r="K256" s="252" t="s">
        <v>938</v>
      </c>
      <c r="L256" s="258" t="str">
        <f t="shared" si="3"/>
        <v>FM991</v>
      </c>
      <c r="M256" s="259" t="b">
        <f t="shared" si="4"/>
        <v>0</v>
      </c>
      <c r="N256" s="258" t="str">
        <f t="shared" si="5"/>
        <v/>
      </c>
      <c r="O256" s="5"/>
      <c r="P256" s="5"/>
      <c r="Q256" s="5"/>
      <c r="R256" s="5"/>
      <c r="S256" s="5"/>
      <c r="T256" s="5"/>
      <c r="U256" s="5"/>
      <c r="V256" s="5"/>
      <c r="W256" s="5"/>
    </row>
    <row r="257">
      <c r="A257" s="112" t="str">
        <f>IF(OR(ISBLANK(RAW_APS!A257),ISBLANK(RAW_APS!B257),ISBLANK(RAW_APS!C257)),TRUE,IFERROR(0/0,""))</f>
        <v/>
      </c>
      <c r="B257" s="252"/>
      <c r="C257" s="112" t="str">
        <f>IF(ISBLANK(B257),IFERROR(0/0,""),RAW_APS!A257)</f>
        <v/>
      </c>
      <c r="D257" s="112" t="str">
        <f>IF(ISBLANK(C257),IFERROR(0/0,""), VLOOKUP(C257,preDEL!A$2:AG786,33,FALSE))</f>
        <v/>
      </c>
      <c r="E257" s="252"/>
      <c r="F257" s="210"/>
      <c r="G257" s="252"/>
      <c r="H257" s="255" t="str">
        <f t="shared" si="1"/>
        <v/>
      </c>
      <c r="I257" s="256" t="str">
        <f>CONCATENATE(UPPER(RAW_APS!$A258),"__",RAW_APS!$B258,"_",RAW_APS!$C258)</f>
        <v>FM37__44617_0.302511574074074</v>
      </c>
      <c r="J257" s="257" t="str">
        <f t="shared" si="2"/>
        <v/>
      </c>
      <c r="K257" s="252" t="s">
        <v>940</v>
      </c>
      <c r="L257" s="258" t="str">
        <f t="shared" si="3"/>
        <v>FM994</v>
      </c>
      <c r="M257" s="259" t="b">
        <f t="shared" si="4"/>
        <v>0</v>
      </c>
      <c r="N257" s="258" t="str">
        <f t="shared" si="5"/>
        <v/>
      </c>
      <c r="O257" s="5"/>
      <c r="P257" s="5"/>
      <c r="Q257" s="5"/>
      <c r="R257" s="5"/>
      <c r="S257" s="5"/>
      <c r="T257" s="5"/>
      <c r="U257" s="5"/>
      <c r="V257" s="5"/>
      <c r="W257" s="5"/>
    </row>
    <row r="258">
      <c r="A258" s="112" t="str">
        <f>IF(OR(ISBLANK(RAW_APS!A258),ISBLANK(RAW_APS!B258),ISBLANK(RAW_APS!C258)),TRUE,IFERROR(0/0,""))</f>
        <v/>
      </c>
      <c r="B258" s="252"/>
      <c r="C258" s="112" t="str">
        <f>IF(ISBLANK(B258),IFERROR(0/0,""),RAW_APS!A258)</f>
        <v/>
      </c>
      <c r="D258" s="112" t="str">
        <f>IF(ISBLANK(C258),IFERROR(0/0,""), VLOOKUP(C258,preDEL!A$2:AG786,33,FALSE))</f>
        <v/>
      </c>
      <c r="E258" s="252"/>
      <c r="F258" s="210"/>
      <c r="G258" s="252"/>
      <c r="H258" s="255" t="str">
        <f t="shared" si="1"/>
        <v/>
      </c>
      <c r="I258" s="256" t="str">
        <f>CONCATENATE(UPPER(RAW_APS!$A259),"__",RAW_APS!$B259,"_",RAW_APS!$C259)</f>
        <v>FM27__44617_0.301747685185185</v>
      </c>
      <c r="J258" s="257" t="str">
        <f t="shared" si="2"/>
        <v/>
      </c>
      <c r="K258" s="252" t="s">
        <v>942</v>
      </c>
      <c r="L258" s="258" t="str">
        <f t="shared" si="3"/>
        <v>FM996</v>
      </c>
      <c r="M258" s="259" t="b">
        <f t="shared" si="4"/>
        <v>0</v>
      </c>
      <c r="N258" s="258" t="str">
        <f t="shared" si="5"/>
        <v/>
      </c>
      <c r="O258" s="5"/>
      <c r="P258" s="5"/>
      <c r="Q258" s="5"/>
      <c r="R258" s="5"/>
      <c r="S258" s="5"/>
      <c r="T258" s="5"/>
      <c r="U258" s="5"/>
      <c r="V258" s="5"/>
      <c r="W258" s="5"/>
    </row>
    <row r="259">
      <c r="A259" s="112" t="str">
        <f>IF(OR(ISBLANK(RAW_APS!A259),ISBLANK(RAW_APS!B259),ISBLANK(RAW_APS!C259)),TRUE,IFERROR(0/0,""))</f>
        <v/>
      </c>
      <c r="B259" s="252"/>
      <c r="C259" s="112" t="str">
        <f>IF(ISBLANK(B259),IFERROR(0/0,""),RAW_APS!A259)</f>
        <v/>
      </c>
      <c r="D259" s="112" t="str">
        <f>IF(ISBLANK(C259),IFERROR(0/0,""), VLOOKUP(C259,preDEL!A$2:AG786,33,FALSE))</f>
        <v/>
      </c>
      <c r="E259" s="252"/>
      <c r="F259" s="210"/>
      <c r="G259" s="252"/>
      <c r="H259" s="255" t="str">
        <f t="shared" si="1"/>
        <v/>
      </c>
      <c r="I259" s="256" t="str">
        <f>CONCATENATE(UPPER(RAW_APS!$A260),"__",RAW_APS!$B260,"_",RAW_APS!$C260)</f>
        <v>MA284__44617_0.293101851851852</v>
      </c>
      <c r="J259" s="257" t="str">
        <f t="shared" si="2"/>
        <v/>
      </c>
      <c r="K259" s="252" t="s">
        <v>2529</v>
      </c>
      <c r="L259" s="258" t="str">
        <f t="shared" si="3"/>
        <v>HERO</v>
      </c>
      <c r="M259" s="259" t="b">
        <f t="shared" si="4"/>
        <v>0</v>
      </c>
      <c r="N259" s="258" t="str">
        <f t="shared" si="5"/>
        <v/>
      </c>
      <c r="O259" s="5"/>
      <c r="P259" s="5"/>
      <c r="Q259" s="5"/>
      <c r="R259" s="5"/>
      <c r="S259" s="5"/>
      <c r="T259" s="5"/>
      <c r="U259" s="5"/>
      <c r="V259" s="5"/>
      <c r="W259" s="5"/>
    </row>
    <row r="260">
      <c r="A260" s="112" t="str">
        <f>IF(OR(ISBLANK(RAW_APS!A260),ISBLANK(RAW_APS!B260),ISBLANK(RAW_APS!C260)),TRUE,IFERROR(0/0,""))</f>
        <v/>
      </c>
      <c r="B260" s="252"/>
      <c r="C260" s="112" t="str">
        <f>IF(ISBLANK(B260),IFERROR(0/0,""),RAW_APS!A260)</f>
        <v/>
      </c>
      <c r="D260" s="112" t="str">
        <f>IF(ISBLANK(C260),IFERROR(0/0,""), VLOOKUP(C260,preDEL!A$2:AG786,33,FALSE))</f>
        <v/>
      </c>
      <c r="E260" s="252"/>
      <c r="F260" s="210"/>
      <c r="G260" s="252"/>
      <c r="H260" s="255" t="str">
        <f t="shared" si="1"/>
        <v/>
      </c>
      <c r="I260" s="256" t="str">
        <f>CONCATENATE(UPPER(RAW_APS!$A261),"__",RAW_APS!$B261,"_",RAW_APS!$C261)</f>
        <v>MAX82__44615_0.418449074074074</v>
      </c>
      <c r="J260" s="257" t="str">
        <f t="shared" si="2"/>
        <v/>
      </c>
      <c r="K260" s="252" t="s">
        <v>949</v>
      </c>
      <c r="L260" s="258" t="str">
        <f t="shared" si="3"/>
        <v>HERO11</v>
      </c>
      <c r="M260" s="259" t="b">
        <f t="shared" si="4"/>
        <v>0</v>
      </c>
      <c r="N260" s="258" t="str">
        <f t="shared" si="5"/>
        <v/>
      </c>
      <c r="O260" s="5"/>
      <c r="P260" s="5"/>
      <c r="Q260" s="5"/>
      <c r="R260" s="5"/>
      <c r="S260" s="5"/>
      <c r="T260" s="5"/>
      <c r="U260" s="5"/>
      <c r="V260" s="5"/>
      <c r="W260" s="5"/>
    </row>
    <row r="261">
      <c r="A261" s="112" t="str">
        <f>IF(OR(ISBLANK(RAW_APS!A261),ISBLANK(RAW_APS!B261),ISBLANK(RAW_APS!C261)),TRUE,IFERROR(0/0,""))</f>
        <v/>
      </c>
      <c r="B261" s="252"/>
      <c r="C261" s="112" t="str">
        <f>IF(ISBLANK(B261),IFERROR(0/0,""),RAW_APS!A261)</f>
        <v/>
      </c>
      <c r="D261" s="112" t="str">
        <f>IF(ISBLANK(C261),IFERROR(0/0,""), VLOOKUP(C261,preDEL!A$2:AG786,33,FALSE))</f>
        <v/>
      </c>
      <c r="E261" s="252"/>
      <c r="F261" s="210"/>
      <c r="G261" s="252"/>
      <c r="H261" s="255" t="str">
        <f t="shared" si="1"/>
        <v/>
      </c>
      <c r="I261" s="256" t="str">
        <f>CONCATENATE(UPPER(RAW_APS!$A262),"__",RAW_APS!$B262,"_",RAW_APS!$C262)</f>
        <v>MAX118__44615_0.418391203703704</v>
      </c>
      <c r="J261" s="257" t="str">
        <f t="shared" si="2"/>
        <v/>
      </c>
      <c r="K261" s="252" t="s">
        <v>951</v>
      </c>
      <c r="L261" s="258" t="str">
        <f t="shared" si="3"/>
        <v>HERO12</v>
      </c>
      <c r="M261" s="259" t="b">
        <f t="shared" si="4"/>
        <v>0</v>
      </c>
      <c r="N261" s="258" t="str">
        <f t="shared" si="5"/>
        <v/>
      </c>
      <c r="O261" s="5"/>
      <c r="P261" s="5"/>
      <c r="Q261" s="5"/>
      <c r="R261" s="5"/>
      <c r="S261" s="5"/>
      <c r="T261" s="5"/>
      <c r="U261" s="5"/>
      <c r="V261" s="5"/>
      <c r="W261" s="5"/>
    </row>
    <row r="262">
      <c r="A262" s="112" t="str">
        <f>IF(OR(ISBLANK(RAW_APS!A262),ISBLANK(RAW_APS!B262),ISBLANK(RAW_APS!C262)),TRUE,IFERROR(0/0,""))</f>
        <v/>
      </c>
      <c r="B262" s="252"/>
      <c r="C262" s="112" t="str">
        <f>IF(ISBLANK(B262),IFERROR(0/0,""),RAW_APS!A262)</f>
        <v/>
      </c>
      <c r="D262" s="112" t="str">
        <f>IF(ISBLANK(C262),IFERROR(0/0,""), VLOOKUP(C262,preDEL!A$2:AG786,33,FALSE))</f>
        <v/>
      </c>
      <c r="E262" s="252"/>
      <c r="F262" s="210"/>
      <c r="G262" s="252"/>
      <c r="H262" s="255" t="str">
        <f t="shared" si="1"/>
        <v/>
      </c>
      <c r="I262" s="256" t="str">
        <f>CONCATENATE(UPPER(RAW_APS!$A263),"__",RAW_APS!$B263,"_",RAW_APS!$C263)</f>
        <v>FM109__44615_0.395335648148148</v>
      </c>
      <c r="J262" s="257" t="str">
        <f t="shared" si="2"/>
        <v/>
      </c>
      <c r="K262" s="252" t="s">
        <v>953</v>
      </c>
      <c r="L262" s="258" t="str">
        <f t="shared" si="3"/>
        <v>HERO13</v>
      </c>
      <c r="M262" s="259" t="b">
        <f t="shared" si="4"/>
        <v>0</v>
      </c>
      <c r="N262" s="258" t="str">
        <f t="shared" si="5"/>
        <v/>
      </c>
      <c r="O262" s="5"/>
      <c r="P262" s="5"/>
      <c r="Q262" s="5"/>
      <c r="R262" s="5"/>
      <c r="S262" s="5"/>
      <c r="T262" s="5"/>
      <c r="U262" s="5"/>
      <c r="V262" s="5"/>
      <c r="W262" s="5"/>
    </row>
    <row r="263">
      <c r="A263" s="112" t="str">
        <f>IF(OR(ISBLANK(RAW_APS!A263),ISBLANK(RAW_APS!B263),ISBLANK(RAW_APS!C263)),TRUE,IFERROR(0/0,""))</f>
        <v/>
      </c>
      <c r="B263" s="252"/>
      <c r="C263" s="112" t="str">
        <f>IF(ISBLANK(B263),IFERROR(0/0,""),RAW_APS!A263)</f>
        <v/>
      </c>
      <c r="D263" s="112" t="str">
        <f>IF(ISBLANK(C263),IFERROR(0/0,""), VLOOKUP(C263,preDEL!A$2:AG786,33,FALSE))</f>
        <v/>
      </c>
      <c r="E263" s="252"/>
      <c r="F263" s="210"/>
      <c r="G263" s="252"/>
      <c r="H263" s="255" t="str">
        <f t="shared" si="1"/>
        <v/>
      </c>
      <c r="I263" s="256" t="str">
        <f>CONCATENATE(UPPER(RAW_APS!$A264),"__",RAW_APS!$B264,"_",RAW_APS!$C264)</f>
        <v>FM783__44615_0.387222222222222</v>
      </c>
      <c r="J263" s="257" t="str">
        <f t="shared" si="2"/>
        <v/>
      </c>
      <c r="K263" s="252" t="s">
        <v>956</v>
      </c>
      <c r="L263" s="258" t="str">
        <f t="shared" si="3"/>
        <v>HERO14</v>
      </c>
      <c r="M263" s="259" t="b">
        <f t="shared" si="4"/>
        <v>0</v>
      </c>
      <c r="N263" s="258" t="str">
        <f t="shared" si="5"/>
        <v/>
      </c>
      <c r="O263" s="5"/>
      <c r="P263" s="5"/>
      <c r="Q263" s="5"/>
      <c r="R263" s="5"/>
      <c r="S263" s="5"/>
      <c r="T263" s="5"/>
      <c r="U263" s="5"/>
      <c r="V263" s="5"/>
      <c r="W263" s="5"/>
    </row>
    <row r="264">
      <c r="A264" s="112" t="str">
        <f>IF(OR(ISBLANK(RAW_APS!A264),ISBLANK(RAW_APS!B264),ISBLANK(RAW_APS!C264)),TRUE,IFERROR(0/0,""))</f>
        <v/>
      </c>
      <c r="B264" s="252"/>
      <c r="C264" s="112" t="str">
        <f>IF(ISBLANK(B264),IFERROR(0/0,""),RAW_APS!A264)</f>
        <v/>
      </c>
      <c r="D264" s="112" t="str">
        <f>IF(ISBLANK(C264),IFERROR(0/0,""), VLOOKUP(C264,preDEL!A$2:AG786,33,FALSE))</f>
        <v/>
      </c>
      <c r="E264" s="252"/>
      <c r="F264" s="210"/>
      <c r="G264" s="252"/>
      <c r="H264" s="255" t="str">
        <f t="shared" si="1"/>
        <v/>
      </c>
      <c r="I264" s="256" t="str">
        <f>CONCATENATE(UPPER(RAW_APS!$A265),"__",RAW_APS!$B265,"_",RAW_APS!$C265)</f>
        <v>FM493__44615_0.344178240740741</v>
      </c>
      <c r="J264" s="257" t="str">
        <f t="shared" si="2"/>
        <v/>
      </c>
      <c r="K264" s="252" t="s">
        <v>2530</v>
      </c>
      <c r="L264" s="258" t="str">
        <f t="shared" si="3"/>
        <v>HERO2</v>
      </c>
      <c r="M264" s="259" t="b">
        <f t="shared" si="4"/>
        <v>0</v>
      </c>
      <c r="N264" s="258" t="str">
        <f t="shared" si="5"/>
        <v/>
      </c>
      <c r="O264" s="5"/>
      <c r="P264" s="5"/>
      <c r="Q264" s="5"/>
      <c r="R264" s="5"/>
      <c r="S264" s="5"/>
      <c r="T264" s="5"/>
      <c r="U264" s="5"/>
      <c r="V264" s="5"/>
      <c r="W264" s="5"/>
    </row>
    <row r="265">
      <c r="A265" s="112" t="str">
        <f>IF(OR(ISBLANK(RAW_APS!A265),ISBLANK(RAW_APS!B265),ISBLANK(RAW_APS!C265)),TRUE,IFERROR(0/0,""))</f>
        <v/>
      </c>
      <c r="B265" s="252"/>
      <c r="C265" s="112" t="str">
        <f>IF(ISBLANK(B265),IFERROR(0/0,""),RAW_APS!A265)</f>
        <v/>
      </c>
      <c r="D265" s="112" t="str">
        <f>IF(ISBLANK(C265),IFERROR(0/0,""), VLOOKUP(C265,preDEL!A$2:AG786,33,FALSE))</f>
        <v/>
      </c>
      <c r="E265" s="252"/>
      <c r="F265" s="210"/>
      <c r="G265" s="252"/>
      <c r="H265" s="255" t="str">
        <f t="shared" si="1"/>
        <v/>
      </c>
      <c r="I265" s="256" t="str">
        <f>CONCATENATE(UPPER(RAW_APS!$A266),"__",RAW_APS!$B266,"_",RAW_APS!$C266)</f>
        <v>MA1201__44615_0.343321759259259</v>
      </c>
      <c r="J265" s="257" t="str">
        <f t="shared" si="2"/>
        <v/>
      </c>
      <c r="K265" s="252" t="s">
        <v>2531</v>
      </c>
      <c r="L265" s="258" t="str">
        <f t="shared" si="3"/>
        <v>HERO700</v>
      </c>
      <c r="M265" s="259" t="b">
        <f t="shared" si="4"/>
        <v>0</v>
      </c>
      <c r="N265" s="258" t="str">
        <f t="shared" si="5"/>
        <v/>
      </c>
      <c r="O265" s="5"/>
      <c r="P265" s="5"/>
      <c r="Q265" s="5"/>
      <c r="R265" s="5"/>
      <c r="S265" s="5"/>
      <c r="T265" s="5"/>
      <c r="U265" s="5"/>
      <c r="V265" s="5"/>
      <c r="W265" s="5"/>
    </row>
    <row r="266">
      <c r="A266" s="112" t="str">
        <f>IF(OR(ISBLANK(RAW_APS!A266),ISBLANK(RAW_APS!B266),ISBLANK(RAW_APS!C266)),TRUE,IFERROR(0/0,""))</f>
        <v/>
      </c>
      <c r="B266" s="252"/>
      <c r="C266" s="112" t="str">
        <f>IF(ISBLANK(B266),IFERROR(0/0,""),RAW_APS!A266)</f>
        <v/>
      </c>
      <c r="D266" s="112" t="str">
        <f>IF(ISBLANK(C266),IFERROR(0/0,""), VLOOKUP(C266,preDEL!A$2:AG786,33,FALSE))</f>
        <v/>
      </c>
      <c r="E266" s="252"/>
      <c r="F266" s="210"/>
      <c r="G266" s="252"/>
      <c r="H266" s="255" t="str">
        <f t="shared" si="1"/>
        <v/>
      </c>
      <c r="I266" s="256" t="str">
        <f>CONCATENATE(UPPER(RAW_APS!$A267),"__",RAW_APS!$B267,"_",RAW_APS!$C267)</f>
        <v>MA1267__44615_0.34318287037037</v>
      </c>
      <c r="J266" s="257" t="str">
        <f t="shared" si="2"/>
        <v/>
      </c>
      <c r="K266" s="252" t="s">
        <v>2532</v>
      </c>
      <c r="L266" s="258" t="str">
        <f t="shared" si="3"/>
        <v>MA 1057</v>
      </c>
      <c r="M266" s="259" t="b">
        <f t="shared" si="4"/>
        <v>0</v>
      </c>
      <c r="N266" s="258" t="str">
        <f t="shared" si="5"/>
        <v/>
      </c>
      <c r="O266" s="5"/>
      <c r="P266" s="5"/>
      <c r="Q266" s="5"/>
      <c r="R266" s="5"/>
      <c r="S266" s="5"/>
      <c r="T266" s="5"/>
      <c r="U266" s="5"/>
      <c r="V266" s="5"/>
      <c r="W266" s="5"/>
    </row>
    <row r="267">
      <c r="A267" s="112" t="str">
        <f>IF(OR(ISBLANK(RAW_APS!A267),ISBLANK(RAW_APS!B267),ISBLANK(RAW_APS!C267)),TRUE,IFERROR(0/0,""))</f>
        <v/>
      </c>
      <c r="B267" s="252"/>
      <c r="C267" s="112" t="str">
        <f>IF(ISBLANK(B267),IFERROR(0/0,""),RAW_APS!A267)</f>
        <v/>
      </c>
      <c r="D267" s="112" t="str">
        <f>IF(ISBLANK(C267),IFERROR(0/0,""), VLOOKUP(C267,preDEL!A$2:AG786,33,FALSE))</f>
        <v/>
      </c>
      <c r="E267" s="252"/>
      <c r="F267" s="210"/>
      <c r="G267" s="252"/>
      <c r="H267" s="255" t="str">
        <f t="shared" si="1"/>
        <v/>
      </c>
      <c r="I267" s="256" t="str">
        <f>CONCATENATE(UPPER(RAW_APS!$A268),"__",RAW_APS!$B268,"_",RAW_APS!$C268)</f>
        <v>MA1223__44615_0.343009259259259</v>
      </c>
      <c r="J267" s="257" t="str">
        <f t="shared" si="2"/>
        <v/>
      </c>
      <c r="K267" s="252" t="s">
        <v>2533</v>
      </c>
      <c r="L267" s="258" t="str">
        <f t="shared" si="3"/>
        <v>MA 1088</v>
      </c>
      <c r="M267" s="259" t="b">
        <f t="shared" si="4"/>
        <v>0</v>
      </c>
      <c r="N267" s="258" t="str">
        <f t="shared" si="5"/>
        <v/>
      </c>
      <c r="O267" s="5"/>
      <c r="P267" s="5"/>
      <c r="Q267" s="5"/>
      <c r="R267" s="5"/>
      <c r="S267" s="5"/>
      <c r="T267" s="5"/>
      <c r="U267" s="5"/>
      <c r="V267" s="5"/>
      <c r="W267" s="5"/>
    </row>
    <row r="268">
      <c r="A268" s="112" t="str">
        <f>IF(OR(ISBLANK(RAW_APS!A268),ISBLANK(RAW_APS!B268),ISBLANK(RAW_APS!C268)),TRUE,IFERROR(0/0,""))</f>
        <v/>
      </c>
      <c r="B268" s="252"/>
      <c r="C268" s="112" t="str">
        <f>IF(ISBLANK(B268),IFERROR(0/0,""),RAW_APS!A268)</f>
        <v/>
      </c>
      <c r="D268" s="112" t="str">
        <f>IF(ISBLANK(C268),IFERROR(0/0,""), VLOOKUP(C268,preDEL!A$2:AG786,33,FALSE))</f>
        <v/>
      </c>
      <c r="E268" s="252"/>
      <c r="F268" s="210"/>
      <c r="G268" s="252"/>
      <c r="H268" s="255" t="str">
        <f t="shared" si="1"/>
        <v/>
      </c>
      <c r="I268" s="256" t="str">
        <f>CONCATENATE(UPPER(RAW_APS!$A269),"__",RAW_APS!$B269,"_",RAW_APS!$C269)</f>
        <v>FM62__44615_0.342349537037037</v>
      </c>
      <c r="J268" s="257" t="str">
        <f t="shared" si="2"/>
        <v/>
      </c>
      <c r="K268" s="252" t="s">
        <v>2534</v>
      </c>
      <c r="L268" s="258" t="str">
        <f t="shared" si="3"/>
        <v>MA 1203</v>
      </c>
      <c r="M268" s="259" t="b">
        <f t="shared" si="4"/>
        <v>0</v>
      </c>
      <c r="N268" s="258" t="str">
        <f t="shared" si="5"/>
        <v/>
      </c>
      <c r="O268" s="5"/>
      <c r="P268" s="5"/>
      <c r="Q268" s="5"/>
      <c r="R268" s="5"/>
      <c r="S268" s="5"/>
      <c r="T268" s="5"/>
      <c r="U268" s="5"/>
      <c r="V268" s="5"/>
      <c r="W268" s="5"/>
    </row>
    <row r="269">
      <c r="A269" s="112" t="str">
        <f>IF(OR(ISBLANK(RAW_APS!A269),ISBLANK(RAW_APS!B269),ISBLANK(RAW_APS!C269)),TRUE,IFERROR(0/0,""))</f>
        <v/>
      </c>
      <c r="B269" s="252"/>
      <c r="C269" s="112" t="str">
        <f>IF(ISBLANK(B269),IFERROR(0/0,""),RAW_APS!A269)</f>
        <v/>
      </c>
      <c r="D269" s="112" t="str">
        <f>IF(ISBLANK(C269),IFERROR(0/0,""), VLOOKUP(C269,preDEL!A$2:AG786,33,FALSE))</f>
        <v/>
      </c>
      <c r="E269" s="252"/>
      <c r="F269" s="210"/>
      <c r="G269" s="252"/>
      <c r="H269" s="255" t="str">
        <f t="shared" si="1"/>
        <v/>
      </c>
      <c r="I269" s="256" t="str">
        <f>CONCATENATE(UPPER(RAW_APS!$A270),"__",RAW_APS!$B270,"_",RAW_APS!$C270)</f>
        <v>FM61__44615_0.342268518518519</v>
      </c>
      <c r="J269" s="257" t="str">
        <f t="shared" si="2"/>
        <v/>
      </c>
      <c r="K269" s="252" t="s">
        <v>963</v>
      </c>
      <c r="L269" s="258" t="str">
        <f t="shared" si="3"/>
        <v>MA1011</v>
      </c>
      <c r="M269" s="259" t="b">
        <f t="shared" si="4"/>
        <v>0</v>
      </c>
      <c r="N269" s="258" t="str">
        <f t="shared" si="5"/>
        <v/>
      </c>
      <c r="O269" s="5"/>
      <c r="P269" s="5"/>
      <c r="Q269" s="5"/>
      <c r="R269" s="5"/>
      <c r="S269" s="5"/>
      <c r="T269" s="5"/>
      <c r="U269" s="5"/>
      <c r="V269" s="5"/>
      <c r="W269" s="5"/>
    </row>
    <row r="270">
      <c r="A270" s="112" t="str">
        <f>IF(OR(ISBLANK(RAW_APS!A270),ISBLANK(RAW_APS!B270),ISBLANK(RAW_APS!C270)),TRUE,IFERROR(0/0,""))</f>
        <v/>
      </c>
      <c r="B270" s="252"/>
      <c r="C270" s="112" t="str">
        <f>IF(ISBLANK(B270),IFERROR(0/0,""),RAW_APS!A270)</f>
        <v/>
      </c>
      <c r="D270" s="112" t="str">
        <f>IF(ISBLANK(C270),IFERROR(0/0,""), VLOOKUP(C270,preDEL!A$2:AG786,33,FALSE))</f>
        <v/>
      </c>
      <c r="E270" s="252"/>
      <c r="F270" s="210"/>
      <c r="G270" s="252"/>
      <c r="H270" s="255" t="str">
        <f t="shared" si="1"/>
        <v/>
      </c>
      <c r="I270" s="256" t="str">
        <f>CONCATENATE(UPPER(RAW_APS!$A271),"__",RAW_APS!$B271,"_",RAW_APS!$C271)</f>
        <v>MA1028__44615_0.337881944444445</v>
      </c>
      <c r="J270" s="257" t="str">
        <f t="shared" si="2"/>
        <v/>
      </c>
      <c r="K270" s="252" t="s">
        <v>965</v>
      </c>
      <c r="L270" s="258" t="str">
        <f t="shared" si="3"/>
        <v>MA1021</v>
      </c>
      <c r="M270" s="259" t="b">
        <f t="shared" si="4"/>
        <v>0</v>
      </c>
      <c r="N270" s="258" t="str">
        <f t="shared" si="5"/>
        <v/>
      </c>
      <c r="O270" s="5"/>
      <c r="P270" s="5"/>
      <c r="Q270" s="5"/>
      <c r="R270" s="5"/>
      <c r="S270" s="5"/>
      <c r="T270" s="5"/>
      <c r="U270" s="5"/>
      <c r="V270" s="5"/>
      <c r="W270" s="5"/>
    </row>
    <row r="271">
      <c r="A271" s="112" t="str">
        <f>IF(OR(ISBLANK(RAW_APS!A271),ISBLANK(RAW_APS!B271),ISBLANK(RAW_APS!C271)),TRUE,IFERROR(0/0,""))</f>
        <v/>
      </c>
      <c r="B271" s="252"/>
      <c r="C271" s="112" t="str">
        <f>IF(ISBLANK(B271),IFERROR(0/0,""),RAW_APS!A271)</f>
        <v/>
      </c>
      <c r="D271" s="112" t="str">
        <f>IF(ISBLANK(C271),IFERROR(0/0,""), VLOOKUP(C271,preDEL!A$2:AG786,33,FALSE))</f>
        <v/>
      </c>
      <c r="E271" s="252"/>
      <c r="F271" s="210"/>
      <c r="G271" s="252"/>
      <c r="H271" s="255" t="str">
        <f t="shared" si="1"/>
        <v/>
      </c>
      <c r="I271" s="256" t="str">
        <f>CONCATENATE(UPPER(RAW_APS!$A272),"__",RAW_APS!$B272,"_",RAW_APS!$C272)</f>
        <v>FM829__44615_0.336631944444444</v>
      </c>
      <c r="J271" s="257" t="str">
        <f t="shared" si="2"/>
        <v/>
      </c>
      <c r="K271" s="252" t="s">
        <v>967</v>
      </c>
      <c r="L271" s="258" t="str">
        <f t="shared" si="3"/>
        <v>MA1022</v>
      </c>
      <c r="M271" s="259" t="b">
        <f t="shared" si="4"/>
        <v>0</v>
      </c>
      <c r="N271" s="258" t="str">
        <f t="shared" si="5"/>
        <v/>
      </c>
      <c r="O271" s="5"/>
      <c r="P271" s="5"/>
      <c r="Q271" s="5"/>
      <c r="R271" s="5"/>
      <c r="S271" s="5"/>
      <c r="T271" s="5"/>
      <c r="U271" s="5"/>
      <c r="V271" s="5"/>
      <c r="W271" s="5"/>
    </row>
    <row r="272">
      <c r="A272" s="112" t="str">
        <f>IF(OR(ISBLANK(RAW_APS!A272),ISBLANK(RAW_APS!B272),ISBLANK(RAW_APS!C272)),TRUE,IFERROR(0/0,""))</f>
        <v/>
      </c>
      <c r="B272" s="252"/>
      <c r="C272" s="112" t="str">
        <f>IF(ISBLANK(B272),IFERROR(0/0,""),RAW_APS!A272)</f>
        <v/>
      </c>
      <c r="D272" s="112" t="str">
        <f>IF(ISBLANK(C272),IFERROR(0/0,""), VLOOKUP(C272,preDEL!A$2:AG786,33,FALSE))</f>
        <v/>
      </c>
      <c r="E272" s="252"/>
      <c r="F272" s="210"/>
      <c r="G272" s="252"/>
      <c r="H272" s="255" t="str">
        <f t="shared" si="1"/>
        <v/>
      </c>
      <c r="I272" s="256" t="str">
        <f>CONCATENATE(UPPER(RAW_APS!$A273),"__",RAW_APS!$B273,"_",RAW_APS!$C273)</f>
        <v>MA260__44615_0.335289351851852</v>
      </c>
      <c r="J272" s="257" t="str">
        <f t="shared" si="2"/>
        <v/>
      </c>
      <c r="K272" s="252" t="s">
        <v>969</v>
      </c>
      <c r="L272" s="258" t="str">
        <f t="shared" si="3"/>
        <v>MA1024</v>
      </c>
      <c r="M272" s="259" t="b">
        <f t="shared" si="4"/>
        <v>0</v>
      </c>
      <c r="N272" s="258" t="str">
        <f t="shared" si="5"/>
        <v/>
      </c>
      <c r="O272" s="5"/>
      <c r="P272" s="5"/>
      <c r="Q272" s="5"/>
      <c r="R272" s="5"/>
      <c r="S272" s="5"/>
      <c r="T272" s="5"/>
      <c r="U272" s="5"/>
      <c r="V272" s="5"/>
      <c r="W272" s="5"/>
    </row>
    <row r="273">
      <c r="A273" s="112" t="str">
        <f>IF(OR(ISBLANK(RAW_APS!A273),ISBLANK(RAW_APS!B273),ISBLANK(RAW_APS!C273)),TRUE,IFERROR(0/0,""))</f>
        <v/>
      </c>
      <c r="B273" s="252"/>
      <c r="C273" s="112" t="str">
        <f>IF(ISBLANK(B273),IFERROR(0/0,""),RAW_APS!A273)</f>
        <v/>
      </c>
      <c r="D273" s="112" t="str">
        <f>IF(ISBLANK(C273),IFERROR(0/0,""), VLOOKUP(C273,preDEL!A$2:AG786,33,FALSE))</f>
        <v/>
      </c>
      <c r="E273" s="252"/>
      <c r="F273" s="210"/>
      <c r="G273" s="252"/>
      <c r="H273" s="255" t="str">
        <f t="shared" si="1"/>
        <v/>
      </c>
      <c r="I273" s="256" t="str">
        <f>CONCATENATE(UPPER(RAW_APS!$A274),"__",RAW_APS!$B274,"_",RAW_APS!$C274)</f>
        <v>MA1108__44615_0.334907407407407</v>
      </c>
      <c r="J273" s="257" t="str">
        <f t="shared" si="2"/>
        <v/>
      </c>
      <c r="K273" s="252" t="s">
        <v>971</v>
      </c>
      <c r="L273" s="258" t="str">
        <f t="shared" si="3"/>
        <v>MA1025</v>
      </c>
      <c r="M273" s="259" t="b">
        <f t="shared" si="4"/>
        <v>0</v>
      </c>
      <c r="N273" s="258" t="str">
        <f t="shared" si="5"/>
        <v/>
      </c>
      <c r="O273" s="5"/>
      <c r="P273" s="5"/>
      <c r="Q273" s="5"/>
      <c r="R273" s="5"/>
      <c r="S273" s="5"/>
      <c r="T273" s="5"/>
      <c r="U273" s="5"/>
      <c r="V273" s="5"/>
      <c r="W273" s="5"/>
    </row>
    <row r="274">
      <c r="A274" s="112" t="str">
        <f>IF(OR(ISBLANK(RAW_APS!A274),ISBLANK(RAW_APS!B274),ISBLANK(RAW_APS!C274)),TRUE,IFERROR(0/0,""))</f>
        <v/>
      </c>
      <c r="B274" s="252"/>
      <c r="C274" s="112" t="str">
        <f>IF(ISBLANK(B274),IFERROR(0/0,""),RAW_APS!A274)</f>
        <v/>
      </c>
      <c r="D274" s="112" t="str">
        <f>IF(ISBLANK(C274),IFERROR(0/0,""), VLOOKUP(C274,preDEL!A$2:AG786,33,FALSE))</f>
        <v/>
      </c>
      <c r="E274" s="252"/>
      <c r="F274" s="210"/>
      <c r="G274" s="252"/>
      <c r="H274" s="255" t="str">
        <f t="shared" si="1"/>
        <v/>
      </c>
      <c r="I274" s="256" t="str">
        <f>CONCATENATE(UPPER(RAW_APS!$A275),"__",RAW_APS!$B275,"_",RAW_APS!$C275)</f>
        <v>MA1041__44615_0.332314814814815</v>
      </c>
      <c r="J274" s="257" t="str">
        <f t="shared" si="2"/>
        <v/>
      </c>
      <c r="K274" s="252" t="s">
        <v>974</v>
      </c>
      <c r="L274" s="258" t="str">
        <f t="shared" si="3"/>
        <v>MA1026</v>
      </c>
      <c r="M274" s="259" t="b">
        <f t="shared" si="4"/>
        <v>0</v>
      </c>
      <c r="N274" s="258" t="str">
        <f t="shared" si="5"/>
        <v/>
      </c>
      <c r="O274" s="5"/>
      <c r="P274" s="5"/>
      <c r="Q274" s="5"/>
      <c r="R274" s="5"/>
      <c r="S274" s="5"/>
      <c r="T274" s="5"/>
      <c r="U274" s="5"/>
      <c r="V274" s="5"/>
      <c r="W274" s="5"/>
    </row>
    <row r="275">
      <c r="A275" s="112" t="str">
        <f>IF(OR(ISBLANK(RAW_APS!A275),ISBLANK(RAW_APS!B275),ISBLANK(RAW_APS!C275)),TRUE,IFERROR(0/0,""))</f>
        <v/>
      </c>
      <c r="B275" s="252"/>
      <c r="C275" s="112" t="str">
        <f>IF(ISBLANK(B275),IFERROR(0/0,""),RAW_APS!A275)</f>
        <v/>
      </c>
      <c r="D275" s="112" t="str">
        <f>IF(ISBLANK(C275),IFERROR(0/0,""), VLOOKUP(C275,preDEL!A$2:AG786,33,FALSE))</f>
        <v/>
      </c>
      <c r="E275" s="252"/>
      <c r="F275" s="210"/>
      <c r="G275" s="252"/>
      <c r="H275" s="255" t="str">
        <f t="shared" si="1"/>
        <v/>
      </c>
      <c r="I275" s="256" t="str">
        <f>CONCATENATE(UPPER(RAW_APS!$A276),"__",RAW_APS!$B276,"_",RAW_APS!$C276)</f>
        <v>MA616__44615_0.332256944444444</v>
      </c>
      <c r="J275" s="257" t="str">
        <f t="shared" si="2"/>
        <v/>
      </c>
      <c r="K275" s="252" t="s">
        <v>977</v>
      </c>
      <c r="L275" s="258" t="str">
        <f t="shared" si="3"/>
        <v>MA1027</v>
      </c>
      <c r="M275" s="259" t="b">
        <f t="shared" si="4"/>
        <v>0</v>
      </c>
      <c r="N275" s="258" t="str">
        <f t="shared" si="5"/>
        <v/>
      </c>
      <c r="O275" s="5"/>
      <c r="P275" s="5"/>
      <c r="Q275" s="5"/>
      <c r="R275" s="5"/>
      <c r="S275" s="5"/>
      <c r="T275" s="5"/>
      <c r="U275" s="5"/>
      <c r="V275" s="5"/>
      <c r="W275" s="5"/>
    </row>
    <row r="276">
      <c r="A276" s="112" t="str">
        <f>IF(OR(ISBLANK(RAW_APS!A276),ISBLANK(RAW_APS!B276),ISBLANK(RAW_APS!C276)),TRUE,IFERROR(0/0,""))</f>
        <v/>
      </c>
      <c r="B276" s="252"/>
      <c r="C276" s="112" t="str">
        <f>IF(ISBLANK(B276),IFERROR(0/0,""),RAW_APS!A276)</f>
        <v/>
      </c>
      <c r="D276" s="112" t="str">
        <f>IF(ISBLANK(C276),IFERROR(0/0,""), VLOOKUP(C276,preDEL!A$2:AG786,33,FALSE))</f>
        <v/>
      </c>
      <c r="E276" s="252"/>
      <c r="F276" s="210"/>
      <c r="G276" s="252"/>
      <c r="H276" s="255" t="str">
        <f t="shared" si="1"/>
        <v/>
      </c>
      <c r="I276" s="256" t="str">
        <f>CONCATENATE(UPPER(RAW_APS!$A277),"__",RAW_APS!$B277,"_",RAW_APS!$C277)</f>
        <v>FM976__44615_0.33125</v>
      </c>
      <c r="J276" s="257" t="str">
        <f t="shared" si="2"/>
        <v/>
      </c>
      <c r="K276" s="252" t="s">
        <v>980</v>
      </c>
      <c r="L276" s="258" t="str">
        <f t="shared" si="3"/>
        <v>MA1028</v>
      </c>
      <c r="M276" s="259" t="b">
        <f t="shared" si="4"/>
        <v>0</v>
      </c>
      <c r="N276" s="258" t="str">
        <f t="shared" si="5"/>
        <v/>
      </c>
      <c r="O276" s="5"/>
      <c r="P276" s="5"/>
      <c r="Q276" s="5"/>
      <c r="R276" s="5"/>
      <c r="S276" s="5"/>
      <c r="T276" s="5"/>
      <c r="U276" s="5"/>
      <c r="V276" s="5"/>
      <c r="W276" s="5"/>
    </row>
    <row r="277">
      <c r="A277" s="112" t="str">
        <f>IF(OR(ISBLANK(RAW_APS!A277),ISBLANK(RAW_APS!B277),ISBLANK(RAW_APS!C277)),TRUE,IFERROR(0/0,""))</f>
        <v/>
      </c>
      <c r="B277" s="252"/>
      <c r="C277" s="112" t="str">
        <f>IF(ISBLANK(B277),IFERROR(0/0,""),RAW_APS!A277)</f>
        <v/>
      </c>
      <c r="D277" s="112" t="str">
        <f>IF(ISBLANK(C277),IFERROR(0/0,""), VLOOKUP(C277,preDEL!A$2:AG786,33,FALSE))</f>
        <v/>
      </c>
      <c r="E277" s="252"/>
      <c r="F277" s="210"/>
      <c r="G277" s="252"/>
      <c r="H277" s="255" t="str">
        <f t="shared" si="1"/>
        <v/>
      </c>
      <c r="I277" s="256" t="str">
        <f>CONCATENATE(UPPER(RAW_APS!$A278),"__",RAW_APS!$B278,"_",RAW_APS!$C278)</f>
        <v>FM450__44615_0.3284375</v>
      </c>
      <c r="J277" s="257" t="str">
        <f t="shared" si="2"/>
        <v/>
      </c>
      <c r="K277" s="252" t="s">
        <v>984</v>
      </c>
      <c r="L277" s="258" t="str">
        <f t="shared" si="3"/>
        <v>MA1029</v>
      </c>
      <c r="M277" s="259" t="b">
        <f t="shared" si="4"/>
        <v>0</v>
      </c>
      <c r="N277" s="258" t="str">
        <f t="shared" si="5"/>
        <v/>
      </c>
      <c r="O277" s="5"/>
      <c r="P277" s="5"/>
      <c r="Q277" s="5"/>
      <c r="R277" s="5"/>
      <c r="S277" s="5"/>
      <c r="T277" s="5"/>
      <c r="U277" s="5"/>
      <c r="V277" s="5"/>
      <c r="W277" s="5"/>
    </row>
    <row r="278">
      <c r="A278" s="112" t="str">
        <f>IF(OR(ISBLANK(RAW_APS!A278),ISBLANK(RAW_APS!B278),ISBLANK(RAW_APS!C278)),TRUE,IFERROR(0/0,""))</f>
        <v/>
      </c>
      <c r="B278" s="252"/>
      <c r="C278" s="112" t="str">
        <f>IF(ISBLANK(B278),IFERROR(0/0,""),RAW_APS!A278)</f>
        <v/>
      </c>
      <c r="D278" s="112" t="str">
        <f>IF(ISBLANK(C278),IFERROR(0/0,""), VLOOKUP(C278,preDEL!A$2:AG786,33,FALSE))</f>
        <v/>
      </c>
      <c r="E278" s="252"/>
      <c r="F278" s="210"/>
      <c r="G278" s="252"/>
      <c r="H278" s="255" t="str">
        <f t="shared" si="1"/>
        <v/>
      </c>
      <c r="I278" s="256" t="str">
        <f>CONCATENATE(UPPER(RAW_APS!$A279),"__",RAW_APS!$B279,"_",RAW_APS!$C279)</f>
        <v>MA251__44615_0.323796296296296</v>
      </c>
      <c r="J278" s="257" t="str">
        <f t="shared" si="2"/>
        <v/>
      </c>
      <c r="K278" s="252" t="s">
        <v>986</v>
      </c>
      <c r="L278" s="258" t="str">
        <f t="shared" si="3"/>
        <v>MA1030</v>
      </c>
      <c r="M278" s="259" t="b">
        <f t="shared" si="4"/>
        <v>0</v>
      </c>
      <c r="N278" s="258" t="str">
        <f t="shared" si="5"/>
        <v/>
      </c>
      <c r="O278" s="5"/>
      <c r="P278" s="5"/>
      <c r="Q278" s="5"/>
      <c r="R278" s="5"/>
      <c r="S278" s="5"/>
      <c r="T278" s="5"/>
      <c r="U278" s="5"/>
      <c r="V278" s="5"/>
      <c r="W278" s="5"/>
    </row>
    <row r="279">
      <c r="A279" s="112" t="str">
        <f>IF(OR(ISBLANK(RAW_APS!A279),ISBLANK(RAW_APS!B279),ISBLANK(RAW_APS!C279)),TRUE,IFERROR(0/0,""))</f>
        <v/>
      </c>
      <c r="B279" s="252"/>
      <c r="C279" s="112" t="str">
        <f>IF(ISBLANK(B279),IFERROR(0/0,""),RAW_APS!A279)</f>
        <v/>
      </c>
      <c r="D279" s="112" t="str">
        <f>IF(ISBLANK(C279),IFERROR(0/0,""), VLOOKUP(C279,preDEL!A$2:AG786,33,FALSE))</f>
        <v/>
      </c>
      <c r="E279" s="252"/>
      <c r="F279" s="210"/>
      <c r="G279" s="252"/>
      <c r="H279" s="255" t="str">
        <f t="shared" si="1"/>
        <v/>
      </c>
      <c r="I279" s="256" t="str">
        <f>CONCATENATE(UPPER(RAW_APS!$A280),"__",RAW_APS!$B280,"_",RAW_APS!$C280)</f>
        <v>FM1008__44615_0.321712962962963</v>
      </c>
      <c r="J279" s="257" t="str">
        <f t="shared" si="2"/>
        <v/>
      </c>
      <c r="K279" s="252" t="s">
        <v>988</v>
      </c>
      <c r="L279" s="258" t="str">
        <f t="shared" si="3"/>
        <v>MA1031</v>
      </c>
      <c r="M279" s="259" t="b">
        <f t="shared" si="4"/>
        <v>0</v>
      </c>
      <c r="N279" s="258" t="str">
        <f t="shared" si="5"/>
        <v/>
      </c>
      <c r="O279" s="5"/>
      <c r="P279" s="5"/>
      <c r="Q279" s="5"/>
      <c r="R279" s="5"/>
      <c r="S279" s="5"/>
      <c r="T279" s="5"/>
      <c r="U279" s="5"/>
      <c r="V279" s="5"/>
      <c r="W279" s="5"/>
    </row>
    <row r="280">
      <c r="A280" s="112" t="str">
        <f>IF(OR(ISBLANK(RAW_APS!A280),ISBLANK(RAW_APS!B280),ISBLANK(RAW_APS!C280)),TRUE,IFERROR(0/0,""))</f>
        <v/>
      </c>
      <c r="B280" s="252"/>
      <c r="C280" s="112" t="str">
        <f>IF(ISBLANK(B280),IFERROR(0/0,""),RAW_APS!A280)</f>
        <v/>
      </c>
      <c r="D280" s="112" t="str">
        <f>IF(ISBLANK(C280),IFERROR(0/0,""), VLOOKUP(C280,preDEL!A$2:AG786,33,FALSE))</f>
        <v/>
      </c>
      <c r="E280" s="252"/>
      <c r="F280" s="210"/>
      <c r="G280" s="252"/>
      <c r="H280" s="255" t="str">
        <f t="shared" si="1"/>
        <v/>
      </c>
      <c r="I280" s="256" t="str">
        <f>CONCATENATE(UPPER(RAW_APS!$A281),"__",RAW_APS!$B281,"_",RAW_APS!$C281)</f>
        <v>MA1038__44615_0.321041666666667</v>
      </c>
      <c r="J280" s="257" t="str">
        <f t="shared" si="2"/>
        <v/>
      </c>
      <c r="K280" s="252" t="s">
        <v>990</v>
      </c>
      <c r="L280" s="258" t="str">
        <f t="shared" si="3"/>
        <v>MA1032</v>
      </c>
      <c r="M280" s="259" t="b">
        <f t="shared" si="4"/>
        <v>0</v>
      </c>
      <c r="N280" s="258" t="str">
        <f t="shared" si="5"/>
        <v/>
      </c>
      <c r="O280" s="5"/>
      <c r="P280" s="5"/>
      <c r="Q280" s="5"/>
      <c r="R280" s="5"/>
      <c r="S280" s="5"/>
      <c r="T280" s="5"/>
      <c r="U280" s="5"/>
      <c r="V280" s="5"/>
      <c r="W280" s="5"/>
    </row>
    <row r="281">
      <c r="A281" s="112" t="str">
        <f>IF(OR(ISBLANK(RAW_APS!A281),ISBLANK(RAW_APS!B281),ISBLANK(RAW_APS!C281)),TRUE,IFERROR(0/0,""))</f>
        <v/>
      </c>
      <c r="B281" s="252"/>
      <c r="C281" s="112" t="str">
        <f>IF(ISBLANK(B281),IFERROR(0/0,""),RAW_APS!A281)</f>
        <v/>
      </c>
      <c r="D281" s="112" t="str">
        <f>IF(ISBLANK(C281),IFERROR(0/0,""), VLOOKUP(C281,preDEL!A$2:AG786,33,FALSE))</f>
        <v/>
      </c>
      <c r="E281" s="252"/>
      <c r="F281" s="210"/>
      <c r="G281" s="252"/>
      <c r="H281" s="255" t="str">
        <f t="shared" si="1"/>
        <v/>
      </c>
      <c r="I281" s="256" t="str">
        <f>CONCATENATE(UPPER(RAW_APS!$A282),"__",RAW_APS!$B282,"_",RAW_APS!$C282)</f>
        <v>FM533__44615_0.319583333333333</v>
      </c>
      <c r="J281" s="257" t="str">
        <f t="shared" si="2"/>
        <v/>
      </c>
      <c r="K281" s="252" t="s">
        <v>992</v>
      </c>
      <c r="L281" s="258" t="str">
        <f t="shared" si="3"/>
        <v>MA1033</v>
      </c>
      <c r="M281" s="259" t="b">
        <f t="shared" si="4"/>
        <v>0</v>
      </c>
      <c r="N281" s="258" t="str">
        <f t="shared" si="5"/>
        <v/>
      </c>
      <c r="O281" s="5"/>
      <c r="P281" s="5"/>
      <c r="Q281" s="5"/>
      <c r="R281" s="5"/>
      <c r="S281" s="5"/>
      <c r="T281" s="5"/>
      <c r="U281" s="5"/>
      <c r="V281" s="5"/>
      <c r="W281" s="5"/>
    </row>
    <row r="282">
      <c r="A282" s="112" t="str">
        <f>IF(OR(ISBLANK(RAW_APS!A282),ISBLANK(RAW_APS!B282),ISBLANK(RAW_APS!C282)),TRUE,IFERROR(0/0,""))</f>
        <v/>
      </c>
      <c r="B282" s="252"/>
      <c r="C282" s="112" t="str">
        <f>IF(ISBLANK(B282),IFERROR(0/0,""),RAW_APS!A282)</f>
        <v/>
      </c>
      <c r="D282" s="112" t="str">
        <f>IF(ISBLANK(C282),IFERROR(0/0,""), VLOOKUP(C282,preDEL!A$2:AG786,33,FALSE))</f>
        <v/>
      </c>
      <c r="E282" s="252"/>
      <c r="F282" s="210"/>
      <c r="G282" s="252"/>
      <c r="H282" s="255" t="str">
        <f t="shared" si="1"/>
        <v/>
      </c>
      <c r="I282" s="256" t="str">
        <f>CONCATENATE(UPPER(RAW_APS!$A283),"__",RAW_APS!$B283,"_",RAW_APS!$C283)</f>
        <v>MA1026__44615_0.314641203703704</v>
      </c>
      <c r="J282" s="257" t="str">
        <f t="shared" si="2"/>
        <v/>
      </c>
      <c r="K282" s="252" t="s">
        <v>994</v>
      </c>
      <c r="L282" s="258" t="str">
        <f t="shared" si="3"/>
        <v>MA1034</v>
      </c>
      <c r="M282" s="259" t="b">
        <f t="shared" si="4"/>
        <v>0</v>
      </c>
      <c r="N282" s="258" t="str">
        <f t="shared" si="5"/>
        <v/>
      </c>
      <c r="O282" s="5"/>
      <c r="P282" s="5"/>
      <c r="Q282" s="5"/>
      <c r="R282" s="5"/>
      <c r="S282" s="5"/>
      <c r="T282" s="5"/>
      <c r="U282" s="5"/>
      <c r="V282" s="5"/>
      <c r="W282" s="5"/>
    </row>
    <row r="283">
      <c r="A283" s="112" t="str">
        <f>IF(OR(ISBLANK(RAW_APS!A283),ISBLANK(RAW_APS!B283),ISBLANK(RAW_APS!C283)),TRUE,IFERROR(0/0,""))</f>
        <v/>
      </c>
      <c r="B283" s="252"/>
      <c r="C283" s="112" t="str">
        <f>IF(ISBLANK(B283),IFERROR(0/0,""),RAW_APS!A283)</f>
        <v/>
      </c>
      <c r="D283" s="112" t="str">
        <f>IF(ISBLANK(C283),IFERROR(0/0,""), VLOOKUP(C283,preDEL!A$2:AG786,33,FALSE))</f>
        <v/>
      </c>
      <c r="E283" s="252"/>
      <c r="F283" s="210"/>
      <c r="G283" s="252"/>
      <c r="H283" s="255" t="str">
        <f t="shared" si="1"/>
        <v/>
      </c>
      <c r="I283" s="256" t="str">
        <f>CONCATENATE(UPPER(RAW_APS!$A284),"__",RAW_APS!$B284,"_",RAW_APS!$C284)</f>
        <v>MA1104__44615_0.314490740740741</v>
      </c>
      <c r="J283" s="257" t="str">
        <f t="shared" si="2"/>
        <v/>
      </c>
      <c r="K283" s="252" t="s">
        <v>997</v>
      </c>
      <c r="L283" s="258" t="str">
        <f t="shared" si="3"/>
        <v>MA1035</v>
      </c>
      <c r="M283" s="259" t="b">
        <f t="shared" si="4"/>
        <v>0</v>
      </c>
      <c r="N283" s="258" t="str">
        <f t="shared" si="5"/>
        <v/>
      </c>
      <c r="O283" s="5"/>
      <c r="P283" s="5"/>
      <c r="Q283" s="5"/>
      <c r="R283" s="5"/>
      <c r="S283" s="5"/>
      <c r="T283" s="5"/>
      <c r="U283" s="5"/>
      <c r="V283" s="5"/>
      <c r="W283" s="5"/>
    </row>
    <row r="284">
      <c r="A284" s="112" t="str">
        <f>IF(OR(ISBLANK(RAW_APS!A284),ISBLANK(RAW_APS!B284),ISBLANK(RAW_APS!C284)),TRUE,IFERROR(0/0,""))</f>
        <v/>
      </c>
      <c r="B284" s="252"/>
      <c r="C284" s="112" t="str">
        <f>IF(ISBLANK(B284),IFERROR(0/0,""),RAW_APS!A284)</f>
        <v/>
      </c>
      <c r="D284" s="112" t="str">
        <f>IF(ISBLANK(C284),IFERROR(0/0,""), VLOOKUP(C284,preDEL!A$2:AG786,33,FALSE))</f>
        <v/>
      </c>
      <c r="E284" s="252"/>
      <c r="F284" s="210"/>
      <c r="G284" s="252"/>
      <c r="H284" s="255" t="str">
        <f t="shared" si="1"/>
        <v/>
      </c>
      <c r="I284" s="256" t="str">
        <f>CONCATENATE(UPPER(RAW_APS!$A285),"__",RAW_APS!$B285,"_",RAW_APS!$C285)</f>
        <v>MA299__44615_0.310891203703704</v>
      </c>
      <c r="J284" s="257" t="str">
        <f t="shared" si="2"/>
        <v/>
      </c>
      <c r="K284" s="252" t="s">
        <v>999</v>
      </c>
      <c r="L284" s="258" t="str">
        <f t="shared" si="3"/>
        <v>MA1036</v>
      </c>
      <c r="M284" s="259" t="b">
        <f t="shared" si="4"/>
        <v>0</v>
      </c>
      <c r="N284" s="258" t="str">
        <f t="shared" si="5"/>
        <v/>
      </c>
      <c r="O284" s="5"/>
      <c r="P284" s="5"/>
      <c r="Q284" s="5"/>
      <c r="R284" s="5"/>
      <c r="S284" s="5"/>
      <c r="T284" s="5"/>
      <c r="U284" s="5"/>
      <c r="V284" s="5"/>
      <c r="W284" s="5"/>
    </row>
    <row r="285">
      <c r="A285" s="112" t="str">
        <f>IF(OR(ISBLANK(RAW_APS!A285),ISBLANK(RAW_APS!B285),ISBLANK(RAW_APS!C285)),TRUE,IFERROR(0/0,""))</f>
        <v/>
      </c>
      <c r="B285" s="252"/>
      <c r="C285" s="112" t="str">
        <f>IF(ISBLANK(B285),IFERROR(0/0,""),RAW_APS!A285)</f>
        <v/>
      </c>
      <c r="D285" s="112" t="str">
        <f>IF(ISBLANK(C285),IFERROR(0/0,""), VLOOKUP(C285,preDEL!A$2:AG786,33,FALSE))</f>
        <v/>
      </c>
      <c r="E285" s="252"/>
      <c r="F285" s="210"/>
      <c r="G285" s="252"/>
      <c r="H285" s="255" t="str">
        <f t="shared" si="1"/>
        <v/>
      </c>
      <c r="I285" s="256" t="str">
        <f>CONCATENATE(UPPER(RAW_APS!$A286),"__",RAW_APS!$B286,"_",RAW_APS!$C286)</f>
        <v>FM827__44615_0.309780092592593</v>
      </c>
      <c r="J285" s="257" t="str">
        <f t="shared" si="2"/>
        <v/>
      </c>
      <c r="K285" s="252" t="s">
        <v>1001</v>
      </c>
      <c r="L285" s="258" t="str">
        <f t="shared" si="3"/>
        <v>MA1037</v>
      </c>
      <c r="M285" s="259" t="b">
        <f t="shared" si="4"/>
        <v>0</v>
      </c>
      <c r="N285" s="258" t="str">
        <f t="shared" si="5"/>
        <v/>
      </c>
      <c r="O285" s="5"/>
      <c r="P285" s="5"/>
      <c r="Q285" s="5"/>
      <c r="R285" s="5"/>
      <c r="S285" s="5"/>
      <c r="T285" s="5"/>
      <c r="U285" s="5"/>
      <c r="V285" s="5"/>
      <c r="W285" s="5"/>
    </row>
    <row r="286">
      <c r="A286" s="112" t="str">
        <f>IF(OR(ISBLANK(RAW_APS!A286),ISBLANK(RAW_APS!B286),ISBLANK(RAW_APS!C286)),TRUE,IFERROR(0/0,""))</f>
        <v/>
      </c>
      <c r="B286" s="252"/>
      <c r="C286" s="112" t="str">
        <f>IF(ISBLANK(B286),IFERROR(0/0,""),RAW_APS!A286)</f>
        <v/>
      </c>
      <c r="D286" s="112" t="str">
        <f>IF(ISBLANK(C286),IFERROR(0/0,""), VLOOKUP(C286,preDEL!A$2:AG786,33,FALSE))</f>
        <v/>
      </c>
      <c r="E286" s="252"/>
      <c r="F286" s="210"/>
      <c r="G286" s="252"/>
      <c r="H286" s="255" t="str">
        <f t="shared" si="1"/>
        <v/>
      </c>
      <c r="I286" s="256" t="str">
        <f>CONCATENATE(UPPER(RAW_APS!$A287),"__",RAW_APS!$B287,"_",RAW_APS!$C287)</f>
        <v>MA214__44615_0.30931712962963</v>
      </c>
      <c r="J286" s="257" t="str">
        <f t="shared" si="2"/>
        <v/>
      </c>
      <c r="K286" s="252" t="s">
        <v>1003</v>
      </c>
      <c r="L286" s="258" t="str">
        <f t="shared" si="3"/>
        <v>MA1038</v>
      </c>
      <c r="M286" s="259" t="b">
        <f t="shared" si="4"/>
        <v>0</v>
      </c>
      <c r="N286" s="258" t="str">
        <f t="shared" si="5"/>
        <v/>
      </c>
      <c r="O286" s="5"/>
      <c r="P286" s="5"/>
      <c r="Q286" s="5"/>
      <c r="R286" s="5"/>
      <c r="S286" s="5"/>
      <c r="T286" s="5"/>
      <c r="U286" s="5"/>
      <c r="V286" s="5"/>
      <c r="W286" s="5"/>
    </row>
    <row r="287">
      <c r="A287" s="112" t="str">
        <f>IF(OR(ISBLANK(RAW_APS!A287),ISBLANK(RAW_APS!B287),ISBLANK(RAW_APS!C287)),TRUE,IFERROR(0/0,""))</f>
        <v/>
      </c>
      <c r="B287" s="252"/>
      <c r="C287" s="112" t="str">
        <f>IF(ISBLANK(B287),IFERROR(0/0,""),RAW_APS!A287)</f>
        <v/>
      </c>
      <c r="D287" s="112" t="str">
        <f>IF(ISBLANK(C287),IFERROR(0/0,""), VLOOKUP(C287,preDEL!A$2:AG786,33,FALSE))</f>
        <v/>
      </c>
      <c r="E287" s="252"/>
      <c r="F287" s="210"/>
      <c r="G287" s="252"/>
      <c r="H287" s="255" t="str">
        <f t="shared" si="1"/>
        <v/>
      </c>
      <c r="I287" s="256" t="str">
        <f>CONCATENATE(UPPER(RAW_APS!$A288),"__",RAW_APS!$B288,"_",RAW_APS!$C288)</f>
        <v>MA231__44615_0.309236111111111</v>
      </c>
      <c r="J287" s="257" t="str">
        <f t="shared" si="2"/>
        <v/>
      </c>
      <c r="K287" s="252" t="s">
        <v>1005</v>
      </c>
      <c r="L287" s="258" t="str">
        <f t="shared" si="3"/>
        <v>MA1039</v>
      </c>
      <c r="M287" s="259" t="b">
        <f t="shared" si="4"/>
        <v>0</v>
      </c>
      <c r="N287" s="258" t="str">
        <f t="shared" si="5"/>
        <v/>
      </c>
      <c r="O287" s="5"/>
      <c r="P287" s="5"/>
      <c r="Q287" s="5"/>
      <c r="R287" s="5"/>
      <c r="S287" s="5"/>
      <c r="T287" s="5"/>
      <c r="U287" s="5"/>
      <c r="V287" s="5"/>
      <c r="W287" s="5"/>
    </row>
    <row r="288">
      <c r="A288" s="112" t="str">
        <f>IF(OR(ISBLANK(RAW_APS!A288),ISBLANK(RAW_APS!B288),ISBLANK(RAW_APS!C288)),TRUE,IFERROR(0/0,""))</f>
        <v/>
      </c>
      <c r="B288" s="252"/>
      <c r="C288" s="112" t="str">
        <f>IF(ISBLANK(B288),IFERROR(0/0,""),RAW_APS!A288)</f>
        <v/>
      </c>
      <c r="D288" s="112" t="str">
        <f>IF(ISBLANK(C288),IFERROR(0/0,""), VLOOKUP(C288,preDEL!A$2:AG786,33,FALSE))</f>
        <v/>
      </c>
      <c r="E288" s="252"/>
      <c r="F288" s="210"/>
      <c r="G288" s="252"/>
      <c r="H288" s="255" t="str">
        <f t="shared" si="1"/>
        <v/>
      </c>
      <c r="I288" s="256" t="str">
        <f>CONCATENATE(UPPER(RAW_APS!$A289),"__",RAW_APS!$B289,"_",RAW_APS!$C289)</f>
        <v>MA222__44615_0.308668981481482</v>
      </c>
      <c r="J288" s="257" t="str">
        <f t="shared" si="2"/>
        <v/>
      </c>
      <c r="K288" s="252" t="s">
        <v>1007</v>
      </c>
      <c r="L288" s="258" t="str">
        <f t="shared" si="3"/>
        <v>MA1040</v>
      </c>
      <c r="M288" s="259" t="b">
        <f t="shared" si="4"/>
        <v>0</v>
      </c>
      <c r="N288" s="258" t="str">
        <f t="shared" si="5"/>
        <v/>
      </c>
      <c r="O288" s="5"/>
      <c r="P288" s="5"/>
      <c r="Q288" s="5"/>
      <c r="R288" s="5"/>
      <c r="S288" s="5"/>
      <c r="T288" s="5"/>
      <c r="U288" s="5"/>
      <c r="V288" s="5"/>
      <c r="W288" s="5"/>
    </row>
    <row r="289">
      <c r="A289" s="112" t="str">
        <f>IF(OR(ISBLANK(RAW_APS!A289),ISBLANK(RAW_APS!B289),ISBLANK(RAW_APS!C289)),TRUE,IFERROR(0/0,""))</f>
        <v/>
      </c>
      <c r="B289" s="252"/>
      <c r="C289" s="112" t="str">
        <f>IF(ISBLANK(B289),IFERROR(0/0,""),RAW_APS!A289)</f>
        <v/>
      </c>
      <c r="D289" s="112" t="str">
        <f>IF(ISBLANK(C289),IFERROR(0/0,""), VLOOKUP(C289,preDEL!A$2:AG786,33,FALSE))</f>
        <v/>
      </c>
      <c r="E289" s="252"/>
      <c r="F289" s="210"/>
      <c r="G289" s="252"/>
      <c r="H289" s="255" t="str">
        <f t="shared" si="1"/>
        <v/>
      </c>
      <c r="I289" s="256" t="str">
        <f>CONCATENATE(UPPER(RAW_APS!$A290),"__",RAW_APS!$B290,"_",RAW_APS!$C290)</f>
        <v>FM5__44615_0.306793981481481</v>
      </c>
      <c r="J289" s="257" t="str">
        <f t="shared" si="2"/>
        <v/>
      </c>
      <c r="K289" s="252" t="s">
        <v>1009</v>
      </c>
      <c r="L289" s="258" t="str">
        <f t="shared" si="3"/>
        <v>MA1041</v>
      </c>
      <c r="M289" s="259" t="b">
        <f t="shared" si="4"/>
        <v>0</v>
      </c>
      <c r="N289" s="258" t="str">
        <f t="shared" si="5"/>
        <v/>
      </c>
      <c r="O289" s="5"/>
      <c r="P289" s="5"/>
      <c r="Q289" s="5"/>
      <c r="R289" s="5"/>
      <c r="S289" s="5"/>
      <c r="T289" s="5"/>
      <c r="U289" s="5"/>
      <c r="V289" s="5"/>
      <c r="W289" s="5"/>
    </row>
    <row r="290">
      <c r="A290" s="112" t="str">
        <f>IF(OR(ISBLANK(RAW_APS!A290),ISBLANK(RAW_APS!B290),ISBLANK(RAW_APS!C290)),TRUE,IFERROR(0/0,""))</f>
        <v/>
      </c>
      <c r="B290" s="252"/>
      <c r="C290" s="112" t="str">
        <f>IF(ISBLANK(B290),IFERROR(0/0,""),RAW_APS!A290)</f>
        <v/>
      </c>
      <c r="D290" s="112" t="str">
        <f>IF(ISBLANK(C290),IFERROR(0/0,""), VLOOKUP(C290,preDEL!A$2:AG786,33,FALSE))</f>
        <v/>
      </c>
      <c r="E290" s="252"/>
      <c r="F290" s="210"/>
      <c r="G290" s="252"/>
      <c r="H290" s="255" t="str">
        <f t="shared" si="1"/>
        <v/>
      </c>
      <c r="I290" s="256" t="str">
        <f>CONCATENATE(UPPER(RAW_APS!$A291),"__",RAW_APS!$B291,"_",RAW_APS!$C291)</f>
        <v>FM505__44615_0.301238425925926</v>
      </c>
      <c r="J290" s="257" t="str">
        <f t="shared" si="2"/>
        <v/>
      </c>
      <c r="K290" s="252" t="s">
        <v>1011</v>
      </c>
      <c r="L290" s="258" t="str">
        <f t="shared" si="3"/>
        <v>MA1042</v>
      </c>
      <c r="M290" s="259" t="b">
        <f t="shared" si="4"/>
        <v>0</v>
      </c>
      <c r="N290" s="258" t="str">
        <f t="shared" si="5"/>
        <v/>
      </c>
      <c r="O290" s="5"/>
      <c r="P290" s="5"/>
      <c r="Q290" s="5"/>
      <c r="R290" s="5"/>
      <c r="S290" s="5"/>
      <c r="T290" s="5"/>
      <c r="U290" s="5"/>
      <c r="V290" s="5"/>
      <c r="W290" s="5"/>
    </row>
    <row r="291">
      <c r="A291" s="112" t="str">
        <f>IF(OR(ISBLANK(RAW_APS!A291),ISBLANK(RAW_APS!B291),ISBLANK(RAW_APS!C291)),TRUE,IFERROR(0/0,""))</f>
        <v/>
      </c>
      <c r="B291" s="252"/>
      <c r="C291" s="112" t="str">
        <f>IF(ISBLANK(B291),IFERROR(0/0,""),RAW_APS!A291)</f>
        <v/>
      </c>
      <c r="D291" s="112" t="str">
        <f>IF(ISBLANK(C291),IFERROR(0/0,""), VLOOKUP(C291,preDEL!A$2:AG786,33,FALSE))</f>
        <v/>
      </c>
      <c r="E291" s="252"/>
      <c r="F291" s="210"/>
      <c r="G291" s="252"/>
      <c r="H291" s="255" t="str">
        <f t="shared" si="1"/>
        <v/>
      </c>
      <c r="I291" s="256" t="str">
        <f>CONCATENATE(UPPER(RAW_APS!$A292),"__",RAW_APS!$B292,"_",RAW_APS!$C292)</f>
        <v>MA300__44615_0.295358796296296</v>
      </c>
      <c r="J291" s="257" t="str">
        <f t="shared" si="2"/>
        <v/>
      </c>
      <c r="K291" s="252" t="s">
        <v>1013</v>
      </c>
      <c r="L291" s="258" t="str">
        <f t="shared" si="3"/>
        <v>MA1043</v>
      </c>
      <c r="M291" s="259" t="b">
        <f t="shared" si="4"/>
        <v>1</v>
      </c>
      <c r="N291" s="258" t="str">
        <f t="shared" si="5"/>
        <v>MA1043</v>
      </c>
      <c r="O291" s="5"/>
      <c r="P291" s="5"/>
      <c r="Q291" s="5"/>
      <c r="R291" s="5"/>
      <c r="S291" s="5"/>
      <c r="T291" s="5"/>
      <c r="U291" s="5"/>
      <c r="V291" s="5"/>
      <c r="W291" s="5"/>
    </row>
    <row r="292">
      <c r="A292" s="112" t="str">
        <f>IF(OR(ISBLANK(RAW_APS!A292),ISBLANK(RAW_APS!B292),ISBLANK(RAW_APS!C292)),TRUE,IFERROR(0/0,""))</f>
        <v/>
      </c>
      <c r="B292" s="252"/>
      <c r="C292" s="112" t="str">
        <f>IF(ISBLANK(B292),IFERROR(0/0,""),RAW_APS!A292)</f>
        <v/>
      </c>
      <c r="D292" s="112" t="str">
        <f>IF(ISBLANK(C292),IFERROR(0/0,""), VLOOKUP(C292,preDEL!A$2:AG786,33,FALSE))</f>
        <v/>
      </c>
      <c r="E292" s="252"/>
      <c r="F292" s="210"/>
      <c r="G292" s="252"/>
      <c r="H292" s="255" t="str">
        <f t="shared" si="1"/>
        <v/>
      </c>
      <c r="I292" s="256" t="str">
        <f>CONCATENATE(UPPER(RAW_APS!$A293),"__",RAW_APS!$B293,"_",RAW_APS!$C293)</f>
        <v>FM81__44615_0.29224537037037</v>
      </c>
      <c r="J292" s="257" t="str">
        <f t="shared" si="2"/>
        <v/>
      </c>
      <c r="K292" s="252" t="s">
        <v>2535</v>
      </c>
      <c r="L292" s="258" t="str">
        <f t="shared" si="3"/>
        <v>MA1043</v>
      </c>
      <c r="M292" s="259" t="b">
        <f t="shared" si="4"/>
        <v>0</v>
      </c>
      <c r="N292" s="258" t="str">
        <f t="shared" si="5"/>
        <v/>
      </c>
      <c r="O292" s="5"/>
      <c r="P292" s="5"/>
      <c r="Q292" s="5"/>
      <c r="R292" s="5"/>
      <c r="S292" s="5"/>
      <c r="T292" s="5"/>
      <c r="U292" s="5"/>
      <c r="V292" s="5"/>
      <c r="W292" s="5"/>
    </row>
    <row r="293">
      <c r="A293" s="112" t="str">
        <f>IF(OR(ISBLANK(RAW_APS!A293),ISBLANK(RAW_APS!B293),ISBLANK(RAW_APS!C293)),TRUE,IFERROR(0/0,""))</f>
        <v/>
      </c>
      <c r="B293" s="252"/>
      <c r="C293" s="112" t="str">
        <f>IF(ISBLANK(B293),IFERROR(0/0,""),RAW_APS!A293)</f>
        <v/>
      </c>
      <c r="D293" s="112" t="str">
        <f>IF(ISBLANK(C293),IFERROR(0/0,""), VLOOKUP(C293,preDEL!A$2:AG786,33,FALSE))</f>
        <v/>
      </c>
      <c r="E293" s="252"/>
      <c r="F293" s="210"/>
      <c r="G293" s="252"/>
      <c r="H293" s="255" t="str">
        <f t="shared" si="1"/>
        <v/>
      </c>
      <c r="I293" s="256" t="str">
        <f>CONCATENATE(UPPER(RAW_APS!$A294),"__",RAW_APS!$B294,"_",RAW_APS!$C294)</f>
        <v>MAX24__44615_0.263252314814815</v>
      </c>
      <c r="J293" s="257" t="str">
        <f t="shared" si="2"/>
        <v/>
      </c>
      <c r="K293" s="252" t="s">
        <v>1017</v>
      </c>
      <c r="L293" s="258" t="str">
        <f t="shared" si="3"/>
        <v>MA1044</v>
      </c>
      <c r="M293" s="259" t="b">
        <f t="shared" si="4"/>
        <v>0</v>
      </c>
      <c r="N293" s="258" t="str">
        <f t="shared" si="5"/>
        <v/>
      </c>
      <c r="O293" s="5"/>
      <c r="P293" s="5"/>
      <c r="Q293" s="5"/>
      <c r="R293" s="5"/>
      <c r="S293" s="5"/>
      <c r="T293" s="5"/>
      <c r="U293" s="5"/>
      <c r="V293" s="5"/>
      <c r="W293" s="5"/>
    </row>
    <row r="294">
      <c r="A294" s="112" t="str">
        <f>IF(OR(ISBLANK(RAW_APS!A294),ISBLANK(RAW_APS!B294),ISBLANK(RAW_APS!C294)),TRUE,IFERROR(0/0,""))</f>
        <v/>
      </c>
      <c r="B294" s="252"/>
      <c r="C294" s="112" t="str">
        <f>IF(ISBLANK(B294),IFERROR(0/0,""),RAW_APS!A294)</f>
        <v/>
      </c>
      <c r="D294" s="112" t="str">
        <f>IF(ISBLANK(C294),IFERROR(0/0,""), VLOOKUP(C294,preDEL!A$2:AG786,33,FALSE))</f>
        <v/>
      </c>
      <c r="E294" s="252"/>
      <c r="F294" s="210"/>
      <c r="G294" s="252"/>
      <c r="H294" s="255" t="str">
        <f t="shared" si="1"/>
        <v/>
      </c>
      <c r="I294" s="256" t="str">
        <f>CONCATENATE(UPPER(RAW_APS!$A295),"__",RAW_APS!$B295,"_",RAW_APS!$C295)</f>
        <v>MA1045__44614_0.356689814814815</v>
      </c>
      <c r="J294" s="257" t="str">
        <f t="shared" si="2"/>
        <v/>
      </c>
      <c r="K294" s="252" t="s">
        <v>1019</v>
      </c>
      <c r="L294" s="258" t="str">
        <f t="shared" si="3"/>
        <v>MA1045</v>
      </c>
      <c r="M294" s="259" t="b">
        <f t="shared" si="4"/>
        <v>0</v>
      </c>
      <c r="N294" s="258" t="str">
        <f t="shared" si="5"/>
        <v/>
      </c>
      <c r="O294" s="5"/>
      <c r="P294" s="5"/>
      <c r="Q294" s="5"/>
      <c r="R294" s="5"/>
      <c r="S294" s="5"/>
      <c r="T294" s="5"/>
      <c r="U294" s="5"/>
      <c r="V294" s="5"/>
      <c r="W294" s="5"/>
    </row>
    <row r="295">
      <c r="A295" s="112" t="str">
        <f>IF(OR(ISBLANK(RAW_APS!A295),ISBLANK(RAW_APS!B295),ISBLANK(RAW_APS!C295)),TRUE,IFERROR(0/0,""))</f>
        <v/>
      </c>
      <c r="B295" s="252"/>
      <c r="C295" s="112" t="str">
        <f>IF(ISBLANK(B295),IFERROR(0/0,""),RAW_APS!A295)</f>
        <v/>
      </c>
      <c r="D295" s="112" t="str">
        <f>IF(ISBLANK(C295),IFERROR(0/0,""), VLOOKUP(C295,preDEL!A$2:AG786,33,FALSE))</f>
        <v/>
      </c>
      <c r="E295" s="252"/>
      <c r="F295" s="210"/>
      <c r="G295" s="252"/>
      <c r="H295" s="255" t="str">
        <f t="shared" si="1"/>
        <v/>
      </c>
      <c r="I295" s="256" t="str">
        <f>CONCATENATE(UPPER(RAW_APS!$A296),"__",RAW_APS!$B296,"_",RAW_APS!$C296)</f>
        <v>FM70__44613_0.356689814814815</v>
      </c>
      <c r="J295" s="257" t="str">
        <f t="shared" si="2"/>
        <v/>
      </c>
      <c r="K295" s="252" t="s">
        <v>1022</v>
      </c>
      <c r="L295" s="258" t="str">
        <f t="shared" si="3"/>
        <v>MA1047</v>
      </c>
      <c r="M295" s="259" t="b">
        <f t="shared" si="4"/>
        <v>0</v>
      </c>
      <c r="N295" s="258" t="str">
        <f t="shared" si="5"/>
        <v/>
      </c>
      <c r="O295" s="5"/>
      <c r="P295" s="5"/>
      <c r="Q295" s="5"/>
      <c r="R295" s="5"/>
      <c r="S295" s="5"/>
      <c r="T295" s="5"/>
      <c r="U295" s="5"/>
      <c r="V295" s="5"/>
      <c r="W295" s="5"/>
    </row>
    <row r="296">
      <c r="A296" s="112" t="str">
        <f>IF(OR(ISBLANK(RAW_APS!A296),ISBLANK(RAW_APS!B296),ISBLANK(RAW_APS!C296)),TRUE,IFERROR(0/0,""))</f>
        <v/>
      </c>
      <c r="B296" s="252"/>
      <c r="C296" s="112" t="str">
        <f>IF(ISBLANK(B296),IFERROR(0/0,""),RAW_APS!A296)</f>
        <v/>
      </c>
      <c r="D296" s="112" t="str">
        <f>IF(ISBLANK(C296),IFERROR(0/0,""), VLOOKUP(C296,preDEL!A$2:AG786,33,FALSE))</f>
        <v/>
      </c>
      <c r="E296" s="252"/>
      <c r="F296" s="210"/>
      <c r="G296" s="252"/>
      <c r="H296" s="255" t="str">
        <f t="shared" si="1"/>
        <v/>
      </c>
      <c r="I296" s="256" t="str">
        <f>CONCATENATE(UPPER(RAW_APS!$A297),"__",RAW_APS!$B297,"_",RAW_APS!$C297)</f>
        <v>FM461__44613_0.342106481481482</v>
      </c>
      <c r="J296" s="257" t="str">
        <f t="shared" si="2"/>
        <v/>
      </c>
      <c r="K296" s="252" t="s">
        <v>1024</v>
      </c>
      <c r="L296" s="258" t="str">
        <f t="shared" si="3"/>
        <v>MA1048</v>
      </c>
      <c r="M296" s="259" t="b">
        <f t="shared" si="4"/>
        <v>0</v>
      </c>
      <c r="N296" s="258" t="str">
        <f t="shared" si="5"/>
        <v/>
      </c>
      <c r="O296" s="5"/>
      <c r="P296" s="5"/>
      <c r="Q296" s="5"/>
      <c r="R296" s="5"/>
      <c r="S296" s="5"/>
      <c r="T296" s="5"/>
      <c r="U296" s="5"/>
      <c r="V296" s="5"/>
      <c r="W296" s="5"/>
    </row>
    <row r="297">
      <c r="A297" s="112" t="str">
        <f>IF(OR(ISBLANK(RAW_APS!A297),ISBLANK(RAW_APS!B297),ISBLANK(RAW_APS!C297)),TRUE,IFERROR(0/0,""))</f>
        <v/>
      </c>
      <c r="B297" s="252"/>
      <c r="C297" s="112" t="str">
        <f>IF(ISBLANK(B297),IFERROR(0/0,""),RAW_APS!A297)</f>
        <v/>
      </c>
      <c r="D297" s="112" t="str">
        <f>IF(ISBLANK(C297),IFERROR(0/0,""), VLOOKUP(C297,preDEL!A$2:AG786,33,FALSE))</f>
        <v/>
      </c>
      <c r="E297" s="252"/>
      <c r="F297" s="210"/>
      <c r="G297" s="252"/>
      <c r="H297" s="255" t="str">
        <f t="shared" si="1"/>
        <v/>
      </c>
      <c r="I297" s="256" t="str">
        <f>CONCATENATE(UPPER(RAW_APS!$A298),"__",RAW_APS!$B298,"_",RAW_APS!$C298)</f>
        <v>MA1044__44613_0.328946759259259</v>
      </c>
      <c r="J297" s="257" t="str">
        <f t="shared" si="2"/>
        <v/>
      </c>
      <c r="K297" s="252" t="s">
        <v>1026</v>
      </c>
      <c r="L297" s="258" t="str">
        <f t="shared" si="3"/>
        <v>MA1049</v>
      </c>
      <c r="M297" s="259" t="b">
        <f t="shared" si="4"/>
        <v>0</v>
      </c>
      <c r="N297" s="258" t="str">
        <f t="shared" si="5"/>
        <v/>
      </c>
      <c r="O297" s="5"/>
      <c r="P297" s="5"/>
      <c r="Q297" s="5"/>
      <c r="R297" s="5"/>
      <c r="S297" s="5"/>
      <c r="T297" s="5"/>
      <c r="U297" s="5"/>
      <c r="V297" s="5"/>
      <c r="W297" s="5"/>
    </row>
    <row r="298">
      <c r="A298" s="112" t="str">
        <f>IF(OR(ISBLANK(RAW_APS!A298),ISBLANK(RAW_APS!B298),ISBLANK(RAW_APS!C298)),TRUE,IFERROR(0/0,""))</f>
        <v/>
      </c>
      <c r="B298" s="252"/>
      <c r="C298" s="112" t="str">
        <f>IF(ISBLANK(B298),IFERROR(0/0,""),RAW_APS!A298)</f>
        <v/>
      </c>
      <c r="D298" s="112" t="str">
        <f>IF(ISBLANK(C298),IFERROR(0/0,""), VLOOKUP(C298,preDEL!A$2:AG786,33,FALSE))</f>
        <v/>
      </c>
      <c r="E298" s="252"/>
      <c r="F298" s="210"/>
      <c r="G298" s="252"/>
      <c r="H298" s="255" t="str">
        <f t="shared" si="1"/>
        <v/>
      </c>
      <c r="I298" s="256" t="str">
        <f>CONCATENATE(UPPER(RAW_APS!$A299),"__",RAW_APS!$B299,"_",RAW_APS!$C299)</f>
        <v>FM509__44613_0.3271875</v>
      </c>
      <c r="J298" s="257" t="str">
        <f t="shared" si="2"/>
        <v/>
      </c>
      <c r="K298" s="252" t="s">
        <v>1028</v>
      </c>
      <c r="L298" s="258" t="str">
        <f t="shared" si="3"/>
        <v>MA1050</v>
      </c>
      <c r="M298" s="259" t="b">
        <f t="shared" si="4"/>
        <v>0</v>
      </c>
      <c r="N298" s="258" t="str">
        <f t="shared" si="5"/>
        <v/>
      </c>
      <c r="O298" s="5"/>
      <c r="P298" s="5"/>
      <c r="Q298" s="5"/>
      <c r="R298" s="5"/>
      <c r="S298" s="5"/>
      <c r="T298" s="5"/>
      <c r="U298" s="5"/>
      <c r="V298" s="5"/>
      <c r="W298" s="5"/>
    </row>
    <row r="299">
      <c r="A299" s="112" t="str">
        <f>IF(OR(ISBLANK(RAW_APS!A299),ISBLANK(RAW_APS!B299),ISBLANK(RAW_APS!C299)),TRUE,IFERROR(0/0,""))</f>
        <v/>
      </c>
      <c r="B299" s="252"/>
      <c r="C299" s="112" t="str">
        <f>IF(ISBLANK(B299),IFERROR(0/0,""),RAW_APS!A299)</f>
        <v/>
      </c>
      <c r="D299" s="112" t="str">
        <f>IF(ISBLANK(C299),IFERROR(0/0,""), VLOOKUP(C299,preDEL!A$2:AG786,33,FALSE))</f>
        <v/>
      </c>
      <c r="E299" s="252"/>
      <c r="F299" s="210"/>
      <c r="G299" s="252"/>
      <c r="H299" s="255" t="str">
        <f t="shared" si="1"/>
        <v/>
      </c>
      <c r="I299" s="256" t="str">
        <f>CONCATENATE(UPPER(RAW_APS!$A300),"__",RAW_APS!$B300,"_",RAW_APS!$C300)</f>
        <v>FM1010__44613_0.324409722222222</v>
      </c>
      <c r="J299" s="257" t="str">
        <f t="shared" si="2"/>
        <v/>
      </c>
      <c r="K299" s="252" t="s">
        <v>1030</v>
      </c>
      <c r="L299" s="258" t="str">
        <f t="shared" si="3"/>
        <v>MA1051</v>
      </c>
      <c r="M299" s="259" t="b">
        <f t="shared" si="4"/>
        <v>0</v>
      </c>
      <c r="N299" s="258" t="str">
        <f t="shared" si="5"/>
        <v/>
      </c>
      <c r="O299" s="5"/>
      <c r="P299" s="5"/>
      <c r="Q299" s="5"/>
      <c r="R299" s="5"/>
      <c r="S299" s="5"/>
      <c r="T299" s="5"/>
      <c r="U299" s="5"/>
      <c r="V299" s="5"/>
      <c r="W299" s="5"/>
    </row>
    <row r="300">
      <c r="A300" s="112" t="str">
        <f>IF(OR(ISBLANK(RAW_APS!A300),ISBLANK(RAW_APS!B300),ISBLANK(RAW_APS!C300)),TRUE,IFERROR(0/0,""))</f>
        <v/>
      </c>
      <c r="B300" s="252"/>
      <c r="C300" s="112" t="str">
        <f>IF(ISBLANK(B300),IFERROR(0/0,""),RAW_APS!A300)</f>
        <v/>
      </c>
      <c r="D300" s="112" t="str">
        <f>IF(ISBLANK(C300),IFERROR(0/0,""), VLOOKUP(C300,preDEL!A$2:AG786,33,FALSE))</f>
        <v/>
      </c>
      <c r="E300" s="252"/>
      <c r="F300" s="210"/>
      <c r="G300" s="252"/>
      <c r="H300" s="255" t="str">
        <f t="shared" si="1"/>
        <v/>
      </c>
      <c r="I300" s="256" t="str">
        <f>CONCATENATE(UPPER(RAW_APS!$A301),"__",RAW_APS!$B301,"_",RAW_APS!$C301)</f>
        <v>MAX100__44613_0.322268518518519</v>
      </c>
      <c r="J300" s="257" t="str">
        <f t="shared" si="2"/>
        <v/>
      </c>
      <c r="K300" s="252" t="s">
        <v>1032</v>
      </c>
      <c r="L300" s="258" t="str">
        <f t="shared" si="3"/>
        <v>MA1052</v>
      </c>
      <c r="M300" s="259" t="b">
        <f t="shared" si="4"/>
        <v>0</v>
      </c>
      <c r="N300" s="258" t="str">
        <f t="shared" si="5"/>
        <v/>
      </c>
      <c r="O300" s="5"/>
      <c r="P300" s="5"/>
      <c r="Q300" s="5"/>
      <c r="R300" s="5"/>
      <c r="S300" s="5"/>
      <c r="T300" s="5"/>
      <c r="U300" s="5"/>
      <c r="V300" s="5"/>
      <c r="W300" s="5"/>
    </row>
    <row r="301">
      <c r="A301" s="112" t="str">
        <f>IF(OR(ISBLANK(RAW_APS!A301),ISBLANK(RAW_APS!B301),ISBLANK(RAW_APS!C301)),TRUE,IFERROR(0/0,""))</f>
        <v/>
      </c>
      <c r="B301" s="252"/>
      <c r="C301" s="112" t="str">
        <f>IF(ISBLANK(B301),IFERROR(0/0,""),RAW_APS!A301)</f>
        <v/>
      </c>
      <c r="D301" s="112" t="str">
        <f>IF(ISBLANK(C301),IFERROR(0/0,""), VLOOKUP(C301,preDEL!A$2:AG786,33,FALSE))</f>
        <v/>
      </c>
      <c r="E301" s="252"/>
      <c r="F301" s="210"/>
      <c r="G301" s="252"/>
      <c r="H301" s="255" t="str">
        <f t="shared" si="1"/>
        <v/>
      </c>
      <c r="I301" s="256" t="str">
        <f>CONCATENATE(UPPER(RAW_APS!$A302),"__",RAW_APS!$B302,"_",RAW_APS!$C302)</f>
        <v>MA227__44613_0.322164351851852</v>
      </c>
      <c r="J301" s="257" t="str">
        <f t="shared" si="2"/>
        <v/>
      </c>
      <c r="K301" s="252" t="s">
        <v>1034</v>
      </c>
      <c r="L301" s="258" t="str">
        <f t="shared" si="3"/>
        <v>MA1053</v>
      </c>
      <c r="M301" s="259" t="b">
        <f t="shared" si="4"/>
        <v>0</v>
      </c>
      <c r="N301" s="258" t="str">
        <f t="shared" si="5"/>
        <v/>
      </c>
      <c r="O301" s="5"/>
      <c r="P301" s="5"/>
      <c r="Q301" s="5"/>
      <c r="R301" s="5"/>
      <c r="S301" s="5"/>
      <c r="T301" s="5"/>
      <c r="U301" s="5"/>
      <c r="V301" s="5"/>
      <c r="W301" s="5"/>
    </row>
    <row r="302">
      <c r="A302" s="112" t="str">
        <f>IF(OR(ISBLANK(RAW_APS!A302),ISBLANK(RAW_APS!B302),ISBLANK(RAW_APS!C302)),TRUE,IFERROR(0/0,""))</f>
        <v/>
      </c>
      <c r="B302" s="252"/>
      <c r="C302" s="112" t="str">
        <f>IF(ISBLANK(B302),IFERROR(0/0,""),RAW_APS!A302)</f>
        <v/>
      </c>
      <c r="D302" s="112" t="str">
        <f>IF(ISBLANK(C302),IFERROR(0/0,""), VLOOKUP(C302,preDEL!A$2:AG786,33,FALSE))</f>
        <v/>
      </c>
      <c r="E302" s="252"/>
      <c r="F302" s="210"/>
      <c r="G302" s="252"/>
      <c r="H302" s="255" t="str">
        <f t="shared" si="1"/>
        <v/>
      </c>
      <c r="I302" s="256" t="str">
        <f>CONCATENATE(UPPER(RAW_APS!$A303),"__",RAW_APS!$B303,"_",RAW_APS!$C303)</f>
        <v>FM823__44613_0.321203703703704</v>
      </c>
      <c r="J302" s="257" t="str">
        <f t="shared" si="2"/>
        <v/>
      </c>
      <c r="K302" s="252" t="s">
        <v>1036</v>
      </c>
      <c r="L302" s="258" t="str">
        <f t="shared" si="3"/>
        <v>MA1054</v>
      </c>
      <c r="M302" s="259" t="b">
        <f t="shared" si="4"/>
        <v>0</v>
      </c>
      <c r="N302" s="258" t="str">
        <f t="shared" si="5"/>
        <v/>
      </c>
      <c r="O302" s="5"/>
      <c r="P302" s="5"/>
      <c r="Q302" s="5"/>
      <c r="R302" s="5"/>
      <c r="S302" s="5"/>
      <c r="T302" s="5"/>
      <c r="U302" s="5"/>
      <c r="V302" s="5"/>
      <c r="W302" s="5"/>
    </row>
    <row r="303">
      <c r="A303" s="112" t="str">
        <f>IF(OR(ISBLANK(RAW_APS!A303),ISBLANK(RAW_APS!B303),ISBLANK(RAW_APS!C303)),TRUE,IFERROR(0/0,""))</f>
        <v/>
      </c>
      <c r="B303" s="252"/>
      <c r="C303" s="112" t="str">
        <f>IF(ISBLANK(B303),IFERROR(0/0,""),RAW_APS!A303)</f>
        <v/>
      </c>
      <c r="D303" s="112" t="str">
        <f>IF(ISBLANK(C303),IFERROR(0/0,""), VLOOKUP(C303,preDEL!A$2:AG786,33,FALSE))</f>
        <v/>
      </c>
      <c r="E303" s="252"/>
      <c r="F303" s="210"/>
      <c r="G303" s="252"/>
      <c r="H303" s="255" t="str">
        <f t="shared" si="1"/>
        <v/>
      </c>
      <c r="I303" s="256" t="str">
        <f>CONCATENATE(UPPER(RAW_APS!$A304),"__",RAW_APS!$B304,"_",RAW_APS!$C304)</f>
        <v>FM1020__44613_0.321018518518519</v>
      </c>
      <c r="J303" s="257" t="str">
        <f t="shared" si="2"/>
        <v/>
      </c>
      <c r="K303" s="252" t="s">
        <v>1038</v>
      </c>
      <c r="L303" s="258" t="str">
        <f t="shared" si="3"/>
        <v>MA1055</v>
      </c>
      <c r="M303" s="259" t="b">
        <f t="shared" si="4"/>
        <v>0</v>
      </c>
      <c r="N303" s="258" t="str">
        <f t="shared" si="5"/>
        <v/>
      </c>
      <c r="O303" s="5"/>
      <c r="P303" s="5"/>
      <c r="Q303" s="5"/>
      <c r="R303" s="5"/>
      <c r="S303" s="5"/>
      <c r="T303" s="5"/>
      <c r="U303" s="5"/>
      <c r="V303" s="5"/>
      <c r="W303" s="5"/>
    </row>
    <row r="304">
      <c r="A304" s="112" t="str">
        <f>IF(OR(ISBLANK(RAW_APS!A304),ISBLANK(RAW_APS!B304),ISBLANK(RAW_APS!C304)),TRUE,IFERROR(0/0,""))</f>
        <v/>
      </c>
      <c r="B304" s="252"/>
      <c r="C304" s="112" t="str">
        <f>IF(ISBLANK(B304),IFERROR(0/0,""),RAW_APS!A304)</f>
        <v/>
      </c>
      <c r="D304" s="112" t="str">
        <f>IF(ISBLANK(C304),IFERROR(0/0,""), VLOOKUP(C304,preDEL!A$2:AG786,33,FALSE))</f>
        <v/>
      </c>
      <c r="E304" s="252"/>
      <c r="F304" s="210"/>
      <c r="G304" s="252"/>
      <c r="H304" s="255" t="str">
        <f t="shared" si="1"/>
        <v/>
      </c>
      <c r="I304" s="256" t="str">
        <f>CONCATENATE(UPPER(RAW_APS!$A305),"__",RAW_APS!$B305,"_",RAW_APS!$C305)</f>
        <v>MA202__44613_0.320694444444444</v>
      </c>
      <c r="J304" s="257" t="str">
        <f t="shared" si="2"/>
        <v/>
      </c>
      <c r="K304" s="252" t="s">
        <v>1041</v>
      </c>
      <c r="L304" s="258" t="str">
        <f t="shared" si="3"/>
        <v>MA1056</v>
      </c>
      <c r="M304" s="259" t="b">
        <f t="shared" si="4"/>
        <v>0</v>
      </c>
      <c r="N304" s="258" t="str">
        <f t="shared" si="5"/>
        <v/>
      </c>
      <c r="O304" s="5"/>
      <c r="P304" s="5"/>
      <c r="Q304" s="5"/>
      <c r="R304" s="5"/>
      <c r="S304" s="5"/>
      <c r="T304" s="5"/>
      <c r="U304" s="5"/>
      <c r="V304" s="5"/>
      <c r="W304" s="5"/>
    </row>
    <row r="305">
      <c r="A305" s="112" t="str">
        <f>IF(OR(ISBLANK(RAW_APS!A305),ISBLANK(RAW_APS!B305),ISBLANK(RAW_APS!C305)),TRUE,IFERROR(0/0,""))</f>
        <v/>
      </c>
      <c r="B305" s="252"/>
      <c r="C305" s="112" t="str">
        <f>IF(ISBLANK(B305),IFERROR(0/0,""),RAW_APS!A305)</f>
        <v/>
      </c>
      <c r="D305" s="112" t="str">
        <f>IF(ISBLANK(C305),IFERROR(0/0,""), VLOOKUP(C305,preDEL!A$2:AG786,33,FALSE))</f>
        <v/>
      </c>
      <c r="E305" s="252"/>
      <c r="F305" s="210"/>
      <c r="G305" s="252"/>
      <c r="H305" s="255" t="str">
        <f t="shared" si="1"/>
        <v/>
      </c>
      <c r="I305" s="256" t="str">
        <f>CONCATENATE(UPPER(RAW_APS!$A306),"__",RAW_APS!$B306,"_",RAW_APS!$C306)</f>
        <v>MA1271__44613_0.319861111111111</v>
      </c>
      <c r="J305" s="257" t="str">
        <f t="shared" si="2"/>
        <v/>
      </c>
      <c r="K305" s="252" t="s">
        <v>1045</v>
      </c>
      <c r="L305" s="258" t="str">
        <f t="shared" si="3"/>
        <v>MA1058</v>
      </c>
      <c r="M305" s="259" t="b">
        <f t="shared" si="4"/>
        <v>0</v>
      </c>
      <c r="N305" s="258" t="str">
        <f t="shared" si="5"/>
        <v/>
      </c>
      <c r="O305" s="5"/>
      <c r="P305" s="5"/>
      <c r="Q305" s="5"/>
      <c r="R305" s="5"/>
      <c r="S305" s="5"/>
      <c r="T305" s="5"/>
      <c r="U305" s="5"/>
      <c r="V305" s="5"/>
      <c r="W305" s="5"/>
    </row>
    <row r="306">
      <c r="A306" s="112" t="str">
        <f>IF(OR(ISBLANK(RAW_APS!A306),ISBLANK(RAW_APS!B306),ISBLANK(RAW_APS!C306)),TRUE,IFERROR(0/0,""))</f>
        <v/>
      </c>
      <c r="B306" s="252"/>
      <c r="C306" s="112" t="str">
        <f>IF(ISBLANK(B306),IFERROR(0/0,""),RAW_APS!A306)</f>
        <v/>
      </c>
      <c r="D306" s="112" t="str">
        <f>IF(ISBLANK(C306),IFERROR(0/0,""), VLOOKUP(C306,preDEL!A$2:AG786,33,FALSE))</f>
        <v/>
      </c>
      <c r="E306" s="252"/>
      <c r="F306" s="210"/>
      <c r="G306" s="252"/>
      <c r="H306" s="255" t="str">
        <f t="shared" si="1"/>
        <v/>
      </c>
      <c r="I306" s="256" t="str">
        <f>CONCATENATE(UPPER(RAW_APS!$A307),"__",RAW_APS!$B307,"_",RAW_APS!$C307)</f>
        <v>MA210__44613_0.319363425925926</v>
      </c>
      <c r="J306" s="257" t="str">
        <f t="shared" si="2"/>
        <v/>
      </c>
      <c r="K306" s="252" t="s">
        <v>1047</v>
      </c>
      <c r="L306" s="258" t="str">
        <f t="shared" si="3"/>
        <v>MA1061</v>
      </c>
      <c r="M306" s="259" t="b">
        <f t="shared" si="4"/>
        <v>0</v>
      </c>
      <c r="N306" s="258" t="str">
        <f t="shared" si="5"/>
        <v/>
      </c>
      <c r="O306" s="5"/>
      <c r="P306" s="5"/>
      <c r="Q306" s="5"/>
      <c r="R306" s="5"/>
      <c r="S306" s="5"/>
      <c r="T306" s="5"/>
      <c r="U306" s="5"/>
      <c r="V306" s="5"/>
      <c r="W306" s="5"/>
    </row>
    <row r="307">
      <c r="A307" s="112" t="str">
        <f>IF(OR(ISBLANK(RAW_APS!A307),ISBLANK(RAW_APS!B307),ISBLANK(RAW_APS!C307)),TRUE,IFERROR(0/0,""))</f>
        <v/>
      </c>
      <c r="B307" s="252"/>
      <c r="C307" s="112" t="str">
        <f>IF(ISBLANK(B307),IFERROR(0/0,""),RAW_APS!A307)</f>
        <v/>
      </c>
      <c r="D307" s="112" t="str">
        <f>IF(ISBLANK(C307),IFERROR(0/0,""), VLOOKUP(C307,preDEL!A$2:AG786,33,FALSE))</f>
        <v/>
      </c>
      <c r="E307" s="252"/>
      <c r="F307" s="210"/>
      <c r="G307" s="252"/>
      <c r="H307" s="255" t="str">
        <f t="shared" si="1"/>
        <v/>
      </c>
      <c r="I307" s="256" t="str">
        <f>CONCATENATE(UPPER(RAW_APS!$A308),"__",RAW_APS!$B308,"_",RAW_APS!$C308)</f>
        <v>MA1295__44613_0.317465277777778</v>
      </c>
      <c r="J307" s="257" t="str">
        <f t="shared" si="2"/>
        <v/>
      </c>
      <c r="K307" s="252" t="s">
        <v>1050</v>
      </c>
      <c r="L307" s="258" t="str">
        <f t="shared" si="3"/>
        <v>MA1062</v>
      </c>
      <c r="M307" s="259" t="b">
        <f t="shared" si="4"/>
        <v>0</v>
      </c>
      <c r="N307" s="258" t="str">
        <f t="shared" si="5"/>
        <v/>
      </c>
      <c r="O307" s="5"/>
      <c r="P307" s="5"/>
      <c r="Q307" s="5"/>
      <c r="R307" s="5"/>
      <c r="S307" s="5"/>
      <c r="T307" s="5"/>
      <c r="U307" s="5"/>
      <c r="V307" s="5"/>
      <c r="W307" s="5"/>
    </row>
    <row r="308">
      <c r="A308" s="112" t="str">
        <f>IF(OR(ISBLANK(RAW_APS!A308),ISBLANK(RAW_APS!B308),ISBLANK(RAW_APS!C308)),TRUE,IFERROR(0/0,""))</f>
        <v/>
      </c>
      <c r="B308" s="252"/>
      <c r="C308" s="112" t="str">
        <f>IF(ISBLANK(B308),IFERROR(0/0,""),RAW_APS!A308)</f>
        <v/>
      </c>
      <c r="D308" s="112" t="str">
        <f>IF(ISBLANK(C308),IFERROR(0/0,""), VLOOKUP(C308,preDEL!A$2:AG786,33,FALSE))</f>
        <v/>
      </c>
      <c r="E308" s="252"/>
      <c r="F308" s="210"/>
      <c r="G308" s="252"/>
      <c r="H308" s="255" t="str">
        <f t="shared" si="1"/>
        <v/>
      </c>
      <c r="I308" s="256" t="str">
        <f>CONCATENATE(UPPER(RAW_APS!$A309),"__",RAW_APS!$B309,"_",RAW_APS!$C309)</f>
        <v>MA1312__44613_0.316724537037037</v>
      </c>
      <c r="J308" s="257" t="str">
        <f t="shared" si="2"/>
        <v/>
      </c>
      <c r="K308" s="252" t="s">
        <v>1052</v>
      </c>
      <c r="L308" s="258" t="str">
        <f t="shared" si="3"/>
        <v>MA1063</v>
      </c>
      <c r="M308" s="259" t="b">
        <f t="shared" si="4"/>
        <v>0</v>
      </c>
      <c r="N308" s="258" t="str">
        <f t="shared" si="5"/>
        <v/>
      </c>
      <c r="O308" s="5"/>
      <c r="P308" s="5"/>
      <c r="Q308" s="5"/>
      <c r="R308" s="5"/>
      <c r="S308" s="5"/>
      <c r="T308" s="5"/>
      <c r="U308" s="5"/>
      <c r="V308" s="5"/>
      <c r="W308" s="5"/>
    </row>
    <row r="309">
      <c r="A309" s="112" t="str">
        <f>IF(OR(ISBLANK(RAW_APS!A309),ISBLANK(RAW_APS!B309),ISBLANK(RAW_APS!C309)),TRUE,IFERROR(0/0,""))</f>
        <v/>
      </c>
      <c r="B309" s="252"/>
      <c r="C309" s="112" t="str">
        <f>IF(ISBLANK(B309),IFERROR(0/0,""),RAW_APS!A309)</f>
        <v/>
      </c>
      <c r="D309" s="112" t="str">
        <f>IF(ISBLANK(C309),IFERROR(0/0,""), VLOOKUP(C309,preDEL!A$2:AG786,33,FALSE))</f>
        <v/>
      </c>
      <c r="E309" s="252"/>
      <c r="F309" s="210"/>
      <c r="G309" s="252"/>
      <c r="H309" s="255" t="str">
        <f t="shared" si="1"/>
        <v/>
      </c>
      <c r="I309" s="256" t="str">
        <f>CONCATENATE(UPPER(RAW_APS!$A310),"__",RAW_APS!$B310,"_",RAW_APS!$C310)</f>
        <v>MA1096__44613_0.315972222222222</v>
      </c>
      <c r="J309" s="257" t="str">
        <f t="shared" si="2"/>
        <v/>
      </c>
      <c r="K309" s="252" t="s">
        <v>1054</v>
      </c>
      <c r="L309" s="258" t="str">
        <f t="shared" si="3"/>
        <v>MA1064</v>
      </c>
      <c r="M309" s="259" t="b">
        <f t="shared" si="4"/>
        <v>0</v>
      </c>
      <c r="N309" s="258" t="str">
        <f t="shared" si="5"/>
        <v/>
      </c>
      <c r="O309" s="5"/>
      <c r="P309" s="5"/>
      <c r="Q309" s="5"/>
      <c r="R309" s="5"/>
      <c r="S309" s="5"/>
      <c r="T309" s="5"/>
      <c r="U309" s="5"/>
      <c r="V309" s="5"/>
      <c r="W309" s="5"/>
    </row>
    <row r="310">
      <c r="A310" s="112" t="str">
        <f>IF(OR(ISBLANK(RAW_APS!A310),ISBLANK(RAW_APS!B310),ISBLANK(RAW_APS!C310)),TRUE,IFERROR(0/0,""))</f>
        <v/>
      </c>
      <c r="B310" s="252"/>
      <c r="C310" s="112" t="str">
        <f>IF(ISBLANK(B310),IFERROR(0/0,""),RAW_APS!A310)</f>
        <v/>
      </c>
      <c r="D310" s="112" t="str">
        <f>IF(ISBLANK(C310),IFERROR(0/0,""), VLOOKUP(C310,preDEL!A$2:AG786,33,FALSE))</f>
        <v/>
      </c>
      <c r="E310" s="252"/>
      <c r="F310" s="210"/>
      <c r="G310" s="252"/>
      <c r="H310" s="255" t="str">
        <f t="shared" si="1"/>
        <v/>
      </c>
      <c r="I310" s="256" t="str">
        <f>CONCATENATE(UPPER(RAW_APS!$A311),"__",RAW_APS!$B311,"_",RAW_APS!$C311)</f>
        <v>MA1072__44613_0.315011574074074</v>
      </c>
      <c r="J310" s="257" t="str">
        <f t="shared" si="2"/>
        <v/>
      </c>
      <c r="K310" s="252" t="s">
        <v>1056</v>
      </c>
      <c r="L310" s="258" t="str">
        <f t="shared" si="3"/>
        <v>MA1065</v>
      </c>
      <c r="M310" s="259" t="b">
        <f t="shared" si="4"/>
        <v>0</v>
      </c>
      <c r="N310" s="258" t="str">
        <f t="shared" si="5"/>
        <v/>
      </c>
      <c r="O310" s="5"/>
      <c r="P310" s="5"/>
      <c r="Q310" s="5"/>
      <c r="R310" s="5"/>
      <c r="S310" s="5"/>
      <c r="T310" s="5"/>
      <c r="U310" s="5"/>
      <c r="V310" s="5"/>
      <c r="W310" s="5"/>
    </row>
    <row r="311">
      <c r="A311" s="112" t="str">
        <f>IF(OR(ISBLANK(RAW_APS!A311),ISBLANK(RAW_APS!B311),ISBLANK(RAW_APS!C311)),TRUE,IFERROR(0/0,""))</f>
        <v/>
      </c>
      <c r="B311" s="252"/>
      <c r="C311" s="112" t="str">
        <f>IF(ISBLANK(B311),IFERROR(0/0,""),RAW_APS!A311)</f>
        <v/>
      </c>
      <c r="D311" s="112" t="str">
        <f>IF(ISBLANK(C311),IFERROR(0/0,""), VLOOKUP(C311,preDEL!A$2:AG786,33,FALSE))</f>
        <v/>
      </c>
      <c r="E311" s="252"/>
      <c r="F311" s="210"/>
      <c r="G311" s="252"/>
      <c r="H311" s="255" t="str">
        <f t="shared" si="1"/>
        <v/>
      </c>
      <c r="I311" s="256" t="str">
        <f>CONCATENATE(UPPER(RAW_APS!$A312),"__",RAW_APS!$B312,"_",RAW_APS!$C312)</f>
        <v>MA219__44613_0.314872685185185</v>
      </c>
      <c r="J311" s="257" t="str">
        <f t="shared" si="2"/>
        <v/>
      </c>
      <c r="K311" s="252" t="s">
        <v>1058</v>
      </c>
      <c r="L311" s="258" t="str">
        <f t="shared" si="3"/>
        <v>MA1066</v>
      </c>
      <c r="M311" s="259" t="b">
        <f t="shared" si="4"/>
        <v>0</v>
      </c>
      <c r="N311" s="258" t="str">
        <f t="shared" si="5"/>
        <v/>
      </c>
      <c r="O311" s="5"/>
      <c r="P311" s="5"/>
      <c r="Q311" s="5"/>
      <c r="R311" s="5"/>
      <c r="S311" s="5"/>
      <c r="T311" s="5"/>
      <c r="U311" s="5"/>
      <c r="V311" s="5"/>
      <c r="W311" s="5"/>
    </row>
    <row r="312">
      <c r="A312" s="112" t="str">
        <f>IF(OR(ISBLANK(RAW_APS!A312),ISBLANK(RAW_APS!B312),ISBLANK(RAW_APS!C312)),TRUE,IFERROR(0/0,""))</f>
        <v/>
      </c>
      <c r="B312" s="252"/>
      <c r="C312" s="112" t="str">
        <f>IF(ISBLANK(B312),IFERROR(0/0,""),RAW_APS!A312)</f>
        <v/>
      </c>
      <c r="D312" s="112" t="str">
        <f>IF(ISBLANK(C312),IFERROR(0/0,""), VLOOKUP(C312,preDEL!A$2:AG786,33,FALSE))</f>
        <v/>
      </c>
      <c r="E312" s="252"/>
      <c r="F312" s="210"/>
      <c r="G312" s="252"/>
      <c r="H312" s="255" t="str">
        <f t="shared" si="1"/>
        <v/>
      </c>
      <c r="I312" s="256" t="str">
        <f>CONCATENATE(UPPER(RAW_APS!$A313),"__",RAW_APS!$B313,"_",RAW_APS!$C313)</f>
        <v>MA1127__44613_0.308935185185185</v>
      </c>
      <c r="J312" s="257" t="str">
        <f t="shared" si="2"/>
        <v/>
      </c>
      <c r="K312" s="252" t="s">
        <v>1060</v>
      </c>
      <c r="L312" s="258" t="str">
        <f t="shared" si="3"/>
        <v>MA1067</v>
      </c>
      <c r="M312" s="259" t="b">
        <f t="shared" si="4"/>
        <v>0</v>
      </c>
      <c r="N312" s="258" t="str">
        <f t="shared" si="5"/>
        <v/>
      </c>
      <c r="O312" s="5"/>
      <c r="P312" s="5"/>
      <c r="Q312" s="5"/>
      <c r="R312" s="5"/>
      <c r="S312" s="5"/>
      <c r="T312" s="5"/>
      <c r="U312" s="5"/>
      <c r="V312" s="5"/>
      <c r="W312" s="5"/>
    </row>
    <row r="313">
      <c r="A313" s="112" t="str">
        <f>IF(OR(ISBLANK(RAW_APS!A313),ISBLANK(RAW_APS!B313),ISBLANK(RAW_APS!C313)),TRUE,IFERROR(0/0,""))</f>
        <v/>
      </c>
      <c r="B313" s="252"/>
      <c r="C313" s="112" t="str">
        <f>IF(ISBLANK(B313),IFERROR(0/0,""),RAW_APS!A313)</f>
        <v/>
      </c>
      <c r="D313" s="112" t="str">
        <f>IF(ISBLANK(C313),IFERROR(0/0,""), VLOOKUP(C313,preDEL!A$2:AG786,33,FALSE))</f>
        <v/>
      </c>
      <c r="E313" s="252"/>
      <c r="F313" s="210"/>
      <c r="G313" s="252"/>
      <c r="H313" s="255" t="str">
        <f t="shared" si="1"/>
        <v/>
      </c>
      <c r="I313" s="256" t="str">
        <f>CONCATENATE(UPPER(RAW_APS!$A314),"__",RAW_APS!$B314,"_",RAW_APS!$C314)</f>
        <v>FM32__44613_0.307337962962963</v>
      </c>
      <c r="J313" s="257" t="str">
        <f t="shared" si="2"/>
        <v/>
      </c>
      <c r="K313" s="252" t="s">
        <v>1062</v>
      </c>
      <c r="L313" s="258" t="str">
        <f t="shared" si="3"/>
        <v>MA1068</v>
      </c>
      <c r="M313" s="259" t="b">
        <f t="shared" si="4"/>
        <v>0</v>
      </c>
      <c r="N313" s="258" t="str">
        <f t="shared" si="5"/>
        <v/>
      </c>
      <c r="O313" s="5"/>
      <c r="P313" s="5"/>
      <c r="Q313" s="5"/>
      <c r="R313" s="5"/>
      <c r="S313" s="5"/>
      <c r="T313" s="5"/>
      <c r="U313" s="5"/>
      <c r="V313" s="5"/>
      <c r="W313" s="5"/>
    </row>
    <row r="314">
      <c r="A314" s="112" t="str">
        <f>IF(OR(ISBLANK(RAW_APS!A314),ISBLANK(RAW_APS!B314),ISBLANK(RAW_APS!C314)),TRUE,IFERROR(0/0,""))</f>
        <v/>
      </c>
      <c r="B314" s="252"/>
      <c r="C314" s="112" t="str">
        <f>IF(ISBLANK(B314),IFERROR(0/0,""),RAW_APS!A314)</f>
        <v/>
      </c>
      <c r="D314" s="112" t="str">
        <f>IF(ISBLANK(C314),IFERROR(0/0,""), VLOOKUP(C314,preDEL!A$2:AG786,33,FALSE))</f>
        <v/>
      </c>
      <c r="E314" s="252"/>
      <c r="F314" s="210"/>
      <c r="G314" s="252"/>
      <c r="H314" s="255" t="str">
        <f t="shared" si="1"/>
        <v/>
      </c>
      <c r="I314" s="256" t="str">
        <f>CONCATENATE(UPPER(RAW_APS!$A315),"__",RAW_APS!$B315,"_",RAW_APS!$C315)</f>
        <v>FM28__44613_0.306550925925926</v>
      </c>
      <c r="J314" s="257" t="str">
        <f t="shared" si="2"/>
        <v/>
      </c>
      <c r="K314" s="252" t="s">
        <v>1064</v>
      </c>
      <c r="L314" s="258" t="str">
        <f t="shared" si="3"/>
        <v>MA1069</v>
      </c>
      <c r="M314" s="259" t="b">
        <f t="shared" si="4"/>
        <v>0</v>
      </c>
      <c r="N314" s="258" t="str">
        <f t="shared" si="5"/>
        <v/>
      </c>
      <c r="O314" s="5"/>
      <c r="P314" s="5"/>
      <c r="Q314" s="5"/>
      <c r="R314" s="5"/>
      <c r="S314" s="5"/>
      <c r="T314" s="5"/>
      <c r="U314" s="5"/>
      <c r="V314" s="5"/>
      <c r="W314" s="5"/>
    </row>
    <row r="315">
      <c r="A315" s="112" t="str">
        <f>IF(OR(ISBLANK(RAW_APS!A315),ISBLANK(RAW_APS!B315),ISBLANK(RAW_APS!C315)),TRUE,IFERROR(0/0,""))</f>
        <v/>
      </c>
      <c r="B315" s="252"/>
      <c r="C315" s="112" t="str">
        <f>IF(ISBLANK(B315),IFERROR(0/0,""),RAW_APS!A315)</f>
        <v/>
      </c>
      <c r="D315" s="112" t="str">
        <f>IF(ISBLANK(C315),IFERROR(0/0,""), VLOOKUP(C315,preDEL!A$2:AG786,33,FALSE))</f>
        <v/>
      </c>
      <c r="E315" s="252"/>
      <c r="F315" s="210"/>
      <c r="G315" s="252"/>
      <c r="H315" s="255" t="str">
        <f t="shared" si="1"/>
        <v/>
      </c>
      <c r="I315" s="256" t="str">
        <f>CONCATENATE(UPPER(RAW_APS!$A316),"__",RAW_APS!$B316,"_",RAW_APS!$C316)</f>
        <v>FM486__44613_0.300717592592593</v>
      </c>
      <c r="J315" s="257" t="str">
        <f t="shared" si="2"/>
        <v/>
      </c>
      <c r="K315" s="252" t="s">
        <v>1066</v>
      </c>
      <c r="L315" s="258" t="str">
        <f t="shared" si="3"/>
        <v>MA1070</v>
      </c>
      <c r="M315" s="259" t="b">
        <f t="shared" si="4"/>
        <v>0</v>
      </c>
      <c r="N315" s="258" t="str">
        <f t="shared" si="5"/>
        <v/>
      </c>
      <c r="O315" s="5"/>
      <c r="P315" s="5"/>
      <c r="Q315" s="5"/>
      <c r="R315" s="5"/>
      <c r="S315" s="5"/>
      <c r="T315" s="5"/>
      <c r="U315" s="5"/>
      <c r="V315" s="5"/>
      <c r="W315" s="5"/>
    </row>
    <row r="316">
      <c r="A316" s="112" t="str">
        <f>IF(OR(ISBLANK(RAW_APS!A316),ISBLANK(RAW_APS!B316),ISBLANK(RAW_APS!C316)),TRUE,IFERROR(0/0,""))</f>
        <v/>
      </c>
      <c r="B316" s="252"/>
      <c r="C316" s="112" t="str">
        <f>IF(ISBLANK(B316),IFERROR(0/0,""),RAW_APS!A316)</f>
        <v/>
      </c>
      <c r="D316" s="112" t="str">
        <f>IF(ISBLANK(C316),IFERROR(0/0,""), VLOOKUP(C316,preDEL!A$2:AG786,33,FALSE))</f>
        <v/>
      </c>
      <c r="E316" s="252"/>
      <c r="F316" s="210"/>
      <c r="G316" s="252"/>
      <c r="H316" s="255" t="str">
        <f t="shared" si="1"/>
        <v/>
      </c>
      <c r="I316" s="256" t="str">
        <f>CONCATENATE(UPPER(RAW_APS!$A317),"__",RAW_APS!$B317,"_",RAW_APS!$C317)</f>
        <v>MA279__44613_0.293576388888889</v>
      </c>
      <c r="J316" s="257" t="str">
        <f t="shared" si="2"/>
        <v/>
      </c>
      <c r="K316" s="252" t="s">
        <v>1068</v>
      </c>
      <c r="L316" s="258" t="str">
        <f t="shared" si="3"/>
        <v>MA1071</v>
      </c>
      <c r="M316" s="259" t="b">
        <f t="shared" si="4"/>
        <v>0</v>
      </c>
      <c r="N316" s="258" t="str">
        <f t="shared" si="5"/>
        <v/>
      </c>
      <c r="O316" s="5"/>
      <c r="P316" s="5"/>
      <c r="Q316" s="5"/>
      <c r="R316" s="5"/>
      <c r="S316" s="5"/>
      <c r="T316" s="5"/>
      <c r="U316" s="5"/>
      <c r="V316" s="5"/>
      <c r="W316" s="5"/>
    </row>
    <row r="317">
      <c r="A317" s="112" t="str">
        <f>IF(OR(ISBLANK(RAW_APS!A317),ISBLANK(RAW_APS!B317),ISBLANK(RAW_APS!C317)),TRUE,IFERROR(0/0,""))</f>
        <v/>
      </c>
      <c r="B317" s="252"/>
      <c r="C317" s="112" t="str">
        <f>IF(ISBLANK(B317),IFERROR(0/0,""),RAW_APS!A317)</f>
        <v/>
      </c>
      <c r="D317" s="112" t="str">
        <f>IF(ISBLANK(C317),IFERROR(0/0,""), VLOOKUP(C317,preDEL!A$2:AG786,33,FALSE))</f>
        <v/>
      </c>
      <c r="E317" s="252"/>
      <c r="F317" s="210"/>
      <c r="G317" s="252"/>
      <c r="H317" s="255" t="str">
        <f t="shared" si="1"/>
        <v/>
      </c>
      <c r="I317" s="256" t="str">
        <f>CONCATENATE(UPPER(RAW_APS!$A318),"__",RAW_APS!$B318,"_",RAW_APS!$C318)</f>
        <v>FM478__44613_0.288842592592593</v>
      </c>
      <c r="J317" s="257" t="str">
        <f t="shared" si="2"/>
        <v/>
      </c>
      <c r="K317" s="252" t="s">
        <v>1070</v>
      </c>
      <c r="L317" s="258" t="str">
        <f t="shared" si="3"/>
        <v>MA1072</v>
      </c>
      <c r="M317" s="259" t="b">
        <f t="shared" si="4"/>
        <v>0</v>
      </c>
      <c r="N317" s="258" t="str">
        <f t="shared" si="5"/>
        <v/>
      </c>
      <c r="O317" s="5"/>
      <c r="P317" s="5"/>
      <c r="Q317" s="5"/>
      <c r="R317" s="5"/>
      <c r="S317" s="5"/>
      <c r="T317" s="5"/>
      <c r="U317" s="5"/>
      <c r="V317" s="5"/>
      <c r="W317" s="5"/>
    </row>
    <row r="318">
      <c r="A318" s="112" t="str">
        <f>IF(OR(ISBLANK(RAW_APS!A318),ISBLANK(RAW_APS!B318),ISBLANK(RAW_APS!C318)),TRUE,IFERROR(0/0,""))</f>
        <v/>
      </c>
      <c r="B318" s="252"/>
      <c r="C318" s="112" t="str">
        <f>IF(ISBLANK(B318),IFERROR(0/0,""),RAW_APS!A318)</f>
        <v/>
      </c>
      <c r="D318" s="112" t="str">
        <f>IF(ISBLANK(C318),IFERROR(0/0,""), VLOOKUP(C318,preDEL!A$2:AG786,33,FALSE))</f>
        <v/>
      </c>
      <c r="E318" s="252"/>
      <c r="F318" s="210"/>
      <c r="G318" s="252"/>
      <c r="H318" s="255" t="str">
        <f t="shared" si="1"/>
        <v/>
      </c>
      <c r="I318" s="256" t="str">
        <f>CONCATENATE(UPPER(RAW_APS!$A319),"__",RAW_APS!$B319,"_",RAW_APS!$C319)</f>
        <v>FM824__44613_0.276099537037037</v>
      </c>
      <c r="J318" s="257" t="str">
        <f t="shared" si="2"/>
        <v/>
      </c>
      <c r="K318" s="252" t="s">
        <v>1072</v>
      </c>
      <c r="L318" s="258" t="str">
        <f t="shared" si="3"/>
        <v>MA1073</v>
      </c>
      <c r="M318" s="259" t="b">
        <f t="shared" si="4"/>
        <v>0</v>
      </c>
      <c r="N318" s="258" t="str">
        <f t="shared" si="5"/>
        <v/>
      </c>
      <c r="O318" s="5"/>
      <c r="P318" s="5"/>
      <c r="Q318" s="5"/>
      <c r="R318" s="5"/>
      <c r="S318" s="5"/>
      <c r="T318" s="5"/>
      <c r="U318" s="5"/>
      <c r="V318" s="5"/>
      <c r="W318" s="5"/>
    </row>
    <row r="319">
      <c r="A319" s="112" t="str">
        <f>IF(OR(ISBLANK(RAW_APS!A319),ISBLANK(RAW_APS!B319),ISBLANK(RAW_APS!C319)),TRUE,IFERROR(0/0,""))</f>
        <v/>
      </c>
      <c r="B319" s="252"/>
      <c r="C319" s="112" t="str">
        <f>IF(ISBLANK(B319),IFERROR(0/0,""),RAW_APS!A319)</f>
        <v/>
      </c>
      <c r="D319" s="112" t="str">
        <f>IF(ISBLANK(C319),IFERROR(0/0,""), VLOOKUP(C319,preDEL!A$2:AG786,33,FALSE))</f>
        <v/>
      </c>
      <c r="E319" s="252"/>
      <c r="F319" s="210"/>
      <c r="G319" s="252"/>
      <c r="H319" s="255" t="str">
        <f t="shared" si="1"/>
        <v/>
      </c>
      <c r="I319" s="256" t="str">
        <f>CONCATENATE(UPPER(RAW_APS!$A320),"__",RAW_APS!$B320,"_",RAW_APS!$C320)</f>
        <v>FM980__44613_0.266724537037037</v>
      </c>
      <c r="J319" s="257" t="str">
        <f t="shared" si="2"/>
        <v/>
      </c>
      <c r="K319" s="252" t="s">
        <v>1074</v>
      </c>
      <c r="L319" s="258" t="str">
        <f t="shared" si="3"/>
        <v>MA1075</v>
      </c>
      <c r="M319" s="259" t="b">
        <f t="shared" si="4"/>
        <v>0</v>
      </c>
      <c r="N319" s="258" t="str">
        <f t="shared" si="5"/>
        <v/>
      </c>
      <c r="O319" s="5"/>
      <c r="P319" s="5"/>
      <c r="Q319" s="5"/>
      <c r="R319" s="5"/>
      <c r="S319" s="5"/>
      <c r="T319" s="5"/>
      <c r="U319" s="5"/>
      <c r="V319" s="5"/>
      <c r="W319" s="5"/>
    </row>
    <row r="320">
      <c r="A320" s="112" t="str">
        <f>IF(OR(ISBLANK(RAW_APS!A320),ISBLANK(RAW_APS!B320),ISBLANK(RAW_APS!C320)),TRUE,IFERROR(0/0,""))</f>
        <v/>
      </c>
      <c r="B320" s="252"/>
      <c r="C320" s="112" t="str">
        <f>IF(ISBLANK(B320),IFERROR(0/0,""),RAW_APS!A320)</f>
        <v/>
      </c>
      <c r="D320" s="112" t="str">
        <f>IF(ISBLANK(C320),IFERROR(0/0,""), VLOOKUP(C320,preDEL!A$2:AG786,33,FALSE))</f>
        <v/>
      </c>
      <c r="E320" s="252"/>
      <c r="F320" s="210"/>
      <c r="G320" s="252"/>
      <c r="H320" s="255" t="str">
        <f t="shared" si="1"/>
        <v/>
      </c>
      <c r="I320" s="256" t="str">
        <f>CONCATENATE(UPPER(RAW_APS!$A321),"__",RAW_APS!$B321,"_",RAW_APS!$C321)</f>
        <v>FM437__44613_0.265162037037037</v>
      </c>
      <c r="J320" s="257" t="str">
        <f t="shared" si="2"/>
        <v/>
      </c>
      <c r="K320" s="252" t="s">
        <v>1076</v>
      </c>
      <c r="L320" s="258" t="str">
        <f t="shared" si="3"/>
        <v>MA1076</v>
      </c>
      <c r="M320" s="259" t="b">
        <f t="shared" si="4"/>
        <v>0</v>
      </c>
      <c r="N320" s="258" t="str">
        <f t="shared" si="5"/>
        <v/>
      </c>
      <c r="O320" s="5"/>
      <c r="P320" s="5"/>
      <c r="Q320" s="5"/>
      <c r="R320" s="5"/>
      <c r="S320" s="5"/>
      <c r="T320" s="5"/>
      <c r="U320" s="5"/>
      <c r="V320" s="5"/>
      <c r="W320" s="5"/>
    </row>
    <row r="321">
      <c r="A321" s="112" t="str">
        <f>IF(OR(ISBLANK(RAW_APS!A321),ISBLANK(RAW_APS!B321),ISBLANK(RAW_APS!C321)),TRUE,IFERROR(0/0,""))</f>
        <v/>
      </c>
      <c r="B321" s="252"/>
      <c r="C321" s="112" t="str">
        <f>IF(ISBLANK(B321),IFERROR(0/0,""),RAW_APS!A321)</f>
        <v/>
      </c>
      <c r="D321" s="112" t="str">
        <f>IF(ISBLANK(C321),IFERROR(0/0,""), VLOOKUP(C321,preDEL!A$2:AG786,33,FALSE))</f>
        <v/>
      </c>
      <c r="E321" s="252"/>
      <c r="F321" s="210"/>
      <c r="G321" s="252"/>
      <c r="H321" s="255" t="str">
        <f t="shared" si="1"/>
        <v/>
      </c>
      <c r="I321" s="256" t="str">
        <f>CONCATENATE(UPPER(RAW_APS!$A322),"__",RAW_APS!$B322,"_",RAW_APS!$C322)</f>
        <v>FM117__44613_0.261215277777778</v>
      </c>
      <c r="J321" s="257" t="str">
        <f t="shared" si="2"/>
        <v/>
      </c>
      <c r="K321" s="252" t="s">
        <v>1078</v>
      </c>
      <c r="L321" s="258" t="str">
        <f t="shared" si="3"/>
        <v>MA1077</v>
      </c>
      <c r="M321" s="259" t="b">
        <f t="shared" si="4"/>
        <v>0</v>
      </c>
      <c r="N321" s="258" t="str">
        <f t="shared" si="5"/>
        <v/>
      </c>
      <c r="O321" s="5"/>
      <c r="P321" s="5"/>
      <c r="Q321" s="5"/>
      <c r="R321" s="5"/>
      <c r="S321" s="5"/>
      <c r="T321" s="5"/>
      <c r="U321" s="5"/>
      <c r="V321" s="5"/>
      <c r="W321" s="5"/>
    </row>
    <row r="322">
      <c r="A322" s="112" t="str">
        <f>IF(OR(ISBLANK(RAW_APS!A322),ISBLANK(RAW_APS!B322),ISBLANK(RAW_APS!C322)),TRUE,IFERROR(0/0,""))</f>
        <v/>
      </c>
      <c r="B322" s="252"/>
      <c r="C322" s="112" t="str">
        <f>IF(ISBLANK(B322),IFERROR(0/0,""),RAW_APS!A322)</f>
        <v/>
      </c>
      <c r="D322" s="112" t="str">
        <f>IF(ISBLANK(C322),IFERROR(0/0,""), VLOOKUP(C322,preDEL!A$2:AG786,33,FALSE))</f>
        <v/>
      </c>
      <c r="E322" s="252"/>
      <c r="F322" s="210"/>
      <c r="G322" s="252"/>
      <c r="H322" s="255" t="str">
        <f t="shared" si="1"/>
        <v/>
      </c>
      <c r="I322" s="256" t="str">
        <f>CONCATENATE(UPPER(RAW_APS!$A323),"__",RAW_APS!$B323,"_",RAW_APS!$C323)</f>
        <v>MA229__44611_0.473530092592593</v>
      </c>
      <c r="J322" s="257" t="str">
        <f t="shared" si="2"/>
        <v/>
      </c>
      <c r="K322" s="252" t="s">
        <v>1080</v>
      </c>
      <c r="L322" s="258" t="str">
        <f t="shared" si="3"/>
        <v>MA1078</v>
      </c>
      <c r="M322" s="259" t="b">
        <f t="shared" si="4"/>
        <v>0</v>
      </c>
      <c r="N322" s="258" t="str">
        <f t="shared" si="5"/>
        <v/>
      </c>
      <c r="O322" s="5"/>
      <c r="P322" s="5"/>
      <c r="Q322" s="5"/>
      <c r="R322" s="5"/>
      <c r="S322" s="5"/>
      <c r="T322" s="5"/>
      <c r="U322" s="5"/>
      <c r="V322" s="5"/>
      <c r="W322" s="5"/>
    </row>
    <row r="323">
      <c r="A323" s="112" t="str">
        <f>IF(OR(ISBLANK(RAW_APS!A323),ISBLANK(RAW_APS!B323),ISBLANK(RAW_APS!C323)),TRUE,IFERROR(0/0,""))</f>
        <v/>
      </c>
      <c r="B323" s="252"/>
      <c r="C323" s="112" t="str">
        <f>IF(ISBLANK(B323),IFERROR(0/0,""),RAW_APS!A323)</f>
        <v/>
      </c>
      <c r="D323" s="112" t="str">
        <f>IF(ISBLANK(C323),IFERROR(0/0,""), VLOOKUP(C323,preDEL!A$2:AG786,33,FALSE))</f>
        <v/>
      </c>
      <c r="E323" s="252"/>
      <c r="F323" s="210"/>
      <c r="G323" s="252"/>
      <c r="H323" s="255" t="str">
        <f t="shared" si="1"/>
        <v/>
      </c>
      <c r="I323" s="256" t="str">
        <f>CONCATENATE(UPPER(RAW_APS!$A324),"__",RAW_APS!$B324,"_",RAW_APS!$C324)</f>
        <v>FM38__44611_0.345601851851852</v>
      </c>
      <c r="J323" s="257" t="str">
        <f t="shared" si="2"/>
        <v/>
      </c>
      <c r="K323" s="252" t="s">
        <v>1082</v>
      </c>
      <c r="L323" s="258" t="str">
        <f t="shared" si="3"/>
        <v>MA1079</v>
      </c>
      <c r="M323" s="259" t="b">
        <f t="shared" si="4"/>
        <v>0</v>
      </c>
      <c r="N323" s="258" t="str">
        <f t="shared" si="5"/>
        <v/>
      </c>
      <c r="O323" s="5"/>
      <c r="P323" s="5"/>
      <c r="Q323" s="5"/>
      <c r="R323" s="5"/>
      <c r="S323" s="5"/>
      <c r="T323" s="5"/>
      <c r="U323" s="5"/>
      <c r="V323" s="5"/>
      <c r="W323" s="5"/>
    </row>
    <row r="324">
      <c r="A324" s="112" t="str">
        <f>IF(OR(ISBLANK(RAW_APS!A324),ISBLANK(RAW_APS!B324),ISBLANK(RAW_APS!C324)),TRUE,IFERROR(0/0,""))</f>
        <v/>
      </c>
      <c r="B324" s="252"/>
      <c r="C324" s="112" t="str">
        <f>IF(ISBLANK(B324),IFERROR(0/0,""),RAW_APS!A324)</f>
        <v/>
      </c>
      <c r="D324" s="112" t="str">
        <f>IF(ISBLANK(C324),IFERROR(0/0,""), VLOOKUP(C324,preDEL!A$2:AG786,33,FALSE))</f>
        <v/>
      </c>
      <c r="E324" s="252"/>
      <c r="F324" s="210"/>
      <c r="G324" s="252"/>
      <c r="H324" s="255" t="str">
        <f t="shared" si="1"/>
        <v/>
      </c>
      <c r="I324" s="256" t="str">
        <f>CONCATENATE(UPPER(RAW_APS!$A325),"__",RAW_APS!$B325,"_",RAW_APS!$C325)</f>
        <v>MA608__44611_0.334953703703704</v>
      </c>
      <c r="J324" s="257" t="str">
        <f t="shared" si="2"/>
        <v/>
      </c>
      <c r="K324" s="252" t="s">
        <v>1084</v>
      </c>
      <c r="L324" s="258" t="str">
        <f t="shared" si="3"/>
        <v>MA1080</v>
      </c>
      <c r="M324" s="259" t="b">
        <f t="shared" si="4"/>
        <v>0</v>
      </c>
      <c r="N324" s="258" t="str">
        <f t="shared" si="5"/>
        <v/>
      </c>
      <c r="O324" s="5"/>
      <c r="P324" s="5"/>
      <c r="Q324" s="5"/>
      <c r="R324" s="5"/>
      <c r="S324" s="5"/>
      <c r="T324" s="5"/>
      <c r="U324" s="5"/>
      <c r="V324" s="5"/>
      <c r="W324" s="5"/>
    </row>
    <row r="325">
      <c r="A325" s="112" t="str">
        <f>IF(OR(ISBLANK(RAW_APS!A325),ISBLANK(RAW_APS!B325),ISBLANK(RAW_APS!C325)),TRUE,IFERROR(0/0,""))</f>
        <v/>
      </c>
      <c r="B325" s="252"/>
      <c r="C325" s="112" t="str">
        <f>IF(ISBLANK(B325),IFERROR(0/0,""),RAW_APS!A325)</f>
        <v/>
      </c>
      <c r="D325" s="112" t="str">
        <f>IF(ISBLANK(C325),IFERROR(0/0,""), VLOOKUP(C325,preDEL!A$2:AG786,33,FALSE))</f>
        <v/>
      </c>
      <c r="E325" s="252"/>
      <c r="F325" s="210"/>
      <c r="G325" s="252"/>
      <c r="H325" s="255" t="str">
        <f t="shared" si="1"/>
        <v/>
      </c>
      <c r="I325" s="256" t="str">
        <f>CONCATENATE(UPPER(RAW_APS!$A326),"__",RAW_APS!$B326,"_",RAW_APS!$C326)</f>
        <v>FM803__44611_0.334710648148148</v>
      </c>
      <c r="J325" s="257" t="str">
        <f t="shared" si="2"/>
        <v/>
      </c>
      <c r="K325" s="252" t="s">
        <v>1086</v>
      </c>
      <c r="L325" s="258" t="str">
        <f t="shared" si="3"/>
        <v>MA1081</v>
      </c>
      <c r="M325" s="259" t="b">
        <f t="shared" si="4"/>
        <v>0</v>
      </c>
      <c r="N325" s="258" t="str">
        <f t="shared" si="5"/>
        <v/>
      </c>
      <c r="O325" s="5"/>
      <c r="P325" s="5"/>
      <c r="Q325" s="5"/>
      <c r="R325" s="5"/>
      <c r="S325" s="5"/>
      <c r="T325" s="5"/>
      <c r="U325" s="5"/>
      <c r="V325" s="5"/>
      <c r="W325" s="5"/>
    </row>
    <row r="326">
      <c r="A326" s="112" t="str">
        <f>IF(OR(ISBLANK(RAW_APS!A326),ISBLANK(RAW_APS!B326),ISBLANK(RAW_APS!C326)),TRUE,IFERROR(0/0,""))</f>
        <v/>
      </c>
      <c r="B326" s="252"/>
      <c r="C326" s="112" t="str">
        <f>IF(ISBLANK(B326),IFERROR(0/0,""),RAW_APS!A326)</f>
        <v/>
      </c>
      <c r="D326" s="112" t="str">
        <f>IF(ISBLANK(C326),IFERROR(0/0,""), VLOOKUP(C326,preDEL!A$2:AG786,33,FALSE))</f>
        <v/>
      </c>
      <c r="E326" s="252"/>
      <c r="F326" s="210"/>
      <c r="G326" s="252"/>
      <c r="H326" s="255" t="str">
        <f t="shared" si="1"/>
        <v/>
      </c>
      <c r="I326" s="256" t="str">
        <f>CONCATENATE(UPPER(RAW_APS!$A327),"__",RAW_APS!$B327,"_",RAW_APS!$C327)</f>
        <v>FM839__44611_0.334282407407407</v>
      </c>
      <c r="J326" s="257" t="str">
        <f t="shared" si="2"/>
        <v/>
      </c>
      <c r="K326" s="252" t="s">
        <v>1088</v>
      </c>
      <c r="L326" s="258" t="str">
        <f t="shared" si="3"/>
        <v>MA1082</v>
      </c>
      <c r="M326" s="259" t="b">
        <f t="shared" si="4"/>
        <v>0</v>
      </c>
      <c r="N326" s="258" t="str">
        <f t="shared" si="5"/>
        <v/>
      </c>
      <c r="O326" s="5"/>
      <c r="P326" s="5"/>
      <c r="Q326" s="5"/>
      <c r="R326" s="5"/>
      <c r="S326" s="5"/>
      <c r="T326" s="5"/>
      <c r="U326" s="5"/>
      <c r="V326" s="5"/>
      <c r="W326" s="5"/>
    </row>
    <row r="327">
      <c r="A327" s="112" t="str">
        <f>IF(OR(ISBLANK(RAW_APS!A327),ISBLANK(RAW_APS!B327),ISBLANK(RAW_APS!C327)),TRUE,IFERROR(0/0,""))</f>
        <v/>
      </c>
      <c r="B327" s="252"/>
      <c r="C327" s="112" t="str">
        <f>IF(ISBLANK(B327),IFERROR(0/0,""),RAW_APS!A327)</f>
        <v/>
      </c>
      <c r="D327" s="112" t="str">
        <f>IF(ISBLANK(C327),IFERROR(0/0,""), VLOOKUP(C327,preDEL!A$2:AG786,33,FALSE))</f>
        <v/>
      </c>
      <c r="E327" s="252"/>
      <c r="F327" s="210"/>
      <c r="G327" s="252"/>
      <c r="H327" s="255" t="str">
        <f t="shared" si="1"/>
        <v/>
      </c>
      <c r="I327" s="256" t="str">
        <f>CONCATENATE(UPPER(RAW_APS!$A328),"__",RAW_APS!$B328,"_",RAW_APS!$C328)</f>
        <v>MA1040__44611_0.333576388888889</v>
      </c>
      <c r="J327" s="257" t="str">
        <f t="shared" si="2"/>
        <v/>
      </c>
      <c r="K327" s="252" t="s">
        <v>1090</v>
      </c>
      <c r="L327" s="258" t="str">
        <f t="shared" si="3"/>
        <v>MA1084</v>
      </c>
      <c r="M327" s="259" t="b">
        <f t="shared" si="4"/>
        <v>0</v>
      </c>
      <c r="N327" s="258" t="str">
        <f t="shared" si="5"/>
        <v/>
      </c>
      <c r="O327" s="5"/>
      <c r="P327" s="5"/>
      <c r="Q327" s="5"/>
      <c r="R327" s="5"/>
      <c r="S327" s="5"/>
      <c r="T327" s="5"/>
      <c r="U327" s="5"/>
      <c r="V327" s="5"/>
      <c r="W327" s="5"/>
    </row>
    <row r="328">
      <c r="A328" s="112" t="str">
        <f>IF(OR(ISBLANK(RAW_APS!A328),ISBLANK(RAW_APS!B328),ISBLANK(RAW_APS!C328)),TRUE,IFERROR(0/0,""))</f>
        <v/>
      </c>
      <c r="B328" s="252"/>
      <c r="C328" s="112" t="str">
        <f>IF(ISBLANK(B328),IFERROR(0/0,""),RAW_APS!A328)</f>
        <v/>
      </c>
      <c r="D328" s="112" t="str">
        <f>IF(ISBLANK(C328),IFERROR(0/0,""), VLOOKUP(C328,preDEL!A$2:AG786,33,FALSE))</f>
        <v/>
      </c>
      <c r="E328" s="252"/>
      <c r="F328" s="210"/>
      <c r="G328" s="252"/>
      <c r="H328" s="255" t="str">
        <f t="shared" si="1"/>
        <v/>
      </c>
      <c r="I328" s="256" t="str">
        <f>CONCATENATE(UPPER(RAW_APS!$A329),"__",RAW_APS!$B329,"_",RAW_APS!$C329)</f>
        <v>MA1116__44611_0.3321875</v>
      </c>
      <c r="J328" s="257" t="str">
        <f t="shared" si="2"/>
        <v/>
      </c>
      <c r="K328" s="252" t="s">
        <v>1092</v>
      </c>
      <c r="L328" s="258" t="str">
        <f t="shared" si="3"/>
        <v>MA1087</v>
      </c>
      <c r="M328" s="259" t="b">
        <f t="shared" si="4"/>
        <v>0</v>
      </c>
      <c r="N328" s="258" t="str">
        <f t="shared" si="5"/>
        <v/>
      </c>
      <c r="O328" s="5"/>
      <c r="P328" s="5"/>
      <c r="Q328" s="5"/>
      <c r="R328" s="5"/>
      <c r="S328" s="5"/>
      <c r="T328" s="5"/>
      <c r="U328" s="5"/>
      <c r="V328" s="5"/>
      <c r="W328" s="5"/>
    </row>
    <row r="329">
      <c r="A329" s="112" t="str">
        <f>IF(OR(ISBLANK(RAW_APS!A329),ISBLANK(RAW_APS!B329),ISBLANK(RAW_APS!C329)),TRUE,IFERROR(0/0,""))</f>
        <v/>
      </c>
      <c r="B329" s="252"/>
      <c r="C329" s="112" t="str">
        <f>IF(ISBLANK(B329),IFERROR(0/0,""),RAW_APS!A329)</f>
        <v/>
      </c>
      <c r="D329" s="112" t="str">
        <f>IF(ISBLANK(C329),IFERROR(0/0,""), VLOOKUP(C329,preDEL!A$2:AG786,33,FALSE))</f>
        <v/>
      </c>
      <c r="E329" s="252"/>
      <c r="F329" s="210"/>
      <c r="G329" s="252"/>
      <c r="H329" s="255" t="str">
        <f t="shared" si="1"/>
        <v/>
      </c>
      <c r="I329" s="256" t="str">
        <f>CONCATENATE(UPPER(RAW_APS!$A330),"__",RAW_APS!$B330,"_",RAW_APS!$C330)</f>
        <v>FM834__44611_0.3321875</v>
      </c>
      <c r="J329" s="257" t="str">
        <f t="shared" si="2"/>
        <v/>
      </c>
      <c r="K329" s="252" t="s">
        <v>1101</v>
      </c>
      <c r="L329" s="258" t="str">
        <f t="shared" si="3"/>
        <v>MA1091</v>
      </c>
      <c r="M329" s="259" t="b">
        <f t="shared" si="4"/>
        <v>0</v>
      </c>
      <c r="N329" s="258" t="str">
        <f t="shared" si="5"/>
        <v/>
      </c>
      <c r="O329" s="5"/>
      <c r="P329" s="5"/>
      <c r="Q329" s="5"/>
      <c r="R329" s="5"/>
      <c r="S329" s="5"/>
      <c r="T329" s="5"/>
      <c r="U329" s="5"/>
      <c r="V329" s="5"/>
      <c r="W329" s="5"/>
    </row>
    <row r="330">
      <c r="A330" s="112" t="str">
        <f>IF(OR(ISBLANK(RAW_APS!A330),ISBLANK(RAW_APS!B330),ISBLANK(RAW_APS!C330)),TRUE,IFERROR(0/0,""))</f>
        <v/>
      </c>
      <c r="B330" s="252"/>
      <c r="C330" s="112" t="str">
        <f>IF(ISBLANK(B330),IFERROR(0/0,""),RAW_APS!A330)</f>
        <v/>
      </c>
      <c r="D330" s="112" t="str">
        <f>IF(ISBLANK(C330),IFERROR(0/0,""), VLOOKUP(C330,preDEL!A$2:AG786,33,FALSE))</f>
        <v/>
      </c>
      <c r="E330" s="252"/>
      <c r="F330" s="210"/>
      <c r="G330" s="252"/>
      <c r="H330" s="255" t="str">
        <f t="shared" si="1"/>
        <v/>
      </c>
      <c r="I330" s="256" t="str">
        <f>CONCATENATE(UPPER(RAW_APS!$A331),"__",RAW_APS!$B331,"_",RAW_APS!$C331)</f>
        <v>FM89__44611_0.328900462962963</v>
      </c>
      <c r="J330" s="257" t="str">
        <f t="shared" si="2"/>
        <v/>
      </c>
      <c r="K330" s="252" t="s">
        <v>1103</v>
      </c>
      <c r="L330" s="258" t="str">
        <f t="shared" si="3"/>
        <v>MA1092</v>
      </c>
      <c r="M330" s="259" t="b">
        <f t="shared" si="4"/>
        <v>0</v>
      </c>
      <c r="N330" s="258" t="str">
        <f t="shared" si="5"/>
        <v/>
      </c>
      <c r="O330" s="5"/>
      <c r="P330" s="5"/>
      <c r="Q330" s="5"/>
      <c r="R330" s="5"/>
      <c r="S330" s="5"/>
      <c r="T330" s="5"/>
      <c r="U330" s="5"/>
      <c r="V330" s="5"/>
      <c r="W330" s="5"/>
    </row>
    <row r="331">
      <c r="A331" s="112" t="str">
        <f>IF(OR(ISBLANK(RAW_APS!A331),ISBLANK(RAW_APS!B331),ISBLANK(RAW_APS!C331)),TRUE,IFERROR(0/0,""))</f>
        <v/>
      </c>
      <c r="B331" s="252"/>
      <c r="C331" s="112" t="str">
        <f>IF(ISBLANK(B331),IFERROR(0/0,""),RAW_APS!A331)</f>
        <v/>
      </c>
      <c r="D331" s="112" t="str">
        <f>IF(ISBLANK(C331),IFERROR(0/0,""), VLOOKUP(C331,preDEL!A$2:AG786,33,FALSE))</f>
        <v/>
      </c>
      <c r="E331" s="252"/>
      <c r="F331" s="210"/>
      <c r="G331" s="252"/>
      <c r="H331" s="255" t="str">
        <f t="shared" si="1"/>
        <v/>
      </c>
      <c r="I331" s="256" t="str">
        <f>CONCATENATE(UPPER(RAW_APS!$A332),"__",RAW_APS!$B332,"_",RAW_APS!$C332)</f>
        <v>FM836__44611_0.327881944444444</v>
      </c>
      <c r="J331" s="257" t="str">
        <f t="shared" si="2"/>
        <v/>
      </c>
      <c r="K331" s="252" t="s">
        <v>1105</v>
      </c>
      <c r="L331" s="258" t="str">
        <f t="shared" si="3"/>
        <v>MA1095</v>
      </c>
      <c r="M331" s="259" t="b">
        <f t="shared" si="4"/>
        <v>0</v>
      </c>
      <c r="N331" s="258" t="str">
        <f t="shared" si="5"/>
        <v/>
      </c>
      <c r="O331" s="5"/>
      <c r="P331" s="5"/>
      <c r="Q331" s="5"/>
      <c r="R331" s="5"/>
      <c r="S331" s="5"/>
      <c r="T331" s="5"/>
      <c r="U331" s="5"/>
      <c r="V331" s="5"/>
      <c r="W331" s="5"/>
    </row>
    <row r="332">
      <c r="A332" s="112" t="str">
        <f>IF(OR(ISBLANK(RAW_APS!A332),ISBLANK(RAW_APS!B332),ISBLANK(RAW_APS!C332)),TRUE,IFERROR(0/0,""))</f>
        <v/>
      </c>
      <c r="B332" s="252"/>
      <c r="C332" s="112" t="str">
        <f>IF(ISBLANK(B332),IFERROR(0/0,""),RAW_APS!A332)</f>
        <v/>
      </c>
      <c r="D332" s="112" t="str">
        <f>IF(ISBLANK(C332),IFERROR(0/0,""), VLOOKUP(C332,preDEL!A$2:AG786,33,FALSE))</f>
        <v/>
      </c>
      <c r="E332" s="252"/>
      <c r="F332" s="210"/>
      <c r="G332" s="252"/>
      <c r="H332" s="255" t="str">
        <f t="shared" si="1"/>
        <v/>
      </c>
      <c r="I332" s="256" t="str">
        <f>CONCATENATE(UPPER(RAW_APS!$A333),"__",RAW_APS!$B333,"_",RAW_APS!$C333)</f>
        <v>FM787__44611_0.326331018518519</v>
      </c>
      <c r="J332" s="257" t="str">
        <f t="shared" si="2"/>
        <v/>
      </c>
      <c r="K332" s="252" t="s">
        <v>1107</v>
      </c>
      <c r="L332" s="258" t="str">
        <f t="shared" si="3"/>
        <v>MA1096</v>
      </c>
      <c r="M332" s="259" t="b">
        <f t="shared" si="4"/>
        <v>0</v>
      </c>
      <c r="N332" s="258" t="str">
        <f t="shared" si="5"/>
        <v/>
      </c>
      <c r="O332" s="5"/>
      <c r="P332" s="5"/>
      <c r="Q332" s="5"/>
      <c r="R332" s="5"/>
      <c r="S332" s="5"/>
      <c r="T332" s="5"/>
      <c r="U332" s="5"/>
      <c r="V332" s="5"/>
      <c r="W332" s="5"/>
    </row>
    <row r="333">
      <c r="A333" s="112" t="str">
        <f>IF(OR(ISBLANK(RAW_APS!A333),ISBLANK(RAW_APS!B333),ISBLANK(RAW_APS!C333)),TRUE,IFERROR(0/0,""))</f>
        <v/>
      </c>
      <c r="B333" s="252"/>
      <c r="C333" s="112" t="str">
        <f>IF(ISBLANK(B333),IFERROR(0/0,""),RAW_APS!A333)</f>
        <v/>
      </c>
      <c r="D333" s="112" t="str">
        <f>IF(ISBLANK(C333),IFERROR(0/0,""), VLOOKUP(C333,preDEL!A$2:AG786,33,FALSE))</f>
        <v/>
      </c>
      <c r="E333" s="252"/>
      <c r="F333" s="210"/>
      <c r="G333" s="252"/>
      <c r="H333" s="255" t="str">
        <f t="shared" si="1"/>
        <v/>
      </c>
      <c r="I333" s="256" t="str">
        <f>CONCATENATE(UPPER(RAW_APS!$A334),"__",RAW_APS!$B334,"_",RAW_APS!$C334)</f>
        <v>MA1027__44611_0.325798611111111</v>
      </c>
      <c r="J333" s="257" t="str">
        <f t="shared" si="2"/>
        <v/>
      </c>
      <c r="K333" s="252" t="s">
        <v>1109</v>
      </c>
      <c r="L333" s="258" t="str">
        <f t="shared" si="3"/>
        <v>MA1099</v>
      </c>
      <c r="M333" s="259" t="b">
        <f t="shared" si="4"/>
        <v>0</v>
      </c>
      <c r="N333" s="258" t="str">
        <f t="shared" si="5"/>
        <v/>
      </c>
      <c r="O333" s="5"/>
      <c r="P333" s="5"/>
      <c r="Q333" s="5"/>
      <c r="R333" s="5"/>
      <c r="S333" s="5"/>
      <c r="T333" s="5"/>
      <c r="U333" s="5"/>
      <c r="V333" s="5"/>
      <c r="W333" s="5"/>
    </row>
    <row r="334">
      <c r="A334" s="112" t="str">
        <f>IF(OR(ISBLANK(RAW_APS!A334),ISBLANK(RAW_APS!B334),ISBLANK(RAW_APS!C334)),TRUE,IFERROR(0/0,""))</f>
        <v/>
      </c>
      <c r="B334" s="252"/>
      <c r="C334" s="112" t="str">
        <f>IF(ISBLANK(B334),IFERROR(0/0,""),RAW_APS!A334)</f>
        <v/>
      </c>
      <c r="D334" s="112" t="str">
        <f>IF(ISBLANK(C334),IFERROR(0/0,""), VLOOKUP(C334,preDEL!A$2:AG786,33,FALSE))</f>
        <v/>
      </c>
      <c r="E334" s="252"/>
      <c r="F334" s="210"/>
      <c r="G334" s="252"/>
      <c r="H334" s="255" t="str">
        <f t="shared" si="1"/>
        <v/>
      </c>
      <c r="I334" s="256" t="str">
        <f>CONCATENATE(UPPER(RAW_APS!$A335),"__",RAW_APS!$B335,"_",RAW_APS!$C335)</f>
        <v>MA268__44611_0.323333333333333</v>
      </c>
      <c r="J334" s="257" t="str">
        <f t="shared" si="2"/>
        <v/>
      </c>
      <c r="K334" s="252" t="s">
        <v>1111</v>
      </c>
      <c r="L334" s="258" t="str">
        <f t="shared" si="3"/>
        <v>MA1100</v>
      </c>
      <c r="M334" s="259" t="b">
        <f t="shared" si="4"/>
        <v>0</v>
      </c>
      <c r="N334" s="258" t="str">
        <f t="shared" si="5"/>
        <v/>
      </c>
      <c r="O334" s="5"/>
      <c r="P334" s="5"/>
      <c r="Q334" s="5"/>
      <c r="R334" s="5"/>
      <c r="S334" s="5"/>
      <c r="T334" s="5"/>
      <c r="U334" s="5"/>
      <c r="V334" s="5"/>
      <c r="W334" s="5"/>
    </row>
    <row r="335">
      <c r="A335" s="112" t="str">
        <f>IF(OR(ISBLANK(RAW_APS!A335),ISBLANK(RAW_APS!B335),ISBLANK(RAW_APS!C335)),TRUE,IFERROR(0/0,""))</f>
        <v/>
      </c>
      <c r="B335" s="252"/>
      <c r="C335" s="112" t="str">
        <f>IF(ISBLANK(B335),IFERROR(0/0,""),RAW_APS!A335)</f>
        <v/>
      </c>
      <c r="D335" s="112" t="str">
        <f>IF(ISBLANK(C335),IFERROR(0/0,""), VLOOKUP(C335,preDEL!A$2:AG786,33,FALSE))</f>
        <v/>
      </c>
      <c r="E335" s="252"/>
      <c r="F335" s="210"/>
      <c r="G335" s="252"/>
      <c r="H335" s="255" t="str">
        <f t="shared" si="1"/>
        <v/>
      </c>
      <c r="I335" s="256" t="str">
        <f>CONCATENATE(UPPER(RAW_APS!$A336),"__",RAW_APS!$B336,"_",RAW_APS!$C336)</f>
        <v>MA281__44611_0.322592592592593</v>
      </c>
      <c r="J335" s="257" t="str">
        <f t="shared" si="2"/>
        <v/>
      </c>
      <c r="K335" s="252" t="s">
        <v>1114</v>
      </c>
      <c r="L335" s="258" t="str">
        <f t="shared" si="3"/>
        <v>MA1103</v>
      </c>
      <c r="M335" s="259" t="b">
        <f t="shared" si="4"/>
        <v>0</v>
      </c>
      <c r="N335" s="258" t="str">
        <f t="shared" si="5"/>
        <v/>
      </c>
      <c r="O335" s="5"/>
      <c r="P335" s="5"/>
      <c r="Q335" s="5"/>
      <c r="R335" s="5"/>
      <c r="S335" s="5"/>
      <c r="T335" s="5"/>
      <c r="U335" s="5"/>
      <c r="V335" s="5"/>
      <c r="W335" s="5"/>
    </row>
    <row r="336">
      <c r="A336" s="112" t="str">
        <f>IF(OR(ISBLANK(RAW_APS!A336),ISBLANK(RAW_APS!B336),ISBLANK(RAW_APS!C336)),TRUE,IFERROR(0/0,""))</f>
        <v/>
      </c>
      <c r="B336" s="252"/>
      <c r="C336" s="112" t="str">
        <f>IF(ISBLANK(B336),IFERROR(0/0,""),RAW_APS!A336)</f>
        <v/>
      </c>
      <c r="D336" s="112" t="str">
        <f>IF(ISBLANK(C336),IFERROR(0/0,""), VLOOKUP(C336,preDEL!A$2:AG786,33,FALSE))</f>
        <v/>
      </c>
      <c r="E336" s="252"/>
      <c r="F336" s="210"/>
      <c r="G336" s="252"/>
      <c r="H336" s="255" t="str">
        <f t="shared" si="1"/>
        <v/>
      </c>
      <c r="I336" s="256" t="str">
        <f>CONCATENATE(UPPER(RAW_APS!$A337),"__",RAW_APS!$B337,"_",RAW_APS!$C337)</f>
        <v>MA209__44611_0.320960648148148</v>
      </c>
      <c r="J336" s="257" t="str">
        <f t="shared" si="2"/>
        <v/>
      </c>
      <c r="K336" s="252" t="s">
        <v>1116</v>
      </c>
      <c r="L336" s="258" t="str">
        <f t="shared" si="3"/>
        <v>MA1104</v>
      </c>
      <c r="M336" s="259" t="b">
        <f t="shared" si="4"/>
        <v>0</v>
      </c>
      <c r="N336" s="258" t="str">
        <f t="shared" si="5"/>
        <v/>
      </c>
      <c r="O336" s="5"/>
      <c r="P336" s="5"/>
      <c r="Q336" s="5"/>
      <c r="R336" s="5"/>
      <c r="S336" s="5"/>
      <c r="T336" s="5"/>
      <c r="U336" s="5"/>
      <c r="V336" s="5"/>
      <c r="W336" s="5"/>
    </row>
    <row r="337">
      <c r="A337" s="112" t="str">
        <f>IF(OR(ISBLANK(RAW_APS!A337),ISBLANK(RAW_APS!B337),ISBLANK(RAW_APS!C337)),TRUE,IFERROR(0/0,""))</f>
        <v/>
      </c>
      <c r="B337" s="252"/>
      <c r="C337" s="112" t="str">
        <f>IF(ISBLANK(B337),IFERROR(0/0,""),RAW_APS!A337)</f>
        <v/>
      </c>
      <c r="D337" s="112" t="str">
        <f>IF(ISBLANK(C337),IFERROR(0/0,""), VLOOKUP(C337,preDEL!A$2:AG786,33,FALSE))</f>
        <v/>
      </c>
      <c r="E337" s="252"/>
      <c r="F337" s="210"/>
      <c r="G337" s="252"/>
      <c r="H337" s="255" t="str">
        <f t="shared" si="1"/>
        <v/>
      </c>
      <c r="I337" s="256" t="str">
        <f>CONCATENATE(UPPER(RAW_APS!$A338),"__",RAW_APS!$B338,"_",RAW_APS!$C338)</f>
        <v>FM497__44611_0.318912037037037</v>
      </c>
      <c r="J337" s="257" t="str">
        <f t="shared" si="2"/>
        <v/>
      </c>
      <c r="K337" s="252" t="s">
        <v>1118</v>
      </c>
      <c r="L337" s="258" t="str">
        <f t="shared" si="3"/>
        <v>MA1107</v>
      </c>
      <c r="M337" s="259" t="b">
        <f t="shared" si="4"/>
        <v>0</v>
      </c>
      <c r="N337" s="258" t="str">
        <f t="shared" si="5"/>
        <v/>
      </c>
      <c r="O337" s="5"/>
      <c r="P337" s="5"/>
      <c r="Q337" s="5"/>
      <c r="R337" s="5"/>
      <c r="S337" s="5"/>
      <c r="T337" s="5"/>
      <c r="U337" s="5"/>
      <c r="V337" s="5"/>
      <c r="W337" s="5"/>
    </row>
    <row r="338">
      <c r="A338" s="112" t="str">
        <f>IF(OR(ISBLANK(RAW_APS!A338),ISBLANK(RAW_APS!B338),ISBLANK(RAW_APS!C338)),TRUE,IFERROR(0/0,""))</f>
        <v/>
      </c>
      <c r="B338" s="252"/>
      <c r="C338" s="112" t="str">
        <f>IF(ISBLANK(B338),IFERROR(0/0,""),RAW_APS!A338)</f>
        <v/>
      </c>
      <c r="D338" s="112" t="str">
        <f>IF(ISBLANK(C338),IFERROR(0/0,""), VLOOKUP(C338,preDEL!A$2:AG786,33,FALSE))</f>
        <v/>
      </c>
      <c r="E338" s="252"/>
      <c r="F338" s="210"/>
      <c r="G338" s="252"/>
      <c r="H338" s="255" t="str">
        <f t="shared" si="1"/>
        <v/>
      </c>
      <c r="I338" s="256" t="str">
        <f>CONCATENATE(UPPER(RAW_APS!$A339),"__",RAW_APS!$B339,"_",RAW_APS!$C339)</f>
        <v>MA1296__44611_0.317361111111111</v>
      </c>
      <c r="J338" s="257" t="str">
        <f t="shared" si="2"/>
        <v/>
      </c>
      <c r="K338" s="252" t="s">
        <v>1120</v>
      </c>
      <c r="L338" s="258" t="str">
        <f t="shared" si="3"/>
        <v>MA1108</v>
      </c>
      <c r="M338" s="259" t="b">
        <f t="shared" si="4"/>
        <v>0</v>
      </c>
      <c r="N338" s="258" t="str">
        <f t="shared" si="5"/>
        <v/>
      </c>
      <c r="O338" s="5"/>
      <c r="P338" s="5"/>
      <c r="Q338" s="5"/>
      <c r="R338" s="5"/>
      <c r="S338" s="5"/>
      <c r="T338" s="5"/>
      <c r="U338" s="5"/>
      <c r="V338" s="5"/>
      <c r="W338" s="5"/>
    </row>
    <row r="339">
      <c r="A339" s="112" t="str">
        <f>IF(OR(ISBLANK(RAW_APS!A339),ISBLANK(RAW_APS!B339),ISBLANK(RAW_APS!C339)),TRUE,IFERROR(0/0,""))</f>
        <v/>
      </c>
      <c r="B339" s="252"/>
      <c r="C339" s="112" t="str">
        <f>IF(ISBLANK(B339),IFERROR(0/0,""),RAW_APS!A339)</f>
        <v/>
      </c>
      <c r="D339" s="112" t="str">
        <f>IF(ISBLANK(C339),IFERROR(0/0,""), VLOOKUP(C339,preDEL!A$2:AG786,33,FALSE))</f>
        <v/>
      </c>
      <c r="E339" s="252"/>
      <c r="F339" s="210"/>
      <c r="G339" s="252"/>
      <c r="H339" s="255" t="str">
        <f t="shared" si="1"/>
        <v/>
      </c>
      <c r="I339" s="256" t="str">
        <f>CONCATENATE(UPPER(RAW_APS!$A340),"__",RAW_APS!$B340,"_",RAW_APS!$C340)</f>
        <v>FM66__44611_0.315428240740741</v>
      </c>
      <c r="J339" s="257" t="str">
        <f t="shared" si="2"/>
        <v/>
      </c>
      <c r="K339" s="252" t="s">
        <v>1122</v>
      </c>
      <c r="L339" s="258" t="str">
        <f t="shared" si="3"/>
        <v>MA1109</v>
      </c>
      <c r="M339" s="259" t="b">
        <f t="shared" si="4"/>
        <v>0</v>
      </c>
      <c r="N339" s="258" t="str">
        <f t="shared" si="5"/>
        <v/>
      </c>
      <c r="O339" s="5"/>
      <c r="P339" s="5"/>
      <c r="Q339" s="5"/>
      <c r="R339" s="5"/>
      <c r="S339" s="5"/>
      <c r="T339" s="5"/>
      <c r="U339" s="5"/>
      <c r="V339" s="5"/>
      <c r="W339" s="5"/>
    </row>
    <row r="340">
      <c r="A340" s="112" t="str">
        <f>IF(OR(ISBLANK(RAW_APS!A340),ISBLANK(RAW_APS!B340),ISBLANK(RAW_APS!C340)),TRUE,IFERROR(0/0,""))</f>
        <v/>
      </c>
      <c r="B340" s="252"/>
      <c r="C340" s="112" t="str">
        <f>IF(ISBLANK(B340),IFERROR(0/0,""),RAW_APS!A340)</f>
        <v/>
      </c>
      <c r="D340" s="112" t="str">
        <f>IF(ISBLANK(C340),IFERROR(0/0,""), VLOOKUP(C340,preDEL!A$2:AG786,33,FALSE))</f>
        <v/>
      </c>
      <c r="E340" s="252"/>
      <c r="F340" s="210"/>
      <c r="G340" s="252"/>
      <c r="H340" s="255" t="str">
        <f t="shared" si="1"/>
        <v/>
      </c>
      <c r="I340" s="256" t="str">
        <f>CONCATENATE(UPPER(RAW_APS!$A341),"__",RAW_APS!$B341,"_",RAW_APS!$C341)</f>
        <v>FM408__44611_0.315358796296296</v>
      </c>
      <c r="J340" s="257" t="str">
        <f t="shared" si="2"/>
        <v/>
      </c>
      <c r="K340" s="252" t="s">
        <v>1124</v>
      </c>
      <c r="L340" s="258" t="str">
        <f t="shared" si="3"/>
        <v>MA1111</v>
      </c>
      <c r="M340" s="259" t="b">
        <f t="shared" si="4"/>
        <v>0</v>
      </c>
      <c r="N340" s="258" t="str">
        <f t="shared" si="5"/>
        <v/>
      </c>
      <c r="O340" s="5"/>
      <c r="P340" s="5"/>
      <c r="Q340" s="5"/>
      <c r="R340" s="5"/>
      <c r="S340" s="5"/>
      <c r="T340" s="5"/>
      <c r="U340" s="5"/>
      <c r="V340" s="5"/>
      <c r="W340" s="5"/>
    </row>
    <row r="341">
      <c r="A341" s="112" t="str">
        <f>IF(OR(ISBLANK(RAW_APS!A341),ISBLANK(RAW_APS!B341),ISBLANK(RAW_APS!C341)),TRUE,IFERROR(0/0,""))</f>
        <v/>
      </c>
      <c r="B341" s="252"/>
      <c r="C341" s="112" t="str">
        <f>IF(ISBLANK(B341),IFERROR(0/0,""),RAW_APS!A341)</f>
        <v/>
      </c>
      <c r="D341" s="112" t="str">
        <f>IF(ISBLANK(C341),IFERROR(0/0,""), VLOOKUP(C341,preDEL!A$2:AG786,33,FALSE))</f>
        <v/>
      </c>
      <c r="E341" s="252"/>
      <c r="F341" s="210"/>
      <c r="G341" s="252"/>
      <c r="H341" s="255" t="str">
        <f t="shared" si="1"/>
        <v/>
      </c>
      <c r="I341" s="256" t="str">
        <f>CONCATENATE(UPPER(RAW_APS!$A342),"__",RAW_APS!$B342,"_",RAW_APS!$C342)</f>
        <v>FM44__44611_0.314884259259259</v>
      </c>
      <c r="J341" s="257" t="str">
        <f t="shared" si="2"/>
        <v/>
      </c>
      <c r="K341" s="252" t="s">
        <v>1126</v>
      </c>
      <c r="L341" s="258" t="str">
        <f t="shared" si="3"/>
        <v>MA1112</v>
      </c>
      <c r="M341" s="259" t="b">
        <f t="shared" si="4"/>
        <v>0</v>
      </c>
      <c r="N341" s="258" t="str">
        <f t="shared" si="5"/>
        <v/>
      </c>
      <c r="O341" s="5"/>
      <c r="P341" s="5"/>
      <c r="Q341" s="5"/>
      <c r="R341" s="5"/>
      <c r="S341" s="5"/>
      <c r="T341" s="5"/>
      <c r="U341" s="5"/>
      <c r="V341" s="5"/>
      <c r="W341" s="5"/>
    </row>
    <row r="342">
      <c r="A342" s="112" t="str">
        <f>IF(OR(ISBLANK(RAW_APS!A342),ISBLANK(RAW_APS!B342),ISBLANK(RAW_APS!C342)),TRUE,IFERROR(0/0,""))</f>
        <v/>
      </c>
      <c r="B342" s="252"/>
      <c r="C342" s="112" t="str">
        <f>IF(ISBLANK(B342),IFERROR(0/0,""),RAW_APS!A342)</f>
        <v/>
      </c>
      <c r="D342" s="112" t="str">
        <f>IF(ISBLANK(C342),IFERROR(0/0,""), VLOOKUP(C342,preDEL!A$2:AG786,33,FALSE))</f>
        <v/>
      </c>
      <c r="E342" s="252"/>
      <c r="F342" s="210"/>
      <c r="G342" s="252"/>
      <c r="H342" s="255" t="str">
        <f t="shared" si="1"/>
        <v/>
      </c>
      <c r="I342" s="256" t="str">
        <f>CONCATENATE(UPPER(RAW_APS!$A343),"__",RAW_APS!$B343,"_",RAW_APS!$C343)</f>
        <v>MA277__44611_0.311655092592593</v>
      </c>
      <c r="J342" s="257" t="str">
        <f t="shared" si="2"/>
        <v/>
      </c>
      <c r="K342" s="252" t="s">
        <v>1128</v>
      </c>
      <c r="L342" s="258" t="str">
        <f t="shared" si="3"/>
        <v>MA1115</v>
      </c>
      <c r="M342" s="259" t="b">
        <f t="shared" si="4"/>
        <v>0</v>
      </c>
      <c r="N342" s="258" t="str">
        <f t="shared" si="5"/>
        <v/>
      </c>
      <c r="O342" s="5"/>
      <c r="P342" s="5"/>
      <c r="Q342" s="5"/>
      <c r="R342" s="5"/>
      <c r="S342" s="5"/>
      <c r="T342" s="5"/>
      <c r="U342" s="5"/>
      <c r="V342" s="5"/>
      <c r="W342" s="5"/>
    </row>
    <row r="343">
      <c r="A343" s="112" t="str">
        <f>IF(OR(ISBLANK(RAW_APS!A343),ISBLANK(RAW_APS!B343),ISBLANK(RAW_APS!C343)),TRUE,IFERROR(0/0,""))</f>
        <v/>
      </c>
      <c r="B343" s="252"/>
      <c r="C343" s="112" t="str">
        <f>IF(ISBLANK(B343),IFERROR(0/0,""),RAW_APS!A343)</f>
        <v/>
      </c>
      <c r="D343" s="112" t="str">
        <f>IF(ISBLANK(C343),IFERROR(0/0,""), VLOOKUP(C343,preDEL!A$2:AG786,33,FALSE))</f>
        <v/>
      </c>
      <c r="E343" s="252"/>
      <c r="F343" s="210"/>
      <c r="G343" s="252"/>
      <c r="H343" s="255" t="str">
        <f t="shared" si="1"/>
        <v/>
      </c>
      <c r="I343" s="256" t="str">
        <f>CONCATENATE(UPPER(RAW_APS!$A344),"__",RAW_APS!$B344,"_",RAW_APS!$C344)</f>
        <v>MA1071__44611_0.311423611111111</v>
      </c>
      <c r="J343" s="257" t="str">
        <f t="shared" si="2"/>
        <v/>
      </c>
      <c r="K343" s="252" t="s">
        <v>1130</v>
      </c>
      <c r="L343" s="258" t="str">
        <f t="shared" si="3"/>
        <v>MA1116</v>
      </c>
      <c r="M343" s="259" t="b">
        <f t="shared" si="4"/>
        <v>0</v>
      </c>
      <c r="N343" s="258" t="str">
        <f t="shared" si="5"/>
        <v/>
      </c>
      <c r="O343" s="5"/>
      <c r="P343" s="5"/>
      <c r="Q343" s="5"/>
      <c r="R343" s="5"/>
      <c r="S343" s="5"/>
      <c r="T343" s="5"/>
      <c r="U343" s="5"/>
      <c r="V343" s="5"/>
      <c r="W343" s="5"/>
    </row>
    <row r="344">
      <c r="A344" s="112" t="str">
        <f>IF(OR(ISBLANK(RAW_APS!A344),ISBLANK(RAW_APS!B344),ISBLANK(RAW_APS!C344)),TRUE,IFERROR(0/0,""))</f>
        <v/>
      </c>
      <c r="B344" s="252"/>
      <c r="C344" s="112" t="str">
        <f>IF(ISBLANK(B344),IFERROR(0/0,""),RAW_APS!A344)</f>
        <v/>
      </c>
      <c r="D344" s="112" t="str">
        <f>IF(ISBLANK(C344),IFERROR(0/0,""), VLOOKUP(C344,preDEL!A$2:AG786,33,FALSE))</f>
        <v/>
      </c>
      <c r="E344" s="252"/>
      <c r="F344" s="210"/>
      <c r="G344" s="252"/>
      <c r="H344" s="255" t="str">
        <f t="shared" si="1"/>
        <v/>
      </c>
      <c r="I344" s="256" t="str">
        <f>CONCATENATE(UPPER(RAW_APS!$A345),"__",RAW_APS!$B345,"_",RAW_APS!$C345)</f>
        <v>FM537__44611_0.310752314814815</v>
      </c>
      <c r="J344" s="257" t="str">
        <f t="shared" si="2"/>
        <v/>
      </c>
      <c r="K344" s="252" t="s">
        <v>1134</v>
      </c>
      <c r="L344" s="258" t="str">
        <f t="shared" si="3"/>
        <v>MA1120</v>
      </c>
      <c r="M344" s="259" t="b">
        <f t="shared" si="4"/>
        <v>0</v>
      </c>
      <c r="N344" s="258" t="str">
        <f t="shared" si="5"/>
        <v/>
      </c>
      <c r="O344" s="5"/>
      <c r="P344" s="5"/>
      <c r="Q344" s="5"/>
      <c r="R344" s="5"/>
      <c r="S344" s="5"/>
      <c r="T344" s="5"/>
      <c r="U344" s="5"/>
      <c r="V344" s="5"/>
      <c r="W344" s="5"/>
    </row>
    <row r="345">
      <c r="A345" s="112" t="str">
        <f>IF(OR(ISBLANK(RAW_APS!A345),ISBLANK(RAW_APS!B345),ISBLANK(RAW_APS!C345)),TRUE,IFERROR(0/0,""))</f>
        <v/>
      </c>
      <c r="B345" s="252"/>
      <c r="C345" s="112" t="str">
        <f>IF(ISBLANK(B345),IFERROR(0/0,""),RAW_APS!A345)</f>
        <v/>
      </c>
      <c r="D345" s="112" t="str">
        <f>IF(ISBLANK(C345),IFERROR(0/0,""), VLOOKUP(C345,preDEL!A$2:AG786,33,FALSE))</f>
        <v/>
      </c>
      <c r="E345" s="252"/>
      <c r="F345" s="210"/>
      <c r="G345" s="252"/>
      <c r="H345" s="255" t="str">
        <f t="shared" si="1"/>
        <v/>
      </c>
      <c r="I345" s="256" t="str">
        <f>CONCATENATE(UPPER(RAW_APS!$A346),"__",RAW_APS!$B346,"_",RAW_APS!$C346)</f>
        <v>FM537__44611_0.310752314814815</v>
      </c>
      <c r="J345" s="257" t="str">
        <f t="shared" si="2"/>
        <v/>
      </c>
      <c r="K345" s="252" t="s">
        <v>1136</v>
      </c>
      <c r="L345" s="258" t="str">
        <f t="shared" si="3"/>
        <v>MA1123</v>
      </c>
      <c r="M345" s="259" t="b">
        <f t="shared" si="4"/>
        <v>0</v>
      </c>
      <c r="N345" s="258" t="str">
        <f t="shared" si="5"/>
        <v/>
      </c>
      <c r="O345" s="5"/>
      <c r="P345" s="5"/>
      <c r="Q345" s="5"/>
      <c r="R345" s="5"/>
      <c r="S345" s="5"/>
      <c r="T345" s="5"/>
      <c r="U345" s="5"/>
      <c r="V345" s="5"/>
      <c r="W345" s="5"/>
    </row>
    <row r="346">
      <c r="A346" s="112" t="str">
        <f>IF(OR(ISBLANK(RAW_APS!A346),ISBLANK(RAW_APS!B346),ISBLANK(RAW_APS!C346)),TRUE,IFERROR(0/0,""))</f>
        <v/>
      </c>
      <c r="B346" s="252"/>
      <c r="C346" s="112" t="str">
        <f>IF(ISBLANK(B346),IFERROR(0/0,""),RAW_APS!A346)</f>
        <v/>
      </c>
      <c r="D346" s="112" t="str">
        <f>IF(ISBLANK(C346),IFERROR(0/0,""), VLOOKUP(C346,preDEL!A$2:AG786,33,FALSE))</f>
        <v/>
      </c>
      <c r="E346" s="252"/>
      <c r="F346" s="210"/>
      <c r="G346" s="252"/>
      <c r="H346" s="255" t="str">
        <f t="shared" si="1"/>
        <v/>
      </c>
      <c r="I346" s="256" t="str">
        <f>CONCATENATE(UPPER(RAW_APS!$A347),"__",RAW_APS!$B347,"_",RAW_APS!$C347)</f>
        <v>MA239__44611_0.308553240740741</v>
      </c>
      <c r="J346" s="257" t="str">
        <f t="shared" si="2"/>
        <v/>
      </c>
      <c r="K346" s="252" t="s">
        <v>1138</v>
      </c>
      <c r="L346" s="258" t="str">
        <f t="shared" si="3"/>
        <v>MA1124</v>
      </c>
      <c r="M346" s="259" t="b">
        <f t="shared" si="4"/>
        <v>0</v>
      </c>
      <c r="N346" s="258" t="str">
        <f t="shared" si="5"/>
        <v/>
      </c>
      <c r="O346" s="5"/>
      <c r="P346" s="5"/>
      <c r="Q346" s="5"/>
      <c r="R346" s="5"/>
      <c r="S346" s="5"/>
      <c r="T346" s="5"/>
      <c r="U346" s="5"/>
      <c r="V346" s="5"/>
      <c r="W346" s="5"/>
    </row>
    <row r="347">
      <c r="A347" s="112" t="str">
        <f>IF(OR(ISBLANK(RAW_APS!A347),ISBLANK(RAW_APS!B347),ISBLANK(RAW_APS!C347)),TRUE,IFERROR(0/0,""))</f>
        <v/>
      </c>
      <c r="B347" s="252"/>
      <c r="C347" s="112" t="str">
        <f>IF(ISBLANK(B347),IFERROR(0/0,""),RAW_APS!A347)</f>
        <v/>
      </c>
      <c r="D347" s="112" t="str">
        <f>IF(ISBLANK(C347),IFERROR(0/0,""), VLOOKUP(C347,preDEL!A$2:AG786,33,FALSE))</f>
        <v/>
      </c>
      <c r="E347" s="252"/>
      <c r="F347" s="210"/>
      <c r="G347" s="252"/>
      <c r="H347" s="255" t="str">
        <f t="shared" si="1"/>
        <v/>
      </c>
      <c r="I347" s="256" t="str">
        <f>CONCATENATE(UPPER(RAW_APS!$A348),"__",RAW_APS!$B348,"_",RAW_APS!$C348)</f>
        <v>FM828__44611_0.300694444444444</v>
      </c>
      <c r="J347" s="257" t="str">
        <f t="shared" si="2"/>
        <v/>
      </c>
      <c r="K347" s="252" t="s">
        <v>1141</v>
      </c>
      <c r="L347" s="258" t="str">
        <f t="shared" si="3"/>
        <v>MA1127</v>
      </c>
      <c r="M347" s="259" t="b">
        <f t="shared" si="4"/>
        <v>0</v>
      </c>
      <c r="N347" s="258" t="str">
        <f t="shared" si="5"/>
        <v/>
      </c>
      <c r="O347" s="5"/>
      <c r="P347" s="5"/>
      <c r="Q347" s="5"/>
      <c r="R347" s="5"/>
      <c r="S347" s="5"/>
      <c r="T347" s="5"/>
      <c r="U347" s="5"/>
      <c r="V347" s="5"/>
      <c r="W347" s="5"/>
    </row>
    <row r="348">
      <c r="A348" s="112" t="str">
        <f>IF(OR(ISBLANK(RAW_APS!A348),ISBLANK(RAW_APS!B348),ISBLANK(RAW_APS!C348)),TRUE,IFERROR(0/0,""))</f>
        <v/>
      </c>
      <c r="B348" s="252"/>
      <c r="C348" s="112" t="str">
        <f>IF(ISBLANK(B348),IFERROR(0/0,""),RAW_APS!A348)</f>
        <v/>
      </c>
      <c r="D348" s="112" t="str">
        <f>IF(ISBLANK(C348),IFERROR(0/0,""), VLOOKUP(C348,preDEL!A$2:AG786,33,FALSE))</f>
        <v/>
      </c>
      <c r="E348" s="252"/>
      <c r="F348" s="210"/>
      <c r="G348" s="252"/>
      <c r="H348" s="255" t="str">
        <f t="shared" si="1"/>
        <v/>
      </c>
      <c r="I348" s="256" t="str">
        <f>CONCATENATE(UPPER(RAW_APS!$A349),"__",RAW_APS!$B349,"_",RAW_APS!$C349)</f>
        <v>MA1067__44611_0.297233796296296</v>
      </c>
      <c r="J348" s="257" t="str">
        <f t="shared" si="2"/>
        <v/>
      </c>
      <c r="K348" s="252" t="s">
        <v>1144</v>
      </c>
      <c r="L348" s="258" t="str">
        <f t="shared" si="3"/>
        <v>MA1128</v>
      </c>
      <c r="M348" s="259" t="b">
        <f t="shared" si="4"/>
        <v>0</v>
      </c>
      <c r="N348" s="258" t="str">
        <f t="shared" si="5"/>
        <v/>
      </c>
      <c r="O348" s="5"/>
      <c r="P348" s="5"/>
      <c r="Q348" s="5"/>
      <c r="R348" s="5"/>
      <c r="S348" s="5"/>
      <c r="T348" s="5"/>
      <c r="U348" s="5"/>
      <c r="V348" s="5"/>
      <c r="W348" s="5"/>
    </row>
    <row r="349">
      <c r="A349" s="112" t="str">
        <f>IF(OR(ISBLANK(RAW_APS!A349),ISBLANK(RAW_APS!B349),ISBLANK(RAW_APS!C349)),TRUE,IFERROR(0/0,""))</f>
        <v/>
      </c>
      <c r="B349" s="252"/>
      <c r="C349" s="112" t="str">
        <f>IF(ISBLANK(B349),IFERROR(0/0,""),RAW_APS!A349)</f>
        <v/>
      </c>
      <c r="D349" s="112" t="str">
        <f>IF(ISBLANK(C349),IFERROR(0/0,""), VLOOKUP(C349,preDEL!A$2:AG786,33,FALSE))</f>
        <v/>
      </c>
      <c r="E349" s="252"/>
      <c r="F349" s="210"/>
      <c r="G349" s="252"/>
      <c r="H349" s="255" t="str">
        <f t="shared" si="1"/>
        <v/>
      </c>
      <c r="I349" s="256" t="str">
        <f>CONCATENATE(UPPER(RAW_APS!$A350),"__",RAW_APS!$B350,"_",RAW_APS!$C350)</f>
        <v>MA1139__44609_0.387268518518519</v>
      </c>
      <c r="J349" s="257" t="str">
        <f t="shared" si="2"/>
        <v/>
      </c>
      <c r="K349" s="252" t="s">
        <v>1146</v>
      </c>
      <c r="L349" s="258" t="str">
        <f t="shared" si="3"/>
        <v>MA1131</v>
      </c>
      <c r="M349" s="259" t="b">
        <f t="shared" si="4"/>
        <v>0</v>
      </c>
      <c r="N349" s="258" t="str">
        <f t="shared" si="5"/>
        <v/>
      </c>
      <c r="O349" s="5"/>
      <c r="P349" s="5"/>
      <c r="Q349" s="5"/>
      <c r="R349" s="5"/>
      <c r="S349" s="5"/>
      <c r="T349" s="5"/>
      <c r="U349" s="5"/>
      <c r="V349" s="5"/>
      <c r="W349" s="5"/>
    </row>
    <row r="350">
      <c r="A350" s="112" t="str">
        <f>IF(OR(ISBLANK(RAW_APS!A350),ISBLANK(RAW_APS!B350),ISBLANK(RAW_APS!C350)),TRUE,IFERROR(0/0,""))</f>
        <v/>
      </c>
      <c r="B350" s="252"/>
      <c r="C350" s="112" t="str">
        <f>IF(ISBLANK(B350),IFERROR(0/0,""),RAW_APS!A350)</f>
        <v/>
      </c>
      <c r="D350" s="112" t="str">
        <f>IF(ISBLANK(C350),IFERROR(0/0,""), VLOOKUP(C350,preDEL!A$2:AG786,33,FALSE))</f>
        <v/>
      </c>
      <c r="E350" s="252"/>
      <c r="F350" s="210"/>
      <c r="G350" s="252"/>
      <c r="H350" s="255" t="str">
        <f t="shared" si="1"/>
        <v/>
      </c>
      <c r="I350" s="256" t="str">
        <f>CONCATENATE(UPPER(RAW_APS!$A351),"__",RAW_APS!$B351,"_",RAW_APS!$C351)</f>
        <v>FM26__44609_0.354976851851852</v>
      </c>
      <c r="J350" s="257" t="str">
        <f t="shared" si="2"/>
        <v/>
      </c>
      <c r="K350" s="252" t="s">
        <v>1148</v>
      </c>
      <c r="L350" s="258" t="str">
        <f t="shared" si="3"/>
        <v>MA1135</v>
      </c>
      <c r="M350" s="259" t="b">
        <f t="shared" si="4"/>
        <v>0</v>
      </c>
      <c r="N350" s="258" t="str">
        <f t="shared" si="5"/>
        <v/>
      </c>
      <c r="O350" s="5"/>
      <c r="P350" s="5"/>
      <c r="Q350" s="5"/>
      <c r="R350" s="5"/>
      <c r="S350" s="5"/>
      <c r="T350" s="5"/>
      <c r="U350" s="5"/>
      <c r="V350" s="5"/>
      <c r="W350" s="5"/>
    </row>
    <row r="351">
      <c r="A351" s="112" t="str">
        <f>IF(OR(ISBLANK(RAW_APS!A351),ISBLANK(RAW_APS!B351),ISBLANK(RAW_APS!C351)),TRUE,IFERROR(0/0,""))</f>
        <v/>
      </c>
      <c r="B351" s="252"/>
      <c r="C351" s="112" t="str">
        <f>IF(ISBLANK(B351),IFERROR(0/0,""),RAW_APS!A351)</f>
        <v/>
      </c>
      <c r="D351" s="112" t="str">
        <f>IF(ISBLANK(C351),IFERROR(0/0,""), VLOOKUP(C351,preDEL!A$2:AG786,33,FALSE))</f>
        <v/>
      </c>
      <c r="E351" s="252"/>
      <c r="F351" s="210"/>
      <c r="G351" s="252"/>
      <c r="H351" s="255" t="str">
        <f t="shared" si="1"/>
        <v/>
      </c>
      <c r="I351" s="256" t="str">
        <f>CONCATENATE(UPPER(RAW_APS!$A352),"__",RAW_APS!$B352,"_",RAW_APS!$C352)</f>
        <v>FM55__44609_0.344166666666667</v>
      </c>
      <c r="J351" s="257" t="str">
        <f t="shared" si="2"/>
        <v/>
      </c>
      <c r="K351" s="252" t="s">
        <v>1150</v>
      </c>
      <c r="L351" s="258" t="str">
        <f t="shared" si="3"/>
        <v>MA1136</v>
      </c>
      <c r="M351" s="259" t="b">
        <f t="shared" si="4"/>
        <v>0</v>
      </c>
      <c r="N351" s="258" t="str">
        <f t="shared" si="5"/>
        <v/>
      </c>
      <c r="O351" s="5"/>
      <c r="P351" s="5"/>
      <c r="Q351" s="5"/>
      <c r="R351" s="5"/>
      <c r="S351" s="5"/>
      <c r="T351" s="5"/>
      <c r="U351" s="5"/>
      <c r="V351" s="5"/>
      <c r="W351" s="5"/>
    </row>
    <row r="352">
      <c r="A352" s="112" t="str">
        <f>IF(OR(ISBLANK(RAW_APS!A352),ISBLANK(RAW_APS!B352),ISBLANK(RAW_APS!C352)),TRUE,IFERROR(0/0,""))</f>
        <v/>
      </c>
      <c r="B352" s="252"/>
      <c r="C352" s="112" t="str">
        <f>IF(ISBLANK(B352),IFERROR(0/0,""),RAW_APS!A352)</f>
        <v/>
      </c>
      <c r="D352" s="112" t="str">
        <f>IF(ISBLANK(C352),IFERROR(0/0,""), VLOOKUP(C352,preDEL!A$2:AG786,33,FALSE))</f>
        <v/>
      </c>
      <c r="E352" s="252"/>
      <c r="F352" s="210"/>
      <c r="G352" s="252"/>
      <c r="H352" s="255" t="str">
        <f t="shared" si="1"/>
        <v/>
      </c>
      <c r="I352" s="256" t="str">
        <f>CONCATENATE(UPPER(RAW_APS!$A353),"__",RAW_APS!$B353,"_",RAW_APS!$C353)</f>
        <v>MA237__44609_0.343981481481482</v>
      </c>
      <c r="J352" s="257" t="str">
        <f t="shared" si="2"/>
        <v/>
      </c>
      <c r="K352" s="252" t="s">
        <v>1152</v>
      </c>
      <c r="L352" s="258" t="str">
        <f t="shared" si="3"/>
        <v>MA1139</v>
      </c>
      <c r="M352" s="259" t="b">
        <f t="shared" si="4"/>
        <v>0</v>
      </c>
      <c r="N352" s="258" t="str">
        <f t="shared" si="5"/>
        <v/>
      </c>
      <c r="O352" s="5"/>
      <c r="P352" s="5"/>
      <c r="Q352" s="5"/>
      <c r="R352" s="5"/>
      <c r="S352" s="5"/>
      <c r="T352" s="5"/>
      <c r="U352" s="5"/>
      <c r="V352" s="5"/>
      <c r="W352" s="5"/>
    </row>
    <row r="353">
      <c r="A353" s="112" t="str">
        <f>IF(OR(ISBLANK(RAW_APS!A353),ISBLANK(RAW_APS!B353),ISBLANK(RAW_APS!C353)),TRUE,IFERROR(0/0,""))</f>
        <v/>
      </c>
      <c r="B353" s="252"/>
      <c r="C353" s="112" t="str">
        <f>IF(ISBLANK(B353),IFERROR(0/0,""),RAW_APS!A353)</f>
        <v/>
      </c>
      <c r="D353" s="112" t="str">
        <f>IF(ISBLANK(C353),IFERROR(0/0,""), VLOOKUP(C353,preDEL!A$2:AG786,33,FALSE))</f>
        <v/>
      </c>
      <c r="E353" s="252"/>
      <c r="F353" s="210"/>
      <c r="G353" s="252"/>
      <c r="H353" s="255" t="str">
        <f t="shared" si="1"/>
        <v/>
      </c>
      <c r="I353" s="256" t="str">
        <f>CONCATENATE(UPPER(RAW_APS!$A354),"__",RAW_APS!$B354,"_",RAW_APS!$C354)</f>
        <v>MA1087__44609_0.340196759259259</v>
      </c>
      <c r="J353" s="257" t="str">
        <f t="shared" si="2"/>
        <v/>
      </c>
      <c r="K353" s="252" t="s">
        <v>1154</v>
      </c>
      <c r="L353" s="258" t="str">
        <f t="shared" si="3"/>
        <v>MA1140</v>
      </c>
      <c r="M353" s="259" t="b">
        <f t="shared" si="4"/>
        <v>0</v>
      </c>
      <c r="N353" s="258" t="str">
        <f t="shared" si="5"/>
        <v/>
      </c>
      <c r="O353" s="5"/>
      <c r="P353" s="5"/>
      <c r="Q353" s="5"/>
      <c r="R353" s="5"/>
      <c r="S353" s="5"/>
      <c r="T353" s="5"/>
      <c r="U353" s="5"/>
      <c r="V353" s="5"/>
      <c r="W353" s="5"/>
    </row>
    <row r="354">
      <c r="A354" s="112" t="str">
        <f>IF(OR(ISBLANK(RAW_APS!A354),ISBLANK(RAW_APS!B354),ISBLANK(RAW_APS!C354)),TRUE,IFERROR(0/0,""))</f>
        <v/>
      </c>
      <c r="B354" s="252"/>
      <c r="C354" s="112" t="str">
        <f>IF(ISBLANK(B354),IFERROR(0/0,""),RAW_APS!A354)</f>
        <v/>
      </c>
      <c r="D354" s="112" t="str">
        <f>IF(ISBLANK(C354),IFERROR(0/0,""), VLOOKUP(C354,preDEL!A$2:AG786,33,FALSE))</f>
        <v/>
      </c>
      <c r="E354" s="252"/>
      <c r="F354" s="210"/>
      <c r="G354" s="252"/>
      <c r="H354" s="255" t="str">
        <f t="shared" si="1"/>
        <v/>
      </c>
      <c r="I354" s="256" t="str">
        <f>CONCATENATE(UPPER(RAW_APS!$A355),"__",RAW_APS!$B355,"_",RAW_APS!$C355)</f>
        <v>MA1054__44609_0.337199074074074</v>
      </c>
      <c r="J354" s="257" t="str">
        <f t="shared" si="2"/>
        <v/>
      </c>
      <c r="K354" s="252" t="s">
        <v>1156</v>
      </c>
      <c r="L354" s="258" t="str">
        <f t="shared" si="3"/>
        <v>MA1143</v>
      </c>
      <c r="M354" s="259" t="b">
        <f t="shared" si="4"/>
        <v>0</v>
      </c>
      <c r="N354" s="258" t="str">
        <f t="shared" si="5"/>
        <v/>
      </c>
      <c r="O354" s="5"/>
      <c r="P354" s="5"/>
      <c r="Q354" s="5"/>
      <c r="R354" s="5"/>
      <c r="S354" s="5"/>
      <c r="T354" s="5"/>
      <c r="U354" s="5"/>
      <c r="V354" s="5"/>
      <c r="W354" s="5"/>
    </row>
    <row r="355">
      <c r="A355" s="112" t="str">
        <f>IF(OR(ISBLANK(RAW_APS!A355),ISBLANK(RAW_APS!B355),ISBLANK(RAW_APS!C355)),TRUE,IFERROR(0/0,""))</f>
        <v/>
      </c>
      <c r="B355" s="252"/>
      <c r="C355" s="112" t="str">
        <f>IF(ISBLANK(B355),IFERROR(0/0,""),RAW_APS!A355)</f>
        <v/>
      </c>
      <c r="D355" s="112" t="str">
        <f>IF(ISBLANK(C355),IFERROR(0/0,""), VLOOKUP(C355,preDEL!A$2:AG786,33,FALSE))</f>
        <v/>
      </c>
      <c r="E355" s="252"/>
      <c r="F355" s="210"/>
      <c r="G355" s="252"/>
      <c r="H355" s="255" t="str">
        <f t="shared" si="1"/>
        <v/>
      </c>
      <c r="I355" s="256" t="str">
        <f>CONCATENATE(UPPER(RAW_APS!$A356),"__",RAW_APS!$B356,"_",RAW_APS!$C356)</f>
        <v>MA291__44609_0.334143518518519</v>
      </c>
      <c r="J355" s="257" t="str">
        <f t="shared" si="2"/>
        <v/>
      </c>
      <c r="K355" s="252" t="s">
        <v>1158</v>
      </c>
      <c r="L355" s="258" t="str">
        <f t="shared" si="3"/>
        <v>MA1145</v>
      </c>
      <c r="M355" s="259" t="b">
        <f t="shared" si="4"/>
        <v>0</v>
      </c>
      <c r="N355" s="258" t="str">
        <f t="shared" si="5"/>
        <v/>
      </c>
      <c r="O355" s="5"/>
      <c r="P355" s="5"/>
      <c r="Q355" s="5"/>
      <c r="R355" s="5"/>
      <c r="S355" s="5"/>
      <c r="T355" s="5"/>
      <c r="U355" s="5"/>
      <c r="V355" s="5"/>
      <c r="W355" s="5"/>
    </row>
    <row r="356">
      <c r="A356" s="112" t="str">
        <f>IF(OR(ISBLANK(RAW_APS!A356),ISBLANK(RAW_APS!B356),ISBLANK(RAW_APS!C356)),TRUE,IFERROR(0/0,""))</f>
        <v/>
      </c>
      <c r="B356" s="252"/>
      <c r="C356" s="112" t="str">
        <f>IF(ISBLANK(B356),IFERROR(0/0,""),RAW_APS!A356)</f>
        <v/>
      </c>
      <c r="D356" s="112" t="str">
        <f>IF(ISBLANK(C356),IFERROR(0/0,""), VLOOKUP(C356,preDEL!A$2:AG786,33,FALSE))</f>
        <v/>
      </c>
      <c r="E356" s="252"/>
      <c r="F356" s="210"/>
      <c r="G356" s="252"/>
      <c r="H356" s="255" t="str">
        <f t="shared" si="1"/>
        <v/>
      </c>
      <c r="I356" s="256" t="str">
        <f>CONCATENATE(UPPER(RAW_APS!$A357),"__",RAW_APS!$B357,"_",RAW_APS!$C357)</f>
        <v>MA292__44609_0.333993055555556</v>
      </c>
      <c r="J356" s="257" t="str">
        <f t="shared" si="2"/>
        <v/>
      </c>
      <c r="K356" s="252" t="s">
        <v>1160</v>
      </c>
      <c r="L356" s="258" t="str">
        <f t="shared" si="3"/>
        <v>MA1146</v>
      </c>
      <c r="M356" s="259" t="b">
        <f t="shared" si="4"/>
        <v>0</v>
      </c>
      <c r="N356" s="258" t="str">
        <f t="shared" si="5"/>
        <v/>
      </c>
      <c r="O356" s="5"/>
      <c r="P356" s="5"/>
      <c r="Q356" s="5"/>
      <c r="R356" s="5"/>
      <c r="S356" s="5"/>
      <c r="T356" s="5"/>
      <c r="U356" s="5"/>
      <c r="V356" s="5"/>
      <c r="W356" s="5"/>
    </row>
    <row r="357">
      <c r="A357" s="112" t="str">
        <f>IF(OR(ISBLANK(RAW_APS!A357),ISBLANK(RAW_APS!B357),ISBLANK(RAW_APS!C357)),TRUE,IFERROR(0/0,""))</f>
        <v/>
      </c>
      <c r="B357" s="252"/>
      <c r="C357" s="112" t="str">
        <f>IF(ISBLANK(B357),IFERROR(0/0,""),RAW_APS!A357)</f>
        <v/>
      </c>
      <c r="D357" s="112" t="str">
        <f>IF(ISBLANK(C357),IFERROR(0/0,""), VLOOKUP(C357,preDEL!A$2:AG786,33,FALSE))</f>
        <v/>
      </c>
      <c r="E357" s="252"/>
      <c r="F357" s="210"/>
      <c r="G357" s="252"/>
      <c r="H357" s="255" t="str">
        <f t="shared" si="1"/>
        <v/>
      </c>
      <c r="I357" s="256" t="str">
        <f>CONCATENATE(UPPER(RAW_APS!$A358),"__",RAW_APS!$B358,"_",RAW_APS!$C358)</f>
        <v>FM972__44609_0.332719907407407</v>
      </c>
      <c r="J357" s="257" t="str">
        <f t="shared" si="2"/>
        <v/>
      </c>
      <c r="K357" s="252" t="s">
        <v>1163</v>
      </c>
      <c r="L357" s="258" t="str">
        <f t="shared" si="3"/>
        <v>MA1147</v>
      </c>
      <c r="M357" s="259" t="b">
        <f t="shared" si="4"/>
        <v>0</v>
      </c>
      <c r="N357" s="258" t="str">
        <f t="shared" si="5"/>
        <v/>
      </c>
      <c r="O357" s="5"/>
      <c r="P357" s="5"/>
      <c r="Q357" s="5"/>
      <c r="R357" s="5"/>
      <c r="S357" s="5"/>
      <c r="T357" s="5"/>
      <c r="U357" s="5"/>
      <c r="V357" s="5"/>
      <c r="W357" s="5"/>
    </row>
    <row r="358">
      <c r="A358" s="112" t="str">
        <f>IF(OR(ISBLANK(RAW_APS!A358),ISBLANK(RAW_APS!B358),ISBLANK(RAW_APS!C358)),TRUE,IFERROR(0/0,""))</f>
        <v/>
      </c>
      <c r="B358" s="252"/>
      <c r="C358" s="112" t="str">
        <f>IF(ISBLANK(B358),IFERROR(0/0,""),RAW_APS!A358)</f>
        <v/>
      </c>
      <c r="D358" s="112" t="str">
        <f>IF(ISBLANK(C358),IFERROR(0/0,""), VLOOKUP(C358,preDEL!A$2:AG786,33,FALSE))</f>
        <v/>
      </c>
      <c r="E358" s="252"/>
      <c r="F358" s="210"/>
      <c r="G358" s="252"/>
      <c r="H358" s="255" t="str">
        <f t="shared" si="1"/>
        <v/>
      </c>
      <c r="I358" s="256" t="str">
        <f>CONCATENATE(UPPER(RAW_APS!$A359),"__",RAW_APS!$B359,"_",RAW_APS!$C359)</f>
        <v>FM816__44609_0.331898148148148</v>
      </c>
      <c r="J358" s="257" t="str">
        <f t="shared" si="2"/>
        <v/>
      </c>
      <c r="K358" s="252" t="s">
        <v>1165</v>
      </c>
      <c r="L358" s="258" t="str">
        <f t="shared" si="3"/>
        <v>MA1149</v>
      </c>
      <c r="M358" s="259" t="b">
        <f t="shared" si="4"/>
        <v>0</v>
      </c>
      <c r="N358" s="258" t="str">
        <f t="shared" si="5"/>
        <v/>
      </c>
      <c r="O358" s="5"/>
      <c r="P358" s="5"/>
      <c r="Q358" s="5"/>
      <c r="R358" s="5"/>
      <c r="S358" s="5"/>
      <c r="T358" s="5"/>
      <c r="U358" s="5"/>
      <c r="V358" s="5"/>
      <c r="W358" s="5"/>
    </row>
    <row r="359">
      <c r="A359" s="112" t="str">
        <f>IF(OR(ISBLANK(RAW_APS!A359),ISBLANK(RAW_APS!B359),ISBLANK(RAW_APS!C359)),TRUE,IFERROR(0/0,""))</f>
        <v/>
      </c>
      <c r="B359" s="252"/>
      <c r="C359" s="112" t="str">
        <f>IF(ISBLANK(B359),IFERROR(0/0,""),RAW_APS!A359)</f>
        <v/>
      </c>
      <c r="D359" s="112" t="str">
        <f>IF(ISBLANK(C359),IFERROR(0/0,""), VLOOKUP(C359,preDEL!A$2:AG786,33,FALSE))</f>
        <v/>
      </c>
      <c r="E359" s="252"/>
      <c r="F359" s="210"/>
      <c r="G359" s="252"/>
      <c r="H359" s="255" t="str">
        <f t="shared" si="1"/>
        <v/>
      </c>
      <c r="I359" s="256" t="str">
        <f>CONCATENATE(UPPER(RAW_APS!$A360),"__",RAW_APS!$B360,"_",RAW_APS!$C360)</f>
        <v>FM967__44609_0.328310185185185</v>
      </c>
      <c r="J359" s="257" t="str">
        <f t="shared" si="2"/>
        <v/>
      </c>
      <c r="K359" s="252" t="s">
        <v>1168</v>
      </c>
      <c r="L359" s="258" t="str">
        <f t="shared" si="3"/>
        <v>MA1150</v>
      </c>
      <c r="M359" s="259" t="b">
        <f t="shared" si="4"/>
        <v>0</v>
      </c>
      <c r="N359" s="258" t="str">
        <f t="shared" si="5"/>
        <v/>
      </c>
      <c r="O359" s="5"/>
      <c r="P359" s="5"/>
      <c r="Q359" s="5"/>
      <c r="R359" s="5"/>
      <c r="S359" s="5"/>
      <c r="T359" s="5"/>
      <c r="U359" s="5"/>
      <c r="V359" s="5"/>
      <c r="W359" s="5"/>
    </row>
    <row r="360">
      <c r="A360" s="112" t="str">
        <f>IF(OR(ISBLANK(RAW_APS!A360),ISBLANK(RAW_APS!B360),ISBLANK(RAW_APS!C360)),TRUE,IFERROR(0/0,""))</f>
        <v/>
      </c>
      <c r="B360" s="252"/>
      <c r="C360" s="112" t="str">
        <f>IF(ISBLANK(B360),IFERROR(0/0,""),RAW_APS!A360)</f>
        <v/>
      </c>
      <c r="D360" s="112" t="str">
        <f>IF(ISBLANK(C360),IFERROR(0/0,""), VLOOKUP(C360,preDEL!A$2:AG786,33,FALSE))</f>
        <v/>
      </c>
      <c r="E360" s="252"/>
      <c r="F360" s="210"/>
      <c r="G360" s="252"/>
      <c r="H360" s="255" t="str">
        <f t="shared" si="1"/>
        <v/>
      </c>
      <c r="I360" s="256" t="str">
        <f>CONCATENATE(UPPER(RAW_APS!$A361),"__",RAW_APS!$B361,"_",RAW_APS!$C361)</f>
        <v>FM472__44609_0.327662037037037</v>
      </c>
      <c r="J360" s="257" t="str">
        <f t="shared" si="2"/>
        <v/>
      </c>
      <c r="K360" s="252" t="s">
        <v>1171</v>
      </c>
      <c r="L360" s="258" t="str">
        <f t="shared" si="3"/>
        <v>MA1151</v>
      </c>
      <c r="M360" s="259" t="b">
        <f t="shared" si="4"/>
        <v>0</v>
      </c>
      <c r="N360" s="258" t="str">
        <f t="shared" si="5"/>
        <v/>
      </c>
      <c r="O360" s="5"/>
      <c r="P360" s="5"/>
      <c r="Q360" s="5"/>
      <c r="R360" s="5"/>
      <c r="S360" s="5"/>
      <c r="T360" s="5"/>
      <c r="U360" s="5"/>
      <c r="V360" s="5"/>
      <c r="W360" s="5"/>
    </row>
    <row r="361">
      <c r="A361" s="112" t="str">
        <f>IF(OR(ISBLANK(RAW_APS!A361),ISBLANK(RAW_APS!B361),ISBLANK(RAW_APS!C361)),TRUE,IFERROR(0/0,""))</f>
        <v/>
      </c>
      <c r="B361" s="252"/>
      <c r="C361" s="112" t="str">
        <f>IF(ISBLANK(B361),IFERROR(0/0,""),RAW_APS!A361)</f>
        <v/>
      </c>
      <c r="D361" s="112" t="str">
        <f>IF(ISBLANK(C361),IFERROR(0/0,""), VLOOKUP(C361,preDEL!A$2:AG786,33,FALSE))</f>
        <v/>
      </c>
      <c r="E361" s="252"/>
      <c r="F361" s="210"/>
      <c r="G361" s="252"/>
      <c r="H361" s="255" t="str">
        <f t="shared" si="1"/>
        <v/>
      </c>
      <c r="I361" s="256" t="str">
        <f>CONCATENATE(UPPER(RAW_APS!$A362),"__",RAW_APS!$B362,"_",RAW_APS!$C362)</f>
        <v>FM33__44609_0.327604166666667</v>
      </c>
      <c r="J361" s="257" t="str">
        <f t="shared" si="2"/>
        <v/>
      </c>
      <c r="K361" s="252" t="s">
        <v>1174</v>
      </c>
      <c r="L361" s="258" t="str">
        <f t="shared" si="3"/>
        <v>MA1152</v>
      </c>
      <c r="M361" s="259" t="b">
        <f t="shared" si="4"/>
        <v>0</v>
      </c>
      <c r="N361" s="258" t="str">
        <f t="shared" si="5"/>
        <v/>
      </c>
      <c r="O361" s="5"/>
      <c r="P361" s="5"/>
      <c r="Q361" s="5"/>
      <c r="R361" s="5"/>
      <c r="S361" s="5"/>
      <c r="T361" s="5"/>
      <c r="U361" s="5"/>
      <c r="V361" s="5"/>
      <c r="W361" s="5"/>
    </row>
    <row r="362">
      <c r="A362" s="112" t="str">
        <f>IF(OR(ISBLANK(RAW_APS!A362),ISBLANK(RAW_APS!B362),ISBLANK(RAW_APS!C362)),TRUE,IFERROR(0/0,""))</f>
        <v/>
      </c>
      <c r="B362" s="252"/>
      <c r="C362" s="112" t="str">
        <f>IF(ISBLANK(B362),IFERROR(0/0,""),RAW_APS!A362)</f>
        <v/>
      </c>
      <c r="D362" s="112" t="str">
        <f>IF(ISBLANK(C362),IFERROR(0/0,""), VLOOKUP(C362,preDEL!A$2:AG786,33,FALSE))</f>
        <v/>
      </c>
      <c r="E362" s="252"/>
      <c r="F362" s="210"/>
      <c r="G362" s="252"/>
      <c r="H362" s="255" t="str">
        <f t="shared" si="1"/>
        <v/>
      </c>
      <c r="I362" s="256" t="str">
        <f>CONCATENATE(UPPER(RAW_APS!$A363),"__",RAW_APS!$B363,"_",RAW_APS!$C363)</f>
        <v>FM56__44609_0.32755787037037</v>
      </c>
      <c r="J362" s="257" t="str">
        <f t="shared" si="2"/>
        <v/>
      </c>
      <c r="K362" s="252" t="s">
        <v>1176</v>
      </c>
      <c r="L362" s="258" t="str">
        <f t="shared" si="3"/>
        <v>MA1153</v>
      </c>
      <c r="M362" s="259" t="b">
        <f t="shared" si="4"/>
        <v>0</v>
      </c>
      <c r="N362" s="258" t="str">
        <f t="shared" si="5"/>
        <v/>
      </c>
      <c r="O362" s="5"/>
      <c r="P362" s="5"/>
      <c r="Q362" s="5"/>
      <c r="R362" s="5"/>
      <c r="S362" s="5"/>
      <c r="T362" s="5"/>
      <c r="U362" s="5"/>
      <c r="V362" s="5"/>
      <c r="W362" s="5"/>
    </row>
    <row r="363">
      <c r="A363" s="112" t="str">
        <f>IF(OR(ISBLANK(RAW_APS!A363),ISBLANK(RAW_APS!B363),ISBLANK(RAW_APS!C363)),TRUE,IFERROR(0/0,""))</f>
        <v/>
      </c>
      <c r="B363" s="252"/>
      <c r="C363" s="112" t="str">
        <f>IF(ISBLANK(B363),IFERROR(0/0,""),RAW_APS!A363)</f>
        <v/>
      </c>
      <c r="D363" s="112" t="str">
        <f>IF(ISBLANK(C363),IFERROR(0/0,""), VLOOKUP(C363,preDEL!A$2:AG786,33,FALSE))</f>
        <v/>
      </c>
      <c r="E363" s="252"/>
      <c r="F363" s="210"/>
      <c r="G363" s="252"/>
      <c r="H363" s="255" t="str">
        <f t="shared" si="1"/>
        <v/>
      </c>
      <c r="I363" s="256" t="str">
        <f>CONCATENATE(UPPER(RAW_APS!$A364),"__",RAW_APS!$B364,"_",RAW_APS!$C364)</f>
        <v>FM996__44609_0.327488425925926</v>
      </c>
      <c r="J363" s="257" t="str">
        <f t="shared" si="2"/>
        <v/>
      </c>
      <c r="K363" s="252" t="s">
        <v>1179</v>
      </c>
      <c r="L363" s="258" t="str">
        <f t="shared" si="3"/>
        <v>MA1155</v>
      </c>
      <c r="M363" s="259" t="b">
        <f t="shared" si="4"/>
        <v>0</v>
      </c>
      <c r="N363" s="258" t="str">
        <f t="shared" si="5"/>
        <v/>
      </c>
      <c r="O363" s="5"/>
      <c r="P363" s="5"/>
      <c r="Q363" s="5"/>
      <c r="R363" s="5"/>
      <c r="S363" s="5"/>
      <c r="T363" s="5"/>
      <c r="U363" s="5"/>
      <c r="V363" s="5"/>
      <c r="W363" s="5"/>
    </row>
    <row r="364">
      <c r="A364" s="112" t="str">
        <f>IF(OR(ISBLANK(RAW_APS!A364),ISBLANK(RAW_APS!B364),ISBLANK(RAW_APS!C364)),TRUE,IFERROR(0/0,""))</f>
        <v/>
      </c>
      <c r="B364" s="252"/>
      <c r="C364" s="112" t="str">
        <f>IF(ISBLANK(B364),IFERROR(0/0,""),RAW_APS!A364)</f>
        <v/>
      </c>
      <c r="D364" s="112" t="str">
        <f>IF(ISBLANK(C364),IFERROR(0/0,""), VLOOKUP(C364,preDEL!A$2:AG786,33,FALSE))</f>
        <v/>
      </c>
      <c r="E364" s="252"/>
      <c r="F364" s="210"/>
      <c r="G364" s="252"/>
      <c r="H364" s="255" t="str">
        <f t="shared" si="1"/>
        <v/>
      </c>
      <c r="I364" s="256" t="str">
        <f>CONCATENATE(UPPER(RAW_APS!$A365),"__",RAW_APS!$B365,"_",RAW_APS!$C365)</f>
        <v>MAX101__44609_0.319976851851852</v>
      </c>
      <c r="J364" s="257" t="str">
        <f t="shared" si="2"/>
        <v/>
      </c>
      <c r="K364" s="252" t="s">
        <v>1181</v>
      </c>
      <c r="L364" s="258" t="str">
        <f t="shared" si="3"/>
        <v>MA1156</v>
      </c>
      <c r="M364" s="259" t="b">
        <f t="shared" si="4"/>
        <v>0</v>
      </c>
      <c r="N364" s="258" t="str">
        <f t="shared" si="5"/>
        <v/>
      </c>
      <c r="O364" s="5"/>
      <c r="P364" s="5"/>
      <c r="Q364" s="5"/>
      <c r="R364" s="5"/>
      <c r="S364" s="5"/>
      <c r="T364" s="5"/>
      <c r="U364" s="5"/>
      <c r="V364" s="5"/>
      <c r="W364" s="5"/>
    </row>
    <row r="365">
      <c r="A365" s="112" t="str">
        <f>IF(OR(ISBLANK(RAW_APS!A365),ISBLANK(RAW_APS!B365),ISBLANK(RAW_APS!C365)),TRUE,IFERROR(0/0,""))</f>
        <v/>
      </c>
      <c r="B365" s="252"/>
      <c r="C365" s="112" t="str">
        <f>IF(ISBLANK(B365),IFERROR(0/0,""),RAW_APS!A365)</f>
        <v/>
      </c>
      <c r="D365" s="112" t="str">
        <f>IF(ISBLANK(C365),IFERROR(0/0,""), VLOOKUP(C365,preDEL!A$2:AG786,33,FALSE))</f>
        <v/>
      </c>
      <c r="E365" s="252"/>
      <c r="F365" s="210"/>
      <c r="G365" s="252"/>
      <c r="H365" s="255" t="str">
        <f t="shared" si="1"/>
        <v/>
      </c>
      <c r="I365" s="256" t="str">
        <f>CONCATENATE(UPPER(RAW_APS!$A366),"__",RAW_APS!$B366,"_",RAW_APS!$C366)</f>
        <v>MA259__44609_0.318738425925926</v>
      </c>
      <c r="J365" s="257" t="str">
        <f t="shared" si="2"/>
        <v/>
      </c>
      <c r="K365" s="252" t="s">
        <v>1183</v>
      </c>
      <c r="L365" s="258" t="str">
        <f t="shared" si="3"/>
        <v>MA1158</v>
      </c>
      <c r="M365" s="259" t="b">
        <f t="shared" si="4"/>
        <v>0</v>
      </c>
      <c r="N365" s="258" t="str">
        <f t="shared" si="5"/>
        <v/>
      </c>
      <c r="O365" s="5"/>
      <c r="P365" s="5"/>
      <c r="Q365" s="5"/>
      <c r="R365" s="5"/>
      <c r="S365" s="5"/>
      <c r="T365" s="5"/>
      <c r="U365" s="5"/>
      <c r="V365" s="5"/>
      <c r="W365" s="5"/>
    </row>
    <row r="366">
      <c r="A366" s="112" t="str">
        <f>IF(OR(ISBLANK(RAW_APS!A366),ISBLANK(RAW_APS!B366),ISBLANK(RAW_APS!C366)),TRUE,IFERROR(0/0,""))</f>
        <v/>
      </c>
      <c r="B366" s="252"/>
      <c r="C366" s="112" t="str">
        <f>IF(ISBLANK(B366),IFERROR(0/0,""),RAW_APS!A366)</f>
        <v/>
      </c>
      <c r="D366" s="112" t="str">
        <f>IF(ISBLANK(C366),IFERROR(0/0,""), VLOOKUP(C366,preDEL!A$2:AG786,33,FALSE))</f>
        <v/>
      </c>
      <c r="E366" s="252"/>
      <c r="F366" s="210"/>
      <c r="G366" s="252"/>
      <c r="H366" s="255" t="str">
        <f t="shared" si="1"/>
        <v/>
      </c>
      <c r="I366" s="256" t="str">
        <f>CONCATENATE(UPPER(RAW_APS!$A367),"__",RAW_APS!$B367,"_",RAW_APS!$C367)</f>
        <v>MA181__44609_0.31943287037037</v>
      </c>
      <c r="J366" s="257" t="str">
        <f t="shared" si="2"/>
        <v/>
      </c>
      <c r="K366" s="252" t="s">
        <v>1185</v>
      </c>
      <c r="L366" s="258" t="str">
        <f t="shared" si="3"/>
        <v>MA1159</v>
      </c>
      <c r="M366" s="259" t="b">
        <f t="shared" si="4"/>
        <v>0</v>
      </c>
      <c r="N366" s="258" t="str">
        <f t="shared" si="5"/>
        <v/>
      </c>
      <c r="O366" s="5"/>
      <c r="P366" s="5"/>
      <c r="Q366" s="5"/>
      <c r="R366" s="5"/>
      <c r="S366" s="5"/>
      <c r="T366" s="5"/>
      <c r="U366" s="5"/>
      <c r="V366" s="5"/>
      <c r="W366" s="5"/>
    </row>
    <row r="367">
      <c r="A367" s="112" t="str">
        <f>IF(OR(ISBLANK(RAW_APS!A367),ISBLANK(RAW_APS!B367),ISBLANK(RAW_APS!C367)),TRUE,IFERROR(0/0,""))</f>
        <v/>
      </c>
      <c r="B367" s="252"/>
      <c r="C367" s="112" t="str">
        <f>IF(ISBLANK(B367),IFERROR(0/0,""),RAW_APS!A367)</f>
        <v/>
      </c>
      <c r="D367" s="112" t="str">
        <f>IF(ISBLANK(C367),IFERROR(0/0,""), VLOOKUP(C367,preDEL!A$2:AG786,33,FALSE))</f>
        <v/>
      </c>
      <c r="E367" s="252"/>
      <c r="F367" s="210"/>
      <c r="G367" s="252"/>
      <c r="H367" s="255" t="str">
        <f t="shared" si="1"/>
        <v/>
      </c>
      <c r="I367" s="256" t="str">
        <f>CONCATENATE(UPPER(RAW_APS!$A368),"__",RAW_APS!$B368,"_",RAW_APS!$C368)</f>
        <v>FM819__44609_0.317534722222222</v>
      </c>
      <c r="J367" s="257" t="str">
        <f t="shared" si="2"/>
        <v/>
      </c>
      <c r="K367" s="252" t="s">
        <v>1187</v>
      </c>
      <c r="L367" s="258" t="str">
        <f t="shared" si="3"/>
        <v>MA1160</v>
      </c>
      <c r="M367" s="259" t="b">
        <f t="shared" si="4"/>
        <v>0</v>
      </c>
      <c r="N367" s="258" t="str">
        <f t="shared" si="5"/>
        <v/>
      </c>
      <c r="O367" s="5"/>
      <c r="P367" s="5"/>
      <c r="Q367" s="5"/>
      <c r="R367" s="5"/>
      <c r="S367" s="5"/>
      <c r="T367" s="5"/>
      <c r="U367" s="5"/>
      <c r="V367" s="5"/>
      <c r="W367" s="5"/>
    </row>
    <row r="368">
      <c r="A368" s="112" t="str">
        <f>IF(OR(ISBLANK(RAW_APS!A368),ISBLANK(RAW_APS!B368),ISBLANK(RAW_APS!C368)),TRUE,IFERROR(0/0,""))</f>
        <v/>
      </c>
      <c r="B368" s="252"/>
      <c r="C368" s="112" t="str">
        <f>IF(ISBLANK(B368),IFERROR(0/0,""),RAW_APS!A368)</f>
        <v/>
      </c>
      <c r="D368" s="112" t="str">
        <f>IF(ISBLANK(C368),IFERROR(0/0,""), VLOOKUP(C368,preDEL!A$2:AG786,33,FALSE))</f>
        <v/>
      </c>
      <c r="E368" s="252"/>
      <c r="F368" s="210"/>
      <c r="G368" s="252"/>
      <c r="H368" s="255" t="str">
        <f t="shared" si="1"/>
        <v/>
      </c>
      <c r="I368" s="256" t="str">
        <f>CONCATENATE(UPPER(RAW_APS!$A369),"__",RAW_APS!$B369,"_",RAW_APS!$C369)</f>
        <v>MA255__44609_0.316030092592593</v>
      </c>
      <c r="J368" s="257" t="str">
        <f t="shared" si="2"/>
        <v/>
      </c>
      <c r="K368" s="252" t="s">
        <v>1189</v>
      </c>
      <c r="L368" s="258" t="str">
        <f t="shared" si="3"/>
        <v>MA1161</v>
      </c>
      <c r="M368" s="259" t="b">
        <f t="shared" si="4"/>
        <v>0</v>
      </c>
      <c r="N368" s="258" t="str">
        <f t="shared" si="5"/>
        <v/>
      </c>
      <c r="O368" s="5"/>
      <c r="P368" s="5"/>
      <c r="Q368" s="5"/>
      <c r="R368" s="5"/>
      <c r="S368" s="5"/>
      <c r="T368" s="5"/>
      <c r="U368" s="5"/>
      <c r="V368" s="5"/>
      <c r="W368" s="5"/>
    </row>
    <row r="369">
      <c r="A369" s="112" t="str">
        <f>IF(OR(ISBLANK(RAW_APS!A369),ISBLANK(RAW_APS!B369),ISBLANK(RAW_APS!C369)),TRUE,IFERROR(0/0,""))</f>
        <v/>
      </c>
      <c r="B369" s="252"/>
      <c r="C369" s="112" t="str">
        <f>IF(ISBLANK(B369),IFERROR(0/0,""),RAW_APS!A369)</f>
        <v/>
      </c>
      <c r="D369" s="112" t="str">
        <f>IF(ISBLANK(C369),IFERROR(0/0,""), VLOOKUP(C369,preDEL!A$2:AG786,33,FALSE))</f>
        <v/>
      </c>
      <c r="E369" s="252"/>
      <c r="F369" s="210"/>
      <c r="G369" s="252"/>
      <c r="H369" s="255" t="str">
        <f t="shared" si="1"/>
        <v/>
      </c>
      <c r="I369" s="256" t="str">
        <f>CONCATENATE(UPPER(RAW_APS!$A370),"__",RAW_APS!$B370,"_",RAW_APS!$C370)</f>
        <v>MA206__44609_0.315636574074074</v>
      </c>
      <c r="J369" s="257" t="str">
        <f t="shared" si="2"/>
        <v/>
      </c>
      <c r="K369" s="252" t="s">
        <v>1193</v>
      </c>
      <c r="L369" s="258" t="str">
        <f t="shared" si="3"/>
        <v>MA1162</v>
      </c>
      <c r="M369" s="259" t="b">
        <f t="shared" si="4"/>
        <v>0</v>
      </c>
      <c r="N369" s="258" t="str">
        <f t="shared" si="5"/>
        <v/>
      </c>
      <c r="O369" s="5"/>
      <c r="P369" s="5"/>
      <c r="Q369" s="5"/>
      <c r="R369" s="5"/>
      <c r="S369" s="5"/>
      <c r="T369" s="5"/>
      <c r="U369" s="5"/>
      <c r="V369" s="5"/>
      <c r="W369" s="5"/>
    </row>
    <row r="370">
      <c r="A370" s="112" t="str">
        <f>IF(OR(ISBLANK(RAW_APS!A370),ISBLANK(RAW_APS!B370),ISBLANK(RAW_APS!C370)),TRUE,IFERROR(0/0,""))</f>
        <v/>
      </c>
      <c r="B370" s="252"/>
      <c r="C370" s="112" t="str">
        <f>IF(ISBLANK(B370),IFERROR(0/0,""),RAW_APS!A370)</f>
        <v/>
      </c>
      <c r="D370" s="112" t="str">
        <f>IF(ISBLANK(C370),IFERROR(0/0,""), VLOOKUP(C370,preDEL!A$2:AG786,33,FALSE))</f>
        <v/>
      </c>
      <c r="E370" s="252"/>
      <c r="F370" s="210"/>
      <c r="G370" s="252"/>
      <c r="H370" s="255" t="str">
        <f t="shared" si="1"/>
        <v/>
      </c>
      <c r="I370" s="256" t="str">
        <f>CONCATENATE(UPPER(RAW_APS!$A371),"__",RAW_APS!$B371,"_",RAW_APS!$C371)</f>
        <v>MA182__44609_0.315590277777778</v>
      </c>
      <c r="J370" s="257" t="str">
        <f t="shared" si="2"/>
        <v/>
      </c>
      <c r="K370" s="252" t="s">
        <v>1195</v>
      </c>
      <c r="L370" s="258" t="str">
        <f t="shared" si="3"/>
        <v>MA1163</v>
      </c>
      <c r="M370" s="259" t="b">
        <f t="shared" si="4"/>
        <v>0</v>
      </c>
      <c r="N370" s="258" t="str">
        <f t="shared" si="5"/>
        <v/>
      </c>
      <c r="O370" s="5"/>
      <c r="P370" s="5"/>
      <c r="Q370" s="5"/>
      <c r="R370" s="5"/>
      <c r="S370" s="5"/>
      <c r="T370" s="5"/>
      <c r="U370" s="5"/>
      <c r="V370" s="5"/>
      <c r="W370" s="5"/>
    </row>
    <row r="371">
      <c r="A371" s="112" t="str">
        <f>IF(OR(ISBLANK(RAW_APS!A371),ISBLANK(RAW_APS!B371),ISBLANK(RAW_APS!C371)),TRUE,IFERROR(0/0,""))</f>
        <v/>
      </c>
      <c r="B371" s="252"/>
      <c r="C371" s="112" t="str">
        <f>IF(ISBLANK(B371),IFERROR(0/0,""),RAW_APS!A371)</f>
        <v/>
      </c>
      <c r="D371" s="112" t="str">
        <f>IF(ISBLANK(C371),IFERROR(0/0,""), VLOOKUP(C371,preDEL!A$2:AG786,33,FALSE))</f>
        <v/>
      </c>
      <c r="E371" s="252"/>
      <c r="F371" s="210"/>
      <c r="G371" s="252"/>
      <c r="H371" s="255" t="str">
        <f t="shared" si="1"/>
        <v/>
      </c>
      <c r="I371" s="256" t="str">
        <f>CONCATENATE(UPPER(RAW_APS!$A372),"__",RAW_APS!$B372,"_",RAW_APS!$C372)</f>
        <v>FM9__44609_0.311689814814815</v>
      </c>
      <c r="J371" s="257" t="str">
        <f t="shared" si="2"/>
        <v/>
      </c>
      <c r="K371" s="252" t="s">
        <v>1197</v>
      </c>
      <c r="L371" s="258" t="str">
        <f t="shared" si="3"/>
        <v>MA1165</v>
      </c>
      <c r="M371" s="259" t="b">
        <f t="shared" si="4"/>
        <v>0</v>
      </c>
      <c r="N371" s="258" t="str">
        <f t="shared" si="5"/>
        <v/>
      </c>
      <c r="O371" s="5"/>
      <c r="P371" s="5"/>
      <c r="Q371" s="5"/>
      <c r="R371" s="5"/>
      <c r="S371" s="5"/>
      <c r="T371" s="5"/>
      <c r="U371" s="5"/>
      <c r="V371" s="5"/>
      <c r="W371" s="5"/>
    </row>
    <row r="372">
      <c r="A372" s="112" t="str">
        <f>IF(OR(ISBLANK(RAW_APS!A372),ISBLANK(RAW_APS!B372),ISBLANK(RAW_APS!C372)),TRUE,IFERROR(0/0,""))</f>
        <v/>
      </c>
      <c r="B372" s="252"/>
      <c r="C372" s="112" t="str">
        <f>IF(ISBLANK(B372),IFERROR(0/0,""),RAW_APS!A372)</f>
        <v/>
      </c>
      <c r="D372" s="112" t="str">
        <f>IF(ISBLANK(C372),IFERROR(0/0,""), VLOOKUP(C372,preDEL!A$2:AG786,33,FALSE))</f>
        <v/>
      </c>
      <c r="E372" s="252"/>
      <c r="F372" s="210"/>
      <c r="G372" s="252"/>
      <c r="H372" s="255" t="str">
        <f t="shared" si="1"/>
        <v/>
      </c>
      <c r="I372" s="256" t="str">
        <f>CONCATENATE(UPPER(RAW_APS!$A373),"__",RAW_APS!$B373,"_",RAW_APS!$C373)</f>
        <v>FM443__44609_0.3115625</v>
      </c>
      <c r="J372" s="257" t="str">
        <f t="shared" si="2"/>
        <v/>
      </c>
      <c r="K372" s="252" t="s">
        <v>1199</v>
      </c>
      <c r="L372" s="258" t="str">
        <f t="shared" si="3"/>
        <v>MA1166</v>
      </c>
      <c r="M372" s="259" t="b">
        <f t="shared" si="4"/>
        <v>0</v>
      </c>
      <c r="N372" s="258" t="str">
        <f t="shared" si="5"/>
        <v/>
      </c>
      <c r="O372" s="5"/>
      <c r="P372" s="5"/>
      <c r="Q372" s="5"/>
      <c r="R372" s="5"/>
      <c r="S372" s="5"/>
      <c r="T372" s="5"/>
      <c r="U372" s="5"/>
      <c r="V372" s="5"/>
      <c r="W372" s="5"/>
    </row>
    <row r="373">
      <c r="A373" s="112" t="str">
        <f>IF(OR(ISBLANK(RAW_APS!A373),ISBLANK(RAW_APS!B373),ISBLANK(RAW_APS!C373)),TRUE,IFERROR(0/0,""))</f>
        <v/>
      </c>
      <c r="B373" s="252"/>
      <c r="C373" s="112" t="str">
        <f>IF(ISBLANK(B373),IFERROR(0/0,""),RAW_APS!A373)</f>
        <v/>
      </c>
      <c r="D373" s="112" t="str">
        <f>IF(ISBLANK(C373),IFERROR(0/0,""), VLOOKUP(C373,preDEL!A$2:AG786,33,FALSE))</f>
        <v/>
      </c>
      <c r="E373" s="252"/>
      <c r="F373" s="210"/>
      <c r="G373" s="252"/>
      <c r="H373" s="255" t="str">
        <f t="shared" si="1"/>
        <v/>
      </c>
      <c r="I373" s="256" t="str">
        <f>CONCATENATE(UPPER(RAW_APS!$A374),"__",RAW_APS!$B374,"_",RAW_APS!$C374)</f>
        <v>FM429__44609_0.309583333333333</v>
      </c>
      <c r="J373" s="257" t="str">
        <f t="shared" si="2"/>
        <v/>
      </c>
      <c r="K373" s="252" t="s">
        <v>1204</v>
      </c>
      <c r="L373" s="258" t="str">
        <f t="shared" si="3"/>
        <v>MA1174</v>
      </c>
      <c r="M373" s="259" t="b">
        <f t="shared" si="4"/>
        <v>0</v>
      </c>
      <c r="N373" s="258" t="str">
        <f t="shared" si="5"/>
        <v/>
      </c>
      <c r="O373" s="5"/>
      <c r="P373" s="5"/>
      <c r="Q373" s="5"/>
      <c r="R373" s="5"/>
      <c r="S373" s="5"/>
      <c r="T373" s="5"/>
      <c r="U373" s="5"/>
      <c r="V373" s="5"/>
      <c r="W373" s="5"/>
    </row>
    <row r="374">
      <c r="A374" s="112" t="str">
        <f>IF(OR(ISBLANK(RAW_APS!A374),ISBLANK(RAW_APS!B374),ISBLANK(RAW_APS!C374)),TRUE,IFERROR(0/0,""))</f>
        <v/>
      </c>
      <c r="B374" s="252"/>
      <c r="C374" s="112" t="str">
        <f>IF(ISBLANK(B374),IFERROR(0/0,""),RAW_APS!A374)</f>
        <v/>
      </c>
      <c r="D374" s="112" t="str">
        <f>IF(ISBLANK(C374),IFERROR(0/0,""), VLOOKUP(C374,preDEL!A$2:AG786,33,FALSE))</f>
        <v/>
      </c>
      <c r="E374" s="252"/>
      <c r="F374" s="210"/>
      <c r="G374" s="252"/>
      <c r="H374" s="255" t="str">
        <f t="shared" si="1"/>
        <v/>
      </c>
      <c r="I374" s="256" t="str">
        <f>CONCATENATE(UPPER(RAW_APS!$A375),"__",RAW_APS!$B375,"_",RAW_APS!$C375)</f>
        <v>FM432__44609_0.308368055555556</v>
      </c>
      <c r="J374" s="257" t="str">
        <f t="shared" si="2"/>
        <v/>
      </c>
      <c r="K374" s="252" t="s">
        <v>1207</v>
      </c>
      <c r="L374" s="258" t="str">
        <f t="shared" si="3"/>
        <v>MA1175</v>
      </c>
      <c r="M374" s="259" t="b">
        <f t="shared" si="4"/>
        <v>0</v>
      </c>
      <c r="N374" s="258" t="str">
        <f t="shared" si="5"/>
        <v/>
      </c>
      <c r="O374" s="5"/>
      <c r="P374" s="5"/>
      <c r="Q374" s="5"/>
      <c r="R374" s="5"/>
      <c r="S374" s="5"/>
      <c r="T374" s="5"/>
      <c r="U374" s="5"/>
      <c r="V374" s="5"/>
      <c r="W374" s="5"/>
    </row>
    <row r="375">
      <c r="A375" s="112" t="str">
        <f>IF(OR(ISBLANK(RAW_APS!A375),ISBLANK(RAW_APS!B375),ISBLANK(RAW_APS!C375)),TRUE,IFERROR(0/0,""))</f>
        <v/>
      </c>
      <c r="B375" s="252"/>
      <c r="C375" s="112" t="str">
        <f>IF(ISBLANK(B375),IFERROR(0/0,""),RAW_APS!A375)</f>
        <v/>
      </c>
      <c r="D375" s="112" t="str">
        <f>IF(ISBLANK(C375),IFERROR(0/0,""), VLOOKUP(C375,preDEL!A$2:AG786,33,FALSE))</f>
        <v/>
      </c>
      <c r="E375" s="252"/>
      <c r="F375" s="210"/>
      <c r="G375" s="252"/>
      <c r="H375" s="255" t="str">
        <f t="shared" si="1"/>
        <v/>
      </c>
      <c r="I375" s="256" t="str">
        <f>CONCATENATE(UPPER(RAW_APS!$A376),"__",RAW_APS!$B376,"_",RAW_APS!$C376)</f>
        <v>FM57__44609_0.30599537037037</v>
      </c>
      <c r="J375" s="257" t="str">
        <f t="shared" si="2"/>
        <v/>
      </c>
      <c r="K375" s="252" t="s">
        <v>1211</v>
      </c>
      <c r="L375" s="258" t="str">
        <f t="shared" si="3"/>
        <v>MA1178</v>
      </c>
      <c r="M375" s="259" t="b">
        <f t="shared" si="4"/>
        <v>0</v>
      </c>
      <c r="N375" s="258" t="str">
        <f t="shared" si="5"/>
        <v/>
      </c>
      <c r="O375" s="5"/>
      <c r="P375" s="5"/>
      <c r="Q375" s="5"/>
      <c r="R375" s="5"/>
      <c r="S375" s="5"/>
      <c r="T375" s="5"/>
      <c r="U375" s="5"/>
      <c r="V375" s="5"/>
      <c r="W375" s="5"/>
    </row>
    <row r="376">
      <c r="A376" s="112" t="str">
        <f>IF(OR(ISBLANK(RAW_APS!A376),ISBLANK(RAW_APS!B376),ISBLANK(RAW_APS!C376)),TRUE,IFERROR(0/0,""))</f>
        <v/>
      </c>
      <c r="B376" s="252"/>
      <c r="C376" s="112" t="str">
        <f>IF(ISBLANK(B376),IFERROR(0/0,""),RAW_APS!A376)</f>
        <v/>
      </c>
      <c r="D376" s="112" t="str">
        <f>IF(ISBLANK(C376),IFERROR(0/0,""), VLOOKUP(C376,preDEL!A$2:AG786,33,FALSE))</f>
        <v/>
      </c>
      <c r="E376" s="252"/>
      <c r="F376" s="210"/>
      <c r="G376" s="252"/>
      <c r="H376" s="255" t="str">
        <f t="shared" si="1"/>
        <v/>
      </c>
      <c r="I376" s="256" t="str">
        <f>CONCATENATE(UPPER(RAW_APS!$A377),"__",RAW_APS!$B377,"_",RAW_APS!$C377)</f>
        <v>FM3__44609_0.304282407407407</v>
      </c>
      <c r="J376" s="257" t="str">
        <f t="shared" si="2"/>
        <v/>
      </c>
      <c r="K376" s="252" t="s">
        <v>1213</v>
      </c>
      <c r="L376" s="258" t="str">
        <f t="shared" si="3"/>
        <v>MA1179</v>
      </c>
      <c r="M376" s="259" t="b">
        <f t="shared" si="4"/>
        <v>0</v>
      </c>
      <c r="N376" s="258" t="str">
        <f t="shared" si="5"/>
        <v/>
      </c>
      <c r="O376" s="5"/>
      <c r="P376" s="5"/>
      <c r="Q376" s="5"/>
      <c r="R376" s="5"/>
      <c r="S376" s="5"/>
      <c r="T376" s="5"/>
      <c r="U376" s="5"/>
      <c r="V376" s="5"/>
      <c r="W376" s="5"/>
    </row>
    <row r="377">
      <c r="A377" s="112" t="str">
        <f>IF(OR(ISBLANK(RAW_APS!A377),ISBLANK(RAW_APS!B377),ISBLANK(RAW_APS!C377)),TRUE,IFERROR(0/0,""))</f>
        <v/>
      </c>
      <c r="B377" s="252"/>
      <c r="C377" s="112" t="str">
        <f>IF(ISBLANK(B377),IFERROR(0/0,""),RAW_APS!A377)</f>
        <v/>
      </c>
      <c r="D377" s="112" t="str">
        <f>IF(ISBLANK(C377),IFERROR(0/0,""), VLOOKUP(C377,preDEL!A$2:AG786,33,FALSE))</f>
        <v/>
      </c>
      <c r="E377" s="252"/>
      <c r="F377" s="210"/>
      <c r="G377" s="252"/>
      <c r="H377" s="255" t="str">
        <f t="shared" si="1"/>
        <v/>
      </c>
      <c r="I377" s="256" t="str">
        <f>CONCATENATE(UPPER(RAW_APS!$A378),"__",RAW_APS!$B378,"_",RAW_APS!$C378)</f>
        <v>MA226__44609_0.29255787037037</v>
      </c>
      <c r="J377" s="257" t="str">
        <f t="shared" si="2"/>
        <v/>
      </c>
      <c r="K377" s="252" t="s">
        <v>1215</v>
      </c>
      <c r="L377" s="258" t="str">
        <f t="shared" si="3"/>
        <v>MA1180</v>
      </c>
      <c r="M377" s="259" t="b">
        <f t="shared" si="4"/>
        <v>0</v>
      </c>
      <c r="N377" s="258" t="str">
        <f t="shared" si="5"/>
        <v/>
      </c>
      <c r="O377" s="5"/>
      <c r="P377" s="5"/>
      <c r="Q377" s="5"/>
      <c r="R377" s="5"/>
      <c r="S377" s="5"/>
      <c r="T377" s="5"/>
      <c r="U377" s="5"/>
      <c r="V377" s="5"/>
      <c r="W377" s="5"/>
    </row>
    <row r="378">
      <c r="A378" s="112" t="str">
        <f>IF(OR(ISBLANK(RAW_APS!A378),ISBLANK(RAW_APS!B378),ISBLANK(RAW_APS!C378)),TRUE,IFERROR(0/0,""))</f>
        <v/>
      </c>
      <c r="B378" s="252"/>
      <c r="C378" s="112" t="str">
        <f>IF(ISBLANK(B378),IFERROR(0/0,""),RAW_APS!A378)</f>
        <v/>
      </c>
      <c r="D378" s="112" t="str">
        <f>IF(ISBLANK(C378),IFERROR(0/0,""), VLOOKUP(C378,preDEL!A$2:AG786,33,FALSE))</f>
        <v/>
      </c>
      <c r="E378" s="252"/>
      <c r="F378" s="210"/>
      <c r="G378" s="252"/>
      <c r="H378" s="255" t="str">
        <f t="shared" si="1"/>
        <v/>
      </c>
      <c r="I378" s="256" t="str">
        <f>CONCATENATE(UPPER(RAW_APS!$A379),"__",RAW_APS!$B379,"_",RAW_APS!$C379)</f>
        <v>MAX8__44609_0.295173611111111</v>
      </c>
      <c r="J378" s="257" t="str">
        <f t="shared" si="2"/>
        <v/>
      </c>
      <c r="K378" s="252" t="s">
        <v>1217</v>
      </c>
      <c r="L378" s="258" t="str">
        <f t="shared" si="3"/>
        <v>MA1183</v>
      </c>
      <c r="M378" s="259" t="b">
        <f t="shared" si="4"/>
        <v>0</v>
      </c>
      <c r="N378" s="258" t="str">
        <f t="shared" si="5"/>
        <v/>
      </c>
      <c r="O378" s="5"/>
      <c r="P378" s="5"/>
      <c r="Q378" s="5"/>
      <c r="R378" s="5"/>
      <c r="S378" s="5"/>
      <c r="T378" s="5"/>
      <c r="U378" s="5"/>
      <c r="V378" s="5"/>
      <c r="W378" s="5"/>
    </row>
    <row r="379">
      <c r="A379" s="112" t="str">
        <f>IF(OR(ISBLANK(RAW_APS!A379),ISBLANK(RAW_APS!B379),ISBLANK(RAW_APS!C379)),TRUE,IFERROR(0/0,""))</f>
        <v/>
      </c>
      <c r="B379" s="252"/>
      <c r="C379" s="112" t="str">
        <f>IF(ISBLANK(B379),IFERROR(0/0,""),RAW_APS!A379)</f>
        <v/>
      </c>
      <c r="D379" s="112" t="str">
        <f>IF(ISBLANK(C379),IFERROR(0/0,""), VLOOKUP(C379,preDEL!A$2:AG786,33,FALSE))</f>
        <v/>
      </c>
      <c r="E379" s="252"/>
      <c r="F379" s="210"/>
      <c r="G379" s="252"/>
      <c r="H379" s="255" t="str">
        <f t="shared" si="1"/>
        <v/>
      </c>
      <c r="I379" s="256" t="str">
        <f>CONCATENATE(UPPER(RAW_APS!$A380),"__",RAW_APS!$B380,"_",RAW_APS!$C380)</f>
        <v>MAX115__44609_0.293854166666667</v>
      </c>
      <c r="J379" s="257" t="str">
        <f t="shared" si="2"/>
        <v/>
      </c>
      <c r="K379" s="252" t="s">
        <v>1219</v>
      </c>
      <c r="L379" s="258" t="str">
        <f t="shared" si="3"/>
        <v>MA1184</v>
      </c>
      <c r="M379" s="259" t="b">
        <f t="shared" si="4"/>
        <v>0</v>
      </c>
      <c r="N379" s="258" t="str">
        <f t="shared" si="5"/>
        <v/>
      </c>
      <c r="O379" s="5"/>
      <c r="P379" s="5"/>
      <c r="Q379" s="5"/>
      <c r="R379" s="5"/>
      <c r="S379" s="5"/>
      <c r="T379" s="5"/>
      <c r="U379" s="5"/>
      <c r="V379" s="5"/>
      <c r="W379" s="5"/>
    </row>
    <row r="380">
      <c r="A380" s="112" t="str">
        <f>IF(OR(ISBLANK(RAW_APS!A380),ISBLANK(RAW_APS!B380),ISBLANK(RAW_APS!C380)),TRUE,IFERROR(0/0,""))</f>
        <v/>
      </c>
      <c r="B380" s="252"/>
      <c r="C380" s="112" t="str">
        <f>IF(ISBLANK(B380),IFERROR(0/0,""),RAW_APS!A380)</f>
        <v/>
      </c>
      <c r="D380" s="112" t="str">
        <f>IF(ISBLANK(C380),IFERROR(0/0,""), VLOOKUP(C380,preDEL!A$2:AG786,33,FALSE))</f>
        <v/>
      </c>
      <c r="E380" s="252"/>
      <c r="F380" s="210"/>
      <c r="G380" s="252"/>
      <c r="H380" s="255" t="str">
        <f t="shared" si="1"/>
        <v/>
      </c>
      <c r="I380" s="256" t="str">
        <f>CONCATENATE(UPPER(RAW_APS!$A381),"__",RAW_APS!$B381,"_",RAW_APS!$C381)</f>
        <v>MAX117__44609_0.293518518518519</v>
      </c>
      <c r="J380" s="257" t="str">
        <f t="shared" si="2"/>
        <v/>
      </c>
      <c r="K380" s="252" t="s">
        <v>1221</v>
      </c>
      <c r="L380" s="258" t="str">
        <f t="shared" si="3"/>
        <v>MA1186</v>
      </c>
      <c r="M380" s="259" t="b">
        <f t="shared" si="4"/>
        <v>0</v>
      </c>
      <c r="N380" s="258" t="str">
        <f t="shared" si="5"/>
        <v/>
      </c>
      <c r="O380" s="5"/>
      <c r="P380" s="5"/>
      <c r="Q380" s="5"/>
      <c r="R380" s="5"/>
      <c r="S380" s="5"/>
      <c r="T380" s="5"/>
      <c r="U380" s="5"/>
      <c r="V380" s="5"/>
      <c r="W380" s="5"/>
    </row>
    <row r="381">
      <c r="A381" s="112" t="str">
        <f>IF(OR(ISBLANK(RAW_APS!A381),ISBLANK(RAW_APS!B381),ISBLANK(RAW_APS!C381)),TRUE,IFERROR(0/0,""))</f>
        <v/>
      </c>
      <c r="B381" s="252"/>
      <c r="C381" s="112" t="str">
        <f>IF(ISBLANK(B381),IFERROR(0/0,""),RAW_APS!A381)</f>
        <v/>
      </c>
      <c r="D381" s="112" t="str">
        <f>IF(ISBLANK(C381),IFERROR(0/0,""), VLOOKUP(C381,preDEL!A$2:AG786,33,FALSE))</f>
        <v/>
      </c>
      <c r="E381" s="252"/>
      <c r="F381" s="210"/>
      <c r="G381" s="252"/>
      <c r="H381" s="255" t="str">
        <f t="shared" si="1"/>
        <v/>
      </c>
      <c r="I381" s="256" t="str">
        <f>CONCATENATE(UPPER(RAW_APS!$A382),"__",RAW_APS!$B382,"_",RAW_APS!$C382)</f>
        <v>MA408__44609_0.282824074074074</v>
      </c>
      <c r="J381" s="257" t="str">
        <f t="shared" si="2"/>
        <v/>
      </c>
      <c r="K381" s="252" t="s">
        <v>1223</v>
      </c>
      <c r="L381" s="258" t="str">
        <f t="shared" si="3"/>
        <v>MA1187</v>
      </c>
      <c r="M381" s="259" t="b">
        <f t="shared" si="4"/>
        <v>0</v>
      </c>
      <c r="N381" s="258" t="str">
        <f t="shared" si="5"/>
        <v/>
      </c>
      <c r="O381" s="5"/>
      <c r="P381" s="5"/>
      <c r="Q381" s="5"/>
      <c r="R381" s="5"/>
      <c r="S381" s="5"/>
      <c r="T381" s="5"/>
      <c r="U381" s="5"/>
      <c r="V381" s="5"/>
      <c r="W381" s="5"/>
    </row>
    <row r="382">
      <c r="A382" s="112" t="str">
        <f>IF(OR(ISBLANK(RAW_APS!A382),ISBLANK(RAW_APS!B382),ISBLANK(RAW_APS!C382)),TRUE,IFERROR(0/0,""))</f>
        <v/>
      </c>
      <c r="B382" s="252"/>
      <c r="C382" s="112" t="str">
        <f>IF(ISBLANK(B382),IFERROR(0/0,""),RAW_APS!A382)</f>
        <v/>
      </c>
      <c r="D382" s="112" t="str">
        <f>IF(ISBLANK(C382),IFERROR(0/0,""), VLOOKUP(C382,preDEL!A$2:AG786,33,FALSE))</f>
        <v/>
      </c>
      <c r="E382" s="252"/>
      <c r="F382" s="210"/>
      <c r="G382" s="252"/>
      <c r="H382" s="255" t="str">
        <f t="shared" si="1"/>
        <v/>
      </c>
      <c r="I382" s="256" t="str">
        <f>CONCATENATE(UPPER(RAW_APS!$A383),"__",RAW_APS!$B383,"_",RAW_APS!$C383)</f>
        <v>FM50__44607_0.537210648148148</v>
      </c>
      <c r="J382" s="257" t="str">
        <f t="shared" si="2"/>
        <v/>
      </c>
      <c r="K382" s="252" t="s">
        <v>1226</v>
      </c>
      <c r="L382" s="258" t="str">
        <f t="shared" si="3"/>
        <v>MA1188</v>
      </c>
      <c r="M382" s="259" t="b">
        <f t="shared" si="4"/>
        <v>0</v>
      </c>
      <c r="N382" s="258" t="str">
        <f t="shared" si="5"/>
        <v/>
      </c>
      <c r="O382" s="5"/>
      <c r="P382" s="5"/>
      <c r="Q382" s="5"/>
      <c r="R382" s="5"/>
      <c r="S382" s="5"/>
      <c r="T382" s="5"/>
      <c r="U382" s="5"/>
      <c r="V382" s="5"/>
      <c r="W382" s="5"/>
    </row>
    <row r="383">
      <c r="A383" s="112" t="str">
        <f>IF(OR(ISBLANK(RAW_APS!A383),ISBLANK(RAW_APS!B383),ISBLANK(RAW_APS!C383)),TRUE,IFERROR(0/0,""))</f>
        <v/>
      </c>
      <c r="B383" s="252"/>
      <c r="C383" s="112" t="str">
        <f>IF(ISBLANK(B383),IFERROR(0/0,""),RAW_APS!A383)</f>
        <v/>
      </c>
      <c r="D383" s="112" t="str">
        <f>IF(ISBLANK(C383),IFERROR(0/0,""), VLOOKUP(C383,preDEL!A$2:AG786,33,FALSE))</f>
        <v/>
      </c>
      <c r="E383" s="252"/>
      <c r="F383" s="210"/>
      <c r="G383" s="252"/>
      <c r="H383" s="255" t="str">
        <f t="shared" si="1"/>
        <v/>
      </c>
      <c r="I383" s="256" t="str">
        <f>CONCATENATE(UPPER(RAW_APS!$A384),"__",RAW_APS!$B384,"_",RAW_APS!$C384)</f>
        <v>MA312__44607_0.392488425925926</v>
      </c>
      <c r="J383" s="257" t="str">
        <f t="shared" si="2"/>
        <v/>
      </c>
      <c r="K383" s="252" t="s">
        <v>1228</v>
      </c>
      <c r="L383" s="258" t="str">
        <f t="shared" si="3"/>
        <v>MA1190</v>
      </c>
      <c r="M383" s="259" t="b">
        <f t="shared" si="4"/>
        <v>0</v>
      </c>
      <c r="N383" s="258" t="str">
        <f t="shared" si="5"/>
        <v/>
      </c>
      <c r="O383" s="5"/>
      <c r="P383" s="5"/>
      <c r="Q383" s="5"/>
      <c r="R383" s="5"/>
      <c r="S383" s="5"/>
      <c r="T383" s="5"/>
      <c r="U383" s="5"/>
      <c r="V383" s="5"/>
      <c r="W383" s="5"/>
    </row>
    <row r="384">
      <c r="A384" s="112" t="str">
        <f>IF(OR(ISBLANK(RAW_APS!A384),ISBLANK(RAW_APS!B384),ISBLANK(RAW_APS!C384)),TRUE,IFERROR(0/0,""))</f>
        <v/>
      </c>
      <c r="B384" s="252"/>
      <c r="C384" s="112" t="str">
        <f>IF(ISBLANK(B384),IFERROR(0/0,""),RAW_APS!A384)</f>
        <v/>
      </c>
      <c r="D384" s="112" t="str">
        <f>IF(ISBLANK(C384),IFERROR(0/0,""), VLOOKUP(C384,preDEL!A$2:AG786,33,FALSE))</f>
        <v/>
      </c>
      <c r="E384" s="252"/>
      <c r="F384" s="210"/>
      <c r="G384" s="252"/>
      <c r="H384" s="255" t="str">
        <f t="shared" si="1"/>
        <v/>
      </c>
      <c r="I384" s="256" t="str">
        <f>CONCATENATE(UPPER(RAW_APS!$A385),"__",RAW_APS!$B385,"_",RAW_APS!$C385)</f>
        <v>MA312__44607_0.392488425925926</v>
      </c>
      <c r="J384" s="257" t="str">
        <f t="shared" si="2"/>
        <v/>
      </c>
      <c r="K384" s="252" t="s">
        <v>1230</v>
      </c>
      <c r="L384" s="258" t="str">
        <f t="shared" si="3"/>
        <v>MA1195</v>
      </c>
      <c r="M384" s="259" t="b">
        <f t="shared" si="4"/>
        <v>0</v>
      </c>
      <c r="N384" s="258" t="str">
        <f t="shared" si="5"/>
        <v/>
      </c>
      <c r="O384" s="5"/>
      <c r="P384" s="5"/>
      <c r="Q384" s="5"/>
      <c r="R384" s="5"/>
      <c r="S384" s="5"/>
      <c r="T384" s="5"/>
      <c r="U384" s="5"/>
      <c r="V384" s="5"/>
      <c r="W384" s="5"/>
    </row>
    <row r="385">
      <c r="A385" s="112" t="str">
        <f>IF(OR(ISBLANK(RAW_APS!A385),ISBLANK(RAW_APS!B385),ISBLANK(RAW_APS!C385)),TRUE,IFERROR(0/0,""))</f>
        <v/>
      </c>
      <c r="B385" s="252"/>
      <c r="C385" s="112" t="str">
        <f>IF(ISBLANK(B385),IFERROR(0/0,""),RAW_APS!A385)</f>
        <v/>
      </c>
      <c r="D385" s="112" t="str">
        <f>IF(ISBLANK(C385),IFERROR(0/0,""), VLOOKUP(C385,preDEL!A$2:AG786,33,FALSE))</f>
        <v/>
      </c>
      <c r="E385" s="252"/>
      <c r="F385" s="210"/>
      <c r="G385" s="252"/>
      <c r="H385" s="255" t="str">
        <f t="shared" si="1"/>
        <v/>
      </c>
      <c r="I385" s="256" t="str">
        <f>CONCATENATE(UPPER(RAW_APS!$A386),"__",RAW_APS!$B386,"_",RAW_APS!$C386)</f>
        <v>MA312__44607_0.392488425925926</v>
      </c>
      <c r="J385" s="257" t="str">
        <f t="shared" si="2"/>
        <v/>
      </c>
      <c r="K385" s="252" t="s">
        <v>1232</v>
      </c>
      <c r="L385" s="258" t="str">
        <f t="shared" si="3"/>
        <v>MA1199</v>
      </c>
      <c r="M385" s="259" t="b">
        <f t="shared" si="4"/>
        <v>0</v>
      </c>
      <c r="N385" s="258" t="str">
        <f t="shared" si="5"/>
        <v/>
      </c>
      <c r="O385" s="5"/>
      <c r="P385" s="5"/>
      <c r="Q385" s="5"/>
      <c r="R385" s="5"/>
      <c r="S385" s="5"/>
      <c r="T385" s="5"/>
      <c r="U385" s="5"/>
      <c r="V385" s="5"/>
      <c r="W385" s="5"/>
    </row>
    <row r="386">
      <c r="A386" s="112" t="str">
        <f>IF(OR(ISBLANK(RAW_APS!A386),ISBLANK(RAW_APS!B386),ISBLANK(RAW_APS!C386)),TRUE,IFERROR(0/0,""))</f>
        <v/>
      </c>
      <c r="B386" s="252"/>
      <c r="C386" s="112" t="str">
        <f>IF(ISBLANK(B386),IFERROR(0/0,""),RAW_APS!A386)</f>
        <v/>
      </c>
      <c r="D386" s="112" t="str">
        <f>IF(ISBLANK(C386),IFERROR(0/0,""), VLOOKUP(C386,preDEL!A$2:AG786,33,FALSE))</f>
        <v/>
      </c>
      <c r="E386" s="252"/>
      <c r="F386" s="210"/>
      <c r="G386" s="252"/>
      <c r="H386" s="255" t="str">
        <f t="shared" si="1"/>
        <v/>
      </c>
      <c r="I386" s="256" t="str">
        <f>CONCATENATE(UPPER(RAW_APS!$A387),"__",RAW_APS!$B387,"_",RAW_APS!$C387)</f>
        <v>MA312__44607_0.392488425925926</v>
      </c>
      <c r="J386" s="257" t="str">
        <f t="shared" si="2"/>
        <v/>
      </c>
      <c r="K386" s="252" t="s">
        <v>1234</v>
      </c>
      <c r="L386" s="258" t="str">
        <f t="shared" si="3"/>
        <v>MA1201</v>
      </c>
      <c r="M386" s="259" t="b">
        <f t="shared" si="4"/>
        <v>0</v>
      </c>
      <c r="N386" s="258" t="str">
        <f t="shared" si="5"/>
        <v/>
      </c>
      <c r="O386" s="5"/>
      <c r="P386" s="5"/>
      <c r="Q386" s="5"/>
      <c r="R386" s="5"/>
      <c r="S386" s="5"/>
      <c r="T386" s="5"/>
      <c r="U386" s="5"/>
      <c r="V386" s="5"/>
      <c r="W386" s="5"/>
    </row>
    <row r="387">
      <c r="A387" s="112" t="str">
        <f>IF(OR(ISBLANK(RAW_APS!A387),ISBLANK(RAW_APS!B387),ISBLANK(RAW_APS!C387)),TRUE,IFERROR(0/0,""))</f>
        <v/>
      </c>
      <c r="B387" s="252"/>
      <c r="C387" s="112" t="str">
        <f>IF(ISBLANK(B387),IFERROR(0/0,""),RAW_APS!A387)</f>
        <v/>
      </c>
      <c r="D387" s="112" t="str">
        <f>IF(ISBLANK(C387),IFERROR(0/0,""), VLOOKUP(C387,preDEL!A$2:AG786,33,FALSE))</f>
        <v/>
      </c>
      <c r="E387" s="252"/>
      <c r="F387" s="210"/>
      <c r="G387" s="252"/>
      <c r="H387" s="255" t="str">
        <f t="shared" si="1"/>
        <v/>
      </c>
      <c r="I387" s="256" t="str">
        <f>CONCATENATE(UPPER(RAW_APS!$A388),"__",RAW_APS!$B388,"_",RAW_APS!$C388)</f>
        <v>FM428__44607_0.371736111111111</v>
      </c>
      <c r="J387" s="257" t="str">
        <f t="shared" si="2"/>
        <v/>
      </c>
      <c r="K387" s="252" t="s">
        <v>1240</v>
      </c>
      <c r="L387" s="258" t="str">
        <f t="shared" si="3"/>
        <v>MA1209</v>
      </c>
      <c r="M387" s="259" t="b">
        <f t="shared" si="4"/>
        <v>0</v>
      </c>
      <c r="N387" s="258" t="str">
        <f t="shared" si="5"/>
        <v/>
      </c>
      <c r="O387" s="5"/>
      <c r="P387" s="5"/>
      <c r="Q387" s="5"/>
      <c r="R387" s="5"/>
      <c r="S387" s="5"/>
      <c r="T387" s="5"/>
      <c r="U387" s="5"/>
      <c r="V387" s="5"/>
      <c r="W387" s="5"/>
    </row>
    <row r="388">
      <c r="A388" s="112" t="str">
        <f>IF(OR(ISBLANK(RAW_APS!A388),ISBLANK(RAW_APS!B388),ISBLANK(RAW_APS!C388)),TRUE,IFERROR(0/0,""))</f>
        <v/>
      </c>
      <c r="B388" s="252"/>
      <c r="C388" s="112" t="str">
        <f>IF(ISBLANK(B388),IFERROR(0/0,""),RAW_APS!A388)</f>
        <v/>
      </c>
      <c r="D388" s="112" t="str">
        <f>IF(ISBLANK(C388),IFERROR(0/0,""), VLOOKUP(C388,preDEL!A$2:AG786,33,FALSE))</f>
        <v/>
      </c>
      <c r="E388" s="252"/>
      <c r="F388" s="210"/>
      <c r="G388" s="252"/>
      <c r="H388" s="255" t="str">
        <f t="shared" si="1"/>
        <v/>
      </c>
      <c r="I388" s="256" t="str">
        <f>CONCATENATE(UPPER(RAW_APS!$A389),"__",RAW_APS!$B389,"_",RAW_APS!$C389)</f>
        <v>MA1029__44607_0.34775462962963</v>
      </c>
      <c r="J388" s="257" t="str">
        <f t="shared" si="2"/>
        <v/>
      </c>
      <c r="K388" s="252" t="s">
        <v>1244</v>
      </c>
      <c r="L388" s="258" t="str">
        <f t="shared" si="3"/>
        <v>MA1210</v>
      </c>
      <c r="M388" s="259" t="b">
        <f t="shared" si="4"/>
        <v>0</v>
      </c>
      <c r="N388" s="258" t="str">
        <f t="shared" si="5"/>
        <v/>
      </c>
      <c r="O388" s="5"/>
      <c r="P388" s="5"/>
      <c r="Q388" s="5"/>
      <c r="R388" s="5"/>
      <c r="S388" s="5"/>
      <c r="T388" s="5"/>
      <c r="U388" s="5"/>
      <c r="V388" s="5"/>
      <c r="W388" s="5"/>
    </row>
    <row r="389">
      <c r="A389" s="112" t="str">
        <f>IF(OR(ISBLANK(RAW_APS!A389),ISBLANK(RAW_APS!B389),ISBLANK(RAW_APS!C389)),TRUE,IFERROR(0/0,""))</f>
        <v/>
      </c>
      <c r="B389" s="252"/>
      <c r="C389" s="112" t="str">
        <f>IF(ISBLANK(B389),IFERROR(0/0,""),RAW_APS!A389)</f>
        <v/>
      </c>
      <c r="D389" s="112" t="str">
        <f>IF(ISBLANK(C389),IFERROR(0/0,""), VLOOKUP(C389,preDEL!A$2:AG786,33,FALSE))</f>
        <v/>
      </c>
      <c r="E389" s="252"/>
      <c r="F389" s="210"/>
      <c r="G389" s="252"/>
      <c r="H389" s="255" t="str">
        <f t="shared" si="1"/>
        <v/>
      </c>
      <c r="I389" s="256" t="str">
        <f>CONCATENATE(UPPER(RAW_APS!$A390),"__",RAW_APS!$B390,"_",RAW_APS!$C390)</f>
        <v>FM34__44607_0.344953703703704</v>
      </c>
      <c r="J389" s="257" t="str">
        <f t="shared" si="2"/>
        <v/>
      </c>
      <c r="K389" s="252" t="s">
        <v>1246</v>
      </c>
      <c r="L389" s="258" t="str">
        <f t="shared" si="3"/>
        <v>MA1217</v>
      </c>
      <c r="M389" s="259" t="b">
        <f t="shared" si="4"/>
        <v>0</v>
      </c>
      <c r="N389" s="258" t="str">
        <f t="shared" si="5"/>
        <v/>
      </c>
      <c r="O389" s="5"/>
      <c r="P389" s="5"/>
      <c r="Q389" s="5"/>
      <c r="R389" s="5"/>
      <c r="S389" s="5"/>
      <c r="T389" s="5"/>
      <c r="U389" s="5"/>
      <c r="V389" s="5"/>
      <c r="W389" s="5"/>
    </row>
    <row r="390">
      <c r="A390" s="112" t="str">
        <f>IF(OR(ISBLANK(RAW_APS!A390),ISBLANK(RAW_APS!B390),ISBLANK(RAW_APS!C390)),TRUE,IFERROR(0/0,""))</f>
        <v/>
      </c>
      <c r="B390" s="252"/>
      <c r="C390" s="112" t="str">
        <f>IF(ISBLANK(B390),IFERROR(0/0,""),RAW_APS!A390)</f>
        <v/>
      </c>
      <c r="D390" s="112" t="str">
        <f>IF(ISBLANK(C390),IFERROR(0/0,""), VLOOKUP(C390,preDEL!A$2:AG786,33,FALSE))</f>
        <v/>
      </c>
      <c r="E390" s="252"/>
      <c r="F390" s="210"/>
      <c r="G390" s="252"/>
      <c r="H390" s="255" t="str">
        <f t="shared" si="1"/>
        <v/>
      </c>
      <c r="I390" s="256" t="str">
        <f>CONCATENATE(UPPER(RAW_APS!$A391),"__",RAW_APS!$B391,"_",RAW_APS!$C391)</f>
        <v>MA412__44607_0.341643518518519</v>
      </c>
      <c r="J390" s="257" t="str">
        <f t="shared" si="2"/>
        <v/>
      </c>
      <c r="K390" s="252" t="s">
        <v>1250</v>
      </c>
      <c r="L390" s="258" t="str">
        <f t="shared" si="3"/>
        <v>MA1223</v>
      </c>
      <c r="M390" s="259" t="b">
        <f t="shared" si="4"/>
        <v>0</v>
      </c>
      <c r="N390" s="258" t="str">
        <f t="shared" si="5"/>
        <v/>
      </c>
      <c r="O390" s="5"/>
      <c r="P390" s="5"/>
      <c r="Q390" s="5"/>
      <c r="R390" s="5"/>
      <c r="S390" s="5"/>
      <c r="T390" s="5"/>
      <c r="U390" s="5"/>
      <c r="V390" s="5"/>
      <c r="W390" s="5"/>
    </row>
    <row r="391">
      <c r="A391" s="112" t="str">
        <f>IF(OR(ISBLANK(RAW_APS!A391),ISBLANK(RAW_APS!B391),ISBLANK(RAW_APS!C391)),TRUE,IFERROR(0/0,""))</f>
        <v/>
      </c>
      <c r="B391" s="252"/>
      <c r="C391" s="112" t="str">
        <f>IF(ISBLANK(B391),IFERROR(0/0,""),RAW_APS!A391)</f>
        <v/>
      </c>
      <c r="D391" s="112" t="str">
        <f>IF(ISBLANK(C391),IFERROR(0/0,""), VLOOKUP(C391,preDEL!A$2:AG786,33,FALSE))</f>
        <v/>
      </c>
      <c r="E391" s="252"/>
      <c r="F391" s="210"/>
      <c r="G391" s="252"/>
      <c r="H391" s="255" t="str">
        <f t="shared" si="1"/>
        <v/>
      </c>
      <c r="I391" s="256" t="str">
        <f>CONCATENATE(UPPER(RAW_APS!$A392),"__",RAW_APS!$B392,"_",RAW_APS!$C392)</f>
        <v>MA301__44607_0.338148148148148</v>
      </c>
      <c r="J391" s="257" t="str">
        <f t="shared" si="2"/>
        <v/>
      </c>
      <c r="K391" s="252" t="s">
        <v>1258</v>
      </c>
      <c r="L391" s="258" t="str">
        <f t="shared" si="3"/>
        <v>MA1227</v>
      </c>
      <c r="M391" s="259" t="b">
        <f t="shared" si="4"/>
        <v>0</v>
      </c>
      <c r="N391" s="258" t="str">
        <f t="shared" si="5"/>
        <v/>
      </c>
      <c r="O391" s="5"/>
      <c r="P391" s="5"/>
      <c r="Q391" s="5"/>
      <c r="R391" s="5"/>
      <c r="S391" s="5"/>
      <c r="T391" s="5"/>
      <c r="U391" s="5"/>
      <c r="V391" s="5"/>
      <c r="W391" s="5"/>
    </row>
    <row r="392">
      <c r="A392" s="112" t="str">
        <f>IF(OR(ISBLANK(RAW_APS!A392),ISBLANK(RAW_APS!B392),ISBLANK(RAW_APS!C392)),TRUE,IFERROR(0/0,""))</f>
        <v/>
      </c>
      <c r="B392" s="252"/>
      <c r="C392" s="112" t="str">
        <f>IF(ISBLANK(B392),IFERROR(0/0,""),RAW_APS!A392)</f>
        <v/>
      </c>
      <c r="D392" s="112" t="str">
        <f>IF(ISBLANK(C392),IFERROR(0/0,""), VLOOKUP(C392,preDEL!A$2:AG786,33,FALSE))</f>
        <v/>
      </c>
      <c r="E392" s="252"/>
      <c r="F392" s="210"/>
      <c r="G392" s="252"/>
      <c r="H392" s="255" t="str">
        <f t="shared" si="1"/>
        <v/>
      </c>
      <c r="I392" s="256" t="str">
        <f>CONCATENATE(UPPER(RAW_APS!$A393),"__",RAW_APS!$B393,"_",RAW_APS!$C393)</f>
        <v>FM442__44607_0.334178240740741</v>
      </c>
      <c r="J392" s="257" t="str">
        <f t="shared" si="2"/>
        <v/>
      </c>
      <c r="K392" s="252" t="s">
        <v>1264</v>
      </c>
      <c r="L392" s="258" t="str">
        <f t="shared" si="3"/>
        <v>MA1229</v>
      </c>
      <c r="M392" s="259" t="b">
        <f t="shared" si="4"/>
        <v>0</v>
      </c>
      <c r="N392" s="258" t="str">
        <f t="shared" si="5"/>
        <v/>
      </c>
      <c r="O392" s="5"/>
      <c r="P392" s="5"/>
      <c r="Q392" s="5"/>
      <c r="R392" s="5"/>
      <c r="S392" s="5"/>
      <c r="T392" s="5"/>
      <c r="U392" s="5"/>
      <c r="V392" s="5"/>
      <c r="W392" s="5"/>
    </row>
    <row r="393">
      <c r="A393" s="112" t="str">
        <f>IF(OR(ISBLANK(RAW_APS!A393),ISBLANK(RAW_APS!B393),ISBLANK(RAW_APS!C393)),TRUE,IFERROR(0/0,""))</f>
        <v/>
      </c>
      <c r="B393" s="252"/>
      <c r="C393" s="112" t="str">
        <f>IF(ISBLANK(B393),IFERROR(0/0,""),RAW_APS!A393)</f>
        <v/>
      </c>
      <c r="D393" s="112" t="str">
        <f>IF(ISBLANK(C393),IFERROR(0/0,""), VLOOKUP(C393,preDEL!A$2:AG786,33,FALSE))</f>
        <v/>
      </c>
      <c r="E393" s="252"/>
      <c r="F393" s="210"/>
      <c r="G393" s="252"/>
      <c r="H393" s="255" t="str">
        <f t="shared" si="1"/>
        <v/>
      </c>
      <c r="I393" s="256" t="str">
        <f>CONCATENATE(UPPER(RAW_APS!$A394),"__",RAW_APS!$B394,"_",RAW_APS!$C394)</f>
        <v>MA1055__44607_0.332395833333333</v>
      </c>
      <c r="J393" s="257" t="str">
        <f t="shared" si="2"/>
        <v/>
      </c>
      <c r="K393" s="252" t="s">
        <v>1266</v>
      </c>
      <c r="L393" s="258" t="str">
        <f t="shared" si="3"/>
        <v>MA1230</v>
      </c>
      <c r="M393" s="259" t="b">
        <f t="shared" si="4"/>
        <v>0</v>
      </c>
      <c r="N393" s="258" t="str">
        <f t="shared" si="5"/>
        <v/>
      </c>
      <c r="O393" s="5"/>
      <c r="P393" s="5"/>
      <c r="Q393" s="5"/>
      <c r="R393" s="5"/>
      <c r="S393" s="5"/>
      <c r="T393" s="5"/>
      <c r="U393" s="5"/>
      <c r="V393" s="5"/>
      <c r="W393" s="5"/>
    </row>
    <row r="394">
      <c r="A394" s="112" t="str">
        <f>IF(OR(ISBLANK(RAW_APS!A394),ISBLANK(RAW_APS!B394),ISBLANK(RAW_APS!C394)),TRUE,IFERROR(0/0,""))</f>
        <v/>
      </c>
      <c r="B394" s="252"/>
      <c r="C394" s="112" t="str">
        <f>IF(ISBLANK(B394),IFERROR(0/0,""),RAW_APS!A394)</f>
        <v/>
      </c>
      <c r="D394" s="112" t="str">
        <f>IF(ISBLANK(C394),IFERROR(0/0,""), VLOOKUP(C394,preDEL!A$2:AG786,33,FALSE))</f>
        <v/>
      </c>
      <c r="E394" s="252"/>
      <c r="F394" s="210"/>
      <c r="G394" s="252"/>
      <c r="H394" s="255" t="str">
        <f t="shared" si="1"/>
        <v/>
      </c>
      <c r="I394" s="256" t="str">
        <f>CONCATENATE(UPPER(RAW_APS!$A395),"__",RAW_APS!$B395,"_",RAW_APS!$C395)</f>
        <v>MA211__44607_0.329768518518519</v>
      </c>
      <c r="J394" s="257" t="str">
        <f t="shared" si="2"/>
        <v/>
      </c>
      <c r="K394" s="252" t="s">
        <v>1272</v>
      </c>
      <c r="L394" s="258" t="str">
        <f t="shared" si="3"/>
        <v>MA1233</v>
      </c>
      <c r="M394" s="259" t="b">
        <f t="shared" si="4"/>
        <v>0</v>
      </c>
      <c r="N394" s="258" t="str">
        <f t="shared" si="5"/>
        <v/>
      </c>
      <c r="O394" s="5"/>
      <c r="P394" s="5"/>
      <c r="Q394" s="5"/>
      <c r="R394" s="5"/>
      <c r="S394" s="5"/>
      <c r="T394" s="5"/>
      <c r="U394" s="5"/>
      <c r="V394" s="5"/>
      <c r="W394" s="5"/>
    </row>
    <row r="395">
      <c r="A395" s="112" t="str">
        <f>IF(OR(ISBLANK(RAW_APS!A395),ISBLANK(RAW_APS!B395),ISBLANK(RAW_APS!C395)),TRUE,IFERROR(0/0,""))</f>
        <v/>
      </c>
      <c r="B395" s="252"/>
      <c r="C395" s="112" t="str">
        <f>IF(ISBLANK(B395),IFERROR(0/0,""),RAW_APS!A395)</f>
        <v/>
      </c>
      <c r="D395" s="112" t="str">
        <f>IF(ISBLANK(C395),IFERROR(0/0,""), VLOOKUP(C395,preDEL!A$2:AG786,33,FALSE))</f>
        <v/>
      </c>
      <c r="E395" s="252"/>
      <c r="F395" s="210"/>
      <c r="G395" s="252"/>
      <c r="H395" s="255" t="str">
        <f t="shared" si="1"/>
        <v/>
      </c>
      <c r="I395" s="256" t="str">
        <f>CONCATENATE(UPPER(RAW_APS!$A396),"__",RAW_APS!$B396,"_",RAW_APS!$C396)</f>
        <v>FM59__44607_0.328738425925926</v>
      </c>
      <c r="J395" s="257" t="str">
        <f t="shared" si="2"/>
        <v/>
      </c>
      <c r="K395" s="252" t="s">
        <v>1276</v>
      </c>
      <c r="L395" s="258" t="str">
        <f t="shared" si="3"/>
        <v>MA1234</v>
      </c>
      <c r="M395" s="259" t="b">
        <f t="shared" si="4"/>
        <v>0</v>
      </c>
      <c r="N395" s="258" t="str">
        <f t="shared" si="5"/>
        <v/>
      </c>
      <c r="O395" s="5"/>
      <c r="P395" s="5"/>
      <c r="Q395" s="5"/>
      <c r="R395" s="5"/>
      <c r="S395" s="5"/>
      <c r="T395" s="5"/>
      <c r="U395" s="5"/>
      <c r="V395" s="5"/>
      <c r="W395" s="5"/>
    </row>
    <row r="396">
      <c r="A396" s="112" t="str">
        <f>IF(OR(ISBLANK(RAW_APS!A396),ISBLANK(RAW_APS!B396),ISBLANK(RAW_APS!C396)),TRUE,IFERROR(0/0,""))</f>
        <v/>
      </c>
      <c r="B396" s="252"/>
      <c r="C396" s="112" t="str">
        <f>IF(ISBLANK(B396),IFERROR(0/0,""),RAW_APS!A396)</f>
        <v/>
      </c>
      <c r="D396" s="112" t="str">
        <f>IF(ISBLANK(C396),IFERROR(0/0,""), VLOOKUP(C396,preDEL!A$2:AG786,33,FALSE))</f>
        <v/>
      </c>
      <c r="E396" s="252"/>
      <c r="F396" s="210"/>
      <c r="G396" s="252"/>
      <c r="H396" s="255" t="str">
        <f t="shared" si="1"/>
        <v/>
      </c>
      <c r="I396" s="256" t="str">
        <f>CONCATENATE(UPPER(RAW_APS!$A397),"__",RAW_APS!$B397,"_",RAW_APS!$C397)</f>
        <v>MA267__44607_0.328171296296296</v>
      </c>
      <c r="J396" s="257" t="str">
        <f t="shared" si="2"/>
        <v/>
      </c>
      <c r="K396" s="252" t="s">
        <v>1278</v>
      </c>
      <c r="L396" s="258" t="str">
        <f t="shared" si="3"/>
        <v>MA1235</v>
      </c>
      <c r="M396" s="259" t="b">
        <f t="shared" si="4"/>
        <v>0</v>
      </c>
      <c r="N396" s="258" t="str">
        <f t="shared" si="5"/>
        <v/>
      </c>
      <c r="O396" s="5"/>
      <c r="P396" s="5"/>
      <c r="Q396" s="5"/>
      <c r="R396" s="5"/>
      <c r="S396" s="5"/>
      <c r="T396" s="5"/>
      <c r="U396" s="5"/>
      <c r="V396" s="5"/>
      <c r="W396" s="5"/>
    </row>
    <row r="397">
      <c r="A397" s="112" t="str">
        <f>IF(OR(ISBLANK(RAW_APS!A397),ISBLANK(RAW_APS!B397),ISBLANK(RAW_APS!C397)),TRUE,IFERROR(0/0,""))</f>
        <v/>
      </c>
      <c r="B397" s="252"/>
      <c r="C397" s="112" t="str">
        <f>IF(ISBLANK(B397),IFERROR(0/0,""),RAW_APS!A397)</f>
        <v/>
      </c>
      <c r="D397" s="112" t="str">
        <f>IF(ISBLANK(C397),IFERROR(0/0,""), VLOOKUP(C397,preDEL!A$2:AG786,33,FALSE))</f>
        <v/>
      </c>
      <c r="E397" s="252"/>
      <c r="F397" s="210"/>
      <c r="G397" s="252"/>
      <c r="H397" s="255" t="str">
        <f t="shared" si="1"/>
        <v/>
      </c>
      <c r="I397" s="256" t="str">
        <f>CONCATENATE(UPPER(RAW_APS!$A398),"__",RAW_APS!$B398,"_",RAW_APS!$C398)</f>
        <v>FM452__44607_0.326666666666667</v>
      </c>
      <c r="J397" s="257" t="str">
        <f t="shared" si="2"/>
        <v/>
      </c>
      <c r="K397" s="252" t="s">
        <v>1280</v>
      </c>
      <c r="L397" s="258" t="str">
        <f t="shared" si="3"/>
        <v>MA1236</v>
      </c>
      <c r="M397" s="259" t="b">
        <f t="shared" si="4"/>
        <v>0</v>
      </c>
      <c r="N397" s="258" t="str">
        <f t="shared" si="5"/>
        <v/>
      </c>
      <c r="O397" s="5"/>
      <c r="P397" s="5"/>
      <c r="Q397" s="5"/>
      <c r="R397" s="5"/>
      <c r="S397" s="5"/>
      <c r="T397" s="5"/>
      <c r="U397" s="5"/>
      <c r="V397" s="5"/>
      <c r="W397" s="5"/>
    </row>
    <row r="398">
      <c r="A398" s="112" t="str">
        <f>IF(OR(ISBLANK(RAW_APS!A398),ISBLANK(RAW_APS!B398),ISBLANK(RAW_APS!C398)),TRUE,IFERROR(0/0,""))</f>
        <v/>
      </c>
      <c r="B398" s="252"/>
      <c r="C398" s="112" t="str">
        <f>IF(ISBLANK(B398),IFERROR(0/0,""),RAW_APS!A398)</f>
        <v/>
      </c>
      <c r="D398" s="112" t="str">
        <f>IF(ISBLANK(C398),IFERROR(0/0,""), VLOOKUP(C398,preDEL!A$2:AG786,33,FALSE))</f>
        <v/>
      </c>
      <c r="E398" s="252"/>
      <c r="F398" s="210"/>
      <c r="G398" s="252"/>
      <c r="H398" s="255" t="str">
        <f t="shared" si="1"/>
        <v/>
      </c>
      <c r="I398" s="256" t="str">
        <f>CONCATENATE(UPPER(RAW_APS!$A399),"__",RAW_APS!$B399,"_",RAW_APS!$C399)</f>
        <v>MA391__44607_0.325439814814815</v>
      </c>
      <c r="J398" s="257" t="str">
        <f t="shared" si="2"/>
        <v/>
      </c>
      <c r="K398" s="252" t="s">
        <v>1282</v>
      </c>
      <c r="L398" s="258" t="str">
        <f t="shared" si="3"/>
        <v>MA1237</v>
      </c>
      <c r="M398" s="259" t="b">
        <f t="shared" si="4"/>
        <v>0</v>
      </c>
      <c r="N398" s="258" t="str">
        <f t="shared" si="5"/>
        <v/>
      </c>
      <c r="O398" s="5"/>
      <c r="P398" s="5"/>
      <c r="Q398" s="5"/>
      <c r="R398" s="5"/>
      <c r="S398" s="5"/>
      <c r="T398" s="5"/>
      <c r="U398" s="5"/>
      <c r="V398" s="5"/>
      <c r="W398" s="5"/>
    </row>
    <row r="399">
      <c r="A399" s="112" t="str">
        <f>IF(OR(ISBLANK(RAW_APS!A399),ISBLANK(RAW_APS!B399),ISBLANK(RAW_APS!C399)),TRUE,IFERROR(0/0,""))</f>
        <v/>
      </c>
      <c r="B399" s="252"/>
      <c r="C399" s="112" t="str">
        <f>IF(ISBLANK(B399),IFERROR(0/0,""),RAW_APS!A399)</f>
        <v/>
      </c>
      <c r="D399" s="112" t="str">
        <f>IF(ISBLANK(C399),IFERROR(0/0,""), VLOOKUP(C399,preDEL!A$2:AG786,33,FALSE))</f>
        <v/>
      </c>
      <c r="E399" s="252"/>
      <c r="F399" s="210"/>
      <c r="G399" s="252"/>
      <c r="H399" s="255" t="str">
        <f t="shared" si="1"/>
        <v/>
      </c>
      <c r="I399" s="256" t="str">
        <f>CONCATENATE(UPPER(RAW_APS!$A400),"__",RAW_APS!$B400,"_",RAW_APS!$C400)</f>
        <v>MA1069__44607_0.325381944444444</v>
      </c>
      <c r="J399" s="257" t="str">
        <f t="shared" si="2"/>
        <v/>
      </c>
      <c r="K399" s="252" t="s">
        <v>1284</v>
      </c>
      <c r="L399" s="258" t="str">
        <f t="shared" si="3"/>
        <v>MA1238</v>
      </c>
      <c r="M399" s="259" t="b">
        <f t="shared" si="4"/>
        <v>0</v>
      </c>
      <c r="N399" s="258" t="str">
        <f t="shared" si="5"/>
        <v/>
      </c>
      <c r="O399" s="5"/>
      <c r="P399" s="5"/>
      <c r="Q399" s="5"/>
      <c r="R399" s="5"/>
      <c r="S399" s="5"/>
      <c r="T399" s="5"/>
      <c r="U399" s="5"/>
      <c r="V399" s="5"/>
      <c r="W399" s="5"/>
    </row>
    <row r="400">
      <c r="A400" s="112" t="str">
        <f>IF(OR(ISBLANK(RAW_APS!A400),ISBLANK(RAW_APS!B400),ISBLANK(RAW_APS!C400)),TRUE,IFERROR(0/0,""))</f>
        <v/>
      </c>
      <c r="B400" s="252"/>
      <c r="C400" s="112" t="str">
        <f>IF(ISBLANK(B400),IFERROR(0/0,""),RAW_APS!A400)</f>
        <v/>
      </c>
      <c r="D400" s="112" t="str">
        <f>IF(ISBLANK(C400),IFERROR(0/0,""), VLOOKUP(C400,preDEL!A$2:AG786,33,FALSE))</f>
        <v/>
      </c>
      <c r="E400" s="252"/>
      <c r="F400" s="210"/>
      <c r="G400" s="252"/>
      <c r="H400" s="255" t="str">
        <f t="shared" si="1"/>
        <v/>
      </c>
      <c r="I400" s="256" t="str">
        <f>CONCATENATE(UPPER(RAW_APS!$A401),"__",RAW_APS!$B401,"_",RAW_APS!$C401)</f>
        <v>MAX135__44607_0.324872685185185</v>
      </c>
      <c r="J400" s="257" t="str">
        <f t="shared" si="2"/>
        <v/>
      </c>
      <c r="K400" s="252" t="s">
        <v>1288</v>
      </c>
      <c r="L400" s="258" t="str">
        <f t="shared" si="3"/>
        <v>MA1240</v>
      </c>
      <c r="M400" s="259" t="b">
        <f t="shared" si="4"/>
        <v>0</v>
      </c>
      <c r="N400" s="258" t="str">
        <f t="shared" si="5"/>
        <v/>
      </c>
      <c r="O400" s="5"/>
      <c r="P400" s="5"/>
      <c r="Q400" s="5"/>
      <c r="R400" s="5"/>
      <c r="S400" s="5"/>
      <c r="T400" s="5"/>
      <c r="U400" s="5"/>
      <c r="V400" s="5"/>
      <c r="W400" s="5"/>
    </row>
    <row r="401">
      <c r="A401" s="112" t="str">
        <f>IF(OR(ISBLANK(RAW_APS!A401),ISBLANK(RAW_APS!B401),ISBLANK(RAW_APS!C401)),TRUE,IFERROR(0/0,""))</f>
        <v/>
      </c>
      <c r="B401" s="252"/>
      <c r="C401" s="112" t="str">
        <f>IF(ISBLANK(B401),IFERROR(0/0,""),RAW_APS!A401)</f>
        <v/>
      </c>
      <c r="D401" s="112" t="str">
        <f>IF(ISBLANK(C401),IFERROR(0/0,""), VLOOKUP(C401,preDEL!A$2:AG786,33,FALSE))</f>
        <v/>
      </c>
      <c r="E401" s="252"/>
      <c r="F401" s="210"/>
      <c r="G401" s="252"/>
      <c r="H401" s="255" t="str">
        <f t="shared" si="1"/>
        <v/>
      </c>
      <c r="I401" s="256" t="str">
        <f>CONCATENATE(UPPER(RAW_APS!$A402),"__",RAW_APS!$B402,"_",RAW_APS!$C402)</f>
        <v>MA296__44607_0.323506944444444</v>
      </c>
      <c r="J401" s="257" t="str">
        <f t="shared" si="2"/>
        <v/>
      </c>
      <c r="K401" s="252" t="s">
        <v>1292</v>
      </c>
      <c r="L401" s="258" t="str">
        <f t="shared" si="3"/>
        <v>MA1243</v>
      </c>
      <c r="M401" s="259" t="b">
        <f t="shared" si="4"/>
        <v>0</v>
      </c>
      <c r="N401" s="258" t="str">
        <f t="shared" si="5"/>
        <v/>
      </c>
      <c r="O401" s="5"/>
      <c r="P401" s="5"/>
      <c r="Q401" s="5"/>
      <c r="R401" s="5"/>
      <c r="S401" s="5"/>
      <c r="T401" s="5"/>
      <c r="U401" s="5"/>
      <c r="V401" s="5"/>
      <c r="W401" s="5"/>
    </row>
    <row r="402">
      <c r="A402" s="112" t="str">
        <f>IF(OR(ISBLANK(RAW_APS!A402),ISBLANK(RAW_APS!B402),ISBLANK(RAW_APS!C402)),TRUE,IFERROR(0/0,""))</f>
        <v/>
      </c>
      <c r="B402" s="252"/>
      <c r="C402" s="112" t="str">
        <f>IF(ISBLANK(B402),IFERROR(0/0,""),RAW_APS!A402)</f>
        <v/>
      </c>
      <c r="D402" s="112" t="str">
        <f>IF(ISBLANK(C402),IFERROR(0/0,""), VLOOKUP(C402,preDEL!A$2:AG786,33,FALSE))</f>
        <v/>
      </c>
      <c r="E402" s="252"/>
      <c r="F402" s="210"/>
      <c r="G402" s="252"/>
      <c r="H402" s="255" t="str">
        <f t="shared" si="1"/>
        <v/>
      </c>
      <c r="I402" s="256" t="str">
        <f>CONCATENATE(UPPER(RAW_APS!$A403),"__",RAW_APS!$B403,"_",RAW_APS!$C403)</f>
        <v>FM513__44607_0.323148148148148</v>
      </c>
      <c r="J402" s="257" t="str">
        <f t="shared" si="2"/>
        <v/>
      </c>
      <c r="K402" s="252" t="s">
        <v>1296</v>
      </c>
      <c r="L402" s="258" t="str">
        <f t="shared" si="3"/>
        <v>MA1245</v>
      </c>
      <c r="M402" s="259" t="b">
        <f t="shared" si="4"/>
        <v>0</v>
      </c>
      <c r="N402" s="258" t="str">
        <f t="shared" si="5"/>
        <v/>
      </c>
      <c r="O402" s="5"/>
      <c r="P402" s="5"/>
      <c r="Q402" s="5"/>
      <c r="R402" s="5"/>
      <c r="S402" s="5"/>
      <c r="T402" s="5"/>
      <c r="U402" s="5"/>
      <c r="V402" s="5"/>
      <c r="W402" s="5"/>
    </row>
    <row r="403">
      <c r="A403" s="112" t="str">
        <f>IF(OR(ISBLANK(RAW_APS!A403),ISBLANK(RAW_APS!B403),ISBLANK(RAW_APS!C403)),TRUE,IFERROR(0/0,""))</f>
        <v/>
      </c>
      <c r="B403" s="252"/>
      <c r="C403" s="112" t="str">
        <f>IF(ISBLANK(B403),IFERROR(0/0,""),RAW_APS!A403)</f>
        <v/>
      </c>
      <c r="D403" s="112" t="str">
        <f>IF(ISBLANK(C403),IFERROR(0/0,""), VLOOKUP(C403,preDEL!A$2:AG786,33,FALSE))</f>
        <v/>
      </c>
      <c r="E403" s="252"/>
      <c r="F403" s="210"/>
      <c r="G403" s="252"/>
      <c r="H403" s="255" t="str">
        <f t="shared" si="1"/>
        <v/>
      </c>
      <c r="I403" s="256" t="str">
        <f>CONCATENATE(UPPER(RAW_APS!$A404),"__",RAW_APS!$B404,"_",RAW_APS!$C404)</f>
        <v>MA1261__44607_0.320243055555556</v>
      </c>
      <c r="J403" s="257" t="str">
        <f t="shared" si="2"/>
        <v/>
      </c>
      <c r="K403" s="252" t="s">
        <v>1300</v>
      </c>
      <c r="L403" s="258" t="str">
        <f t="shared" si="3"/>
        <v>MA1248</v>
      </c>
      <c r="M403" s="259" t="b">
        <f t="shared" si="4"/>
        <v>0</v>
      </c>
      <c r="N403" s="258" t="str">
        <f t="shared" si="5"/>
        <v/>
      </c>
      <c r="O403" s="5"/>
      <c r="P403" s="5"/>
      <c r="Q403" s="5"/>
      <c r="R403" s="5"/>
      <c r="S403" s="5"/>
      <c r="T403" s="5"/>
      <c r="U403" s="5"/>
      <c r="V403" s="5"/>
      <c r="W403" s="5"/>
    </row>
    <row r="404">
      <c r="A404" s="112" t="str">
        <f>IF(OR(ISBLANK(RAW_APS!A404),ISBLANK(RAW_APS!B404),ISBLANK(RAW_APS!C404)),TRUE,IFERROR(0/0,""))</f>
        <v/>
      </c>
      <c r="B404" s="252"/>
      <c r="C404" s="112" t="str">
        <f>IF(ISBLANK(B404),IFERROR(0/0,""),RAW_APS!A404)</f>
        <v/>
      </c>
      <c r="D404" s="112" t="str">
        <f>IF(ISBLANK(C404),IFERROR(0/0,""), VLOOKUP(C404,preDEL!A$2:AG786,33,FALSE))</f>
        <v/>
      </c>
      <c r="E404" s="252"/>
      <c r="F404" s="210"/>
      <c r="G404" s="252"/>
      <c r="H404" s="255" t="str">
        <f t="shared" si="1"/>
        <v/>
      </c>
      <c r="I404" s="256" t="str">
        <f>CONCATENATE(UPPER(RAW_APS!$A405),"__",RAW_APS!$B405,"_",RAW_APS!$C405)</f>
        <v>MA1259__44607_0.319583333333333</v>
      </c>
      <c r="J404" s="257" t="str">
        <f t="shared" si="2"/>
        <v/>
      </c>
      <c r="K404" s="252" t="s">
        <v>1304</v>
      </c>
      <c r="L404" s="258" t="str">
        <f t="shared" si="3"/>
        <v>MA1252</v>
      </c>
      <c r="M404" s="259" t="b">
        <f t="shared" si="4"/>
        <v>0</v>
      </c>
      <c r="N404" s="258" t="str">
        <f t="shared" si="5"/>
        <v/>
      </c>
      <c r="O404" s="5"/>
      <c r="P404" s="5"/>
      <c r="Q404" s="5"/>
      <c r="R404" s="5"/>
      <c r="S404" s="5"/>
      <c r="T404" s="5"/>
      <c r="U404" s="5"/>
      <c r="V404" s="5"/>
      <c r="W404" s="5"/>
    </row>
    <row r="405">
      <c r="A405" s="112" t="str">
        <f>IF(OR(ISBLANK(RAW_APS!A405),ISBLANK(RAW_APS!B405),ISBLANK(RAW_APS!C405)),TRUE,IFERROR(0/0,""))</f>
        <v/>
      </c>
      <c r="B405" s="252"/>
      <c r="C405" s="112" t="str">
        <f>IF(ISBLANK(B405),IFERROR(0/0,""),RAW_APS!A405)</f>
        <v/>
      </c>
      <c r="D405" s="112" t="str">
        <f>IF(ISBLANK(C405),IFERROR(0/0,""), VLOOKUP(C405,preDEL!A$2:AG786,33,FALSE))</f>
        <v/>
      </c>
      <c r="E405" s="252"/>
      <c r="F405" s="210"/>
      <c r="G405" s="252"/>
      <c r="H405" s="255" t="str">
        <f t="shared" si="1"/>
        <v/>
      </c>
      <c r="I405" s="256" t="str">
        <f>CONCATENATE(UPPER(RAW_APS!$A406),"__",RAW_APS!$B406,"_",RAW_APS!$C406)</f>
        <v>MA1103__44607_0.314733796296296</v>
      </c>
      <c r="J405" s="257" t="str">
        <f t="shared" si="2"/>
        <v/>
      </c>
      <c r="K405" s="252" t="s">
        <v>1308</v>
      </c>
      <c r="L405" s="258" t="str">
        <f t="shared" si="3"/>
        <v>MA1253</v>
      </c>
      <c r="M405" s="259" t="b">
        <f t="shared" si="4"/>
        <v>0</v>
      </c>
      <c r="N405" s="258" t="str">
        <f t="shared" si="5"/>
        <v/>
      </c>
      <c r="O405" s="5"/>
      <c r="P405" s="5"/>
      <c r="Q405" s="5"/>
      <c r="R405" s="5"/>
      <c r="S405" s="5"/>
      <c r="T405" s="5"/>
      <c r="U405" s="5"/>
      <c r="V405" s="5"/>
      <c r="W405" s="5"/>
    </row>
    <row r="406">
      <c r="A406" s="112" t="str">
        <f>IF(OR(ISBLANK(RAW_APS!A406),ISBLANK(RAW_APS!B406),ISBLANK(RAW_APS!C406)),TRUE,IFERROR(0/0,""))</f>
        <v/>
      </c>
      <c r="B406" s="252"/>
      <c r="C406" s="112" t="str">
        <f>IF(ISBLANK(B406),IFERROR(0/0,""),RAW_APS!A406)</f>
        <v/>
      </c>
      <c r="D406" s="112" t="str">
        <f>IF(ISBLANK(C406),IFERROR(0/0,""), VLOOKUP(C406,preDEL!A$2:AG786,33,FALSE))</f>
        <v/>
      </c>
      <c r="E406" s="252"/>
      <c r="F406" s="210"/>
      <c r="G406" s="252"/>
      <c r="H406" s="255" t="str">
        <f t="shared" si="1"/>
        <v/>
      </c>
      <c r="I406" s="256" t="str">
        <f>CONCATENATE(UPPER(RAW_APS!$A407),"__",RAW_APS!$B407,"_",RAW_APS!$C407)</f>
        <v>MA1064__44607_0.314224537037037</v>
      </c>
      <c r="J406" s="257" t="str">
        <f t="shared" si="2"/>
        <v/>
      </c>
      <c r="K406" s="252" t="s">
        <v>1311</v>
      </c>
      <c r="L406" s="258" t="str">
        <f t="shared" si="3"/>
        <v>MA1255</v>
      </c>
      <c r="M406" s="259" t="b">
        <f t="shared" si="4"/>
        <v>0</v>
      </c>
      <c r="N406" s="258" t="str">
        <f t="shared" si="5"/>
        <v/>
      </c>
      <c r="O406" s="5"/>
      <c r="P406" s="5"/>
      <c r="Q406" s="5"/>
      <c r="R406" s="5"/>
      <c r="S406" s="5"/>
      <c r="T406" s="5"/>
      <c r="U406" s="5"/>
      <c r="V406" s="5"/>
      <c r="W406" s="5"/>
    </row>
    <row r="407">
      <c r="A407" s="112" t="str">
        <f>IF(OR(ISBLANK(RAW_APS!A407),ISBLANK(RAW_APS!B407),ISBLANK(RAW_APS!C407)),TRUE,IFERROR(0/0,""))</f>
        <v/>
      </c>
      <c r="B407" s="252"/>
      <c r="C407" s="112" t="str">
        <f>IF(ISBLANK(B407),IFERROR(0/0,""),RAW_APS!A407)</f>
        <v/>
      </c>
      <c r="D407" s="112" t="str">
        <f>IF(ISBLANK(C407),IFERROR(0/0,""), VLOOKUP(C407,preDEL!A$2:AG786,33,FALSE))</f>
        <v/>
      </c>
      <c r="E407" s="252"/>
      <c r="F407" s="210"/>
      <c r="G407" s="252"/>
      <c r="H407" s="255" t="str">
        <f t="shared" si="1"/>
        <v/>
      </c>
      <c r="I407" s="256" t="str">
        <f>CONCATENATE(UPPER(RAW_APS!$A408),"__",RAW_APS!$B408,"_",RAW_APS!$C408)</f>
        <v>FM782__44607_0.31349537037037</v>
      </c>
      <c r="J407" s="257" t="str">
        <f t="shared" si="2"/>
        <v/>
      </c>
      <c r="K407" s="252" t="s">
        <v>1312</v>
      </c>
      <c r="L407" s="258" t="str">
        <f t="shared" si="3"/>
        <v>MA1257</v>
      </c>
      <c r="M407" s="259" t="b">
        <f t="shared" si="4"/>
        <v>0</v>
      </c>
      <c r="N407" s="258" t="str">
        <f t="shared" si="5"/>
        <v/>
      </c>
      <c r="O407" s="5"/>
      <c r="P407" s="5"/>
      <c r="Q407" s="5"/>
      <c r="R407" s="5"/>
      <c r="S407" s="5"/>
      <c r="T407" s="5"/>
      <c r="U407" s="5"/>
      <c r="V407" s="5"/>
      <c r="W407" s="5"/>
    </row>
    <row r="408">
      <c r="A408" s="112" t="str">
        <f>IF(OR(ISBLANK(RAW_APS!A408),ISBLANK(RAW_APS!B408),ISBLANK(RAW_APS!C408)),TRUE,IFERROR(0/0,""))</f>
        <v/>
      </c>
      <c r="B408" s="252"/>
      <c r="C408" s="112" t="str">
        <f>IF(ISBLANK(B408),IFERROR(0/0,""),RAW_APS!A408)</f>
        <v/>
      </c>
      <c r="D408" s="112" t="str">
        <f>IF(ISBLANK(C408),IFERROR(0/0,""), VLOOKUP(C408,preDEL!A$2:AG786,33,FALSE))</f>
        <v/>
      </c>
      <c r="E408" s="252"/>
      <c r="F408" s="210"/>
      <c r="G408" s="252"/>
      <c r="H408" s="255" t="str">
        <f t="shared" si="1"/>
        <v/>
      </c>
      <c r="I408" s="256" t="str">
        <f>CONCATENATE(UPPER(RAW_APS!$A409),"__",RAW_APS!$B409,"_",RAW_APS!$C409)</f>
        <v>FM19__44607_0.313425925925926</v>
      </c>
      <c r="J408" s="257" t="str">
        <f t="shared" si="2"/>
        <v/>
      </c>
      <c r="K408" s="252" t="s">
        <v>1316</v>
      </c>
      <c r="L408" s="258" t="str">
        <f t="shared" si="3"/>
        <v>MA1259</v>
      </c>
      <c r="M408" s="259" t="b">
        <f t="shared" si="4"/>
        <v>0</v>
      </c>
      <c r="N408" s="258" t="str">
        <f t="shared" si="5"/>
        <v/>
      </c>
      <c r="O408" s="5"/>
      <c r="P408" s="5"/>
      <c r="Q408" s="5"/>
      <c r="R408" s="5"/>
      <c r="S408" s="5"/>
      <c r="T408" s="5"/>
      <c r="U408" s="5"/>
      <c r="V408" s="5"/>
      <c r="W408" s="5"/>
    </row>
    <row r="409">
      <c r="A409" s="112" t="str">
        <f>IF(OR(ISBLANK(RAW_APS!A409),ISBLANK(RAW_APS!B409),ISBLANK(RAW_APS!C409)),TRUE,IFERROR(0/0,""))</f>
        <v/>
      </c>
      <c r="B409" s="252"/>
      <c r="C409" s="112" t="str">
        <f>IF(ISBLANK(B409),IFERROR(0/0,""),RAW_APS!A409)</f>
        <v/>
      </c>
      <c r="D409" s="112" t="str">
        <f>IF(ISBLANK(C409),IFERROR(0/0,""), VLOOKUP(C409,preDEL!A$2:AG786,33,FALSE))</f>
        <v/>
      </c>
      <c r="E409" s="252"/>
      <c r="F409" s="210"/>
      <c r="G409" s="252"/>
      <c r="H409" s="255" t="str">
        <f t="shared" si="1"/>
        <v/>
      </c>
      <c r="I409" s="256" t="str">
        <f>CONCATENATE(UPPER(RAW_APS!$A410),"__",RAW_APS!$B410,"_",RAW_APS!$C410)</f>
        <v>MA290__44607_0.313287037037037</v>
      </c>
      <c r="J409" s="257" t="str">
        <f t="shared" si="2"/>
        <v/>
      </c>
      <c r="K409" s="252" t="s">
        <v>1318</v>
      </c>
      <c r="L409" s="258" t="str">
        <f t="shared" si="3"/>
        <v>MA1261</v>
      </c>
      <c r="M409" s="259" t="b">
        <f t="shared" si="4"/>
        <v>0</v>
      </c>
      <c r="N409" s="258" t="str">
        <f t="shared" si="5"/>
        <v/>
      </c>
      <c r="O409" s="5"/>
      <c r="P409" s="5"/>
      <c r="Q409" s="5"/>
      <c r="R409" s="5"/>
      <c r="S409" s="5"/>
      <c r="T409" s="5"/>
      <c r="U409" s="5"/>
      <c r="V409" s="5"/>
      <c r="W409" s="5"/>
    </row>
    <row r="410">
      <c r="A410" s="112" t="str">
        <f>IF(OR(ISBLANK(RAW_APS!A410),ISBLANK(RAW_APS!B410),ISBLANK(RAW_APS!C410)),TRUE,IFERROR(0/0,""))</f>
        <v/>
      </c>
      <c r="B410" s="252"/>
      <c r="C410" s="112" t="str">
        <f>IF(ISBLANK(B410),IFERROR(0/0,""),RAW_APS!A410)</f>
        <v/>
      </c>
      <c r="D410" s="112" t="str">
        <f>IF(ISBLANK(C410),IFERROR(0/0,""), VLOOKUP(C410,preDEL!A$2:AG786,33,FALSE))</f>
        <v/>
      </c>
      <c r="E410" s="252"/>
      <c r="F410" s="210"/>
      <c r="G410" s="252"/>
      <c r="H410" s="255" t="str">
        <f t="shared" si="1"/>
        <v/>
      </c>
      <c r="I410" s="256" t="str">
        <f>CONCATENATE(UPPER(RAW_APS!$A411),"__",RAW_APS!$B411,"_",RAW_APS!$C411)</f>
        <v>MA294__44607_0.313206018518519</v>
      </c>
      <c r="J410" s="257" t="str">
        <f t="shared" si="2"/>
        <v/>
      </c>
      <c r="K410" s="252" t="s">
        <v>1320</v>
      </c>
      <c r="L410" s="258" t="str">
        <f t="shared" si="3"/>
        <v>MA1263</v>
      </c>
      <c r="M410" s="259" t="b">
        <f t="shared" si="4"/>
        <v>0</v>
      </c>
      <c r="N410" s="258" t="str">
        <f t="shared" si="5"/>
        <v/>
      </c>
      <c r="O410" s="5"/>
      <c r="P410" s="5"/>
      <c r="Q410" s="5"/>
      <c r="R410" s="5"/>
      <c r="S410" s="5"/>
      <c r="T410" s="5"/>
      <c r="U410" s="5"/>
      <c r="V410" s="5"/>
      <c r="W410" s="5"/>
    </row>
    <row r="411">
      <c r="A411" s="112" t="str">
        <f>IF(OR(ISBLANK(RAW_APS!A411),ISBLANK(RAW_APS!B411),ISBLANK(RAW_APS!C411)),TRUE,IFERROR(0/0,""))</f>
        <v/>
      </c>
      <c r="B411" s="252"/>
      <c r="C411" s="112" t="str">
        <f>IF(ISBLANK(B411),IFERROR(0/0,""),RAW_APS!A411)</f>
        <v/>
      </c>
      <c r="D411" s="112" t="str">
        <f>IF(ISBLANK(C411),IFERROR(0/0,""), VLOOKUP(C411,preDEL!A$2:AG786,33,FALSE))</f>
        <v/>
      </c>
      <c r="E411" s="252"/>
      <c r="F411" s="210"/>
      <c r="G411" s="252"/>
      <c r="H411" s="255" t="str">
        <f t="shared" si="1"/>
        <v/>
      </c>
      <c r="I411" s="256" t="str">
        <f>CONCATENATE(UPPER(RAW_APS!$A412),"__",RAW_APS!$B412,"_",RAW_APS!$C412)</f>
        <v>FM73__44607_0.312708333333333</v>
      </c>
      <c r="J411" s="257" t="str">
        <f t="shared" si="2"/>
        <v/>
      </c>
      <c r="K411" s="252" t="s">
        <v>1322</v>
      </c>
      <c r="L411" s="258" t="str">
        <f t="shared" si="3"/>
        <v>MA1264</v>
      </c>
      <c r="M411" s="259" t="b">
        <f t="shared" si="4"/>
        <v>0</v>
      </c>
      <c r="N411" s="258" t="str">
        <f t="shared" si="5"/>
        <v/>
      </c>
      <c r="O411" s="5"/>
      <c r="P411" s="5"/>
      <c r="Q411" s="5"/>
      <c r="R411" s="5"/>
      <c r="S411" s="5"/>
      <c r="T411" s="5"/>
      <c r="U411" s="5"/>
      <c r="V411" s="5"/>
      <c r="W411" s="5"/>
    </row>
    <row r="412">
      <c r="A412" s="112" t="str">
        <f>IF(OR(ISBLANK(RAW_APS!A412),ISBLANK(RAW_APS!B412),ISBLANK(RAW_APS!C412)),TRUE,IFERROR(0/0,""))</f>
        <v/>
      </c>
      <c r="B412" s="252"/>
      <c r="C412" s="112" t="str">
        <f>IF(ISBLANK(B412),IFERROR(0/0,""),RAW_APS!A412)</f>
        <v/>
      </c>
      <c r="D412" s="112" t="str">
        <f>IF(ISBLANK(C412),IFERROR(0/0,""), VLOOKUP(C412,preDEL!A$2:AG786,33,FALSE))</f>
        <v/>
      </c>
      <c r="E412" s="252"/>
      <c r="F412" s="210"/>
      <c r="G412" s="252"/>
      <c r="H412" s="255" t="str">
        <f t="shared" si="1"/>
        <v/>
      </c>
      <c r="I412" s="256" t="str">
        <f>CONCATENATE(UPPER(RAW_APS!$A413),"__",RAW_APS!$B413,"_",RAW_APS!$C413)</f>
        <v>MA189__44607_0.311678240740741</v>
      </c>
      <c r="J412" s="257" t="str">
        <f t="shared" si="2"/>
        <v/>
      </c>
      <c r="K412" s="252" t="s">
        <v>1324</v>
      </c>
      <c r="L412" s="258" t="str">
        <f t="shared" si="3"/>
        <v>MA1267</v>
      </c>
      <c r="M412" s="259" t="b">
        <f t="shared" si="4"/>
        <v>0</v>
      </c>
      <c r="N412" s="258" t="str">
        <f t="shared" si="5"/>
        <v/>
      </c>
      <c r="O412" s="5"/>
      <c r="P412" s="5"/>
      <c r="Q412" s="5"/>
      <c r="R412" s="5"/>
      <c r="S412" s="5"/>
      <c r="T412" s="5"/>
      <c r="U412" s="5"/>
      <c r="V412" s="5"/>
      <c r="W412" s="5"/>
    </row>
    <row r="413">
      <c r="A413" s="112" t="str">
        <f>IF(OR(ISBLANK(RAW_APS!A413),ISBLANK(RAW_APS!B413),ISBLANK(RAW_APS!C413)),TRUE,IFERROR(0/0,""))</f>
        <v/>
      </c>
      <c r="B413" s="252"/>
      <c r="C413" s="112" t="str">
        <f>IF(ISBLANK(B413),IFERROR(0/0,""),RAW_APS!A413)</f>
        <v/>
      </c>
      <c r="D413" s="112" t="str">
        <f>IF(ISBLANK(C413),IFERROR(0/0,""), VLOOKUP(C413,preDEL!A$2:AG786,33,FALSE))</f>
        <v/>
      </c>
      <c r="E413" s="252"/>
      <c r="F413" s="210"/>
      <c r="G413" s="252"/>
      <c r="H413" s="255" t="str">
        <f t="shared" si="1"/>
        <v/>
      </c>
      <c r="I413" s="256" t="str">
        <f>CONCATENATE(UPPER(RAW_APS!$A414),"__",RAW_APS!$B414,"_",RAW_APS!$C414)</f>
        <v>MA288__44607_0.307430555555556</v>
      </c>
      <c r="J413" s="257" t="str">
        <f t="shared" si="2"/>
        <v/>
      </c>
      <c r="K413" s="252" t="s">
        <v>1326</v>
      </c>
      <c r="L413" s="258" t="str">
        <f t="shared" si="3"/>
        <v>MA1269</v>
      </c>
      <c r="M413" s="259" t="b">
        <f t="shared" si="4"/>
        <v>0</v>
      </c>
      <c r="N413" s="258" t="str">
        <f t="shared" si="5"/>
        <v/>
      </c>
      <c r="O413" s="5"/>
      <c r="P413" s="5"/>
      <c r="Q413" s="5"/>
      <c r="R413" s="5"/>
      <c r="S413" s="5"/>
      <c r="T413" s="5"/>
      <c r="U413" s="5"/>
      <c r="V413" s="5"/>
      <c r="W413" s="5"/>
    </row>
    <row r="414">
      <c r="A414" s="112" t="str">
        <f>IF(OR(ISBLANK(RAW_APS!A414),ISBLANK(RAW_APS!B414),ISBLANK(RAW_APS!C414)),TRUE,IFERROR(0/0,""))</f>
        <v/>
      </c>
      <c r="B414" s="252"/>
      <c r="C414" s="112" t="str">
        <f>IF(ISBLANK(B414),IFERROR(0/0,""),RAW_APS!A414)</f>
        <v/>
      </c>
      <c r="D414" s="112" t="str">
        <f>IF(ISBLANK(C414),IFERROR(0/0,""), VLOOKUP(C414,preDEL!A$2:AG786,33,FALSE))</f>
        <v/>
      </c>
      <c r="E414" s="252"/>
      <c r="F414" s="210"/>
      <c r="G414" s="252"/>
      <c r="H414" s="255" t="str">
        <f t="shared" si="1"/>
        <v/>
      </c>
      <c r="I414" s="256" t="str">
        <f>CONCATENATE(UPPER(RAW_APS!$A415),"__",RAW_APS!$B415,"_",RAW_APS!$C415)</f>
        <v>FM485__44607_0.300335648148148</v>
      </c>
      <c r="J414" s="257" t="str">
        <f t="shared" si="2"/>
        <v/>
      </c>
      <c r="K414" s="252" t="s">
        <v>1328</v>
      </c>
      <c r="L414" s="258" t="str">
        <f t="shared" si="3"/>
        <v>MA1270</v>
      </c>
      <c r="M414" s="259" t="b">
        <f t="shared" si="4"/>
        <v>0</v>
      </c>
      <c r="N414" s="258" t="str">
        <f t="shared" si="5"/>
        <v/>
      </c>
      <c r="O414" s="5"/>
      <c r="P414" s="5"/>
      <c r="Q414" s="5"/>
      <c r="R414" s="5"/>
      <c r="S414" s="5"/>
      <c r="T414" s="5"/>
      <c r="U414" s="5"/>
      <c r="V414" s="5"/>
      <c r="W414" s="5"/>
    </row>
    <row r="415">
      <c r="A415" s="112" t="str">
        <f>IF(OR(ISBLANK(RAW_APS!A415),ISBLANK(RAW_APS!B415),ISBLANK(RAW_APS!C415)),TRUE,IFERROR(0/0,""))</f>
        <v/>
      </c>
      <c r="B415" s="252"/>
      <c r="C415" s="112" t="str">
        <f>IF(ISBLANK(B415),IFERROR(0/0,""),RAW_APS!A415)</f>
        <v/>
      </c>
      <c r="D415" s="112" t="str">
        <f>IF(ISBLANK(C415),IFERROR(0/0,""), VLOOKUP(C415,preDEL!A$2:AG786,33,FALSE))</f>
        <v/>
      </c>
      <c r="E415" s="252"/>
      <c r="F415" s="210"/>
      <c r="G415" s="252"/>
      <c r="H415" s="255" t="str">
        <f t="shared" si="1"/>
        <v/>
      </c>
      <c r="I415" s="256" t="str">
        <f>CONCATENATE(UPPER(RAW_APS!$A416),"__",RAW_APS!$B416,"_",RAW_APS!$C416)</f>
        <v>FM459__44607_0.298958333333333</v>
      </c>
      <c r="J415" s="257" t="str">
        <f t="shared" si="2"/>
        <v/>
      </c>
      <c r="K415" s="252" t="s">
        <v>1330</v>
      </c>
      <c r="L415" s="258" t="str">
        <f t="shared" si="3"/>
        <v>MA1271</v>
      </c>
      <c r="M415" s="259" t="b">
        <f t="shared" si="4"/>
        <v>0</v>
      </c>
      <c r="N415" s="258" t="str">
        <f t="shared" si="5"/>
        <v/>
      </c>
      <c r="O415" s="5"/>
      <c r="P415" s="5"/>
      <c r="Q415" s="5"/>
      <c r="R415" s="5"/>
      <c r="S415" s="5"/>
      <c r="T415" s="5"/>
      <c r="U415" s="5"/>
      <c r="V415" s="5"/>
      <c r="W415" s="5"/>
    </row>
    <row r="416">
      <c r="A416" s="112" t="str">
        <f>IF(OR(ISBLANK(RAW_APS!A416),ISBLANK(RAW_APS!B416),ISBLANK(RAW_APS!C416)),TRUE,IFERROR(0/0,""))</f>
        <v/>
      </c>
      <c r="B416" s="252"/>
      <c r="C416" s="112" t="str">
        <f>IF(ISBLANK(B416),IFERROR(0/0,""),RAW_APS!A416)</f>
        <v/>
      </c>
      <c r="D416" s="112" t="str">
        <f>IF(ISBLANK(C416),IFERROR(0/0,""), VLOOKUP(C416,preDEL!A$2:AG786,33,FALSE))</f>
        <v/>
      </c>
      <c r="E416" s="252"/>
      <c r="F416" s="210"/>
      <c r="G416" s="252"/>
      <c r="H416" s="255" t="str">
        <f t="shared" si="1"/>
        <v/>
      </c>
      <c r="I416" s="256" t="str">
        <f>CONCATENATE(UPPER(RAW_APS!$A417),"__",RAW_APS!$B417,"_",RAW_APS!$C417)</f>
        <v>MA398__44607_0.298622685185185</v>
      </c>
      <c r="J416" s="257" t="str">
        <f t="shared" si="2"/>
        <v/>
      </c>
      <c r="K416" s="252" t="s">
        <v>1332</v>
      </c>
      <c r="L416" s="258" t="str">
        <f t="shared" si="3"/>
        <v>MA1272</v>
      </c>
      <c r="M416" s="259" t="b">
        <f t="shared" si="4"/>
        <v>0</v>
      </c>
      <c r="N416" s="258" t="str">
        <f t="shared" si="5"/>
        <v/>
      </c>
      <c r="O416" s="5"/>
      <c r="P416" s="5"/>
      <c r="Q416" s="5"/>
      <c r="R416" s="5"/>
      <c r="S416" s="5"/>
      <c r="T416" s="5"/>
      <c r="U416" s="5"/>
      <c r="V416" s="5"/>
      <c r="W416" s="5"/>
    </row>
    <row r="417">
      <c r="A417" s="112" t="str">
        <f>IF(OR(ISBLANK(RAW_APS!A417),ISBLANK(RAW_APS!B417),ISBLANK(RAW_APS!C417)),TRUE,IFERROR(0/0,""))</f>
        <v/>
      </c>
      <c r="B417" s="252"/>
      <c r="C417" s="112" t="str">
        <f>IF(ISBLANK(B417),IFERROR(0/0,""),RAW_APS!A417)</f>
        <v/>
      </c>
      <c r="D417" s="112" t="str">
        <f>IF(ISBLANK(C417),IFERROR(0/0,""), VLOOKUP(C417,preDEL!A$2:AG786,33,FALSE))</f>
        <v/>
      </c>
      <c r="E417" s="252"/>
      <c r="F417" s="210"/>
      <c r="G417" s="252"/>
      <c r="H417" s="255" t="str">
        <f t="shared" si="1"/>
        <v/>
      </c>
      <c r="I417" s="256" t="str">
        <f>CONCATENATE(UPPER(RAW_APS!$A418),"__",RAW_APS!$B418,"_",RAW_APS!$C418)</f>
        <v>MA1050__44607_0.295324074074074</v>
      </c>
      <c r="J417" s="257" t="str">
        <f t="shared" si="2"/>
        <v/>
      </c>
      <c r="K417" s="252" t="s">
        <v>1336</v>
      </c>
      <c r="L417" s="258" t="str">
        <f t="shared" si="3"/>
        <v>MA1274</v>
      </c>
      <c r="M417" s="259" t="b">
        <f t="shared" si="4"/>
        <v>0</v>
      </c>
      <c r="N417" s="258" t="str">
        <f t="shared" si="5"/>
        <v/>
      </c>
      <c r="O417" s="5"/>
      <c r="P417" s="5"/>
      <c r="Q417" s="5"/>
      <c r="R417" s="5"/>
      <c r="S417" s="5"/>
      <c r="T417" s="5"/>
      <c r="U417" s="5"/>
      <c r="V417" s="5"/>
      <c r="W417" s="5"/>
    </row>
    <row r="418">
      <c r="A418" s="112" t="str">
        <f>IF(OR(ISBLANK(RAW_APS!A418),ISBLANK(RAW_APS!B418),ISBLANK(RAW_APS!C418)),TRUE,IFERROR(0/0,""))</f>
        <v/>
      </c>
      <c r="B418" s="252"/>
      <c r="C418" s="112" t="str">
        <f>IF(ISBLANK(B418),IFERROR(0/0,""),RAW_APS!A418)</f>
        <v/>
      </c>
      <c r="D418" s="112" t="str">
        <f>IF(ISBLANK(C418),IFERROR(0/0,""), VLOOKUP(C418,preDEL!A$2:AG786,33,FALSE))</f>
        <v/>
      </c>
      <c r="E418" s="252"/>
      <c r="F418" s="210"/>
      <c r="G418" s="252"/>
      <c r="H418" s="255" t="str">
        <f t="shared" si="1"/>
        <v/>
      </c>
      <c r="I418" s="256" t="str">
        <f>CONCATENATE(UPPER(RAW_APS!$A419),"__",RAW_APS!$B419,"_",RAW_APS!$C419)</f>
        <v>MA217__44607_0.294224537037037</v>
      </c>
      <c r="J418" s="257" t="str">
        <f t="shared" si="2"/>
        <v/>
      </c>
      <c r="K418" s="252" t="s">
        <v>1338</v>
      </c>
      <c r="L418" s="258" t="str">
        <f t="shared" si="3"/>
        <v>MA1275</v>
      </c>
      <c r="M418" s="259" t="b">
        <f t="shared" si="4"/>
        <v>0</v>
      </c>
      <c r="N418" s="258" t="str">
        <f t="shared" si="5"/>
        <v/>
      </c>
      <c r="O418" s="5"/>
      <c r="P418" s="5"/>
      <c r="Q418" s="5"/>
      <c r="R418" s="5"/>
      <c r="S418" s="5"/>
      <c r="T418" s="5"/>
      <c r="U418" s="5"/>
      <c r="V418" s="5"/>
      <c r="W418" s="5"/>
    </row>
    <row r="419">
      <c r="A419" s="112" t="str">
        <f>IF(OR(ISBLANK(RAW_APS!A419),ISBLANK(RAW_APS!B419),ISBLANK(RAW_APS!C419)),TRUE,IFERROR(0/0,""))</f>
        <v/>
      </c>
      <c r="B419" s="252"/>
      <c r="C419" s="112" t="str">
        <f>IF(ISBLANK(B419),IFERROR(0/0,""),RAW_APS!A419)</f>
        <v/>
      </c>
      <c r="D419" s="112" t="str">
        <f>IF(ISBLANK(C419),IFERROR(0/0,""), VLOOKUP(C419,preDEL!A$2:AG786,33,FALSE))</f>
        <v/>
      </c>
      <c r="E419" s="252"/>
      <c r="F419" s="210"/>
      <c r="G419" s="252"/>
      <c r="H419" s="255" t="str">
        <f t="shared" si="1"/>
        <v/>
      </c>
      <c r="I419" s="256" t="str">
        <f>CONCATENATE(UPPER(RAW_APS!$A420),"__",RAW_APS!$B420,"_",RAW_APS!$C420)</f>
        <v>MA205__44607_0.294143518518519</v>
      </c>
      <c r="J419" s="257" t="str">
        <f t="shared" si="2"/>
        <v/>
      </c>
      <c r="K419" s="252" t="s">
        <v>1340</v>
      </c>
      <c r="L419" s="258" t="str">
        <f t="shared" si="3"/>
        <v>MA1276</v>
      </c>
      <c r="M419" s="259" t="b">
        <f t="shared" si="4"/>
        <v>0</v>
      </c>
      <c r="N419" s="258" t="str">
        <f t="shared" si="5"/>
        <v/>
      </c>
      <c r="O419" s="5"/>
      <c r="P419" s="5"/>
      <c r="Q419" s="5"/>
      <c r="R419" s="5"/>
      <c r="S419" s="5"/>
      <c r="T419" s="5"/>
      <c r="U419" s="5"/>
      <c r="V419" s="5"/>
      <c r="W419" s="5"/>
    </row>
    <row r="420">
      <c r="A420" s="112" t="str">
        <f>IF(OR(ISBLANK(RAW_APS!A420),ISBLANK(RAW_APS!B420),ISBLANK(RAW_APS!C420)),TRUE,IFERROR(0/0,""))</f>
        <v/>
      </c>
      <c r="B420" s="252"/>
      <c r="C420" s="112" t="str">
        <f>IF(ISBLANK(B420),IFERROR(0/0,""),RAW_APS!A420)</f>
        <v/>
      </c>
      <c r="D420" s="112" t="str">
        <f>IF(ISBLANK(C420),IFERROR(0/0,""), VLOOKUP(C420,preDEL!A$2:AG786,33,FALSE))</f>
        <v/>
      </c>
      <c r="E420" s="252"/>
      <c r="F420" s="210"/>
      <c r="G420" s="252"/>
      <c r="H420" s="255" t="str">
        <f t="shared" si="1"/>
        <v/>
      </c>
      <c r="I420" s="256" t="str">
        <f>CONCATENATE(UPPER(RAW_APS!$A421),"__",RAW_APS!$B421,"_",RAW_APS!$C421)</f>
        <v>MA362__44607_0.282141203703704</v>
      </c>
      <c r="J420" s="257" t="str">
        <f t="shared" si="2"/>
        <v/>
      </c>
      <c r="K420" s="252" t="s">
        <v>1344</v>
      </c>
      <c r="L420" s="258" t="str">
        <f t="shared" si="3"/>
        <v>MA1278</v>
      </c>
      <c r="M420" s="259" t="b">
        <f t="shared" si="4"/>
        <v>0</v>
      </c>
      <c r="N420" s="258" t="str">
        <f t="shared" si="5"/>
        <v/>
      </c>
      <c r="O420" s="5"/>
      <c r="P420" s="5"/>
      <c r="Q420" s="5"/>
      <c r="R420" s="5"/>
      <c r="S420" s="5"/>
      <c r="T420" s="5"/>
      <c r="U420" s="5"/>
      <c r="V420" s="5"/>
      <c r="W420" s="5"/>
    </row>
    <row r="421">
      <c r="A421" s="112" t="str">
        <f>IF(OR(ISBLANK(RAW_APS!A421),ISBLANK(RAW_APS!B421),ISBLANK(RAW_APS!C421)),TRUE,IFERROR(0/0,""))</f>
        <v/>
      </c>
      <c r="B421" s="252"/>
      <c r="C421" s="112" t="str">
        <f>IF(ISBLANK(B421),IFERROR(0/0,""),RAW_APS!A421)</f>
        <v/>
      </c>
      <c r="D421" s="112" t="str">
        <f>IF(ISBLANK(C421),IFERROR(0/0,""), VLOOKUP(C421,preDEL!A$2:AG786,33,FALSE))</f>
        <v/>
      </c>
      <c r="E421" s="252"/>
      <c r="F421" s="210"/>
      <c r="G421" s="252"/>
      <c r="H421" s="255" t="str">
        <f t="shared" si="1"/>
        <v/>
      </c>
      <c r="I421" s="256" t="str">
        <f>CONCATENATE(UPPER(RAW_APS!$A422),"__",RAW_APS!$B422,"_",RAW_APS!$C422)</f>
        <v>FM1__44607_0.262928240740741</v>
      </c>
      <c r="J421" s="257" t="str">
        <f t="shared" si="2"/>
        <v/>
      </c>
      <c r="K421" s="252" t="s">
        <v>1346</v>
      </c>
      <c r="L421" s="258" t="str">
        <f t="shared" si="3"/>
        <v>MA1280</v>
      </c>
      <c r="M421" s="259" t="b">
        <f t="shared" si="4"/>
        <v>0</v>
      </c>
      <c r="N421" s="258" t="str">
        <f t="shared" si="5"/>
        <v/>
      </c>
      <c r="O421" s="5"/>
      <c r="P421" s="5"/>
      <c r="Q421" s="5"/>
      <c r="R421" s="5"/>
      <c r="S421" s="5"/>
      <c r="T421" s="5"/>
      <c r="U421" s="5"/>
      <c r="V421" s="5"/>
      <c r="W421" s="5"/>
    </row>
    <row r="422">
      <c r="A422" s="112" t="str">
        <f>IF(OR(ISBLANK(RAW_APS!A422),ISBLANK(RAW_APS!B422),ISBLANK(RAW_APS!C422)),TRUE,IFERROR(0/0,""))</f>
        <v/>
      </c>
      <c r="B422" s="252"/>
      <c r="C422" s="112" t="str">
        <f>IF(ISBLANK(B422),IFERROR(0/0,""),RAW_APS!A422)</f>
        <v/>
      </c>
      <c r="D422" s="112" t="str">
        <f>IF(ISBLANK(C422),IFERROR(0/0,""), VLOOKUP(C422,preDEL!A$2:AG786,33,FALSE))</f>
        <v/>
      </c>
      <c r="E422" s="252"/>
      <c r="F422" s="210"/>
      <c r="G422" s="252"/>
      <c r="H422" s="255" t="str">
        <f t="shared" si="1"/>
        <v/>
      </c>
      <c r="I422" s="256" t="str">
        <f>CONCATENATE(UPPER(RAW_APS!$A423),"__",RAW_APS!$B423,"_",RAW_APS!$C423)</f>
        <v>FM832__44606_0.361608796296296</v>
      </c>
      <c r="J422" s="257" t="str">
        <f t="shared" si="2"/>
        <v/>
      </c>
      <c r="K422" s="252" t="s">
        <v>1348</v>
      </c>
      <c r="L422" s="258" t="str">
        <f t="shared" si="3"/>
        <v>MA1282</v>
      </c>
      <c r="M422" s="259" t="b">
        <f t="shared" si="4"/>
        <v>0</v>
      </c>
      <c r="N422" s="258" t="str">
        <f t="shared" si="5"/>
        <v/>
      </c>
      <c r="O422" s="5"/>
      <c r="P422" s="5"/>
      <c r="Q422" s="5"/>
      <c r="R422" s="5"/>
      <c r="S422" s="5"/>
      <c r="T422" s="5"/>
      <c r="U422" s="5"/>
      <c r="V422" s="5"/>
      <c r="W422" s="5"/>
    </row>
    <row r="423">
      <c r="A423" s="112" t="str">
        <f>IF(OR(ISBLANK(RAW_APS!A423),ISBLANK(RAW_APS!B423),ISBLANK(RAW_APS!C423)),TRUE,IFERROR(0/0,""))</f>
        <v/>
      </c>
      <c r="B423" s="252"/>
      <c r="C423" s="112" t="str">
        <f>IF(ISBLANK(B423),IFERROR(0/0,""),RAW_APS!A423)</f>
        <v/>
      </c>
      <c r="D423" s="112" t="str">
        <f>IF(ISBLANK(C423),IFERROR(0/0,""), VLOOKUP(C423,preDEL!A$2:AG786,33,FALSE))</f>
        <v/>
      </c>
      <c r="E423" s="252"/>
      <c r="F423" s="210"/>
      <c r="G423" s="252"/>
      <c r="H423" s="255" t="str">
        <f t="shared" si="1"/>
        <v/>
      </c>
      <c r="I423" s="256" t="str">
        <f>CONCATENATE(UPPER(RAW_APS!$A424),"__",RAW_APS!$B424,"_",RAW_APS!$C424)</f>
        <v>FM53__44606_0.3375</v>
      </c>
      <c r="J423" s="257" t="str">
        <f t="shared" si="2"/>
        <v/>
      </c>
      <c r="K423" s="252" t="s">
        <v>1350</v>
      </c>
      <c r="L423" s="258" t="str">
        <f t="shared" si="3"/>
        <v>MA1284</v>
      </c>
      <c r="M423" s="259" t="b">
        <f t="shared" si="4"/>
        <v>0</v>
      </c>
      <c r="N423" s="258" t="str">
        <f t="shared" si="5"/>
        <v/>
      </c>
      <c r="O423" s="5"/>
      <c r="P423" s="5"/>
      <c r="Q423" s="5"/>
      <c r="R423" s="5"/>
      <c r="S423" s="5"/>
      <c r="T423" s="5"/>
      <c r="U423" s="5"/>
      <c r="V423" s="5"/>
      <c r="W423" s="5"/>
    </row>
    <row r="424">
      <c r="A424" s="112" t="str">
        <f>IF(OR(ISBLANK(RAW_APS!A424),ISBLANK(RAW_APS!B424),ISBLANK(RAW_APS!C424)),TRUE,IFERROR(0/0,""))</f>
        <v/>
      </c>
      <c r="B424" s="252"/>
      <c r="C424" s="112" t="str">
        <f>IF(ISBLANK(B424),IFERROR(0/0,""),RAW_APS!A424)</f>
        <v/>
      </c>
      <c r="D424" s="112" t="str">
        <f>IF(ISBLANK(C424),IFERROR(0/0,""), VLOOKUP(C424,preDEL!A$2:AG786,33,FALSE))</f>
        <v/>
      </c>
      <c r="E424" s="252"/>
      <c r="F424" s="210"/>
      <c r="G424" s="252"/>
      <c r="H424" s="255" t="str">
        <f t="shared" si="1"/>
        <v/>
      </c>
      <c r="I424" s="256" t="str">
        <f>CONCATENATE(UPPER(RAW_APS!$A425),"__",RAW_APS!$B425,"_",RAW_APS!$C425)</f>
        <v>FM77__44606_0.322905092592593</v>
      </c>
      <c r="J424" s="257" t="str">
        <f t="shared" si="2"/>
        <v/>
      </c>
      <c r="K424" s="252" t="s">
        <v>1352</v>
      </c>
      <c r="L424" s="258" t="str">
        <f t="shared" si="3"/>
        <v>MA1288</v>
      </c>
      <c r="M424" s="259" t="b">
        <f t="shared" si="4"/>
        <v>0</v>
      </c>
      <c r="N424" s="258" t="str">
        <f t="shared" si="5"/>
        <v/>
      </c>
      <c r="O424" s="5"/>
      <c r="P424" s="5"/>
      <c r="Q424" s="5"/>
      <c r="R424" s="5"/>
      <c r="S424" s="5"/>
      <c r="T424" s="5"/>
      <c r="U424" s="5"/>
      <c r="V424" s="5"/>
      <c r="W424" s="5"/>
    </row>
    <row r="425">
      <c r="A425" s="112" t="str">
        <f>IF(OR(ISBLANK(RAW_APS!A425),ISBLANK(RAW_APS!B425),ISBLANK(RAW_APS!C425)),TRUE,IFERROR(0/0,""))</f>
        <v/>
      </c>
      <c r="B425" s="252"/>
      <c r="C425" s="112" t="str">
        <f>IF(ISBLANK(B425),IFERROR(0/0,""),RAW_APS!A425)</f>
        <v/>
      </c>
      <c r="D425" s="112" t="str">
        <f>IF(ISBLANK(C425),IFERROR(0/0,""), VLOOKUP(C425,preDEL!A$2:AG786,33,FALSE))</f>
        <v/>
      </c>
      <c r="E425" s="252"/>
      <c r="F425" s="210"/>
      <c r="G425" s="252"/>
      <c r="H425" s="255" t="str">
        <f t="shared" si="1"/>
        <v/>
      </c>
      <c r="I425" s="256" t="str">
        <f>CONCATENATE(UPPER(RAW_APS!$A426),"__",RAW_APS!$B426,"_",RAW_APS!$C426)</f>
        <v>FM786__44606_0.320671296296296</v>
      </c>
      <c r="J425" s="257" t="str">
        <f t="shared" si="2"/>
        <v/>
      </c>
      <c r="K425" s="252" t="s">
        <v>1360</v>
      </c>
      <c r="L425" s="258" t="str">
        <f t="shared" si="3"/>
        <v>MA1294</v>
      </c>
      <c r="M425" s="259" t="b">
        <f t="shared" si="4"/>
        <v>0</v>
      </c>
      <c r="N425" s="258" t="str">
        <f t="shared" si="5"/>
        <v/>
      </c>
      <c r="O425" s="5"/>
      <c r="P425" s="5"/>
      <c r="Q425" s="5"/>
      <c r="R425" s="5"/>
      <c r="S425" s="5"/>
      <c r="T425" s="5"/>
      <c r="U425" s="5"/>
      <c r="V425" s="5"/>
      <c r="W425" s="5"/>
    </row>
    <row r="426">
      <c r="A426" s="112" t="str">
        <f>IF(OR(ISBLANK(RAW_APS!A426),ISBLANK(RAW_APS!B426),ISBLANK(RAW_APS!C426)),TRUE,IFERROR(0/0,""))</f>
        <v/>
      </c>
      <c r="B426" s="252"/>
      <c r="C426" s="112" t="str">
        <f>IF(ISBLANK(B426),IFERROR(0/0,""),RAW_APS!A426)</f>
        <v/>
      </c>
      <c r="D426" s="112" t="str">
        <f>IF(ISBLANK(C426),IFERROR(0/0,""), VLOOKUP(C426,preDEL!A$2:AG786,33,FALSE))</f>
        <v/>
      </c>
      <c r="E426" s="252"/>
      <c r="F426" s="210"/>
      <c r="G426" s="252"/>
      <c r="H426" s="255" t="str">
        <f t="shared" si="1"/>
        <v/>
      </c>
      <c r="I426" s="256" t="str">
        <f>CONCATENATE(UPPER(RAW_APS!$A427),"__",RAW_APS!$B427,"_",RAW_APS!$C427)</f>
        <v>FM1003__44605_0.332789351851852</v>
      </c>
      <c r="J426" s="257" t="str">
        <f t="shared" si="2"/>
        <v/>
      </c>
      <c r="K426" s="252" t="s">
        <v>1362</v>
      </c>
      <c r="L426" s="258" t="str">
        <f t="shared" si="3"/>
        <v>MA1295</v>
      </c>
      <c r="M426" s="259" t="b">
        <f t="shared" si="4"/>
        <v>0</v>
      </c>
      <c r="N426" s="258" t="str">
        <f t="shared" si="5"/>
        <v/>
      </c>
      <c r="O426" s="5"/>
      <c r="P426" s="5"/>
      <c r="Q426" s="5"/>
      <c r="R426" s="5"/>
      <c r="S426" s="5"/>
      <c r="T426" s="5"/>
      <c r="U426" s="5"/>
      <c r="V426" s="5"/>
      <c r="W426" s="5"/>
    </row>
    <row r="427">
      <c r="A427" s="112" t="str">
        <f>IF(OR(ISBLANK(RAW_APS!A427),ISBLANK(RAW_APS!B427),ISBLANK(RAW_APS!C427)),TRUE,IFERROR(0/0,""))</f>
        <v/>
      </c>
      <c r="B427" s="252"/>
      <c r="C427" s="112" t="str">
        <f>IF(ISBLANK(B427),IFERROR(0/0,""),RAW_APS!A427)</f>
        <v/>
      </c>
      <c r="D427" s="112" t="str">
        <f>IF(ISBLANK(C427),IFERROR(0/0,""), VLOOKUP(C427,preDEL!A$2:AG786,33,FALSE))</f>
        <v/>
      </c>
      <c r="E427" s="252"/>
      <c r="F427" s="210"/>
      <c r="G427" s="252"/>
      <c r="H427" s="255" t="str">
        <f t="shared" si="1"/>
        <v/>
      </c>
      <c r="I427" s="256" t="str">
        <f>CONCATENATE(UPPER(RAW_APS!$A428),"__",RAW_APS!$B428,"_",RAW_APS!$C428)</f>
        <v>MA1111__44604_0.324756944444444</v>
      </c>
      <c r="J427" s="257" t="str">
        <f t="shared" si="2"/>
        <v/>
      </c>
      <c r="K427" s="252" t="s">
        <v>1364</v>
      </c>
      <c r="L427" s="258" t="str">
        <f t="shared" si="3"/>
        <v>MA1296</v>
      </c>
      <c r="M427" s="259" t="b">
        <f t="shared" si="4"/>
        <v>0</v>
      </c>
      <c r="N427" s="258" t="str">
        <f t="shared" si="5"/>
        <v/>
      </c>
      <c r="O427" s="5"/>
      <c r="P427" s="5"/>
      <c r="Q427" s="5"/>
      <c r="R427" s="5"/>
      <c r="S427" s="5"/>
      <c r="T427" s="5"/>
      <c r="U427" s="5"/>
      <c r="V427" s="5"/>
      <c r="W427" s="5"/>
    </row>
    <row r="428">
      <c r="A428" s="112" t="str">
        <f>IF(OR(ISBLANK(RAW_APS!A428),ISBLANK(RAW_APS!B428),ISBLANK(RAW_APS!C428)),TRUE,IFERROR(0/0,""))</f>
        <v/>
      </c>
      <c r="B428" s="252"/>
      <c r="C428" s="112" t="str">
        <f>IF(ISBLANK(B428),IFERROR(0/0,""),RAW_APS!A428)</f>
        <v/>
      </c>
      <c r="D428" s="112" t="str">
        <f>IF(ISBLANK(C428),IFERROR(0/0,""), VLOOKUP(C428,preDEL!A$2:AG786,33,FALSE))</f>
        <v/>
      </c>
      <c r="E428" s="252"/>
      <c r="F428" s="210"/>
      <c r="G428" s="252"/>
      <c r="H428" s="255" t="str">
        <f t="shared" si="1"/>
        <v/>
      </c>
      <c r="I428" s="256" t="str">
        <f>CONCATENATE(UPPER(RAW_APS!$A429),"__",RAW_APS!$B429,"_",RAW_APS!$C429)</f>
        <v>MA1079__44604_0.323576388888889</v>
      </c>
      <c r="J428" s="257" t="str">
        <f t="shared" si="2"/>
        <v/>
      </c>
      <c r="K428" s="252" t="s">
        <v>1366</v>
      </c>
      <c r="L428" s="258" t="str">
        <f t="shared" si="3"/>
        <v>MA1299</v>
      </c>
      <c r="M428" s="259" t="b">
        <f t="shared" si="4"/>
        <v>0</v>
      </c>
      <c r="N428" s="258" t="str">
        <f t="shared" si="5"/>
        <v/>
      </c>
      <c r="O428" s="5"/>
      <c r="P428" s="5"/>
      <c r="Q428" s="5"/>
      <c r="R428" s="5"/>
      <c r="S428" s="5"/>
      <c r="T428" s="5"/>
      <c r="U428" s="5"/>
      <c r="V428" s="5"/>
      <c r="W428" s="5"/>
    </row>
    <row r="429">
      <c r="A429" s="112" t="str">
        <f>IF(OR(ISBLANK(RAW_APS!A429),ISBLANK(RAW_APS!B429),ISBLANK(RAW_APS!C429)),TRUE,IFERROR(0/0,""))</f>
        <v/>
      </c>
      <c r="B429" s="252"/>
      <c r="C429" s="112" t="str">
        <f>IF(ISBLANK(B429),IFERROR(0/0,""),RAW_APS!A429)</f>
        <v/>
      </c>
      <c r="D429" s="112" t="str">
        <f>IF(ISBLANK(C429),IFERROR(0/0,""), VLOOKUP(C429,preDEL!A$2:AG786,33,FALSE))</f>
        <v/>
      </c>
      <c r="E429" s="252"/>
      <c r="F429" s="210"/>
      <c r="G429" s="252"/>
      <c r="H429" s="255" t="str">
        <f t="shared" si="1"/>
        <v/>
      </c>
      <c r="I429" s="256" t="str">
        <f>CONCATENATE(UPPER(RAW_APS!$A430),"__",RAW_APS!$B430,"_",RAW_APS!$C430)</f>
        <v>MA1032__44603_0.423113425925926</v>
      </c>
      <c r="J429" s="257" t="str">
        <f t="shared" si="2"/>
        <v/>
      </c>
      <c r="K429" s="252" t="s">
        <v>1372</v>
      </c>
      <c r="L429" s="258" t="str">
        <f t="shared" si="3"/>
        <v>MA1302</v>
      </c>
      <c r="M429" s="259" t="b">
        <f t="shared" si="4"/>
        <v>0</v>
      </c>
      <c r="N429" s="258" t="str">
        <f t="shared" si="5"/>
        <v/>
      </c>
      <c r="O429" s="5"/>
      <c r="P429" s="5"/>
      <c r="Q429" s="5"/>
      <c r="R429" s="5"/>
      <c r="S429" s="5"/>
      <c r="T429" s="5"/>
      <c r="U429" s="5"/>
      <c r="V429" s="5"/>
      <c r="W429" s="5"/>
    </row>
    <row r="430">
      <c r="A430" s="112" t="str">
        <f>IF(OR(ISBLANK(RAW_APS!A430),ISBLANK(RAW_APS!B430),ISBLANK(RAW_APS!C430)),TRUE,IFERROR(0/0,""))</f>
        <v/>
      </c>
      <c r="B430" s="252"/>
      <c r="C430" s="112" t="str">
        <f>IF(ISBLANK(B430),IFERROR(0/0,""),RAW_APS!A430)</f>
        <v/>
      </c>
      <c r="D430" s="112" t="str">
        <f>IF(ISBLANK(C430),IFERROR(0/0,""), VLOOKUP(C430,preDEL!A$2:AG786,33,FALSE))</f>
        <v/>
      </c>
      <c r="E430" s="252"/>
      <c r="F430" s="210"/>
      <c r="G430" s="252"/>
      <c r="H430" s="255" t="str">
        <f t="shared" si="1"/>
        <v/>
      </c>
      <c r="I430" s="256" t="str">
        <f>CONCATENATE(UPPER(RAW_APS!$A431),"__",RAW_APS!$B431,"_",RAW_APS!$C431)</f>
        <v>MAX102__44603_0.378888888888889</v>
      </c>
      <c r="J430" s="257" t="str">
        <f t="shared" si="2"/>
        <v/>
      </c>
      <c r="K430" s="252" t="s">
        <v>1378</v>
      </c>
      <c r="L430" s="258" t="str">
        <f t="shared" si="3"/>
        <v>MA1304</v>
      </c>
      <c r="M430" s="259" t="b">
        <f t="shared" si="4"/>
        <v>0</v>
      </c>
      <c r="N430" s="258" t="str">
        <f t="shared" si="5"/>
        <v/>
      </c>
      <c r="O430" s="5"/>
      <c r="P430" s="5"/>
      <c r="Q430" s="5"/>
      <c r="R430" s="5"/>
      <c r="S430" s="5"/>
      <c r="T430" s="5"/>
      <c r="U430" s="5"/>
      <c r="V430" s="5"/>
      <c r="W430" s="5"/>
    </row>
    <row r="431">
      <c r="A431" s="112" t="str">
        <f>IF(OR(ISBLANK(RAW_APS!A431),ISBLANK(RAW_APS!B431),ISBLANK(RAW_APS!C431)),TRUE,IFERROR(0/0,""))</f>
        <v/>
      </c>
      <c r="B431" s="252"/>
      <c r="C431" s="112" t="str">
        <f>IF(ISBLANK(B431),IFERROR(0/0,""),RAW_APS!A431)</f>
        <v/>
      </c>
      <c r="D431" s="112" t="str">
        <f>IF(ISBLANK(C431),IFERROR(0/0,""), VLOOKUP(C431,preDEL!A$2:AG786,33,FALSE))</f>
        <v/>
      </c>
      <c r="E431" s="252"/>
      <c r="F431" s="210"/>
      <c r="G431" s="252"/>
      <c r="H431" s="255" t="str">
        <f t="shared" si="1"/>
        <v/>
      </c>
      <c r="I431" s="256" t="str">
        <f>CONCATENATE(UPPER(RAW_APS!$A432),"__",RAW_APS!$B432,"_",RAW_APS!$C432)</f>
        <v>MA620__44603_0.339467592592593</v>
      </c>
      <c r="J431" s="257" t="str">
        <f t="shared" si="2"/>
        <v/>
      </c>
      <c r="K431" s="252" t="s">
        <v>1388</v>
      </c>
      <c r="L431" s="258" t="str">
        <f t="shared" si="3"/>
        <v>MA1308</v>
      </c>
      <c r="M431" s="259" t="b">
        <f t="shared" si="4"/>
        <v>0</v>
      </c>
      <c r="N431" s="258" t="str">
        <f t="shared" si="5"/>
        <v/>
      </c>
      <c r="O431" s="5"/>
      <c r="P431" s="5"/>
      <c r="Q431" s="5"/>
      <c r="R431" s="5"/>
      <c r="S431" s="5"/>
      <c r="T431" s="5"/>
      <c r="U431" s="5"/>
      <c r="V431" s="5"/>
      <c r="W431" s="5"/>
    </row>
    <row r="432">
      <c r="A432" s="112" t="str">
        <f>IF(OR(ISBLANK(RAW_APS!A432),ISBLANK(RAW_APS!B432),ISBLANK(RAW_APS!C432)),TRUE,IFERROR(0/0,""))</f>
        <v/>
      </c>
      <c r="B432" s="252"/>
      <c r="C432" s="112" t="str">
        <f>IF(ISBLANK(B432),IFERROR(0/0,""),RAW_APS!A432)</f>
        <v/>
      </c>
      <c r="D432" s="112" t="str">
        <f>IF(ISBLANK(C432),IFERROR(0/0,""), VLOOKUP(C432,preDEL!A$2:AG786,33,FALSE))</f>
        <v/>
      </c>
      <c r="E432" s="252"/>
      <c r="F432" s="210"/>
      <c r="G432" s="252"/>
      <c r="H432" s="255" t="str">
        <f t="shared" si="1"/>
        <v/>
      </c>
      <c r="I432" s="256" t="str">
        <f>CONCATENATE(UPPER(RAW_APS!$A433),"__",RAW_APS!$B433,"_",RAW_APS!$C433)</f>
        <v>MA632__44603_0.339155092592593</v>
      </c>
      <c r="J432" s="257" t="str">
        <f t="shared" si="2"/>
        <v/>
      </c>
      <c r="K432" s="252" t="s">
        <v>1391</v>
      </c>
      <c r="L432" s="258" t="str">
        <f t="shared" si="3"/>
        <v>MA1312</v>
      </c>
      <c r="M432" s="259" t="b">
        <f t="shared" si="4"/>
        <v>0</v>
      </c>
      <c r="N432" s="258" t="str">
        <f t="shared" si="5"/>
        <v/>
      </c>
      <c r="O432" s="5"/>
      <c r="P432" s="5"/>
      <c r="Q432" s="5"/>
      <c r="R432" s="5"/>
      <c r="S432" s="5"/>
      <c r="T432" s="5"/>
      <c r="U432" s="5"/>
      <c r="V432" s="5"/>
      <c r="W432" s="5"/>
    </row>
    <row r="433">
      <c r="A433" s="112" t="str">
        <f>IF(OR(ISBLANK(RAW_APS!A433),ISBLANK(RAW_APS!B433),ISBLANK(RAW_APS!C433)),TRUE,IFERROR(0/0,""))</f>
        <v/>
      </c>
      <c r="B433" s="252"/>
      <c r="C433" s="112" t="str">
        <f>IF(ISBLANK(B433),IFERROR(0/0,""),RAW_APS!A433)</f>
        <v/>
      </c>
      <c r="D433" s="112" t="str">
        <f>IF(ISBLANK(C433),IFERROR(0/0,""), VLOOKUP(C433,preDEL!A$2:AG786,33,FALSE))</f>
        <v/>
      </c>
      <c r="E433" s="252"/>
      <c r="F433" s="210"/>
      <c r="G433" s="252"/>
      <c r="H433" s="255" t="str">
        <f t="shared" si="1"/>
        <v/>
      </c>
      <c r="I433" s="256" t="str">
        <f>CONCATENATE(UPPER(RAW_APS!$A434),"__",RAW_APS!$B434,"_",RAW_APS!$C434)</f>
        <v>FM71__44603_0.337685185185185</v>
      </c>
      <c r="J433" s="257" t="str">
        <f t="shared" si="2"/>
        <v/>
      </c>
      <c r="K433" s="252" t="s">
        <v>1393</v>
      </c>
      <c r="L433" s="258" t="str">
        <f t="shared" si="3"/>
        <v>MA1313</v>
      </c>
      <c r="M433" s="259" t="b">
        <f t="shared" si="4"/>
        <v>0</v>
      </c>
      <c r="N433" s="258" t="str">
        <f t="shared" si="5"/>
        <v/>
      </c>
      <c r="O433" s="5"/>
      <c r="P433" s="5"/>
      <c r="Q433" s="5"/>
      <c r="R433" s="5"/>
      <c r="S433" s="5"/>
      <c r="T433" s="5"/>
      <c r="U433" s="5"/>
      <c r="V433" s="5"/>
      <c r="W433" s="5"/>
    </row>
    <row r="434">
      <c r="A434" s="112" t="str">
        <f>IF(OR(ISBLANK(RAW_APS!A434),ISBLANK(RAW_APS!B434),ISBLANK(RAW_APS!C434)),TRUE,IFERROR(0/0,""))</f>
        <v/>
      </c>
      <c r="B434" s="252"/>
      <c r="C434" s="112" t="str">
        <f>IF(ISBLANK(B434),IFERROR(0/0,""),RAW_APS!A434)</f>
        <v/>
      </c>
      <c r="D434" s="112" t="str">
        <f>IF(ISBLANK(C434),IFERROR(0/0,""), VLOOKUP(C434,preDEL!A$2:AG786,33,FALSE))</f>
        <v/>
      </c>
      <c r="E434" s="252"/>
      <c r="F434" s="210"/>
      <c r="G434" s="252"/>
      <c r="H434" s="255" t="str">
        <f t="shared" si="1"/>
        <v/>
      </c>
      <c r="I434" s="256" t="str">
        <f>CONCATENATE(UPPER(RAW_APS!$A435),"__",RAW_APS!$B435,"_",RAW_APS!$C435)</f>
        <v>FM90__44603_0.319097222222222</v>
      </c>
      <c r="J434" s="257" t="str">
        <f t="shared" si="2"/>
        <v/>
      </c>
      <c r="K434" s="252" t="s">
        <v>1396</v>
      </c>
      <c r="L434" s="258" t="str">
        <f t="shared" si="3"/>
        <v>MA1315</v>
      </c>
      <c r="M434" s="259" t="b">
        <f t="shared" si="4"/>
        <v>0</v>
      </c>
      <c r="N434" s="258" t="str">
        <f t="shared" si="5"/>
        <v/>
      </c>
      <c r="O434" s="5"/>
      <c r="P434" s="5"/>
      <c r="Q434" s="5"/>
      <c r="R434" s="5"/>
      <c r="S434" s="5"/>
      <c r="T434" s="5"/>
      <c r="U434" s="5"/>
      <c r="V434" s="5"/>
      <c r="W434" s="5"/>
    </row>
    <row r="435">
      <c r="A435" s="112" t="str">
        <f>IF(OR(ISBLANK(RAW_APS!A435),ISBLANK(RAW_APS!B435),ISBLANK(RAW_APS!C435)),TRUE,IFERROR(0/0,""))</f>
        <v/>
      </c>
      <c r="B435" s="252"/>
      <c r="C435" s="112" t="str">
        <f>IF(ISBLANK(B435),IFERROR(0/0,""),RAW_APS!A435)</f>
        <v/>
      </c>
      <c r="D435" s="112" t="str">
        <f>IF(ISBLANK(C435),IFERROR(0/0,""), VLOOKUP(C435,preDEL!A$2:AG786,33,FALSE))</f>
        <v/>
      </c>
      <c r="E435" s="252"/>
      <c r="F435" s="210"/>
      <c r="G435" s="252"/>
      <c r="H435" s="255" t="str">
        <f t="shared" si="1"/>
        <v/>
      </c>
      <c r="I435" s="256" t="str">
        <f>CONCATENATE(UPPER(RAW_APS!$A436),"__",RAW_APS!$B436,"_",RAW_APS!$C436)</f>
        <v>MA1233__44603_0.317986111111111</v>
      </c>
      <c r="J435" s="257" t="str">
        <f t="shared" si="2"/>
        <v/>
      </c>
      <c r="K435" s="252" t="s">
        <v>1404</v>
      </c>
      <c r="L435" s="258" t="str">
        <f t="shared" si="3"/>
        <v>MA1318</v>
      </c>
      <c r="M435" s="259" t="b">
        <f t="shared" si="4"/>
        <v>0</v>
      </c>
      <c r="N435" s="258" t="str">
        <f t="shared" si="5"/>
        <v/>
      </c>
      <c r="O435" s="5"/>
      <c r="P435" s="5"/>
      <c r="Q435" s="5"/>
      <c r="R435" s="5"/>
      <c r="S435" s="5"/>
      <c r="T435" s="5"/>
      <c r="U435" s="5"/>
      <c r="V435" s="5"/>
      <c r="W435" s="5"/>
    </row>
    <row r="436">
      <c r="A436" s="112" t="str">
        <f>IF(OR(ISBLANK(RAW_APS!A436),ISBLANK(RAW_APS!B436),ISBLANK(RAW_APS!C436)),TRUE,IFERROR(0/0,""))</f>
        <v/>
      </c>
      <c r="B436" s="252"/>
      <c r="C436" s="112" t="str">
        <f>IF(ISBLANK(B436),IFERROR(0/0,""),RAW_APS!A436)</f>
        <v/>
      </c>
      <c r="D436" s="112" t="str">
        <f>IF(ISBLANK(C436),IFERROR(0/0,""), VLOOKUP(C436,preDEL!A$2:AG786,33,FALSE))</f>
        <v/>
      </c>
      <c r="E436" s="252"/>
      <c r="F436" s="210"/>
      <c r="G436" s="252"/>
      <c r="H436" s="255" t="str">
        <f t="shared" si="1"/>
        <v/>
      </c>
      <c r="I436" s="256" t="str">
        <f>CONCATENATE(UPPER(RAW_APS!$A437),"__",RAW_APS!$B437,"_",RAW_APS!$C437)</f>
        <v>FM804__44603_0.315173611111111</v>
      </c>
      <c r="J436" s="257" t="str">
        <f t="shared" si="2"/>
        <v/>
      </c>
      <c r="K436" s="252" t="s">
        <v>1406</v>
      </c>
      <c r="L436" s="258" t="str">
        <f t="shared" si="3"/>
        <v>MA1319</v>
      </c>
      <c r="M436" s="259" t="b">
        <f t="shared" si="4"/>
        <v>0</v>
      </c>
      <c r="N436" s="258" t="str">
        <f t="shared" si="5"/>
        <v/>
      </c>
      <c r="O436" s="5"/>
      <c r="P436" s="5"/>
      <c r="Q436" s="5"/>
      <c r="R436" s="5"/>
      <c r="S436" s="5"/>
      <c r="T436" s="5"/>
      <c r="U436" s="5"/>
      <c r="V436" s="5"/>
      <c r="W436" s="5"/>
    </row>
    <row r="437">
      <c r="A437" s="112" t="str">
        <f>IF(OR(ISBLANK(RAW_APS!A437),ISBLANK(RAW_APS!B437),ISBLANK(RAW_APS!C437)),TRUE,IFERROR(0/0,""))</f>
        <v/>
      </c>
      <c r="B437" s="252"/>
      <c r="C437" s="112" t="str">
        <f>IF(ISBLANK(B437),IFERROR(0/0,""),RAW_APS!A437)</f>
        <v/>
      </c>
      <c r="D437" s="112" t="str">
        <f>IF(ISBLANK(C437),IFERROR(0/0,""), VLOOKUP(C437,preDEL!A$2:AG786,33,FALSE))</f>
        <v/>
      </c>
      <c r="E437" s="252"/>
      <c r="F437" s="210"/>
      <c r="G437" s="252"/>
      <c r="H437" s="255" t="str">
        <f t="shared" si="1"/>
        <v/>
      </c>
      <c r="I437" s="256" t="str">
        <f>CONCATENATE(UPPER(RAW_APS!$A438),"__",RAW_APS!$B438,"_",RAW_APS!$C438)</f>
        <v>MA203__44603_0.288101851851852</v>
      </c>
      <c r="J437" s="257" t="str">
        <f t="shared" si="2"/>
        <v/>
      </c>
      <c r="K437" s="252" t="s">
        <v>1410</v>
      </c>
      <c r="L437" s="258" t="str">
        <f t="shared" si="3"/>
        <v>MA1320</v>
      </c>
      <c r="M437" s="259" t="b">
        <f t="shared" si="4"/>
        <v>0</v>
      </c>
      <c r="N437" s="258" t="str">
        <f t="shared" si="5"/>
        <v/>
      </c>
      <c r="O437" s="5"/>
      <c r="P437" s="5"/>
      <c r="Q437" s="5"/>
      <c r="R437" s="5"/>
      <c r="S437" s="5"/>
      <c r="T437" s="5"/>
      <c r="U437" s="5"/>
      <c r="V437" s="5"/>
      <c r="W437" s="5"/>
    </row>
    <row r="438">
      <c r="A438" s="112" t="str">
        <f>IF(OR(ISBLANK(RAW_APS!A438),ISBLANK(RAW_APS!B438),ISBLANK(RAW_APS!C438)),TRUE,IFERROR(0/0,""))</f>
        <v/>
      </c>
      <c r="B438" s="252"/>
      <c r="C438" s="112" t="str">
        <f>IF(ISBLANK(B438),IFERROR(0/0,""),RAW_APS!A438)</f>
        <v/>
      </c>
      <c r="D438" s="112" t="str">
        <f>IF(ISBLANK(C438),IFERROR(0/0,""), VLOOKUP(C438,preDEL!A$2:AG786,33,FALSE))</f>
        <v/>
      </c>
      <c r="E438" s="252"/>
      <c r="F438" s="210"/>
      <c r="G438" s="252"/>
      <c r="H438" s="255" t="str">
        <f t="shared" si="1"/>
        <v/>
      </c>
      <c r="I438" s="256" t="str">
        <f>CONCATENATE(UPPER(RAW_APS!$A439),"__",RAW_APS!$B439,"_",RAW_APS!$C439)</f>
        <v>MA1490__44601_0.392488425925926</v>
      </c>
      <c r="J438" s="257" t="str">
        <f t="shared" si="2"/>
        <v/>
      </c>
      <c r="K438" s="252" t="s">
        <v>1412</v>
      </c>
      <c r="L438" s="258" t="str">
        <f t="shared" si="3"/>
        <v>MA1352</v>
      </c>
      <c r="M438" s="259" t="b">
        <f t="shared" si="4"/>
        <v>0</v>
      </c>
      <c r="N438" s="258" t="str">
        <f t="shared" si="5"/>
        <v/>
      </c>
      <c r="O438" s="5"/>
      <c r="P438" s="5"/>
      <c r="Q438" s="5"/>
      <c r="R438" s="5"/>
      <c r="S438" s="5"/>
      <c r="T438" s="5"/>
      <c r="U438" s="5"/>
      <c r="V438" s="5"/>
      <c r="W438" s="5"/>
    </row>
    <row r="439">
      <c r="A439" s="112" t="str">
        <f>IF(OR(ISBLANK(RAW_APS!A439),ISBLANK(RAW_APS!B439),ISBLANK(RAW_APS!C439)),TRUE,IFERROR(0/0,""))</f>
        <v/>
      </c>
      <c r="B439" s="252"/>
      <c r="C439" s="112" t="str">
        <f>IF(ISBLANK(B439),IFERROR(0/0,""),RAW_APS!A439)</f>
        <v/>
      </c>
      <c r="D439" s="112" t="str">
        <f>IF(ISBLANK(C439),IFERROR(0/0,""), VLOOKUP(C439,preDEL!A$2:AG786,33,FALSE))</f>
        <v/>
      </c>
      <c r="E439" s="252"/>
      <c r="F439" s="210"/>
      <c r="G439" s="252"/>
      <c r="H439" s="255" t="str">
        <f t="shared" si="1"/>
        <v/>
      </c>
      <c r="I439" s="256" t="str">
        <f>CONCATENATE(UPPER(RAW_APS!$A440),"__",RAW_APS!$B440,"_",RAW_APS!$C440)</f>
        <v>MAX120__44601_0.390891203703704</v>
      </c>
      <c r="J439" s="257" t="str">
        <f t="shared" si="2"/>
        <v/>
      </c>
      <c r="K439" s="252" t="s">
        <v>1414</v>
      </c>
      <c r="L439" s="258" t="str">
        <f t="shared" si="3"/>
        <v>MA1365</v>
      </c>
      <c r="M439" s="259" t="b">
        <f t="shared" si="4"/>
        <v>0</v>
      </c>
      <c r="N439" s="258" t="str">
        <f t="shared" si="5"/>
        <v/>
      </c>
      <c r="O439" s="5"/>
      <c r="P439" s="5"/>
      <c r="Q439" s="5"/>
      <c r="R439" s="5"/>
      <c r="S439" s="5"/>
      <c r="T439" s="5"/>
      <c r="U439" s="5"/>
      <c r="V439" s="5"/>
      <c r="W439" s="5"/>
    </row>
    <row r="440">
      <c r="A440" s="112" t="str">
        <f>IF(OR(ISBLANK(RAW_APS!A440),ISBLANK(RAW_APS!B440),ISBLANK(RAW_APS!C440)),TRUE,IFERROR(0/0,""))</f>
        <v/>
      </c>
      <c r="B440" s="252"/>
      <c r="C440" s="112" t="str">
        <f>IF(ISBLANK(B440),IFERROR(0/0,""),RAW_APS!A440)</f>
        <v/>
      </c>
      <c r="D440" s="112" t="str">
        <f>IF(ISBLANK(C440),IFERROR(0/0,""), VLOOKUP(C440,preDEL!A$2:AG786,33,FALSE))</f>
        <v/>
      </c>
      <c r="E440" s="252"/>
      <c r="F440" s="210"/>
      <c r="G440" s="252"/>
      <c r="H440" s="255" t="str">
        <f t="shared" si="1"/>
        <v/>
      </c>
      <c r="I440" s="256" t="str">
        <f>CONCATENATE(UPPER(RAW_APS!$A441),"__",RAW_APS!$B441,"_",RAW_APS!$C441)</f>
        <v>MAX131__44601_0.34619212962963</v>
      </c>
      <c r="J440" s="257" t="str">
        <f t="shared" si="2"/>
        <v/>
      </c>
      <c r="K440" s="252" t="s">
        <v>1416</v>
      </c>
      <c r="L440" s="258" t="str">
        <f t="shared" si="3"/>
        <v>MA1384</v>
      </c>
      <c r="M440" s="259" t="b">
        <f t="shared" si="4"/>
        <v>0</v>
      </c>
      <c r="N440" s="258" t="str">
        <f t="shared" si="5"/>
        <v/>
      </c>
      <c r="O440" s="5"/>
      <c r="P440" s="5"/>
      <c r="Q440" s="5"/>
      <c r="R440" s="5"/>
      <c r="S440" s="5"/>
      <c r="T440" s="5"/>
      <c r="U440" s="5"/>
      <c r="V440" s="5"/>
      <c r="W440" s="5"/>
    </row>
    <row r="441">
      <c r="A441" s="112" t="str">
        <f>IF(OR(ISBLANK(RAW_APS!A441),ISBLANK(RAW_APS!B441),ISBLANK(RAW_APS!C441)),TRUE,IFERROR(0/0,""))</f>
        <v/>
      </c>
      <c r="B441" s="252"/>
      <c r="C441" s="112" t="str">
        <f>IF(ISBLANK(B441),IFERROR(0/0,""),RAW_APS!A441)</f>
        <v/>
      </c>
      <c r="D441" s="112" t="str">
        <f>IF(ISBLANK(C441),IFERROR(0/0,""), VLOOKUP(C441,preDEL!A$2:AG786,33,FALSE))</f>
        <v/>
      </c>
      <c r="E441" s="252"/>
      <c r="F441" s="210"/>
      <c r="G441" s="252"/>
      <c r="H441" s="255" t="str">
        <f t="shared" si="1"/>
        <v/>
      </c>
      <c r="I441" s="256" t="str">
        <f>CONCATENATE(UPPER(RAW_APS!$A442),"__",RAW_APS!$B442,"_",RAW_APS!$C442)</f>
        <v>MAX75__44601_0.345787037037037</v>
      </c>
      <c r="J441" s="257" t="str">
        <f t="shared" si="2"/>
        <v/>
      </c>
      <c r="K441" s="252" t="s">
        <v>1418</v>
      </c>
      <c r="L441" s="258" t="str">
        <f t="shared" si="3"/>
        <v>MA1392</v>
      </c>
      <c r="M441" s="259" t="b">
        <f t="shared" si="4"/>
        <v>0</v>
      </c>
      <c r="N441" s="258" t="str">
        <f t="shared" si="5"/>
        <v/>
      </c>
      <c r="O441" s="5"/>
      <c r="P441" s="5"/>
      <c r="Q441" s="5"/>
      <c r="R441" s="5"/>
      <c r="S441" s="5"/>
      <c r="T441" s="5"/>
      <c r="U441" s="5"/>
      <c r="V441" s="5"/>
      <c r="W441" s="5"/>
    </row>
    <row r="442">
      <c r="A442" s="112" t="str">
        <f>IF(OR(ISBLANK(RAW_APS!A442),ISBLANK(RAW_APS!B442),ISBLANK(RAW_APS!C442)),TRUE,IFERROR(0/0,""))</f>
        <v/>
      </c>
      <c r="B442" s="252"/>
      <c r="C442" s="112" t="str">
        <f>IF(ISBLANK(B442),IFERROR(0/0,""),RAW_APS!A442)</f>
        <v/>
      </c>
      <c r="D442" s="112" t="str">
        <f>IF(ISBLANK(C442),IFERROR(0/0,""), VLOOKUP(C442,preDEL!A$2:AG786,33,FALSE))</f>
        <v/>
      </c>
      <c r="E442" s="252"/>
      <c r="F442" s="210"/>
      <c r="G442" s="252"/>
      <c r="H442" s="255" t="str">
        <f t="shared" si="1"/>
        <v/>
      </c>
      <c r="I442" s="256" t="str">
        <f>CONCATENATE(UPPER(RAW_APS!$A443),"__",RAW_APS!$B443,"_",RAW_APS!$C443)</f>
        <v>MAX67__44601_0.345462962962963</v>
      </c>
      <c r="J442" s="257" t="str">
        <f t="shared" si="2"/>
        <v/>
      </c>
      <c r="K442" s="252" t="s">
        <v>1422</v>
      </c>
      <c r="L442" s="258" t="str">
        <f t="shared" si="3"/>
        <v>MA1397</v>
      </c>
      <c r="M442" s="259" t="b">
        <f t="shared" si="4"/>
        <v>0</v>
      </c>
      <c r="N442" s="258" t="str">
        <f t="shared" si="5"/>
        <v/>
      </c>
      <c r="O442" s="5"/>
      <c r="P442" s="5"/>
      <c r="Q442" s="5"/>
      <c r="R442" s="5"/>
      <c r="S442" s="5"/>
      <c r="T442" s="5"/>
      <c r="U442" s="5"/>
      <c r="V442" s="5"/>
      <c r="W442" s="5"/>
    </row>
    <row r="443">
      <c r="A443" s="112" t="str">
        <f>IF(OR(ISBLANK(RAW_APS!A443),ISBLANK(RAW_APS!B443),ISBLANK(RAW_APS!C443)),TRUE,IFERROR(0/0,""))</f>
        <v/>
      </c>
      <c r="B443" s="252"/>
      <c r="C443" s="112" t="str">
        <f>IF(ISBLANK(B443),IFERROR(0/0,""),RAW_APS!A443)</f>
        <v/>
      </c>
      <c r="D443" s="112" t="str">
        <f>IF(ISBLANK(C443),IFERROR(0/0,""), VLOOKUP(C443,preDEL!A$2:AG786,33,FALSE))</f>
        <v/>
      </c>
      <c r="E443" s="252"/>
      <c r="F443" s="210"/>
      <c r="G443" s="252"/>
      <c r="H443" s="255" t="str">
        <f t="shared" si="1"/>
        <v/>
      </c>
      <c r="I443" s="256" t="str">
        <f>CONCATENATE(UPPER(RAW_APS!$A444),"__",RAW_APS!$B444,"_",RAW_APS!$C444)</f>
        <v>MAX116__44601_0.344872685185185</v>
      </c>
      <c r="J443" s="257" t="str">
        <f t="shared" si="2"/>
        <v/>
      </c>
      <c r="K443" s="252" t="s">
        <v>1424</v>
      </c>
      <c r="L443" s="258" t="str">
        <f t="shared" si="3"/>
        <v>MA1398</v>
      </c>
      <c r="M443" s="259" t="b">
        <f t="shared" si="4"/>
        <v>0</v>
      </c>
      <c r="N443" s="258" t="str">
        <f t="shared" si="5"/>
        <v/>
      </c>
      <c r="O443" s="5"/>
      <c r="P443" s="5"/>
      <c r="Q443" s="5"/>
      <c r="R443" s="5"/>
      <c r="S443" s="5"/>
      <c r="T443" s="5"/>
      <c r="U443" s="5"/>
      <c r="V443" s="5"/>
      <c r="W443" s="5"/>
    </row>
    <row r="444">
      <c r="A444" s="112" t="str">
        <f>IF(OR(ISBLANK(RAW_APS!A444),ISBLANK(RAW_APS!B444),ISBLANK(RAW_APS!C444)),TRUE,IFERROR(0/0,""))</f>
        <v/>
      </c>
      <c r="B444" s="252"/>
      <c r="C444" s="112" t="str">
        <f>IF(ISBLANK(B444),IFERROR(0/0,""),RAW_APS!A444)</f>
        <v/>
      </c>
      <c r="D444" s="112" t="str">
        <f>IF(ISBLANK(C444),IFERROR(0/0,""), VLOOKUP(C444,preDEL!A$2:AG786,33,FALSE))</f>
        <v/>
      </c>
      <c r="E444" s="252"/>
      <c r="F444" s="210"/>
      <c r="G444" s="252"/>
      <c r="H444" s="255" t="str">
        <f t="shared" si="1"/>
        <v/>
      </c>
      <c r="I444" s="256" t="str">
        <f>CONCATENATE(UPPER(RAW_APS!$A445),"__",RAW_APS!$B445,"_",RAW_APS!$C445)</f>
        <v>MAX12__44601_0.344421296296296</v>
      </c>
      <c r="J444" s="257" t="str">
        <f t="shared" si="2"/>
        <v/>
      </c>
      <c r="K444" s="252" t="s">
        <v>1426</v>
      </c>
      <c r="L444" s="258" t="str">
        <f t="shared" si="3"/>
        <v>MA1405</v>
      </c>
      <c r="M444" s="259" t="b">
        <f t="shared" si="4"/>
        <v>0</v>
      </c>
      <c r="N444" s="258" t="str">
        <f t="shared" si="5"/>
        <v/>
      </c>
      <c r="O444" s="5"/>
      <c r="P444" s="5"/>
      <c r="Q444" s="5"/>
      <c r="R444" s="5"/>
      <c r="S444" s="5"/>
      <c r="T444" s="5"/>
      <c r="U444" s="5"/>
      <c r="V444" s="5"/>
      <c r="W444" s="5"/>
    </row>
    <row r="445">
      <c r="A445" s="112" t="str">
        <f>IF(OR(ISBLANK(RAW_APS!A445),ISBLANK(RAW_APS!B445),ISBLANK(RAW_APS!C445)),TRUE,IFERROR(0/0,""))</f>
        <v/>
      </c>
      <c r="B445" s="252"/>
      <c r="C445" s="112" t="str">
        <f>IF(ISBLANK(B445),IFERROR(0/0,""),RAW_APS!A445)</f>
        <v/>
      </c>
      <c r="D445" s="112" t="str">
        <f>IF(ISBLANK(C445),IFERROR(0/0,""), VLOOKUP(C445,preDEL!A$2:AG786,33,FALSE))</f>
        <v/>
      </c>
      <c r="E445" s="252"/>
      <c r="F445" s="210"/>
      <c r="G445" s="252"/>
      <c r="H445" s="255" t="str">
        <f t="shared" si="1"/>
        <v/>
      </c>
      <c r="I445" s="256" t="str">
        <f>CONCATENATE(UPPER(RAW_APS!$A446),"__",RAW_APS!$B446,"_",RAW_APS!$C446)</f>
        <v>MAX124__44601_0.343831018518519</v>
      </c>
      <c r="J445" s="257" t="str">
        <f t="shared" si="2"/>
        <v/>
      </c>
      <c r="K445" s="252" t="s">
        <v>1428</v>
      </c>
      <c r="L445" s="258" t="str">
        <f t="shared" si="3"/>
        <v>MA1429</v>
      </c>
      <c r="M445" s="259" t="b">
        <f t="shared" si="4"/>
        <v>0</v>
      </c>
      <c r="N445" s="258" t="str">
        <f t="shared" si="5"/>
        <v/>
      </c>
      <c r="O445" s="5"/>
      <c r="P445" s="5"/>
      <c r="Q445" s="5"/>
      <c r="R445" s="5"/>
      <c r="S445" s="5"/>
      <c r="T445" s="5"/>
      <c r="U445" s="5"/>
      <c r="V445" s="5"/>
      <c r="W445" s="5"/>
    </row>
    <row r="446">
      <c r="A446" s="112" t="str">
        <f>IF(OR(ISBLANK(RAW_APS!A446),ISBLANK(RAW_APS!B446),ISBLANK(RAW_APS!C446)),TRUE,IFERROR(0/0,""))</f>
        <v/>
      </c>
      <c r="B446" s="252"/>
      <c r="C446" s="112" t="str">
        <f>IF(ISBLANK(B446),IFERROR(0/0,""),RAW_APS!A446)</f>
        <v/>
      </c>
      <c r="D446" s="112" t="str">
        <f>IF(ISBLANK(C446),IFERROR(0/0,""), VLOOKUP(C446,preDEL!A$2:AG786,33,FALSE))</f>
        <v/>
      </c>
      <c r="E446" s="252"/>
      <c r="F446" s="210"/>
      <c r="G446" s="252"/>
      <c r="H446" s="255" t="str">
        <f t="shared" si="1"/>
        <v/>
      </c>
      <c r="I446" s="256" t="str">
        <f>CONCATENATE(UPPER(RAW_APS!$A447),"__",RAW_APS!$B447,"_",RAW_APS!$C447)</f>
        <v>MA252__44601_0.317407407407407</v>
      </c>
      <c r="J446" s="257" t="str">
        <f t="shared" si="2"/>
        <v/>
      </c>
      <c r="K446" s="252" t="s">
        <v>1430</v>
      </c>
      <c r="L446" s="258" t="str">
        <f t="shared" si="3"/>
        <v>MA1453</v>
      </c>
      <c r="M446" s="259" t="b">
        <f t="shared" si="4"/>
        <v>0</v>
      </c>
      <c r="N446" s="258" t="str">
        <f t="shared" si="5"/>
        <v/>
      </c>
      <c r="O446" s="5"/>
      <c r="P446" s="5"/>
      <c r="Q446" s="5"/>
      <c r="R446" s="5"/>
      <c r="S446" s="5"/>
      <c r="T446" s="5"/>
      <c r="U446" s="5"/>
      <c r="V446" s="5"/>
      <c r="W446" s="5"/>
    </row>
    <row r="447">
      <c r="A447" s="112" t="str">
        <f>IF(OR(ISBLANK(RAW_APS!A447),ISBLANK(RAW_APS!B447),ISBLANK(RAW_APS!C447)),TRUE,IFERROR(0/0,""))</f>
        <v/>
      </c>
      <c r="B447" s="252"/>
      <c r="C447" s="112" t="str">
        <f>IF(ISBLANK(B447),IFERROR(0/0,""),RAW_APS!A447)</f>
        <v/>
      </c>
      <c r="D447" s="112" t="str">
        <f>IF(ISBLANK(C447),IFERROR(0/0,""), VLOOKUP(C447,preDEL!A$2:AG786,33,FALSE))</f>
        <v/>
      </c>
      <c r="E447" s="252"/>
      <c r="F447" s="210"/>
      <c r="G447" s="252"/>
      <c r="H447" s="255" t="str">
        <f t="shared" si="1"/>
        <v/>
      </c>
      <c r="I447" s="256" t="str">
        <f>CONCATENATE(UPPER(RAW_APS!$A448),"__",RAW_APS!$B448,"_",RAW_APS!$C448)</f>
        <v>FM87__44601_0.31181712962963</v>
      </c>
      <c r="J447" s="257" t="str">
        <f t="shared" si="2"/>
        <v/>
      </c>
      <c r="K447" s="252" t="s">
        <v>1432</v>
      </c>
      <c r="L447" s="258" t="str">
        <f t="shared" si="3"/>
        <v>MA1490</v>
      </c>
      <c r="M447" s="259" t="b">
        <f t="shared" si="4"/>
        <v>0</v>
      </c>
      <c r="N447" s="258" t="str">
        <f t="shared" si="5"/>
        <v/>
      </c>
      <c r="O447" s="5"/>
      <c r="P447" s="5"/>
      <c r="Q447" s="5"/>
      <c r="R447" s="5"/>
      <c r="S447" s="5"/>
      <c r="T447" s="5"/>
      <c r="U447" s="5"/>
      <c r="V447" s="5"/>
      <c r="W447" s="5"/>
    </row>
    <row r="448">
      <c r="A448" s="112" t="str">
        <f>IF(OR(ISBLANK(RAW_APS!A448),ISBLANK(RAW_APS!B448),ISBLANK(RAW_APS!C448)),TRUE,IFERROR(0/0,""))</f>
        <v/>
      </c>
      <c r="B448" s="252"/>
      <c r="C448" s="112" t="str">
        <f>IF(ISBLANK(B448),IFERROR(0/0,""),RAW_APS!A448)</f>
        <v/>
      </c>
      <c r="D448" s="112" t="str">
        <f>IF(ISBLANK(C448),IFERROR(0/0,""), VLOOKUP(C448,preDEL!A$2:AG786,33,FALSE))</f>
        <v/>
      </c>
      <c r="E448" s="252"/>
      <c r="F448" s="210"/>
      <c r="G448" s="252"/>
      <c r="H448" s="255" t="str">
        <f t="shared" si="1"/>
        <v/>
      </c>
      <c r="I448" s="256" t="str">
        <f>CONCATENATE(UPPER(RAW_APS!$A449),"__",RAW_APS!$B449,"_",RAW_APS!$C449)</f>
        <v>MAX132__44601_0.30150462962963</v>
      </c>
      <c r="J448" s="257" t="str">
        <f t="shared" si="2"/>
        <v/>
      </c>
      <c r="K448" s="252" t="s">
        <v>1434</v>
      </c>
      <c r="L448" s="258" t="str">
        <f t="shared" si="3"/>
        <v>MA1497</v>
      </c>
      <c r="M448" s="259" t="b">
        <f t="shared" si="4"/>
        <v>0</v>
      </c>
      <c r="N448" s="258" t="str">
        <f t="shared" si="5"/>
        <v/>
      </c>
      <c r="O448" s="5"/>
      <c r="P448" s="5"/>
      <c r="Q448" s="5"/>
      <c r="R448" s="5"/>
      <c r="S448" s="5"/>
      <c r="T448" s="5"/>
      <c r="U448" s="5"/>
      <c r="V448" s="5"/>
      <c r="W448" s="5"/>
    </row>
    <row r="449">
      <c r="A449" s="112" t="str">
        <f>IF(OR(ISBLANK(RAW_APS!A449),ISBLANK(RAW_APS!B449),ISBLANK(RAW_APS!C449)),TRUE,IFERROR(0/0,""))</f>
        <v/>
      </c>
      <c r="B449" s="252"/>
      <c r="C449" s="112" t="str">
        <f>IF(ISBLANK(B449),IFERROR(0/0,""),RAW_APS!A449)</f>
        <v/>
      </c>
      <c r="D449" s="112" t="str">
        <f>IF(ISBLANK(C449),IFERROR(0/0,""), VLOOKUP(C449,preDEL!A$2:AG786,33,FALSE))</f>
        <v/>
      </c>
      <c r="E449" s="252"/>
      <c r="F449" s="210"/>
      <c r="G449" s="252"/>
      <c r="H449" s="255" t="str">
        <f t="shared" si="1"/>
        <v/>
      </c>
      <c r="I449" s="256" t="str">
        <f>CONCATENATE(UPPER(RAW_APS!$A450),"__",RAW_APS!$B450,"_",RAW_APS!$C450)</f>
        <v>MAX60__44601_0.301203703703704</v>
      </c>
      <c r="J449" s="257" t="str">
        <f t="shared" si="2"/>
        <v/>
      </c>
      <c r="K449" s="252" t="s">
        <v>1436</v>
      </c>
      <c r="L449" s="258" t="str">
        <f t="shared" si="3"/>
        <v>MA181</v>
      </c>
      <c r="M449" s="259" t="b">
        <f t="shared" si="4"/>
        <v>0</v>
      </c>
      <c r="N449" s="258" t="str">
        <f t="shared" si="5"/>
        <v/>
      </c>
      <c r="O449" s="5"/>
      <c r="P449" s="5"/>
      <c r="Q449" s="5"/>
      <c r="R449" s="5"/>
      <c r="S449" s="5"/>
      <c r="T449" s="5"/>
      <c r="U449" s="5"/>
      <c r="V449" s="5"/>
      <c r="W449" s="5"/>
    </row>
    <row r="450">
      <c r="A450" s="112" t="str">
        <f>IF(OR(ISBLANK(RAW_APS!A450),ISBLANK(RAW_APS!B450),ISBLANK(RAW_APS!C450)),TRUE,IFERROR(0/0,""))</f>
        <v/>
      </c>
      <c r="B450" s="252"/>
      <c r="C450" s="112" t="str">
        <f>IF(ISBLANK(B450),IFERROR(0/0,""),RAW_APS!A450)</f>
        <v/>
      </c>
      <c r="D450" s="112" t="str">
        <f>IF(ISBLANK(C450),IFERROR(0/0,""), VLOOKUP(C450,preDEL!A$2:AG786,33,FALSE))</f>
        <v/>
      </c>
      <c r="E450" s="252"/>
      <c r="F450" s="210"/>
      <c r="G450" s="252"/>
      <c r="H450" s="255" t="str">
        <f t="shared" si="1"/>
        <v/>
      </c>
      <c r="I450" s="256" t="str">
        <f>CONCATENATE(UPPER(RAW_APS!$A451),"__",RAW_APS!$B451,"_",RAW_APS!$C451)</f>
        <v>FM431__44601_0.263460648148148</v>
      </c>
      <c r="J450" s="257" t="str">
        <f t="shared" si="2"/>
        <v/>
      </c>
      <c r="K450" s="252" t="s">
        <v>1438</v>
      </c>
      <c r="L450" s="258" t="str">
        <f t="shared" si="3"/>
        <v>MA182</v>
      </c>
      <c r="M450" s="259" t="b">
        <f t="shared" si="4"/>
        <v>0</v>
      </c>
      <c r="N450" s="258" t="str">
        <f t="shared" si="5"/>
        <v/>
      </c>
      <c r="O450" s="5"/>
      <c r="P450" s="5"/>
      <c r="Q450" s="5"/>
      <c r="R450" s="5"/>
      <c r="S450" s="5"/>
      <c r="T450" s="5"/>
      <c r="U450" s="5"/>
      <c r="V450" s="5"/>
      <c r="W450" s="5"/>
    </row>
    <row r="451">
      <c r="A451" s="112" t="str">
        <f>IF(OR(ISBLANK(RAW_APS!A451),ISBLANK(RAW_APS!B451),ISBLANK(RAW_APS!C451)),TRUE,IFERROR(0/0,""))</f>
        <v/>
      </c>
      <c r="B451" s="252"/>
      <c r="C451" s="112" t="str">
        <f>IF(ISBLANK(B451),IFERROR(0/0,""),RAW_APS!A451)</f>
        <v/>
      </c>
      <c r="D451" s="112" t="str">
        <f>IF(ISBLANK(C451),IFERROR(0/0,""), VLOOKUP(C451,preDEL!A$2:AG786,33,FALSE))</f>
        <v/>
      </c>
      <c r="E451" s="252"/>
      <c r="F451" s="210"/>
      <c r="G451" s="252"/>
      <c r="H451" s="255" t="str">
        <f t="shared" si="1"/>
        <v/>
      </c>
      <c r="I451" s="256" t="str">
        <f>CONCATENATE(UPPER(RAW_APS!$A452),"__",RAW_APS!$B452,"_",RAW_APS!$C452)</f>
        <v>FM501__44601_0.263101851851852</v>
      </c>
      <c r="J451" s="257" t="str">
        <f t="shared" si="2"/>
        <v/>
      </c>
      <c r="K451" s="252" t="s">
        <v>1440</v>
      </c>
      <c r="L451" s="258" t="str">
        <f t="shared" si="3"/>
        <v>MA186</v>
      </c>
      <c r="M451" s="259" t="b">
        <f t="shared" si="4"/>
        <v>0</v>
      </c>
      <c r="N451" s="258" t="str">
        <f t="shared" si="5"/>
        <v/>
      </c>
      <c r="O451" s="5"/>
      <c r="P451" s="5"/>
      <c r="Q451" s="5"/>
      <c r="R451" s="5"/>
      <c r="S451" s="5"/>
      <c r="T451" s="5"/>
      <c r="U451" s="5"/>
      <c r="V451" s="5"/>
      <c r="W451" s="5"/>
    </row>
    <row r="452">
      <c r="A452" s="112" t="str">
        <f>IF(OR(ISBLANK(RAW_APS!A452),ISBLANK(RAW_APS!B452),ISBLANK(RAW_APS!C452)),TRUE,IFERROR(0/0,""))</f>
        <v/>
      </c>
      <c r="B452" s="252"/>
      <c r="C452" s="112" t="str">
        <f>IF(ISBLANK(B452),IFERROR(0/0,""),RAW_APS!A452)</f>
        <v/>
      </c>
      <c r="D452" s="112" t="str">
        <f>IF(ISBLANK(C452),IFERROR(0/0,""), VLOOKUP(C452,preDEL!A$2:AG786,33,FALSE))</f>
        <v/>
      </c>
      <c r="E452" s="252"/>
      <c r="F452" s="210"/>
      <c r="G452" s="252"/>
      <c r="H452" s="255" t="str">
        <f t="shared" si="1"/>
        <v/>
      </c>
      <c r="I452" s="256" t="str">
        <f>CONCATENATE(UPPER(RAW_APS!$A453),"__",RAW_APS!$B453,"_",RAW_APS!$C453)</f>
        <v>MA426__44599_0.470694444444445</v>
      </c>
      <c r="J452" s="257" t="str">
        <f t="shared" si="2"/>
        <v/>
      </c>
      <c r="K452" s="252" t="s">
        <v>1442</v>
      </c>
      <c r="L452" s="258" t="str">
        <f t="shared" si="3"/>
        <v>MA189</v>
      </c>
      <c r="M452" s="259" t="b">
        <f t="shared" si="4"/>
        <v>0</v>
      </c>
      <c r="N452" s="258" t="str">
        <f t="shared" si="5"/>
        <v/>
      </c>
      <c r="O452" s="5"/>
      <c r="P452" s="5"/>
      <c r="Q452" s="5"/>
      <c r="R452" s="5"/>
      <c r="S452" s="5"/>
      <c r="T452" s="5"/>
      <c r="U452" s="5"/>
      <c r="V452" s="5"/>
      <c r="W452" s="5"/>
    </row>
    <row r="453">
      <c r="A453" s="112" t="str">
        <f>IF(OR(ISBLANK(RAW_APS!A453),ISBLANK(RAW_APS!B453),ISBLANK(RAW_APS!C453)),TRUE,IFERROR(0/0,""))</f>
        <v/>
      </c>
      <c r="B453" s="252"/>
      <c r="C453" s="112" t="str">
        <f>IF(ISBLANK(B453),IFERROR(0/0,""),RAW_APS!A453)</f>
        <v/>
      </c>
      <c r="D453" s="112" t="str">
        <f>IF(ISBLANK(C453),IFERROR(0/0,""), VLOOKUP(C453,preDEL!A$2:AG786,33,FALSE))</f>
        <v/>
      </c>
      <c r="E453" s="252"/>
      <c r="F453" s="210"/>
      <c r="G453" s="252"/>
      <c r="H453" s="255" t="str">
        <f t="shared" si="1"/>
        <v/>
      </c>
      <c r="I453" s="256" t="str">
        <f>CONCATENATE(UPPER(RAW_APS!$A454),"__",RAW_APS!$B454,"_",RAW_APS!$C454)</f>
        <v>MA659__44599_0.463043981481481</v>
      </c>
      <c r="J453" s="257" t="str">
        <f t="shared" si="2"/>
        <v/>
      </c>
      <c r="K453" s="252" t="s">
        <v>1444</v>
      </c>
      <c r="L453" s="258" t="str">
        <f t="shared" si="3"/>
        <v>MA190</v>
      </c>
      <c r="M453" s="259" t="b">
        <f t="shared" si="4"/>
        <v>0</v>
      </c>
      <c r="N453" s="258" t="str">
        <f t="shared" si="5"/>
        <v/>
      </c>
      <c r="O453" s="5"/>
      <c r="P453" s="5"/>
      <c r="Q453" s="5"/>
      <c r="R453" s="5"/>
      <c r="S453" s="5"/>
      <c r="T453" s="5"/>
      <c r="U453" s="5"/>
      <c r="V453" s="5"/>
      <c r="W453" s="5"/>
    </row>
    <row r="454">
      <c r="A454" s="112" t="str">
        <f>IF(OR(ISBLANK(RAW_APS!A454),ISBLANK(RAW_APS!B454),ISBLANK(RAW_APS!C454)),TRUE,IFERROR(0/0,""))</f>
        <v/>
      </c>
      <c r="B454" s="252"/>
      <c r="C454" s="112" t="str">
        <f>IF(ISBLANK(B454),IFERROR(0/0,""),RAW_APS!A454)</f>
        <v/>
      </c>
      <c r="D454" s="112" t="str">
        <f>IF(ISBLANK(C454),IFERROR(0/0,""), VLOOKUP(C454,preDEL!A$2:AG786,33,FALSE))</f>
        <v/>
      </c>
      <c r="E454" s="252"/>
      <c r="F454" s="210"/>
      <c r="G454" s="252"/>
      <c r="H454" s="255" t="str">
        <f t="shared" si="1"/>
        <v/>
      </c>
      <c r="I454" s="256" t="str">
        <f>CONCATENATE(UPPER(RAW_APS!$A455),"__",RAW_APS!$B455,"_",RAW_APS!$C455)</f>
        <v>MA424__44599_0.462638888888889</v>
      </c>
      <c r="J454" s="257" t="str">
        <f t="shared" si="2"/>
        <v/>
      </c>
      <c r="K454" s="252" t="s">
        <v>1450</v>
      </c>
      <c r="L454" s="258" t="str">
        <f t="shared" si="3"/>
        <v>MA194</v>
      </c>
      <c r="M454" s="259" t="b">
        <f t="shared" si="4"/>
        <v>0</v>
      </c>
      <c r="N454" s="258" t="str">
        <f t="shared" si="5"/>
        <v/>
      </c>
      <c r="O454" s="5"/>
      <c r="P454" s="5"/>
      <c r="Q454" s="5"/>
      <c r="R454" s="5"/>
      <c r="S454" s="5"/>
      <c r="T454" s="5"/>
      <c r="U454" s="5"/>
      <c r="V454" s="5"/>
      <c r="W454" s="5"/>
    </row>
    <row r="455">
      <c r="A455" s="112" t="str">
        <f>IF(OR(ISBLANK(RAW_APS!A455),ISBLANK(RAW_APS!B455),ISBLANK(RAW_APS!C455)),TRUE,IFERROR(0/0,""))</f>
        <v/>
      </c>
      <c r="B455" s="252"/>
      <c r="C455" s="112" t="str">
        <f>IF(ISBLANK(B455),IFERROR(0/0,""),RAW_APS!A455)</f>
        <v/>
      </c>
      <c r="D455" s="112" t="str">
        <f>IF(ISBLANK(C455),IFERROR(0/0,""), VLOOKUP(C455,preDEL!A$2:AG786,33,FALSE))</f>
        <v/>
      </c>
      <c r="E455" s="252"/>
      <c r="F455" s="210"/>
      <c r="G455" s="252"/>
      <c r="H455" s="255" t="str">
        <f t="shared" si="1"/>
        <v/>
      </c>
      <c r="I455" s="256" t="str">
        <f>CONCATENATE(UPPER(RAW_APS!$A456),"__",RAW_APS!$B456,"_",RAW_APS!$C456)</f>
        <v>MA1229__44599_0.347037037037037</v>
      </c>
      <c r="J455" s="257" t="str">
        <f t="shared" si="2"/>
        <v/>
      </c>
      <c r="K455" s="252" t="s">
        <v>1452</v>
      </c>
      <c r="L455" s="258" t="str">
        <f t="shared" si="3"/>
        <v>MA197</v>
      </c>
      <c r="M455" s="259" t="b">
        <f t="shared" si="4"/>
        <v>1</v>
      </c>
      <c r="N455" s="258" t="str">
        <f t="shared" si="5"/>
        <v>MA197</v>
      </c>
      <c r="O455" s="5"/>
      <c r="P455" s="5"/>
      <c r="Q455" s="5"/>
      <c r="R455" s="5"/>
      <c r="S455" s="5"/>
      <c r="T455" s="5"/>
      <c r="U455" s="5"/>
      <c r="V455" s="5"/>
      <c r="W455" s="5"/>
    </row>
    <row r="456">
      <c r="A456" s="112" t="str">
        <f>IF(OR(ISBLANK(RAW_APS!A456),ISBLANK(RAW_APS!B456),ISBLANK(RAW_APS!C456)),TRUE,IFERROR(0/0,""))</f>
        <v/>
      </c>
      <c r="B456" s="252"/>
      <c r="C456" s="112" t="str">
        <f>IF(ISBLANK(B456),IFERROR(0/0,""),RAW_APS!A456)</f>
        <v/>
      </c>
      <c r="D456" s="112" t="str">
        <f>IF(ISBLANK(C456),IFERROR(0/0,""), VLOOKUP(C456,preDEL!A$2:AG786,33,FALSE))</f>
        <v/>
      </c>
      <c r="E456" s="252"/>
      <c r="F456" s="210"/>
      <c r="G456" s="252"/>
      <c r="H456" s="255" t="str">
        <f t="shared" si="1"/>
        <v/>
      </c>
      <c r="I456" s="256" t="str">
        <f>CONCATENATE(UPPER(RAW_APS!$A457),"__",RAW_APS!$B457,"_",RAW_APS!$C457)</f>
        <v>MA423__44599_0.337673611111111</v>
      </c>
      <c r="J456" s="257" t="str">
        <f t="shared" si="2"/>
        <v/>
      </c>
      <c r="K456" s="252" t="s">
        <v>2536</v>
      </c>
      <c r="L456" s="258" t="str">
        <f t="shared" si="3"/>
        <v>MA197</v>
      </c>
      <c r="M456" s="259" t="b">
        <f t="shared" si="4"/>
        <v>0</v>
      </c>
      <c r="N456" s="258" t="str">
        <f t="shared" si="5"/>
        <v/>
      </c>
      <c r="O456" s="5"/>
      <c r="P456" s="5"/>
      <c r="Q456" s="5"/>
      <c r="R456" s="5"/>
      <c r="S456" s="5"/>
      <c r="T456" s="5"/>
      <c r="U456" s="5"/>
      <c r="V456" s="5"/>
      <c r="W456" s="5"/>
    </row>
    <row r="457">
      <c r="A457" s="112" t="str">
        <f>IF(OR(ISBLANK(RAW_APS!A457),ISBLANK(RAW_APS!B457),ISBLANK(RAW_APS!C457)),TRUE,IFERROR(0/0,""))</f>
        <v/>
      </c>
      <c r="B457" s="252"/>
      <c r="C457" s="112" t="str">
        <f>IF(ISBLANK(B457),IFERROR(0/0,""),RAW_APS!A457)</f>
        <v/>
      </c>
      <c r="D457" s="112" t="str">
        <f>IF(ISBLANK(C457),IFERROR(0/0,""), VLOOKUP(C457,preDEL!A$2:AG786,33,FALSE))</f>
        <v/>
      </c>
      <c r="E457" s="252"/>
      <c r="F457" s="210"/>
      <c r="G457" s="252"/>
      <c r="H457" s="255" t="str">
        <f t="shared" si="1"/>
        <v/>
      </c>
      <c r="I457" s="256" t="str">
        <f>CONCATENATE(UPPER(RAW_APS!$A458),"__",RAW_APS!$B458,"_",RAW_APS!$C458)</f>
        <v>MA253__44599_0.332881944444444</v>
      </c>
      <c r="J457" s="257" t="str">
        <f t="shared" si="2"/>
        <v/>
      </c>
      <c r="K457" s="252" t="s">
        <v>1458</v>
      </c>
      <c r="L457" s="258" t="str">
        <f t="shared" si="3"/>
        <v>MA198</v>
      </c>
      <c r="M457" s="259" t="b">
        <f t="shared" si="4"/>
        <v>0</v>
      </c>
      <c r="N457" s="258" t="str">
        <f t="shared" si="5"/>
        <v/>
      </c>
      <c r="O457" s="5"/>
      <c r="P457" s="5"/>
      <c r="Q457" s="5"/>
      <c r="R457" s="5"/>
      <c r="S457" s="5"/>
      <c r="T457" s="5"/>
      <c r="U457" s="5"/>
      <c r="V457" s="5"/>
      <c r="W457" s="5"/>
    </row>
    <row r="458">
      <c r="A458" s="112" t="str">
        <f>IF(OR(ISBLANK(RAW_APS!A458),ISBLANK(RAW_APS!B458),ISBLANK(RAW_APS!C458)),TRUE,IFERROR(0/0,""))</f>
        <v/>
      </c>
      <c r="B458" s="252"/>
      <c r="C458" s="112" t="str">
        <f>IF(ISBLANK(B458),IFERROR(0/0,""),RAW_APS!A458)</f>
        <v/>
      </c>
      <c r="D458" s="112" t="str">
        <f>IF(ISBLANK(C458),IFERROR(0/0,""), VLOOKUP(C458,preDEL!A$2:AG786,33,FALSE))</f>
        <v/>
      </c>
      <c r="E458" s="252"/>
      <c r="F458" s="210"/>
      <c r="G458" s="252"/>
      <c r="H458" s="255" t="str">
        <f t="shared" si="1"/>
        <v/>
      </c>
      <c r="I458" s="256" t="str">
        <f>CONCATENATE(UPPER(RAW_APS!$A459),"__",RAW_APS!$B459,"_",RAW_APS!$C459)</f>
        <v>MA274__44599_0.324594907407407</v>
      </c>
      <c r="J458" s="257" t="str">
        <f t="shared" si="2"/>
        <v/>
      </c>
      <c r="K458" s="252" t="s">
        <v>1461</v>
      </c>
      <c r="L458" s="258" t="str">
        <f t="shared" si="3"/>
        <v>MA202</v>
      </c>
      <c r="M458" s="259" t="b">
        <f t="shared" si="4"/>
        <v>0</v>
      </c>
      <c r="N458" s="258" t="str">
        <f t="shared" si="5"/>
        <v/>
      </c>
      <c r="O458" s="5"/>
      <c r="P458" s="5"/>
      <c r="Q458" s="5"/>
      <c r="R458" s="5"/>
      <c r="S458" s="5"/>
      <c r="T458" s="5"/>
      <c r="U458" s="5"/>
      <c r="V458" s="5"/>
      <c r="W458" s="5"/>
    </row>
    <row r="459">
      <c r="A459" s="112" t="str">
        <f>IF(OR(ISBLANK(RAW_APS!A459),ISBLANK(RAW_APS!B459),ISBLANK(RAW_APS!C459)),TRUE,IFERROR(0/0,""))</f>
        <v/>
      </c>
      <c r="B459" s="252"/>
      <c r="C459" s="112" t="str">
        <f>IF(ISBLANK(B459),IFERROR(0/0,""),RAW_APS!A459)</f>
        <v/>
      </c>
      <c r="D459" s="112" t="str">
        <f>IF(ISBLANK(C459),IFERROR(0/0,""), VLOOKUP(C459,preDEL!A$2:AG786,33,FALSE))</f>
        <v/>
      </c>
      <c r="E459" s="252"/>
      <c r="F459" s="210"/>
      <c r="G459" s="252"/>
      <c r="H459" s="255" t="str">
        <f t="shared" si="1"/>
        <v/>
      </c>
      <c r="I459" s="256" t="str">
        <f>CONCATENATE(UPPER(RAW_APS!$A460),"__",RAW_APS!$B460,"_",RAW_APS!$C460)</f>
        <v>MA959__44599_0.318842592592593</v>
      </c>
      <c r="J459" s="257" t="str">
        <f t="shared" si="2"/>
        <v/>
      </c>
      <c r="K459" s="252" t="s">
        <v>1463</v>
      </c>
      <c r="L459" s="258" t="str">
        <f t="shared" si="3"/>
        <v>MA203</v>
      </c>
      <c r="M459" s="259" t="b">
        <f t="shared" si="4"/>
        <v>0</v>
      </c>
      <c r="N459" s="258" t="str">
        <f t="shared" si="5"/>
        <v/>
      </c>
      <c r="O459" s="5"/>
      <c r="P459" s="5"/>
      <c r="Q459" s="5"/>
      <c r="R459" s="5"/>
      <c r="S459" s="5"/>
      <c r="T459" s="5"/>
      <c r="U459" s="5"/>
      <c r="V459" s="5"/>
      <c r="W459" s="5"/>
    </row>
    <row r="460">
      <c r="A460" s="112" t="str">
        <f>IF(OR(ISBLANK(RAW_APS!A460),ISBLANK(RAW_APS!B460),ISBLANK(RAW_APS!C460)),TRUE,IFERROR(0/0,""))</f>
        <v/>
      </c>
      <c r="B460" s="252"/>
      <c r="C460" s="112" t="str">
        <f>IF(ISBLANK(B460),IFERROR(0/0,""),RAW_APS!A460)</f>
        <v/>
      </c>
      <c r="D460" s="112" t="str">
        <f>IF(ISBLANK(C460),IFERROR(0/0,""), VLOOKUP(C460,preDEL!A$2:AG786,33,FALSE))</f>
        <v/>
      </c>
      <c r="E460" s="252"/>
      <c r="F460" s="210"/>
      <c r="G460" s="252"/>
      <c r="H460" s="255" t="str">
        <f t="shared" si="1"/>
        <v/>
      </c>
      <c r="I460" s="256" t="str">
        <f>CONCATENATE(UPPER(RAW_APS!$A461),"__",RAW_APS!$B461,"_",RAW_APS!$C461)</f>
        <v>MA440__44599_0.318136574074074</v>
      </c>
      <c r="J460" s="257" t="str">
        <f t="shared" si="2"/>
        <v/>
      </c>
      <c r="K460" s="252" t="s">
        <v>1466</v>
      </c>
      <c r="L460" s="258" t="str">
        <f t="shared" si="3"/>
        <v>MA205</v>
      </c>
      <c r="M460" s="259" t="b">
        <f t="shared" si="4"/>
        <v>0</v>
      </c>
      <c r="N460" s="258" t="str">
        <f t="shared" si="5"/>
        <v/>
      </c>
      <c r="O460" s="5"/>
      <c r="P460" s="5"/>
      <c r="Q460" s="5"/>
      <c r="R460" s="5"/>
      <c r="S460" s="5"/>
      <c r="T460" s="5"/>
      <c r="U460" s="5"/>
      <c r="V460" s="5"/>
      <c r="W460" s="5"/>
    </row>
    <row r="461">
      <c r="A461" s="112" t="str">
        <f>IF(OR(ISBLANK(RAW_APS!A461),ISBLANK(RAW_APS!B461),ISBLANK(RAW_APS!C461)),TRUE,IFERROR(0/0,""))</f>
        <v/>
      </c>
      <c r="B461" s="252"/>
      <c r="C461" s="112" t="str">
        <f>IF(ISBLANK(B461),IFERROR(0/0,""),RAW_APS!A461)</f>
        <v/>
      </c>
      <c r="D461" s="112" t="str">
        <f>IF(ISBLANK(C461),IFERROR(0/0,""), VLOOKUP(C461,preDEL!A$2:AG786,33,FALSE))</f>
        <v/>
      </c>
      <c r="E461" s="252"/>
      <c r="F461" s="210"/>
      <c r="G461" s="252"/>
      <c r="H461" s="255" t="str">
        <f t="shared" si="1"/>
        <v/>
      </c>
      <c r="I461" s="256" t="str">
        <f>CONCATENATE(UPPER(RAW_APS!$A462),"__",RAW_APS!$B462,"_",RAW_APS!$C462)</f>
        <v>MA1174__44599_0.306539351851852</v>
      </c>
      <c r="J461" s="257" t="str">
        <f t="shared" si="2"/>
        <v/>
      </c>
      <c r="K461" s="252" t="s">
        <v>1469</v>
      </c>
      <c r="L461" s="258" t="str">
        <f t="shared" si="3"/>
        <v>MA206</v>
      </c>
      <c r="M461" s="259" t="b">
        <f t="shared" si="4"/>
        <v>0</v>
      </c>
      <c r="N461" s="258" t="str">
        <f t="shared" si="5"/>
        <v/>
      </c>
      <c r="O461" s="5"/>
      <c r="P461" s="5"/>
      <c r="Q461" s="5"/>
      <c r="R461" s="5"/>
      <c r="S461" s="5"/>
      <c r="T461" s="5"/>
      <c r="U461" s="5"/>
      <c r="V461" s="5"/>
      <c r="W461" s="5"/>
    </row>
    <row r="462">
      <c r="A462" s="112" t="str">
        <f>IF(OR(ISBLANK(RAW_APS!A462),ISBLANK(RAW_APS!B462),ISBLANK(RAW_APS!C462)),TRUE,IFERROR(0/0,""))</f>
        <v/>
      </c>
      <c r="B462" s="252"/>
      <c r="C462" s="112" t="str">
        <f>IF(ISBLANK(B462),IFERROR(0/0,""),RAW_APS!A462)</f>
        <v/>
      </c>
      <c r="D462" s="112" t="str">
        <f>IF(ISBLANK(C462),IFERROR(0/0,""), VLOOKUP(C462,preDEL!A$2:AG786,33,FALSE))</f>
        <v/>
      </c>
      <c r="E462" s="252"/>
      <c r="F462" s="210"/>
      <c r="G462" s="252"/>
      <c r="H462" s="255" t="str">
        <f t="shared" si="1"/>
        <v/>
      </c>
      <c r="I462" s="256" t="str">
        <f>CONCATENATE(UPPER(RAW_APS!$A463),"__",RAW_APS!$B463,"_",RAW_APS!$C463)</f>
        <v>MA1190__44599_0.305914351851852</v>
      </c>
      <c r="J462" s="257" t="str">
        <f t="shared" si="2"/>
        <v/>
      </c>
      <c r="K462" s="252" t="s">
        <v>1471</v>
      </c>
      <c r="L462" s="258" t="str">
        <f t="shared" si="3"/>
        <v>MA207</v>
      </c>
      <c r="M462" s="259" t="b">
        <f t="shared" si="4"/>
        <v>0</v>
      </c>
      <c r="N462" s="258" t="str">
        <f t="shared" si="5"/>
        <v/>
      </c>
      <c r="O462" s="5"/>
      <c r="P462" s="5"/>
      <c r="Q462" s="5"/>
      <c r="R462" s="5"/>
      <c r="S462" s="5"/>
      <c r="T462" s="5"/>
      <c r="U462" s="5"/>
      <c r="V462" s="5"/>
      <c r="W462" s="5"/>
    </row>
    <row r="463">
      <c r="A463" s="112" t="str">
        <f>IF(OR(ISBLANK(RAW_APS!A463),ISBLANK(RAW_APS!B463),ISBLANK(RAW_APS!C463)),TRUE,IFERROR(0/0,""))</f>
        <v/>
      </c>
      <c r="B463" s="252"/>
      <c r="C463" s="112" t="str">
        <f>IF(ISBLANK(B463),IFERROR(0/0,""),RAW_APS!A463)</f>
        <v/>
      </c>
      <c r="D463" s="112" t="str">
        <f>IF(ISBLANK(C463),IFERROR(0/0,""), VLOOKUP(C463,preDEL!A$2:AG786,33,FALSE))</f>
        <v/>
      </c>
      <c r="E463" s="252"/>
      <c r="F463" s="210"/>
      <c r="G463" s="252"/>
      <c r="H463" s="255" t="str">
        <f t="shared" si="1"/>
        <v/>
      </c>
      <c r="I463" s="256" t="str">
        <f>CONCATENATE(UPPER(RAW_APS!$A464),"__",RAW_APS!$B464,"_",RAW_APS!$C464)</f>
        <v>MA368__44599_0.300590277777778</v>
      </c>
      <c r="J463" s="257" t="str">
        <f t="shared" si="2"/>
        <v/>
      </c>
      <c r="K463" s="252" t="s">
        <v>1475</v>
      </c>
      <c r="L463" s="258" t="str">
        <f t="shared" si="3"/>
        <v>MA209</v>
      </c>
      <c r="M463" s="259" t="b">
        <f t="shared" si="4"/>
        <v>0</v>
      </c>
      <c r="N463" s="258" t="str">
        <f t="shared" si="5"/>
        <v/>
      </c>
      <c r="O463" s="5"/>
      <c r="P463" s="5"/>
      <c r="Q463" s="5"/>
      <c r="R463" s="5"/>
      <c r="S463" s="5"/>
      <c r="T463" s="5"/>
      <c r="U463" s="5"/>
      <c r="V463" s="5"/>
      <c r="W463" s="5"/>
    </row>
    <row r="464">
      <c r="A464" s="112" t="str">
        <f>IF(OR(ISBLANK(RAW_APS!A464),ISBLANK(RAW_APS!B464),ISBLANK(RAW_APS!C464)),TRUE,IFERROR(0/0,""))</f>
        <v/>
      </c>
      <c r="B464" s="252"/>
      <c r="C464" s="112" t="str">
        <f>IF(ISBLANK(B464),IFERROR(0/0,""),RAW_APS!A464)</f>
        <v/>
      </c>
      <c r="D464" s="112" t="str">
        <f>IF(ISBLANK(C464),IFERROR(0/0,""), VLOOKUP(C464,preDEL!A$2:AG786,33,FALSE))</f>
        <v/>
      </c>
      <c r="E464" s="252"/>
      <c r="F464" s="210"/>
      <c r="G464" s="252"/>
      <c r="H464" s="255" t="str">
        <f t="shared" si="1"/>
        <v/>
      </c>
      <c r="I464" s="256" t="str">
        <f>CONCATENATE(UPPER(RAW_APS!$A465),"__",RAW_APS!$B465,"_",RAW_APS!$C465)</f>
        <v>MA390__44599_0.276354166666667</v>
      </c>
      <c r="J464" s="257" t="str">
        <f t="shared" si="2"/>
        <v/>
      </c>
      <c r="K464" s="252" t="s">
        <v>1477</v>
      </c>
      <c r="L464" s="258" t="str">
        <f t="shared" si="3"/>
        <v>MA2090</v>
      </c>
      <c r="M464" s="259" t="b">
        <f t="shared" si="4"/>
        <v>0</v>
      </c>
      <c r="N464" s="258" t="str">
        <f t="shared" si="5"/>
        <v/>
      </c>
      <c r="O464" s="5"/>
      <c r="P464" s="5"/>
      <c r="Q464" s="5"/>
      <c r="R464" s="5"/>
      <c r="S464" s="5"/>
      <c r="T464" s="5"/>
      <c r="U464" s="5"/>
      <c r="V464" s="5"/>
      <c r="W464" s="5"/>
    </row>
    <row r="465">
      <c r="A465" s="112" t="str">
        <f>IF(OR(ISBLANK(RAW_APS!A465),ISBLANK(RAW_APS!B465),ISBLANK(RAW_APS!C465)),TRUE,IFERROR(0/0,""))</f>
        <v/>
      </c>
      <c r="B465" s="252"/>
      <c r="C465" s="112" t="str">
        <f>IF(ISBLANK(B465),IFERROR(0/0,""),RAW_APS!A465)</f>
        <v/>
      </c>
      <c r="D465" s="112" t="str">
        <f>IF(ISBLANK(C465),IFERROR(0/0,""), VLOOKUP(C465,preDEL!A$2:AG786,33,FALSE))</f>
        <v/>
      </c>
      <c r="E465" s="252"/>
      <c r="F465" s="210"/>
      <c r="G465" s="252"/>
      <c r="H465" s="255" t="str">
        <f t="shared" si="1"/>
        <v/>
      </c>
      <c r="I465" s="256" t="str">
        <f>CONCATENATE(UPPER(RAW_APS!$A466),"__",RAW_APS!$B466,"_",RAW_APS!$C466)</f>
        <v>MAX134__44596_0.352418981481482</v>
      </c>
      <c r="J465" s="257" t="str">
        <f t="shared" si="2"/>
        <v/>
      </c>
      <c r="K465" s="252" t="s">
        <v>1479</v>
      </c>
      <c r="L465" s="258" t="str">
        <f t="shared" si="3"/>
        <v>MA210</v>
      </c>
      <c r="M465" s="259" t="b">
        <f t="shared" si="4"/>
        <v>0</v>
      </c>
      <c r="N465" s="258" t="str">
        <f t="shared" si="5"/>
        <v/>
      </c>
      <c r="O465" s="5"/>
      <c r="P465" s="5"/>
      <c r="Q465" s="5"/>
      <c r="R465" s="5"/>
      <c r="S465" s="5"/>
      <c r="T465" s="5"/>
      <c r="U465" s="5"/>
      <c r="V465" s="5"/>
      <c r="W465" s="5"/>
    </row>
    <row r="466">
      <c r="A466" s="112" t="str">
        <f>IF(OR(ISBLANK(RAW_APS!A466),ISBLANK(RAW_APS!B466),ISBLANK(RAW_APS!C466)),TRUE,IFERROR(0/0,""))</f>
        <v/>
      </c>
      <c r="B466" s="252"/>
      <c r="C466" s="112" t="str">
        <f>IF(ISBLANK(B466),IFERROR(0/0,""),RAW_APS!A466)</f>
        <v/>
      </c>
      <c r="D466" s="112" t="str">
        <f>IF(ISBLANK(C466),IFERROR(0/0,""), VLOOKUP(C466,preDEL!A$2:AG786,33,FALSE))</f>
        <v/>
      </c>
      <c r="E466" s="252"/>
      <c r="F466" s="210"/>
      <c r="G466" s="252"/>
      <c r="H466" s="255" t="str">
        <f t="shared" si="1"/>
        <v/>
      </c>
      <c r="I466" s="256" t="str">
        <f>CONCATENATE(UPPER(RAW_APS!$A467),"__",RAW_APS!$B467,"_",RAW_APS!$C467)</f>
        <v>MA635__44596_0.352256944444444</v>
      </c>
      <c r="J466" s="257" t="str">
        <f t="shared" si="2"/>
        <v/>
      </c>
      <c r="K466" s="252" t="s">
        <v>1481</v>
      </c>
      <c r="L466" s="258" t="str">
        <f t="shared" si="3"/>
        <v>MA211</v>
      </c>
      <c r="M466" s="259" t="b">
        <f t="shared" si="4"/>
        <v>0</v>
      </c>
      <c r="N466" s="258" t="str">
        <f t="shared" si="5"/>
        <v/>
      </c>
      <c r="O466" s="5"/>
      <c r="P466" s="5"/>
      <c r="Q466" s="5"/>
      <c r="R466" s="5"/>
      <c r="S466" s="5"/>
      <c r="T466" s="5"/>
      <c r="U466" s="5"/>
      <c r="V466" s="5"/>
      <c r="W466" s="5"/>
    </row>
    <row r="467">
      <c r="A467" s="112" t="str">
        <f>IF(OR(ISBLANK(RAW_APS!A467),ISBLANK(RAW_APS!B467),ISBLANK(RAW_APS!C467)),TRUE,IFERROR(0/0,""))</f>
        <v/>
      </c>
      <c r="B467" s="252"/>
      <c r="C467" s="112" t="str">
        <f>IF(ISBLANK(B467),IFERROR(0/0,""),RAW_APS!A467)</f>
        <v/>
      </c>
      <c r="D467" s="112" t="str">
        <f>IF(ISBLANK(C467),IFERROR(0/0,""), VLOOKUP(C467,preDEL!A$2:AG786,33,FALSE))</f>
        <v/>
      </c>
      <c r="E467" s="252"/>
      <c r="F467" s="210"/>
      <c r="G467" s="252"/>
      <c r="H467" s="255" t="str">
        <f t="shared" si="1"/>
        <v/>
      </c>
      <c r="I467" s="256" t="str">
        <f>CONCATENATE(UPPER(RAW_APS!$A468),"__",RAW_APS!$B468,"_",RAW_APS!$C468)</f>
        <v>MAX142__44596_0.351875</v>
      </c>
      <c r="J467" s="257" t="str">
        <f t="shared" si="2"/>
        <v/>
      </c>
      <c r="K467" s="252" t="s">
        <v>1483</v>
      </c>
      <c r="L467" s="258" t="str">
        <f t="shared" si="3"/>
        <v>MA213</v>
      </c>
      <c r="M467" s="259" t="b">
        <f t="shared" si="4"/>
        <v>0</v>
      </c>
      <c r="N467" s="258" t="str">
        <f t="shared" si="5"/>
        <v/>
      </c>
      <c r="O467" s="5"/>
      <c r="P467" s="5"/>
      <c r="Q467" s="5"/>
      <c r="R467" s="5"/>
      <c r="S467" s="5"/>
      <c r="T467" s="5"/>
      <c r="U467" s="5"/>
      <c r="V467" s="5"/>
      <c r="W467" s="5"/>
    </row>
    <row r="468">
      <c r="A468" s="112" t="str">
        <f>IF(OR(ISBLANK(RAW_APS!A468),ISBLANK(RAW_APS!B468),ISBLANK(RAW_APS!C468)),TRUE,IFERROR(0/0,""))</f>
        <v/>
      </c>
      <c r="B468" s="252"/>
      <c r="C468" s="112" t="str">
        <f>IF(ISBLANK(B468),IFERROR(0/0,""),RAW_APS!A468)</f>
        <v/>
      </c>
      <c r="D468" s="112" t="str">
        <f>IF(ISBLANK(C468),IFERROR(0/0,""), VLOOKUP(C468,preDEL!A$2:AG786,33,FALSE))</f>
        <v/>
      </c>
      <c r="E468" s="252"/>
      <c r="F468" s="210"/>
      <c r="G468" s="252"/>
      <c r="H468" s="255" t="str">
        <f t="shared" si="1"/>
        <v/>
      </c>
      <c r="I468" s="256" t="str">
        <f>CONCATENATE(UPPER(RAW_APS!$A469),"__",RAW_APS!$B469,"_",RAW_APS!$C469)</f>
        <v>MA1257__44596_0.343171296296296</v>
      </c>
      <c r="J468" s="257" t="str">
        <f t="shared" si="2"/>
        <v/>
      </c>
      <c r="K468" s="252" t="s">
        <v>1486</v>
      </c>
      <c r="L468" s="258" t="str">
        <f t="shared" si="3"/>
        <v>MA214</v>
      </c>
      <c r="M468" s="259" t="b">
        <f t="shared" si="4"/>
        <v>0</v>
      </c>
      <c r="N468" s="258" t="str">
        <f t="shared" si="5"/>
        <v/>
      </c>
      <c r="O468" s="5"/>
      <c r="P468" s="5"/>
      <c r="Q468" s="5"/>
      <c r="R468" s="5"/>
      <c r="S468" s="5"/>
      <c r="T468" s="5"/>
      <c r="U468" s="5"/>
      <c r="V468" s="5"/>
      <c r="W468" s="5"/>
    </row>
    <row r="469">
      <c r="A469" s="112" t="str">
        <f>IF(OR(ISBLANK(RAW_APS!A469),ISBLANK(RAW_APS!B469),ISBLANK(RAW_APS!C469)),TRUE,IFERROR(0/0,""))</f>
        <v/>
      </c>
      <c r="B469" s="252"/>
      <c r="C469" s="112" t="str">
        <f>IF(ISBLANK(B469),IFERROR(0/0,""),RAW_APS!A469)</f>
        <v/>
      </c>
      <c r="D469" s="112" t="str">
        <f>IF(ISBLANK(C469),IFERROR(0/0,""), VLOOKUP(C469,preDEL!A$2:AG786,33,FALSE))</f>
        <v/>
      </c>
      <c r="E469" s="252"/>
      <c r="F469" s="210"/>
      <c r="G469" s="252"/>
      <c r="H469" s="255" t="str">
        <f t="shared" si="1"/>
        <v/>
      </c>
      <c r="I469" s="256" t="str">
        <f>CONCATENATE(UPPER(RAW_APS!$A470),"__",RAW_APS!$B470,"_",RAW_APS!$C470)</f>
        <v>MAX108__44596_0.309178240740741</v>
      </c>
      <c r="J469" s="257" t="str">
        <f t="shared" si="2"/>
        <v/>
      </c>
      <c r="K469" s="252" t="s">
        <v>1488</v>
      </c>
      <c r="L469" s="258" t="str">
        <f t="shared" si="3"/>
        <v>MA217</v>
      </c>
      <c r="M469" s="259" t="b">
        <f t="shared" si="4"/>
        <v>0</v>
      </c>
      <c r="N469" s="258" t="str">
        <f t="shared" si="5"/>
        <v/>
      </c>
      <c r="O469" s="5"/>
      <c r="P469" s="5"/>
      <c r="Q469" s="5"/>
      <c r="R469" s="5"/>
      <c r="S469" s="5"/>
      <c r="T469" s="5"/>
      <c r="U469" s="5"/>
      <c r="V469" s="5"/>
      <c r="W469" s="5"/>
    </row>
    <row r="470">
      <c r="A470" s="112" t="str">
        <f>IF(OR(ISBLANK(RAW_APS!A470),ISBLANK(RAW_APS!B470),ISBLANK(RAW_APS!C470)),TRUE,IFERROR(0/0,""))</f>
        <v/>
      </c>
      <c r="B470" s="252"/>
      <c r="C470" s="112" t="str">
        <f>IF(ISBLANK(B470),IFERROR(0/0,""),RAW_APS!A470)</f>
        <v/>
      </c>
      <c r="D470" s="112" t="str">
        <f>IF(ISBLANK(C470),IFERROR(0/0,""), VLOOKUP(C470,preDEL!A$2:AG786,33,FALSE))</f>
        <v/>
      </c>
      <c r="E470" s="252"/>
      <c r="F470" s="210"/>
      <c r="G470" s="252"/>
      <c r="H470" s="255" t="str">
        <f t="shared" si="1"/>
        <v/>
      </c>
      <c r="I470" s="256" t="str">
        <f>CONCATENATE(UPPER(RAW_APS!$A471),"__",RAW_APS!$B471,"_",RAW_APS!$C471)</f>
        <v>MAX138__44594_0.375555555555556</v>
      </c>
      <c r="J470" s="257" t="str">
        <f t="shared" si="2"/>
        <v/>
      </c>
      <c r="K470" s="252" t="s">
        <v>1492</v>
      </c>
      <c r="L470" s="258" t="str">
        <f t="shared" si="3"/>
        <v>MA218</v>
      </c>
      <c r="M470" s="259" t="b">
        <f t="shared" si="4"/>
        <v>0</v>
      </c>
      <c r="N470" s="258" t="str">
        <f t="shared" si="5"/>
        <v/>
      </c>
      <c r="O470" s="5"/>
      <c r="P470" s="5"/>
      <c r="Q470" s="5"/>
      <c r="R470" s="5"/>
      <c r="S470" s="5"/>
      <c r="T470" s="5"/>
      <c r="U470" s="5"/>
      <c r="V470" s="5"/>
      <c r="W470" s="5"/>
    </row>
    <row r="471">
      <c r="A471" s="112" t="str">
        <f>IF(OR(ISBLANK(RAW_APS!A471),ISBLANK(RAW_APS!B471),ISBLANK(RAW_APS!C471)),TRUE,IFERROR(0/0,""))</f>
        <v/>
      </c>
      <c r="B471" s="252"/>
      <c r="C471" s="112" t="str">
        <f>IF(ISBLANK(B471),IFERROR(0/0,""),RAW_APS!A471)</f>
        <v/>
      </c>
      <c r="D471" s="112" t="str">
        <f>IF(ISBLANK(C471),IFERROR(0/0,""), VLOOKUP(C471,preDEL!A$2:AG786,33,FALSE))</f>
        <v/>
      </c>
      <c r="E471" s="252"/>
      <c r="F471" s="210"/>
      <c r="G471" s="252"/>
      <c r="H471" s="255" t="str">
        <f t="shared" si="1"/>
        <v/>
      </c>
      <c r="I471" s="256" t="str">
        <f>CONCATENATE(UPPER(RAW_APS!$A472),"__",RAW_APS!$B472,"_",RAW_APS!$C472)</f>
        <v>MAX105__44594_0.375115740740741</v>
      </c>
      <c r="J471" s="257" t="str">
        <f t="shared" si="2"/>
        <v/>
      </c>
      <c r="K471" s="252" t="s">
        <v>1494</v>
      </c>
      <c r="L471" s="258" t="str">
        <f t="shared" si="3"/>
        <v>MA219</v>
      </c>
      <c r="M471" s="259" t="b">
        <f t="shared" si="4"/>
        <v>0</v>
      </c>
      <c r="N471" s="258" t="str">
        <f t="shared" si="5"/>
        <v/>
      </c>
      <c r="O471" s="5"/>
      <c r="P471" s="5"/>
      <c r="Q471" s="5"/>
      <c r="R471" s="5"/>
      <c r="S471" s="5"/>
      <c r="T471" s="5"/>
      <c r="U471" s="5"/>
      <c r="V471" s="5"/>
      <c r="W471" s="5"/>
    </row>
    <row r="472">
      <c r="A472" s="112" t="str">
        <f>IF(OR(ISBLANK(RAW_APS!A472),ISBLANK(RAW_APS!B472),ISBLANK(RAW_APS!C472)),TRUE,IFERROR(0/0,""))</f>
        <v/>
      </c>
      <c r="B472" s="252"/>
      <c r="C472" s="112" t="str">
        <f>IF(ISBLANK(B472),IFERROR(0/0,""),RAW_APS!A472)</f>
        <v/>
      </c>
      <c r="D472" s="112" t="str">
        <f>IF(ISBLANK(C472),IFERROR(0/0,""), VLOOKUP(C472,preDEL!A$2:AG786,33,FALSE))</f>
        <v/>
      </c>
      <c r="E472" s="252"/>
      <c r="F472" s="210"/>
      <c r="G472" s="252"/>
      <c r="H472" s="255" t="str">
        <f t="shared" si="1"/>
        <v/>
      </c>
      <c r="I472" s="256" t="str">
        <f>CONCATENATE(UPPER(RAW_APS!$A473),"__",RAW_APS!$B473,"_",RAW_APS!$C473)</f>
        <v>MA1161__44594_0.353935185185185</v>
      </c>
      <c r="J472" s="257" t="str">
        <f t="shared" si="2"/>
        <v/>
      </c>
      <c r="K472" s="252" t="s">
        <v>1496</v>
      </c>
      <c r="L472" s="258" t="str">
        <f t="shared" si="3"/>
        <v>MA221</v>
      </c>
      <c r="M472" s="259" t="b">
        <f t="shared" si="4"/>
        <v>0</v>
      </c>
      <c r="N472" s="258" t="str">
        <f t="shared" si="5"/>
        <v/>
      </c>
      <c r="O472" s="5"/>
      <c r="P472" s="5"/>
      <c r="Q472" s="5"/>
      <c r="R472" s="5"/>
      <c r="S472" s="5"/>
      <c r="T472" s="5"/>
      <c r="U472" s="5"/>
      <c r="V472" s="5"/>
      <c r="W472" s="5"/>
    </row>
    <row r="473">
      <c r="A473" s="112" t="str">
        <f>IF(OR(ISBLANK(RAW_APS!A473),ISBLANK(RAW_APS!B473),ISBLANK(RAW_APS!C473)),TRUE,IFERROR(0/0,""))</f>
        <v/>
      </c>
      <c r="B473" s="252"/>
      <c r="C473" s="112" t="str">
        <f>IF(ISBLANK(B473),IFERROR(0/0,""),RAW_APS!A473)</f>
        <v/>
      </c>
      <c r="D473" s="112" t="str">
        <f>IF(ISBLANK(C473),IFERROR(0/0,""), VLOOKUP(C473,preDEL!A$2:AG786,33,FALSE))</f>
        <v/>
      </c>
      <c r="E473" s="252"/>
      <c r="F473" s="210"/>
      <c r="G473" s="252"/>
      <c r="H473" s="255" t="str">
        <f t="shared" si="1"/>
        <v/>
      </c>
      <c r="I473" s="256" t="str">
        <f>CONCATENATE(UPPER(RAW_APS!$A474),"__",RAW_APS!$B474,"_",RAW_APS!$C474)</f>
        <v>MA1195__44594_0.347395833333333</v>
      </c>
      <c r="J473" s="257" t="str">
        <f t="shared" si="2"/>
        <v/>
      </c>
      <c r="K473" s="252" t="s">
        <v>1498</v>
      </c>
      <c r="L473" s="258" t="str">
        <f t="shared" si="3"/>
        <v>MA222</v>
      </c>
      <c r="M473" s="259" t="b">
        <f t="shared" si="4"/>
        <v>0</v>
      </c>
      <c r="N473" s="258" t="str">
        <f t="shared" si="5"/>
        <v/>
      </c>
      <c r="O473" s="5"/>
      <c r="P473" s="5"/>
      <c r="Q473" s="5"/>
      <c r="R473" s="5"/>
      <c r="S473" s="5"/>
      <c r="T473" s="5"/>
      <c r="U473" s="5"/>
      <c r="V473" s="5"/>
      <c r="W473" s="5"/>
    </row>
    <row r="474">
      <c r="A474" s="112" t="str">
        <f>IF(OR(ISBLANK(RAW_APS!A474),ISBLANK(RAW_APS!B474),ISBLANK(RAW_APS!C474)),TRUE,IFERROR(0/0,""))</f>
        <v/>
      </c>
      <c r="B474" s="252"/>
      <c r="C474" s="112" t="str">
        <f>IF(ISBLANK(B474),IFERROR(0/0,""),RAW_APS!A474)</f>
        <v/>
      </c>
      <c r="D474" s="112" t="str">
        <f>IF(ISBLANK(C474),IFERROR(0/0,""), VLOOKUP(C474,preDEL!A$2:AG786,33,FALSE))</f>
        <v/>
      </c>
      <c r="E474" s="252"/>
      <c r="F474" s="210"/>
      <c r="G474" s="252"/>
      <c r="H474" s="255" t="str">
        <f t="shared" si="1"/>
        <v/>
      </c>
      <c r="I474" s="256" t="str">
        <f>CONCATENATE(UPPER(RAW_APS!$A475),"__",RAW_APS!$B475,"_",RAW_APS!$C475)</f>
        <v>MA1033__44594_0.344236111111111</v>
      </c>
      <c r="J474" s="257" t="str">
        <f t="shared" si="2"/>
        <v/>
      </c>
      <c r="K474" s="252" t="s">
        <v>1500</v>
      </c>
      <c r="L474" s="258" t="str">
        <f t="shared" si="3"/>
        <v>MA225</v>
      </c>
      <c r="M474" s="259" t="b">
        <f t="shared" si="4"/>
        <v>0</v>
      </c>
      <c r="N474" s="258" t="str">
        <f t="shared" si="5"/>
        <v/>
      </c>
      <c r="O474" s="5"/>
      <c r="P474" s="5"/>
      <c r="Q474" s="5"/>
      <c r="R474" s="5"/>
      <c r="S474" s="5"/>
      <c r="T474" s="5"/>
      <c r="U474" s="5"/>
      <c r="V474" s="5"/>
      <c r="W474" s="5"/>
    </row>
    <row r="475">
      <c r="A475" s="112" t="str">
        <f>IF(OR(ISBLANK(RAW_APS!A475),ISBLANK(RAW_APS!B475),ISBLANK(RAW_APS!C475)),TRUE,IFERROR(0/0,""))</f>
        <v/>
      </c>
      <c r="B475" s="252"/>
      <c r="C475" s="112" t="str">
        <f>IF(ISBLANK(B475),IFERROR(0/0,""),RAW_APS!A475)</f>
        <v/>
      </c>
      <c r="D475" s="112" t="str">
        <f>IF(ISBLANK(C475),IFERROR(0/0,""), VLOOKUP(C475,preDEL!A$2:AG786,33,FALSE))</f>
        <v/>
      </c>
      <c r="E475" s="252"/>
      <c r="F475" s="210"/>
      <c r="G475" s="252"/>
      <c r="H475" s="255" t="str">
        <f t="shared" si="1"/>
        <v/>
      </c>
      <c r="I475" s="256" t="str">
        <f>CONCATENATE(UPPER(RAW_APS!$A476),"__",RAW_APS!$B476,"_",RAW_APS!$C476)</f>
        <v>MA1136__44594_0.343773148148148</v>
      </c>
      <c r="J475" s="257" t="str">
        <f t="shared" si="2"/>
        <v/>
      </c>
      <c r="K475" s="252" t="s">
        <v>1502</v>
      </c>
      <c r="L475" s="258" t="str">
        <f t="shared" si="3"/>
        <v>MA226</v>
      </c>
      <c r="M475" s="259" t="b">
        <f t="shared" si="4"/>
        <v>0</v>
      </c>
      <c r="N475" s="258" t="str">
        <f t="shared" si="5"/>
        <v/>
      </c>
      <c r="O475" s="5"/>
      <c r="P475" s="5"/>
      <c r="Q475" s="5"/>
      <c r="R475" s="5"/>
      <c r="S475" s="5"/>
      <c r="T475" s="5"/>
      <c r="U475" s="5"/>
      <c r="V475" s="5"/>
      <c r="W475" s="5"/>
    </row>
    <row r="476">
      <c r="A476" s="112" t="str">
        <f>IF(OR(ISBLANK(RAW_APS!A476),ISBLANK(RAW_APS!B476),ISBLANK(RAW_APS!C476)),TRUE,IFERROR(0/0,""))</f>
        <v/>
      </c>
      <c r="B476" s="252"/>
      <c r="C476" s="112" t="str">
        <f>IF(ISBLANK(B476),IFERROR(0/0,""),RAW_APS!A476)</f>
        <v/>
      </c>
      <c r="D476" s="112" t="str">
        <f>IF(ISBLANK(C476),IFERROR(0/0,""), VLOOKUP(C476,preDEL!A$2:AG786,33,FALSE))</f>
        <v/>
      </c>
      <c r="E476" s="252"/>
      <c r="F476" s="210"/>
      <c r="G476" s="252"/>
      <c r="H476" s="255" t="str">
        <f t="shared" si="1"/>
        <v/>
      </c>
      <c r="I476" s="256" t="str">
        <f>CONCATENATE(UPPER(RAW_APS!$A477),"__",RAW_APS!$B477,"_",RAW_APS!$C477)</f>
        <v>MA604__44594_0.338460648148148</v>
      </c>
      <c r="J476" s="257" t="str">
        <f t="shared" si="2"/>
        <v/>
      </c>
      <c r="K476" s="252" t="s">
        <v>1504</v>
      </c>
      <c r="L476" s="258" t="str">
        <f t="shared" si="3"/>
        <v>MA227</v>
      </c>
      <c r="M476" s="259" t="b">
        <f t="shared" si="4"/>
        <v>0</v>
      </c>
      <c r="N476" s="258" t="str">
        <f t="shared" si="5"/>
        <v/>
      </c>
      <c r="O476" s="5"/>
      <c r="P476" s="5"/>
      <c r="Q476" s="5"/>
      <c r="R476" s="5"/>
      <c r="S476" s="5"/>
      <c r="T476" s="5"/>
      <c r="U476" s="5"/>
      <c r="V476" s="5"/>
      <c r="W476" s="5"/>
    </row>
    <row r="477">
      <c r="A477" s="112" t="str">
        <f>IF(OR(ISBLANK(RAW_APS!A477),ISBLANK(RAW_APS!B477),ISBLANK(RAW_APS!C477)),TRUE,IFERROR(0/0,""))</f>
        <v/>
      </c>
      <c r="B477" s="252"/>
      <c r="C477" s="112" t="str">
        <f>IF(ISBLANK(B477),IFERROR(0/0,""),RAW_APS!A477)</f>
        <v/>
      </c>
      <c r="D477" s="112" t="str">
        <f>IF(ISBLANK(C477),IFERROR(0/0,""), VLOOKUP(C477,preDEL!A$2:AG786,33,FALSE))</f>
        <v/>
      </c>
      <c r="E477" s="252"/>
      <c r="F477" s="210"/>
      <c r="G477" s="252"/>
      <c r="H477" s="255" t="str">
        <f t="shared" si="1"/>
        <v/>
      </c>
      <c r="I477" s="256" t="str">
        <f>CONCATENATE(UPPER(RAW_APS!$A478),"__",RAW_APS!$B478,"_",RAW_APS!$C478)</f>
        <v>MA1209__44594_0.334826388888889</v>
      </c>
      <c r="J477" s="257" t="str">
        <f t="shared" si="2"/>
        <v/>
      </c>
      <c r="K477" s="252" t="s">
        <v>1506</v>
      </c>
      <c r="L477" s="258" t="str">
        <f t="shared" si="3"/>
        <v>MA229</v>
      </c>
      <c r="M477" s="259" t="b">
        <f t="shared" si="4"/>
        <v>0</v>
      </c>
      <c r="N477" s="258" t="str">
        <f t="shared" si="5"/>
        <v/>
      </c>
      <c r="O477" s="5"/>
      <c r="P477" s="5"/>
      <c r="Q477" s="5"/>
      <c r="R477" s="5"/>
      <c r="S477" s="5"/>
      <c r="T477" s="5"/>
      <c r="U477" s="5"/>
      <c r="V477" s="5"/>
      <c r="W477" s="5"/>
    </row>
    <row r="478">
      <c r="A478" s="112" t="str">
        <f>IF(OR(ISBLANK(RAW_APS!A478),ISBLANK(RAW_APS!B478),ISBLANK(RAW_APS!C478)),TRUE,IFERROR(0/0,""))</f>
        <v/>
      </c>
      <c r="B478" s="252"/>
      <c r="C478" s="112" t="str">
        <f>IF(ISBLANK(B478),IFERROR(0/0,""),RAW_APS!A478)</f>
        <v/>
      </c>
      <c r="D478" s="112" t="str">
        <f>IF(ISBLANK(C478),IFERROR(0/0,""), VLOOKUP(C478,preDEL!A$2:AG786,33,FALSE))</f>
        <v/>
      </c>
      <c r="E478" s="252"/>
      <c r="F478" s="210"/>
      <c r="G478" s="252"/>
      <c r="H478" s="255" t="str">
        <f t="shared" si="1"/>
        <v/>
      </c>
      <c r="I478" s="256" t="str">
        <f>CONCATENATE(UPPER(RAW_APS!$A479),"__",RAW_APS!$B479,"_",RAW_APS!$C479)</f>
        <v>MA310__44594_0.324467592592593</v>
      </c>
      <c r="J478" s="257" t="str">
        <f t="shared" si="2"/>
        <v/>
      </c>
      <c r="K478" s="252" t="s">
        <v>1508</v>
      </c>
      <c r="L478" s="258" t="str">
        <f t="shared" si="3"/>
        <v>MA230</v>
      </c>
      <c r="M478" s="259" t="b">
        <f t="shared" si="4"/>
        <v>0</v>
      </c>
      <c r="N478" s="258" t="str">
        <f t="shared" si="5"/>
        <v/>
      </c>
      <c r="O478" s="5"/>
      <c r="P478" s="5"/>
      <c r="Q478" s="5"/>
      <c r="R478" s="5"/>
      <c r="S478" s="5"/>
      <c r="T478" s="5"/>
      <c r="U478" s="5"/>
      <c r="V478" s="5"/>
      <c r="W478" s="5"/>
    </row>
    <row r="479">
      <c r="A479" s="112" t="str">
        <f>IF(OR(ISBLANK(RAW_APS!A479),ISBLANK(RAW_APS!B479),ISBLANK(RAW_APS!C479)),TRUE,IFERROR(0/0,""))</f>
        <v/>
      </c>
      <c r="B479" s="252"/>
      <c r="C479" s="112" t="str">
        <f>IF(ISBLANK(B479),IFERROR(0/0,""),RAW_APS!A479)</f>
        <v/>
      </c>
      <c r="D479" s="112" t="str">
        <f>IF(ISBLANK(C479),IFERROR(0/0,""), VLOOKUP(C479,preDEL!A$2:AG786,33,FALSE))</f>
        <v/>
      </c>
      <c r="E479" s="252"/>
      <c r="F479" s="210"/>
      <c r="G479" s="252"/>
      <c r="H479" s="255" t="str">
        <f t="shared" si="1"/>
        <v/>
      </c>
      <c r="I479" s="256" t="str">
        <f>CONCATENATE(UPPER(RAW_APS!$A480),"__",RAW_APS!$B480,"_",RAW_APS!$C480)</f>
        <v>MAX85__44592_0.429837962962963</v>
      </c>
      <c r="J479" s="257" t="str">
        <f t="shared" si="2"/>
        <v/>
      </c>
      <c r="K479" s="252" t="s">
        <v>1510</v>
      </c>
      <c r="L479" s="258" t="str">
        <f t="shared" si="3"/>
        <v>MA231</v>
      </c>
      <c r="M479" s="259" t="b">
        <f t="shared" si="4"/>
        <v>0</v>
      </c>
      <c r="N479" s="258" t="str">
        <f t="shared" si="5"/>
        <v/>
      </c>
      <c r="O479" s="5"/>
      <c r="P479" s="5"/>
      <c r="Q479" s="5"/>
      <c r="R479" s="5"/>
      <c r="S479" s="5"/>
      <c r="T479" s="5"/>
      <c r="U479" s="5"/>
      <c r="V479" s="5"/>
      <c r="W479" s="5"/>
    </row>
    <row r="480">
      <c r="A480" s="112" t="str">
        <f>IF(OR(ISBLANK(RAW_APS!A480),ISBLANK(RAW_APS!B480),ISBLANK(RAW_APS!C480)),TRUE,IFERROR(0/0,""))</f>
        <v/>
      </c>
      <c r="B480" s="252"/>
      <c r="C480" s="112" t="str">
        <f>IF(ISBLANK(B480),IFERROR(0/0,""),RAW_APS!A480)</f>
        <v/>
      </c>
      <c r="D480" s="112" t="str">
        <f>IF(ISBLANK(C480),IFERROR(0/0,""), VLOOKUP(C480,preDEL!A$2:AG786,33,FALSE))</f>
        <v/>
      </c>
      <c r="E480" s="252"/>
      <c r="F480" s="210"/>
      <c r="G480" s="252"/>
      <c r="H480" s="255" t="str">
        <f t="shared" si="1"/>
        <v/>
      </c>
      <c r="I480" s="256" t="str">
        <f>CONCATENATE(UPPER(RAW_APS!$A481),"__",RAW_APS!$B481,"_",RAW_APS!$C481)</f>
        <v>MA397__44592_0.362280092592593</v>
      </c>
      <c r="J480" s="257" t="str">
        <f t="shared" si="2"/>
        <v/>
      </c>
      <c r="K480" s="252" t="s">
        <v>1518</v>
      </c>
      <c r="L480" s="258" t="str">
        <f t="shared" si="3"/>
        <v>MA234</v>
      </c>
      <c r="M480" s="259" t="b">
        <f t="shared" si="4"/>
        <v>0</v>
      </c>
      <c r="N480" s="258" t="str">
        <f t="shared" si="5"/>
        <v/>
      </c>
      <c r="O480" s="5"/>
      <c r="P480" s="5"/>
      <c r="Q480" s="5"/>
      <c r="R480" s="5"/>
      <c r="S480" s="5"/>
      <c r="T480" s="5"/>
      <c r="U480" s="5"/>
      <c r="V480" s="5"/>
      <c r="W480" s="5"/>
    </row>
    <row r="481">
      <c r="A481" s="112" t="str">
        <f>IF(OR(ISBLANK(RAW_APS!A481),ISBLANK(RAW_APS!B481),ISBLANK(RAW_APS!C481)),TRUE,IFERROR(0/0,""))</f>
        <v/>
      </c>
      <c r="B481" s="252"/>
      <c r="C481" s="112" t="str">
        <f>IF(ISBLANK(B481),IFERROR(0/0,""),RAW_APS!A481)</f>
        <v/>
      </c>
      <c r="D481" s="112" t="str">
        <f>IF(ISBLANK(C481),IFERROR(0/0,""), VLOOKUP(C481,preDEL!A$2:AG786,33,FALSE))</f>
        <v/>
      </c>
      <c r="E481" s="252"/>
      <c r="F481" s="210"/>
      <c r="G481" s="252"/>
      <c r="H481" s="255" t="str">
        <f t="shared" si="1"/>
        <v/>
      </c>
      <c r="I481" s="256" t="str">
        <f>CONCATENATE(UPPER(RAW_APS!$A482),"__",RAW_APS!$B482,"_",RAW_APS!$C482)</f>
        <v>MA625__44592_0.343460648148148</v>
      </c>
      <c r="J481" s="257" t="str">
        <f t="shared" si="2"/>
        <v/>
      </c>
      <c r="K481" s="252" t="s">
        <v>1520</v>
      </c>
      <c r="L481" s="258" t="str">
        <f t="shared" si="3"/>
        <v>MA237</v>
      </c>
      <c r="M481" s="259" t="b">
        <f t="shared" si="4"/>
        <v>0</v>
      </c>
      <c r="N481" s="258" t="str">
        <f t="shared" si="5"/>
        <v/>
      </c>
      <c r="O481" s="5"/>
      <c r="P481" s="5"/>
      <c r="Q481" s="5"/>
      <c r="R481" s="5"/>
      <c r="S481" s="5"/>
      <c r="T481" s="5"/>
      <c r="U481" s="5"/>
      <c r="V481" s="5"/>
      <c r="W481" s="5"/>
    </row>
    <row r="482">
      <c r="A482" s="112" t="str">
        <f>IF(OR(ISBLANK(RAW_APS!A482),ISBLANK(RAW_APS!B482),ISBLANK(RAW_APS!C482)),TRUE,IFERROR(0/0,""))</f>
        <v/>
      </c>
      <c r="B482" s="252"/>
      <c r="C482" s="112" t="str">
        <f>IF(ISBLANK(B482),IFERROR(0/0,""),RAW_APS!A482)</f>
        <v/>
      </c>
      <c r="D482" s="112" t="str">
        <f>IF(ISBLANK(C482),IFERROR(0/0,""), VLOOKUP(C482,preDEL!A$2:AG786,33,FALSE))</f>
        <v/>
      </c>
      <c r="E482" s="252"/>
      <c r="F482" s="210"/>
      <c r="G482" s="252"/>
      <c r="H482" s="255" t="str">
        <f t="shared" si="1"/>
        <v/>
      </c>
      <c r="I482" s="256" t="str">
        <f>CONCATENATE(UPPER(RAW_APS!$A483),"__",RAW_APS!$B483,"_",RAW_APS!$C483)</f>
        <v>MA613__44592_0.333680555555556</v>
      </c>
      <c r="J482" s="257" t="str">
        <f t="shared" si="2"/>
        <v/>
      </c>
      <c r="K482" s="252" t="s">
        <v>1522</v>
      </c>
      <c r="L482" s="258" t="str">
        <f t="shared" si="3"/>
        <v>MA238</v>
      </c>
      <c r="M482" s="259" t="b">
        <f t="shared" si="4"/>
        <v>0</v>
      </c>
      <c r="N482" s="258" t="str">
        <f t="shared" si="5"/>
        <v/>
      </c>
      <c r="O482" s="5"/>
      <c r="P482" s="5"/>
      <c r="Q482" s="5"/>
      <c r="R482" s="5"/>
      <c r="S482" s="5"/>
      <c r="T482" s="5"/>
      <c r="U482" s="5"/>
      <c r="V482" s="5"/>
      <c r="W482" s="5"/>
    </row>
    <row r="483">
      <c r="A483" s="112" t="str">
        <f>IF(OR(ISBLANK(RAW_APS!A483),ISBLANK(RAW_APS!B483),ISBLANK(RAW_APS!C483)),TRUE,IFERROR(0/0,""))</f>
        <v/>
      </c>
      <c r="B483" s="252"/>
      <c r="C483" s="112" t="str">
        <f>IF(ISBLANK(B483),IFERROR(0/0,""),RAW_APS!A483)</f>
        <v/>
      </c>
      <c r="D483" s="112" t="str">
        <f>IF(ISBLANK(C483),IFERROR(0/0,""), VLOOKUP(C483,preDEL!A$2:AG786,33,FALSE))</f>
        <v/>
      </c>
      <c r="E483" s="252"/>
      <c r="F483" s="210"/>
      <c r="G483" s="252"/>
      <c r="H483" s="255" t="str">
        <f t="shared" si="1"/>
        <v/>
      </c>
      <c r="I483" s="256" t="str">
        <f>CONCATENATE(UPPER(RAW_APS!$A484),"__",RAW_APS!$B484,"_",RAW_APS!$C484)</f>
        <v>MA615__44592_0.333587962962963</v>
      </c>
      <c r="J483" s="257" t="str">
        <f t="shared" si="2"/>
        <v/>
      </c>
      <c r="K483" s="252" t="s">
        <v>1524</v>
      </c>
      <c r="L483" s="258" t="str">
        <f t="shared" si="3"/>
        <v>MA239</v>
      </c>
      <c r="M483" s="259" t="b">
        <f t="shared" si="4"/>
        <v>0</v>
      </c>
      <c r="N483" s="258" t="str">
        <f t="shared" si="5"/>
        <v/>
      </c>
      <c r="O483" s="5"/>
      <c r="P483" s="5"/>
      <c r="Q483" s="5"/>
      <c r="R483" s="5"/>
      <c r="S483" s="5"/>
      <c r="T483" s="5"/>
      <c r="U483" s="5"/>
      <c r="V483" s="5"/>
      <c r="W483" s="5"/>
    </row>
    <row r="484">
      <c r="A484" s="112" t="str">
        <f>IF(OR(ISBLANK(RAW_APS!A484),ISBLANK(RAW_APS!B484),ISBLANK(RAW_APS!C484)),TRUE,IFERROR(0/0,""))</f>
        <v/>
      </c>
      <c r="B484" s="252"/>
      <c r="C484" s="112" t="str">
        <f>IF(ISBLANK(B484),IFERROR(0/0,""),RAW_APS!A484)</f>
        <v/>
      </c>
      <c r="D484" s="112" t="str">
        <f>IF(ISBLANK(C484),IFERROR(0/0,""), VLOOKUP(C484,preDEL!A$2:AG786,33,FALSE))</f>
        <v/>
      </c>
      <c r="E484" s="252"/>
      <c r="F484" s="210"/>
      <c r="G484" s="252"/>
      <c r="H484" s="255" t="str">
        <f t="shared" si="1"/>
        <v/>
      </c>
      <c r="I484" s="256" t="str">
        <f>CONCATENATE(UPPER(RAW_APS!$A485),"__",RAW_APS!$B485,"_",RAW_APS!$C485)</f>
        <v>MA348__44592_0.329733796296296</v>
      </c>
      <c r="J484" s="257" t="str">
        <f t="shared" si="2"/>
        <v/>
      </c>
      <c r="K484" s="252" t="s">
        <v>1526</v>
      </c>
      <c r="L484" s="258" t="str">
        <f t="shared" si="3"/>
        <v>MA241</v>
      </c>
      <c r="M484" s="259" t="b">
        <f t="shared" si="4"/>
        <v>0</v>
      </c>
      <c r="N484" s="258" t="str">
        <f t="shared" si="5"/>
        <v/>
      </c>
      <c r="O484" s="5"/>
      <c r="P484" s="5"/>
      <c r="Q484" s="5"/>
      <c r="R484" s="5"/>
      <c r="S484" s="5"/>
      <c r="T484" s="5"/>
      <c r="U484" s="5"/>
      <c r="V484" s="5"/>
      <c r="W484" s="5"/>
    </row>
    <row r="485">
      <c r="A485" s="112" t="str">
        <f>IF(OR(ISBLANK(RAW_APS!A485),ISBLANK(RAW_APS!B485),ISBLANK(RAW_APS!C485)),TRUE,IFERROR(0/0,""))</f>
        <v/>
      </c>
      <c r="B485" s="252"/>
      <c r="C485" s="112" t="str">
        <f>IF(ISBLANK(B485),IFERROR(0/0,""),RAW_APS!A485)</f>
        <v/>
      </c>
      <c r="D485" s="112" t="str">
        <f>IF(ISBLANK(C485),IFERROR(0/0,""), VLOOKUP(C485,preDEL!A$2:AG786,33,FALSE))</f>
        <v/>
      </c>
      <c r="E485" s="252"/>
      <c r="F485" s="210"/>
      <c r="G485" s="252"/>
      <c r="H485" s="255" t="str">
        <f t="shared" si="1"/>
        <v/>
      </c>
      <c r="I485" s="256" t="str">
        <f>CONCATENATE(UPPER(RAW_APS!$A486),"__",RAW_APS!$B486,"_",RAW_APS!$C486)</f>
        <v>MA619__44592_0.32744212962963</v>
      </c>
      <c r="J485" s="257" t="str">
        <f t="shared" si="2"/>
        <v/>
      </c>
      <c r="K485" s="252" t="s">
        <v>1528</v>
      </c>
      <c r="L485" s="258" t="str">
        <f t="shared" si="3"/>
        <v>MA243</v>
      </c>
      <c r="M485" s="259" t="b">
        <f t="shared" si="4"/>
        <v>0</v>
      </c>
      <c r="N485" s="258" t="str">
        <f t="shared" si="5"/>
        <v/>
      </c>
      <c r="O485" s="5"/>
      <c r="P485" s="5"/>
      <c r="Q485" s="5"/>
      <c r="R485" s="5"/>
      <c r="S485" s="5"/>
      <c r="T485" s="5"/>
      <c r="U485" s="5"/>
      <c r="V485" s="5"/>
      <c r="W485" s="5"/>
    </row>
    <row r="486">
      <c r="A486" s="112" t="str">
        <f>IF(OR(ISBLANK(RAW_APS!A486),ISBLANK(RAW_APS!B486),ISBLANK(RAW_APS!C486)),TRUE,IFERROR(0/0,""))</f>
        <v/>
      </c>
      <c r="B486" s="252"/>
      <c r="C486" s="112" t="str">
        <f>IF(ISBLANK(B486),IFERROR(0/0,""),RAW_APS!A486)</f>
        <v/>
      </c>
      <c r="D486" s="112" t="str">
        <f>IF(ISBLANK(C486),IFERROR(0/0,""), VLOOKUP(C486,preDEL!A$2:AG786,33,FALSE))</f>
        <v/>
      </c>
      <c r="E486" s="252"/>
      <c r="F486" s="210"/>
      <c r="G486" s="252"/>
      <c r="H486" s="255" t="str">
        <f t="shared" si="1"/>
        <v/>
      </c>
      <c r="I486" s="256" t="str">
        <f>CONCATENATE(UPPER(RAW_APS!$A487),"__",RAW_APS!$B487,"_",RAW_APS!$C487)</f>
        <v>MA1158__44592_0.327175925925926</v>
      </c>
      <c r="J486" s="257" t="str">
        <f t="shared" si="2"/>
        <v/>
      </c>
      <c r="K486" s="252" t="s">
        <v>1530</v>
      </c>
      <c r="L486" s="258" t="str">
        <f t="shared" si="3"/>
        <v>MA247</v>
      </c>
      <c r="M486" s="259" t="b">
        <f t="shared" si="4"/>
        <v>0</v>
      </c>
      <c r="N486" s="258" t="str">
        <f t="shared" si="5"/>
        <v/>
      </c>
      <c r="O486" s="5"/>
      <c r="P486" s="5"/>
      <c r="Q486" s="5"/>
      <c r="R486" s="5"/>
      <c r="S486" s="5"/>
      <c r="T486" s="5"/>
      <c r="U486" s="5"/>
      <c r="V486" s="5"/>
      <c r="W486" s="5"/>
    </row>
    <row r="487">
      <c r="A487" s="112" t="str">
        <f>IF(OR(ISBLANK(RAW_APS!A487),ISBLANK(RAW_APS!B487),ISBLANK(RAW_APS!C487)),TRUE,IFERROR(0/0,""))</f>
        <v/>
      </c>
      <c r="B487" s="252"/>
      <c r="C487" s="112" t="str">
        <f>IF(ISBLANK(B487),IFERROR(0/0,""),RAW_APS!A487)</f>
        <v/>
      </c>
      <c r="D487" s="112" t="str">
        <f>IF(ISBLANK(C487),IFERROR(0/0,""), VLOOKUP(C487,preDEL!A$2:AG786,33,FALSE))</f>
        <v/>
      </c>
      <c r="E487" s="252"/>
      <c r="F487" s="210"/>
      <c r="G487" s="252"/>
      <c r="H487" s="255" t="str">
        <f t="shared" si="1"/>
        <v/>
      </c>
      <c r="I487" s="256" t="str">
        <f>CONCATENATE(UPPER(RAW_APS!$A488),"__",RAW_APS!$B488,"_",RAW_APS!$C488)</f>
        <v>MA256__44592_0.326041666666667</v>
      </c>
      <c r="J487" s="257" t="str">
        <f t="shared" si="2"/>
        <v/>
      </c>
      <c r="K487" s="252" t="s">
        <v>1532</v>
      </c>
      <c r="L487" s="258" t="str">
        <f t="shared" si="3"/>
        <v>MA248</v>
      </c>
      <c r="M487" s="259" t="b">
        <f t="shared" si="4"/>
        <v>0</v>
      </c>
      <c r="N487" s="258" t="str">
        <f t="shared" si="5"/>
        <v/>
      </c>
      <c r="O487" s="5"/>
      <c r="P487" s="5"/>
      <c r="Q487" s="5"/>
      <c r="R487" s="5"/>
      <c r="S487" s="5"/>
      <c r="T487" s="5"/>
      <c r="U487" s="5"/>
      <c r="V487" s="5"/>
      <c r="W487" s="5"/>
    </row>
    <row r="488">
      <c r="A488" s="112" t="str">
        <f>IF(OR(ISBLANK(RAW_APS!A488),ISBLANK(RAW_APS!B488),ISBLANK(RAW_APS!C488)),TRUE,IFERROR(0/0,""))</f>
        <v/>
      </c>
      <c r="B488" s="252"/>
      <c r="C488" s="112" t="str">
        <f>IF(ISBLANK(B488),IFERROR(0/0,""),RAW_APS!A488)</f>
        <v/>
      </c>
      <c r="D488" s="112" t="str">
        <f>IF(ISBLANK(C488),IFERROR(0/0,""), VLOOKUP(C488,preDEL!A$2:AG786,33,FALSE))</f>
        <v/>
      </c>
      <c r="E488" s="252"/>
      <c r="F488" s="210"/>
      <c r="G488" s="252"/>
      <c r="H488" s="255" t="str">
        <f t="shared" si="1"/>
        <v/>
      </c>
      <c r="I488" s="256" t="str">
        <f>CONCATENATE(UPPER(RAW_APS!$A489),"__",RAW_APS!$B489,"_",RAW_APS!$C489)</f>
        <v>MA917__44592_0.324270833333333</v>
      </c>
      <c r="J488" s="257" t="str">
        <f t="shared" si="2"/>
        <v/>
      </c>
      <c r="K488" s="252" t="s">
        <v>1534</v>
      </c>
      <c r="L488" s="258" t="str">
        <f t="shared" si="3"/>
        <v>MA251</v>
      </c>
      <c r="M488" s="259" t="b">
        <f t="shared" si="4"/>
        <v>0</v>
      </c>
      <c r="N488" s="258" t="str">
        <f t="shared" si="5"/>
        <v/>
      </c>
      <c r="O488" s="5"/>
      <c r="P488" s="5"/>
      <c r="Q488" s="5"/>
      <c r="R488" s="5"/>
      <c r="S488" s="5"/>
      <c r="T488" s="5"/>
      <c r="U488" s="5"/>
      <c r="V488" s="5"/>
      <c r="W488" s="5"/>
    </row>
    <row r="489">
      <c r="A489" s="112" t="str">
        <f>IF(OR(ISBLANK(RAW_APS!A489),ISBLANK(RAW_APS!B489),ISBLANK(RAW_APS!C489)),TRUE,IFERROR(0/0,""))</f>
        <v/>
      </c>
      <c r="B489" s="252"/>
      <c r="C489" s="112" t="str">
        <f>IF(ISBLANK(B489),IFERROR(0/0,""),RAW_APS!A489)</f>
        <v/>
      </c>
      <c r="D489" s="112" t="str">
        <f>IF(ISBLANK(C489),IFERROR(0/0,""), VLOOKUP(C489,preDEL!A$2:AG786,33,FALSE))</f>
        <v/>
      </c>
      <c r="E489" s="252"/>
      <c r="F489" s="210"/>
      <c r="G489" s="252"/>
      <c r="H489" s="255" t="str">
        <f t="shared" si="1"/>
        <v/>
      </c>
      <c r="I489" s="256" t="str">
        <f>CONCATENATE(UPPER(RAW_APS!$A490),"__",RAW_APS!$B490,"_",RAW_APS!$C490)</f>
        <v>MA276__44589_0.36568287037037</v>
      </c>
      <c r="J489" s="257" t="str">
        <f t="shared" si="2"/>
        <v/>
      </c>
      <c r="K489" s="252" t="s">
        <v>1536</v>
      </c>
      <c r="L489" s="258" t="str">
        <f t="shared" si="3"/>
        <v>MA252</v>
      </c>
      <c r="M489" s="259" t="b">
        <f t="shared" si="4"/>
        <v>0</v>
      </c>
      <c r="N489" s="258" t="str">
        <f t="shared" si="5"/>
        <v/>
      </c>
      <c r="O489" s="5"/>
      <c r="P489" s="5"/>
      <c r="Q489" s="5"/>
      <c r="R489" s="5"/>
      <c r="S489" s="5"/>
      <c r="T489" s="5"/>
      <c r="U489" s="5"/>
      <c r="V489" s="5"/>
      <c r="W489" s="5"/>
    </row>
    <row r="490">
      <c r="A490" s="112" t="str">
        <f>IF(OR(ISBLANK(RAW_APS!A490),ISBLANK(RAW_APS!B490),ISBLANK(RAW_APS!C490)),TRUE,IFERROR(0/0,""))</f>
        <v/>
      </c>
      <c r="B490" s="252"/>
      <c r="C490" s="112" t="str">
        <f>IF(ISBLANK(B490),IFERROR(0/0,""),RAW_APS!A490)</f>
        <v/>
      </c>
      <c r="D490" s="112" t="str">
        <f>IF(ISBLANK(C490),IFERROR(0/0,""), VLOOKUP(C490,preDEL!A$2:AG786,33,FALSE))</f>
        <v/>
      </c>
      <c r="E490" s="252"/>
      <c r="F490" s="210"/>
      <c r="G490" s="252"/>
      <c r="H490" s="255" t="str">
        <f t="shared" si="1"/>
        <v/>
      </c>
      <c r="I490" s="256" t="str">
        <f>CONCATENATE(UPPER(RAW_APS!$A491),"__",RAW_APS!$B491,"_",RAW_APS!$C491)</f>
        <v>MA1135__44589_0.347881944444444</v>
      </c>
      <c r="J490" s="257" t="str">
        <f t="shared" si="2"/>
        <v/>
      </c>
      <c r="K490" s="252" t="s">
        <v>1538</v>
      </c>
      <c r="L490" s="258" t="str">
        <f t="shared" si="3"/>
        <v>MA253</v>
      </c>
      <c r="M490" s="259" t="b">
        <f t="shared" si="4"/>
        <v>0</v>
      </c>
      <c r="N490" s="258" t="str">
        <f t="shared" si="5"/>
        <v/>
      </c>
      <c r="O490" s="5"/>
      <c r="P490" s="5"/>
      <c r="Q490" s="5"/>
      <c r="R490" s="5"/>
      <c r="S490" s="5"/>
      <c r="T490" s="5"/>
      <c r="U490" s="5"/>
      <c r="V490" s="5"/>
      <c r="W490" s="5"/>
    </row>
    <row r="491">
      <c r="A491" s="112" t="str">
        <f>IF(OR(ISBLANK(RAW_APS!A491),ISBLANK(RAW_APS!B491),ISBLANK(RAW_APS!C491)),TRUE,IFERROR(0/0,""))</f>
        <v/>
      </c>
      <c r="B491" s="252"/>
      <c r="C491" s="112" t="str">
        <f>IF(ISBLANK(B491),IFERROR(0/0,""),RAW_APS!A491)</f>
        <v/>
      </c>
      <c r="D491" s="112" t="str">
        <f>IF(ISBLANK(C491),IFERROR(0/0,""), VLOOKUP(C491,preDEL!A$2:AG786,33,FALSE))</f>
        <v/>
      </c>
      <c r="E491" s="252"/>
      <c r="F491" s="210"/>
      <c r="G491" s="252"/>
      <c r="H491" s="255" t="str">
        <f t="shared" si="1"/>
        <v/>
      </c>
      <c r="I491" s="256" t="str">
        <f>CONCATENATE(UPPER(RAW_APS!$A492),"__",RAW_APS!$B492,"_",RAW_APS!$C492)</f>
        <v>MA283__44589_0.344201388888889</v>
      </c>
      <c r="J491" s="257" t="str">
        <f t="shared" si="2"/>
        <v/>
      </c>
      <c r="K491" s="252" t="s">
        <v>1540</v>
      </c>
      <c r="L491" s="258" t="str">
        <f t="shared" si="3"/>
        <v>MA254</v>
      </c>
      <c r="M491" s="259" t="b">
        <f t="shared" si="4"/>
        <v>0</v>
      </c>
      <c r="N491" s="258" t="str">
        <f t="shared" si="5"/>
        <v/>
      </c>
      <c r="O491" s="5"/>
      <c r="P491" s="5"/>
      <c r="Q491" s="5"/>
      <c r="R491" s="5"/>
      <c r="S491" s="5"/>
      <c r="T491" s="5"/>
      <c r="U491" s="5"/>
      <c r="V491" s="5"/>
      <c r="W491" s="5"/>
    </row>
    <row r="492">
      <c r="A492" s="112" t="str">
        <f>IF(OR(ISBLANK(RAW_APS!A492),ISBLANK(RAW_APS!B492),ISBLANK(RAW_APS!C492)),TRUE,IFERROR(0/0,""))</f>
        <v/>
      </c>
      <c r="B492" s="252"/>
      <c r="C492" s="112" t="str">
        <f>IF(ISBLANK(B492),IFERROR(0/0,""),RAW_APS!A492)</f>
        <v/>
      </c>
      <c r="D492" s="112" t="str">
        <f>IF(ISBLANK(C492),IFERROR(0/0,""), VLOOKUP(C492,preDEL!A$2:AG786,33,FALSE))</f>
        <v/>
      </c>
      <c r="E492" s="252"/>
      <c r="F492" s="210"/>
      <c r="G492" s="252"/>
      <c r="H492" s="255" t="str">
        <f t="shared" si="1"/>
        <v/>
      </c>
      <c r="I492" s="256" t="str">
        <f>CONCATENATE(UPPER(RAW_APS!$A493),"__",RAW_APS!$B493,"_",RAW_APS!$C493)</f>
        <v>MA1120__44589_0.332083333333333</v>
      </c>
      <c r="J492" s="257" t="str">
        <f t="shared" si="2"/>
        <v/>
      </c>
      <c r="K492" s="252" t="s">
        <v>1542</v>
      </c>
      <c r="L492" s="258" t="str">
        <f t="shared" si="3"/>
        <v>MA255</v>
      </c>
      <c r="M492" s="259" t="b">
        <f t="shared" si="4"/>
        <v>0</v>
      </c>
      <c r="N492" s="258" t="str">
        <f t="shared" si="5"/>
        <v/>
      </c>
      <c r="O492" s="5"/>
      <c r="P492" s="5"/>
      <c r="Q492" s="5"/>
      <c r="R492" s="5"/>
      <c r="S492" s="5"/>
      <c r="T492" s="5"/>
      <c r="U492" s="5"/>
      <c r="V492" s="5"/>
      <c r="W492" s="5"/>
    </row>
    <row r="493">
      <c r="A493" s="112" t="str">
        <f>IF(OR(ISBLANK(RAW_APS!A493),ISBLANK(RAW_APS!B493),ISBLANK(RAW_APS!C493)),TRUE,IFERROR(0/0,""))</f>
        <v/>
      </c>
      <c r="B493" s="252"/>
      <c r="C493" s="112" t="str">
        <f>IF(ISBLANK(B493),IFERROR(0/0,""),RAW_APS!A493)</f>
        <v/>
      </c>
      <c r="D493" s="112" t="str">
        <f>IF(ISBLANK(C493),IFERROR(0/0,""), VLOOKUP(C493,preDEL!A$2:AG786,33,FALSE))</f>
        <v/>
      </c>
      <c r="E493" s="252"/>
      <c r="F493" s="210"/>
      <c r="G493" s="252"/>
      <c r="H493" s="255" t="str">
        <f t="shared" si="1"/>
        <v/>
      </c>
      <c r="I493" s="256" t="str">
        <f>CONCATENATE(UPPER(RAW_APS!$A494),"__",RAW_APS!$B494,"_",RAW_APS!$C494)</f>
        <v>MA607__44589_0.331527777777778</v>
      </c>
      <c r="J493" s="257" t="str">
        <f t="shared" si="2"/>
        <v/>
      </c>
      <c r="K493" s="252" t="s">
        <v>1545</v>
      </c>
      <c r="L493" s="258" t="str">
        <f t="shared" si="3"/>
        <v>MA256</v>
      </c>
      <c r="M493" s="259" t="b">
        <f t="shared" si="4"/>
        <v>0</v>
      </c>
      <c r="N493" s="258" t="str">
        <f t="shared" si="5"/>
        <v/>
      </c>
      <c r="O493" s="5"/>
      <c r="P493" s="5"/>
      <c r="Q493" s="5"/>
      <c r="R493" s="5"/>
      <c r="S493" s="5"/>
      <c r="T493" s="5"/>
      <c r="U493" s="5"/>
      <c r="V493" s="5"/>
      <c r="W493" s="5"/>
    </row>
    <row r="494">
      <c r="A494" s="112" t="str">
        <f>IF(OR(ISBLANK(RAW_APS!A494),ISBLANK(RAW_APS!B494),ISBLANK(RAW_APS!C494)),TRUE,IFERROR(0/0,""))</f>
        <v/>
      </c>
      <c r="B494" s="252"/>
      <c r="C494" s="112" t="str">
        <f>IF(ISBLANK(B494),IFERROR(0/0,""),RAW_APS!A494)</f>
        <v/>
      </c>
      <c r="D494" s="112" t="str">
        <f>IF(ISBLANK(C494),IFERROR(0/0,""), VLOOKUP(C494,preDEL!A$2:AG786,33,FALSE))</f>
        <v/>
      </c>
      <c r="E494" s="252"/>
      <c r="F494" s="210"/>
      <c r="G494" s="252"/>
      <c r="H494" s="255" t="str">
        <f t="shared" si="1"/>
        <v/>
      </c>
      <c r="I494" s="256" t="str">
        <f>CONCATENATE(UPPER(RAW_APS!$A495),"__",RAW_APS!$B495,"_",RAW_APS!$C495)</f>
        <v>MA247__44589_0.33037037037037</v>
      </c>
      <c r="J494" s="257" t="str">
        <f t="shared" si="2"/>
        <v/>
      </c>
      <c r="K494" s="252" t="s">
        <v>1547</v>
      </c>
      <c r="L494" s="258" t="str">
        <f t="shared" si="3"/>
        <v>MA257</v>
      </c>
      <c r="M494" s="259" t="b">
        <f t="shared" si="4"/>
        <v>0</v>
      </c>
      <c r="N494" s="258" t="str">
        <f t="shared" si="5"/>
        <v/>
      </c>
      <c r="O494" s="5"/>
      <c r="P494" s="5"/>
      <c r="Q494" s="5"/>
      <c r="R494" s="5"/>
      <c r="S494" s="5"/>
      <c r="T494" s="5"/>
      <c r="U494" s="5"/>
      <c r="V494" s="5"/>
      <c r="W494" s="5"/>
    </row>
    <row r="495">
      <c r="A495" s="112" t="str">
        <f>IF(OR(ISBLANK(RAW_APS!A495),ISBLANK(RAW_APS!B495),ISBLANK(RAW_APS!C495)),TRUE,IFERROR(0/0,""))</f>
        <v/>
      </c>
      <c r="B495" s="252"/>
      <c r="C495" s="112" t="str">
        <f>IF(ISBLANK(B495),IFERROR(0/0,""),RAW_APS!A495)</f>
        <v/>
      </c>
      <c r="D495" s="112" t="str">
        <f>IF(ISBLANK(C495),IFERROR(0/0,""), VLOOKUP(C495,preDEL!A$2:AG786,33,FALSE))</f>
        <v/>
      </c>
      <c r="E495" s="252"/>
      <c r="F495" s="210"/>
      <c r="G495" s="252"/>
      <c r="H495" s="255" t="str">
        <f t="shared" si="1"/>
        <v/>
      </c>
      <c r="I495" s="256" t="str">
        <f>CONCATENATE(UPPER(RAW_APS!$A496),"__",RAW_APS!$B496,"_",RAW_APS!$C496)</f>
        <v>MA271__44589_0.314537037037037</v>
      </c>
      <c r="J495" s="257" t="str">
        <f t="shared" si="2"/>
        <v/>
      </c>
      <c r="K495" s="252" t="s">
        <v>1549</v>
      </c>
      <c r="L495" s="258" t="str">
        <f t="shared" si="3"/>
        <v>MA259</v>
      </c>
      <c r="M495" s="259" t="b">
        <f t="shared" si="4"/>
        <v>0</v>
      </c>
      <c r="N495" s="258" t="str">
        <f t="shared" si="5"/>
        <v/>
      </c>
      <c r="O495" s="5"/>
      <c r="P495" s="5"/>
      <c r="Q495" s="5"/>
      <c r="R495" s="5"/>
      <c r="S495" s="5"/>
      <c r="T495" s="5"/>
      <c r="U495" s="5"/>
      <c r="V495" s="5"/>
      <c r="W495" s="5"/>
    </row>
    <row r="496">
      <c r="A496" s="112" t="str">
        <f>IF(OR(ISBLANK(RAW_APS!A496),ISBLANK(RAW_APS!B496),ISBLANK(RAW_APS!C496)),TRUE,IFERROR(0/0,""))</f>
        <v/>
      </c>
      <c r="B496" s="252"/>
      <c r="C496" s="112" t="str">
        <f>IF(ISBLANK(B496),IFERROR(0/0,""),RAW_APS!A496)</f>
        <v/>
      </c>
      <c r="D496" s="112" t="str">
        <f>IF(ISBLANK(C496),IFERROR(0/0,""), VLOOKUP(C496,preDEL!A$2:AG786,33,FALSE))</f>
        <v/>
      </c>
      <c r="E496" s="252"/>
      <c r="F496" s="210"/>
      <c r="G496" s="252"/>
      <c r="H496" s="255" t="str">
        <f t="shared" si="1"/>
        <v/>
      </c>
      <c r="I496" s="256" t="str">
        <f>CONCATENATE(UPPER(RAW_APS!$A497),"__",RAW_APS!$B497,"_",RAW_APS!$C497)</f>
        <v>MAX123__44587_0.388946759259259</v>
      </c>
      <c r="J496" s="257" t="str">
        <f t="shared" si="2"/>
        <v/>
      </c>
      <c r="K496" s="252" t="s">
        <v>1551</v>
      </c>
      <c r="L496" s="258" t="str">
        <f t="shared" si="3"/>
        <v>MA260</v>
      </c>
      <c r="M496" s="259" t="b">
        <f t="shared" si="4"/>
        <v>0</v>
      </c>
      <c r="N496" s="258" t="str">
        <f t="shared" si="5"/>
        <v/>
      </c>
      <c r="O496" s="5"/>
      <c r="P496" s="5"/>
      <c r="Q496" s="5"/>
      <c r="R496" s="5"/>
      <c r="S496" s="5"/>
      <c r="T496" s="5"/>
      <c r="U496" s="5"/>
      <c r="V496" s="5"/>
      <c r="W496" s="5"/>
    </row>
    <row r="497">
      <c r="A497" s="112" t="str">
        <f>IF(OR(ISBLANK(RAW_APS!A497),ISBLANK(RAW_APS!B497),ISBLANK(RAW_APS!C497)),TRUE,IFERROR(0/0,""))</f>
        <v/>
      </c>
      <c r="B497" s="252"/>
      <c r="C497" s="112" t="str">
        <f>IF(ISBLANK(B497),IFERROR(0/0,""),RAW_APS!A497)</f>
        <v/>
      </c>
      <c r="D497" s="112" t="str">
        <f>IF(ISBLANK(C497),IFERROR(0/0,""), VLOOKUP(C497,preDEL!A$2:AG786,33,FALSE))</f>
        <v/>
      </c>
      <c r="E497" s="252"/>
      <c r="F497" s="210"/>
      <c r="G497" s="252"/>
      <c r="H497" s="255" t="str">
        <f t="shared" si="1"/>
        <v/>
      </c>
      <c r="I497" s="256" t="str">
        <f>CONCATENATE(UPPER(RAW_APS!$A498),"__",RAW_APS!$B498,"_",RAW_APS!$C498)</f>
        <v>MA524__44587_0.356689814814815</v>
      </c>
      <c r="J497" s="257" t="str">
        <f t="shared" si="2"/>
        <v/>
      </c>
      <c r="K497" s="252" t="s">
        <v>1553</v>
      </c>
      <c r="L497" s="258" t="str">
        <f t="shared" si="3"/>
        <v>MA262</v>
      </c>
      <c r="M497" s="259" t="b">
        <f t="shared" si="4"/>
        <v>0</v>
      </c>
      <c r="N497" s="258" t="str">
        <f t="shared" si="5"/>
        <v/>
      </c>
      <c r="O497" s="5"/>
      <c r="P497" s="5"/>
      <c r="Q497" s="5"/>
      <c r="R497" s="5"/>
      <c r="S497" s="5"/>
      <c r="T497" s="5"/>
      <c r="U497" s="5"/>
      <c r="V497" s="5"/>
      <c r="W497" s="5"/>
    </row>
    <row r="498">
      <c r="A498" s="112" t="str">
        <f>IF(OR(ISBLANK(RAW_APS!A498),ISBLANK(RAW_APS!B498),ISBLANK(RAW_APS!C498)),TRUE,IFERROR(0/0,""))</f>
        <v/>
      </c>
      <c r="B498" s="252"/>
      <c r="C498" s="112" t="str">
        <f>IF(ISBLANK(B498),IFERROR(0/0,""),RAW_APS!A498)</f>
        <v/>
      </c>
      <c r="D498" s="112" t="str">
        <f>IF(ISBLANK(C498),IFERROR(0/0,""), VLOOKUP(C498,preDEL!A$2:AG786,33,FALSE))</f>
        <v/>
      </c>
      <c r="E498" s="252"/>
      <c r="F498" s="210"/>
      <c r="G498" s="252"/>
      <c r="H498" s="255" t="str">
        <f t="shared" si="1"/>
        <v/>
      </c>
      <c r="I498" s="256" t="str">
        <f>CONCATENATE(UPPER(RAW_APS!$A499),"__",RAW_APS!$B499,"_",RAW_APS!$C499)</f>
        <v>MA1278__44587_0.350231481481482</v>
      </c>
      <c r="J498" s="257" t="str">
        <f t="shared" si="2"/>
        <v/>
      </c>
      <c r="K498" s="252" t="s">
        <v>1555</v>
      </c>
      <c r="L498" s="258" t="str">
        <f t="shared" si="3"/>
        <v>MA263</v>
      </c>
      <c r="M498" s="259" t="b">
        <f t="shared" si="4"/>
        <v>0</v>
      </c>
      <c r="N498" s="258" t="str">
        <f t="shared" si="5"/>
        <v/>
      </c>
      <c r="O498" s="5"/>
      <c r="P498" s="5"/>
      <c r="Q498" s="5"/>
      <c r="R498" s="5"/>
      <c r="S498" s="5"/>
      <c r="T498" s="5"/>
      <c r="U498" s="5"/>
      <c r="V498" s="5"/>
      <c r="W498" s="5"/>
    </row>
    <row r="499">
      <c r="A499" s="112" t="str">
        <f>IF(OR(ISBLANK(RAW_APS!A499),ISBLANK(RAW_APS!B499),ISBLANK(RAW_APS!C499)),TRUE,IFERROR(0/0,""))</f>
        <v/>
      </c>
      <c r="B499" s="252"/>
      <c r="C499" s="112" t="str">
        <f>IF(ISBLANK(B499),IFERROR(0/0,""),RAW_APS!A499)</f>
        <v/>
      </c>
      <c r="D499" s="112" t="str">
        <f>IF(ISBLANK(C499),IFERROR(0/0,""), VLOOKUP(C499,preDEL!A$2:AG786,33,FALSE))</f>
        <v/>
      </c>
      <c r="E499" s="252"/>
      <c r="F499" s="210"/>
      <c r="G499" s="252"/>
      <c r="H499" s="255" t="str">
        <f t="shared" si="1"/>
        <v/>
      </c>
      <c r="I499" s="256" t="str">
        <f>CONCATENATE(UPPER(RAW_APS!$A500),"__",RAW_APS!$B500,"_",RAW_APS!$C500)</f>
        <v>MA454__44587_0.337222222222222</v>
      </c>
      <c r="J499" s="257" t="str">
        <f t="shared" si="2"/>
        <v/>
      </c>
      <c r="K499" s="252" t="s">
        <v>1557</v>
      </c>
      <c r="L499" s="258" t="str">
        <f t="shared" si="3"/>
        <v>MA266</v>
      </c>
      <c r="M499" s="259" t="b">
        <f t="shared" si="4"/>
        <v>0</v>
      </c>
      <c r="N499" s="258" t="str">
        <f t="shared" si="5"/>
        <v/>
      </c>
      <c r="O499" s="5"/>
      <c r="P499" s="5"/>
      <c r="Q499" s="5"/>
      <c r="R499" s="5"/>
      <c r="S499" s="5"/>
      <c r="T499" s="5"/>
      <c r="U499" s="5"/>
      <c r="V499" s="5"/>
      <c r="W499" s="5"/>
    </row>
    <row r="500">
      <c r="A500" s="112" t="str">
        <f>IF(OR(ISBLANK(RAW_APS!A500),ISBLANK(RAW_APS!B500),ISBLANK(RAW_APS!C500)),TRUE,IFERROR(0/0,""))</f>
        <v/>
      </c>
      <c r="B500" s="252"/>
      <c r="C500" s="112" t="str">
        <f>IF(ISBLANK(B500),IFERROR(0/0,""),RAW_APS!A500)</f>
        <v/>
      </c>
      <c r="D500" s="112" t="str">
        <f>IF(ISBLANK(C500),IFERROR(0/0,""), VLOOKUP(C500,preDEL!A$2:AG786,33,FALSE))</f>
        <v/>
      </c>
      <c r="E500" s="252"/>
      <c r="F500" s="210"/>
      <c r="G500" s="252"/>
      <c r="H500" s="255" t="str">
        <f t="shared" si="1"/>
        <v/>
      </c>
      <c r="I500" s="256" t="str">
        <f>CONCATENATE(UPPER(RAW_APS!$A501),"__",RAW_APS!$B501,"_",RAW_APS!$C501)</f>
        <v>MA610__44587_0.336597222222222</v>
      </c>
      <c r="J500" s="257" t="str">
        <f t="shared" si="2"/>
        <v/>
      </c>
      <c r="K500" s="252" t="s">
        <v>1559</v>
      </c>
      <c r="L500" s="258" t="str">
        <f t="shared" si="3"/>
        <v>MA267</v>
      </c>
      <c r="M500" s="259" t="b">
        <f t="shared" si="4"/>
        <v>0</v>
      </c>
      <c r="N500" s="258" t="str">
        <f t="shared" si="5"/>
        <v/>
      </c>
      <c r="O500" s="5"/>
      <c r="P500" s="5"/>
      <c r="Q500" s="5"/>
      <c r="R500" s="5"/>
      <c r="S500" s="5"/>
      <c r="T500" s="5"/>
      <c r="U500" s="5"/>
      <c r="V500" s="5"/>
      <c r="W500" s="5"/>
    </row>
    <row r="501">
      <c r="A501" s="112" t="str">
        <f>IF(OR(ISBLANK(RAW_APS!A501),ISBLANK(RAW_APS!B501),ISBLANK(RAW_APS!C501)),TRUE,IFERROR(0/0,""))</f>
        <v/>
      </c>
      <c r="B501" s="252"/>
      <c r="C501" s="112" t="str">
        <f>IF(ISBLANK(B501),IFERROR(0/0,""),RAW_APS!A501)</f>
        <v/>
      </c>
      <c r="D501" s="112" t="str">
        <f>IF(ISBLANK(C501),IFERROR(0/0,""), VLOOKUP(C501,preDEL!A$2:AG786,33,FALSE))</f>
        <v/>
      </c>
      <c r="E501" s="252"/>
      <c r="F501" s="210"/>
      <c r="G501" s="252"/>
      <c r="H501" s="255" t="str">
        <f t="shared" si="1"/>
        <v/>
      </c>
      <c r="I501" s="256" t="str">
        <f>CONCATENATE(UPPER(RAW_APS!$A502),"__",RAW_APS!$B502,"_",RAW_APS!$C502)</f>
        <v>MA411__44587_0.331851851851852</v>
      </c>
      <c r="J501" s="257" t="str">
        <f t="shared" si="2"/>
        <v/>
      </c>
      <c r="K501" s="252" t="s">
        <v>1563</v>
      </c>
      <c r="L501" s="258" t="str">
        <f t="shared" si="3"/>
        <v>MA268</v>
      </c>
      <c r="M501" s="259" t="b">
        <f t="shared" si="4"/>
        <v>0</v>
      </c>
      <c r="N501" s="258" t="str">
        <f t="shared" si="5"/>
        <v/>
      </c>
      <c r="O501" s="5"/>
      <c r="P501" s="5"/>
      <c r="Q501" s="5"/>
      <c r="R501" s="5"/>
      <c r="S501" s="5"/>
      <c r="T501" s="5"/>
      <c r="U501" s="5"/>
      <c r="V501" s="5"/>
      <c r="W501" s="5"/>
    </row>
    <row r="502">
      <c r="A502" s="112" t="str">
        <f>IF(OR(ISBLANK(RAW_APS!A502),ISBLANK(RAW_APS!B502),ISBLANK(RAW_APS!C502)),TRUE,IFERROR(0/0,""))</f>
        <v/>
      </c>
      <c r="B502" s="252"/>
      <c r="C502" s="112" t="str">
        <f>IF(ISBLANK(B502),IFERROR(0/0,""),RAW_APS!A502)</f>
        <v/>
      </c>
      <c r="D502" s="112" t="str">
        <f>IF(ISBLANK(C502),IFERROR(0/0,""), VLOOKUP(C502,preDEL!A$2:AG786,33,FALSE))</f>
        <v/>
      </c>
      <c r="E502" s="252"/>
      <c r="F502" s="210"/>
      <c r="G502" s="252"/>
      <c r="H502" s="255" t="str">
        <f t="shared" si="1"/>
        <v/>
      </c>
      <c r="I502" s="256" t="str">
        <f>CONCATENATE(UPPER(RAW_APS!$A503),"__",RAW_APS!$B503,"_",RAW_APS!$C503)</f>
        <v>MA1076__44587_0.331342592592593</v>
      </c>
      <c r="J502" s="257" t="str">
        <f t="shared" si="2"/>
        <v/>
      </c>
      <c r="K502" s="252" t="s">
        <v>1565</v>
      </c>
      <c r="L502" s="258" t="str">
        <f t="shared" si="3"/>
        <v>MA269</v>
      </c>
      <c r="M502" s="259" t="b">
        <f t="shared" si="4"/>
        <v>1</v>
      </c>
      <c r="N502" s="258" t="str">
        <f t="shared" si="5"/>
        <v>MA269</v>
      </c>
      <c r="O502" s="5"/>
      <c r="P502" s="5"/>
      <c r="Q502" s="5"/>
      <c r="R502" s="5"/>
      <c r="S502" s="5"/>
      <c r="T502" s="5"/>
      <c r="U502" s="5"/>
      <c r="V502" s="5"/>
      <c r="W502" s="5"/>
    </row>
    <row r="503">
      <c r="A503" s="112" t="str">
        <f>IF(OR(ISBLANK(RAW_APS!A503),ISBLANK(RAW_APS!B503),ISBLANK(RAW_APS!C503)),TRUE,IFERROR(0/0,""))</f>
        <v/>
      </c>
      <c r="B503" s="252"/>
      <c r="C503" s="112" t="str">
        <f>IF(ISBLANK(B503),IFERROR(0/0,""),RAW_APS!A503)</f>
        <v/>
      </c>
      <c r="D503" s="112" t="str">
        <f>IF(ISBLANK(C503),IFERROR(0/0,""), VLOOKUP(C503,preDEL!A$2:AG786,33,FALSE))</f>
        <v/>
      </c>
      <c r="E503" s="252"/>
      <c r="F503" s="210"/>
      <c r="G503" s="252"/>
      <c r="H503" s="255" t="str">
        <f t="shared" si="1"/>
        <v/>
      </c>
      <c r="I503" s="256" t="str">
        <f>CONCATENATE(UPPER(RAW_APS!$A504),"__",RAW_APS!$B504,"_",RAW_APS!$C504)</f>
        <v>MA1070__44587_0.32375</v>
      </c>
      <c r="J503" s="257" t="str">
        <f t="shared" si="2"/>
        <v/>
      </c>
      <c r="K503" s="252" t="s">
        <v>2537</v>
      </c>
      <c r="L503" s="258" t="str">
        <f t="shared" si="3"/>
        <v>MA269</v>
      </c>
      <c r="M503" s="259" t="b">
        <f t="shared" si="4"/>
        <v>0</v>
      </c>
      <c r="N503" s="258" t="str">
        <f t="shared" si="5"/>
        <v/>
      </c>
      <c r="O503" s="5"/>
      <c r="P503" s="5"/>
      <c r="Q503" s="5"/>
      <c r="R503" s="5"/>
      <c r="S503" s="5"/>
      <c r="T503" s="5"/>
      <c r="U503" s="5"/>
      <c r="V503" s="5"/>
      <c r="W503" s="5"/>
    </row>
    <row r="504">
      <c r="A504" s="112" t="str">
        <f>IF(OR(ISBLANK(RAW_APS!A504),ISBLANK(RAW_APS!B504),ISBLANK(RAW_APS!C504)),TRUE,IFERROR(0/0,""))</f>
        <v/>
      </c>
      <c r="B504" s="252"/>
      <c r="C504" s="112" t="str">
        <f>IF(ISBLANK(B504),IFERROR(0/0,""),RAW_APS!A504)</f>
        <v/>
      </c>
      <c r="D504" s="112" t="str">
        <f>IF(ISBLANK(C504),IFERROR(0/0,""), VLOOKUP(C504,preDEL!A$2:AG786,33,FALSE))</f>
        <v/>
      </c>
      <c r="E504" s="252"/>
      <c r="F504" s="210"/>
      <c r="G504" s="252"/>
      <c r="H504" s="255" t="str">
        <f t="shared" si="1"/>
        <v/>
      </c>
      <c r="I504" s="256" t="str">
        <f>CONCATENATE(UPPER(RAW_APS!$A505),"__",RAW_APS!$B505,"_",RAW_APS!$C505)</f>
        <v>MA1245__44587_0.323715277777778</v>
      </c>
      <c r="J504" s="257" t="str">
        <f t="shared" si="2"/>
        <v/>
      </c>
      <c r="K504" s="252" t="s">
        <v>1569</v>
      </c>
      <c r="L504" s="258" t="str">
        <f t="shared" si="3"/>
        <v>MA271</v>
      </c>
      <c r="M504" s="259" t="b">
        <f t="shared" si="4"/>
        <v>0</v>
      </c>
      <c r="N504" s="258" t="str">
        <f t="shared" si="5"/>
        <v/>
      </c>
      <c r="O504" s="5"/>
      <c r="P504" s="5"/>
      <c r="Q504" s="5"/>
      <c r="R504" s="5"/>
      <c r="S504" s="5"/>
      <c r="T504" s="5"/>
      <c r="U504" s="5"/>
      <c r="V504" s="5"/>
      <c r="W504" s="5"/>
    </row>
    <row r="505">
      <c r="A505" s="112" t="str">
        <f>IF(OR(ISBLANK(RAW_APS!A505),ISBLANK(RAW_APS!B505),ISBLANK(RAW_APS!C505)),TRUE,IFERROR(0/0,""))</f>
        <v/>
      </c>
      <c r="B505" s="252"/>
      <c r="C505" s="112" t="str">
        <f>IF(ISBLANK(B505),IFERROR(0/0,""),RAW_APS!A505)</f>
        <v/>
      </c>
      <c r="D505" s="112" t="str">
        <f>IF(ISBLANK(C505),IFERROR(0/0,""), VLOOKUP(C505,preDEL!A$2:AG786,33,FALSE))</f>
        <v/>
      </c>
      <c r="E505" s="252"/>
      <c r="F505" s="210"/>
      <c r="G505" s="252"/>
      <c r="H505" s="255" t="str">
        <f t="shared" si="1"/>
        <v/>
      </c>
      <c r="I505" s="256" t="str">
        <f>CONCATENATE(UPPER(RAW_APS!$A506),"__",RAW_APS!$B506,"_",RAW_APS!$C506)</f>
        <v>MA1128__44587_0.32349537037037</v>
      </c>
      <c r="J505" s="257" t="str">
        <f t="shared" si="2"/>
        <v/>
      </c>
      <c r="K505" s="252" t="s">
        <v>1571</v>
      </c>
      <c r="L505" s="258" t="str">
        <f t="shared" si="3"/>
        <v>MA273</v>
      </c>
      <c r="M505" s="259" t="b">
        <f t="shared" si="4"/>
        <v>0</v>
      </c>
      <c r="N505" s="258" t="str">
        <f t="shared" si="5"/>
        <v/>
      </c>
      <c r="O505" s="5"/>
      <c r="P505" s="5"/>
      <c r="Q505" s="5"/>
      <c r="R505" s="5"/>
      <c r="S505" s="5"/>
      <c r="T505" s="5"/>
      <c r="U505" s="5"/>
      <c r="V505" s="5"/>
      <c r="W505" s="5"/>
    </row>
    <row r="506">
      <c r="A506" s="112" t="str">
        <f>IF(OR(ISBLANK(RAW_APS!A506),ISBLANK(RAW_APS!B506),ISBLANK(RAW_APS!C506)),TRUE,IFERROR(0/0,""))</f>
        <v/>
      </c>
      <c r="B506" s="252"/>
      <c r="C506" s="112" t="str">
        <f>IF(ISBLANK(B506),IFERROR(0/0,""),RAW_APS!A506)</f>
        <v/>
      </c>
      <c r="D506" s="112" t="str">
        <f>IF(ISBLANK(C506),IFERROR(0/0,""), VLOOKUP(C506,preDEL!A$2:AG786,33,FALSE))</f>
        <v/>
      </c>
      <c r="E506" s="252"/>
      <c r="F506" s="210"/>
      <c r="G506" s="252"/>
      <c r="H506" s="255" t="str">
        <f t="shared" si="1"/>
        <v/>
      </c>
      <c r="I506" s="256" t="str">
        <f>CONCATENATE(UPPER(RAW_APS!$A507),"__",RAW_APS!$B507,"_",RAW_APS!$C507)</f>
        <v>MA467__44587_0.303935185185185</v>
      </c>
      <c r="J506" s="257" t="str">
        <f t="shared" si="2"/>
        <v/>
      </c>
      <c r="K506" s="252" t="s">
        <v>1573</v>
      </c>
      <c r="L506" s="258" t="str">
        <f t="shared" si="3"/>
        <v>MA274</v>
      </c>
      <c r="M506" s="259" t="b">
        <f t="shared" si="4"/>
        <v>0</v>
      </c>
      <c r="N506" s="258" t="str">
        <f t="shared" si="5"/>
        <v/>
      </c>
      <c r="O506" s="5"/>
      <c r="P506" s="5"/>
      <c r="Q506" s="5"/>
      <c r="R506" s="5"/>
      <c r="S506" s="5"/>
      <c r="T506" s="5"/>
      <c r="U506" s="5"/>
      <c r="V506" s="5"/>
      <c r="W506" s="5"/>
    </row>
    <row r="507">
      <c r="A507" s="112" t="str">
        <f>IF(OR(ISBLANK(RAW_APS!A507),ISBLANK(RAW_APS!B507),ISBLANK(RAW_APS!C507)),TRUE,IFERROR(0/0,""))</f>
        <v/>
      </c>
      <c r="B507" s="252"/>
      <c r="C507" s="112" t="str">
        <f>IF(ISBLANK(B507),IFERROR(0/0,""),RAW_APS!A507)</f>
        <v/>
      </c>
      <c r="D507" s="112" t="str">
        <f>IF(ISBLANK(C507),IFERROR(0/0,""), VLOOKUP(C507,preDEL!A$2:AG786,33,FALSE))</f>
        <v/>
      </c>
      <c r="E507" s="252"/>
      <c r="F507" s="210"/>
      <c r="G507" s="252"/>
      <c r="H507" s="255" t="str">
        <f t="shared" si="1"/>
        <v/>
      </c>
      <c r="I507" s="256" t="str">
        <f>CONCATENATE(UPPER(RAW_APS!$A508),"__",RAW_APS!$B508,"_",RAW_APS!$C508)</f>
        <v>MAX112__44587_0.296516203703704</v>
      </c>
      <c r="J507" s="257" t="str">
        <f t="shared" si="2"/>
        <v/>
      </c>
      <c r="K507" s="252" t="s">
        <v>1576</v>
      </c>
      <c r="L507" s="258" t="str">
        <f t="shared" si="3"/>
        <v>MA276</v>
      </c>
      <c r="M507" s="259" t="b">
        <f t="shared" si="4"/>
        <v>0</v>
      </c>
      <c r="N507" s="258" t="str">
        <f t="shared" si="5"/>
        <v/>
      </c>
      <c r="O507" s="5"/>
      <c r="P507" s="5"/>
      <c r="Q507" s="5"/>
      <c r="R507" s="5"/>
      <c r="S507" s="5"/>
      <c r="T507" s="5"/>
      <c r="U507" s="5"/>
      <c r="V507" s="5"/>
      <c r="W507" s="5"/>
    </row>
    <row r="508">
      <c r="A508" s="112" t="str">
        <f>IF(OR(ISBLANK(RAW_APS!A508),ISBLANK(RAW_APS!B508),ISBLANK(RAW_APS!C508)),TRUE,IFERROR(0/0,""))</f>
        <v/>
      </c>
      <c r="B508" s="252"/>
      <c r="C508" s="112" t="str">
        <f>IF(ISBLANK(B508),IFERROR(0/0,""),RAW_APS!A508)</f>
        <v/>
      </c>
      <c r="D508" s="112" t="str">
        <f>IF(ISBLANK(C508),IFERROR(0/0,""), VLOOKUP(C508,preDEL!A$2:AG786,33,FALSE))</f>
        <v/>
      </c>
      <c r="E508" s="252"/>
      <c r="F508" s="210"/>
      <c r="G508" s="252"/>
      <c r="H508" s="255" t="str">
        <f t="shared" si="1"/>
        <v/>
      </c>
      <c r="I508" s="256" t="str">
        <f>CONCATENATE(UPPER(RAW_APS!$A509),"__",RAW_APS!$B509,"_",RAW_APS!$C509)</f>
        <v>MAX137__44587_0.295740740740741</v>
      </c>
      <c r="J508" s="257" t="str">
        <f t="shared" si="2"/>
        <v/>
      </c>
      <c r="K508" s="252" t="s">
        <v>1578</v>
      </c>
      <c r="L508" s="258" t="str">
        <f t="shared" si="3"/>
        <v>MA277</v>
      </c>
      <c r="M508" s="259" t="b">
        <f t="shared" si="4"/>
        <v>0</v>
      </c>
      <c r="N508" s="258" t="str">
        <f t="shared" si="5"/>
        <v/>
      </c>
      <c r="O508" s="5"/>
      <c r="P508" s="5"/>
      <c r="Q508" s="5"/>
      <c r="R508" s="5"/>
      <c r="S508" s="5"/>
      <c r="T508" s="5"/>
      <c r="U508" s="5"/>
      <c r="V508" s="5"/>
      <c r="W508" s="5"/>
    </row>
    <row r="509">
      <c r="A509" s="112" t="str">
        <f>IF(OR(ISBLANK(RAW_APS!A509),ISBLANK(RAW_APS!B509),ISBLANK(RAW_APS!C509)),TRUE,IFERROR(0/0,""))</f>
        <v/>
      </c>
      <c r="B509" s="252"/>
      <c r="C509" s="112" t="str">
        <f>IF(ISBLANK(B509),IFERROR(0/0,""),RAW_APS!A509)</f>
        <v/>
      </c>
      <c r="D509" s="112" t="str">
        <f>IF(ISBLANK(C509),IFERROR(0/0,""), VLOOKUP(C509,preDEL!A$2:AG786,33,FALSE))</f>
        <v/>
      </c>
      <c r="E509" s="252"/>
      <c r="F509" s="210"/>
      <c r="G509" s="252"/>
      <c r="H509" s="255" t="str">
        <f t="shared" si="1"/>
        <v/>
      </c>
      <c r="I509" s="256" t="str">
        <f>CONCATENATE(UPPER(RAW_APS!$A510),"__",RAW_APS!$B510,"_",RAW_APS!$C510)</f>
        <v>MAX109__44585_0.431053240740741</v>
      </c>
      <c r="J509" s="257" t="str">
        <f t="shared" si="2"/>
        <v/>
      </c>
      <c r="K509" s="252" t="s">
        <v>1580</v>
      </c>
      <c r="L509" s="258" t="str">
        <f t="shared" si="3"/>
        <v>MA278</v>
      </c>
      <c r="M509" s="259" t="b">
        <f t="shared" si="4"/>
        <v>0</v>
      </c>
      <c r="N509" s="258" t="str">
        <f t="shared" si="5"/>
        <v/>
      </c>
      <c r="O509" s="5"/>
      <c r="P509" s="5"/>
      <c r="Q509" s="5"/>
      <c r="R509" s="5"/>
      <c r="S509" s="5"/>
      <c r="T509" s="5"/>
      <c r="U509" s="5"/>
      <c r="V509" s="5"/>
      <c r="W509" s="5"/>
    </row>
    <row r="510">
      <c r="A510" s="112" t="str">
        <f>IF(OR(ISBLANK(RAW_APS!A510),ISBLANK(RAW_APS!B510),ISBLANK(RAW_APS!C510)),TRUE,IFERROR(0/0,""))</f>
        <v/>
      </c>
      <c r="B510" s="252"/>
      <c r="C510" s="112" t="str">
        <f>IF(ISBLANK(B510),IFERROR(0/0,""),RAW_APS!A510)</f>
        <v/>
      </c>
      <c r="D510" s="112" t="str">
        <f>IF(ISBLANK(C510),IFERROR(0/0,""), VLOOKUP(C510,preDEL!A$2:AG786,33,FALSE))</f>
        <v/>
      </c>
      <c r="E510" s="252"/>
      <c r="F510" s="210"/>
      <c r="G510" s="252"/>
      <c r="H510" s="255" t="str">
        <f t="shared" si="1"/>
        <v/>
      </c>
      <c r="I510" s="256" t="str">
        <f>CONCATENATE(UPPER(RAW_APS!$A511),"__",RAW_APS!$B511,"_",RAW_APS!$C511)</f>
        <v>MAX103__44585_0.430671296296296</v>
      </c>
      <c r="J510" s="257" t="str">
        <f t="shared" si="2"/>
        <v/>
      </c>
      <c r="K510" s="252" t="s">
        <v>1582</v>
      </c>
      <c r="L510" s="258" t="str">
        <f t="shared" si="3"/>
        <v>MA279</v>
      </c>
      <c r="M510" s="259" t="b">
        <f t="shared" si="4"/>
        <v>0</v>
      </c>
      <c r="N510" s="258" t="str">
        <f t="shared" si="5"/>
        <v/>
      </c>
      <c r="O510" s="5"/>
      <c r="P510" s="5"/>
      <c r="Q510" s="5"/>
      <c r="R510" s="5"/>
      <c r="S510" s="5"/>
      <c r="T510" s="5"/>
      <c r="U510" s="5"/>
      <c r="V510" s="5"/>
      <c r="W510" s="5"/>
    </row>
    <row r="511">
      <c r="A511" s="112" t="str">
        <f>IF(OR(ISBLANK(RAW_APS!A511),ISBLANK(RAW_APS!B511),ISBLANK(RAW_APS!C511)),TRUE,IFERROR(0/0,""))</f>
        <v/>
      </c>
      <c r="B511" s="252"/>
      <c r="C511" s="112" t="str">
        <f>IF(ISBLANK(B511),IFERROR(0/0,""),RAW_APS!A511)</f>
        <v/>
      </c>
      <c r="D511" s="112" t="str">
        <f>IF(ISBLANK(C511),IFERROR(0/0,""), VLOOKUP(C511,preDEL!A$2:AG786,33,FALSE))</f>
        <v/>
      </c>
      <c r="E511" s="252"/>
      <c r="F511" s="210"/>
      <c r="G511" s="252"/>
      <c r="H511" s="255" t="str">
        <f t="shared" si="1"/>
        <v/>
      </c>
      <c r="I511" s="256" t="str">
        <f>CONCATENATE(UPPER(RAW_APS!$A512),"__",RAW_APS!$B512,"_",RAW_APS!$C512)</f>
        <v>MA598__44585_0.387974537037037</v>
      </c>
      <c r="J511" s="257" t="str">
        <f t="shared" si="2"/>
        <v/>
      </c>
      <c r="K511" s="252" t="s">
        <v>1584</v>
      </c>
      <c r="L511" s="258" t="str">
        <f t="shared" si="3"/>
        <v>MA281</v>
      </c>
      <c r="M511" s="259" t="b">
        <f t="shared" si="4"/>
        <v>0</v>
      </c>
      <c r="N511" s="258" t="str">
        <f t="shared" si="5"/>
        <v/>
      </c>
      <c r="O511" s="5"/>
      <c r="P511" s="5"/>
      <c r="Q511" s="5"/>
      <c r="R511" s="5"/>
      <c r="S511" s="5"/>
      <c r="T511" s="5"/>
      <c r="U511" s="5"/>
      <c r="V511" s="5"/>
      <c r="W511" s="5"/>
    </row>
    <row r="512">
      <c r="A512" s="112" t="str">
        <f>IF(OR(ISBLANK(RAW_APS!A512),ISBLANK(RAW_APS!B512),ISBLANK(RAW_APS!C512)),TRUE,IFERROR(0/0,""))</f>
        <v/>
      </c>
      <c r="B512" s="252"/>
      <c r="C512" s="112" t="str">
        <f>IF(ISBLANK(B512),IFERROR(0/0,""),RAW_APS!A512)</f>
        <v/>
      </c>
      <c r="D512" s="112" t="str">
        <f>IF(ISBLANK(C512),IFERROR(0/0,""), VLOOKUP(C512,preDEL!A$2:AG786,33,FALSE))</f>
        <v/>
      </c>
      <c r="E512" s="252"/>
      <c r="F512" s="210"/>
      <c r="G512" s="252"/>
      <c r="H512" s="255" t="str">
        <f t="shared" si="1"/>
        <v/>
      </c>
      <c r="I512" s="256" t="str">
        <f>CONCATENATE(UPPER(RAW_APS!$A513),"__",RAW_APS!$B513,"_",RAW_APS!$C513)</f>
        <v>MA1011__44585_0.386863425925926</v>
      </c>
      <c r="J512" s="257" t="str">
        <f t="shared" si="2"/>
        <v/>
      </c>
      <c r="K512" s="252" t="s">
        <v>1586</v>
      </c>
      <c r="L512" s="258" t="str">
        <f t="shared" si="3"/>
        <v>MA282</v>
      </c>
      <c r="M512" s="259" t="b">
        <f t="shared" si="4"/>
        <v>0</v>
      </c>
      <c r="N512" s="258" t="str">
        <f t="shared" si="5"/>
        <v/>
      </c>
      <c r="O512" s="5"/>
      <c r="P512" s="5"/>
      <c r="Q512" s="5"/>
      <c r="R512" s="5"/>
      <c r="S512" s="5"/>
      <c r="T512" s="5"/>
      <c r="U512" s="5"/>
      <c r="V512" s="5"/>
      <c r="W512" s="5"/>
    </row>
    <row r="513">
      <c r="A513" s="112" t="str">
        <f>IF(OR(ISBLANK(RAW_APS!A513),ISBLANK(RAW_APS!B513),ISBLANK(RAW_APS!C513)),TRUE,IFERROR(0/0,""))</f>
        <v/>
      </c>
      <c r="B513" s="252"/>
      <c r="C513" s="112" t="str">
        <f>IF(ISBLANK(B513),IFERROR(0/0,""),RAW_APS!A513)</f>
        <v/>
      </c>
      <c r="D513" s="112" t="str">
        <f>IF(ISBLANK(C513),IFERROR(0/0,""), VLOOKUP(C513,preDEL!A$2:AG786,33,FALSE))</f>
        <v/>
      </c>
      <c r="E513" s="252"/>
      <c r="F513" s="210"/>
      <c r="G513" s="252"/>
      <c r="H513" s="255" t="str">
        <f t="shared" si="1"/>
        <v/>
      </c>
      <c r="I513" s="256" t="str">
        <f>CONCATENATE(UPPER(RAW_APS!$A514),"__",RAW_APS!$B514,"_",RAW_APS!$C514)</f>
        <v>MA1237__44585_0.378472222222222</v>
      </c>
      <c r="J513" s="257" t="str">
        <f t="shared" si="2"/>
        <v/>
      </c>
      <c r="K513" s="252" t="s">
        <v>1588</v>
      </c>
      <c r="L513" s="258" t="str">
        <f t="shared" si="3"/>
        <v>MA283</v>
      </c>
      <c r="M513" s="259" t="b">
        <f t="shared" si="4"/>
        <v>0</v>
      </c>
      <c r="N513" s="258" t="str">
        <f t="shared" si="5"/>
        <v/>
      </c>
      <c r="O513" s="5"/>
      <c r="P513" s="5"/>
      <c r="Q513" s="5"/>
      <c r="R513" s="5"/>
      <c r="S513" s="5"/>
      <c r="T513" s="5"/>
      <c r="U513" s="5"/>
      <c r="V513" s="5"/>
      <c r="W513" s="5"/>
    </row>
    <row r="514">
      <c r="A514" s="112" t="str">
        <f>IF(OR(ISBLANK(RAW_APS!A514),ISBLANK(RAW_APS!B514),ISBLANK(RAW_APS!C514)),TRUE,IFERROR(0/0,""))</f>
        <v/>
      </c>
      <c r="B514" s="252"/>
      <c r="C514" s="112" t="str">
        <f>IF(ISBLANK(B514),IFERROR(0/0,""),RAW_APS!A514)</f>
        <v/>
      </c>
      <c r="D514" s="112" t="str">
        <f>IF(ISBLANK(C514),IFERROR(0/0,""), VLOOKUP(C514,preDEL!A$2:AG786,33,FALSE))</f>
        <v/>
      </c>
      <c r="E514" s="252"/>
      <c r="F514" s="210"/>
      <c r="G514" s="252"/>
      <c r="H514" s="255" t="str">
        <f t="shared" si="1"/>
        <v/>
      </c>
      <c r="I514" s="256" t="str">
        <f>CONCATENATE(UPPER(RAW_APS!$A515),"__",RAW_APS!$B515,"_",RAW_APS!$C515)</f>
        <v>MA545__44585_0.342094907407407</v>
      </c>
      <c r="J514" s="257" t="str">
        <f t="shared" si="2"/>
        <v/>
      </c>
      <c r="K514" s="252" t="s">
        <v>1590</v>
      </c>
      <c r="L514" s="258" t="str">
        <f t="shared" si="3"/>
        <v>MA284</v>
      </c>
      <c r="M514" s="259" t="b">
        <f t="shared" si="4"/>
        <v>0</v>
      </c>
      <c r="N514" s="258" t="str">
        <f t="shared" si="5"/>
        <v/>
      </c>
      <c r="O514" s="5"/>
      <c r="P514" s="5"/>
      <c r="Q514" s="5"/>
      <c r="R514" s="5"/>
      <c r="S514" s="5"/>
      <c r="T514" s="5"/>
      <c r="U514" s="5"/>
      <c r="V514" s="5"/>
      <c r="W514" s="5"/>
    </row>
    <row r="515">
      <c r="A515" s="112" t="str">
        <f>IF(OR(ISBLANK(RAW_APS!A515),ISBLANK(RAW_APS!B515),ISBLANK(RAW_APS!C515)),TRUE,IFERROR(0/0,""))</f>
        <v/>
      </c>
      <c r="B515" s="252"/>
      <c r="C515" s="112" t="str">
        <f>IF(ISBLANK(B515),IFERROR(0/0,""),RAW_APS!A515)</f>
        <v/>
      </c>
      <c r="D515" s="112" t="str">
        <f>IF(ISBLANK(C515),IFERROR(0/0,""), VLOOKUP(C515,preDEL!A$2:AG786,33,FALSE))</f>
        <v/>
      </c>
      <c r="E515" s="252"/>
      <c r="F515" s="210"/>
      <c r="G515" s="252"/>
      <c r="H515" s="255" t="str">
        <f t="shared" si="1"/>
        <v/>
      </c>
      <c r="I515" s="256" t="str">
        <f>CONCATENATE(UPPER(RAW_APS!$A516),"__",RAW_APS!$B516,"_",RAW_APS!$C516)</f>
        <v>MA1180__44585_0.332928240740741</v>
      </c>
      <c r="J515" s="257" t="str">
        <f t="shared" si="2"/>
        <v/>
      </c>
      <c r="K515" s="252" t="s">
        <v>1592</v>
      </c>
      <c r="L515" s="258" t="str">
        <f t="shared" si="3"/>
        <v>MA286</v>
      </c>
      <c r="M515" s="259" t="b">
        <f t="shared" si="4"/>
        <v>0</v>
      </c>
      <c r="N515" s="258" t="str">
        <f t="shared" si="5"/>
        <v/>
      </c>
      <c r="O515" s="5"/>
      <c r="P515" s="5"/>
      <c r="Q515" s="5"/>
      <c r="R515" s="5"/>
      <c r="S515" s="5"/>
      <c r="T515" s="5"/>
      <c r="U515" s="5"/>
      <c r="V515" s="5"/>
      <c r="W515" s="5"/>
    </row>
    <row r="516">
      <c r="A516" s="112" t="str">
        <f>IF(OR(ISBLANK(RAW_APS!A516),ISBLANK(RAW_APS!B516),ISBLANK(RAW_APS!C516)),TRUE,IFERROR(0/0,""))</f>
        <v/>
      </c>
      <c r="B516" s="252"/>
      <c r="C516" s="112" t="str">
        <f>IF(ISBLANK(B516),IFERROR(0/0,""),RAW_APS!A516)</f>
        <v/>
      </c>
      <c r="D516" s="112" t="str">
        <f>IF(ISBLANK(C516),IFERROR(0/0,""), VLOOKUP(C516,preDEL!A$2:AG786,33,FALSE))</f>
        <v/>
      </c>
      <c r="E516" s="252"/>
      <c r="F516" s="210"/>
      <c r="G516" s="252"/>
      <c r="H516" s="255" t="str">
        <f t="shared" si="1"/>
        <v/>
      </c>
      <c r="I516" s="256" t="str">
        <f>CONCATENATE(UPPER(RAW_APS!$A517),"__",RAW_APS!$B517,"_",RAW_APS!$C517)</f>
        <v>MA574__44585_0.332291666666667</v>
      </c>
      <c r="J516" s="257" t="str">
        <f t="shared" si="2"/>
        <v/>
      </c>
      <c r="K516" s="252" t="s">
        <v>1594</v>
      </c>
      <c r="L516" s="258" t="str">
        <f t="shared" si="3"/>
        <v>MA287</v>
      </c>
      <c r="M516" s="259" t="b">
        <f t="shared" si="4"/>
        <v>0</v>
      </c>
      <c r="N516" s="258" t="str">
        <f t="shared" si="5"/>
        <v/>
      </c>
      <c r="O516" s="5"/>
      <c r="P516" s="5"/>
      <c r="Q516" s="5"/>
      <c r="R516" s="5"/>
      <c r="S516" s="5"/>
      <c r="T516" s="5"/>
      <c r="U516" s="5"/>
      <c r="V516" s="5"/>
      <c r="W516" s="5"/>
    </row>
    <row r="517">
      <c r="A517" s="112" t="str">
        <f>IF(OR(ISBLANK(RAW_APS!A517),ISBLANK(RAW_APS!B517),ISBLANK(RAW_APS!C517)),TRUE,IFERROR(0/0,""))</f>
        <v/>
      </c>
      <c r="B517" s="252"/>
      <c r="C517" s="112" t="str">
        <f>IF(ISBLANK(B517),IFERROR(0/0,""),RAW_APS!A517)</f>
        <v/>
      </c>
      <c r="D517" s="112" t="str">
        <f>IF(ISBLANK(C517),IFERROR(0/0,""), VLOOKUP(C517,preDEL!A$2:AG786,33,FALSE))</f>
        <v/>
      </c>
      <c r="E517" s="252"/>
      <c r="F517" s="210"/>
      <c r="G517" s="252"/>
      <c r="H517" s="255" t="str">
        <f t="shared" si="1"/>
        <v/>
      </c>
      <c r="I517" s="256" t="str">
        <f>CONCATENATE(UPPER(RAW_APS!$A518),"__",RAW_APS!$B518,"_",RAW_APS!$C518)</f>
        <v>MA1178__44585_0.326574074074074</v>
      </c>
      <c r="J517" s="257" t="str">
        <f t="shared" si="2"/>
        <v/>
      </c>
      <c r="K517" s="252" t="s">
        <v>1596</v>
      </c>
      <c r="L517" s="258" t="str">
        <f t="shared" si="3"/>
        <v>MA288</v>
      </c>
      <c r="M517" s="259" t="b">
        <f t="shared" si="4"/>
        <v>0</v>
      </c>
      <c r="N517" s="258" t="str">
        <f t="shared" si="5"/>
        <v/>
      </c>
      <c r="O517" s="5"/>
      <c r="P517" s="5"/>
      <c r="Q517" s="5"/>
      <c r="R517" s="5"/>
      <c r="S517" s="5"/>
      <c r="T517" s="5"/>
      <c r="U517" s="5"/>
      <c r="V517" s="5"/>
      <c r="W517" s="5"/>
    </row>
    <row r="518">
      <c r="A518" s="112" t="str">
        <f>IF(OR(ISBLANK(RAW_APS!A518),ISBLANK(RAW_APS!B518),ISBLANK(RAW_APS!C518)),TRUE,IFERROR(0/0,""))</f>
        <v/>
      </c>
      <c r="B518" s="252"/>
      <c r="C518" s="112" t="str">
        <f>IF(ISBLANK(B518),IFERROR(0/0,""),RAW_APS!A518)</f>
        <v/>
      </c>
      <c r="D518" s="112" t="str">
        <f>IF(ISBLANK(C518),IFERROR(0/0,""), VLOOKUP(C518,preDEL!A$2:AG786,33,FALSE))</f>
        <v/>
      </c>
      <c r="E518" s="252"/>
      <c r="F518" s="210"/>
      <c r="G518" s="252"/>
      <c r="H518" s="255" t="str">
        <f t="shared" si="1"/>
        <v/>
      </c>
      <c r="I518" s="256" t="str">
        <f>CONCATENATE(UPPER(RAW_APS!$A519),"__",RAW_APS!$B519,"_",RAW_APS!$C519)</f>
        <v>MA1061__44585_0.326168981481482</v>
      </c>
      <c r="J518" s="257" t="str">
        <f t="shared" si="2"/>
        <v/>
      </c>
      <c r="K518" s="252" t="s">
        <v>1598</v>
      </c>
      <c r="L518" s="258" t="str">
        <f t="shared" si="3"/>
        <v>MA290</v>
      </c>
      <c r="M518" s="259" t="b">
        <f t="shared" si="4"/>
        <v>0</v>
      </c>
      <c r="N518" s="258" t="str">
        <f t="shared" si="5"/>
        <v/>
      </c>
      <c r="O518" s="5"/>
      <c r="P518" s="5"/>
      <c r="Q518" s="5"/>
      <c r="R518" s="5"/>
      <c r="S518" s="5"/>
      <c r="T518" s="5"/>
      <c r="U518" s="5"/>
      <c r="V518" s="5"/>
      <c r="W518" s="5"/>
    </row>
    <row r="519">
      <c r="A519" s="112" t="str">
        <f>IF(OR(ISBLANK(RAW_APS!A519),ISBLANK(RAW_APS!B519),ISBLANK(RAW_APS!C519)),TRUE,IFERROR(0/0,""))</f>
        <v/>
      </c>
      <c r="B519" s="252"/>
      <c r="C519" s="112" t="str">
        <f>IF(ISBLANK(B519),IFERROR(0/0,""),RAW_APS!A519)</f>
        <v/>
      </c>
      <c r="D519" s="112" t="str">
        <f>IF(ISBLANK(C519),IFERROR(0/0,""), VLOOKUP(C519,preDEL!A$2:AG786,33,FALSE))</f>
        <v/>
      </c>
      <c r="E519" s="252"/>
      <c r="F519" s="210"/>
      <c r="G519" s="252"/>
      <c r="H519" s="255" t="str">
        <f t="shared" si="1"/>
        <v/>
      </c>
      <c r="I519" s="256" t="str">
        <f>CONCATENATE(UPPER(RAW_APS!$A520),"__",RAW_APS!$B520,"_",RAW_APS!$C520)</f>
        <v>MA449__44585_0.319930555555556</v>
      </c>
      <c r="J519" s="257" t="str">
        <f t="shared" si="2"/>
        <v/>
      </c>
      <c r="K519" s="252" t="s">
        <v>1600</v>
      </c>
      <c r="L519" s="258" t="str">
        <f t="shared" si="3"/>
        <v>MA291</v>
      </c>
      <c r="M519" s="259" t="b">
        <f t="shared" si="4"/>
        <v>0</v>
      </c>
      <c r="N519" s="258" t="str">
        <f t="shared" si="5"/>
        <v/>
      </c>
      <c r="O519" s="5"/>
      <c r="P519" s="5"/>
      <c r="Q519" s="5"/>
      <c r="R519" s="5"/>
      <c r="S519" s="5"/>
      <c r="T519" s="5"/>
      <c r="U519" s="5"/>
      <c r="V519" s="5"/>
      <c r="W519" s="5"/>
    </row>
    <row r="520">
      <c r="A520" s="112" t="str">
        <f>IF(OR(ISBLANK(RAW_APS!A520),ISBLANK(RAW_APS!B520),ISBLANK(RAW_APS!C520)),TRUE,IFERROR(0/0,""))</f>
        <v/>
      </c>
      <c r="B520" s="252"/>
      <c r="C520" s="112" t="str">
        <f>IF(ISBLANK(B520),IFERROR(0/0,""),RAW_APS!A520)</f>
        <v/>
      </c>
      <c r="D520" s="112" t="str">
        <f>IF(ISBLANK(C520),IFERROR(0/0,""), VLOOKUP(C520,preDEL!A$2:AG786,33,FALSE))</f>
        <v/>
      </c>
      <c r="E520" s="252"/>
      <c r="F520" s="210"/>
      <c r="G520" s="252"/>
      <c r="H520" s="255" t="str">
        <f t="shared" si="1"/>
        <v/>
      </c>
      <c r="I520" s="256" t="str">
        <f>CONCATENATE(UPPER(RAW_APS!$A521),"__",RAW_APS!$B521,"_",RAW_APS!$C521)</f>
        <v>MA377__44585_0.31619212962963</v>
      </c>
      <c r="J520" s="257" t="str">
        <f t="shared" si="2"/>
        <v/>
      </c>
      <c r="K520" s="252" t="s">
        <v>1602</v>
      </c>
      <c r="L520" s="258" t="str">
        <f t="shared" si="3"/>
        <v>MA292</v>
      </c>
      <c r="M520" s="259" t="b">
        <f t="shared" si="4"/>
        <v>0</v>
      </c>
      <c r="N520" s="258" t="str">
        <f t="shared" si="5"/>
        <v/>
      </c>
      <c r="O520" s="5"/>
      <c r="P520" s="5"/>
      <c r="Q520" s="5"/>
      <c r="R520" s="5"/>
      <c r="S520" s="5"/>
      <c r="T520" s="5"/>
      <c r="U520" s="5"/>
      <c r="V520" s="5"/>
      <c r="W520" s="5"/>
    </row>
    <row r="521">
      <c r="A521" s="112" t="str">
        <f>IF(OR(ISBLANK(RAW_APS!A521),ISBLANK(RAW_APS!B521),ISBLANK(RAW_APS!C521)),TRUE,IFERROR(0/0,""))</f>
        <v/>
      </c>
      <c r="B521" s="252"/>
      <c r="C521" s="112" t="str">
        <f>IF(ISBLANK(B521),IFERROR(0/0,""),RAW_APS!A521)</f>
        <v/>
      </c>
      <c r="D521" s="112" t="str">
        <f>IF(ISBLANK(C521),IFERROR(0/0,""), VLOOKUP(C521,preDEL!A$2:AG786,33,FALSE))</f>
        <v/>
      </c>
      <c r="E521" s="252"/>
      <c r="F521" s="210"/>
      <c r="G521" s="252"/>
      <c r="H521" s="255" t="str">
        <f t="shared" si="1"/>
        <v/>
      </c>
      <c r="I521" s="256" t="str">
        <f>CONCATENATE(UPPER(RAW_APS!$A522),"__",RAW_APS!$B522,"_",RAW_APS!$C522)</f>
        <v>MA221__44585_0.308831018518519</v>
      </c>
      <c r="J521" s="257" t="str">
        <f t="shared" si="2"/>
        <v/>
      </c>
      <c r="K521" s="252" t="s">
        <v>1604</v>
      </c>
      <c r="L521" s="258" t="str">
        <f t="shared" si="3"/>
        <v>MA294</v>
      </c>
      <c r="M521" s="259" t="b">
        <f t="shared" si="4"/>
        <v>0</v>
      </c>
      <c r="N521" s="258" t="str">
        <f t="shared" si="5"/>
        <v/>
      </c>
      <c r="O521" s="5"/>
      <c r="P521" s="5"/>
      <c r="Q521" s="5"/>
      <c r="R521" s="5"/>
      <c r="S521" s="5"/>
      <c r="T521" s="5"/>
      <c r="U521" s="5"/>
      <c r="V521" s="5"/>
      <c r="W521" s="5"/>
    </row>
    <row r="522">
      <c r="A522" s="112" t="str">
        <f>IF(OR(ISBLANK(RAW_APS!A522),ISBLANK(RAW_APS!B522),ISBLANK(RAW_APS!C522)),TRUE,IFERROR(0/0,""))</f>
        <v/>
      </c>
      <c r="B522" s="252"/>
      <c r="C522" s="112" t="str">
        <f>IF(ISBLANK(B522),IFERROR(0/0,""),RAW_APS!A522)</f>
        <v/>
      </c>
      <c r="D522" s="112" t="str">
        <f>IF(ISBLANK(C522),IFERROR(0/0,""), VLOOKUP(C522,preDEL!A$2:AG786,33,FALSE))</f>
        <v/>
      </c>
      <c r="E522" s="252"/>
      <c r="F522" s="210"/>
      <c r="G522" s="252"/>
      <c r="H522" s="255" t="str">
        <f t="shared" si="1"/>
        <v/>
      </c>
      <c r="I522" s="256" t="str">
        <f>CONCATENATE(UPPER(RAW_APS!$A523),"__",RAW_APS!$B523,"_",RAW_APS!$C523)</f>
        <v>MA1068__44585_0.303055555555556</v>
      </c>
      <c r="J522" s="257" t="str">
        <f t="shared" si="2"/>
        <v/>
      </c>
      <c r="K522" s="252" t="s">
        <v>1606</v>
      </c>
      <c r="L522" s="258" t="str">
        <f t="shared" si="3"/>
        <v>MA295</v>
      </c>
      <c r="M522" s="259" t="b">
        <f t="shared" si="4"/>
        <v>0</v>
      </c>
      <c r="N522" s="258" t="str">
        <f t="shared" si="5"/>
        <v/>
      </c>
      <c r="O522" s="5"/>
      <c r="P522" s="5"/>
      <c r="Q522" s="5"/>
      <c r="R522" s="5"/>
      <c r="S522" s="5"/>
      <c r="T522" s="5"/>
      <c r="U522" s="5"/>
      <c r="V522" s="5"/>
      <c r="W522" s="5"/>
    </row>
    <row r="523">
      <c r="A523" s="112" t="str">
        <f>IF(OR(ISBLANK(RAW_APS!A523),ISBLANK(RAW_APS!B523),ISBLANK(RAW_APS!C523)),TRUE,IFERROR(0/0,""))</f>
        <v/>
      </c>
      <c r="B523" s="252"/>
      <c r="C523" s="112" t="str">
        <f>IF(ISBLANK(B523),IFERROR(0/0,""),RAW_APS!A523)</f>
        <v/>
      </c>
      <c r="D523" s="112" t="str">
        <f>IF(ISBLANK(C523),IFERROR(0/0,""), VLOOKUP(C523,preDEL!A$2:AG786,33,FALSE))</f>
        <v/>
      </c>
      <c r="E523" s="252"/>
      <c r="F523" s="210"/>
      <c r="G523" s="252"/>
      <c r="H523" s="255" t="str">
        <f t="shared" si="1"/>
        <v/>
      </c>
      <c r="I523" s="256" t="str">
        <f>CONCATENATE(UPPER(RAW_APS!$A524),"__",RAW_APS!$B524,"_",RAW_APS!$C524)</f>
        <v>MA1065__44585_0.30181712962963</v>
      </c>
      <c r="J523" s="257" t="str">
        <f t="shared" si="2"/>
        <v/>
      </c>
      <c r="K523" s="252" t="s">
        <v>1608</v>
      </c>
      <c r="L523" s="258" t="str">
        <f t="shared" si="3"/>
        <v>MA296</v>
      </c>
      <c r="M523" s="259" t="b">
        <f t="shared" si="4"/>
        <v>0</v>
      </c>
      <c r="N523" s="258" t="str">
        <f t="shared" si="5"/>
        <v/>
      </c>
      <c r="O523" s="5"/>
      <c r="P523" s="5"/>
      <c r="Q523" s="5"/>
      <c r="R523" s="5"/>
      <c r="S523" s="5"/>
      <c r="T523" s="5"/>
      <c r="U523" s="5"/>
      <c r="V523" s="5"/>
      <c r="W523" s="5"/>
    </row>
    <row r="524">
      <c r="A524" s="112" t="str">
        <f>IF(OR(ISBLANK(RAW_APS!A524),ISBLANK(RAW_APS!B524),ISBLANK(RAW_APS!C524)),TRUE,IFERROR(0/0,""))</f>
        <v/>
      </c>
      <c r="B524" s="252"/>
      <c r="C524" s="112" t="str">
        <f>IF(ISBLANK(B524),IFERROR(0/0,""),RAW_APS!A524)</f>
        <v/>
      </c>
      <c r="D524" s="112" t="str">
        <f>IF(ISBLANK(C524),IFERROR(0/0,""), VLOOKUP(C524,preDEL!A$2:AG786,33,FALSE))</f>
        <v/>
      </c>
      <c r="E524" s="252"/>
      <c r="F524" s="210"/>
      <c r="G524" s="252"/>
      <c r="H524" s="255" t="str">
        <f t="shared" si="1"/>
        <v/>
      </c>
      <c r="I524" s="256" t="str">
        <f>CONCATENATE(UPPER(RAW_APS!$A525),"__",RAW_APS!$B525,"_",RAW_APS!$C525)</f>
        <v>MA1063__44585_0.299398148148148</v>
      </c>
      <c r="J524" s="257" t="str">
        <f t="shared" si="2"/>
        <v/>
      </c>
      <c r="K524" s="252" t="s">
        <v>1610</v>
      </c>
      <c r="L524" s="258" t="str">
        <f t="shared" si="3"/>
        <v>MA298</v>
      </c>
      <c r="M524" s="259" t="b">
        <f t="shared" si="4"/>
        <v>0</v>
      </c>
      <c r="N524" s="258" t="str">
        <f t="shared" si="5"/>
        <v/>
      </c>
      <c r="O524" s="5"/>
      <c r="P524" s="5"/>
      <c r="Q524" s="5"/>
      <c r="R524" s="5"/>
      <c r="S524" s="5"/>
      <c r="T524" s="5"/>
      <c r="U524" s="5"/>
      <c r="V524" s="5"/>
      <c r="W524" s="5"/>
    </row>
    <row r="525">
      <c r="A525" s="112" t="str">
        <f>IF(OR(ISBLANK(RAW_APS!A525),ISBLANK(RAW_APS!B525),ISBLANK(RAW_APS!C525)),TRUE,IFERROR(0/0,""))</f>
        <v/>
      </c>
      <c r="B525" s="252"/>
      <c r="C525" s="112" t="str">
        <f>IF(ISBLANK(B525),IFERROR(0/0,""),RAW_APS!A525)</f>
        <v/>
      </c>
      <c r="D525" s="112" t="str">
        <f>IF(ISBLANK(C525),IFERROR(0/0,""), VLOOKUP(C525,preDEL!A$2:AG786,33,FALSE))</f>
        <v/>
      </c>
      <c r="E525" s="252"/>
      <c r="F525" s="210"/>
      <c r="G525" s="252"/>
      <c r="H525" s="255" t="str">
        <f t="shared" si="1"/>
        <v/>
      </c>
      <c r="I525" s="256" t="str">
        <f>CONCATENATE(UPPER(RAW_APS!$A526),"__",RAW_APS!$B526,"_",RAW_APS!$C526)</f>
        <v>HERO14__44582_0.799513888888889</v>
      </c>
      <c r="J525" s="257" t="str">
        <f t="shared" si="2"/>
        <v/>
      </c>
      <c r="K525" s="252" t="s">
        <v>1612</v>
      </c>
      <c r="L525" s="258" t="str">
        <f t="shared" si="3"/>
        <v>MA299</v>
      </c>
      <c r="M525" s="259" t="b">
        <f t="shared" si="4"/>
        <v>0</v>
      </c>
      <c r="N525" s="258" t="str">
        <f t="shared" si="5"/>
        <v/>
      </c>
      <c r="O525" s="5"/>
      <c r="P525" s="5"/>
      <c r="Q525" s="5"/>
      <c r="R525" s="5"/>
      <c r="S525" s="5"/>
      <c r="T525" s="5"/>
      <c r="U525" s="5"/>
      <c r="V525" s="5"/>
      <c r="W525" s="5"/>
    </row>
    <row r="526">
      <c r="A526" s="112" t="str">
        <f>IF(OR(ISBLANK(RAW_APS!A526),ISBLANK(RAW_APS!B526),ISBLANK(RAW_APS!C526)),TRUE,IFERROR(0/0,""))</f>
        <v/>
      </c>
      <c r="B526" s="252"/>
      <c r="C526" s="112" t="str">
        <f>IF(ISBLANK(B526),IFERROR(0/0,""),RAW_APS!A526)</f>
        <v/>
      </c>
      <c r="D526" s="112" t="str">
        <f>IF(ISBLANK(C526),IFERROR(0/0,""), VLOOKUP(C526,preDEL!A$2:AG786,33,FALSE))</f>
        <v/>
      </c>
      <c r="E526" s="252"/>
      <c r="F526" s="210"/>
      <c r="G526" s="252"/>
      <c r="H526" s="255" t="str">
        <f t="shared" si="1"/>
        <v/>
      </c>
      <c r="I526" s="256" t="str">
        <f>CONCATENATE(UPPER(RAW_APS!$A527),"__",RAW_APS!$B527,"_",RAW_APS!$C527)</f>
        <v>HERO13__44582_0.797638888888889</v>
      </c>
      <c r="J526" s="257" t="str">
        <f t="shared" si="2"/>
        <v/>
      </c>
      <c r="K526" s="252" t="s">
        <v>1614</v>
      </c>
      <c r="L526" s="258" t="str">
        <f t="shared" si="3"/>
        <v>MA300</v>
      </c>
      <c r="M526" s="259" t="b">
        <f t="shared" si="4"/>
        <v>0</v>
      </c>
      <c r="N526" s="258" t="str">
        <f t="shared" si="5"/>
        <v/>
      </c>
      <c r="O526" s="5"/>
      <c r="P526" s="5"/>
      <c r="Q526" s="5"/>
      <c r="R526" s="5"/>
      <c r="S526" s="5"/>
      <c r="T526" s="5"/>
      <c r="U526" s="5"/>
      <c r="V526" s="5"/>
      <c r="W526" s="5"/>
    </row>
    <row r="527">
      <c r="A527" s="112" t="str">
        <f>IF(OR(ISBLANK(RAW_APS!A527),ISBLANK(RAW_APS!B527),ISBLANK(RAW_APS!C527)),TRUE,IFERROR(0/0,""))</f>
        <v/>
      </c>
      <c r="B527" s="252"/>
      <c r="C527" s="112" t="str">
        <f>IF(ISBLANK(B527),IFERROR(0/0,""),RAW_APS!A527)</f>
        <v/>
      </c>
      <c r="D527" s="112" t="str">
        <f>IF(ISBLANK(C527),IFERROR(0/0,""), VLOOKUP(C527,preDEL!A$2:AG786,33,FALSE))</f>
        <v/>
      </c>
      <c r="E527" s="252"/>
      <c r="F527" s="210"/>
      <c r="G527" s="252"/>
      <c r="H527" s="255" t="str">
        <f t="shared" si="1"/>
        <v/>
      </c>
      <c r="I527" s="256" t="str">
        <f>CONCATENATE(UPPER(RAW_APS!$A528),"__",RAW_APS!$B528,"_",RAW_APS!$C528)</f>
        <v>HERO12__44582_0.797349537037037</v>
      </c>
      <c r="J527" s="257" t="str">
        <f t="shared" si="2"/>
        <v/>
      </c>
      <c r="K527" s="252" t="s">
        <v>1616</v>
      </c>
      <c r="L527" s="258" t="str">
        <f t="shared" si="3"/>
        <v>MA301</v>
      </c>
      <c r="M527" s="259" t="b">
        <f t="shared" si="4"/>
        <v>0</v>
      </c>
      <c r="N527" s="258" t="str">
        <f t="shared" si="5"/>
        <v/>
      </c>
      <c r="O527" s="5"/>
      <c r="P527" s="5"/>
      <c r="Q527" s="5"/>
      <c r="R527" s="5"/>
      <c r="S527" s="5"/>
      <c r="T527" s="5"/>
      <c r="U527" s="5"/>
      <c r="V527" s="5"/>
      <c r="W527" s="5"/>
    </row>
    <row r="528">
      <c r="A528" s="112" t="str">
        <f>IF(OR(ISBLANK(RAW_APS!A528),ISBLANK(RAW_APS!B528),ISBLANK(RAW_APS!C528)),TRUE,IFERROR(0/0,""))</f>
        <v/>
      </c>
      <c r="B528" s="252"/>
      <c r="C528" s="112" t="str">
        <f>IF(ISBLANK(B528),IFERROR(0/0,""),RAW_APS!A528)</f>
        <v/>
      </c>
      <c r="D528" s="112" t="str">
        <f>IF(ISBLANK(C528),IFERROR(0/0,""), VLOOKUP(C528,preDEL!A$2:AG786,33,FALSE))</f>
        <v/>
      </c>
      <c r="E528" s="252"/>
      <c r="F528" s="210"/>
      <c r="G528" s="252"/>
      <c r="H528" s="255" t="str">
        <f t="shared" si="1"/>
        <v/>
      </c>
      <c r="I528" s="256" t="str">
        <f>CONCATENATE(UPPER(RAW_APS!$A529),"__",RAW_APS!$B529,"_",RAW_APS!$C529)</f>
        <v>MAX141__44582_0.397800925925926</v>
      </c>
      <c r="J528" s="257" t="str">
        <f t="shared" si="2"/>
        <v/>
      </c>
      <c r="K528" s="252" t="s">
        <v>1618</v>
      </c>
      <c r="L528" s="258" t="str">
        <f t="shared" si="3"/>
        <v>MA302</v>
      </c>
      <c r="M528" s="259" t="b">
        <f t="shared" si="4"/>
        <v>0</v>
      </c>
      <c r="N528" s="258" t="str">
        <f t="shared" si="5"/>
        <v/>
      </c>
      <c r="O528" s="5"/>
      <c r="P528" s="5"/>
      <c r="Q528" s="5"/>
      <c r="R528" s="5"/>
      <c r="S528" s="5"/>
      <c r="T528" s="5"/>
      <c r="U528" s="5"/>
      <c r="V528" s="5"/>
      <c r="W528" s="5"/>
    </row>
    <row r="529">
      <c r="A529" s="112" t="str">
        <f>IF(OR(ISBLANK(RAW_APS!A529),ISBLANK(RAW_APS!B529),ISBLANK(RAW_APS!C529)),TRUE,IFERROR(0/0,""))</f>
        <v/>
      </c>
      <c r="B529" s="252"/>
      <c r="C529" s="112" t="str">
        <f>IF(ISBLANK(B529),IFERROR(0/0,""),RAW_APS!A529)</f>
        <v/>
      </c>
      <c r="D529" s="112" t="str">
        <f>IF(ISBLANK(C529),IFERROR(0/0,""), VLOOKUP(C529,preDEL!A$2:AG786,33,FALSE))</f>
        <v/>
      </c>
      <c r="E529" s="252"/>
      <c r="F529" s="210"/>
      <c r="G529" s="252"/>
      <c r="H529" s="255" t="str">
        <f t="shared" si="1"/>
        <v/>
      </c>
      <c r="I529" s="256" t="str">
        <f>CONCATENATE(UPPER(RAW_APS!$A530),"__",RAW_APS!$B530,"_",RAW_APS!$C530)</f>
        <v>MA337__44582_0.391018518518519</v>
      </c>
      <c r="J529" s="257" t="str">
        <f t="shared" si="2"/>
        <v/>
      </c>
      <c r="K529" s="252" t="s">
        <v>1620</v>
      </c>
      <c r="L529" s="258" t="str">
        <f t="shared" si="3"/>
        <v>MA303</v>
      </c>
      <c r="M529" s="259" t="b">
        <f t="shared" si="4"/>
        <v>0</v>
      </c>
      <c r="N529" s="258" t="str">
        <f t="shared" si="5"/>
        <v/>
      </c>
      <c r="O529" s="5"/>
      <c r="P529" s="5"/>
      <c r="Q529" s="5"/>
      <c r="R529" s="5"/>
      <c r="S529" s="5"/>
      <c r="T529" s="5"/>
      <c r="U529" s="5"/>
      <c r="V529" s="5"/>
      <c r="W529" s="5"/>
    </row>
    <row r="530">
      <c r="A530" s="112" t="str">
        <f>IF(OR(ISBLANK(RAW_APS!A530),ISBLANK(RAW_APS!B530),ISBLANK(RAW_APS!C530)),TRUE,IFERROR(0/0,""))</f>
        <v/>
      </c>
      <c r="B530" s="252"/>
      <c r="C530" s="112" t="str">
        <f>IF(ISBLANK(B530),IFERROR(0/0,""),RAW_APS!A530)</f>
        <v/>
      </c>
      <c r="D530" s="112" t="str">
        <f>IF(ISBLANK(C530),IFERROR(0/0,""), VLOOKUP(C530,preDEL!A$2:AG786,33,FALSE))</f>
        <v/>
      </c>
      <c r="E530" s="252"/>
      <c r="F530" s="210"/>
      <c r="G530" s="252"/>
      <c r="H530" s="255" t="str">
        <f t="shared" si="1"/>
        <v/>
      </c>
      <c r="I530" s="256" t="str">
        <f>CONCATENATE(UPPER(RAW_APS!$A531),"__",RAW_APS!$B531,"_",RAW_APS!$C531)</f>
        <v>MA305__44582_0.390381944444444</v>
      </c>
      <c r="J530" s="257" t="str">
        <f t="shared" si="2"/>
        <v/>
      </c>
      <c r="K530" s="252" t="s">
        <v>1622</v>
      </c>
      <c r="L530" s="258" t="str">
        <f t="shared" si="3"/>
        <v>MA305</v>
      </c>
      <c r="M530" s="259" t="b">
        <f t="shared" si="4"/>
        <v>0</v>
      </c>
      <c r="N530" s="258" t="str">
        <f t="shared" si="5"/>
        <v/>
      </c>
      <c r="O530" s="5"/>
      <c r="P530" s="5"/>
      <c r="Q530" s="5"/>
      <c r="R530" s="5"/>
      <c r="S530" s="5"/>
      <c r="T530" s="5"/>
      <c r="U530" s="5"/>
      <c r="V530" s="5"/>
      <c r="W530" s="5"/>
    </row>
    <row r="531">
      <c r="A531" s="112" t="str">
        <f>IF(OR(ISBLANK(RAW_APS!A531),ISBLANK(RAW_APS!B531),ISBLANK(RAW_APS!C531)),TRUE,IFERROR(0/0,""))</f>
        <v/>
      </c>
      <c r="B531" s="252"/>
      <c r="C531" s="112" t="str">
        <f>IF(ISBLANK(B531),IFERROR(0/0,""),RAW_APS!A531)</f>
        <v/>
      </c>
      <c r="D531" s="112" t="str">
        <f>IF(ISBLANK(C531),IFERROR(0/0,""), VLOOKUP(C531,preDEL!A$2:AG786,33,FALSE))</f>
        <v/>
      </c>
      <c r="E531" s="252"/>
      <c r="F531" s="210"/>
      <c r="G531" s="252"/>
      <c r="H531" s="255" t="str">
        <f t="shared" si="1"/>
        <v/>
      </c>
      <c r="I531" s="256" t="str">
        <f>CONCATENATE(UPPER(RAW_APS!$A532),"__",RAW_APS!$B532,"_",RAW_APS!$C532)</f>
        <v>MA1047__44582_0.352638888888889</v>
      </c>
      <c r="J531" s="257" t="str">
        <f t="shared" si="2"/>
        <v/>
      </c>
      <c r="K531" s="252" t="s">
        <v>1624</v>
      </c>
      <c r="L531" s="258" t="str">
        <f t="shared" si="3"/>
        <v>MA306</v>
      </c>
      <c r="M531" s="259" t="b">
        <f t="shared" si="4"/>
        <v>0</v>
      </c>
      <c r="N531" s="258" t="str">
        <f t="shared" si="5"/>
        <v/>
      </c>
      <c r="O531" s="5"/>
      <c r="P531" s="5"/>
      <c r="Q531" s="5"/>
      <c r="R531" s="5"/>
      <c r="S531" s="5"/>
      <c r="T531" s="5"/>
      <c r="U531" s="5"/>
      <c r="V531" s="5"/>
      <c r="W531" s="5"/>
    </row>
    <row r="532">
      <c r="A532" s="112" t="str">
        <f>IF(OR(ISBLANK(RAW_APS!A532),ISBLANK(RAW_APS!B532),ISBLANK(RAW_APS!C532)),TRUE,IFERROR(0/0,""))</f>
        <v/>
      </c>
      <c r="B532" s="252"/>
      <c r="C532" s="112" t="str">
        <f>IF(ISBLANK(B532),IFERROR(0/0,""),RAW_APS!A532)</f>
        <v/>
      </c>
      <c r="D532" s="112" t="str">
        <f>IF(ISBLANK(C532),IFERROR(0/0,""), VLOOKUP(C532,preDEL!A$2:AG786,33,FALSE))</f>
        <v/>
      </c>
      <c r="E532" s="252"/>
      <c r="F532" s="210"/>
      <c r="G532" s="252"/>
      <c r="H532" s="255" t="str">
        <f t="shared" si="1"/>
        <v/>
      </c>
      <c r="I532" s="256" t="str">
        <f>CONCATENATE(UPPER(RAW_APS!$A533),"__",RAW_APS!$B533,"_",RAW_APS!$C533)</f>
        <v>MA452__44582_0.351435185185185</v>
      </c>
      <c r="J532" s="257" t="str">
        <f t="shared" si="2"/>
        <v/>
      </c>
      <c r="K532" s="252" t="s">
        <v>1626</v>
      </c>
      <c r="L532" s="258" t="str">
        <f t="shared" si="3"/>
        <v>MA307</v>
      </c>
      <c r="M532" s="259" t="b">
        <f t="shared" si="4"/>
        <v>0</v>
      </c>
      <c r="N532" s="258" t="str">
        <f t="shared" si="5"/>
        <v/>
      </c>
      <c r="O532" s="5"/>
      <c r="P532" s="5"/>
      <c r="Q532" s="5"/>
      <c r="R532" s="5"/>
      <c r="S532" s="5"/>
      <c r="T532" s="5"/>
      <c r="U532" s="5"/>
      <c r="V532" s="5"/>
      <c r="W532" s="5"/>
    </row>
    <row r="533">
      <c r="A533" s="112" t="str">
        <f>IF(OR(ISBLANK(RAW_APS!A533),ISBLANK(RAW_APS!B533),ISBLANK(RAW_APS!C533)),TRUE,IFERROR(0/0,""))</f>
        <v/>
      </c>
      <c r="B533" s="252"/>
      <c r="C533" s="112" t="str">
        <f>IF(ISBLANK(B533),IFERROR(0/0,""),RAW_APS!A533)</f>
        <v/>
      </c>
      <c r="D533" s="112" t="str">
        <f>IF(ISBLANK(C533),IFERROR(0/0,""), VLOOKUP(C533,preDEL!A$2:AG786,33,FALSE))</f>
        <v/>
      </c>
      <c r="E533" s="252"/>
      <c r="F533" s="210"/>
      <c r="G533" s="252"/>
      <c r="H533" s="255" t="str">
        <f t="shared" si="1"/>
        <v/>
      </c>
      <c r="I533" s="256" t="str">
        <f>CONCATENATE(UPPER(RAW_APS!$A534),"__",RAW_APS!$B534,"_",RAW_APS!$C534)</f>
        <v>MA376__44582_0.350196759259259</v>
      </c>
      <c r="J533" s="257" t="str">
        <f t="shared" si="2"/>
        <v/>
      </c>
      <c r="K533" s="252" t="s">
        <v>1628</v>
      </c>
      <c r="L533" s="258" t="str">
        <f t="shared" si="3"/>
        <v>MA310</v>
      </c>
      <c r="M533" s="259" t="b">
        <f t="shared" si="4"/>
        <v>0</v>
      </c>
      <c r="N533" s="258" t="str">
        <f t="shared" si="5"/>
        <v/>
      </c>
      <c r="O533" s="5"/>
      <c r="P533" s="5"/>
      <c r="Q533" s="5"/>
      <c r="R533" s="5"/>
      <c r="S533" s="5"/>
      <c r="T533" s="5"/>
      <c r="U533" s="5"/>
      <c r="V533" s="5"/>
      <c r="W533" s="5"/>
    </row>
    <row r="534">
      <c r="A534" s="112" t="str">
        <f>IF(OR(ISBLANK(RAW_APS!A534),ISBLANK(RAW_APS!B534),ISBLANK(RAW_APS!C534)),TRUE,IFERROR(0/0,""))</f>
        <v/>
      </c>
      <c r="B534" s="252"/>
      <c r="C534" s="112" t="str">
        <f>IF(ISBLANK(B534),IFERROR(0/0,""),RAW_APS!A534)</f>
        <v/>
      </c>
      <c r="D534" s="112" t="str">
        <f>IF(ISBLANK(C534),IFERROR(0/0,""), VLOOKUP(C534,preDEL!A$2:AG786,33,FALSE))</f>
        <v/>
      </c>
      <c r="E534" s="252"/>
      <c r="F534" s="210"/>
      <c r="G534" s="252"/>
      <c r="H534" s="255" t="str">
        <f t="shared" si="1"/>
        <v/>
      </c>
      <c r="I534" s="256" t="str">
        <f>CONCATENATE(UPPER(RAW_APS!$A535),"__",RAW_APS!$B535,"_",RAW_APS!$C535)</f>
        <v>MA1048__44582_0.341400462962963</v>
      </c>
      <c r="J534" s="257" t="str">
        <f t="shared" si="2"/>
        <v/>
      </c>
      <c r="K534" s="252" t="s">
        <v>1630</v>
      </c>
      <c r="L534" s="258" t="str">
        <f t="shared" si="3"/>
        <v>MA312</v>
      </c>
      <c r="M534" s="259" t="b">
        <f t="shared" si="4"/>
        <v>0</v>
      </c>
      <c r="N534" s="258" t="str">
        <f t="shared" si="5"/>
        <v/>
      </c>
      <c r="O534" s="5"/>
      <c r="P534" s="5"/>
      <c r="Q534" s="5"/>
      <c r="R534" s="5"/>
      <c r="S534" s="5"/>
      <c r="T534" s="5"/>
      <c r="U534" s="5"/>
      <c r="V534" s="5"/>
      <c r="W534" s="5"/>
    </row>
    <row r="535">
      <c r="A535" s="112" t="str">
        <f>IF(OR(ISBLANK(RAW_APS!A535),ISBLANK(RAW_APS!B535),ISBLANK(RAW_APS!C535)),TRUE,IFERROR(0/0,""))</f>
        <v/>
      </c>
      <c r="B535" s="252"/>
      <c r="C535" s="112" t="str">
        <f>IF(ISBLANK(B535),IFERROR(0/0,""),RAW_APS!A535)</f>
        <v/>
      </c>
      <c r="D535" s="112" t="str">
        <f>IF(ISBLANK(C535),IFERROR(0/0,""), VLOOKUP(C535,preDEL!A$2:AG786,33,FALSE))</f>
        <v/>
      </c>
      <c r="E535" s="252"/>
      <c r="F535" s="210"/>
      <c r="G535" s="252"/>
      <c r="H535" s="255" t="str">
        <f t="shared" si="1"/>
        <v/>
      </c>
      <c r="I535" s="256" t="str">
        <f>CONCATENATE(UPPER(RAW_APS!$A536),"__",RAW_APS!$B536,"_",RAW_APS!$C536)</f>
        <v>MA1053__44582_0.340486111111111</v>
      </c>
      <c r="J535" s="257" t="str">
        <f t="shared" si="2"/>
        <v/>
      </c>
      <c r="K535" s="252" t="s">
        <v>1632</v>
      </c>
      <c r="L535" s="258" t="str">
        <f t="shared" si="3"/>
        <v>MA314</v>
      </c>
      <c r="M535" s="259" t="b">
        <f t="shared" si="4"/>
        <v>0</v>
      </c>
      <c r="N535" s="258" t="str">
        <f t="shared" si="5"/>
        <v/>
      </c>
      <c r="O535" s="5"/>
      <c r="P535" s="5"/>
      <c r="Q535" s="5"/>
      <c r="R535" s="5"/>
      <c r="S535" s="5"/>
      <c r="T535" s="5"/>
      <c r="U535" s="5"/>
      <c r="V535" s="5"/>
      <c r="W535" s="5"/>
    </row>
    <row r="536">
      <c r="A536" s="112" t="str">
        <f>IF(OR(ISBLANK(RAW_APS!A536),ISBLANK(RAW_APS!B536),ISBLANK(RAW_APS!C536)),TRUE,IFERROR(0/0,""))</f>
        <v/>
      </c>
      <c r="B536" s="252"/>
      <c r="C536" s="112" t="str">
        <f>IF(ISBLANK(B536),IFERROR(0/0,""),RAW_APS!A536)</f>
        <v/>
      </c>
      <c r="D536" s="112" t="str">
        <f>IF(ISBLANK(C536),IFERROR(0/0,""), VLOOKUP(C536,preDEL!A$2:AG786,33,FALSE))</f>
        <v/>
      </c>
      <c r="E536" s="252"/>
      <c r="F536" s="210"/>
      <c r="G536" s="252"/>
      <c r="H536" s="255" t="str">
        <f t="shared" si="1"/>
        <v/>
      </c>
      <c r="I536" s="256" t="str">
        <f>CONCATENATE(UPPER(RAW_APS!$A537),"__",RAW_APS!$B537,"_",RAW_APS!$C537)</f>
        <v>MA1151__44582_0.313009259259259</v>
      </c>
      <c r="J536" s="257" t="str">
        <f t="shared" si="2"/>
        <v/>
      </c>
      <c r="K536" s="252" t="s">
        <v>1634</v>
      </c>
      <c r="L536" s="258" t="str">
        <f t="shared" si="3"/>
        <v>MA315</v>
      </c>
      <c r="M536" s="259" t="b">
        <f t="shared" si="4"/>
        <v>0</v>
      </c>
      <c r="N536" s="258" t="str">
        <f t="shared" si="5"/>
        <v/>
      </c>
      <c r="O536" s="5"/>
      <c r="P536" s="5"/>
      <c r="Q536" s="5"/>
      <c r="R536" s="5"/>
      <c r="S536" s="5"/>
      <c r="T536" s="5"/>
      <c r="U536" s="5"/>
      <c r="V536" s="5"/>
      <c r="W536" s="5"/>
    </row>
    <row r="537">
      <c r="A537" s="112" t="str">
        <f>IF(OR(ISBLANK(RAW_APS!A537),ISBLANK(RAW_APS!B537),ISBLANK(RAW_APS!C537)),TRUE,IFERROR(0/0,""))</f>
        <v/>
      </c>
      <c r="B537" s="252"/>
      <c r="C537" s="112" t="str">
        <f>IF(ISBLANK(B537),IFERROR(0/0,""),RAW_APS!A537)</f>
        <v/>
      </c>
      <c r="D537" s="112" t="str">
        <f>IF(ISBLANK(C537),IFERROR(0/0,""), VLOOKUP(C537,preDEL!A$2:AG786,33,FALSE))</f>
        <v/>
      </c>
      <c r="E537" s="252"/>
      <c r="F537" s="210"/>
      <c r="G537" s="252"/>
      <c r="H537" s="255" t="str">
        <f t="shared" si="1"/>
        <v/>
      </c>
      <c r="I537" s="256" t="str">
        <f>CONCATENATE(UPPER(RAW_APS!$A538),"__",RAW_APS!$B538,"_",RAW_APS!$C538)</f>
        <v>MAX89__44582_0.28693287037037</v>
      </c>
      <c r="J537" s="257" t="str">
        <f t="shared" si="2"/>
        <v/>
      </c>
      <c r="K537" s="252" t="s">
        <v>1636</v>
      </c>
      <c r="L537" s="258" t="str">
        <f t="shared" si="3"/>
        <v>MA316</v>
      </c>
      <c r="M537" s="259" t="b">
        <f t="shared" si="4"/>
        <v>0</v>
      </c>
      <c r="N537" s="258" t="str">
        <f t="shared" si="5"/>
        <v/>
      </c>
      <c r="O537" s="5"/>
      <c r="P537" s="5"/>
      <c r="Q537" s="5"/>
      <c r="R537" s="5"/>
      <c r="S537" s="5"/>
      <c r="T537" s="5"/>
      <c r="U537" s="5"/>
      <c r="V537" s="5"/>
      <c r="W537" s="5"/>
    </row>
    <row r="538">
      <c r="A538" s="112" t="str">
        <f>IF(OR(ISBLANK(RAW_APS!A538),ISBLANK(RAW_APS!B538),ISBLANK(RAW_APS!C538)),TRUE,IFERROR(0/0,""))</f>
        <v/>
      </c>
      <c r="B538" s="252"/>
      <c r="C538" s="112" t="str">
        <f>IF(ISBLANK(B538),IFERROR(0/0,""),RAW_APS!A538)</f>
        <v/>
      </c>
      <c r="D538" s="112" t="str">
        <f>IF(ISBLANK(C538),IFERROR(0/0,""), VLOOKUP(C538,preDEL!A$2:AG786,33,FALSE))</f>
        <v/>
      </c>
      <c r="E538" s="252"/>
      <c r="F538" s="210"/>
      <c r="G538" s="252"/>
      <c r="H538" s="255" t="str">
        <f t="shared" si="1"/>
        <v/>
      </c>
      <c r="I538" s="256" t="str">
        <f>CONCATENATE(UPPER(RAW_APS!$A539),"__",RAW_APS!$B539,"_",RAW_APS!$C539)</f>
        <v>MAX80__44582_0.28474537037037</v>
      </c>
      <c r="J538" s="257" t="str">
        <f t="shared" si="2"/>
        <v/>
      </c>
      <c r="K538" s="252" t="s">
        <v>1640</v>
      </c>
      <c r="L538" s="258" t="str">
        <f t="shared" si="3"/>
        <v>MA319</v>
      </c>
      <c r="M538" s="259" t="b">
        <f t="shared" si="4"/>
        <v>0</v>
      </c>
      <c r="N538" s="258" t="str">
        <f t="shared" si="5"/>
        <v/>
      </c>
      <c r="O538" s="5"/>
      <c r="P538" s="5"/>
      <c r="Q538" s="5"/>
      <c r="R538" s="5"/>
      <c r="S538" s="5"/>
      <c r="T538" s="5"/>
      <c r="U538" s="5"/>
      <c r="V538" s="5"/>
      <c r="W538" s="5"/>
    </row>
    <row r="539">
      <c r="A539" s="112" t="str">
        <f>IF(OR(ISBLANK(RAW_APS!A539),ISBLANK(RAW_APS!B539),ISBLANK(RAW_APS!C539)),TRUE,IFERROR(0/0,""))</f>
        <v/>
      </c>
      <c r="B539" s="252"/>
      <c r="C539" s="112" t="str">
        <f>IF(ISBLANK(B539),IFERROR(0/0,""),RAW_APS!A539)</f>
        <v/>
      </c>
      <c r="D539" s="112" t="str">
        <f>IF(ISBLANK(C539),IFERROR(0/0,""), VLOOKUP(C539,preDEL!A$2:AG786,33,FALSE))</f>
        <v/>
      </c>
      <c r="E539" s="252"/>
      <c r="F539" s="210"/>
      <c r="G539" s="252"/>
      <c r="H539" s="255" t="str">
        <f t="shared" si="1"/>
        <v/>
      </c>
      <c r="I539" s="256" t="str">
        <f>CONCATENATE(UPPER(RAW_APS!$A540),"__",RAW_APS!$B540,"_",RAW_APS!$C540)</f>
        <v>MA1021__44582_0.268287037037037</v>
      </c>
      <c r="J539" s="257" t="str">
        <f t="shared" si="2"/>
        <v/>
      </c>
      <c r="K539" s="252" t="s">
        <v>1642</v>
      </c>
      <c r="L539" s="258" t="str">
        <f t="shared" si="3"/>
        <v>MA322</v>
      </c>
      <c r="M539" s="259" t="b">
        <f t="shared" si="4"/>
        <v>0</v>
      </c>
      <c r="N539" s="258" t="str">
        <f t="shared" si="5"/>
        <v/>
      </c>
      <c r="O539" s="5"/>
      <c r="P539" s="5"/>
      <c r="Q539" s="5"/>
      <c r="R539" s="5"/>
      <c r="S539" s="5"/>
      <c r="T539" s="5"/>
      <c r="U539" s="5"/>
      <c r="V539" s="5"/>
      <c r="W539" s="5"/>
    </row>
    <row r="540">
      <c r="A540" s="112" t="str">
        <f>IF(OR(ISBLANK(RAW_APS!A540),ISBLANK(RAW_APS!B540),ISBLANK(RAW_APS!C540)),TRUE,IFERROR(0/0,""))</f>
        <v/>
      </c>
      <c r="B540" s="252"/>
      <c r="C540" s="112" t="str">
        <f>IF(ISBLANK(B540),IFERROR(0/0,""),RAW_APS!A540)</f>
        <v/>
      </c>
      <c r="D540" s="112" t="str">
        <f>IF(ISBLANK(C540),IFERROR(0/0,""), VLOOKUP(C540,preDEL!A$2:AG786,33,FALSE))</f>
        <v/>
      </c>
      <c r="E540" s="252"/>
      <c r="F540" s="210"/>
      <c r="G540" s="252"/>
      <c r="H540" s="255" t="str">
        <f t="shared" si="1"/>
        <v/>
      </c>
      <c r="I540" s="256" t="str">
        <f>CONCATENATE(UPPER(RAW_APS!$A541),"__",RAW_APS!$B541,"_",RAW_APS!$C541)</f>
        <v>MA1066__44581_0.334155092592593</v>
      </c>
      <c r="J540" s="257" t="str">
        <f t="shared" si="2"/>
        <v/>
      </c>
      <c r="K540" s="252" t="s">
        <v>1644</v>
      </c>
      <c r="L540" s="258" t="str">
        <f t="shared" si="3"/>
        <v>MA323</v>
      </c>
      <c r="M540" s="259" t="b">
        <f t="shared" si="4"/>
        <v>0</v>
      </c>
      <c r="N540" s="258" t="str">
        <f t="shared" si="5"/>
        <v/>
      </c>
      <c r="O540" s="5"/>
      <c r="P540" s="5"/>
      <c r="Q540" s="5"/>
      <c r="R540" s="5"/>
      <c r="S540" s="5"/>
      <c r="T540" s="5"/>
      <c r="U540" s="5"/>
      <c r="V540" s="5"/>
      <c r="W540" s="5"/>
    </row>
    <row r="541">
      <c r="A541" s="112" t="str">
        <f>IF(OR(ISBLANK(RAW_APS!A541),ISBLANK(RAW_APS!B541),ISBLANK(RAW_APS!C541)),TRUE,IFERROR(0/0,""))</f>
        <v/>
      </c>
      <c r="B541" s="252"/>
      <c r="C541" s="112" t="str">
        <f>IF(ISBLANK(B541),IFERROR(0/0,""),RAW_APS!A541)</f>
        <v/>
      </c>
      <c r="D541" s="112" t="str">
        <f>IF(ISBLANK(C541),IFERROR(0/0,""), VLOOKUP(C541,preDEL!A$2:AG786,33,FALSE))</f>
        <v/>
      </c>
      <c r="E541" s="252"/>
      <c r="F541" s="210"/>
      <c r="G541" s="252"/>
      <c r="H541" s="255" t="str">
        <f t="shared" si="1"/>
        <v/>
      </c>
      <c r="I541" s="256" t="str">
        <f>CONCATENATE(UPPER(RAW_APS!$A542),"__",RAW_APS!$B542,"_",RAW_APS!$C542)</f>
        <v>MA278__44581_0.312881944444444</v>
      </c>
      <c r="J541" s="257" t="str">
        <f t="shared" si="2"/>
        <v/>
      </c>
      <c r="K541" s="252" t="s">
        <v>1646</v>
      </c>
      <c r="L541" s="258" t="str">
        <f t="shared" si="3"/>
        <v>MA325</v>
      </c>
      <c r="M541" s="259" t="b">
        <f t="shared" si="4"/>
        <v>0</v>
      </c>
      <c r="N541" s="258" t="str">
        <f t="shared" si="5"/>
        <v/>
      </c>
      <c r="O541" s="5"/>
      <c r="P541" s="5"/>
      <c r="Q541" s="5"/>
      <c r="R541" s="5"/>
      <c r="S541" s="5"/>
      <c r="T541" s="5"/>
      <c r="U541" s="5"/>
      <c r="V541" s="5"/>
      <c r="W541" s="5"/>
    </row>
    <row r="542">
      <c r="A542" s="112" t="str">
        <f>IF(OR(ISBLANK(RAW_APS!A542),ISBLANK(RAW_APS!B542),ISBLANK(RAW_APS!C542)),TRUE,IFERROR(0/0,""))</f>
        <v/>
      </c>
      <c r="B542" s="252"/>
      <c r="C542" s="112" t="str">
        <f>IF(ISBLANK(B542),IFERROR(0/0,""),RAW_APS!A542)</f>
        <v/>
      </c>
      <c r="D542" s="112" t="str">
        <f>IF(ISBLANK(C542),IFERROR(0/0,""), VLOOKUP(C542,preDEL!A$2:AG786,33,FALSE))</f>
        <v/>
      </c>
      <c r="E542" s="252"/>
      <c r="F542" s="210"/>
      <c r="G542" s="252"/>
      <c r="H542" s="255" t="str">
        <f t="shared" si="1"/>
        <v/>
      </c>
      <c r="I542" s="256" t="str">
        <f>CONCATENATE(UPPER(RAW_APS!$A543),"__",RAW_APS!$B543,"_",RAW_APS!$C543)</f>
        <v>MAX114__44580_0.446747685185185</v>
      </c>
      <c r="J542" s="257" t="str">
        <f t="shared" si="2"/>
        <v/>
      </c>
      <c r="K542" s="252" t="s">
        <v>1648</v>
      </c>
      <c r="L542" s="258" t="str">
        <f t="shared" si="3"/>
        <v>MA326</v>
      </c>
      <c r="M542" s="259" t="b">
        <f t="shared" si="4"/>
        <v>0</v>
      </c>
      <c r="N542" s="258" t="str">
        <f t="shared" si="5"/>
        <v/>
      </c>
      <c r="O542" s="5"/>
      <c r="P542" s="5"/>
      <c r="Q542" s="5"/>
      <c r="R542" s="5"/>
      <c r="S542" s="5"/>
      <c r="T542" s="5"/>
      <c r="U542" s="5"/>
      <c r="V542" s="5"/>
      <c r="W542" s="5"/>
    </row>
    <row r="543">
      <c r="A543" s="112" t="str">
        <f>IF(OR(ISBLANK(RAW_APS!A543),ISBLANK(RAW_APS!B543),ISBLANK(RAW_APS!C543)),TRUE,IFERROR(0/0,""))</f>
        <v/>
      </c>
      <c r="B543" s="252"/>
      <c r="C543" s="112" t="str">
        <f>IF(ISBLANK(B543),IFERROR(0/0,""),RAW_APS!A543)</f>
        <v/>
      </c>
      <c r="D543" s="112" t="str">
        <f>IF(ISBLANK(C543),IFERROR(0/0,""), VLOOKUP(C543,preDEL!A$2:AG786,33,FALSE))</f>
        <v/>
      </c>
      <c r="E543" s="252"/>
      <c r="F543" s="210"/>
      <c r="G543" s="252"/>
      <c r="H543" s="255" t="str">
        <f t="shared" si="1"/>
        <v/>
      </c>
      <c r="I543" s="256" t="str">
        <f>CONCATENATE(UPPER(RAW_APS!$A544),"__",RAW_APS!$B544,"_",RAW_APS!$C544)</f>
        <v>MA198__44580_0.443668981481482</v>
      </c>
      <c r="J543" s="257" t="str">
        <f t="shared" si="2"/>
        <v/>
      </c>
      <c r="K543" s="252" t="s">
        <v>1650</v>
      </c>
      <c r="L543" s="258" t="str">
        <f t="shared" si="3"/>
        <v>MA327</v>
      </c>
      <c r="M543" s="259" t="b">
        <f t="shared" si="4"/>
        <v>0</v>
      </c>
      <c r="N543" s="258" t="str">
        <f t="shared" si="5"/>
        <v/>
      </c>
      <c r="O543" s="5"/>
      <c r="P543" s="5"/>
      <c r="Q543" s="5"/>
      <c r="R543" s="5"/>
      <c r="S543" s="5"/>
      <c r="T543" s="5"/>
      <c r="U543" s="5"/>
      <c r="V543" s="5"/>
      <c r="W543" s="5"/>
    </row>
    <row r="544">
      <c r="A544" s="112" t="str">
        <f>IF(OR(ISBLANK(RAW_APS!A544),ISBLANK(RAW_APS!B544),ISBLANK(RAW_APS!C544)),TRUE,IFERROR(0/0,""))</f>
        <v/>
      </c>
      <c r="B544" s="252"/>
      <c r="C544" s="112" t="str">
        <f>IF(ISBLANK(B544),IFERROR(0/0,""),RAW_APS!A544)</f>
        <v/>
      </c>
      <c r="D544" s="112" t="str">
        <f>IF(ISBLANK(C544),IFERROR(0/0,""), VLOOKUP(C544,preDEL!A$2:AG786,33,FALSE))</f>
        <v/>
      </c>
      <c r="E544" s="252"/>
      <c r="F544" s="210"/>
      <c r="G544" s="252"/>
      <c r="H544" s="255" t="str">
        <f t="shared" si="1"/>
        <v/>
      </c>
      <c r="I544" s="256" t="str">
        <f>CONCATENATE(UPPER(RAW_APS!$A545),"__",RAW_APS!$B545,"_",RAW_APS!$C545)</f>
        <v>MA1252__44580_0.440520833333333</v>
      </c>
      <c r="J544" s="257" t="str">
        <f t="shared" si="2"/>
        <v/>
      </c>
      <c r="K544" s="252" t="s">
        <v>1652</v>
      </c>
      <c r="L544" s="258" t="str">
        <f t="shared" si="3"/>
        <v>MA328</v>
      </c>
      <c r="M544" s="259" t="b">
        <f t="shared" si="4"/>
        <v>0</v>
      </c>
      <c r="N544" s="258" t="str">
        <f t="shared" si="5"/>
        <v/>
      </c>
      <c r="O544" s="5"/>
      <c r="P544" s="5"/>
      <c r="Q544" s="5"/>
      <c r="R544" s="5"/>
      <c r="S544" s="5"/>
      <c r="T544" s="5"/>
      <c r="U544" s="5"/>
      <c r="V544" s="5"/>
      <c r="W544" s="5"/>
    </row>
    <row r="545">
      <c r="A545" s="112" t="str">
        <f>IF(OR(ISBLANK(RAW_APS!A545),ISBLANK(RAW_APS!B545),ISBLANK(RAW_APS!C545)),TRUE,IFERROR(0/0,""))</f>
        <v/>
      </c>
      <c r="B545" s="252"/>
      <c r="C545" s="112" t="str">
        <f>IF(ISBLANK(B545),IFERROR(0/0,""),RAW_APS!A545)</f>
        <v/>
      </c>
      <c r="D545" s="112" t="str">
        <f>IF(ISBLANK(C545),IFERROR(0/0,""), VLOOKUP(C545,preDEL!A$2:AG786,33,FALSE))</f>
        <v/>
      </c>
      <c r="E545" s="252"/>
      <c r="F545" s="210"/>
      <c r="G545" s="252"/>
      <c r="H545" s="255" t="str">
        <f t="shared" si="1"/>
        <v/>
      </c>
      <c r="I545" s="256" t="str">
        <f>CONCATENATE(UPPER(RAW_APS!$A546),"__",RAW_APS!$B546,"_",RAW_APS!$C546)</f>
        <v>MAX76__44580_0.432037037037037</v>
      </c>
      <c r="J545" s="257" t="str">
        <f t="shared" si="2"/>
        <v/>
      </c>
      <c r="K545" s="252" t="s">
        <v>1654</v>
      </c>
      <c r="L545" s="258" t="str">
        <f t="shared" si="3"/>
        <v>MA330</v>
      </c>
      <c r="M545" s="259" t="b">
        <f t="shared" si="4"/>
        <v>0</v>
      </c>
      <c r="N545" s="258" t="str">
        <f t="shared" si="5"/>
        <v/>
      </c>
      <c r="O545" s="5"/>
      <c r="P545" s="5"/>
      <c r="Q545" s="5"/>
      <c r="R545" s="5"/>
      <c r="S545" s="5"/>
      <c r="T545" s="5"/>
      <c r="U545" s="5"/>
      <c r="V545" s="5"/>
      <c r="W545" s="5"/>
    </row>
    <row r="546">
      <c r="A546" s="112" t="str">
        <f>IF(OR(ISBLANK(RAW_APS!A546),ISBLANK(RAW_APS!B546),ISBLANK(RAW_APS!C546)),TRUE,IFERROR(0/0,""))</f>
        <v/>
      </c>
      <c r="B546" s="252"/>
      <c r="C546" s="112" t="str">
        <f>IF(ISBLANK(B546),IFERROR(0/0,""),RAW_APS!A546)</f>
        <v/>
      </c>
      <c r="D546" s="112" t="str">
        <f>IF(ISBLANK(C546),IFERROR(0/0,""), VLOOKUP(C546,preDEL!A$2:AG786,33,FALSE))</f>
        <v/>
      </c>
      <c r="E546" s="252"/>
      <c r="F546" s="210"/>
      <c r="G546" s="252"/>
      <c r="H546" s="255" t="str">
        <f t="shared" si="1"/>
        <v/>
      </c>
      <c r="I546" s="256" t="str">
        <f>CONCATENATE(UPPER(RAW_APS!$A547),"__",RAW_APS!$B547,"_",RAW_APS!$C547)</f>
        <v>MA420__44580_0.42681712962963</v>
      </c>
      <c r="J546" s="257" t="str">
        <f t="shared" si="2"/>
        <v/>
      </c>
      <c r="K546" s="252" t="s">
        <v>1658</v>
      </c>
      <c r="L546" s="258" t="str">
        <f t="shared" si="3"/>
        <v>MA331</v>
      </c>
      <c r="M546" s="259" t="b">
        <f t="shared" si="4"/>
        <v>0</v>
      </c>
      <c r="N546" s="258" t="str">
        <f t="shared" si="5"/>
        <v/>
      </c>
      <c r="O546" s="5"/>
      <c r="P546" s="5"/>
      <c r="Q546" s="5"/>
      <c r="R546" s="5"/>
      <c r="S546" s="5"/>
      <c r="T546" s="5"/>
      <c r="U546" s="5"/>
      <c r="V546" s="5"/>
      <c r="W546" s="5"/>
    </row>
    <row r="547">
      <c r="A547" s="112" t="str">
        <f>IF(OR(ISBLANK(RAW_APS!A547),ISBLANK(RAW_APS!B547),ISBLANK(RAW_APS!C547)),TRUE,IFERROR(0/0,""))</f>
        <v/>
      </c>
      <c r="B547" s="252"/>
      <c r="C547" s="112" t="str">
        <f>IF(ISBLANK(B547),IFERROR(0/0,""),RAW_APS!A547)</f>
        <v/>
      </c>
      <c r="D547" s="112" t="str">
        <f>IF(ISBLANK(C547),IFERROR(0/0,""), VLOOKUP(C547,preDEL!A$2:AG786,33,FALSE))</f>
        <v/>
      </c>
      <c r="E547" s="252"/>
      <c r="F547" s="210"/>
      <c r="G547" s="252"/>
      <c r="H547" s="255" t="str">
        <f t="shared" si="1"/>
        <v/>
      </c>
      <c r="I547" s="256" t="str">
        <f>CONCATENATE(UPPER(RAW_APS!$A548),"__",RAW_APS!$B548,"_",RAW_APS!$C548)</f>
        <v>MA303__44580_0.415439814814815</v>
      </c>
      <c r="J547" s="257" t="str">
        <f t="shared" si="2"/>
        <v/>
      </c>
      <c r="K547" s="252" t="s">
        <v>1660</v>
      </c>
      <c r="L547" s="258" t="str">
        <f t="shared" si="3"/>
        <v>MA332</v>
      </c>
      <c r="M547" s="259" t="b">
        <f t="shared" si="4"/>
        <v>0</v>
      </c>
      <c r="N547" s="258" t="str">
        <f t="shared" si="5"/>
        <v/>
      </c>
      <c r="O547" s="5"/>
      <c r="P547" s="5"/>
      <c r="Q547" s="5"/>
      <c r="R547" s="5"/>
      <c r="S547" s="5"/>
      <c r="T547" s="5"/>
      <c r="U547" s="5"/>
      <c r="V547" s="5"/>
      <c r="W547" s="5"/>
    </row>
    <row r="548">
      <c r="A548" s="112" t="str">
        <f>IF(OR(ISBLANK(RAW_APS!A548),ISBLANK(RAW_APS!B548),ISBLANK(RAW_APS!C548)),TRUE,IFERROR(0/0,""))</f>
        <v/>
      </c>
      <c r="B548" s="252"/>
      <c r="C548" s="112" t="str">
        <f>IF(ISBLANK(B548),IFERROR(0/0,""),RAW_APS!A548)</f>
        <v/>
      </c>
      <c r="D548" s="112" t="str">
        <f>IF(ISBLANK(C548),IFERROR(0/0,""), VLOOKUP(C548,preDEL!A$2:AG786,33,FALSE))</f>
        <v/>
      </c>
      <c r="E548" s="252"/>
      <c r="F548" s="210"/>
      <c r="G548" s="252"/>
      <c r="H548" s="255" t="str">
        <f t="shared" si="1"/>
        <v/>
      </c>
      <c r="I548" s="256" t="str">
        <f>CONCATENATE(UPPER(RAW_APS!$A549),"__",RAW_APS!$B549,"_",RAW_APS!$C549)</f>
        <v>MA372__44580_0.415</v>
      </c>
      <c r="J548" s="257" t="str">
        <f t="shared" si="2"/>
        <v/>
      </c>
      <c r="K548" s="252" t="s">
        <v>1664</v>
      </c>
      <c r="L548" s="258" t="str">
        <f t="shared" si="3"/>
        <v>MA333</v>
      </c>
      <c r="M548" s="259" t="b">
        <f t="shared" si="4"/>
        <v>0</v>
      </c>
      <c r="N548" s="258" t="str">
        <f t="shared" si="5"/>
        <v/>
      </c>
      <c r="O548" s="5"/>
      <c r="P548" s="5"/>
      <c r="Q548" s="5"/>
      <c r="R548" s="5"/>
      <c r="S548" s="5"/>
      <c r="T548" s="5"/>
      <c r="U548" s="5"/>
      <c r="V548" s="5"/>
      <c r="W548" s="5"/>
    </row>
    <row r="549">
      <c r="A549" s="112" t="str">
        <f>IF(OR(ISBLANK(RAW_APS!A549),ISBLANK(RAW_APS!B549),ISBLANK(RAW_APS!C549)),TRUE,IFERROR(0/0,""))</f>
        <v/>
      </c>
      <c r="B549" s="252"/>
      <c r="C549" s="112" t="str">
        <f>IF(ISBLANK(B549),IFERROR(0/0,""),RAW_APS!A549)</f>
        <v/>
      </c>
      <c r="D549" s="112" t="str">
        <f>IF(ISBLANK(C549),IFERROR(0/0,""), VLOOKUP(C549,preDEL!A$2:AG786,33,FALSE))</f>
        <v/>
      </c>
      <c r="E549" s="252"/>
      <c r="F549" s="210"/>
      <c r="G549" s="252"/>
      <c r="H549" s="255" t="str">
        <f t="shared" si="1"/>
        <v/>
      </c>
      <c r="I549" s="256" t="str">
        <f>CONCATENATE(UPPER(RAW_APS!$A550),"__",RAW_APS!$B550,"_",RAW_APS!$C550)</f>
        <v>MA383__44580_0.414560185185185</v>
      </c>
      <c r="J549" s="257" t="str">
        <f t="shared" si="2"/>
        <v/>
      </c>
      <c r="K549" s="252" t="s">
        <v>1666</v>
      </c>
      <c r="L549" s="258" t="str">
        <f t="shared" si="3"/>
        <v>MA335</v>
      </c>
      <c r="M549" s="259" t="b">
        <f t="shared" si="4"/>
        <v>0</v>
      </c>
      <c r="N549" s="258" t="str">
        <f t="shared" si="5"/>
        <v/>
      </c>
      <c r="O549" s="5"/>
      <c r="P549" s="5"/>
      <c r="Q549" s="5"/>
      <c r="R549" s="5"/>
      <c r="S549" s="5"/>
      <c r="T549" s="5"/>
      <c r="U549" s="5"/>
      <c r="V549" s="5"/>
      <c r="W549" s="5"/>
    </row>
    <row r="550">
      <c r="A550" s="112" t="str">
        <f>IF(OR(ISBLANK(RAW_APS!A550),ISBLANK(RAW_APS!B550),ISBLANK(RAW_APS!C550)),TRUE,IFERROR(0/0,""))</f>
        <v/>
      </c>
      <c r="B550" s="252"/>
      <c r="C550" s="112" t="str">
        <f>IF(ISBLANK(B550),IFERROR(0/0,""),RAW_APS!A550)</f>
        <v/>
      </c>
      <c r="D550" s="112" t="str">
        <f>IF(ISBLANK(C550),IFERROR(0/0,""), VLOOKUP(C550,preDEL!A$2:AG786,33,FALSE))</f>
        <v/>
      </c>
      <c r="E550" s="252"/>
      <c r="F550" s="210"/>
      <c r="G550" s="252"/>
      <c r="H550" s="255" t="str">
        <f t="shared" si="1"/>
        <v/>
      </c>
      <c r="I550" s="256" t="str">
        <f>CONCATENATE(UPPER(RAW_APS!$A551),"__",RAW_APS!$B551,"_",RAW_APS!$C551)</f>
        <v>MAX4__44580_0.410069444444444</v>
      </c>
      <c r="J550" s="257" t="str">
        <f t="shared" si="2"/>
        <v/>
      </c>
      <c r="K550" s="252" t="s">
        <v>1668</v>
      </c>
      <c r="L550" s="258" t="str">
        <f t="shared" si="3"/>
        <v>MA337</v>
      </c>
      <c r="M550" s="259" t="b">
        <f t="shared" si="4"/>
        <v>0</v>
      </c>
      <c r="N550" s="258" t="str">
        <f t="shared" si="5"/>
        <v/>
      </c>
      <c r="O550" s="5"/>
      <c r="P550" s="5"/>
      <c r="Q550" s="5"/>
      <c r="R550" s="5"/>
      <c r="S550" s="5"/>
      <c r="T550" s="5"/>
      <c r="U550" s="5"/>
      <c r="V550" s="5"/>
      <c r="W550" s="5"/>
    </row>
    <row r="551">
      <c r="A551" s="112" t="str">
        <f>IF(OR(ISBLANK(RAW_APS!A551),ISBLANK(RAW_APS!B551),ISBLANK(RAW_APS!C551)),TRUE,IFERROR(0/0,""))</f>
        <v/>
      </c>
      <c r="B551" s="252"/>
      <c r="C551" s="112" t="str">
        <f>IF(ISBLANK(B551),IFERROR(0/0,""),RAW_APS!A551)</f>
        <v/>
      </c>
      <c r="D551" s="112" t="str">
        <f>IF(ISBLANK(C551),IFERROR(0/0,""), VLOOKUP(C551,preDEL!A$2:AG786,33,FALSE))</f>
        <v/>
      </c>
      <c r="E551" s="252"/>
      <c r="F551" s="210"/>
      <c r="G551" s="252"/>
      <c r="H551" s="255" t="str">
        <f t="shared" si="1"/>
        <v/>
      </c>
      <c r="I551" s="256" t="str">
        <f>CONCATENATE(UPPER(RAW_APS!$A552),"__",RAW_APS!$B552,"_",RAW_APS!$C552)</f>
        <v>MAX56__44580_0.407928240740741</v>
      </c>
      <c r="J551" s="257" t="str">
        <f t="shared" si="2"/>
        <v/>
      </c>
      <c r="K551" s="252" t="s">
        <v>1672</v>
      </c>
      <c r="L551" s="258" t="str">
        <f t="shared" si="3"/>
        <v>MA340</v>
      </c>
      <c r="M551" s="259" t="b">
        <f t="shared" si="4"/>
        <v>0</v>
      </c>
      <c r="N551" s="258" t="str">
        <f t="shared" si="5"/>
        <v/>
      </c>
      <c r="O551" s="5"/>
      <c r="P551" s="5"/>
      <c r="Q551" s="5"/>
      <c r="R551" s="5"/>
      <c r="S551" s="5"/>
      <c r="T551" s="5"/>
      <c r="U551" s="5"/>
      <c r="V551" s="5"/>
      <c r="W551" s="5"/>
    </row>
    <row r="552">
      <c r="A552" s="112" t="str">
        <f>IF(OR(ISBLANK(RAW_APS!A552),ISBLANK(RAW_APS!B552),ISBLANK(RAW_APS!C552)),TRUE,IFERROR(0/0,""))</f>
        <v/>
      </c>
      <c r="B552" s="252"/>
      <c r="C552" s="112" t="str">
        <f>IF(ISBLANK(B552),IFERROR(0/0,""),RAW_APS!A552)</f>
        <v/>
      </c>
      <c r="D552" s="112" t="str">
        <f>IF(ISBLANK(C552),IFERROR(0/0,""), VLOOKUP(C552,preDEL!A$2:AG786,33,FALSE))</f>
        <v/>
      </c>
      <c r="E552" s="252"/>
      <c r="F552" s="210"/>
      <c r="G552" s="252"/>
      <c r="H552" s="255" t="str">
        <f t="shared" si="1"/>
        <v/>
      </c>
      <c r="I552" s="256" t="str">
        <f>CONCATENATE(UPPER(RAW_APS!$A553),"__",RAW_APS!$B553,"_",RAW_APS!$C553)</f>
        <v>MA1115__44580_0.346064814814815</v>
      </c>
      <c r="J552" s="257" t="str">
        <f t="shared" si="2"/>
        <v/>
      </c>
      <c r="K552" s="252" t="s">
        <v>1674</v>
      </c>
      <c r="L552" s="258" t="str">
        <f t="shared" si="3"/>
        <v>MA341</v>
      </c>
      <c r="M552" s="259" t="b">
        <f t="shared" si="4"/>
        <v>0</v>
      </c>
      <c r="N552" s="258" t="str">
        <f t="shared" si="5"/>
        <v/>
      </c>
      <c r="O552" s="5"/>
      <c r="P552" s="5"/>
      <c r="Q552" s="5"/>
      <c r="R552" s="5"/>
      <c r="S552" s="5"/>
      <c r="T552" s="5"/>
      <c r="U552" s="5"/>
      <c r="V552" s="5"/>
      <c r="W552" s="5"/>
    </row>
    <row r="553">
      <c r="A553" s="112" t="str">
        <f>IF(OR(ISBLANK(RAW_APS!A553),ISBLANK(RAW_APS!B553),ISBLANK(RAW_APS!C553)),TRUE,IFERROR(0/0,""))</f>
        <v/>
      </c>
      <c r="B553" s="252"/>
      <c r="C553" s="112" t="str">
        <f>IF(ISBLANK(B553),IFERROR(0/0,""),RAW_APS!A553)</f>
        <v/>
      </c>
      <c r="D553" s="112" t="str">
        <f>IF(ISBLANK(C553),IFERROR(0/0,""), VLOOKUP(C553,preDEL!A$2:AG786,33,FALSE))</f>
        <v/>
      </c>
      <c r="E553" s="252"/>
      <c r="F553" s="210"/>
      <c r="G553" s="252"/>
      <c r="H553" s="255" t="str">
        <f t="shared" si="1"/>
        <v/>
      </c>
      <c r="I553" s="256" t="str">
        <f>CONCATENATE(UPPER(RAW_APS!$A554),"__",RAW_APS!$B554,"_",RAW_APS!$C554)</f>
        <v>MAX62__44580_0.29005787037037</v>
      </c>
      <c r="J553" s="257" t="str">
        <f t="shared" si="2"/>
        <v/>
      </c>
      <c r="K553" s="252" t="s">
        <v>1676</v>
      </c>
      <c r="L553" s="258" t="str">
        <f t="shared" si="3"/>
        <v>MA343</v>
      </c>
      <c r="M553" s="259" t="b">
        <f t="shared" si="4"/>
        <v>0</v>
      </c>
      <c r="N553" s="258" t="str">
        <f t="shared" si="5"/>
        <v/>
      </c>
      <c r="O553" s="5"/>
      <c r="P553" s="5"/>
      <c r="Q553" s="5"/>
      <c r="R553" s="5"/>
      <c r="S553" s="5"/>
      <c r="T553" s="5"/>
      <c r="U553" s="5"/>
      <c r="V553" s="5"/>
      <c r="W553" s="5"/>
    </row>
    <row r="554">
      <c r="A554" s="112" t="str">
        <f>IF(OR(ISBLANK(RAW_APS!A554),ISBLANK(RAW_APS!B554),ISBLANK(RAW_APS!C554)),TRUE,IFERROR(0/0,""))</f>
        <v/>
      </c>
      <c r="B554" s="252"/>
      <c r="C554" s="112" t="str">
        <f>IF(ISBLANK(B554),IFERROR(0/0,""),RAW_APS!A554)</f>
        <v/>
      </c>
      <c r="D554" s="112" t="str">
        <f>IF(ISBLANK(C554),IFERROR(0/0,""), VLOOKUP(C554,preDEL!A$2:AG786,33,FALSE))</f>
        <v/>
      </c>
      <c r="E554" s="252"/>
      <c r="F554" s="210"/>
      <c r="G554" s="252"/>
      <c r="H554" s="255" t="str">
        <f t="shared" si="1"/>
        <v/>
      </c>
      <c r="I554" s="256" t="str">
        <f>CONCATENATE(UPPER(RAW_APS!$A555),"__",RAW_APS!$B555,"_",RAW_APS!$C555)</f>
        <v>MAX90__44580_0.288831018518519</v>
      </c>
      <c r="J554" s="257" t="str">
        <f t="shared" si="2"/>
        <v/>
      </c>
      <c r="K554" s="252" t="s">
        <v>1678</v>
      </c>
      <c r="L554" s="258" t="str">
        <f t="shared" si="3"/>
        <v>MA344</v>
      </c>
      <c r="M554" s="259" t="b">
        <f t="shared" si="4"/>
        <v>0</v>
      </c>
      <c r="N554" s="258" t="str">
        <f t="shared" si="5"/>
        <v/>
      </c>
      <c r="O554" s="5"/>
      <c r="P554" s="5"/>
      <c r="Q554" s="5"/>
      <c r="R554" s="5"/>
      <c r="S554" s="5"/>
      <c r="T554" s="5"/>
      <c r="U554" s="5"/>
      <c r="V554" s="5"/>
      <c r="W554" s="5"/>
    </row>
    <row r="555">
      <c r="A555" s="112" t="str">
        <f>IF(OR(ISBLANK(RAW_APS!A555),ISBLANK(RAW_APS!B555),ISBLANK(RAW_APS!C555)),TRUE,IFERROR(0/0,""))</f>
        <v/>
      </c>
      <c r="B555" s="252"/>
      <c r="C555" s="112" t="str">
        <f>IF(ISBLANK(B555),IFERROR(0/0,""),RAW_APS!A555)</f>
        <v/>
      </c>
      <c r="D555" s="112" t="str">
        <f>IF(ISBLANK(C555),IFERROR(0/0,""), VLOOKUP(C555,preDEL!A$2:AG786,33,FALSE))</f>
        <v/>
      </c>
      <c r="E555" s="252"/>
      <c r="F555" s="210"/>
      <c r="G555" s="252"/>
      <c r="H555" s="255" t="str">
        <f t="shared" si="1"/>
        <v/>
      </c>
      <c r="I555" s="256" t="str">
        <f>CONCATENATE(UPPER(RAW_APS!$A556),"__",RAW_APS!$B556,"_",RAW_APS!$C556)</f>
        <v>MA446__44579_0.415925925925926</v>
      </c>
      <c r="J555" s="257" t="str">
        <f t="shared" si="2"/>
        <v/>
      </c>
      <c r="K555" s="252" t="s">
        <v>1681</v>
      </c>
      <c r="L555" s="258" t="str">
        <f t="shared" si="3"/>
        <v>MA345</v>
      </c>
      <c r="M555" s="259" t="b">
        <f t="shared" si="4"/>
        <v>0</v>
      </c>
      <c r="N555" s="258" t="str">
        <f t="shared" si="5"/>
        <v/>
      </c>
      <c r="O555" s="5"/>
      <c r="P555" s="5"/>
      <c r="Q555" s="5"/>
      <c r="R555" s="5"/>
      <c r="S555" s="5"/>
      <c r="T555" s="5"/>
      <c r="U555" s="5"/>
      <c r="V555" s="5"/>
      <c r="W555" s="5"/>
    </row>
    <row r="556">
      <c r="A556" s="112" t="str">
        <f>IF(OR(ISBLANK(RAW_APS!A556),ISBLANK(RAW_APS!B556),ISBLANK(RAW_APS!C556)),TRUE,IFERROR(0/0,""))</f>
        <v/>
      </c>
      <c r="B556" s="252"/>
      <c r="C556" s="112" t="str">
        <f>IF(ISBLANK(B556),IFERROR(0/0,""),RAW_APS!A556)</f>
        <v/>
      </c>
      <c r="D556" s="112" t="str">
        <f>IF(ISBLANK(C556),IFERROR(0/0,""), VLOOKUP(C556,preDEL!A$2:AG786,33,FALSE))</f>
        <v/>
      </c>
      <c r="E556" s="252"/>
      <c r="F556" s="210"/>
      <c r="G556" s="252"/>
      <c r="H556" s="255" t="str">
        <f t="shared" si="1"/>
        <v/>
      </c>
      <c r="I556" s="256" t="str">
        <f>CONCATENATE(UPPER(RAW_APS!$A557),"__",RAW_APS!$B557,"_",RAW_APS!$C557)</f>
        <v>MA1037__44579_0.415347222222222</v>
      </c>
      <c r="J556" s="257" t="str">
        <f t="shared" si="2"/>
        <v/>
      </c>
      <c r="K556" s="252" t="s">
        <v>1683</v>
      </c>
      <c r="L556" s="258" t="str">
        <f t="shared" si="3"/>
        <v>MA347</v>
      </c>
      <c r="M556" s="259" t="b">
        <f t="shared" si="4"/>
        <v>0</v>
      </c>
      <c r="N556" s="258" t="str">
        <f t="shared" si="5"/>
        <v/>
      </c>
      <c r="O556" s="5"/>
      <c r="P556" s="5"/>
      <c r="Q556" s="5"/>
      <c r="R556" s="5"/>
      <c r="S556" s="5"/>
      <c r="T556" s="5"/>
      <c r="U556" s="5"/>
      <c r="V556" s="5"/>
      <c r="W556" s="5"/>
    </row>
    <row r="557">
      <c r="A557" s="112" t="str">
        <f>IF(OR(ISBLANK(RAW_APS!A557),ISBLANK(RAW_APS!B557),ISBLANK(RAW_APS!C557)),TRUE,IFERROR(0/0,""))</f>
        <v/>
      </c>
      <c r="B557" s="252"/>
      <c r="C557" s="112" t="str">
        <f>IF(ISBLANK(B557),IFERROR(0/0,""),RAW_APS!A557)</f>
        <v/>
      </c>
      <c r="D557" s="112" t="str">
        <f>IF(ISBLANK(C557),IFERROR(0/0,""), VLOOKUP(C557,preDEL!A$2:AG786,33,FALSE))</f>
        <v/>
      </c>
      <c r="E557" s="252"/>
      <c r="F557" s="210"/>
      <c r="G557" s="252"/>
      <c r="H557" s="255" t="str">
        <f t="shared" si="1"/>
        <v/>
      </c>
      <c r="I557" s="256" t="str">
        <f>CONCATENATE(UPPER(RAW_APS!$A558),"__",RAW_APS!$B558,"_",RAW_APS!$C558)</f>
        <v>MA547__44579_0.414456018518519</v>
      </c>
      <c r="J557" s="257" t="str">
        <f t="shared" si="2"/>
        <v/>
      </c>
      <c r="K557" s="252" t="s">
        <v>1686</v>
      </c>
      <c r="L557" s="258" t="str">
        <f t="shared" si="3"/>
        <v>MA348</v>
      </c>
      <c r="M557" s="259" t="b">
        <f t="shared" si="4"/>
        <v>0</v>
      </c>
      <c r="N557" s="258" t="str">
        <f t="shared" si="5"/>
        <v/>
      </c>
      <c r="O557" s="5"/>
      <c r="P557" s="5"/>
      <c r="Q557" s="5"/>
      <c r="R557" s="5"/>
      <c r="S557" s="5"/>
      <c r="T557" s="5"/>
      <c r="U557" s="5"/>
      <c r="V557" s="5"/>
      <c r="W557" s="5"/>
    </row>
    <row r="558">
      <c r="A558" s="112" t="str">
        <f>IF(OR(ISBLANK(RAW_APS!A558),ISBLANK(RAW_APS!B558),ISBLANK(RAW_APS!C558)),TRUE,IFERROR(0/0,""))</f>
        <v/>
      </c>
      <c r="B558" s="252"/>
      <c r="C558" s="112" t="str">
        <f>IF(ISBLANK(B558),IFERROR(0/0,""),RAW_APS!A558)</f>
        <v/>
      </c>
      <c r="D558" s="112" t="str">
        <f>IF(ISBLANK(C558),IFERROR(0/0,""), VLOOKUP(C558,preDEL!A$2:AG786,33,FALSE))</f>
        <v/>
      </c>
      <c r="E558" s="252"/>
      <c r="F558" s="210"/>
      <c r="G558" s="252"/>
      <c r="H558" s="255" t="str">
        <f t="shared" si="1"/>
        <v/>
      </c>
      <c r="I558" s="256" t="str">
        <f>CONCATENATE(UPPER(RAW_APS!$A559),"__",RAW_APS!$B559,"_",RAW_APS!$C559)</f>
        <v>MA1162__44579_0.414074074074074</v>
      </c>
      <c r="J558" s="257" t="str">
        <f t="shared" si="2"/>
        <v/>
      </c>
      <c r="K558" s="252" t="s">
        <v>1688</v>
      </c>
      <c r="L558" s="258" t="str">
        <f t="shared" si="3"/>
        <v>MA349</v>
      </c>
      <c r="M558" s="259" t="b">
        <f t="shared" si="4"/>
        <v>0</v>
      </c>
      <c r="N558" s="258" t="str">
        <f t="shared" si="5"/>
        <v/>
      </c>
      <c r="O558" s="5"/>
      <c r="P558" s="5"/>
      <c r="Q558" s="5"/>
      <c r="R558" s="5"/>
      <c r="S558" s="5"/>
      <c r="T558" s="5"/>
      <c r="U558" s="5"/>
      <c r="V558" s="5"/>
      <c r="W558" s="5"/>
    </row>
    <row r="559">
      <c r="A559" s="112" t="str">
        <f>IF(OR(ISBLANK(RAW_APS!A559),ISBLANK(RAW_APS!B559),ISBLANK(RAW_APS!C559)),TRUE,IFERROR(0/0,""))</f>
        <v/>
      </c>
      <c r="B559" s="252"/>
      <c r="C559" s="112" t="str">
        <f>IF(ISBLANK(B559),IFERROR(0/0,""),RAW_APS!A559)</f>
        <v/>
      </c>
      <c r="D559" s="112" t="str">
        <f>IF(ISBLANK(C559),IFERROR(0/0,""), VLOOKUP(C559,preDEL!A$2:AG786,33,FALSE))</f>
        <v/>
      </c>
      <c r="E559" s="252"/>
      <c r="F559" s="210"/>
      <c r="G559" s="252"/>
      <c r="H559" s="255" t="str">
        <f t="shared" si="1"/>
        <v/>
      </c>
      <c r="I559" s="256" t="str">
        <f>CONCATENATE(UPPER(RAW_APS!$A560),"__",RAW_APS!$B560,"_",RAW_APS!$C560)</f>
        <v>MA1146__44579_0.413680555555556</v>
      </c>
      <c r="J559" s="257" t="str">
        <f t="shared" si="2"/>
        <v/>
      </c>
      <c r="K559" s="252" t="s">
        <v>1690</v>
      </c>
      <c r="L559" s="258" t="str">
        <f t="shared" si="3"/>
        <v>MA350</v>
      </c>
      <c r="M559" s="259" t="b">
        <f t="shared" si="4"/>
        <v>0</v>
      </c>
      <c r="N559" s="258" t="str">
        <f t="shared" si="5"/>
        <v/>
      </c>
      <c r="O559" s="5"/>
      <c r="P559" s="5"/>
      <c r="Q559" s="5"/>
      <c r="R559" s="5"/>
      <c r="S559" s="5"/>
      <c r="T559" s="5"/>
      <c r="U559" s="5"/>
      <c r="V559" s="5"/>
      <c r="W559" s="5"/>
    </row>
    <row r="560">
      <c r="A560" s="112" t="str">
        <f>IF(OR(ISBLANK(RAW_APS!A560),ISBLANK(RAW_APS!B560),ISBLANK(RAW_APS!C560)),TRUE,IFERROR(0/0,""))</f>
        <v/>
      </c>
      <c r="B560" s="252"/>
      <c r="C560" s="112" t="str">
        <f>IF(ISBLANK(B560),IFERROR(0/0,""),RAW_APS!A560)</f>
        <v/>
      </c>
      <c r="D560" s="112" t="str">
        <f>IF(ISBLANK(C560),IFERROR(0/0,""), VLOOKUP(C560,preDEL!A$2:AG786,33,FALSE))</f>
        <v/>
      </c>
      <c r="E560" s="252"/>
      <c r="F560" s="210"/>
      <c r="G560" s="252"/>
      <c r="H560" s="255" t="str">
        <f t="shared" si="1"/>
        <v/>
      </c>
      <c r="I560" s="256" t="str">
        <f>CONCATENATE(UPPER(RAW_APS!$A561),"__",RAW_APS!$B561,"_",RAW_APS!$C561)</f>
        <v>MA422__44579_0.413333333333333</v>
      </c>
      <c r="J560" s="257" t="str">
        <f t="shared" si="2"/>
        <v/>
      </c>
      <c r="K560" s="252" t="s">
        <v>1692</v>
      </c>
      <c r="L560" s="258" t="str">
        <f t="shared" si="3"/>
        <v>MA353</v>
      </c>
      <c r="M560" s="259" t="b">
        <f t="shared" si="4"/>
        <v>0</v>
      </c>
      <c r="N560" s="258" t="str">
        <f t="shared" si="5"/>
        <v/>
      </c>
      <c r="O560" s="5"/>
      <c r="P560" s="5"/>
      <c r="Q560" s="5"/>
      <c r="R560" s="5"/>
      <c r="S560" s="5"/>
      <c r="T560" s="5"/>
      <c r="U560" s="5"/>
      <c r="V560" s="5"/>
      <c r="W560" s="5"/>
    </row>
    <row r="561">
      <c r="A561" s="112" t="str">
        <f>IF(OR(ISBLANK(RAW_APS!A561),ISBLANK(RAW_APS!B561),ISBLANK(RAW_APS!C561)),TRUE,IFERROR(0/0,""))</f>
        <v/>
      </c>
      <c r="B561" s="252"/>
      <c r="C561" s="112" t="str">
        <f>IF(ISBLANK(B561),IFERROR(0/0,""),RAW_APS!A561)</f>
        <v/>
      </c>
      <c r="D561" s="112" t="str">
        <f>IF(ISBLANK(C561),IFERROR(0/0,""), VLOOKUP(C561,preDEL!A$2:AG786,33,FALSE))</f>
        <v/>
      </c>
      <c r="E561" s="252"/>
      <c r="F561" s="210"/>
      <c r="G561" s="252"/>
      <c r="H561" s="255" t="str">
        <f t="shared" si="1"/>
        <v/>
      </c>
      <c r="I561" s="256" t="str">
        <f>CONCATENATE(UPPER(RAW_APS!$A562),"__",RAW_APS!$B562,"_",RAW_APS!$C562)</f>
        <v>MA1248__44579_0.413032407407407</v>
      </c>
      <c r="J561" s="257" t="str">
        <f t="shared" si="2"/>
        <v/>
      </c>
      <c r="K561" s="252" t="s">
        <v>1694</v>
      </c>
      <c r="L561" s="258" t="str">
        <f t="shared" si="3"/>
        <v>MA355</v>
      </c>
      <c r="M561" s="259" t="b">
        <f t="shared" si="4"/>
        <v>0</v>
      </c>
      <c r="N561" s="258" t="str">
        <f t="shared" si="5"/>
        <v/>
      </c>
      <c r="O561" s="5"/>
      <c r="P561" s="5"/>
      <c r="Q561" s="5"/>
      <c r="R561" s="5"/>
      <c r="S561" s="5"/>
      <c r="T561" s="5"/>
      <c r="U561" s="5"/>
      <c r="V561" s="5"/>
      <c r="W561" s="5"/>
    </row>
    <row r="562">
      <c r="A562" s="112" t="str">
        <f>IF(OR(ISBLANK(RAW_APS!A562),ISBLANK(RAW_APS!B562),ISBLANK(RAW_APS!C562)),TRUE,IFERROR(0/0,""))</f>
        <v/>
      </c>
      <c r="B562" s="252"/>
      <c r="C562" s="112" t="str">
        <f>IF(ISBLANK(B562),IFERROR(0/0,""),RAW_APS!A562)</f>
        <v/>
      </c>
      <c r="D562" s="112" t="str">
        <f>IF(ISBLANK(C562),IFERROR(0/0,""), VLOOKUP(C562,preDEL!A$2:AG786,33,FALSE))</f>
        <v/>
      </c>
      <c r="E562" s="252"/>
      <c r="F562" s="210"/>
      <c r="G562" s="252"/>
      <c r="H562" s="255" t="str">
        <f t="shared" si="1"/>
        <v/>
      </c>
      <c r="I562" s="256" t="str">
        <f>CONCATENATE(UPPER(RAW_APS!$A563),"__",RAW_APS!$B563,"_",RAW_APS!$C563)</f>
        <v>MAX44__44579_0.404664351851852</v>
      </c>
      <c r="J562" s="257" t="str">
        <f t="shared" si="2"/>
        <v/>
      </c>
      <c r="K562" s="252" t="s">
        <v>1696</v>
      </c>
      <c r="L562" s="258" t="str">
        <f t="shared" si="3"/>
        <v>MA356</v>
      </c>
      <c r="M562" s="259" t="b">
        <f t="shared" si="4"/>
        <v>0</v>
      </c>
      <c r="N562" s="258" t="str">
        <f t="shared" si="5"/>
        <v/>
      </c>
      <c r="O562" s="5"/>
      <c r="P562" s="5"/>
      <c r="Q562" s="5"/>
      <c r="R562" s="5"/>
      <c r="S562" s="5"/>
      <c r="T562" s="5"/>
      <c r="U562" s="5"/>
      <c r="V562" s="5"/>
      <c r="W562" s="5"/>
    </row>
    <row r="563">
      <c r="A563" s="112" t="str">
        <f>IF(OR(ISBLANK(RAW_APS!A563),ISBLANK(RAW_APS!B563),ISBLANK(RAW_APS!C563)),TRUE,IFERROR(0/0,""))</f>
        <v/>
      </c>
      <c r="B563" s="252"/>
      <c r="C563" s="112" t="str">
        <f>IF(ISBLANK(B563),IFERROR(0/0,""),RAW_APS!A563)</f>
        <v/>
      </c>
      <c r="D563" s="112" t="str">
        <f>IF(ISBLANK(C563),IFERROR(0/0,""), VLOOKUP(C563,preDEL!A$2:AG786,33,FALSE))</f>
        <v/>
      </c>
      <c r="E563" s="252"/>
      <c r="F563" s="210"/>
      <c r="G563" s="252"/>
      <c r="H563" s="255" t="str">
        <f t="shared" si="1"/>
        <v/>
      </c>
      <c r="I563" s="256" t="str">
        <f>CONCATENATE(UPPER(RAW_APS!$A564),"__",RAW_APS!$B564,"_",RAW_APS!$C564)</f>
        <v>MA1253__44579_0.361597222222222</v>
      </c>
      <c r="J563" s="257" t="str">
        <f t="shared" si="2"/>
        <v/>
      </c>
      <c r="K563" s="252" t="s">
        <v>1698</v>
      </c>
      <c r="L563" s="258" t="str">
        <f t="shared" si="3"/>
        <v>MA357</v>
      </c>
      <c r="M563" s="259" t="b">
        <f t="shared" si="4"/>
        <v>0</v>
      </c>
      <c r="N563" s="258" t="str">
        <f t="shared" si="5"/>
        <v/>
      </c>
      <c r="O563" s="5"/>
      <c r="P563" s="5"/>
      <c r="Q563" s="5"/>
      <c r="R563" s="5"/>
      <c r="S563" s="5"/>
      <c r="T563" s="5"/>
      <c r="U563" s="5"/>
      <c r="V563" s="5"/>
      <c r="W563" s="5"/>
    </row>
    <row r="564">
      <c r="A564" s="112" t="str">
        <f>IF(OR(ISBLANK(RAW_APS!A564),ISBLANK(RAW_APS!B564),ISBLANK(RAW_APS!C564)),TRUE,IFERROR(0/0,""))</f>
        <v/>
      </c>
      <c r="B564" s="252"/>
      <c r="C564" s="112" t="str">
        <f>IF(ISBLANK(B564),IFERROR(0/0,""),RAW_APS!A564)</f>
        <v/>
      </c>
      <c r="D564" s="112" t="str">
        <f>IF(ISBLANK(C564),IFERROR(0/0,""), VLOOKUP(C564,preDEL!A$2:AG786,33,FALSE))</f>
        <v/>
      </c>
      <c r="E564" s="252"/>
      <c r="F564" s="210"/>
      <c r="G564" s="252"/>
      <c r="H564" s="255" t="str">
        <f t="shared" si="1"/>
        <v/>
      </c>
      <c r="I564" s="256" t="str">
        <f>CONCATENATE(UPPER(RAW_APS!$A565),"__",RAW_APS!$B565,"_",RAW_APS!$C565)</f>
        <v>MA1150__44579_0.350520833333333</v>
      </c>
      <c r="J564" s="257" t="str">
        <f t="shared" si="2"/>
        <v/>
      </c>
      <c r="K564" s="252" t="s">
        <v>1700</v>
      </c>
      <c r="L564" s="258" t="str">
        <f t="shared" si="3"/>
        <v>MA362</v>
      </c>
      <c r="M564" s="259" t="b">
        <f t="shared" si="4"/>
        <v>0</v>
      </c>
      <c r="N564" s="258" t="str">
        <f t="shared" si="5"/>
        <v/>
      </c>
      <c r="O564" s="5"/>
      <c r="P564" s="5"/>
      <c r="Q564" s="5"/>
      <c r="R564" s="5"/>
      <c r="S564" s="5"/>
      <c r="T564" s="5"/>
      <c r="U564" s="5"/>
      <c r="V564" s="5"/>
      <c r="W564" s="5"/>
    </row>
    <row r="565">
      <c r="A565" s="112" t="str">
        <f>IF(OR(ISBLANK(RAW_APS!A565),ISBLANK(RAW_APS!B565),ISBLANK(RAW_APS!C565)),TRUE,IFERROR(0/0,""))</f>
        <v/>
      </c>
      <c r="B565" s="252"/>
      <c r="C565" s="112" t="str">
        <f>IF(ISBLANK(B565),IFERROR(0/0,""),RAW_APS!A565)</f>
        <v/>
      </c>
      <c r="D565" s="112" t="str">
        <f>IF(ISBLANK(C565),IFERROR(0/0,""), VLOOKUP(C565,preDEL!A$2:AG786,33,FALSE))</f>
        <v/>
      </c>
      <c r="E565" s="252"/>
      <c r="F565" s="210"/>
      <c r="G565" s="252"/>
      <c r="H565" s="255" t="str">
        <f t="shared" si="1"/>
        <v/>
      </c>
      <c r="I565" s="256" t="str">
        <f>CONCATENATE(UPPER(RAW_APS!$A566),"__",RAW_APS!$B566,"_",RAW_APS!$C566)</f>
        <v>MA1184__44579_0.348773148148148</v>
      </c>
      <c r="J565" s="257" t="str">
        <f t="shared" si="2"/>
        <v/>
      </c>
      <c r="K565" s="252" t="s">
        <v>1702</v>
      </c>
      <c r="L565" s="258" t="str">
        <f t="shared" si="3"/>
        <v>MA363</v>
      </c>
      <c r="M565" s="259" t="b">
        <f t="shared" si="4"/>
        <v>0</v>
      </c>
      <c r="N565" s="258" t="str">
        <f t="shared" si="5"/>
        <v/>
      </c>
      <c r="O565" s="5"/>
      <c r="P565" s="5"/>
      <c r="Q565" s="5"/>
      <c r="R565" s="5"/>
      <c r="S565" s="5"/>
      <c r="T565" s="5"/>
      <c r="U565" s="5"/>
      <c r="V565" s="5"/>
      <c r="W565" s="5"/>
    </row>
    <row r="566">
      <c r="A566" s="112" t="str">
        <f>IF(OR(ISBLANK(RAW_APS!A566),ISBLANK(RAW_APS!B566),ISBLANK(RAW_APS!C566)),TRUE,IFERROR(0/0,""))</f>
        <v/>
      </c>
      <c r="B566" s="252"/>
      <c r="C566" s="112" t="str">
        <f>IF(ISBLANK(B566),IFERROR(0/0,""),RAW_APS!A566)</f>
        <v/>
      </c>
      <c r="D566" s="112" t="str">
        <f>IF(ISBLANK(C566),IFERROR(0/0,""), VLOOKUP(C566,preDEL!A$2:AG786,33,FALSE))</f>
        <v/>
      </c>
      <c r="E566" s="252"/>
      <c r="F566" s="210"/>
      <c r="G566" s="252"/>
      <c r="H566" s="255" t="str">
        <f t="shared" si="1"/>
        <v/>
      </c>
      <c r="I566" s="256" t="str">
        <f>CONCATENATE(UPPER(RAW_APS!$A567),"__",RAW_APS!$B567,"_",RAW_APS!$C567)</f>
        <v>MA262__44579_0.348206018518519</v>
      </c>
      <c r="J566" s="257" t="str">
        <f t="shared" si="2"/>
        <v/>
      </c>
      <c r="K566" s="252" t="s">
        <v>1704</v>
      </c>
      <c r="L566" s="258" t="str">
        <f t="shared" si="3"/>
        <v>MA364</v>
      </c>
      <c r="M566" s="259" t="b">
        <f t="shared" si="4"/>
        <v>0</v>
      </c>
      <c r="N566" s="258" t="str">
        <f t="shared" si="5"/>
        <v/>
      </c>
      <c r="O566" s="5"/>
      <c r="P566" s="5"/>
      <c r="Q566" s="5"/>
      <c r="R566" s="5"/>
      <c r="S566" s="5"/>
      <c r="T566" s="5"/>
      <c r="U566" s="5"/>
      <c r="V566" s="5"/>
      <c r="W566" s="5"/>
    </row>
    <row r="567">
      <c r="A567" s="112" t="str">
        <f>IF(OR(ISBLANK(RAW_APS!A567),ISBLANK(RAW_APS!B567),ISBLANK(RAW_APS!C567)),TRUE,IFERROR(0/0,""))</f>
        <v/>
      </c>
      <c r="B567" s="252"/>
      <c r="C567" s="112" t="str">
        <f>IF(ISBLANK(B567),IFERROR(0/0,""),RAW_APS!A567)</f>
        <v/>
      </c>
      <c r="D567" s="112" t="str">
        <f>IF(ISBLANK(C567),IFERROR(0/0,""), VLOOKUP(C567,preDEL!A$2:AG786,33,FALSE))</f>
        <v/>
      </c>
      <c r="E567" s="252"/>
      <c r="F567" s="210"/>
      <c r="G567" s="252"/>
      <c r="H567" s="255" t="str">
        <f t="shared" si="1"/>
        <v/>
      </c>
      <c r="I567" s="256" t="str">
        <f>CONCATENATE(UPPER(RAW_APS!$A568),"__",RAW_APS!$B568,"_",RAW_APS!$C568)</f>
        <v>MA1165__44579_0.346296296296296</v>
      </c>
      <c r="J567" s="257" t="str">
        <f t="shared" si="2"/>
        <v/>
      </c>
      <c r="K567" s="252" t="s">
        <v>1706</v>
      </c>
      <c r="L567" s="258" t="str">
        <f t="shared" si="3"/>
        <v>MA366</v>
      </c>
      <c r="M567" s="259" t="b">
        <f t="shared" si="4"/>
        <v>0</v>
      </c>
      <c r="N567" s="258" t="str">
        <f t="shared" si="5"/>
        <v/>
      </c>
      <c r="O567" s="5"/>
      <c r="P567" s="5"/>
      <c r="Q567" s="5"/>
      <c r="R567" s="5"/>
      <c r="S567" s="5"/>
      <c r="T567" s="5"/>
      <c r="U567" s="5"/>
      <c r="V567" s="5"/>
      <c r="W567" s="5"/>
    </row>
    <row r="568">
      <c r="A568" s="112" t="str">
        <f>IF(OR(ISBLANK(RAW_APS!A568),ISBLANK(RAW_APS!B568),ISBLANK(RAW_APS!C568)),TRUE,IFERROR(0/0,""))</f>
        <v/>
      </c>
      <c r="B568" s="252"/>
      <c r="C568" s="112" t="str">
        <f>IF(ISBLANK(B568),IFERROR(0/0,""),RAW_APS!A568)</f>
        <v/>
      </c>
      <c r="D568" s="112" t="str">
        <f>IF(ISBLANK(C568),IFERROR(0/0,""), VLOOKUP(C568,preDEL!A$2:AG786,33,FALSE))</f>
        <v/>
      </c>
      <c r="E568" s="252"/>
      <c r="F568" s="210"/>
      <c r="G568" s="252"/>
      <c r="H568" s="255" t="str">
        <f t="shared" si="1"/>
        <v/>
      </c>
      <c r="I568" s="256" t="str">
        <f>CONCATENATE(UPPER(RAW_APS!$A569),"__",RAW_APS!$B569,"_",RAW_APS!$C569)</f>
        <v>MA386__44579_0.341388888888889</v>
      </c>
      <c r="J568" s="257" t="str">
        <f t="shared" si="2"/>
        <v/>
      </c>
      <c r="K568" s="252" t="s">
        <v>1708</v>
      </c>
      <c r="L568" s="258" t="str">
        <f t="shared" si="3"/>
        <v>MA368</v>
      </c>
      <c r="M568" s="259" t="b">
        <f t="shared" si="4"/>
        <v>0</v>
      </c>
      <c r="N568" s="258" t="str">
        <f t="shared" si="5"/>
        <v/>
      </c>
      <c r="O568" s="5"/>
      <c r="P568" s="5"/>
      <c r="Q568" s="5"/>
      <c r="R568" s="5"/>
      <c r="S568" s="5"/>
      <c r="T568" s="5"/>
      <c r="U568" s="5"/>
      <c r="V568" s="5"/>
      <c r="W568" s="5"/>
    </row>
    <row r="569">
      <c r="A569" s="112" t="str">
        <f>IF(OR(ISBLANK(RAW_APS!A569),ISBLANK(RAW_APS!B569),ISBLANK(RAW_APS!C569)),TRUE,IFERROR(0/0,""))</f>
        <v/>
      </c>
      <c r="B569" s="252"/>
      <c r="C569" s="112" t="str">
        <f>IF(ISBLANK(B569),IFERROR(0/0,""),RAW_APS!A569)</f>
        <v/>
      </c>
      <c r="D569" s="112" t="str">
        <f>IF(ISBLANK(C569),IFERROR(0/0,""), VLOOKUP(C569,preDEL!A$2:AG786,33,FALSE))</f>
        <v/>
      </c>
      <c r="E569" s="252"/>
      <c r="F569" s="210"/>
      <c r="G569" s="252"/>
      <c r="H569" s="255" t="str">
        <f t="shared" si="1"/>
        <v/>
      </c>
      <c r="I569" s="256" t="str">
        <f>CONCATENATE(UPPER(RAW_APS!$A570),"__",RAW_APS!$B570,"_",RAW_APS!$C570)</f>
        <v>MA1124__44579_0.340428240740741</v>
      </c>
      <c r="J569" s="257" t="str">
        <f t="shared" si="2"/>
        <v/>
      </c>
      <c r="K569" s="252" t="s">
        <v>1710</v>
      </c>
      <c r="L569" s="258" t="str">
        <f t="shared" si="3"/>
        <v>MA370</v>
      </c>
      <c r="M569" s="259" t="b">
        <f t="shared" si="4"/>
        <v>0</v>
      </c>
      <c r="N569" s="258" t="str">
        <f t="shared" si="5"/>
        <v/>
      </c>
      <c r="O569" s="5"/>
      <c r="P569" s="5"/>
      <c r="Q569" s="5"/>
      <c r="R569" s="5"/>
      <c r="S569" s="5"/>
      <c r="T569" s="5"/>
      <c r="U569" s="5"/>
      <c r="V569" s="5"/>
      <c r="W569" s="5"/>
    </row>
    <row r="570">
      <c r="A570" s="112" t="str">
        <f>IF(OR(ISBLANK(RAW_APS!A570),ISBLANK(RAW_APS!B570),ISBLANK(RAW_APS!C570)),TRUE,IFERROR(0/0,""))</f>
        <v/>
      </c>
      <c r="B570" s="252"/>
      <c r="C570" s="112" t="str">
        <f>IF(ISBLANK(B570),IFERROR(0/0,""),RAW_APS!A570)</f>
        <v/>
      </c>
      <c r="D570" s="112" t="str">
        <f>IF(ISBLANK(C570),IFERROR(0/0,""), VLOOKUP(C570,preDEL!A$2:AG786,33,FALSE))</f>
        <v/>
      </c>
      <c r="E570" s="252"/>
      <c r="F570" s="210"/>
      <c r="G570" s="252"/>
      <c r="H570" s="255" t="str">
        <f t="shared" si="1"/>
        <v/>
      </c>
      <c r="I570" s="256" t="str">
        <f>CONCATENATE(UPPER(RAW_APS!$A571),"__",RAW_APS!$B571,"_",RAW_APS!$C571)</f>
        <v>MA656__44579_0.332546296296296</v>
      </c>
      <c r="J570" s="257" t="str">
        <f t="shared" si="2"/>
        <v/>
      </c>
      <c r="K570" s="252" t="s">
        <v>1712</v>
      </c>
      <c r="L570" s="258" t="str">
        <f t="shared" si="3"/>
        <v>MA371</v>
      </c>
      <c r="M570" s="259" t="b">
        <f t="shared" si="4"/>
        <v>0</v>
      </c>
      <c r="N570" s="258" t="str">
        <f t="shared" si="5"/>
        <v/>
      </c>
      <c r="O570" s="5"/>
      <c r="P570" s="5"/>
      <c r="Q570" s="5"/>
      <c r="R570" s="5"/>
      <c r="S570" s="5"/>
      <c r="T570" s="5"/>
      <c r="U570" s="5"/>
      <c r="V570" s="5"/>
      <c r="W570" s="5"/>
    </row>
    <row r="571">
      <c r="A571" s="112" t="str">
        <f>IF(OR(ISBLANK(RAW_APS!A571),ISBLANK(RAW_APS!B571),ISBLANK(RAW_APS!C571)),TRUE,IFERROR(0/0,""))</f>
        <v/>
      </c>
      <c r="B571" s="252"/>
      <c r="C571" s="112" t="str">
        <f>IF(ISBLANK(B571),IFERROR(0/0,""),RAW_APS!A571)</f>
        <v/>
      </c>
      <c r="D571" s="112" t="str">
        <f>IF(ISBLANK(C571),IFERROR(0/0,""), VLOOKUP(C571,preDEL!A$2:AG786,33,FALSE))</f>
        <v/>
      </c>
      <c r="E571" s="252"/>
      <c r="F571" s="210"/>
      <c r="G571" s="252"/>
      <c r="H571" s="255" t="str">
        <f t="shared" si="1"/>
        <v/>
      </c>
      <c r="I571" s="256" t="str">
        <f>CONCATENATE(UPPER(RAW_APS!$A572),"__",RAW_APS!$B572,"_",RAW_APS!$C572)</f>
        <v>MA650__44579_0.332488425925926</v>
      </c>
      <c r="J571" s="257" t="str">
        <f t="shared" si="2"/>
        <v/>
      </c>
      <c r="K571" s="252" t="s">
        <v>1714</v>
      </c>
      <c r="L571" s="258" t="str">
        <f t="shared" si="3"/>
        <v>MA372</v>
      </c>
      <c r="M571" s="259" t="b">
        <f t="shared" si="4"/>
        <v>0</v>
      </c>
      <c r="N571" s="258" t="str">
        <f t="shared" si="5"/>
        <v/>
      </c>
      <c r="O571" s="5"/>
      <c r="P571" s="5"/>
      <c r="Q571" s="5"/>
      <c r="R571" s="5"/>
      <c r="S571" s="5"/>
      <c r="T571" s="5"/>
      <c r="U571" s="5"/>
      <c r="V571" s="5"/>
      <c r="W571" s="5"/>
    </row>
    <row r="572">
      <c r="A572" s="112" t="str">
        <f>IF(OR(ISBLANK(RAW_APS!A572),ISBLANK(RAW_APS!B572),ISBLANK(RAW_APS!C572)),TRUE,IFERROR(0/0,""))</f>
        <v/>
      </c>
      <c r="B572" s="252"/>
      <c r="C572" s="112" t="str">
        <f>IF(ISBLANK(B572),IFERROR(0/0,""),RAW_APS!A572)</f>
        <v/>
      </c>
      <c r="D572" s="112" t="str">
        <f>IF(ISBLANK(C572),IFERROR(0/0,""), VLOOKUP(C572,preDEL!A$2:AG786,33,FALSE))</f>
        <v/>
      </c>
      <c r="E572" s="252"/>
      <c r="F572" s="210"/>
      <c r="G572" s="252"/>
      <c r="H572" s="255" t="str">
        <f t="shared" si="1"/>
        <v/>
      </c>
      <c r="I572" s="256" t="str">
        <f>CONCATENATE(UPPER(RAW_APS!$A573),"__",RAW_APS!$B573,"_",RAW_APS!$C573)</f>
        <v>MA652__44579_0.33212962962963</v>
      </c>
      <c r="J572" s="257" t="str">
        <f t="shared" si="2"/>
        <v/>
      </c>
      <c r="K572" s="252" t="s">
        <v>1716</v>
      </c>
      <c r="L572" s="258" t="str">
        <f t="shared" si="3"/>
        <v>MA375</v>
      </c>
      <c r="M572" s="259" t="b">
        <f t="shared" si="4"/>
        <v>0</v>
      </c>
      <c r="N572" s="258" t="str">
        <f t="shared" si="5"/>
        <v/>
      </c>
      <c r="O572" s="5"/>
      <c r="P572" s="5"/>
      <c r="Q572" s="5"/>
      <c r="R572" s="5"/>
      <c r="S572" s="5"/>
      <c r="T572" s="5"/>
      <c r="U572" s="5"/>
      <c r="V572" s="5"/>
      <c r="W572" s="5"/>
    </row>
    <row r="573">
      <c r="A573" s="112" t="str">
        <f>IF(OR(ISBLANK(RAW_APS!A573),ISBLANK(RAW_APS!B573),ISBLANK(RAW_APS!C573)),TRUE,IFERROR(0/0,""))</f>
        <v/>
      </c>
      <c r="B573" s="252"/>
      <c r="C573" s="112" t="str">
        <f>IF(ISBLANK(B573),IFERROR(0/0,""),RAW_APS!A573)</f>
        <v/>
      </c>
      <c r="D573" s="112" t="str">
        <f>IF(ISBLANK(C573),IFERROR(0/0,""), VLOOKUP(C573,preDEL!A$2:AG786,33,FALSE))</f>
        <v/>
      </c>
      <c r="E573" s="252"/>
      <c r="F573" s="210"/>
      <c r="G573" s="252"/>
      <c r="H573" s="255" t="str">
        <f t="shared" si="1"/>
        <v/>
      </c>
      <c r="I573" s="256" t="str">
        <f>CONCATENATE(UPPER(RAW_APS!$A574),"__",RAW_APS!$B574,"_",RAW_APS!$C574)</f>
        <v>MA629__44579_0.332025462962963</v>
      </c>
      <c r="J573" s="257" t="str">
        <f t="shared" si="2"/>
        <v/>
      </c>
      <c r="K573" s="252" t="s">
        <v>1717</v>
      </c>
      <c r="L573" s="258" t="str">
        <f t="shared" si="3"/>
        <v>MA376</v>
      </c>
      <c r="M573" s="259" t="b">
        <f t="shared" si="4"/>
        <v>0</v>
      </c>
      <c r="N573" s="258" t="str">
        <f t="shared" si="5"/>
        <v/>
      </c>
      <c r="O573" s="5"/>
      <c r="P573" s="5"/>
      <c r="Q573" s="5"/>
      <c r="R573" s="5"/>
      <c r="S573" s="5"/>
      <c r="T573" s="5"/>
      <c r="U573" s="5"/>
      <c r="V573" s="5"/>
      <c r="W573" s="5"/>
    </row>
    <row r="574">
      <c r="A574" s="112" t="str">
        <f>IF(OR(ISBLANK(RAW_APS!A574),ISBLANK(RAW_APS!B574),ISBLANK(RAW_APS!C574)),TRUE,IFERROR(0/0,""))</f>
        <v/>
      </c>
      <c r="B574" s="252"/>
      <c r="C574" s="112" t="str">
        <f>IF(ISBLANK(B574),IFERROR(0/0,""),RAW_APS!A574)</f>
        <v/>
      </c>
      <c r="D574" s="112" t="str">
        <f>IF(ISBLANK(C574),IFERROR(0/0,""), VLOOKUP(C574,preDEL!A$2:AG786,33,FALSE))</f>
        <v/>
      </c>
      <c r="E574" s="252"/>
      <c r="F574" s="210"/>
      <c r="G574" s="252"/>
      <c r="H574" s="255" t="str">
        <f t="shared" si="1"/>
        <v/>
      </c>
      <c r="I574" s="256" t="str">
        <f>CONCATENATE(UPPER(RAW_APS!$A575),"__",RAW_APS!$B575,"_",RAW_APS!$C575)</f>
        <v>MA458__44579_0.331782407407407</v>
      </c>
      <c r="J574" s="257" t="str">
        <f t="shared" si="2"/>
        <v/>
      </c>
      <c r="K574" s="252" t="s">
        <v>1719</v>
      </c>
      <c r="L574" s="258" t="str">
        <f t="shared" si="3"/>
        <v>MA377</v>
      </c>
      <c r="M574" s="259" t="b">
        <f t="shared" si="4"/>
        <v>0</v>
      </c>
      <c r="N574" s="258" t="str">
        <f t="shared" si="5"/>
        <v/>
      </c>
      <c r="O574" s="5"/>
      <c r="P574" s="5"/>
      <c r="Q574" s="5"/>
      <c r="R574" s="5"/>
      <c r="S574" s="5"/>
      <c r="T574" s="5"/>
      <c r="U574" s="5"/>
      <c r="V574" s="5"/>
      <c r="W574" s="5"/>
    </row>
    <row r="575">
      <c r="A575" s="112" t="str">
        <f>IF(OR(ISBLANK(RAW_APS!A575),ISBLANK(RAW_APS!B575),ISBLANK(RAW_APS!C575)),TRUE,IFERROR(0/0,""))</f>
        <v/>
      </c>
      <c r="B575" s="252"/>
      <c r="C575" s="112" t="str">
        <f>IF(ISBLANK(B575),IFERROR(0/0,""),RAW_APS!A575)</f>
        <v/>
      </c>
      <c r="D575" s="112" t="str">
        <f>IF(ISBLANK(C575),IFERROR(0/0,""), VLOOKUP(C575,preDEL!A$2:AG786,33,FALSE))</f>
        <v/>
      </c>
      <c r="E575" s="252"/>
      <c r="F575" s="210"/>
      <c r="G575" s="252"/>
      <c r="H575" s="255" t="str">
        <f t="shared" si="1"/>
        <v/>
      </c>
      <c r="I575" s="256" t="str">
        <f>CONCATENATE(UPPER(RAW_APS!$A576),"__",RAW_APS!$B576,"_",RAW_APS!$C576)</f>
        <v>MA431__44579_0.331215277777778</v>
      </c>
      <c r="J575" s="257" t="str">
        <f t="shared" si="2"/>
        <v/>
      </c>
      <c r="K575" s="252" t="s">
        <v>1721</v>
      </c>
      <c r="L575" s="258" t="str">
        <f t="shared" si="3"/>
        <v>MA378</v>
      </c>
      <c r="M575" s="259" t="b">
        <f t="shared" si="4"/>
        <v>0</v>
      </c>
      <c r="N575" s="258" t="str">
        <f t="shared" si="5"/>
        <v/>
      </c>
      <c r="O575" s="5"/>
      <c r="P575" s="5"/>
      <c r="Q575" s="5"/>
      <c r="R575" s="5"/>
      <c r="S575" s="5"/>
      <c r="T575" s="5"/>
      <c r="U575" s="5"/>
      <c r="V575" s="5"/>
      <c r="W575" s="5"/>
    </row>
    <row r="576">
      <c r="A576" s="112" t="str">
        <f>IF(OR(ISBLANK(RAW_APS!A576),ISBLANK(RAW_APS!B576),ISBLANK(RAW_APS!C576)),TRUE,IFERROR(0/0,""))</f>
        <v/>
      </c>
      <c r="B576" s="252"/>
      <c r="C576" s="112" t="str">
        <f>IF(ISBLANK(B576),IFERROR(0/0,""),RAW_APS!A576)</f>
        <v/>
      </c>
      <c r="D576" s="112" t="str">
        <f>IF(ISBLANK(C576),IFERROR(0/0,""), VLOOKUP(C576,preDEL!A$2:AG786,33,FALSE))</f>
        <v/>
      </c>
      <c r="E576" s="252"/>
      <c r="F576" s="210"/>
      <c r="G576" s="252"/>
      <c r="H576" s="255" t="str">
        <f t="shared" si="1"/>
        <v/>
      </c>
      <c r="I576" s="256" t="str">
        <f>CONCATENATE(UPPER(RAW_APS!$A577),"__",RAW_APS!$B577,"_",RAW_APS!$C577)</f>
        <v>MA657__44579_0.331018518518519</v>
      </c>
      <c r="J576" s="257" t="str">
        <f t="shared" si="2"/>
        <v/>
      </c>
      <c r="K576" s="252" t="s">
        <v>1723</v>
      </c>
      <c r="L576" s="258" t="str">
        <f t="shared" si="3"/>
        <v>MA379</v>
      </c>
      <c r="M576" s="259" t="b">
        <f t="shared" si="4"/>
        <v>0</v>
      </c>
      <c r="N576" s="258" t="str">
        <f t="shared" si="5"/>
        <v/>
      </c>
      <c r="O576" s="5"/>
      <c r="P576" s="5"/>
      <c r="Q576" s="5"/>
      <c r="R576" s="5"/>
      <c r="S576" s="5"/>
      <c r="T576" s="5"/>
      <c r="U576" s="5"/>
      <c r="V576" s="5"/>
      <c r="W576" s="5"/>
    </row>
    <row r="577">
      <c r="A577" s="112" t="str">
        <f>IF(OR(ISBLANK(RAW_APS!A577),ISBLANK(RAW_APS!B577),ISBLANK(RAW_APS!C577)),TRUE,IFERROR(0/0,""))</f>
        <v/>
      </c>
      <c r="B577" s="252"/>
      <c r="C577" s="112" t="str">
        <f>IF(ISBLANK(B577),IFERROR(0/0,""),RAW_APS!A577)</f>
        <v/>
      </c>
      <c r="D577" s="112" t="str">
        <f>IF(ISBLANK(C577),IFERROR(0/0,""), VLOOKUP(C577,preDEL!A$2:AG786,33,FALSE))</f>
        <v/>
      </c>
      <c r="E577" s="252"/>
      <c r="F577" s="210"/>
      <c r="G577" s="252"/>
      <c r="H577" s="255" t="str">
        <f t="shared" si="1"/>
        <v/>
      </c>
      <c r="I577" s="256" t="str">
        <f>CONCATENATE(UPPER(RAW_APS!$A578),"__",RAW_APS!$B578,"_",RAW_APS!$C578)</f>
        <v>MAX68__44579_0.330914351851852</v>
      </c>
      <c r="J577" s="257" t="str">
        <f t="shared" si="2"/>
        <v/>
      </c>
      <c r="K577" s="252" t="s">
        <v>1725</v>
      </c>
      <c r="L577" s="258" t="str">
        <f t="shared" si="3"/>
        <v>MA380</v>
      </c>
      <c r="M577" s="259" t="b">
        <f t="shared" si="4"/>
        <v>0</v>
      </c>
      <c r="N577" s="258" t="str">
        <f t="shared" si="5"/>
        <v/>
      </c>
      <c r="O577" s="5"/>
      <c r="P577" s="5"/>
      <c r="Q577" s="5"/>
      <c r="R577" s="5"/>
      <c r="S577" s="5"/>
      <c r="T577" s="5"/>
      <c r="U577" s="5"/>
      <c r="V577" s="5"/>
      <c r="W577" s="5"/>
    </row>
    <row r="578">
      <c r="A578" s="112" t="str">
        <f>IF(OR(ISBLANK(RAW_APS!A578),ISBLANK(RAW_APS!B578),ISBLANK(RAW_APS!C578)),TRUE,IFERROR(0/0,""))</f>
        <v/>
      </c>
      <c r="B578" s="252"/>
      <c r="C578" s="112" t="str">
        <f>IF(ISBLANK(B578),IFERROR(0/0,""),RAW_APS!A578)</f>
        <v/>
      </c>
      <c r="D578" s="112" t="str">
        <f>IF(ISBLANK(C578),IFERROR(0/0,""), VLOOKUP(C578,preDEL!A$2:AG786,33,FALSE))</f>
        <v/>
      </c>
      <c r="E578" s="252"/>
      <c r="F578" s="210"/>
      <c r="G578" s="252"/>
      <c r="H578" s="255" t="str">
        <f t="shared" si="1"/>
        <v/>
      </c>
      <c r="I578" s="256" t="str">
        <f>CONCATENATE(UPPER(RAW_APS!$A579),"__",RAW_APS!$B579,"_",RAW_APS!$C579)</f>
        <v>MA302__44579_0.329143518518519</v>
      </c>
      <c r="J578" s="257" t="str">
        <f t="shared" si="2"/>
        <v/>
      </c>
      <c r="K578" s="252" t="s">
        <v>1727</v>
      </c>
      <c r="L578" s="258" t="str">
        <f t="shared" si="3"/>
        <v>MA383</v>
      </c>
      <c r="M578" s="259" t="b">
        <f t="shared" si="4"/>
        <v>0</v>
      </c>
      <c r="N578" s="258" t="str">
        <f t="shared" si="5"/>
        <v/>
      </c>
      <c r="O578" s="5"/>
      <c r="P578" s="5"/>
      <c r="Q578" s="5"/>
      <c r="R578" s="5"/>
      <c r="S578" s="5"/>
      <c r="T578" s="5"/>
      <c r="U578" s="5"/>
      <c r="V578" s="5"/>
      <c r="W578" s="5"/>
    </row>
    <row r="579">
      <c r="A579" s="112" t="str">
        <f>IF(OR(ISBLANK(RAW_APS!A579),ISBLANK(RAW_APS!B579),ISBLANK(RAW_APS!C579)),TRUE,IFERROR(0/0,""))</f>
        <v/>
      </c>
      <c r="B579" s="252"/>
      <c r="C579" s="112" t="str">
        <f>IF(ISBLANK(B579),IFERROR(0/0,""),RAW_APS!A579)</f>
        <v/>
      </c>
      <c r="D579" s="112" t="str">
        <f>IF(ISBLANK(C579),IFERROR(0/0,""), VLOOKUP(C579,preDEL!A$2:AG786,33,FALSE))</f>
        <v/>
      </c>
      <c r="E579" s="252"/>
      <c r="F579" s="210"/>
      <c r="G579" s="252"/>
      <c r="H579" s="255" t="str">
        <f t="shared" si="1"/>
        <v/>
      </c>
      <c r="I579" s="256" t="str">
        <f>CONCATENATE(UPPER(RAW_APS!$A580),"__",RAW_APS!$B580,"_",RAW_APS!$C580)</f>
        <v>MA295__44579_0.327893518518519</v>
      </c>
      <c r="J579" s="257" t="str">
        <f t="shared" si="2"/>
        <v/>
      </c>
      <c r="K579" s="252" t="s">
        <v>1729</v>
      </c>
      <c r="L579" s="258" t="str">
        <f t="shared" si="3"/>
        <v>MA384</v>
      </c>
      <c r="M579" s="259" t="b">
        <f t="shared" si="4"/>
        <v>0</v>
      </c>
      <c r="N579" s="258" t="str">
        <f t="shared" si="5"/>
        <v/>
      </c>
      <c r="O579" s="5"/>
      <c r="P579" s="5"/>
      <c r="Q579" s="5"/>
      <c r="R579" s="5"/>
      <c r="S579" s="5"/>
      <c r="T579" s="5"/>
      <c r="U579" s="5"/>
      <c r="V579" s="5"/>
      <c r="W579" s="5"/>
    </row>
    <row r="580">
      <c r="A580" s="112" t="str">
        <f>IF(OR(ISBLANK(RAW_APS!A580),ISBLANK(RAW_APS!B580),ISBLANK(RAW_APS!C580)),TRUE,IFERROR(0/0,""))</f>
        <v/>
      </c>
      <c r="B580" s="252"/>
      <c r="C580" s="112" t="str">
        <f>IF(ISBLANK(B580),IFERROR(0/0,""),RAW_APS!A580)</f>
        <v/>
      </c>
      <c r="D580" s="112" t="str">
        <f>IF(ISBLANK(C580),IFERROR(0/0,""), VLOOKUP(C580,preDEL!A$2:AG786,33,FALSE))</f>
        <v/>
      </c>
      <c r="E580" s="252"/>
      <c r="F580" s="210"/>
      <c r="G580" s="252"/>
      <c r="H580" s="255" t="str">
        <f t="shared" si="1"/>
        <v/>
      </c>
      <c r="I580" s="256" t="str">
        <f>CONCATENATE(UPPER(RAW_APS!$A581),"__",RAW_APS!$B581,"_",RAW_APS!$C581)</f>
        <v>MA627__44579_0.323310185185185</v>
      </c>
      <c r="J580" s="257" t="str">
        <f t="shared" si="2"/>
        <v/>
      </c>
      <c r="K580" s="252" t="s">
        <v>1731</v>
      </c>
      <c r="L580" s="258" t="str">
        <f t="shared" si="3"/>
        <v>MA386</v>
      </c>
      <c r="M580" s="259" t="b">
        <f t="shared" si="4"/>
        <v>0</v>
      </c>
      <c r="N580" s="258" t="str">
        <f t="shared" si="5"/>
        <v/>
      </c>
      <c r="O580" s="5"/>
      <c r="P580" s="5"/>
      <c r="Q580" s="5"/>
      <c r="R580" s="5"/>
      <c r="S580" s="5"/>
      <c r="T580" s="5"/>
      <c r="U580" s="5"/>
      <c r="V580" s="5"/>
      <c r="W580" s="5"/>
    </row>
    <row r="581">
      <c r="A581" s="112" t="str">
        <f>IF(OR(ISBLANK(RAW_APS!A581),ISBLANK(RAW_APS!B581),ISBLANK(RAW_APS!C581)),TRUE,IFERROR(0/0,""))</f>
        <v/>
      </c>
      <c r="B581" s="252"/>
      <c r="C581" s="112" t="str">
        <f>IF(ISBLANK(B581),IFERROR(0/0,""),RAW_APS!A581)</f>
        <v/>
      </c>
      <c r="D581" s="112" t="str">
        <f>IF(ISBLANK(C581),IFERROR(0/0,""), VLOOKUP(C581,preDEL!A$2:AG786,33,FALSE))</f>
        <v/>
      </c>
      <c r="E581" s="252"/>
      <c r="F581" s="210"/>
      <c r="G581" s="252"/>
      <c r="H581" s="255" t="str">
        <f t="shared" si="1"/>
        <v/>
      </c>
      <c r="I581" s="256" t="str">
        <f>CONCATENATE(UPPER(RAW_APS!$A582),"__",RAW_APS!$B582,"_",RAW_APS!$C582)</f>
        <v>MA655__44579_0.322511574074074</v>
      </c>
      <c r="J581" s="257" t="str">
        <f t="shared" si="2"/>
        <v/>
      </c>
      <c r="K581" s="252" t="s">
        <v>1733</v>
      </c>
      <c r="L581" s="258" t="str">
        <f t="shared" si="3"/>
        <v>MA390</v>
      </c>
      <c r="M581" s="259" t="b">
        <f t="shared" si="4"/>
        <v>0</v>
      </c>
      <c r="N581" s="258" t="str">
        <f t="shared" si="5"/>
        <v/>
      </c>
      <c r="O581" s="5"/>
      <c r="P581" s="5"/>
      <c r="Q581" s="5"/>
      <c r="R581" s="5"/>
      <c r="S581" s="5"/>
      <c r="T581" s="5"/>
      <c r="U581" s="5"/>
      <c r="V581" s="5"/>
      <c r="W581" s="5"/>
    </row>
    <row r="582">
      <c r="A582" s="112" t="str">
        <f>IF(OR(ISBLANK(RAW_APS!A582),ISBLANK(RAW_APS!B582),ISBLANK(RAW_APS!C582)),TRUE,IFERROR(0/0,""))</f>
        <v/>
      </c>
      <c r="B582" s="252"/>
      <c r="C582" s="112" t="str">
        <f>IF(ISBLANK(B582),IFERROR(0/0,""),RAW_APS!A582)</f>
        <v/>
      </c>
      <c r="D582" s="112" t="str">
        <f>IF(ISBLANK(C582),IFERROR(0/0,""), VLOOKUP(C582,preDEL!A$2:AG786,33,FALSE))</f>
        <v/>
      </c>
      <c r="E582" s="252"/>
      <c r="F582" s="210"/>
      <c r="G582" s="252"/>
      <c r="H582" s="255" t="str">
        <f t="shared" si="1"/>
        <v/>
      </c>
      <c r="I582" s="256" t="str">
        <f>CONCATENATE(UPPER(RAW_APS!$A583),"__",RAW_APS!$B583,"_",RAW_APS!$C583)</f>
        <v>MA645__44579_0.323217592592593</v>
      </c>
      <c r="J582" s="257" t="str">
        <f t="shared" si="2"/>
        <v/>
      </c>
      <c r="K582" s="252" t="s">
        <v>1735</v>
      </c>
      <c r="L582" s="258" t="str">
        <f t="shared" si="3"/>
        <v>MA391</v>
      </c>
      <c r="M582" s="259" t="b">
        <f t="shared" si="4"/>
        <v>0</v>
      </c>
      <c r="N582" s="258" t="str">
        <f t="shared" si="5"/>
        <v/>
      </c>
      <c r="O582" s="5"/>
      <c r="P582" s="5"/>
      <c r="Q582" s="5"/>
      <c r="R582" s="5"/>
      <c r="S582" s="5"/>
      <c r="T582" s="5"/>
      <c r="U582" s="5"/>
      <c r="V582" s="5"/>
      <c r="W582" s="5"/>
    </row>
    <row r="583">
      <c r="A583" s="112" t="str">
        <f>IF(OR(ISBLANK(RAW_APS!A583),ISBLANK(RAW_APS!B583),ISBLANK(RAW_APS!C583)),TRUE,IFERROR(0/0,""))</f>
        <v/>
      </c>
      <c r="B583" s="252"/>
      <c r="C583" s="112" t="str">
        <f>IF(ISBLANK(B583),IFERROR(0/0,""),RAW_APS!A583)</f>
        <v/>
      </c>
      <c r="D583" s="112" t="str">
        <f>IF(ISBLANK(C583),IFERROR(0/0,""), VLOOKUP(C583,preDEL!A$2:AG786,33,FALSE))</f>
        <v/>
      </c>
      <c r="E583" s="252"/>
      <c r="F583" s="210"/>
      <c r="G583" s="252"/>
      <c r="H583" s="255" t="str">
        <f t="shared" si="1"/>
        <v/>
      </c>
      <c r="I583" s="256" t="str">
        <f>CONCATENATE(UPPER(RAW_APS!$A584),"__",RAW_APS!$B584,"_",RAW_APS!$C584)</f>
        <v>MA1145__44579_0.320532407407407</v>
      </c>
      <c r="J583" s="257" t="str">
        <f t="shared" si="2"/>
        <v/>
      </c>
      <c r="K583" s="252" t="s">
        <v>1737</v>
      </c>
      <c r="L583" s="258" t="str">
        <f t="shared" si="3"/>
        <v>MA394</v>
      </c>
      <c r="M583" s="259" t="b">
        <f t="shared" si="4"/>
        <v>0</v>
      </c>
      <c r="N583" s="258" t="str">
        <f t="shared" si="5"/>
        <v/>
      </c>
      <c r="O583" s="5"/>
      <c r="P583" s="5"/>
      <c r="Q583" s="5"/>
      <c r="R583" s="5"/>
      <c r="S583" s="5"/>
      <c r="T583" s="5"/>
      <c r="U583" s="5"/>
      <c r="V583" s="5"/>
      <c r="W583" s="5"/>
    </row>
    <row r="584">
      <c r="A584" s="112" t="str">
        <f>IF(OR(ISBLANK(RAW_APS!A584),ISBLANK(RAW_APS!B584),ISBLANK(RAW_APS!C584)),TRUE,IFERROR(0/0,""))</f>
        <v/>
      </c>
      <c r="B584" s="252"/>
      <c r="C584" s="112" t="str">
        <f>IF(ISBLANK(B584),IFERROR(0/0,""),RAW_APS!A584)</f>
        <v/>
      </c>
      <c r="D584" s="112" t="str">
        <f>IF(ISBLANK(C584),IFERROR(0/0,""), VLOOKUP(C584,preDEL!A$2:AG786,33,FALSE))</f>
        <v/>
      </c>
      <c r="E584" s="252"/>
      <c r="F584" s="210"/>
      <c r="G584" s="252"/>
      <c r="H584" s="255" t="str">
        <f t="shared" si="1"/>
        <v/>
      </c>
      <c r="I584" s="256" t="str">
        <f>CONCATENATE(UPPER(RAW_APS!$A585),"__",RAW_APS!$B585,"_",RAW_APS!$C585)</f>
        <v>MA1100__44579_0.316203703703704</v>
      </c>
      <c r="J584" s="257" t="str">
        <f t="shared" si="2"/>
        <v/>
      </c>
      <c r="K584" s="252" t="s">
        <v>1739</v>
      </c>
      <c r="L584" s="258" t="str">
        <f t="shared" si="3"/>
        <v>MA395</v>
      </c>
      <c r="M584" s="259" t="b">
        <f t="shared" si="4"/>
        <v>0</v>
      </c>
      <c r="N584" s="258" t="str">
        <f t="shared" si="5"/>
        <v/>
      </c>
      <c r="O584" s="5"/>
      <c r="P584" s="5"/>
      <c r="Q584" s="5"/>
      <c r="R584" s="5"/>
      <c r="S584" s="5"/>
      <c r="T584" s="5"/>
      <c r="U584" s="5"/>
      <c r="V584" s="5"/>
      <c r="W584" s="5"/>
    </row>
    <row r="585">
      <c r="A585" s="112" t="str">
        <f>IF(OR(ISBLANK(RAW_APS!A585),ISBLANK(RAW_APS!B585),ISBLANK(RAW_APS!C585)),TRUE,IFERROR(0/0,""))</f>
        <v/>
      </c>
      <c r="B585" s="252"/>
      <c r="C585" s="112" t="str">
        <f>IF(ISBLANK(B585),IFERROR(0/0,""),RAW_APS!A585)</f>
        <v/>
      </c>
      <c r="D585" s="112" t="str">
        <f>IF(ISBLANK(C585),IFERROR(0/0,""), VLOOKUP(C585,preDEL!A$2:AG786,33,FALSE))</f>
        <v/>
      </c>
      <c r="E585" s="252"/>
      <c r="F585" s="210"/>
      <c r="G585" s="252"/>
      <c r="H585" s="255" t="str">
        <f t="shared" si="1"/>
        <v/>
      </c>
      <c r="I585" s="256" t="str">
        <f>CONCATENATE(UPPER(RAW_APS!$A586),"__",RAW_APS!$B586,"_",RAW_APS!$C586)</f>
        <v>MA1274__44579_0.311284722222222</v>
      </c>
      <c r="J585" s="257" t="str">
        <f t="shared" si="2"/>
        <v/>
      </c>
      <c r="K585" s="252" t="s">
        <v>1741</v>
      </c>
      <c r="L585" s="258" t="str">
        <f t="shared" si="3"/>
        <v>MA396</v>
      </c>
      <c r="M585" s="259" t="b">
        <f t="shared" si="4"/>
        <v>0</v>
      </c>
      <c r="N585" s="258" t="str">
        <f t="shared" si="5"/>
        <v/>
      </c>
      <c r="O585" s="5"/>
      <c r="P585" s="5"/>
      <c r="Q585" s="5"/>
      <c r="R585" s="5"/>
      <c r="S585" s="5"/>
      <c r="T585" s="5"/>
      <c r="U585" s="5"/>
      <c r="V585" s="5"/>
      <c r="W585" s="5"/>
    </row>
    <row r="586">
      <c r="A586" s="112" t="str">
        <f>IF(OR(ISBLANK(RAW_APS!A586),ISBLANK(RAW_APS!B586),ISBLANK(RAW_APS!C586)),TRUE,IFERROR(0/0,""))</f>
        <v/>
      </c>
      <c r="B586" s="252"/>
      <c r="C586" s="112" t="str">
        <f>IF(ISBLANK(B586),IFERROR(0/0,""),RAW_APS!A586)</f>
        <v/>
      </c>
      <c r="D586" s="112" t="str">
        <f>IF(ISBLANK(C586),IFERROR(0/0,""), VLOOKUP(C586,preDEL!A$2:AG786,33,FALSE))</f>
        <v/>
      </c>
      <c r="E586" s="252"/>
      <c r="F586" s="210"/>
      <c r="G586" s="252"/>
      <c r="H586" s="255" t="str">
        <f t="shared" si="1"/>
        <v/>
      </c>
      <c r="I586" s="256" t="str">
        <f>CONCATENATE(UPPER(RAW_APS!$A587),"__",RAW_APS!$B587,"_",RAW_APS!$C587)</f>
        <v>MA1109__44579_0.302268518518519</v>
      </c>
      <c r="J586" s="257" t="str">
        <f t="shared" si="2"/>
        <v/>
      </c>
      <c r="K586" s="252" t="s">
        <v>1744</v>
      </c>
      <c r="L586" s="258" t="str">
        <f t="shared" si="3"/>
        <v>MA397</v>
      </c>
      <c r="M586" s="259" t="b">
        <f t="shared" si="4"/>
        <v>0</v>
      </c>
      <c r="N586" s="258" t="str">
        <f t="shared" si="5"/>
        <v/>
      </c>
      <c r="O586" s="5"/>
      <c r="P586" s="5"/>
      <c r="Q586" s="5"/>
      <c r="R586" s="5"/>
      <c r="S586" s="5"/>
      <c r="T586" s="5"/>
      <c r="U586" s="5"/>
      <c r="V586" s="5"/>
      <c r="W586" s="5"/>
    </row>
    <row r="587">
      <c r="A587" s="112" t="str">
        <f>IF(OR(ISBLANK(RAW_APS!A587),ISBLANK(RAW_APS!B587),ISBLANK(RAW_APS!C587)),TRUE,IFERROR(0/0,""))</f>
        <v/>
      </c>
      <c r="B587" s="252"/>
      <c r="C587" s="112" t="str">
        <f>IF(ISBLANK(B587),IFERROR(0/0,""),RAW_APS!A587)</f>
        <v/>
      </c>
      <c r="D587" s="112" t="str">
        <f>IF(ISBLANK(C587),IFERROR(0/0,""), VLOOKUP(C587,preDEL!A$2:AG786,33,FALSE))</f>
        <v/>
      </c>
      <c r="E587" s="252"/>
      <c r="F587" s="210"/>
      <c r="G587" s="252"/>
      <c r="H587" s="255" t="str">
        <f t="shared" si="1"/>
        <v/>
      </c>
      <c r="I587" s="256" t="str">
        <f>CONCATENATE(UPPER(RAW_APS!$A588),"__",RAW_APS!$B588,"_",RAW_APS!$C588)</f>
        <v>MA638__44579_0.298483796296296</v>
      </c>
      <c r="J587" s="257" t="str">
        <f t="shared" si="2"/>
        <v/>
      </c>
      <c r="K587" s="252" t="s">
        <v>1747</v>
      </c>
      <c r="L587" s="258" t="str">
        <f t="shared" si="3"/>
        <v>MA398</v>
      </c>
      <c r="M587" s="259" t="b">
        <f t="shared" si="4"/>
        <v>0</v>
      </c>
      <c r="N587" s="258" t="str">
        <f t="shared" si="5"/>
        <v/>
      </c>
      <c r="O587" s="5"/>
      <c r="P587" s="5"/>
      <c r="Q587" s="5"/>
      <c r="R587" s="5"/>
      <c r="S587" s="5"/>
      <c r="T587" s="5"/>
      <c r="U587" s="5"/>
      <c r="V587" s="5"/>
      <c r="W587" s="5"/>
    </row>
    <row r="588">
      <c r="A588" s="112" t="str">
        <f>IF(OR(ISBLANK(RAW_APS!A588),ISBLANK(RAW_APS!B588),ISBLANK(RAW_APS!C588)),TRUE,IFERROR(0/0,""))</f>
        <v/>
      </c>
      <c r="B588" s="252"/>
      <c r="C588" s="112" t="str">
        <f>IF(ISBLANK(B588),IFERROR(0/0,""),RAW_APS!A588)</f>
        <v/>
      </c>
      <c r="D588" s="112" t="str">
        <f>IF(ISBLANK(C588),IFERROR(0/0,""), VLOOKUP(C588,preDEL!A$2:AG786,33,FALSE))</f>
        <v/>
      </c>
      <c r="E588" s="252"/>
      <c r="F588" s="210"/>
      <c r="G588" s="252"/>
      <c r="H588" s="255" t="str">
        <f t="shared" si="1"/>
        <v/>
      </c>
      <c r="I588" s="256" t="str">
        <f>CONCATENATE(UPPER(RAW_APS!$A589),"__",RAW_APS!$B589,"_",RAW_APS!$C589)</f>
        <v>MA355__44578_0.350520833333333</v>
      </c>
      <c r="J588" s="257" t="str">
        <f t="shared" si="2"/>
        <v/>
      </c>
      <c r="K588" s="252" t="s">
        <v>1753</v>
      </c>
      <c r="L588" s="258" t="str">
        <f t="shared" si="3"/>
        <v>MA403</v>
      </c>
      <c r="M588" s="259" t="b">
        <f t="shared" si="4"/>
        <v>0</v>
      </c>
      <c r="N588" s="258" t="str">
        <f t="shared" si="5"/>
        <v/>
      </c>
      <c r="O588" s="5"/>
      <c r="P588" s="5"/>
      <c r="Q588" s="5"/>
      <c r="R588" s="5"/>
      <c r="S588" s="5"/>
      <c r="T588" s="5"/>
      <c r="U588" s="5"/>
      <c r="V588" s="5"/>
      <c r="W588" s="5"/>
    </row>
    <row r="589">
      <c r="A589" s="112" t="str">
        <f>IF(OR(ISBLANK(RAW_APS!A589),ISBLANK(RAW_APS!B589),ISBLANK(RAW_APS!C589)),TRUE,IFERROR(0/0,""))</f>
        <v/>
      </c>
      <c r="B589" s="252"/>
      <c r="C589" s="112" t="str">
        <f>IF(ISBLANK(B589),IFERROR(0/0,""),RAW_APS!A589)</f>
        <v/>
      </c>
      <c r="D589" s="112" t="str">
        <f>IF(ISBLANK(C589),IFERROR(0/0,""), VLOOKUP(C589,preDEL!A$2:AG786,33,FALSE))</f>
        <v/>
      </c>
      <c r="E589" s="252"/>
      <c r="F589" s="210"/>
      <c r="G589" s="252"/>
      <c r="H589" s="255" t="str">
        <f t="shared" si="1"/>
        <v/>
      </c>
      <c r="I589" s="256" t="str">
        <f>CONCATENATE(UPPER(RAW_APS!$A590),"__",RAW_APS!$B590,"_",RAW_APS!$C590)</f>
        <v>MA477__44575_0.407395833333333</v>
      </c>
      <c r="J589" s="257" t="str">
        <f t="shared" si="2"/>
        <v/>
      </c>
      <c r="K589" s="252" t="s">
        <v>1755</v>
      </c>
      <c r="L589" s="258" t="str">
        <f t="shared" si="3"/>
        <v>MA404</v>
      </c>
      <c r="M589" s="259" t="b">
        <f t="shared" si="4"/>
        <v>0</v>
      </c>
      <c r="N589" s="258" t="str">
        <f t="shared" si="5"/>
        <v/>
      </c>
      <c r="O589" s="5"/>
      <c r="P589" s="5"/>
      <c r="Q589" s="5"/>
      <c r="R589" s="5"/>
      <c r="S589" s="5"/>
      <c r="T589" s="5"/>
      <c r="U589" s="5"/>
      <c r="V589" s="5"/>
      <c r="W589" s="5"/>
    </row>
    <row r="590">
      <c r="A590" s="112" t="str">
        <f>IF(OR(ISBLANK(RAW_APS!A590),ISBLANK(RAW_APS!B590),ISBLANK(RAW_APS!C590)),TRUE,IFERROR(0/0,""))</f>
        <v/>
      </c>
      <c r="B590" s="252"/>
      <c r="C590" s="112" t="str">
        <f>IF(ISBLANK(B590),IFERROR(0/0,""),RAW_APS!A590)</f>
        <v/>
      </c>
      <c r="D590" s="112" t="str">
        <f>IF(ISBLANK(C590),IFERROR(0/0,""), VLOOKUP(C590,preDEL!A$2:AG786,33,FALSE))</f>
        <v/>
      </c>
      <c r="E590" s="252"/>
      <c r="F590" s="210"/>
      <c r="G590" s="252"/>
      <c r="H590" s="255" t="str">
        <f t="shared" si="1"/>
        <v/>
      </c>
      <c r="I590" s="256" t="str">
        <f>CONCATENATE(UPPER(RAW_APS!$A591),"__",RAW_APS!$B591,"_",RAW_APS!$C591)</f>
        <v>MAX97__44575_0.389606481481482</v>
      </c>
      <c r="J590" s="257" t="str">
        <f t="shared" si="2"/>
        <v/>
      </c>
      <c r="K590" s="252" t="s">
        <v>1759</v>
      </c>
      <c r="L590" s="258" t="str">
        <f t="shared" si="3"/>
        <v>MA407</v>
      </c>
      <c r="M590" s="259" t="b">
        <f t="shared" si="4"/>
        <v>0</v>
      </c>
      <c r="N590" s="258" t="str">
        <f t="shared" si="5"/>
        <v/>
      </c>
      <c r="O590" s="5"/>
      <c r="P590" s="5"/>
      <c r="Q590" s="5"/>
      <c r="R590" s="5"/>
      <c r="S590" s="5"/>
      <c r="T590" s="5"/>
      <c r="U590" s="5"/>
      <c r="V590" s="5"/>
      <c r="W590" s="5"/>
    </row>
    <row r="591">
      <c r="A591" s="112" t="str">
        <f>IF(OR(ISBLANK(RAW_APS!A591),ISBLANK(RAW_APS!B591),ISBLANK(RAW_APS!C591)),TRUE,IFERROR(0/0,""))</f>
        <v/>
      </c>
      <c r="B591" s="252"/>
      <c r="C591" s="112" t="str">
        <f>IF(ISBLANK(B591),IFERROR(0/0,""),RAW_APS!A591)</f>
        <v/>
      </c>
      <c r="D591" s="112" t="str">
        <f>IF(ISBLANK(C591),IFERROR(0/0,""), VLOOKUP(C591,preDEL!A$2:AG786,33,FALSE))</f>
        <v/>
      </c>
      <c r="E591" s="252"/>
      <c r="F591" s="210"/>
      <c r="G591" s="252"/>
      <c r="H591" s="255" t="str">
        <f t="shared" si="1"/>
        <v/>
      </c>
      <c r="I591" s="256" t="str">
        <f>CONCATENATE(UPPER(RAW_APS!$A592),"__",RAW_APS!$B592,"_",RAW_APS!$C592)</f>
        <v>MAX84__44575_0.386655092592593</v>
      </c>
      <c r="J591" s="257" t="str">
        <f t="shared" si="2"/>
        <v/>
      </c>
      <c r="K591" s="252" t="s">
        <v>1762</v>
      </c>
      <c r="L591" s="258" t="str">
        <f t="shared" si="3"/>
        <v>MA408</v>
      </c>
      <c r="M591" s="259" t="b">
        <f t="shared" si="4"/>
        <v>0</v>
      </c>
      <c r="N591" s="258" t="str">
        <f t="shared" si="5"/>
        <v/>
      </c>
      <c r="O591" s="5"/>
      <c r="P591" s="5"/>
      <c r="Q591" s="5"/>
      <c r="R591" s="5"/>
      <c r="S591" s="5"/>
      <c r="T591" s="5"/>
      <c r="U591" s="5"/>
      <c r="V591" s="5"/>
      <c r="W591" s="5"/>
    </row>
    <row r="592">
      <c r="A592" s="112" t="str">
        <f>IF(OR(ISBLANK(RAW_APS!A592),ISBLANK(RAW_APS!B592),ISBLANK(RAW_APS!C592)),TRUE,IFERROR(0/0,""))</f>
        <v/>
      </c>
      <c r="B592" s="252"/>
      <c r="C592" s="112" t="str">
        <f>IF(ISBLANK(B592),IFERROR(0/0,""),RAW_APS!A592)</f>
        <v/>
      </c>
      <c r="D592" s="112" t="str">
        <f>IF(ISBLANK(C592),IFERROR(0/0,""), VLOOKUP(C592,preDEL!A$2:AG786,33,FALSE))</f>
        <v/>
      </c>
      <c r="E592" s="252"/>
      <c r="F592" s="210"/>
      <c r="G592" s="252"/>
      <c r="H592" s="255" t="str">
        <f t="shared" si="1"/>
        <v/>
      </c>
      <c r="I592" s="256" t="str">
        <f>CONCATENATE(UPPER(RAW_APS!$A593),"__",RAW_APS!$B593,"_",RAW_APS!$C593)</f>
        <v>MA1058__44575_0.386238425925926</v>
      </c>
      <c r="J592" s="257" t="str">
        <f t="shared" si="2"/>
        <v/>
      </c>
      <c r="K592" s="252" t="s">
        <v>1764</v>
      </c>
      <c r="L592" s="258" t="str">
        <f t="shared" si="3"/>
        <v>MA411</v>
      </c>
      <c r="M592" s="259" t="b">
        <f t="shared" si="4"/>
        <v>0</v>
      </c>
      <c r="N592" s="258" t="str">
        <f t="shared" si="5"/>
        <v/>
      </c>
      <c r="O592" s="5"/>
      <c r="P592" s="5"/>
      <c r="Q592" s="5"/>
      <c r="R592" s="5"/>
      <c r="S592" s="5"/>
      <c r="T592" s="5"/>
      <c r="U592" s="5"/>
      <c r="V592" s="5"/>
      <c r="W592" s="5"/>
    </row>
    <row r="593">
      <c r="A593" s="112" t="str">
        <f>IF(OR(ISBLANK(RAW_APS!A593),ISBLANK(RAW_APS!B593),ISBLANK(RAW_APS!C593)),TRUE,IFERROR(0/0,""))</f>
        <v/>
      </c>
      <c r="B593" s="252"/>
      <c r="C593" s="112" t="str">
        <f>IF(ISBLANK(B593),IFERROR(0/0,""),RAW_APS!A593)</f>
        <v/>
      </c>
      <c r="D593" s="112" t="str">
        <f>IF(ISBLANK(C593),IFERROR(0/0,""), VLOOKUP(C593,preDEL!A$2:AG786,33,FALSE))</f>
        <v/>
      </c>
      <c r="E593" s="252"/>
      <c r="F593" s="210"/>
      <c r="G593" s="252"/>
      <c r="H593" s="255" t="str">
        <f t="shared" si="1"/>
        <v/>
      </c>
      <c r="I593" s="256" t="str">
        <f>CONCATENATE(UPPER(RAW_APS!$A594),"__",RAW_APS!$B594,"_",RAW_APS!$C594)</f>
        <v>MAX110__44575_0.385972222222222</v>
      </c>
      <c r="J593" s="257" t="str">
        <f t="shared" si="2"/>
        <v/>
      </c>
      <c r="K593" s="252" t="s">
        <v>1766</v>
      </c>
      <c r="L593" s="258" t="str">
        <f t="shared" si="3"/>
        <v>MA412</v>
      </c>
      <c r="M593" s="259" t="b">
        <f t="shared" si="4"/>
        <v>0</v>
      </c>
      <c r="N593" s="258" t="str">
        <f t="shared" si="5"/>
        <v/>
      </c>
      <c r="O593" s="5"/>
      <c r="P593" s="5"/>
      <c r="Q593" s="5"/>
      <c r="R593" s="5"/>
      <c r="S593" s="5"/>
      <c r="T593" s="5"/>
      <c r="U593" s="5"/>
      <c r="V593" s="5"/>
      <c r="W593" s="5"/>
    </row>
    <row r="594">
      <c r="A594" s="112" t="str">
        <f>IF(OR(ISBLANK(RAW_APS!A594),ISBLANK(RAW_APS!B594),ISBLANK(RAW_APS!C594)),TRUE,IFERROR(0/0,""))</f>
        <v/>
      </c>
      <c r="B594" s="252"/>
      <c r="C594" s="112" t="str">
        <f>IF(ISBLANK(B594),IFERROR(0/0,""),RAW_APS!A594)</f>
        <v/>
      </c>
      <c r="D594" s="112" t="str">
        <f>IF(ISBLANK(C594),IFERROR(0/0,""), VLOOKUP(C594,preDEL!A$2:AG786,33,FALSE))</f>
        <v/>
      </c>
      <c r="E594" s="252"/>
      <c r="F594" s="210"/>
      <c r="G594" s="252"/>
      <c r="H594" s="255" t="str">
        <f t="shared" si="1"/>
        <v/>
      </c>
      <c r="I594" s="256" t="str">
        <f>CONCATENATE(UPPER(RAW_APS!$A595),"__",RAW_APS!$B595,"_",RAW_APS!$C595)</f>
        <v>MA286__44575_0.355949074074074</v>
      </c>
      <c r="J594" s="257" t="str">
        <f t="shared" si="2"/>
        <v/>
      </c>
      <c r="K594" s="252" t="s">
        <v>1768</v>
      </c>
      <c r="L594" s="258" t="str">
        <f t="shared" si="3"/>
        <v>MA420</v>
      </c>
      <c r="M594" s="259" t="b">
        <f t="shared" si="4"/>
        <v>0</v>
      </c>
      <c r="N594" s="258" t="str">
        <f t="shared" si="5"/>
        <v/>
      </c>
      <c r="O594" s="5"/>
      <c r="P594" s="5"/>
      <c r="Q594" s="5"/>
      <c r="R594" s="5"/>
      <c r="S594" s="5"/>
      <c r="T594" s="5"/>
      <c r="U594" s="5"/>
      <c r="V594" s="5"/>
      <c r="W594" s="5"/>
    </row>
    <row r="595">
      <c r="A595" s="112" t="str">
        <f>IF(OR(ISBLANK(RAW_APS!A595),ISBLANK(RAW_APS!B595),ISBLANK(RAW_APS!C595)),TRUE,IFERROR(0/0,""))</f>
        <v/>
      </c>
      <c r="B595" s="252"/>
      <c r="C595" s="112" t="str">
        <f>IF(ISBLANK(B595),IFERROR(0/0,""),RAW_APS!A595)</f>
        <v/>
      </c>
      <c r="D595" s="112" t="str">
        <f>IF(ISBLANK(C595),IFERROR(0/0,""), VLOOKUP(C595,preDEL!A$2:AG786,33,FALSE))</f>
        <v/>
      </c>
      <c r="E595" s="252"/>
      <c r="F595" s="210"/>
      <c r="G595" s="252"/>
      <c r="H595" s="255" t="str">
        <f t="shared" si="1"/>
        <v/>
      </c>
      <c r="I595" s="256" t="str">
        <f>CONCATENATE(UPPER(RAW_APS!$A596),"__",RAW_APS!$B596,"_",RAW_APS!$C596)</f>
        <v>MA641__44575_0.351909722222222</v>
      </c>
      <c r="J595" s="257" t="str">
        <f t="shared" si="2"/>
        <v/>
      </c>
      <c r="K595" s="252" t="s">
        <v>1770</v>
      </c>
      <c r="L595" s="258" t="str">
        <f t="shared" si="3"/>
        <v>MA422</v>
      </c>
      <c r="M595" s="259" t="b">
        <f t="shared" si="4"/>
        <v>0</v>
      </c>
      <c r="N595" s="258" t="str">
        <f t="shared" si="5"/>
        <v/>
      </c>
      <c r="O595" s="5"/>
      <c r="P595" s="5"/>
      <c r="Q595" s="5"/>
      <c r="R595" s="5"/>
      <c r="S595" s="5"/>
      <c r="T595" s="5"/>
      <c r="U595" s="5"/>
      <c r="V595" s="5"/>
      <c r="W595" s="5"/>
    </row>
    <row r="596">
      <c r="A596" s="112" t="str">
        <f>IF(OR(ISBLANK(RAW_APS!A596),ISBLANK(RAW_APS!B596),ISBLANK(RAW_APS!C596)),TRUE,IFERROR(0/0,""))</f>
        <v/>
      </c>
      <c r="B596" s="252"/>
      <c r="C596" s="112" t="str">
        <f>IF(ISBLANK(B596),IFERROR(0/0,""),RAW_APS!A596)</f>
        <v/>
      </c>
      <c r="D596" s="112" t="str">
        <f>IF(ISBLANK(C596),IFERROR(0/0,""), VLOOKUP(C596,preDEL!A$2:AG786,33,FALSE))</f>
        <v/>
      </c>
      <c r="E596" s="252"/>
      <c r="F596" s="210"/>
      <c r="G596" s="252"/>
      <c r="H596" s="255" t="str">
        <f t="shared" si="1"/>
        <v/>
      </c>
      <c r="I596" s="256" t="str">
        <f>CONCATENATE(UPPER(RAW_APS!$A597),"__",RAW_APS!$B597,"_",RAW_APS!$C597)</f>
        <v>MA331__44575_0.347118055555556</v>
      </c>
      <c r="J596" s="257" t="str">
        <f t="shared" si="2"/>
        <v/>
      </c>
      <c r="K596" s="252" t="s">
        <v>1772</v>
      </c>
      <c r="L596" s="258" t="str">
        <f t="shared" si="3"/>
        <v>MA423</v>
      </c>
      <c r="M596" s="259" t="b">
        <f t="shared" si="4"/>
        <v>0</v>
      </c>
      <c r="N596" s="258" t="str">
        <f t="shared" si="5"/>
        <v/>
      </c>
      <c r="O596" s="5"/>
      <c r="P596" s="5"/>
      <c r="Q596" s="5"/>
      <c r="R596" s="5"/>
      <c r="S596" s="5"/>
      <c r="T596" s="5"/>
      <c r="U596" s="5"/>
      <c r="V596" s="5"/>
      <c r="W596" s="5"/>
    </row>
    <row r="597">
      <c r="A597" s="112" t="str">
        <f>IF(OR(ISBLANK(RAW_APS!A597),ISBLANK(RAW_APS!B597),ISBLANK(RAW_APS!C597)),TRUE,IFERROR(0/0,""))</f>
        <v/>
      </c>
      <c r="B597" s="252"/>
      <c r="C597" s="112" t="str">
        <f>IF(ISBLANK(B597),IFERROR(0/0,""),RAW_APS!A597)</f>
        <v/>
      </c>
      <c r="D597" s="112" t="str">
        <f>IF(ISBLANK(C597),IFERROR(0/0,""), VLOOKUP(C597,preDEL!A$2:AG786,33,FALSE))</f>
        <v/>
      </c>
      <c r="E597" s="252"/>
      <c r="F597" s="210"/>
      <c r="G597" s="252"/>
      <c r="H597" s="255" t="str">
        <f t="shared" si="1"/>
        <v/>
      </c>
      <c r="I597" s="256" t="str">
        <f>CONCATENATE(UPPER(RAW_APS!$A598),"__",RAW_APS!$B598,"_",RAW_APS!$C598)</f>
        <v>MA1166__44575_0.34537037037037</v>
      </c>
      <c r="J597" s="257" t="str">
        <f t="shared" si="2"/>
        <v/>
      </c>
      <c r="K597" s="252" t="s">
        <v>1774</v>
      </c>
      <c r="L597" s="258" t="str">
        <f t="shared" si="3"/>
        <v>MA424</v>
      </c>
      <c r="M597" s="259" t="b">
        <f t="shared" si="4"/>
        <v>0</v>
      </c>
      <c r="N597" s="258" t="str">
        <f t="shared" si="5"/>
        <v/>
      </c>
      <c r="O597" s="5"/>
      <c r="P597" s="5"/>
      <c r="Q597" s="5"/>
      <c r="R597" s="5"/>
      <c r="S597" s="5"/>
      <c r="T597" s="5"/>
      <c r="U597" s="5"/>
      <c r="V597" s="5"/>
      <c r="W597" s="5"/>
    </row>
    <row r="598">
      <c r="A598" s="112" t="str">
        <f>IF(OR(ISBLANK(RAW_APS!A598),ISBLANK(RAW_APS!B598),ISBLANK(RAW_APS!C598)),TRUE,IFERROR(0/0,""))</f>
        <v/>
      </c>
      <c r="B598" s="252"/>
      <c r="C598" s="112" t="str">
        <f>IF(ISBLANK(B598),IFERROR(0/0,""),RAW_APS!A598)</f>
        <v/>
      </c>
      <c r="D598" s="112" t="str">
        <f>IF(ISBLANK(C598),IFERROR(0/0,""), VLOOKUP(C598,preDEL!A$2:AG786,33,FALSE))</f>
        <v/>
      </c>
      <c r="E598" s="252"/>
      <c r="F598" s="210"/>
      <c r="G598" s="252"/>
      <c r="H598" s="255" t="str">
        <f t="shared" si="1"/>
        <v/>
      </c>
      <c r="I598" s="256" t="str">
        <f>CONCATENATE(UPPER(RAW_APS!$A599),"__",RAW_APS!$B599,"_",RAW_APS!$C599)</f>
        <v>MA1186__44575_0.34005787037037</v>
      </c>
      <c r="J598" s="257" t="str">
        <f t="shared" si="2"/>
        <v/>
      </c>
      <c r="K598" s="252" t="s">
        <v>1776</v>
      </c>
      <c r="L598" s="258" t="str">
        <f t="shared" si="3"/>
        <v>MA426</v>
      </c>
      <c r="M598" s="259" t="b">
        <f t="shared" si="4"/>
        <v>0</v>
      </c>
      <c r="N598" s="258" t="str">
        <f t="shared" si="5"/>
        <v/>
      </c>
      <c r="O598" s="5"/>
      <c r="P598" s="5"/>
      <c r="Q598" s="5"/>
      <c r="R598" s="5"/>
      <c r="S598" s="5"/>
      <c r="T598" s="5"/>
      <c r="U598" s="5"/>
      <c r="V598" s="5"/>
      <c r="W598" s="5"/>
    </row>
    <row r="599">
      <c r="A599" s="112" t="str">
        <f>IF(OR(ISBLANK(RAW_APS!A599),ISBLANK(RAW_APS!B599),ISBLANK(RAW_APS!C599)),TRUE,IFERROR(0/0,""))</f>
        <v/>
      </c>
      <c r="B599" s="252"/>
      <c r="C599" s="112" t="str">
        <f>IF(ISBLANK(B599),IFERROR(0/0,""),RAW_APS!A599)</f>
        <v/>
      </c>
      <c r="D599" s="112" t="str">
        <f>IF(ISBLANK(C599),IFERROR(0/0,""), VLOOKUP(C599,preDEL!A$2:AG786,33,FALSE))</f>
        <v/>
      </c>
      <c r="E599" s="252"/>
      <c r="F599" s="210"/>
      <c r="G599" s="252"/>
      <c r="H599" s="255" t="str">
        <f t="shared" si="1"/>
        <v/>
      </c>
      <c r="I599" s="256" t="str">
        <f>CONCATENATE(UPPER(RAW_APS!$A600),"__",RAW_APS!$B600,"_",RAW_APS!$C600)</f>
        <v>MA1034__44575_0.330717592592593</v>
      </c>
      <c r="J599" s="257" t="str">
        <f t="shared" si="2"/>
        <v/>
      </c>
      <c r="K599" s="252" t="s">
        <v>1778</v>
      </c>
      <c r="L599" s="258" t="str">
        <f t="shared" si="3"/>
        <v>MA427</v>
      </c>
      <c r="M599" s="259" t="b">
        <f t="shared" si="4"/>
        <v>0</v>
      </c>
      <c r="N599" s="258" t="str">
        <f t="shared" si="5"/>
        <v/>
      </c>
      <c r="O599" s="5"/>
      <c r="P599" s="5"/>
      <c r="Q599" s="5"/>
      <c r="R599" s="5"/>
      <c r="S599" s="5"/>
      <c r="T599" s="5"/>
      <c r="U599" s="5"/>
      <c r="V599" s="5"/>
      <c r="W599" s="5"/>
    </row>
    <row r="600">
      <c r="A600" s="112" t="str">
        <f>IF(OR(ISBLANK(RAW_APS!A600),ISBLANK(RAW_APS!B600),ISBLANK(RAW_APS!C600)),TRUE,IFERROR(0/0,""))</f>
        <v/>
      </c>
      <c r="B600" s="252"/>
      <c r="C600" s="112" t="str">
        <f>IF(ISBLANK(B600),IFERROR(0/0,""),RAW_APS!A600)</f>
        <v/>
      </c>
      <c r="D600" s="112" t="str">
        <f>IF(ISBLANK(C600),IFERROR(0/0,""), VLOOKUP(C600,preDEL!A$2:AG786,33,FALSE))</f>
        <v/>
      </c>
      <c r="E600" s="252"/>
      <c r="F600" s="210"/>
      <c r="G600" s="252"/>
      <c r="H600" s="255" t="str">
        <f t="shared" si="1"/>
        <v/>
      </c>
      <c r="I600" s="256" t="str">
        <f>CONCATENATE(UPPER(RAW_APS!$A601),"__",RAW_APS!$B601,"_",RAW_APS!$C601)</f>
        <v>MA1243__44575_0.323043981481482</v>
      </c>
      <c r="J600" s="257" t="str">
        <f t="shared" si="2"/>
        <v/>
      </c>
      <c r="K600" s="252" t="s">
        <v>1780</v>
      </c>
      <c r="L600" s="258" t="str">
        <f t="shared" si="3"/>
        <v>MA431</v>
      </c>
      <c r="M600" s="259" t="b">
        <f t="shared" si="4"/>
        <v>0</v>
      </c>
      <c r="N600" s="258" t="str">
        <f t="shared" si="5"/>
        <v/>
      </c>
      <c r="O600" s="5"/>
      <c r="P600" s="5"/>
      <c r="Q600" s="5"/>
      <c r="R600" s="5"/>
      <c r="S600" s="5"/>
      <c r="T600" s="5"/>
      <c r="U600" s="5"/>
      <c r="V600" s="5"/>
      <c r="W600" s="5"/>
    </row>
    <row r="601">
      <c r="A601" s="112" t="str">
        <f>IF(OR(ISBLANK(RAW_APS!A601),ISBLANK(RAW_APS!B601),ISBLANK(RAW_APS!C601)),TRUE,IFERROR(0/0,""))</f>
        <v/>
      </c>
      <c r="B601" s="252"/>
      <c r="C601" s="112" t="str">
        <f>IF(ISBLANK(B601),IFERROR(0/0,""),RAW_APS!A601)</f>
        <v/>
      </c>
      <c r="D601" s="112" t="str">
        <f>IF(ISBLANK(C601),IFERROR(0/0,""), VLOOKUP(C601,preDEL!A$2:AG786,33,FALSE))</f>
        <v/>
      </c>
      <c r="E601" s="252"/>
      <c r="F601" s="210"/>
      <c r="G601" s="252"/>
      <c r="H601" s="255" t="str">
        <f t="shared" si="1"/>
        <v/>
      </c>
      <c r="I601" s="256" t="str">
        <f>CONCATENATE(UPPER(RAW_APS!$A602),"__",RAW_APS!$B602,"_",RAW_APS!$C602)</f>
        <v>MA490__44575_0.312592592592593</v>
      </c>
      <c r="J601" s="257" t="str">
        <f t="shared" si="2"/>
        <v/>
      </c>
      <c r="K601" s="252" t="s">
        <v>1782</v>
      </c>
      <c r="L601" s="258" t="str">
        <f t="shared" si="3"/>
        <v>MA433</v>
      </c>
      <c r="M601" s="259" t="b">
        <f t="shared" si="4"/>
        <v>0</v>
      </c>
      <c r="N601" s="258" t="str">
        <f t="shared" si="5"/>
        <v/>
      </c>
      <c r="O601" s="5"/>
      <c r="P601" s="5"/>
      <c r="Q601" s="5"/>
      <c r="R601" s="5"/>
      <c r="S601" s="5"/>
      <c r="T601" s="5"/>
      <c r="U601" s="5"/>
      <c r="V601" s="5"/>
      <c r="W601" s="5"/>
    </row>
    <row r="602">
      <c r="A602" s="112" t="str">
        <f>IF(OR(ISBLANK(RAW_APS!A602),ISBLANK(RAW_APS!B602),ISBLANK(RAW_APS!C602)),TRUE,IFERROR(0/0,""))</f>
        <v/>
      </c>
      <c r="B602" s="252"/>
      <c r="C602" s="112" t="str">
        <f>IF(ISBLANK(B602),IFERROR(0/0,""),RAW_APS!A602)</f>
        <v/>
      </c>
      <c r="D602" s="112" t="str">
        <f>IF(ISBLANK(C602),IFERROR(0/0,""), VLOOKUP(C602,preDEL!A$2:AG786,33,FALSE))</f>
        <v/>
      </c>
      <c r="E602" s="252"/>
      <c r="F602" s="210"/>
      <c r="G602" s="252"/>
      <c r="H602" s="255" t="str">
        <f t="shared" si="1"/>
        <v/>
      </c>
      <c r="I602" s="256" t="str">
        <f>CONCATENATE(UPPER(RAW_APS!$A603),"__",RAW_APS!$B603,"_",RAW_APS!$C603)</f>
        <v>MA1163__44575_0.311157407407407</v>
      </c>
      <c r="J602" s="257" t="str">
        <f t="shared" si="2"/>
        <v/>
      </c>
      <c r="K602" s="252" t="s">
        <v>1784</v>
      </c>
      <c r="L602" s="258" t="str">
        <f t="shared" si="3"/>
        <v>MA434</v>
      </c>
      <c r="M602" s="259" t="b">
        <f t="shared" si="4"/>
        <v>0</v>
      </c>
      <c r="N602" s="258" t="str">
        <f t="shared" si="5"/>
        <v/>
      </c>
      <c r="O602" s="5"/>
      <c r="P602" s="5"/>
      <c r="Q602" s="5"/>
      <c r="R602" s="5"/>
      <c r="S602" s="5"/>
      <c r="T602" s="5"/>
      <c r="U602" s="5"/>
      <c r="V602" s="5"/>
      <c r="W602" s="5"/>
    </row>
    <row r="603">
      <c r="A603" s="112" t="str">
        <f>IF(OR(ISBLANK(RAW_APS!A603),ISBLANK(RAW_APS!B603),ISBLANK(RAW_APS!C603)),TRUE,IFERROR(0/0,""))</f>
        <v/>
      </c>
      <c r="B603" s="252"/>
      <c r="C603" s="112" t="str">
        <f>IF(ISBLANK(B603),IFERROR(0/0,""),RAW_APS!A603)</f>
        <v/>
      </c>
      <c r="D603" s="112" t="str">
        <f>IF(ISBLANK(C603),IFERROR(0/0,""), VLOOKUP(C603,preDEL!A$2:AG786,33,FALSE))</f>
        <v/>
      </c>
      <c r="E603" s="252"/>
      <c r="F603" s="210"/>
      <c r="G603" s="252"/>
      <c r="H603" s="255" t="str">
        <f t="shared" si="1"/>
        <v/>
      </c>
      <c r="I603" s="256" t="str">
        <f>CONCATENATE(UPPER(RAW_APS!$A604),"__",RAW_APS!$B604,"_",RAW_APS!$C604)</f>
        <v>MA711__44575_0.311076388888889</v>
      </c>
      <c r="J603" s="257" t="str">
        <f t="shared" si="2"/>
        <v/>
      </c>
      <c r="K603" s="252" t="s">
        <v>1786</v>
      </c>
      <c r="L603" s="258" t="str">
        <f t="shared" si="3"/>
        <v>MA435</v>
      </c>
      <c r="M603" s="259" t="b">
        <f t="shared" si="4"/>
        <v>0</v>
      </c>
      <c r="N603" s="258" t="str">
        <f t="shared" si="5"/>
        <v/>
      </c>
      <c r="O603" s="5"/>
      <c r="P603" s="5"/>
      <c r="Q603" s="5"/>
      <c r="R603" s="5"/>
      <c r="S603" s="5"/>
      <c r="T603" s="5"/>
      <c r="U603" s="5"/>
      <c r="V603" s="5"/>
      <c r="W603" s="5"/>
    </row>
    <row r="604">
      <c r="A604" s="112" t="str">
        <f>IF(OR(ISBLANK(RAW_APS!A604),ISBLANK(RAW_APS!B604),ISBLANK(RAW_APS!C604)),TRUE,IFERROR(0/0,""))</f>
        <v/>
      </c>
      <c r="B604" s="252"/>
      <c r="C604" s="112" t="str">
        <f>IF(ISBLANK(B604),IFERROR(0/0,""),RAW_APS!A604)</f>
        <v/>
      </c>
      <c r="D604" s="112" t="str">
        <f>IF(ISBLANK(C604),IFERROR(0/0,""), VLOOKUP(C604,preDEL!A$2:AG786,33,FALSE))</f>
        <v/>
      </c>
      <c r="E604" s="252"/>
      <c r="F604" s="210"/>
      <c r="G604" s="252"/>
      <c r="H604" s="255" t="str">
        <f t="shared" si="1"/>
        <v/>
      </c>
      <c r="I604" s="256" t="str">
        <f>CONCATENATE(UPPER(RAW_APS!$A605),"__",RAW_APS!$B605,"_",RAW_APS!$C605)</f>
        <v>MA434__44575_0.29494212962963</v>
      </c>
      <c r="J604" s="257" t="str">
        <f t="shared" si="2"/>
        <v/>
      </c>
      <c r="K604" s="252" t="s">
        <v>1788</v>
      </c>
      <c r="L604" s="258" t="str">
        <f t="shared" si="3"/>
        <v>MA436</v>
      </c>
      <c r="M604" s="259" t="b">
        <f t="shared" si="4"/>
        <v>0</v>
      </c>
      <c r="N604" s="258" t="str">
        <f t="shared" si="5"/>
        <v/>
      </c>
      <c r="O604" s="5"/>
      <c r="P604" s="5"/>
      <c r="Q604" s="5"/>
      <c r="R604" s="5"/>
      <c r="S604" s="5"/>
      <c r="T604" s="5"/>
      <c r="U604" s="5"/>
      <c r="V604" s="5"/>
      <c r="W604" s="5"/>
    </row>
    <row r="605">
      <c r="A605" s="112" t="str">
        <f>IF(OR(ISBLANK(RAW_APS!A605),ISBLANK(RAW_APS!B605),ISBLANK(RAW_APS!C605)),TRUE,IFERROR(0/0,""))</f>
        <v/>
      </c>
      <c r="B605" s="252"/>
      <c r="C605" s="112" t="str">
        <f>IF(ISBLANK(B605),IFERROR(0/0,""),RAW_APS!A605)</f>
        <v/>
      </c>
      <c r="D605" s="112" t="str">
        <f>IF(ISBLANK(C605),IFERROR(0/0,""), VLOOKUP(C605,preDEL!A$2:AG786,33,FALSE))</f>
        <v/>
      </c>
      <c r="E605" s="252"/>
      <c r="F605" s="210"/>
      <c r="G605" s="252"/>
      <c r="H605" s="255" t="str">
        <f t="shared" si="1"/>
        <v/>
      </c>
      <c r="I605" s="256" t="str">
        <f>CONCATENATE(UPPER(RAW_APS!$A606),"__",RAW_APS!$B606,"_",RAW_APS!$C606)</f>
        <v>MA330__44575_0.226585648148148</v>
      </c>
      <c r="J605" s="257" t="str">
        <f t="shared" si="2"/>
        <v/>
      </c>
      <c r="K605" s="252" t="s">
        <v>1790</v>
      </c>
      <c r="L605" s="258" t="str">
        <f t="shared" si="3"/>
        <v>MA438</v>
      </c>
      <c r="M605" s="259" t="b">
        <f t="shared" si="4"/>
        <v>0</v>
      </c>
      <c r="N605" s="258" t="str">
        <f t="shared" si="5"/>
        <v/>
      </c>
      <c r="O605" s="5"/>
      <c r="P605" s="5"/>
      <c r="Q605" s="5"/>
      <c r="R605" s="5"/>
      <c r="S605" s="5"/>
      <c r="T605" s="5"/>
      <c r="U605" s="5"/>
      <c r="V605" s="5"/>
      <c r="W605" s="5"/>
    </row>
    <row r="606">
      <c r="A606" s="112" t="str">
        <f>IF(OR(ISBLANK(RAW_APS!A606),ISBLANK(RAW_APS!B606),ISBLANK(RAW_APS!C606)),TRUE,IFERROR(0/0,""))</f>
        <v/>
      </c>
      <c r="B606" s="252"/>
      <c r="C606" s="112" t="str">
        <f>IF(ISBLANK(B606),IFERROR(0/0,""),RAW_APS!A606)</f>
        <v/>
      </c>
      <c r="D606" s="112" t="str">
        <f>IF(ISBLANK(C606),IFERROR(0/0,""), VLOOKUP(C606,preDEL!A$2:AG786,33,FALSE))</f>
        <v/>
      </c>
      <c r="E606" s="252"/>
      <c r="F606" s="210"/>
      <c r="G606" s="252"/>
      <c r="H606" s="255" t="str">
        <f t="shared" si="1"/>
        <v/>
      </c>
      <c r="I606" s="256" t="str">
        <f>CONCATENATE(UPPER(RAW_APS!$A607),"__",RAW_APS!$B607,"_",RAW_APS!$C607)</f>
        <v>MA1056__44574_0.849166666666667</v>
      </c>
      <c r="J606" s="257" t="str">
        <f t="shared" si="2"/>
        <v/>
      </c>
      <c r="K606" s="252" t="s">
        <v>1792</v>
      </c>
      <c r="L606" s="258" t="str">
        <f t="shared" si="3"/>
        <v>MA440</v>
      </c>
      <c r="M606" s="259" t="b">
        <f t="shared" si="4"/>
        <v>0</v>
      </c>
      <c r="N606" s="258" t="str">
        <f t="shared" si="5"/>
        <v/>
      </c>
      <c r="O606" s="5"/>
      <c r="P606" s="5"/>
      <c r="Q606" s="5"/>
      <c r="R606" s="5"/>
      <c r="S606" s="5"/>
      <c r="T606" s="5"/>
      <c r="U606" s="5"/>
      <c r="V606" s="5"/>
      <c r="W606" s="5"/>
    </row>
    <row r="607">
      <c r="A607" s="112" t="str">
        <f>IF(OR(ISBLANK(RAW_APS!A607),ISBLANK(RAW_APS!B607),ISBLANK(RAW_APS!C607)),TRUE,IFERROR(0/0,""))</f>
        <v/>
      </c>
      <c r="B607" s="252"/>
      <c r="C607" s="112" t="str">
        <f>IF(ISBLANK(B607),IFERROR(0/0,""),RAW_APS!A607)</f>
        <v/>
      </c>
      <c r="D607" s="112" t="str">
        <f>IF(ISBLANK(C607),IFERROR(0/0,""), VLOOKUP(C607,preDEL!A$2:AG786,33,FALSE))</f>
        <v/>
      </c>
      <c r="E607" s="252"/>
      <c r="F607" s="210"/>
      <c r="G607" s="252"/>
      <c r="H607" s="255" t="str">
        <f t="shared" si="1"/>
        <v/>
      </c>
      <c r="I607" s="256" t="str">
        <f>CONCATENATE(UPPER(RAW_APS!$A608),"__",RAW_APS!$B608,"_",RAW_APS!$C608)</f>
        <v>MA1112__44574_0.848506944444444</v>
      </c>
      <c r="J607" s="257" t="str">
        <f t="shared" si="2"/>
        <v/>
      </c>
      <c r="K607" s="252" t="s">
        <v>1796</v>
      </c>
      <c r="L607" s="258" t="str">
        <f t="shared" si="3"/>
        <v>MA446</v>
      </c>
      <c r="M607" s="259" t="b">
        <f t="shared" si="4"/>
        <v>0</v>
      </c>
      <c r="N607" s="258" t="str">
        <f t="shared" si="5"/>
        <v/>
      </c>
      <c r="O607" s="5"/>
      <c r="P607" s="5"/>
      <c r="Q607" s="5"/>
      <c r="R607" s="5"/>
      <c r="S607" s="5"/>
      <c r="T607" s="5"/>
      <c r="U607" s="5"/>
      <c r="V607" s="5"/>
      <c r="W607" s="5"/>
    </row>
    <row r="608">
      <c r="A608" s="112" t="str">
        <f>IF(OR(ISBLANK(RAW_APS!A608),ISBLANK(RAW_APS!B608),ISBLANK(RAW_APS!C608)),TRUE,IFERROR(0/0,""))</f>
        <v/>
      </c>
      <c r="B608" s="252"/>
      <c r="C608" s="112" t="str">
        <f>IF(ISBLANK(B608),IFERROR(0/0,""),RAW_APS!A608)</f>
        <v/>
      </c>
      <c r="D608" s="112" t="str">
        <f>IF(ISBLANK(C608),IFERROR(0/0,""), VLOOKUP(C608,preDEL!A$2:AG786,33,FALSE))</f>
        <v/>
      </c>
      <c r="E608" s="252"/>
      <c r="F608" s="210"/>
      <c r="G608" s="252"/>
      <c r="H608" s="255" t="str">
        <f t="shared" si="1"/>
        <v/>
      </c>
      <c r="I608" s="256" t="str">
        <f>CONCATENATE(UPPER(RAW_APS!$A609),"__",RAW_APS!$B609,"_",RAW_APS!$C609)</f>
        <v>MA1042__44574_0.671273148148148</v>
      </c>
      <c r="J608" s="257" t="str">
        <f t="shared" si="2"/>
        <v/>
      </c>
      <c r="K608" s="252" t="s">
        <v>1798</v>
      </c>
      <c r="L608" s="258" t="str">
        <f t="shared" si="3"/>
        <v>MA447</v>
      </c>
      <c r="M608" s="259" t="b">
        <f t="shared" si="4"/>
        <v>0</v>
      </c>
      <c r="N608" s="258" t="str">
        <f t="shared" si="5"/>
        <v/>
      </c>
      <c r="O608" s="5"/>
      <c r="P608" s="5"/>
      <c r="Q608" s="5"/>
      <c r="R608" s="5"/>
      <c r="S608" s="5"/>
      <c r="T608" s="5"/>
      <c r="U608" s="5"/>
      <c r="V608" s="5"/>
      <c r="W608" s="5"/>
    </row>
    <row r="609">
      <c r="A609" s="112" t="str">
        <f>IF(OR(ISBLANK(RAW_APS!A609),ISBLANK(RAW_APS!B609),ISBLANK(RAW_APS!C609)),TRUE,IFERROR(0/0,""))</f>
        <v/>
      </c>
      <c r="B609" s="252"/>
      <c r="C609" s="112" t="str">
        <f>IF(ISBLANK(B609),IFERROR(0/0,""),RAW_APS!A609)</f>
        <v/>
      </c>
      <c r="D609" s="112" t="str">
        <f>IF(ISBLANK(C609),IFERROR(0/0,""), VLOOKUP(C609,preDEL!A$2:AG786,33,FALSE))</f>
        <v/>
      </c>
      <c r="E609" s="252"/>
      <c r="F609" s="210"/>
      <c r="G609" s="252"/>
      <c r="H609" s="255" t="str">
        <f t="shared" si="1"/>
        <v/>
      </c>
      <c r="I609" s="256" t="str">
        <f>CONCATENATE(UPPER(RAW_APS!$A610),"__",RAW_APS!$B610,"_",RAW_APS!$C610)</f>
        <v>MA1092__44574_0.616134259259259</v>
      </c>
      <c r="J609" s="257" t="str">
        <f t="shared" si="2"/>
        <v/>
      </c>
      <c r="K609" s="252" t="s">
        <v>1800</v>
      </c>
      <c r="L609" s="258" t="str">
        <f t="shared" si="3"/>
        <v>MA448</v>
      </c>
      <c r="M609" s="259" t="b">
        <f t="shared" si="4"/>
        <v>0</v>
      </c>
      <c r="N609" s="258" t="str">
        <f t="shared" si="5"/>
        <v/>
      </c>
      <c r="O609" s="5"/>
      <c r="P609" s="5"/>
      <c r="Q609" s="5"/>
      <c r="R609" s="5"/>
      <c r="S609" s="5"/>
      <c r="T609" s="5"/>
      <c r="U609" s="5"/>
      <c r="V609" s="5"/>
      <c r="W609" s="5"/>
    </row>
    <row r="610">
      <c r="A610" s="112" t="str">
        <f>IF(OR(ISBLANK(RAW_APS!A610),ISBLANK(RAW_APS!B610),ISBLANK(RAW_APS!C610)),TRUE,IFERROR(0/0,""))</f>
        <v/>
      </c>
      <c r="B610" s="252"/>
      <c r="C610" s="112" t="str">
        <f>IF(ISBLANK(B610),IFERROR(0/0,""),RAW_APS!A610)</f>
        <v/>
      </c>
      <c r="D610" s="112" t="str">
        <f>IF(ISBLANK(C610),IFERROR(0/0,""), VLOOKUP(C610,preDEL!A$2:AG786,33,FALSE))</f>
        <v/>
      </c>
      <c r="E610" s="252"/>
      <c r="F610" s="210"/>
      <c r="G610" s="252"/>
      <c r="H610" s="255" t="str">
        <f t="shared" si="1"/>
        <v/>
      </c>
      <c r="I610" s="256" t="str">
        <f>CONCATENATE(UPPER(RAW_APS!$A611),"__",RAW_APS!$B611,"_",RAW_APS!$C611)</f>
        <v>MA1062__44574_0.584502314814815</v>
      </c>
      <c r="J610" s="257" t="str">
        <f t="shared" si="2"/>
        <v/>
      </c>
      <c r="K610" s="252" t="s">
        <v>1802</v>
      </c>
      <c r="L610" s="258" t="str">
        <f t="shared" si="3"/>
        <v>MA449</v>
      </c>
      <c r="M610" s="259" t="b">
        <f t="shared" si="4"/>
        <v>0</v>
      </c>
      <c r="N610" s="258" t="str">
        <f t="shared" si="5"/>
        <v/>
      </c>
      <c r="O610" s="5"/>
      <c r="P610" s="5"/>
      <c r="Q610" s="5"/>
      <c r="R610" s="5"/>
      <c r="S610" s="5"/>
      <c r="T610" s="5"/>
      <c r="U610" s="5"/>
      <c r="V610" s="5"/>
      <c r="W610" s="5"/>
    </row>
    <row r="611">
      <c r="A611" s="112" t="str">
        <f>IF(OR(ISBLANK(RAW_APS!A611),ISBLANK(RAW_APS!B611),ISBLANK(RAW_APS!C611)),TRUE,IFERROR(0/0,""))</f>
        <v/>
      </c>
      <c r="B611" s="252"/>
      <c r="C611" s="112" t="str">
        <f>IF(ISBLANK(B611),IFERROR(0/0,""),RAW_APS!A611)</f>
        <v/>
      </c>
      <c r="D611" s="112" t="str">
        <f>IF(ISBLANK(C611),IFERROR(0/0,""), VLOOKUP(C611,preDEL!A$2:AG786,33,FALSE))</f>
        <v/>
      </c>
      <c r="E611" s="252"/>
      <c r="F611" s="210"/>
      <c r="G611" s="252"/>
      <c r="H611" s="255" t="str">
        <f t="shared" si="1"/>
        <v/>
      </c>
      <c r="I611" s="256" t="str">
        <f>CONCATENATE(UPPER(RAW_APS!$A612),"__",RAW_APS!$B612,"_",RAW_APS!$C612)</f>
        <v>MA1031__44573_0.444224537037037</v>
      </c>
      <c r="J611" s="257" t="str">
        <f t="shared" si="2"/>
        <v/>
      </c>
      <c r="K611" s="252" t="s">
        <v>1804</v>
      </c>
      <c r="L611" s="258" t="str">
        <f t="shared" si="3"/>
        <v>MA451</v>
      </c>
      <c r="M611" s="259" t="b">
        <f t="shared" si="4"/>
        <v>0</v>
      </c>
      <c r="N611" s="258" t="str">
        <f t="shared" si="5"/>
        <v/>
      </c>
      <c r="O611" s="5"/>
      <c r="P611" s="5"/>
      <c r="Q611" s="5"/>
      <c r="R611" s="5"/>
      <c r="S611" s="5"/>
      <c r="T611" s="5"/>
      <c r="U611" s="5"/>
      <c r="V611" s="5"/>
      <c r="W611" s="5"/>
    </row>
    <row r="612">
      <c r="A612" s="112" t="str">
        <f>IF(OR(ISBLANK(RAW_APS!A612),ISBLANK(RAW_APS!B612),ISBLANK(RAW_APS!C612)),TRUE,IFERROR(0/0,""))</f>
        <v/>
      </c>
      <c r="B612" s="252"/>
      <c r="C612" s="112" t="str">
        <f>IF(ISBLANK(B612),IFERROR(0/0,""),RAW_APS!A612)</f>
        <v/>
      </c>
      <c r="D612" s="112" t="str">
        <f>IF(ISBLANK(C612),IFERROR(0/0,""), VLOOKUP(C612,preDEL!A$2:AG786,33,FALSE))</f>
        <v/>
      </c>
      <c r="E612" s="252"/>
      <c r="F612" s="210"/>
      <c r="G612" s="252"/>
      <c r="H612" s="255" t="str">
        <f t="shared" si="1"/>
        <v/>
      </c>
      <c r="I612" s="256" t="str">
        <f>CONCATENATE(UPPER(RAW_APS!$A613),"__",RAW_APS!$B613,"_",RAW_APS!$C613)</f>
        <v>MAX92__44573_0.424537037037037</v>
      </c>
      <c r="J612" s="257" t="str">
        <f t="shared" si="2"/>
        <v/>
      </c>
      <c r="K612" s="252" t="s">
        <v>1806</v>
      </c>
      <c r="L612" s="258" t="str">
        <f t="shared" si="3"/>
        <v>MA452</v>
      </c>
      <c r="M612" s="259" t="b">
        <f t="shared" si="4"/>
        <v>0</v>
      </c>
      <c r="N612" s="258" t="str">
        <f t="shared" si="5"/>
        <v/>
      </c>
      <c r="O612" s="5"/>
      <c r="P612" s="5"/>
      <c r="Q612" s="5"/>
      <c r="R612" s="5"/>
      <c r="S612" s="5"/>
      <c r="T612" s="5"/>
      <c r="U612" s="5"/>
      <c r="V612" s="5"/>
      <c r="W612" s="5"/>
    </row>
    <row r="613">
      <c r="A613" s="112" t="str">
        <f>IF(OR(ISBLANK(RAW_APS!A613),ISBLANK(RAW_APS!B613),ISBLANK(RAW_APS!C613)),TRUE,IFERROR(0/0,""))</f>
        <v/>
      </c>
      <c r="B613" s="252"/>
      <c r="C613" s="112" t="str">
        <f>IF(ISBLANK(B613),IFERROR(0/0,""),RAW_APS!A613)</f>
        <v/>
      </c>
      <c r="D613" s="112" t="str">
        <f>IF(ISBLANK(C613),IFERROR(0/0,""), VLOOKUP(C613,preDEL!A$2:AG786,33,FALSE))</f>
        <v/>
      </c>
      <c r="E613" s="252"/>
      <c r="F613" s="210"/>
      <c r="G613" s="252"/>
      <c r="H613" s="255" t="str">
        <f t="shared" si="1"/>
        <v/>
      </c>
      <c r="I613" s="256" t="str">
        <f>CONCATENATE(UPPER(RAW_APS!$A614),"__",RAW_APS!$B614,"_",RAW_APS!$C614)</f>
        <v>MA190__44573_0.414328703703704</v>
      </c>
      <c r="J613" s="257" t="str">
        <f t="shared" si="2"/>
        <v/>
      </c>
      <c r="K613" s="252" t="s">
        <v>1810</v>
      </c>
      <c r="L613" s="258" t="str">
        <f t="shared" si="3"/>
        <v>MA454</v>
      </c>
      <c r="M613" s="259" t="b">
        <f t="shared" si="4"/>
        <v>0</v>
      </c>
      <c r="N613" s="258" t="str">
        <f t="shared" si="5"/>
        <v/>
      </c>
      <c r="O613" s="5"/>
      <c r="P613" s="5"/>
      <c r="Q613" s="5"/>
      <c r="R613" s="5"/>
      <c r="S613" s="5"/>
      <c r="T613" s="5"/>
      <c r="U613" s="5"/>
      <c r="V613" s="5"/>
      <c r="W613" s="5"/>
    </row>
    <row r="614">
      <c r="A614" s="112" t="str">
        <f>IF(OR(ISBLANK(RAW_APS!A614),ISBLANK(RAW_APS!B614),ISBLANK(RAW_APS!C614)),TRUE,IFERROR(0/0,""))</f>
        <v/>
      </c>
      <c r="B614" s="252"/>
      <c r="C614" s="112" t="str">
        <f>IF(ISBLANK(B614),IFERROR(0/0,""),RAW_APS!A614)</f>
        <v/>
      </c>
      <c r="D614" s="112" t="str">
        <f>IF(ISBLANK(C614),IFERROR(0/0,""), VLOOKUP(C614,preDEL!A$2:AG786,33,FALSE))</f>
        <v/>
      </c>
      <c r="E614" s="252"/>
      <c r="F614" s="210"/>
      <c r="G614" s="252"/>
      <c r="H614" s="255" t="str">
        <f t="shared" si="1"/>
        <v/>
      </c>
      <c r="I614" s="256" t="str">
        <f>CONCATENATE(UPPER(RAW_APS!$A615),"__",RAW_APS!$B615,"_",RAW_APS!$C615)</f>
        <v>MA1107__44573_0.399444444444444</v>
      </c>
      <c r="J614" s="257" t="str">
        <f t="shared" si="2"/>
        <v/>
      </c>
      <c r="K614" s="252" t="s">
        <v>1814</v>
      </c>
      <c r="L614" s="258" t="str">
        <f t="shared" si="3"/>
        <v>MA456</v>
      </c>
      <c r="M614" s="259" t="b">
        <f t="shared" si="4"/>
        <v>0</v>
      </c>
      <c r="N614" s="258" t="str">
        <f t="shared" si="5"/>
        <v/>
      </c>
      <c r="O614" s="5"/>
      <c r="P614" s="5"/>
      <c r="Q614" s="5"/>
      <c r="R614" s="5"/>
      <c r="S614" s="5"/>
      <c r="T614" s="5"/>
      <c r="U614" s="5"/>
      <c r="V614" s="5"/>
      <c r="W614" s="5"/>
    </row>
    <row r="615">
      <c r="A615" s="112" t="str">
        <f>IF(OR(ISBLANK(RAW_APS!A615),ISBLANK(RAW_APS!B615),ISBLANK(RAW_APS!C615)),TRUE,IFERROR(0/0,""))</f>
        <v/>
      </c>
      <c r="B615" s="252"/>
      <c r="C615" s="112" t="str">
        <f>IF(ISBLANK(B615),IFERROR(0/0,""),RAW_APS!A615)</f>
        <v/>
      </c>
      <c r="D615" s="112" t="str">
        <f>IF(ISBLANK(C615),IFERROR(0/0,""), VLOOKUP(C615,preDEL!A$2:AG786,33,FALSE))</f>
        <v/>
      </c>
      <c r="E615" s="252"/>
      <c r="F615" s="210"/>
      <c r="G615" s="252"/>
      <c r="H615" s="255" t="str">
        <f t="shared" si="1"/>
        <v/>
      </c>
      <c r="I615" s="256" t="str">
        <f>CONCATENATE(UPPER(RAW_APS!$A616),"__",RAW_APS!$B616,"_",RAW_APS!$C616)</f>
        <v>MAX104__44573_0.387326388888889</v>
      </c>
      <c r="J615" s="257" t="str">
        <f t="shared" si="2"/>
        <v/>
      </c>
      <c r="K615" s="252" t="s">
        <v>1816</v>
      </c>
      <c r="L615" s="258" t="str">
        <f t="shared" si="3"/>
        <v>MA457</v>
      </c>
      <c r="M615" s="259" t="b">
        <f t="shared" si="4"/>
        <v>0</v>
      </c>
      <c r="N615" s="258" t="str">
        <f t="shared" si="5"/>
        <v/>
      </c>
      <c r="O615" s="5"/>
      <c r="P615" s="5"/>
      <c r="Q615" s="5"/>
      <c r="R615" s="5"/>
      <c r="S615" s="5"/>
      <c r="T615" s="5"/>
      <c r="U615" s="5"/>
      <c r="V615" s="5"/>
      <c r="W615" s="5"/>
    </row>
    <row r="616">
      <c r="A616" s="112" t="str">
        <f>IF(OR(ISBLANK(RAW_APS!A616),ISBLANK(RAW_APS!B616),ISBLANK(RAW_APS!C616)),TRUE,IFERROR(0/0,""))</f>
        <v/>
      </c>
      <c r="B616" s="252"/>
      <c r="C616" s="112" t="str">
        <f>IF(ISBLANK(B616),IFERROR(0/0,""),RAW_APS!A616)</f>
        <v/>
      </c>
      <c r="D616" s="112" t="str">
        <f>IF(ISBLANK(C616),IFERROR(0/0,""), VLOOKUP(C616,preDEL!A$2:AG786,33,FALSE))</f>
        <v/>
      </c>
      <c r="E616" s="252"/>
      <c r="F616" s="210"/>
      <c r="G616" s="252"/>
      <c r="H616" s="255" t="str">
        <f t="shared" si="1"/>
        <v/>
      </c>
      <c r="I616" s="256" t="str">
        <f>CONCATENATE(UPPER(RAW_APS!$A617),"__",RAW_APS!$B617,"_",RAW_APS!$C617)</f>
        <v>MAX36__44573_0.386944444444444</v>
      </c>
      <c r="J616" s="257" t="str">
        <f t="shared" si="2"/>
        <v/>
      </c>
      <c r="K616" s="252" t="s">
        <v>1818</v>
      </c>
      <c r="L616" s="258" t="str">
        <f t="shared" si="3"/>
        <v>MA458</v>
      </c>
      <c r="M616" s="259" t="b">
        <f t="shared" si="4"/>
        <v>0</v>
      </c>
      <c r="N616" s="258" t="str">
        <f t="shared" si="5"/>
        <v/>
      </c>
      <c r="O616" s="5"/>
      <c r="P616" s="5"/>
      <c r="Q616" s="5"/>
      <c r="R616" s="5"/>
      <c r="S616" s="5"/>
      <c r="T616" s="5"/>
      <c r="U616" s="5"/>
      <c r="V616" s="5"/>
      <c r="W616" s="5"/>
    </row>
    <row r="617">
      <c r="A617" s="112" t="str">
        <f>IF(OR(ISBLANK(RAW_APS!A617),ISBLANK(RAW_APS!B617),ISBLANK(RAW_APS!C617)),TRUE,IFERROR(0/0,""))</f>
        <v/>
      </c>
      <c r="B617" s="252"/>
      <c r="C617" s="112" t="str">
        <f>IF(ISBLANK(B617),IFERROR(0/0,""),RAW_APS!A617)</f>
        <v/>
      </c>
      <c r="D617" s="112" t="str">
        <f>IF(ISBLANK(C617),IFERROR(0/0,""), VLOOKUP(C617,preDEL!A$2:AG786,33,FALSE))</f>
        <v/>
      </c>
      <c r="E617" s="252"/>
      <c r="F617" s="210"/>
      <c r="G617" s="252"/>
      <c r="H617" s="255" t="str">
        <f t="shared" si="1"/>
        <v/>
      </c>
      <c r="I617" s="256" t="str">
        <f>CONCATENATE(UPPER(RAW_APS!$A618),"__",RAW_APS!$B618,"_",RAW_APS!$C618)</f>
        <v>MAX81__44573_0.386319444444444</v>
      </c>
      <c r="J617" s="257" t="str">
        <f t="shared" si="2"/>
        <v/>
      </c>
      <c r="K617" s="252" t="s">
        <v>1820</v>
      </c>
      <c r="L617" s="258" t="str">
        <f t="shared" si="3"/>
        <v>MA460</v>
      </c>
      <c r="M617" s="259" t="b">
        <f t="shared" si="4"/>
        <v>1</v>
      </c>
      <c r="N617" s="258" t="str">
        <f t="shared" si="5"/>
        <v>MA460</v>
      </c>
      <c r="O617" s="5"/>
      <c r="P617" s="5"/>
      <c r="Q617" s="5"/>
      <c r="R617" s="5"/>
      <c r="S617" s="5"/>
      <c r="T617" s="5"/>
      <c r="U617" s="5"/>
      <c r="V617" s="5"/>
      <c r="W617" s="5"/>
    </row>
    <row r="618">
      <c r="A618" s="112" t="str">
        <f>IF(OR(ISBLANK(RAW_APS!A618),ISBLANK(RAW_APS!B618),ISBLANK(RAW_APS!C618)),TRUE,IFERROR(0/0,""))</f>
        <v/>
      </c>
      <c r="B618" s="252"/>
      <c r="C618" s="112" t="str">
        <f>IF(ISBLANK(B618),IFERROR(0/0,""),RAW_APS!A618)</f>
        <v/>
      </c>
      <c r="D618" s="112" t="str">
        <f>IF(ISBLANK(C618),IFERROR(0/0,""), VLOOKUP(C618,preDEL!A$2:AG786,33,FALSE))</f>
        <v/>
      </c>
      <c r="E618" s="252"/>
      <c r="F618" s="210"/>
      <c r="G618" s="252"/>
      <c r="H618" s="255" t="str">
        <f t="shared" si="1"/>
        <v/>
      </c>
      <c r="I618" s="256" t="str">
        <f>CONCATENATE(UPPER(RAW_APS!$A619),"__",RAW_APS!$B619,"_",RAW_APS!$C619)</f>
        <v>MAX72__44573_0.385856481481482</v>
      </c>
      <c r="J618" s="257" t="str">
        <f t="shared" si="2"/>
        <v/>
      </c>
      <c r="K618" s="252" t="s">
        <v>2538</v>
      </c>
      <c r="L618" s="258" t="str">
        <f t="shared" si="3"/>
        <v>MA460</v>
      </c>
      <c r="M618" s="259" t="b">
        <f t="shared" si="4"/>
        <v>0</v>
      </c>
      <c r="N618" s="258" t="str">
        <f t="shared" si="5"/>
        <v/>
      </c>
      <c r="O618" s="5"/>
      <c r="P618" s="5"/>
      <c r="Q618" s="5"/>
      <c r="R618" s="5"/>
      <c r="S618" s="5"/>
      <c r="T618" s="5"/>
      <c r="U618" s="5"/>
      <c r="V618" s="5"/>
      <c r="W618" s="5"/>
    </row>
    <row r="619">
      <c r="A619" s="112" t="str">
        <f>IF(OR(ISBLANK(RAW_APS!A619),ISBLANK(RAW_APS!B619),ISBLANK(RAW_APS!C619)),TRUE,IFERROR(0/0,""))</f>
        <v/>
      </c>
      <c r="B619" s="252"/>
      <c r="C619" s="112" t="str">
        <f>IF(ISBLANK(B619),IFERROR(0/0,""),RAW_APS!A619)</f>
        <v/>
      </c>
      <c r="D619" s="112" t="str">
        <f>IF(ISBLANK(C619),IFERROR(0/0,""), VLOOKUP(C619,preDEL!A$2:AG786,33,FALSE))</f>
        <v/>
      </c>
      <c r="E619" s="252"/>
      <c r="F619" s="210"/>
      <c r="G619" s="252"/>
      <c r="H619" s="255" t="str">
        <f t="shared" si="1"/>
        <v/>
      </c>
      <c r="I619" s="256" t="str">
        <f>CONCATENATE(UPPER(RAW_APS!$A620),"__",RAW_APS!$B620,"_",RAW_APS!$C620)</f>
        <v>MAX107__44573_0.385381944444444</v>
      </c>
      <c r="J619" s="257" t="str">
        <f t="shared" si="2"/>
        <v/>
      </c>
      <c r="K619" s="252" t="s">
        <v>1824</v>
      </c>
      <c r="L619" s="258" t="str">
        <f t="shared" si="3"/>
        <v>MA461</v>
      </c>
      <c r="M619" s="259" t="b">
        <f t="shared" si="4"/>
        <v>0</v>
      </c>
      <c r="N619" s="258" t="str">
        <f t="shared" si="5"/>
        <v/>
      </c>
      <c r="O619" s="5"/>
      <c r="P619" s="5"/>
      <c r="Q619" s="5"/>
      <c r="R619" s="5"/>
      <c r="S619" s="5"/>
      <c r="T619" s="5"/>
      <c r="U619" s="5"/>
      <c r="V619" s="5"/>
      <c r="W619" s="5"/>
    </row>
    <row r="620">
      <c r="A620" s="112" t="str">
        <f>IF(OR(ISBLANK(RAW_APS!A620),ISBLANK(RAW_APS!B620),ISBLANK(RAW_APS!C620)),TRUE,IFERROR(0/0,""))</f>
        <v/>
      </c>
      <c r="B620" s="252"/>
      <c r="C620" s="112" t="str">
        <f>IF(ISBLANK(B620),IFERROR(0/0,""),RAW_APS!A620)</f>
        <v/>
      </c>
      <c r="D620" s="112" t="str">
        <f>IF(ISBLANK(C620),IFERROR(0/0,""), VLOOKUP(C620,preDEL!A$2:AG786,33,FALSE))</f>
        <v/>
      </c>
      <c r="E620" s="252"/>
      <c r="F620" s="210"/>
      <c r="G620" s="252"/>
      <c r="H620" s="255" t="str">
        <f t="shared" si="1"/>
        <v/>
      </c>
      <c r="I620" s="256" t="str">
        <f>CONCATENATE(UPPER(RAW_APS!$A621),"__",RAW_APS!$B621,"_",RAW_APS!$C621)</f>
        <v>MAX20__44573_0.383599537037037</v>
      </c>
      <c r="J620" s="257" t="str">
        <f t="shared" si="2"/>
        <v/>
      </c>
      <c r="K620" s="252" t="s">
        <v>1826</v>
      </c>
      <c r="L620" s="258" t="str">
        <f t="shared" si="3"/>
        <v>MA462</v>
      </c>
      <c r="M620" s="259" t="b">
        <f t="shared" si="4"/>
        <v>0</v>
      </c>
      <c r="N620" s="258" t="str">
        <f t="shared" si="5"/>
        <v/>
      </c>
      <c r="O620" s="5"/>
      <c r="P620" s="5"/>
      <c r="Q620" s="5"/>
      <c r="R620" s="5"/>
      <c r="S620" s="5"/>
      <c r="T620" s="5"/>
      <c r="U620" s="5"/>
      <c r="V620" s="5"/>
      <c r="W620" s="5"/>
    </row>
    <row r="621">
      <c r="A621" s="112" t="str">
        <f>IF(OR(ISBLANK(RAW_APS!A621),ISBLANK(RAW_APS!B621),ISBLANK(RAW_APS!C621)),TRUE,IFERROR(0/0,""))</f>
        <v/>
      </c>
      <c r="B621" s="252"/>
      <c r="C621" s="112" t="str">
        <f>IF(ISBLANK(B621),IFERROR(0/0,""),RAW_APS!A621)</f>
        <v/>
      </c>
      <c r="D621" s="112" t="str">
        <f>IF(ISBLANK(C621),IFERROR(0/0,""), VLOOKUP(C621,preDEL!A$2:AG786,33,FALSE))</f>
        <v/>
      </c>
      <c r="E621" s="252"/>
      <c r="F621" s="210"/>
      <c r="G621" s="252"/>
      <c r="H621" s="255" t="str">
        <f t="shared" si="1"/>
        <v/>
      </c>
      <c r="I621" s="256" t="str">
        <f>CONCATENATE(UPPER(RAW_APS!$A622),"__",RAW_APS!$B622,"_",RAW_APS!$C622)</f>
        <v>MAX98__44573_0.383298611111111</v>
      </c>
      <c r="J621" s="257" t="str">
        <f t="shared" si="2"/>
        <v/>
      </c>
      <c r="K621" s="252" t="s">
        <v>1829</v>
      </c>
      <c r="L621" s="258" t="str">
        <f t="shared" si="3"/>
        <v>MA463</v>
      </c>
      <c r="M621" s="259" t="b">
        <f t="shared" si="4"/>
        <v>0</v>
      </c>
      <c r="N621" s="258" t="str">
        <f t="shared" si="5"/>
        <v/>
      </c>
      <c r="O621" s="5"/>
      <c r="P621" s="5"/>
      <c r="Q621" s="5"/>
      <c r="R621" s="5"/>
      <c r="S621" s="5"/>
      <c r="T621" s="5"/>
      <c r="U621" s="5"/>
      <c r="V621" s="5"/>
      <c r="W621" s="5"/>
    </row>
    <row r="622">
      <c r="A622" s="112" t="str">
        <f>IF(OR(ISBLANK(RAW_APS!A622),ISBLANK(RAW_APS!B622),ISBLANK(RAW_APS!C622)),TRUE,IFERROR(0/0,""))</f>
        <v/>
      </c>
      <c r="B622" s="252"/>
      <c r="C622" s="112" t="str">
        <f>IF(ISBLANK(B622),IFERROR(0/0,""),RAW_APS!A622)</f>
        <v/>
      </c>
      <c r="D622" s="112" t="str">
        <f>IF(ISBLANK(C622),IFERROR(0/0,""), VLOOKUP(C622,preDEL!A$2:AG786,33,FALSE))</f>
        <v/>
      </c>
      <c r="E622" s="252"/>
      <c r="F622" s="210"/>
      <c r="G622" s="252"/>
      <c r="H622" s="255" t="str">
        <f t="shared" si="1"/>
        <v/>
      </c>
      <c r="I622" s="256" t="str">
        <f>CONCATENATE(UPPER(RAW_APS!$A623),"__",RAW_APS!$B623,"_",RAW_APS!$C623)</f>
        <v>MA1199__44573_0.350300925925926</v>
      </c>
      <c r="J622" s="257" t="str">
        <f t="shared" si="2"/>
        <v/>
      </c>
      <c r="K622" s="252" t="s">
        <v>1836</v>
      </c>
      <c r="L622" s="258" t="str">
        <f t="shared" si="3"/>
        <v>MA466</v>
      </c>
      <c r="M622" s="259" t="b">
        <f t="shared" si="4"/>
        <v>0</v>
      </c>
      <c r="N622" s="258" t="str">
        <f t="shared" si="5"/>
        <v/>
      </c>
      <c r="O622" s="5"/>
      <c r="P622" s="5"/>
      <c r="Q622" s="5"/>
      <c r="R622" s="5"/>
      <c r="S622" s="5"/>
      <c r="T622" s="5"/>
      <c r="U622" s="5"/>
      <c r="V622" s="5"/>
      <c r="W622" s="5"/>
    </row>
    <row r="623">
      <c r="A623" s="112" t="str">
        <f>IF(OR(ISBLANK(RAW_APS!A623),ISBLANK(RAW_APS!B623),ISBLANK(RAW_APS!C623)),TRUE,IFERROR(0/0,""))</f>
        <v/>
      </c>
      <c r="B623" s="252"/>
      <c r="C623" s="112" t="str">
        <f>IF(ISBLANK(B623),IFERROR(0/0,""),RAW_APS!A623)</f>
        <v/>
      </c>
      <c r="D623" s="112" t="str">
        <f>IF(ISBLANK(C623),IFERROR(0/0,""), VLOOKUP(C623,preDEL!A$2:AG786,33,FALSE))</f>
        <v/>
      </c>
      <c r="E623" s="252"/>
      <c r="F623" s="210"/>
      <c r="G623" s="252"/>
      <c r="H623" s="255" t="str">
        <f t="shared" si="1"/>
        <v/>
      </c>
      <c r="I623" s="256" t="str">
        <f>CONCATENATE(UPPER(RAW_APS!$A624),"__",RAW_APS!$B624,"_",RAW_APS!$C624)</f>
        <v>MA396__44573_0.348657407407407</v>
      </c>
      <c r="J623" s="257" t="str">
        <f t="shared" si="2"/>
        <v/>
      </c>
      <c r="K623" s="252" t="s">
        <v>1838</v>
      </c>
      <c r="L623" s="258" t="str">
        <f t="shared" si="3"/>
        <v>MA467</v>
      </c>
      <c r="M623" s="259" t="b">
        <f t="shared" si="4"/>
        <v>0</v>
      </c>
      <c r="N623" s="258" t="str">
        <f t="shared" si="5"/>
        <v/>
      </c>
      <c r="O623" s="5"/>
      <c r="P623" s="5"/>
      <c r="Q623" s="5"/>
      <c r="R623" s="5"/>
      <c r="S623" s="5"/>
      <c r="T623" s="5"/>
      <c r="U623" s="5"/>
      <c r="V623" s="5"/>
      <c r="W623" s="5"/>
    </row>
    <row r="624">
      <c r="A624" s="112" t="str">
        <f>IF(OR(ISBLANK(RAW_APS!A624),ISBLANK(RAW_APS!B624),ISBLANK(RAW_APS!C624)),TRUE,IFERROR(0/0,""))</f>
        <v/>
      </c>
      <c r="B624" s="252"/>
      <c r="C624" s="112" t="str">
        <f>IF(ISBLANK(B624),IFERROR(0/0,""),RAW_APS!A624)</f>
        <v/>
      </c>
      <c r="D624" s="112" t="str">
        <f>IF(ISBLANK(C624),IFERROR(0/0,""), VLOOKUP(C624,preDEL!A$2:AG786,33,FALSE))</f>
        <v/>
      </c>
      <c r="E624" s="252"/>
      <c r="F624" s="210"/>
      <c r="G624" s="252"/>
      <c r="H624" s="255" t="str">
        <f t="shared" si="1"/>
        <v/>
      </c>
      <c r="I624" s="256" t="str">
        <f>CONCATENATE(UPPER(RAW_APS!$A625),"__",RAW_APS!$B625,"_",RAW_APS!$C625)</f>
        <v>MA1217__44573_0.347650462962963</v>
      </c>
      <c r="J624" s="257" t="str">
        <f t="shared" si="2"/>
        <v/>
      </c>
      <c r="K624" s="252" t="s">
        <v>1840</v>
      </c>
      <c r="L624" s="258" t="str">
        <f t="shared" si="3"/>
        <v>MA468</v>
      </c>
      <c r="M624" s="259" t="b">
        <f t="shared" si="4"/>
        <v>0</v>
      </c>
      <c r="N624" s="258" t="str">
        <f t="shared" si="5"/>
        <v/>
      </c>
      <c r="O624" s="5"/>
      <c r="P624" s="5"/>
      <c r="Q624" s="5"/>
      <c r="R624" s="5"/>
      <c r="S624" s="5"/>
      <c r="T624" s="5"/>
      <c r="U624" s="5"/>
      <c r="V624" s="5"/>
      <c r="W624" s="5"/>
    </row>
    <row r="625">
      <c r="A625" s="112" t="str">
        <f>IF(OR(ISBLANK(RAW_APS!A625),ISBLANK(RAW_APS!B625),ISBLANK(RAW_APS!C625)),TRUE,IFERROR(0/0,""))</f>
        <v/>
      </c>
      <c r="B625" s="252"/>
      <c r="C625" s="112" t="str">
        <f>IF(ISBLANK(B625),IFERROR(0/0,""),RAW_APS!A625)</f>
        <v/>
      </c>
      <c r="D625" s="112" t="str">
        <f>IF(ISBLANK(C625),IFERROR(0/0,""), VLOOKUP(C625,preDEL!A$2:AG786,33,FALSE))</f>
        <v/>
      </c>
      <c r="E625" s="252"/>
      <c r="F625" s="210"/>
      <c r="G625" s="252"/>
      <c r="H625" s="255" t="str">
        <f t="shared" si="1"/>
        <v/>
      </c>
      <c r="I625" s="256" t="str">
        <f>CONCATENATE(UPPER(RAW_APS!$A626),"__",RAW_APS!$B626,"_",RAW_APS!$C626)</f>
        <v>MA633__44573_0.334780092592593</v>
      </c>
      <c r="J625" s="257" t="str">
        <f t="shared" si="2"/>
        <v/>
      </c>
      <c r="K625" s="252" t="s">
        <v>1842</v>
      </c>
      <c r="L625" s="258" t="str">
        <f t="shared" si="3"/>
        <v>MA469</v>
      </c>
      <c r="M625" s="259" t="b">
        <f t="shared" si="4"/>
        <v>0</v>
      </c>
      <c r="N625" s="258" t="str">
        <f t="shared" si="5"/>
        <v/>
      </c>
      <c r="O625" s="5"/>
      <c r="P625" s="5"/>
      <c r="Q625" s="5"/>
      <c r="R625" s="5"/>
      <c r="S625" s="5"/>
      <c r="T625" s="5"/>
      <c r="U625" s="5"/>
      <c r="V625" s="5"/>
      <c r="W625" s="5"/>
    </row>
    <row r="626">
      <c r="A626" s="112" t="str">
        <f>IF(OR(ISBLANK(RAW_APS!A626),ISBLANK(RAW_APS!B626),ISBLANK(RAW_APS!C626)),TRUE,IFERROR(0/0,""))</f>
        <v/>
      </c>
      <c r="B626" s="252"/>
      <c r="C626" s="112" t="str">
        <f>IF(ISBLANK(B626),IFERROR(0/0,""),RAW_APS!A626)</f>
        <v/>
      </c>
      <c r="D626" s="112" t="str">
        <f>IF(ISBLANK(C626),IFERROR(0/0,""), VLOOKUP(C626,preDEL!A$2:AG786,33,FALSE))</f>
        <v/>
      </c>
      <c r="E626" s="252"/>
      <c r="F626" s="210"/>
      <c r="G626" s="252"/>
      <c r="H626" s="255" t="str">
        <f t="shared" si="1"/>
        <v/>
      </c>
      <c r="I626" s="256" t="str">
        <f>CONCATENATE(UPPER(RAW_APS!$A627),"__",RAW_APS!$B627,"_",RAW_APS!$C627)</f>
        <v>MA1077__44573_0.328553240740741</v>
      </c>
      <c r="J626" s="257" t="str">
        <f t="shared" si="2"/>
        <v/>
      </c>
      <c r="K626" s="252" t="s">
        <v>1844</v>
      </c>
      <c r="L626" s="258" t="str">
        <f t="shared" si="3"/>
        <v>MA473</v>
      </c>
      <c r="M626" s="259" t="b">
        <f t="shared" si="4"/>
        <v>0</v>
      </c>
      <c r="N626" s="258" t="str">
        <f t="shared" si="5"/>
        <v/>
      </c>
      <c r="O626" s="5"/>
      <c r="P626" s="5"/>
      <c r="Q626" s="5"/>
      <c r="R626" s="5"/>
      <c r="S626" s="5"/>
      <c r="T626" s="5"/>
      <c r="U626" s="5"/>
      <c r="V626" s="5"/>
      <c r="W626" s="5"/>
    </row>
    <row r="627">
      <c r="A627" s="112" t="str">
        <f>IF(OR(ISBLANK(RAW_APS!A627),ISBLANK(RAW_APS!B627),ISBLANK(RAW_APS!C627)),TRUE,IFERROR(0/0,""))</f>
        <v/>
      </c>
      <c r="B627" s="252"/>
      <c r="C627" s="112" t="str">
        <f>IF(ISBLANK(B627),IFERROR(0/0,""),RAW_APS!A627)</f>
        <v/>
      </c>
      <c r="D627" s="112" t="str">
        <f>IF(ISBLANK(C627),IFERROR(0/0,""), VLOOKUP(C627,preDEL!A$2:AG786,33,FALSE))</f>
        <v/>
      </c>
      <c r="E627" s="252"/>
      <c r="F627" s="210"/>
      <c r="G627" s="252"/>
      <c r="H627" s="255" t="str">
        <f t="shared" si="1"/>
        <v/>
      </c>
      <c r="I627" s="256" t="str">
        <f>CONCATENATE(UPPER(RAW_APS!$A628),"__",RAW_APS!$B628,"_",RAW_APS!$C628)</f>
        <v>MA1156__44573_0.32337962962963</v>
      </c>
      <c r="J627" s="257" t="str">
        <f t="shared" si="2"/>
        <v/>
      </c>
      <c r="K627" s="252" t="s">
        <v>1846</v>
      </c>
      <c r="L627" s="258" t="str">
        <f t="shared" si="3"/>
        <v>MA474</v>
      </c>
      <c r="M627" s="259" t="b">
        <f t="shared" si="4"/>
        <v>0</v>
      </c>
      <c r="N627" s="258" t="str">
        <f t="shared" si="5"/>
        <v/>
      </c>
      <c r="O627" s="5"/>
      <c r="P627" s="5"/>
      <c r="Q627" s="5"/>
      <c r="R627" s="5"/>
      <c r="S627" s="5"/>
      <c r="T627" s="5"/>
      <c r="U627" s="5"/>
      <c r="V627" s="5"/>
      <c r="W627" s="5"/>
    </row>
    <row r="628">
      <c r="A628" s="112" t="str">
        <f>IF(OR(ISBLANK(RAW_APS!A628),ISBLANK(RAW_APS!B628),ISBLANK(RAW_APS!C628)),TRUE,IFERROR(0/0,""))</f>
        <v/>
      </c>
      <c r="B628" s="252"/>
      <c r="C628" s="112" t="str">
        <f>IF(ISBLANK(B628),IFERROR(0/0,""),RAW_APS!A628)</f>
        <v/>
      </c>
      <c r="D628" s="112" t="str">
        <f>IF(ISBLANK(C628),IFERROR(0/0,""), VLOOKUP(C628,preDEL!A$2:AG786,33,FALSE))</f>
        <v/>
      </c>
      <c r="E628" s="252"/>
      <c r="F628" s="210"/>
      <c r="G628" s="252"/>
      <c r="H628" s="255" t="str">
        <f t="shared" si="1"/>
        <v/>
      </c>
      <c r="I628" s="256" t="str">
        <f>CONCATENATE(UPPER(RAW_APS!$A629),"__",RAW_APS!$B629,"_",RAW_APS!$C629)</f>
        <v>MA700__44573_0.318275462962963</v>
      </c>
      <c r="J628" s="257" t="str">
        <f t="shared" si="2"/>
        <v/>
      </c>
      <c r="K628" s="252" t="s">
        <v>1850</v>
      </c>
      <c r="L628" s="258" t="str">
        <f t="shared" si="3"/>
        <v>MA477</v>
      </c>
      <c r="M628" s="259" t="b">
        <f t="shared" si="4"/>
        <v>0</v>
      </c>
      <c r="N628" s="258" t="str">
        <f t="shared" si="5"/>
        <v/>
      </c>
      <c r="O628" s="5"/>
      <c r="P628" s="5"/>
      <c r="Q628" s="5"/>
      <c r="R628" s="5"/>
      <c r="S628" s="5"/>
      <c r="T628" s="5"/>
      <c r="U628" s="5"/>
      <c r="V628" s="5"/>
      <c r="W628" s="5"/>
    </row>
    <row r="629">
      <c r="A629" s="112" t="str">
        <f>IF(OR(ISBLANK(RAW_APS!A629),ISBLANK(RAW_APS!B629),ISBLANK(RAW_APS!C629)),TRUE,IFERROR(0/0,""))</f>
        <v/>
      </c>
      <c r="B629" s="252"/>
      <c r="C629" s="112" t="str">
        <f>IF(ISBLANK(B629),IFERROR(0/0,""),RAW_APS!A629)</f>
        <v/>
      </c>
      <c r="D629" s="112" t="str">
        <f>IF(ISBLANK(C629),IFERROR(0/0,""), VLOOKUP(C629,preDEL!A$2:AG786,33,FALSE))</f>
        <v/>
      </c>
      <c r="E629" s="252"/>
      <c r="F629" s="210"/>
      <c r="G629" s="252"/>
      <c r="H629" s="255" t="str">
        <f t="shared" si="1"/>
        <v/>
      </c>
      <c r="I629" s="256" t="str">
        <f>CONCATENATE(UPPER(RAW_APS!$A630),"__",RAW_APS!$B630,"_",RAW_APS!$C630)</f>
        <v>MA658__44573_0.297916666666667</v>
      </c>
      <c r="J629" s="257" t="str">
        <f t="shared" si="2"/>
        <v/>
      </c>
      <c r="K629" s="252" t="s">
        <v>1854</v>
      </c>
      <c r="L629" s="258" t="str">
        <f t="shared" si="3"/>
        <v>MA478</v>
      </c>
      <c r="M629" s="259" t="b">
        <f t="shared" si="4"/>
        <v>0</v>
      </c>
      <c r="N629" s="258" t="str">
        <f t="shared" si="5"/>
        <v/>
      </c>
      <c r="O629" s="5"/>
      <c r="P629" s="5"/>
      <c r="Q629" s="5"/>
      <c r="R629" s="5"/>
      <c r="S629" s="5"/>
      <c r="T629" s="5"/>
      <c r="U629" s="5"/>
      <c r="V629" s="5"/>
      <c r="W629" s="5"/>
    </row>
    <row r="630">
      <c r="A630" s="112" t="str">
        <f>IF(OR(ISBLANK(RAW_APS!A630),ISBLANK(RAW_APS!B630),ISBLANK(RAW_APS!C630)),TRUE,IFERROR(0/0,""))</f>
        <v/>
      </c>
      <c r="B630" s="252"/>
      <c r="C630" s="112" t="str">
        <f>IF(ISBLANK(B630),IFERROR(0/0,""),RAW_APS!A630)</f>
        <v/>
      </c>
      <c r="D630" s="112" t="str">
        <f>IF(ISBLANK(C630),IFERROR(0/0,""), VLOOKUP(C630,preDEL!A$2:AG786,33,FALSE))</f>
        <v/>
      </c>
      <c r="E630" s="252"/>
      <c r="F630" s="210"/>
      <c r="G630" s="252"/>
      <c r="H630" s="255" t="str">
        <f t="shared" si="1"/>
        <v/>
      </c>
      <c r="I630" s="256" t="str">
        <f>CONCATENATE(UPPER(RAW_APS!$A631),"__",RAW_APS!$B631,"_",RAW_APS!$C631)</f>
        <v>MA634__44573_0.291203703703704</v>
      </c>
      <c r="J630" s="257" t="str">
        <f t="shared" si="2"/>
        <v/>
      </c>
      <c r="K630" s="252" t="s">
        <v>1856</v>
      </c>
      <c r="L630" s="258" t="str">
        <f t="shared" si="3"/>
        <v>MA479</v>
      </c>
      <c r="M630" s="259" t="b">
        <f t="shared" si="4"/>
        <v>0</v>
      </c>
      <c r="N630" s="258" t="str">
        <f t="shared" si="5"/>
        <v/>
      </c>
      <c r="O630" s="5"/>
      <c r="P630" s="5"/>
      <c r="Q630" s="5"/>
      <c r="R630" s="5"/>
      <c r="S630" s="5"/>
      <c r="T630" s="5"/>
      <c r="U630" s="5"/>
      <c r="V630" s="5"/>
      <c r="W630" s="5"/>
    </row>
    <row r="631">
      <c r="A631" s="112" t="str">
        <f>IF(OR(ISBLANK(RAW_APS!A631),ISBLANK(RAW_APS!B631),ISBLANK(RAW_APS!C631)),TRUE,IFERROR(0/0,""))</f>
        <v/>
      </c>
      <c r="B631" s="252"/>
      <c r="C631" s="112" t="str">
        <f>IF(ISBLANK(B631),IFERROR(0/0,""),RAW_APS!A631)</f>
        <v/>
      </c>
      <c r="D631" s="112" t="str">
        <f>IF(ISBLANK(C631),IFERROR(0/0,""), VLOOKUP(C631,preDEL!A$2:AG786,33,FALSE))</f>
        <v/>
      </c>
      <c r="E631" s="252"/>
      <c r="F631" s="210"/>
      <c r="G631" s="252"/>
      <c r="H631" s="255" t="str">
        <f t="shared" si="1"/>
        <v/>
      </c>
      <c r="I631" s="256" t="str">
        <f>CONCATENATE(UPPER(RAW_APS!$A632),"__",RAW_APS!$B632,"_",RAW_APS!$C632)</f>
        <v>MAX128__44573_0.287743055555556</v>
      </c>
      <c r="J631" s="257" t="str">
        <f t="shared" si="2"/>
        <v/>
      </c>
      <c r="K631" s="252" t="s">
        <v>1858</v>
      </c>
      <c r="L631" s="258" t="str">
        <f t="shared" si="3"/>
        <v>MA480</v>
      </c>
      <c r="M631" s="259" t="b">
        <f t="shared" si="4"/>
        <v>0</v>
      </c>
      <c r="N631" s="258" t="str">
        <f t="shared" si="5"/>
        <v/>
      </c>
      <c r="O631" s="5"/>
      <c r="P631" s="5"/>
      <c r="Q631" s="5"/>
      <c r="R631" s="5"/>
      <c r="S631" s="5"/>
      <c r="T631" s="5"/>
      <c r="U631" s="5"/>
      <c r="V631" s="5"/>
      <c r="W631" s="5"/>
    </row>
    <row r="632">
      <c r="A632" s="112" t="str">
        <f>IF(OR(ISBLANK(RAW_APS!A632),ISBLANK(RAW_APS!B632),ISBLANK(RAW_APS!C632)),TRUE,IFERROR(0/0,""))</f>
        <v/>
      </c>
      <c r="B632" s="252"/>
      <c r="C632" s="112" t="str">
        <f>IF(ISBLANK(B632),IFERROR(0/0,""),RAW_APS!A632)</f>
        <v/>
      </c>
      <c r="D632" s="112" t="str">
        <f>IF(ISBLANK(C632),IFERROR(0/0,""), VLOOKUP(C632,preDEL!A$2:AG786,33,FALSE))</f>
        <v/>
      </c>
      <c r="E632" s="252"/>
      <c r="F632" s="210"/>
      <c r="G632" s="252"/>
      <c r="H632" s="255" t="str">
        <f t="shared" si="1"/>
        <v/>
      </c>
      <c r="I632" s="256" t="str">
        <f>CONCATENATE(UPPER(RAW_APS!$A633),"__",RAW_APS!$B633,"_",RAW_APS!$C633)</f>
        <v>MA683__44573_0.28099537037037</v>
      </c>
      <c r="J632" s="257" t="str">
        <f t="shared" si="2"/>
        <v/>
      </c>
      <c r="K632" s="252" t="s">
        <v>1860</v>
      </c>
      <c r="L632" s="258" t="str">
        <f t="shared" si="3"/>
        <v>MA490</v>
      </c>
      <c r="M632" s="259" t="b">
        <f t="shared" si="4"/>
        <v>0</v>
      </c>
      <c r="N632" s="258" t="str">
        <f t="shared" si="5"/>
        <v/>
      </c>
      <c r="O632" s="5"/>
      <c r="P632" s="5"/>
      <c r="Q632" s="5"/>
      <c r="R632" s="5"/>
      <c r="S632" s="5"/>
      <c r="T632" s="5"/>
      <c r="U632" s="5"/>
      <c r="V632" s="5"/>
      <c r="W632" s="5"/>
    </row>
    <row r="633">
      <c r="A633" s="112" t="str">
        <f>IF(OR(ISBLANK(RAW_APS!A633),ISBLANK(RAW_APS!B633),ISBLANK(RAW_APS!C633)),TRUE,IFERROR(0/0,""))</f>
        <v/>
      </c>
      <c r="B633" s="252"/>
      <c r="C633" s="112" t="str">
        <f>IF(ISBLANK(B633),IFERROR(0/0,""),RAW_APS!A633)</f>
        <v/>
      </c>
      <c r="D633" s="112" t="str">
        <f>IF(ISBLANK(C633),IFERROR(0/0,""), VLOOKUP(C633,preDEL!A$2:AG786,33,FALSE))</f>
        <v/>
      </c>
      <c r="E633" s="252"/>
      <c r="F633" s="210"/>
      <c r="G633" s="252"/>
      <c r="H633" s="255" t="str">
        <f t="shared" si="1"/>
        <v/>
      </c>
      <c r="I633" s="256" t="str">
        <f>CONCATENATE(UPPER(RAW_APS!$A634),"__",RAW_APS!$B634,"_",RAW_APS!$C634)</f>
        <v>HERO700__44572_0.546331018518519</v>
      </c>
      <c r="J633" s="257" t="str">
        <f t="shared" si="2"/>
        <v/>
      </c>
      <c r="K633" s="252" t="s">
        <v>1862</v>
      </c>
      <c r="L633" s="258" t="str">
        <f t="shared" si="3"/>
        <v>MA524</v>
      </c>
      <c r="M633" s="259" t="b">
        <f t="shared" si="4"/>
        <v>0</v>
      </c>
      <c r="N633" s="258" t="str">
        <f t="shared" si="5"/>
        <v/>
      </c>
      <c r="O633" s="5"/>
      <c r="P633" s="5"/>
      <c r="Q633" s="5"/>
      <c r="R633" s="5"/>
      <c r="S633" s="5"/>
      <c r="T633" s="5"/>
      <c r="U633" s="5"/>
      <c r="V633" s="5"/>
      <c r="W633" s="5"/>
    </row>
    <row r="634">
      <c r="A634" s="112" t="str">
        <f>IF(OR(ISBLANK(RAW_APS!A634),ISBLANK(RAW_APS!B634),ISBLANK(RAW_APS!C634)),TRUE,IFERROR(0/0,""))</f>
        <v/>
      </c>
      <c r="B634" s="252"/>
      <c r="C634" s="112" t="str">
        <f>IF(ISBLANK(B634),IFERROR(0/0,""),RAW_APS!A634)</f>
        <v/>
      </c>
      <c r="D634" s="112" t="str">
        <f>IF(ISBLANK(C634),IFERROR(0/0,""), VLOOKUP(C634,preDEL!A$2:AG786,33,FALSE))</f>
        <v/>
      </c>
      <c r="E634" s="252"/>
      <c r="F634" s="210"/>
      <c r="G634" s="252"/>
      <c r="H634" s="255" t="str">
        <f t="shared" si="1"/>
        <v/>
      </c>
      <c r="I634" s="256" t="str">
        <f>CONCATENATE(UPPER(RAW_APS!$A635),"__",RAW_APS!$B635,"_",RAW_APS!$C635)</f>
        <v>MA1234__44572_0.536875</v>
      </c>
      <c r="J634" s="257" t="str">
        <f t="shared" si="2"/>
        <v/>
      </c>
      <c r="K634" s="252" t="s">
        <v>1864</v>
      </c>
      <c r="L634" s="258" t="str">
        <f t="shared" si="3"/>
        <v>MA542</v>
      </c>
      <c r="M634" s="259" t="b">
        <f t="shared" si="4"/>
        <v>0</v>
      </c>
      <c r="N634" s="258" t="str">
        <f t="shared" si="5"/>
        <v/>
      </c>
      <c r="O634" s="5"/>
      <c r="P634" s="5"/>
      <c r="Q634" s="5"/>
      <c r="R634" s="5"/>
      <c r="S634" s="5"/>
      <c r="T634" s="5"/>
      <c r="U634" s="5"/>
      <c r="V634" s="5"/>
      <c r="W634" s="5"/>
    </row>
    <row r="635">
      <c r="A635" s="112" t="str">
        <f>IF(OR(ISBLANK(RAW_APS!A635),ISBLANK(RAW_APS!B635),ISBLANK(RAW_APS!C635)),TRUE,IFERROR(0/0,""))</f>
        <v/>
      </c>
      <c r="B635" s="252"/>
      <c r="C635" s="112" t="str">
        <f>IF(ISBLANK(B635),IFERROR(0/0,""),RAW_APS!A635)</f>
        <v/>
      </c>
      <c r="D635" s="112" t="str">
        <f>IF(ISBLANK(C635),IFERROR(0/0,""), VLOOKUP(C635,preDEL!A$2:AG786,33,FALSE))</f>
        <v/>
      </c>
      <c r="E635" s="252"/>
      <c r="F635" s="210"/>
      <c r="G635" s="252"/>
      <c r="H635" s="255" t="str">
        <f t="shared" si="1"/>
        <v/>
      </c>
      <c r="I635" s="256" t="str">
        <f>CONCATENATE(UPPER(RAW_APS!$A636),"__",RAW_APS!$B636,"_",RAW_APS!$C636)</f>
        <v>MA653__44571_0.429444444444444</v>
      </c>
      <c r="J635" s="257" t="str">
        <f t="shared" si="2"/>
        <v/>
      </c>
      <c r="K635" s="252" t="s">
        <v>1866</v>
      </c>
      <c r="L635" s="258" t="str">
        <f t="shared" si="3"/>
        <v>MA545</v>
      </c>
      <c r="M635" s="259" t="b">
        <f t="shared" si="4"/>
        <v>0</v>
      </c>
      <c r="N635" s="258" t="str">
        <f t="shared" si="5"/>
        <v/>
      </c>
      <c r="O635" s="5"/>
      <c r="P635" s="5"/>
      <c r="Q635" s="5"/>
      <c r="R635" s="5"/>
      <c r="S635" s="5"/>
      <c r="T635" s="5"/>
      <c r="U635" s="5"/>
      <c r="V635" s="5"/>
      <c r="W635" s="5"/>
    </row>
    <row r="636">
      <c r="A636" s="112" t="str">
        <f>IF(OR(ISBLANK(RAW_APS!A636),ISBLANK(RAW_APS!B636),ISBLANK(RAW_APS!C636)),TRUE,IFERROR(0/0,""))</f>
        <v/>
      </c>
      <c r="B636" s="252"/>
      <c r="C636" s="112" t="str">
        <f>IF(ISBLANK(B636),IFERROR(0/0,""),RAW_APS!A636)</f>
        <v/>
      </c>
      <c r="D636" s="112" t="str">
        <f>IF(ISBLANK(C636),IFERROR(0/0,""), VLOOKUP(C636,preDEL!A$2:AG786,33,FALSE))</f>
        <v/>
      </c>
      <c r="E636" s="252"/>
      <c r="F636" s="210"/>
      <c r="G636" s="252"/>
      <c r="H636" s="255" t="str">
        <f t="shared" si="1"/>
        <v/>
      </c>
      <c r="I636" s="256" t="str">
        <f>CONCATENATE(UPPER(RAW_APS!$A637),"__",RAW_APS!$B637,"_",RAW_APS!$C637)</f>
        <v>MA622__44571_0.429016203703704</v>
      </c>
      <c r="J636" s="257" t="str">
        <f t="shared" si="2"/>
        <v/>
      </c>
      <c r="K636" s="252" t="s">
        <v>1868</v>
      </c>
      <c r="L636" s="258" t="str">
        <f t="shared" si="3"/>
        <v>MA547</v>
      </c>
      <c r="M636" s="259" t="b">
        <f t="shared" si="4"/>
        <v>0</v>
      </c>
      <c r="N636" s="258" t="str">
        <f t="shared" si="5"/>
        <v/>
      </c>
      <c r="O636" s="5"/>
      <c r="P636" s="5"/>
      <c r="Q636" s="5"/>
      <c r="R636" s="5"/>
      <c r="S636" s="5"/>
      <c r="T636" s="5"/>
      <c r="U636" s="5"/>
      <c r="V636" s="5"/>
      <c r="W636" s="5"/>
    </row>
    <row r="637">
      <c r="A637" s="112" t="str">
        <f>IF(OR(ISBLANK(RAW_APS!A637),ISBLANK(RAW_APS!B637),ISBLANK(RAW_APS!C637)),TRUE,IFERROR(0/0,""))</f>
        <v/>
      </c>
      <c r="B637" s="252"/>
      <c r="C637" s="112" t="str">
        <f>IF(ISBLANK(B637),IFERROR(0/0,""),RAW_APS!A637)</f>
        <v/>
      </c>
      <c r="D637" s="112" t="str">
        <f>IF(ISBLANK(C637),IFERROR(0/0,""), VLOOKUP(C637,preDEL!A$2:AG786,33,FALSE))</f>
        <v/>
      </c>
      <c r="E637" s="252"/>
      <c r="F637" s="210"/>
      <c r="G637" s="252"/>
      <c r="H637" s="255" t="str">
        <f t="shared" si="1"/>
        <v/>
      </c>
      <c r="I637" s="256" t="str">
        <f>CONCATENATE(UPPER(RAW_APS!$A638),"__",RAW_APS!$B638,"_",RAW_APS!$C638)</f>
        <v>MA468__44571_0.428611111111111</v>
      </c>
      <c r="J637" s="257" t="str">
        <f t="shared" si="2"/>
        <v/>
      </c>
      <c r="K637" s="252" t="s">
        <v>1870</v>
      </c>
      <c r="L637" s="258" t="str">
        <f t="shared" si="3"/>
        <v>MA556</v>
      </c>
      <c r="M637" s="259" t="b">
        <f t="shared" si="4"/>
        <v>0</v>
      </c>
      <c r="N637" s="258" t="str">
        <f t="shared" si="5"/>
        <v/>
      </c>
      <c r="O637" s="5"/>
      <c r="P637" s="5"/>
      <c r="Q637" s="5"/>
      <c r="R637" s="5"/>
      <c r="S637" s="5"/>
      <c r="T637" s="5"/>
      <c r="U637" s="5"/>
      <c r="V637" s="5"/>
      <c r="W637" s="5"/>
    </row>
    <row r="638">
      <c r="A638" s="112" t="str">
        <f>IF(OR(ISBLANK(RAW_APS!A638),ISBLANK(RAW_APS!B638),ISBLANK(RAW_APS!C638)),TRUE,IFERROR(0/0,""))</f>
        <v/>
      </c>
      <c r="B638" s="252"/>
      <c r="C638" s="112" t="str">
        <f>IF(ISBLANK(B638),IFERROR(0/0,""),RAW_APS!A638)</f>
        <v/>
      </c>
      <c r="D638" s="112" t="str">
        <f>IF(ISBLANK(C638),IFERROR(0/0,""), VLOOKUP(C638,preDEL!A$2:AG786,33,FALSE))</f>
        <v/>
      </c>
      <c r="E638" s="252"/>
      <c r="F638" s="210"/>
      <c r="G638" s="252"/>
      <c r="H638" s="255" t="str">
        <f t="shared" si="1"/>
        <v/>
      </c>
      <c r="I638" s="256" t="str">
        <f>CONCATENATE(UPPER(RAW_APS!$A639),"__",RAW_APS!$B639,"_",RAW_APS!$C639)</f>
        <v>MA436__44571_0.428113425925926</v>
      </c>
      <c r="J638" s="257" t="str">
        <f t="shared" si="2"/>
        <v/>
      </c>
      <c r="K638" s="252" t="s">
        <v>1872</v>
      </c>
      <c r="L638" s="258" t="str">
        <f t="shared" si="3"/>
        <v>MA574</v>
      </c>
      <c r="M638" s="259" t="b">
        <f t="shared" si="4"/>
        <v>0</v>
      </c>
      <c r="N638" s="258" t="str">
        <f t="shared" si="5"/>
        <v/>
      </c>
      <c r="O638" s="5"/>
      <c r="P638" s="5"/>
      <c r="Q638" s="5"/>
      <c r="R638" s="5"/>
      <c r="S638" s="5"/>
      <c r="T638" s="5"/>
      <c r="U638" s="5"/>
      <c r="V638" s="5"/>
      <c r="W638" s="5"/>
    </row>
    <row r="639">
      <c r="A639" s="112" t="str">
        <f>IF(OR(ISBLANK(RAW_APS!A639),ISBLANK(RAW_APS!B639),ISBLANK(RAW_APS!C639)),TRUE,IFERROR(0/0,""))</f>
        <v/>
      </c>
      <c r="B639" s="252"/>
      <c r="C639" s="112" t="str">
        <f>IF(ISBLANK(B639),IFERROR(0/0,""),RAW_APS!A639)</f>
        <v/>
      </c>
      <c r="D639" s="112" t="str">
        <f>IF(ISBLANK(C639),IFERROR(0/0,""), VLOOKUP(C639,preDEL!A$2:AG786,33,FALSE))</f>
        <v/>
      </c>
      <c r="E639" s="252"/>
      <c r="F639" s="210"/>
      <c r="G639" s="252"/>
      <c r="H639" s="255" t="str">
        <f t="shared" si="1"/>
        <v/>
      </c>
      <c r="I639" s="256" t="str">
        <f>CONCATENATE(UPPER(RAW_APS!$A640),"__",RAW_APS!$B640,"_",RAW_APS!$C640)</f>
        <v>MA435__44571_0.427164351851852</v>
      </c>
      <c r="J639" s="257" t="str">
        <f t="shared" si="2"/>
        <v/>
      </c>
      <c r="K639" s="252" t="s">
        <v>1874</v>
      </c>
      <c r="L639" s="258" t="str">
        <f t="shared" si="3"/>
        <v>MA598</v>
      </c>
      <c r="M639" s="259" t="b">
        <f t="shared" si="4"/>
        <v>0</v>
      </c>
      <c r="N639" s="258" t="str">
        <f t="shared" si="5"/>
        <v/>
      </c>
      <c r="O639" s="5"/>
      <c r="P639" s="5"/>
      <c r="Q639" s="5"/>
      <c r="R639" s="5"/>
      <c r="S639" s="5"/>
      <c r="T639" s="5"/>
      <c r="U639" s="5"/>
      <c r="V639" s="5"/>
      <c r="W639" s="5"/>
    </row>
    <row r="640">
      <c r="A640" s="112" t="str">
        <f>IF(OR(ISBLANK(RAW_APS!A640),ISBLANK(RAW_APS!B640),ISBLANK(RAW_APS!C640)),TRUE,IFERROR(0/0,""))</f>
        <v/>
      </c>
      <c r="B640" s="252"/>
      <c r="C640" s="112" t="str">
        <f>IF(ISBLANK(B640),IFERROR(0/0,""),RAW_APS!A640)</f>
        <v/>
      </c>
      <c r="D640" s="112" t="str">
        <f>IF(ISBLANK(C640),IFERROR(0/0,""), VLOOKUP(C640,preDEL!A$2:AG786,33,FALSE))</f>
        <v/>
      </c>
      <c r="E640" s="252"/>
      <c r="F640" s="210"/>
      <c r="G640" s="252"/>
      <c r="H640" s="255" t="str">
        <f t="shared" si="1"/>
        <v/>
      </c>
      <c r="I640" s="256" t="str">
        <f>CONCATENATE(UPPER(RAW_APS!$A641),"__",RAW_APS!$B641,"_",RAW_APS!$C641)</f>
        <v>MA474__44571_0.425949074074074</v>
      </c>
      <c r="J640" s="257" t="str">
        <f t="shared" si="2"/>
        <v/>
      </c>
      <c r="K640" s="252" t="s">
        <v>1876</v>
      </c>
      <c r="L640" s="258" t="str">
        <f t="shared" si="3"/>
        <v>MA603</v>
      </c>
      <c r="M640" s="259" t="b">
        <f t="shared" si="4"/>
        <v>0</v>
      </c>
      <c r="N640" s="258" t="str">
        <f t="shared" si="5"/>
        <v/>
      </c>
      <c r="O640" s="5"/>
      <c r="P640" s="5"/>
      <c r="Q640" s="5"/>
      <c r="R640" s="5"/>
      <c r="S640" s="5"/>
      <c r="T640" s="5"/>
      <c r="U640" s="5"/>
      <c r="V640" s="5"/>
      <c r="W640" s="5"/>
    </row>
    <row r="641">
      <c r="A641" s="112" t="str">
        <f>IF(OR(ISBLANK(RAW_APS!A641),ISBLANK(RAW_APS!B641),ISBLANK(RAW_APS!C641)),TRUE,IFERROR(0/0,""))</f>
        <v/>
      </c>
      <c r="B641" s="252"/>
      <c r="C641" s="112" t="str">
        <f>IF(ISBLANK(B641),IFERROR(0/0,""),RAW_APS!A641)</f>
        <v/>
      </c>
      <c r="D641" s="112" t="str">
        <f>IF(ISBLANK(C641),IFERROR(0/0,""), VLOOKUP(C641,preDEL!A$2:AG786,33,FALSE))</f>
        <v/>
      </c>
      <c r="E641" s="252"/>
      <c r="F641" s="210"/>
      <c r="G641" s="252"/>
      <c r="H641" s="255" t="str">
        <f t="shared" si="1"/>
        <v/>
      </c>
      <c r="I641" s="256" t="str">
        <f>CONCATENATE(UPPER(RAW_APS!$A642),"__",RAW_APS!$B642,"_",RAW_APS!$C642)</f>
        <v>MA341__44571_0.392893518518519</v>
      </c>
      <c r="J641" s="257" t="str">
        <f t="shared" si="2"/>
        <v/>
      </c>
      <c r="K641" s="252" t="s">
        <v>1878</v>
      </c>
      <c r="L641" s="258" t="str">
        <f t="shared" si="3"/>
        <v>MA604</v>
      </c>
      <c r="M641" s="259" t="b">
        <f t="shared" si="4"/>
        <v>0</v>
      </c>
      <c r="N641" s="258" t="str">
        <f t="shared" si="5"/>
        <v/>
      </c>
      <c r="O641" s="5"/>
      <c r="P641" s="5"/>
      <c r="Q641" s="5"/>
      <c r="R641" s="5"/>
      <c r="S641" s="5"/>
      <c r="T641" s="5"/>
      <c r="U641" s="5"/>
      <c r="V641" s="5"/>
      <c r="W641" s="5"/>
    </row>
    <row r="642">
      <c r="A642" s="112" t="str">
        <f>IF(OR(ISBLANK(RAW_APS!A642),ISBLANK(RAW_APS!B642),ISBLANK(RAW_APS!C642)),TRUE,IFERROR(0/0,""))</f>
        <v/>
      </c>
      <c r="B642" s="252"/>
      <c r="C642" s="112" t="str">
        <f>IF(ISBLANK(B642),IFERROR(0/0,""),RAW_APS!A642)</f>
        <v/>
      </c>
      <c r="D642" s="112" t="str">
        <f>IF(ISBLANK(C642),IFERROR(0/0,""), VLOOKUP(C642,preDEL!A$2:AG786,33,FALSE))</f>
        <v/>
      </c>
      <c r="E642" s="252"/>
      <c r="F642" s="210"/>
      <c r="G642" s="252"/>
      <c r="H642" s="255" t="str">
        <f t="shared" si="1"/>
        <v/>
      </c>
      <c r="I642" s="256" t="str">
        <f>CONCATENATE(UPPER(RAW_APS!$A643),"__",RAW_APS!$B643,"_",RAW_APS!$C643)</f>
        <v>MA332__44571_0.392488425925926</v>
      </c>
      <c r="J642" s="257" t="str">
        <f t="shared" si="2"/>
        <v/>
      </c>
      <c r="K642" s="252" t="s">
        <v>1882</v>
      </c>
      <c r="L642" s="258" t="str">
        <f t="shared" si="3"/>
        <v>MA606</v>
      </c>
      <c r="M642" s="259" t="b">
        <f t="shared" si="4"/>
        <v>0</v>
      </c>
      <c r="N642" s="258" t="str">
        <f t="shared" si="5"/>
        <v/>
      </c>
      <c r="O642" s="5"/>
      <c r="P642" s="5"/>
      <c r="Q642" s="5"/>
      <c r="R642" s="5"/>
      <c r="S642" s="5"/>
      <c r="T642" s="5"/>
      <c r="U642" s="5"/>
      <c r="V642" s="5"/>
      <c r="W642" s="5"/>
    </row>
    <row r="643">
      <c r="A643" s="112" t="str">
        <f>IF(OR(ISBLANK(RAW_APS!A643),ISBLANK(RAW_APS!B643),ISBLANK(RAW_APS!C643)),TRUE,IFERROR(0/0,""))</f>
        <v/>
      </c>
      <c r="B643" s="252"/>
      <c r="C643" s="112" t="str">
        <f>IF(ISBLANK(B643),IFERROR(0/0,""),RAW_APS!A643)</f>
        <v/>
      </c>
      <c r="D643" s="112" t="str">
        <f>IF(ISBLANK(C643),IFERROR(0/0,""), VLOOKUP(C643,preDEL!A$2:AG786,33,FALSE))</f>
        <v/>
      </c>
      <c r="E643" s="252"/>
      <c r="F643" s="210"/>
      <c r="G643" s="252"/>
      <c r="H643" s="255" t="str">
        <f t="shared" si="1"/>
        <v/>
      </c>
      <c r="I643" s="256" t="str">
        <f>CONCATENATE(UPPER(RAW_APS!$A644),"__",RAW_APS!$B644,"_",RAW_APS!$C644)</f>
        <v>MA344__44571_0.391944444444444</v>
      </c>
      <c r="J643" s="257" t="str">
        <f t="shared" si="2"/>
        <v/>
      </c>
      <c r="K643" s="252" t="s">
        <v>1884</v>
      </c>
      <c r="L643" s="258" t="str">
        <f t="shared" si="3"/>
        <v>MA607</v>
      </c>
      <c r="M643" s="259" t="b">
        <f t="shared" si="4"/>
        <v>0</v>
      </c>
      <c r="N643" s="258" t="str">
        <f t="shared" si="5"/>
        <v/>
      </c>
      <c r="O643" s="5"/>
      <c r="P643" s="5"/>
      <c r="Q643" s="5"/>
      <c r="R643" s="5"/>
      <c r="S643" s="5"/>
      <c r="T643" s="5"/>
      <c r="U643" s="5"/>
      <c r="V643" s="5"/>
      <c r="W643" s="5"/>
    </row>
    <row r="644">
      <c r="A644" s="112" t="str">
        <f>IF(OR(ISBLANK(RAW_APS!A644),ISBLANK(RAW_APS!B644),ISBLANK(RAW_APS!C644)),TRUE,IFERROR(0/0,""))</f>
        <v/>
      </c>
      <c r="B644" s="252"/>
      <c r="C644" s="112" t="str">
        <f>IF(ISBLANK(B644),IFERROR(0/0,""),RAW_APS!A644)</f>
        <v/>
      </c>
      <c r="D644" s="112" t="str">
        <f>IF(ISBLANK(C644),IFERROR(0/0,""), VLOOKUP(C644,preDEL!A$2:AG786,33,FALSE))</f>
        <v/>
      </c>
      <c r="E644" s="252"/>
      <c r="F644" s="210"/>
      <c r="G644" s="252"/>
      <c r="H644" s="255" t="str">
        <f t="shared" si="1"/>
        <v/>
      </c>
      <c r="I644" s="256" t="str">
        <f>CONCATENATE(UPPER(RAW_APS!$A645),"__",RAW_APS!$B645,"_",RAW_APS!$C645)</f>
        <v>MA384__44571_0.391412037037037</v>
      </c>
      <c r="J644" s="257" t="str">
        <f t="shared" si="2"/>
        <v/>
      </c>
      <c r="K644" s="252" t="s">
        <v>1886</v>
      </c>
      <c r="L644" s="258" t="str">
        <f t="shared" si="3"/>
        <v>MA608</v>
      </c>
      <c r="M644" s="259" t="b">
        <f t="shared" si="4"/>
        <v>0</v>
      </c>
      <c r="N644" s="258" t="str">
        <f t="shared" si="5"/>
        <v/>
      </c>
      <c r="O644" s="5"/>
      <c r="P644" s="5"/>
      <c r="Q644" s="5"/>
      <c r="R644" s="5"/>
      <c r="S644" s="5"/>
      <c r="T644" s="5"/>
      <c r="U644" s="5"/>
      <c r="V644" s="5"/>
      <c r="W644" s="5"/>
    </row>
    <row r="645">
      <c r="A645" s="112" t="str">
        <f>IF(OR(ISBLANK(RAW_APS!A645),ISBLANK(RAW_APS!B645),ISBLANK(RAW_APS!C645)),TRUE,IFERROR(0/0,""))</f>
        <v/>
      </c>
      <c r="B645" s="252"/>
      <c r="C645" s="112" t="str">
        <f>IF(ISBLANK(B645),IFERROR(0/0,""),RAW_APS!A645)</f>
        <v/>
      </c>
      <c r="D645" s="112" t="str">
        <f>IF(ISBLANK(C645),IFERROR(0/0,""), VLOOKUP(C645,preDEL!A$2:AG786,33,FALSE))</f>
        <v/>
      </c>
      <c r="E645" s="252"/>
      <c r="F645" s="210"/>
      <c r="G645" s="252"/>
      <c r="H645" s="255" t="str">
        <f t="shared" si="1"/>
        <v/>
      </c>
      <c r="I645" s="256" t="str">
        <f>CONCATENATE(UPPER(RAW_APS!$A646),"__",RAW_APS!$B646,"_",RAW_APS!$C646)</f>
        <v>MAX119__44571_0.390439814814815</v>
      </c>
      <c r="J645" s="257" t="str">
        <f t="shared" si="2"/>
        <v/>
      </c>
      <c r="K645" s="252" t="s">
        <v>1889</v>
      </c>
      <c r="L645" s="258" t="str">
        <f t="shared" si="3"/>
        <v>MA609</v>
      </c>
      <c r="M645" s="259" t="b">
        <f t="shared" si="4"/>
        <v>0</v>
      </c>
      <c r="N645" s="258" t="str">
        <f t="shared" si="5"/>
        <v/>
      </c>
      <c r="O645" s="5"/>
      <c r="P645" s="5"/>
      <c r="Q645" s="5"/>
      <c r="R645" s="5"/>
      <c r="S645" s="5"/>
      <c r="T645" s="5"/>
      <c r="U645" s="5"/>
      <c r="V645" s="5"/>
      <c r="W645" s="5"/>
    </row>
    <row r="646">
      <c r="A646" s="112" t="str">
        <f>IF(OR(ISBLANK(RAW_APS!A646),ISBLANK(RAW_APS!B646),ISBLANK(RAW_APS!C646)),TRUE,IFERROR(0/0,""))</f>
        <v/>
      </c>
      <c r="B646" s="252"/>
      <c r="C646" s="112" t="str">
        <f>IF(ISBLANK(B646),IFERROR(0/0,""),RAW_APS!A646)</f>
        <v/>
      </c>
      <c r="D646" s="112" t="str">
        <f>IF(ISBLANK(C646),IFERROR(0/0,""), VLOOKUP(C646,preDEL!A$2:AG786,33,FALSE))</f>
        <v/>
      </c>
      <c r="E646" s="252"/>
      <c r="F646" s="210"/>
      <c r="G646" s="252"/>
      <c r="H646" s="255" t="str">
        <f t="shared" si="1"/>
        <v/>
      </c>
      <c r="I646" s="256" t="str">
        <f>CONCATENATE(UPPER(RAW_APS!$A647),"__",RAW_APS!$B647,"_",RAW_APS!$C647)</f>
        <v>MAX69__44571_0.389976851851852</v>
      </c>
      <c r="J646" s="257" t="str">
        <f t="shared" si="2"/>
        <v/>
      </c>
      <c r="K646" s="252" t="s">
        <v>1892</v>
      </c>
      <c r="L646" s="258" t="str">
        <f t="shared" si="3"/>
        <v>MA610</v>
      </c>
      <c r="M646" s="259" t="b">
        <f t="shared" si="4"/>
        <v>0</v>
      </c>
      <c r="N646" s="258" t="str">
        <f t="shared" si="5"/>
        <v/>
      </c>
      <c r="O646" s="5"/>
      <c r="P646" s="5"/>
      <c r="Q646" s="5"/>
      <c r="R646" s="5"/>
      <c r="S646" s="5"/>
      <c r="T646" s="5"/>
      <c r="U646" s="5"/>
      <c r="V646" s="5"/>
      <c r="W646" s="5"/>
    </row>
    <row r="647">
      <c r="A647" s="112" t="str">
        <f>IF(OR(ISBLANK(RAW_APS!A647),ISBLANK(RAW_APS!B647),ISBLANK(RAW_APS!C647)),TRUE,IFERROR(0/0,""))</f>
        <v/>
      </c>
      <c r="B647" s="252"/>
      <c r="C647" s="112" t="str">
        <f>IF(ISBLANK(B647),IFERROR(0/0,""),RAW_APS!A647)</f>
        <v/>
      </c>
      <c r="D647" s="112" t="str">
        <f>IF(ISBLANK(C647),IFERROR(0/0,""), VLOOKUP(C647,preDEL!A$2:AG786,33,FALSE))</f>
        <v/>
      </c>
      <c r="E647" s="252"/>
      <c r="F647" s="210"/>
      <c r="G647" s="252"/>
      <c r="H647" s="255" t="str">
        <f t="shared" si="1"/>
        <v/>
      </c>
      <c r="I647" s="256" t="str">
        <f>CONCATENATE(UPPER(RAW_APS!$A648),"__",RAW_APS!$B648,"_",RAW_APS!$C648)</f>
        <v>MAX95__44571_0.389363425925926</v>
      </c>
      <c r="J647" s="257" t="str">
        <f t="shared" si="2"/>
        <v/>
      </c>
      <c r="K647" s="252" t="s">
        <v>1895</v>
      </c>
      <c r="L647" s="258" t="str">
        <f t="shared" si="3"/>
        <v>MA613</v>
      </c>
      <c r="M647" s="259" t="b">
        <f t="shared" si="4"/>
        <v>0</v>
      </c>
      <c r="N647" s="258" t="str">
        <f t="shared" si="5"/>
        <v/>
      </c>
      <c r="O647" s="5"/>
      <c r="P647" s="5"/>
      <c r="Q647" s="5"/>
      <c r="R647" s="5"/>
      <c r="S647" s="5"/>
      <c r="T647" s="5"/>
      <c r="U647" s="5"/>
      <c r="V647" s="5"/>
      <c r="W647" s="5"/>
    </row>
    <row r="648">
      <c r="A648" s="112" t="str">
        <f>IF(OR(ISBLANK(RAW_APS!A648),ISBLANK(RAW_APS!B648),ISBLANK(RAW_APS!C648)),TRUE,IFERROR(0/0,""))</f>
        <v/>
      </c>
      <c r="B648" s="252"/>
      <c r="C648" s="112" t="str">
        <f>IF(ISBLANK(B648),IFERROR(0/0,""),RAW_APS!A648)</f>
        <v/>
      </c>
      <c r="D648" s="112" t="str">
        <f>IF(ISBLANK(C648),IFERROR(0/0,""), VLOOKUP(C648,preDEL!A$2:AG786,33,FALSE))</f>
        <v/>
      </c>
      <c r="E648" s="252"/>
      <c r="F648" s="210"/>
      <c r="G648" s="252"/>
      <c r="H648" s="255" t="str">
        <f t="shared" si="1"/>
        <v/>
      </c>
      <c r="I648" s="256" t="str">
        <f>CONCATENATE(UPPER(RAW_APS!$A649),"__",RAW_APS!$B649,"_",RAW_APS!$C649)</f>
        <v>MAX51__44571_0.38880787037037</v>
      </c>
      <c r="J648" s="257" t="str">
        <f t="shared" si="2"/>
        <v/>
      </c>
      <c r="K648" s="252" t="s">
        <v>1898</v>
      </c>
      <c r="L648" s="258" t="str">
        <f t="shared" si="3"/>
        <v>MA615</v>
      </c>
      <c r="M648" s="259" t="b">
        <f t="shared" si="4"/>
        <v>0</v>
      </c>
      <c r="N648" s="258" t="str">
        <f t="shared" si="5"/>
        <v/>
      </c>
      <c r="O648" s="5"/>
      <c r="P648" s="5"/>
      <c r="Q648" s="5"/>
      <c r="R648" s="5"/>
      <c r="S648" s="5"/>
      <c r="T648" s="5"/>
      <c r="U648" s="5"/>
      <c r="V648" s="5"/>
      <c r="W648" s="5"/>
    </row>
    <row r="649">
      <c r="A649" s="112" t="str">
        <f>IF(OR(ISBLANK(RAW_APS!A649),ISBLANK(RAW_APS!B649),ISBLANK(RAW_APS!C649)),TRUE,IFERROR(0/0,""))</f>
        <v/>
      </c>
      <c r="B649" s="252"/>
      <c r="C649" s="112" t="str">
        <f>IF(ISBLANK(B649),IFERROR(0/0,""),RAW_APS!A649)</f>
        <v/>
      </c>
      <c r="D649" s="112" t="str">
        <f>IF(ISBLANK(C649),IFERROR(0/0,""), VLOOKUP(C649,preDEL!A$2:AG786,33,FALSE))</f>
        <v/>
      </c>
      <c r="E649" s="252"/>
      <c r="F649" s="210"/>
      <c r="G649" s="252"/>
      <c r="H649" s="255" t="str">
        <f t="shared" si="1"/>
        <v/>
      </c>
      <c r="I649" s="256" t="str">
        <f>CONCATENATE(UPPER(RAW_APS!$A650),"__",RAW_APS!$B650,"_",RAW_APS!$C650)</f>
        <v>MA463__44571_0.388263888888889</v>
      </c>
      <c r="J649" s="257" t="str">
        <f t="shared" si="2"/>
        <v/>
      </c>
      <c r="K649" s="252" t="s">
        <v>1901</v>
      </c>
      <c r="L649" s="258" t="str">
        <f t="shared" si="3"/>
        <v>MA616</v>
      </c>
      <c r="M649" s="259" t="b">
        <f t="shared" si="4"/>
        <v>0</v>
      </c>
      <c r="N649" s="258" t="str">
        <f t="shared" si="5"/>
        <v/>
      </c>
      <c r="O649" s="5"/>
      <c r="P649" s="5"/>
      <c r="Q649" s="5"/>
      <c r="R649" s="5"/>
      <c r="S649" s="5"/>
      <c r="T649" s="5"/>
      <c r="U649" s="5"/>
      <c r="V649" s="5"/>
      <c r="W649" s="5"/>
    </row>
    <row r="650">
      <c r="A650" s="112" t="str">
        <f>IF(OR(ISBLANK(RAW_APS!A650),ISBLANK(RAW_APS!B650),ISBLANK(RAW_APS!C650)),TRUE,IFERROR(0/0,""))</f>
        <v/>
      </c>
      <c r="B650" s="252"/>
      <c r="C650" s="112" t="str">
        <f>IF(ISBLANK(B650),IFERROR(0/0,""),RAW_APS!A650)</f>
        <v/>
      </c>
      <c r="D650" s="112" t="str">
        <f>IF(ISBLANK(C650),IFERROR(0/0,""), VLOOKUP(C650,preDEL!A$2:AG786,33,FALSE))</f>
        <v/>
      </c>
      <c r="E650" s="252"/>
      <c r="F650" s="210"/>
      <c r="G650" s="252"/>
      <c r="H650" s="255" t="str">
        <f t="shared" si="1"/>
        <v/>
      </c>
      <c r="I650" s="256" t="str">
        <f>CONCATENATE(UPPER(RAW_APS!$A651),"__",RAW_APS!$B651,"_",RAW_APS!$C651)</f>
        <v>MA1147__44571_0.35587962962963</v>
      </c>
      <c r="J650" s="257" t="str">
        <f t="shared" si="2"/>
        <v/>
      </c>
      <c r="K650" s="252" t="s">
        <v>1903</v>
      </c>
      <c r="L650" s="258" t="str">
        <f t="shared" si="3"/>
        <v>MA617</v>
      </c>
      <c r="M650" s="259" t="b">
        <f t="shared" si="4"/>
        <v>0</v>
      </c>
      <c r="N650" s="258" t="str">
        <f t="shared" si="5"/>
        <v/>
      </c>
      <c r="O650" s="5"/>
      <c r="P650" s="5"/>
      <c r="Q650" s="5"/>
      <c r="R650" s="5"/>
      <c r="S650" s="5"/>
      <c r="T650" s="5"/>
      <c r="U650" s="5"/>
      <c r="V650" s="5"/>
      <c r="W650" s="5"/>
    </row>
    <row r="651">
      <c r="A651" s="112" t="str">
        <f>IF(OR(ISBLANK(RAW_APS!A651),ISBLANK(RAW_APS!B651),ISBLANK(RAW_APS!C651)),TRUE,IFERROR(0/0,""))</f>
        <v/>
      </c>
      <c r="B651" s="252"/>
      <c r="C651" s="112" t="str">
        <f>IF(ISBLANK(B651),IFERROR(0/0,""),RAW_APS!A651)</f>
        <v/>
      </c>
      <c r="D651" s="112" t="str">
        <f>IF(ISBLANK(C651),IFERROR(0/0,""), VLOOKUP(C651,preDEL!A$2:AG786,33,FALSE))</f>
        <v/>
      </c>
      <c r="E651" s="252"/>
      <c r="F651" s="210"/>
      <c r="G651" s="252"/>
      <c r="H651" s="255" t="str">
        <f t="shared" si="1"/>
        <v/>
      </c>
      <c r="I651" s="256" t="str">
        <f>CONCATENATE(UPPER(RAW_APS!$A652),"__",RAW_APS!$B652,"_",RAW_APS!$C652)</f>
        <v>MA1024__44571_0.35119212962963</v>
      </c>
      <c r="J651" s="257" t="str">
        <f t="shared" si="2"/>
        <v/>
      </c>
      <c r="K651" s="252" t="s">
        <v>1906</v>
      </c>
      <c r="L651" s="258" t="str">
        <f t="shared" si="3"/>
        <v>MA619</v>
      </c>
      <c r="M651" s="259" t="b">
        <f t="shared" si="4"/>
        <v>0</v>
      </c>
      <c r="N651" s="258" t="str">
        <f t="shared" si="5"/>
        <v/>
      </c>
      <c r="O651" s="5"/>
      <c r="P651" s="5"/>
      <c r="Q651" s="5"/>
      <c r="R651" s="5"/>
      <c r="S651" s="5"/>
      <c r="T651" s="5"/>
      <c r="U651" s="5"/>
      <c r="V651" s="5"/>
      <c r="W651" s="5"/>
    </row>
    <row r="652">
      <c r="A652" s="112" t="str">
        <f>IF(OR(ISBLANK(RAW_APS!A652),ISBLANK(RAW_APS!B652),ISBLANK(RAW_APS!C652)),TRUE,IFERROR(0/0,""))</f>
        <v/>
      </c>
      <c r="B652" s="252"/>
      <c r="C652" s="112" t="str">
        <f>IF(ISBLANK(B652),IFERROR(0/0,""),RAW_APS!A652)</f>
        <v/>
      </c>
      <c r="D652" s="112" t="str">
        <f>IF(ISBLANK(C652),IFERROR(0/0,""), VLOOKUP(C652,preDEL!A$2:AG786,33,FALSE))</f>
        <v/>
      </c>
      <c r="E652" s="252"/>
      <c r="F652" s="210"/>
      <c r="G652" s="252"/>
      <c r="H652" s="255" t="str">
        <f t="shared" si="1"/>
        <v/>
      </c>
      <c r="I652" s="256" t="str">
        <f>CONCATENATE(UPPER(RAW_APS!$A653),"__",RAW_APS!$B653,"_",RAW_APS!$C653)</f>
        <v>MA1035__44571_0.349201388888889</v>
      </c>
      <c r="J652" s="257" t="str">
        <f t="shared" si="2"/>
        <v/>
      </c>
      <c r="K652" s="252" t="s">
        <v>1908</v>
      </c>
      <c r="L652" s="258" t="str">
        <f t="shared" si="3"/>
        <v>MA620</v>
      </c>
      <c r="M652" s="259" t="b">
        <f t="shared" si="4"/>
        <v>0</v>
      </c>
      <c r="N652" s="258" t="str">
        <f t="shared" si="5"/>
        <v/>
      </c>
      <c r="O652" s="5"/>
      <c r="P652" s="5"/>
      <c r="Q652" s="5"/>
      <c r="R652" s="5"/>
      <c r="S652" s="5"/>
      <c r="T652" s="5"/>
      <c r="U652" s="5"/>
      <c r="V652" s="5"/>
      <c r="W652" s="5"/>
    </row>
    <row r="653">
      <c r="A653" s="112" t="str">
        <f>IF(OR(ISBLANK(RAW_APS!A653),ISBLANK(RAW_APS!B653),ISBLANK(RAW_APS!C653)),TRUE,IFERROR(0/0,""))</f>
        <v/>
      </c>
      <c r="B653" s="252"/>
      <c r="C653" s="112" t="str">
        <f>IF(ISBLANK(B653),IFERROR(0/0,""),RAW_APS!A653)</f>
        <v/>
      </c>
      <c r="D653" s="112" t="str">
        <f>IF(ISBLANK(C653),IFERROR(0/0,""), VLOOKUP(C653,preDEL!A$2:AG786,33,FALSE))</f>
        <v/>
      </c>
      <c r="E653" s="252"/>
      <c r="F653" s="210"/>
      <c r="G653" s="252"/>
      <c r="H653" s="255" t="str">
        <f t="shared" si="1"/>
        <v/>
      </c>
      <c r="I653" s="256" t="str">
        <f>CONCATENATE(UPPER(RAW_APS!$A654),"__",RAW_APS!$B654,"_",RAW_APS!$C654)</f>
        <v>MA647__44571_0.337141203703704</v>
      </c>
      <c r="J653" s="257" t="str">
        <f t="shared" si="2"/>
        <v/>
      </c>
      <c r="K653" s="252" t="s">
        <v>1910</v>
      </c>
      <c r="L653" s="258" t="str">
        <f t="shared" si="3"/>
        <v>MA622</v>
      </c>
      <c r="M653" s="259" t="b">
        <f t="shared" si="4"/>
        <v>0</v>
      </c>
      <c r="N653" s="258" t="str">
        <f t="shared" si="5"/>
        <v/>
      </c>
      <c r="O653" s="5"/>
      <c r="P653" s="5"/>
      <c r="Q653" s="5"/>
      <c r="R653" s="5"/>
      <c r="S653" s="5"/>
      <c r="T653" s="5"/>
      <c r="U653" s="5"/>
      <c r="V653" s="5"/>
      <c r="W653" s="5"/>
    </row>
    <row r="654">
      <c r="A654" s="112" t="str">
        <f>IF(OR(ISBLANK(RAW_APS!A654),ISBLANK(RAW_APS!B654),ISBLANK(RAW_APS!C654)),TRUE,IFERROR(0/0,""))</f>
        <v/>
      </c>
      <c r="B654" s="252"/>
      <c r="C654" s="112" t="str">
        <f>IF(ISBLANK(B654),IFERROR(0/0,""),RAW_APS!A654)</f>
        <v/>
      </c>
      <c r="D654" s="112" t="str">
        <f>IF(ISBLANK(C654),IFERROR(0/0,""), VLOOKUP(C654,preDEL!A$2:AG786,33,FALSE))</f>
        <v/>
      </c>
      <c r="E654" s="252"/>
      <c r="F654" s="210"/>
      <c r="G654" s="252"/>
      <c r="H654" s="255" t="str">
        <f t="shared" si="1"/>
        <v/>
      </c>
      <c r="I654" s="256" t="str">
        <f>CONCATENATE(UPPER(RAW_APS!$A655),"__",RAW_APS!$B655,"_",RAW_APS!$C655)</f>
        <v>MA649__44571_0.334513888888889</v>
      </c>
      <c r="J654" s="257" t="str">
        <f t="shared" si="2"/>
        <v/>
      </c>
      <c r="K654" s="252" t="s">
        <v>1912</v>
      </c>
      <c r="L654" s="258" t="str">
        <f t="shared" si="3"/>
        <v>MA623</v>
      </c>
      <c r="M654" s="259" t="b">
        <f t="shared" si="4"/>
        <v>0</v>
      </c>
      <c r="N654" s="258" t="str">
        <f t="shared" si="5"/>
        <v/>
      </c>
      <c r="O654" s="5"/>
      <c r="P654" s="5"/>
      <c r="Q654" s="5"/>
      <c r="R654" s="5"/>
      <c r="S654" s="5"/>
      <c r="T654" s="5"/>
      <c r="U654" s="5"/>
      <c r="V654" s="5"/>
      <c r="W654" s="5"/>
    </row>
    <row r="655">
      <c r="A655" s="112" t="str">
        <f>IF(OR(ISBLANK(RAW_APS!A655),ISBLANK(RAW_APS!B655),ISBLANK(RAW_APS!C655)),TRUE,IFERROR(0/0,""))</f>
        <v/>
      </c>
      <c r="B655" s="252"/>
      <c r="C655" s="112" t="str">
        <f>IF(ISBLANK(B655),IFERROR(0/0,""),RAW_APS!A655)</f>
        <v/>
      </c>
      <c r="D655" s="112" t="str">
        <f>IF(ISBLANK(C655),IFERROR(0/0,""), VLOOKUP(C655,preDEL!A$2:AG786,33,FALSE))</f>
        <v/>
      </c>
      <c r="E655" s="252"/>
      <c r="F655" s="210"/>
      <c r="G655" s="252"/>
      <c r="H655" s="255" t="str">
        <f t="shared" si="1"/>
        <v/>
      </c>
      <c r="I655" s="256" t="str">
        <f>CONCATENATE(UPPER(RAW_APS!$A656),"__",RAW_APS!$B656,"_",RAW_APS!$C656)</f>
        <v>MA433__44571_0.333773148148148</v>
      </c>
      <c r="J655" s="257" t="str">
        <f t="shared" si="2"/>
        <v/>
      </c>
      <c r="K655" s="252" t="s">
        <v>1914</v>
      </c>
      <c r="L655" s="258" t="str">
        <f t="shared" si="3"/>
        <v>MA624</v>
      </c>
      <c r="M655" s="259" t="b">
        <f t="shared" si="4"/>
        <v>0</v>
      </c>
      <c r="N655" s="258" t="str">
        <f t="shared" si="5"/>
        <v/>
      </c>
      <c r="O655" s="5"/>
      <c r="P655" s="5"/>
      <c r="Q655" s="5"/>
      <c r="R655" s="5"/>
      <c r="S655" s="5"/>
      <c r="T655" s="5"/>
      <c r="U655" s="5"/>
      <c r="V655" s="5"/>
      <c r="W655" s="5"/>
    </row>
    <row r="656">
      <c r="A656" s="112" t="str">
        <f>IF(OR(ISBLANK(RAW_APS!A656),ISBLANK(RAW_APS!B656),ISBLANK(RAW_APS!C656)),TRUE,IFERROR(0/0,""))</f>
        <v/>
      </c>
      <c r="B656" s="252"/>
      <c r="C656" s="112" t="str">
        <f>IF(ISBLANK(B656),IFERROR(0/0,""),RAW_APS!A656)</f>
        <v/>
      </c>
      <c r="D656" s="112" t="str">
        <f>IF(ISBLANK(C656),IFERROR(0/0,""), VLOOKUP(C656,preDEL!A$2:AG786,33,FALSE))</f>
        <v/>
      </c>
      <c r="E656" s="252"/>
      <c r="F656" s="210"/>
      <c r="G656" s="252"/>
      <c r="H656" s="255" t="str">
        <f t="shared" si="1"/>
        <v/>
      </c>
      <c r="I656" s="256" t="str">
        <f>CONCATENATE(UPPER(RAW_APS!$A657),"__",RAW_APS!$B657,"_",RAW_APS!$C657)</f>
        <v>MA623__44571_0.333391203703704</v>
      </c>
      <c r="J656" s="257" t="str">
        <f t="shared" si="2"/>
        <v/>
      </c>
      <c r="K656" s="252" t="s">
        <v>1916</v>
      </c>
      <c r="L656" s="258" t="str">
        <f t="shared" si="3"/>
        <v>MA625</v>
      </c>
      <c r="M656" s="259" t="b">
        <f t="shared" si="4"/>
        <v>0</v>
      </c>
      <c r="N656" s="258" t="str">
        <f t="shared" si="5"/>
        <v/>
      </c>
      <c r="O656" s="5"/>
      <c r="P656" s="5"/>
      <c r="Q656" s="5"/>
      <c r="R656" s="5"/>
      <c r="S656" s="5"/>
      <c r="T656" s="5"/>
      <c r="U656" s="5"/>
      <c r="V656" s="5"/>
      <c r="W656" s="5"/>
    </row>
    <row r="657">
      <c r="A657" s="112" t="str">
        <f>IF(OR(ISBLANK(RAW_APS!A657),ISBLANK(RAW_APS!B657),ISBLANK(RAW_APS!C657)),TRUE,IFERROR(0/0,""))</f>
        <v/>
      </c>
      <c r="B657" s="252"/>
      <c r="C657" s="112" t="str">
        <f>IF(ISBLANK(B657),IFERROR(0/0,""),RAW_APS!A657)</f>
        <v/>
      </c>
      <c r="D657" s="112" t="str">
        <f>IF(ISBLANK(C657),IFERROR(0/0,""), VLOOKUP(C657,preDEL!A$2:AG786,33,FALSE))</f>
        <v/>
      </c>
      <c r="E657" s="252"/>
      <c r="F657" s="210"/>
      <c r="G657" s="252"/>
      <c r="H657" s="255" t="str">
        <f t="shared" si="1"/>
        <v/>
      </c>
      <c r="I657" s="256" t="str">
        <f>CONCATENATE(UPPER(RAW_APS!$A658),"__",RAW_APS!$B658,"_",RAW_APS!$C658)</f>
        <v>MA466__44571_0.333310185185185</v>
      </c>
      <c r="J657" s="257" t="str">
        <f t="shared" si="2"/>
        <v/>
      </c>
      <c r="K657" s="252" t="s">
        <v>1918</v>
      </c>
      <c r="L657" s="258" t="str">
        <f t="shared" si="3"/>
        <v>MA627</v>
      </c>
      <c r="M657" s="259" t="b">
        <f t="shared" si="4"/>
        <v>0</v>
      </c>
      <c r="N657" s="258" t="str">
        <f t="shared" si="5"/>
        <v/>
      </c>
      <c r="O657" s="5"/>
      <c r="P657" s="5"/>
      <c r="Q657" s="5"/>
      <c r="R657" s="5"/>
      <c r="S657" s="5"/>
      <c r="T657" s="5"/>
      <c r="U657" s="5"/>
      <c r="V657" s="5"/>
      <c r="W657" s="5"/>
    </row>
    <row r="658">
      <c r="A658" s="112" t="str">
        <f>IF(OR(ISBLANK(RAW_APS!A658),ISBLANK(RAW_APS!B658),ISBLANK(RAW_APS!C658)),TRUE,IFERROR(0/0,""))</f>
        <v/>
      </c>
      <c r="B658" s="252"/>
      <c r="C658" s="112" t="str">
        <f>IF(ISBLANK(B658),IFERROR(0/0,""),RAW_APS!A658)</f>
        <v/>
      </c>
      <c r="D658" s="112" t="str">
        <f>IF(ISBLANK(C658),IFERROR(0/0,""), VLOOKUP(C658,preDEL!A$2:AG786,33,FALSE))</f>
        <v/>
      </c>
      <c r="E658" s="252"/>
      <c r="F658" s="210"/>
      <c r="G658" s="252"/>
      <c r="H658" s="255" t="str">
        <f t="shared" si="1"/>
        <v/>
      </c>
      <c r="I658" s="256" t="str">
        <f>CONCATENATE(UPPER(RAW_APS!$A659),"__",RAW_APS!$B659,"_",RAW_APS!$C659)</f>
        <v>MA977__44571_0.328854166666667</v>
      </c>
      <c r="J658" s="257" t="str">
        <f t="shared" si="2"/>
        <v/>
      </c>
      <c r="K658" s="252" t="s">
        <v>1920</v>
      </c>
      <c r="L658" s="258" t="str">
        <f t="shared" si="3"/>
        <v>MA629</v>
      </c>
      <c r="M658" s="259" t="b">
        <f t="shared" si="4"/>
        <v>0</v>
      </c>
      <c r="N658" s="258" t="str">
        <f t="shared" si="5"/>
        <v/>
      </c>
      <c r="O658" s="5"/>
      <c r="P658" s="5"/>
      <c r="Q658" s="5"/>
      <c r="R658" s="5"/>
      <c r="S658" s="5"/>
      <c r="T658" s="5"/>
      <c r="U658" s="5"/>
      <c r="V658" s="5"/>
      <c r="W658" s="5"/>
    </row>
    <row r="659">
      <c r="A659" s="112" t="str">
        <f>IF(OR(ISBLANK(RAW_APS!A659),ISBLANK(RAW_APS!B659),ISBLANK(RAW_APS!C659)),TRUE,IFERROR(0/0,""))</f>
        <v/>
      </c>
      <c r="B659" s="252"/>
      <c r="C659" s="112" t="str">
        <f>IF(ISBLANK(B659),IFERROR(0/0,""),RAW_APS!A659)</f>
        <v/>
      </c>
      <c r="D659" s="112" t="str">
        <f>IF(ISBLANK(C659),IFERROR(0/0,""), VLOOKUP(C659,preDEL!A$2:AG786,33,FALSE))</f>
        <v/>
      </c>
      <c r="E659" s="252"/>
      <c r="F659" s="210"/>
      <c r="G659" s="252"/>
      <c r="H659" s="255" t="str">
        <f t="shared" si="1"/>
        <v/>
      </c>
      <c r="I659" s="256" t="str">
        <f>CONCATENATE(UPPER(RAW_APS!$A660),"__",RAW_APS!$B660,"_",RAW_APS!$C660)</f>
        <v>MA1159__44571_0.318136574074074</v>
      </c>
      <c r="J659" s="257" t="str">
        <f t="shared" si="2"/>
        <v/>
      </c>
      <c r="K659" s="252" t="s">
        <v>1922</v>
      </c>
      <c r="L659" s="258" t="str">
        <f t="shared" si="3"/>
        <v>MA630</v>
      </c>
      <c r="M659" s="259" t="b">
        <f t="shared" si="4"/>
        <v>0</v>
      </c>
      <c r="N659" s="258" t="str">
        <f t="shared" si="5"/>
        <v/>
      </c>
      <c r="O659" s="5"/>
      <c r="P659" s="5"/>
      <c r="Q659" s="5"/>
      <c r="R659" s="5"/>
      <c r="S659" s="5"/>
      <c r="T659" s="5"/>
      <c r="U659" s="5"/>
      <c r="V659" s="5"/>
      <c r="W659" s="5"/>
    </row>
    <row r="660">
      <c r="A660" s="112" t="str">
        <f>IF(OR(ISBLANK(RAW_APS!A660),ISBLANK(RAW_APS!B660),ISBLANK(RAW_APS!C660)),TRUE,IFERROR(0/0,""))</f>
        <v/>
      </c>
      <c r="B660" s="252"/>
      <c r="C660" s="112" t="str">
        <f>IF(ISBLANK(B660),IFERROR(0/0,""),RAW_APS!A660)</f>
        <v/>
      </c>
      <c r="D660" s="112" t="str">
        <f>IF(ISBLANK(C660),IFERROR(0/0,""), VLOOKUP(C660,preDEL!A$2:AG786,33,FALSE))</f>
        <v/>
      </c>
      <c r="E660" s="252"/>
      <c r="F660" s="210"/>
      <c r="G660" s="252"/>
      <c r="H660" s="255" t="str">
        <f t="shared" si="1"/>
        <v/>
      </c>
      <c r="I660" s="256" t="str">
        <f>CONCATENATE(UPPER(RAW_APS!$A661),"__",RAW_APS!$B661,"_",RAW_APS!$C661)</f>
        <v>MA478__44571_0.313125</v>
      </c>
      <c r="J660" s="257" t="str">
        <f t="shared" si="2"/>
        <v/>
      </c>
      <c r="K660" s="252" t="s">
        <v>1924</v>
      </c>
      <c r="L660" s="258" t="str">
        <f t="shared" si="3"/>
        <v>MA631</v>
      </c>
      <c r="M660" s="259" t="b">
        <f t="shared" si="4"/>
        <v>0</v>
      </c>
      <c r="N660" s="258" t="str">
        <f t="shared" si="5"/>
        <v/>
      </c>
      <c r="O660" s="5"/>
      <c r="P660" s="5"/>
      <c r="Q660" s="5"/>
      <c r="R660" s="5"/>
      <c r="S660" s="5"/>
      <c r="T660" s="5"/>
      <c r="U660" s="5"/>
      <c r="V660" s="5"/>
      <c r="W660" s="5"/>
    </row>
    <row r="661">
      <c r="A661" s="112" t="str">
        <f>IF(OR(ISBLANK(RAW_APS!A661),ISBLANK(RAW_APS!B661),ISBLANK(RAW_APS!C661)),TRUE,IFERROR(0/0,""))</f>
        <v/>
      </c>
      <c r="B661" s="252"/>
      <c r="C661" s="112" t="str">
        <f>IF(ISBLANK(B661),IFERROR(0/0,""),RAW_APS!A661)</f>
        <v/>
      </c>
      <c r="D661" s="112" t="str">
        <f>IF(ISBLANK(C661),IFERROR(0/0,""), VLOOKUP(C661,preDEL!A$2:AG786,33,FALSE))</f>
        <v/>
      </c>
      <c r="E661" s="252"/>
      <c r="F661" s="210"/>
      <c r="G661" s="252"/>
      <c r="H661" s="255" t="str">
        <f t="shared" si="1"/>
        <v/>
      </c>
      <c r="I661" s="256" t="str">
        <f>CONCATENATE(UPPER(RAW_APS!$A662),"__",RAW_APS!$B662,"_",RAW_APS!$C662)</f>
        <v>MA1175__44571_0.311678240740741</v>
      </c>
      <c r="J661" s="257" t="str">
        <f t="shared" si="2"/>
        <v/>
      </c>
      <c r="K661" s="252" t="s">
        <v>1926</v>
      </c>
      <c r="L661" s="258" t="str">
        <f t="shared" si="3"/>
        <v>MA632</v>
      </c>
      <c r="M661" s="259" t="b">
        <f t="shared" si="4"/>
        <v>0</v>
      </c>
      <c r="N661" s="258" t="str">
        <f t="shared" si="5"/>
        <v/>
      </c>
      <c r="O661" s="5"/>
      <c r="P661" s="5"/>
      <c r="Q661" s="5"/>
      <c r="R661" s="5"/>
      <c r="S661" s="5"/>
      <c r="T661" s="5"/>
      <c r="U661" s="5"/>
      <c r="V661" s="5"/>
      <c r="W661" s="5"/>
    </row>
    <row r="662">
      <c r="A662" s="112" t="str">
        <f>IF(OR(ISBLANK(RAW_APS!A662),ISBLANK(RAW_APS!B662),ISBLANK(RAW_APS!C662)),TRUE,IFERROR(0/0,""))</f>
        <v/>
      </c>
      <c r="B662" s="252"/>
      <c r="C662" s="112" t="str">
        <f>IF(ISBLANK(B662),IFERROR(0/0,""),RAW_APS!A662)</f>
        <v/>
      </c>
      <c r="D662" s="112" t="str">
        <f>IF(ISBLANK(C662),IFERROR(0/0,""), VLOOKUP(C662,preDEL!A$2:AG786,33,FALSE))</f>
        <v/>
      </c>
      <c r="E662" s="252"/>
      <c r="F662" s="210"/>
      <c r="G662" s="252"/>
      <c r="H662" s="255" t="str">
        <f t="shared" si="1"/>
        <v/>
      </c>
      <c r="I662" s="256" t="str">
        <f>CONCATENATE(UPPER(RAW_APS!$A663),"__",RAW_APS!$B663,"_",RAW_APS!$C663)</f>
        <v>MA241__44571_0.296921296296296</v>
      </c>
      <c r="J662" s="257" t="str">
        <f t="shared" si="2"/>
        <v/>
      </c>
      <c r="K662" s="252" t="s">
        <v>1928</v>
      </c>
      <c r="L662" s="258" t="str">
        <f t="shared" si="3"/>
        <v>MA633</v>
      </c>
      <c r="M662" s="259" t="b">
        <f t="shared" si="4"/>
        <v>0</v>
      </c>
      <c r="N662" s="258" t="str">
        <f t="shared" si="5"/>
        <v/>
      </c>
      <c r="O662" s="5"/>
      <c r="P662" s="5"/>
      <c r="Q662" s="5"/>
      <c r="R662" s="5"/>
      <c r="S662" s="5"/>
      <c r="T662" s="5"/>
      <c r="U662" s="5"/>
      <c r="V662" s="5"/>
      <c r="W662" s="5"/>
    </row>
    <row r="663">
      <c r="A663" s="112" t="str">
        <f>IF(OR(ISBLANK(RAW_APS!A663),ISBLANK(RAW_APS!B663),ISBLANK(RAW_APS!C663)),TRUE,IFERROR(0/0,""))</f>
        <v/>
      </c>
      <c r="B663" s="252"/>
      <c r="C663" s="112" t="str">
        <f>IF(ISBLANK(B663),IFERROR(0/0,""),RAW_APS!A663)</f>
        <v/>
      </c>
      <c r="D663" s="112" t="str">
        <f>IF(ISBLANK(C663),IFERROR(0/0,""), VLOOKUP(C663,preDEL!A$2:AG786,33,FALSE))</f>
        <v/>
      </c>
      <c r="E663" s="252"/>
      <c r="F663" s="210"/>
      <c r="G663" s="252"/>
      <c r="H663" s="255" t="str">
        <f t="shared" si="1"/>
        <v/>
      </c>
      <c r="I663" s="256" t="str">
        <f>CONCATENATE(UPPER(RAW_APS!$A664),"__",RAW_APS!$B664,"_",RAW_APS!$C664)</f>
        <v>MA335__44571_0.271585648148148</v>
      </c>
      <c r="J663" s="257" t="str">
        <f t="shared" si="2"/>
        <v/>
      </c>
      <c r="K663" s="252" t="s">
        <v>1930</v>
      </c>
      <c r="L663" s="258" t="str">
        <f t="shared" si="3"/>
        <v>MA634</v>
      </c>
      <c r="M663" s="259" t="b">
        <f t="shared" si="4"/>
        <v>0</v>
      </c>
      <c r="N663" s="258" t="str">
        <f t="shared" si="5"/>
        <v/>
      </c>
      <c r="O663" s="5"/>
      <c r="P663" s="5"/>
      <c r="Q663" s="5"/>
      <c r="R663" s="5"/>
      <c r="S663" s="5"/>
      <c r="T663" s="5"/>
      <c r="U663" s="5"/>
      <c r="V663" s="5"/>
      <c r="W663" s="5"/>
    </row>
    <row r="664">
      <c r="A664" s="112" t="str">
        <f>IF(OR(ISBLANK(RAW_APS!A664),ISBLANK(RAW_APS!B664),ISBLANK(RAW_APS!C664)),TRUE,IFERROR(0/0,""))</f>
        <v/>
      </c>
      <c r="B664" s="252"/>
      <c r="C664" s="112" t="str">
        <f>IF(ISBLANK(B664),IFERROR(0/0,""),RAW_APS!A664)</f>
        <v/>
      </c>
      <c r="D664" s="112" t="str">
        <f>IF(ISBLANK(C664),IFERROR(0/0,""), VLOOKUP(C664,preDEL!A$2:AG786,33,FALSE))</f>
        <v/>
      </c>
      <c r="E664" s="252"/>
      <c r="F664" s="210"/>
      <c r="G664" s="252"/>
      <c r="H664" s="255" t="str">
        <f t="shared" si="1"/>
        <v/>
      </c>
      <c r="I664" s="256" t="str">
        <f>CONCATENATE(UPPER(RAW_APS!$A665),"__",RAW_APS!$B665,"_",RAW_APS!$C665)</f>
        <v>MA480__44569_0.312384259259259</v>
      </c>
      <c r="J664" s="257" t="str">
        <f t="shared" si="2"/>
        <v/>
      </c>
      <c r="K664" s="252" t="s">
        <v>1932</v>
      </c>
      <c r="L664" s="258" t="str">
        <f t="shared" si="3"/>
        <v>MA635</v>
      </c>
      <c r="M664" s="259" t="b">
        <f t="shared" si="4"/>
        <v>0</v>
      </c>
      <c r="N664" s="258" t="str">
        <f t="shared" si="5"/>
        <v/>
      </c>
      <c r="O664" s="5"/>
      <c r="P664" s="5"/>
      <c r="Q664" s="5"/>
      <c r="R664" s="5"/>
      <c r="S664" s="5"/>
      <c r="T664" s="5"/>
      <c r="U664" s="5"/>
      <c r="V664" s="5"/>
      <c r="W664" s="5"/>
    </row>
    <row r="665">
      <c r="A665" s="112" t="str">
        <f>IF(OR(ISBLANK(RAW_APS!A665),ISBLANK(RAW_APS!B665),ISBLANK(RAW_APS!C665)),TRUE,IFERROR(0/0,""))</f>
        <v/>
      </c>
      <c r="B665" s="252"/>
      <c r="C665" s="112" t="str">
        <f>IF(ISBLANK(B665),IFERROR(0/0,""),RAW_APS!A665)</f>
        <v/>
      </c>
      <c r="D665" s="112" t="str">
        <f>IF(ISBLANK(C665),IFERROR(0/0,""), VLOOKUP(C665,preDEL!A$2:AG786,33,FALSE))</f>
        <v/>
      </c>
      <c r="E665" s="252"/>
      <c r="F665" s="210"/>
      <c r="G665" s="252"/>
      <c r="H665" s="255" t="str">
        <f t="shared" si="1"/>
        <v/>
      </c>
      <c r="I665" s="256" t="str">
        <f>CONCATENATE(UPPER(RAW_APS!$A666),"__",RAW_APS!$B666,"_",RAW_APS!$C666)</f>
        <v>MA1352__44568_0.522708333333333</v>
      </c>
      <c r="J665" s="257" t="str">
        <f t="shared" si="2"/>
        <v/>
      </c>
      <c r="K665" s="252" t="s">
        <v>1934</v>
      </c>
      <c r="L665" s="258" t="str">
        <f t="shared" si="3"/>
        <v>MA636</v>
      </c>
      <c r="M665" s="259" t="b">
        <f t="shared" si="4"/>
        <v>0</v>
      </c>
      <c r="N665" s="258" t="str">
        <f t="shared" si="5"/>
        <v/>
      </c>
      <c r="O665" s="5"/>
      <c r="P665" s="5"/>
      <c r="Q665" s="5"/>
      <c r="R665" s="5"/>
      <c r="S665" s="5"/>
      <c r="T665" s="5"/>
      <c r="U665" s="5"/>
      <c r="V665" s="5"/>
      <c r="W665" s="5"/>
    </row>
    <row r="666">
      <c r="A666" s="112" t="str">
        <f>IF(OR(ISBLANK(RAW_APS!A666),ISBLANK(RAW_APS!B666),ISBLANK(RAW_APS!C666)),TRUE,IFERROR(0/0,""))</f>
        <v/>
      </c>
      <c r="B666" s="252"/>
      <c r="C666" s="112" t="str">
        <f>IF(ISBLANK(B666),IFERROR(0/0,""),RAW_APS!A666)</f>
        <v/>
      </c>
      <c r="D666" s="112" t="str">
        <f>IF(ISBLANK(C666),IFERROR(0/0,""), VLOOKUP(C666,preDEL!A$2:AG786,33,FALSE))</f>
        <v/>
      </c>
      <c r="E666" s="252"/>
      <c r="F666" s="210"/>
      <c r="G666" s="252"/>
      <c r="H666" s="255" t="str">
        <f t="shared" si="1"/>
        <v/>
      </c>
      <c r="I666" s="256" t="str">
        <f>CONCATENATE(UPPER(RAW_APS!$A667),"__",RAW_APS!$B667,"_",RAW_APS!$C667)</f>
        <v>MA456__44568_0.522175925925926</v>
      </c>
      <c r="J666" s="257" t="str">
        <f t="shared" si="2"/>
        <v/>
      </c>
      <c r="K666" s="252" t="s">
        <v>1936</v>
      </c>
      <c r="L666" s="258" t="str">
        <f t="shared" si="3"/>
        <v>MA638</v>
      </c>
      <c r="M666" s="259" t="b">
        <f t="shared" si="4"/>
        <v>0</v>
      </c>
      <c r="N666" s="258" t="str">
        <f t="shared" si="5"/>
        <v/>
      </c>
      <c r="O666" s="5"/>
      <c r="P666" s="5"/>
      <c r="Q666" s="5"/>
      <c r="R666" s="5"/>
      <c r="S666" s="5"/>
      <c r="T666" s="5"/>
      <c r="U666" s="5"/>
      <c r="V666" s="5"/>
      <c r="W666" s="5"/>
    </row>
    <row r="667">
      <c r="A667" s="112" t="str">
        <f>IF(OR(ISBLANK(RAW_APS!A667),ISBLANK(RAW_APS!B667),ISBLANK(RAW_APS!C667)),TRUE,IFERROR(0/0,""))</f>
        <v/>
      </c>
      <c r="B667" s="252"/>
      <c r="C667" s="112" t="str">
        <f>IF(ISBLANK(B667),IFERROR(0/0,""),RAW_APS!A667)</f>
        <v/>
      </c>
      <c r="D667" s="112" t="str">
        <f>IF(ISBLANK(C667),IFERROR(0/0,""), VLOOKUP(C667,preDEL!A$2:AG786,33,FALSE))</f>
        <v/>
      </c>
      <c r="E667" s="252"/>
      <c r="F667" s="210"/>
      <c r="G667" s="252"/>
      <c r="H667" s="255" t="str">
        <f t="shared" si="1"/>
        <v/>
      </c>
      <c r="I667" s="256" t="str">
        <f>CONCATENATE(UPPER(RAW_APS!$A668),"__",RAW_APS!$B668,"_",RAW_APS!$C668)</f>
        <v>MA617__44568_0.414178240740741</v>
      </c>
      <c r="J667" s="257" t="str">
        <f t="shared" si="2"/>
        <v/>
      </c>
      <c r="K667" s="252" t="s">
        <v>1938</v>
      </c>
      <c r="L667" s="258" t="str">
        <f t="shared" si="3"/>
        <v>MA639</v>
      </c>
      <c r="M667" s="259" t="b">
        <f t="shared" si="4"/>
        <v>0</v>
      </c>
      <c r="N667" s="258" t="str">
        <f t="shared" si="5"/>
        <v/>
      </c>
      <c r="O667" s="5"/>
      <c r="P667" s="5"/>
      <c r="Q667" s="5"/>
      <c r="R667" s="5"/>
      <c r="S667" s="5"/>
      <c r="T667" s="5"/>
      <c r="U667" s="5"/>
      <c r="V667" s="5"/>
      <c r="W667" s="5"/>
    </row>
    <row r="668">
      <c r="A668" s="112" t="str">
        <f>IF(OR(ISBLANK(RAW_APS!A668),ISBLANK(RAW_APS!B668),ISBLANK(RAW_APS!C668)),TRUE,IFERROR(0/0,""))</f>
        <v/>
      </c>
      <c r="B668" s="252"/>
      <c r="C668" s="112" t="str">
        <f>IF(ISBLANK(B668),IFERROR(0/0,""),RAW_APS!A668)</f>
        <v/>
      </c>
      <c r="D668" s="112" t="str">
        <f>IF(ISBLANK(C668),IFERROR(0/0,""), VLOOKUP(C668,preDEL!A$2:AG786,33,FALSE))</f>
        <v/>
      </c>
      <c r="E668" s="252"/>
      <c r="F668" s="210"/>
      <c r="G668" s="252"/>
      <c r="H668" s="255" t="str">
        <f t="shared" si="1"/>
        <v/>
      </c>
      <c r="I668" s="256" t="str">
        <f>CONCATENATE(UPPER(RAW_APS!$A669),"__",RAW_APS!$B669,"_",RAW_APS!$C669)</f>
        <v>MAX74__44568_0.364780092592593</v>
      </c>
      <c r="J668" s="257" t="str">
        <f t="shared" si="2"/>
        <v/>
      </c>
      <c r="K668" s="252" t="s">
        <v>1940</v>
      </c>
      <c r="L668" s="258" t="str">
        <f t="shared" si="3"/>
        <v>MA641</v>
      </c>
      <c r="M668" s="259" t="b">
        <f t="shared" si="4"/>
        <v>0</v>
      </c>
      <c r="N668" s="258" t="str">
        <f t="shared" si="5"/>
        <v/>
      </c>
      <c r="O668" s="5"/>
      <c r="P668" s="5"/>
      <c r="Q668" s="5"/>
      <c r="R668" s="5"/>
      <c r="S668" s="5"/>
      <c r="T668" s="5"/>
      <c r="U668" s="5"/>
      <c r="V668" s="5"/>
      <c r="W668" s="5"/>
    </row>
    <row r="669">
      <c r="A669" s="112" t="str">
        <f>IF(OR(ISBLANK(RAW_APS!A669),ISBLANK(RAW_APS!B669),ISBLANK(RAW_APS!C669)),TRUE,IFERROR(0/0,""))</f>
        <v/>
      </c>
      <c r="B669" s="252"/>
      <c r="C669" s="112" t="str">
        <f>IF(ISBLANK(B669),IFERROR(0/0,""),RAW_APS!A669)</f>
        <v/>
      </c>
      <c r="D669" s="112" t="str">
        <f>IF(ISBLANK(C669),IFERROR(0/0,""), VLOOKUP(C669,preDEL!A$2:AG786,33,FALSE))</f>
        <v/>
      </c>
      <c r="E669" s="252"/>
      <c r="F669" s="210"/>
      <c r="G669" s="252"/>
      <c r="H669" s="255" t="str">
        <f t="shared" si="1"/>
        <v/>
      </c>
      <c r="I669" s="256" t="str">
        <f>CONCATENATE(UPPER(RAW_APS!$A670),"__",RAW_APS!$B670,"_",RAW_APS!$C670)</f>
        <v>MAX125__44568_0.355613425925926</v>
      </c>
      <c r="J669" s="257" t="str">
        <f t="shared" si="2"/>
        <v/>
      </c>
      <c r="K669" s="252" t="s">
        <v>1942</v>
      </c>
      <c r="L669" s="258" t="str">
        <f t="shared" si="3"/>
        <v>MA643</v>
      </c>
      <c r="M669" s="259" t="b">
        <f t="shared" si="4"/>
        <v>0</v>
      </c>
      <c r="N669" s="258" t="str">
        <f t="shared" si="5"/>
        <v/>
      </c>
      <c r="O669" s="5"/>
      <c r="P669" s="5"/>
      <c r="Q669" s="5"/>
      <c r="R669" s="5"/>
      <c r="S669" s="5"/>
      <c r="T669" s="5"/>
      <c r="U669" s="5"/>
      <c r="V669" s="5"/>
      <c r="W669" s="5"/>
    </row>
    <row r="670">
      <c r="A670" s="112" t="str">
        <f>IF(OR(ISBLANK(RAW_APS!A670),ISBLANK(RAW_APS!B670),ISBLANK(RAW_APS!C670)),TRUE,IFERROR(0/0,""))</f>
        <v/>
      </c>
      <c r="B670" s="252"/>
      <c r="C670" s="112" t="str">
        <f>IF(ISBLANK(B670),IFERROR(0/0,""),RAW_APS!A670)</f>
        <v/>
      </c>
      <c r="D670" s="112" t="str">
        <f>IF(ISBLANK(C670),IFERROR(0/0,""), VLOOKUP(C670,preDEL!A$2:AG786,33,FALSE))</f>
        <v/>
      </c>
      <c r="E670" s="252"/>
      <c r="F670" s="210"/>
      <c r="G670" s="252"/>
      <c r="H670" s="255" t="str">
        <f t="shared" si="1"/>
        <v/>
      </c>
      <c r="I670" s="256" t="str">
        <f>CONCATENATE(UPPER(RAW_APS!$A671),"__",RAW_APS!$B671,"_",RAW_APS!$C671)</f>
        <v>MA1078__44568_0.347175925925926</v>
      </c>
      <c r="J670" s="257" t="str">
        <f t="shared" si="2"/>
        <v/>
      </c>
      <c r="K670" s="252" t="s">
        <v>1944</v>
      </c>
      <c r="L670" s="258" t="str">
        <f t="shared" si="3"/>
        <v>MA644</v>
      </c>
      <c r="M670" s="259" t="b">
        <f t="shared" si="4"/>
        <v>0</v>
      </c>
      <c r="N670" s="258" t="str">
        <f t="shared" si="5"/>
        <v/>
      </c>
      <c r="O670" s="5"/>
      <c r="P670" s="5"/>
      <c r="Q670" s="5"/>
      <c r="R670" s="5"/>
      <c r="S670" s="5"/>
      <c r="T670" s="5"/>
      <c r="U670" s="5"/>
      <c r="V670" s="5"/>
      <c r="W670" s="5"/>
    </row>
    <row r="671">
      <c r="A671" s="112" t="str">
        <f>IF(OR(ISBLANK(RAW_APS!A671),ISBLANK(RAW_APS!B671),ISBLANK(RAW_APS!C671)),TRUE,IFERROR(0/0,""))</f>
        <v/>
      </c>
      <c r="B671" s="252"/>
      <c r="C671" s="112" t="str">
        <f>IF(ISBLANK(B671),IFERROR(0/0,""),RAW_APS!A671)</f>
        <v/>
      </c>
      <c r="D671" s="112" t="str">
        <f>IF(ISBLANK(C671),IFERROR(0/0,""), VLOOKUP(C671,preDEL!A$2:AG786,33,FALSE))</f>
        <v/>
      </c>
      <c r="E671" s="252"/>
      <c r="F671" s="210"/>
      <c r="G671" s="252"/>
      <c r="H671" s="255" t="str">
        <f t="shared" si="1"/>
        <v/>
      </c>
      <c r="I671" s="256" t="str">
        <f>CONCATENATE(UPPER(RAW_APS!$A672),"__",RAW_APS!$B672,"_",RAW_APS!$C672)</f>
        <v>MA238__44568_0.347164351851852</v>
      </c>
      <c r="J671" s="257" t="str">
        <f t="shared" si="2"/>
        <v/>
      </c>
      <c r="K671" s="252" t="s">
        <v>1946</v>
      </c>
      <c r="L671" s="258" t="str">
        <f t="shared" si="3"/>
        <v>MA645</v>
      </c>
      <c r="M671" s="259" t="b">
        <f t="shared" si="4"/>
        <v>0</v>
      </c>
      <c r="N671" s="258" t="str">
        <f t="shared" si="5"/>
        <v/>
      </c>
      <c r="O671" s="5"/>
      <c r="P671" s="5"/>
      <c r="Q671" s="5"/>
      <c r="R671" s="5"/>
      <c r="S671" s="5"/>
      <c r="T671" s="5"/>
      <c r="U671" s="5"/>
      <c r="V671" s="5"/>
      <c r="W671" s="5"/>
    </row>
    <row r="672">
      <c r="A672" s="112" t="str">
        <f>IF(OR(ISBLANK(RAW_APS!A672),ISBLANK(RAW_APS!B672),ISBLANK(RAW_APS!C672)),TRUE,IFERROR(0/0,""))</f>
        <v/>
      </c>
      <c r="B672" s="252"/>
      <c r="C672" s="112" t="str">
        <f>IF(ISBLANK(B672),IFERROR(0/0,""),RAW_APS!A672)</f>
        <v/>
      </c>
      <c r="D672" s="112" t="str">
        <f>IF(ISBLANK(C672),IFERROR(0/0,""), VLOOKUP(C672,preDEL!A$2:AG786,33,FALSE))</f>
        <v/>
      </c>
      <c r="E672" s="252"/>
      <c r="F672" s="210"/>
      <c r="G672" s="252"/>
      <c r="H672" s="255" t="str">
        <f t="shared" si="1"/>
        <v/>
      </c>
      <c r="I672" s="256" t="str">
        <f>CONCATENATE(UPPER(RAW_APS!$A673),"__",RAW_APS!$B673,"_",RAW_APS!$C673)</f>
        <v>MA347__44568_0.342060185185185</v>
      </c>
      <c r="J672" s="257" t="str">
        <f t="shared" si="2"/>
        <v/>
      </c>
      <c r="K672" s="252" t="s">
        <v>1948</v>
      </c>
      <c r="L672" s="258" t="str">
        <f t="shared" si="3"/>
        <v>MA647</v>
      </c>
      <c r="M672" s="259" t="b">
        <f t="shared" si="4"/>
        <v>0</v>
      </c>
      <c r="N672" s="258" t="str">
        <f t="shared" si="5"/>
        <v/>
      </c>
      <c r="O672" s="5"/>
      <c r="P672" s="5"/>
      <c r="Q672" s="5"/>
      <c r="R672" s="5"/>
      <c r="S672" s="5"/>
      <c r="T672" s="5"/>
      <c r="U672" s="5"/>
      <c r="V672" s="5"/>
      <c r="W672" s="5"/>
    </row>
    <row r="673">
      <c r="A673" s="112" t="str">
        <f>IF(OR(ISBLANK(RAW_APS!A673),ISBLANK(RAW_APS!B673),ISBLANK(RAW_APS!C673)),TRUE,IFERROR(0/0,""))</f>
        <v/>
      </c>
      <c r="B673" s="252"/>
      <c r="C673" s="112" t="str">
        <f>IF(ISBLANK(B673),IFERROR(0/0,""),RAW_APS!A673)</f>
        <v/>
      </c>
      <c r="D673" s="112" t="str">
        <f>IF(ISBLANK(C673),IFERROR(0/0,""), VLOOKUP(C673,preDEL!A$2:AG786,33,FALSE))</f>
        <v/>
      </c>
      <c r="E673" s="252"/>
      <c r="F673" s="210"/>
      <c r="G673" s="252"/>
      <c r="H673" s="255" t="str">
        <f t="shared" si="1"/>
        <v/>
      </c>
      <c r="I673" s="256" t="str">
        <f>CONCATENATE(UPPER(RAW_APS!$A674),"__",RAW_APS!$B674,"_",RAW_APS!$C674)</f>
        <v>MA461__44568_0.342106481481482</v>
      </c>
      <c r="J673" s="257" t="str">
        <f t="shared" si="2"/>
        <v/>
      </c>
      <c r="K673" s="252" t="s">
        <v>1950</v>
      </c>
      <c r="L673" s="258" t="str">
        <f t="shared" si="3"/>
        <v>MA648</v>
      </c>
      <c r="M673" s="259" t="b">
        <f t="shared" si="4"/>
        <v>0</v>
      </c>
      <c r="N673" s="258" t="str">
        <f t="shared" si="5"/>
        <v/>
      </c>
      <c r="O673" s="5"/>
      <c r="P673" s="5"/>
      <c r="Q673" s="5"/>
      <c r="R673" s="5"/>
      <c r="S673" s="5"/>
      <c r="T673" s="5"/>
      <c r="U673" s="5"/>
      <c r="V673" s="5"/>
      <c r="W673" s="5"/>
    </row>
    <row r="674">
      <c r="A674" s="112" t="str">
        <f>IF(OR(ISBLANK(RAW_APS!A674),ISBLANK(RAW_APS!B674),ISBLANK(RAW_APS!C674)),TRUE,IFERROR(0/0,""))</f>
        <v/>
      </c>
      <c r="B674" s="252"/>
      <c r="C674" s="112" t="str">
        <f>IF(ISBLANK(B674),IFERROR(0/0,""),RAW_APS!A674)</f>
        <v/>
      </c>
      <c r="D674" s="112" t="str">
        <f>IF(ISBLANK(C674),IFERROR(0/0,""), VLOOKUP(C674,preDEL!A$2:AG786,33,FALSE))</f>
        <v/>
      </c>
      <c r="E674" s="252"/>
      <c r="F674" s="210"/>
      <c r="G674" s="252"/>
      <c r="H674" s="255" t="str">
        <f t="shared" si="1"/>
        <v/>
      </c>
      <c r="I674" s="256" t="str">
        <f>CONCATENATE(UPPER(RAW_APS!$A675),"__",RAW_APS!$B675,"_",RAW_APS!$C675)</f>
        <v>MA1188__44568_0.340972222222222</v>
      </c>
      <c r="J674" s="257" t="str">
        <f t="shared" si="2"/>
        <v/>
      </c>
      <c r="K674" s="252" t="s">
        <v>1952</v>
      </c>
      <c r="L674" s="258" t="str">
        <f t="shared" si="3"/>
        <v>MA649</v>
      </c>
      <c r="M674" s="259" t="b">
        <f t="shared" si="4"/>
        <v>0</v>
      </c>
      <c r="N674" s="258" t="str">
        <f t="shared" si="5"/>
        <v/>
      </c>
      <c r="O674" s="5"/>
      <c r="P674" s="5"/>
      <c r="Q674" s="5"/>
      <c r="R674" s="5"/>
      <c r="S674" s="5"/>
      <c r="T674" s="5"/>
      <c r="U674" s="5"/>
      <c r="V674" s="5"/>
      <c r="W674" s="5"/>
    </row>
    <row r="675">
      <c r="A675" s="112" t="str">
        <f>IF(OR(ISBLANK(RAW_APS!A675),ISBLANK(RAW_APS!B675),ISBLANK(RAW_APS!C675)),TRUE,IFERROR(0/0,""))</f>
        <v/>
      </c>
      <c r="B675" s="252"/>
      <c r="C675" s="112" t="str">
        <f>IF(ISBLANK(B675),IFERROR(0/0,""),RAW_APS!A675)</f>
        <v/>
      </c>
      <c r="D675" s="112" t="str">
        <f>IF(ISBLANK(C675),IFERROR(0/0,""), VLOOKUP(C675,preDEL!A$2:AG786,33,FALSE))</f>
        <v/>
      </c>
      <c r="E675" s="252"/>
      <c r="F675" s="210"/>
      <c r="G675" s="252"/>
      <c r="H675" s="255" t="str">
        <f t="shared" si="1"/>
        <v/>
      </c>
      <c r="I675" s="256" t="str">
        <f>CONCATENATE(UPPER(RAW_APS!$A676),"__",RAW_APS!$B676,"_",RAW_APS!$C676)</f>
        <v>MA254__44568_0.336168981481482</v>
      </c>
      <c r="J675" s="257" t="str">
        <f t="shared" si="2"/>
        <v/>
      </c>
      <c r="K675" s="252" t="s">
        <v>1954</v>
      </c>
      <c r="L675" s="258" t="str">
        <f t="shared" si="3"/>
        <v>MA650</v>
      </c>
      <c r="M675" s="259" t="b">
        <f t="shared" si="4"/>
        <v>0</v>
      </c>
      <c r="N675" s="258" t="str">
        <f t="shared" si="5"/>
        <v/>
      </c>
      <c r="O675" s="5"/>
      <c r="P675" s="5"/>
      <c r="Q675" s="5"/>
      <c r="R675" s="5"/>
      <c r="S675" s="5"/>
      <c r="T675" s="5"/>
      <c r="U675" s="5"/>
      <c r="V675" s="5"/>
      <c r="W675" s="5"/>
    </row>
    <row r="676">
      <c r="A676" s="112" t="str">
        <f>IF(OR(ISBLANK(RAW_APS!A676),ISBLANK(RAW_APS!B676),ISBLANK(RAW_APS!C676)),TRUE,IFERROR(0/0,""))</f>
        <v/>
      </c>
      <c r="B676" s="252"/>
      <c r="C676" s="112" t="str">
        <f>IF(ISBLANK(B676),IFERROR(0/0,""),RAW_APS!A676)</f>
        <v/>
      </c>
      <c r="D676" s="112" t="str">
        <f>IF(ISBLANK(C676),IFERROR(0/0,""), VLOOKUP(C676,preDEL!A$2:AG786,33,FALSE))</f>
        <v/>
      </c>
      <c r="E676" s="252"/>
      <c r="F676" s="210"/>
      <c r="G676" s="252"/>
      <c r="H676" s="255" t="str">
        <f t="shared" si="1"/>
        <v/>
      </c>
      <c r="I676" s="256" t="str">
        <f>CONCATENATE(UPPER(RAW_APS!$A677),"__",RAW_APS!$B677,"_",RAW_APS!$C677)</f>
        <v>MA462__44568_0.330949074074074</v>
      </c>
      <c r="J676" s="257" t="str">
        <f t="shared" si="2"/>
        <v/>
      </c>
      <c r="K676" s="252" t="s">
        <v>1956</v>
      </c>
      <c r="L676" s="258" t="str">
        <f t="shared" si="3"/>
        <v>MA651</v>
      </c>
      <c r="M676" s="259" t="b">
        <f t="shared" si="4"/>
        <v>0</v>
      </c>
      <c r="N676" s="258" t="str">
        <f t="shared" si="5"/>
        <v/>
      </c>
      <c r="O676" s="5"/>
      <c r="P676" s="5"/>
      <c r="Q676" s="5"/>
      <c r="R676" s="5"/>
      <c r="S676" s="5"/>
      <c r="T676" s="5"/>
      <c r="U676" s="5"/>
      <c r="V676" s="5"/>
      <c r="W676" s="5"/>
    </row>
    <row r="677">
      <c r="A677" s="112" t="str">
        <f>IF(OR(ISBLANK(RAW_APS!A677),ISBLANK(RAW_APS!B677),ISBLANK(RAW_APS!C677)),TRUE,IFERROR(0/0,""))</f>
        <v/>
      </c>
      <c r="B677" s="252"/>
      <c r="C677" s="112" t="str">
        <f>IF(ISBLANK(B677),IFERROR(0/0,""),RAW_APS!A677)</f>
        <v/>
      </c>
      <c r="D677" s="112" t="str">
        <f>IF(ISBLANK(C677),IFERROR(0/0,""), VLOOKUP(C677,preDEL!A$2:AG786,33,FALSE))</f>
        <v/>
      </c>
      <c r="E677" s="252"/>
      <c r="F677" s="210"/>
      <c r="G677" s="252"/>
      <c r="H677" s="255" t="str">
        <f t="shared" si="1"/>
        <v/>
      </c>
      <c r="I677" s="256" t="str">
        <f>CONCATENATE(UPPER(RAW_APS!$A678),"__",RAW_APS!$B678,"_",RAW_APS!$C678)</f>
        <v>MA1051__44568_0.329282407407407</v>
      </c>
      <c r="J677" s="257" t="str">
        <f t="shared" si="2"/>
        <v/>
      </c>
      <c r="K677" s="252" t="s">
        <v>1958</v>
      </c>
      <c r="L677" s="258" t="str">
        <f t="shared" si="3"/>
        <v>MA652</v>
      </c>
      <c r="M677" s="259" t="b">
        <f t="shared" si="4"/>
        <v>0</v>
      </c>
      <c r="N677" s="258" t="str">
        <f t="shared" si="5"/>
        <v/>
      </c>
      <c r="O677" s="5"/>
      <c r="P677" s="5"/>
      <c r="Q677" s="5"/>
      <c r="R677" s="5"/>
      <c r="S677" s="5"/>
      <c r="T677" s="5"/>
      <c r="U677" s="5"/>
      <c r="V677" s="5"/>
      <c r="W677" s="5"/>
    </row>
    <row r="678">
      <c r="A678" s="112" t="str">
        <f>IF(OR(ISBLANK(RAW_APS!A678),ISBLANK(RAW_APS!B678),ISBLANK(RAW_APS!C678)),TRUE,IFERROR(0/0,""))</f>
        <v/>
      </c>
      <c r="B678" s="252"/>
      <c r="C678" s="112" t="str">
        <f>IF(ISBLANK(B678),IFERROR(0/0,""),RAW_APS!A678)</f>
        <v/>
      </c>
      <c r="D678" s="112" t="str">
        <f>IF(ISBLANK(C678),IFERROR(0/0,""), VLOOKUP(C678,preDEL!A$2:AG786,33,FALSE))</f>
        <v/>
      </c>
      <c r="E678" s="252"/>
      <c r="F678" s="210"/>
      <c r="G678" s="252"/>
      <c r="H678" s="255" t="str">
        <f t="shared" si="1"/>
        <v/>
      </c>
      <c r="I678" s="256" t="str">
        <f>CONCATENATE(UPPER(RAW_APS!$A679),"__",RAW_APS!$B679,"_",RAW_APS!$C679)</f>
        <v>MA1143__44568_0.313935185185185</v>
      </c>
      <c r="J678" s="257" t="str">
        <f t="shared" si="2"/>
        <v/>
      </c>
      <c r="K678" s="252" t="s">
        <v>1960</v>
      </c>
      <c r="L678" s="258" t="str">
        <f t="shared" si="3"/>
        <v>MA653</v>
      </c>
      <c r="M678" s="259" t="b">
        <f t="shared" si="4"/>
        <v>0</v>
      </c>
      <c r="N678" s="258" t="str">
        <f t="shared" si="5"/>
        <v/>
      </c>
      <c r="O678" s="5"/>
      <c r="P678" s="5"/>
      <c r="Q678" s="5"/>
      <c r="R678" s="5"/>
      <c r="S678" s="5"/>
      <c r="T678" s="5"/>
      <c r="U678" s="5"/>
      <c r="V678" s="5"/>
      <c r="W678" s="5"/>
    </row>
    <row r="679">
      <c r="A679" s="112" t="str">
        <f>IF(OR(ISBLANK(RAW_APS!A679),ISBLANK(RAW_APS!B679),ISBLANK(RAW_APS!C679)),TRUE,IFERROR(0/0,""))</f>
        <v/>
      </c>
      <c r="B679" s="252"/>
      <c r="C679" s="112" t="str">
        <f>IF(ISBLANK(B679),IFERROR(0/0,""),RAW_APS!A679)</f>
        <v/>
      </c>
      <c r="D679" s="112" t="str">
        <f>IF(ISBLANK(C679),IFERROR(0/0,""), VLOOKUP(C679,preDEL!A$2:AG786,33,FALSE))</f>
        <v/>
      </c>
      <c r="E679" s="252"/>
      <c r="F679" s="210"/>
      <c r="G679" s="252"/>
      <c r="H679" s="255" t="str">
        <f t="shared" si="1"/>
        <v/>
      </c>
      <c r="I679" s="256" t="str">
        <f>CONCATENATE(UPPER(RAW_APS!$A680),"__",RAW_APS!$B680,"_",RAW_APS!$C680)</f>
        <v>MA1149__44568_0.0221180555555556</v>
      </c>
      <c r="J679" s="257" t="str">
        <f t="shared" si="2"/>
        <v/>
      </c>
      <c r="K679" s="252" t="s">
        <v>1962</v>
      </c>
      <c r="L679" s="258" t="str">
        <f t="shared" si="3"/>
        <v>MA654</v>
      </c>
      <c r="M679" s="259" t="b">
        <f t="shared" si="4"/>
        <v>0</v>
      </c>
      <c r="N679" s="258" t="str">
        <f t="shared" si="5"/>
        <v/>
      </c>
      <c r="O679" s="5"/>
      <c r="P679" s="5"/>
      <c r="Q679" s="5"/>
      <c r="R679" s="5"/>
      <c r="S679" s="5"/>
      <c r="T679" s="5"/>
      <c r="U679" s="5"/>
      <c r="V679" s="5"/>
      <c r="W679" s="5"/>
    </row>
    <row r="680">
      <c r="A680" s="112" t="str">
        <f>IF(OR(ISBLANK(RAW_APS!A680),ISBLANK(RAW_APS!B680),ISBLANK(RAW_APS!C680)),TRUE,IFERROR(0/0,""))</f>
        <v/>
      </c>
      <c r="B680" s="252"/>
      <c r="C680" s="112" t="str">
        <f>IF(ISBLANK(B680),IFERROR(0/0,""),RAW_APS!A680)</f>
        <v/>
      </c>
      <c r="D680" s="112" t="str">
        <f>IF(ISBLANK(C680),IFERROR(0/0,""), VLOOKUP(C680,preDEL!A$2:AG786,33,FALSE))</f>
        <v/>
      </c>
      <c r="E680" s="252"/>
      <c r="F680" s="210"/>
      <c r="G680" s="252"/>
      <c r="H680" s="255" t="str">
        <f t="shared" si="1"/>
        <v/>
      </c>
      <c r="I680" s="256" t="str">
        <f>CONCATENATE(UPPER(RAW_APS!$A681),"__",RAW_APS!$B681,"_",RAW_APS!$C681)</f>
        <v>MA427__44567_0.992280092592593</v>
      </c>
      <c r="J680" s="257" t="str">
        <f t="shared" si="2"/>
        <v/>
      </c>
      <c r="K680" s="252" t="s">
        <v>1964</v>
      </c>
      <c r="L680" s="258" t="str">
        <f t="shared" si="3"/>
        <v>MA655</v>
      </c>
      <c r="M680" s="259" t="b">
        <f t="shared" si="4"/>
        <v>0</v>
      </c>
      <c r="N680" s="258" t="str">
        <f t="shared" si="5"/>
        <v/>
      </c>
      <c r="O680" s="5"/>
      <c r="P680" s="5"/>
      <c r="Q680" s="5"/>
      <c r="R680" s="5"/>
      <c r="S680" s="5"/>
      <c r="T680" s="5"/>
      <c r="U680" s="5"/>
      <c r="V680" s="5"/>
      <c r="W680" s="5"/>
    </row>
    <row r="681">
      <c r="A681" s="112" t="str">
        <f>IF(OR(ISBLANK(RAW_APS!A681),ISBLANK(RAW_APS!B681),ISBLANK(RAW_APS!C681)),TRUE,IFERROR(0/0,""))</f>
        <v/>
      </c>
      <c r="B681" s="252"/>
      <c r="C681" s="112" t="str">
        <f>IF(ISBLANK(B681),IFERROR(0/0,""),RAW_APS!A681)</f>
        <v/>
      </c>
      <c r="D681" s="112" t="str">
        <f>IF(ISBLANK(C681),IFERROR(0/0,""), VLOOKUP(C681,preDEL!A$2:AG786,33,FALSE))</f>
        <v/>
      </c>
      <c r="E681" s="252"/>
      <c r="F681" s="210"/>
      <c r="G681" s="252"/>
      <c r="H681" s="255" t="str">
        <f t="shared" si="1"/>
        <v/>
      </c>
      <c r="I681" s="256" t="str">
        <f>CONCATENATE(UPPER(RAW_APS!$A682),"__",RAW_APS!$B682,"_",RAW_APS!$C682)</f>
        <v>MA556__44567_0.953935185185185</v>
      </c>
      <c r="J681" s="257" t="str">
        <f t="shared" si="2"/>
        <v/>
      </c>
      <c r="K681" s="252" t="s">
        <v>1966</v>
      </c>
      <c r="L681" s="258" t="str">
        <f t="shared" si="3"/>
        <v>MA656</v>
      </c>
      <c r="M681" s="259" t="b">
        <f t="shared" si="4"/>
        <v>0</v>
      </c>
      <c r="N681" s="258" t="str">
        <f t="shared" si="5"/>
        <v/>
      </c>
      <c r="O681" s="5"/>
      <c r="P681" s="5"/>
      <c r="Q681" s="5"/>
      <c r="R681" s="5"/>
      <c r="S681" s="5"/>
      <c r="T681" s="5"/>
      <c r="U681" s="5"/>
      <c r="V681" s="5"/>
      <c r="W681" s="5"/>
    </row>
    <row r="682">
      <c r="A682" s="112" t="str">
        <f>IF(OR(ISBLANK(RAW_APS!A682),ISBLANK(RAW_APS!B682),ISBLANK(RAW_APS!C682)),TRUE,IFERROR(0/0,""))</f>
        <v/>
      </c>
      <c r="B682" s="252"/>
      <c r="C682" s="112" t="str">
        <f>IF(ISBLANK(B682),IFERROR(0/0,""),RAW_APS!A682)</f>
        <v/>
      </c>
      <c r="D682" s="112" t="str">
        <f>IF(ISBLANK(C682),IFERROR(0/0,""), VLOOKUP(C682,preDEL!A$2:AG786,33,FALSE))</f>
        <v/>
      </c>
      <c r="E682" s="252"/>
      <c r="F682" s="210"/>
      <c r="G682" s="252"/>
      <c r="H682" s="255" t="str">
        <f t="shared" si="1"/>
        <v/>
      </c>
      <c r="I682" s="256" t="str">
        <f>CONCATENATE(UPPER(RAW_APS!$A683),"__",RAW_APS!$B683,"_",RAW_APS!$C683)</f>
        <v>MA438__44567_0.325266203703704</v>
      </c>
      <c r="J682" s="257" t="str">
        <f t="shared" si="2"/>
        <v/>
      </c>
      <c r="K682" s="252" t="s">
        <v>1968</v>
      </c>
      <c r="L682" s="258" t="str">
        <f t="shared" si="3"/>
        <v>MA657</v>
      </c>
      <c r="M682" s="259" t="b">
        <f t="shared" si="4"/>
        <v>0</v>
      </c>
      <c r="N682" s="258" t="str">
        <f t="shared" si="5"/>
        <v/>
      </c>
      <c r="O682" s="5"/>
      <c r="P682" s="5"/>
      <c r="Q682" s="5"/>
      <c r="R682" s="5"/>
      <c r="S682" s="5"/>
      <c r="T682" s="5"/>
      <c r="U682" s="5"/>
      <c r="V682" s="5"/>
      <c r="W682" s="5"/>
    </row>
    <row r="683">
      <c r="A683" s="112" t="str">
        <f>IF(OR(ISBLANK(RAW_APS!A683),ISBLANK(RAW_APS!B683),ISBLANK(RAW_APS!C683)),TRUE,IFERROR(0/0,""))</f>
        <v/>
      </c>
      <c r="B683" s="252"/>
      <c r="C683" s="112" t="str">
        <f>IF(ISBLANK(B683),IFERROR(0/0,""),RAW_APS!A683)</f>
        <v/>
      </c>
      <c r="D683" s="112" t="str">
        <f>IF(ISBLANK(C683),IFERROR(0/0,""), VLOOKUP(C683,preDEL!A$2:AG786,33,FALSE))</f>
        <v/>
      </c>
      <c r="E683" s="252"/>
      <c r="F683" s="210"/>
      <c r="G683" s="252"/>
      <c r="H683" s="255" t="str">
        <f t="shared" si="1"/>
        <v/>
      </c>
      <c r="I683" s="256" t="str">
        <f>CONCATENATE(UPPER(RAW_APS!$A684),"__",RAW_APS!$B684,"_",RAW_APS!$C684)</f>
        <v>MA457__44567_0.323298611111111</v>
      </c>
      <c r="J683" s="257" t="str">
        <f t="shared" si="2"/>
        <v/>
      </c>
      <c r="K683" s="252" t="s">
        <v>1970</v>
      </c>
      <c r="L683" s="258" t="str">
        <f t="shared" si="3"/>
        <v>MA658</v>
      </c>
      <c r="M683" s="259" t="b">
        <f t="shared" si="4"/>
        <v>0</v>
      </c>
      <c r="N683" s="258" t="str">
        <f t="shared" si="5"/>
        <v/>
      </c>
      <c r="O683" s="5"/>
      <c r="P683" s="5"/>
      <c r="Q683" s="5"/>
      <c r="R683" s="5"/>
      <c r="S683" s="5"/>
      <c r="T683" s="5"/>
      <c r="U683" s="5"/>
      <c r="V683" s="5"/>
      <c r="W683" s="5"/>
    </row>
    <row r="684">
      <c r="A684" s="112" t="str">
        <f>IF(OR(ISBLANK(RAW_APS!A684),ISBLANK(RAW_APS!B684),ISBLANK(RAW_APS!C684)),TRUE,IFERROR(0/0,""))</f>
        <v/>
      </c>
      <c r="B684" s="252"/>
      <c r="C684" s="112" t="str">
        <f>IF(ISBLANK(B684),IFERROR(0/0,""),RAW_APS!A684)</f>
        <v/>
      </c>
      <c r="D684" s="112" t="str">
        <f>IF(ISBLANK(C684),IFERROR(0/0,""), VLOOKUP(C684,preDEL!A$2:AG786,33,FALSE))</f>
        <v/>
      </c>
      <c r="E684" s="252"/>
      <c r="F684" s="210"/>
      <c r="G684" s="252"/>
      <c r="H684" s="255" t="str">
        <f t="shared" si="1"/>
        <v/>
      </c>
      <c r="I684" s="256" t="str">
        <f>CONCATENATE(UPPER(RAW_APS!$A685),"__",RAW_APS!$B685,"_",RAW_APS!$C685)</f>
        <v>MA643__44566_0.382465277777778</v>
      </c>
      <c r="J684" s="257" t="str">
        <f t="shared" si="2"/>
        <v/>
      </c>
      <c r="K684" s="252" t="s">
        <v>1972</v>
      </c>
      <c r="L684" s="258" t="str">
        <f t="shared" si="3"/>
        <v>MA659</v>
      </c>
      <c r="M684" s="259" t="b">
        <f t="shared" si="4"/>
        <v>0</v>
      </c>
      <c r="N684" s="258" t="str">
        <f t="shared" si="5"/>
        <v/>
      </c>
      <c r="O684" s="5"/>
      <c r="P684" s="5"/>
      <c r="Q684" s="5"/>
      <c r="R684" s="5"/>
      <c r="S684" s="5"/>
      <c r="T684" s="5"/>
      <c r="U684" s="5"/>
      <c r="V684" s="5"/>
      <c r="W684" s="5"/>
    </row>
    <row r="685">
      <c r="A685" s="112" t="str">
        <f>IF(OR(ISBLANK(RAW_APS!A685),ISBLANK(RAW_APS!B685),ISBLANK(RAW_APS!C685)),TRUE,IFERROR(0/0,""))</f>
        <v/>
      </c>
      <c r="B685" s="252"/>
      <c r="C685" s="112" t="str">
        <f>IF(ISBLANK(B685),IFERROR(0/0,""),RAW_APS!A685)</f>
        <v/>
      </c>
      <c r="D685" s="112" t="str">
        <f>IF(ISBLANK(C685),IFERROR(0/0,""), VLOOKUP(C685,preDEL!A$2:AG786,33,FALSE))</f>
        <v/>
      </c>
      <c r="E685" s="252"/>
      <c r="F685" s="210"/>
      <c r="G685" s="252"/>
      <c r="H685" s="255" t="str">
        <f t="shared" si="1"/>
        <v/>
      </c>
      <c r="I685" s="256" t="str">
        <f>CONCATENATE(UPPER(RAW_APS!$A686),"__",RAW_APS!$B686,"_",RAW_APS!$C686)</f>
        <v>MA648__44566_0.381782407407407</v>
      </c>
      <c r="J685" s="257" t="str">
        <f t="shared" si="2"/>
        <v/>
      </c>
      <c r="K685" s="252" t="s">
        <v>1975</v>
      </c>
      <c r="L685" s="258" t="str">
        <f t="shared" si="3"/>
        <v>MA660</v>
      </c>
      <c r="M685" s="259" t="b">
        <f t="shared" si="4"/>
        <v>0</v>
      </c>
      <c r="N685" s="258" t="str">
        <f t="shared" si="5"/>
        <v/>
      </c>
      <c r="O685" s="5"/>
      <c r="P685" s="5"/>
      <c r="Q685" s="5"/>
      <c r="R685" s="5"/>
      <c r="S685" s="5"/>
      <c r="T685" s="5"/>
      <c r="U685" s="5"/>
      <c r="V685" s="5"/>
      <c r="W685" s="5"/>
    </row>
    <row r="686">
      <c r="A686" s="112" t="str">
        <f>IF(OR(ISBLANK(RAW_APS!A686),ISBLANK(RAW_APS!B686),ISBLANK(RAW_APS!C686)),TRUE,IFERROR(0/0,""))</f>
        <v/>
      </c>
      <c r="B686" s="252"/>
      <c r="C686" s="112" t="str">
        <f>IF(ISBLANK(B686),IFERROR(0/0,""),RAW_APS!A686)</f>
        <v/>
      </c>
      <c r="D686" s="112" t="str">
        <f>IF(ISBLANK(C686),IFERROR(0/0,""), VLOOKUP(C686,preDEL!A$2:AG786,33,FALSE))</f>
        <v/>
      </c>
      <c r="E686" s="252"/>
      <c r="F686" s="210"/>
      <c r="G686" s="252"/>
      <c r="H686" s="255" t="str">
        <f t="shared" si="1"/>
        <v/>
      </c>
      <c r="I686" s="256" t="str">
        <f>CONCATENATE(UPPER(RAW_APS!$A687),"__",RAW_APS!$B687,"_",RAW_APS!$C687)</f>
        <v>MAX65__44566_0.378935185185185</v>
      </c>
      <c r="J686" s="257" t="str">
        <f t="shared" si="2"/>
        <v/>
      </c>
      <c r="K686" s="252" t="s">
        <v>1977</v>
      </c>
      <c r="L686" s="258" t="str">
        <f t="shared" si="3"/>
        <v>MA683</v>
      </c>
      <c r="M686" s="259" t="b">
        <f t="shared" si="4"/>
        <v>0</v>
      </c>
      <c r="N686" s="258" t="str">
        <f t="shared" si="5"/>
        <v/>
      </c>
      <c r="O686" s="5"/>
      <c r="P686" s="5"/>
      <c r="Q686" s="5"/>
      <c r="R686" s="5"/>
      <c r="S686" s="5"/>
      <c r="T686" s="5"/>
      <c r="U686" s="5"/>
      <c r="V686" s="5"/>
      <c r="W686" s="5"/>
    </row>
    <row r="687">
      <c r="A687" s="112" t="str">
        <f>IF(OR(ISBLANK(RAW_APS!A687),ISBLANK(RAW_APS!B687),ISBLANK(RAW_APS!C687)),TRUE,IFERROR(0/0,""))</f>
        <v/>
      </c>
      <c r="B687" s="252"/>
      <c r="C687" s="112" t="str">
        <f>IF(ISBLANK(B687),IFERROR(0/0,""),RAW_APS!A687)</f>
        <v/>
      </c>
      <c r="D687" s="112" t="str">
        <f>IF(ISBLANK(C687),IFERROR(0/0,""), VLOOKUP(C687,preDEL!A$2:AG786,33,FALSE))</f>
        <v/>
      </c>
      <c r="E687" s="252"/>
      <c r="F687" s="210"/>
      <c r="G687" s="252"/>
      <c r="H687" s="255" t="str">
        <f t="shared" si="1"/>
        <v/>
      </c>
      <c r="I687" s="256" t="str">
        <f>CONCATENATE(UPPER(RAW_APS!$A688),"__",RAW_APS!$B688,"_",RAW_APS!$C688)</f>
        <v>MA636__44566_0.351168981481481</v>
      </c>
      <c r="J687" s="257" t="str">
        <f t="shared" si="2"/>
        <v/>
      </c>
      <c r="K687" s="252" t="s">
        <v>1979</v>
      </c>
      <c r="L687" s="258" t="str">
        <f t="shared" si="3"/>
        <v>MA690</v>
      </c>
      <c r="M687" s="259" t="b">
        <f t="shared" si="4"/>
        <v>0</v>
      </c>
      <c r="N687" s="258" t="str">
        <f t="shared" si="5"/>
        <v/>
      </c>
      <c r="O687" s="5"/>
      <c r="P687" s="5"/>
      <c r="Q687" s="5"/>
      <c r="R687" s="5"/>
      <c r="S687" s="5"/>
      <c r="T687" s="5"/>
      <c r="U687" s="5"/>
      <c r="V687" s="5"/>
      <c r="W687" s="5"/>
    </row>
    <row r="688">
      <c r="A688" s="112" t="str">
        <f>IF(OR(ISBLANK(RAW_APS!A688),ISBLANK(RAW_APS!B688),ISBLANK(RAW_APS!C688)),TRUE,IFERROR(0/0,""))</f>
        <v/>
      </c>
      <c r="B688" s="252"/>
      <c r="C688" s="112" t="str">
        <f>IF(ISBLANK(B688),IFERROR(0/0,""),RAW_APS!A688)</f>
        <v/>
      </c>
      <c r="D688" s="112" t="str">
        <f>IF(ISBLANK(C688),IFERROR(0/0,""), VLOOKUP(C688,preDEL!A$2:AG786,33,FALSE))</f>
        <v/>
      </c>
      <c r="E688" s="252"/>
      <c r="F688" s="210"/>
      <c r="G688" s="252"/>
      <c r="H688" s="255" t="str">
        <f t="shared" si="1"/>
        <v/>
      </c>
      <c r="I688" s="256" t="str">
        <f>CONCATENATE(UPPER(RAW_APS!$A689),"__",RAW_APS!$B689,"_",RAW_APS!$C689)</f>
        <v>MA230__44566_0.338888888888889</v>
      </c>
      <c r="J688" s="257" t="str">
        <f t="shared" si="2"/>
        <v/>
      </c>
      <c r="K688" s="252" t="s">
        <v>1981</v>
      </c>
      <c r="L688" s="258" t="str">
        <f t="shared" si="3"/>
        <v>MA700</v>
      </c>
      <c r="M688" s="259" t="b">
        <f t="shared" si="4"/>
        <v>0</v>
      </c>
      <c r="N688" s="258" t="str">
        <f t="shared" si="5"/>
        <v/>
      </c>
      <c r="O688" s="5"/>
      <c r="P688" s="5"/>
      <c r="Q688" s="5"/>
      <c r="R688" s="5"/>
      <c r="S688" s="5"/>
      <c r="T688" s="5"/>
      <c r="U688" s="5"/>
      <c r="V688" s="5"/>
      <c r="W688" s="5"/>
    </row>
    <row r="689">
      <c r="A689" s="112" t="str">
        <f>IF(OR(ISBLANK(RAW_APS!A689),ISBLANK(RAW_APS!B689),ISBLANK(RAW_APS!C689)),TRUE,IFERROR(0/0,""))</f>
        <v/>
      </c>
      <c r="B689" s="252"/>
      <c r="C689" s="112" t="str">
        <f>IF(ISBLANK(B689),IFERROR(0/0,""),RAW_APS!A689)</f>
        <v/>
      </c>
      <c r="D689" s="112" t="str">
        <f>IF(ISBLANK(C689),IFERROR(0/0,""), VLOOKUP(C689,preDEL!A$2:AG786,33,FALSE))</f>
        <v/>
      </c>
      <c r="E689" s="252"/>
      <c r="F689" s="210"/>
      <c r="G689" s="252"/>
      <c r="H689" s="255" t="str">
        <f t="shared" si="1"/>
        <v/>
      </c>
      <c r="I689" s="256" t="str">
        <f>CONCATENATE(UPPER(RAW_APS!$A690),"__",RAW_APS!$B690,"_",RAW_APS!$C690)</f>
        <v>MA654__44566_0.337384259259259</v>
      </c>
      <c r="J689" s="257" t="str">
        <f t="shared" si="2"/>
        <v/>
      </c>
      <c r="K689" s="252" t="s">
        <v>1983</v>
      </c>
      <c r="L689" s="258" t="str">
        <f t="shared" si="3"/>
        <v>MA705</v>
      </c>
      <c r="M689" s="259" t="b">
        <f t="shared" si="4"/>
        <v>0</v>
      </c>
      <c r="N689" s="258" t="str">
        <f t="shared" si="5"/>
        <v/>
      </c>
      <c r="O689" s="5"/>
      <c r="P689" s="5"/>
      <c r="Q689" s="5"/>
      <c r="R689" s="5"/>
      <c r="S689" s="5"/>
      <c r="T689" s="5"/>
      <c r="U689" s="5"/>
      <c r="V689" s="5"/>
      <c r="W689" s="5"/>
    </row>
    <row r="690">
      <c r="A690" s="112" t="str">
        <f>IF(OR(ISBLANK(RAW_APS!A690),ISBLANK(RAW_APS!B690),ISBLANK(RAW_APS!C690)),TRUE,IFERROR(0/0,""))</f>
        <v/>
      </c>
      <c r="B690" s="252"/>
      <c r="C690" s="112" t="str">
        <f>IF(ISBLANK(B690),IFERROR(0/0,""),RAW_APS!A690)</f>
        <v/>
      </c>
      <c r="D690" s="112" t="str">
        <f>IF(ISBLANK(C690),IFERROR(0/0,""), VLOOKUP(C690,preDEL!A$2:AG786,33,FALSE))</f>
        <v/>
      </c>
      <c r="E690" s="252"/>
      <c r="F690" s="210"/>
      <c r="G690" s="252"/>
      <c r="H690" s="255" t="str">
        <f t="shared" si="1"/>
        <v/>
      </c>
      <c r="I690" s="256" t="str">
        <f>CONCATENATE(UPPER(RAW_APS!$A691),"__",RAW_APS!$B691,"_",RAW_APS!$C691)</f>
        <v>MA218__44566_0.330763888888889</v>
      </c>
      <c r="J690" s="257" t="str">
        <f t="shared" si="2"/>
        <v/>
      </c>
      <c r="K690" s="252" t="s">
        <v>1985</v>
      </c>
      <c r="L690" s="258" t="str">
        <f t="shared" si="3"/>
        <v>MA707</v>
      </c>
      <c r="M690" s="259" t="b">
        <f t="shared" si="4"/>
        <v>0</v>
      </c>
      <c r="N690" s="258" t="str">
        <f t="shared" si="5"/>
        <v/>
      </c>
      <c r="O690" s="5"/>
      <c r="P690" s="5"/>
      <c r="Q690" s="5"/>
      <c r="R690" s="5"/>
      <c r="S690" s="5"/>
      <c r="T690" s="5"/>
      <c r="U690" s="5"/>
      <c r="V690" s="5"/>
      <c r="W690" s="5"/>
    </row>
    <row r="691">
      <c r="A691" s="112" t="str">
        <f>IF(OR(ISBLANK(RAW_APS!A691),ISBLANK(RAW_APS!B691),ISBLANK(RAW_APS!C691)),TRUE,IFERROR(0/0,""))</f>
        <v/>
      </c>
      <c r="B691" s="252"/>
      <c r="C691" s="112" t="str">
        <f>IF(ISBLANK(B691),IFERROR(0/0,""),RAW_APS!A691)</f>
        <v/>
      </c>
      <c r="D691" s="112" t="str">
        <f>IF(ISBLANK(C691),IFERROR(0/0,""), VLOOKUP(C691,preDEL!A$2:AG786,33,FALSE))</f>
        <v/>
      </c>
      <c r="E691" s="252"/>
      <c r="F691" s="210"/>
      <c r="G691" s="252"/>
      <c r="H691" s="255" t="str">
        <f t="shared" si="1"/>
        <v/>
      </c>
      <c r="I691" s="256" t="str">
        <f>CONCATENATE(UPPER(RAW_APS!$A692),"__",RAW_APS!$B692,"_",RAW_APS!$C692)</f>
        <v>MA263__44566_0.32974537037037</v>
      </c>
      <c r="J691" s="257" t="str">
        <f t="shared" si="2"/>
        <v/>
      </c>
      <c r="K691" s="252" t="s">
        <v>1987</v>
      </c>
      <c r="L691" s="258" t="str">
        <f t="shared" si="3"/>
        <v>MA711</v>
      </c>
      <c r="M691" s="259" t="b">
        <f t="shared" si="4"/>
        <v>0</v>
      </c>
      <c r="N691" s="258" t="str">
        <f t="shared" si="5"/>
        <v/>
      </c>
      <c r="O691" s="5"/>
      <c r="P691" s="5"/>
      <c r="Q691" s="5"/>
      <c r="R691" s="5"/>
      <c r="S691" s="5"/>
      <c r="T691" s="5"/>
      <c r="U691" s="5"/>
      <c r="V691" s="5"/>
      <c r="W691" s="5"/>
    </row>
    <row r="692">
      <c r="A692" s="112" t="str">
        <f>IF(OR(ISBLANK(RAW_APS!A692),ISBLANK(RAW_APS!B692),ISBLANK(RAW_APS!C692)),TRUE,IFERROR(0/0,""))</f>
        <v/>
      </c>
      <c r="B692" s="252"/>
      <c r="C692" s="112" t="str">
        <f>IF(ISBLANK(B692),IFERROR(0/0,""),RAW_APS!A692)</f>
        <v/>
      </c>
      <c r="D692" s="112" t="str">
        <f>IF(ISBLANK(C692),IFERROR(0/0,""), VLOOKUP(C692,preDEL!A$2:AG786,33,FALSE))</f>
        <v/>
      </c>
      <c r="E692" s="252"/>
      <c r="F692" s="210"/>
      <c r="G692" s="252"/>
      <c r="H692" s="255" t="str">
        <f t="shared" si="1"/>
        <v/>
      </c>
      <c r="I692" s="256" t="str">
        <f>CONCATENATE(UPPER(RAW_APS!$A693),"__",RAW_APS!$B693,"_",RAW_APS!$C693)</f>
        <v>MA356__44566_0.321041666666667</v>
      </c>
      <c r="J692" s="257" t="str">
        <f t="shared" si="2"/>
        <v/>
      </c>
      <c r="K692" s="252" t="s">
        <v>1991</v>
      </c>
      <c r="L692" s="258" t="str">
        <f t="shared" si="3"/>
        <v>MA917</v>
      </c>
      <c r="M692" s="259" t="b">
        <f t="shared" si="4"/>
        <v>0</v>
      </c>
      <c r="N692" s="258" t="str">
        <f t="shared" si="5"/>
        <v/>
      </c>
      <c r="O692" s="5"/>
      <c r="P692" s="5"/>
      <c r="Q692" s="5"/>
      <c r="R692" s="5"/>
      <c r="S692" s="5"/>
      <c r="T692" s="5"/>
      <c r="U692" s="5"/>
      <c r="V692" s="5"/>
      <c r="W692" s="5"/>
    </row>
    <row r="693">
      <c r="A693" s="112" t="str">
        <f>IF(OR(ISBLANK(RAW_APS!A693),ISBLANK(RAW_APS!B693),ISBLANK(RAW_APS!C693)),TRUE,IFERROR(0/0,""))</f>
        <v/>
      </c>
      <c r="B693" s="252"/>
      <c r="C693" s="112" t="str">
        <f>IF(ISBLANK(B693),IFERROR(0/0,""),RAW_APS!A693)</f>
        <v/>
      </c>
      <c r="D693" s="112" t="str">
        <f>IF(ISBLANK(C693),IFERROR(0/0,""), VLOOKUP(C693,preDEL!A$2:AG786,33,FALSE))</f>
        <v/>
      </c>
      <c r="E693" s="252"/>
      <c r="F693" s="210"/>
      <c r="G693" s="252"/>
      <c r="H693" s="255" t="str">
        <f t="shared" si="1"/>
        <v/>
      </c>
      <c r="I693" s="256" t="str">
        <f>CONCATENATE(UPPER(RAW_APS!$A694),"__",RAW_APS!$B694,"_",RAW_APS!$C694)</f>
        <v>MA451__44566_0.311527777777778</v>
      </c>
      <c r="J693" s="257" t="str">
        <f t="shared" si="2"/>
        <v/>
      </c>
      <c r="K693" s="252" t="s">
        <v>1993</v>
      </c>
      <c r="L693" s="258" t="str">
        <f t="shared" si="3"/>
        <v>MA959</v>
      </c>
      <c r="M693" s="259" t="b">
        <f t="shared" si="4"/>
        <v>0</v>
      </c>
      <c r="N693" s="258" t="str">
        <f t="shared" si="5"/>
        <v/>
      </c>
      <c r="O693" s="5"/>
      <c r="P693" s="5"/>
      <c r="Q693" s="5"/>
      <c r="R693" s="5"/>
      <c r="S693" s="5"/>
      <c r="T693" s="5"/>
      <c r="U693" s="5"/>
      <c r="V693" s="5"/>
      <c r="W693" s="5"/>
    </row>
    <row r="694">
      <c r="A694" s="112" t="str">
        <f>IF(OR(ISBLANK(RAW_APS!A694),ISBLANK(RAW_APS!B694),ISBLANK(RAW_APS!C694)),TRUE,IFERROR(0/0,""))</f>
        <v/>
      </c>
      <c r="B694" s="252"/>
      <c r="C694" s="112" t="str">
        <f>IF(ISBLANK(B694),IFERROR(0/0,""),RAW_APS!A694)</f>
        <v/>
      </c>
      <c r="D694" s="112" t="str">
        <f>IF(ISBLANK(C694),IFERROR(0/0,""), VLOOKUP(C694,preDEL!A$2:AG786,33,FALSE))</f>
        <v/>
      </c>
      <c r="E694" s="252"/>
      <c r="F694" s="210"/>
      <c r="G694" s="252"/>
      <c r="H694" s="255" t="str">
        <f t="shared" si="1"/>
        <v/>
      </c>
      <c r="I694" s="256" t="str">
        <f>CONCATENATE(UPPER(RAW_APS!$A695),"__",RAW_APS!$B695,"_",RAW_APS!$C695)</f>
        <v>MA366__44566_0.305833333333333</v>
      </c>
      <c r="J694" s="257" t="str">
        <f t="shared" si="2"/>
        <v/>
      </c>
      <c r="K694" s="252" t="s">
        <v>1995</v>
      </c>
      <c r="L694" s="258" t="str">
        <f t="shared" si="3"/>
        <v>MA977</v>
      </c>
      <c r="M694" s="259" t="b">
        <f t="shared" si="4"/>
        <v>0</v>
      </c>
      <c r="N694" s="258" t="str">
        <f t="shared" si="5"/>
        <v/>
      </c>
      <c r="O694" s="5"/>
      <c r="P694" s="5"/>
      <c r="Q694" s="5"/>
      <c r="R694" s="5"/>
      <c r="S694" s="5"/>
      <c r="T694" s="5"/>
      <c r="U694" s="5"/>
      <c r="V694" s="5"/>
      <c r="W694" s="5"/>
    </row>
    <row r="695">
      <c r="A695" s="112" t="str">
        <f>IF(OR(ISBLANK(RAW_APS!A695),ISBLANK(RAW_APS!B695),ISBLANK(RAW_APS!C695)),TRUE,IFERROR(0/0,""))</f>
        <v/>
      </c>
      <c r="B695" s="252"/>
      <c r="C695" s="112" t="str">
        <f>IF(ISBLANK(B695),IFERROR(0/0,""),RAW_APS!A695)</f>
        <v/>
      </c>
      <c r="D695" s="112" t="str">
        <f>IF(ISBLANK(C695),IFERROR(0/0,""), VLOOKUP(C695,preDEL!A$2:AG786,33,FALSE))</f>
        <v/>
      </c>
      <c r="E695" s="252"/>
      <c r="F695" s="210"/>
      <c r="G695" s="252"/>
      <c r="H695" s="255" t="str">
        <f t="shared" si="1"/>
        <v/>
      </c>
      <c r="I695" s="256" t="str">
        <f>CONCATENATE(UPPER(RAW_APS!$A696),"__",RAW_APS!$B696,"_",RAW_APS!$C696)</f>
        <v>MA651__44565_0.716099537037037</v>
      </c>
      <c r="J695" s="257" t="str">
        <f t="shared" si="2"/>
        <v/>
      </c>
      <c r="K695" s="252" t="s">
        <v>1997</v>
      </c>
      <c r="L695" s="258" t="str">
        <f t="shared" si="3"/>
        <v>MAX100</v>
      </c>
      <c r="M695" s="259" t="b">
        <f t="shared" si="4"/>
        <v>0</v>
      </c>
      <c r="N695" s="258" t="str">
        <f t="shared" si="5"/>
        <v/>
      </c>
      <c r="O695" s="5"/>
      <c r="P695" s="5"/>
      <c r="Q695" s="5"/>
      <c r="R695" s="5"/>
      <c r="S695" s="5"/>
      <c r="T695" s="5"/>
      <c r="U695" s="5"/>
      <c r="V695" s="5"/>
      <c r="W695" s="5"/>
    </row>
    <row r="696">
      <c r="A696" s="112" t="str">
        <f>IF(OR(ISBLANK(RAW_APS!A696),ISBLANK(RAW_APS!B696),ISBLANK(RAW_APS!C696)),TRUE,IFERROR(0/0,""))</f>
        <v/>
      </c>
      <c r="B696" s="252"/>
      <c r="C696" s="112" t="str">
        <f>IF(ISBLANK(B696),IFERROR(0/0,""),RAW_APS!A696)</f>
        <v/>
      </c>
      <c r="D696" s="112" t="str">
        <f>IF(ISBLANK(C696),IFERROR(0/0,""), VLOOKUP(C696,preDEL!A$2:AG786,33,FALSE))</f>
        <v/>
      </c>
      <c r="E696" s="252"/>
      <c r="F696" s="210"/>
      <c r="G696" s="252"/>
      <c r="H696" s="255" t="str">
        <f t="shared" si="1"/>
        <v/>
      </c>
      <c r="I696" s="256" t="str">
        <f>CONCATENATE(UPPER(RAW_APS!$A697),"__",RAW_APS!$B697,"_",RAW_APS!$C697)</f>
        <v>MA660__44565_0.691157407407407</v>
      </c>
      <c r="J696" s="257" t="str">
        <f t="shared" si="2"/>
        <v/>
      </c>
      <c r="K696" s="252" t="s">
        <v>1999</v>
      </c>
      <c r="L696" s="258" t="str">
        <f t="shared" si="3"/>
        <v>MAX101</v>
      </c>
      <c r="M696" s="259" t="b">
        <f t="shared" si="4"/>
        <v>0</v>
      </c>
      <c r="N696" s="258" t="str">
        <f t="shared" si="5"/>
        <v/>
      </c>
      <c r="O696" s="5"/>
      <c r="P696" s="5"/>
      <c r="Q696" s="5"/>
      <c r="R696" s="5"/>
      <c r="S696" s="5"/>
      <c r="T696" s="5"/>
      <c r="U696" s="5"/>
      <c r="V696" s="5"/>
      <c r="W696" s="5"/>
    </row>
    <row r="697">
      <c r="A697" s="112" t="str">
        <f>IF(OR(ISBLANK(RAW_APS!A697),ISBLANK(RAW_APS!B697),ISBLANK(RAW_APS!C697)),TRUE,IFERROR(0/0,""))</f>
        <v/>
      </c>
      <c r="B697" s="252"/>
      <c r="C697" s="112" t="str">
        <f>IF(ISBLANK(B697),IFERROR(0/0,""),RAW_APS!A697)</f>
        <v/>
      </c>
      <c r="D697" s="112" t="str">
        <f>IF(ISBLANK(C697),IFERROR(0/0,""), VLOOKUP(C697,preDEL!A$2:AG786,33,FALSE))</f>
        <v/>
      </c>
      <c r="E697" s="252"/>
      <c r="F697" s="210"/>
      <c r="G697" s="252"/>
      <c r="H697" s="255" t="str">
        <f t="shared" si="1"/>
        <v/>
      </c>
      <c r="I697" s="256" t="str">
        <f>CONCATENATE(UPPER(RAW_APS!$A698),"__",RAW_APS!$B698,"_",RAW_APS!$C698)</f>
        <v>MA282__44564_0.402291666666667</v>
      </c>
      <c r="J697" s="257" t="str">
        <f t="shared" si="2"/>
        <v/>
      </c>
      <c r="K697" s="252" t="s">
        <v>2001</v>
      </c>
      <c r="L697" s="258" t="str">
        <f t="shared" si="3"/>
        <v>MAX102</v>
      </c>
      <c r="M697" s="259" t="b">
        <f t="shared" si="4"/>
        <v>0</v>
      </c>
      <c r="N697" s="258" t="str">
        <f t="shared" si="5"/>
        <v/>
      </c>
      <c r="O697" s="5"/>
      <c r="P697" s="5"/>
      <c r="Q697" s="5"/>
      <c r="R697" s="5"/>
      <c r="S697" s="5"/>
      <c r="T697" s="5"/>
      <c r="U697" s="5"/>
      <c r="V697" s="5"/>
      <c r="W697" s="5"/>
    </row>
    <row r="698">
      <c r="A698" s="112" t="str">
        <f>IF(OR(ISBLANK(RAW_APS!A698),ISBLANK(RAW_APS!B698),ISBLANK(RAW_APS!C698)),TRUE,IFERROR(0/0,""))</f>
        <v/>
      </c>
      <c r="B698" s="252"/>
      <c r="C698" s="112" t="str">
        <f>IF(ISBLANK(B698),IFERROR(0/0,""),RAW_APS!A698)</f>
        <v/>
      </c>
      <c r="D698" s="112" t="str">
        <f>IF(ISBLANK(C698),IFERROR(0/0,""), VLOOKUP(C698,preDEL!A$2:AG786,33,FALSE))</f>
        <v/>
      </c>
      <c r="E698" s="252"/>
      <c r="F698" s="210"/>
      <c r="G698" s="252"/>
      <c r="H698" s="255" t="str">
        <f t="shared" si="1"/>
        <v/>
      </c>
      <c r="I698" s="256" t="str">
        <f>CONCATENATE(UPPER(RAW_APS!$A699),"__",RAW_APS!$B699,"_",RAW_APS!$C699)</f>
        <v>MA248__44564_0.397627314814815</v>
      </c>
      <c r="J698" s="257" t="str">
        <f t="shared" si="2"/>
        <v/>
      </c>
      <c r="K698" s="252" t="s">
        <v>2003</v>
      </c>
      <c r="L698" s="258" t="str">
        <f t="shared" si="3"/>
        <v>MAX103</v>
      </c>
      <c r="M698" s="259" t="b">
        <f t="shared" si="4"/>
        <v>0</v>
      </c>
      <c r="N698" s="258" t="str">
        <f t="shared" si="5"/>
        <v/>
      </c>
      <c r="O698" s="5"/>
      <c r="P698" s="5"/>
      <c r="Q698" s="5"/>
      <c r="R698" s="5"/>
      <c r="S698" s="5"/>
      <c r="T698" s="5"/>
      <c r="U698" s="5"/>
      <c r="V698" s="5"/>
      <c r="W698" s="5"/>
    </row>
    <row r="699">
      <c r="A699" s="112" t="str">
        <f>IF(OR(ISBLANK(RAW_APS!A699),ISBLANK(RAW_APS!B699),ISBLANK(RAW_APS!C699)),TRUE,IFERROR(0/0,""))</f>
        <v/>
      </c>
      <c r="B699" s="252"/>
      <c r="C699" s="112" t="str">
        <f>IF(ISBLANK(B699),IFERROR(0/0,""),RAW_APS!A699)</f>
        <v/>
      </c>
      <c r="D699" s="112" t="str">
        <f>IF(ISBLANK(C699),IFERROR(0/0,""), VLOOKUP(C699,preDEL!A$2:AG786,33,FALSE))</f>
        <v/>
      </c>
      <c r="E699" s="252"/>
      <c r="F699" s="210"/>
      <c r="G699" s="252"/>
      <c r="H699" s="255" t="str">
        <f t="shared" si="1"/>
        <v/>
      </c>
      <c r="I699" s="256" t="str">
        <f>CONCATENATE(UPPER(RAW_APS!$A700),"__",RAW_APS!$B700,"_",RAW_APS!$C700)</f>
        <v>MA644__44564_0.384131944444444</v>
      </c>
      <c r="J699" s="257" t="str">
        <f t="shared" si="2"/>
        <v/>
      </c>
      <c r="K699" s="252" t="s">
        <v>2007</v>
      </c>
      <c r="L699" s="258" t="str">
        <f t="shared" si="3"/>
        <v>MAX104</v>
      </c>
      <c r="M699" s="259" t="b">
        <f t="shared" si="4"/>
        <v>0</v>
      </c>
      <c r="N699" s="258" t="str">
        <f t="shared" si="5"/>
        <v/>
      </c>
      <c r="O699" s="5"/>
      <c r="P699" s="5"/>
      <c r="Q699" s="5"/>
      <c r="R699" s="5"/>
      <c r="S699" s="5"/>
      <c r="T699" s="5"/>
      <c r="U699" s="5"/>
      <c r="V699" s="5"/>
      <c r="W699" s="5"/>
    </row>
    <row r="700">
      <c r="A700" s="112" t="str">
        <f>IF(OR(ISBLANK(RAW_APS!A700),ISBLANK(RAW_APS!B700),ISBLANK(RAW_APS!C700)),TRUE,IFERROR(0/0,""))</f>
        <v/>
      </c>
      <c r="B700" s="252"/>
      <c r="C700" s="112" t="str">
        <f>IF(ISBLANK(B700),IFERROR(0/0,""),RAW_APS!A700)</f>
        <v/>
      </c>
      <c r="D700" s="112" t="str">
        <f>IF(ISBLANK(C700),IFERROR(0/0,""), VLOOKUP(C700,preDEL!A$2:AG786,33,FALSE))</f>
        <v/>
      </c>
      <c r="E700" s="252"/>
      <c r="F700" s="210"/>
      <c r="G700" s="252"/>
      <c r="H700" s="255" t="str">
        <f t="shared" si="1"/>
        <v/>
      </c>
      <c r="I700" s="256" t="str">
        <f>CONCATENATE(UPPER(RAW_APS!$A701),"__",RAW_APS!$B701,"_",RAW_APS!$C701)</f>
        <v>MA1022__44564_0.36962962962963</v>
      </c>
      <c r="J700" s="257" t="str">
        <f t="shared" si="2"/>
        <v/>
      </c>
      <c r="K700" s="252" t="s">
        <v>2009</v>
      </c>
      <c r="L700" s="258" t="str">
        <f t="shared" si="3"/>
        <v>MAX105</v>
      </c>
      <c r="M700" s="259" t="b">
        <f t="shared" si="4"/>
        <v>0</v>
      </c>
      <c r="N700" s="258" t="str">
        <f t="shared" si="5"/>
        <v/>
      </c>
      <c r="O700" s="5"/>
      <c r="P700" s="5"/>
      <c r="Q700" s="5"/>
      <c r="R700" s="5"/>
      <c r="S700" s="5"/>
      <c r="T700" s="5"/>
      <c r="U700" s="5"/>
      <c r="V700" s="5"/>
      <c r="W700" s="5"/>
    </row>
    <row r="701">
      <c r="A701" s="112" t="str">
        <f>IF(OR(ISBLANK(RAW_APS!A701),ISBLANK(RAW_APS!B701),ISBLANK(RAW_APS!C701)),TRUE,IFERROR(0/0,""))</f>
        <v/>
      </c>
      <c r="B701" s="252"/>
      <c r="C701" s="112" t="str">
        <f>IF(ISBLANK(B701),IFERROR(0/0,""),RAW_APS!A701)</f>
        <v/>
      </c>
      <c r="D701" s="112" t="str">
        <f>IF(ISBLANK(C701),IFERROR(0/0,""), VLOOKUP(C701,preDEL!A$2:AG786,33,FALSE))</f>
        <v/>
      </c>
      <c r="E701" s="252"/>
      <c r="F701" s="210"/>
      <c r="G701" s="252"/>
      <c r="H701" s="255" t="str">
        <f t="shared" si="1"/>
        <v/>
      </c>
      <c r="I701" s="256" t="str">
        <f>CONCATENATE(UPPER(RAW_APS!$A702),"__",RAW_APS!$B702,"_",RAW_APS!$C702)</f>
        <v>MA473__44564_0.365451388888889</v>
      </c>
      <c r="J701" s="257" t="str">
        <f t="shared" si="2"/>
        <v/>
      </c>
      <c r="K701" s="252" t="s">
        <v>2011</v>
      </c>
      <c r="L701" s="258" t="str">
        <f t="shared" si="3"/>
        <v>MAX106</v>
      </c>
      <c r="M701" s="259" t="b">
        <f t="shared" si="4"/>
        <v>0</v>
      </c>
      <c r="N701" s="258" t="str">
        <f t="shared" si="5"/>
        <v/>
      </c>
      <c r="O701" s="5"/>
      <c r="P701" s="5"/>
      <c r="Q701" s="5"/>
      <c r="R701" s="5"/>
      <c r="S701" s="5"/>
      <c r="T701" s="5"/>
      <c r="U701" s="5"/>
      <c r="V701" s="5"/>
      <c r="W701" s="5"/>
    </row>
    <row r="702">
      <c r="A702" s="112" t="str">
        <f>IF(OR(ISBLANK(RAW_APS!A702),ISBLANK(RAW_APS!B702),ISBLANK(RAW_APS!C702)),TRUE,IFERROR(0/0,""))</f>
        <v/>
      </c>
      <c r="B702" s="252"/>
      <c r="C702" s="112" t="str">
        <f>IF(ISBLANK(B702),IFERROR(0/0,""),RAW_APS!A702)</f>
        <v/>
      </c>
      <c r="D702" s="112" t="str">
        <f>IF(ISBLANK(C702),IFERROR(0/0,""), VLOOKUP(C702,preDEL!A$2:AG786,33,FALSE))</f>
        <v/>
      </c>
      <c r="E702" s="252"/>
      <c r="F702" s="210"/>
      <c r="G702" s="252"/>
      <c r="H702" s="255" t="str">
        <f t="shared" si="1"/>
        <v/>
      </c>
      <c r="I702" s="256" t="str">
        <f>CONCATENATE(UPPER(RAW_APS!$A703),"__",RAW_APS!$B703,"_",RAW_APS!$C703)</f>
        <v>MA287__44564_0.359652777777778</v>
      </c>
      <c r="J702" s="257" t="str">
        <f t="shared" si="2"/>
        <v/>
      </c>
      <c r="K702" s="252" t="s">
        <v>2013</v>
      </c>
      <c r="L702" s="258" t="str">
        <f t="shared" si="3"/>
        <v>MAX107</v>
      </c>
      <c r="M702" s="259" t="b">
        <f t="shared" si="4"/>
        <v>0</v>
      </c>
      <c r="N702" s="258" t="str">
        <f t="shared" si="5"/>
        <v/>
      </c>
      <c r="O702" s="5"/>
      <c r="P702" s="5"/>
      <c r="Q702" s="5"/>
      <c r="R702" s="5"/>
      <c r="S702" s="5"/>
      <c r="T702" s="5"/>
      <c r="U702" s="5"/>
      <c r="V702" s="5"/>
      <c r="W702" s="5"/>
    </row>
    <row r="703">
      <c r="A703" s="112" t="str">
        <f>IF(OR(ISBLANK(RAW_APS!A703),ISBLANK(RAW_APS!B703),ISBLANK(RAW_APS!C703)),TRUE,IFERROR(0/0,""))</f>
        <v/>
      </c>
      <c r="B703" s="252"/>
      <c r="C703" s="112" t="str">
        <f>IF(ISBLANK(B703),IFERROR(0/0,""),RAW_APS!A703)</f>
        <v/>
      </c>
      <c r="D703" s="112" t="str">
        <f>IF(ISBLANK(C703),IFERROR(0/0,""), VLOOKUP(C703,preDEL!A$2:AG786,33,FALSE))</f>
        <v/>
      </c>
      <c r="E703" s="252"/>
      <c r="F703" s="210"/>
      <c r="G703" s="252"/>
      <c r="H703" s="255" t="str">
        <f t="shared" si="1"/>
        <v/>
      </c>
      <c r="I703" s="256" t="str">
        <f>CONCATENATE(UPPER(RAW_APS!$A704),"__",RAW_APS!$B704,"_",RAW_APS!$C704)</f>
        <v>MA1082__44564_0.351550925925926</v>
      </c>
      <c r="J703" s="257" t="str">
        <f t="shared" si="2"/>
        <v/>
      </c>
      <c r="K703" s="252" t="s">
        <v>2015</v>
      </c>
      <c r="L703" s="258" t="str">
        <f t="shared" si="3"/>
        <v>MAX108</v>
      </c>
      <c r="M703" s="259" t="b">
        <f t="shared" si="4"/>
        <v>0</v>
      </c>
      <c r="N703" s="258" t="str">
        <f t="shared" si="5"/>
        <v/>
      </c>
      <c r="O703" s="5"/>
      <c r="P703" s="5"/>
      <c r="Q703" s="5"/>
      <c r="R703" s="5"/>
      <c r="S703" s="5"/>
      <c r="T703" s="5"/>
      <c r="U703" s="5"/>
      <c r="V703" s="5"/>
      <c r="W703" s="5"/>
    </row>
    <row r="704">
      <c r="A704" s="112" t="str">
        <f>IF(OR(ISBLANK(RAW_APS!A704),ISBLANK(RAW_APS!B704),ISBLANK(RAW_APS!C704)),TRUE,IFERROR(0/0,""))</f>
        <v/>
      </c>
      <c r="B704" s="252"/>
      <c r="C704" s="112" t="str">
        <f>IF(ISBLANK(B704),IFERROR(0/0,""),RAW_APS!A704)</f>
        <v/>
      </c>
      <c r="D704" s="112" t="str">
        <f>IF(ISBLANK(C704),IFERROR(0/0,""), VLOOKUP(C704,preDEL!A$2:AG786,33,FALSE))</f>
        <v/>
      </c>
      <c r="E704" s="252"/>
      <c r="F704" s="210"/>
      <c r="G704" s="252"/>
      <c r="H704" s="255" t="str">
        <f t="shared" si="1"/>
        <v/>
      </c>
      <c r="I704" s="256" t="str">
        <f>CONCATENATE(UPPER(RAW_APS!$A705),"__",RAW_APS!$B705,"_",RAW_APS!$C705)</f>
        <v>MA1049__44564_0.342407407407407</v>
      </c>
      <c r="J704" s="257" t="str">
        <f t="shared" si="2"/>
        <v/>
      </c>
      <c r="K704" s="252" t="s">
        <v>2017</v>
      </c>
      <c r="L704" s="258" t="str">
        <f t="shared" si="3"/>
        <v>MAX109</v>
      </c>
      <c r="M704" s="259" t="b">
        <f t="shared" si="4"/>
        <v>0</v>
      </c>
      <c r="N704" s="258" t="str">
        <f t="shared" si="5"/>
        <v/>
      </c>
      <c r="O704" s="5"/>
      <c r="P704" s="5"/>
      <c r="Q704" s="5"/>
      <c r="R704" s="5"/>
      <c r="S704" s="5"/>
      <c r="T704" s="5"/>
      <c r="U704" s="5"/>
      <c r="V704" s="5"/>
      <c r="W704" s="5"/>
    </row>
    <row r="705">
      <c r="A705" s="112" t="str">
        <f>IF(OR(ISBLANK(RAW_APS!A705),ISBLANK(RAW_APS!B705),ISBLANK(RAW_APS!C705)),TRUE,IFERROR(0/0,""))</f>
        <v/>
      </c>
      <c r="B705" s="252"/>
      <c r="C705" s="112" t="str">
        <f>IF(ISBLANK(B705),IFERROR(0/0,""),RAW_APS!A705)</f>
        <v/>
      </c>
      <c r="D705" s="112" t="str">
        <f>IF(ISBLANK(C705),IFERROR(0/0,""), VLOOKUP(C705,preDEL!A$2:AG786,33,FALSE))</f>
        <v/>
      </c>
      <c r="E705" s="252"/>
      <c r="F705" s="210"/>
      <c r="G705" s="252"/>
      <c r="H705" s="255" t="str">
        <f t="shared" si="1"/>
        <v/>
      </c>
      <c r="I705" s="256" t="str">
        <f>CONCATENATE(UPPER(RAW_APS!$A706),"__",RAW_APS!$B706,"_",RAW_APS!$C706)</f>
        <v>MA448__44564_0.33775462962963</v>
      </c>
      <c r="J705" s="257" t="str">
        <f t="shared" si="2"/>
        <v/>
      </c>
      <c r="K705" s="252" t="s">
        <v>2019</v>
      </c>
      <c r="L705" s="258" t="str">
        <f t="shared" si="3"/>
        <v>MAX110</v>
      </c>
      <c r="M705" s="259" t="b">
        <f t="shared" si="4"/>
        <v>0</v>
      </c>
      <c r="N705" s="258" t="str">
        <f t="shared" si="5"/>
        <v/>
      </c>
      <c r="O705" s="5"/>
      <c r="P705" s="5"/>
      <c r="Q705" s="5"/>
      <c r="R705" s="5"/>
      <c r="S705" s="5"/>
      <c r="T705" s="5"/>
      <c r="U705" s="5"/>
      <c r="V705" s="5"/>
      <c r="W705" s="5"/>
    </row>
    <row r="706">
      <c r="A706" s="112" t="str">
        <f>IF(OR(ISBLANK(RAW_APS!A706),ISBLANK(RAW_APS!B706),ISBLANK(RAW_APS!C706)),TRUE,IFERROR(0/0,""))</f>
        <v/>
      </c>
      <c r="B706" s="252"/>
      <c r="C706" s="112" t="str">
        <f>IF(ISBLANK(B706),IFERROR(0/0,""),RAW_APS!A706)</f>
        <v/>
      </c>
      <c r="D706" s="112" t="str">
        <f>IF(ISBLANK(C706),IFERROR(0/0,""), VLOOKUP(C706,preDEL!A$2:AG786,33,FALSE))</f>
        <v/>
      </c>
      <c r="E706" s="252"/>
      <c r="F706" s="210"/>
      <c r="G706" s="252"/>
      <c r="H706" s="255" t="str">
        <f t="shared" si="1"/>
        <v/>
      </c>
      <c r="I706" s="256" t="str">
        <f>CONCATENATE(UPPER(RAW_APS!$A707),"__",RAW_APS!$B707,"_",RAW_APS!$C707)</f>
        <v>MA323__44564_0.326157407407407</v>
      </c>
      <c r="J706" s="257" t="str">
        <f t="shared" si="2"/>
        <v/>
      </c>
      <c r="K706" s="252" t="s">
        <v>2021</v>
      </c>
      <c r="L706" s="258" t="str">
        <f t="shared" si="3"/>
        <v>MAX111</v>
      </c>
      <c r="M706" s="259" t="b">
        <f t="shared" si="4"/>
        <v>0</v>
      </c>
      <c r="N706" s="258" t="str">
        <f t="shared" si="5"/>
        <v/>
      </c>
      <c r="O706" s="5"/>
      <c r="P706" s="5"/>
      <c r="Q706" s="5"/>
      <c r="R706" s="5"/>
      <c r="S706" s="5"/>
      <c r="T706" s="5"/>
      <c r="U706" s="5"/>
      <c r="V706" s="5"/>
      <c r="W706" s="5"/>
    </row>
    <row r="707">
      <c r="A707" s="112" t="str">
        <f>IF(OR(ISBLANK(RAW_APS!A707),ISBLANK(RAW_APS!B707),ISBLANK(RAW_APS!C707)),TRUE,IFERROR(0/0,""))</f>
        <v/>
      </c>
      <c r="B707" s="252"/>
      <c r="C707" s="112" t="str">
        <f>IF(ISBLANK(B707),IFERROR(0/0,""),RAW_APS!A707)</f>
        <v/>
      </c>
      <c r="D707" s="112" t="str">
        <f>IF(ISBLANK(C707),IFERROR(0/0,""), VLOOKUP(C707,preDEL!A$2:AG786,33,FALSE))</f>
        <v/>
      </c>
      <c r="E707" s="252"/>
      <c r="F707" s="210"/>
      <c r="G707" s="252"/>
      <c r="H707" s="255" t="str">
        <f t="shared" si="1"/>
        <v/>
      </c>
      <c r="I707" s="256" t="str">
        <f>CONCATENATE(UPPER(RAW_APS!$A708),"__",RAW_APS!$B708,"_",RAW_APS!$C708)</f>
        <v>MA326__44564_0.325381944444444</v>
      </c>
      <c r="J707" s="257" t="str">
        <f t="shared" si="2"/>
        <v/>
      </c>
      <c r="K707" s="252" t="s">
        <v>2023</v>
      </c>
      <c r="L707" s="258" t="str">
        <f t="shared" si="3"/>
        <v>MAX112</v>
      </c>
      <c r="M707" s="259" t="b">
        <f t="shared" si="4"/>
        <v>0</v>
      </c>
      <c r="N707" s="258" t="str">
        <f t="shared" si="5"/>
        <v/>
      </c>
      <c r="O707" s="5"/>
      <c r="P707" s="5"/>
      <c r="Q707" s="5"/>
      <c r="R707" s="5"/>
      <c r="S707" s="5"/>
      <c r="T707" s="5"/>
      <c r="U707" s="5"/>
      <c r="V707" s="5"/>
      <c r="W707" s="5"/>
    </row>
    <row r="708">
      <c r="A708" s="112" t="str">
        <f>IF(OR(ISBLANK(RAW_APS!A708),ISBLANK(RAW_APS!B708),ISBLANK(RAW_APS!C708)),TRUE,IFERROR(0/0,""))</f>
        <v/>
      </c>
      <c r="B708" s="252"/>
      <c r="C708" s="112" t="str">
        <f>IF(ISBLANK(B708),IFERROR(0/0,""),RAW_APS!A708)</f>
        <v/>
      </c>
      <c r="D708" s="112" t="str">
        <f>IF(ISBLANK(C708),IFERROR(0/0,""), VLOOKUP(C708,preDEL!A$2:AG786,33,FALSE))</f>
        <v/>
      </c>
      <c r="E708" s="252"/>
      <c r="F708" s="210"/>
      <c r="G708" s="252"/>
      <c r="H708" s="255" t="str">
        <f t="shared" si="1"/>
        <v/>
      </c>
      <c r="I708" s="256" t="str">
        <f>CONCATENATE(UPPER(RAW_APS!$A709),"__",RAW_APS!$B709,"_",RAW_APS!$C709)</f>
        <v>MA1052__44564_0.317546296296296</v>
      </c>
      <c r="J708" s="257" t="str">
        <f t="shared" si="2"/>
        <v/>
      </c>
      <c r="K708" s="252" t="s">
        <v>2025</v>
      </c>
      <c r="L708" s="258" t="str">
        <f t="shared" si="3"/>
        <v>MAX113</v>
      </c>
      <c r="M708" s="259" t="b">
        <f t="shared" si="4"/>
        <v>0</v>
      </c>
      <c r="N708" s="258" t="str">
        <f t="shared" si="5"/>
        <v/>
      </c>
      <c r="O708" s="5"/>
      <c r="P708" s="5"/>
      <c r="Q708" s="5"/>
      <c r="R708" s="5"/>
      <c r="S708" s="5"/>
      <c r="T708" s="5"/>
      <c r="U708" s="5"/>
      <c r="V708" s="5"/>
      <c r="W708" s="5"/>
    </row>
    <row r="709">
      <c r="A709" s="112" t="str">
        <f>IF(OR(ISBLANK(RAW_APS!A709),ISBLANK(RAW_APS!B709),ISBLANK(RAW_APS!C709)),TRUE,IFERROR(0/0,""))</f>
        <v/>
      </c>
      <c r="B709" s="252"/>
      <c r="C709" s="112" t="str">
        <f>IF(ISBLANK(B709),IFERROR(0/0,""),RAW_APS!A709)</f>
        <v/>
      </c>
      <c r="D709" s="112" t="str">
        <f>IF(ISBLANK(C709),IFERROR(0/0,""), VLOOKUP(C709,preDEL!A$2:AG786,33,FALSE))</f>
        <v/>
      </c>
      <c r="E709" s="252"/>
      <c r="F709" s="210"/>
      <c r="G709" s="252"/>
      <c r="H709" s="255" t="str">
        <f t="shared" si="1"/>
        <v/>
      </c>
      <c r="I709" s="256" t="str">
        <f>CONCATENATE(UPPER(RAW_APS!$A710),"__",RAW_APS!$B710,"_",RAW_APS!$C710)</f>
        <v>MA639__44564_0.304803240740741</v>
      </c>
      <c r="J709" s="257" t="str">
        <f t="shared" si="2"/>
        <v/>
      </c>
      <c r="K709" s="252" t="s">
        <v>2027</v>
      </c>
      <c r="L709" s="258" t="str">
        <f t="shared" si="3"/>
        <v>MAX114</v>
      </c>
      <c r="M709" s="259" t="b">
        <f t="shared" si="4"/>
        <v>0</v>
      </c>
      <c r="N709" s="258" t="str">
        <f t="shared" si="5"/>
        <v/>
      </c>
      <c r="O709" s="5"/>
      <c r="P709" s="5"/>
      <c r="Q709" s="5"/>
      <c r="R709" s="5"/>
      <c r="S709" s="5"/>
      <c r="T709" s="5"/>
      <c r="U709" s="5"/>
      <c r="V709" s="5"/>
      <c r="W709" s="5"/>
    </row>
    <row r="710">
      <c r="A710" s="112" t="str">
        <f>IF(OR(ISBLANK(RAW_APS!A710),ISBLANK(RAW_APS!B710),ISBLANK(RAW_APS!C710)),TRUE,IFERROR(0/0,""))</f>
        <v/>
      </c>
      <c r="B710" s="252"/>
      <c r="C710" s="112" t="str">
        <f>IF(ISBLANK(B710),IFERROR(0/0,""),RAW_APS!A710)</f>
        <v/>
      </c>
      <c r="D710" s="112" t="str">
        <f>IF(ISBLANK(C710),IFERROR(0/0,""), VLOOKUP(C710,preDEL!A$2:AG786,33,FALSE))</f>
        <v/>
      </c>
      <c r="E710" s="252"/>
      <c r="F710" s="210"/>
      <c r="G710" s="252"/>
      <c r="H710" s="255" t="str">
        <f t="shared" si="1"/>
        <v/>
      </c>
      <c r="I710" s="256" t="str">
        <f>CONCATENATE(UPPER(RAW_APS!$A711),"__",RAW_APS!$B711,"_",RAW_APS!$C711)</f>
        <v>MA207__44564_0.203483796296296</v>
      </c>
      <c r="J710" s="257" t="str">
        <f t="shared" si="2"/>
        <v/>
      </c>
      <c r="K710" s="252" t="s">
        <v>2029</v>
      </c>
      <c r="L710" s="258" t="str">
        <f t="shared" si="3"/>
        <v>MAX115</v>
      </c>
      <c r="M710" s="259" t="b">
        <f t="shared" si="4"/>
        <v>0</v>
      </c>
      <c r="N710" s="258" t="str">
        <f t="shared" si="5"/>
        <v/>
      </c>
      <c r="O710" s="5"/>
      <c r="P710" s="5"/>
      <c r="Q710" s="5"/>
      <c r="R710" s="5"/>
      <c r="S710" s="5"/>
      <c r="T710" s="5"/>
      <c r="U710" s="5"/>
      <c r="V710" s="5"/>
      <c r="W710" s="5"/>
    </row>
    <row r="711">
      <c r="A711" s="112" t="str">
        <f>IF(OR(ISBLANK(RAW_APS!A711),ISBLANK(RAW_APS!B711),ISBLANK(RAW_APS!C711)),TRUE,IFERROR(0/0,""))</f>
        <v/>
      </c>
      <c r="B711" s="252"/>
      <c r="C711" s="112" t="str">
        <f>IF(ISBLANK(B711),IFERROR(0/0,""),RAW_APS!A711)</f>
        <v/>
      </c>
      <c r="D711" s="112" t="str">
        <f>IF(ISBLANK(C711),IFERROR(0/0,""), VLOOKUP(C711,preDEL!A$2:AG786,33,FALSE))</f>
        <v/>
      </c>
      <c r="E711" s="252"/>
      <c r="F711" s="210"/>
      <c r="G711" s="252"/>
      <c r="H711" s="255" t="str">
        <f t="shared" si="1"/>
        <v/>
      </c>
      <c r="I711" s="256" t="str">
        <f>CONCATENATE(UPPER(RAW_APS!$A712),"__",RAW_APS!$B712,"_",RAW_APS!$C712)</f>
        <v>MA469__44561_0.424791666666667</v>
      </c>
      <c r="J711" s="257" t="str">
        <f t="shared" si="2"/>
        <v/>
      </c>
      <c r="K711" s="252" t="s">
        <v>2031</v>
      </c>
      <c r="L711" s="258" t="str">
        <f t="shared" si="3"/>
        <v>MAX116</v>
      </c>
      <c r="M711" s="259" t="b">
        <f t="shared" si="4"/>
        <v>0</v>
      </c>
      <c r="N711" s="258" t="str">
        <f t="shared" si="5"/>
        <v/>
      </c>
      <c r="O711" s="5"/>
      <c r="P711" s="5"/>
      <c r="Q711" s="5"/>
      <c r="R711" s="5"/>
      <c r="S711" s="5"/>
      <c r="T711" s="5"/>
      <c r="U711" s="5"/>
      <c r="V711" s="5"/>
      <c r="W711" s="5"/>
    </row>
    <row r="712">
      <c r="A712" s="112" t="str">
        <f>IF(OR(ISBLANK(RAW_APS!A712),ISBLANK(RAW_APS!B712),ISBLANK(RAW_APS!C712)),TRUE,IFERROR(0/0,""))</f>
        <v/>
      </c>
      <c r="B712" s="252"/>
      <c r="C712" s="112" t="str">
        <f>IF(ISBLANK(B712),IFERROR(0/0,""),RAW_APS!A712)</f>
        <v/>
      </c>
      <c r="D712" s="112" t="str">
        <f>IF(ISBLANK(C712),IFERROR(0/0,""), VLOOKUP(C712,preDEL!A$2:AG786,33,FALSE))</f>
        <v/>
      </c>
      <c r="E712" s="252"/>
      <c r="F712" s="210"/>
      <c r="G712" s="252"/>
      <c r="H712" s="255" t="str">
        <f t="shared" si="1"/>
        <v/>
      </c>
      <c r="I712" s="256" t="str">
        <f>CONCATENATE(UPPER(RAW_APS!$A713),"__",RAW_APS!$B713,"_",RAW_APS!$C713)</f>
        <v>MA316__44561_0.400428240740741</v>
      </c>
      <c r="J712" s="257" t="str">
        <f t="shared" si="2"/>
        <v/>
      </c>
      <c r="K712" s="252" t="s">
        <v>2033</v>
      </c>
      <c r="L712" s="258" t="str">
        <f t="shared" si="3"/>
        <v>MAX117</v>
      </c>
      <c r="M712" s="259" t="b">
        <f t="shared" si="4"/>
        <v>0</v>
      </c>
      <c r="N712" s="258" t="str">
        <f t="shared" si="5"/>
        <v/>
      </c>
      <c r="O712" s="5"/>
      <c r="P712" s="5"/>
      <c r="Q712" s="5"/>
      <c r="R712" s="5"/>
      <c r="S712" s="5"/>
      <c r="T712" s="5"/>
      <c r="U712" s="5"/>
      <c r="V712" s="5"/>
      <c r="W712" s="5"/>
    </row>
    <row r="713">
      <c r="A713" s="112" t="str">
        <f>IF(OR(ISBLANK(RAW_APS!A713),ISBLANK(RAW_APS!B713),ISBLANK(RAW_APS!C713)),TRUE,IFERROR(0/0,""))</f>
        <v/>
      </c>
      <c r="B713" s="252"/>
      <c r="C713" s="112" t="str">
        <f>IF(ISBLANK(B713),IFERROR(0/0,""),RAW_APS!A713)</f>
        <v/>
      </c>
      <c r="D713" s="112" t="str">
        <f>IF(ISBLANK(C713),IFERROR(0/0,""), VLOOKUP(C713,preDEL!A$2:AG786,33,FALSE))</f>
        <v/>
      </c>
      <c r="E713" s="252"/>
      <c r="F713" s="210"/>
      <c r="G713" s="252"/>
      <c r="H713" s="255" t="str">
        <f t="shared" si="1"/>
        <v/>
      </c>
      <c r="I713" s="256" t="str">
        <f>CONCATENATE(UPPER(RAW_APS!$A714),"__",RAW_APS!$B714,"_",RAW_APS!$C714)</f>
        <v>MA1152__44561_0.389027777777778</v>
      </c>
      <c r="J713" s="257" t="str">
        <f t="shared" si="2"/>
        <v/>
      </c>
      <c r="K713" s="252" t="s">
        <v>2035</v>
      </c>
      <c r="L713" s="258" t="str">
        <f t="shared" si="3"/>
        <v>MAX118</v>
      </c>
      <c r="M713" s="259" t="b">
        <f t="shared" si="4"/>
        <v>0</v>
      </c>
      <c r="N713" s="258" t="str">
        <f t="shared" si="5"/>
        <v/>
      </c>
      <c r="O713" s="5"/>
      <c r="P713" s="5"/>
      <c r="Q713" s="5"/>
      <c r="R713" s="5"/>
      <c r="S713" s="5"/>
      <c r="T713" s="5"/>
      <c r="U713" s="5"/>
      <c r="V713" s="5"/>
      <c r="W713" s="5"/>
    </row>
    <row r="714">
      <c r="A714" s="112" t="str">
        <f>IF(OR(ISBLANK(RAW_APS!A714),ISBLANK(RAW_APS!B714),ISBLANK(RAW_APS!C714)),TRUE,IFERROR(0/0,""))</f>
        <v/>
      </c>
      <c r="B714" s="252"/>
      <c r="C714" s="112" t="str">
        <f>IF(ISBLANK(B714),IFERROR(0/0,""),RAW_APS!A714)</f>
        <v/>
      </c>
      <c r="D714" s="112" t="str">
        <f>IF(ISBLANK(C714),IFERROR(0/0,""), VLOOKUP(C714,preDEL!A$2:AG786,33,FALSE))</f>
        <v/>
      </c>
      <c r="E714" s="252"/>
      <c r="F714" s="210"/>
      <c r="G714" s="252"/>
      <c r="H714" s="255" t="str">
        <f t="shared" si="1"/>
        <v/>
      </c>
      <c r="I714" s="256" t="str">
        <f>CONCATENATE(UPPER(RAW_APS!$A715),"__",RAW_APS!$B715,"_",RAW_APS!$C715)</f>
        <v>MA1280__44561_0.352777777777778</v>
      </c>
      <c r="J714" s="257" t="str">
        <f t="shared" si="2"/>
        <v/>
      </c>
      <c r="K714" s="252" t="s">
        <v>2037</v>
      </c>
      <c r="L714" s="258" t="str">
        <f t="shared" si="3"/>
        <v>MAX119</v>
      </c>
      <c r="M714" s="259" t="b">
        <f t="shared" si="4"/>
        <v>0</v>
      </c>
      <c r="N714" s="258" t="str">
        <f t="shared" si="5"/>
        <v/>
      </c>
      <c r="O714" s="5"/>
      <c r="P714" s="5"/>
      <c r="Q714" s="5"/>
      <c r="R714" s="5"/>
      <c r="S714" s="5"/>
      <c r="T714" s="5"/>
      <c r="U714" s="5"/>
      <c r="V714" s="5"/>
      <c r="W714" s="5"/>
    </row>
    <row r="715">
      <c r="A715" s="112" t="str">
        <f>IF(OR(ISBLANK(RAW_APS!A715),ISBLANK(RAW_APS!B715),ISBLANK(RAW_APS!C715)),TRUE,IFERROR(0/0,""))</f>
        <v/>
      </c>
      <c r="B715" s="252"/>
      <c r="C715" s="112" t="str">
        <f>IF(ISBLANK(B715),IFERROR(0/0,""),RAW_APS!A715)</f>
        <v/>
      </c>
      <c r="D715" s="112" t="str">
        <f>IF(ISBLANK(C715),IFERROR(0/0,""), VLOOKUP(C715,preDEL!A$2:AG786,33,FALSE))</f>
        <v/>
      </c>
      <c r="E715" s="252"/>
      <c r="F715" s="210"/>
      <c r="G715" s="252"/>
      <c r="H715" s="255" t="str">
        <f t="shared" si="1"/>
        <v/>
      </c>
      <c r="I715" s="256" t="str">
        <f>CONCATENATE(UPPER(RAW_APS!$A716),"__",RAW_APS!$B716,"_",RAW_APS!$C716)</f>
        <v>MA1084__44561_0.336689814814815</v>
      </c>
      <c r="J715" s="257" t="str">
        <f t="shared" si="2"/>
        <v/>
      </c>
      <c r="K715" s="252" t="s">
        <v>2039</v>
      </c>
      <c r="L715" s="258" t="str">
        <f t="shared" si="3"/>
        <v>MAX12</v>
      </c>
      <c r="M715" s="259" t="b">
        <f t="shared" si="4"/>
        <v>0</v>
      </c>
      <c r="N715" s="258" t="str">
        <f t="shared" si="5"/>
        <v/>
      </c>
      <c r="O715" s="5"/>
      <c r="P715" s="5"/>
      <c r="Q715" s="5"/>
      <c r="R715" s="5"/>
      <c r="S715" s="5"/>
      <c r="T715" s="5"/>
      <c r="U715" s="5"/>
      <c r="V715" s="5"/>
      <c r="W715" s="5"/>
    </row>
    <row r="716">
      <c r="A716" s="112" t="str">
        <f>IF(OR(ISBLANK(RAW_APS!A716),ISBLANK(RAW_APS!B716),ISBLANK(RAW_APS!C716)),TRUE,IFERROR(0/0,""))</f>
        <v/>
      </c>
      <c r="B716" s="252"/>
      <c r="C716" s="112" t="str">
        <f>IF(ISBLANK(B716),IFERROR(0/0,""),RAW_APS!A716)</f>
        <v/>
      </c>
      <c r="D716" s="112" t="str">
        <f>IF(ISBLANK(C716),IFERROR(0/0,""), VLOOKUP(C716,preDEL!A$2:AG786,33,FALSE))</f>
        <v/>
      </c>
      <c r="E716" s="252"/>
      <c r="F716" s="210"/>
      <c r="G716" s="252"/>
      <c r="H716" s="255" t="str">
        <f t="shared" si="1"/>
        <v/>
      </c>
      <c r="I716" s="256" t="str">
        <f>CONCATENATE(UPPER(RAW_APS!$A717),"__",RAW_APS!$B717,"_",RAW_APS!$C717)</f>
        <v>MA1131__44561_0.336446759259259</v>
      </c>
      <c r="J716" s="257" t="str">
        <f t="shared" si="2"/>
        <v/>
      </c>
      <c r="K716" s="252" t="s">
        <v>2041</v>
      </c>
      <c r="L716" s="258" t="str">
        <f t="shared" si="3"/>
        <v>MAX120</v>
      </c>
      <c r="M716" s="259" t="b">
        <f t="shared" si="4"/>
        <v>0</v>
      </c>
      <c r="N716" s="258" t="str">
        <f t="shared" si="5"/>
        <v/>
      </c>
      <c r="O716" s="5"/>
      <c r="P716" s="5"/>
      <c r="Q716" s="5"/>
      <c r="R716" s="5"/>
      <c r="S716" s="5"/>
      <c r="T716" s="5"/>
      <c r="U716" s="5"/>
      <c r="V716" s="5"/>
      <c r="W716" s="5"/>
    </row>
    <row r="717">
      <c r="A717" s="112" t="str">
        <f>IF(OR(ISBLANK(RAW_APS!A717),ISBLANK(RAW_APS!B717),ISBLANK(RAW_APS!C717)),TRUE,IFERROR(0/0,""))</f>
        <v/>
      </c>
      <c r="B717" s="252"/>
      <c r="C717" s="112" t="str">
        <f>IF(ISBLANK(B717),IFERROR(0/0,""),RAW_APS!A717)</f>
        <v/>
      </c>
      <c r="D717" s="112" t="str">
        <f>IF(ISBLANK(C717),IFERROR(0/0,""), VLOOKUP(C717,preDEL!A$2:AG786,33,FALSE))</f>
        <v/>
      </c>
      <c r="E717" s="252"/>
      <c r="F717" s="210"/>
      <c r="G717" s="252"/>
      <c r="H717" s="255" t="str">
        <f t="shared" si="1"/>
        <v/>
      </c>
      <c r="I717" s="256" t="str">
        <f>CONCATENATE(UPPER(RAW_APS!$A718),"__",RAW_APS!$B718,"_",RAW_APS!$C718)</f>
        <v>MA1153__44561_0.327199074074074</v>
      </c>
      <c r="J717" s="257" t="str">
        <f t="shared" si="2"/>
        <v/>
      </c>
      <c r="K717" s="252" t="s">
        <v>2043</v>
      </c>
      <c r="L717" s="258" t="str">
        <f t="shared" si="3"/>
        <v>MAX122</v>
      </c>
      <c r="M717" s="259" t="b">
        <f t="shared" si="4"/>
        <v>0</v>
      </c>
      <c r="N717" s="258" t="str">
        <f t="shared" si="5"/>
        <v/>
      </c>
      <c r="O717" s="5"/>
      <c r="P717" s="5"/>
      <c r="Q717" s="5"/>
      <c r="R717" s="5"/>
      <c r="S717" s="5"/>
      <c r="T717" s="5"/>
      <c r="U717" s="5"/>
      <c r="V717" s="5"/>
      <c r="W717" s="5"/>
    </row>
    <row r="718">
      <c r="A718" s="112" t="str">
        <f>IF(OR(ISBLANK(RAW_APS!A718),ISBLANK(RAW_APS!B718),ISBLANK(RAW_APS!C718)),TRUE,IFERROR(0/0,""))</f>
        <v/>
      </c>
      <c r="B718" s="252"/>
      <c r="C718" s="112" t="str">
        <f>IF(ISBLANK(B718),IFERROR(0/0,""),RAW_APS!A718)</f>
        <v/>
      </c>
      <c r="D718" s="112" t="str">
        <f>IF(ISBLANK(C718),IFERROR(0/0,""), VLOOKUP(C718,preDEL!A$2:AG786,33,FALSE))</f>
        <v/>
      </c>
      <c r="E718" s="252"/>
      <c r="F718" s="210"/>
      <c r="G718" s="252"/>
      <c r="H718" s="255" t="str">
        <f t="shared" si="1"/>
        <v/>
      </c>
      <c r="I718" s="256" t="str">
        <f>CONCATENATE(UPPER(RAW_APS!$A719),"__",RAW_APS!$B719,"_",RAW_APS!$C719)</f>
        <v>MA1236__44561_0.32125</v>
      </c>
      <c r="J718" s="257" t="str">
        <f t="shared" si="2"/>
        <v/>
      </c>
      <c r="K718" s="252" t="s">
        <v>2045</v>
      </c>
      <c r="L718" s="258" t="str">
        <f t="shared" si="3"/>
        <v>MAX123</v>
      </c>
      <c r="M718" s="259" t="b">
        <f t="shared" si="4"/>
        <v>0</v>
      </c>
      <c r="N718" s="258" t="str">
        <f t="shared" si="5"/>
        <v/>
      </c>
      <c r="O718" s="5"/>
      <c r="P718" s="5"/>
      <c r="Q718" s="5"/>
      <c r="R718" s="5"/>
      <c r="S718" s="5"/>
      <c r="T718" s="5"/>
      <c r="U718" s="5"/>
      <c r="V718" s="5"/>
      <c r="W718" s="5"/>
    </row>
    <row r="719">
      <c r="A719" s="112" t="str">
        <f>IF(OR(ISBLANK(RAW_APS!A719),ISBLANK(RAW_APS!B719),ISBLANK(RAW_APS!C719)),TRUE,IFERROR(0/0,""))</f>
        <v/>
      </c>
      <c r="B719" s="252"/>
      <c r="C719" s="112" t="str">
        <f>IF(ISBLANK(B719),IFERROR(0/0,""),RAW_APS!A719)</f>
        <v/>
      </c>
      <c r="D719" s="112" t="str">
        <f>IF(ISBLANK(C719),IFERROR(0/0,""), VLOOKUP(C719,preDEL!A$2:AG786,33,FALSE))</f>
        <v/>
      </c>
      <c r="E719" s="252"/>
      <c r="F719" s="210"/>
      <c r="G719" s="252"/>
      <c r="H719" s="255" t="str">
        <f t="shared" si="1"/>
        <v/>
      </c>
      <c r="I719" s="256" t="str">
        <f>CONCATENATE(UPPER(RAW_APS!$A720),"__",RAW_APS!$B720,"_",RAW_APS!$C720)</f>
        <v>MA606__44561_0.316736111111111</v>
      </c>
      <c r="J719" s="257" t="str">
        <f t="shared" si="2"/>
        <v/>
      </c>
      <c r="K719" s="252" t="s">
        <v>2047</v>
      </c>
      <c r="L719" s="258" t="str">
        <f t="shared" si="3"/>
        <v>MAX124</v>
      </c>
      <c r="M719" s="259" t="b">
        <f t="shared" si="4"/>
        <v>0</v>
      </c>
      <c r="N719" s="258" t="str">
        <f t="shared" si="5"/>
        <v/>
      </c>
      <c r="O719" s="5"/>
      <c r="P719" s="5"/>
      <c r="Q719" s="5"/>
      <c r="R719" s="5"/>
      <c r="S719" s="5"/>
      <c r="T719" s="5"/>
      <c r="U719" s="5"/>
      <c r="V719" s="5"/>
      <c r="W719" s="5"/>
    </row>
    <row r="720">
      <c r="A720" s="112" t="str">
        <f>IF(OR(ISBLANK(RAW_APS!A720),ISBLANK(RAW_APS!B720),ISBLANK(RAW_APS!C720)),TRUE,IFERROR(0/0,""))</f>
        <v/>
      </c>
      <c r="B720" s="252"/>
      <c r="C720" s="112" t="str">
        <f>IF(ISBLANK(B720),IFERROR(0/0,""),RAW_APS!A720)</f>
        <v/>
      </c>
      <c r="D720" s="112" t="str">
        <f>IF(ISBLANK(C720),IFERROR(0/0,""), VLOOKUP(C720,preDEL!A$2:AG786,33,FALSE))</f>
        <v/>
      </c>
      <c r="E720" s="252"/>
      <c r="F720" s="210"/>
      <c r="G720" s="252"/>
      <c r="H720" s="255" t="str">
        <f t="shared" si="1"/>
        <v/>
      </c>
      <c r="I720" s="256" t="str">
        <f>CONCATENATE(UPPER(RAW_APS!$A721),"__",RAW_APS!$B721,"_",RAW_APS!$C721)</f>
        <v>MA1081__44561_0.305324074074074</v>
      </c>
      <c r="J720" s="257" t="str">
        <f t="shared" si="2"/>
        <v/>
      </c>
      <c r="K720" s="252" t="s">
        <v>2049</v>
      </c>
      <c r="L720" s="258" t="str">
        <f t="shared" si="3"/>
        <v>MAX125</v>
      </c>
      <c r="M720" s="259" t="b">
        <f t="shared" si="4"/>
        <v>0</v>
      </c>
      <c r="N720" s="258" t="str">
        <f t="shared" si="5"/>
        <v/>
      </c>
      <c r="O720" s="5"/>
      <c r="P720" s="5"/>
      <c r="Q720" s="5"/>
      <c r="R720" s="5"/>
      <c r="S720" s="5"/>
      <c r="T720" s="5"/>
      <c r="U720" s="5"/>
      <c r="V720" s="5"/>
      <c r="W720" s="5"/>
    </row>
    <row r="721">
      <c r="A721" s="112" t="str">
        <f>IF(OR(ISBLANK(RAW_APS!A721),ISBLANK(RAW_APS!B721),ISBLANK(RAW_APS!C721)),TRUE,IFERROR(0/0,""))</f>
        <v/>
      </c>
      <c r="B721" s="252"/>
      <c r="C721" s="112" t="str">
        <f>IF(ISBLANK(B721),IFERROR(0/0,""),RAW_APS!A721)</f>
        <v/>
      </c>
      <c r="D721" s="112" t="str">
        <f>IF(ISBLANK(C721),IFERROR(0/0,""), VLOOKUP(C721,preDEL!A$2:AG786,33,FALSE))</f>
        <v/>
      </c>
      <c r="E721" s="252"/>
      <c r="F721" s="210"/>
      <c r="G721" s="252"/>
      <c r="H721" s="255" t="str">
        <f t="shared" si="1"/>
        <v/>
      </c>
      <c r="I721" s="256" t="str">
        <f>CONCATENATE(UPPER(RAW_APS!$A722),"__",RAW_APS!$B722,"_",RAW_APS!$C722)</f>
        <v>MA1073__44559_0.39744212962963</v>
      </c>
      <c r="J721" s="257" t="str">
        <f t="shared" si="2"/>
        <v/>
      </c>
      <c r="K721" s="252" t="s">
        <v>2051</v>
      </c>
      <c r="L721" s="258" t="str">
        <f t="shared" si="3"/>
        <v>MAX128</v>
      </c>
      <c r="M721" s="259" t="b">
        <f t="shared" si="4"/>
        <v>0</v>
      </c>
      <c r="N721" s="258" t="str">
        <f t="shared" si="5"/>
        <v/>
      </c>
      <c r="O721" s="5"/>
      <c r="P721" s="5"/>
      <c r="Q721" s="5"/>
      <c r="R721" s="5"/>
      <c r="S721" s="5"/>
      <c r="T721" s="5"/>
      <c r="U721" s="5"/>
      <c r="V721" s="5"/>
      <c r="W721" s="5"/>
    </row>
    <row r="722">
      <c r="A722" s="112" t="str">
        <f>IF(OR(ISBLANK(RAW_APS!A722),ISBLANK(RAW_APS!B722),ISBLANK(RAW_APS!C722)),TRUE,IFERROR(0/0,""))</f>
        <v/>
      </c>
      <c r="B722" s="252"/>
      <c r="C722" s="112" t="str">
        <f>IF(ISBLANK(B722),IFERROR(0/0,""),RAW_APS!A722)</f>
        <v/>
      </c>
      <c r="D722" s="112" t="str">
        <f>IF(ISBLANK(C722),IFERROR(0/0,""), VLOOKUP(C722,preDEL!A$2:AG786,33,FALSE))</f>
        <v/>
      </c>
      <c r="E722" s="252"/>
      <c r="F722" s="210"/>
      <c r="G722" s="252"/>
      <c r="H722" s="255" t="str">
        <f t="shared" si="1"/>
        <v/>
      </c>
      <c r="I722" s="256" t="str">
        <f>CONCATENATE(UPPER(RAW_APS!$A723),"__",RAW_APS!$B723,"_",RAW_APS!$C723)</f>
        <v>MA404__44559_0.397326388888889</v>
      </c>
      <c r="J722" s="257" t="str">
        <f t="shared" si="2"/>
        <v/>
      </c>
      <c r="K722" s="252" t="s">
        <v>2053</v>
      </c>
      <c r="L722" s="258" t="str">
        <f t="shared" si="3"/>
        <v>MAX131</v>
      </c>
      <c r="M722" s="259" t="b">
        <f t="shared" si="4"/>
        <v>0</v>
      </c>
      <c r="N722" s="258" t="str">
        <f t="shared" si="5"/>
        <v/>
      </c>
      <c r="O722" s="5"/>
      <c r="P722" s="5"/>
      <c r="Q722" s="5"/>
      <c r="R722" s="5"/>
      <c r="S722" s="5"/>
      <c r="T722" s="5"/>
      <c r="U722" s="5"/>
      <c r="V722" s="5"/>
      <c r="W722" s="5"/>
    </row>
    <row r="723">
      <c r="A723" s="112" t="str">
        <f>IF(OR(ISBLANK(RAW_APS!A723),ISBLANK(RAW_APS!B723),ISBLANK(RAW_APS!C723)),TRUE,IFERROR(0/0,""))</f>
        <v/>
      </c>
      <c r="B723" s="252"/>
      <c r="C723" s="112" t="str">
        <f>IF(ISBLANK(B723),IFERROR(0/0,""),RAW_APS!A723)</f>
        <v/>
      </c>
      <c r="D723" s="112" t="str">
        <f>IF(ISBLANK(C723),IFERROR(0/0,""), VLOOKUP(C723,preDEL!A$2:AG786,33,FALSE))</f>
        <v/>
      </c>
      <c r="E723" s="252"/>
      <c r="F723" s="210"/>
      <c r="G723" s="252"/>
      <c r="H723" s="255" t="str">
        <f t="shared" si="1"/>
        <v/>
      </c>
      <c r="I723" s="256" t="str">
        <f>CONCATENATE(UPPER(RAW_APS!$A724),"__",RAW_APS!$B724,"_",RAW_APS!$C724)</f>
        <v>MA1299__44559_0.356585648148148</v>
      </c>
      <c r="J723" s="257" t="str">
        <f t="shared" si="2"/>
        <v/>
      </c>
      <c r="K723" s="252" t="s">
        <v>2055</v>
      </c>
      <c r="L723" s="258" t="str">
        <f t="shared" si="3"/>
        <v>MAX132</v>
      </c>
      <c r="M723" s="259" t="b">
        <f t="shared" si="4"/>
        <v>0</v>
      </c>
      <c r="N723" s="258" t="str">
        <f t="shared" si="5"/>
        <v/>
      </c>
      <c r="O723" s="5"/>
      <c r="P723" s="5"/>
      <c r="Q723" s="5"/>
      <c r="R723" s="5"/>
      <c r="S723" s="5"/>
      <c r="T723" s="5"/>
      <c r="U723" s="5"/>
      <c r="V723" s="5"/>
      <c r="W723" s="5"/>
    </row>
    <row r="724">
      <c r="A724" s="112" t="str">
        <f>IF(OR(ISBLANK(RAW_APS!A724),ISBLANK(RAW_APS!B724),ISBLANK(RAW_APS!C724)),TRUE,IFERROR(0/0,""))</f>
        <v/>
      </c>
      <c r="B724" s="252"/>
      <c r="C724" s="112" t="str">
        <f>IF(ISBLANK(B724),IFERROR(0/0,""),RAW_APS!A724)</f>
        <v/>
      </c>
      <c r="D724" s="112" t="str">
        <f>IF(ISBLANK(C724),IFERROR(0/0,""), VLOOKUP(C724,preDEL!A$2:AG786,33,FALSE))</f>
        <v/>
      </c>
      <c r="E724" s="252"/>
      <c r="F724" s="210"/>
      <c r="G724" s="252"/>
      <c r="H724" s="255" t="str">
        <f t="shared" si="1"/>
        <v/>
      </c>
      <c r="I724" s="256" t="str">
        <f>CONCATENATE(UPPER(RAW_APS!$A725),"__",RAW_APS!$B725,"_",RAW_APS!$C725)</f>
        <v>MA479__44559_0.296446759259259</v>
      </c>
      <c r="J724" s="257" t="str">
        <f t="shared" si="2"/>
        <v/>
      </c>
      <c r="K724" s="252" t="s">
        <v>2057</v>
      </c>
      <c r="L724" s="258" t="str">
        <f t="shared" si="3"/>
        <v>MAX133</v>
      </c>
      <c r="M724" s="259" t="b">
        <f t="shared" si="4"/>
        <v>0</v>
      </c>
      <c r="N724" s="258" t="str">
        <f t="shared" si="5"/>
        <v/>
      </c>
      <c r="O724" s="5"/>
      <c r="P724" s="5"/>
      <c r="Q724" s="5"/>
      <c r="R724" s="5"/>
      <c r="S724" s="5"/>
      <c r="T724" s="5"/>
      <c r="U724" s="5"/>
      <c r="V724" s="5"/>
      <c r="W724" s="5"/>
    </row>
    <row r="725">
      <c r="A725" s="112" t="str">
        <f>IF(OR(ISBLANK(RAW_APS!A725),ISBLANK(RAW_APS!B725),ISBLANK(RAW_APS!C725)),TRUE,IFERROR(0/0,""))</f>
        <v/>
      </c>
      <c r="B725" s="252"/>
      <c r="C725" s="112" t="str">
        <f>IF(ISBLANK(B725),IFERROR(0/0,""),RAW_APS!A725)</f>
        <v/>
      </c>
      <c r="D725" s="112" t="str">
        <f>IF(ISBLANK(C725),IFERROR(0/0,""), VLOOKUP(C725,preDEL!A$2:AG786,33,FALSE))</f>
        <v/>
      </c>
      <c r="E725" s="252"/>
      <c r="F725" s="210"/>
      <c r="G725" s="252"/>
      <c r="H725" s="255" t="str">
        <f t="shared" si="1"/>
        <v/>
      </c>
      <c r="I725" s="256" t="str">
        <f>CONCATENATE(UPPER(RAW_APS!$A726),"__",RAW_APS!$B726,"_",RAW_APS!$C726)</f>
        <v>MA1183__44557_0.42587962962963</v>
      </c>
      <c r="J725" s="257" t="str">
        <f t="shared" si="2"/>
        <v/>
      </c>
      <c r="K725" s="252" t="s">
        <v>2059</v>
      </c>
      <c r="L725" s="258" t="str">
        <f t="shared" si="3"/>
        <v>MAX134</v>
      </c>
      <c r="M725" s="259" t="b">
        <f t="shared" si="4"/>
        <v>0</v>
      </c>
      <c r="N725" s="258" t="str">
        <f t="shared" si="5"/>
        <v/>
      </c>
      <c r="O725" s="5"/>
      <c r="P725" s="5"/>
      <c r="Q725" s="5"/>
      <c r="R725" s="5"/>
      <c r="S725" s="5"/>
      <c r="T725" s="5"/>
      <c r="U725" s="5"/>
      <c r="V725" s="5"/>
      <c r="W725" s="5"/>
    </row>
    <row r="726">
      <c r="A726" s="112" t="str">
        <f>IF(OR(ISBLANK(RAW_APS!A726),ISBLANK(RAW_APS!B726),ISBLANK(RAW_APS!C726)),TRUE,IFERROR(0/0,""))</f>
        <v/>
      </c>
      <c r="B726" s="252"/>
      <c r="C726" s="112" t="str">
        <f>IF(ISBLANK(B726),IFERROR(0/0,""),RAW_APS!A726)</f>
        <v/>
      </c>
      <c r="D726" s="112" t="str">
        <f>IF(ISBLANK(C726),IFERROR(0/0,""), VLOOKUP(C726,preDEL!A$2:AG786,33,FALSE))</f>
        <v/>
      </c>
      <c r="E726" s="252"/>
      <c r="F726" s="210"/>
      <c r="G726" s="252"/>
      <c r="H726" s="255" t="str">
        <f t="shared" si="1"/>
        <v/>
      </c>
      <c r="I726" s="256" t="str">
        <f>CONCATENATE(UPPER(RAW_APS!$A727),"__",RAW_APS!$B727,"_",RAW_APS!$C727)</f>
        <v>MAX139__44557_0.425590277777778</v>
      </c>
      <c r="J726" s="257" t="str">
        <f t="shared" si="2"/>
        <v/>
      </c>
      <c r="K726" s="252" t="s">
        <v>2061</v>
      </c>
      <c r="L726" s="258" t="str">
        <f t="shared" si="3"/>
        <v>MAX135</v>
      </c>
      <c r="M726" s="259" t="b">
        <f t="shared" si="4"/>
        <v>0</v>
      </c>
      <c r="N726" s="258" t="str">
        <f t="shared" si="5"/>
        <v/>
      </c>
      <c r="O726" s="5"/>
      <c r="P726" s="5"/>
      <c r="Q726" s="5"/>
      <c r="R726" s="5"/>
      <c r="S726" s="5"/>
      <c r="T726" s="5"/>
      <c r="U726" s="5"/>
      <c r="V726" s="5"/>
      <c r="W726" s="5"/>
    </row>
    <row r="727">
      <c r="A727" s="112" t="str">
        <f>IF(OR(ISBLANK(RAW_APS!A727),ISBLANK(RAW_APS!B727),ISBLANK(RAW_APS!C727)),TRUE,IFERROR(0/0,""))</f>
        <v/>
      </c>
      <c r="B727" s="252"/>
      <c r="C727" s="112" t="str">
        <f>IF(ISBLANK(B727),IFERROR(0/0,""),RAW_APS!A727)</f>
        <v/>
      </c>
      <c r="D727" s="112" t="str">
        <f>IF(ISBLANK(C727),IFERROR(0/0,""), VLOOKUP(C727,preDEL!A$2:AG786,33,FALSE))</f>
        <v/>
      </c>
      <c r="E727" s="252"/>
      <c r="F727" s="210"/>
      <c r="G727" s="252"/>
      <c r="H727" s="255" t="str">
        <f t="shared" si="1"/>
        <v/>
      </c>
      <c r="I727" s="256" t="str">
        <f>CONCATENATE(UPPER(RAW_APS!$A728),"__",RAW_APS!$B728,"_",RAW_APS!$C728)</f>
        <v>MA624__44557_0.389328703703704</v>
      </c>
      <c r="J727" s="257" t="str">
        <f t="shared" si="2"/>
        <v/>
      </c>
      <c r="K727" s="252" t="s">
        <v>2063</v>
      </c>
      <c r="L727" s="258" t="str">
        <f t="shared" si="3"/>
        <v>MAX136</v>
      </c>
      <c r="M727" s="259" t="b">
        <f t="shared" si="4"/>
        <v>0</v>
      </c>
      <c r="N727" s="258" t="str">
        <f t="shared" si="5"/>
        <v/>
      </c>
      <c r="O727" s="5"/>
      <c r="P727" s="5"/>
      <c r="Q727" s="5"/>
      <c r="R727" s="5"/>
      <c r="S727" s="5"/>
      <c r="T727" s="5"/>
      <c r="U727" s="5"/>
      <c r="V727" s="5"/>
      <c r="W727" s="5"/>
    </row>
    <row r="728">
      <c r="A728" s="112" t="str">
        <f>IF(OR(ISBLANK(RAW_APS!A728),ISBLANK(RAW_APS!B728),ISBLANK(RAW_APS!C728)),TRUE,IFERROR(0/0,""))</f>
        <v/>
      </c>
      <c r="B728" s="252"/>
      <c r="C728" s="112" t="str">
        <f>IF(ISBLANK(B728),IFERROR(0/0,""),RAW_APS!A728)</f>
        <v/>
      </c>
      <c r="D728" s="112" t="str">
        <f>IF(ISBLANK(C728),IFERROR(0/0,""), VLOOKUP(C728,preDEL!A$2:AG786,33,FALSE))</f>
        <v/>
      </c>
      <c r="E728" s="252"/>
      <c r="F728" s="210"/>
      <c r="G728" s="252"/>
      <c r="H728" s="255" t="str">
        <f t="shared" si="1"/>
        <v/>
      </c>
      <c r="I728" s="256" t="str">
        <f>CONCATENATE(UPPER(RAW_APS!$A729),"__",RAW_APS!$B729,"_",RAW_APS!$C729)</f>
        <v>MA257__44557_0.37775462962963</v>
      </c>
      <c r="J728" s="257" t="str">
        <f t="shared" si="2"/>
        <v/>
      </c>
      <c r="K728" s="252" t="s">
        <v>2065</v>
      </c>
      <c r="L728" s="258" t="str">
        <f t="shared" si="3"/>
        <v>MAX137</v>
      </c>
      <c r="M728" s="259" t="b">
        <f t="shared" si="4"/>
        <v>0</v>
      </c>
      <c r="N728" s="258" t="str">
        <f t="shared" si="5"/>
        <v/>
      </c>
      <c r="O728" s="5"/>
      <c r="P728" s="5"/>
      <c r="Q728" s="5"/>
      <c r="R728" s="5"/>
      <c r="S728" s="5"/>
      <c r="T728" s="5"/>
      <c r="U728" s="5"/>
      <c r="V728" s="5"/>
      <c r="W728" s="5"/>
    </row>
    <row r="729">
      <c r="A729" s="112" t="str">
        <f>IF(OR(ISBLANK(RAW_APS!A729),ISBLANK(RAW_APS!B729),ISBLANK(RAW_APS!C729)),TRUE,IFERROR(0/0,""))</f>
        <v/>
      </c>
      <c r="B729" s="252"/>
      <c r="C729" s="112" t="str">
        <f>IF(ISBLANK(B729),IFERROR(0/0,""),RAW_APS!A729)</f>
        <v/>
      </c>
      <c r="D729" s="112" t="str">
        <f>IF(ISBLANK(C729),IFERROR(0/0,""), VLOOKUP(C729,preDEL!A$2:AG786,33,FALSE))</f>
        <v/>
      </c>
      <c r="E729" s="252"/>
      <c r="F729" s="210"/>
      <c r="G729" s="252"/>
      <c r="H729" s="255" t="str">
        <f t="shared" si="1"/>
        <v/>
      </c>
      <c r="I729" s="256" t="str">
        <f>CONCATENATE(UPPER(RAW_APS!$A730),"__",RAW_APS!$B730,"_",RAW_APS!$C730)</f>
        <v>MA1099__44557_0.360729166666667</v>
      </c>
      <c r="J729" s="257" t="str">
        <f t="shared" si="2"/>
        <v/>
      </c>
      <c r="K729" s="252" t="s">
        <v>2067</v>
      </c>
      <c r="L729" s="258" t="str">
        <f t="shared" si="3"/>
        <v>MAX138</v>
      </c>
      <c r="M729" s="259" t="b">
        <f t="shared" si="4"/>
        <v>0</v>
      </c>
      <c r="N729" s="258" t="str">
        <f t="shared" si="5"/>
        <v/>
      </c>
      <c r="O729" s="5"/>
      <c r="P729" s="5"/>
      <c r="Q729" s="5"/>
      <c r="R729" s="5"/>
      <c r="S729" s="5"/>
      <c r="T729" s="5"/>
      <c r="U729" s="5"/>
      <c r="V729" s="5"/>
      <c r="W729" s="5"/>
    </row>
    <row r="730">
      <c r="A730" s="112" t="str">
        <f>IF(OR(ISBLANK(RAW_APS!A730),ISBLANK(RAW_APS!B730),ISBLANK(RAW_APS!C730)),TRUE,IFERROR(0/0,""))</f>
        <v/>
      </c>
      <c r="B730" s="252"/>
      <c r="C730" s="112" t="str">
        <f>IF(ISBLANK(B730),IFERROR(0/0,""),RAW_APS!A730)</f>
        <v/>
      </c>
      <c r="D730" s="112" t="str">
        <f>IF(ISBLANK(C730),IFERROR(0/0,""), VLOOKUP(C730,preDEL!A$2:AG786,33,FALSE))</f>
        <v/>
      </c>
      <c r="E730" s="252"/>
      <c r="F730" s="210"/>
      <c r="G730" s="252"/>
      <c r="H730" s="255" t="str">
        <f t="shared" si="1"/>
        <v/>
      </c>
      <c r="I730" s="256" t="str">
        <f>CONCATENATE(UPPER(RAW_APS!$A731),"__",RAW_APS!$B731,"_",RAW_APS!$C731)</f>
        <v>MA371__44557_0.354456018518519</v>
      </c>
      <c r="J730" s="257" t="str">
        <f t="shared" si="2"/>
        <v/>
      </c>
      <c r="K730" s="252" t="s">
        <v>2069</v>
      </c>
      <c r="L730" s="258" t="str">
        <f t="shared" si="3"/>
        <v>MAX139</v>
      </c>
      <c r="M730" s="259" t="b">
        <f t="shared" si="4"/>
        <v>0</v>
      </c>
      <c r="N730" s="258" t="str">
        <f t="shared" si="5"/>
        <v/>
      </c>
      <c r="O730" s="5"/>
      <c r="P730" s="5"/>
      <c r="Q730" s="5"/>
      <c r="R730" s="5"/>
      <c r="S730" s="5"/>
      <c r="T730" s="5"/>
      <c r="U730" s="5"/>
      <c r="V730" s="5"/>
      <c r="W730" s="5"/>
    </row>
    <row r="731">
      <c r="A731" s="112" t="str">
        <f>IF(OR(ISBLANK(RAW_APS!A731),ISBLANK(RAW_APS!B731),ISBLANK(RAW_APS!C731)),TRUE,IFERROR(0/0,""))</f>
        <v/>
      </c>
      <c r="B731" s="252"/>
      <c r="C731" s="112" t="str">
        <f>IF(ISBLANK(B731),IFERROR(0/0,""),RAW_APS!A731)</f>
        <v/>
      </c>
      <c r="D731" s="112" t="str">
        <f>IF(ISBLANK(C731),IFERROR(0/0,""), VLOOKUP(C731,preDEL!A$2:AG786,33,FALSE))</f>
        <v/>
      </c>
      <c r="E731" s="252"/>
      <c r="F731" s="210"/>
      <c r="G731" s="252"/>
      <c r="H731" s="255" t="str">
        <f t="shared" si="1"/>
        <v/>
      </c>
      <c r="I731" s="256" t="str">
        <f>CONCATENATE(UPPER(RAW_APS!$A732),"__",RAW_APS!$B732,"_",RAW_APS!$C732)</f>
        <v>MA343__44557_0.341180555555556</v>
      </c>
      <c r="J731" s="257" t="str">
        <f t="shared" si="2"/>
        <v/>
      </c>
      <c r="K731" s="252" t="s">
        <v>2071</v>
      </c>
      <c r="L731" s="258" t="str">
        <f t="shared" si="3"/>
        <v>MAX141</v>
      </c>
      <c r="M731" s="259" t="b">
        <f t="shared" si="4"/>
        <v>0</v>
      </c>
      <c r="N731" s="258" t="str">
        <f t="shared" si="5"/>
        <v/>
      </c>
      <c r="O731" s="5"/>
      <c r="P731" s="5"/>
      <c r="Q731" s="5"/>
      <c r="R731" s="5"/>
      <c r="S731" s="5"/>
      <c r="T731" s="5"/>
      <c r="U731" s="5"/>
      <c r="V731" s="5"/>
      <c r="W731" s="5"/>
    </row>
    <row r="732">
      <c r="A732" s="112" t="str">
        <f>IF(OR(ISBLANK(RAW_APS!A732),ISBLANK(RAW_APS!B732),ISBLANK(RAW_APS!C732)),TRUE,IFERROR(0/0,""))</f>
        <v/>
      </c>
      <c r="B732" s="252"/>
      <c r="C732" s="112" t="str">
        <f>IF(ISBLANK(B732),IFERROR(0/0,""),RAW_APS!A732)</f>
        <v/>
      </c>
      <c r="D732" s="112" t="str">
        <f>IF(ISBLANK(C732),IFERROR(0/0,""), VLOOKUP(C732,preDEL!A$2:AG786,33,FALSE))</f>
        <v/>
      </c>
      <c r="E732" s="252"/>
      <c r="F732" s="210"/>
      <c r="G732" s="252"/>
      <c r="H732" s="255" t="str">
        <f t="shared" si="1"/>
        <v/>
      </c>
      <c r="I732" s="256" t="str">
        <f>CONCATENATE(UPPER(RAW_APS!$A733),"__",RAW_APS!$B733,"_",RAW_APS!$C733)</f>
        <v>MAX55__44557_0.34068287037037</v>
      </c>
      <c r="J732" s="257" t="str">
        <f t="shared" si="2"/>
        <v/>
      </c>
      <c r="K732" s="252" t="s">
        <v>2073</v>
      </c>
      <c r="L732" s="258" t="str">
        <f t="shared" si="3"/>
        <v>MAX142</v>
      </c>
      <c r="M732" s="259" t="b">
        <f t="shared" si="4"/>
        <v>0</v>
      </c>
      <c r="N732" s="258" t="str">
        <f t="shared" si="5"/>
        <v/>
      </c>
      <c r="O732" s="5"/>
      <c r="P732" s="5"/>
      <c r="Q732" s="5"/>
      <c r="R732" s="5"/>
      <c r="S732" s="5"/>
      <c r="T732" s="5"/>
      <c r="U732" s="5"/>
      <c r="V732" s="5"/>
      <c r="W732" s="5"/>
    </row>
    <row r="733">
      <c r="A733" s="112" t="str">
        <f>IF(OR(ISBLANK(RAW_APS!A733),ISBLANK(RAW_APS!B733),ISBLANK(RAW_APS!C733)),TRUE,IFERROR(0/0,""))</f>
        <v/>
      </c>
      <c r="B733" s="252"/>
      <c r="C733" s="112" t="str">
        <f>IF(ISBLANK(B733),IFERROR(0/0,""),RAW_APS!A733)</f>
        <v/>
      </c>
      <c r="D733" s="112" t="str">
        <f>IF(ISBLANK(C733),IFERROR(0/0,""), VLOOKUP(C733,preDEL!A$2:AG786,33,FALSE))</f>
        <v/>
      </c>
      <c r="E733" s="252"/>
      <c r="F733" s="210"/>
      <c r="G733" s="252"/>
      <c r="H733" s="255" t="str">
        <f t="shared" si="1"/>
        <v/>
      </c>
      <c r="I733" s="256" t="str">
        <f>CONCATENATE(UPPER(RAW_APS!$A734),"__",RAW_APS!$B734,"_",RAW_APS!$C734)</f>
        <v>MA603__44557_0.336886574074074</v>
      </c>
      <c r="J733" s="257" t="str">
        <f t="shared" si="2"/>
        <v/>
      </c>
      <c r="K733" s="252" t="s">
        <v>2075</v>
      </c>
      <c r="L733" s="258" t="str">
        <f t="shared" si="3"/>
        <v>MAX20</v>
      </c>
      <c r="M733" s="259" t="b">
        <f t="shared" si="4"/>
        <v>0</v>
      </c>
      <c r="N733" s="258" t="str">
        <f t="shared" si="5"/>
        <v/>
      </c>
      <c r="O733" s="5"/>
      <c r="P733" s="5"/>
      <c r="Q733" s="5"/>
      <c r="R733" s="5"/>
      <c r="S733" s="5"/>
      <c r="T733" s="5"/>
      <c r="U733" s="5"/>
      <c r="V733" s="5"/>
      <c r="W733" s="5"/>
    </row>
    <row r="734">
      <c r="A734" s="112" t="str">
        <f>IF(OR(ISBLANK(RAW_APS!A734),ISBLANK(RAW_APS!B734),ISBLANK(RAW_APS!C734)),TRUE,IFERROR(0/0,""))</f>
        <v/>
      </c>
      <c r="B734" s="252"/>
      <c r="C734" s="112" t="str">
        <f>IF(ISBLANK(B734),IFERROR(0/0,""),RAW_APS!A734)</f>
        <v/>
      </c>
      <c r="D734" s="112" t="str">
        <f>IF(ISBLANK(C734),IFERROR(0/0,""), VLOOKUP(C734,preDEL!A$2:AG786,33,FALSE))</f>
        <v/>
      </c>
      <c r="E734" s="252"/>
      <c r="F734" s="210"/>
      <c r="G734" s="252"/>
      <c r="H734" s="255" t="str">
        <f t="shared" si="1"/>
        <v/>
      </c>
      <c r="I734" s="256" t="str">
        <f>CONCATENATE(UPPER(RAW_APS!$A735),"__",RAW_APS!$B735,"_",RAW_APS!$C735)</f>
        <v>MA609__44557_0.333703703703704</v>
      </c>
      <c r="J734" s="257" t="str">
        <f t="shared" si="2"/>
        <v/>
      </c>
      <c r="K734" s="252" t="s">
        <v>2077</v>
      </c>
      <c r="L734" s="258" t="str">
        <f t="shared" si="3"/>
        <v>MAX24</v>
      </c>
      <c r="M734" s="259" t="b">
        <f t="shared" si="4"/>
        <v>0</v>
      </c>
      <c r="N734" s="258" t="str">
        <f t="shared" si="5"/>
        <v/>
      </c>
      <c r="O734" s="5"/>
      <c r="P734" s="5"/>
      <c r="Q734" s="5"/>
      <c r="R734" s="5"/>
      <c r="S734" s="5"/>
      <c r="T734" s="5"/>
      <c r="U734" s="5"/>
      <c r="V734" s="5"/>
      <c r="W734" s="5"/>
    </row>
    <row r="735">
      <c r="A735" s="112" t="str">
        <f>IF(OR(ISBLANK(RAW_APS!A735),ISBLANK(RAW_APS!B735),ISBLANK(RAW_APS!C735)),TRUE,IFERROR(0/0,""))</f>
        <v/>
      </c>
      <c r="B735" s="252"/>
      <c r="C735" s="112" t="str">
        <f>IF(ISBLANK(B735),IFERROR(0/0,""),RAW_APS!A735)</f>
        <v/>
      </c>
      <c r="D735" s="112" t="str">
        <f>IF(ISBLANK(C735),IFERROR(0/0,""), VLOOKUP(C735,preDEL!A$2:AG786,33,FALSE))</f>
        <v/>
      </c>
      <c r="E735" s="252"/>
      <c r="F735" s="210"/>
      <c r="G735" s="252"/>
      <c r="H735" s="255" t="str">
        <f t="shared" si="1"/>
        <v/>
      </c>
      <c r="I735" s="256" t="str">
        <f>CONCATENATE(UPPER(RAW_APS!$A736),"__",RAW_APS!$B736,"_",RAW_APS!$C736)</f>
        <v>MA307__44557_0.328935185185185</v>
      </c>
      <c r="J735" s="257" t="str">
        <f t="shared" si="2"/>
        <v/>
      </c>
      <c r="K735" s="252" t="s">
        <v>2079</v>
      </c>
      <c r="L735" s="258" t="str">
        <f t="shared" si="3"/>
        <v>MAX28</v>
      </c>
      <c r="M735" s="259" t="b">
        <f t="shared" si="4"/>
        <v>0</v>
      </c>
      <c r="N735" s="258" t="str">
        <f t="shared" si="5"/>
        <v/>
      </c>
      <c r="O735" s="5"/>
      <c r="P735" s="5"/>
      <c r="Q735" s="5"/>
      <c r="R735" s="5"/>
      <c r="S735" s="5"/>
      <c r="T735" s="5"/>
      <c r="U735" s="5"/>
      <c r="V735" s="5"/>
      <c r="W735" s="5"/>
    </row>
    <row r="736">
      <c r="A736" s="112" t="str">
        <f>IF(OR(ISBLANK(RAW_APS!A736),ISBLANK(RAW_APS!B736),ISBLANK(RAW_APS!C736)),TRUE,IFERROR(0/0,""))</f>
        <v/>
      </c>
      <c r="B736" s="252"/>
      <c r="C736" s="112" t="str">
        <f>IF(ISBLANK(B736),IFERROR(0/0,""),RAW_APS!A736)</f>
        <v/>
      </c>
      <c r="D736" s="112" t="str">
        <f>IF(ISBLANK(C736),IFERROR(0/0,""), VLOOKUP(C736,preDEL!A$2:AG786,33,FALSE))</f>
        <v/>
      </c>
      <c r="E736" s="252"/>
      <c r="F736" s="210"/>
      <c r="G736" s="252"/>
      <c r="H736" s="255" t="str">
        <f t="shared" si="1"/>
        <v/>
      </c>
      <c r="I736" s="256" t="str">
        <f>CONCATENATE(UPPER(RAW_APS!$A737),"__",RAW_APS!$B737,"_",RAW_APS!$C737)</f>
        <v>MA707__44557_0.327546296296296</v>
      </c>
      <c r="J736" s="257" t="str">
        <f t="shared" si="2"/>
        <v/>
      </c>
      <c r="K736" s="252" t="s">
        <v>2081</v>
      </c>
      <c r="L736" s="258" t="str">
        <f t="shared" si="3"/>
        <v>MAX36</v>
      </c>
      <c r="M736" s="259" t="b">
        <f t="shared" si="4"/>
        <v>0</v>
      </c>
      <c r="N736" s="258" t="str">
        <f t="shared" si="5"/>
        <v/>
      </c>
      <c r="O736" s="5"/>
      <c r="P736" s="5"/>
      <c r="Q736" s="5"/>
      <c r="R736" s="5"/>
      <c r="S736" s="5"/>
      <c r="T736" s="5"/>
      <c r="U736" s="5"/>
      <c r="V736" s="5"/>
      <c r="W736" s="5"/>
    </row>
    <row r="737">
      <c r="A737" s="112" t="str">
        <f>IF(OR(ISBLANK(RAW_APS!A737),ISBLANK(RAW_APS!B737),ISBLANK(RAW_APS!C737)),TRUE,IFERROR(0/0,""))</f>
        <v/>
      </c>
      <c r="B737" s="252"/>
      <c r="C737" s="112" t="str">
        <f>IF(ISBLANK(B737),IFERROR(0/0,""),RAW_APS!A737)</f>
        <v/>
      </c>
      <c r="D737" s="112" t="str">
        <f>IF(ISBLANK(C737),IFERROR(0/0,""), VLOOKUP(C737,preDEL!A$2:AG786,33,FALSE))</f>
        <v/>
      </c>
      <c r="E737" s="252"/>
      <c r="F737" s="210"/>
      <c r="G737" s="252"/>
      <c r="H737" s="255" t="str">
        <f t="shared" si="1"/>
        <v/>
      </c>
      <c r="I737" s="256" t="str">
        <f>CONCATENATE(UPPER(RAW_APS!$A738),"__",RAW_APS!$B738,"_",RAW_APS!$C738)</f>
        <v>MA690__44557_0.312662037037037</v>
      </c>
      <c r="J737" s="257" t="str">
        <f t="shared" si="2"/>
        <v/>
      </c>
      <c r="K737" s="252" t="s">
        <v>2083</v>
      </c>
      <c r="L737" s="258" t="str">
        <f t="shared" si="3"/>
        <v>MAX4</v>
      </c>
      <c r="M737" s="259" t="b">
        <f t="shared" si="4"/>
        <v>0</v>
      </c>
      <c r="N737" s="258" t="str">
        <f t="shared" si="5"/>
        <v/>
      </c>
      <c r="O737" s="5"/>
      <c r="P737" s="5"/>
      <c r="Q737" s="5"/>
      <c r="R737" s="5"/>
      <c r="S737" s="5"/>
      <c r="T737" s="5"/>
      <c r="U737" s="5"/>
      <c r="V737" s="5"/>
      <c r="W737" s="5"/>
    </row>
    <row r="738">
      <c r="A738" s="112" t="str">
        <f>IF(OR(ISBLANK(RAW_APS!A738),ISBLANK(RAW_APS!B738),ISBLANK(RAW_APS!C738)),TRUE,IFERROR(0/0,""))</f>
        <v/>
      </c>
      <c r="B738" s="252"/>
      <c r="C738" s="112" t="str">
        <f>IF(ISBLANK(B738),IFERROR(0/0,""),RAW_APS!A738)</f>
        <v/>
      </c>
      <c r="D738" s="112" t="str">
        <f>IF(ISBLANK(C738),IFERROR(0/0,""), VLOOKUP(C738,preDEL!A$2:AG786,33,FALSE))</f>
        <v/>
      </c>
      <c r="E738" s="252"/>
      <c r="F738" s="210"/>
      <c r="G738" s="252"/>
      <c r="H738" s="255" t="str">
        <f t="shared" si="1"/>
        <v/>
      </c>
      <c r="I738" s="256" t="str">
        <f>CONCATENATE(UPPER(RAW_APS!$A739),"__",RAW_APS!$B739,"_",RAW_APS!$C739)</f>
        <v>MA1179__44557_0.312314814814815</v>
      </c>
      <c r="J738" s="257" t="str">
        <f t="shared" si="2"/>
        <v/>
      </c>
      <c r="K738" s="252" t="s">
        <v>2085</v>
      </c>
      <c r="L738" s="258" t="str">
        <f t="shared" si="3"/>
        <v>MAX40</v>
      </c>
      <c r="M738" s="259" t="b">
        <f t="shared" si="4"/>
        <v>0</v>
      </c>
      <c r="N738" s="258" t="str">
        <f t="shared" si="5"/>
        <v/>
      </c>
      <c r="O738" s="5"/>
      <c r="P738" s="5"/>
      <c r="Q738" s="5"/>
      <c r="R738" s="5"/>
      <c r="S738" s="5"/>
      <c r="T738" s="5"/>
      <c r="U738" s="5"/>
      <c r="V738" s="5"/>
      <c r="W738" s="5"/>
    </row>
    <row r="739">
      <c r="A739" s="112" t="str">
        <f>IF(OR(ISBLANK(RAW_APS!A739),ISBLANK(RAW_APS!B739),ISBLANK(RAW_APS!C739)),TRUE,IFERROR(0/0,""))</f>
        <v/>
      </c>
      <c r="B739" s="252"/>
      <c r="C739" s="112" t="str">
        <f>IF(ISBLANK(B739),IFERROR(0/0,""),RAW_APS!A739)</f>
        <v/>
      </c>
      <c r="D739" s="112" t="str">
        <f>IF(ISBLANK(C739),IFERROR(0/0,""), VLOOKUP(C739,preDEL!A$2:AG786,33,FALSE))</f>
        <v/>
      </c>
      <c r="E739" s="252"/>
      <c r="F739" s="210"/>
      <c r="G739" s="252"/>
      <c r="H739" s="255" t="str">
        <f t="shared" si="1"/>
        <v/>
      </c>
      <c r="I739" s="256" t="str">
        <f>CONCATENATE(UPPER(RAW_APS!$A740),"__",RAW_APS!$B740,"_",RAW_APS!$C740)</f>
        <v>MA447__44556_0.623483796296296</v>
      </c>
      <c r="J739" s="257" t="str">
        <f t="shared" si="2"/>
        <v/>
      </c>
      <c r="K739" s="252" t="s">
        <v>2087</v>
      </c>
      <c r="L739" s="258" t="str">
        <f t="shared" si="3"/>
        <v>MAX44</v>
      </c>
      <c r="M739" s="259" t="b">
        <f t="shared" si="4"/>
        <v>0</v>
      </c>
      <c r="N739" s="258" t="str">
        <f t="shared" si="5"/>
        <v/>
      </c>
      <c r="O739" s="5"/>
      <c r="P739" s="5"/>
      <c r="Q739" s="5"/>
      <c r="R739" s="5"/>
      <c r="S739" s="5"/>
      <c r="T739" s="5"/>
      <c r="U739" s="5"/>
      <c r="V739" s="5"/>
      <c r="W739" s="5"/>
    </row>
    <row r="740">
      <c r="A740" s="112" t="str">
        <f>IF(OR(ISBLANK(RAW_APS!A740),ISBLANK(RAW_APS!B740),ISBLANK(RAW_APS!C740)),TRUE,IFERROR(0/0,""))</f>
        <v/>
      </c>
      <c r="B740" s="252"/>
      <c r="C740" s="112" t="str">
        <f>IF(ISBLANK(B740),IFERROR(0/0,""),RAW_APS!A740)</f>
        <v/>
      </c>
      <c r="D740" s="112" t="str">
        <f>IF(ISBLANK(C740),IFERROR(0/0,""), VLOOKUP(C740,preDEL!A$2:AG786,33,FALSE))</f>
        <v/>
      </c>
      <c r="E740" s="252"/>
      <c r="F740" s="210"/>
      <c r="G740" s="252"/>
      <c r="H740" s="255" t="str">
        <f t="shared" si="1"/>
        <v/>
      </c>
      <c r="I740" s="256" t="str">
        <f>CONCATENATE(UPPER(RAW_APS!$A741),"__",RAW_APS!$B741,"_",RAW_APS!$C741)</f>
        <v>MA 1057__44552_0.366018518518519</v>
      </c>
      <c r="J740" s="257" t="str">
        <f t="shared" si="2"/>
        <v/>
      </c>
      <c r="K740" s="252" t="s">
        <v>2089</v>
      </c>
      <c r="L740" s="258" t="str">
        <f t="shared" si="3"/>
        <v>MAX48</v>
      </c>
      <c r="M740" s="259" t="b">
        <f t="shared" si="4"/>
        <v>0</v>
      </c>
      <c r="N740" s="258" t="str">
        <f t="shared" si="5"/>
        <v/>
      </c>
      <c r="O740" s="5"/>
      <c r="P740" s="5"/>
      <c r="Q740" s="5"/>
      <c r="R740" s="5"/>
      <c r="S740" s="5"/>
      <c r="T740" s="5"/>
      <c r="U740" s="5"/>
      <c r="V740" s="5"/>
      <c r="W740" s="5"/>
    </row>
    <row r="741">
      <c r="A741" s="112" t="str">
        <f>IF(OR(ISBLANK(RAW_APS!A741),ISBLANK(RAW_APS!B741),ISBLANK(RAW_APS!C741)),TRUE,IFERROR(0/0,""))</f>
        <v/>
      </c>
      <c r="B741" s="252"/>
      <c r="C741" s="112" t="str">
        <f>IF(ISBLANK(B741),IFERROR(0/0,""),RAW_APS!A741)</f>
        <v/>
      </c>
      <c r="D741" s="112" t="str">
        <f>IF(ISBLANK(C741),IFERROR(0/0,""), VLOOKUP(C741,preDEL!A$2:AG786,33,FALSE))</f>
        <v/>
      </c>
      <c r="E741" s="252"/>
      <c r="F741" s="210"/>
      <c r="G741" s="252"/>
      <c r="H741" s="255" t="str">
        <f t="shared" si="1"/>
        <v/>
      </c>
      <c r="I741" s="256" t="str">
        <f>CONCATENATE(UPPER(RAW_APS!$A742),"__",RAW_APS!$B742,"_",RAW_APS!$C742)</f>
        <v>MA 1088__44552_0.358773148148148</v>
      </c>
      <c r="J741" s="257" t="str">
        <f t="shared" si="2"/>
        <v/>
      </c>
      <c r="K741" s="252" t="s">
        <v>2091</v>
      </c>
      <c r="L741" s="258" t="str">
        <f t="shared" si="3"/>
        <v>MAX51</v>
      </c>
      <c r="M741" s="259" t="b">
        <f t="shared" si="4"/>
        <v>0</v>
      </c>
      <c r="N741" s="258" t="str">
        <f t="shared" si="5"/>
        <v/>
      </c>
      <c r="O741" s="5"/>
      <c r="P741" s="5"/>
      <c r="Q741" s="5"/>
      <c r="R741" s="5"/>
      <c r="S741" s="5"/>
      <c r="T741" s="5"/>
      <c r="U741" s="5"/>
      <c r="V741" s="5"/>
      <c r="W741" s="5"/>
    </row>
    <row r="742">
      <c r="A742" s="112" t="str">
        <f>IF(OR(ISBLANK(RAW_APS!A742),ISBLANK(RAW_APS!B742),ISBLANK(RAW_APS!C742)),TRUE,IFERROR(0/0,""))</f>
        <v/>
      </c>
      <c r="B742" s="252"/>
      <c r="C742" s="112" t="str">
        <f>IF(ISBLANK(B742),IFERROR(0/0,""),RAW_APS!A742)</f>
        <v/>
      </c>
      <c r="D742" s="112" t="str">
        <f>IF(ISBLANK(C742),IFERROR(0/0,""), VLOOKUP(C742,preDEL!A$2:AG786,33,FALSE))</f>
        <v/>
      </c>
      <c r="E742" s="252"/>
      <c r="F742" s="210"/>
      <c r="G742" s="252"/>
      <c r="H742" s="255" t="str">
        <f t="shared" si="1"/>
        <v/>
      </c>
      <c r="I742" s="256" t="str">
        <f>CONCATENATE(UPPER(RAW_APS!$A743),"__",RAW_APS!$B743,"_",RAW_APS!$C743)</f>
        <v>MA 1203__44552_0.348796296296296</v>
      </c>
      <c r="J742" s="257" t="str">
        <f t="shared" si="2"/>
        <v/>
      </c>
      <c r="K742" s="252" t="s">
        <v>2093</v>
      </c>
      <c r="L742" s="258" t="str">
        <f t="shared" si="3"/>
        <v>MAX55</v>
      </c>
      <c r="M742" s="259" t="b">
        <f t="shared" si="4"/>
        <v>0</v>
      </c>
      <c r="N742" s="258" t="str">
        <f t="shared" si="5"/>
        <v/>
      </c>
      <c r="O742" s="5"/>
      <c r="P742" s="5"/>
      <c r="Q742" s="5"/>
      <c r="R742" s="5"/>
      <c r="S742" s="5"/>
      <c r="T742" s="5"/>
      <c r="U742" s="5"/>
      <c r="V742" s="5"/>
      <c r="W742" s="5"/>
    </row>
    <row r="743">
      <c r="A743" s="112" t="str">
        <f>IF(OR(ISBLANK(RAW_APS!A743),ISBLANK(RAW_APS!B743),ISBLANK(RAW_APS!C743)),TRUE,IFERROR(0/0,""))</f>
        <v/>
      </c>
      <c r="B743" s="252"/>
      <c r="C743" s="112" t="str">
        <f>IF(ISBLANK(B743),IFERROR(0/0,""),RAW_APS!A743)</f>
        <v/>
      </c>
      <c r="D743" s="112" t="str">
        <f>IF(ISBLANK(C743),IFERROR(0/0,""), VLOOKUP(C743,preDEL!A$2:AG786,33,FALSE))</f>
        <v/>
      </c>
      <c r="E743" s="252"/>
      <c r="F743" s="210"/>
      <c r="G743" s="252"/>
      <c r="H743" s="255" t="str">
        <f t="shared" si="1"/>
        <v/>
      </c>
      <c r="I743" s="256" t="str">
        <f>CONCATENATE(UPPER(RAW_APS!$A744),"__",RAW_APS!$B744,"_",RAW_APS!$C744)</f>
        <v>MA1315__44551_0.470543981481481</v>
      </c>
      <c r="J743" s="257" t="str">
        <f t="shared" si="2"/>
        <v/>
      </c>
      <c r="K743" s="252" t="s">
        <v>2096</v>
      </c>
      <c r="L743" s="258" t="str">
        <f t="shared" si="3"/>
        <v>MAX56</v>
      </c>
      <c r="M743" s="259" t="b">
        <f t="shared" si="4"/>
        <v>0</v>
      </c>
      <c r="N743" s="258" t="str">
        <f t="shared" si="5"/>
        <v/>
      </c>
      <c r="O743" s="5"/>
      <c r="P743" s="5"/>
      <c r="Q743" s="5"/>
      <c r="R743" s="5"/>
      <c r="S743" s="5"/>
      <c r="T743" s="5"/>
      <c r="U743" s="5"/>
      <c r="V743" s="5"/>
      <c r="W743" s="5"/>
    </row>
    <row r="744">
      <c r="A744" s="112" t="str">
        <f>IF(OR(ISBLANK(RAW_APS!A744),ISBLANK(RAW_APS!B744),ISBLANK(RAW_APS!C744)),TRUE,IFERROR(0/0,""))</f>
        <v/>
      </c>
      <c r="B744" s="252"/>
      <c r="C744" s="112" t="str">
        <f>IF(ISBLANK(B744),IFERROR(0/0,""),RAW_APS!A744)</f>
        <v/>
      </c>
      <c r="D744" s="112" t="str">
        <f>IF(ISBLANK(C744),IFERROR(0/0,""), VLOOKUP(C744,preDEL!A$2:AG786,33,FALSE))</f>
        <v/>
      </c>
      <c r="E744" s="252"/>
      <c r="F744" s="210"/>
      <c r="G744" s="252"/>
      <c r="H744" s="255" t="str">
        <f t="shared" si="1"/>
        <v/>
      </c>
      <c r="I744" s="256" t="str">
        <f>CONCATENATE(UPPER(RAW_APS!$A745),"__",RAW_APS!$B745,"_",RAW_APS!$C745)</f>
        <v>MA1030__44551_0.188101851851852</v>
      </c>
      <c r="J744" s="257" t="str">
        <f t="shared" si="2"/>
        <v/>
      </c>
      <c r="K744" s="252" t="s">
        <v>2100</v>
      </c>
      <c r="L744" s="258" t="str">
        <f t="shared" si="3"/>
        <v>MAX60</v>
      </c>
      <c r="M744" s="259" t="b">
        <f t="shared" si="4"/>
        <v>0</v>
      </c>
      <c r="N744" s="258" t="str">
        <f t="shared" si="5"/>
        <v/>
      </c>
      <c r="O744" s="5"/>
      <c r="P744" s="5"/>
      <c r="Q744" s="5"/>
      <c r="R744" s="5"/>
      <c r="S744" s="5"/>
      <c r="T744" s="5"/>
      <c r="U744" s="5"/>
      <c r="V744" s="5"/>
      <c r="W744" s="5"/>
    </row>
    <row r="745">
      <c r="A745" s="112" t="str">
        <f>IF(OR(ISBLANK(RAW_APS!A745),ISBLANK(RAW_APS!B745),ISBLANK(RAW_APS!C745)),TRUE,IFERROR(0/0,""))</f>
        <v/>
      </c>
      <c r="B745" s="252"/>
      <c r="C745" s="112" t="str">
        <f>IF(ISBLANK(B745),IFERROR(0/0,""),RAW_APS!A745)</f>
        <v/>
      </c>
      <c r="D745" s="112" t="str">
        <f>IF(ISBLANK(C745),IFERROR(0/0,""), VLOOKUP(C745,preDEL!A$2:AG786,33,FALSE))</f>
        <v/>
      </c>
      <c r="E745" s="252"/>
      <c r="F745" s="210"/>
      <c r="G745" s="252"/>
      <c r="H745" s="255" t="str">
        <f t="shared" si="1"/>
        <v/>
      </c>
      <c r="I745" s="256" t="str">
        <f>CONCATENATE(UPPER(RAW_APS!$A746),"__",RAW_APS!$B746,"_",RAW_APS!$C746)</f>
        <v>MA269__44550_0.446516203703704</v>
      </c>
      <c r="J745" s="257" t="b">
        <f t="shared" si="2"/>
        <v>1</v>
      </c>
      <c r="K745" s="252" t="s">
        <v>2102</v>
      </c>
      <c r="L745" s="258" t="str">
        <f t="shared" si="3"/>
        <v>MAX62</v>
      </c>
      <c r="M745" s="259" t="b">
        <f t="shared" si="4"/>
        <v>0</v>
      </c>
      <c r="N745" s="258" t="str">
        <f t="shared" si="5"/>
        <v/>
      </c>
      <c r="O745" s="5"/>
      <c r="P745" s="5"/>
      <c r="Q745" s="5"/>
      <c r="R745" s="5"/>
      <c r="S745" s="5"/>
      <c r="T745" s="5"/>
      <c r="U745" s="5"/>
      <c r="V745" s="5"/>
      <c r="W745" s="5"/>
    </row>
    <row r="746">
      <c r="A746" s="112" t="str">
        <f>IF(OR(ISBLANK(RAW_APS!A746),ISBLANK(RAW_APS!B746),ISBLANK(RAW_APS!C746)),TRUE,IFERROR(0/0,""))</f>
        <v/>
      </c>
      <c r="B746" s="252"/>
      <c r="C746" s="112" t="str">
        <f>IF(ISBLANK(B746),IFERROR(0/0,""),RAW_APS!A746)</f>
        <v/>
      </c>
      <c r="D746" s="112" t="str">
        <f>IF(ISBLANK(C746),IFERROR(0/0,""), VLOOKUP(C746,preDEL!A$2:AG786,33,FALSE))</f>
        <v/>
      </c>
      <c r="E746" s="252"/>
      <c r="F746" s="210"/>
      <c r="G746" s="252"/>
      <c r="H746" s="255" t="str">
        <f t="shared" si="1"/>
        <v/>
      </c>
      <c r="I746" s="256" t="str">
        <f>CONCATENATE(UPPER(RAW_APS!$A747),"__",RAW_APS!$B747,"_",RAW_APS!$C747)</f>
        <v>MA197__44550_0.446064814814815</v>
      </c>
      <c r="J746" s="257" t="b">
        <f t="shared" si="2"/>
        <v>1</v>
      </c>
      <c r="K746" s="252" t="s">
        <v>2104</v>
      </c>
      <c r="L746" s="258" t="str">
        <f t="shared" si="3"/>
        <v>MAX63</v>
      </c>
      <c r="M746" s="259" t="b">
        <f t="shared" si="4"/>
        <v>0</v>
      </c>
      <c r="N746" s="258" t="str">
        <f t="shared" si="5"/>
        <v/>
      </c>
      <c r="O746" s="5"/>
      <c r="P746" s="5"/>
      <c r="Q746" s="5"/>
      <c r="R746" s="5"/>
      <c r="S746" s="5"/>
      <c r="T746" s="5"/>
      <c r="U746" s="5"/>
      <c r="V746" s="5"/>
      <c r="W746" s="5"/>
    </row>
    <row r="747">
      <c r="A747" s="112" t="str">
        <f>IF(OR(ISBLANK(RAW_APS!A747),ISBLANK(RAW_APS!B747),ISBLANK(RAW_APS!C747)),TRUE,IFERROR(0/0,""))</f>
        <v/>
      </c>
      <c r="B747" s="252"/>
      <c r="C747" s="112" t="str">
        <f>IF(ISBLANK(B747),IFERROR(0/0,""),RAW_APS!A747)</f>
        <v/>
      </c>
      <c r="D747" s="112" t="str">
        <f>IF(ISBLANK(C747),IFERROR(0/0,""), VLOOKUP(C747,preDEL!A$2:AG786,33,FALSE))</f>
        <v/>
      </c>
      <c r="E747" s="252"/>
      <c r="F747" s="210"/>
      <c r="G747" s="252"/>
      <c r="H747" s="255" t="str">
        <f t="shared" si="1"/>
        <v/>
      </c>
      <c r="I747" s="256" t="str">
        <f>CONCATENATE(UPPER(RAW_APS!$A748),"__",RAW_APS!$B748,"_",RAW_APS!$C748)</f>
        <v>MA1080__44550_0.436342592592593</v>
      </c>
      <c r="J747" s="257" t="str">
        <f t="shared" si="2"/>
        <v/>
      </c>
      <c r="K747" s="252" t="s">
        <v>2106</v>
      </c>
      <c r="L747" s="258" t="str">
        <f t="shared" si="3"/>
        <v>MAX64</v>
      </c>
      <c r="M747" s="259" t="b">
        <f t="shared" si="4"/>
        <v>0</v>
      </c>
      <c r="N747" s="258" t="str">
        <f t="shared" si="5"/>
        <v/>
      </c>
      <c r="O747" s="5"/>
      <c r="P747" s="5"/>
      <c r="Q747" s="5"/>
      <c r="R747" s="5"/>
      <c r="S747" s="5"/>
      <c r="T747" s="5"/>
      <c r="U747" s="5"/>
      <c r="V747" s="5"/>
      <c r="W747" s="5"/>
    </row>
    <row r="748">
      <c r="A748" s="112" t="str">
        <f>IF(OR(ISBLANK(RAW_APS!A748),ISBLANK(RAW_APS!B748),ISBLANK(RAW_APS!C748)),TRUE,IFERROR(0/0,""))</f>
        <v/>
      </c>
      <c r="B748" s="252"/>
      <c r="C748" s="112" t="str">
        <f>IF(ISBLANK(B748),IFERROR(0/0,""),RAW_APS!A748)</f>
        <v/>
      </c>
      <c r="D748" s="112" t="str">
        <f>IF(ISBLANK(C748),IFERROR(0/0,""), VLOOKUP(C748,preDEL!A$2:AG786,33,FALSE))</f>
        <v/>
      </c>
      <c r="E748" s="252"/>
      <c r="F748" s="210"/>
      <c r="G748" s="252"/>
      <c r="H748" s="255" t="str">
        <f t="shared" si="1"/>
        <v/>
      </c>
      <c r="I748" s="256" t="str">
        <f>CONCATENATE(UPPER(RAW_APS!$A749),"__",RAW_APS!$B749,"_",RAW_APS!$C749)</f>
        <v>MA269__44550_0.401875</v>
      </c>
      <c r="J748" s="257" t="b">
        <f t="shared" si="2"/>
        <v>1</v>
      </c>
      <c r="K748" s="252" t="s">
        <v>2108</v>
      </c>
      <c r="L748" s="258" t="str">
        <f t="shared" si="3"/>
        <v>MAX65</v>
      </c>
      <c r="M748" s="259" t="b">
        <f t="shared" si="4"/>
        <v>0</v>
      </c>
      <c r="N748" s="258" t="str">
        <f t="shared" si="5"/>
        <v/>
      </c>
      <c r="O748" s="5"/>
      <c r="P748" s="5"/>
      <c r="Q748" s="5"/>
      <c r="R748" s="5"/>
      <c r="S748" s="5"/>
      <c r="T748" s="5"/>
      <c r="U748" s="5"/>
      <c r="V748" s="5"/>
      <c r="W748" s="5"/>
    </row>
    <row r="749">
      <c r="A749" s="112" t="str">
        <f>IF(OR(ISBLANK(RAW_APS!A749),ISBLANK(RAW_APS!B749),ISBLANK(RAW_APS!C749)),TRUE,IFERROR(0/0,""))</f>
        <v/>
      </c>
      <c r="B749" s="252"/>
      <c r="C749" s="112" t="str">
        <f>IF(ISBLANK(B749),IFERROR(0/0,""),RAW_APS!A749)</f>
        <v/>
      </c>
      <c r="D749" s="112" t="str">
        <f>IF(ISBLANK(C749),IFERROR(0/0,""), VLOOKUP(C749,preDEL!A$2:AG786,33,FALSE))</f>
        <v/>
      </c>
      <c r="E749" s="252"/>
      <c r="F749" s="210"/>
      <c r="G749" s="252"/>
      <c r="H749" s="255" t="str">
        <f t="shared" si="1"/>
        <v/>
      </c>
      <c r="I749" s="256" t="str">
        <f>CONCATENATE(UPPER(RAW_APS!$A750),"__",RAW_APS!$B750,"_",RAW_APS!$C750)</f>
        <v>MA197__44550_0.401354166666667</v>
      </c>
      <c r="J749" s="257" t="b">
        <f t="shared" si="2"/>
        <v>1</v>
      </c>
      <c r="K749" s="252" t="s">
        <v>2110</v>
      </c>
      <c r="L749" s="258" t="str">
        <f t="shared" si="3"/>
        <v>MAX67</v>
      </c>
      <c r="M749" s="259" t="b">
        <f t="shared" si="4"/>
        <v>0</v>
      </c>
      <c r="N749" s="258" t="str">
        <f t="shared" si="5"/>
        <v/>
      </c>
      <c r="O749" s="5"/>
      <c r="P749" s="5"/>
      <c r="Q749" s="5"/>
      <c r="R749" s="5"/>
      <c r="S749" s="5"/>
      <c r="T749" s="5"/>
      <c r="U749" s="5"/>
      <c r="V749" s="5"/>
      <c r="W749" s="5"/>
    </row>
    <row r="750">
      <c r="A750" s="112" t="str">
        <f>IF(OR(ISBLANK(RAW_APS!A750),ISBLANK(RAW_APS!B750),ISBLANK(RAW_APS!C750)),TRUE,IFERROR(0/0,""))</f>
        <v/>
      </c>
      <c r="B750" s="252"/>
      <c r="C750" s="112" t="str">
        <f>IF(ISBLANK(B750),IFERROR(0/0,""),RAW_APS!A750)</f>
        <v/>
      </c>
      <c r="D750" s="112" t="str">
        <f>IF(ISBLANK(C750),IFERROR(0/0,""), VLOOKUP(C750,preDEL!A$2:AG786,33,FALSE))</f>
        <v/>
      </c>
      <c r="E750" s="252"/>
      <c r="F750" s="210"/>
      <c r="G750" s="252"/>
      <c r="H750" s="255" t="str">
        <f t="shared" si="1"/>
        <v/>
      </c>
      <c r="I750" s="256" t="str">
        <f>CONCATENATE(UPPER(RAW_APS!$A751),"__",RAW_APS!$B751,"_",RAW_APS!$C751)</f>
        <v>MA542__44550_0.343298611111111</v>
      </c>
      <c r="J750" s="257" t="str">
        <f t="shared" si="2"/>
        <v/>
      </c>
      <c r="K750" s="252" t="s">
        <v>2112</v>
      </c>
      <c r="L750" s="258" t="str">
        <f t="shared" si="3"/>
        <v>MAX68</v>
      </c>
      <c r="M750" s="259" t="b">
        <f t="shared" si="4"/>
        <v>0</v>
      </c>
      <c r="N750" s="258" t="str">
        <f t="shared" si="5"/>
        <v/>
      </c>
      <c r="O750" s="5"/>
      <c r="P750" s="5"/>
      <c r="Q750" s="5"/>
      <c r="R750" s="5"/>
      <c r="S750" s="5"/>
      <c r="T750" s="5"/>
      <c r="U750" s="5"/>
      <c r="V750" s="5"/>
      <c r="W750" s="5"/>
    </row>
    <row r="751">
      <c r="A751" s="112" t="str">
        <f>IF(OR(ISBLANK(RAW_APS!A751),ISBLANK(RAW_APS!B751),ISBLANK(RAW_APS!C751)),TRUE,IFERROR(0/0,""))</f>
        <v/>
      </c>
      <c r="B751" s="252"/>
      <c r="C751" s="112" t="str">
        <f>IF(ISBLANK(B751),IFERROR(0/0,""),RAW_APS!A751)</f>
        <v/>
      </c>
      <c r="D751" s="112" t="str">
        <f>IF(ISBLANK(C751),IFERROR(0/0,""), VLOOKUP(C751,preDEL!A$2:AG786,33,FALSE))</f>
        <v/>
      </c>
      <c r="E751" s="252"/>
      <c r="F751" s="210"/>
      <c r="G751" s="252"/>
      <c r="H751" s="255" t="str">
        <f t="shared" si="1"/>
        <v/>
      </c>
      <c r="I751" s="256" t="str">
        <f>CONCATENATE(UPPER(RAW_APS!$A752),"__",RAW_APS!$B752,"_",RAW_APS!$C752)</f>
        <v>MA1365__44550_0.340300925925926</v>
      </c>
      <c r="J751" s="257" t="str">
        <f t="shared" si="2"/>
        <v/>
      </c>
      <c r="K751" s="252" t="s">
        <v>2114</v>
      </c>
      <c r="L751" s="258" t="str">
        <f t="shared" si="3"/>
        <v>MAX69</v>
      </c>
      <c r="M751" s="259" t="b">
        <f t="shared" si="4"/>
        <v>0</v>
      </c>
      <c r="N751" s="258" t="str">
        <f t="shared" si="5"/>
        <v/>
      </c>
      <c r="O751" s="5"/>
      <c r="P751" s="5"/>
      <c r="Q751" s="5"/>
      <c r="R751" s="5"/>
      <c r="S751" s="5"/>
      <c r="T751" s="5"/>
      <c r="U751" s="5"/>
      <c r="V751" s="5"/>
      <c r="W751" s="5"/>
    </row>
    <row r="752">
      <c r="A752" s="112" t="str">
        <f>IF(OR(ISBLANK(RAW_APS!A752),ISBLANK(RAW_APS!B752),ISBLANK(RAW_APS!C752)),TRUE,IFERROR(0/0,""))</f>
        <v/>
      </c>
      <c r="B752" s="252"/>
      <c r="C752" s="112" t="str">
        <f>IF(ISBLANK(B752),IFERROR(0/0,""),RAW_APS!A752)</f>
        <v/>
      </c>
      <c r="D752" s="112" t="str">
        <f>IF(ISBLANK(C752),IFERROR(0/0,""), VLOOKUP(C752,preDEL!A$2:AG786,33,FALSE))</f>
        <v/>
      </c>
      <c r="E752" s="252"/>
      <c r="F752" s="210"/>
      <c r="G752" s="252"/>
      <c r="H752" s="255" t="str">
        <f t="shared" si="1"/>
        <v/>
      </c>
      <c r="I752" s="256" t="str">
        <f>CONCATENATE(UPPER(RAW_APS!$A753),"__",RAW_APS!$B753,"_",RAW_APS!$C753)</f>
        <v>MA1160__44550_0.335416666666667</v>
      </c>
      <c r="J752" s="257" t="str">
        <f t="shared" si="2"/>
        <v/>
      </c>
      <c r="K752" s="252" t="s">
        <v>2117</v>
      </c>
      <c r="L752" s="258" t="str">
        <f t="shared" si="3"/>
        <v>MAX70</v>
      </c>
      <c r="M752" s="259" t="b">
        <f t="shared" si="4"/>
        <v>0</v>
      </c>
      <c r="N752" s="258" t="str">
        <f t="shared" si="5"/>
        <v/>
      </c>
      <c r="O752" s="5"/>
      <c r="P752" s="5"/>
      <c r="Q752" s="5"/>
      <c r="R752" s="5"/>
      <c r="S752" s="5"/>
      <c r="T752" s="5"/>
      <c r="U752" s="5"/>
      <c r="V752" s="5"/>
      <c r="W752" s="5"/>
    </row>
    <row r="753">
      <c r="A753" s="112" t="str">
        <f>IF(OR(ISBLANK(RAW_APS!A753),ISBLANK(RAW_APS!B753),ISBLANK(RAW_APS!C753)),TRUE,IFERROR(0/0,""))</f>
        <v/>
      </c>
      <c r="B753" s="252"/>
      <c r="C753" s="112" t="str">
        <f>IF(ISBLANK(B753),IFERROR(0/0,""),RAW_APS!A753)</f>
        <v/>
      </c>
      <c r="D753" s="112" t="str">
        <f>IF(ISBLANK(C753),IFERROR(0/0,""), VLOOKUP(C753,preDEL!A$2:AG786,33,FALSE))</f>
        <v/>
      </c>
      <c r="E753" s="252"/>
      <c r="F753" s="210"/>
      <c r="G753" s="252"/>
      <c r="H753" s="255" t="str">
        <f t="shared" si="1"/>
        <v/>
      </c>
      <c r="I753" s="256" t="str">
        <f>CONCATENATE(UPPER(RAW_APS!$A754),"__",RAW_APS!$B754,"_",RAW_APS!$C754)</f>
        <v>MA1091__44550_0.317349537037037</v>
      </c>
      <c r="J753" s="257" t="str">
        <f t="shared" si="2"/>
        <v/>
      </c>
      <c r="K753" s="252" t="s">
        <v>2119</v>
      </c>
      <c r="L753" s="258" t="str">
        <f t="shared" si="3"/>
        <v>MAX72</v>
      </c>
      <c r="M753" s="259" t="b">
        <f t="shared" si="4"/>
        <v>0</v>
      </c>
      <c r="N753" s="258" t="str">
        <f t="shared" si="5"/>
        <v/>
      </c>
      <c r="O753" s="5"/>
      <c r="P753" s="5"/>
      <c r="Q753" s="5"/>
      <c r="R753" s="5"/>
      <c r="S753" s="5"/>
      <c r="T753" s="5"/>
      <c r="U753" s="5"/>
      <c r="V753" s="5"/>
      <c r="W753" s="5"/>
    </row>
    <row r="754">
      <c r="A754" s="112" t="str">
        <f>IF(OR(ISBLANK(RAW_APS!A754),ISBLANK(RAW_APS!B754),ISBLANK(RAW_APS!C754)),TRUE,IFERROR(0/0,""))</f>
        <v/>
      </c>
      <c r="B754" s="252"/>
      <c r="C754" s="112" t="str">
        <f>IF(ISBLANK(B754),IFERROR(0/0,""),RAW_APS!A754)</f>
        <v/>
      </c>
      <c r="D754" s="112" t="str">
        <f>IF(ISBLANK(C754),IFERROR(0/0,""), VLOOKUP(C754,preDEL!A$2:AG786,33,FALSE))</f>
        <v/>
      </c>
      <c r="E754" s="252"/>
      <c r="F754" s="210"/>
      <c r="G754" s="252"/>
      <c r="H754" s="255" t="str">
        <f t="shared" si="1"/>
        <v/>
      </c>
      <c r="I754" s="256" t="str">
        <f>CONCATENATE(UPPER(RAW_APS!$A755),"__",RAW_APS!$B755,"_",RAW_APS!$C755)</f>
        <v>MA705__44549_0.889953703703704</v>
      </c>
      <c r="J754" s="257" t="str">
        <f t="shared" si="2"/>
        <v/>
      </c>
      <c r="K754" s="252" t="s">
        <v>2121</v>
      </c>
      <c r="L754" s="258" t="str">
        <f t="shared" si="3"/>
        <v>MAX74</v>
      </c>
      <c r="M754" s="259" t="b">
        <f t="shared" si="4"/>
        <v>0</v>
      </c>
      <c r="N754" s="258" t="str">
        <f t="shared" si="5"/>
        <v/>
      </c>
      <c r="O754" s="5"/>
      <c r="P754" s="5"/>
      <c r="Q754" s="5"/>
      <c r="R754" s="5"/>
      <c r="S754" s="5"/>
      <c r="T754" s="5"/>
      <c r="U754" s="5"/>
      <c r="V754" s="5"/>
      <c r="W754" s="5"/>
    </row>
    <row r="755">
      <c r="A755" s="112" t="str">
        <f>IF(OR(ISBLANK(RAW_APS!A755),ISBLANK(RAW_APS!B755),ISBLANK(RAW_APS!C755)),TRUE,IFERROR(0/0,""))</f>
        <v/>
      </c>
      <c r="B755" s="252"/>
      <c r="C755" s="112" t="str">
        <f>IF(ISBLANK(B755),IFERROR(0/0,""),RAW_APS!A755)</f>
        <v/>
      </c>
      <c r="D755" s="112" t="str">
        <f>IF(ISBLANK(C755),IFERROR(0/0,""), VLOOKUP(C755,preDEL!A$2:AG786,33,FALSE))</f>
        <v/>
      </c>
      <c r="E755" s="252"/>
      <c r="F755" s="210"/>
      <c r="G755" s="252"/>
      <c r="H755" s="255" t="str">
        <f t="shared" si="1"/>
        <v/>
      </c>
      <c r="I755" s="256" t="str">
        <f>CONCATENATE(UPPER(RAW_APS!$A756),"__",RAW_APS!$B756,"_",RAW_APS!$C756)</f>
        <v>MA630__44549_0.376574074074074</v>
      </c>
      <c r="J755" s="257" t="str">
        <f t="shared" si="2"/>
        <v/>
      </c>
      <c r="K755" s="252" t="s">
        <v>2123</v>
      </c>
      <c r="L755" s="258" t="str">
        <f t="shared" si="3"/>
        <v>MAX75</v>
      </c>
      <c r="M755" s="259" t="b">
        <f t="shared" si="4"/>
        <v>0</v>
      </c>
      <c r="N755" s="258" t="str">
        <f t="shared" si="5"/>
        <v/>
      </c>
      <c r="O755" s="5"/>
      <c r="P755" s="5"/>
      <c r="Q755" s="5"/>
      <c r="R755" s="5"/>
      <c r="S755" s="5"/>
      <c r="T755" s="5"/>
      <c r="U755" s="5"/>
      <c r="V755" s="5"/>
      <c r="W755" s="5"/>
    </row>
    <row r="756">
      <c r="A756" s="112" t="str">
        <f>IF(OR(ISBLANK(RAW_APS!A756),ISBLANK(RAW_APS!B756),ISBLANK(RAW_APS!C756)),TRUE,IFERROR(0/0,""))</f>
        <v/>
      </c>
      <c r="B756" s="252"/>
      <c r="C756" s="112" t="str">
        <f>IF(ISBLANK(B756),IFERROR(0/0,""),RAW_APS!A756)</f>
        <v/>
      </c>
      <c r="D756" s="112" t="str">
        <f>IF(ISBLANK(C756),IFERROR(0/0,""), VLOOKUP(C756,preDEL!A$2:AG786,33,FALSE))</f>
        <v/>
      </c>
      <c r="E756" s="252"/>
      <c r="F756" s="210"/>
      <c r="G756" s="252"/>
      <c r="H756" s="255" t="str">
        <f t="shared" si="1"/>
        <v/>
      </c>
      <c r="I756" s="256" t="str">
        <f>CONCATENATE(UPPER(RAW_APS!$A757),"__",RAW_APS!$B757,"_",RAW_APS!$C757)</f>
        <v>MA631__44549_0.375011574074074</v>
      </c>
      <c r="J756" s="257" t="str">
        <f t="shared" si="2"/>
        <v/>
      </c>
      <c r="K756" s="252" t="s">
        <v>2125</v>
      </c>
      <c r="L756" s="258" t="str">
        <f t="shared" si="3"/>
        <v>MAX76</v>
      </c>
      <c r="M756" s="259" t="b">
        <f t="shared" si="4"/>
        <v>0</v>
      </c>
      <c r="N756" s="258" t="str">
        <f t="shared" si="5"/>
        <v/>
      </c>
      <c r="O756" s="5"/>
      <c r="P756" s="5"/>
      <c r="Q756" s="5"/>
      <c r="R756" s="5"/>
      <c r="S756" s="5"/>
      <c r="T756" s="5"/>
      <c r="U756" s="5"/>
      <c r="V756" s="5"/>
      <c r="W756" s="5"/>
    </row>
    <row r="757">
      <c r="A757" s="112" t="str">
        <f>IF(OR(ISBLANK(RAW_APS!A757),ISBLANK(RAW_APS!B757),ISBLANK(RAW_APS!C757)),TRUE,IFERROR(0/0,""))</f>
        <v/>
      </c>
      <c r="B757" s="252"/>
      <c r="C757" s="112" t="str">
        <f>IF(ISBLANK(B757),IFERROR(0/0,""),RAW_APS!A757)</f>
        <v/>
      </c>
      <c r="D757" s="112" t="str">
        <f>IF(ISBLANK(C757),IFERROR(0/0,""), VLOOKUP(C757,preDEL!A$2:AG786,33,FALSE))</f>
        <v/>
      </c>
      <c r="E757" s="252"/>
      <c r="F757" s="210"/>
      <c r="G757" s="252"/>
      <c r="H757" s="255" t="str">
        <f t="shared" si="1"/>
        <v/>
      </c>
      <c r="I757" s="256" t="str">
        <f>CONCATENATE(UPPER(RAW_APS!$A758),"__",RAW_APS!$B758,"_",RAW_APS!$C758)</f>
        <v>TESTN__44547_0.403831018518519</v>
      </c>
      <c r="J757" s="257" t="str">
        <f t="shared" si="2"/>
        <v/>
      </c>
      <c r="K757" s="252" t="s">
        <v>2127</v>
      </c>
      <c r="L757" s="258" t="str">
        <f t="shared" si="3"/>
        <v>MAX79</v>
      </c>
      <c r="M757" s="259" t="b">
        <f t="shared" si="4"/>
        <v>0</v>
      </c>
      <c r="N757" s="258" t="str">
        <f t="shared" si="5"/>
        <v/>
      </c>
      <c r="O757" s="5"/>
      <c r="P757" s="5"/>
      <c r="Q757" s="5"/>
      <c r="R757" s="5"/>
      <c r="S757" s="5"/>
      <c r="T757" s="5"/>
      <c r="U757" s="5"/>
      <c r="V757" s="5"/>
      <c r="W757" s="5"/>
    </row>
    <row r="758">
      <c r="A758" s="112" t="str">
        <f>IF(OR(ISBLANK(RAW_APS!A758),ISBLANK(RAW_APS!B758),ISBLANK(RAW_APS!C758)),TRUE,IFERROR(0/0,""))</f>
        <v/>
      </c>
      <c r="B758" s="252"/>
      <c r="C758" s="112" t="str">
        <f>IF(ISBLANK(B758),IFERROR(0/0,""),RAW_APS!A758)</f>
        <v/>
      </c>
      <c r="D758" s="112" t="str">
        <f>IF(ISBLANK(C758),IFERROR(0/0,""), VLOOKUP(C758,preDEL!A$2:AG786,33,FALSE))</f>
        <v/>
      </c>
      <c r="E758" s="252"/>
      <c r="F758" s="210"/>
      <c r="G758" s="252"/>
      <c r="H758" s="255" t="str">
        <f t="shared" si="1"/>
        <v/>
      </c>
      <c r="I758" s="256" t="str">
        <f>CONCATENATE(UPPER(RAW_APS!$A759),"__",RAW_APS!$B759,"_",RAW_APS!$C759)</f>
        <v>MA1043__44547_0.403229166666667</v>
      </c>
      <c r="J758" s="257" t="b">
        <f t="shared" si="2"/>
        <v>1</v>
      </c>
      <c r="K758" s="252" t="s">
        <v>2129</v>
      </c>
      <c r="L758" s="258" t="str">
        <f t="shared" si="3"/>
        <v>MAX8</v>
      </c>
      <c r="M758" s="259" t="b">
        <f t="shared" si="4"/>
        <v>0</v>
      </c>
      <c r="N758" s="258" t="str">
        <f t="shared" si="5"/>
        <v/>
      </c>
      <c r="O758" s="5"/>
      <c r="P758" s="5"/>
      <c r="Q758" s="5"/>
      <c r="R758" s="5"/>
      <c r="S758" s="5"/>
      <c r="T758" s="5"/>
      <c r="U758" s="5"/>
      <c r="V758" s="5"/>
      <c r="W758" s="5"/>
    </row>
    <row r="759">
      <c r="A759" s="112" t="str">
        <f>IF(OR(ISBLANK(RAW_APS!A759),ISBLANK(RAW_APS!B759),ISBLANK(RAW_APS!C759)),TRUE,IFERROR(0/0,""))</f>
        <v/>
      </c>
      <c r="B759" s="252"/>
      <c r="C759" s="112" t="str">
        <f>IF(ISBLANK(B759),IFERROR(0/0,""),RAW_APS!A759)</f>
        <v/>
      </c>
      <c r="D759" s="112" t="str">
        <f>IF(ISBLANK(C759),IFERROR(0/0,""), VLOOKUP(C759,preDEL!A$2:AG786,33,FALSE))</f>
        <v/>
      </c>
      <c r="E759" s="252"/>
      <c r="F759" s="210"/>
      <c r="G759" s="252"/>
      <c r="H759" s="255" t="str">
        <f t="shared" si="1"/>
        <v/>
      </c>
      <c r="I759" s="256" t="str">
        <f>CONCATENATE(UPPER(RAW_APS!$A760),"__",RAW_APS!$B760,"_",RAW_APS!$C760)</f>
        <v>MA1036__44547_0.371180555555556</v>
      </c>
      <c r="J759" s="257" t="str">
        <f t="shared" si="2"/>
        <v/>
      </c>
      <c r="K759" s="252" t="s">
        <v>2131</v>
      </c>
      <c r="L759" s="258" t="str">
        <f t="shared" si="3"/>
        <v>MAX80</v>
      </c>
      <c r="M759" s="259" t="b">
        <f t="shared" si="4"/>
        <v>0</v>
      </c>
      <c r="N759" s="258" t="str">
        <f t="shared" si="5"/>
        <v/>
      </c>
      <c r="O759" s="5"/>
      <c r="P759" s="5"/>
      <c r="Q759" s="5"/>
      <c r="R759" s="5"/>
      <c r="S759" s="5"/>
      <c r="T759" s="5"/>
      <c r="U759" s="5"/>
      <c r="V759" s="5"/>
      <c r="W759" s="5"/>
    </row>
    <row r="760">
      <c r="A760" s="112" t="str">
        <f>IF(OR(ISBLANK(RAW_APS!A760),ISBLANK(RAW_APS!B760),ISBLANK(RAW_APS!C760)),TRUE,IFERROR(0/0,""))</f>
        <v/>
      </c>
      <c r="B760" s="252"/>
      <c r="C760" s="112" t="str">
        <f>IF(ISBLANK(B760),IFERROR(0/0,""),RAW_APS!A760)</f>
        <v/>
      </c>
      <c r="D760" s="112" t="str">
        <f>IF(ISBLANK(C760),IFERROR(0/0,""), VLOOKUP(C760,preDEL!A$2:AG786,33,FALSE))</f>
        <v/>
      </c>
      <c r="E760" s="252"/>
      <c r="F760" s="210"/>
      <c r="G760" s="252"/>
      <c r="H760" s="255" t="str">
        <f t="shared" si="1"/>
        <v/>
      </c>
      <c r="I760" s="256" t="str">
        <f>CONCATENATE(UPPER(RAW_APS!$A761),"__",RAW_APS!$B761,"_",RAW_APS!$C761)</f>
        <v>MA1043__44547_0.341782407407407</v>
      </c>
      <c r="J760" s="257" t="b">
        <f t="shared" si="2"/>
        <v>1</v>
      </c>
      <c r="K760" s="252" t="s">
        <v>2133</v>
      </c>
      <c r="L760" s="258" t="str">
        <f t="shared" si="3"/>
        <v>MAX81</v>
      </c>
      <c r="M760" s="259" t="b">
        <f t="shared" si="4"/>
        <v>0</v>
      </c>
      <c r="N760" s="258" t="str">
        <f t="shared" si="5"/>
        <v/>
      </c>
      <c r="O760" s="5"/>
      <c r="P760" s="5"/>
      <c r="Q760" s="5"/>
      <c r="R760" s="5"/>
      <c r="S760" s="5"/>
      <c r="T760" s="5"/>
      <c r="U760" s="5"/>
      <c r="V760" s="5"/>
      <c r="W760" s="5"/>
    </row>
    <row r="761">
      <c r="A761" s="112" t="str">
        <f>IF(OR(ISBLANK(RAW_APS!A761),ISBLANK(RAW_APS!B761),ISBLANK(RAW_APS!C761)),TRUE,IFERROR(0/0,""))</f>
        <v/>
      </c>
      <c r="B761" s="252"/>
      <c r="C761" s="112" t="str">
        <f>IF(ISBLANK(B761),IFERROR(0/0,""),RAW_APS!A761)</f>
        <v/>
      </c>
      <c r="D761" s="112" t="str">
        <f>IF(ISBLANK(C761),IFERROR(0/0,""), VLOOKUP(C761,preDEL!A$2:AG786,33,FALSE))</f>
        <v/>
      </c>
      <c r="E761" s="252"/>
      <c r="F761" s="210"/>
      <c r="G761" s="252"/>
      <c r="H761" s="255" t="str">
        <f t="shared" si="1"/>
        <v/>
      </c>
      <c r="I761" s="256" t="str">
        <f>CONCATENATE(UPPER(RAW_APS!$A762),"__",RAW_APS!$B762,"_",RAW_APS!$C762)</f>
        <v>MA460__44545_0.700717592592593</v>
      </c>
      <c r="J761" s="257" t="b">
        <f t="shared" si="2"/>
        <v>1</v>
      </c>
      <c r="K761" s="252" t="s">
        <v>2135</v>
      </c>
      <c r="L761" s="258" t="str">
        <f t="shared" si="3"/>
        <v>MAX82</v>
      </c>
      <c r="M761" s="259" t="b">
        <f t="shared" si="4"/>
        <v>0</v>
      </c>
      <c r="N761" s="258" t="str">
        <f t="shared" si="5"/>
        <v/>
      </c>
      <c r="O761" s="5"/>
      <c r="P761" s="5"/>
      <c r="Q761" s="5"/>
      <c r="R761" s="5"/>
      <c r="S761" s="5"/>
      <c r="T761" s="5"/>
      <c r="U761" s="5"/>
      <c r="V761" s="5"/>
      <c r="W761" s="5"/>
    </row>
    <row r="762">
      <c r="A762" s="112" t="str">
        <f>IF(OR(ISBLANK(RAW_APS!A762),ISBLANK(RAW_APS!B762),ISBLANK(RAW_APS!C762)),TRUE,IFERROR(0/0,""))</f>
        <v/>
      </c>
      <c r="B762" s="252"/>
      <c r="C762" s="112" t="str">
        <f>IF(ISBLANK(B762),IFERROR(0/0,""),RAW_APS!A762)</f>
        <v/>
      </c>
      <c r="D762" s="112" t="str">
        <f>IF(ISBLANK(C762),IFERROR(0/0,""), VLOOKUP(C762,preDEL!A$2:AG786,33,FALSE))</f>
        <v/>
      </c>
      <c r="E762" s="252"/>
      <c r="F762" s="210"/>
      <c r="G762" s="252"/>
      <c r="H762" s="255" t="str">
        <f t="shared" si="1"/>
        <v/>
      </c>
      <c r="I762" s="256" t="str">
        <f>CONCATENATE(UPPER(RAW_APS!$A763),"__",RAW_APS!$B763,"_",RAW_APS!$C763)</f>
        <v>MA1155__44545_0.668680555555556</v>
      </c>
      <c r="J762" s="257" t="str">
        <f t="shared" si="2"/>
        <v/>
      </c>
      <c r="K762" s="252" t="s">
        <v>2137</v>
      </c>
      <c r="L762" s="258" t="str">
        <f t="shared" si="3"/>
        <v>MAX84</v>
      </c>
      <c r="M762" s="259" t="b">
        <f t="shared" si="4"/>
        <v>0</v>
      </c>
      <c r="N762" s="258" t="str">
        <f t="shared" si="5"/>
        <v/>
      </c>
      <c r="O762" s="5"/>
      <c r="P762" s="5"/>
      <c r="Q762" s="5"/>
      <c r="R762" s="5"/>
      <c r="S762" s="5"/>
      <c r="T762" s="5"/>
      <c r="U762" s="5"/>
      <c r="V762" s="5"/>
      <c r="W762" s="5"/>
    </row>
    <row r="763">
      <c r="A763" s="112" t="str">
        <f>IF(OR(ISBLANK(RAW_APS!A763),ISBLANK(RAW_APS!B763),ISBLANK(RAW_APS!C763)),TRUE,IFERROR(0/0,""))</f>
        <v/>
      </c>
      <c r="B763" s="252"/>
      <c r="C763" s="112" t="str">
        <f>IF(ISBLANK(B763),IFERROR(0/0,""),RAW_APS!A763)</f>
        <v/>
      </c>
      <c r="D763" s="112" t="str">
        <f>IF(ISBLANK(C763),IFERROR(0/0,""), VLOOKUP(C763,preDEL!A$2:AG786,33,FALSE))</f>
        <v/>
      </c>
      <c r="E763" s="252"/>
      <c r="F763" s="210"/>
      <c r="G763" s="252"/>
      <c r="H763" s="255" t="str">
        <f t="shared" si="1"/>
        <v/>
      </c>
      <c r="I763" s="256" t="str">
        <f>CONCATENATE(UPPER(RAW_APS!$A764),"__",RAW_APS!$B764,"_",RAW_APS!$C764)</f>
        <v>MA460__44545_0.613194444444445</v>
      </c>
      <c r="J763" s="257" t="b">
        <f t="shared" si="2"/>
        <v>1</v>
      </c>
      <c r="K763" s="252" t="s">
        <v>2139</v>
      </c>
      <c r="L763" s="258" t="str">
        <f t="shared" si="3"/>
        <v>MAX85</v>
      </c>
      <c r="M763" s="259" t="b">
        <f t="shared" si="4"/>
        <v>0</v>
      </c>
      <c r="N763" s="258" t="str">
        <f t="shared" si="5"/>
        <v/>
      </c>
      <c r="O763" s="5"/>
      <c r="P763" s="5"/>
      <c r="Q763" s="5"/>
      <c r="R763" s="5"/>
      <c r="S763" s="5"/>
      <c r="T763" s="5"/>
      <c r="U763" s="5"/>
      <c r="V763" s="5"/>
      <c r="W763" s="5"/>
    </row>
    <row r="764">
      <c r="A764" s="112" t="str">
        <f>IF(OR(ISBLANK(RAW_APS!A764),ISBLANK(RAW_APS!B764),ISBLANK(RAW_APS!C764)),TRUE,IFERROR(0/0,""))</f>
        <v/>
      </c>
      <c r="B764" s="252"/>
      <c r="C764" s="112" t="str">
        <f>IF(ISBLANK(B764),IFERROR(0/0,""),RAW_APS!A764)</f>
        <v/>
      </c>
      <c r="D764" s="112" t="str">
        <f>IF(ISBLANK(C764),IFERROR(0/0,""), VLOOKUP(C764,preDEL!A$2:AG786,33,FALSE))</f>
        <v/>
      </c>
      <c r="E764" s="252"/>
      <c r="F764" s="210"/>
      <c r="G764" s="252"/>
      <c r="H764" s="255" t="str">
        <f t="shared" si="1"/>
        <v/>
      </c>
      <c r="I764" s="256" t="str">
        <f>CONCATENATE(UPPER(RAW_APS!$A765),"__",RAW_APS!$B765,"_",RAW_APS!$C765)</f>
        <v>MA327__44545_0.586215277777778</v>
      </c>
      <c r="J764" s="257" t="str">
        <f t="shared" si="2"/>
        <v/>
      </c>
      <c r="K764" s="252" t="s">
        <v>2141</v>
      </c>
      <c r="L764" s="258" t="str">
        <f t="shared" si="3"/>
        <v>MAX88</v>
      </c>
      <c r="M764" s="259" t="b">
        <f t="shared" si="4"/>
        <v>0</v>
      </c>
      <c r="N764" s="258" t="str">
        <f t="shared" si="5"/>
        <v/>
      </c>
      <c r="O764" s="5"/>
      <c r="P764" s="5"/>
      <c r="Q764" s="5"/>
      <c r="R764" s="5"/>
      <c r="S764" s="5"/>
      <c r="T764" s="5"/>
      <c r="U764" s="5"/>
      <c r="V764" s="5"/>
      <c r="W764" s="5"/>
    </row>
    <row r="765">
      <c r="A765" s="112" t="str">
        <f>IF(OR(ISBLANK(RAW_APS!A765),ISBLANK(RAW_APS!B765),ISBLANK(RAW_APS!C765)),TRUE,IFERROR(0/0,""))</f>
        <v/>
      </c>
      <c r="B765" s="252"/>
      <c r="C765" s="112" t="str">
        <f>IF(ISBLANK(B765),IFERROR(0/0,""),RAW_APS!A765)</f>
        <v/>
      </c>
      <c r="D765" s="112" t="str">
        <f>IF(ISBLANK(C765),IFERROR(0/0,""), VLOOKUP(C765,preDEL!A$2:AG786,33,FALSE))</f>
        <v/>
      </c>
      <c r="E765" s="252"/>
      <c r="F765" s="210"/>
      <c r="G765" s="252"/>
      <c r="H765" s="255" t="str">
        <f t="shared" si="1"/>
        <v/>
      </c>
      <c r="I765" s="256" t="str">
        <f>CONCATENATE(UPPER(RAW_APS!$A766),"__",RAW_APS!$B766,"_",RAW_APS!$C766)</f>
        <v>MA1255__44545_0.574976851851852</v>
      </c>
      <c r="J765" s="257" t="str">
        <f t="shared" si="2"/>
        <v/>
      </c>
      <c r="K765" s="252" t="s">
        <v>2143</v>
      </c>
      <c r="L765" s="258" t="str">
        <f t="shared" si="3"/>
        <v>MAX89</v>
      </c>
      <c r="M765" s="259" t="b">
        <f t="shared" si="4"/>
        <v>0</v>
      </c>
      <c r="N765" s="258" t="str">
        <f t="shared" si="5"/>
        <v/>
      </c>
      <c r="O765" s="5"/>
      <c r="P765" s="5"/>
      <c r="Q765" s="5"/>
      <c r="R765" s="5"/>
      <c r="S765" s="5"/>
      <c r="T765" s="5"/>
      <c r="U765" s="5"/>
      <c r="V765" s="5"/>
      <c r="W765" s="5"/>
    </row>
    <row r="766">
      <c r="A766" s="112" t="str">
        <f>IF(OR(ISBLANK(RAW_APS!A766),ISBLANK(RAW_APS!B766),ISBLANK(RAW_APS!C766)),TRUE,IFERROR(0/0,""))</f>
        <v/>
      </c>
      <c r="B766" s="252"/>
      <c r="C766" s="112" t="str">
        <f>IF(ISBLANK(B766),IFERROR(0/0,""),RAW_APS!A766)</f>
        <v/>
      </c>
      <c r="D766" s="112" t="str">
        <f>IF(ISBLANK(C766),IFERROR(0/0,""), VLOOKUP(C766,preDEL!A$2:AG786,33,FALSE))</f>
        <v/>
      </c>
      <c r="E766" s="252"/>
      <c r="F766" s="210"/>
      <c r="G766" s="252"/>
      <c r="H766" s="255" t="str">
        <f t="shared" si="1"/>
        <v/>
      </c>
      <c r="I766" s="256" t="str">
        <f>CONCATENATE(UPPER(RAW_APS!$A767),"__",RAW_APS!$B767,"_",RAW_APS!$C767)</f>
        <v>MAX63__44543_0.604074074074074</v>
      </c>
      <c r="J766" s="257" t="str">
        <f t="shared" si="2"/>
        <v/>
      </c>
      <c r="K766" s="252" t="s">
        <v>2145</v>
      </c>
      <c r="L766" s="258" t="str">
        <f t="shared" si="3"/>
        <v>MAX90</v>
      </c>
      <c r="M766" s="259" t="b">
        <f t="shared" si="4"/>
        <v>0</v>
      </c>
      <c r="N766" s="258" t="str">
        <f t="shared" si="5"/>
        <v/>
      </c>
      <c r="O766" s="5"/>
      <c r="P766" s="5"/>
      <c r="Q766" s="5"/>
      <c r="R766" s="5"/>
      <c r="S766" s="5"/>
      <c r="T766" s="5"/>
      <c r="U766" s="5"/>
      <c r="V766" s="5"/>
      <c r="W766" s="5"/>
    </row>
    <row r="767">
      <c r="A767" s="112" t="str">
        <f>IF(OR(ISBLANK(RAW_APS!A767),ISBLANK(RAW_APS!B767),ISBLANK(RAW_APS!C767)),TRUE,IFERROR(0/0,""))</f>
        <v/>
      </c>
      <c r="B767" s="252"/>
      <c r="C767" s="112" t="str">
        <f>IF(ISBLANK(B767),IFERROR(0/0,""),RAW_APS!A767)</f>
        <v/>
      </c>
      <c r="D767" s="112" t="str">
        <f>IF(ISBLANK(C767),IFERROR(0/0,""), VLOOKUP(C767,preDEL!A$2:AG786,33,FALSE))</f>
        <v/>
      </c>
      <c r="E767" s="252"/>
      <c r="F767" s="210"/>
      <c r="G767" s="252"/>
      <c r="H767" s="255" t="str">
        <f t="shared" si="1"/>
        <v/>
      </c>
      <c r="I767" s="256" t="str">
        <f>CONCATENATE(UPPER(RAW_APS!$A768),"__",RAW_APS!$B768,"_",RAW_APS!$C768)</f>
        <v>MAX28__44543_0.598402777777778</v>
      </c>
      <c r="J767" s="257" t="str">
        <f t="shared" si="2"/>
        <v/>
      </c>
      <c r="K767" s="252" t="s">
        <v>2147</v>
      </c>
      <c r="L767" s="258" t="str">
        <f t="shared" si="3"/>
        <v>MAX92</v>
      </c>
      <c r="M767" s="259" t="b">
        <f t="shared" si="4"/>
        <v>0</v>
      </c>
      <c r="N767" s="258" t="str">
        <f t="shared" si="5"/>
        <v/>
      </c>
      <c r="O767" s="5"/>
      <c r="P767" s="5"/>
      <c r="Q767" s="5"/>
      <c r="R767" s="5"/>
      <c r="S767" s="5"/>
      <c r="T767" s="5"/>
      <c r="U767" s="5"/>
      <c r="V767" s="5"/>
      <c r="W767" s="5"/>
    </row>
    <row r="768">
      <c r="A768" s="112" t="str">
        <f>IF(OR(ISBLANK(RAW_APS!A768),ISBLANK(RAW_APS!B768),ISBLANK(RAW_APS!C768)),TRUE,IFERROR(0/0,""))</f>
        <v/>
      </c>
      <c r="B768" s="252"/>
      <c r="C768" s="112" t="str">
        <f>IF(ISBLANK(B768),IFERROR(0/0,""),RAW_APS!A768)</f>
        <v/>
      </c>
      <c r="D768" s="112" t="str">
        <f>IF(ISBLANK(C768),IFERROR(0/0,""), VLOOKUP(C768,preDEL!A$2:AG786,33,FALSE))</f>
        <v/>
      </c>
      <c r="E768" s="252"/>
      <c r="F768" s="210"/>
      <c r="G768" s="252"/>
      <c r="H768" s="255" t="str">
        <f t="shared" si="1"/>
        <v/>
      </c>
      <c r="I768" s="256" t="str">
        <f>CONCATENATE(UPPER(RAW_APS!$A769),"__",RAW_APS!$B769,"_",RAW_APS!$C769)</f>
        <v>MAX94__44543_0.596747685185185</v>
      </c>
      <c r="J768" s="257" t="str">
        <f t="shared" si="2"/>
        <v/>
      </c>
      <c r="K768" s="252" t="s">
        <v>2149</v>
      </c>
      <c r="L768" s="258" t="str">
        <f t="shared" si="3"/>
        <v>MAX93</v>
      </c>
      <c r="M768" s="259" t="b">
        <f t="shared" si="4"/>
        <v>0</v>
      </c>
      <c r="N768" s="258" t="str">
        <f t="shared" si="5"/>
        <v/>
      </c>
      <c r="O768" s="5"/>
      <c r="P768" s="5"/>
      <c r="Q768" s="5"/>
      <c r="R768" s="5"/>
      <c r="S768" s="5"/>
      <c r="T768" s="5"/>
      <c r="U768" s="5"/>
      <c r="V768" s="5"/>
      <c r="W768" s="5"/>
    </row>
    <row r="769">
      <c r="A769" s="112" t="str">
        <f>IF(OR(ISBLANK(RAW_APS!A769),ISBLANK(RAW_APS!B769),ISBLANK(RAW_APS!C769)),TRUE,IFERROR(0/0,""))</f>
        <v/>
      </c>
      <c r="B769" s="252"/>
      <c r="C769" s="112" t="str">
        <f>IF(ISBLANK(B769),IFERROR(0/0,""),RAW_APS!A769)</f>
        <v/>
      </c>
      <c r="D769" s="112" t="str">
        <f>IF(ISBLANK(C769),IFERROR(0/0,""), VLOOKUP(C769,preDEL!A$2:AG786,33,FALSE))</f>
        <v/>
      </c>
      <c r="E769" s="252"/>
      <c r="F769" s="210"/>
      <c r="G769" s="252"/>
      <c r="H769" s="255" t="str">
        <f t="shared" si="1"/>
        <v/>
      </c>
      <c r="I769" s="256" t="str">
        <f>CONCATENATE(UPPER(RAW_APS!$A770),"__",RAW_APS!$B770,"_",RAW_APS!$C770)</f>
        <v>MAX122__44543_0.593171296296296</v>
      </c>
      <c r="J769" s="257" t="str">
        <f t="shared" si="2"/>
        <v/>
      </c>
      <c r="K769" s="252" t="s">
        <v>2151</v>
      </c>
      <c r="L769" s="258" t="str">
        <f t="shared" si="3"/>
        <v>MAX94</v>
      </c>
      <c r="M769" s="259" t="b">
        <f t="shared" si="4"/>
        <v>0</v>
      </c>
      <c r="N769" s="258" t="str">
        <f t="shared" si="5"/>
        <v/>
      </c>
      <c r="O769" s="5"/>
      <c r="P769" s="5"/>
      <c r="Q769" s="5"/>
      <c r="R769" s="5"/>
      <c r="S769" s="5"/>
      <c r="T769" s="5"/>
      <c r="U769" s="5"/>
      <c r="V769" s="5"/>
      <c r="W769" s="5"/>
    </row>
    <row r="770">
      <c r="A770" s="112" t="str">
        <f>IF(OR(ISBLANK(RAW_APS!A770),ISBLANK(RAW_APS!B770),ISBLANK(RAW_APS!C770)),TRUE,IFERROR(0/0,""))</f>
        <v/>
      </c>
      <c r="B770" s="252"/>
      <c r="C770" s="112" t="str">
        <f>IF(ISBLANK(B770),IFERROR(0/0,""),RAW_APS!A770)</f>
        <v/>
      </c>
      <c r="D770" s="112" t="str">
        <f>IF(ISBLANK(C770),IFERROR(0/0,""), VLOOKUP(C770,preDEL!A$2:AG786,33,FALSE))</f>
        <v/>
      </c>
      <c r="E770" s="252"/>
      <c r="F770" s="210"/>
      <c r="G770" s="252"/>
      <c r="H770" s="255" t="str">
        <f t="shared" si="1"/>
        <v/>
      </c>
      <c r="I770" s="256" t="str">
        <f>CONCATENATE(UPPER(RAW_APS!$A771),"__",RAW_APS!$B771,"_",RAW_APS!$C771)</f>
        <v>MAX113__44543_0.563020833333333</v>
      </c>
      <c r="J770" s="257" t="str">
        <f t="shared" si="2"/>
        <v/>
      </c>
      <c r="K770" s="252" t="s">
        <v>2153</v>
      </c>
      <c r="L770" s="258" t="str">
        <f t="shared" si="3"/>
        <v>MAX95</v>
      </c>
      <c r="M770" s="259" t="b">
        <f t="shared" si="4"/>
        <v>0</v>
      </c>
      <c r="N770" s="258" t="str">
        <f t="shared" si="5"/>
        <v/>
      </c>
      <c r="O770" s="5"/>
      <c r="P770" s="5"/>
      <c r="Q770" s="5"/>
      <c r="R770" s="5"/>
      <c r="S770" s="5"/>
      <c r="T770" s="5"/>
      <c r="U770" s="5"/>
      <c r="V770" s="5"/>
      <c r="W770" s="5"/>
    </row>
    <row r="771">
      <c r="A771" s="112" t="str">
        <f>IF(OR(ISBLANK(RAW_APS!A771),ISBLANK(RAW_APS!B771),ISBLANK(RAW_APS!C771)),TRUE,IFERROR(0/0,""))</f>
        <v/>
      </c>
      <c r="B771" s="252"/>
      <c r="C771" s="112" t="str">
        <f>IF(ISBLANK(B771),IFERROR(0/0,""),RAW_APS!A771)</f>
        <v/>
      </c>
      <c r="D771" s="112" t="str">
        <f>IF(ISBLANK(C771),IFERROR(0/0,""), VLOOKUP(C771,preDEL!A$2:AG786,33,FALSE))</f>
        <v/>
      </c>
      <c r="E771" s="252"/>
      <c r="F771" s="210"/>
      <c r="G771" s="252"/>
      <c r="H771" s="255" t="str">
        <f t="shared" si="1"/>
        <v/>
      </c>
      <c r="I771" s="256" t="str">
        <f>CONCATENATE(UPPER(RAW_APS!$A772),"__",RAW_APS!$B772,"_",RAW_APS!$C772)</f>
        <v>MAX111__44543_0.562916666666667</v>
      </c>
      <c r="J771" s="257" t="str">
        <f t="shared" si="2"/>
        <v/>
      </c>
      <c r="K771" s="252" t="s">
        <v>2155</v>
      </c>
      <c r="L771" s="258" t="str">
        <f t="shared" si="3"/>
        <v>MAX97</v>
      </c>
      <c r="M771" s="259" t="b">
        <f t="shared" si="4"/>
        <v>0</v>
      </c>
      <c r="N771" s="258" t="str">
        <f t="shared" si="5"/>
        <v/>
      </c>
      <c r="O771" s="5"/>
      <c r="P771" s="5"/>
      <c r="Q771" s="5"/>
      <c r="R771" s="5"/>
      <c r="S771" s="5"/>
      <c r="T771" s="5"/>
      <c r="U771" s="5"/>
      <c r="V771" s="5"/>
      <c r="W771" s="5"/>
    </row>
    <row r="772">
      <c r="A772" s="112" t="str">
        <f>IF(OR(ISBLANK(RAW_APS!A772),ISBLANK(RAW_APS!B772),ISBLANK(RAW_APS!C772)),TRUE,IFERROR(0/0,""))</f>
        <v/>
      </c>
      <c r="B772" s="252"/>
      <c r="C772" s="112" t="str">
        <f>IF(ISBLANK(B772),IFERROR(0/0,""),RAW_APS!A772)</f>
        <v/>
      </c>
      <c r="D772" s="112" t="str">
        <f>IF(ISBLANK(C772),IFERROR(0/0,""), VLOOKUP(C772,preDEL!A$2:AG786,33,FALSE))</f>
        <v/>
      </c>
      <c r="E772" s="252"/>
      <c r="F772" s="210"/>
      <c r="G772" s="252"/>
      <c r="H772" s="255" t="str">
        <f t="shared" si="1"/>
        <v/>
      </c>
      <c r="I772" s="256" t="str">
        <f>CONCATENATE(UPPER(RAW_APS!$A773),"__",RAW_APS!$B773,"_",RAW_APS!$C773)</f>
        <v>MAX70__44543_0.492407407407407</v>
      </c>
      <c r="J772" s="257" t="str">
        <f t="shared" si="2"/>
        <v/>
      </c>
      <c r="K772" s="252" t="s">
        <v>2157</v>
      </c>
      <c r="L772" s="258" t="str">
        <f t="shared" si="3"/>
        <v>MAX98</v>
      </c>
      <c r="M772" s="259" t="b">
        <f t="shared" si="4"/>
        <v>0</v>
      </c>
      <c r="N772" s="258" t="str">
        <f t="shared" si="5"/>
        <v/>
      </c>
      <c r="O772" s="5"/>
      <c r="P772" s="5"/>
      <c r="Q772" s="5"/>
      <c r="R772" s="5"/>
      <c r="S772" s="5"/>
      <c r="T772" s="5"/>
      <c r="U772" s="5"/>
      <c r="V772" s="5"/>
      <c r="W772" s="5"/>
    </row>
    <row r="773">
      <c r="A773" s="112" t="str">
        <f>IF(OR(ISBLANK(RAW_APS!A773),ISBLANK(RAW_APS!B773),ISBLANK(RAW_APS!C773)),TRUE,IFERROR(0/0,""))</f>
        <v/>
      </c>
      <c r="B773" s="252"/>
      <c r="C773" s="112" t="str">
        <f>IF(ISBLANK(B773),IFERROR(0/0,""),RAW_APS!A773)</f>
        <v/>
      </c>
      <c r="D773" s="112" t="str">
        <f>IF(ISBLANK(C773),IFERROR(0/0,""), VLOOKUP(C773,preDEL!A$2:AG786,33,FALSE))</f>
        <v/>
      </c>
      <c r="E773" s="252"/>
      <c r="F773" s="210"/>
      <c r="G773" s="252"/>
      <c r="H773" s="255" t="str">
        <f t="shared" si="1"/>
        <v/>
      </c>
      <c r="I773" s="256" t="str">
        <f>CONCATENATE(UPPER(RAW_APS!$A774),"__",RAW_APS!$B774,"_",RAW_APS!$C774)</f>
        <v>MAX133__44543_0.491805555555556</v>
      </c>
      <c r="J773" s="257" t="str">
        <f t="shared" si="2"/>
        <v/>
      </c>
      <c r="K773" s="252" t="s">
        <v>2159</v>
      </c>
      <c r="L773" s="258" t="str">
        <f t="shared" si="3"/>
        <v>MN3330</v>
      </c>
      <c r="M773" s="259" t="b">
        <f t="shared" si="4"/>
        <v>0</v>
      </c>
      <c r="N773" s="258" t="str">
        <f t="shared" si="5"/>
        <v/>
      </c>
      <c r="O773" s="5"/>
      <c r="P773" s="5"/>
      <c r="Q773" s="5"/>
      <c r="R773" s="5"/>
      <c r="S773" s="5"/>
      <c r="T773" s="5"/>
      <c r="U773" s="5"/>
      <c r="V773" s="5"/>
      <c r="W773" s="5"/>
    </row>
    <row r="774">
      <c r="A774" s="112" t="str">
        <f>IF(OR(ISBLANK(RAW_APS!A774),ISBLANK(RAW_APS!B774),ISBLANK(RAW_APS!C774)),TRUE,IFERROR(0/0,""))</f>
        <v/>
      </c>
      <c r="B774" s="252"/>
      <c r="C774" s="112" t="str">
        <f>IF(ISBLANK(B774),IFERROR(0/0,""),RAW_APS!A774)</f>
        <v/>
      </c>
      <c r="D774" s="112" t="str">
        <f>IF(ISBLANK(C774),IFERROR(0/0,""), VLOOKUP(C774,preDEL!A$2:AG786,33,FALSE))</f>
        <v/>
      </c>
      <c r="E774" s="252"/>
      <c r="F774" s="210"/>
      <c r="G774" s="252"/>
      <c r="H774" s="255" t="str">
        <f t="shared" si="1"/>
        <v/>
      </c>
      <c r="I774" s="256" t="str">
        <f>CONCATENATE(UPPER(RAW_APS!$A775),"__",RAW_APS!$B775,"_",RAW_APS!$C775)</f>
        <v>TEST5__44540_0.380462962962963</v>
      </c>
      <c r="J774" s="257" t="str">
        <f t="shared" si="2"/>
        <v/>
      </c>
      <c r="K774" s="252" t="s">
        <v>2539</v>
      </c>
      <c r="L774" s="258" t="str">
        <f t="shared" si="3"/>
        <v>TEST12</v>
      </c>
      <c r="M774" s="259" t="b">
        <f t="shared" si="4"/>
        <v>0</v>
      </c>
      <c r="N774" s="258" t="str">
        <f t="shared" si="5"/>
        <v/>
      </c>
      <c r="O774" s="5"/>
      <c r="P774" s="5"/>
      <c r="Q774" s="5"/>
      <c r="R774" s="5"/>
      <c r="S774" s="5"/>
      <c r="T774" s="5"/>
      <c r="U774" s="5"/>
      <c r="V774" s="5"/>
      <c r="W774" s="5"/>
    </row>
    <row r="775">
      <c r="A775" s="112" t="str">
        <f>IF(OR(ISBLANK(RAW_APS!A775),ISBLANK(RAW_APS!B775),ISBLANK(RAW_APS!C775)),TRUE,IFERROR(0/0,""))</f>
        <v/>
      </c>
      <c r="B775" s="252"/>
      <c r="C775" s="112" t="str">
        <f>IF(ISBLANK(B775),IFERROR(0/0,""),RAW_APS!A775)</f>
        <v/>
      </c>
      <c r="D775" s="112" t="str">
        <f>IF(ISBLANK(C775),IFERROR(0/0,""), VLOOKUP(C775,preDEL!A$2:AG786,33,FALSE))</f>
        <v/>
      </c>
      <c r="E775" s="252"/>
      <c r="F775" s="210"/>
      <c r="G775" s="252"/>
      <c r="H775" s="255" t="str">
        <f t="shared" si="1"/>
        <v/>
      </c>
      <c r="I775" s="256" t="str">
        <f>CONCATENATE(UPPER(RAW_APS!$A776),"__",RAW_APS!$B776,"_",RAW_APS!$C776)</f>
        <v>TEST4__44540_0.379872685185185</v>
      </c>
      <c r="J775" s="257" t="str">
        <f t="shared" si="2"/>
        <v/>
      </c>
      <c r="K775" s="252" t="s">
        <v>2540</v>
      </c>
      <c r="L775" s="258" t="str">
        <f t="shared" si="3"/>
        <v>TEST2</v>
      </c>
      <c r="M775" s="259" t="b">
        <f t="shared" si="4"/>
        <v>0</v>
      </c>
      <c r="N775" s="258" t="str">
        <f t="shared" si="5"/>
        <v/>
      </c>
      <c r="O775" s="5"/>
      <c r="P775" s="5"/>
      <c r="Q775" s="5"/>
      <c r="R775" s="5"/>
      <c r="S775" s="5"/>
      <c r="T775" s="5"/>
      <c r="U775" s="5"/>
      <c r="V775" s="5"/>
      <c r="W775" s="5"/>
    </row>
    <row r="776">
      <c r="A776" s="112" t="str">
        <f>IF(OR(ISBLANK(RAW_APS!A776),ISBLANK(RAW_APS!B776),ISBLANK(RAW_APS!C776)),TRUE,IFERROR(0/0,""))</f>
        <v/>
      </c>
      <c r="B776" s="252"/>
      <c r="C776" s="112" t="str">
        <f>IF(ISBLANK(B776),IFERROR(0/0,""),RAW_APS!A776)</f>
        <v/>
      </c>
      <c r="D776" s="112" t="str">
        <f>IF(ISBLANK(C776),IFERROR(0/0,""), VLOOKUP(C776,preDEL!A$2:AG786,33,FALSE))</f>
        <v/>
      </c>
      <c r="E776" s="252"/>
      <c r="F776" s="210"/>
      <c r="G776" s="252"/>
      <c r="H776" s="255" t="str">
        <f t="shared" si="1"/>
        <v/>
      </c>
      <c r="I776" s="256" t="str">
        <f>CONCATENATE(UPPER(RAW_APS!$A777),"__",RAW_APS!$B777,"_",RAW_APS!$C777)</f>
        <v>TEST3__44540_0.379351851851852</v>
      </c>
      <c r="J776" s="257" t="str">
        <f t="shared" si="2"/>
        <v/>
      </c>
      <c r="K776" s="252" t="s">
        <v>2541</v>
      </c>
      <c r="L776" s="258" t="str">
        <f t="shared" si="3"/>
        <v>TEST3</v>
      </c>
      <c r="M776" s="259" t="b">
        <f t="shared" si="4"/>
        <v>0</v>
      </c>
      <c r="N776" s="258" t="str">
        <f t="shared" si="5"/>
        <v/>
      </c>
      <c r="O776" s="5"/>
      <c r="P776" s="5"/>
      <c r="Q776" s="5"/>
      <c r="R776" s="5"/>
      <c r="S776" s="5"/>
      <c r="T776" s="5"/>
      <c r="U776" s="5"/>
      <c r="V776" s="5"/>
      <c r="W776" s="5"/>
    </row>
    <row r="777">
      <c r="A777" s="112" t="str">
        <f>IF(OR(ISBLANK(RAW_APS!A777),ISBLANK(RAW_APS!B777),ISBLANK(RAW_APS!C777)),TRUE,IFERROR(0/0,""))</f>
        <v/>
      </c>
      <c r="B777" s="252"/>
      <c r="C777" s="112" t="str">
        <f>IF(ISBLANK(B777),IFERROR(0/0,""),RAW_APS!A777)</f>
        <v/>
      </c>
      <c r="D777" s="112" t="str">
        <f>IF(ISBLANK(C777),IFERROR(0/0,""), VLOOKUP(C777,preDEL!A$2:AG786,33,FALSE))</f>
        <v/>
      </c>
      <c r="E777" s="252"/>
      <c r="F777" s="210"/>
      <c r="G777" s="252"/>
      <c r="H777" s="255" t="str">
        <f t="shared" si="1"/>
        <v/>
      </c>
      <c r="I777" s="256" t="str">
        <f>CONCATENATE(UPPER(RAW_APS!$A778),"__",RAW_APS!$B778,"_",RAW_APS!$C778)</f>
        <v>TEST2__44540_0.379039351851852</v>
      </c>
      <c r="J777" s="257" t="str">
        <f t="shared" si="2"/>
        <v/>
      </c>
      <c r="K777" s="252" t="s">
        <v>2542</v>
      </c>
      <c r="L777" s="258" t="str">
        <f t="shared" si="3"/>
        <v>TEST4</v>
      </c>
      <c r="M777" s="259" t="b">
        <f t="shared" si="4"/>
        <v>0</v>
      </c>
      <c r="N777" s="258" t="str">
        <f t="shared" si="5"/>
        <v/>
      </c>
      <c r="O777" s="5"/>
      <c r="P777" s="5"/>
      <c r="Q777" s="5"/>
      <c r="R777" s="5"/>
      <c r="S777" s="5"/>
      <c r="T777" s="5"/>
      <c r="U777" s="5"/>
      <c r="V777" s="5"/>
      <c r="W777" s="5"/>
    </row>
    <row r="778">
      <c r="A778" s="112" t="str">
        <f>IF(OR(ISBLANK(RAW_APS!A778),ISBLANK(RAW_APS!B778),ISBLANK(RAW_APS!C778)),TRUE,IFERROR(0/0,""))</f>
        <v/>
      </c>
      <c r="B778" s="252"/>
      <c r="C778" s="112" t="str">
        <f>IF(ISBLANK(B778),IFERROR(0/0,""),RAW_APS!A778)</f>
        <v/>
      </c>
      <c r="D778" s="112" t="str">
        <f>IF(ISBLANK(C778),IFERROR(0/0,""), VLOOKUP(C778,preDEL!A$2:AG786,33,FALSE))</f>
        <v/>
      </c>
      <c r="E778" s="252"/>
      <c r="F778" s="210"/>
      <c r="G778" s="252"/>
      <c r="H778" s="255" t="str">
        <f t="shared" si="1"/>
        <v/>
      </c>
      <c r="I778" s="256" t="str">
        <f>CONCATENATE(UPPER(RAW_APS!$A779),"__",RAW_APS!$B779,"_",RAW_APS!$C779)</f>
        <v>MA1025__44540_0.311284722222222</v>
      </c>
      <c r="J778" s="257" t="str">
        <f t="shared" si="2"/>
        <v/>
      </c>
      <c r="K778" s="252" t="s">
        <v>2543</v>
      </c>
      <c r="L778" s="258" t="str">
        <f t="shared" si="3"/>
        <v>TEST5</v>
      </c>
      <c r="M778" s="259" t="b">
        <f t="shared" si="4"/>
        <v>0</v>
      </c>
      <c r="N778" s="258" t="str">
        <f t="shared" si="5"/>
        <v/>
      </c>
      <c r="O778" s="5"/>
      <c r="P778" s="5"/>
      <c r="Q778" s="5"/>
      <c r="R778" s="5"/>
      <c r="S778" s="5"/>
      <c r="T778" s="5"/>
      <c r="U778" s="5"/>
      <c r="V778" s="5"/>
      <c r="W778" s="5"/>
    </row>
    <row r="779">
      <c r="A779" s="112" t="str">
        <f>IF(OR(ISBLANK(RAW_APS!A779),ISBLANK(RAW_APS!B779),ISBLANK(RAW_APS!C779)),TRUE,IFERROR(0/0,""))</f>
        <v/>
      </c>
      <c r="B779" s="252"/>
      <c r="C779" s="112" t="str">
        <f>IF(ISBLANK(B779),IFERROR(0/0,""),RAW_APS!A779)</f>
        <v/>
      </c>
      <c r="D779" s="112" t="str">
        <f>IF(ISBLANK(C779),IFERROR(0/0,""), VLOOKUP(C779,preDEL!A$2:AG786,33,FALSE))</f>
        <v/>
      </c>
      <c r="E779" s="252"/>
      <c r="F779" s="210"/>
      <c r="G779" s="252"/>
      <c r="H779" s="255" t="str">
        <f t="shared" si="1"/>
        <v/>
      </c>
      <c r="I779" s="256" t="str">
        <f>CONCATENATE(UPPER(RAW_APS!$A780),"__",RAW_APS!$B780,"_",RAW_APS!$C780)</f>
        <v>MAX64__44540_0.301053240740741</v>
      </c>
      <c r="J779" s="257" t="str">
        <f t="shared" si="2"/>
        <v/>
      </c>
      <c r="K779" s="252" t="s">
        <v>2544</v>
      </c>
      <c r="L779" s="258" t="str">
        <f t="shared" si="3"/>
        <v>TESTN</v>
      </c>
      <c r="M779" s="259" t="b">
        <f t="shared" si="4"/>
        <v>0</v>
      </c>
      <c r="N779" s="258" t="str">
        <f t="shared" si="5"/>
        <v/>
      </c>
      <c r="O779" s="5"/>
      <c r="P779" s="5"/>
      <c r="Q779" s="5"/>
      <c r="R779" s="5"/>
      <c r="S779" s="5"/>
      <c r="T779" s="5"/>
      <c r="U779" s="5"/>
      <c r="V779" s="5"/>
      <c r="W779" s="5"/>
    </row>
    <row r="780">
      <c r="A780" s="112" t="str">
        <f>IF(OR(ISBLANK(RAW_APS!A780),ISBLANK(RAW_APS!B780),ISBLANK(RAW_APS!C780)),TRUE,IFERROR(0/0,""))</f>
        <v/>
      </c>
      <c r="B780" s="252"/>
      <c r="C780" s="112" t="str">
        <f>IF(ISBLANK(B780),IFERROR(0/0,""),RAW_APS!A780)</f>
        <v/>
      </c>
      <c r="D780" s="112" t="str">
        <f>IF(ISBLANK(C780),IFERROR(0/0,""), VLOOKUP(C780,preDEL!A$2:AG786,33,FALSE))</f>
        <v/>
      </c>
      <c r="E780" s="252"/>
      <c r="F780" s="210"/>
      <c r="G780" s="252"/>
      <c r="H780" s="255" t="str">
        <f t="shared" si="1"/>
        <v/>
      </c>
      <c r="I780" s="256" t="str">
        <f>CONCATENATE(UPPER(RAW_APS!$A781),"__",RAW_APS!$B781,"_",RAW_APS!$C781)</f>
        <v>MAX79__44540_0.300543981481482</v>
      </c>
      <c r="J780" s="257" t="str">
        <f t="shared" si="2"/>
        <v/>
      </c>
      <c r="K780" s="5"/>
      <c r="L780" s="258" t="str">
        <f t="shared" si="3"/>
        <v/>
      </c>
      <c r="M780" s="259" t="b">
        <f t="shared" si="4"/>
        <v>1</v>
      </c>
      <c r="N780" s="258" t="str">
        <f t="shared" si="5"/>
        <v/>
      </c>
      <c r="O780" s="5"/>
      <c r="P780" s="5"/>
      <c r="Q780" s="5"/>
      <c r="R780" s="5"/>
      <c r="S780" s="5"/>
      <c r="T780" s="5"/>
      <c r="U780" s="5"/>
      <c r="V780" s="5"/>
      <c r="W780" s="5"/>
    </row>
    <row r="781">
      <c r="A781" s="112" t="str">
        <f>IF(OR(ISBLANK(RAW_APS!A781),ISBLANK(RAW_APS!B781),ISBLANK(RAW_APS!C781)),TRUE,IFERROR(0/0,""))</f>
        <v/>
      </c>
      <c r="B781" s="252"/>
      <c r="C781" s="112" t="str">
        <f>IF(ISBLANK(B781),IFERROR(0/0,""),RAW_APS!A781)</f>
        <v/>
      </c>
      <c r="D781" s="112" t="str">
        <f>IF(ISBLANK(C781),IFERROR(0/0,""), VLOOKUP(C781,preDEL!A$2:AG786,33,FALSE))</f>
        <v/>
      </c>
      <c r="E781" s="252"/>
      <c r="F781" s="210"/>
      <c r="G781" s="252"/>
      <c r="H781" s="255" t="str">
        <f t="shared" si="1"/>
        <v/>
      </c>
      <c r="I781" s="256" t="str">
        <f>CONCATENATE(UPPER(RAW_APS!$A782),"__",RAW_APS!$B782,"_",RAW_APS!$C782)</f>
        <v>MAX79__44540_0.300543981481482</v>
      </c>
      <c r="J781" s="257" t="str">
        <f t="shared" si="2"/>
        <v/>
      </c>
      <c r="K781" s="5"/>
      <c r="L781" s="258" t="str">
        <f t="shared" si="3"/>
        <v/>
      </c>
      <c r="M781" s="259" t="b">
        <f t="shared" si="4"/>
        <v>0</v>
      </c>
      <c r="N781" s="258" t="str">
        <f t="shared" si="5"/>
        <v/>
      </c>
      <c r="O781" s="5"/>
      <c r="P781" s="5"/>
      <c r="Q781" s="5"/>
      <c r="R781" s="5"/>
      <c r="S781" s="5"/>
      <c r="T781" s="5"/>
      <c r="U781" s="5"/>
      <c r="V781" s="5"/>
      <c r="W781" s="5"/>
    </row>
    <row r="782">
      <c r="A782" s="112" t="str">
        <f>IF(OR(ISBLANK(RAW_APS!A782),ISBLANK(RAW_APS!B782),ISBLANK(RAW_APS!C782)),TRUE,IFERROR(0/0,""))</f>
        <v/>
      </c>
      <c r="B782" s="252"/>
      <c r="C782" s="112" t="str">
        <f>IF(ISBLANK(B782),IFERROR(0/0,""),RAW_APS!A782)</f>
        <v/>
      </c>
      <c r="D782" s="112" t="str">
        <f>IF(ISBLANK(C782),IFERROR(0/0,""), VLOOKUP(C782,preDEL!A$2:AG786,33,FALSE))</f>
        <v/>
      </c>
      <c r="E782" s="252"/>
      <c r="F782" s="210"/>
      <c r="G782" s="252"/>
      <c r="H782" s="255" t="str">
        <f t="shared" si="1"/>
        <v/>
      </c>
      <c r="I782" s="256" t="str">
        <f>CONCATENATE(UPPER(RAW_APS!$A783),"__",RAW_APS!$B783,"_",RAW_APS!$C783)</f>
        <v>MAX136__44540_0.298009259259259</v>
      </c>
      <c r="J782" s="257" t="str">
        <f t="shared" si="2"/>
        <v/>
      </c>
      <c r="K782" s="5"/>
      <c r="L782" s="258" t="str">
        <f t="shared" si="3"/>
        <v/>
      </c>
      <c r="M782" s="259" t="b">
        <f t="shared" si="4"/>
        <v>0</v>
      </c>
      <c r="N782" s="258" t="str">
        <f t="shared" si="5"/>
        <v/>
      </c>
      <c r="O782" s="5"/>
      <c r="P782" s="5"/>
      <c r="Q782" s="5"/>
      <c r="R782" s="5"/>
      <c r="S782" s="5"/>
      <c r="T782" s="5"/>
      <c r="U782" s="5"/>
      <c r="V782" s="5"/>
      <c r="W782" s="5"/>
    </row>
    <row r="783">
      <c r="A783" s="112" t="str">
        <f>IF(OR(ISBLANK(RAW_APS!A783),ISBLANK(RAW_APS!B783),ISBLANK(RAW_APS!C783)),TRUE,IFERROR(0/0,""))</f>
        <v/>
      </c>
      <c r="B783" s="252"/>
      <c r="C783" s="112" t="str">
        <f>IF(ISBLANK(B783),IFERROR(0/0,""),RAW_APS!A783)</f>
        <v/>
      </c>
      <c r="D783" s="112" t="str">
        <f>IF(ISBLANK(C783),IFERROR(0/0,""), VLOOKUP(C783,preDEL!A$2:AG786,33,FALSE))</f>
        <v/>
      </c>
      <c r="E783" s="252"/>
      <c r="F783" s="210"/>
      <c r="G783" s="252"/>
      <c r="H783" s="255" t="str">
        <f t="shared" si="1"/>
        <v/>
      </c>
      <c r="I783" s="256" t="str">
        <f>CONCATENATE(UPPER(RAW_APS!$A784),"__",RAW_APS!$B784,"_",RAW_APS!$C784)</f>
        <v>MAX88__44540_0.294016203703704</v>
      </c>
      <c r="J783" s="257" t="str">
        <f t="shared" si="2"/>
        <v/>
      </c>
      <c r="K783" s="5"/>
      <c r="L783" s="258" t="str">
        <f t="shared" si="3"/>
        <v/>
      </c>
      <c r="M783" s="259" t="b">
        <f t="shared" si="4"/>
        <v>0</v>
      </c>
      <c r="N783" s="258" t="str">
        <f t="shared" si="5"/>
        <v/>
      </c>
      <c r="O783" s="5"/>
      <c r="P783" s="5"/>
      <c r="Q783" s="5"/>
      <c r="R783" s="5"/>
      <c r="S783" s="5"/>
      <c r="T783" s="5"/>
      <c r="U783" s="5"/>
      <c r="V783" s="5"/>
      <c r="W783" s="5"/>
    </row>
    <row r="784">
      <c r="A784" s="112" t="str">
        <f>IF(OR(ISBLANK(RAW_APS!A784),ISBLANK(RAW_APS!B784),ISBLANK(RAW_APS!C784)),TRUE,IFERROR(0/0,""))</f>
        <v/>
      </c>
      <c r="B784" s="252"/>
      <c r="C784" s="112" t="str">
        <f>IF(ISBLANK(B784),IFERROR(0/0,""),RAW_APS!A784)</f>
        <v/>
      </c>
      <c r="D784" s="112" t="str">
        <f>IF(ISBLANK(C784),IFERROR(0/0,""), VLOOKUP(C784,preDEL!A$2:AG786,33,FALSE))</f>
        <v/>
      </c>
      <c r="E784" s="252"/>
      <c r="F784" s="210"/>
      <c r="G784" s="252"/>
      <c r="H784" s="255" t="str">
        <f t="shared" si="1"/>
        <v/>
      </c>
      <c r="I784" s="256" t="str">
        <f>CONCATENATE(UPPER(RAW_APS!$A785),"__",RAW_APS!$B785,"_",RAW_APS!$C785)</f>
        <v>TEST12__44537_0.591539351851852</v>
      </c>
      <c r="J784" s="257" t="str">
        <f t="shared" si="2"/>
        <v/>
      </c>
      <c r="K784" s="5"/>
      <c r="L784" s="258" t="str">
        <f t="shared" si="3"/>
        <v/>
      </c>
      <c r="M784" s="259" t="b">
        <f t="shared" si="4"/>
        <v>0</v>
      </c>
      <c r="N784" s="258" t="str">
        <f t="shared" si="5"/>
        <v/>
      </c>
      <c r="O784" s="5"/>
      <c r="P784" s="5"/>
      <c r="Q784" s="5"/>
      <c r="R784" s="5"/>
      <c r="S784" s="5"/>
      <c r="T784" s="5"/>
      <c r="U784" s="5"/>
      <c r="V784" s="5"/>
      <c r="W784" s="5"/>
    </row>
    <row r="785">
      <c r="A785" s="112" t="str">
        <f>IF(OR(ISBLANK(RAW_APS!A785),ISBLANK(RAW_APS!B785),ISBLANK(RAW_APS!C785)),TRUE,IFERROR(0/0,""))</f>
        <v/>
      </c>
      <c r="B785" s="252"/>
      <c r="C785" s="112" t="str">
        <f>IF(ISBLANK(B785),IFERROR(0/0,""),RAW_APS!A785)</f>
        <v/>
      </c>
      <c r="D785" s="112" t="str">
        <f>IF(ISBLANK(C785),IFERROR(0/0,""), VLOOKUP(C785,preDEL!A$2:AG786,33,FALSE))</f>
        <v/>
      </c>
      <c r="E785" s="252"/>
      <c r="F785" s="210"/>
      <c r="G785" s="252"/>
      <c r="H785" s="255" t="str">
        <f t="shared" si="1"/>
        <v/>
      </c>
      <c r="I785" s="256" t="str">
        <f>CONCATENATE(UPPER(RAW_APS!$A786),"__",RAW_APS!$B786,"_",RAW_APS!$C786)</f>
        <v>HERO2__44537_0.543842592592593</v>
      </c>
      <c r="J785" s="257" t="str">
        <f t="shared" si="2"/>
        <v/>
      </c>
      <c r="K785" s="5"/>
      <c r="L785" s="258" t="str">
        <f t="shared" si="3"/>
        <v/>
      </c>
      <c r="M785" s="259" t="b">
        <f t="shared" si="4"/>
        <v>0</v>
      </c>
      <c r="N785" s="258" t="str">
        <f t="shared" si="5"/>
        <v/>
      </c>
      <c r="O785" s="5"/>
      <c r="P785" s="5"/>
      <c r="Q785" s="5"/>
      <c r="R785" s="5"/>
      <c r="S785" s="5"/>
      <c r="T785" s="5"/>
      <c r="U785" s="5"/>
      <c r="V785" s="5"/>
      <c r="W785" s="5"/>
    </row>
    <row r="786">
      <c r="A786" s="112" t="str">
        <f>IF(OR(ISBLANK(RAW_APS!A786),ISBLANK(RAW_APS!B786),ISBLANK(RAW_APS!C786)),TRUE,IFERROR(0/0,""))</f>
        <v/>
      </c>
      <c r="B786" s="252"/>
      <c r="C786" s="112" t="str">
        <f>IF(ISBLANK(B786),IFERROR(0/0,""),RAW_APS!A786)</f>
        <v/>
      </c>
      <c r="D786" s="112" t="str">
        <f>IF(ISBLANK(C786),IFERROR(0/0,""), VLOOKUP(C786,preDEL!A$2:AG786,33,FALSE))</f>
        <v/>
      </c>
      <c r="E786" s="252"/>
      <c r="F786" s="210"/>
      <c r="G786" s="252"/>
      <c r="H786" s="255" t="str">
        <f t="shared" si="1"/>
        <v/>
      </c>
      <c r="I786" s="256" t="str">
        <f>CONCATENATE(UPPER(RAW_APS!$A787),"__",RAW_APS!$B787,"_",RAW_APS!$C787)</f>
        <v>HERO__44537_0.543321759259259</v>
      </c>
      <c r="J786" s="257" t="str">
        <f t="shared" si="2"/>
        <v/>
      </c>
      <c r="K786" s="5"/>
      <c r="L786" s="258" t="str">
        <f t="shared" si="3"/>
        <v/>
      </c>
      <c r="M786" s="259" t="str">
        <f>IFERROR(AND(EXACT(#REF!,L786),NOT(EXACT(L786,L785))),"")</f>
        <v/>
      </c>
      <c r="N786" s="258" t="str">
        <f t="shared" si="5"/>
        <v/>
      </c>
      <c r="O786" s="5"/>
      <c r="P786" s="5"/>
      <c r="Q786" s="5"/>
      <c r="R786" s="5"/>
      <c r="S786" s="5"/>
      <c r="T786" s="5"/>
      <c r="U786" s="5"/>
      <c r="V786" s="5"/>
      <c r="W786" s="5"/>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outlineLevelRow="1"/>
  <cols>
    <col customWidth="1" min="1" max="1" width="7.38"/>
    <col customWidth="1" min="2" max="2" width="8.88"/>
    <col customWidth="1" min="3" max="3" width="18.13"/>
    <col customWidth="1" min="4" max="4" width="5.88"/>
    <col customWidth="1" min="5" max="5" width="9.63"/>
    <col customWidth="1" min="8" max="8" width="15.38"/>
    <col customWidth="1" min="17" max="17" width="7.0"/>
    <col customWidth="1" min="21" max="21" width="16.63"/>
    <col customWidth="1" min="22" max="22" width="20.63"/>
    <col customWidth="1" min="23" max="23" width="16.88"/>
    <col customWidth="1" min="24" max="25" width="21.0"/>
    <col customWidth="1" min="26" max="26" width="22.38"/>
  </cols>
  <sheetData>
    <row r="1">
      <c r="A1" s="4" t="s">
        <v>2545</v>
      </c>
      <c r="B1" s="5"/>
      <c r="C1" s="262" t="s">
        <v>2546</v>
      </c>
      <c r="D1" s="3"/>
      <c r="E1" s="3"/>
      <c r="F1" s="5"/>
      <c r="G1" s="5"/>
      <c r="H1" s="5"/>
      <c r="I1" s="5"/>
      <c r="J1" s="263"/>
      <c r="K1" s="5"/>
      <c r="L1" s="5"/>
      <c r="M1" s="5"/>
      <c r="N1" s="5"/>
      <c r="O1" s="5"/>
      <c r="P1" s="5"/>
      <c r="Q1" s="5"/>
      <c r="R1" s="5"/>
      <c r="S1" s="5"/>
      <c r="T1" s="5"/>
      <c r="U1" s="5"/>
      <c r="V1" s="5"/>
      <c r="W1" s="5"/>
      <c r="X1" s="5"/>
      <c r="Y1" s="5"/>
      <c r="Z1" s="5"/>
      <c r="AA1" s="5"/>
      <c r="AB1" s="5"/>
      <c r="AC1" s="5"/>
      <c r="AD1" s="5"/>
      <c r="AE1" s="5"/>
    </row>
    <row r="2">
      <c r="A2" s="5"/>
      <c r="B2" s="5"/>
      <c r="C2" s="264"/>
      <c r="D2" s="4" t="b">
        <v>0</v>
      </c>
      <c r="E2" s="4" t="s">
        <v>2547</v>
      </c>
      <c r="F2" s="5"/>
      <c r="G2" s="5"/>
      <c r="H2" s="5"/>
      <c r="I2" s="5"/>
      <c r="J2" s="263"/>
      <c r="K2" s="5"/>
      <c r="L2" s="5"/>
      <c r="M2" s="5"/>
      <c r="N2" s="5"/>
      <c r="O2" s="5"/>
      <c r="P2" s="5"/>
      <c r="Q2" s="5"/>
      <c r="R2" s="5"/>
      <c r="S2" s="5"/>
      <c r="T2" s="5"/>
      <c r="U2" s="5"/>
      <c r="V2" s="5"/>
      <c r="W2" s="5"/>
      <c r="X2" s="5"/>
      <c r="Y2" s="5"/>
      <c r="Z2" s="5"/>
      <c r="AA2" s="5"/>
      <c r="AB2" s="5"/>
      <c r="AC2" s="5"/>
      <c r="AD2" s="5"/>
      <c r="AE2" s="5"/>
    </row>
    <row r="3">
      <c r="A3" s="5"/>
      <c r="B3" s="5"/>
      <c r="C3" s="264"/>
      <c r="D3" s="3"/>
      <c r="E3" s="3"/>
      <c r="F3" s="5"/>
      <c r="G3" s="5"/>
      <c r="H3" s="5"/>
      <c r="I3" s="5"/>
      <c r="J3" s="263"/>
      <c r="K3" s="5"/>
      <c r="L3" s="5"/>
      <c r="M3" s="5"/>
      <c r="N3" s="5"/>
      <c r="O3" s="5"/>
      <c r="P3" s="5"/>
      <c r="Q3" s="5"/>
      <c r="R3" s="5"/>
      <c r="S3" s="5"/>
      <c r="T3" s="5"/>
      <c r="U3" s="5"/>
      <c r="V3" s="5"/>
      <c r="W3" s="5"/>
      <c r="X3" s="5"/>
      <c r="Y3" s="5"/>
      <c r="Z3" s="5"/>
      <c r="AA3" s="5"/>
      <c r="AB3" s="5"/>
      <c r="AC3" s="5"/>
      <c r="AD3" s="5"/>
      <c r="AE3" s="5"/>
    </row>
    <row r="4">
      <c r="A4" s="5"/>
      <c r="B4" s="5"/>
      <c r="C4" s="264"/>
      <c r="D4" s="3"/>
      <c r="E4" s="3"/>
      <c r="F4" s="5"/>
      <c r="G4" s="5"/>
      <c r="H4" s="5"/>
      <c r="I4" s="5"/>
      <c r="J4" s="263"/>
      <c r="K4" s="5"/>
      <c r="L4" s="5"/>
      <c r="M4" s="5"/>
      <c r="N4" s="5"/>
      <c r="O4" s="5"/>
      <c r="P4" s="5"/>
      <c r="Q4" s="5"/>
      <c r="R4" s="5"/>
      <c r="S4" s="5"/>
      <c r="T4" s="5"/>
      <c r="U4" s="5"/>
      <c r="V4" s="5"/>
      <c r="W4" s="5"/>
      <c r="X4" s="5"/>
      <c r="Y4" s="5"/>
      <c r="Z4" s="5"/>
      <c r="AA4" s="5"/>
      <c r="AB4" s="5"/>
      <c r="AC4" s="5"/>
      <c r="AD4" s="5"/>
      <c r="AE4" s="5"/>
    </row>
    <row r="5">
      <c r="A5" s="5"/>
      <c r="B5" s="5"/>
      <c r="C5" s="264"/>
      <c r="D5" s="3"/>
      <c r="E5" s="3"/>
      <c r="F5" s="5"/>
      <c r="G5" s="5"/>
      <c r="H5" s="5"/>
      <c r="I5" s="5"/>
      <c r="J5" s="263"/>
      <c r="K5" s="5"/>
      <c r="L5" s="5"/>
      <c r="M5" s="5"/>
      <c r="N5" s="5"/>
      <c r="O5" s="5"/>
      <c r="P5" s="5"/>
      <c r="Q5" s="5"/>
      <c r="R5" s="5"/>
      <c r="S5" s="5"/>
      <c r="T5" s="5"/>
      <c r="U5" s="5"/>
      <c r="V5" s="5"/>
      <c r="W5" s="5"/>
      <c r="X5" s="5"/>
      <c r="Y5" s="5"/>
      <c r="Z5" s="5"/>
      <c r="AA5" s="5"/>
      <c r="AB5" s="5"/>
      <c r="AC5" s="5"/>
      <c r="AD5" s="5"/>
      <c r="AE5" s="5"/>
    </row>
    <row r="6" collapsed="1">
      <c r="A6" s="5"/>
      <c r="B6" s="5"/>
      <c r="C6" s="264" t="s">
        <v>2548</v>
      </c>
      <c r="D6" s="3"/>
      <c r="E6" s="3"/>
      <c r="F6" s="5"/>
      <c r="G6" s="5"/>
      <c r="H6" s="5"/>
      <c r="I6" s="5"/>
      <c r="J6" s="263" t="s">
        <v>2549</v>
      </c>
      <c r="K6" s="5"/>
      <c r="L6" s="5"/>
      <c r="M6" s="5"/>
      <c r="N6" s="5"/>
      <c r="O6" s="5"/>
      <c r="P6" s="5"/>
      <c r="Q6" s="5"/>
      <c r="R6" s="5"/>
      <c r="S6" s="5"/>
      <c r="T6" s="5"/>
      <c r="U6" s="5"/>
      <c r="V6" s="5"/>
      <c r="W6" s="5"/>
      <c r="X6" s="5"/>
      <c r="Y6" s="5"/>
      <c r="Z6" s="5"/>
      <c r="AA6" s="5"/>
      <c r="AB6" s="5"/>
      <c r="AC6" s="5"/>
      <c r="AD6" s="5"/>
      <c r="AE6" s="5"/>
    </row>
    <row r="7" hidden="1" outlineLevel="1">
      <c r="A7" s="5"/>
      <c r="B7" s="5"/>
      <c r="C7" s="3"/>
      <c r="D7" s="3" t="b">
        <v>1</v>
      </c>
      <c r="E7" s="265" t="s">
        <v>2550</v>
      </c>
      <c r="F7" s="5"/>
      <c r="G7" s="5"/>
      <c r="H7" s="5"/>
      <c r="I7" s="5"/>
      <c r="J7" s="5"/>
      <c r="K7" s="5"/>
      <c r="L7" s="5"/>
      <c r="M7" s="5"/>
      <c r="N7" s="5"/>
      <c r="O7" s="5"/>
      <c r="P7" s="5"/>
      <c r="Q7" s="5"/>
      <c r="R7" s="5"/>
      <c r="S7" s="5"/>
      <c r="T7" s="5"/>
      <c r="U7" s="5"/>
      <c r="V7" s="5"/>
      <c r="W7" s="5"/>
      <c r="X7" s="5"/>
      <c r="Y7" s="5"/>
      <c r="Z7" s="5"/>
      <c r="AA7" s="5"/>
      <c r="AB7" s="5"/>
      <c r="AC7" s="5"/>
      <c r="AD7" s="5"/>
      <c r="AE7" s="5"/>
    </row>
    <row r="8" hidden="1" outlineLevel="1">
      <c r="A8" s="5"/>
      <c r="B8" s="5"/>
      <c r="C8" s="3"/>
      <c r="D8" s="3" t="b">
        <v>1</v>
      </c>
      <c r="E8" s="265" t="s">
        <v>2551</v>
      </c>
      <c r="F8" s="5"/>
      <c r="G8" s="5"/>
      <c r="H8" s="5"/>
      <c r="I8" s="5"/>
      <c r="J8" s="266"/>
      <c r="K8" s="5"/>
      <c r="L8" s="5"/>
      <c r="M8" s="5"/>
      <c r="N8" s="5"/>
      <c r="O8" s="5"/>
      <c r="P8" s="5"/>
      <c r="Q8" s="5"/>
      <c r="R8" s="5"/>
      <c r="S8" s="5"/>
      <c r="T8" s="5"/>
      <c r="U8" s="5"/>
      <c r="V8" s="5"/>
      <c r="W8" s="5"/>
      <c r="X8" s="5"/>
      <c r="Y8" s="5"/>
      <c r="Z8" s="5"/>
      <c r="AA8" s="5"/>
      <c r="AB8" s="5"/>
      <c r="AC8" s="5"/>
      <c r="AD8" s="5"/>
      <c r="AE8" s="5"/>
    </row>
    <row r="9" hidden="1" outlineLevel="1">
      <c r="A9" s="5"/>
      <c r="B9" s="5"/>
      <c r="C9" s="3"/>
      <c r="D9" s="267" t="b">
        <v>0</v>
      </c>
      <c r="E9" s="265" t="s">
        <v>2552</v>
      </c>
      <c r="F9" s="5"/>
      <c r="G9" s="5"/>
      <c r="H9" s="5"/>
      <c r="I9" s="5"/>
      <c r="J9" s="268" t="s">
        <v>2553</v>
      </c>
      <c r="K9" s="5"/>
      <c r="L9" s="5"/>
      <c r="M9" s="5"/>
      <c r="N9" s="5"/>
      <c r="O9" s="5"/>
      <c r="P9" s="5"/>
      <c r="Q9" s="5"/>
      <c r="R9" s="5"/>
      <c r="S9" s="5"/>
      <c r="T9" s="5"/>
      <c r="U9" s="5"/>
      <c r="V9" s="5"/>
      <c r="W9" s="5"/>
      <c r="X9" s="5"/>
      <c r="Y9" s="5"/>
      <c r="Z9" s="5"/>
      <c r="AA9" s="5"/>
      <c r="AB9" s="5"/>
      <c r="AC9" s="5"/>
      <c r="AD9" s="5"/>
      <c r="AE9" s="5"/>
    </row>
    <row r="10" hidden="1" outlineLevel="1">
      <c r="A10" s="5"/>
      <c r="B10" s="5"/>
      <c r="C10" s="3"/>
      <c r="D10" s="267" t="b">
        <v>0</v>
      </c>
      <c r="E10" s="265" t="s">
        <v>2554</v>
      </c>
      <c r="F10" s="5"/>
      <c r="G10" s="5"/>
      <c r="H10" s="5"/>
      <c r="I10" s="5"/>
      <c r="J10" s="268" t="s">
        <v>2553</v>
      </c>
      <c r="K10" s="5"/>
      <c r="L10" s="5"/>
      <c r="M10" s="5"/>
      <c r="N10" s="5"/>
      <c r="O10" s="5"/>
      <c r="P10" s="5"/>
      <c r="Q10" s="5"/>
      <c r="R10" s="5"/>
      <c r="S10" s="5"/>
      <c r="T10" s="5"/>
      <c r="U10" s="5"/>
      <c r="V10" s="5"/>
      <c r="W10" s="5"/>
      <c r="X10" s="5"/>
      <c r="Y10" s="5"/>
      <c r="Z10" s="5"/>
      <c r="AA10" s="5"/>
      <c r="AB10" s="5"/>
      <c r="AC10" s="5"/>
      <c r="AD10" s="5"/>
      <c r="AE10" s="5"/>
    </row>
    <row r="11" hidden="1" outlineLevel="1">
      <c r="A11" s="5"/>
      <c r="B11" s="5"/>
      <c r="C11" s="3"/>
      <c r="D11" s="3" t="b">
        <v>1</v>
      </c>
      <c r="E11" s="265" t="s">
        <v>2555</v>
      </c>
      <c r="F11" s="5"/>
      <c r="G11" s="5"/>
      <c r="H11" s="5"/>
      <c r="I11" s="5"/>
      <c r="J11" s="5"/>
      <c r="K11" s="5"/>
      <c r="L11" s="5"/>
      <c r="M11" s="5"/>
      <c r="N11" s="5"/>
      <c r="O11" s="5"/>
      <c r="P11" s="5"/>
      <c r="Q11" s="5"/>
      <c r="R11" s="5"/>
      <c r="S11" s="5"/>
      <c r="T11" s="5"/>
      <c r="U11" s="5"/>
      <c r="V11" s="5"/>
      <c r="W11" s="5"/>
      <c r="X11" s="5"/>
      <c r="Y11" s="5"/>
      <c r="Z11" s="5"/>
      <c r="AA11" s="5"/>
      <c r="AB11" s="5"/>
      <c r="AC11" s="5"/>
      <c r="AD11" s="5"/>
      <c r="AE11" s="5"/>
    </row>
    <row r="12" hidden="1" outlineLevel="1">
      <c r="A12" s="5"/>
      <c r="B12" s="5"/>
      <c r="C12" s="3"/>
      <c r="D12" s="3" t="b">
        <v>1</v>
      </c>
      <c r="E12" s="265" t="s">
        <v>2556</v>
      </c>
      <c r="F12" s="5"/>
      <c r="G12" s="5"/>
      <c r="H12" s="5"/>
      <c r="I12" s="5"/>
      <c r="J12" s="5"/>
      <c r="K12" s="5"/>
      <c r="L12" s="5"/>
      <c r="M12" s="5"/>
      <c r="N12" s="5"/>
      <c r="O12" s="5"/>
      <c r="P12" s="5"/>
      <c r="Q12" s="5"/>
      <c r="R12" s="5"/>
      <c r="S12" s="5"/>
      <c r="T12" s="5"/>
      <c r="U12" s="5"/>
      <c r="V12" s="5"/>
      <c r="W12" s="5"/>
      <c r="X12" s="5"/>
      <c r="Y12" s="5"/>
      <c r="Z12" s="5"/>
      <c r="AA12" s="5"/>
      <c r="AB12" s="5"/>
      <c r="AC12" s="5"/>
      <c r="AD12" s="5"/>
      <c r="AE12" s="5"/>
    </row>
    <row r="13" hidden="1" outlineLevel="1">
      <c r="A13" s="5"/>
      <c r="B13" s="5"/>
      <c r="C13" s="3"/>
      <c r="D13" s="3" t="b">
        <v>1</v>
      </c>
      <c r="E13" s="265" t="s">
        <v>2557</v>
      </c>
      <c r="F13" s="5"/>
      <c r="G13" s="5"/>
      <c r="H13" s="5"/>
      <c r="I13" s="5"/>
      <c r="J13" s="5"/>
      <c r="K13" s="5"/>
      <c r="L13" s="5"/>
      <c r="M13" s="5"/>
      <c r="N13" s="5"/>
      <c r="O13" s="5"/>
      <c r="P13" s="5"/>
      <c r="Q13" s="5"/>
      <c r="R13" s="5"/>
      <c r="S13" s="5"/>
      <c r="T13" s="5"/>
      <c r="U13" s="5"/>
      <c r="V13" s="5"/>
      <c r="W13" s="5"/>
      <c r="X13" s="5"/>
      <c r="Y13" s="5"/>
      <c r="Z13" s="5"/>
      <c r="AA13" s="5"/>
      <c r="AB13" s="5"/>
      <c r="AC13" s="5"/>
      <c r="AD13" s="5"/>
      <c r="AE13" s="5"/>
    </row>
    <row r="14" hidden="1" outlineLevel="1">
      <c r="A14" s="5"/>
      <c r="B14" s="5"/>
      <c r="C14" s="3"/>
      <c r="D14" s="267" t="b">
        <v>0</v>
      </c>
      <c r="E14" s="265" t="s">
        <v>2558</v>
      </c>
      <c r="F14" s="5"/>
      <c r="G14" s="5"/>
      <c r="H14" s="5"/>
      <c r="I14" s="5"/>
      <c r="J14" s="5"/>
      <c r="K14" s="5"/>
      <c r="L14" s="5"/>
      <c r="M14" s="5"/>
      <c r="N14" s="5"/>
      <c r="O14" s="5"/>
      <c r="P14" s="5"/>
      <c r="Q14" s="5"/>
      <c r="R14" s="5"/>
      <c r="S14" s="5"/>
      <c r="T14" s="5"/>
      <c r="U14" s="5"/>
      <c r="V14" s="5"/>
      <c r="W14" s="5"/>
      <c r="X14" s="5"/>
      <c r="Y14" s="5"/>
      <c r="Z14" s="5"/>
      <c r="AA14" s="5"/>
      <c r="AB14" s="5"/>
      <c r="AC14" s="5"/>
      <c r="AD14" s="5"/>
      <c r="AE14" s="5"/>
    </row>
    <row r="15" hidden="1" outlineLevel="1">
      <c r="A15" s="5"/>
      <c r="B15" s="5"/>
      <c r="C15" s="3"/>
      <c r="D15" s="3"/>
      <c r="E15" s="3"/>
      <c r="F15" s="5"/>
      <c r="G15" s="5"/>
      <c r="H15" s="5"/>
      <c r="I15" s="5"/>
      <c r="J15" s="5"/>
      <c r="K15" s="5"/>
      <c r="L15" s="5"/>
      <c r="M15" s="5"/>
      <c r="N15" s="5"/>
      <c r="O15" s="5"/>
      <c r="P15" s="5"/>
      <c r="Q15" s="5"/>
      <c r="R15" s="5"/>
      <c r="S15" s="5"/>
      <c r="T15" s="5"/>
      <c r="U15" s="5"/>
      <c r="V15" s="5"/>
      <c r="W15" s="5"/>
      <c r="X15" s="5"/>
      <c r="Y15" s="5"/>
      <c r="Z15" s="5"/>
      <c r="AA15" s="5"/>
      <c r="AB15" s="5"/>
      <c r="AC15" s="5"/>
      <c r="AD15" s="5"/>
      <c r="AE15" s="5"/>
    </row>
    <row r="16" hidden="1" outlineLevel="1">
      <c r="A16" s="5"/>
      <c r="B16" s="5"/>
      <c r="C16" s="3" t="s">
        <v>2559</v>
      </c>
      <c r="D16" s="3"/>
      <c r="E16" s="3"/>
      <c r="F16" s="5"/>
      <c r="G16" s="5"/>
      <c r="H16" s="5"/>
      <c r="I16" s="5"/>
      <c r="J16" s="5"/>
      <c r="K16" s="5"/>
      <c r="L16" s="5"/>
      <c r="M16" s="5"/>
      <c r="N16" s="5"/>
      <c r="O16" s="5"/>
      <c r="P16" s="5"/>
      <c r="Q16" s="5"/>
      <c r="R16" s="5"/>
      <c r="S16" s="5"/>
      <c r="T16" s="5"/>
      <c r="U16" s="5"/>
      <c r="V16" s="5"/>
      <c r="W16" s="5"/>
      <c r="X16" s="5"/>
      <c r="Y16" s="5"/>
      <c r="Z16" s="5"/>
      <c r="AA16" s="5"/>
      <c r="AB16" s="5"/>
      <c r="AC16" s="5"/>
      <c r="AD16" s="5"/>
      <c r="AE16" s="5"/>
    </row>
    <row r="17" hidden="1" outlineLevel="1">
      <c r="A17" s="5"/>
      <c r="B17" s="5"/>
      <c r="C17" s="269" t="s">
        <v>2560</v>
      </c>
      <c r="D17" s="267"/>
      <c r="E17" s="3"/>
      <c r="F17" s="5"/>
      <c r="G17" s="5"/>
      <c r="H17" s="5"/>
      <c r="I17" s="5"/>
      <c r="J17" s="5"/>
      <c r="K17" s="5"/>
      <c r="L17" s="5"/>
      <c r="M17" s="5"/>
      <c r="N17" s="5"/>
      <c r="O17" s="5"/>
      <c r="P17" s="5"/>
      <c r="Q17" s="5"/>
      <c r="R17" s="5"/>
      <c r="S17" s="5"/>
      <c r="T17" s="5"/>
      <c r="U17" s="5"/>
      <c r="V17" s="5"/>
      <c r="W17" s="5"/>
      <c r="X17" s="5"/>
      <c r="Y17" s="5"/>
      <c r="Z17" s="5"/>
      <c r="AA17" s="5"/>
      <c r="AB17" s="5"/>
      <c r="AC17" s="5"/>
      <c r="AD17" s="5"/>
      <c r="AE17" s="5"/>
    </row>
    <row r="18" hidden="1" outlineLevel="1">
      <c r="A18" s="5"/>
      <c r="B18" s="5"/>
      <c r="C18" s="270" t="s">
        <v>2561</v>
      </c>
      <c r="D18" s="271"/>
      <c r="E18" s="3"/>
      <c r="F18" s="5"/>
      <c r="G18" s="5"/>
      <c r="H18" s="5"/>
      <c r="I18" s="5"/>
      <c r="J18" s="5"/>
      <c r="K18" s="5"/>
      <c r="L18" s="5"/>
      <c r="M18" s="5"/>
      <c r="N18" s="5"/>
      <c r="O18" s="5"/>
      <c r="P18" s="5"/>
      <c r="Q18" s="5"/>
      <c r="R18" s="5"/>
      <c r="S18" s="5"/>
      <c r="T18" s="5"/>
      <c r="U18" s="5"/>
      <c r="V18" s="5"/>
      <c r="W18" s="5"/>
      <c r="X18" s="5"/>
      <c r="Y18" s="5"/>
      <c r="Z18" s="5"/>
      <c r="AA18" s="5"/>
      <c r="AB18" s="5"/>
      <c r="AC18" s="5"/>
      <c r="AD18" s="5"/>
      <c r="AE18" s="5"/>
    </row>
    <row r="19">
      <c r="A19" s="5"/>
      <c r="B19" s="5"/>
      <c r="C19" s="3"/>
      <c r="D19" s="3"/>
      <c r="E19" s="3"/>
      <c r="F19" s="5"/>
      <c r="G19" s="5"/>
      <c r="H19" s="5"/>
      <c r="I19" s="5"/>
      <c r="J19" s="5"/>
      <c r="K19" s="5"/>
      <c r="L19" s="5"/>
      <c r="M19" s="5"/>
      <c r="N19" s="5"/>
      <c r="O19" s="5"/>
      <c r="P19" s="5"/>
      <c r="Q19" s="5"/>
      <c r="R19" s="5"/>
      <c r="S19" s="5"/>
      <c r="T19" s="5"/>
      <c r="U19" s="5"/>
      <c r="V19" s="5"/>
      <c r="W19" s="5"/>
      <c r="X19" s="5"/>
      <c r="Y19" s="5"/>
      <c r="Z19" s="5"/>
      <c r="AA19" s="5"/>
      <c r="AB19" s="5"/>
      <c r="AC19" s="5"/>
      <c r="AD19" s="5"/>
      <c r="AE19" s="5"/>
    </row>
    <row r="20">
      <c r="A20" s="5"/>
      <c r="B20" s="5"/>
      <c r="C20" s="4" t="s">
        <v>2562</v>
      </c>
      <c r="D20" s="3"/>
      <c r="E20" s="3"/>
      <c r="F20" s="5"/>
      <c r="G20" s="5"/>
      <c r="H20" s="5"/>
      <c r="I20" s="5"/>
      <c r="J20" s="5"/>
      <c r="K20" s="5"/>
      <c r="L20" s="5"/>
      <c r="M20" s="5"/>
      <c r="N20" s="5"/>
      <c r="O20" s="5"/>
      <c r="P20" s="5"/>
      <c r="Q20" s="5"/>
      <c r="R20" s="5"/>
      <c r="S20" s="5"/>
      <c r="T20" s="5"/>
      <c r="U20" s="5"/>
      <c r="V20" s="5"/>
      <c r="W20" s="5"/>
      <c r="X20" s="5"/>
      <c r="Y20" s="5"/>
      <c r="Z20" s="5"/>
      <c r="AA20" s="5"/>
      <c r="AB20" s="5"/>
      <c r="AC20" s="5"/>
      <c r="AD20" s="5"/>
      <c r="AE20" s="5"/>
    </row>
    <row r="21">
      <c r="A21" s="272" t="s">
        <v>2563</v>
      </c>
      <c r="B21" s="273">
        <v>44942.44457175926</v>
      </c>
      <c r="C21" s="274" t="s">
        <v>2564</v>
      </c>
      <c r="D21" s="275" t="b">
        <v>1</v>
      </c>
      <c r="E21" s="265" t="s">
        <v>2565</v>
      </c>
      <c r="F21" s="5"/>
      <c r="G21" s="5"/>
      <c r="H21" s="5"/>
      <c r="I21" s="5"/>
      <c r="J21" s="5"/>
      <c r="K21" s="5"/>
      <c r="L21" s="5"/>
      <c r="M21" s="5"/>
      <c r="N21" s="5"/>
      <c r="O21" s="5"/>
      <c r="P21" s="5"/>
      <c r="Q21" s="5"/>
      <c r="R21" s="5"/>
      <c r="S21" s="5"/>
      <c r="T21" s="5"/>
      <c r="U21" s="5"/>
      <c r="V21" s="5"/>
      <c r="W21" s="5"/>
      <c r="X21" s="5"/>
      <c r="Y21" s="5"/>
      <c r="Z21" s="5"/>
      <c r="AA21" s="5"/>
      <c r="AB21" s="5"/>
      <c r="AC21" s="5"/>
      <c r="AD21" s="5"/>
      <c r="AE21" s="5"/>
    </row>
    <row r="22">
      <c r="A22" s="272" t="s">
        <v>2563</v>
      </c>
      <c r="B22" s="276">
        <v>44942.461930150464</v>
      </c>
      <c r="C22" s="274" t="s">
        <v>2566</v>
      </c>
      <c r="D22" s="275" t="b">
        <v>1</v>
      </c>
      <c r="E22" s="265" t="s">
        <v>2567</v>
      </c>
      <c r="F22" s="5"/>
      <c r="G22" s="5"/>
      <c r="H22" s="5"/>
      <c r="I22" s="5"/>
      <c r="J22" s="5"/>
      <c r="K22" s="5"/>
      <c r="L22" s="5"/>
      <c r="M22" s="5"/>
      <c r="N22" s="5"/>
      <c r="O22" s="5"/>
      <c r="P22" s="5"/>
      <c r="Q22" s="5"/>
      <c r="R22" s="5"/>
      <c r="S22" s="5"/>
      <c r="T22" s="5"/>
      <c r="U22" s="5"/>
      <c r="V22" s="5"/>
      <c r="W22" s="5"/>
      <c r="X22" s="5"/>
      <c r="Y22" s="5"/>
      <c r="Z22" s="5"/>
      <c r="AA22" s="5"/>
      <c r="AB22" s="5"/>
      <c r="AC22" s="5"/>
      <c r="AD22" s="5"/>
      <c r="AE22" s="5"/>
    </row>
    <row r="23">
      <c r="A23" s="272" t="s">
        <v>2563</v>
      </c>
      <c r="B23" s="276">
        <f>NOW()</f>
        <v>46078.63887</v>
      </c>
      <c r="C23" s="274" t="s">
        <v>2568</v>
      </c>
      <c r="D23" s="277" t="b">
        <v>1</v>
      </c>
      <c r="E23" s="278" t="s">
        <v>2569</v>
      </c>
      <c r="F23" s="5"/>
      <c r="G23" s="5"/>
      <c r="H23" s="5"/>
      <c r="I23" s="5"/>
      <c r="J23" s="5"/>
      <c r="K23" s="5"/>
      <c r="L23" s="5"/>
      <c r="M23" s="5"/>
      <c r="N23" s="5"/>
      <c r="O23" s="5"/>
      <c r="P23" s="5"/>
      <c r="Q23" s="5"/>
      <c r="R23" s="5"/>
      <c r="S23" s="5"/>
      <c r="T23" s="5"/>
      <c r="U23" s="5"/>
      <c r="V23" s="5"/>
      <c r="W23" s="5"/>
      <c r="X23" s="5"/>
      <c r="Y23" s="5"/>
      <c r="Z23" s="5"/>
      <c r="AA23" s="5"/>
      <c r="AB23" s="5"/>
      <c r="AC23" s="5"/>
      <c r="AD23" s="5"/>
      <c r="AE23" s="5"/>
    </row>
    <row r="24">
      <c r="A24" s="272" t="s">
        <v>2563</v>
      </c>
      <c r="B24" s="273">
        <v>44942.46407407407</v>
      </c>
      <c r="C24" s="274" t="s">
        <v>2570</v>
      </c>
      <c r="D24" s="275" t="b">
        <v>1</v>
      </c>
      <c r="E24" s="265" t="s">
        <v>2571</v>
      </c>
      <c r="F24" s="5"/>
      <c r="G24" s="5"/>
      <c r="H24" s="5"/>
      <c r="I24" s="5"/>
      <c r="J24" s="5"/>
      <c r="K24" s="5"/>
      <c r="L24" s="5"/>
      <c r="M24" s="5"/>
      <c r="N24" s="5"/>
      <c r="O24" s="5"/>
      <c r="P24" s="5"/>
      <c r="Q24" s="5"/>
      <c r="R24" s="5"/>
      <c r="S24" s="5"/>
      <c r="T24" s="5"/>
      <c r="U24" s="5"/>
      <c r="V24" s="5"/>
      <c r="W24" s="5"/>
      <c r="X24" s="5"/>
      <c r="Y24" s="5"/>
      <c r="Z24" s="5"/>
      <c r="AA24" s="5"/>
      <c r="AB24" s="5"/>
      <c r="AC24" s="5"/>
      <c r="AD24" s="5"/>
      <c r="AE24" s="5"/>
    </row>
    <row r="25">
      <c r="A25" s="272" t="s">
        <v>2563</v>
      </c>
      <c r="B25" s="273">
        <v>44942.44457175926</v>
      </c>
      <c r="C25" s="274" t="s">
        <v>2572</v>
      </c>
      <c r="D25" s="275" t="b">
        <v>1</v>
      </c>
      <c r="E25" s="265" t="s">
        <v>2573</v>
      </c>
      <c r="F25" s="5"/>
      <c r="G25" s="5"/>
      <c r="H25" s="5"/>
      <c r="I25" s="5"/>
      <c r="J25" s="5"/>
      <c r="K25" s="5"/>
      <c r="L25" s="5"/>
      <c r="M25" s="5"/>
      <c r="N25" s="5"/>
      <c r="O25" s="5"/>
      <c r="P25" s="5"/>
      <c r="Q25" s="5"/>
      <c r="R25" s="5"/>
      <c r="S25" s="5"/>
      <c r="T25" s="5"/>
      <c r="U25" s="5"/>
      <c r="V25" s="5"/>
      <c r="W25" s="5"/>
      <c r="X25" s="5"/>
      <c r="Y25" s="5"/>
      <c r="Z25" s="5"/>
      <c r="AA25" s="5"/>
      <c r="AB25" s="5"/>
      <c r="AC25" s="5"/>
      <c r="AD25" s="5"/>
      <c r="AE25" s="5"/>
    </row>
    <row r="26">
      <c r="A26" s="272" t="s">
        <v>2563</v>
      </c>
      <c r="B26" s="273">
        <v>44942.44457175926</v>
      </c>
      <c r="C26" s="274" t="s">
        <v>2574</v>
      </c>
      <c r="D26" s="275" t="b">
        <v>1</v>
      </c>
      <c r="E26" s="265" t="s">
        <v>2575</v>
      </c>
      <c r="F26" s="5"/>
      <c r="G26" s="5"/>
      <c r="H26" s="5"/>
      <c r="I26" s="5"/>
      <c r="J26" s="5"/>
      <c r="K26" s="5"/>
      <c r="L26" s="5"/>
      <c r="M26" s="5"/>
      <c r="N26" s="5"/>
      <c r="O26" s="5"/>
      <c r="P26" s="5"/>
      <c r="Q26" s="5"/>
      <c r="R26" s="5"/>
      <c r="S26" s="5"/>
      <c r="T26" s="5"/>
      <c r="U26" s="5"/>
      <c r="V26" s="5"/>
      <c r="W26" s="5"/>
      <c r="X26" s="5"/>
      <c r="Y26" s="5"/>
      <c r="Z26" s="5"/>
      <c r="AA26" s="5"/>
      <c r="AB26" s="5"/>
      <c r="AC26" s="5"/>
      <c r="AD26" s="5"/>
      <c r="AE26" s="5"/>
    </row>
    <row r="27">
      <c r="A27" s="272" t="s">
        <v>2563</v>
      </c>
      <c r="B27" s="279">
        <v>44942.5273283912</v>
      </c>
      <c r="C27" s="263" t="s">
        <v>2576</v>
      </c>
      <c r="D27" s="275" t="b">
        <v>1</v>
      </c>
      <c r="E27" s="266" t="s">
        <v>2577</v>
      </c>
      <c r="F27" s="5"/>
      <c r="G27" s="5"/>
      <c r="H27" s="5"/>
      <c r="I27" s="5"/>
      <c r="J27" s="5"/>
      <c r="K27" s="5"/>
      <c r="L27" s="5"/>
      <c r="M27" s="5"/>
      <c r="N27" s="5"/>
      <c r="O27" s="5"/>
      <c r="P27" s="5"/>
      <c r="Q27" s="5"/>
      <c r="R27" s="5"/>
      <c r="S27" s="5"/>
      <c r="T27" s="5"/>
      <c r="U27" s="5"/>
      <c r="V27" s="5"/>
      <c r="W27" s="5"/>
      <c r="X27" s="5"/>
      <c r="Y27" s="5"/>
      <c r="Z27" s="5"/>
      <c r="AA27" s="5"/>
      <c r="AB27" s="5"/>
      <c r="AC27" s="5"/>
      <c r="AD27" s="5"/>
      <c r="AE27" s="5"/>
    </row>
    <row r="28">
      <c r="A28" s="272" t="s">
        <v>2563</v>
      </c>
      <c r="B28" s="279">
        <v>44942.041666666664</v>
      </c>
      <c r="C28" s="5"/>
      <c r="D28" s="275" t="b">
        <v>1</v>
      </c>
      <c r="E28" s="266"/>
      <c r="F28" s="268" t="s">
        <v>2578</v>
      </c>
      <c r="G28" s="5"/>
      <c r="H28" s="5"/>
      <c r="I28" s="5"/>
      <c r="J28" s="5"/>
      <c r="K28" s="5"/>
      <c r="L28" s="5"/>
      <c r="M28" s="5"/>
      <c r="N28" s="5"/>
      <c r="O28" s="5"/>
      <c r="P28" s="5"/>
      <c r="Q28" s="5"/>
      <c r="R28" s="5"/>
      <c r="S28" s="5"/>
      <c r="T28" s="5"/>
      <c r="U28" s="5"/>
      <c r="V28" s="5"/>
      <c r="W28" s="5"/>
      <c r="X28" s="5"/>
      <c r="Y28" s="5"/>
      <c r="Z28" s="5"/>
      <c r="AA28" s="5"/>
      <c r="AB28" s="5"/>
      <c r="AC28" s="5"/>
      <c r="AD28" s="5"/>
      <c r="AE28" s="5"/>
    </row>
    <row r="29">
      <c r="A29" s="272" t="s">
        <v>2563</v>
      </c>
      <c r="B29" s="279">
        <v>44942.041666666664</v>
      </c>
      <c r="C29" s="5"/>
      <c r="D29" s="275" t="b">
        <v>1</v>
      </c>
      <c r="E29" s="266"/>
      <c r="F29" s="268" t="s">
        <v>2579</v>
      </c>
      <c r="G29" s="5"/>
      <c r="H29" s="5"/>
      <c r="I29" s="5"/>
      <c r="J29" s="5"/>
      <c r="K29" s="5"/>
      <c r="L29" s="5"/>
      <c r="M29" s="5"/>
      <c r="N29" s="5"/>
      <c r="O29" s="5"/>
      <c r="P29" s="5"/>
      <c r="Q29" s="5"/>
      <c r="R29" s="5"/>
      <c r="S29" s="5"/>
      <c r="T29" s="5"/>
      <c r="U29" s="5"/>
      <c r="V29" s="5"/>
      <c r="W29" s="5"/>
      <c r="X29" s="5"/>
      <c r="Y29" s="5"/>
      <c r="Z29" s="5"/>
      <c r="AA29" s="5"/>
      <c r="AB29" s="5"/>
      <c r="AC29" s="5"/>
      <c r="AD29" s="5"/>
      <c r="AE29" s="5"/>
    </row>
    <row r="30">
      <c r="A30" s="272" t="s">
        <v>2563</v>
      </c>
      <c r="B30" s="279">
        <v>44942.041666666664</v>
      </c>
      <c r="C30" s="5"/>
      <c r="D30" s="275" t="b">
        <v>1</v>
      </c>
      <c r="E30" s="266"/>
      <c r="F30" s="268" t="s">
        <v>2580</v>
      </c>
      <c r="G30" s="5"/>
      <c r="H30" s="5"/>
      <c r="I30" s="5"/>
      <c r="J30" s="5"/>
      <c r="K30" s="5"/>
      <c r="L30" s="5"/>
      <c r="M30" s="5"/>
      <c r="N30" s="5"/>
      <c r="O30" s="5"/>
      <c r="P30" s="5"/>
      <c r="Q30" s="5"/>
      <c r="R30" s="5"/>
      <c r="S30" s="5"/>
      <c r="T30" s="5"/>
      <c r="U30" s="5"/>
      <c r="V30" s="5"/>
      <c r="W30" s="5"/>
      <c r="X30" s="5"/>
      <c r="Y30" s="5"/>
      <c r="Z30" s="5"/>
      <c r="AA30" s="5"/>
      <c r="AB30" s="5"/>
      <c r="AC30" s="5"/>
      <c r="AD30" s="5"/>
      <c r="AE30" s="5"/>
    </row>
    <row r="31">
      <c r="A31" s="272" t="s">
        <v>2563</v>
      </c>
      <c r="B31" s="279">
        <v>44942.041666666664</v>
      </c>
      <c r="C31" s="5"/>
      <c r="D31" s="275" t="b">
        <v>1</v>
      </c>
      <c r="E31" s="266"/>
      <c r="F31" s="268" t="s">
        <v>2581</v>
      </c>
      <c r="G31" s="5"/>
      <c r="H31" s="5"/>
      <c r="I31" s="5"/>
      <c r="J31" s="5"/>
      <c r="K31" s="5"/>
      <c r="L31" s="5"/>
      <c r="M31" s="5"/>
      <c r="N31" s="5"/>
      <c r="O31" s="5"/>
      <c r="P31" s="5"/>
      <c r="Q31" s="5"/>
      <c r="R31" s="5"/>
      <c r="S31" s="5"/>
      <c r="T31" s="5"/>
      <c r="U31" s="5"/>
      <c r="V31" s="5"/>
      <c r="W31" s="5"/>
      <c r="X31" s="5"/>
      <c r="Y31" s="5"/>
      <c r="Z31" s="5"/>
      <c r="AA31" s="5"/>
      <c r="AB31" s="5"/>
      <c r="AC31" s="5"/>
      <c r="AD31" s="5"/>
      <c r="AE31" s="5"/>
    </row>
    <row r="32">
      <c r="A32" s="272" t="s">
        <v>2563</v>
      </c>
      <c r="B32" s="279">
        <v>44942.125</v>
      </c>
      <c r="C32" s="274" t="s">
        <v>2582</v>
      </c>
      <c r="D32" s="275" t="b">
        <v>1</v>
      </c>
      <c r="E32" s="265" t="s">
        <v>2583</v>
      </c>
      <c r="F32" s="5"/>
      <c r="G32" s="5"/>
      <c r="H32" s="280"/>
      <c r="I32" s="6" t="s">
        <v>2584</v>
      </c>
      <c r="J32" s="5"/>
      <c r="K32" s="5"/>
      <c r="L32" s="5"/>
      <c r="M32" s="5"/>
      <c r="N32" s="5"/>
      <c r="O32" s="5"/>
      <c r="P32" s="5"/>
      <c r="Q32" s="5"/>
      <c r="R32" s="5"/>
      <c r="S32" s="5"/>
      <c r="T32" s="5"/>
      <c r="U32" s="5"/>
      <c r="V32" s="5"/>
      <c r="W32" s="5"/>
      <c r="X32" s="5"/>
      <c r="Y32" s="5"/>
      <c r="Z32" s="5"/>
      <c r="AA32" s="5"/>
      <c r="AB32" s="5"/>
      <c r="AC32" s="5"/>
      <c r="AD32" s="5"/>
      <c r="AE32" s="5"/>
    </row>
    <row r="33">
      <c r="A33" s="272" t="s">
        <v>2563</v>
      </c>
      <c r="B33" s="279">
        <v>44942.125</v>
      </c>
      <c r="C33" s="274" t="s">
        <v>2585</v>
      </c>
      <c r="D33" s="275" t="b">
        <v>1</v>
      </c>
      <c r="E33" s="265" t="s">
        <v>2583</v>
      </c>
      <c r="F33" s="5"/>
      <c r="G33" s="5"/>
      <c r="H33" s="280"/>
      <c r="I33" s="6" t="s">
        <v>2584</v>
      </c>
      <c r="J33" s="5"/>
      <c r="K33" s="5"/>
      <c r="L33" s="5"/>
      <c r="M33" s="5"/>
      <c r="N33" s="5"/>
      <c r="O33" s="5"/>
      <c r="P33" s="5"/>
      <c r="Q33" s="5"/>
      <c r="R33" s="5"/>
      <c r="S33" s="5"/>
      <c r="T33" s="5"/>
      <c r="U33" s="5"/>
      <c r="V33" s="5"/>
      <c r="W33" s="5"/>
      <c r="X33" s="5"/>
      <c r="Y33" s="5"/>
      <c r="Z33" s="5"/>
      <c r="AA33" s="5"/>
      <c r="AB33" s="5"/>
      <c r="AC33" s="5"/>
      <c r="AD33" s="5"/>
      <c r="AE33" s="5"/>
    </row>
    <row r="34">
      <c r="A34" s="272" t="s">
        <v>2563</v>
      </c>
      <c r="B34" s="276">
        <v>44943.71640038195</v>
      </c>
      <c r="C34" s="274" t="s">
        <v>2586</v>
      </c>
      <c r="D34" s="275" t="b">
        <v>1</v>
      </c>
      <c r="E34" s="265" t="s">
        <v>2587</v>
      </c>
      <c r="F34" s="5"/>
      <c r="G34" s="5"/>
      <c r="H34" s="280"/>
      <c r="I34" s="5"/>
      <c r="J34" s="5"/>
      <c r="K34" s="5"/>
      <c r="L34" s="5"/>
      <c r="M34" s="5"/>
      <c r="N34" s="5"/>
      <c r="O34" s="5"/>
      <c r="P34" s="5"/>
      <c r="Q34" s="5"/>
      <c r="R34" s="5"/>
      <c r="S34" s="5"/>
      <c r="T34" s="5"/>
      <c r="U34" s="5"/>
      <c r="V34" s="5"/>
      <c r="W34" s="5"/>
      <c r="X34" s="5"/>
      <c r="Y34" s="5"/>
      <c r="Z34" s="5"/>
      <c r="AA34" s="5"/>
      <c r="AB34" s="5"/>
      <c r="AC34" s="5"/>
      <c r="AD34" s="5"/>
      <c r="AE34" s="5"/>
    </row>
    <row r="35">
      <c r="A35" s="272" t="s">
        <v>2563</v>
      </c>
      <c r="B35" s="276">
        <v>44943.74894892361</v>
      </c>
      <c r="C35" s="274" t="s">
        <v>2588</v>
      </c>
      <c r="D35" s="275" t="b">
        <v>1</v>
      </c>
      <c r="E35" s="265" t="s">
        <v>2589</v>
      </c>
      <c r="F35" s="5"/>
      <c r="G35" s="5"/>
      <c r="H35" s="5"/>
      <c r="I35" s="5"/>
      <c r="J35" s="5"/>
      <c r="K35" s="5"/>
      <c r="L35" s="5"/>
      <c r="M35" s="5"/>
      <c r="N35" s="5"/>
      <c r="O35" s="5"/>
      <c r="P35" s="5"/>
      <c r="Q35" s="5"/>
      <c r="R35" s="5"/>
      <c r="S35" s="5"/>
      <c r="T35" s="5"/>
      <c r="U35" s="5"/>
      <c r="V35" s="5"/>
      <c r="W35" s="5"/>
      <c r="X35" s="5"/>
      <c r="Y35" s="5"/>
      <c r="Z35" s="5"/>
      <c r="AA35" s="5"/>
      <c r="AB35" s="5"/>
      <c r="AC35" s="5"/>
      <c r="AD35" s="5"/>
      <c r="AE35" s="5"/>
    </row>
    <row r="36">
      <c r="A36" s="281"/>
      <c r="B36" s="276"/>
      <c r="C36" s="274" t="s">
        <v>2590</v>
      </c>
      <c r="D36" s="277" t="b">
        <v>0</v>
      </c>
      <c r="E36" s="265" t="s">
        <v>2591</v>
      </c>
      <c r="F36" s="5"/>
      <c r="G36" s="5"/>
      <c r="H36" s="5"/>
      <c r="I36" s="5"/>
      <c r="J36" s="5"/>
      <c r="K36" s="5"/>
      <c r="L36" s="5"/>
      <c r="M36" s="5"/>
      <c r="N36" s="5"/>
      <c r="O36" s="5"/>
      <c r="P36" s="5"/>
      <c r="Q36" s="5"/>
      <c r="R36" s="5"/>
      <c r="S36" s="5"/>
      <c r="T36" s="5"/>
      <c r="U36" s="5"/>
      <c r="V36" s="5"/>
      <c r="W36" s="5"/>
      <c r="X36" s="5"/>
      <c r="Y36" s="5"/>
      <c r="Z36" s="5"/>
      <c r="AA36" s="5"/>
      <c r="AB36" s="5"/>
      <c r="AC36" s="5"/>
      <c r="AD36" s="5"/>
      <c r="AE36" s="5"/>
    </row>
    <row r="37">
      <c r="A37" s="5"/>
      <c r="B37" s="5"/>
      <c r="C37" s="274"/>
      <c r="D37" s="277"/>
      <c r="E37" s="265"/>
      <c r="F37" s="5"/>
      <c r="G37" s="5"/>
      <c r="H37" s="5"/>
      <c r="I37" s="282"/>
      <c r="J37" s="5"/>
      <c r="K37" s="5"/>
      <c r="L37" s="5"/>
      <c r="M37" s="5"/>
      <c r="N37" s="5"/>
      <c r="O37" s="5"/>
      <c r="P37" s="5"/>
      <c r="Q37" s="5"/>
      <c r="R37" s="5"/>
      <c r="S37" s="5"/>
      <c r="T37" s="5"/>
      <c r="U37" s="5"/>
      <c r="V37" s="5"/>
      <c r="W37" s="5"/>
      <c r="X37" s="5"/>
      <c r="Y37" s="5"/>
      <c r="Z37" s="5"/>
      <c r="AA37" s="5"/>
      <c r="AB37" s="5"/>
      <c r="AC37" s="5"/>
      <c r="AD37" s="5"/>
      <c r="AE37" s="5"/>
    </row>
    <row r="38">
      <c r="A38" s="5"/>
      <c r="B38" s="5"/>
      <c r="C38" s="3"/>
      <c r="D38" s="3"/>
      <c r="E38" s="3"/>
      <c r="F38" s="5"/>
      <c r="G38" s="5"/>
      <c r="H38" s="5"/>
      <c r="I38" s="5"/>
      <c r="J38" s="5"/>
      <c r="K38" s="5"/>
      <c r="L38" s="5"/>
      <c r="M38" s="5"/>
      <c r="N38" s="5"/>
      <c r="O38" s="5"/>
      <c r="P38" s="5"/>
      <c r="Q38" s="5"/>
      <c r="R38" s="5"/>
      <c r="S38" s="5"/>
      <c r="T38" s="5"/>
      <c r="U38" s="5"/>
      <c r="V38" s="5"/>
      <c r="W38" s="5"/>
      <c r="X38" s="5"/>
      <c r="Y38" s="5"/>
      <c r="Z38" s="5"/>
      <c r="AA38" s="5"/>
      <c r="AB38" s="5"/>
      <c r="AC38" s="5"/>
      <c r="AD38" s="5"/>
      <c r="AE38" s="5"/>
    </row>
    <row r="39">
      <c r="A39" s="5"/>
      <c r="B39" s="5"/>
      <c r="C39" s="283"/>
      <c r="D39" s="283"/>
      <c r="E39" s="283"/>
      <c r="F39" s="266"/>
      <c r="G39" s="266"/>
      <c r="H39" s="266"/>
      <c r="I39" s="266"/>
      <c r="J39" s="266"/>
      <c r="K39" s="266"/>
      <c r="L39" s="266"/>
      <c r="M39" s="266"/>
      <c r="N39" s="266"/>
      <c r="O39" s="266"/>
      <c r="S39" s="284"/>
      <c r="T39" s="284"/>
      <c r="U39" s="284"/>
      <c r="V39" s="284"/>
      <c r="W39" s="284"/>
      <c r="X39" s="284"/>
      <c r="Y39" s="284"/>
      <c r="Z39" s="284"/>
    </row>
    <row r="40" ht="21.75" customHeight="1">
      <c r="A40" s="5"/>
      <c r="B40" s="5"/>
      <c r="C40" s="285" t="s">
        <v>2592</v>
      </c>
      <c r="F40" s="5"/>
      <c r="G40" s="5"/>
      <c r="H40" s="5"/>
      <c r="I40" s="5"/>
      <c r="J40" s="5"/>
      <c r="K40" s="5"/>
      <c r="L40" s="5"/>
      <c r="M40" s="5"/>
      <c r="N40" s="5"/>
      <c r="O40" s="5"/>
      <c r="P40" s="5"/>
      <c r="Q40" s="284"/>
      <c r="R40" s="286">
        <f>COUNTA(R41:R1165)</f>
        <v>1</v>
      </c>
      <c r="S40" s="287"/>
      <c r="T40" s="287" t="s">
        <v>2593</v>
      </c>
      <c r="U40" s="287" t="s">
        <v>2594</v>
      </c>
      <c r="V40" s="284"/>
      <c r="W40" s="284"/>
      <c r="X40" s="284"/>
      <c r="Y40" s="284"/>
      <c r="Z40" s="284"/>
    </row>
    <row r="41" outlineLevel="1">
      <c r="A41" s="5"/>
      <c r="B41" s="5"/>
      <c r="C41" s="288" t="s">
        <v>2595</v>
      </c>
      <c r="D41" s="289" t="b">
        <v>1</v>
      </c>
      <c r="E41" s="290" t="s">
        <v>2596</v>
      </c>
      <c r="F41" s="266"/>
      <c r="G41" s="266"/>
      <c r="H41" s="266"/>
      <c r="I41" s="266"/>
      <c r="J41" s="266"/>
      <c r="K41" s="266"/>
      <c r="L41" s="266"/>
      <c r="M41" s="266"/>
      <c r="N41" s="266"/>
      <c r="O41" s="5"/>
      <c r="P41" s="4"/>
      <c r="Q41" s="291" t="s">
        <v>2597</v>
      </c>
      <c r="R41" s="291" t="s">
        <v>2598</v>
      </c>
      <c r="S41" s="292" t="str">
        <f>IF(ISTEXT(R41),CONCATENATE(Q41," ",R41),Q41)</f>
        <v>Note extra</v>
      </c>
      <c r="V41" s="293" t="s">
        <v>2599</v>
      </c>
      <c r="W41" s="293" t="s">
        <v>2600</v>
      </c>
      <c r="X41" s="293" t="s">
        <v>2601</v>
      </c>
      <c r="Y41" s="284"/>
      <c r="Z41" s="284"/>
    </row>
    <row r="42" outlineLevel="1">
      <c r="A42" s="5"/>
      <c r="B42" s="5"/>
      <c r="C42" s="288" t="s">
        <v>2595</v>
      </c>
      <c r="D42" s="289" t="b">
        <v>1</v>
      </c>
      <c r="E42" s="294" t="s">
        <v>2602</v>
      </c>
      <c r="F42" s="266"/>
      <c r="G42" s="266"/>
      <c r="H42" s="266"/>
      <c r="I42" s="266"/>
      <c r="J42" s="266"/>
      <c r="K42" s="266"/>
      <c r="L42" s="266"/>
      <c r="M42" s="266"/>
      <c r="N42" s="266"/>
      <c r="O42" s="5"/>
      <c r="P42" s="4"/>
      <c r="Q42" s="284"/>
      <c r="R42" s="284"/>
      <c r="S42" s="295"/>
      <c r="T42" s="295" t="s">
        <v>2603</v>
      </c>
      <c r="U42" s="296" t="s">
        <v>2604</v>
      </c>
      <c r="V42" s="295" t="s">
        <v>2605</v>
      </c>
      <c r="W42" s="297">
        <v>2.2</v>
      </c>
      <c r="X42" s="295" t="s">
        <v>2606</v>
      </c>
      <c r="Y42" s="284"/>
      <c r="Z42" s="284"/>
    </row>
    <row r="43" outlineLevel="1">
      <c r="A43" s="5"/>
      <c r="B43" s="5"/>
      <c r="C43" s="288" t="s">
        <v>2595</v>
      </c>
      <c r="D43" s="289" t="b">
        <v>1</v>
      </c>
      <c r="E43" s="266"/>
      <c r="F43" s="290" t="s">
        <v>2607</v>
      </c>
      <c r="G43" s="266"/>
      <c r="H43" s="266"/>
      <c r="I43" s="266"/>
      <c r="J43" s="298" t="s">
        <v>2608</v>
      </c>
      <c r="K43" s="266"/>
      <c r="L43" s="266"/>
      <c r="M43" s="266"/>
      <c r="N43" s="266"/>
      <c r="O43" s="5"/>
      <c r="P43" s="5"/>
      <c r="Q43" s="284"/>
      <c r="R43" s="284"/>
      <c r="S43" s="295"/>
      <c r="T43" s="295" t="s">
        <v>2609</v>
      </c>
      <c r="U43" s="296" t="s">
        <v>2610</v>
      </c>
      <c r="V43" s="291" t="s">
        <v>2611</v>
      </c>
      <c r="W43" s="299">
        <v>-1.1</v>
      </c>
      <c r="X43" s="266"/>
      <c r="Y43" s="284"/>
      <c r="Z43" s="284"/>
    </row>
    <row r="44" outlineLevel="1">
      <c r="A44" s="5"/>
      <c r="B44" s="5"/>
      <c r="C44" s="288" t="s">
        <v>2595</v>
      </c>
      <c r="D44" s="289" t="b">
        <v>1</v>
      </c>
      <c r="E44" s="300" t="s">
        <v>2612</v>
      </c>
      <c r="F44" s="266"/>
      <c r="G44" s="266"/>
      <c r="H44" s="266"/>
      <c r="I44" s="266"/>
      <c r="J44" s="266"/>
      <c r="K44" s="266"/>
      <c r="L44" s="266"/>
      <c r="M44" s="266"/>
      <c r="N44" s="266"/>
      <c r="O44" s="5"/>
      <c r="P44" s="5"/>
      <c r="Q44" s="284"/>
      <c r="R44" s="284"/>
      <c r="S44" s="295"/>
      <c r="T44" s="295" t="s">
        <v>2613</v>
      </c>
      <c r="U44" s="296" t="s">
        <v>2614</v>
      </c>
      <c r="V44" s="295" t="s">
        <v>2615</v>
      </c>
      <c r="W44" s="297">
        <v>2.1</v>
      </c>
      <c r="X44" s="295" t="s">
        <v>2616</v>
      </c>
      <c r="Y44" s="284"/>
      <c r="Z44" s="284"/>
    </row>
    <row r="45" outlineLevel="1">
      <c r="A45" s="5"/>
      <c r="B45" s="5"/>
      <c r="C45" s="288" t="s">
        <v>2588</v>
      </c>
      <c r="D45" s="289" t="b">
        <v>1</v>
      </c>
      <c r="E45" s="300" t="s">
        <v>2617</v>
      </c>
      <c r="F45" s="266"/>
      <c r="G45" s="266"/>
      <c r="H45" s="266"/>
      <c r="I45" s="266"/>
      <c r="J45" s="266"/>
      <c r="K45" s="266"/>
      <c r="L45" s="266"/>
      <c r="M45" s="266"/>
      <c r="N45" s="266"/>
      <c r="O45" s="5"/>
      <c r="P45" s="5"/>
      <c r="Q45" s="284"/>
      <c r="R45" s="284"/>
      <c r="S45" s="295"/>
      <c r="T45" s="295" t="s">
        <v>2618</v>
      </c>
      <c r="U45" s="301" t="s">
        <v>2619</v>
      </c>
      <c r="V45" s="266"/>
      <c r="W45" s="297">
        <v>2.3</v>
      </c>
      <c r="X45" s="295" t="s">
        <v>2620</v>
      </c>
      <c r="Y45" s="284"/>
      <c r="Z45" s="284"/>
    </row>
    <row r="46" outlineLevel="1">
      <c r="A46" s="5"/>
      <c r="B46" s="5"/>
      <c r="C46" s="302" t="s">
        <v>2621</v>
      </c>
      <c r="D46" s="289" t="b">
        <v>1</v>
      </c>
      <c r="E46" s="291" t="s">
        <v>2622</v>
      </c>
      <c r="F46" s="266"/>
      <c r="G46" s="266"/>
      <c r="H46" s="266"/>
      <c r="I46" s="266"/>
      <c r="J46" s="266"/>
      <c r="K46" s="266"/>
      <c r="L46" s="266"/>
      <c r="M46" s="266"/>
      <c r="N46" s="266"/>
      <c r="O46" s="5"/>
      <c r="P46" s="5"/>
      <c r="Q46" s="284"/>
      <c r="R46" s="284"/>
      <c r="S46" s="295"/>
      <c r="T46" s="295" t="s">
        <v>2623</v>
      </c>
      <c r="U46" s="296" t="s">
        <v>2624</v>
      </c>
      <c r="V46" s="295"/>
      <c r="W46" s="297">
        <v>2.4</v>
      </c>
      <c r="X46" s="295" t="s">
        <v>2625</v>
      </c>
      <c r="Y46" s="284"/>
      <c r="Z46" s="284"/>
    </row>
    <row r="47" outlineLevel="1">
      <c r="A47" s="5"/>
      <c r="B47" s="5"/>
      <c r="C47" s="302" t="s">
        <v>2621</v>
      </c>
      <c r="D47" s="289" t="b">
        <v>1</v>
      </c>
      <c r="E47" s="294" t="s">
        <v>2626</v>
      </c>
      <c r="F47" s="266"/>
      <c r="G47" s="266"/>
      <c r="H47" s="303"/>
      <c r="I47" s="266"/>
      <c r="J47" s="266"/>
      <c r="K47" s="266"/>
      <c r="L47" s="266"/>
      <c r="M47" s="266"/>
      <c r="N47" s="266"/>
      <c r="O47" s="5"/>
      <c r="P47" s="5"/>
      <c r="Q47" s="284"/>
      <c r="R47" s="284"/>
      <c r="S47" s="295"/>
      <c r="T47" s="295" t="s">
        <v>2627</v>
      </c>
      <c r="U47" s="296" t="s">
        <v>2628</v>
      </c>
      <c r="V47" s="284"/>
      <c r="W47" s="297">
        <v>2.5</v>
      </c>
      <c r="X47" s="295" t="s">
        <v>2629</v>
      </c>
      <c r="Y47" s="284"/>
      <c r="Z47" s="284"/>
    </row>
    <row r="48" outlineLevel="1">
      <c r="A48" s="5"/>
      <c r="B48" s="5"/>
      <c r="C48" s="288" t="s">
        <v>2630</v>
      </c>
      <c r="D48" s="289" t="b">
        <v>1</v>
      </c>
      <c r="E48" s="268"/>
      <c r="F48" s="295" t="s">
        <v>2631</v>
      </c>
      <c r="G48" s="266"/>
      <c r="H48" s="266"/>
      <c r="I48" s="266"/>
      <c r="J48" s="266"/>
      <c r="K48" s="266"/>
      <c r="L48" s="266"/>
      <c r="M48" s="266"/>
      <c r="N48" s="266"/>
      <c r="O48" s="5"/>
      <c r="P48" s="5"/>
      <c r="Q48" s="284"/>
      <c r="R48" s="284"/>
      <c r="S48" s="295"/>
      <c r="T48" s="295" t="s">
        <v>2632</v>
      </c>
      <c r="U48" s="295" t="s">
        <v>2633</v>
      </c>
      <c r="V48" s="284"/>
      <c r="W48" s="297">
        <v>2.6</v>
      </c>
      <c r="X48" s="295" t="s">
        <v>2634</v>
      </c>
      <c r="Y48" s="284"/>
      <c r="Z48" s="284"/>
    </row>
    <row r="49" outlineLevel="1">
      <c r="A49" s="5"/>
      <c r="B49" s="5"/>
      <c r="C49" s="288" t="s">
        <v>2630</v>
      </c>
      <c r="D49" s="289" t="b">
        <v>1</v>
      </c>
      <c r="E49" s="268"/>
      <c r="F49" s="290" t="s">
        <v>2596</v>
      </c>
      <c r="G49" s="266"/>
      <c r="H49" s="266"/>
      <c r="I49" s="266"/>
      <c r="J49" s="266"/>
      <c r="K49" s="266"/>
      <c r="L49" s="266"/>
      <c r="M49" s="266"/>
      <c r="N49" s="266"/>
      <c r="O49" s="5"/>
      <c r="P49" s="5"/>
      <c r="Q49" s="284"/>
      <c r="R49" s="284"/>
      <c r="S49" s="295"/>
      <c r="T49" s="295" t="s">
        <v>2635</v>
      </c>
      <c r="U49" s="295" t="s">
        <v>2636</v>
      </c>
      <c r="V49" s="284"/>
      <c r="W49" s="297">
        <v>2.7</v>
      </c>
      <c r="X49" s="295" t="s">
        <v>2637</v>
      </c>
      <c r="Y49" s="284"/>
      <c r="Z49" s="284"/>
    </row>
    <row r="50" outlineLevel="1">
      <c r="A50" s="5"/>
      <c r="B50" s="5"/>
      <c r="C50" s="288" t="s">
        <v>2630</v>
      </c>
      <c r="D50" s="289" t="b">
        <v>1</v>
      </c>
      <c r="E50" s="268"/>
      <c r="F50" s="295" t="s">
        <v>2638</v>
      </c>
      <c r="G50" s="266"/>
      <c r="H50" s="266"/>
      <c r="I50" s="266"/>
      <c r="J50" s="266"/>
      <c r="K50" s="266"/>
      <c r="L50" s="266"/>
      <c r="M50" s="266"/>
      <c r="N50" s="266"/>
      <c r="O50" s="5"/>
      <c r="P50" s="5"/>
      <c r="Q50" s="284"/>
      <c r="R50" s="284"/>
      <c r="S50" s="295"/>
      <c r="T50" s="295" t="s">
        <v>2639</v>
      </c>
      <c r="U50" s="295" t="s">
        <v>2640</v>
      </c>
      <c r="V50" s="284"/>
      <c r="W50" s="297">
        <v>3.0</v>
      </c>
      <c r="X50" s="295" t="s">
        <v>2641</v>
      </c>
      <c r="Y50" s="284"/>
      <c r="Z50" s="284"/>
    </row>
    <row r="51" outlineLevel="1">
      <c r="A51" s="5"/>
      <c r="B51" s="5"/>
      <c r="C51" s="288" t="s">
        <v>2630</v>
      </c>
      <c r="D51" s="289" t="b">
        <v>1</v>
      </c>
      <c r="E51" s="268"/>
      <c r="F51" s="295" t="s">
        <v>2642</v>
      </c>
      <c r="G51" s="266"/>
      <c r="H51" s="266"/>
      <c r="I51" s="266"/>
      <c r="J51" s="266"/>
      <c r="K51" s="266"/>
      <c r="L51" s="266"/>
      <c r="M51" s="266"/>
      <c r="N51" s="266"/>
      <c r="O51" s="5"/>
      <c r="P51" s="5"/>
      <c r="Q51" s="284"/>
      <c r="R51" s="284"/>
      <c r="S51" s="295"/>
      <c r="T51" s="295" t="s">
        <v>2643</v>
      </c>
      <c r="U51" s="295" t="s">
        <v>2644</v>
      </c>
      <c r="V51" s="284"/>
      <c r="W51" s="297">
        <v>4.0</v>
      </c>
      <c r="X51" s="291" t="s">
        <v>2645</v>
      </c>
      <c r="Y51" s="284"/>
      <c r="Z51" s="284"/>
    </row>
    <row r="52" outlineLevel="1">
      <c r="A52" s="5"/>
      <c r="B52" s="5"/>
      <c r="C52" s="288" t="s">
        <v>2630</v>
      </c>
      <c r="D52" s="289" t="b">
        <v>1</v>
      </c>
      <c r="E52" s="268"/>
      <c r="F52" s="295"/>
      <c r="G52" s="295" t="s">
        <v>2646</v>
      </c>
      <c r="H52" s="266"/>
      <c r="I52" s="266"/>
      <c r="J52" s="266"/>
      <c r="K52" s="266"/>
      <c r="L52" s="266"/>
      <c r="M52" s="266"/>
      <c r="N52" s="266"/>
      <c r="O52" s="5"/>
      <c r="P52" s="5"/>
      <c r="Q52" s="284"/>
      <c r="R52" s="284"/>
      <c r="S52" s="284"/>
      <c r="T52" s="284"/>
      <c r="U52" s="266"/>
      <c r="V52" s="284"/>
      <c r="W52" s="297">
        <v>5.1</v>
      </c>
      <c r="X52" s="291" t="s">
        <v>2647</v>
      </c>
      <c r="Y52" s="284"/>
      <c r="Z52" s="284"/>
    </row>
    <row r="53" outlineLevel="1">
      <c r="A53" s="5"/>
      <c r="B53" s="5"/>
      <c r="C53" s="288" t="s">
        <v>2630</v>
      </c>
      <c r="D53" s="289" t="b">
        <v>1</v>
      </c>
      <c r="E53" s="268"/>
      <c r="F53" s="295"/>
      <c r="G53" s="295" t="s">
        <v>2648</v>
      </c>
      <c r="H53" s="266"/>
      <c r="I53" s="266"/>
      <c r="J53" s="266"/>
      <c r="K53" s="266"/>
      <c r="L53" s="266"/>
      <c r="M53" s="266"/>
      <c r="N53" s="266"/>
      <c r="O53" s="5"/>
      <c r="P53" s="5"/>
      <c r="Q53" s="284"/>
      <c r="R53" s="284"/>
      <c r="S53" s="284"/>
      <c r="T53" s="284"/>
      <c r="U53" s="266"/>
      <c r="V53" s="284"/>
      <c r="W53" s="297">
        <v>5.2</v>
      </c>
      <c r="X53" s="291" t="s">
        <v>2649</v>
      </c>
      <c r="Y53" s="284"/>
      <c r="Z53" s="284"/>
    </row>
    <row r="54" outlineLevel="1">
      <c r="A54" s="5"/>
      <c r="B54" s="5"/>
      <c r="C54" s="288" t="s">
        <v>2630</v>
      </c>
      <c r="D54" s="289" t="b">
        <v>1</v>
      </c>
      <c r="E54" s="268"/>
      <c r="F54" s="295" t="s">
        <v>2650</v>
      </c>
      <c r="G54" s="266"/>
      <c r="H54" s="266"/>
      <c r="I54" s="266"/>
      <c r="J54" s="266"/>
      <c r="K54" s="266"/>
      <c r="L54" s="266"/>
      <c r="M54" s="266"/>
      <c r="N54" s="266"/>
      <c r="O54" s="5"/>
      <c r="P54" s="5"/>
      <c r="Q54" s="284"/>
      <c r="R54" s="284"/>
      <c r="S54" s="284"/>
      <c r="T54" s="284"/>
      <c r="U54" s="284"/>
      <c r="V54" s="284"/>
      <c r="W54" s="304">
        <v>5.3</v>
      </c>
      <c r="X54" s="266" t="s">
        <v>2651</v>
      </c>
      <c r="Y54" s="284"/>
      <c r="Z54" s="284"/>
    </row>
    <row r="55" outlineLevel="1">
      <c r="A55" s="5"/>
      <c r="B55" s="5"/>
      <c r="C55" s="288" t="s">
        <v>2630</v>
      </c>
      <c r="D55" s="289" t="b">
        <v>1</v>
      </c>
      <c r="E55" s="268"/>
      <c r="F55" s="305" t="s">
        <v>2652</v>
      </c>
      <c r="G55" s="266"/>
      <c r="H55" s="266"/>
      <c r="I55" s="266"/>
      <c r="J55" s="266"/>
      <c r="K55" s="266"/>
      <c r="L55" s="266"/>
      <c r="M55" s="266"/>
      <c r="N55" s="266"/>
      <c r="O55" s="5"/>
      <c r="P55" s="5"/>
      <c r="Q55" s="284"/>
      <c r="R55" s="284"/>
      <c r="S55" s="284"/>
      <c r="T55" s="284"/>
      <c r="U55" s="284"/>
      <c r="V55" s="284"/>
      <c r="W55" s="304">
        <v>5.4</v>
      </c>
      <c r="X55" s="268" t="s">
        <v>2653</v>
      </c>
      <c r="Y55" s="284"/>
      <c r="Z55" s="284"/>
    </row>
    <row r="56" outlineLevel="1">
      <c r="A56" s="5"/>
      <c r="B56" s="5"/>
      <c r="C56" s="288" t="s">
        <v>2621</v>
      </c>
      <c r="D56" s="289" t="b">
        <v>1</v>
      </c>
      <c r="E56" s="268"/>
      <c r="F56" s="295" t="s">
        <v>2654</v>
      </c>
      <c r="G56" s="266"/>
      <c r="H56" s="306"/>
      <c r="I56" s="266"/>
      <c r="J56" s="266"/>
      <c r="K56" s="266"/>
      <c r="L56" s="266"/>
      <c r="M56" s="266"/>
      <c r="N56" s="266"/>
      <c r="O56" s="5"/>
      <c r="P56" s="5"/>
      <c r="Q56" s="284"/>
      <c r="R56" s="284"/>
      <c r="S56" s="284"/>
      <c r="T56" s="284"/>
      <c r="U56" s="284"/>
      <c r="V56" s="284"/>
      <c r="W56" s="293"/>
      <c r="X56" s="266"/>
      <c r="Y56" s="284"/>
      <c r="Z56" s="284"/>
    </row>
    <row r="57" outlineLevel="1">
      <c r="A57" s="5"/>
      <c r="B57" s="5"/>
      <c r="C57" s="288" t="s">
        <v>2621</v>
      </c>
      <c r="D57" s="289" t="b">
        <v>1</v>
      </c>
      <c r="E57" s="290" t="s">
        <v>2655</v>
      </c>
      <c r="F57" s="266"/>
      <c r="G57" s="266"/>
      <c r="H57" s="303"/>
      <c r="I57" s="266"/>
      <c r="J57" s="266"/>
      <c r="K57" s="266"/>
      <c r="L57" s="266"/>
      <c r="M57" s="266"/>
      <c r="N57" s="266"/>
      <c r="O57" s="5"/>
      <c r="P57" s="5"/>
      <c r="Q57" s="284"/>
      <c r="R57" s="284"/>
      <c r="S57" s="284"/>
      <c r="T57" s="284"/>
      <c r="U57" s="284"/>
      <c r="V57" s="284"/>
      <c r="W57" s="304">
        <v>-5.0</v>
      </c>
      <c r="X57" s="266" t="s">
        <v>2656</v>
      </c>
      <c r="Y57" s="284"/>
      <c r="Z57" s="284"/>
    </row>
    <row r="58" outlineLevel="1">
      <c r="A58" s="5"/>
      <c r="B58" s="5"/>
      <c r="C58" s="288" t="s">
        <v>2621</v>
      </c>
      <c r="D58" s="289" t="b">
        <v>1</v>
      </c>
      <c r="E58" s="290" t="s">
        <v>2596</v>
      </c>
      <c r="F58" s="266"/>
      <c r="G58" s="266"/>
      <c r="H58" s="303"/>
      <c r="I58" s="266"/>
      <c r="J58" s="266"/>
      <c r="K58" s="266"/>
      <c r="L58" s="266"/>
      <c r="M58" s="266"/>
      <c r="N58" s="266"/>
      <c r="O58" s="5"/>
      <c r="P58" s="5"/>
      <c r="Q58" s="284"/>
      <c r="R58" s="284"/>
      <c r="S58" s="284"/>
      <c r="T58" s="284"/>
      <c r="U58" s="284"/>
      <c r="V58" s="284"/>
      <c r="W58" s="304">
        <v>6.0</v>
      </c>
      <c r="X58" s="266" t="s">
        <v>2657</v>
      </c>
      <c r="Y58" s="284"/>
      <c r="Z58" s="284"/>
    </row>
    <row r="59" outlineLevel="1">
      <c r="A59" s="5"/>
      <c r="B59" s="5"/>
      <c r="C59" s="288" t="s">
        <v>2658</v>
      </c>
      <c r="D59" s="289" t="b">
        <v>1</v>
      </c>
      <c r="E59" s="290" t="s">
        <v>2659</v>
      </c>
      <c r="F59" s="266"/>
      <c r="G59" s="266"/>
      <c r="H59" s="303"/>
      <c r="I59" s="266"/>
      <c r="J59" s="266"/>
      <c r="K59" s="266"/>
      <c r="L59" s="266"/>
      <c r="M59" s="266"/>
      <c r="N59" s="266"/>
      <c r="O59" s="5"/>
      <c r="P59" s="5"/>
      <c r="Q59" s="284"/>
      <c r="R59" s="284"/>
      <c r="S59" s="284"/>
      <c r="T59" s="284"/>
      <c r="U59" s="284"/>
      <c r="V59" s="284"/>
      <c r="W59" s="304">
        <v>7.0</v>
      </c>
      <c r="X59" s="266" t="s">
        <v>2660</v>
      </c>
      <c r="Y59" s="284"/>
      <c r="Z59" s="284"/>
    </row>
    <row r="60" outlineLevel="1">
      <c r="A60" s="5"/>
      <c r="B60" s="5"/>
      <c r="C60" s="288" t="s">
        <v>2621</v>
      </c>
      <c r="D60" s="289" t="b">
        <v>1</v>
      </c>
      <c r="E60" s="290" t="s">
        <v>2661</v>
      </c>
      <c r="F60" s="266"/>
      <c r="G60" s="266"/>
      <c r="H60" s="307"/>
      <c r="I60" s="266"/>
      <c r="J60" s="266"/>
      <c r="K60" s="266"/>
      <c r="L60" s="266"/>
      <c r="M60" s="266"/>
      <c r="N60" s="266"/>
      <c r="O60" s="5"/>
      <c r="P60" s="5"/>
      <c r="Q60" s="284"/>
      <c r="R60" s="284"/>
      <c r="S60" s="308"/>
      <c r="T60" s="308"/>
      <c r="U60" s="284"/>
      <c r="V60" s="309"/>
      <c r="W60" s="293"/>
      <c r="X60" s="266"/>
      <c r="Y60" s="284"/>
      <c r="Z60" s="284"/>
    </row>
    <row r="61" outlineLevel="1">
      <c r="A61" s="5"/>
      <c r="B61" s="5"/>
      <c r="C61" s="310"/>
      <c r="D61" s="311" t="b">
        <v>0</v>
      </c>
      <c r="E61" s="312" t="s">
        <v>2662</v>
      </c>
      <c r="F61" s="313"/>
      <c r="G61" s="313"/>
      <c r="H61" s="314"/>
      <c r="I61" s="313"/>
      <c r="J61" s="313"/>
      <c r="K61" s="313"/>
      <c r="L61" s="313"/>
      <c r="M61" s="313"/>
      <c r="N61" s="313"/>
      <c r="O61" s="266"/>
      <c r="P61" s="5"/>
      <c r="Q61" s="284"/>
      <c r="R61" s="284"/>
      <c r="S61" s="295"/>
      <c r="T61" s="308" t="s">
        <v>2663</v>
      </c>
      <c r="U61" s="284"/>
      <c r="V61" s="309" t="s">
        <v>2664</v>
      </c>
      <c r="W61" s="293" t="s">
        <v>2665</v>
      </c>
      <c r="X61" s="266"/>
      <c r="Y61" s="284"/>
      <c r="Z61" s="284"/>
    </row>
    <row r="62" outlineLevel="1">
      <c r="A62" s="5"/>
      <c r="B62" s="5"/>
      <c r="C62" s="288" t="s">
        <v>2666</v>
      </c>
      <c r="D62" s="289"/>
      <c r="E62" s="290"/>
      <c r="F62" s="266"/>
      <c r="G62" s="266"/>
      <c r="H62" s="307"/>
      <c r="I62" s="266"/>
      <c r="J62" s="266"/>
      <c r="K62" s="266"/>
      <c r="L62" s="266"/>
      <c r="M62" s="266"/>
      <c r="N62" s="266"/>
      <c r="O62" s="266"/>
      <c r="P62" s="5"/>
      <c r="Q62" s="284"/>
      <c r="R62" s="284"/>
      <c r="S62" s="295"/>
      <c r="T62" s="308"/>
      <c r="U62" s="284"/>
      <c r="V62" s="309"/>
      <c r="W62" s="293"/>
      <c r="X62" s="266"/>
      <c r="Y62" s="284"/>
      <c r="Z62" s="284"/>
    </row>
    <row r="63" outlineLevel="1">
      <c r="A63" s="5"/>
      <c r="B63" s="5"/>
      <c r="C63" s="315" t="s">
        <v>2593</v>
      </c>
      <c r="D63" s="316" t="s">
        <v>2667</v>
      </c>
      <c r="E63" s="3"/>
      <c r="F63" s="5"/>
      <c r="G63" s="5"/>
      <c r="H63" s="316" t="s">
        <v>2668</v>
      </c>
      <c r="I63" s="5"/>
      <c r="J63" s="317" t="s">
        <v>2669</v>
      </c>
      <c r="K63" s="266"/>
      <c r="L63" s="266"/>
      <c r="M63" s="266"/>
      <c r="N63" s="266"/>
      <c r="O63" s="266"/>
      <c r="P63" s="5"/>
      <c r="Q63" s="284"/>
      <c r="R63" s="284"/>
      <c r="S63" s="295"/>
      <c r="T63" s="308"/>
      <c r="U63" s="284"/>
      <c r="V63" s="309"/>
      <c r="W63" s="293"/>
      <c r="X63" s="266"/>
      <c r="Y63" s="284"/>
      <c r="Z63" s="284"/>
    </row>
    <row r="64" outlineLevel="1">
      <c r="A64" s="5"/>
      <c r="B64" s="5"/>
      <c r="C64" s="278" t="s">
        <v>2603</v>
      </c>
      <c r="D64" s="265" t="s">
        <v>2604</v>
      </c>
      <c r="E64" s="3"/>
      <c r="F64" s="5"/>
      <c r="G64" s="5"/>
      <c r="H64" s="278" t="s">
        <v>2670</v>
      </c>
      <c r="I64" s="5"/>
      <c r="J64" s="268"/>
      <c r="K64" s="266"/>
      <c r="L64" s="266"/>
      <c r="M64" s="266"/>
      <c r="N64" s="266"/>
      <c r="O64" s="266"/>
      <c r="P64" s="5"/>
      <c r="Q64" s="284"/>
      <c r="R64" s="284"/>
      <c r="S64" s="295"/>
      <c r="T64" s="308"/>
      <c r="U64" s="284"/>
      <c r="V64" s="309"/>
      <c r="W64" s="293"/>
      <c r="X64" s="266"/>
      <c r="Y64" s="284"/>
      <c r="Z64" s="284"/>
    </row>
    <row r="65" outlineLevel="1">
      <c r="A65" s="5"/>
      <c r="B65" s="5"/>
      <c r="C65" s="278" t="s">
        <v>2609</v>
      </c>
      <c r="D65" s="278" t="s">
        <v>2610</v>
      </c>
      <c r="E65" s="3"/>
      <c r="F65" s="5"/>
      <c r="G65" s="5"/>
      <c r="H65" s="3" t="s">
        <v>2671</v>
      </c>
      <c r="I65" s="5"/>
      <c r="J65" s="266"/>
      <c r="K65" s="266"/>
      <c r="L65" s="266"/>
      <c r="M65" s="266"/>
      <c r="N65" s="266"/>
      <c r="O65" s="266"/>
      <c r="P65" s="5"/>
      <c r="Q65" s="284"/>
      <c r="R65" s="284"/>
      <c r="S65" s="295"/>
      <c r="T65" s="308"/>
      <c r="U65" s="284"/>
      <c r="V65" s="309"/>
      <c r="W65" s="293"/>
      <c r="X65" s="266"/>
      <c r="Y65" s="284"/>
      <c r="Z65" s="284"/>
    </row>
    <row r="66" outlineLevel="1">
      <c r="A66" s="5"/>
      <c r="B66" s="5"/>
      <c r="C66" s="278" t="s">
        <v>2613</v>
      </c>
      <c r="D66" s="265" t="s">
        <v>2614</v>
      </c>
      <c r="E66" s="3"/>
      <c r="F66" s="5"/>
      <c r="G66" s="5"/>
      <c r="H66" s="318"/>
      <c r="I66" s="5"/>
      <c r="J66" s="266"/>
      <c r="K66" s="266"/>
      <c r="L66" s="266"/>
      <c r="M66" s="266"/>
      <c r="N66" s="266"/>
      <c r="O66" s="266"/>
      <c r="P66" s="5"/>
      <c r="Q66" s="284"/>
      <c r="R66" s="284"/>
      <c r="S66" s="295"/>
      <c r="T66" s="308"/>
      <c r="U66" s="284"/>
      <c r="V66" s="309"/>
      <c r="W66" s="293"/>
      <c r="X66" s="266"/>
      <c r="Y66" s="284"/>
      <c r="Z66" s="284"/>
    </row>
    <row r="67" outlineLevel="1">
      <c r="A67" s="5"/>
      <c r="B67" s="5"/>
      <c r="C67" s="278" t="s">
        <v>2618</v>
      </c>
      <c r="D67" s="265" t="s">
        <v>2619</v>
      </c>
      <c r="E67" s="3"/>
      <c r="F67" s="5"/>
      <c r="G67" s="5"/>
      <c r="H67" s="318"/>
      <c r="I67" s="5"/>
      <c r="J67" s="266"/>
      <c r="K67" s="266"/>
      <c r="L67" s="266"/>
      <c r="M67" s="266"/>
      <c r="N67" s="266"/>
      <c r="O67" s="266"/>
      <c r="P67" s="5"/>
      <c r="Q67" s="284"/>
      <c r="R67" s="284"/>
      <c r="S67" s="295"/>
      <c r="T67" s="308"/>
      <c r="U67" s="284"/>
      <c r="V67" s="309"/>
      <c r="W67" s="293"/>
      <c r="X67" s="266"/>
      <c r="Y67" s="284"/>
      <c r="Z67" s="284"/>
    </row>
    <row r="68" outlineLevel="1">
      <c r="A68" s="5"/>
      <c r="B68" s="5"/>
      <c r="C68" s="278" t="s">
        <v>2623</v>
      </c>
      <c r="D68" s="278" t="s">
        <v>2624</v>
      </c>
      <c r="E68" s="3"/>
      <c r="F68" s="5"/>
      <c r="G68" s="5"/>
      <c r="H68" s="3"/>
      <c r="I68" s="5"/>
      <c r="J68" s="266"/>
      <c r="K68" s="266"/>
      <c r="L68" s="266"/>
      <c r="M68" s="266"/>
      <c r="N68" s="266"/>
      <c r="O68" s="266"/>
      <c r="P68" s="5"/>
      <c r="Q68" s="284"/>
      <c r="R68" s="284"/>
      <c r="S68" s="295"/>
      <c r="T68" s="308"/>
      <c r="U68" s="284"/>
      <c r="V68" s="309"/>
      <c r="W68" s="293"/>
      <c r="X68" s="266"/>
      <c r="Y68" s="284"/>
      <c r="Z68" s="284"/>
    </row>
    <row r="69" outlineLevel="1">
      <c r="A69" s="5"/>
      <c r="B69" s="5"/>
      <c r="C69" s="278" t="s">
        <v>2627</v>
      </c>
      <c r="D69" s="278" t="s">
        <v>2628</v>
      </c>
      <c r="E69" s="3"/>
      <c r="F69" s="5"/>
      <c r="G69" s="5"/>
      <c r="H69" s="278"/>
      <c r="I69" s="5"/>
      <c r="J69" s="268"/>
      <c r="K69" s="266"/>
      <c r="L69" s="266"/>
      <c r="M69" s="266"/>
      <c r="N69" s="266"/>
      <c r="O69" s="266"/>
      <c r="P69" s="5"/>
      <c r="Q69" s="284"/>
      <c r="R69" s="284"/>
      <c r="S69" s="295"/>
      <c r="T69" s="308"/>
      <c r="U69" s="284"/>
      <c r="V69" s="309"/>
      <c r="W69" s="293"/>
      <c r="X69" s="266"/>
      <c r="Y69" s="284"/>
      <c r="Z69" s="284"/>
    </row>
    <row r="70" outlineLevel="1">
      <c r="A70" s="5"/>
      <c r="B70" s="5"/>
      <c r="C70" s="278" t="s">
        <v>2632</v>
      </c>
      <c r="D70" s="265" t="s">
        <v>2633</v>
      </c>
      <c r="E70" s="3"/>
      <c r="F70" s="5"/>
      <c r="G70" s="5"/>
      <c r="H70" s="3" t="s">
        <v>2672</v>
      </c>
      <c r="I70" s="5"/>
      <c r="J70" s="266"/>
      <c r="K70" s="266"/>
      <c r="L70" s="266"/>
      <c r="M70" s="266"/>
      <c r="N70" s="266"/>
      <c r="O70" s="266"/>
      <c r="P70" s="5"/>
      <c r="Q70" s="284"/>
      <c r="R70" s="284"/>
      <c r="S70" s="295"/>
      <c r="T70" s="308"/>
      <c r="U70" s="284"/>
      <c r="V70" s="309"/>
      <c r="W70" s="293"/>
      <c r="X70" s="266"/>
      <c r="Y70" s="284"/>
      <c r="Z70" s="284"/>
    </row>
    <row r="71" outlineLevel="1">
      <c r="A71" s="5"/>
      <c r="B71" s="5"/>
      <c r="C71" s="278" t="s">
        <v>2635</v>
      </c>
      <c r="D71" s="278" t="s">
        <v>2636</v>
      </c>
      <c r="E71" s="3"/>
      <c r="F71" s="5"/>
      <c r="G71" s="5"/>
      <c r="H71" s="3" t="s">
        <v>2673</v>
      </c>
      <c r="I71" s="5"/>
      <c r="J71" s="268"/>
      <c r="K71" s="266"/>
      <c r="L71" s="266"/>
      <c r="M71" s="266"/>
      <c r="N71" s="266"/>
      <c r="O71" s="266"/>
      <c r="P71" s="5"/>
      <c r="Q71" s="284"/>
      <c r="R71" s="284"/>
      <c r="S71" s="295"/>
      <c r="T71" s="308"/>
      <c r="U71" s="284"/>
      <c r="V71" s="309"/>
      <c r="W71" s="293"/>
      <c r="X71" s="266"/>
      <c r="Y71" s="284"/>
      <c r="Z71" s="284"/>
    </row>
    <row r="72" outlineLevel="1">
      <c r="A72" s="5"/>
      <c r="B72" s="5"/>
      <c r="C72" s="278" t="s">
        <v>2639</v>
      </c>
      <c r="D72" s="278" t="s">
        <v>2640</v>
      </c>
      <c r="E72" s="3"/>
      <c r="F72" s="5"/>
      <c r="G72" s="5"/>
      <c r="H72" s="3"/>
      <c r="I72" s="5"/>
      <c r="J72" s="266"/>
      <c r="K72" s="266"/>
      <c r="L72" s="266"/>
      <c r="M72" s="266"/>
      <c r="N72" s="266"/>
      <c r="O72" s="266"/>
      <c r="P72" s="5"/>
      <c r="Q72" s="284"/>
      <c r="R72" s="284"/>
      <c r="S72" s="295"/>
      <c r="T72" s="308"/>
      <c r="U72" s="284"/>
      <c r="V72" s="309"/>
      <c r="W72" s="293"/>
      <c r="X72" s="266"/>
      <c r="Y72" s="284"/>
      <c r="Z72" s="284"/>
    </row>
    <row r="73" outlineLevel="1">
      <c r="A73" s="5"/>
      <c r="B73" s="5"/>
      <c r="C73" s="278" t="s">
        <v>2643</v>
      </c>
      <c r="D73" s="278" t="s">
        <v>2644</v>
      </c>
      <c r="E73" s="3"/>
      <c r="F73" s="5"/>
      <c r="G73" s="5"/>
      <c r="H73" s="3"/>
      <c r="I73" s="5"/>
      <c r="J73" s="266"/>
      <c r="K73" s="266"/>
      <c r="L73" s="266"/>
      <c r="M73" s="266"/>
      <c r="N73" s="266"/>
      <c r="O73" s="266"/>
      <c r="P73" s="5"/>
      <c r="Q73" s="284"/>
      <c r="R73" s="284"/>
      <c r="S73" s="295"/>
      <c r="T73" s="308"/>
      <c r="U73" s="284"/>
      <c r="V73" s="309"/>
      <c r="W73" s="293"/>
      <c r="X73" s="266"/>
      <c r="Y73" s="284"/>
      <c r="Z73" s="284"/>
    </row>
    <row r="74" outlineLevel="1">
      <c r="A74" s="5"/>
      <c r="B74" s="5"/>
      <c r="C74" s="3"/>
      <c r="D74" s="3"/>
      <c r="E74" s="3"/>
      <c r="F74" s="5"/>
      <c r="G74" s="5"/>
      <c r="H74" s="3"/>
      <c r="I74" s="5"/>
      <c r="J74" s="266"/>
      <c r="K74" s="266"/>
      <c r="L74" s="266"/>
      <c r="M74" s="266"/>
      <c r="N74" s="266"/>
      <c r="O74" s="266"/>
      <c r="P74" s="5"/>
      <c r="Q74" s="284"/>
      <c r="R74" s="284"/>
      <c r="S74" s="295"/>
      <c r="T74" s="308"/>
      <c r="U74" s="284"/>
      <c r="V74" s="309"/>
      <c r="W74" s="293"/>
      <c r="X74" s="266"/>
      <c r="Y74" s="284"/>
      <c r="Z74" s="284"/>
    </row>
    <row r="75" outlineLevel="1">
      <c r="A75" s="5"/>
      <c r="B75" s="5"/>
      <c r="C75" s="3"/>
      <c r="D75" s="3"/>
      <c r="E75" s="3"/>
      <c r="F75" s="5"/>
      <c r="G75" s="5"/>
      <c r="H75" s="3"/>
      <c r="I75" s="5"/>
      <c r="J75" s="5"/>
      <c r="K75" s="266"/>
      <c r="L75" s="266"/>
      <c r="M75" s="266"/>
      <c r="N75" s="266"/>
      <c r="O75" s="266"/>
      <c r="P75" s="5"/>
      <c r="Q75" s="284"/>
      <c r="R75" s="284"/>
      <c r="S75" s="295"/>
      <c r="T75" s="308"/>
      <c r="U75" s="284"/>
      <c r="V75" s="309"/>
      <c r="W75" s="293"/>
      <c r="X75" s="266"/>
      <c r="Y75" s="284"/>
      <c r="Z75" s="284"/>
    </row>
    <row r="76" outlineLevel="1">
      <c r="A76" s="5"/>
      <c r="B76" s="5"/>
      <c r="C76" s="3"/>
      <c r="D76" s="3"/>
      <c r="E76" s="3"/>
      <c r="F76" s="5"/>
      <c r="G76" s="5"/>
      <c r="H76" s="3"/>
      <c r="I76" s="5"/>
      <c r="J76" s="5"/>
      <c r="K76" s="266"/>
      <c r="L76" s="266"/>
      <c r="M76" s="266"/>
      <c r="N76" s="266"/>
      <c r="O76" s="266"/>
      <c r="P76" s="5"/>
      <c r="Q76" s="284"/>
      <c r="R76" s="284"/>
      <c r="S76" s="295"/>
      <c r="T76" s="308"/>
      <c r="U76" s="284"/>
      <c r="V76" s="309"/>
      <c r="W76" s="293"/>
      <c r="X76" s="266"/>
      <c r="Y76" s="284"/>
      <c r="Z76" s="284"/>
    </row>
    <row r="77" outlineLevel="1">
      <c r="A77" s="5"/>
      <c r="B77" s="5"/>
      <c r="C77" s="3"/>
      <c r="D77" s="3"/>
      <c r="E77" s="3"/>
      <c r="F77" s="5"/>
      <c r="G77" s="5"/>
      <c r="H77" s="3"/>
      <c r="I77" s="5"/>
      <c r="J77" s="5"/>
      <c r="K77" s="266"/>
      <c r="L77" s="266"/>
      <c r="M77" s="266"/>
      <c r="N77" s="266"/>
      <c r="O77" s="266"/>
      <c r="P77" s="5"/>
      <c r="Q77" s="284"/>
      <c r="R77" s="284"/>
      <c r="S77" s="295"/>
      <c r="T77" s="308"/>
      <c r="U77" s="284"/>
      <c r="V77" s="309"/>
      <c r="W77" s="293"/>
      <c r="X77" s="266"/>
      <c r="Y77" s="284"/>
      <c r="Z77" s="284"/>
    </row>
    <row r="78">
      <c r="A78" s="5"/>
      <c r="B78" s="5"/>
      <c r="C78" s="285" t="s">
        <v>2674</v>
      </c>
      <c r="E78" s="268"/>
      <c r="F78" s="266"/>
      <c r="G78" s="266"/>
      <c r="H78" s="266"/>
      <c r="I78" s="266"/>
      <c r="J78" s="266"/>
      <c r="K78" s="266"/>
      <c r="L78" s="266"/>
      <c r="M78" s="268"/>
      <c r="N78" s="266"/>
      <c r="O78" s="266"/>
      <c r="P78" s="5"/>
      <c r="Q78" s="284"/>
      <c r="R78" s="284"/>
      <c r="S78" s="266"/>
      <c r="T78" s="266"/>
      <c r="U78" s="284"/>
      <c r="V78" s="291"/>
      <c r="W78" s="319">
        <v>2.0</v>
      </c>
      <c r="X78" s="320" t="s">
        <v>2675</v>
      </c>
      <c r="Y78" s="321"/>
      <c r="Z78" s="284"/>
    </row>
    <row r="79" outlineLevel="1">
      <c r="A79" s="5"/>
      <c r="B79" s="5"/>
      <c r="C79" s="288" t="s">
        <v>2621</v>
      </c>
      <c r="D79" s="289" t="b">
        <v>1</v>
      </c>
      <c r="E79" s="290" t="s">
        <v>2676</v>
      </c>
      <c r="F79" s="266"/>
      <c r="G79" s="266"/>
      <c r="H79" s="266"/>
      <c r="I79" s="266"/>
      <c r="J79" s="266"/>
      <c r="K79" s="284"/>
      <c r="L79" s="284"/>
      <c r="M79" s="284"/>
      <c r="N79" s="284"/>
      <c r="O79" s="266"/>
      <c r="P79" s="5"/>
      <c r="Q79" s="284"/>
      <c r="R79" s="284"/>
      <c r="S79" s="266"/>
      <c r="T79" s="266"/>
      <c r="U79" s="284"/>
      <c r="V79" s="291"/>
      <c r="W79" s="319">
        <v>2.11</v>
      </c>
      <c r="X79" s="320" t="s">
        <v>2677</v>
      </c>
      <c r="Y79" s="320"/>
      <c r="Z79" s="284"/>
    </row>
    <row r="80" outlineLevel="1">
      <c r="A80" s="5"/>
      <c r="B80" s="5"/>
      <c r="C80" s="288" t="s">
        <v>2621</v>
      </c>
      <c r="D80" s="289" t="b">
        <v>1</v>
      </c>
      <c r="E80" s="284"/>
      <c r="F80" s="295" t="s">
        <v>2678</v>
      </c>
      <c r="G80" s="266"/>
      <c r="H80" s="266"/>
      <c r="I80" s="322" t="s">
        <v>2679</v>
      </c>
      <c r="J80" s="295" t="s">
        <v>2680</v>
      </c>
      <c r="K80" s="268"/>
      <c r="L80" s="322" t="s">
        <v>2679</v>
      </c>
      <c r="M80" s="290"/>
      <c r="N80" s="266"/>
      <c r="O80" s="266"/>
      <c r="P80" s="5"/>
      <c r="Q80" s="284"/>
      <c r="R80" s="284"/>
      <c r="S80" s="266"/>
      <c r="T80" s="266"/>
      <c r="U80" s="284"/>
      <c r="V80" s="291"/>
      <c r="W80" s="319">
        <v>2.12</v>
      </c>
      <c r="X80" s="320" t="s">
        <v>2681</v>
      </c>
      <c r="Y80" s="323"/>
      <c r="Z80" s="284"/>
    </row>
    <row r="81" outlineLevel="1">
      <c r="A81" s="5"/>
      <c r="B81" s="5"/>
      <c r="C81" s="288" t="s">
        <v>2621</v>
      </c>
      <c r="D81" s="289" t="b">
        <v>1</v>
      </c>
      <c r="E81" s="290"/>
      <c r="F81" s="295" t="s">
        <v>2682</v>
      </c>
      <c r="G81" s="266"/>
      <c r="H81" s="266"/>
      <c r="I81" s="266"/>
      <c r="J81" s="266"/>
      <c r="K81" s="266"/>
      <c r="L81" s="266"/>
      <c r="M81" s="268"/>
      <c r="N81" s="266"/>
      <c r="O81" s="266"/>
      <c r="P81" s="5"/>
      <c r="Q81" s="284"/>
      <c r="R81" s="284"/>
      <c r="S81" s="266"/>
      <c r="T81" s="266"/>
      <c r="U81" s="284"/>
      <c r="V81" s="291"/>
      <c r="W81" s="319">
        <v>2.2</v>
      </c>
      <c r="X81" s="320" t="s">
        <v>2683</v>
      </c>
      <c r="Y81" s="323"/>
      <c r="Z81" s="284"/>
    </row>
    <row r="82" outlineLevel="1">
      <c r="A82" s="5"/>
      <c r="B82" s="5"/>
      <c r="C82" s="288" t="s">
        <v>2621</v>
      </c>
      <c r="D82" s="289" t="b">
        <v>1</v>
      </c>
      <c r="E82" s="290" t="s">
        <v>2684</v>
      </c>
      <c r="F82" s="266"/>
      <c r="G82" s="266"/>
      <c r="H82" s="266"/>
      <c r="I82" s="266"/>
      <c r="J82" s="266"/>
      <c r="K82" s="266"/>
      <c r="L82" s="266"/>
      <c r="M82" s="268"/>
      <c r="N82" s="266"/>
      <c r="O82" s="266"/>
      <c r="P82" s="5"/>
      <c r="Q82" s="284"/>
      <c r="R82" s="284"/>
      <c r="S82" s="291"/>
      <c r="T82" s="291"/>
      <c r="U82" s="284"/>
      <c r="V82" s="291"/>
      <c r="W82" s="319">
        <v>3.0</v>
      </c>
      <c r="X82" s="320" t="s">
        <v>2685</v>
      </c>
      <c r="Y82" s="323"/>
      <c r="Z82" s="284"/>
    </row>
    <row r="83" outlineLevel="1">
      <c r="A83" s="5"/>
      <c r="B83" s="5"/>
      <c r="C83" s="288" t="s">
        <v>2621</v>
      </c>
      <c r="D83" s="289" t="b">
        <v>1</v>
      </c>
      <c r="E83" s="290"/>
      <c r="F83" s="295" t="s">
        <v>2686</v>
      </c>
      <c r="G83" s="266"/>
      <c r="H83" s="266"/>
      <c r="I83" s="266"/>
      <c r="J83" s="266"/>
      <c r="K83" s="266"/>
      <c r="L83" s="266"/>
      <c r="M83" s="268"/>
      <c r="N83" s="266"/>
      <c r="O83" s="266"/>
      <c r="P83" s="5"/>
      <c r="Q83" s="284"/>
      <c r="R83" s="284"/>
      <c r="S83" s="291"/>
      <c r="T83" s="266"/>
      <c r="U83" s="284"/>
      <c r="V83" s="291"/>
      <c r="W83" s="297">
        <v>4.0</v>
      </c>
      <c r="X83" s="266" t="s">
        <v>2687</v>
      </c>
      <c r="Y83" s="266"/>
      <c r="Z83" s="284"/>
    </row>
    <row r="84" outlineLevel="1">
      <c r="A84" s="5"/>
      <c r="B84" s="5"/>
      <c r="C84" s="288" t="s">
        <v>2621</v>
      </c>
      <c r="D84" s="289" t="b">
        <v>1</v>
      </c>
      <c r="E84" s="295"/>
      <c r="F84" s="290" t="s">
        <v>2688</v>
      </c>
      <c r="G84" s="266"/>
      <c r="H84" s="266"/>
      <c r="I84" s="266"/>
      <c r="J84" s="266"/>
      <c r="K84" s="266"/>
      <c r="L84" s="266"/>
      <c r="M84" s="268"/>
      <c r="N84" s="266"/>
      <c r="O84" s="266"/>
      <c r="P84" s="5"/>
      <c r="Q84" s="284"/>
      <c r="R84" s="284"/>
      <c r="S84" s="266"/>
      <c r="T84" s="266"/>
      <c r="U84" s="284"/>
      <c r="V84" s="291"/>
      <c r="W84" s="319">
        <v>4.1</v>
      </c>
      <c r="X84" s="320" t="s">
        <v>2689</v>
      </c>
      <c r="Y84" s="321"/>
      <c r="Z84" s="284"/>
    </row>
    <row r="85" outlineLevel="1">
      <c r="A85" s="4"/>
      <c r="B85" s="4"/>
      <c r="C85" s="288" t="s">
        <v>2621</v>
      </c>
      <c r="D85" s="289" t="b">
        <v>1</v>
      </c>
      <c r="E85" s="295" t="s">
        <v>2690</v>
      </c>
      <c r="F85" s="290"/>
      <c r="G85" s="266"/>
      <c r="H85" s="266"/>
      <c r="I85" s="266"/>
      <c r="J85" s="266"/>
      <c r="K85" s="266"/>
      <c r="L85" s="266"/>
      <c r="M85" s="268"/>
      <c r="N85" s="266"/>
      <c r="O85" s="266"/>
      <c r="P85" s="5"/>
      <c r="Q85" s="284"/>
      <c r="R85" s="284"/>
      <c r="S85" s="266"/>
      <c r="T85" s="266"/>
      <c r="U85" s="284"/>
      <c r="V85" s="295"/>
      <c r="W85" s="297">
        <v>4.2</v>
      </c>
      <c r="X85" s="295" t="s">
        <v>2691</v>
      </c>
      <c r="Y85" s="284"/>
      <c r="Z85" s="284"/>
    </row>
    <row r="86" outlineLevel="1">
      <c r="A86" s="4"/>
      <c r="B86" s="4"/>
      <c r="C86" s="288" t="s">
        <v>2621</v>
      </c>
      <c r="D86" s="289" t="b">
        <v>1</v>
      </c>
      <c r="E86" s="266"/>
      <c r="F86" s="295" t="s">
        <v>2692</v>
      </c>
      <c r="G86" s="266"/>
      <c r="H86" s="266"/>
      <c r="I86" s="322" t="s">
        <v>2693</v>
      </c>
      <c r="J86" s="266"/>
      <c r="K86" s="266"/>
      <c r="L86" s="266"/>
      <c r="M86" s="268"/>
      <c r="N86" s="266"/>
      <c r="O86" s="266"/>
      <c r="P86" s="5"/>
      <c r="Q86" s="284"/>
      <c r="R86" s="284"/>
      <c r="S86" s="266"/>
      <c r="T86" s="266"/>
      <c r="U86" s="284"/>
      <c r="V86" s="295"/>
      <c r="W86" s="297">
        <v>1.3</v>
      </c>
      <c r="X86" s="295" t="s">
        <v>2694</v>
      </c>
      <c r="Y86" s="284"/>
      <c r="Z86" s="284"/>
    </row>
    <row r="87" outlineLevel="1">
      <c r="A87" s="4"/>
      <c r="B87" s="4"/>
      <c r="C87" s="288" t="s">
        <v>2621</v>
      </c>
      <c r="D87" s="289" t="b">
        <v>1</v>
      </c>
      <c r="E87" s="295"/>
      <c r="F87" s="290" t="s">
        <v>2695</v>
      </c>
      <c r="G87" s="266"/>
      <c r="H87" s="266"/>
      <c r="I87" s="266"/>
      <c r="J87" s="266"/>
      <c r="K87" s="266"/>
      <c r="L87" s="266"/>
      <c r="M87" s="268"/>
      <c r="N87" s="266"/>
      <c r="O87" s="266"/>
      <c r="P87" s="5"/>
      <c r="Q87" s="284"/>
      <c r="R87" s="284"/>
      <c r="S87" s="266"/>
      <c r="T87" s="266"/>
      <c r="U87" s="284"/>
      <c r="V87" s="295"/>
      <c r="W87" s="297">
        <v>5.0</v>
      </c>
      <c r="X87" s="295" t="s">
        <v>2696</v>
      </c>
      <c r="Y87" s="284"/>
      <c r="Z87" s="284"/>
    </row>
    <row r="88" outlineLevel="1">
      <c r="A88" s="4"/>
      <c r="B88" s="4"/>
      <c r="C88" s="288" t="s">
        <v>2621</v>
      </c>
      <c r="D88" s="289" t="b">
        <v>1</v>
      </c>
      <c r="E88" s="295"/>
      <c r="F88" s="290" t="s">
        <v>2697</v>
      </c>
      <c r="G88" s="266"/>
      <c r="H88" s="266"/>
      <c r="I88" s="266"/>
      <c r="J88" s="266"/>
      <c r="K88" s="266"/>
      <c r="L88" s="266"/>
      <c r="M88" s="268"/>
      <c r="N88" s="266"/>
      <c r="O88" s="266"/>
      <c r="P88" s="5"/>
      <c r="Q88" s="284"/>
      <c r="R88" s="284"/>
      <c r="S88" s="266"/>
      <c r="T88" s="266"/>
      <c r="U88" s="284"/>
      <c r="V88" s="266"/>
      <c r="W88" s="319">
        <v>5.1</v>
      </c>
      <c r="X88" s="320" t="s">
        <v>2698</v>
      </c>
      <c r="Y88" s="321"/>
      <c r="Z88" s="284"/>
    </row>
    <row r="89" outlineLevel="1">
      <c r="A89" s="5"/>
      <c r="B89" s="5"/>
      <c r="C89" s="288" t="s">
        <v>2621</v>
      </c>
      <c r="D89" s="289" t="b">
        <v>1</v>
      </c>
      <c r="E89" s="295"/>
      <c r="F89" s="290" t="s">
        <v>2699</v>
      </c>
      <c r="G89" s="266"/>
      <c r="H89" s="266"/>
      <c r="I89" s="266"/>
      <c r="J89" s="266"/>
      <c r="K89" s="266"/>
      <c r="L89" s="266"/>
      <c r="M89" s="268"/>
      <c r="N89" s="266"/>
      <c r="O89" s="266"/>
      <c r="P89" s="5"/>
      <c r="Q89" s="284"/>
      <c r="R89" s="284"/>
      <c r="S89" s="266"/>
      <c r="T89" s="266"/>
      <c r="U89" s="284"/>
      <c r="V89" s="284"/>
      <c r="W89" s="297">
        <v>6.0</v>
      </c>
      <c r="X89" s="295" t="s">
        <v>2700</v>
      </c>
      <c r="Y89" s="284"/>
      <c r="Z89" s="284"/>
    </row>
    <row r="90" outlineLevel="1">
      <c r="A90" s="5"/>
      <c r="B90" s="5"/>
      <c r="C90" s="288" t="s">
        <v>2621</v>
      </c>
      <c r="D90" s="289" t="b">
        <v>1</v>
      </c>
      <c r="E90" s="295" t="s">
        <v>2701</v>
      </c>
      <c r="F90" s="290"/>
      <c r="G90" s="266"/>
      <c r="H90" s="266"/>
      <c r="I90" s="266"/>
      <c r="J90" s="266"/>
      <c r="K90" s="266"/>
      <c r="L90" s="266"/>
      <c r="M90" s="268"/>
      <c r="N90" s="266"/>
      <c r="O90" s="266"/>
      <c r="Q90" s="284"/>
      <c r="R90" s="284"/>
      <c r="S90" s="266"/>
      <c r="T90" s="266"/>
      <c r="U90" s="284"/>
      <c r="V90" s="284"/>
      <c r="W90" s="297"/>
      <c r="X90" s="266"/>
      <c r="Y90" s="284"/>
      <c r="Z90" s="284"/>
    </row>
    <row r="91" outlineLevel="1">
      <c r="A91" s="5"/>
      <c r="B91" s="5"/>
      <c r="C91" s="288" t="s">
        <v>2621</v>
      </c>
      <c r="D91" s="289" t="b">
        <v>1</v>
      </c>
      <c r="E91" s="266"/>
      <c r="F91" s="290" t="s">
        <v>2702</v>
      </c>
      <c r="G91" s="266"/>
      <c r="H91" s="266"/>
      <c r="I91" s="266"/>
      <c r="J91" s="324"/>
      <c r="K91" s="266"/>
      <c r="L91" s="266"/>
      <c r="M91" s="268"/>
      <c r="N91" s="266"/>
      <c r="O91" s="266"/>
      <c r="Q91" s="284"/>
      <c r="R91" s="284"/>
      <c r="S91" s="266"/>
      <c r="T91" s="284"/>
      <c r="U91" s="284"/>
      <c r="V91" s="309"/>
      <c r="W91" s="325"/>
      <c r="X91" s="266"/>
      <c r="Y91" s="284"/>
      <c r="Z91" s="284"/>
    </row>
    <row r="92" outlineLevel="1">
      <c r="A92" s="5"/>
      <c r="B92" s="5"/>
      <c r="C92" s="288" t="s">
        <v>2621</v>
      </c>
      <c r="D92" s="289" t="b">
        <v>1</v>
      </c>
      <c r="E92" s="295" t="s">
        <v>2703</v>
      </c>
      <c r="F92" s="266"/>
      <c r="G92" s="266"/>
      <c r="H92" s="266"/>
      <c r="I92" s="266"/>
      <c r="J92" s="266"/>
      <c r="K92" s="266"/>
      <c r="L92" s="266"/>
      <c r="M92" s="266"/>
      <c r="N92" s="266"/>
      <c r="O92" s="5"/>
      <c r="Q92" s="284"/>
      <c r="R92" s="284"/>
      <c r="S92" s="284"/>
      <c r="T92" s="284"/>
      <c r="U92" s="284"/>
      <c r="V92" s="309" t="s">
        <v>2704</v>
      </c>
      <c r="W92" s="325"/>
      <c r="X92" s="266"/>
      <c r="Y92" s="284"/>
      <c r="Z92" s="284"/>
    </row>
    <row r="93" outlineLevel="1">
      <c r="A93" s="266"/>
      <c r="B93" s="266"/>
      <c r="C93" s="288" t="s">
        <v>2621</v>
      </c>
      <c r="D93" s="289" t="b">
        <v>1</v>
      </c>
      <c r="E93" s="290" t="s">
        <v>2705</v>
      </c>
      <c r="F93" s="266"/>
      <c r="G93" s="266"/>
      <c r="H93" s="307"/>
      <c r="J93" s="266"/>
      <c r="K93" s="266"/>
      <c r="L93" s="266"/>
      <c r="M93" s="266"/>
      <c r="N93" s="266"/>
      <c r="O93" s="266"/>
      <c r="Q93" s="284"/>
      <c r="R93" s="284"/>
      <c r="S93" s="284"/>
      <c r="T93" s="302" t="s">
        <v>2706</v>
      </c>
      <c r="U93" s="284"/>
      <c r="V93" s="291" t="s">
        <v>254</v>
      </c>
      <c r="W93" s="297">
        <v>0.0</v>
      </c>
      <c r="X93" s="266"/>
      <c r="Y93" s="284"/>
      <c r="Z93" s="284"/>
    </row>
    <row r="94" outlineLevel="1">
      <c r="A94" s="266"/>
      <c r="B94" s="266"/>
      <c r="C94" s="288" t="s">
        <v>2621</v>
      </c>
      <c r="D94" s="289" t="b">
        <v>1</v>
      </c>
      <c r="E94" s="290"/>
      <c r="F94" s="326" t="s">
        <v>2707</v>
      </c>
      <c r="G94" s="266"/>
      <c r="H94" s="307"/>
      <c r="I94" s="266"/>
      <c r="J94" s="266"/>
      <c r="K94" s="266"/>
      <c r="L94" s="266"/>
      <c r="M94" s="266"/>
      <c r="N94" s="266"/>
      <c r="O94" s="266"/>
      <c r="Q94" s="284"/>
      <c r="R94" s="284"/>
      <c r="S94" s="284"/>
      <c r="T94" s="291"/>
      <c r="U94" s="284"/>
      <c r="V94" s="291" t="s">
        <v>254</v>
      </c>
      <c r="W94" s="299">
        <v>1.0</v>
      </c>
      <c r="X94" s="266"/>
      <c r="Y94" s="284"/>
      <c r="Z94" s="284"/>
    </row>
    <row r="95" outlineLevel="1">
      <c r="A95" s="266"/>
      <c r="B95" s="266"/>
      <c r="C95" s="288" t="s">
        <v>2621</v>
      </c>
      <c r="D95" s="289" t="b">
        <v>1</v>
      </c>
      <c r="E95" s="290"/>
      <c r="F95" s="295" t="s">
        <v>2708</v>
      </c>
      <c r="G95" s="266"/>
      <c r="H95" s="307"/>
      <c r="I95" s="266"/>
      <c r="J95" s="266"/>
      <c r="K95" s="266"/>
      <c r="L95" s="266"/>
      <c r="M95" s="266"/>
      <c r="N95" s="266"/>
      <c r="O95" s="266"/>
      <c r="Q95" s="284"/>
      <c r="R95" s="284"/>
      <c r="S95" s="284"/>
      <c r="T95" s="291"/>
      <c r="U95" s="284"/>
      <c r="V95" s="291" t="s">
        <v>244</v>
      </c>
      <c r="W95" s="327"/>
      <c r="X95" s="266"/>
      <c r="Y95" s="284"/>
      <c r="Z95" s="284"/>
    </row>
    <row r="96" outlineLevel="1">
      <c r="A96" s="266"/>
      <c r="B96" s="266"/>
      <c r="C96" s="288" t="s">
        <v>2709</v>
      </c>
      <c r="D96" s="289" t="b">
        <v>1</v>
      </c>
      <c r="E96" s="290"/>
      <c r="F96" s="295" t="s">
        <v>2710</v>
      </c>
      <c r="G96" s="266"/>
      <c r="H96" s="307"/>
      <c r="I96" s="266"/>
      <c r="J96" s="266"/>
      <c r="K96" s="266"/>
      <c r="L96" s="266"/>
      <c r="M96" s="266"/>
      <c r="N96" s="266"/>
      <c r="O96" s="266"/>
      <c r="Q96" s="284"/>
      <c r="R96" s="284"/>
      <c r="S96" s="284"/>
      <c r="T96" s="284"/>
      <c r="U96" s="284"/>
      <c r="V96" s="291" t="s">
        <v>52</v>
      </c>
      <c r="W96" s="327"/>
      <c r="X96" s="266"/>
      <c r="Y96" s="266"/>
      <c r="Z96" s="284"/>
    </row>
    <row r="97" outlineLevel="1">
      <c r="A97" s="5"/>
      <c r="B97" s="5"/>
      <c r="C97" s="274" t="s">
        <v>2621</v>
      </c>
      <c r="D97" s="275" t="b">
        <v>1</v>
      </c>
      <c r="E97" s="265" t="s">
        <v>2711</v>
      </c>
      <c r="F97" s="5"/>
      <c r="G97" s="5"/>
      <c r="H97" s="3"/>
      <c r="I97" s="5"/>
      <c r="J97" s="5"/>
      <c r="K97" s="5"/>
      <c r="L97" s="5"/>
      <c r="M97" s="5"/>
      <c r="N97" s="5"/>
      <c r="O97" s="5"/>
      <c r="P97" s="5"/>
      <c r="Q97" s="5"/>
      <c r="R97" s="5"/>
      <c r="S97" s="5"/>
      <c r="T97" s="5"/>
      <c r="U97" s="5"/>
      <c r="V97" s="278" t="s">
        <v>244</v>
      </c>
      <c r="W97" s="325">
        <v>0.0</v>
      </c>
      <c r="X97" s="5"/>
      <c r="Y97" s="5"/>
      <c r="Z97" s="5"/>
      <c r="AA97" s="5"/>
      <c r="AB97" s="5"/>
      <c r="AC97" s="5"/>
      <c r="AD97" s="5"/>
      <c r="AE97" s="5"/>
    </row>
    <row r="98" outlineLevel="1">
      <c r="A98" s="5"/>
      <c r="B98" s="5"/>
      <c r="C98" s="274" t="s">
        <v>2621</v>
      </c>
      <c r="D98" s="275" t="b">
        <v>1</v>
      </c>
      <c r="E98" s="278"/>
      <c r="F98" s="268" t="s">
        <v>2712</v>
      </c>
      <c r="G98" s="5"/>
      <c r="H98" s="5"/>
      <c r="I98" s="5"/>
      <c r="J98" s="5"/>
      <c r="K98" s="5"/>
      <c r="L98" s="5"/>
      <c r="M98" s="5"/>
      <c r="N98" s="5"/>
      <c r="O98" s="5"/>
      <c r="P98" s="5"/>
      <c r="Q98" s="5"/>
      <c r="R98" s="5"/>
      <c r="S98" s="5"/>
      <c r="T98" s="5"/>
      <c r="U98" s="5"/>
      <c r="V98" s="278" t="s">
        <v>52</v>
      </c>
      <c r="W98" s="325">
        <v>1.0</v>
      </c>
      <c r="X98" s="5"/>
      <c r="Y98" s="5"/>
      <c r="Z98" s="5"/>
      <c r="AA98" s="5"/>
      <c r="AB98" s="5"/>
      <c r="AC98" s="5"/>
      <c r="AD98" s="5"/>
      <c r="AE98" s="5"/>
    </row>
    <row r="99" outlineLevel="1">
      <c r="A99" s="5"/>
      <c r="B99" s="5"/>
      <c r="C99" s="274" t="s">
        <v>2658</v>
      </c>
      <c r="D99" s="275" t="b">
        <v>1</v>
      </c>
      <c r="E99" s="265" t="s">
        <v>2713</v>
      </c>
      <c r="F99" s="5"/>
      <c r="G99" s="5"/>
      <c r="H99" s="5"/>
      <c r="I99" s="5"/>
      <c r="J99" s="5"/>
      <c r="K99" s="5"/>
      <c r="L99" s="5"/>
      <c r="M99" s="5"/>
      <c r="N99" s="5"/>
      <c r="O99" s="5"/>
      <c r="P99" s="5"/>
      <c r="Q99" s="5"/>
      <c r="R99" s="5"/>
      <c r="S99" s="5"/>
      <c r="T99" s="5"/>
      <c r="U99" s="5"/>
      <c r="V99" s="278"/>
      <c r="W99" s="5"/>
      <c r="X99" s="5"/>
      <c r="Y99" s="5"/>
      <c r="Z99" s="5"/>
      <c r="AA99" s="5"/>
      <c r="AB99" s="5"/>
      <c r="AC99" s="5"/>
      <c r="AD99" s="5"/>
      <c r="AE99" s="5"/>
    </row>
    <row r="100" outlineLevel="1">
      <c r="A100" s="5"/>
      <c r="B100" s="5"/>
      <c r="C100" s="328" t="s">
        <v>2714</v>
      </c>
      <c r="D100" s="329" t="b">
        <v>1</v>
      </c>
      <c r="E100" s="330" t="s">
        <v>2715</v>
      </c>
      <c r="F100" s="219"/>
      <c r="G100" s="219"/>
      <c r="H100" s="219"/>
      <c r="I100" s="219"/>
      <c r="J100" s="219"/>
      <c r="K100" s="219"/>
      <c r="L100" s="219"/>
      <c r="M100" s="219"/>
      <c r="N100" s="219"/>
      <c r="O100" s="5"/>
      <c r="P100" s="5"/>
      <c r="Q100" s="5"/>
      <c r="R100" s="5"/>
      <c r="S100" s="5"/>
      <c r="T100" s="5"/>
      <c r="U100" s="5"/>
      <c r="V100" s="278" t="s">
        <v>2716</v>
      </c>
      <c r="W100" s="5"/>
      <c r="X100" s="5"/>
      <c r="Y100" s="5"/>
      <c r="Z100" s="5"/>
      <c r="AA100" s="5"/>
      <c r="AB100" s="5"/>
      <c r="AC100" s="5"/>
      <c r="AD100" s="5"/>
      <c r="AE100" s="5"/>
    </row>
    <row r="101">
      <c r="C101" s="331" t="s">
        <v>2717</v>
      </c>
      <c r="D101" s="5"/>
      <c r="E101" s="332" t="s">
        <v>2718</v>
      </c>
      <c r="F101" s="5"/>
      <c r="G101" s="5"/>
      <c r="H101" s="5"/>
      <c r="I101" s="5"/>
      <c r="J101" s="5"/>
      <c r="K101" s="5"/>
      <c r="L101" s="5"/>
      <c r="M101" s="5"/>
      <c r="N101" s="5"/>
      <c r="O101" s="284"/>
      <c r="S101" s="284"/>
      <c r="T101" s="284"/>
      <c r="U101" s="284"/>
      <c r="V101" s="291" t="s">
        <v>339</v>
      </c>
      <c r="W101" s="299">
        <v>1.1</v>
      </c>
      <c r="X101" s="295" t="s">
        <v>2719</v>
      </c>
      <c r="Y101" s="266"/>
      <c r="Z101" s="284"/>
    </row>
    <row r="102" outlineLevel="1">
      <c r="C102" s="263" t="s">
        <v>2720</v>
      </c>
      <c r="D102" s="289" t="b">
        <v>1</v>
      </c>
      <c r="E102" s="268" t="s">
        <v>2721</v>
      </c>
      <c r="F102" s="5"/>
      <c r="G102" s="5"/>
      <c r="H102" s="5"/>
      <c r="I102" s="5"/>
      <c r="J102" s="5"/>
      <c r="K102" s="5"/>
      <c r="L102" s="5"/>
      <c r="M102" s="5"/>
      <c r="N102" s="5"/>
      <c r="O102" s="284"/>
      <c r="S102" s="284"/>
      <c r="T102" s="284"/>
      <c r="U102" s="284"/>
      <c r="V102" s="284"/>
      <c r="W102" s="291"/>
      <c r="X102" s="266"/>
      <c r="Y102" s="266"/>
      <c r="Z102" s="284"/>
    </row>
    <row r="103" outlineLevel="1">
      <c r="C103" s="5"/>
      <c r="D103" s="289" t="b">
        <v>1</v>
      </c>
      <c r="E103" s="333" t="s">
        <v>2722</v>
      </c>
      <c r="F103" s="5"/>
      <c r="G103" s="5"/>
      <c r="H103" s="5"/>
      <c r="I103" s="5"/>
      <c r="J103" s="5"/>
      <c r="K103" s="5"/>
      <c r="L103" s="5"/>
      <c r="M103" s="5"/>
      <c r="N103" s="5"/>
      <c r="O103" s="284"/>
      <c r="S103" s="284"/>
      <c r="T103" s="284"/>
      <c r="U103" s="284"/>
      <c r="V103" s="293" t="s">
        <v>2723</v>
      </c>
      <c r="W103" s="266"/>
      <c r="X103" s="266"/>
      <c r="Y103" s="266"/>
      <c r="Z103" s="284"/>
    </row>
    <row r="104" outlineLevel="1">
      <c r="C104" s="5"/>
      <c r="D104" s="289" t="b">
        <v>1</v>
      </c>
      <c r="E104" s="268" t="s">
        <v>2724</v>
      </c>
      <c r="F104" s="5"/>
      <c r="G104" s="5"/>
      <c r="H104" s="5"/>
      <c r="I104" s="5"/>
      <c r="J104" s="5"/>
      <c r="K104" s="5"/>
      <c r="L104" s="5"/>
      <c r="M104" s="5"/>
      <c r="N104" s="5"/>
      <c r="O104" s="284"/>
      <c r="S104" s="284"/>
      <c r="T104" s="284"/>
      <c r="U104" s="284"/>
      <c r="V104" s="293" t="s">
        <v>2725</v>
      </c>
      <c r="W104" s="266"/>
      <c r="X104" s="266"/>
      <c r="Y104" s="266"/>
      <c r="Z104" s="284"/>
    </row>
    <row r="105" outlineLevel="1">
      <c r="C105" s="5"/>
      <c r="D105" s="289" t="b">
        <v>1</v>
      </c>
      <c r="E105" s="333" t="s">
        <v>2726</v>
      </c>
      <c r="F105" s="5"/>
      <c r="G105" s="5"/>
      <c r="H105" s="5"/>
      <c r="I105" s="5"/>
      <c r="J105" s="5"/>
      <c r="K105" s="5"/>
      <c r="L105" s="5"/>
      <c r="M105" s="5"/>
      <c r="N105" s="5"/>
      <c r="O105" s="284"/>
      <c r="S105" s="284"/>
      <c r="T105" s="284"/>
      <c r="U105" s="284"/>
      <c r="V105" s="295"/>
      <c r="W105" s="291" t="s">
        <v>2727</v>
      </c>
      <c r="X105" s="266"/>
      <c r="Y105" s="266"/>
      <c r="Z105" s="284"/>
    </row>
    <row r="106" outlineLevel="1">
      <c r="C106" s="5"/>
      <c r="D106" s="289" t="b">
        <v>1</v>
      </c>
      <c r="E106" s="268" t="s">
        <v>2728</v>
      </c>
      <c r="F106" s="5"/>
      <c r="G106" s="5"/>
      <c r="H106" s="5"/>
      <c r="I106" s="5"/>
      <c r="J106" s="5"/>
      <c r="K106" s="5"/>
      <c r="L106" s="5"/>
      <c r="M106" s="5"/>
      <c r="N106" s="5"/>
      <c r="O106" s="284"/>
      <c r="S106" s="284"/>
      <c r="T106" s="284"/>
      <c r="U106" s="284"/>
      <c r="V106" s="295"/>
      <c r="W106" s="291" t="s">
        <v>2727</v>
      </c>
      <c r="X106" s="266"/>
      <c r="Y106" s="266"/>
      <c r="Z106" s="284"/>
    </row>
    <row r="107" outlineLevel="1">
      <c r="C107" s="5"/>
      <c r="D107" s="5"/>
      <c r="E107" s="5"/>
      <c r="F107" s="268" t="s">
        <v>2729</v>
      </c>
      <c r="G107" s="5"/>
      <c r="H107" s="5"/>
      <c r="I107" s="5"/>
      <c r="J107" s="5"/>
      <c r="K107" s="268" t="s">
        <v>2730</v>
      </c>
      <c r="L107" s="5"/>
      <c r="M107" s="5"/>
      <c r="N107" s="5"/>
      <c r="O107" s="284"/>
      <c r="S107" s="284"/>
      <c r="T107" s="284"/>
      <c r="U107" s="284"/>
      <c r="V107" s="295"/>
      <c r="W107" s="291" t="s">
        <v>2731</v>
      </c>
      <c r="X107" s="266"/>
      <c r="Y107" s="266"/>
      <c r="Z107" s="284"/>
    </row>
    <row r="108" outlineLevel="1">
      <c r="C108" s="5"/>
      <c r="D108" s="5"/>
      <c r="E108" s="266"/>
      <c r="F108" s="268" t="s">
        <v>2732</v>
      </c>
      <c r="G108" s="5"/>
      <c r="H108" s="5"/>
      <c r="I108" s="5"/>
      <c r="J108" s="5"/>
      <c r="K108" s="268" t="s">
        <v>2733</v>
      </c>
      <c r="L108" s="5"/>
      <c r="M108" s="5"/>
      <c r="N108" s="5"/>
      <c r="O108" s="284"/>
      <c r="S108" s="284"/>
      <c r="T108" s="284"/>
      <c r="U108" s="284"/>
      <c r="V108" s="295"/>
      <c r="W108" s="291" t="s">
        <v>2731</v>
      </c>
      <c r="X108" s="266"/>
      <c r="Y108" s="266"/>
      <c r="Z108" s="284"/>
    </row>
    <row r="109" outlineLevel="1">
      <c r="C109" s="5"/>
      <c r="D109" s="289" t="b">
        <v>1</v>
      </c>
      <c r="E109" s="333" t="s">
        <v>2734</v>
      </c>
      <c r="F109" s="5"/>
      <c r="G109" s="5"/>
      <c r="H109" s="5"/>
      <c r="I109" s="334" t="s">
        <v>2735</v>
      </c>
      <c r="J109" s="5"/>
      <c r="K109" s="268" t="s">
        <v>2736</v>
      </c>
      <c r="L109" s="5"/>
      <c r="M109" s="5"/>
      <c r="N109" s="5"/>
      <c r="O109" s="284"/>
      <c r="S109" s="284"/>
      <c r="T109" s="284"/>
      <c r="U109" s="284"/>
      <c r="V109" s="295"/>
      <c r="W109" s="291" t="s">
        <v>2731</v>
      </c>
      <c r="X109" s="266"/>
      <c r="Y109" s="266"/>
      <c r="Z109" s="284"/>
    </row>
    <row r="110" outlineLevel="1">
      <c r="C110" s="266" t="s">
        <v>2737</v>
      </c>
      <c r="D110" s="289" t="b">
        <v>1</v>
      </c>
      <c r="E110" s="268" t="s">
        <v>2738</v>
      </c>
      <c r="F110" s="5"/>
      <c r="G110" s="5"/>
      <c r="H110" s="5"/>
      <c r="I110" s="334" t="s">
        <v>2739</v>
      </c>
      <c r="J110" s="5"/>
      <c r="K110" s="5"/>
      <c r="L110" s="5"/>
      <c r="M110" s="5"/>
      <c r="N110" s="5"/>
      <c r="O110" s="284"/>
      <c r="S110" s="284"/>
      <c r="T110" s="284"/>
      <c r="U110" s="284"/>
      <c r="V110" s="295"/>
      <c r="W110" s="291" t="s">
        <v>2731</v>
      </c>
      <c r="X110" s="266"/>
      <c r="Y110" s="266"/>
      <c r="Z110" s="284"/>
    </row>
    <row r="111" outlineLevel="1">
      <c r="C111" s="266" t="s">
        <v>2737</v>
      </c>
      <c r="D111" s="289" t="b">
        <v>1</v>
      </c>
      <c r="E111" s="333" t="s">
        <v>2740</v>
      </c>
      <c r="F111" s="5"/>
      <c r="G111" s="5"/>
      <c r="H111" s="5"/>
      <c r="I111" s="5"/>
      <c r="J111" s="5"/>
      <c r="K111" s="5"/>
      <c r="L111" s="5"/>
      <c r="M111" s="5"/>
      <c r="N111" s="5"/>
      <c r="O111" s="284"/>
      <c r="S111" s="284"/>
      <c r="T111" s="284"/>
      <c r="U111" s="284"/>
      <c r="V111" s="295"/>
      <c r="W111" s="291" t="s">
        <v>2741</v>
      </c>
      <c r="X111" s="266"/>
      <c r="Y111" s="266"/>
      <c r="Z111" s="284"/>
    </row>
    <row r="112" outlineLevel="1">
      <c r="C112" s="5"/>
      <c r="D112" s="289" t="b">
        <v>1</v>
      </c>
      <c r="E112" s="268" t="s">
        <v>2742</v>
      </c>
      <c r="F112" s="5"/>
      <c r="G112" s="5"/>
      <c r="H112" s="5"/>
      <c r="I112" s="5"/>
      <c r="J112" s="5"/>
      <c r="K112" s="5"/>
      <c r="L112" s="5"/>
      <c r="M112" s="5"/>
      <c r="N112" s="5"/>
      <c r="O112" s="284"/>
      <c r="S112" s="284"/>
      <c r="T112" s="284"/>
      <c r="U112" s="284"/>
      <c r="V112" s="295"/>
      <c r="W112" s="291" t="s">
        <v>2741</v>
      </c>
      <c r="X112" s="266"/>
      <c r="Y112" s="266"/>
      <c r="Z112" s="284"/>
    </row>
    <row r="113" outlineLevel="1">
      <c r="C113" s="5"/>
      <c r="D113" s="289" t="b">
        <v>1</v>
      </c>
      <c r="E113" s="268" t="s">
        <v>2743</v>
      </c>
      <c r="F113" s="5"/>
      <c r="G113" s="5"/>
      <c r="H113" s="5"/>
      <c r="I113" s="5"/>
      <c r="J113" s="5"/>
      <c r="K113" s="5"/>
      <c r="L113" s="5"/>
      <c r="M113" s="5"/>
      <c r="N113" s="5"/>
      <c r="O113" s="284"/>
      <c r="S113" s="284"/>
      <c r="T113" s="284"/>
      <c r="U113" s="284"/>
      <c r="V113" s="295"/>
      <c r="W113" s="291"/>
      <c r="X113" s="266"/>
      <c r="Y113" s="266"/>
      <c r="Z113" s="284"/>
    </row>
    <row r="114" outlineLevel="1">
      <c r="C114" s="5"/>
      <c r="D114" s="289" t="b">
        <v>1</v>
      </c>
      <c r="E114" s="266"/>
      <c r="F114" s="268" t="s">
        <v>2744</v>
      </c>
      <c r="G114" s="5"/>
      <c r="H114" s="5"/>
      <c r="I114" s="5"/>
      <c r="J114" s="5"/>
      <c r="K114" s="5"/>
      <c r="L114" s="5"/>
      <c r="M114" s="5"/>
      <c r="N114" s="5"/>
      <c r="O114" s="284"/>
      <c r="S114" s="284"/>
      <c r="T114" s="284"/>
      <c r="U114" s="284"/>
      <c r="V114" s="295"/>
      <c r="W114" s="284"/>
      <c r="X114" s="266"/>
      <c r="Y114" s="266"/>
      <c r="Z114" s="284"/>
    </row>
    <row r="115" outlineLevel="1">
      <c r="C115" s="5"/>
      <c r="D115" s="289" t="b">
        <v>1</v>
      </c>
      <c r="E115" s="266"/>
      <c r="F115" s="335" t="s">
        <v>2745</v>
      </c>
      <c r="G115" s="219"/>
      <c r="H115" s="219"/>
      <c r="I115" s="219"/>
      <c r="J115" s="5"/>
      <c r="K115" s="5"/>
      <c r="L115" s="5"/>
      <c r="M115" s="5"/>
      <c r="N115" s="5"/>
      <c r="O115" s="284"/>
      <c r="S115" s="284"/>
      <c r="T115" s="284"/>
      <c r="U115" s="284"/>
      <c r="V115" s="295"/>
      <c r="W115" s="266"/>
      <c r="X115" s="266"/>
      <c r="Y115" s="266"/>
      <c r="Z115" s="284"/>
    </row>
    <row r="116" outlineLevel="1">
      <c r="C116" s="5"/>
      <c r="D116" s="289" t="b">
        <v>1</v>
      </c>
      <c r="E116" s="266"/>
      <c r="F116" s="268" t="s">
        <v>2746</v>
      </c>
      <c r="G116" s="5"/>
      <c r="H116" s="5"/>
      <c r="I116" s="5"/>
      <c r="J116" s="5"/>
      <c r="K116" s="5"/>
      <c r="L116" s="5"/>
      <c r="M116" s="5"/>
      <c r="N116" s="5"/>
      <c r="O116" s="284"/>
      <c r="W116" s="266"/>
      <c r="X116" s="266"/>
      <c r="Y116" s="266"/>
      <c r="Z116" s="284"/>
    </row>
    <row r="117" outlineLevel="1">
      <c r="C117" s="5"/>
      <c r="D117" s="289" t="b">
        <v>1</v>
      </c>
      <c r="E117" s="268" t="s">
        <v>2747</v>
      </c>
      <c r="F117" s="5"/>
      <c r="G117" s="5"/>
      <c r="H117" s="5"/>
      <c r="I117" s="5"/>
      <c r="J117" s="5"/>
      <c r="K117" s="5"/>
      <c r="L117" s="5"/>
      <c r="M117" s="5"/>
      <c r="N117" s="5"/>
      <c r="O117" s="284"/>
      <c r="V117" s="266"/>
      <c r="W117" s="266"/>
      <c r="X117" s="266"/>
      <c r="Y117" s="266"/>
      <c r="Z117" s="284"/>
    </row>
    <row r="118" outlineLevel="1">
      <c r="C118" s="5"/>
      <c r="D118" s="289" t="b">
        <v>1</v>
      </c>
      <c r="E118" s="268" t="s">
        <v>2748</v>
      </c>
      <c r="F118" s="5"/>
      <c r="G118" s="5"/>
      <c r="H118" s="5"/>
      <c r="I118" s="5"/>
      <c r="J118" s="5"/>
      <c r="K118" s="5"/>
      <c r="L118" s="5"/>
      <c r="M118" s="5"/>
      <c r="N118" s="5"/>
      <c r="O118" s="284"/>
      <c r="V118" s="266"/>
      <c r="W118" s="266"/>
      <c r="X118" s="266"/>
      <c r="Y118" s="266"/>
      <c r="Z118" s="284"/>
    </row>
    <row r="119" outlineLevel="1">
      <c r="C119" s="5"/>
      <c r="D119" s="289" t="b">
        <v>1</v>
      </c>
      <c r="E119" s="5"/>
      <c r="F119" s="268" t="s">
        <v>2744</v>
      </c>
      <c r="G119" s="5"/>
      <c r="H119" s="5"/>
      <c r="I119" s="5"/>
      <c r="J119" s="5"/>
      <c r="K119" s="5"/>
      <c r="L119" s="5"/>
      <c r="M119" s="5"/>
      <c r="N119" s="5"/>
      <c r="O119" s="284"/>
      <c r="V119" s="266"/>
      <c r="W119" s="266"/>
      <c r="X119" s="266"/>
      <c r="Y119" s="266"/>
      <c r="Z119" s="284"/>
    </row>
    <row r="120" outlineLevel="1">
      <c r="C120" s="5"/>
      <c r="D120" s="289" t="b">
        <v>1</v>
      </c>
      <c r="E120" s="5"/>
      <c r="F120" s="335" t="s">
        <v>2745</v>
      </c>
      <c r="G120" s="219"/>
      <c r="H120" s="219"/>
      <c r="I120" s="219"/>
      <c r="J120" s="5"/>
      <c r="K120" s="5"/>
      <c r="L120" s="5"/>
      <c r="M120" s="5"/>
      <c r="N120" s="5"/>
      <c r="O120" s="284"/>
      <c r="V120" s="266"/>
      <c r="W120" s="266"/>
      <c r="X120" s="266"/>
      <c r="Y120" s="266"/>
      <c r="Z120" s="284"/>
    </row>
    <row r="121" outlineLevel="1">
      <c r="C121" s="5"/>
      <c r="D121" s="289" t="b">
        <v>1</v>
      </c>
      <c r="E121" s="266"/>
      <c r="F121" s="268" t="s">
        <v>2749</v>
      </c>
      <c r="G121" s="5"/>
      <c r="H121" s="5"/>
      <c r="I121" s="5"/>
      <c r="J121" s="5"/>
      <c r="K121" s="5"/>
      <c r="L121" s="5"/>
      <c r="M121" s="5"/>
      <c r="N121" s="5"/>
      <c r="O121" s="284"/>
      <c r="T121" s="284"/>
      <c r="V121" s="266"/>
      <c r="W121" s="266"/>
      <c r="X121" s="266"/>
      <c r="Y121" s="266"/>
      <c r="Z121" s="284"/>
    </row>
    <row r="122" outlineLevel="1">
      <c r="C122" s="5"/>
      <c r="D122" s="289" t="b">
        <v>1</v>
      </c>
      <c r="E122" s="268" t="s">
        <v>2750</v>
      </c>
      <c r="F122" s="5"/>
      <c r="G122" s="5"/>
      <c r="H122" s="5"/>
      <c r="I122" s="5"/>
      <c r="J122" s="5"/>
      <c r="K122" s="5"/>
      <c r="L122" s="5"/>
      <c r="M122" s="5"/>
      <c r="N122" s="5"/>
      <c r="O122" s="284"/>
      <c r="S122" s="284"/>
      <c r="T122" s="284"/>
      <c r="U122" s="266"/>
      <c r="V122" s="266"/>
      <c r="W122" s="266"/>
      <c r="X122" s="266"/>
      <c r="Y122" s="266"/>
      <c r="Z122" s="284"/>
    </row>
    <row r="123" outlineLevel="1">
      <c r="C123" s="5"/>
      <c r="D123" s="289" t="b">
        <v>1</v>
      </c>
      <c r="E123" s="268" t="s">
        <v>2751</v>
      </c>
      <c r="F123" s="5"/>
      <c r="G123" s="5"/>
      <c r="H123" s="5"/>
      <c r="I123" s="5"/>
      <c r="J123" s="5"/>
      <c r="K123" s="5"/>
      <c r="L123" s="5"/>
      <c r="M123" s="5"/>
      <c r="N123" s="5"/>
      <c r="O123" s="284"/>
      <c r="S123" s="284"/>
      <c r="T123" s="284"/>
      <c r="U123" s="266"/>
      <c r="V123" s="266"/>
      <c r="W123" s="266"/>
      <c r="X123" s="266"/>
      <c r="Y123" s="266"/>
      <c r="Z123" s="284"/>
    </row>
    <row r="124" outlineLevel="1">
      <c r="C124" s="5"/>
      <c r="D124" s="289" t="b">
        <v>1</v>
      </c>
      <c r="E124" s="268" t="s">
        <v>2752</v>
      </c>
      <c r="F124" s="5"/>
      <c r="G124" s="5"/>
      <c r="H124" s="266"/>
      <c r="I124" s="5"/>
      <c r="J124" s="5"/>
      <c r="K124" s="5"/>
      <c r="L124" s="5"/>
      <c r="M124" s="5"/>
      <c r="N124" s="5"/>
      <c r="O124" s="284"/>
      <c r="S124" s="284"/>
      <c r="T124" s="284"/>
      <c r="U124" s="266"/>
      <c r="V124" s="266"/>
      <c r="W124" s="266"/>
      <c r="X124" s="266"/>
      <c r="Y124" s="266"/>
      <c r="Z124" s="284"/>
    </row>
    <row r="125" outlineLevel="1">
      <c r="C125" s="5"/>
      <c r="D125" s="289" t="b">
        <v>1</v>
      </c>
      <c r="E125" s="333" t="s">
        <v>2753</v>
      </c>
      <c r="F125" s="266"/>
      <c r="G125" s="5"/>
      <c r="H125" s="5"/>
      <c r="I125" s="5"/>
      <c r="J125" s="5"/>
      <c r="K125" s="5"/>
      <c r="L125" s="5"/>
      <c r="M125" s="5"/>
      <c r="N125" s="5"/>
      <c r="O125" s="284"/>
      <c r="S125" s="284"/>
      <c r="T125" s="284"/>
      <c r="U125" s="266"/>
      <c r="V125" s="266"/>
      <c r="W125" s="266"/>
      <c r="X125" s="266"/>
      <c r="Y125" s="266"/>
      <c r="Z125" s="284"/>
    </row>
    <row r="126" outlineLevel="1">
      <c r="C126" s="5"/>
      <c r="D126" s="289" t="b">
        <v>1</v>
      </c>
      <c r="E126" s="266"/>
      <c r="F126" s="336" t="s">
        <v>2754</v>
      </c>
      <c r="G126" s="5"/>
      <c r="H126" s="5"/>
      <c r="I126" s="5"/>
      <c r="J126" s="5"/>
      <c r="K126" s="5"/>
      <c r="L126" s="5"/>
      <c r="M126" s="5"/>
      <c r="N126" s="5"/>
      <c r="O126" s="284"/>
      <c r="S126" s="284"/>
      <c r="T126" s="284"/>
      <c r="U126" s="266"/>
      <c r="V126" s="266"/>
      <c r="W126" s="266"/>
      <c r="X126" s="266"/>
      <c r="Y126" s="266"/>
      <c r="Z126" s="284"/>
    </row>
    <row r="127" outlineLevel="1">
      <c r="C127" s="5"/>
      <c r="D127" s="289" t="b">
        <v>1</v>
      </c>
      <c r="E127" s="266"/>
      <c r="F127" s="336" t="s">
        <v>2755</v>
      </c>
      <c r="G127" s="5"/>
      <c r="H127" s="5"/>
      <c r="I127" s="5"/>
      <c r="J127" s="5"/>
      <c r="K127" s="5"/>
      <c r="L127" s="5"/>
      <c r="M127" s="5"/>
      <c r="N127" s="5"/>
      <c r="O127" s="284"/>
      <c r="S127" s="284"/>
      <c r="T127" s="284"/>
      <c r="U127" s="266"/>
      <c r="V127" s="266"/>
      <c r="W127" s="266"/>
      <c r="X127" s="266"/>
      <c r="Y127" s="266"/>
      <c r="Z127" s="284"/>
    </row>
    <row r="128" outlineLevel="1">
      <c r="C128" s="5"/>
      <c r="D128" s="289" t="b">
        <v>1</v>
      </c>
      <c r="E128" s="294" t="s">
        <v>2756</v>
      </c>
      <c r="F128" s="5"/>
      <c r="G128" s="5"/>
      <c r="H128" s="5"/>
      <c r="I128" s="5"/>
      <c r="J128" s="5"/>
      <c r="K128" s="5"/>
      <c r="L128" s="5"/>
      <c r="M128" s="5"/>
      <c r="N128" s="5"/>
      <c r="O128" s="284"/>
      <c r="S128" s="284"/>
      <c r="T128" s="284"/>
      <c r="U128" s="284"/>
      <c r="V128" s="266"/>
      <c r="W128" s="266"/>
      <c r="X128" s="266"/>
      <c r="Y128" s="266"/>
      <c r="Z128" s="284"/>
    </row>
    <row r="129" outlineLevel="1">
      <c r="C129" s="5"/>
      <c r="D129" s="289" t="b">
        <v>1</v>
      </c>
      <c r="E129" s="268" t="s">
        <v>2757</v>
      </c>
      <c r="F129" s="5"/>
      <c r="G129" s="5"/>
      <c r="H129" s="5"/>
      <c r="I129" s="5"/>
      <c r="J129" s="5"/>
      <c r="K129" s="337"/>
      <c r="L129" s="5"/>
      <c r="M129" s="5"/>
      <c r="N129" s="5"/>
      <c r="O129" s="284"/>
      <c r="S129" s="284"/>
      <c r="T129" s="284"/>
      <c r="U129" s="284"/>
      <c r="V129" s="266"/>
      <c r="W129" s="266"/>
      <c r="X129" s="266"/>
      <c r="Y129" s="266"/>
      <c r="Z129" s="284"/>
    </row>
    <row r="130" outlineLevel="1">
      <c r="C130" s="338" t="s">
        <v>2714</v>
      </c>
      <c r="D130" s="311" t="b">
        <v>1</v>
      </c>
      <c r="E130" s="335" t="s">
        <v>2758</v>
      </c>
      <c r="F130" s="219"/>
      <c r="G130" s="219"/>
      <c r="H130" s="219"/>
      <c r="I130" s="219"/>
      <c r="J130" s="219"/>
      <c r="K130" s="219"/>
      <c r="L130" s="219"/>
      <c r="M130" s="219"/>
      <c r="N130" s="219"/>
      <c r="O130" s="284"/>
      <c r="S130" s="284"/>
      <c r="T130" s="284"/>
      <c r="U130" s="284"/>
      <c r="V130" s="266"/>
      <c r="W130" s="266"/>
      <c r="X130" s="266"/>
      <c r="Y130" s="266"/>
      <c r="Z130" s="284"/>
    </row>
    <row r="131">
      <c r="A131" s="5"/>
      <c r="B131" s="5"/>
      <c r="C131" s="331" t="s">
        <v>2759</v>
      </c>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row>
    <row r="132" outlineLevel="1">
      <c r="A132" s="5"/>
      <c r="B132" s="5"/>
      <c r="C132" s="263" t="s">
        <v>2564</v>
      </c>
      <c r="D132" s="277" t="b">
        <v>0</v>
      </c>
      <c r="E132" s="268" t="s">
        <v>2760</v>
      </c>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row>
    <row r="133" outlineLevel="1">
      <c r="A133" s="5"/>
      <c r="B133" s="5"/>
      <c r="C133" s="263" t="s">
        <v>2621</v>
      </c>
      <c r="D133" s="277" t="b">
        <v>0</v>
      </c>
      <c r="E133" s="268" t="s">
        <v>2761</v>
      </c>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row>
    <row r="134">
      <c r="A134" s="5"/>
      <c r="B134" s="5"/>
      <c r="C134" s="331" t="s">
        <v>2762</v>
      </c>
      <c r="D134" s="3"/>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row>
    <row r="135" outlineLevel="1">
      <c r="A135" s="5"/>
      <c r="B135" s="5"/>
      <c r="C135" s="263" t="s">
        <v>2763</v>
      </c>
      <c r="D135" s="3" t="b">
        <v>0</v>
      </c>
      <c r="E135" s="268" t="s">
        <v>2764</v>
      </c>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row>
    <row r="136" outlineLevel="1">
      <c r="A136" s="5"/>
      <c r="B136" s="5"/>
      <c r="C136" s="263" t="s">
        <v>2763</v>
      </c>
      <c r="D136" s="3" t="b">
        <v>0</v>
      </c>
      <c r="E136" s="268" t="s">
        <v>2765</v>
      </c>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row>
    <row r="137">
      <c r="A137" s="5"/>
      <c r="B137" s="5"/>
      <c r="C137" s="331" t="s">
        <v>2766</v>
      </c>
      <c r="D137" s="3"/>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row>
    <row r="138" outlineLevel="1">
      <c r="A138" s="5"/>
      <c r="B138" s="5"/>
      <c r="C138" s="263" t="s">
        <v>2763</v>
      </c>
      <c r="D138" s="3" t="b">
        <v>0</v>
      </c>
      <c r="E138" s="268" t="s">
        <v>2767</v>
      </c>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row>
    <row r="139" outlineLevel="1">
      <c r="A139" s="5"/>
      <c r="B139" s="5"/>
      <c r="C139" s="263" t="s">
        <v>2586</v>
      </c>
      <c r="D139" s="3"/>
      <c r="E139" s="268" t="s">
        <v>2768</v>
      </c>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row>
    <row r="140" outlineLevel="1">
      <c r="A140" s="5"/>
      <c r="B140" s="5"/>
      <c r="C140" s="263" t="s">
        <v>2586</v>
      </c>
      <c r="D140" s="3"/>
      <c r="E140" s="268" t="s">
        <v>2769</v>
      </c>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row>
    <row r="141" outlineLevel="1">
      <c r="A141" s="5"/>
      <c r="B141" s="5"/>
      <c r="C141" s="263" t="s">
        <v>2586</v>
      </c>
      <c r="D141" s="3"/>
      <c r="E141" s="268" t="s">
        <v>2770</v>
      </c>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row>
    <row r="142" outlineLevel="1">
      <c r="A142" s="5"/>
      <c r="B142" s="5"/>
      <c r="C142" s="263" t="s">
        <v>2586</v>
      </c>
      <c r="D142" s="3" t="b">
        <v>0</v>
      </c>
      <c r="E142" s="268" t="s">
        <v>2771</v>
      </c>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row>
    <row r="143" outlineLevel="1">
      <c r="A143" s="5"/>
      <c r="B143" s="5"/>
      <c r="C143" s="263" t="s">
        <v>2586</v>
      </c>
      <c r="D143" s="3" t="b">
        <v>0</v>
      </c>
      <c r="E143" s="268" t="s">
        <v>2772</v>
      </c>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row>
    <row r="144" outlineLevel="1">
      <c r="A144" s="5"/>
      <c r="B144" s="5"/>
      <c r="C144" s="263" t="s">
        <v>2763</v>
      </c>
      <c r="D144" s="3" t="b">
        <v>0</v>
      </c>
      <c r="E144" s="266"/>
      <c r="F144" s="336" t="s">
        <v>2773</v>
      </c>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row>
    <row r="145" outlineLevel="1">
      <c r="A145" s="5"/>
      <c r="B145" s="5"/>
      <c r="C145" s="263" t="s">
        <v>2586</v>
      </c>
      <c r="D145" s="3" t="b">
        <v>0</v>
      </c>
      <c r="E145" s="268" t="s">
        <v>2774</v>
      </c>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row>
    <row r="146" outlineLevel="1">
      <c r="A146" s="5"/>
      <c r="B146" s="5"/>
      <c r="C146" s="263" t="s">
        <v>2586</v>
      </c>
      <c r="D146" s="3" t="b">
        <v>0</v>
      </c>
      <c r="E146" s="5"/>
      <c r="F146" s="268" t="s">
        <v>2775</v>
      </c>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row>
    <row r="147" outlineLevel="1">
      <c r="A147" s="5"/>
      <c r="B147" s="5"/>
      <c r="C147" s="263" t="s">
        <v>2763</v>
      </c>
      <c r="D147" s="3" t="b">
        <v>0</v>
      </c>
      <c r="E147" s="268" t="s">
        <v>2776</v>
      </c>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row>
    <row r="148" outlineLevel="1">
      <c r="A148" s="5"/>
      <c r="B148" s="5"/>
      <c r="C148" s="263" t="s">
        <v>2586</v>
      </c>
      <c r="D148" s="3" t="b">
        <v>0</v>
      </c>
      <c r="E148" s="268" t="s">
        <v>2777</v>
      </c>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row>
    <row r="149" outlineLevel="1">
      <c r="A149" s="5"/>
      <c r="B149" s="5"/>
      <c r="C149" s="263" t="s">
        <v>2586</v>
      </c>
      <c r="D149" s="3" t="b">
        <v>0</v>
      </c>
      <c r="E149" s="268" t="s">
        <v>2778</v>
      </c>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row>
    <row r="150" outlineLevel="1">
      <c r="A150" s="5"/>
      <c r="B150" s="5"/>
      <c r="C150" s="263" t="s">
        <v>2586</v>
      </c>
      <c r="D150" s="3" t="b">
        <v>0</v>
      </c>
      <c r="E150" s="268" t="s">
        <v>2779</v>
      </c>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row>
    <row r="151" outlineLevel="1">
      <c r="C151" s="263" t="s">
        <v>2586</v>
      </c>
      <c r="D151" s="3" t="b">
        <v>0</v>
      </c>
      <c r="E151" s="268" t="s">
        <v>2780</v>
      </c>
      <c r="F151" s="5"/>
      <c r="G151" s="5"/>
      <c r="H151" s="5"/>
      <c r="I151" s="5"/>
      <c r="J151" s="5"/>
      <c r="K151" s="5"/>
      <c r="L151" s="5"/>
      <c r="M151" s="5"/>
      <c r="N151" s="5"/>
      <c r="O151" s="284"/>
      <c r="S151" s="284"/>
      <c r="T151" s="284"/>
      <c r="U151" s="284"/>
      <c r="V151" s="266"/>
      <c r="W151" s="266"/>
      <c r="X151" s="266"/>
      <c r="Y151" s="266"/>
      <c r="Z151" s="284"/>
    </row>
    <row r="152" outlineLevel="1">
      <c r="A152" s="5"/>
      <c r="B152" s="5"/>
      <c r="C152" s="263" t="s">
        <v>2586</v>
      </c>
      <c r="D152" s="3" t="b">
        <v>0</v>
      </c>
      <c r="E152" s="268" t="s">
        <v>2781</v>
      </c>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row>
    <row r="153" outlineLevel="1">
      <c r="A153" s="5"/>
      <c r="B153" s="5"/>
      <c r="C153" s="263" t="s">
        <v>2586</v>
      </c>
      <c r="D153" s="3" t="b">
        <v>0</v>
      </c>
      <c r="E153" s="268" t="s">
        <v>2782</v>
      </c>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row>
    <row r="154" outlineLevel="1">
      <c r="A154" s="5"/>
      <c r="B154" s="5"/>
      <c r="C154" s="263" t="s">
        <v>2763</v>
      </c>
      <c r="D154" s="3" t="b">
        <v>0</v>
      </c>
      <c r="E154" s="339" t="s">
        <v>2783</v>
      </c>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row>
    <row r="155" outlineLevel="1">
      <c r="A155" s="5"/>
      <c r="B155" s="5"/>
      <c r="C155" s="263"/>
      <c r="D155" s="3"/>
      <c r="E155" s="340" t="s">
        <v>2784</v>
      </c>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row>
    <row r="156" outlineLevel="1">
      <c r="A156" s="5"/>
      <c r="B156" s="5"/>
      <c r="C156" s="263" t="s">
        <v>2785</v>
      </c>
      <c r="D156" s="3"/>
      <c r="E156" s="268" t="s">
        <v>2786</v>
      </c>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row>
    <row r="157" outlineLevel="1">
      <c r="A157" s="5"/>
      <c r="B157" s="5"/>
      <c r="C157" s="263" t="s">
        <v>2785</v>
      </c>
      <c r="D157" s="3" t="b">
        <v>0</v>
      </c>
      <c r="E157" s="5"/>
      <c r="F157" s="268" t="s">
        <v>2787</v>
      </c>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row>
    <row r="158" outlineLevel="1">
      <c r="A158" s="5"/>
      <c r="B158" s="5"/>
      <c r="C158" s="263" t="s">
        <v>2785</v>
      </c>
      <c r="D158" s="3"/>
      <c r="E158" s="5"/>
      <c r="F158" s="268" t="s">
        <v>2788</v>
      </c>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row>
    <row r="159" outlineLevel="1">
      <c r="A159" s="5"/>
      <c r="B159" s="5"/>
      <c r="C159" s="263" t="s">
        <v>2785</v>
      </c>
      <c r="D159" s="3" t="b">
        <v>0</v>
      </c>
      <c r="E159" s="268" t="s">
        <v>2789</v>
      </c>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row>
    <row r="160" outlineLevel="1">
      <c r="A160" s="5"/>
      <c r="B160" s="5"/>
      <c r="C160" s="263" t="s">
        <v>2785</v>
      </c>
      <c r="D160" s="3" t="b">
        <v>0</v>
      </c>
      <c r="E160" s="268" t="s">
        <v>2790</v>
      </c>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row>
    <row r="161" outlineLevel="1">
      <c r="A161" s="5"/>
      <c r="B161" s="5"/>
      <c r="C161" s="263" t="s">
        <v>2586</v>
      </c>
      <c r="D161" s="3" t="b">
        <v>0</v>
      </c>
      <c r="E161" s="268" t="s">
        <v>2791</v>
      </c>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row>
    <row r="162" outlineLevel="1">
      <c r="A162" s="5"/>
      <c r="B162" s="5"/>
      <c r="C162" s="263" t="s">
        <v>2586</v>
      </c>
      <c r="D162" s="3"/>
      <c r="E162" s="268" t="s">
        <v>2792</v>
      </c>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row>
    <row r="163" outlineLevel="1">
      <c r="A163" s="5"/>
      <c r="B163" s="5"/>
      <c r="C163" s="263" t="s">
        <v>2763</v>
      </c>
      <c r="D163" s="3" t="b">
        <v>0</v>
      </c>
      <c r="E163" s="268" t="s">
        <v>2793</v>
      </c>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row>
    <row r="164" outlineLevel="1">
      <c r="A164" s="5"/>
      <c r="B164" s="5"/>
      <c r="C164" s="338" t="s">
        <v>2714</v>
      </c>
      <c r="D164" s="311" t="b">
        <v>1</v>
      </c>
      <c r="E164" s="335" t="s">
        <v>2794</v>
      </c>
      <c r="F164" s="219"/>
      <c r="G164" s="219"/>
      <c r="H164" s="219"/>
      <c r="I164" s="219"/>
      <c r="J164" s="219"/>
      <c r="K164" s="219"/>
      <c r="L164" s="219"/>
      <c r="M164" s="219"/>
      <c r="N164" s="219"/>
      <c r="O164" s="5"/>
      <c r="P164" s="5"/>
      <c r="Q164" s="5"/>
      <c r="R164" s="5"/>
      <c r="S164" s="5"/>
      <c r="T164" s="5"/>
      <c r="U164" s="5"/>
      <c r="V164" s="5"/>
      <c r="W164" s="5"/>
      <c r="X164" s="5"/>
      <c r="Y164" s="5"/>
      <c r="Z164" s="5"/>
      <c r="AA164" s="5"/>
      <c r="AB164" s="5"/>
      <c r="AC164" s="5"/>
      <c r="AD164" s="5"/>
      <c r="AE164" s="5"/>
    </row>
    <row r="165">
      <c r="A165" s="5"/>
      <c r="B165" s="5"/>
      <c r="C165" s="331" t="s">
        <v>2795</v>
      </c>
      <c r="D165" s="3"/>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row>
    <row r="166" outlineLevel="1">
      <c r="A166" s="5"/>
      <c r="B166" s="5"/>
      <c r="C166" s="263" t="s">
        <v>2796</v>
      </c>
      <c r="D166" s="3"/>
      <c r="E166" s="268" t="s">
        <v>2797</v>
      </c>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row>
    <row r="167" outlineLevel="1">
      <c r="A167" s="5"/>
      <c r="B167" s="5"/>
      <c r="C167" s="263" t="s">
        <v>2796</v>
      </c>
      <c r="D167" s="3"/>
      <c r="E167" s="268" t="s">
        <v>2798</v>
      </c>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row>
    <row r="168" outlineLevel="1">
      <c r="A168" s="5"/>
      <c r="B168" s="5"/>
      <c r="C168" s="263" t="s">
        <v>2796</v>
      </c>
      <c r="D168" s="3"/>
      <c r="E168" s="268" t="s">
        <v>2799</v>
      </c>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row>
    <row r="169" outlineLevel="1">
      <c r="A169" s="5"/>
      <c r="B169" s="5"/>
      <c r="C169" s="263" t="s">
        <v>2800</v>
      </c>
      <c r="D169" s="3"/>
      <c r="E169" s="268" t="s">
        <v>2801</v>
      </c>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row>
    <row r="170" outlineLevel="1">
      <c r="C170" s="263" t="s">
        <v>2802</v>
      </c>
      <c r="D170" s="3"/>
      <c r="E170" s="268" t="s">
        <v>2803</v>
      </c>
      <c r="F170" s="5"/>
      <c r="G170" s="5"/>
      <c r="H170" s="5"/>
      <c r="I170" s="5"/>
      <c r="J170" s="5"/>
      <c r="K170" s="5"/>
      <c r="L170" s="5"/>
      <c r="M170" s="5"/>
      <c r="N170" s="5"/>
      <c r="O170" s="284"/>
      <c r="S170" s="284"/>
      <c r="T170" s="284"/>
      <c r="U170" s="284"/>
      <c r="V170" s="284"/>
      <c r="W170" s="284"/>
      <c r="X170" s="284"/>
      <c r="Y170" s="284"/>
      <c r="Z170" s="284"/>
    </row>
    <row r="171" outlineLevel="1">
      <c r="C171" s="263" t="s">
        <v>2802</v>
      </c>
      <c r="D171" s="3"/>
      <c r="E171" s="268" t="s">
        <v>2804</v>
      </c>
      <c r="F171" s="5"/>
      <c r="G171" s="5"/>
      <c r="H171" s="5"/>
      <c r="I171" s="5"/>
      <c r="J171" s="5"/>
      <c r="K171" s="5"/>
      <c r="L171" s="5"/>
      <c r="M171" s="5"/>
      <c r="N171" s="5"/>
      <c r="O171" s="284"/>
      <c r="S171" s="284"/>
      <c r="T171" s="284"/>
      <c r="U171" s="284"/>
      <c r="V171" s="284"/>
      <c r="W171" s="284"/>
      <c r="X171" s="284"/>
      <c r="Y171" s="284"/>
      <c r="Z171" s="284"/>
    </row>
    <row r="172" outlineLevel="1">
      <c r="C172" s="263" t="s">
        <v>2802</v>
      </c>
      <c r="D172" s="3"/>
      <c r="E172" s="282" t="s">
        <v>2805</v>
      </c>
      <c r="F172" s="5"/>
      <c r="G172" s="5"/>
      <c r="H172" s="5"/>
      <c r="I172" s="5"/>
      <c r="J172" s="5"/>
      <c r="K172" s="5"/>
      <c r="L172" s="5"/>
      <c r="M172" s="5"/>
      <c r="N172" s="5"/>
      <c r="O172" s="284"/>
      <c r="S172" s="284"/>
      <c r="T172" s="284"/>
      <c r="U172" s="284"/>
      <c r="V172" s="284"/>
      <c r="W172" s="284"/>
      <c r="X172" s="284"/>
      <c r="Y172" s="284"/>
      <c r="Z172" s="284"/>
    </row>
    <row r="173" outlineLevel="1">
      <c r="C173" s="263" t="s">
        <v>2806</v>
      </c>
      <c r="D173" s="3"/>
      <c r="E173" s="268" t="s">
        <v>2807</v>
      </c>
      <c r="F173" s="5"/>
      <c r="G173" s="5"/>
      <c r="H173" s="5"/>
      <c r="I173" s="5"/>
      <c r="J173" s="5"/>
      <c r="K173" s="5"/>
      <c r="L173" s="5"/>
      <c r="M173" s="5"/>
      <c r="N173" s="5"/>
      <c r="O173" s="284"/>
      <c r="S173" s="284"/>
      <c r="T173" s="284"/>
      <c r="U173" s="284"/>
      <c r="V173" s="284"/>
      <c r="W173" s="284"/>
      <c r="X173" s="284"/>
      <c r="Y173" s="284"/>
      <c r="Z173" s="284"/>
    </row>
    <row r="174" outlineLevel="1">
      <c r="C174" s="263" t="s">
        <v>2808</v>
      </c>
      <c r="D174" s="3"/>
      <c r="E174" s="268" t="s">
        <v>2809</v>
      </c>
      <c r="F174" s="5"/>
      <c r="G174" s="5"/>
      <c r="H174" s="5"/>
      <c r="I174" s="5"/>
      <c r="J174" s="5"/>
      <c r="K174" s="5"/>
      <c r="L174" s="5"/>
      <c r="M174" s="5"/>
      <c r="N174" s="5"/>
      <c r="O174" s="284"/>
      <c r="S174" s="284"/>
      <c r="T174" s="284"/>
      <c r="U174" s="284"/>
      <c r="V174" s="284"/>
      <c r="W174" s="284"/>
      <c r="X174" s="284"/>
      <c r="Y174" s="284"/>
      <c r="Z174" s="284"/>
    </row>
    <row r="175" outlineLevel="1">
      <c r="C175" s="338" t="s">
        <v>2714</v>
      </c>
      <c r="D175" s="311" t="b">
        <v>1</v>
      </c>
      <c r="E175" s="335" t="s">
        <v>2810</v>
      </c>
      <c r="F175" s="219"/>
      <c r="G175" s="219"/>
      <c r="H175" s="219"/>
      <c r="I175" s="219"/>
      <c r="J175" s="219"/>
      <c r="K175" s="219"/>
      <c r="L175" s="219"/>
      <c r="M175" s="5"/>
      <c r="N175" s="5"/>
      <c r="O175" s="284"/>
      <c r="S175" s="284"/>
      <c r="T175" s="284"/>
      <c r="U175" s="284"/>
      <c r="V175" s="284"/>
      <c r="W175" s="284"/>
      <c r="X175" s="284"/>
      <c r="Y175" s="284"/>
      <c r="Z175" s="284"/>
    </row>
    <row r="176">
      <c r="C176" s="341" t="s">
        <v>2811</v>
      </c>
      <c r="D176" s="5"/>
      <c r="E176" s="5"/>
      <c r="F176" s="5"/>
      <c r="G176" s="5"/>
      <c r="H176" s="5"/>
      <c r="I176" s="5"/>
      <c r="J176" s="5"/>
      <c r="K176" s="284"/>
      <c r="L176" s="284"/>
      <c r="M176" s="284"/>
      <c r="N176" s="284"/>
      <c r="O176" s="284"/>
      <c r="S176" s="284"/>
      <c r="T176" s="284"/>
      <c r="U176" s="284"/>
      <c r="V176" s="284"/>
      <c r="W176" s="284"/>
      <c r="X176" s="284"/>
      <c r="Y176" s="284"/>
      <c r="Z176" s="284"/>
    </row>
    <row r="177" outlineLevel="1">
      <c r="A177" s="272" t="s">
        <v>2563</v>
      </c>
      <c r="B177" s="342">
        <v>44942.145833333336</v>
      </c>
      <c r="C177" s="5"/>
      <c r="D177" s="275" t="b">
        <v>1</v>
      </c>
      <c r="E177" s="282" t="s">
        <v>2812</v>
      </c>
      <c r="F177" s="5"/>
      <c r="G177" s="5"/>
      <c r="H177" s="5"/>
      <c r="I177" s="5"/>
      <c r="J177" s="5"/>
      <c r="K177" s="284"/>
      <c r="L177" s="284"/>
      <c r="M177" s="284"/>
      <c r="N177" s="284"/>
      <c r="O177" s="284"/>
      <c r="S177" s="284"/>
      <c r="T177" s="284"/>
      <c r="U177" s="284"/>
      <c r="V177" s="284"/>
      <c r="W177" s="284"/>
      <c r="X177" s="284"/>
      <c r="Y177" s="284"/>
      <c r="Z177" s="284"/>
    </row>
    <row r="178" outlineLevel="1">
      <c r="A178" s="272" t="s">
        <v>2563</v>
      </c>
      <c r="B178" s="342">
        <v>44942.145833333336</v>
      </c>
      <c r="C178" s="5"/>
      <c r="D178" s="275" t="b">
        <v>1</v>
      </c>
      <c r="E178" s="282" t="s">
        <v>2813</v>
      </c>
      <c r="F178" s="5"/>
      <c r="G178" s="5"/>
      <c r="H178" s="5"/>
      <c r="I178" s="5"/>
      <c r="J178" s="5"/>
      <c r="K178" s="284"/>
      <c r="L178" s="284"/>
      <c r="M178" s="284"/>
      <c r="N178" s="284"/>
      <c r="O178" s="284"/>
      <c r="S178" s="284"/>
      <c r="T178" s="284"/>
      <c r="U178" s="284"/>
      <c r="V178" s="284"/>
      <c r="W178" s="284"/>
      <c r="X178" s="284"/>
      <c r="Y178" s="284"/>
      <c r="Z178" s="284"/>
    </row>
    <row r="179" outlineLevel="1">
      <c r="A179" s="272" t="s">
        <v>2563</v>
      </c>
      <c r="B179" s="342">
        <v>44942.145833333336</v>
      </c>
      <c r="C179" s="5"/>
      <c r="D179" s="275" t="b">
        <v>1</v>
      </c>
      <c r="E179" s="5"/>
      <c r="F179" s="282" t="s">
        <v>2814</v>
      </c>
      <c r="G179" s="5"/>
      <c r="H179" s="5"/>
      <c r="I179" s="5"/>
      <c r="J179" s="5"/>
      <c r="K179" s="284"/>
      <c r="L179" s="284"/>
      <c r="M179" s="284"/>
      <c r="N179" s="284"/>
      <c r="O179" s="284"/>
      <c r="S179" s="284"/>
      <c r="T179" s="284"/>
      <c r="U179" s="284"/>
      <c r="V179" s="284"/>
      <c r="W179" s="284"/>
      <c r="X179" s="284"/>
      <c r="Y179" s="284"/>
      <c r="Z179" s="284"/>
    </row>
    <row r="180" outlineLevel="1">
      <c r="A180" s="272" t="s">
        <v>2563</v>
      </c>
      <c r="B180" s="342">
        <v>44942.145833333336</v>
      </c>
      <c r="C180" s="5"/>
      <c r="D180" s="275" t="b">
        <v>1</v>
      </c>
      <c r="E180" s="5"/>
      <c r="F180" s="282" t="s">
        <v>2815</v>
      </c>
      <c r="G180" s="5"/>
      <c r="H180" s="5"/>
      <c r="I180" s="5"/>
      <c r="J180" s="5"/>
      <c r="K180" s="284"/>
      <c r="L180" s="284"/>
      <c r="M180" s="284"/>
      <c r="N180" s="284"/>
      <c r="O180" s="284"/>
      <c r="S180" s="284"/>
      <c r="T180" s="284"/>
      <c r="U180" s="284"/>
      <c r="V180" s="284"/>
      <c r="W180" s="284"/>
      <c r="X180" s="284"/>
      <c r="Y180" s="284"/>
      <c r="Z180" s="284"/>
    </row>
    <row r="181" outlineLevel="1">
      <c r="A181" s="272" t="s">
        <v>2563</v>
      </c>
      <c r="B181" s="342">
        <v>44942.166666666664</v>
      </c>
      <c r="C181" s="5"/>
      <c r="D181" s="275" t="b">
        <v>1</v>
      </c>
      <c r="E181" s="282" t="s">
        <v>2816</v>
      </c>
      <c r="F181" s="5"/>
      <c r="G181" s="5"/>
      <c r="H181" s="5"/>
      <c r="I181" s="5"/>
      <c r="J181" s="5"/>
      <c r="K181" s="284"/>
      <c r="L181" s="284"/>
      <c r="M181" s="284"/>
      <c r="N181" s="284"/>
      <c r="O181" s="284"/>
      <c r="S181" s="284"/>
      <c r="T181" s="284"/>
      <c r="U181" s="284"/>
      <c r="V181" s="284"/>
      <c r="W181" s="284"/>
      <c r="X181" s="284"/>
      <c r="Y181" s="284"/>
      <c r="Z181" s="284"/>
    </row>
    <row r="182" outlineLevel="1">
      <c r="A182" s="272" t="s">
        <v>2563</v>
      </c>
      <c r="B182" s="342">
        <v>44942.166666666664</v>
      </c>
      <c r="C182" s="5"/>
      <c r="D182" s="275" t="b">
        <v>1</v>
      </c>
      <c r="E182" s="5"/>
      <c r="F182" s="282" t="s">
        <v>2817</v>
      </c>
      <c r="G182" s="5"/>
      <c r="H182" s="5"/>
      <c r="I182" s="5"/>
      <c r="J182" s="5"/>
      <c r="K182" s="284"/>
      <c r="L182" s="284"/>
      <c r="M182" s="284"/>
      <c r="N182" s="284"/>
      <c r="O182" s="284"/>
      <c r="S182" s="284"/>
      <c r="T182" s="284"/>
      <c r="U182" s="284"/>
      <c r="V182" s="284"/>
      <c r="W182" s="284"/>
      <c r="X182" s="284"/>
      <c r="Y182" s="284"/>
      <c r="Z182" s="284"/>
    </row>
    <row r="183" outlineLevel="1">
      <c r="A183" s="272" t="s">
        <v>2563</v>
      </c>
      <c r="B183" s="342">
        <v>44942.166666666664</v>
      </c>
      <c r="C183" s="5"/>
      <c r="D183" s="275" t="b">
        <v>1</v>
      </c>
      <c r="E183" s="5"/>
      <c r="F183" s="282" t="s">
        <v>2818</v>
      </c>
      <c r="G183" s="5"/>
      <c r="H183" s="5"/>
      <c r="I183" s="5"/>
      <c r="J183" s="5"/>
      <c r="K183" s="284"/>
      <c r="L183" s="284"/>
      <c r="M183" s="284"/>
      <c r="N183" s="284"/>
      <c r="O183" s="284"/>
      <c r="S183" s="284"/>
      <c r="T183" s="284"/>
      <c r="U183" s="284"/>
      <c r="V183" s="284"/>
      <c r="W183" s="284"/>
      <c r="X183" s="284"/>
      <c r="Y183" s="284"/>
      <c r="Z183" s="284"/>
    </row>
    <row r="184" outlineLevel="1">
      <c r="A184" s="272" t="s">
        <v>2563</v>
      </c>
      <c r="B184" s="342">
        <v>44942.166666666664</v>
      </c>
      <c r="C184" s="5"/>
      <c r="D184" s="275" t="b">
        <v>1</v>
      </c>
      <c r="E184" s="282" t="s">
        <v>2819</v>
      </c>
      <c r="F184" s="5"/>
      <c r="G184" s="5"/>
      <c r="H184" s="5"/>
      <c r="I184" s="5"/>
      <c r="J184" s="5"/>
      <c r="K184" s="284"/>
      <c r="L184" s="284"/>
      <c r="M184" s="284"/>
      <c r="N184" s="284"/>
      <c r="O184" s="284"/>
      <c r="S184" s="284"/>
      <c r="T184" s="284"/>
      <c r="U184" s="284"/>
      <c r="V184" s="284"/>
      <c r="W184" s="284"/>
      <c r="X184" s="284"/>
      <c r="Y184" s="284"/>
      <c r="Z184" s="284"/>
    </row>
    <row r="185" outlineLevel="1">
      <c r="A185" s="272" t="s">
        <v>2563</v>
      </c>
      <c r="B185" s="342">
        <v>44942.166666666664</v>
      </c>
      <c r="C185" s="5"/>
      <c r="D185" s="275" t="b">
        <v>1</v>
      </c>
      <c r="E185" s="5"/>
      <c r="F185" s="282" t="s">
        <v>2820</v>
      </c>
      <c r="G185" s="5"/>
      <c r="H185" s="5"/>
      <c r="I185" s="5"/>
      <c r="J185" s="5"/>
      <c r="K185" s="284"/>
      <c r="L185" s="284"/>
      <c r="M185" s="284"/>
      <c r="N185" s="284"/>
      <c r="O185" s="284"/>
      <c r="S185" s="284"/>
      <c r="T185" s="284"/>
      <c r="U185" s="284"/>
      <c r="V185" s="284"/>
      <c r="W185" s="284"/>
      <c r="X185" s="284"/>
      <c r="Y185" s="284"/>
      <c r="Z185" s="284"/>
    </row>
    <row r="186" outlineLevel="1">
      <c r="A186" s="272" t="s">
        <v>2563</v>
      </c>
      <c r="B186" s="342">
        <v>44942.166666666664</v>
      </c>
      <c r="C186" s="5"/>
      <c r="D186" s="275" t="b">
        <v>1</v>
      </c>
      <c r="E186" s="282" t="s">
        <v>2821</v>
      </c>
      <c r="F186" s="5"/>
      <c r="G186" s="5"/>
      <c r="H186" s="5"/>
      <c r="I186" s="5"/>
      <c r="J186" s="5"/>
      <c r="K186" s="284"/>
      <c r="L186" s="284"/>
      <c r="M186" s="284"/>
      <c r="N186" s="284"/>
      <c r="O186" s="284"/>
      <c r="S186" s="284"/>
      <c r="T186" s="284"/>
      <c r="U186" s="284"/>
      <c r="V186" s="284"/>
      <c r="W186" s="284"/>
      <c r="X186" s="284"/>
      <c r="Y186" s="284"/>
      <c r="Z186" s="284"/>
    </row>
    <row r="187" outlineLevel="1">
      <c r="A187" s="272" t="s">
        <v>2563</v>
      </c>
      <c r="B187" s="342">
        <v>44942.1875</v>
      </c>
      <c r="C187" s="5"/>
      <c r="D187" s="275" t="b">
        <v>1</v>
      </c>
      <c r="E187" s="282" t="s">
        <v>2822</v>
      </c>
      <c r="F187" s="5"/>
      <c r="G187" s="5"/>
      <c r="H187" s="5"/>
      <c r="I187" s="5"/>
      <c r="J187" s="5"/>
      <c r="K187" s="284"/>
      <c r="L187" s="284"/>
      <c r="M187" s="284"/>
      <c r="N187" s="284"/>
      <c r="O187" s="284"/>
      <c r="S187" s="284"/>
      <c r="T187" s="284"/>
      <c r="U187" s="284"/>
      <c r="V187" s="284"/>
      <c r="W187" s="284"/>
      <c r="X187" s="284"/>
      <c r="Y187" s="284"/>
      <c r="Z187" s="284"/>
    </row>
    <row r="188" outlineLevel="1">
      <c r="A188" s="272" t="s">
        <v>2563</v>
      </c>
      <c r="B188" s="342">
        <v>44942.1875</v>
      </c>
      <c r="C188" s="5"/>
      <c r="D188" s="275" t="b">
        <v>1</v>
      </c>
      <c r="E188" s="282" t="s">
        <v>2823</v>
      </c>
      <c r="F188" s="5"/>
      <c r="G188" s="5"/>
      <c r="H188" s="5"/>
      <c r="I188" s="5"/>
      <c r="J188" s="5"/>
      <c r="K188" s="284"/>
      <c r="L188" s="284"/>
      <c r="M188" s="291" t="s">
        <v>2824</v>
      </c>
      <c r="N188" s="284"/>
      <c r="O188" s="284"/>
      <c r="S188" s="284"/>
      <c r="T188" s="284"/>
      <c r="U188" s="284"/>
      <c r="V188" s="284"/>
      <c r="W188" s="284"/>
      <c r="X188" s="284"/>
      <c r="Y188" s="284"/>
      <c r="Z188" s="284"/>
    </row>
    <row r="189" outlineLevel="1">
      <c r="A189" s="2" t="s">
        <v>2563</v>
      </c>
      <c r="B189" s="342">
        <v>44942.1875</v>
      </c>
      <c r="C189" s="5"/>
      <c r="D189" s="275" t="b">
        <v>1</v>
      </c>
      <c r="E189" s="5"/>
      <c r="F189" s="282" t="s">
        <v>2825</v>
      </c>
      <c r="G189" s="5"/>
      <c r="H189" s="5"/>
      <c r="I189" s="5"/>
      <c r="J189" s="5"/>
      <c r="K189" s="284"/>
      <c r="L189" s="284"/>
      <c r="M189" s="284"/>
      <c r="N189" s="284"/>
      <c r="O189" s="284"/>
      <c r="S189" s="284"/>
      <c r="T189" s="284"/>
      <c r="U189" s="284"/>
      <c r="V189" s="284"/>
      <c r="W189" s="284"/>
      <c r="X189" s="284"/>
      <c r="Y189" s="284"/>
      <c r="Z189" s="284"/>
    </row>
    <row r="190" outlineLevel="1">
      <c r="C190" s="5"/>
      <c r="D190" s="153" t="b">
        <v>0</v>
      </c>
      <c r="E190" s="282" t="s">
        <v>2826</v>
      </c>
      <c r="F190" s="5"/>
      <c r="G190" s="5"/>
      <c r="H190" s="5"/>
      <c r="I190" s="5"/>
      <c r="J190" s="5"/>
      <c r="K190" s="284"/>
      <c r="L190" s="284"/>
      <c r="M190" s="284"/>
      <c r="N190" s="284"/>
      <c r="O190" s="284"/>
      <c r="S190" s="284"/>
      <c r="T190" s="284"/>
      <c r="U190" s="284"/>
      <c r="V190" s="284"/>
      <c r="W190" s="284"/>
      <c r="X190" s="284"/>
      <c r="Y190" s="284"/>
      <c r="Z190" s="284"/>
    </row>
    <row r="191" outlineLevel="1">
      <c r="C191" s="5"/>
      <c r="D191" s="153" t="b">
        <v>0</v>
      </c>
      <c r="E191" s="5"/>
      <c r="F191" s="282" t="s">
        <v>2827</v>
      </c>
      <c r="G191" s="5"/>
      <c r="H191" s="5"/>
      <c r="I191" s="5"/>
      <c r="J191" s="5"/>
      <c r="K191" s="284"/>
      <c r="L191" s="284"/>
      <c r="M191" s="284"/>
      <c r="N191" s="284"/>
      <c r="O191" s="284"/>
      <c r="S191" s="284"/>
      <c r="T191" s="284"/>
      <c r="U191" s="284"/>
      <c r="V191" s="284"/>
      <c r="W191" s="284"/>
      <c r="X191" s="284"/>
      <c r="Y191" s="284"/>
      <c r="Z191" s="284"/>
    </row>
    <row r="192" outlineLevel="1">
      <c r="C192" s="5"/>
      <c r="D192" s="153" t="b">
        <v>0</v>
      </c>
      <c r="E192" s="5"/>
      <c r="F192" s="282" t="s">
        <v>2828</v>
      </c>
      <c r="G192" s="5"/>
      <c r="H192" s="5"/>
      <c r="I192" s="5"/>
      <c r="J192" s="5"/>
      <c r="K192" s="284"/>
      <c r="L192" s="284"/>
      <c r="M192" s="284"/>
      <c r="N192" s="284"/>
      <c r="O192" s="284"/>
      <c r="S192" s="284"/>
      <c r="T192" s="284"/>
      <c r="U192" s="284"/>
      <c r="V192" s="284"/>
      <c r="W192" s="284"/>
      <c r="X192" s="284"/>
      <c r="Y192" s="284"/>
      <c r="Z192" s="284"/>
    </row>
    <row r="193" outlineLevel="1">
      <c r="C193" s="5"/>
      <c r="D193" s="153" t="b">
        <v>0</v>
      </c>
      <c r="E193" s="5"/>
      <c r="F193" s="282" t="s">
        <v>2829</v>
      </c>
      <c r="G193" s="5"/>
      <c r="H193" s="5"/>
      <c r="I193" s="5"/>
      <c r="J193" s="5"/>
      <c r="K193" s="284"/>
      <c r="L193" s="284"/>
      <c r="M193" s="284"/>
      <c r="N193" s="284"/>
      <c r="O193" s="284"/>
      <c r="S193" s="284"/>
      <c r="T193" s="284"/>
      <c r="U193" s="284"/>
      <c r="V193" s="284"/>
      <c r="W193" s="284"/>
      <c r="X193" s="284"/>
      <c r="Y193" s="284"/>
      <c r="Z193" s="284"/>
    </row>
    <row r="194" outlineLevel="1">
      <c r="C194" s="5"/>
      <c r="D194" s="153" t="b">
        <v>0</v>
      </c>
      <c r="E194" s="5"/>
      <c r="F194" s="282" t="s">
        <v>2830</v>
      </c>
      <c r="G194" s="5"/>
      <c r="H194" s="5"/>
      <c r="I194" s="5"/>
      <c r="J194" s="5"/>
      <c r="K194" s="284"/>
      <c r="L194" s="284"/>
      <c r="M194" s="284"/>
      <c r="N194" s="284"/>
      <c r="O194" s="284"/>
      <c r="S194" s="284"/>
      <c r="T194" s="284"/>
      <c r="U194" s="284"/>
      <c r="V194" s="284"/>
      <c r="W194" s="284"/>
      <c r="X194" s="284"/>
      <c r="Y194" s="284"/>
      <c r="Z194" s="284"/>
    </row>
    <row r="195" outlineLevel="1">
      <c r="C195" s="5"/>
      <c r="D195" s="153" t="b">
        <v>0</v>
      </c>
      <c r="E195" s="282" t="s">
        <v>2831</v>
      </c>
      <c r="F195" s="5"/>
      <c r="G195" s="5"/>
      <c r="H195" s="5"/>
      <c r="I195" s="5"/>
      <c r="J195" s="5"/>
      <c r="K195" s="284"/>
      <c r="L195" s="284"/>
      <c r="M195" s="284"/>
      <c r="N195" s="284"/>
      <c r="O195" s="284"/>
      <c r="S195" s="284"/>
      <c r="T195" s="284"/>
      <c r="U195" s="284"/>
      <c r="V195" s="284"/>
      <c r="W195" s="284"/>
      <c r="X195" s="284"/>
      <c r="Y195" s="284"/>
      <c r="Z195" s="284"/>
    </row>
    <row r="196" outlineLevel="1">
      <c r="C196" s="5"/>
      <c r="D196" s="153" t="b">
        <v>0</v>
      </c>
      <c r="E196" s="282" t="s">
        <v>2832</v>
      </c>
      <c r="F196" s="5"/>
      <c r="G196" s="5"/>
      <c r="H196" s="5"/>
      <c r="I196" s="5"/>
      <c r="J196" s="5"/>
      <c r="K196" s="284"/>
      <c r="L196" s="284"/>
      <c r="M196" s="284"/>
      <c r="N196" s="284"/>
      <c r="O196" s="284"/>
      <c r="S196" s="284"/>
      <c r="T196" s="284"/>
      <c r="U196" s="284"/>
      <c r="V196" s="284"/>
      <c r="W196" s="284"/>
      <c r="X196" s="284"/>
      <c r="Y196" s="284"/>
      <c r="Z196" s="284"/>
    </row>
    <row r="197">
      <c r="E197" s="284"/>
      <c r="F197" s="284"/>
      <c r="G197" s="284"/>
      <c r="H197" s="284"/>
      <c r="I197" s="284"/>
      <c r="J197" s="284"/>
      <c r="K197" s="284"/>
      <c r="L197" s="284"/>
      <c r="M197" s="284"/>
      <c r="N197" s="284"/>
      <c r="O197" s="284"/>
      <c r="S197" s="284"/>
      <c r="T197" s="284"/>
      <c r="U197" s="284"/>
      <c r="V197" s="284"/>
      <c r="W197" s="284"/>
      <c r="X197" s="284"/>
      <c r="Y197" s="284"/>
      <c r="Z197" s="284"/>
    </row>
    <row r="198">
      <c r="E198" s="284"/>
      <c r="F198" s="284"/>
      <c r="G198" s="284"/>
      <c r="H198" s="284"/>
      <c r="I198" s="284"/>
      <c r="J198" s="284"/>
      <c r="K198" s="284"/>
      <c r="L198" s="284"/>
      <c r="M198" s="284"/>
      <c r="N198" s="284"/>
      <c r="O198" s="284"/>
      <c r="S198" s="284"/>
      <c r="T198" s="284"/>
      <c r="U198" s="284"/>
      <c r="V198" s="284"/>
      <c r="W198" s="284"/>
      <c r="X198" s="284"/>
      <c r="Y198" s="284"/>
      <c r="Z198" s="284"/>
    </row>
    <row r="199">
      <c r="E199" s="284"/>
      <c r="F199" s="284"/>
      <c r="G199" s="284"/>
      <c r="H199" s="284"/>
      <c r="I199" s="284"/>
      <c r="J199" s="284"/>
      <c r="K199" s="284"/>
      <c r="L199" s="284"/>
      <c r="M199" s="284"/>
      <c r="N199" s="284"/>
      <c r="O199" s="284"/>
      <c r="S199" s="284"/>
      <c r="T199" s="284"/>
      <c r="U199" s="284"/>
      <c r="V199" s="284"/>
      <c r="W199" s="284"/>
      <c r="X199" s="284"/>
      <c r="Y199" s="284"/>
      <c r="Z199" s="284"/>
    </row>
    <row r="200">
      <c r="E200" s="284"/>
      <c r="F200" s="284"/>
      <c r="G200" s="284"/>
      <c r="H200" s="284"/>
      <c r="I200" s="284"/>
      <c r="J200" s="284"/>
      <c r="K200" s="284"/>
      <c r="L200" s="284"/>
      <c r="M200" s="284"/>
      <c r="N200" s="284"/>
      <c r="O200" s="284"/>
      <c r="S200" s="284"/>
      <c r="T200" s="284"/>
      <c r="U200" s="284"/>
      <c r="V200" s="284"/>
      <c r="W200" s="284"/>
      <c r="X200" s="284"/>
      <c r="Y200" s="284"/>
      <c r="Z200" s="284"/>
    </row>
    <row r="201">
      <c r="E201" s="284"/>
      <c r="F201" s="284"/>
      <c r="G201" s="284"/>
      <c r="H201" s="284"/>
      <c r="I201" s="284"/>
      <c r="J201" s="284"/>
      <c r="K201" s="284"/>
      <c r="L201" s="284"/>
      <c r="M201" s="284"/>
      <c r="N201" s="284"/>
      <c r="O201" s="284"/>
      <c r="S201" s="284"/>
      <c r="T201" s="284"/>
      <c r="U201" s="284"/>
      <c r="V201" s="284"/>
      <c r="W201" s="284"/>
      <c r="X201" s="284"/>
      <c r="Y201" s="284"/>
      <c r="Z201" s="284"/>
    </row>
    <row r="202">
      <c r="E202" s="284"/>
      <c r="F202" s="284"/>
      <c r="G202" s="284"/>
      <c r="H202" s="284"/>
      <c r="I202" s="284"/>
      <c r="J202" s="284"/>
      <c r="K202" s="284"/>
      <c r="L202" s="284"/>
      <c r="M202" s="284"/>
      <c r="N202" s="284"/>
      <c r="O202" s="284"/>
      <c r="S202" s="284"/>
      <c r="T202" s="284"/>
      <c r="U202" s="284"/>
      <c r="V202" s="284"/>
      <c r="W202" s="284"/>
      <c r="X202" s="284"/>
      <c r="Y202" s="284"/>
      <c r="Z202" s="284"/>
    </row>
    <row r="203">
      <c r="E203" s="284"/>
      <c r="F203" s="284"/>
      <c r="G203" s="284"/>
      <c r="H203" s="284"/>
      <c r="I203" s="284"/>
      <c r="J203" s="284"/>
      <c r="K203" s="284"/>
      <c r="L203" s="284"/>
      <c r="M203" s="284"/>
      <c r="N203" s="284"/>
      <c r="O203" s="284"/>
      <c r="S203" s="284"/>
      <c r="T203" s="284"/>
      <c r="U203" s="284"/>
      <c r="V203" s="284"/>
      <c r="W203" s="284"/>
      <c r="X203" s="284"/>
      <c r="Y203" s="284"/>
      <c r="Z203" s="284"/>
    </row>
    <row r="204">
      <c r="E204" s="284"/>
      <c r="F204" s="284"/>
      <c r="G204" s="284"/>
      <c r="H204" s="284"/>
      <c r="I204" s="284"/>
      <c r="J204" s="284"/>
      <c r="K204" s="284"/>
      <c r="L204" s="284"/>
      <c r="M204" s="284"/>
      <c r="N204" s="284"/>
      <c r="O204" s="284"/>
      <c r="S204" s="284"/>
      <c r="T204" s="284"/>
      <c r="U204" s="284"/>
      <c r="V204" s="284"/>
      <c r="W204" s="284"/>
      <c r="X204" s="284"/>
      <c r="Y204" s="284"/>
      <c r="Z204" s="284"/>
    </row>
    <row r="205">
      <c r="E205" s="284"/>
      <c r="F205" s="284"/>
      <c r="G205" s="284"/>
      <c r="H205" s="284"/>
      <c r="I205" s="284"/>
      <c r="J205" s="284"/>
      <c r="K205" s="284"/>
      <c r="L205" s="284"/>
      <c r="M205" s="284"/>
      <c r="N205" s="284"/>
      <c r="O205" s="284"/>
      <c r="S205" s="284"/>
      <c r="T205" s="284"/>
      <c r="U205" s="284"/>
      <c r="V205" s="284"/>
      <c r="W205" s="284"/>
      <c r="X205" s="284"/>
      <c r="Y205" s="284"/>
      <c r="Z205" s="284"/>
    </row>
    <row r="206">
      <c r="E206" s="284"/>
      <c r="F206" s="284"/>
      <c r="G206" s="284"/>
      <c r="H206" s="284"/>
      <c r="I206" s="284"/>
      <c r="J206" s="284"/>
      <c r="K206" s="284"/>
      <c r="L206" s="284"/>
      <c r="M206" s="284"/>
      <c r="N206" s="284"/>
      <c r="O206" s="284"/>
      <c r="S206" s="284"/>
      <c r="T206" s="284"/>
      <c r="U206" s="284"/>
      <c r="V206" s="284"/>
      <c r="W206" s="284"/>
      <c r="X206" s="284"/>
      <c r="Y206" s="284"/>
      <c r="Z206" s="284"/>
    </row>
    <row r="207">
      <c r="E207" s="284"/>
      <c r="F207" s="284"/>
      <c r="G207" s="284"/>
      <c r="H207" s="284"/>
      <c r="I207" s="284"/>
      <c r="J207" s="284"/>
      <c r="K207" s="284"/>
      <c r="L207" s="284"/>
      <c r="M207" s="284"/>
      <c r="N207" s="284"/>
      <c r="O207" s="284"/>
      <c r="S207" s="284"/>
      <c r="T207" s="284"/>
      <c r="U207" s="284"/>
      <c r="V207" s="284"/>
      <c r="W207" s="284"/>
      <c r="X207" s="284"/>
      <c r="Y207" s="284"/>
      <c r="Z207" s="284"/>
    </row>
    <row r="208">
      <c r="E208" s="284"/>
      <c r="F208" s="284"/>
      <c r="G208" s="284"/>
      <c r="H208" s="284"/>
      <c r="I208" s="284"/>
      <c r="J208" s="284"/>
      <c r="K208" s="284"/>
      <c r="L208" s="284"/>
      <c r="M208" s="284"/>
      <c r="N208" s="284"/>
      <c r="O208" s="284"/>
      <c r="S208" s="284"/>
      <c r="T208" s="284"/>
      <c r="U208" s="284"/>
      <c r="V208" s="284"/>
      <c r="W208" s="284"/>
      <c r="X208" s="284"/>
      <c r="Y208" s="284"/>
      <c r="Z208" s="284"/>
    </row>
    <row r="209">
      <c r="E209" s="284"/>
      <c r="F209" s="284"/>
      <c r="G209" s="284"/>
      <c r="H209" s="284"/>
      <c r="I209" s="284"/>
      <c r="J209" s="284"/>
      <c r="K209" s="284"/>
      <c r="L209" s="284"/>
      <c r="M209" s="284"/>
      <c r="N209" s="284"/>
      <c r="O209" s="284"/>
      <c r="S209" s="284"/>
      <c r="T209" s="284"/>
      <c r="U209" s="284"/>
      <c r="V209" s="284"/>
      <c r="W209" s="284"/>
      <c r="X209" s="284"/>
      <c r="Y209" s="284"/>
      <c r="Z209" s="284"/>
    </row>
    <row r="210">
      <c r="E210" s="284"/>
      <c r="F210" s="284"/>
      <c r="G210" s="284"/>
      <c r="H210" s="284"/>
      <c r="I210" s="284"/>
      <c r="J210" s="284"/>
      <c r="K210" s="284"/>
      <c r="L210" s="284"/>
      <c r="M210" s="284"/>
      <c r="N210" s="284"/>
      <c r="O210" s="284"/>
      <c r="S210" s="284"/>
      <c r="T210" s="284"/>
      <c r="U210" s="284"/>
      <c r="V210" s="284"/>
      <c r="W210" s="284"/>
      <c r="X210" s="284"/>
      <c r="Y210" s="284"/>
      <c r="Z210" s="284"/>
    </row>
    <row r="211">
      <c r="E211" s="284"/>
      <c r="F211" s="284"/>
      <c r="G211" s="284"/>
      <c r="H211" s="284"/>
      <c r="I211" s="284"/>
      <c r="J211" s="284"/>
      <c r="K211" s="284"/>
      <c r="L211" s="284"/>
      <c r="M211" s="284"/>
      <c r="N211" s="284"/>
      <c r="O211" s="284"/>
      <c r="S211" s="284"/>
      <c r="T211" s="284"/>
      <c r="U211" s="284"/>
      <c r="V211" s="284"/>
      <c r="W211" s="284"/>
      <c r="X211" s="284"/>
      <c r="Y211" s="284"/>
      <c r="Z211" s="284"/>
    </row>
    <row r="212">
      <c r="E212" s="284"/>
      <c r="F212" s="284"/>
      <c r="G212" s="284"/>
      <c r="H212" s="284"/>
      <c r="I212" s="284"/>
      <c r="J212" s="284"/>
      <c r="K212" s="284"/>
      <c r="L212" s="284"/>
      <c r="M212" s="284"/>
      <c r="N212" s="284"/>
      <c r="O212" s="284"/>
      <c r="S212" s="284"/>
      <c r="T212" s="284"/>
      <c r="U212" s="284"/>
      <c r="V212" s="284"/>
      <c r="W212" s="284"/>
      <c r="X212" s="284"/>
      <c r="Y212" s="284"/>
      <c r="Z212" s="284"/>
    </row>
    <row r="213">
      <c r="E213" s="284"/>
      <c r="F213" s="284"/>
      <c r="G213" s="284"/>
      <c r="H213" s="284"/>
      <c r="I213" s="284"/>
      <c r="J213" s="284"/>
      <c r="K213" s="284"/>
      <c r="L213" s="284"/>
      <c r="M213" s="284"/>
      <c r="N213" s="284"/>
      <c r="O213" s="284"/>
      <c r="S213" s="284"/>
      <c r="T213" s="284"/>
      <c r="U213" s="284"/>
      <c r="V213" s="284"/>
      <c r="W213" s="284"/>
      <c r="X213" s="284"/>
      <c r="Y213" s="284"/>
      <c r="Z213" s="284"/>
    </row>
    <row r="214">
      <c r="E214" s="284"/>
      <c r="F214" s="284"/>
      <c r="G214" s="284"/>
      <c r="H214" s="284"/>
      <c r="I214" s="284"/>
      <c r="J214" s="284"/>
      <c r="K214" s="284"/>
      <c r="L214" s="284"/>
      <c r="M214" s="284"/>
      <c r="N214" s="284"/>
      <c r="O214" s="284"/>
      <c r="S214" s="284"/>
      <c r="T214" s="284"/>
      <c r="U214" s="284"/>
      <c r="V214" s="284"/>
      <c r="W214" s="284"/>
      <c r="X214" s="284"/>
      <c r="Y214" s="284"/>
      <c r="Z214" s="284"/>
    </row>
    <row r="215">
      <c r="E215" s="284"/>
      <c r="F215" s="284"/>
      <c r="G215" s="284"/>
      <c r="H215" s="284"/>
      <c r="I215" s="284"/>
      <c r="J215" s="284"/>
      <c r="K215" s="284"/>
      <c r="L215" s="284"/>
      <c r="M215" s="284"/>
      <c r="N215" s="284"/>
      <c r="O215" s="284"/>
      <c r="S215" s="284"/>
      <c r="T215" s="284"/>
      <c r="U215" s="284"/>
      <c r="V215" s="284"/>
      <c r="W215" s="284"/>
      <c r="X215" s="284"/>
      <c r="Y215" s="284"/>
      <c r="Z215" s="284"/>
    </row>
    <row r="216">
      <c r="E216" s="284"/>
      <c r="F216" s="284"/>
      <c r="G216" s="284"/>
      <c r="H216" s="284"/>
      <c r="I216" s="284"/>
      <c r="J216" s="284"/>
      <c r="K216" s="284"/>
      <c r="L216" s="284"/>
      <c r="M216" s="284"/>
      <c r="N216" s="284"/>
      <c r="O216" s="284"/>
      <c r="S216" s="284"/>
      <c r="T216" s="284"/>
      <c r="U216" s="284"/>
      <c r="V216" s="284"/>
      <c r="W216" s="284"/>
      <c r="X216" s="284"/>
      <c r="Y216" s="284"/>
      <c r="Z216" s="284"/>
    </row>
    <row r="217">
      <c r="E217" s="284"/>
      <c r="F217" s="284"/>
      <c r="G217" s="284"/>
      <c r="H217" s="284"/>
      <c r="I217" s="284"/>
      <c r="J217" s="284"/>
      <c r="K217" s="284"/>
      <c r="L217" s="284"/>
      <c r="M217" s="284"/>
      <c r="N217" s="284"/>
      <c r="O217" s="284"/>
      <c r="S217" s="284"/>
      <c r="T217" s="284"/>
      <c r="U217" s="284"/>
      <c r="V217" s="284"/>
      <c r="W217" s="284"/>
      <c r="X217" s="284"/>
      <c r="Y217" s="284"/>
      <c r="Z217" s="284"/>
    </row>
    <row r="218">
      <c r="E218" s="284"/>
      <c r="F218" s="284"/>
      <c r="G218" s="284"/>
      <c r="H218" s="284"/>
      <c r="I218" s="284"/>
      <c r="J218" s="284"/>
      <c r="K218" s="284"/>
      <c r="L218" s="284"/>
      <c r="M218" s="284"/>
      <c r="N218" s="284"/>
      <c r="O218" s="284"/>
      <c r="S218" s="284"/>
      <c r="T218" s="284"/>
      <c r="U218" s="284"/>
      <c r="V218" s="284"/>
      <c r="W218" s="284"/>
      <c r="X218" s="284"/>
      <c r="Y218" s="284"/>
      <c r="Z218" s="284"/>
    </row>
    <row r="219">
      <c r="E219" s="284"/>
      <c r="F219" s="284"/>
      <c r="G219" s="284"/>
      <c r="H219" s="284"/>
      <c r="I219" s="284"/>
      <c r="J219" s="284"/>
      <c r="K219" s="284"/>
      <c r="L219" s="284"/>
      <c r="M219" s="284"/>
      <c r="N219" s="284"/>
      <c r="O219" s="284"/>
      <c r="S219" s="284"/>
      <c r="T219" s="284"/>
      <c r="U219" s="284"/>
      <c r="V219" s="284"/>
      <c r="W219" s="284"/>
      <c r="X219" s="284"/>
      <c r="Y219" s="284"/>
      <c r="Z219" s="284"/>
    </row>
    <row r="220">
      <c r="E220" s="284"/>
      <c r="F220" s="284"/>
      <c r="G220" s="284"/>
      <c r="H220" s="284"/>
      <c r="I220" s="284"/>
      <c r="J220" s="284"/>
      <c r="K220" s="284"/>
      <c r="L220" s="284"/>
      <c r="M220" s="284"/>
      <c r="N220" s="284"/>
      <c r="O220" s="284"/>
      <c r="S220" s="284"/>
      <c r="T220" s="284"/>
      <c r="U220" s="284"/>
      <c r="V220" s="284"/>
      <c r="W220" s="284"/>
      <c r="X220" s="284"/>
      <c r="Y220" s="284"/>
      <c r="Z220" s="284"/>
    </row>
    <row r="221">
      <c r="E221" s="284"/>
      <c r="F221" s="284"/>
      <c r="G221" s="284"/>
      <c r="H221" s="284"/>
      <c r="I221" s="284"/>
      <c r="J221" s="284"/>
      <c r="K221" s="284"/>
      <c r="L221" s="284"/>
      <c r="M221" s="284"/>
      <c r="N221" s="284"/>
      <c r="O221" s="284"/>
      <c r="S221" s="284"/>
      <c r="T221" s="284"/>
      <c r="U221" s="284"/>
      <c r="V221" s="284"/>
      <c r="W221" s="284"/>
      <c r="X221" s="284"/>
      <c r="Y221" s="284"/>
      <c r="Z221" s="284"/>
    </row>
    <row r="222">
      <c r="E222" s="284"/>
      <c r="F222" s="284"/>
      <c r="G222" s="284"/>
      <c r="H222" s="284"/>
      <c r="I222" s="284"/>
      <c r="J222" s="284"/>
      <c r="K222" s="284"/>
      <c r="L222" s="284"/>
      <c r="M222" s="284"/>
      <c r="N222" s="284"/>
      <c r="O222" s="284"/>
      <c r="S222" s="284"/>
      <c r="T222" s="284"/>
      <c r="U222" s="284"/>
      <c r="V222" s="284"/>
      <c r="W222" s="284"/>
      <c r="X222" s="284"/>
      <c r="Y222" s="284"/>
      <c r="Z222" s="284"/>
    </row>
    <row r="223">
      <c r="E223" s="284"/>
      <c r="F223" s="284"/>
      <c r="G223" s="284"/>
      <c r="H223" s="284"/>
      <c r="I223" s="284"/>
      <c r="J223" s="284"/>
      <c r="K223" s="284"/>
      <c r="L223" s="284"/>
      <c r="M223" s="284"/>
      <c r="N223" s="284"/>
      <c r="O223" s="284"/>
      <c r="S223" s="284"/>
      <c r="T223" s="284"/>
      <c r="U223" s="284"/>
      <c r="V223" s="284"/>
      <c r="W223" s="284"/>
      <c r="X223" s="284"/>
      <c r="Y223" s="284"/>
      <c r="Z223" s="284"/>
    </row>
    <row r="224">
      <c r="E224" s="284"/>
      <c r="F224" s="284"/>
      <c r="G224" s="284"/>
      <c r="H224" s="284"/>
      <c r="I224" s="284"/>
      <c r="J224" s="284"/>
      <c r="K224" s="284"/>
      <c r="L224" s="284"/>
      <c r="M224" s="284"/>
      <c r="N224" s="284"/>
      <c r="O224" s="284"/>
      <c r="S224" s="284"/>
      <c r="T224" s="284"/>
      <c r="U224" s="284"/>
      <c r="V224" s="284"/>
      <c r="W224" s="284"/>
      <c r="X224" s="284"/>
      <c r="Y224" s="284"/>
      <c r="Z224" s="284"/>
    </row>
    <row r="225">
      <c r="E225" s="284"/>
      <c r="F225" s="284"/>
      <c r="G225" s="284"/>
      <c r="H225" s="284"/>
      <c r="I225" s="284"/>
      <c r="J225" s="284"/>
      <c r="K225" s="284"/>
      <c r="L225" s="284"/>
      <c r="M225" s="284"/>
      <c r="N225" s="284"/>
      <c r="O225" s="284"/>
      <c r="S225" s="284"/>
      <c r="T225" s="284"/>
      <c r="U225" s="284"/>
      <c r="V225" s="284"/>
      <c r="W225" s="284"/>
      <c r="X225" s="284"/>
      <c r="Y225" s="284"/>
      <c r="Z225" s="284"/>
    </row>
    <row r="226">
      <c r="E226" s="284"/>
      <c r="F226" s="284"/>
      <c r="G226" s="284"/>
      <c r="H226" s="284"/>
      <c r="I226" s="284"/>
      <c r="J226" s="284"/>
      <c r="K226" s="284"/>
      <c r="L226" s="284"/>
      <c r="M226" s="284"/>
      <c r="N226" s="284"/>
      <c r="O226" s="284"/>
      <c r="S226" s="284"/>
      <c r="T226" s="284"/>
      <c r="U226" s="284"/>
      <c r="V226" s="284"/>
      <c r="W226" s="284"/>
      <c r="X226" s="284"/>
      <c r="Y226" s="284"/>
      <c r="Z226" s="284"/>
    </row>
    <row r="227">
      <c r="E227" s="284"/>
      <c r="F227" s="284"/>
      <c r="G227" s="284"/>
      <c r="H227" s="284"/>
      <c r="I227" s="284"/>
      <c r="J227" s="284"/>
      <c r="K227" s="284"/>
      <c r="L227" s="284"/>
      <c r="M227" s="284"/>
      <c r="N227" s="284"/>
      <c r="O227" s="284"/>
      <c r="S227" s="284"/>
      <c r="T227" s="284"/>
      <c r="U227" s="284"/>
      <c r="V227" s="284"/>
      <c r="W227" s="284"/>
      <c r="X227" s="284"/>
      <c r="Y227" s="284"/>
      <c r="Z227" s="284"/>
    </row>
    <row r="228">
      <c r="E228" s="284"/>
      <c r="F228" s="284"/>
      <c r="G228" s="284"/>
      <c r="H228" s="284"/>
      <c r="I228" s="284"/>
      <c r="J228" s="284"/>
      <c r="K228" s="284"/>
      <c r="L228" s="284"/>
      <c r="M228" s="284"/>
      <c r="N228" s="284"/>
      <c r="O228" s="284"/>
      <c r="S228" s="284"/>
      <c r="T228" s="284"/>
      <c r="U228" s="284"/>
      <c r="V228" s="284"/>
      <c r="W228" s="284"/>
      <c r="X228" s="284"/>
      <c r="Y228" s="284"/>
      <c r="Z228" s="284"/>
    </row>
    <row r="229">
      <c r="E229" s="284"/>
      <c r="F229" s="284"/>
      <c r="G229" s="284"/>
      <c r="H229" s="284"/>
      <c r="I229" s="284"/>
      <c r="J229" s="284"/>
      <c r="K229" s="284"/>
      <c r="L229" s="284"/>
      <c r="M229" s="284"/>
      <c r="N229" s="284"/>
      <c r="O229" s="284"/>
      <c r="S229" s="284"/>
      <c r="T229" s="284"/>
      <c r="U229" s="284"/>
      <c r="V229" s="284"/>
      <c r="W229" s="284"/>
      <c r="X229" s="284"/>
      <c r="Y229" s="284"/>
      <c r="Z229" s="284"/>
    </row>
    <row r="230">
      <c r="E230" s="284"/>
      <c r="F230" s="284"/>
      <c r="G230" s="284"/>
      <c r="H230" s="284"/>
      <c r="I230" s="284"/>
      <c r="J230" s="284"/>
      <c r="K230" s="284"/>
      <c r="L230" s="284"/>
      <c r="M230" s="284"/>
      <c r="N230" s="284"/>
      <c r="O230" s="284"/>
      <c r="S230" s="284"/>
      <c r="T230" s="284"/>
      <c r="U230" s="284"/>
      <c r="V230" s="284"/>
      <c r="W230" s="284"/>
      <c r="X230" s="284"/>
      <c r="Y230" s="284"/>
      <c r="Z230" s="284"/>
    </row>
    <row r="231">
      <c r="E231" s="284"/>
      <c r="F231" s="284"/>
      <c r="G231" s="284"/>
      <c r="H231" s="284"/>
      <c r="I231" s="284"/>
      <c r="J231" s="284"/>
      <c r="K231" s="284"/>
      <c r="L231" s="284"/>
      <c r="M231" s="284"/>
      <c r="N231" s="284"/>
      <c r="O231" s="284"/>
      <c r="S231" s="284"/>
      <c r="T231" s="284"/>
      <c r="U231" s="284"/>
      <c r="V231" s="284"/>
      <c r="W231" s="284"/>
      <c r="X231" s="284"/>
      <c r="Y231" s="284"/>
      <c r="Z231" s="284"/>
    </row>
    <row r="232">
      <c r="E232" s="284"/>
      <c r="F232" s="284"/>
      <c r="G232" s="284"/>
      <c r="H232" s="284"/>
      <c r="I232" s="284"/>
      <c r="J232" s="284"/>
      <c r="K232" s="284"/>
      <c r="L232" s="284"/>
      <c r="M232" s="284"/>
      <c r="N232" s="284"/>
      <c r="O232" s="284"/>
      <c r="S232" s="284"/>
      <c r="T232" s="284"/>
      <c r="U232" s="284"/>
      <c r="V232" s="284"/>
      <c r="W232" s="284"/>
      <c r="X232" s="284"/>
      <c r="Y232" s="284"/>
      <c r="Z232" s="284"/>
    </row>
    <row r="233">
      <c r="E233" s="284"/>
      <c r="F233" s="284"/>
      <c r="G233" s="284"/>
      <c r="H233" s="284"/>
      <c r="I233" s="284"/>
      <c r="J233" s="284"/>
      <c r="K233" s="284"/>
      <c r="L233" s="284"/>
      <c r="M233" s="284"/>
      <c r="N233" s="284"/>
      <c r="O233" s="284"/>
      <c r="S233" s="284"/>
      <c r="T233" s="284"/>
      <c r="U233" s="284"/>
      <c r="V233" s="284"/>
      <c r="W233" s="284"/>
      <c r="X233" s="284"/>
      <c r="Y233" s="284"/>
      <c r="Z233" s="284"/>
    </row>
    <row r="234">
      <c r="E234" s="284"/>
      <c r="F234" s="284"/>
      <c r="G234" s="284"/>
      <c r="H234" s="284"/>
      <c r="I234" s="284"/>
      <c r="J234" s="284"/>
      <c r="K234" s="284"/>
      <c r="L234" s="284"/>
      <c r="M234" s="284"/>
      <c r="N234" s="284"/>
      <c r="O234" s="284"/>
      <c r="S234" s="284"/>
      <c r="T234" s="284"/>
      <c r="U234" s="284"/>
      <c r="V234" s="284"/>
      <c r="W234" s="284"/>
      <c r="X234" s="284"/>
      <c r="Y234" s="284"/>
      <c r="Z234" s="284"/>
    </row>
    <row r="235">
      <c r="E235" s="284"/>
      <c r="F235" s="284"/>
      <c r="G235" s="284"/>
      <c r="H235" s="284"/>
      <c r="I235" s="284"/>
      <c r="J235" s="284"/>
      <c r="K235" s="284"/>
      <c r="L235" s="284"/>
      <c r="M235" s="284"/>
      <c r="N235" s="284"/>
      <c r="O235" s="284"/>
      <c r="S235" s="284"/>
      <c r="T235" s="284"/>
      <c r="U235" s="284"/>
      <c r="V235" s="284"/>
      <c r="W235" s="284"/>
      <c r="X235" s="284"/>
      <c r="Y235" s="284"/>
      <c r="Z235" s="284"/>
    </row>
    <row r="236">
      <c r="E236" s="284"/>
      <c r="F236" s="284"/>
      <c r="G236" s="284"/>
      <c r="H236" s="284"/>
      <c r="I236" s="284"/>
      <c r="J236" s="284"/>
      <c r="K236" s="284"/>
      <c r="L236" s="284"/>
      <c r="M236" s="284"/>
      <c r="N236" s="284"/>
      <c r="O236" s="284"/>
      <c r="S236" s="284"/>
      <c r="T236" s="284"/>
      <c r="U236" s="284"/>
      <c r="V236" s="284"/>
      <c r="W236" s="284"/>
      <c r="X236" s="284"/>
      <c r="Y236" s="284"/>
      <c r="Z236" s="284"/>
    </row>
    <row r="237">
      <c r="E237" s="284"/>
      <c r="F237" s="284"/>
      <c r="G237" s="284"/>
      <c r="H237" s="284"/>
      <c r="I237" s="284"/>
      <c r="J237" s="284"/>
      <c r="K237" s="284"/>
      <c r="L237" s="284"/>
      <c r="M237" s="284"/>
      <c r="N237" s="284"/>
      <c r="O237" s="284"/>
      <c r="S237" s="284"/>
      <c r="T237" s="284"/>
      <c r="U237" s="284"/>
      <c r="V237" s="284"/>
      <c r="W237" s="284"/>
      <c r="X237" s="284"/>
      <c r="Y237" s="284"/>
      <c r="Z237" s="284"/>
    </row>
    <row r="238">
      <c r="E238" s="284"/>
      <c r="F238" s="284"/>
      <c r="G238" s="284"/>
      <c r="H238" s="284"/>
      <c r="I238" s="284"/>
      <c r="J238" s="284"/>
      <c r="K238" s="284"/>
      <c r="L238" s="284"/>
      <c r="M238" s="284"/>
      <c r="N238" s="284"/>
      <c r="O238" s="284"/>
      <c r="S238" s="284"/>
      <c r="T238" s="284"/>
      <c r="U238" s="284"/>
      <c r="V238" s="284"/>
      <c r="W238" s="284"/>
      <c r="X238" s="284"/>
      <c r="Y238" s="284"/>
      <c r="Z238" s="284"/>
    </row>
    <row r="239">
      <c r="E239" s="284"/>
      <c r="F239" s="284"/>
      <c r="G239" s="284"/>
      <c r="H239" s="284"/>
      <c r="I239" s="284"/>
      <c r="J239" s="284"/>
      <c r="K239" s="284"/>
      <c r="L239" s="284"/>
      <c r="M239" s="284"/>
      <c r="N239" s="284"/>
      <c r="O239" s="284"/>
      <c r="S239" s="284"/>
      <c r="T239" s="284"/>
      <c r="U239" s="284"/>
      <c r="V239" s="284"/>
      <c r="W239" s="284"/>
      <c r="X239" s="284"/>
      <c r="Y239" s="284"/>
      <c r="Z239" s="284"/>
    </row>
    <row r="240">
      <c r="E240" s="284"/>
      <c r="F240" s="284"/>
      <c r="G240" s="284"/>
      <c r="H240" s="284"/>
      <c r="I240" s="284"/>
      <c r="J240" s="284"/>
      <c r="K240" s="284"/>
      <c r="L240" s="284"/>
      <c r="M240" s="284"/>
      <c r="N240" s="284"/>
      <c r="O240" s="284"/>
      <c r="S240" s="284"/>
      <c r="T240" s="284"/>
      <c r="U240" s="284"/>
      <c r="V240" s="284"/>
      <c r="W240" s="284"/>
      <c r="X240" s="284"/>
      <c r="Y240" s="284"/>
      <c r="Z240" s="284"/>
    </row>
    <row r="241">
      <c r="E241" s="284"/>
      <c r="F241" s="284"/>
      <c r="G241" s="284"/>
      <c r="H241" s="284"/>
      <c r="I241" s="284"/>
      <c r="J241" s="284"/>
      <c r="K241" s="284"/>
      <c r="L241" s="284"/>
      <c r="M241" s="284"/>
      <c r="N241" s="284"/>
      <c r="O241" s="284"/>
      <c r="S241" s="284"/>
      <c r="T241" s="284"/>
      <c r="U241" s="284"/>
      <c r="V241" s="284"/>
      <c r="W241" s="284"/>
      <c r="X241" s="284"/>
      <c r="Y241" s="284"/>
      <c r="Z241" s="284"/>
    </row>
    <row r="242">
      <c r="E242" s="284"/>
      <c r="F242" s="284"/>
      <c r="G242" s="284"/>
      <c r="H242" s="284"/>
      <c r="I242" s="284"/>
      <c r="J242" s="284"/>
      <c r="K242" s="284"/>
      <c r="L242" s="284"/>
      <c r="M242" s="284"/>
      <c r="N242" s="284"/>
      <c r="O242" s="284"/>
      <c r="S242" s="284"/>
      <c r="T242" s="284"/>
      <c r="U242" s="284"/>
      <c r="V242" s="284"/>
      <c r="W242" s="284"/>
      <c r="X242" s="284"/>
      <c r="Y242" s="284"/>
      <c r="Z242" s="284"/>
    </row>
    <row r="243">
      <c r="E243" s="284"/>
      <c r="F243" s="284"/>
      <c r="G243" s="284"/>
      <c r="H243" s="284"/>
      <c r="I243" s="284"/>
      <c r="J243" s="284"/>
      <c r="K243" s="284"/>
      <c r="L243" s="284"/>
      <c r="M243" s="284"/>
      <c r="N243" s="284"/>
      <c r="O243" s="284"/>
      <c r="S243" s="284"/>
      <c r="T243" s="284"/>
      <c r="U243" s="284"/>
      <c r="V243" s="284"/>
      <c r="W243" s="284"/>
      <c r="X243" s="284"/>
      <c r="Y243" s="284"/>
      <c r="Z243" s="284"/>
    </row>
    <row r="244">
      <c r="E244" s="284"/>
      <c r="F244" s="284"/>
      <c r="G244" s="284"/>
      <c r="H244" s="284"/>
      <c r="I244" s="284"/>
      <c r="J244" s="284"/>
      <c r="K244" s="284"/>
      <c r="L244" s="284"/>
      <c r="M244" s="284"/>
      <c r="N244" s="284"/>
      <c r="O244" s="284"/>
      <c r="S244" s="284"/>
      <c r="T244" s="284"/>
      <c r="U244" s="284"/>
      <c r="V244" s="284"/>
      <c r="W244" s="284"/>
      <c r="X244" s="284"/>
      <c r="Y244" s="284"/>
      <c r="Z244" s="284"/>
    </row>
    <row r="245">
      <c r="E245" s="284"/>
      <c r="F245" s="284"/>
      <c r="G245" s="284"/>
      <c r="H245" s="284"/>
      <c r="I245" s="284"/>
      <c r="J245" s="284"/>
      <c r="K245" s="284"/>
      <c r="L245" s="284"/>
      <c r="M245" s="284"/>
      <c r="N245" s="284"/>
      <c r="O245" s="284"/>
      <c r="S245" s="284"/>
      <c r="T245" s="284"/>
      <c r="U245" s="284"/>
      <c r="V245" s="284"/>
      <c r="W245" s="284"/>
      <c r="X245" s="284"/>
      <c r="Y245" s="284"/>
      <c r="Z245" s="284"/>
    </row>
    <row r="246">
      <c r="E246" s="284"/>
      <c r="F246" s="284"/>
      <c r="G246" s="284"/>
      <c r="H246" s="284"/>
      <c r="I246" s="284"/>
      <c r="J246" s="284"/>
      <c r="K246" s="284"/>
      <c r="L246" s="284"/>
      <c r="M246" s="284"/>
      <c r="N246" s="284"/>
      <c r="O246" s="284"/>
      <c r="S246" s="284"/>
      <c r="T246" s="284"/>
      <c r="U246" s="284"/>
      <c r="V246" s="284"/>
      <c r="W246" s="284"/>
      <c r="X246" s="284"/>
      <c r="Y246" s="284"/>
      <c r="Z246" s="284"/>
    </row>
    <row r="247">
      <c r="E247" s="284"/>
      <c r="F247" s="284"/>
      <c r="G247" s="284"/>
      <c r="H247" s="284"/>
      <c r="I247" s="284"/>
      <c r="J247" s="284"/>
      <c r="K247" s="284"/>
      <c r="L247" s="284"/>
      <c r="M247" s="284"/>
      <c r="N247" s="284"/>
      <c r="O247" s="284"/>
      <c r="S247" s="284"/>
      <c r="T247" s="284"/>
      <c r="U247" s="284"/>
      <c r="V247" s="284"/>
      <c r="W247" s="284"/>
      <c r="X247" s="284"/>
      <c r="Y247" s="284"/>
      <c r="Z247" s="284"/>
    </row>
    <row r="248">
      <c r="E248" s="284"/>
      <c r="F248" s="284"/>
      <c r="G248" s="284"/>
      <c r="H248" s="284"/>
      <c r="I248" s="284"/>
      <c r="J248" s="284"/>
      <c r="K248" s="284"/>
      <c r="L248" s="284"/>
      <c r="M248" s="284"/>
      <c r="N248" s="284"/>
      <c r="O248" s="284"/>
      <c r="S248" s="284"/>
      <c r="T248" s="284"/>
      <c r="U248" s="284"/>
      <c r="V248" s="284"/>
      <c r="W248" s="284"/>
      <c r="X248" s="284"/>
      <c r="Y248" s="284"/>
      <c r="Z248" s="284"/>
    </row>
    <row r="249">
      <c r="E249" s="284"/>
      <c r="F249" s="284"/>
      <c r="G249" s="284"/>
      <c r="H249" s="284"/>
      <c r="I249" s="284"/>
      <c r="J249" s="284"/>
      <c r="K249" s="284"/>
      <c r="L249" s="284"/>
      <c r="M249" s="284"/>
      <c r="N249" s="284"/>
      <c r="O249" s="284"/>
      <c r="S249" s="284"/>
      <c r="T249" s="284"/>
      <c r="U249" s="284"/>
      <c r="V249" s="284"/>
      <c r="W249" s="284"/>
      <c r="X249" s="284"/>
      <c r="Y249" s="284"/>
      <c r="Z249" s="284"/>
    </row>
    <row r="250">
      <c r="E250" s="284"/>
      <c r="F250" s="284"/>
      <c r="G250" s="284"/>
      <c r="H250" s="284"/>
      <c r="I250" s="284"/>
      <c r="J250" s="284"/>
      <c r="K250" s="284"/>
      <c r="L250" s="284"/>
      <c r="M250" s="284"/>
      <c r="N250" s="284"/>
      <c r="O250" s="284"/>
      <c r="S250" s="284"/>
      <c r="T250" s="284"/>
      <c r="U250" s="284"/>
      <c r="V250" s="284"/>
      <c r="W250" s="284"/>
      <c r="X250" s="284"/>
      <c r="Y250" s="284"/>
      <c r="Z250" s="284"/>
    </row>
    <row r="251">
      <c r="E251" s="284"/>
      <c r="F251" s="284"/>
      <c r="G251" s="284"/>
      <c r="H251" s="284"/>
      <c r="I251" s="284"/>
      <c r="J251" s="284"/>
      <c r="K251" s="284"/>
      <c r="L251" s="284"/>
      <c r="M251" s="284"/>
      <c r="N251" s="284"/>
      <c r="O251" s="284"/>
      <c r="S251" s="284"/>
      <c r="T251" s="284"/>
      <c r="U251" s="284"/>
      <c r="V251" s="284"/>
      <c r="W251" s="284"/>
      <c r="X251" s="284"/>
      <c r="Y251" s="284"/>
      <c r="Z251" s="284"/>
    </row>
    <row r="252">
      <c r="E252" s="284"/>
      <c r="F252" s="284"/>
      <c r="G252" s="284"/>
      <c r="H252" s="284"/>
      <c r="I252" s="284"/>
      <c r="J252" s="284"/>
      <c r="K252" s="284"/>
      <c r="L252" s="284"/>
      <c r="M252" s="284"/>
      <c r="N252" s="284"/>
      <c r="O252" s="284"/>
      <c r="S252" s="284"/>
      <c r="T252" s="284"/>
      <c r="U252" s="284"/>
      <c r="V252" s="284"/>
      <c r="W252" s="284"/>
      <c r="X252" s="284"/>
      <c r="Y252" s="284"/>
      <c r="Z252" s="284"/>
    </row>
    <row r="253">
      <c r="E253" s="284"/>
      <c r="F253" s="284"/>
      <c r="G253" s="284"/>
      <c r="H253" s="284"/>
      <c r="I253" s="284"/>
      <c r="J253" s="284"/>
      <c r="K253" s="284"/>
      <c r="L253" s="284"/>
      <c r="M253" s="284"/>
      <c r="N253" s="284"/>
      <c r="O253" s="284"/>
      <c r="S253" s="284"/>
      <c r="T253" s="284"/>
      <c r="U253" s="284"/>
      <c r="V253" s="284"/>
      <c r="W253" s="284"/>
      <c r="X253" s="284"/>
      <c r="Y253" s="284"/>
      <c r="Z253" s="284"/>
    </row>
    <row r="254">
      <c r="E254" s="284"/>
      <c r="F254" s="284"/>
      <c r="G254" s="284"/>
      <c r="H254" s="284"/>
      <c r="I254" s="284"/>
      <c r="J254" s="284"/>
      <c r="K254" s="284"/>
      <c r="L254" s="284"/>
      <c r="M254" s="284"/>
      <c r="N254" s="284"/>
      <c r="O254" s="284"/>
      <c r="S254" s="284"/>
      <c r="T254" s="284"/>
      <c r="U254" s="284"/>
      <c r="V254" s="284"/>
      <c r="W254" s="284"/>
      <c r="X254" s="284"/>
      <c r="Y254" s="284"/>
      <c r="Z254" s="284"/>
    </row>
    <row r="255">
      <c r="E255" s="284"/>
      <c r="F255" s="284"/>
      <c r="G255" s="284"/>
      <c r="H255" s="284"/>
      <c r="I255" s="284"/>
      <c r="J255" s="284"/>
      <c r="K255" s="284"/>
      <c r="L255" s="284"/>
      <c r="M255" s="284"/>
      <c r="N255" s="284"/>
      <c r="O255" s="284"/>
      <c r="S255" s="284"/>
      <c r="T255" s="284"/>
      <c r="U255" s="284"/>
      <c r="V255" s="284"/>
      <c r="W255" s="284"/>
      <c r="X255" s="284"/>
      <c r="Y255" s="284"/>
      <c r="Z255" s="284"/>
    </row>
    <row r="256">
      <c r="E256" s="284"/>
      <c r="F256" s="284"/>
      <c r="G256" s="284"/>
      <c r="H256" s="284"/>
      <c r="I256" s="284"/>
      <c r="J256" s="284"/>
      <c r="K256" s="284"/>
      <c r="L256" s="284"/>
      <c r="M256" s="284"/>
      <c r="N256" s="284"/>
      <c r="O256" s="284"/>
      <c r="S256" s="284"/>
      <c r="T256" s="284"/>
      <c r="U256" s="284"/>
      <c r="V256" s="284"/>
      <c r="W256" s="284"/>
      <c r="X256" s="284"/>
      <c r="Y256" s="284"/>
      <c r="Z256" s="284"/>
    </row>
    <row r="257">
      <c r="E257" s="284"/>
      <c r="F257" s="284"/>
      <c r="G257" s="284"/>
      <c r="H257" s="284"/>
      <c r="I257" s="284"/>
      <c r="J257" s="284"/>
      <c r="K257" s="284"/>
      <c r="L257" s="284"/>
      <c r="M257" s="284"/>
      <c r="N257" s="284"/>
      <c r="O257" s="284"/>
      <c r="S257" s="284"/>
      <c r="T257" s="284"/>
      <c r="U257" s="284"/>
      <c r="V257" s="284"/>
      <c r="W257" s="284"/>
      <c r="X257" s="284"/>
      <c r="Y257" s="284"/>
      <c r="Z257" s="284"/>
    </row>
    <row r="258">
      <c r="E258" s="284"/>
      <c r="F258" s="284"/>
      <c r="G258" s="284"/>
      <c r="H258" s="284"/>
      <c r="I258" s="284"/>
      <c r="J258" s="284"/>
      <c r="K258" s="284"/>
      <c r="L258" s="284"/>
      <c r="M258" s="284"/>
      <c r="N258" s="284"/>
      <c r="O258" s="284"/>
      <c r="S258" s="284"/>
      <c r="T258" s="284"/>
      <c r="U258" s="284"/>
      <c r="V258" s="284"/>
      <c r="W258" s="284"/>
      <c r="X258" s="284"/>
      <c r="Y258" s="284"/>
      <c r="Z258" s="284"/>
    </row>
    <row r="259">
      <c r="E259" s="284"/>
      <c r="F259" s="284"/>
      <c r="G259" s="284"/>
      <c r="H259" s="284"/>
      <c r="I259" s="284"/>
      <c r="J259" s="284"/>
      <c r="K259" s="284"/>
      <c r="L259" s="284"/>
      <c r="M259" s="284"/>
      <c r="N259" s="284"/>
      <c r="O259" s="284"/>
      <c r="S259" s="284"/>
      <c r="T259" s="284"/>
      <c r="U259" s="284"/>
      <c r="V259" s="284"/>
      <c r="W259" s="284"/>
      <c r="X259" s="284"/>
      <c r="Y259" s="284"/>
      <c r="Z259" s="284"/>
    </row>
    <row r="260">
      <c r="E260" s="284"/>
      <c r="F260" s="284"/>
      <c r="G260" s="284"/>
      <c r="H260" s="284"/>
      <c r="I260" s="284"/>
      <c r="J260" s="284"/>
      <c r="K260" s="284"/>
      <c r="L260" s="284"/>
      <c r="M260" s="284"/>
      <c r="N260" s="284"/>
      <c r="O260" s="284"/>
      <c r="S260" s="284"/>
      <c r="T260" s="284"/>
      <c r="U260" s="284"/>
      <c r="V260" s="284"/>
      <c r="W260" s="284"/>
      <c r="X260" s="284"/>
      <c r="Y260" s="284"/>
      <c r="Z260" s="284"/>
    </row>
    <row r="261">
      <c r="E261" s="284"/>
      <c r="F261" s="284"/>
      <c r="G261" s="284"/>
      <c r="H261" s="284"/>
      <c r="I261" s="284"/>
      <c r="J261" s="284"/>
      <c r="K261" s="284"/>
      <c r="L261" s="284"/>
      <c r="M261" s="284"/>
      <c r="N261" s="284"/>
      <c r="O261" s="284"/>
      <c r="S261" s="284"/>
      <c r="T261" s="284"/>
      <c r="U261" s="284"/>
      <c r="V261" s="284"/>
      <c r="W261" s="284"/>
      <c r="X261" s="284"/>
      <c r="Y261" s="284"/>
      <c r="Z261" s="284"/>
    </row>
    <row r="262">
      <c r="E262" s="284"/>
      <c r="F262" s="284"/>
      <c r="G262" s="284"/>
      <c r="H262" s="284"/>
      <c r="I262" s="284"/>
      <c r="J262" s="284"/>
      <c r="K262" s="284"/>
      <c r="L262" s="284"/>
      <c r="M262" s="284"/>
      <c r="N262" s="284"/>
      <c r="O262" s="284"/>
      <c r="S262" s="284"/>
      <c r="T262" s="284"/>
      <c r="U262" s="284"/>
      <c r="V262" s="284"/>
      <c r="W262" s="284"/>
      <c r="X262" s="284"/>
      <c r="Y262" s="284"/>
      <c r="Z262" s="284"/>
    </row>
    <row r="263">
      <c r="E263" s="284"/>
      <c r="F263" s="284"/>
      <c r="G263" s="284"/>
      <c r="H263" s="284"/>
      <c r="I263" s="284"/>
      <c r="J263" s="284"/>
      <c r="K263" s="284"/>
      <c r="L263" s="284"/>
      <c r="M263" s="284"/>
      <c r="N263" s="284"/>
      <c r="O263" s="284"/>
      <c r="S263" s="284"/>
      <c r="T263" s="284"/>
      <c r="U263" s="284"/>
      <c r="V263" s="284"/>
      <c r="W263" s="284"/>
      <c r="X263" s="284"/>
      <c r="Y263" s="284"/>
      <c r="Z263" s="284"/>
    </row>
    <row r="264">
      <c r="E264" s="284"/>
      <c r="F264" s="284"/>
      <c r="G264" s="284"/>
      <c r="H264" s="284"/>
      <c r="I264" s="284"/>
      <c r="J264" s="284"/>
      <c r="K264" s="284"/>
      <c r="L264" s="284"/>
      <c r="M264" s="284"/>
      <c r="N264" s="284"/>
      <c r="O264" s="284"/>
      <c r="S264" s="284"/>
      <c r="T264" s="284"/>
      <c r="U264" s="284"/>
      <c r="V264" s="284"/>
      <c r="W264" s="284"/>
      <c r="X264" s="284"/>
      <c r="Y264" s="284"/>
      <c r="Z264" s="284"/>
    </row>
    <row r="265">
      <c r="E265" s="284"/>
      <c r="F265" s="284"/>
      <c r="G265" s="284"/>
      <c r="H265" s="284"/>
      <c r="I265" s="284"/>
      <c r="J265" s="284"/>
      <c r="K265" s="284"/>
      <c r="L265" s="284"/>
      <c r="M265" s="284"/>
      <c r="N265" s="284"/>
      <c r="O265" s="284"/>
      <c r="S265" s="284"/>
      <c r="T265" s="284"/>
      <c r="U265" s="284"/>
      <c r="V265" s="284"/>
      <c r="W265" s="284"/>
      <c r="X265" s="284"/>
      <c r="Y265" s="284"/>
      <c r="Z265" s="284"/>
    </row>
    <row r="266">
      <c r="E266" s="284"/>
      <c r="F266" s="284"/>
      <c r="G266" s="284"/>
      <c r="H266" s="284"/>
      <c r="I266" s="284"/>
      <c r="J266" s="284"/>
      <c r="K266" s="284"/>
      <c r="L266" s="284"/>
      <c r="M266" s="284"/>
      <c r="N266" s="284"/>
      <c r="O266" s="284"/>
      <c r="S266" s="284"/>
      <c r="T266" s="284"/>
      <c r="U266" s="284"/>
      <c r="V266" s="284"/>
      <c r="W266" s="284"/>
      <c r="X266" s="284"/>
      <c r="Y266" s="284"/>
      <c r="Z266" s="284"/>
    </row>
    <row r="267">
      <c r="E267" s="284"/>
      <c r="F267" s="284"/>
      <c r="G267" s="284"/>
      <c r="H267" s="284"/>
      <c r="I267" s="284"/>
      <c r="J267" s="284"/>
      <c r="K267" s="284"/>
      <c r="L267" s="284"/>
      <c r="M267" s="284"/>
      <c r="N267" s="284"/>
      <c r="O267" s="284"/>
      <c r="S267" s="284"/>
      <c r="T267" s="284"/>
      <c r="U267" s="284"/>
      <c r="V267" s="284"/>
      <c r="W267" s="284"/>
      <c r="X267" s="284"/>
      <c r="Y267" s="284"/>
      <c r="Z267" s="284"/>
    </row>
    <row r="268">
      <c r="E268" s="284"/>
      <c r="F268" s="284"/>
      <c r="G268" s="284"/>
      <c r="H268" s="284"/>
      <c r="I268" s="284"/>
      <c r="J268" s="284"/>
      <c r="K268" s="284"/>
      <c r="L268" s="284"/>
      <c r="M268" s="284"/>
      <c r="N268" s="284"/>
      <c r="O268" s="284"/>
      <c r="S268" s="284"/>
      <c r="T268" s="284"/>
      <c r="U268" s="284"/>
      <c r="V268" s="284"/>
      <c r="W268" s="284"/>
      <c r="X268" s="284"/>
      <c r="Y268" s="284"/>
      <c r="Z268" s="284"/>
    </row>
    <row r="269">
      <c r="E269" s="284"/>
      <c r="F269" s="284"/>
      <c r="G269" s="284"/>
      <c r="H269" s="284"/>
      <c r="I269" s="284"/>
      <c r="J269" s="284"/>
      <c r="K269" s="284"/>
      <c r="L269" s="284"/>
      <c r="M269" s="284"/>
      <c r="N269" s="284"/>
      <c r="O269" s="284"/>
      <c r="S269" s="284"/>
      <c r="T269" s="284"/>
      <c r="U269" s="284"/>
      <c r="V269" s="284"/>
      <c r="W269" s="284"/>
      <c r="X269" s="284"/>
      <c r="Y269" s="284"/>
      <c r="Z269" s="284"/>
    </row>
    <row r="270">
      <c r="E270" s="284"/>
      <c r="F270" s="284"/>
      <c r="G270" s="284"/>
      <c r="H270" s="284"/>
      <c r="I270" s="284"/>
      <c r="J270" s="284"/>
      <c r="K270" s="284"/>
      <c r="L270" s="284"/>
      <c r="M270" s="284"/>
      <c r="N270" s="284"/>
      <c r="O270" s="284"/>
      <c r="S270" s="284"/>
      <c r="T270" s="284"/>
      <c r="U270" s="284"/>
      <c r="V270" s="284"/>
      <c r="W270" s="284"/>
      <c r="X270" s="284"/>
      <c r="Y270" s="284"/>
      <c r="Z270" s="284"/>
    </row>
    <row r="271">
      <c r="E271" s="284"/>
      <c r="F271" s="284"/>
      <c r="G271" s="284"/>
      <c r="H271" s="284"/>
      <c r="I271" s="284"/>
      <c r="J271" s="284"/>
      <c r="K271" s="284"/>
      <c r="L271" s="284"/>
      <c r="M271" s="284"/>
      <c r="N271" s="284"/>
      <c r="O271" s="284"/>
      <c r="S271" s="284"/>
      <c r="T271" s="284"/>
      <c r="U271" s="284"/>
      <c r="V271" s="284"/>
      <c r="W271" s="284"/>
      <c r="X271" s="284"/>
      <c r="Y271" s="284"/>
      <c r="Z271" s="284"/>
    </row>
    <row r="272">
      <c r="E272" s="284"/>
      <c r="F272" s="284"/>
      <c r="G272" s="284"/>
      <c r="H272" s="284"/>
      <c r="I272" s="284"/>
      <c r="J272" s="284"/>
      <c r="K272" s="284"/>
      <c r="L272" s="284"/>
      <c r="M272" s="284"/>
      <c r="N272" s="284"/>
      <c r="O272" s="284"/>
      <c r="S272" s="284"/>
      <c r="T272" s="284"/>
      <c r="U272" s="284"/>
      <c r="V272" s="284"/>
      <c r="W272" s="284"/>
      <c r="X272" s="284"/>
      <c r="Y272" s="284"/>
      <c r="Z272" s="284"/>
    </row>
    <row r="273">
      <c r="E273" s="284"/>
      <c r="F273" s="284"/>
      <c r="G273" s="284"/>
      <c r="H273" s="284"/>
      <c r="I273" s="284"/>
      <c r="J273" s="284"/>
      <c r="K273" s="284"/>
      <c r="L273" s="284"/>
      <c r="M273" s="284"/>
      <c r="N273" s="284"/>
      <c r="O273" s="284"/>
      <c r="S273" s="284"/>
      <c r="T273" s="284"/>
      <c r="U273" s="284"/>
      <c r="V273" s="284"/>
      <c r="W273" s="284"/>
      <c r="X273" s="284"/>
      <c r="Y273" s="284"/>
      <c r="Z273" s="284"/>
    </row>
    <row r="274">
      <c r="E274" s="284"/>
      <c r="F274" s="284"/>
      <c r="G274" s="284"/>
      <c r="H274" s="284"/>
      <c r="I274" s="284"/>
      <c r="J274" s="284"/>
      <c r="K274" s="284"/>
      <c r="L274" s="284"/>
      <c r="M274" s="284"/>
      <c r="N274" s="284"/>
      <c r="O274" s="284"/>
      <c r="S274" s="284"/>
      <c r="T274" s="284"/>
      <c r="U274" s="284"/>
      <c r="V274" s="284"/>
      <c r="W274" s="284"/>
      <c r="X274" s="284"/>
      <c r="Y274" s="284"/>
      <c r="Z274" s="284"/>
    </row>
    <row r="275">
      <c r="E275" s="284"/>
      <c r="F275" s="284"/>
      <c r="G275" s="284"/>
      <c r="H275" s="284"/>
      <c r="I275" s="284"/>
      <c r="J275" s="284"/>
      <c r="K275" s="284"/>
      <c r="L275" s="284"/>
      <c r="M275" s="284"/>
      <c r="N275" s="284"/>
      <c r="O275" s="284"/>
      <c r="S275" s="284"/>
      <c r="T275" s="284"/>
      <c r="U275" s="284"/>
      <c r="V275" s="284"/>
      <c r="W275" s="284"/>
      <c r="X275" s="284"/>
      <c r="Y275" s="284"/>
      <c r="Z275" s="284"/>
    </row>
    <row r="276">
      <c r="E276" s="284"/>
      <c r="F276" s="284"/>
      <c r="G276" s="284"/>
      <c r="H276" s="284"/>
      <c r="I276" s="284"/>
      <c r="J276" s="284"/>
      <c r="K276" s="284"/>
      <c r="L276" s="284"/>
      <c r="M276" s="284"/>
      <c r="N276" s="284"/>
      <c r="O276" s="284"/>
      <c r="S276" s="284"/>
      <c r="T276" s="284"/>
      <c r="U276" s="284"/>
      <c r="V276" s="284"/>
      <c r="W276" s="284"/>
      <c r="X276" s="284"/>
      <c r="Y276" s="284"/>
      <c r="Z276" s="284"/>
    </row>
    <row r="277">
      <c r="E277" s="284"/>
      <c r="F277" s="284"/>
      <c r="G277" s="284"/>
      <c r="H277" s="284"/>
      <c r="I277" s="284"/>
      <c r="J277" s="284"/>
      <c r="K277" s="284"/>
      <c r="L277" s="284"/>
      <c r="M277" s="284"/>
      <c r="N277" s="284"/>
      <c r="O277" s="284"/>
      <c r="S277" s="284"/>
      <c r="T277" s="284"/>
      <c r="U277" s="284"/>
      <c r="V277" s="284"/>
      <c r="W277" s="284"/>
      <c r="X277" s="284"/>
      <c r="Y277" s="284"/>
      <c r="Z277" s="284"/>
    </row>
    <row r="278">
      <c r="E278" s="284"/>
      <c r="F278" s="284"/>
      <c r="G278" s="284"/>
      <c r="H278" s="284"/>
      <c r="I278" s="284"/>
      <c r="J278" s="284"/>
      <c r="K278" s="284"/>
      <c r="L278" s="284"/>
      <c r="M278" s="284"/>
      <c r="N278" s="284"/>
      <c r="O278" s="284"/>
      <c r="S278" s="284"/>
      <c r="T278" s="284"/>
      <c r="U278" s="284"/>
      <c r="V278" s="284"/>
      <c r="W278" s="284"/>
      <c r="X278" s="284"/>
      <c r="Y278" s="284"/>
      <c r="Z278" s="284"/>
    </row>
    <row r="279">
      <c r="E279" s="284"/>
      <c r="F279" s="284"/>
      <c r="G279" s="284"/>
      <c r="H279" s="284"/>
      <c r="I279" s="284"/>
      <c r="J279" s="284"/>
      <c r="K279" s="284"/>
      <c r="L279" s="284"/>
      <c r="M279" s="284"/>
      <c r="N279" s="284"/>
      <c r="O279" s="284"/>
      <c r="S279" s="284"/>
      <c r="T279" s="284"/>
      <c r="U279" s="284"/>
      <c r="V279" s="284"/>
      <c r="W279" s="284"/>
      <c r="X279" s="284"/>
      <c r="Y279" s="284"/>
      <c r="Z279" s="284"/>
    </row>
    <row r="280">
      <c r="E280" s="284"/>
      <c r="F280" s="284"/>
      <c r="G280" s="284"/>
      <c r="H280" s="284"/>
      <c r="I280" s="284"/>
      <c r="J280" s="284"/>
      <c r="K280" s="284"/>
      <c r="L280" s="284"/>
      <c r="M280" s="284"/>
      <c r="N280" s="284"/>
      <c r="O280" s="284"/>
      <c r="S280" s="284"/>
      <c r="T280" s="284"/>
      <c r="U280" s="284"/>
      <c r="V280" s="284"/>
      <c r="W280" s="284"/>
      <c r="X280" s="284"/>
      <c r="Y280" s="284"/>
      <c r="Z280" s="284"/>
    </row>
    <row r="281">
      <c r="E281" s="284"/>
      <c r="F281" s="284"/>
      <c r="G281" s="284"/>
      <c r="H281" s="284"/>
      <c r="I281" s="284"/>
      <c r="J281" s="284"/>
      <c r="K281" s="284"/>
      <c r="L281" s="284"/>
      <c r="M281" s="284"/>
      <c r="N281" s="284"/>
      <c r="O281" s="284"/>
      <c r="S281" s="284"/>
      <c r="T281" s="284"/>
      <c r="U281" s="284"/>
      <c r="V281" s="284"/>
      <c r="W281" s="284"/>
      <c r="X281" s="284"/>
      <c r="Y281" s="284"/>
      <c r="Z281" s="284"/>
    </row>
    <row r="282">
      <c r="E282" s="284"/>
      <c r="F282" s="284"/>
      <c r="G282" s="284"/>
      <c r="H282" s="284"/>
      <c r="I282" s="284"/>
      <c r="J282" s="284"/>
      <c r="K282" s="284"/>
      <c r="L282" s="284"/>
      <c r="M282" s="284"/>
      <c r="N282" s="284"/>
      <c r="O282" s="284"/>
      <c r="S282" s="284"/>
      <c r="T282" s="284"/>
      <c r="U282" s="284"/>
      <c r="V282" s="284"/>
      <c r="W282" s="284"/>
      <c r="X282" s="284"/>
      <c r="Y282" s="284"/>
      <c r="Z282" s="284"/>
    </row>
    <row r="283">
      <c r="E283" s="284"/>
      <c r="F283" s="284"/>
      <c r="G283" s="284"/>
      <c r="H283" s="284"/>
      <c r="I283" s="284"/>
      <c r="J283" s="284"/>
      <c r="K283" s="284"/>
      <c r="L283" s="284"/>
      <c r="M283" s="284"/>
      <c r="N283" s="284"/>
      <c r="O283" s="284"/>
      <c r="S283" s="284"/>
      <c r="T283" s="284"/>
      <c r="U283" s="284"/>
      <c r="V283" s="284"/>
      <c r="W283" s="284"/>
      <c r="X283" s="284"/>
      <c r="Y283" s="284"/>
      <c r="Z283" s="284"/>
    </row>
    <row r="284">
      <c r="E284" s="284"/>
      <c r="F284" s="284"/>
      <c r="G284" s="284"/>
      <c r="H284" s="284"/>
      <c r="I284" s="284"/>
      <c r="J284" s="284"/>
      <c r="K284" s="284"/>
      <c r="L284" s="284"/>
      <c r="M284" s="284"/>
      <c r="N284" s="284"/>
      <c r="O284" s="284"/>
      <c r="S284" s="284"/>
      <c r="T284" s="284"/>
      <c r="U284" s="284"/>
      <c r="V284" s="284"/>
      <c r="W284" s="284"/>
      <c r="X284" s="284"/>
      <c r="Y284" s="284"/>
      <c r="Z284" s="284"/>
    </row>
    <row r="285">
      <c r="E285" s="284"/>
      <c r="F285" s="284"/>
      <c r="G285" s="284"/>
      <c r="H285" s="284"/>
      <c r="I285" s="284"/>
      <c r="J285" s="284"/>
      <c r="K285" s="284"/>
      <c r="L285" s="284"/>
      <c r="M285" s="284"/>
      <c r="N285" s="284"/>
      <c r="O285" s="284"/>
      <c r="S285" s="284"/>
      <c r="T285" s="284"/>
      <c r="U285" s="284"/>
      <c r="V285" s="284"/>
      <c r="W285" s="284"/>
      <c r="X285" s="284"/>
      <c r="Y285" s="284"/>
      <c r="Z285" s="284"/>
    </row>
    <row r="286">
      <c r="E286" s="284"/>
      <c r="F286" s="284"/>
      <c r="G286" s="284"/>
      <c r="H286" s="284"/>
      <c r="I286" s="284"/>
      <c r="J286" s="284"/>
      <c r="K286" s="284"/>
      <c r="L286" s="284"/>
      <c r="M286" s="284"/>
      <c r="N286" s="284"/>
      <c r="O286" s="284"/>
      <c r="S286" s="284"/>
      <c r="T286" s="284"/>
      <c r="U286" s="284"/>
      <c r="V286" s="284"/>
      <c r="W286" s="284"/>
      <c r="X286" s="284"/>
      <c r="Y286" s="284"/>
      <c r="Z286" s="284"/>
    </row>
    <row r="287">
      <c r="E287" s="284"/>
      <c r="F287" s="284"/>
      <c r="G287" s="284"/>
      <c r="H287" s="284"/>
      <c r="I287" s="284"/>
      <c r="J287" s="284"/>
      <c r="K287" s="284"/>
      <c r="L287" s="284"/>
      <c r="M287" s="284"/>
      <c r="N287" s="284"/>
      <c r="O287" s="284"/>
      <c r="S287" s="284"/>
      <c r="T287" s="284"/>
      <c r="U287" s="284"/>
      <c r="V287" s="284"/>
      <c r="W287" s="284"/>
      <c r="X287" s="284"/>
      <c r="Y287" s="284"/>
      <c r="Z287" s="284"/>
    </row>
    <row r="288">
      <c r="E288" s="284"/>
      <c r="F288" s="284"/>
      <c r="G288" s="284"/>
      <c r="H288" s="284"/>
      <c r="I288" s="284"/>
      <c r="J288" s="284"/>
      <c r="K288" s="284"/>
      <c r="L288" s="284"/>
      <c r="M288" s="284"/>
      <c r="N288" s="284"/>
      <c r="O288" s="284"/>
      <c r="S288" s="284"/>
      <c r="T288" s="284"/>
      <c r="U288" s="284"/>
      <c r="V288" s="284"/>
      <c r="W288" s="284"/>
      <c r="X288" s="284"/>
      <c r="Y288" s="284"/>
      <c r="Z288" s="284"/>
    </row>
    <row r="289">
      <c r="E289" s="284"/>
      <c r="F289" s="284"/>
      <c r="G289" s="284"/>
      <c r="H289" s="284"/>
      <c r="I289" s="284"/>
      <c r="J289" s="284"/>
      <c r="K289" s="284"/>
      <c r="L289" s="284"/>
      <c r="M289" s="284"/>
      <c r="N289" s="284"/>
      <c r="O289" s="284"/>
      <c r="S289" s="284"/>
      <c r="T289" s="284"/>
      <c r="U289" s="284"/>
      <c r="V289" s="284"/>
      <c r="W289" s="284"/>
      <c r="X289" s="284"/>
      <c r="Y289" s="284"/>
      <c r="Z289" s="284"/>
    </row>
    <row r="290">
      <c r="E290" s="284"/>
      <c r="F290" s="284"/>
      <c r="G290" s="284"/>
      <c r="H290" s="284"/>
      <c r="I290" s="284"/>
      <c r="J290" s="284"/>
      <c r="K290" s="284"/>
      <c r="L290" s="284"/>
      <c r="M290" s="284"/>
      <c r="N290" s="284"/>
      <c r="O290" s="284"/>
      <c r="S290" s="284"/>
      <c r="T290" s="284"/>
      <c r="U290" s="284"/>
      <c r="V290" s="284"/>
      <c r="W290" s="284"/>
      <c r="X290" s="284"/>
      <c r="Y290" s="284"/>
      <c r="Z290" s="284"/>
    </row>
    <row r="291">
      <c r="E291" s="284"/>
      <c r="F291" s="284"/>
      <c r="G291" s="284"/>
      <c r="H291" s="284"/>
      <c r="I291" s="284"/>
      <c r="J291" s="284"/>
      <c r="K291" s="284"/>
      <c r="L291" s="284"/>
      <c r="M291" s="284"/>
      <c r="N291" s="284"/>
      <c r="O291" s="284"/>
      <c r="S291" s="284"/>
      <c r="T291" s="284"/>
      <c r="U291" s="284"/>
      <c r="V291" s="284"/>
      <c r="W291" s="284"/>
      <c r="X291" s="284"/>
      <c r="Y291" s="284"/>
      <c r="Z291" s="284"/>
    </row>
    <row r="292">
      <c r="E292" s="284"/>
      <c r="F292" s="284"/>
      <c r="G292" s="284"/>
      <c r="H292" s="284"/>
      <c r="I292" s="284"/>
      <c r="J292" s="284"/>
      <c r="K292" s="284"/>
      <c r="L292" s="284"/>
      <c r="M292" s="284"/>
      <c r="N292" s="284"/>
      <c r="O292" s="284"/>
      <c r="S292" s="284"/>
      <c r="T292" s="284"/>
      <c r="U292" s="284"/>
      <c r="V292" s="284"/>
      <c r="W292" s="284"/>
      <c r="X292" s="284"/>
      <c r="Y292" s="284"/>
      <c r="Z292" s="284"/>
    </row>
    <row r="293">
      <c r="E293" s="284"/>
      <c r="F293" s="284"/>
      <c r="G293" s="284"/>
      <c r="H293" s="284"/>
      <c r="I293" s="284"/>
      <c r="J293" s="284"/>
      <c r="K293" s="284"/>
      <c r="L293" s="284"/>
      <c r="M293" s="284"/>
      <c r="N293" s="284"/>
      <c r="O293" s="284"/>
      <c r="S293" s="284"/>
      <c r="T293" s="284"/>
      <c r="U293" s="284"/>
      <c r="V293" s="284"/>
      <c r="W293" s="284"/>
      <c r="X293" s="284"/>
      <c r="Y293" s="284"/>
      <c r="Z293" s="284"/>
    </row>
    <row r="294">
      <c r="E294" s="284"/>
      <c r="F294" s="284"/>
      <c r="G294" s="284"/>
      <c r="H294" s="284"/>
      <c r="I294" s="284"/>
      <c r="J294" s="284"/>
      <c r="K294" s="284"/>
      <c r="L294" s="284"/>
      <c r="M294" s="284"/>
      <c r="N294" s="284"/>
      <c r="O294" s="284"/>
      <c r="S294" s="284"/>
      <c r="T294" s="284"/>
      <c r="U294" s="284"/>
      <c r="V294" s="284"/>
      <c r="W294" s="284"/>
      <c r="X294" s="284"/>
      <c r="Y294" s="284"/>
      <c r="Z294" s="284"/>
    </row>
    <row r="295">
      <c r="E295" s="284"/>
      <c r="F295" s="284"/>
      <c r="G295" s="284"/>
      <c r="H295" s="284"/>
      <c r="I295" s="284"/>
      <c r="J295" s="284"/>
      <c r="K295" s="284"/>
      <c r="L295" s="284"/>
      <c r="M295" s="284"/>
      <c r="N295" s="284"/>
      <c r="O295" s="284"/>
      <c r="S295" s="284"/>
      <c r="T295" s="284"/>
      <c r="U295" s="284"/>
      <c r="V295" s="284"/>
      <c r="W295" s="284"/>
      <c r="X295" s="284"/>
      <c r="Y295" s="284"/>
      <c r="Z295" s="284"/>
    </row>
    <row r="296">
      <c r="E296" s="284"/>
      <c r="F296" s="284"/>
      <c r="G296" s="284"/>
      <c r="H296" s="284"/>
      <c r="I296" s="284"/>
      <c r="J296" s="284"/>
      <c r="K296" s="284"/>
      <c r="L296" s="284"/>
      <c r="M296" s="284"/>
      <c r="N296" s="284"/>
      <c r="O296" s="284"/>
      <c r="S296" s="284"/>
      <c r="T296" s="284"/>
      <c r="U296" s="284"/>
      <c r="V296" s="284"/>
      <c r="W296" s="284"/>
      <c r="X296" s="284"/>
      <c r="Y296" s="284"/>
      <c r="Z296" s="284"/>
    </row>
    <row r="297">
      <c r="E297" s="284"/>
      <c r="F297" s="284"/>
      <c r="G297" s="284"/>
      <c r="H297" s="284"/>
      <c r="I297" s="284"/>
      <c r="J297" s="284"/>
      <c r="K297" s="284"/>
      <c r="L297" s="284"/>
      <c r="M297" s="284"/>
      <c r="N297" s="284"/>
      <c r="O297" s="284"/>
      <c r="S297" s="284"/>
      <c r="T297" s="284"/>
      <c r="U297" s="284"/>
      <c r="V297" s="284"/>
      <c r="W297" s="284"/>
      <c r="X297" s="284"/>
      <c r="Y297" s="284"/>
      <c r="Z297" s="284"/>
    </row>
    <row r="298">
      <c r="E298" s="284"/>
      <c r="F298" s="284"/>
      <c r="G298" s="284"/>
      <c r="H298" s="284"/>
      <c r="I298" s="284"/>
      <c r="J298" s="284"/>
      <c r="K298" s="284"/>
      <c r="L298" s="284"/>
      <c r="M298" s="284"/>
      <c r="N298" s="284"/>
      <c r="O298" s="284"/>
      <c r="S298" s="284"/>
      <c r="T298" s="284"/>
      <c r="U298" s="284"/>
      <c r="V298" s="284"/>
      <c r="W298" s="284"/>
      <c r="X298" s="284"/>
      <c r="Y298" s="284"/>
      <c r="Z298" s="284"/>
    </row>
    <row r="299">
      <c r="E299" s="284"/>
      <c r="F299" s="284"/>
      <c r="G299" s="284"/>
      <c r="H299" s="284"/>
      <c r="I299" s="284"/>
      <c r="J299" s="284"/>
      <c r="K299" s="284"/>
      <c r="L299" s="284"/>
      <c r="M299" s="284"/>
      <c r="N299" s="284"/>
      <c r="O299" s="284"/>
      <c r="S299" s="284"/>
      <c r="T299" s="284"/>
      <c r="U299" s="284"/>
      <c r="V299" s="284"/>
      <c r="W299" s="284"/>
      <c r="X299" s="284"/>
      <c r="Y299" s="284"/>
      <c r="Z299" s="284"/>
    </row>
    <row r="300">
      <c r="E300" s="284"/>
      <c r="F300" s="284"/>
      <c r="G300" s="284"/>
      <c r="H300" s="284"/>
      <c r="I300" s="284"/>
      <c r="J300" s="284"/>
      <c r="K300" s="284"/>
      <c r="L300" s="284"/>
      <c r="M300" s="284"/>
      <c r="N300" s="284"/>
      <c r="O300" s="284"/>
      <c r="S300" s="284"/>
      <c r="T300" s="284"/>
      <c r="U300" s="284"/>
      <c r="V300" s="284"/>
      <c r="W300" s="284"/>
      <c r="X300" s="284"/>
      <c r="Y300" s="284"/>
      <c r="Z300" s="284"/>
    </row>
    <row r="301">
      <c r="E301" s="284"/>
      <c r="F301" s="284"/>
      <c r="G301" s="284"/>
      <c r="H301" s="284"/>
      <c r="I301" s="284"/>
      <c r="J301" s="284"/>
      <c r="K301" s="284"/>
      <c r="L301" s="284"/>
      <c r="M301" s="284"/>
      <c r="N301" s="284"/>
      <c r="O301" s="284"/>
      <c r="S301" s="284"/>
      <c r="T301" s="284"/>
      <c r="U301" s="284"/>
      <c r="V301" s="284"/>
      <c r="W301" s="284"/>
      <c r="X301" s="284"/>
      <c r="Y301" s="284"/>
      <c r="Z301" s="284"/>
    </row>
    <row r="302">
      <c r="E302" s="284"/>
      <c r="F302" s="284"/>
      <c r="G302" s="284"/>
      <c r="H302" s="284"/>
      <c r="I302" s="284"/>
      <c r="J302" s="284"/>
      <c r="K302" s="284"/>
      <c r="L302" s="284"/>
      <c r="M302" s="284"/>
      <c r="N302" s="284"/>
      <c r="O302" s="284"/>
      <c r="S302" s="284"/>
      <c r="T302" s="284"/>
      <c r="U302" s="284"/>
      <c r="V302" s="284"/>
      <c r="W302" s="284"/>
      <c r="X302" s="284"/>
      <c r="Y302" s="284"/>
      <c r="Z302" s="284"/>
    </row>
    <row r="303">
      <c r="E303" s="284"/>
      <c r="F303" s="284"/>
      <c r="G303" s="284"/>
      <c r="H303" s="284"/>
      <c r="I303" s="284"/>
      <c r="J303" s="284"/>
      <c r="K303" s="284"/>
      <c r="L303" s="284"/>
      <c r="M303" s="284"/>
      <c r="N303" s="284"/>
      <c r="O303" s="284"/>
      <c r="S303" s="284"/>
      <c r="T303" s="284"/>
      <c r="U303" s="284"/>
      <c r="V303" s="284"/>
      <c r="W303" s="284"/>
      <c r="X303" s="284"/>
      <c r="Y303" s="284"/>
      <c r="Z303" s="284"/>
    </row>
    <row r="304">
      <c r="E304" s="284"/>
      <c r="F304" s="284"/>
      <c r="G304" s="284"/>
      <c r="H304" s="284"/>
      <c r="I304" s="284"/>
      <c r="J304" s="284"/>
      <c r="K304" s="284"/>
      <c r="L304" s="284"/>
      <c r="M304" s="284"/>
      <c r="N304" s="284"/>
      <c r="O304" s="284"/>
      <c r="S304" s="284"/>
      <c r="T304" s="284"/>
      <c r="U304" s="284"/>
      <c r="V304" s="284"/>
      <c r="W304" s="284"/>
      <c r="X304" s="284"/>
      <c r="Y304" s="284"/>
      <c r="Z304" s="284"/>
    </row>
    <row r="305">
      <c r="E305" s="284"/>
      <c r="F305" s="284"/>
      <c r="G305" s="284"/>
      <c r="H305" s="284"/>
      <c r="I305" s="284"/>
      <c r="J305" s="284"/>
      <c r="K305" s="284"/>
      <c r="L305" s="284"/>
      <c r="M305" s="284"/>
      <c r="N305" s="284"/>
      <c r="O305" s="284"/>
      <c r="S305" s="284"/>
      <c r="T305" s="284"/>
      <c r="U305" s="284"/>
      <c r="V305" s="284"/>
      <c r="W305" s="284"/>
      <c r="X305" s="284"/>
      <c r="Y305" s="284"/>
      <c r="Z305" s="284"/>
    </row>
    <row r="306">
      <c r="E306" s="284"/>
      <c r="F306" s="284"/>
      <c r="G306" s="284"/>
      <c r="H306" s="284"/>
      <c r="I306" s="284"/>
      <c r="J306" s="284"/>
      <c r="K306" s="284"/>
      <c r="L306" s="284"/>
      <c r="M306" s="284"/>
      <c r="N306" s="284"/>
      <c r="O306" s="284"/>
      <c r="S306" s="284"/>
      <c r="T306" s="284"/>
      <c r="U306" s="284"/>
      <c r="V306" s="284"/>
      <c r="W306" s="284"/>
      <c r="X306" s="284"/>
      <c r="Y306" s="284"/>
      <c r="Z306" s="284"/>
    </row>
    <row r="307">
      <c r="E307" s="284"/>
      <c r="F307" s="284"/>
      <c r="G307" s="284"/>
      <c r="H307" s="284"/>
      <c r="I307" s="284"/>
      <c r="J307" s="284"/>
      <c r="K307" s="284"/>
      <c r="L307" s="284"/>
      <c r="M307" s="284"/>
      <c r="N307" s="284"/>
      <c r="O307" s="284"/>
      <c r="S307" s="284"/>
      <c r="T307" s="284"/>
      <c r="U307" s="284"/>
      <c r="V307" s="284"/>
      <c r="W307" s="284"/>
      <c r="X307" s="284"/>
      <c r="Y307" s="284"/>
      <c r="Z307" s="284"/>
    </row>
    <row r="308">
      <c r="E308" s="284"/>
      <c r="F308" s="284"/>
      <c r="G308" s="284"/>
      <c r="H308" s="284"/>
      <c r="I308" s="284"/>
      <c r="J308" s="284"/>
      <c r="K308" s="284"/>
      <c r="L308" s="284"/>
      <c r="M308" s="284"/>
      <c r="N308" s="284"/>
      <c r="O308" s="284"/>
      <c r="S308" s="284"/>
      <c r="T308" s="284"/>
      <c r="U308" s="284"/>
      <c r="V308" s="284"/>
      <c r="W308" s="284"/>
      <c r="X308" s="284"/>
      <c r="Y308" s="284"/>
      <c r="Z308" s="284"/>
    </row>
    <row r="309">
      <c r="E309" s="284"/>
      <c r="F309" s="284"/>
      <c r="G309" s="284"/>
      <c r="H309" s="284"/>
      <c r="I309" s="284"/>
      <c r="J309" s="284"/>
      <c r="K309" s="284"/>
      <c r="L309" s="284"/>
      <c r="M309" s="284"/>
      <c r="N309" s="284"/>
      <c r="O309" s="284"/>
      <c r="S309" s="284"/>
      <c r="T309" s="284"/>
      <c r="U309" s="284"/>
      <c r="V309" s="284"/>
      <c r="W309" s="284"/>
      <c r="X309" s="284"/>
      <c r="Y309" s="284"/>
      <c r="Z309" s="284"/>
    </row>
    <row r="310">
      <c r="E310" s="284"/>
      <c r="F310" s="284"/>
      <c r="G310" s="284"/>
      <c r="H310" s="284"/>
      <c r="I310" s="284"/>
      <c r="J310" s="284"/>
      <c r="K310" s="284"/>
      <c r="L310" s="284"/>
      <c r="M310" s="284"/>
      <c r="N310" s="284"/>
      <c r="O310" s="284"/>
      <c r="S310" s="284"/>
      <c r="T310" s="284"/>
      <c r="U310" s="284"/>
      <c r="V310" s="284"/>
      <c r="W310" s="284"/>
      <c r="X310" s="284"/>
      <c r="Y310" s="284"/>
      <c r="Z310" s="284"/>
    </row>
    <row r="311">
      <c r="E311" s="284"/>
      <c r="F311" s="284"/>
      <c r="G311" s="284"/>
      <c r="H311" s="284"/>
      <c r="I311" s="284"/>
      <c r="J311" s="284"/>
      <c r="K311" s="284"/>
      <c r="L311" s="284"/>
      <c r="M311" s="284"/>
      <c r="N311" s="284"/>
      <c r="O311" s="284"/>
      <c r="S311" s="284"/>
      <c r="T311" s="284"/>
      <c r="U311" s="284"/>
      <c r="V311" s="284"/>
      <c r="W311" s="284"/>
      <c r="X311" s="284"/>
      <c r="Y311" s="284"/>
      <c r="Z311" s="284"/>
    </row>
    <row r="312">
      <c r="E312" s="284"/>
      <c r="F312" s="284"/>
      <c r="G312" s="284"/>
      <c r="H312" s="284"/>
      <c r="I312" s="284"/>
      <c r="J312" s="284"/>
      <c r="K312" s="284"/>
      <c r="L312" s="284"/>
      <c r="M312" s="284"/>
      <c r="N312" s="284"/>
      <c r="O312" s="284"/>
      <c r="S312" s="284"/>
      <c r="T312" s="284"/>
      <c r="U312" s="284"/>
      <c r="V312" s="284"/>
      <c r="W312" s="284"/>
      <c r="X312" s="284"/>
      <c r="Y312" s="284"/>
      <c r="Z312" s="284"/>
    </row>
    <row r="313">
      <c r="E313" s="284"/>
      <c r="F313" s="284"/>
      <c r="G313" s="284"/>
      <c r="H313" s="284"/>
      <c r="I313" s="284"/>
      <c r="J313" s="284"/>
      <c r="K313" s="284"/>
      <c r="L313" s="284"/>
      <c r="M313" s="284"/>
      <c r="N313" s="284"/>
      <c r="O313" s="284"/>
      <c r="S313" s="284"/>
      <c r="T313" s="284"/>
      <c r="U313" s="284"/>
      <c r="V313" s="284"/>
      <c r="W313" s="284"/>
      <c r="X313" s="284"/>
      <c r="Y313" s="284"/>
      <c r="Z313" s="284"/>
    </row>
    <row r="314">
      <c r="E314" s="284"/>
      <c r="F314" s="284"/>
      <c r="G314" s="284"/>
      <c r="H314" s="284"/>
      <c r="I314" s="284"/>
      <c r="J314" s="284"/>
      <c r="K314" s="284"/>
      <c r="L314" s="284"/>
      <c r="M314" s="284"/>
      <c r="N314" s="284"/>
      <c r="O314" s="284"/>
      <c r="S314" s="284"/>
      <c r="T314" s="284"/>
      <c r="U314" s="284"/>
      <c r="V314" s="284"/>
      <c r="W314" s="284"/>
      <c r="X314" s="284"/>
      <c r="Y314" s="284"/>
      <c r="Z314" s="284"/>
    </row>
    <row r="315">
      <c r="E315" s="284"/>
      <c r="F315" s="284"/>
      <c r="G315" s="284"/>
      <c r="H315" s="284"/>
      <c r="I315" s="284"/>
      <c r="J315" s="284"/>
      <c r="K315" s="284"/>
      <c r="L315" s="284"/>
      <c r="M315" s="284"/>
      <c r="N315" s="284"/>
      <c r="O315" s="284"/>
      <c r="S315" s="284"/>
      <c r="T315" s="284"/>
      <c r="U315" s="284"/>
      <c r="V315" s="284"/>
      <c r="W315" s="284"/>
      <c r="X315" s="284"/>
      <c r="Y315" s="284"/>
      <c r="Z315" s="284"/>
    </row>
    <row r="316">
      <c r="E316" s="284"/>
      <c r="F316" s="284"/>
      <c r="G316" s="284"/>
      <c r="H316" s="284"/>
      <c r="I316" s="284"/>
      <c r="J316" s="284"/>
      <c r="K316" s="284"/>
      <c r="L316" s="284"/>
      <c r="M316" s="284"/>
      <c r="N316" s="284"/>
      <c r="O316" s="284"/>
      <c r="S316" s="284"/>
      <c r="T316" s="284"/>
      <c r="U316" s="284"/>
      <c r="V316" s="284"/>
      <c r="W316" s="284"/>
      <c r="X316" s="284"/>
      <c r="Y316" s="284"/>
      <c r="Z316" s="284"/>
    </row>
    <row r="317">
      <c r="E317" s="284"/>
      <c r="F317" s="284"/>
      <c r="G317" s="284"/>
      <c r="H317" s="284"/>
      <c r="I317" s="284"/>
      <c r="J317" s="284"/>
      <c r="K317" s="284"/>
      <c r="L317" s="284"/>
      <c r="M317" s="284"/>
      <c r="N317" s="284"/>
      <c r="O317" s="284"/>
      <c r="S317" s="284"/>
      <c r="T317" s="284"/>
      <c r="U317" s="284"/>
      <c r="V317" s="284"/>
      <c r="W317" s="284"/>
      <c r="X317" s="284"/>
      <c r="Y317" s="284"/>
      <c r="Z317" s="284"/>
    </row>
    <row r="318">
      <c r="E318" s="284"/>
      <c r="F318" s="284"/>
      <c r="G318" s="284"/>
      <c r="H318" s="284"/>
      <c r="I318" s="284"/>
      <c r="J318" s="284"/>
      <c r="K318" s="284"/>
      <c r="L318" s="284"/>
      <c r="M318" s="284"/>
      <c r="N318" s="284"/>
      <c r="O318" s="284"/>
      <c r="S318" s="284"/>
      <c r="T318" s="284"/>
      <c r="U318" s="284"/>
      <c r="V318" s="284"/>
      <c r="W318" s="284"/>
      <c r="X318" s="284"/>
      <c r="Y318" s="284"/>
      <c r="Z318" s="284"/>
    </row>
    <row r="319">
      <c r="E319" s="284"/>
      <c r="F319" s="284"/>
      <c r="G319" s="284"/>
      <c r="H319" s="284"/>
      <c r="I319" s="284"/>
      <c r="J319" s="284"/>
      <c r="K319" s="284"/>
      <c r="L319" s="284"/>
      <c r="M319" s="284"/>
      <c r="N319" s="284"/>
      <c r="O319" s="284"/>
      <c r="S319" s="284"/>
      <c r="T319" s="284"/>
      <c r="U319" s="284"/>
      <c r="V319" s="284"/>
      <c r="W319" s="284"/>
      <c r="X319" s="284"/>
      <c r="Y319" s="284"/>
      <c r="Z319" s="284"/>
    </row>
    <row r="320">
      <c r="E320" s="284"/>
      <c r="F320" s="284"/>
      <c r="G320" s="284"/>
      <c r="H320" s="284"/>
      <c r="I320" s="284"/>
      <c r="J320" s="284"/>
      <c r="K320" s="284"/>
      <c r="L320" s="284"/>
      <c r="M320" s="284"/>
      <c r="N320" s="284"/>
      <c r="O320" s="284"/>
      <c r="S320" s="284"/>
      <c r="T320" s="284"/>
      <c r="U320" s="284"/>
      <c r="V320" s="284"/>
      <c r="W320" s="284"/>
      <c r="X320" s="284"/>
      <c r="Y320" s="284"/>
      <c r="Z320" s="284"/>
    </row>
    <row r="321">
      <c r="E321" s="284"/>
      <c r="F321" s="284"/>
      <c r="G321" s="284"/>
      <c r="H321" s="284"/>
      <c r="I321" s="284"/>
      <c r="J321" s="284"/>
      <c r="K321" s="284"/>
      <c r="L321" s="284"/>
      <c r="M321" s="284"/>
      <c r="N321" s="284"/>
      <c r="O321" s="284"/>
      <c r="S321" s="284"/>
      <c r="T321" s="284"/>
      <c r="U321" s="284"/>
      <c r="V321" s="284"/>
      <c r="W321" s="284"/>
      <c r="X321" s="284"/>
      <c r="Y321" s="284"/>
      <c r="Z321" s="284"/>
    </row>
    <row r="322">
      <c r="E322" s="284"/>
      <c r="F322" s="284"/>
      <c r="G322" s="284"/>
      <c r="H322" s="284"/>
      <c r="I322" s="284"/>
      <c r="J322" s="284"/>
      <c r="K322" s="284"/>
      <c r="L322" s="284"/>
      <c r="M322" s="284"/>
      <c r="N322" s="284"/>
      <c r="O322" s="284"/>
      <c r="S322" s="284"/>
      <c r="T322" s="284"/>
      <c r="U322" s="284"/>
      <c r="V322" s="284"/>
      <c r="W322" s="284"/>
      <c r="X322" s="284"/>
      <c r="Y322" s="284"/>
      <c r="Z322" s="284"/>
    </row>
    <row r="323">
      <c r="E323" s="284"/>
      <c r="F323" s="284"/>
      <c r="G323" s="284"/>
      <c r="H323" s="284"/>
      <c r="I323" s="284"/>
      <c r="J323" s="284"/>
      <c r="K323" s="284"/>
      <c r="L323" s="284"/>
      <c r="M323" s="284"/>
      <c r="N323" s="284"/>
      <c r="O323" s="284"/>
      <c r="S323" s="284"/>
      <c r="T323" s="284"/>
      <c r="U323" s="284"/>
      <c r="V323" s="284"/>
      <c r="W323" s="284"/>
      <c r="X323" s="284"/>
      <c r="Y323" s="284"/>
      <c r="Z323" s="284"/>
    </row>
    <row r="324">
      <c r="E324" s="284"/>
      <c r="F324" s="284"/>
      <c r="G324" s="284"/>
      <c r="H324" s="284"/>
      <c r="I324" s="284"/>
      <c r="J324" s="284"/>
      <c r="K324" s="284"/>
      <c r="L324" s="284"/>
      <c r="M324" s="284"/>
      <c r="N324" s="284"/>
      <c r="O324" s="284"/>
      <c r="S324" s="284"/>
      <c r="T324" s="284"/>
      <c r="U324" s="284"/>
      <c r="V324" s="284"/>
      <c r="W324" s="284"/>
      <c r="X324" s="284"/>
      <c r="Y324" s="284"/>
      <c r="Z324" s="284"/>
    </row>
    <row r="325">
      <c r="E325" s="284"/>
      <c r="F325" s="284"/>
      <c r="G325" s="284"/>
      <c r="H325" s="284"/>
      <c r="I325" s="284"/>
      <c r="J325" s="284"/>
      <c r="K325" s="284"/>
      <c r="L325" s="284"/>
      <c r="M325" s="284"/>
      <c r="N325" s="284"/>
      <c r="O325" s="284"/>
      <c r="S325" s="284"/>
      <c r="T325" s="284"/>
      <c r="U325" s="284"/>
      <c r="V325" s="284"/>
      <c r="W325" s="284"/>
      <c r="X325" s="284"/>
      <c r="Y325" s="284"/>
      <c r="Z325" s="284"/>
    </row>
    <row r="326">
      <c r="E326" s="284"/>
      <c r="F326" s="284"/>
      <c r="G326" s="284"/>
      <c r="H326" s="284"/>
      <c r="I326" s="284"/>
      <c r="J326" s="284"/>
      <c r="K326" s="284"/>
      <c r="L326" s="284"/>
      <c r="M326" s="284"/>
      <c r="N326" s="284"/>
      <c r="O326" s="284"/>
      <c r="S326" s="284"/>
      <c r="T326" s="284"/>
      <c r="U326" s="284"/>
      <c r="V326" s="284"/>
      <c r="W326" s="284"/>
      <c r="X326" s="284"/>
      <c r="Y326" s="284"/>
      <c r="Z326" s="284"/>
    </row>
    <row r="327">
      <c r="E327" s="284"/>
      <c r="F327" s="284"/>
      <c r="G327" s="284"/>
      <c r="H327" s="284"/>
      <c r="I327" s="284"/>
      <c r="J327" s="284"/>
      <c r="K327" s="284"/>
      <c r="L327" s="284"/>
      <c r="M327" s="284"/>
      <c r="N327" s="284"/>
      <c r="O327" s="284"/>
      <c r="S327" s="284"/>
      <c r="T327" s="284"/>
      <c r="U327" s="284"/>
      <c r="V327" s="284"/>
      <c r="W327" s="284"/>
      <c r="X327" s="284"/>
      <c r="Y327" s="284"/>
      <c r="Z327" s="284"/>
    </row>
    <row r="328">
      <c r="E328" s="284"/>
      <c r="F328" s="284"/>
      <c r="G328" s="284"/>
      <c r="H328" s="284"/>
      <c r="I328" s="284"/>
      <c r="J328" s="284"/>
      <c r="K328" s="284"/>
      <c r="L328" s="284"/>
      <c r="M328" s="284"/>
      <c r="N328" s="284"/>
      <c r="O328" s="284"/>
      <c r="S328" s="284"/>
      <c r="T328" s="284"/>
      <c r="U328" s="284"/>
      <c r="V328" s="284"/>
      <c r="W328" s="284"/>
      <c r="X328" s="284"/>
      <c r="Y328" s="284"/>
      <c r="Z328" s="284"/>
    </row>
    <row r="329">
      <c r="E329" s="284"/>
      <c r="F329" s="284"/>
      <c r="G329" s="284"/>
      <c r="H329" s="284"/>
      <c r="I329" s="284"/>
      <c r="J329" s="284"/>
      <c r="K329" s="284"/>
      <c r="L329" s="284"/>
      <c r="M329" s="284"/>
      <c r="N329" s="284"/>
      <c r="O329" s="284"/>
      <c r="S329" s="284"/>
      <c r="T329" s="284"/>
      <c r="U329" s="284"/>
      <c r="V329" s="284"/>
      <c r="W329" s="284"/>
      <c r="X329" s="284"/>
      <c r="Y329" s="284"/>
      <c r="Z329" s="284"/>
    </row>
    <row r="330">
      <c r="E330" s="284"/>
      <c r="F330" s="284"/>
      <c r="G330" s="284"/>
      <c r="H330" s="284"/>
      <c r="I330" s="284"/>
      <c r="J330" s="284"/>
      <c r="K330" s="284"/>
      <c r="L330" s="284"/>
      <c r="M330" s="284"/>
      <c r="N330" s="284"/>
      <c r="O330" s="284"/>
      <c r="S330" s="284"/>
      <c r="T330" s="284"/>
      <c r="U330" s="284"/>
      <c r="V330" s="284"/>
      <c r="W330" s="284"/>
      <c r="X330" s="284"/>
      <c r="Y330" s="284"/>
      <c r="Z330" s="284"/>
    </row>
    <row r="331">
      <c r="E331" s="284"/>
      <c r="F331" s="284"/>
      <c r="G331" s="284"/>
      <c r="H331" s="284"/>
      <c r="I331" s="284"/>
      <c r="J331" s="284"/>
      <c r="K331" s="284"/>
      <c r="L331" s="284"/>
      <c r="M331" s="284"/>
      <c r="N331" s="284"/>
      <c r="O331" s="284"/>
      <c r="S331" s="284"/>
      <c r="T331" s="284"/>
      <c r="U331" s="284"/>
      <c r="V331" s="284"/>
      <c r="W331" s="284"/>
      <c r="X331" s="284"/>
      <c r="Y331" s="284"/>
      <c r="Z331" s="284"/>
    </row>
    <row r="332">
      <c r="E332" s="284"/>
      <c r="F332" s="284"/>
      <c r="G332" s="284"/>
      <c r="H332" s="284"/>
      <c r="I332" s="284"/>
      <c r="J332" s="284"/>
      <c r="K332" s="284"/>
      <c r="L332" s="284"/>
      <c r="M332" s="284"/>
      <c r="N332" s="284"/>
      <c r="O332" s="284"/>
      <c r="S332" s="284"/>
      <c r="T332" s="284"/>
      <c r="U332" s="284"/>
      <c r="V332" s="284"/>
      <c r="W332" s="284"/>
      <c r="X332" s="284"/>
      <c r="Y332" s="284"/>
      <c r="Z332" s="284"/>
    </row>
    <row r="333">
      <c r="E333" s="284"/>
      <c r="F333" s="284"/>
      <c r="G333" s="284"/>
      <c r="H333" s="284"/>
      <c r="I333" s="284"/>
      <c r="J333" s="284"/>
      <c r="K333" s="284"/>
      <c r="L333" s="284"/>
      <c r="M333" s="284"/>
      <c r="N333" s="284"/>
      <c r="O333" s="284"/>
      <c r="S333" s="284"/>
      <c r="T333" s="284"/>
      <c r="U333" s="284"/>
      <c r="V333" s="284"/>
      <c r="W333" s="284"/>
      <c r="X333" s="284"/>
      <c r="Y333" s="284"/>
      <c r="Z333" s="284"/>
    </row>
    <row r="334">
      <c r="E334" s="284"/>
      <c r="F334" s="284"/>
      <c r="G334" s="284"/>
      <c r="H334" s="284"/>
      <c r="I334" s="284"/>
      <c r="J334" s="284"/>
      <c r="K334" s="284"/>
      <c r="L334" s="284"/>
      <c r="M334" s="284"/>
      <c r="N334" s="284"/>
      <c r="O334" s="284"/>
      <c r="S334" s="284"/>
      <c r="T334" s="284"/>
      <c r="U334" s="284"/>
      <c r="V334" s="284"/>
      <c r="W334" s="284"/>
      <c r="X334" s="284"/>
      <c r="Y334" s="284"/>
      <c r="Z334" s="284"/>
    </row>
    <row r="335">
      <c r="E335" s="284"/>
      <c r="F335" s="284"/>
      <c r="G335" s="284"/>
      <c r="H335" s="284"/>
      <c r="I335" s="284"/>
      <c r="J335" s="284"/>
      <c r="K335" s="284"/>
      <c r="L335" s="284"/>
      <c r="M335" s="284"/>
      <c r="N335" s="284"/>
      <c r="O335" s="284"/>
      <c r="S335" s="284"/>
      <c r="T335" s="284"/>
      <c r="U335" s="284"/>
      <c r="V335" s="284"/>
      <c r="W335" s="284"/>
      <c r="X335" s="284"/>
      <c r="Y335" s="284"/>
      <c r="Z335" s="284"/>
    </row>
    <row r="336">
      <c r="E336" s="284"/>
      <c r="F336" s="284"/>
      <c r="G336" s="284"/>
      <c r="H336" s="284"/>
      <c r="I336" s="284"/>
      <c r="J336" s="284"/>
      <c r="K336" s="284"/>
      <c r="L336" s="284"/>
      <c r="M336" s="284"/>
      <c r="N336" s="284"/>
      <c r="O336" s="284"/>
      <c r="S336" s="284"/>
      <c r="T336" s="284"/>
      <c r="U336" s="284"/>
      <c r="V336" s="284"/>
      <c r="W336" s="284"/>
      <c r="X336" s="284"/>
      <c r="Y336" s="284"/>
      <c r="Z336" s="284"/>
    </row>
    <row r="337">
      <c r="E337" s="284"/>
      <c r="F337" s="284"/>
      <c r="G337" s="284"/>
      <c r="H337" s="284"/>
      <c r="I337" s="284"/>
      <c r="J337" s="284"/>
      <c r="K337" s="284"/>
      <c r="L337" s="284"/>
      <c r="M337" s="284"/>
      <c r="N337" s="284"/>
      <c r="O337" s="284"/>
      <c r="S337" s="284"/>
      <c r="T337" s="284"/>
      <c r="U337" s="284"/>
      <c r="V337" s="284"/>
      <c r="W337" s="284"/>
      <c r="X337" s="284"/>
      <c r="Y337" s="284"/>
      <c r="Z337" s="284"/>
    </row>
    <row r="338">
      <c r="E338" s="284"/>
      <c r="F338" s="284"/>
      <c r="G338" s="284"/>
      <c r="H338" s="284"/>
      <c r="I338" s="284"/>
      <c r="J338" s="284"/>
      <c r="K338" s="284"/>
      <c r="L338" s="284"/>
      <c r="M338" s="284"/>
      <c r="N338" s="284"/>
      <c r="O338" s="284"/>
      <c r="S338" s="284"/>
      <c r="T338" s="284"/>
      <c r="U338" s="284"/>
      <c r="V338" s="284"/>
      <c r="W338" s="284"/>
      <c r="X338" s="284"/>
      <c r="Y338" s="284"/>
      <c r="Z338" s="284"/>
    </row>
    <row r="339">
      <c r="E339" s="284"/>
      <c r="F339" s="284"/>
      <c r="G339" s="284"/>
      <c r="H339" s="284"/>
      <c r="I339" s="284"/>
      <c r="J339" s="284"/>
      <c r="K339" s="284"/>
      <c r="L339" s="284"/>
      <c r="M339" s="284"/>
      <c r="N339" s="284"/>
      <c r="O339" s="284"/>
      <c r="S339" s="284"/>
      <c r="T339" s="284"/>
      <c r="U339" s="284"/>
      <c r="V339" s="284"/>
      <c r="W339" s="284"/>
      <c r="X339" s="284"/>
      <c r="Y339" s="284"/>
      <c r="Z339" s="284"/>
    </row>
    <row r="340">
      <c r="E340" s="284"/>
      <c r="F340" s="284"/>
      <c r="G340" s="284"/>
      <c r="H340" s="284"/>
      <c r="I340" s="284"/>
      <c r="J340" s="284"/>
      <c r="K340" s="284"/>
      <c r="L340" s="284"/>
      <c r="M340" s="284"/>
      <c r="N340" s="284"/>
      <c r="O340" s="284"/>
      <c r="S340" s="284"/>
      <c r="T340" s="284"/>
      <c r="U340" s="284"/>
      <c r="V340" s="284"/>
      <c r="W340" s="284"/>
      <c r="X340" s="284"/>
      <c r="Y340" s="284"/>
      <c r="Z340" s="284"/>
    </row>
    <row r="341">
      <c r="E341" s="284"/>
      <c r="F341" s="284"/>
      <c r="G341" s="284"/>
      <c r="H341" s="284"/>
      <c r="I341" s="284"/>
      <c r="J341" s="284"/>
      <c r="K341" s="284"/>
      <c r="L341" s="284"/>
      <c r="M341" s="284"/>
      <c r="N341" s="284"/>
      <c r="O341" s="284"/>
      <c r="S341" s="284"/>
      <c r="T341" s="284"/>
      <c r="U341" s="284"/>
      <c r="V341" s="284"/>
      <c r="W341" s="284"/>
      <c r="X341" s="284"/>
      <c r="Y341" s="284"/>
      <c r="Z341" s="284"/>
    </row>
    <row r="342">
      <c r="E342" s="284"/>
      <c r="F342" s="284"/>
      <c r="G342" s="284"/>
      <c r="H342" s="284"/>
      <c r="I342" s="284"/>
      <c r="J342" s="284"/>
      <c r="K342" s="284"/>
      <c r="L342" s="284"/>
      <c r="M342" s="284"/>
      <c r="N342" s="284"/>
      <c r="O342" s="284"/>
      <c r="S342" s="284"/>
      <c r="T342" s="284"/>
      <c r="U342" s="284"/>
      <c r="V342" s="284"/>
      <c r="W342" s="284"/>
      <c r="X342" s="284"/>
      <c r="Y342" s="284"/>
      <c r="Z342" s="284"/>
    </row>
    <row r="343">
      <c r="E343" s="284"/>
      <c r="F343" s="284"/>
      <c r="G343" s="284"/>
      <c r="H343" s="284"/>
      <c r="I343" s="284"/>
      <c r="J343" s="284"/>
      <c r="K343" s="284"/>
      <c r="L343" s="284"/>
      <c r="M343" s="284"/>
      <c r="N343" s="284"/>
      <c r="O343" s="284"/>
      <c r="S343" s="284"/>
      <c r="T343" s="284"/>
      <c r="U343" s="284"/>
      <c r="V343" s="284"/>
      <c r="W343" s="284"/>
      <c r="X343" s="284"/>
      <c r="Y343" s="284"/>
      <c r="Z343" s="284"/>
    </row>
    <row r="344">
      <c r="E344" s="284"/>
      <c r="F344" s="284"/>
      <c r="G344" s="284"/>
      <c r="H344" s="284"/>
      <c r="I344" s="284"/>
      <c r="J344" s="284"/>
      <c r="K344" s="284"/>
      <c r="L344" s="284"/>
      <c r="M344" s="284"/>
      <c r="N344" s="284"/>
      <c r="O344" s="284"/>
      <c r="S344" s="284"/>
      <c r="T344" s="284"/>
      <c r="U344" s="284"/>
      <c r="V344" s="284"/>
      <c r="W344" s="284"/>
      <c r="X344" s="284"/>
      <c r="Y344" s="284"/>
      <c r="Z344" s="284"/>
    </row>
    <row r="345">
      <c r="E345" s="284"/>
      <c r="F345" s="284"/>
      <c r="G345" s="284"/>
      <c r="H345" s="284"/>
      <c r="I345" s="284"/>
      <c r="J345" s="284"/>
      <c r="K345" s="284"/>
      <c r="L345" s="284"/>
      <c r="M345" s="284"/>
      <c r="N345" s="284"/>
      <c r="O345" s="284"/>
      <c r="S345" s="284"/>
      <c r="T345" s="284"/>
      <c r="U345" s="284"/>
      <c r="V345" s="284"/>
      <c r="W345" s="284"/>
      <c r="X345" s="284"/>
      <c r="Y345" s="284"/>
      <c r="Z345" s="284"/>
    </row>
    <row r="346">
      <c r="E346" s="284"/>
      <c r="F346" s="284"/>
      <c r="G346" s="284"/>
      <c r="H346" s="284"/>
      <c r="I346" s="284"/>
      <c r="J346" s="284"/>
      <c r="K346" s="284"/>
      <c r="L346" s="284"/>
      <c r="M346" s="284"/>
      <c r="N346" s="284"/>
      <c r="O346" s="284"/>
      <c r="S346" s="284"/>
      <c r="T346" s="284"/>
      <c r="U346" s="284"/>
      <c r="V346" s="284"/>
      <c r="W346" s="284"/>
      <c r="X346" s="284"/>
      <c r="Y346" s="284"/>
      <c r="Z346" s="284"/>
    </row>
    <row r="347">
      <c r="E347" s="284"/>
      <c r="F347" s="284"/>
      <c r="G347" s="284"/>
      <c r="H347" s="284"/>
      <c r="I347" s="284"/>
      <c r="J347" s="284"/>
      <c r="K347" s="284"/>
      <c r="L347" s="284"/>
      <c r="M347" s="284"/>
      <c r="N347" s="284"/>
      <c r="O347" s="284"/>
      <c r="S347" s="284"/>
      <c r="T347" s="284"/>
      <c r="U347" s="284"/>
      <c r="V347" s="284"/>
      <c r="W347" s="284"/>
      <c r="X347" s="284"/>
      <c r="Y347" s="284"/>
      <c r="Z347" s="284"/>
    </row>
    <row r="348">
      <c r="E348" s="284"/>
      <c r="F348" s="284"/>
      <c r="G348" s="284"/>
      <c r="H348" s="284"/>
      <c r="I348" s="284"/>
      <c r="J348" s="284"/>
      <c r="K348" s="284"/>
      <c r="L348" s="284"/>
      <c r="M348" s="284"/>
      <c r="N348" s="284"/>
      <c r="O348" s="284"/>
      <c r="S348" s="284"/>
      <c r="T348" s="284"/>
      <c r="U348" s="284"/>
      <c r="V348" s="284"/>
      <c r="W348" s="284"/>
      <c r="X348" s="284"/>
      <c r="Y348" s="284"/>
      <c r="Z348" s="284"/>
    </row>
    <row r="349">
      <c r="E349" s="284"/>
      <c r="F349" s="284"/>
      <c r="G349" s="284"/>
      <c r="H349" s="284"/>
      <c r="I349" s="284"/>
      <c r="J349" s="284"/>
      <c r="K349" s="284"/>
      <c r="L349" s="284"/>
      <c r="M349" s="284"/>
      <c r="N349" s="284"/>
      <c r="O349" s="284"/>
      <c r="S349" s="284"/>
      <c r="T349" s="284"/>
      <c r="U349" s="284"/>
      <c r="V349" s="284"/>
      <c r="W349" s="284"/>
      <c r="X349" s="284"/>
      <c r="Y349" s="284"/>
      <c r="Z349" s="284"/>
    </row>
    <row r="350">
      <c r="E350" s="284"/>
      <c r="F350" s="284"/>
      <c r="G350" s="284"/>
      <c r="H350" s="284"/>
      <c r="I350" s="284"/>
      <c r="J350" s="284"/>
      <c r="K350" s="284"/>
      <c r="L350" s="284"/>
      <c r="M350" s="284"/>
      <c r="N350" s="284"/>
      <c r="O350" s="284"/>
      <c r="S350" s="284"/>
      <c r="T350" s="284"/>
      <c r="U350" s="284"/>
      <c r="V350" s="284"/>
      <c r="W350" s="284"/>
      <c r="X350" s="284"/>
      <c r="Y350" s="284"/>
      <c r="Z350" s="284"/>
    </row>
    <row r="351">
      <c r="E351" s="284"/>
      <c r="F351" s="284"/>
      <c r="G351" s="284"/>
      <c r="H351" s="284"/>
      <c r="I351" s="284"/>
      <c r="J351" s="284"/>
      <c r="K351" s="284"/>
      <c r="L351" s="284"/>
      <c r="M351" s="284"/>
      <c r="N351" s="284"/>
      <c r="O351" s="284"/>
      <c r="S351" s="284"/>
      <c r="T351" s="284"/>
      <c r="U351" s="284"/>
      <c r="V351" s="284"/>
      <c r="W351" s="284"/>
      <c r="X351" s="284"/>
      <c r="Y351" s="284"/>
      <c r="Z351" s="284"/>
    </row>
    <row r="352">
      <c r="E352" s="284"/>
      <c r="F352" s="284"/>
      <c r="G352" s="284"/>
      <c r="H352" s="284"/>
      <c r="I352" s="284"/>
      <c r="J352" s="284"/>
      <c r="K352" s="284"/>
      <c r="L352" s="284"/>
      <c r="M352" s="284"/>
      <c r="N352" s="284"/>
      <c r="O352" s="284"/>
      <c r="S352" s="284"/>
      <c r="T352" s="284"/>
      <c r="U352" s="284"/>
      <c r="V352" s="284"/>
      <c r="W352" s="284"/>
      <c r="X352" s="284"/>
      <c r="Y352" s="284"/>
      <c r="Z352" s="284"/>
    </row>
    <row r="353">
      <c r="E353" s="284"/>
      <c r="F353" s="284"/>
      <c r="G353" s="284"/>
      <c r="H353" s="284"/>
      <c r="I353" s="284"/>
      <c r="J353" s="284"/>
      <c r="K353" s="284"/>
      <c r="L353" s="284"/>
      <c r="M353" s="284"/>
      <c r="N353" s="284"/>
      <c r="O353" s="284"/>
      <c r="S353" s="284"/>
      <c r="T353" s="284"/>
      <c r="U353" s="284"/>
      <c r="V353" s="284"/>
      <c r="W353" s="284"/>
      <c r="X353" s="284"/>
      <c r="Y353" s="284"/>
      <c r="Z353" s="284"/>
    </row>
    <row r="354">
      <c r="E354" s="284"/>
      <c r="F354" s="284"/>
      <c r="G354" s="284"/>
      <c r="H354" s="284"/>
      <c r="I354" s="284"/>
      <c r="J354" s="284"/>
      <c r="K354" s="284"/>
      <c r="L354" s="284"/>
      <c r="M354" s="284"/>
      <c r="N354" s="284"/>
      <c r="O354" s="284"/>
      <c r="S354" s="284"/>
      <c r="T354" s="284"/>
      <c r="U354" s="284"/>
      <c r="V354" s="284"/>
      <c r="W354" s="284"/>
      <c r="X354" s="284"/>
      <c r="Y354" s="284"/>
      <c r="Z354" s="284"/>
    </row>
    <row r="355">
      <c r="E355" s="284"/>
      <c r="F355" s="284"/>
      <c r="G355" s="284"/>
      <c r="H355" s="284"/>
      <c r="I355" s="284"/>
      <c r="J355" s="284"/>
      <c r="K355" s="284"/>
      <c r="L355" s="284"/>
      <c r="M355" s="284"/>
      <c r="N355" s="284"/>
      <c r="O355" s="284"/>
      <c r="S355" s="284"/>
      <c r="T355" s="284"/>
      <c r="U355" s="284"/>
      <c r="V355" s="284"/>
      <c r="W355" s="284"/>
      <c r="X355" s="284"/>
      <c r="Y355" s="284"/>
      <c r="Z355" s="284"/>
    </row>
    <row r="356">
      <c r="E356" s="284"/>
      <c r="F356" s="284"/>
      <c r="G356" s="284"/>
      <c r="H356" s="284"/>
      <c r="I356" s="284"/>
      <c r="J356" s="284"/>
      <c r="K356" s="284"/>
      <c r="L356" s="284"/>
      <c r="M356" s="284"/>
      <c r="N356" s="284"/>
      <c r="O356" s="284"/>
      <c r="S356" s="284"/>
      <c r="T356" s="284"/>
      <c r="U356" s="284"/>
      <c r="V356" s="284"/>
      <c r="W356" s="284"/>
      <c r="X356" s="284"/>
      <c r="Y356" s="284"/>
      <c r="Z356" s="284"/>
    </row>
    <row r="357">
      <c r="E357" s="284"/>
      <c r="F357" s="284"/>
      <c r="G357" s="284"/>
      <c r="H357" s="284"/>
      <c r="I357" s="284"/>
      <c r="J357" s="284"/>
      <c r="K357" s="284"/>
      <c r="L357" s="284"/>
      <c r="M357" s="284"/>
      <c r="N357" s="284"/>
      <c r="O357" s="284"/>
      <c r="S357" s="284"/>
      <c r="T357" s="284"/>
      <c r="U357" s="284"/>
      <c r="V357" s="284"/>
      <c r="W357" s="284"/>
      <c r="X357" s="284"/>
      <c r="Y357" s="284"/>
      <c r="Z357" s="284"/>
    </row>
    <row r="358">
      <c r="E358" s="284"/>
      <c r="F358" s="284"/>
      <c r="G358" s="284"/>
      <c r="H358" s="284"/>
      <c r="I358" s="284"/>
      <c r="J358" s="284"/>
      <c r="K358" s="284"/>
      <c r="L358" s="284"/>
      <c r="M358" s="284"/>
      <c r="N358" s="284"/>
      <c r="O358" s="284"/>
      <c r="S358" s="284"/>
      <c r="T358" s="284"/>
      <c r="U358" s="284"/>
      <c r="V358" s="284"/>
      <c r="W358" s="284"/>
      <c r="X358" s="284"/>
      <c r="Y358" s="284"/>
      <c r="Z358" s="284"/>
    </row>
    <row r="359">
      <c r="E359" s="284"/>
      <c r="F359" s="284"/>
      <c r="G359" s="284"/>
      <c r="H359" s="284"/>
      <c r="I359" s="284"/>
      <c r="J359" s="284"/>
      <c r="K359" s="284"/>
      <c r="L359" s="284"/>
      <c r="M359" s="284"/>
      <c r="N359" s="284"/>
      <c r="O359" s="284"/>
      <c r="S359" s="284"/>
      <c r="T359" s="284"/>
      <c r="U359" s="284"/>
      <c r="V359" s="284"/>
      <c r="W359" s="284"/>
      <c r="X359" s="284"/>
      <c r="Y359" s="284"/>
      <c r="Z359" s="284"/>
    </row>
    <row r="360">
      <c r="E360" s="284"/>
      <c r="F360" s="284"/>
      <c r="G360" s="284"/>
      <c r="H360" s="284"/>
      <c r="I360" s="284"/>
      <c r="J360" s="284"/>
      <c r="K360" s="284"/>
      <c r="L360" s="284"/>
      <c r="M360" s="284"/>
      <c r="N360" s="284"/>
      <c r="O360" s="284"/>
      <c r="S360" s="284"/>
      <c r="T360" s="284"/>
      <c r="U360" s="284"/>
      <c r="V360" s="284"/>
      <c r="W360" s="284"/>
      <c r="X360" s="284"/>
      <c r="Y360" s="284"/>
      <c r="Z360" s="284"/>
    </row>
    <row r="361">
      <c r="E361" s="284"/>
      <c r="F361" s="284"/>
      <c r="G361" s="284"/>
      <c r="H361" s="284"/>
      <c r="I361" s="284"/>
      <c r="J361" s="284"/>
      <c r="K361" s="284"/>
      <c r="L361" s="284"/>
      <c r="M361" s="284"/>
      <c r="N361" s="284"/>
      <c r="O361" s="284"/>
      <c r="S361" s="284"/>
      <c r="T361" s="284"/>
      <c r="U361" s="284"/>
      <c r="V361" s="284"/>
      <c r="W361" s="284"/>
      <c r="X361" s="284"/>
      <c r="Y361" s="284"/>
      <c r="Z361" s="284"/>
    </row>
    <row r="362">
      <c r="E362" s="284"/>
      <c r="F362" s="284"/>
      <c r="G362" s="284"/>
      <c r="H362" s="284"/>
      <c r="I362" s="284"/>
      <c r="J362" s="284"/>
      <c r="K362" s="284"/>
      <c r="L362" s="284"/>
      <c r="M362" s="284"/>
      <c r="N362" s="284"/>
      <c r="O362" s="284"/>
      <c r="S362" s="284"/>
      <c r="T362" s="284"/>
      <c r="U362" s="284"/>
      <c r="V362" s="284"/>
      <c r="W362" s="284"/>
      <c r="X362" s="284"/>
      <c r="Y362" s="284"/>
      <c r="Z362" s="284"/>
    </row>
    <row r="363">
      <c r="E363" s="284"/>
      <c r="F363" s="284"/>
      <c r="G363" s="284"/>
      <c r="H363" s="284"/>
      <c r="I363" s="284"/>
      <c r="J363" s="284"/>
      <c r="K363" s="284"/>
      <c r="L363" s="284"/>
      <c r="M363" s="284"/>
      <c r="N363" s="284"/>
      <c r="O363" s="284"/>
      <c r="S363" s="284"/>
      <c r="T363" s="284"/>
      <c r="U363" s="284"/>
      <c r="V363" s="284"/>
      <c r="W363" s="284"/>
      <c r="X363" s="284"/>
      <c r="Y363" s="284"/>
      <c r="Z363" s="284"/>
    </row>
    <row r="364">
      <c r="E364" s="284"/>
      <c r="F364" s="284"/>
      <c r="G364" s="284"/>
      <c r="H364" s="284"/>
      <c r="I364" s="284"/>
      <c r="J364" s="284"/>
      <c r="K364" s="284"/>
      <c r="L364" s="284"/>
      <c r="M364" s="284"/>
      <c r="N364" s="284"/>
      <c r="O364" s="284"/>
      <c r="S364" s="284"/>
      <c r="T364" s="284"/>
      <c r="U364" s="284"/>
      <c r="V364" s="284"/>
      <c r="W364" s="284"/>
      <c r="X364" s="284"/>
      <c r="Y364" s="284"/>
      <c r="Z364" s="284"/>
    </row>
    <row r="365">
      <c r="E365" s="284"/>
      <c r="F365" s="284"/>
      <c r="G365" s="284"/>
      <c r="H365" s="284"/>
      <c r="I365" s="284"/>
      <c r="J365" s="284"/>
      <c r="K365" s="284"/>
      <c r="L365" s="284"/>
      <c r="M365" s="284"/>
      <c r="N365" s="284"/>
      <c r="O365" s="284"/>
      <c r="S365" s="284"/>
      <c r="T365" s="284"/>
      <c r="U365" s="284"/>
      <c r="V365" s="284"/>
      <c r="W365" s="284"/>
      <c r="X365" s="284"/>
      <c r="Y365" s="284"/>
      <c r="Z365" s="284"/>
    </row>
    <row r="366">
      <c r="E366" s="284"/>
      <c r="F366" s="284"/>
      <c r="G366" s="284"/>
      <c r="H366" s="284"/>
      <c r="I366" s="284"/>
      <c r="J366" s="284"/>
      <c r="K366" s="284"/>
      <c r="L366" s="284"/>
      <c r="M366" s="284"/>
      <c r="N366" s="284"/>
      <c r="O366" s="284"/>
      <c r="S366" s="284"/>
      <c r="T366" s="284"/>
      <c r="U366" s="284"/>
      <c r="V366" s="284"/>
      <c r="W366" s="284"/>
      <c r="X366" s="284"/>
      <c r="Y366" s="284"/>
      <c r="Z366" s="284"/>
    </row>
    <row r="367">
      <c r="E367" s="284"/>
      <c r="F367" s="284"/>
      <c r="G367" s="284"/>
      <c r="H367" s="284"/>
      <c r="I367" s="284"/>
      <c r="J367" s="284"/>
      <c r="K367" s="284"/>
      <c r="L367" s="284"/>
      <c r="M367" s="284"/>
      <c r="N367" s="284"/>
      <c r="O367" s="284"/>
      <c r="S367" s="284"/>
      <c r="T367" s="284"/>
      <c r="U367" s="284"/>
      <c r="V367" s="284"/>
      <c r="W367" s="284"/>
      <c r="X367" s="284"/>
      <c r="Y367" s="284"/>
      <c r="Z367" s="284"/>
    </row>
    <row r="368">
      <c r="E368" s="284"/>
      <c r="F368" s="284"/>
      <c r="G368" s="284"/>
      <c r="H368" s="284"/>
      <c r="I368" s="284"/>
      <c r="J368" s="284"/>
      <c r="K368" s="284"/>
      <c r="L368" s="284"/>
      <c r="M368" s="284"/>
      <c r="N368" s="284"/>
      <c r="O368" s="284"/>
      <c r="S368" s="284"/>
      <c r="T368" s="284"/>
      <c r="U368" s="284"/>
      <c r="V368" s="284"/>
      <c r="W368" s="284"/>
      <c r="X368" s="284"/>
      <c r="Y368" s="284"/>
      <c r="Z368" s="284"/>
    </row>
    <row r="369">
      <c r="E369" s="284"/>
      <c r="F369" s="284"/>
      <c r="G369" s="284"/>
      <c r="H369" s="284"/>
      <c r="I369" s="284"/>
      <c r="J369" s="284"/>
      <c r="K369" s="284"/>
      <c r="L369" s="284"/>
      <c r="M369" s="284"/>
      <c r="N369" s="284"/>
      <c r="O369" s="284"/>
      <c r="S369" s="284"/>
      <c r="T369" s="284"/>
      <c r="U369" s="284"/>
      <c r="V369" s="284"/>
      <c r="W369" s="284"/>
      <c r="X369" s="284"/>
      <c r="Y369" s="284"/>
      <c r="Z369" s="284"/>
    </row>
    <row r="370">
      <c r="E370" s="284"/>
      <c r="F370" s="284"/>
      <c r="G370" s="284"/>
      <c r="H370" s="284"/>
      <c r="I370" s="284"/>
      <c r="J370" s="284"/>
      <c r="K370" s="284"/>
      <c r="L370" s="284"/>
      <c r="M370" s="284"/>
      <c r="N370" s="284"/>
      <c r="O370" s="284"/>
      <c r="S370" s="284"/>
      <c r="T370" s="284"/>
      <c r="U370" s="284"/>
      <c r="V370" s="284"/>
      <c r="W370" s="284"/>
      <c r="X370" s="284"/>
      <c r="Y370" s="284"/>
      <c r="Z370" s="284"/>
    </row>
    <row r="371">
      <c r="E371" s="284"/>
      <c r="F371" s="284"/>
      <c r="G371" s="284"/>
      <c r="H371" s="284"/>
      <c r="I371" s="284"/>
      <c r="J371" s="284"/>
      <c r="K371" s="284"/>
      <c r="L371" s="284"/>
      <c r="M371" s="284"/>
      <c r="N371" s="284"/>
      <c r="O371" s="284"/>
      <c r="S371" s="284"/>
      <c r="T371" s="284"/>
      <c r="U371" s="284"/>
      <c r="V371" s="284"/>
      <c r="W371" s="284"/>
      <c r="X371" s="284"/>
      <c r="Y371" s="284"/>
      <c r="Z371" s="284"/>
    </row>
    <row r="372">
      <c r="E372" s="284"/>
      <c r="F372" s="284"/>
      <c r="G372" s="284"/>
      <c r="H372" s="284"/>
      <c r="I372" s="284"/>
      <c r="J372" s="284"/>
      <c r="K372" s="284"/>
      <c r="L372" s="284"/>
      <c r="M372" s="284"/>
      <c r="N372" s="284"/>
      <c r="O372" s="284"/>
      <c r="S372" s="284"/>
      <c r="T372" s="284"/>
      <c r="U372" s="284"/>
      <c r="V372" s="284"/>
      <c r="W372" s="284"/>
      <c r="X372" s="284"/>
      <c r="Y372" s="284"/>
      <c r="Z372" s="284"/>
    </row>
    <row r="373">
      <c r="E373" s="284"/>
      <c r="F373" s="284"/>
      <c r="G373" s="284"/>
      <c r="H373" s="284"/>
      <c r="I373" s="284"/>
      <c r="J373" s="284"/>
      <c r="K373" s="284"/>
      <c r="L373" s="284"/>
      <c r="M373" s="284"/>
      <c r="N373" s="284"/>
      <c r="O373" s="284"/>
      <c r="S373" s="284"/>
      <c r="T373" s="284"/>
      <c r="U373" s="284"/>
      <c r="V373" s="284"/>
      <c r="W373" s="284"/>
      <c r="X373" s="284"/>
      <c r="Y373" s="284"/>
      <c r="Z373" s="284"/>
    </row>
    <row r="374">
      <c r="E374" s="284"/>
      <c r="F374" s="284"/>
      <c r="G374" s="284"/>
      <c r="H374" s="284"/>
      <c r="I374" s="284"/>
      <c r="J374" s="284"/>
      <c r="K374" s="284"/>
      <c r="L374" s="284"/>
      <c r="M374" s="284"/>
      <c r="N374" s="284"/>
      <c r="O374" s="284"/>
      <c r="S374" s="284"/>
      <c r="T374" s="284"/>
      <c r="U374" s="284"/>
      <c r="V374" s="284"/>
      <c r="W374" s="284"/>
      <c r="X374" s="284"/>
      <c r="Y374" s="284"/>
      <c r="Z374" s="284"/>
    </row>
    <row r="375">
      <c r="E375" s="284"/>
      <c r="F375" s="284"/>
      <c r="G375" s="284"/>
      <c r="H375" s="284"/>
      <c r="I375" s="284"/>
      <c r="J375" s="284"/>
      <c r="K375" s="284"/>
      <c r="L375" s="284"/>
      <c r="M375" s="284"/>
      <c r="N375" s="284"/>
      <c r="O375" s="284"/>
      <c r="S375" s="284"/>
      <c r="T375" s="284"/>
      <c r="U375" s="284"/>
      <c r="V375" s="284"/>
      <c r="W375" s="284"/>
      <c r="X375" s="284"/>
      <c r="Y375" s="284"/>
      <c r="Z375" s="284"/>
    </row>
    <row r="376">
      <c r="E376" s="284"/>
      <c r="F376" s="284"/>
      <c r="G376" s="284"/>
      <c r="H376" s="284"/>
      <c r="I376" s="284"/>
      <c r="J376" s="284"/>
      <c r="K376" s="284"/>
      <c r="L376" s="284"/>
      <c r="M376" s="284"/>
      <c r="N376" s="284"/>
      <c r="O376" s="284"/>
      <c r="S376" s="284"/>
      <c r="T376" s="284"/>
      <c r="U376" s="284"/>
      <c r="V376" s="284"/>
      <c r="W376" s="284"/>
      <c r="X376" s="284"/>
      <c r="Y376" s="284"/>
      <c r="Z376" s="284"/>
    </row>
    <row r="377">
      <c r="E377" s="284"/>
      <c r="F377" s="284"/>
      <c r="G377" s="284"/>
      <c r="H377" s="284"/>
      <c r="I377" s="284"/>
      <c r="J377" s="284"/>
      <c r="K377" s="284"/>
      <c r="L377" s="284"/>
      <c r="M377" s="284"/>
      <c r="N377" s="284"/>
      <c r="O377" s="284"/>
      <c r="S377" s="284"/>
      <c r="T377" s="284"/>
      <c r="U377" s="284"/>
      <c r="V377" s="284"/>
      <c r="W377" s="284"/>
      <c r="X377" s="284"/>
      <c r="Y377" s="284"/>
      <c r="Z377" s="284"/>
    </row>
    <row r="378">
      <c r="E378" s="284"/>
      <c r="F378" s="284"/>
      <c r="G378" s="284"/>
      <c r="H378" s="284"/>
      <c r="I378" s="284"/>
      <c r="J378" s="284"/>
      <c r="K378" s="284"/>
      <c r="L378" s="284"/>
      <c r="M378" s="284"/>
      <c r="N378" s="284"/>
      <c r="O378" s="284"/>
      <c r="S378" s="284"/>
      <c r="T378" s="284"/>
      <c r="U378" s="284"/>
      <c r="V378" s="284"/>
      <c r="W378" s="284"/>
      <c r="X378" s="284"/>
      <c r="Y378" s="284"/>
      <c r="Z378" s="284"/>
    </row>
    <row r="379">
      <c r="E379" s="284"/>
      <c r="F379" s="284"/>
      <c r="G379" s="284"/>
      <c r="H379" s="284"/>
      <c r="I379" s="284"/>
      <c r="J379" s="284"/>
      <c r="K379" s="284"/>
      <c r="L379" s="284"/>
      <c r="M379" s="284"/>
      <c r="N379" s="284"/>
      <c r="O379" s="284"/>
      <c r="S379" s="284"/>
      <c r="T379" s="284"/>
      <c r="U379" s="284"/>
      <c r="V379" s="284"/>
      <c r="W379" s="284"/>
      <c r="X379" s="284"/>
      <c r="Y379" s="284"/>
      <c r="Z379" s="284"/>
    </row>
    <row r="380">
      <c r="E380" s="284"/>
      <c r="F380" s="284"/>
      <c r="G380" s="284"/>
      <c r="H380" s="284"/>
      <c r="I380" s="284"/>
      <c r="J380" s="284"/>
      <c r="K380" s="284"/>
      <c r="L380" s="284"/>
      <c r="M380" s="284"/>
      <c r="N380" s="284"/>
      <c r="O380" s="284"/>
      <c r="S380" s="284"/>
      <c r="T380" s="284"/>
      <c r="U380" s="284"/>
      <c r="V380" s="284"/>
      <c r="W380" s="284"/>
      <c r="X380" s="284"/>
      <c r="Y380" s="284"/>
      <c r="Z380" s="284"/>
    </row>
    <row r="381">
      <c r="E381" s="284"/>
      <c r="F381" s="284"/>
      <c r="G381" s="284"/>
      <c r="H381" s="284"/>
      <c r="I381" s="284"/>
      <c r="J381" s="284"/>
      <c r="K381" s="284"/>
      <c r="L381" s="284"/>
      <c r="M381" s="284"/>
      <c r="N381" s="284"/>
      <c r="O381" s="284"/>
      <c r="S381" s="284"/>
      <c r="T381" s="284"/>
      <c r="U381" s="284"/>
      <c r="V381" s="284"/>
      <c r="W381" s="284"/>
      <c r="X381" s="284"/>
      <c r="Y381" s="284"/>
      <c r="Z381" s="284"/>
    </row>
    <row r="382">
      <c r="E382" s="284"/>
      <c r="F382" s="284"/>
      <c r="G382" s="284"/>
      <c r="H382" s="284"/>
      <c r="I382" s="284"/>
      <c r="J382" s="284"/>
      <c r="K382" s="284"/>
      <c r="L382" s="284"/>
      <c r="M382" s="284"/>
      <c r="N382" s="284"/>
      <c r="O382" s="284"/>
      <c r="S382" s="284"/>
      <c r="T382" s="284"/>
      <c r="U382" s="284"/>
      <c r="V382" s="284"/>
      <c r="W382" s="284"/>
      <c r="X382" s="284"/>
      <c r="Y382" s="284"/>
      <c r="Z382" s="284"/>
    </row>
    <row r="383">
      <c r="E383" s="284"/>
      <c r="F383" s="284"/>
      <c r="G383" s="284"/>
      <c r="H383" s="284"/>
      <c r="I383" s="284"/>
      <c r="J383" s="284"/>
      <c r="K383" s="284"/>
      <c r="L383" s="284"/>
      <c r="M383" s="284"/>
      <c r="N383" s="284"/>
      <c r="O383" s="284"/>
      <c r="S383" s="284"/>
      <c r="T383" s="284"/>
      <c r="U383" s="284"/>
      <c r="V383" s="284"/>
      <c r="W383" s="284"/>
      <c r="X383" s="284"/>
      <c r="Y383" s="284"/>
      <c r="Z383" s="284"/>
    </row>
    <row r="384">
      <c r="E384" s="284"/>
      <c r="F384" s="284"/>
      <c r="G384" s="284"/>
      <c r="H384" s="284"/>
      <c r="I384" s="284"/>
      <c r="J384" s="284"/>
      <c r="K384" s="284"/>
      <c r="L384" s="284"/>
      <c r="M384" s="284"/>
      <c r="N384" s="284"/>
      <c r="O384" s="284"/>
      <c r="S384" s="284"/>
      <c r="T384" s="284"/>
      <c r="U384" s="284"/>
      <c r="V384" s="284"/>
      <c r="W384" s="284"/>
      <c r="X384" s="284"/>
      <c r="Y384" s="284"/>
      <c r="Z384" s="284"/>
    </row>
    <row r="385">
      <c r="E385" s="284"/>
      <c r="F385" s="284"/>
      <c r="G385" s="284"/>
      <c r="H385" s="284"/>
      <c r="I385" s="284"/>
      <c r="J385" s="284"/>
      <c r="K385" s="284"/>
      <c r="L385" s="284"/>
      <c r="M385" s="284"/>
      <c r="N385" s="284"/>
      <c r="O385" s="284"/>
      <c r="S385" s="284"/>
      <c r="T385" s="284"/>
      <c r="U385" s="284"/>
      <c r="V385" s="284"/>
      <c r="W385" s="284"/>
      <c r="X385" s="284"/>
      <c r="Y385" s="284"/>
      <c r="Z385" s="284"/>
    </row>
    <row r="386">
      <c r="E386" s="284"/>
      <c r="F386" s="284"/>
      <c r="G386" s="284"/>
      <c r="H386" s="284"/>
      <c r="I386" s="284"/>
      <c r="J386" s="284"/>
      <c r="K386" s="284"/>
      <c r="L386" s="284"/>
      <c r="M386" s="284"/>
      <c r="N386" s="284"/>
      <c r="O386" s="284"/>
      <c r="S386" s="284"/>
      <c r="T386" s="284"/>
      <c r="U386" s="284"/>
      <c r="V386" s="284"/>
      <c r="W386" s="284"/>
      <c r="X386" s="284"/>
      <c r="Y386" s="284"/>
      <c r="Z386" s="284"/>
    </row>
    <row r="387">
      <c r="E387" s="284"/>
      <c r="F387" s="284"/>
      <c r="G387" s="284"/>
      <c r="H387" s="284"/>
      <c r="I387" s="284"/>
      <c r="J387" s="284"/>
      <c r="K387" s="284"/>
      <c r="L387" s="284"/>
      <c r="M387" s="284"/>
      <c r="N387" s="284"/>
      <c r="O387" s="284"/>
      <c r="S387" s="284"/>
      <c r="T387" s="284"/>
      <c r="U387" s="284"/>
      <c r="V387" s="284"/>
      <c r="W387" s="284"/>
      <c r="X387" s="284"/>
      <c r="Y387" s="284"/>
      <c r="Z387" s="284"/>
    </row>
    <row r="388">
      <c r="E388" s="284"/>
      <c r="F388" s="284"/>
      <c r="G388" s="284"/>
      <c r="H388" s="284"/>
      <c r="I388" s="284"/>
      <c r="J388" s="284"/>
      <c r="K388" s="284"/>
      <c r="L388" s="284"/>
      <c r="M388" s="284"/>
      <c r="N388" s="284"/>
      <c r="O388" s="284"/>
      <c r="S388" s="284"/>
      <c r="T388" s="284"/>
      <c r="U388" s="284"/>
      <c r="V388" s="284"/>
      <c r="W388" s="284"/>
      <c r="X388" s="284"/>
      <c r="Y388" s="284"/>
      <c r="Z388" s="284"/>
    </row>
    <row r="389">
      <c r="E389" s="284"/>
      <c r="F389" s="284"/>
      <c r="G389" s="284"/>
      <c r="H389" s="284"/>
      <c r="I389" s="284"/>
      <c r="J389" s="284"/>
      <c r="K389" s="284"/>
      <c r="L389" s="284"/>
      <c r="M389" s="284"/>
      <c r="N389" s="284"/>
      <c r="O389" s="284"/>
      <c r="S389" s="284"/>
      <c r="T389" s="284"/>
      <c r="U389" s="284"/>
      <c r="V389" s="284"/>
      <c r="W389" s="284"/>
      <c r="X389" s="284"/>
      <c r="Y389" s="284"/>
      <c r="Z389" s="284"/>
    </row>
    <row r="390">
      <c r="E390" s="284"/>
      <c r="F390" s="284"/>
      <c r="G390" s="284"/>
      <c r="H390" s="284"/>
      <c r="I390" s="284"/>
      <c r="J390" s="284"/>
      <c r="K390" s="284"/>
      <c r="L390" s="284"/>
      <c r="M390" s="284"/>
      <c r="N390" s="284"/>
      <c r="O390" s="284"/>
      <c r="S390" s="284"/>
      <c r="T390" s="284"/>
      <c r="U390" s="284"/>
      <c r="V390" s="284"/>
      <c r="W390" s="284"/>
      <c r="X390" s="284"/>
      <c r="Y390" s="284"/>
      <c r="Z390" s="284"/>
    </row>
    <row r="391">
      <c r="E391" s="284"/>
      <c r="F391" s="284"/>
      <c r="G391" s="284"/>
      <c r="H391" s="284"/>
      <c r="I391" s="284"/>
      <c r="J391" s="284"/>
      <c r="K391" s="284"/>
      <c r="L391" s="284"/>
      <c r="M391" s="284"/>
      <c r="N391" s="284"/>
      <c r="O391" s="284"/>
      <c r="S391" s="284"/>
      <c r="T391" s="284"/>
      <c r="U391" s="284"/>
      <c r="V391" s="284"/>
      <c r="W391" s="284"/>
      <c r="X391" s="284"/>
      <c r="Y391" s="284"/>
      <c r="Z391" s="284"/>
    </row>
    <row r="392">
      <c r="E392" s="284"/>
      <c r="F392" s="284"/>
      <c r="G392" s="284"/>
      <c r="H392" s="284"/>
      <c r="I392" s="284"/>
      <c r="J392" s="284"/>
      <c r="K392" s="284"/>
      <c r="L392" s="284"/>
      <c r="M392" s="284"/>
      <c r="N392" s="284"/>
      <c r="O392" s="284"/>
      <c r="S392" s="284"/>
      <c r="T392" s="284"/>
      <c r="U392" s="284"/>
      <c r="V392" s="284"/>
      <c r="W392" s="284"/>
      <c r="X392" s="284"/>
      <c r="Y392" s="284"/>
      <c r="Z392" s="284"/>
    </row>
    <row r="393">
      <c r="E393" s="284"/>
      <c r="F393" s="284"/>
      <c r="G393" s="284"/>
      <c r="H393" s="284"/>
      <c r="I393" s="284"/>
      <c r="J393" s="284"/>
      <c r="K393" s="284"/>
      <c r="L393" s="284"/>
      <c r="M393" s="284"/>
      <c r="N393" s="284"/>
      <c r="O393" s="284"/>
      <c r="S393" s="284"/>
      <c r="T393" s="284"/>
      <c r="U393" s="284"/>
      <c r="V393" s="284"/>
      <c r="W393" s="284"/>
      <c r="X393" s="284"/>
      <c r="Y393" s="284"/>
      <c r="Z393" s="284"/>
    </row>
    <row r="394">
      <c r="E394" s="284"/>
      <c r="F394" s="284"/>
      <c r="G394" s="284"/>
      <c r="H394" s="284"/>
      <c r="I394" s="284"/>
      <c r="J394" s="284"/>
      <c r="K394" s="284"/>
      <c r="L394" s="284"/>
      <c r="M394" s="284"/>
      <c r="N394" s="284"/>
      <c r="O394" s="284"/>
      <c r="S394" s="284"/>
      <c r="T394" s="284"/>
      <c r="U394" s="284"/>
      <c r="V394" s="284"/>
      <c r="W394" s="284"/>
      <c r="X394" s="284"/>
      <c r="Y394" s="284"/>
      <c r="Z394" s="284"/>
    </row>
    <row r="395">
      <c r="E395" s="284"/>
      <c r="F395" s="284"/>
      <c r="G395" s="284"/>
      <c r="H395" s="284"/>
      <c r="I395" s="284"/>
      <c r="J395" s="284"/>
      <c r="K395" s="284"/>
      <c r="L395" s="284"/>
      <c r="M395" s="284"/>
      <c r="N395" s="284"/>
      <c r="O395" s="284"/>
      <c r="S395" s="284"/>
      <c r="T395" s="284"/>
      <c r="U395" s="284"/>
      <c r="V395" s="284"/>
      <c r="W395" s="284"/>
      <c r="X395" s="284"/>
      <c r="Y395" s="284"/>
      <c r="Z395" s="284"/>
    </row>
    <row r="396">
      <c r="E396" s="284"/>
      <c r="F396" s="284"/>
      <c r="G396" s="284"/>
      <c r="H396" s="284"/>
      <c r="I396" s="284"/>
      <c r="J396" s="284"/>
      <c r="K396" s="284"/>
      <c r="L396" s="284"/>
      <c r="M396" s="284"/>
      <c r="N396" s="284"/>
      <c r="O396" s="284"/>
      <c r="S396" s="284"/>
      <c r="T396" s="284"/>
      <c r="U396" s="284"/>
      <c r="V396" s="284"/>
      <c r="W396" s="284"/>
      <c r="X396" s="284"/>
      <c r="Y396" s="284"/>
      <c r="Z396" s="284"/>
    </row>
    <row r="397">
      <c r="E397" s="284"/>
      <c r="F397" s="284"/>
      <c r="G397" s="284"/>
      <c r="H397" s="284"/>
      <c r="I397" s="284"/>
      <c r="J397" s="284"/>
      <c r="K397" s="284"/>
      <c r="L397" s="284"/>
      <c r="M397" s="284"/>
      <c r="N397" s="284"/>
      <c r="O397" s="284"/>
      <c r="S397" s="284"/>
      <c r="T397" s="284"/>
      <c r="U397" s="284"/>
      <c r="V397" s="284"/>
      <c r="W397" s="284"/>
      <c r="X397" s="284"/>
      <c r="Y397" s="284"/>
      <c r="Z397" s="284"/>
    </row>
    <row r="398">
      <c r="E398" s="284"/>
      <c r="F398" s="284"/>
      <c r="G398" s="284"/>
      <c r="H398" s="284"/>
      <c r="I398" s="284"/>
      <c r="J398" s="284"/>
      <c r="K398" s="284"/>
      <c r="L398" s="284"/>
      <c r="M398" s="284"/>
      <c r="N398" s="284"/>
      <c r="O398" s="284"/>
      <c r="S398" s="284"/>
      <c r="T398" s="284"/>
      <c r="U398" s="284"/>
      <c r="V398" s="284"/>
      <c r="W398" s="284"/>
      <c r="X398" s="284"/>
      <c r="Y398" s="284"/>
      <c r="Z398" s="284"/>
    </row>
    <row r="399">
      <c r="E399" s="284"/>
      <c r="F399" s="284"/>
      <c r="G399" s="284"/>
      <c r="H399" s="284"/>
      <c r="I399" s="284"/>
      <c r="J399" s="284"/>
      <c r="K399" s="284"/>
      <c r="L399" s="284"/>
      <c r="M399" s="284"/>
      <c r="N399" s="284"/>
      <c r="O399" s="284"/>
      <c r="S399" s="284"/>
      <c r="T399" s="284"/>
      <c r="U399" s="284"/>
      <c r="V399" s="284"/>
      <c r="W399" s="284"/>
      <c r="X399" s="284"/>
      <c r="Y399" s="284"/>
      <c r="Z399" s="284"/>
    </row>
    <row r="400">
      <c r="E400" s="284"/>
      <c r="F400" s="284"/>
      <c r="G400" s="284"/>
      <c r="H400" s="284"/>
      <c r="I400" s="284"/>
      <c r="J400" s="284"/>
      <c r="K400" s="284"/>
      <c r="L400" s="284"/>
      <c r="M400" s="284"/>
      <c r="N400" s="284"/>
      <c r="O400" s="284"/>
      <c r="S400" s="284"/>
      <c r="T400" s="284"/>
      <c r="U400" s="284"/>
      <c r="V400" s="284"/>
      <c r="W400" s="284"/>
      <c r="X400" s="284"/>
      <c r="Y400" s="284"/>
      <c r="Z400" s="284"/>
    </row>
    <row r="401">
      <c r="E401" s="284"/>
      <c r="F401" s="284"/>
      <c r="G401" s="284"/>
      <c r="H401" s="284"/>
      <c r="I401" s="284"/>
      <c r="J401" s="284"/>
      <c r="K401" s="284"/>
      <c r="L401" s="284"/>
      <c r="M401" s="284"/>
      <c r="N401" s="284"/>
      <c r="O401" s="284"/>
      <c r="S401" s="284"/>
      <c r="T401" s="284"/>
      <c r="U401" s="284"/>
      <c r="V401" s="284"/>
      <c r="W401" s="284"/>
      <c r="X401" s="284"/>
      <c r="Y401" s="284"/>
      <c r="Z401" s="284"/>
    </row>
    <row r="402">
      <c r="E402" s="284"/>
      <c r="F402" s="284"/>
      <c r="G402" s="284"/>
      <c r="H402" s="284"/>
      <c r="I402" s="284"/>
      <c r="J402" s="284"/>
      <c r="K402" s="284"/>
      <c r="L402" s="284"/>
      <c r="M402" s="284"/>
      <c r="N402" s="284"/>
      <c r="O402" s="284"/>
      <c r="S402" s="284"/>
      <c r="T402" s="284"/>
      <c r="U402" s="284"/>
      <c r="V402" s="284"/>
      <c r="W402" s="284"/>
      <c r="X402" s="284"/>
      <c r="Y402" s="284"/>
      <c r="Z402" s="284"/>
    </row>
    <row r="403">
      <c r="E403" s="284"/>
      <c r="F403" s="284"/>
      <c r="G403" s="284"/>
      <c r="H403" s="284"/>
      <c r="I403" s="284"/>
      <c r="J403" s="284"/>
      <c r="K403" s="284"/>
      <c r="L403" s="284"/>
      <c r="M403" s="284"/>
      <c r="N403" s="284"/>
      <c r="O403" s="284"/>
      <c r="S403" s="284"/>
      <c r="T403" s="284"/>
      <c r="U403" s="284"/>
      <c r="V403" s="284"/>
      <c r="W403" s="284"/>
      <c r="X403" s="284"/>
      <c r="Y403" s="284"/>
      <c r="Z403" s="284"/>
    </row>
    <row r="404">
      <c r="E404" s="284"/>
      <c r="F404" s="284"/>
      <c r="G404" s="284"/>
      <c r="H404" s="284"/>
      <c r="I404" s="284"/>
      <c r="J404" s="284"/>
      <c r="K404" s="284"/>
      <c r="L404" s="284"/>
      <c r="M404" s="284"/>
      <c r="N404" s="284"/>
      <c r="O404" s="284"/>
      <c r="S404" s="284"/>
      <c r="T404" s="284"/>
      <c r="U404" s="284"/>
      <c r="V404" s="284"/>
      <c r="W404" s="284"/>
      <c r="X404" s="284"/>
      <c r="Y404" s="284"/>
      <c r="Z404" s="284"/>
    </row>
    <row r="405">
      <c r="E405" s="284"/>
      <c r="F405" s="284"/>
      <c r="G405" s="284"/>
      <c r="H405" s="284"/>
      <c r="I405" s="284"/>
      <c r="J405" s="284"/>
      <c r="K405" s="284"/>
      <c r="L405" s="284"/>
      <c r="M405" s="284"/>
      <c r="N405" s="284"/>
      <c r="O405" s="284"/>
      <c r="S405" s="284"/>
      <c r="T405" s="284"/>
      <c r="U405" s="284"/>
      <c r="V405" s="284"/>
      <c r="W405" s="284"/>
      <c r="X405" s="284"/>
      <c r="Y405" s="284"/>
      <c r="Z405" s="284"/>
    </row>
    <row r="406">
      <c r="E406" s="284"/>
      <c r="F406" s="284"/>
      <c r="G406" s="284"/>
      <c r="H406" s="284"/>
      <c r="I406" s="284"/>
      <c r="J406" s="284"/>
      <c r="K406" s="284"/>
      <c r="L406" s="284"/>
      <c r="M406" s="284"/>
      <c r="N406" s="284"/>
      <c r="O406" s="284"/>
      <c r="S406" s="284"/>
      <c r="T406" s="284"/>
      <c r="U406" s="284"/>
      <c r="V406" s="284"/>
      <c r="W406" s="284"/>
      <c r="X406" s="284"/>
      <c r="Y406" s="284"/>
      <c r="Z406" s="284"/>
    </row>
    <row r="407">
      <c r="E407" s="284"/>
      <c r="F407" s="284"/>
      <c r="G407" s="284"/>
      <c r="H407" s="284"/>
      <c r="I407" s="284"/>
      <c r="J407" s="284"/>
      <c r="K407" s="284"/>
      <c r="L407" s="284"/>
      <c r="M407" s="284"/>
      <c r="N407" s="284"/>
      <c r="O407" s="284"/>
      <c r="S407" s="284"/>
      <c r="T407" s="284"/>
      <c r="U407" s="284"/>
      <c r="V407" s="284"/>
      <c r="W407" s="284"/>
      <c r="X407" s="284"/>
      <c r="Y407" s="284"/>
      <c r="Z407" s="284"/>
    </row>
    <row r="408">
      <c r="E408" s="284"/>
      <c r="F408" s="284"/>
      <c r="G408" s="284"/>
      <c r="H408" s="284"/>
      <c r="I408" s="284"/>
      <c r="J408" s="284"/>
      <c r="K408" s="284"/>
      <c r="L408" s="284"/>
      <c r="M408" s="284"/>
      <c r="N408" s="284"/>
      <c r="O408" s="284"/>
      <c r="S408" s="284"/>
      <c r="T408" s="284"/>
      <c r="U408" s="284"/>
      <c r="V408" s="284"/>
      <c r="W408" s="284"/>
      <c r="X408" s="284"/>
      <c r="Y408" s="284"/>
      <c r="Z408" s="284"/>
    </row>
    <row r="409">
      <c r="E409" s="284"/>
      <c r="F409" s="284"/>
      <c r="G409" s="284"/>
      <c r="H409" s="284"/>
      <c r="I409" s="284"/>
      <c r="J409" s="284"/>
      <c r="K409" s="284"/>
      <c r="L409" s="284"/>
      <c r="M409" s="284"/>
      <c r="N409" s="284"/>
      <c r="O409" s="284"/>
      <c r="S409" s="284"/>
      <c r="T409" s="284"/>
      <c r="U409" s="284"/>
      <c r="V409" s="284"/>
      <c r="W409" s="284"/>
      <c r="X409" s="284"/>
      <c r="Y409" s="284"/>
      <c r="Z409" s="284"/>
    </row>
    <row r="410">
      <c r="E410" s="284"/>
      <c r="F410" s="284"/>
      <c r="G410" s="284"/>
      <c r="H410" s="284"/>
      <c r="I410" s="284"/>
      <c r="J410" s="284"/>
      <c r="K410" s="284"/>
      <c r="L410" s="284"/>
      <c r="M410" s="284"/>
      <c r="N410" s="284"/>
      <c r="O410" s="284"/>
      <c r="S410" s="284"/>
      <c r="T410" s="284"/>
      <c r="U410" s="284"/>
      <c r="V410" s="284"/>
      <c r="W410" s="284"/>
      <c r="X410" s="284"/>
      <c r="Y410" s="284"/>
      <c r="Z410" s="284"/>
    </row>
    <row r="411">
      <c r="E411" s="284"/>
      <c r="F411" s="284"/>
      <c r="G411" s="284"/>
      <c r="H411" s="284"/>
      <c r="I411" s="284"/>
      <c r="J411" s="284"/>
      <c r="K411" s="284"/>
      <c r="L411" s="284"/>
      <c r="M411" s="284"/>
      <c r="N411" s="284"/>
      <c r="O411" s="284"/>
      <c r="S411" s="284"/>
      <c r="T411" s="284"/>
      <c r="U411" s="284"/>
      <c r="V411" s="284"/>
      <c r="W411" s="284"/>
      <c r="X411" s="284"/>
      <c r="Y411" s="284"/>
      <c r="Z411" s="284"/>
    </row>
    <row r="412">
      <c r="E412" s="284"/>
      <c r="F412" s="284"/>
      <c r="G412" s="284"/>
      <c r="H412" s="284"/>
      <c r="I412" s="284"/>
      <c r="J412" s="284"/>
      <c r="K412" s="284"/>
      <c r="L412" s="284"/>
      <c r="M412" s="284"/>
      <c r="N412" s="284"/>
      <c r="O412" s="284"/>
      <c r="S412" s="284"/>
      <c r="T412" s="284"/>
      <c r="U412" s="284"/>
      <c r="V412" s="284"/>
      <c r="W412" s="284"/>
      <c r="X412" s="284"/>
      <c r="Y412" s="284"/>
      <c r="Z412" s="284"/>
    </row>
    <row r="413">
      <c r="E413" s="284"/>
      <c r="F413" s="284"/>
      <c r="G413" s="284"/>
      <c r="H413" s="284"/>
      <c r="I413" s="284"/>
      <c r="J413" s="284"/>
      <c r="K413" s="284"/>
      <c r="L413" s="284"/>
      <c r="M413" s="284"/>
      <c r="N413" s="284"/>
      <c r="O413" s="284"/>
      <c r="S413" s="284"/>
      <c r="T413" s="284"/>
      <c r="U413" s="284"/>
      <c r="V413" s="284"/>
      <c r="W413" s="284"/>
      <c r="X413" s="284"/>
      <c r="Y413" s="284"/>
      <c r="Z413" s="284"/>
    </row>
    <row r="414">
      <c r="E414" s="284"/>
      <c r="F414" s="284"/>
      <c r="G414" s="284"/>
      <c r="H414" s="284"/>
      <c r="I414" s="284"/>
      <c r="J414" s="284"/>
      <c r="K414" s="284"/>
      <c r="L414" s="284"/>
      <c r="M414" s="284"/>
      <c r="N414" s="284"/>
      <c r="O414" s="284"/>
      <c r="S414" s="284"/>
      <c r="T414" s="284"/>
      <c r="U414" s="284"/>
      <c r="V414" s="284"/>
      <c r="W414" s="284"/>
      <c r="X414" s="284"/>
      <c r="Y414" s="284"/>
      <c r="Z414" s="284"/>
    </row>
    <row r="415">
      <c r="E415" s="284"/>
      <c r="F415" s="284"/>
      <c r="G415" s="284"/>
      <c r="H415" s="284"/>
      <c r="I415" s="284"/>
      <c r="J415" s="284"/>
      <c r="K415" s="284"/>
      <c r="L415" s="284"/>
      <c r="M415" s="284"/>
      <c r="N415" s="284"/>
      <c r="O415" s="284"/>
      <c r="S415" s="284"/>
      <c r="T415" s="284"/>
      <c r="U415" s="284"/>
      <c r="V415" s="284"/>
      <c r="W415" s="284"/>
      <c r="X415" s="284"/>
      <c r="Y415" s="284"/>
      <c r="Z415" s="284"/>
    </row>
    <row r="416">
      <c r="E416" s="284"/>
      <c r="F416" s="284"/>
      <c r="G416" s="284"/>
      <c r="H416" s="284"/>
      <c r="I416" s="284"/>
      <c r="J416" s="284"/>
      <c r="K416" s="284"/>
      <c r="L416" s="284"/>
      <c r="M416" s="284"/>
      <c r="N416" s="284"/>
      <c r="O416" s="284"/>
      <c r="S416" s="284"/>
      <c r="T416" s="284"/>
      <c r="U416" s="284"/>
      <c r="V416" s="284"/>
      <c r="W416" s="284"/>
      <c r="X416" s="284"/>
      <c r="Y416" s="284"/>
      <c r="Z416" s="284"/>
    </row>
    <row r="417">
      <c r="E417" s="284"/>
      <c r="F417" s="284"/>
      <c r="G417" s="284"/>
      <c r="H417" s="284"/>
      <c r="I417" s="284"/>
      <c r="J417" s="284"/>
      <c r="K417" s="284"/>
      <c r="L417" s="284"/>
      <c r="M417" s="284"/>
      <c r="N417" s="284"/>
      <c r="O417" s="284"/>
      <c r="S417" s="284"/>
      <c r="T417" s="284"/>
      <c r="U417" s="284"/>
      <c r="V417" s="284"/>
      <c r="W417" s="284"/>
      <c r="X417" s="284"/>
      <c r="Y417" s="284"/>
      <c r="Z417" s="284"/>
    </row>
    <row r="418">
      <c r="E418" s="284"/>
      <c r="F418" s="284"/>
      <c r="G418" s="284"/>
      <c r="H418" s="284"/>
      <c r="I418" s="284"/>
      <c r="J418" s="284"/>
      <c r="K418" s="284"/>
      <c r="L418" s="284"/>
      <c r="M418" s="284"/>
      <c r="N418" s="284"/>
      <c r="O418" s="284"/>
      <c r="S418" s="284"/>
      <c r="T418" s="284"/>
      <c r="U418" s="284"/>
      <c r="V418" s="284"/>
      <c r="W418" s="284"/>
      <c r="X418" s="284"/>
      <c r="Y418" s="284"/>
      <c r="Z418" s="284"/>
    </row>
    <row r="419">
      <c r="E419" s="284"/>
      <c r="F419" s="284"/>
      <c r="G419" s="284"/>
      <c r="H419" s="284"/>
      <c r="I419" s="284"/>
      <c r="J419" s="284"/>
      <c r="K419" s="284"/>
      <c r="L419" s="284"/>
      <c r="M419" s="284"/>
      <c r="N419" s="284"/>
      <c r="O419" s="284"/>
      <c r="S419" s="284"/>
      <c r="T419" s="284"/>
      <c r="U419" s="284"/>
      <c r="V419" s="284"/>
      <c r="W419" s="284"/>
      <c r="X419" s="284"/>
      <c r="Y419" s="284"/>
      <c r="Z419" s="284"/>
    </row>
    <row r="420">
      <c r="E420" s="284"/>
      <c r="F420" s="284"/>
      <c r="G420" s="284"/>
      <c r="H420" s="284"/>
      <c r="I420" s="284"/>
      <c r="J420" s="284"/>
      <c r="K420" s="284"/>
      <c r="L420" s="284"/>
      <c r="M420" s="284"/>
      <c r="N420" s="284"/>
      <c r="O420" s="284"/>
      <c r="S420" s="284"/>
      <c r="T420" s="284"/>
      <c r="U420" s="284"/>
      <c r="V420" s="284"/>
      <c r="W420" s="284"/>
      <c r="X420" s="284"/>
      <c r="Y420" s="284"/>
      <c r="Z420" s="284"/>
    </row>
    <row r="421">
      <c r="E421" s="284"/>
      <c r="F421" s="284"/>
      <c r="G421" s="284"/>
      <c r="H421" s="284"/>
      <c r="I421" s="284"/>
      <c r="J421" s="284"/>
      <c r="K421" s="284"/>
      <c r="L421" s="284"/>
      <c r="M421" s="284"/>
      <c r="N421" s="284"/>
      <c r="O421" s="284"/>
      <c r="S421" s="284"/>
      <c r="T421" s="284"/>
      <c r="U421" s="284"/>
      <c r="V421" s="284"/>
      <c r="W421" s="284"/>
      <c r="X421" s="284"/>
      <c r="Y421" s="284"/>
      <c r="Z421" s="284"/>
    </row>
    <row r="422">
      <c r="E422" s="284"/>
      <c r="F422" s="284"/>
      <c r="G422" s="284"/>
      <c r="H422" s="284"/>
      <c r="I422" s="284"/>
      <c r="J422" s="284"/>
      <c r="K422" s="284"/>
      <c r="L422" s="284"/>
      <c r="M422" s="284"/>
      <c r="N422" s="284"/>
      <c r="O422" s="284"/>
      <c r="S422" s="284"/>
      <c r="T422" s="284"/>
      <c r="U422" s="284"/>
      <c r="V422" s="284"/>
      <c r="W422" s="284"/>
      <c r="X422" s="284"/>
      <c r="Y422" s="284"/>
      <c r="Z422" s="284"/>
    </row>
    <row r="423">
      <c r="E423" s="284"/>
      <c r="F423" s="284"/>
      <c r="G423" s="284"/>
      <c r="H423" s="284"/>
      <c r="I423" s="284"/>
      <c r="J423" s="284"/>
      <c r="K423" s="284"/>
      <c r="L423" s="284"/>
      <c r="M423" s="284"/>
      <c r="N423" s="284"/>
      <c r="O423" s="284"/>
      <c r="S423" s="284"/>
      <c r="T423" s="284"/>
      <c r="U423" s="284"/>
      <c r="V423" s="284"/>
      <c r="W423" s="284"/>
      <c r="X423" s="284"/>
      <c r="Y423" s="284"/>
      <c r="Z423" s="284"/>
    </row>
    <row r="424">
      <c r="E424" s="284"/>
      <c r="F424" s="284"/>
      <c r="G424" s="284"/>
      <c r="H424" s="284"/>
      <c r="I424" s="284"/>
      <c r="J424" s="284"/>
      <c r="K424" s="284"/>
      <c r="L424" s="284"/>
      <c r="M424" s="284"/>
      <c r="N424" s="284"/>
      <c r="O424" s="284"/>
      <c r="S424" s="284"/>
      <c r="T424" s="284"/>
      <c r="U424" s="284"/>
      <c r="V424" s="284"/>
      <c r="W424" s="284"/>
      <c r="X424" s="284"/>
      <c r="Y424" s="284"/>
      <c r="Z424" s="284"/>
    </row>
    <row r="425">
      <c r="E425" s="284"/>
      <c r="F425" s="284"/>
      <c r="G425" s="284"/>
      <c r="H425" s="284"/>
      <c r="I425" s="284"/>
      <c r="J425" s="284"/>
      <c r="K425" s="284"/>
      <c r="L425" s="284"/>
      <c r="M425" s="284"/>
      <c r="N425" s="284"/>
      <c r="O425" s="284"/>
      <c r="S425" s="284"/>
      <c r="T425" s="284"/>
      <c r="U425" s="284"/>
      <c r="V425" s="284"/>
      <c r="W425" s="284"/>
      <c r="X425" s="284"/>
      <c r="Y425" s="284"/>
      <c r="Z425" s="284"/>
    </row>
    <row r="426">
      <c r="E426" s="284"/>
      <c r="F426" s="284"/>
      <c r="G426" s="284"/>
      <c r="H426" s="284"/>
      <c r="I426" s="284"/>
      <c r="J426" s="284"/>
      <c r="K426" s="284"/>
      <c r="L426" s="284"/>
      <c r="M426" s="284"/>
      <c r="N426" s="284"/>
      <c r="O426" s="284"/>
      <c r="S426" s="284"/>
      <c r="T426" s="284"/>
      <c r="U426" s="284"/>
      <c r="V426" s="284"/>
      <c r="W426" s="284"/>
      <c r="X426" s="284"/>
      <c r="Y426" s="284"/>
      <c r="Z426" s="284"/>
    </row>
    <row r="427">
      <c r="E427" s="284"/>
      <c r="F427" s="284"/>
      <c r="G427" s="284"/>
      <c r="H427" s="284"/>
      <c r="I427" s="284"/>
      <c r="J427" s="284"/>
      <c r="K427" s="284"/>
      <c r="L427" s="284"/>
      <c r="M427" s="284"/>
      <c r="N427" s="284"/>
      <c r="O427" s="284"/>
      <c r="S427" s="284"/>
      <c r="T427" s="284"/>
      <c r="U427" s="284"/>
      <c r="V427" s="284"/>
      <c r="W427" s="284"/>
      <c r="X427" s="284"/>
      <c r="Y427" s="284"/>
      <c r="Z427" s="284"/>
    </row>
    <row r="428">
      <c r="E428" s="284"/>
      <c r="F428" s="284"/>
      <c r="G428" s="284"/>
      <c r="H428" s="284"/>
      <c r="I428" s="284"/>
      <c r="J428" s="284"/>
      <c r="K428" s="284"/>
      <c r="L428" s="284"/>
      <c r="M428" s="284"/>
      <c r="N428" s="284"/>
      <c r="O428" s="284"/>
      <c r="S428" s="284"/>
      <c r="T428" s="284"/>
      <c r="U428" s="284"/>
      <c r="V428" s="284"/>
      <c r="W428" s="284"/>
      <c r="X428" s="284"/>
      <c r="Y428" s="284"/>
      <c r="Z428" s="284"/>
    </row>
    <row r="429">
      <c r="E429" s="284"/>
      <c r="F429" s="284"/>
      <c r="G429" s="284"/>
      <c r="H429" s="284"/>
      <c r="I429" s="284"/>
      <c r="J429" s="284"/>
      <c r="K429" s="284"/>
      <c r="L429" s="284"/>
      <c r="M429" s="284"/>
      <c r="N429" s="284"/>
      <c r="O429" s="284"/>
      <c r="S429" s="284"/>
      <c r="T429" s="284"/>
      <c r="U429" s="284"/>
      <c r="V429" s="284"/>
      <c r="W429" s="284"/>
      <c r="X429" s="284"/>
      <c r="Y429" s="284"/>
      <c r="Z429" s="284"/>
    </row>
    <row r="430">
      <c r="E430" s="284"/>
      <c r="F430" s="284"/>
      <c r="G430" s="284"/>
      <c r="H430" s="284"/>
      <c r="I430" s="284"/>
      <c r="J430" s="284"/>
      <c r="K430" s="284"/>
      <c r="L430" s="284"/>
      <c r="M430" s="284"/>
      <c r="N430" s="284"/>
      <c r="O430" s="284"/>
      <c r="S430" s="284"/>
      <c r="T430" s="284"/>
      <c r="U430" s="284"/>
      <c r="V430" s="284"/>
      <c r="W430" s="284"/>
      <c r="X430" s="284"/>
      <c r="Y430" s="284"/>
      <c r="Z430" s="284"/>
    </row>
    <row r="431">
      <c r="E431" s="284"/>
      <c r="F431" s="284"/>
      <c r="G431" s="284"/>
      <c r="H431" s="284"/>
      <c r="I431" s="284"/>
      <c r="J431" s="284"/>
      <c r="K431" s="284"/>
      <c r="L431" s="284"/>
      <c r="M431" s="284"/>
      <c r="N431" s="284"/>
      <c r="O431" s="284"/>
      <c r="S431" s="284"/>
      <c r="T431" s="284"/>
      <c r="U431" s="284"/>
      <c r="V431" s="284"/>
      <c r="W431" s="284"/>
      <c r="X431" s="284"/>
      <c r="Y431" s="284"/>
      <c r="Z431" s="284"/>
    </row>
    <row r="432">
      <c r="E432" s="284"/>
      <c r="F432" s="284"/>
      <c r="G432" s="284"/>
      <c r="H432" s="284"/>
      <c r="I432" s="284"/>
      <c r="J432" s="284"/>
      <c r="K432" s="284"/>
      <c r="L432" s="284"/>
      <c r="M432" s="284"/>
      <c r="N432" s="284"/>
      <c r="O432" s="284"/>
      <c r="S432" s="284"/>
      <c r="T432" s="284"/>
      <c r="U432" s="284"/>
      <c r="V432" s="284"/>
      <c r="W432" s="284"/>
      <c r="X432" s="284"/>
      <c r="Y432" s="284"/>
      <c r="Z432" s="284"/>
    </row>
    <row r="433">
      <c r="E433" s="284"/>
      <c r="F433" s="284"/>
      <c r="G433" s="284"/>
      <c r="H433" s="284"/>
      <c r="I433" s="284"/>
      <c r="J433" s="284"/>
      <c r="K433" s="284"/>
      <c r="L433" s="284"/>
      <c r="M433" s="284"/>
      <c r="N433" s="284"/>
      <c r="O433" s="284"/>
      <c r="S433" s="284"/>
      <c r="T433" s="284"/>
      <c r="U433" s="284"/>
      <c r="V433" s="284"/>
      <c r="W433" s="284"/>
      <c r="X433" s="284"/>
      <c r="Y433" s="284"/>
      <c r="Z433" s="284"/>
    </row>
    <row r="434">
      <c r="E434" s="284"/>
      <c r="F434" s="284"/>
      <c r="G434" s="284"/>
      <c r="H434" s="284"/>
      <c r="I434" s="284"/>
      <c r="J434" s="284"/>
      <c r="K434" s="284"/>
      <c r="L434" s="284"/>
      <c r="M434" s="284"/>
      <c r="N434" s="284"/>
      <c r="O434" s="284"/>
      <c r="S434" s="284"/>
      <c r="T434" s="284"/>
      <c r="U434" s="284"/>
      <c r="V434" s="284"/>
      <c r="W434" s="284"/>
      <c r="X434" s="284"/>
      <c r="Y434" s="284"/>
      <c r="Z434" s="284"/>
    </row>
    <row r="435">
      <c r="E435" s="284"/>
      <c r="F435" s="284"/>
      <c r="G435" s="284"/>
      <c r="H435" s="284"/>
      <c r="I435" s="284"/>
      <c r="J435" s="284"/>
      <c r="K435" s="284"/>
      <c r="L435" s="284"/>
      <c r="M435" s="284"/>
      <c r="N435" s="284"/>
      <c r="O435" s="284"/>
      <c r="S435" s="284"/>
      <c r="T435" s="284"/>
      <c r="U435" s="284"/>
      <c r="V435" s="284"/>
      <c r="W435" s="284"/>
      <c r="X435" s="284"/>
      <c r="Y435" s="284"/>
      <c r="Z435" s="284"/>
    </row>
    <row r="436">
      <c r="E436" s="284"/>
      <c r="F436" s="284"/>
      <c r="G436" s="284"/>
      <c r="H436" s="284"/>
      <c r="I436" s="284"/>
      <c r="J436" s="284"/>
      <c r="K436" s="284"/>
      <c r="L436" s="284"/>
      <c r="M436" s="284"/>
      <c r="N436" s="284"/>
      <c r="O436" s="284"/>
      <c r="S436" s="284"/>
      <c r="T436" s="284"/>
      <c r="U436" s="284"/>
      <c r="V436" s="284"/>
      <c r="W436" s="284"/>
      <c r="X436" s="284"/>
      <c r="Y436" s="284"/>
      <c r="Z436" s="284"/>
    </row>
    <row r="437">
      <c r="E437" s="284"/>
      <c r="F437" s="284"/>
      <c r="G437" s="284"/>
      <c r="H437" s="284"/>
      <c r="I437" s="284"/>
      <c r="J437" s="284"/>
      <c r="K437" s="284"/>
      <c r="L437" s="284"/>
      <c r="M437" s="284"/>
      <c r="N437" s="284"/>
      <c r="O437" s="284"/>
      <c r="S437" s="284"/>
      <c r="T437" s="284"/>
      <c r="U437" s="284"/>
      <c r="V437" s="284"/>
      <c r="W437" s="284"/>
      <c r="X437" s="284"/>
      <c r="Y437" s="284"/>
      <c r="Z437" s="284"/>
    </row>
    <row r="438">
      <c r="E438" s="284"/>
      <c r="F438" s="284"/>
      <c r="G438" s="284"/>
      <c r="H438" s="284"/>
      <c r="I438" s="284"/>
      <c r="J438" s="284"/>
      <c r="K438" s="284"/>
      <c r="L438" s="284"/>
      <c r="M438" s="284"/>
      <c r="N438" s="284"/>
      <c r="O438" s="284"/>
      <c r="S438" s="284"/>
      <c r="T438" s="284"/>
      <c r="U438" s="284"/>
      <c r="V438" s="284"/>
      <c r="W438" s="284"/>
      <c r="X438" s="284"/>
      <c r="Y438" s="284"/>
      <c r="Z438" s="284"/>
    </row>
    <row r="439">
      <c r="E439" s="284"/>
      <c r="F439" s="284"/>
      <c r="G439" s="284"/>
      <c r="H439" s="284"/>
      <c r="I439" s="284"/>
      <c r="J439" s="284"/>
      <c r="K439" s="284"/>
      <c r="L439" s="284"/>
      <c r="M439" s="284"/>
      <c r="N439" s="284"/>
      <c r="O439" s="284"/>
      <c r="S439" s="284"/>
      <c r="T439" s="284"/>
      <c r="U439" s="284"/>
      <c r="V439" s="284"/>
      <c r="W439" s="284"/>
      <c r="X439" s="284"/>
      <c r="Y439" s="284"/>
      <c r="Z439" s="284"/>
    </row>
    <row r="440">
      <c r="E440" s="284"/>
      <c r="F440" s="284"/>
      <c r="G440" s="284"/>
      <c r="H440" s="284"/>
      <c r="I440" s="284"/>
      <c r="J440" s="284"/>
      <c r="K440" s="284"/>
      <c r="L440" s="284"/>
      <c r="M440" s="284"/>
      <c r="N440" s="284"/>
      <c r="O440" s="284"/>
      <c r="S440" s="284"/>
      <c r="T440" s="284"/>
      <c r="U440" s="284"/>
      <c r="V440" s="284"/>
      <c r="W440" s="284"/>
      <c r="X440" s="284"/>
      <c r="Y440" s="284"/>
      <c r="Z440" s="284"/>
    </row>
    <row r="441">
      <c r="E441" s="284"/>
      <c r="F441" s="284"/>
      <c r="G441" s="284"/>
      <c r="H441" s="284"/>
      <c r="I441" s="284"/>
      <c r="J441" s="284"/>
      <c r="K441" s="284"/>
      <c r="L441" s="284"/>
      <c r="M441" s="284"/>
      <c r="N441" s="284"/>
      <c r="O441" s="284"/>
      <c r="S441" s="284"/>
      <c r="T441" s="284"/>
      <c r="U441" s="284"/>
      <c r="V441" s="284"/>
      <c r="W441" s="284"/>
      <c r="X441" s="284"/>
      <c r="Y441" s="284"/>
      <c r="Z441" s="284"/>
    </row>
    <row r="442">
      <c r="E442" s="284"/>
      <c r="F442" s="284"/>
      <c r="G442" s="284"/>
      <c r="H442" s="284"/>
      <c r="I442" s="284"/>
      <c r="J442" s="284"/>
      <c r="K442" s="284"/>
      <c r="L442" s="284"/>
      <c r="M442" s="284"/>
      <c r="N442" s="284"/>
      <c r="O442" s="284"/>
      <c r="S442" s="284"/>
      <c r="T442" s="284"/>
      <c r="U442" s="284"/>
      <c r="V442" s="284"/>
      <c r="W442" s="284"/>
      <c r="X442" s="284"/>
      <c r="Y442" s="284"/>
      <c r="Z442" s="284"/>
    </row>
    <row r="443">
      <c r="E443" s="284"/>
      <c r="F443" s="284"/>
      <c r="G443" s="284"/>
      <c r="H443" s="284"/>
      <c r="I443" s="284"/>
      <c r="J443" s="284"/>
      <c r="K443" s="284"/>
      <c r="L443" s="284"/>
      <c r="M443" s="284"/>
      <c r="N443" s="284"/>
      <c r="O443" s="284"/>
      <c r="S443" s="284"/>
      <c r="T443" s="284"/>
      <c r="U443" s="284"/>
      <c r="V443" s="284"/>
      <c r="W443" s="284"/>
      <c r="X443" s="284"/>
      <c r="Y443" s="284"/>
      <c r="Z443" s="284"/>
    </row>
    <row r="444">
      <c r="E444" s="284"/>
      <c r="F444" s="284"/>
      <c r="G444" s="284"/>
      <c r="H444" s="284"/>
      <c r="I444" s="284"/>
      <c r="J444" s="284"/>
      <c r="K444" s="284"/>
      <c r="L444" s="284"/>
      <c r="M444" s="284"/>
      <c r="N444" s="284"/>
      <c r="O444" s="284"/>
      <c r="S444" s="284"/>
      <c r="T444" s="284"/>
      <c r="U444" s="284"/>
      <c r="V444" s="284"/>
      <c r="W444" s="284"/>
      <c r="X444" s="284"/>
      <c r="Y444" s="284"/>
      <c r="Z444" s="284"/>
    </row>
    <row r="445">
      <c r="E445" s="284"/>
      <c r="F445" s="284"/>
      <c r="G445" s="284"/>
      <c r="H445" s="284"/>
      <c r="I445" s="284"/>
      <c r="J445" s="284"/>
      <c r="K445" s="284"/>
      <c r="L445" s="284"/>
      <c r="M445" s="284"/>
      <c r="N445" s="284"/>
      <c r="O445" s="284"/>
      <c r="S445" s="284"/>
      <c r="T445" s="284"/>
      <c r="U445" s="284"/>
      <c r="V445" s="284"/>
      <c r="W445" s="284"/>
      <c r="X445" s="284"/>
      <c r="Y445" s="284"/>
      <c r="Z445" s="284"/>
    </row>
    <row r="446">
      <c r="E446" s="284"/>
      <c r="F446" s="284"/>
      <c r="G446" s="284"/>
      <c r="H446" s="284"/>
      <c r="I446" s="284"/>
      <c r="J446" s="284"/>
      <c r="K446" s="284"/>
      <c r="L446" s="284"/>
      <c r="M446" s="284"/>
      <c r="N446" s="284"/>
      <c r="O446" s="284"/>
      <c r="S446" s="284"/>
      <c r="T446" s="284"/>
      <c r="U446" s="284"/>
      <c r="V446" s="284"/>
      <c r="W446" s="284"/>
      <c r="X446" s="284"/>
      <c r="Y446" s="284"/>
      <c r="Z446" s="284"/>
    </row>
    <row r="447">
      <c r="E447" s="284"/>
      <c r="F447" s="284"/>
      <c r="G447" s="284"/>
      <c r="H447" s="284"/>
      <c r="I447" s="284"/>
      <c r="J447" s="284"/>
      <c r="K447" s="284"/>
      <c r="L447" s="284"/>
      <c r="M447" s="284"/>
      <c r="N447" s="284"/>
      <c r="O447" s="284"/>
      <c r="S447" s="284"/>
      <c r="T447" s="284"/>
      <c r="U447" s="284"/>
      <c r="V447" s="284"/>
      <c r="W447" s="284"/>
      <c r="X447" s="284"/>
      <c r="Y447" s="284"/>
      <c r="Z447" s="284"/>
    </row>
    <row r="448">
      <c r="E448" s="284"/>
      <c r="F448" s="284"/>
      <c r="G448" s="284"/>
      <c r="H448" s="284"/>
      <c r="I448" s="284"/>
      <c r="J448" s="284"/>
      <c r="K448" s="284"/>
      <c r="L448" s="284"/>
      <c r="M448" s="284"/>
      <c r="N448" s="284"/>
      <c r="O448" s="284"/>
      <c r="S448" s="284"/>
      <c r="T448" s="284"/>
      <c r="U448" s="284"/>
      <c r="V448" s="284"/>
      <c r="W448" s="284"/>
      <c r="X448" s="284"/>
      <c r="Y448" s="284"/>
      <c r="Z448" s="284"/>
    </row>
    <row r="449">
      <c r="E449" s="284"/>
      <c r="F449" s="284"/>
      <c r="G449" s="284"/>
      <c r="H449" s="284"/>
      <c r="I449" s="284"/>
      <c r="J449" s="284"/>
      <c r="K449" s="284"/>
      <c r="L449" s="284"/>
      <c r="M449" s="284"/>
      <c r="N449" s="284"/>
      <c r="O449" s="284"/>
      <c r="S449" s="284"/>
      <c r="T449" s="284"/>
      <c r="U449" s="284"/>
      <c r="V449" s="284"/>
      <c r="W449" s="284"/>
      <c r="X449" s="284"/>
      <c r="Y449" s="284"/>
      <c r="Z449" s="284"/>
    </row>
    <row r="450">
      <c r="E450" s="284"/>
      <c r="F450" s="284"/>
      <c r="G450" s="284"/>
      <c r="H450" s="284"/>
      <c r="I450" s="284"/>
      <c r="J450" s="284"/>
      <c r="K450" s="284"/>
      <c r="L450" s="284"/>
      <c r="M450" s="284"/>
      <c r="N450" s="284"/>
      <c r="O450" s="284"/>
      <c r="S450" s="284"/>
      <c r="T450" s="284"/>
      <c r="U450" s="284"/>
      <c r="V450" s="284"/>
      <c r="W450" s="284"/>
      <c r="X450" s="284"/>
      <c r="Y450" s="284"/>
      <c r="Z450" s="284"/>
    </row>
    <row r="451">
      <c r="E451" s="284"/>
      <c r="F451" s="284"/>
      <c r="G451" s="284"/>
      <c r="H451" s="284"/>
      <c r="I451" s="284"/>
      <c r="J451" s="284"/>
      <c r="K451" s="284"/>
      <c r="L451" s="284"/>
      <c r="M451" s="284"/>
      <c r="N451" s="284"/>
      <c r="O451" s="284"/>
      <c r="S451" s="284"/>
      <c r="T451" s="284"/>
      <c r="U451" s="284"/>
      <c r="V451" s="284"/>
      <c r="W451" s="284"/>
      <c r="X451" s="284"/>
      <c r="Y451" s="284"/>
      <c r="Z451" s="284"/>
    </row>
    <row r="452">
      <c r="E452" s="284"/>
      <c r="F452" s="284"/>
      <c r="G452" s="284"/>
      <c r="H452" s="284"/>
      <c r="I452" s="284"/>
      <c r="J452" s="284"/>
      <c r="K452" s="284"/>
      <c r="L452" s="284"/>
      <c r="M452" s="284"/>
      <c r="N452" s="284"/>
      <c r="O452" s="284"/>
      <c r="S452" s="284"/>
      <c r="T452" s="284"/>
      <c r="U452" s="284"/>
      <c r="V452" s="284"/>
      <c r="W452" s="284"/>
      <c r="X452" s="284"/>
      <c r="Y452" s="284"/>
      <c r="Z452" s="284"/>
    </row>
    <row r="453">
      <c r="E453" s="284"/>
      <c r="F453" s="284"/>
      <c r="G453" s="284"/>
      <c r="H453" s="284"/>
      <c r="I453" s="284"/>
      <c r="J453" s="284"/>
      <c r="K453" s="284"/>
      <c r="L453" s="284"/>
      <c r="M453" s="284"/>
      <c r="N453" s="284"/>
      <c r="O453" s="284"/>
      <c r="S453" s="284"/>
      <c r="T453" s="284"/>
      <c r="U453" s="284"/>
      <c r="V453" s="284"/>
      <c r="W453" s="284"/>
      <c r="X453" s="284"/>
      <c r="Y453" s="284"/>
      <c r="Z453" s="284"/>
    </row>
    <row r="454">
      <c r="E454" s="284"/>
      <c r="F454" s="284"/>
      <c r="G454" s="284"/>
      <c r="H454" s="284"/>
      <c r="I454" s="284"/>
      <c r="J454" s="284"/>
      <c r="K454" s="284"/>
      <c r="L454" s="284"/>
      <c r="M454" s="284"/>
      <c r="N454" s="284"/>
      <c r="O454" s="284"/>
      <c r="S454" s="284"/>
      <c r="T454" s="284"/>
      <c r="U454" s="284"/>
      <c r="V454" s="284"/>
      <c r="W454" s="284"/>
      <c r="X454" s="284"/>
      <c r="Y454" s="284"/>
      <c r="Z454" s="284"/>
    </row>
    <row r="455">
      <c r="E455" s="284"/>
      <c r="F455" s="284"/>
      <c r="G455" s="284"/>
      <c r="H455" s="284"/>
      <c r="I455" s="284"/>
      <c r="J455" s="284"/>
      <c r="K455" s="284"/>
      <c r="L455" s="284"/>
      <c r="M455" s="284"/>
      <c r="N455" s="284"/>
      <c r="O455" s="284"/>
      <c r="S455" s="284"/>
      <c r="T455" s="284"/>
      <c r="U455" s="284"/>
      <c r="V455" s="284"/>
      <c r="W455" s="284"/>
      <c r="X455" s="284"/>
      <c r="Y455" s="284"/>
      <c r="Z455" s="284"/>
    </row>
    <row r="456">
      <c r="E456" s="284"/>
      <c r="F456" s="284"/>
      <c r="G456" s="284"/>
      <c r="H456" s="284"/>
      <c r="I456" s="284"/>
      <c r="J456" s="284"/>
      <c r="K456" s="284"/>
      <c r="L456" s="284"/>
      <c r="M456" s="284"/>
      <c r="N456" s="284"/>
      <c r="O456" s="284"/>
      <c r="S456" s="284"/>
      <c r="T456" s="284"/>
      <c r="U456" s="284"/>
      <c r="V456" s="284"/>
      <c r="W456" s="284"/>
      <c r="X456" s="284"/>
      <c r="Y456" s="284"/>
      <c r="Z456" s="284"/>
    </row>
    <row r="457">
      <c r="E457" s="284"/>
      <c r="F457" s="284"/>
      <c r="G457" s="284"/>
      <c r="H457" s="284"/>
      <c r="I457" s="284"/>
      <c r="J457" s="284"/>
      <c r="K457" s="284"/>
      <c r="L457" s="284"/>
      <c r="M457" s="284"/>
      <c r="N457" s="284"/>
      <c r="O457" s="284"/>
      <c r="S457" s="284"/>
      <c r="T457" s="284"/>
      <c r="U457" s="284"/>
      <c r="V457" s="284"/>
      <c r="W457" s="284"/>
      <c r="X457" s="284"/>
      <c r="Y457" s="284"/>
      <c r="Z457" s="284"/>
    </row>
    <row r="458">
      <c r="E458" s="284"/>
      <c r="F458" s="284"/>
      <c r="G458" s="284"/>
      <c r="H458" s="284"/>
      <c r="I458" s="284"/>
      <c r="J458" s="284"/>
      <c r="K458" s="284"/>
      <c r="L458" s="284"/>
      <c r="M458" s="284"/>
      <c r="N458" s="284"/>
      <c r="O458" s="284"/>
      <c r="S458" s="284"/>
      <c r="T458" s="284"/>
      <c r="U458" s="284"/>
      <c r="V458" s="284"/>
      <c r="W458" s="284"/>
      <c r="X458" s="284"/>
      <c r="Y458" s="284"/>
      <c r="Z458" s="284"/>
    </row>
    <row r="459">
      <c r="E459" s="284"/>
      <c r="F459" s="284"/>
      <c r="G459" s="284"/>
      <c r="H459" s="284"/>
      <c r="I459" s="284"/>
      <c r="J459" s="284"/>
      <c r="K459" s="284"/>
      <c r="L459" s="284"/>
      <c r="M459" s="284"/>
      <c r="N459" s="284"/>
      <c r="O459" s="284"/>
      <c r="S459" s="284"/>
      <c r="T459" s="284"/>
      <c r="U459" s="284"/>
      <c r="V459" s="284"/>
      <c r="W459" s="284"/>
      <c r="X459" s="284"/>
      <c r="Y459" s="284"/>
      <c r="Z459" s="284"/>
    </row>
    <row r="460">
      <c r="E460" s="284"/>
      <c r="F460" s="284"/>
      <c r="G460" s="284"/>
      <c r="H460" s="284"/>
      <c r="I460" s="284"/>
      <c r="J460" s="284"/>
      <c r="K460" s="284"/>
      <c r="L460" s="284"/>
      <c r="M460" s="284"/>
      <c r="N460" s="284"/>
      <c r="O460" s="284"/>
      <c r="S460" s="284"/>
      <c r="T460" s="284"/>
      <c r="U460" s="284"/>
      <c r="V460" s="284"/>
      <c r="W460" s="284"/>
      <c r="X460" s="284"/>
      <c r="Y460" s="284"/>
      <c r="Z460" s="284"/>
    </row>
    <row r="461">
      <c r="E461" s="284"/>
      <c r="F461" s="284"/>
      <c r="G461" s="284"/>
      <c r="H461" s="284"/>
      <c r="I461" s="284"/>
      <c r="J461" s="284"/>
      <c r="K461" s="284"/>
      <c r="L461" s="284"/>
      <c r="M461" s="284"/>
      <c r="N461" s="284"/>
      <c r="O461" s="284"/>
      <c r="S461" s="284"/>
      <c r="T461" s="284"/>
      <c r="U461" s="284"/>
      <c r="V461" s="284"/>
      <c r="W461" s="284"/>
      <c r="X461" s="284"/>
      <c r="Y461" s="284"/>
      <c r="Z461" s="284"/>
    </row>
    <row r="462">
      <c r="E462" s="284"/>
      <c r="F462" s="284"/>
      <c r="G462" s="284"/>
      <c r="H462" s="284"/>
      <c r="I462" s="284"/>
      <c r="J462" s="284"/>
      <c r="K462" s="284"/>
      <c r="L462" s="284"/>
      <c r="M462" s="284"/>
      <c r="N462" s="284"/>
      <c r="O462" s="284"/>
      <c r="S462" s="284"/>
      <c r="T462" s="284"/>
      <c r="U462" s="284"/>
      <c r="V462" s="284"/>
      <c r="W462" s="284"/>
      <c r="X462" s="284"/>
      <c r="Y462" s="284"/>
      <c r="Z462" s="284"/>
    </row>
    <row r="463">
      <c r="E463" s="284"/>
      <c r="F463" s="284"/>
      <c r="G463" s="284"/>
      <c r="H463" s="284"/>
      <c r="I463" s="284"/>
      <c r="J463" s="284"/>
      <c r="K463" s="284"/>
      <c r="L463" s="284"/>
      <c r="M463" s="284"/>
      <c r="N463" s="284"/>
      <c r="O463" s="284"/>
      <c r="S463" s="284"/>
      <c r="T463" s="284"/>
      <c r="U463" s="284"/>
      <c r="V463" s="284"/>
      <c r="W463" s="284"/>
      <c r="X463" s="284"/>
      <c r="Y463" s="284"/>
      <c r="Z463" s="284"/>
    </row>
    <row r="464">
      <c r="E464" s="284"/>
      <c r="F464" s="284"/>
      <c r="G464" s="284"/>
      <c r="H464" s="284"/>
      <c r="I464" s="284"/>
      <c r="J464" s="284"/>
      <c r="K464" s="284"/>
      <c r="L464" s="284"/>
      <c r="M464" s="284"/>
      <c r="N464" s="284"/>
      <c r="O464" s="284"/>
      <c r="S464" s="284"/>
      <c r="T464" s="284"/>
      <c r="U464" s="284"/>
      <c r="V464" s="284"/>
      <c r="W464" s="284"/>
      <c r="X464" s="284"/>
      <c r="Y464" s="284"/>
      <c r="Z464" s="284"/>
    </row>
    <row r="465">
      <c r="E465" s="284"/>
      <c r="F465" s="284"/>
      <c r="G465" s="284"/>
      <c r="H465" s="284"/>
      <c r="I465" s="284"/>
      <c r="J465" s="284"/>
      <c r="K465" s="284"/>
      <c r="L465" s="284"/>
      <c r="M465" s="284"/>
      <c r="N465" s="284"/>
      <c r="O465" s="284"/>
      <c r="S465" s="284"/>
      <c r="T465" s="284"/>
      <c r="U465" s="284"/>
      <c r="V465" s="284"/>
      <c r="W465" s="284"/>
      <c r="X465" s="284"/>
      <c r="Y465" s="284"/>
      <c r="Z465" s="284"/>
    </row>
    <row r="466">
      <c r="E466" s="284"/>
      <c r="F466" s="284"/>
      <c r="G466" s="284"/>
      <c r="H466" s="284"/>
      <c r="I466" s="284"/>
      <c r="J466" s="284"/>
      <c r="K466" s="284"/>
      <c r="L466" s="284"/>
      <c r="M466" s="284"/>
      <c r="N466" s="284"/>
      <c r="O466" s="284"/>
      <c r="S466" s="284"/>
      <c r="T466" s="284"/>
      <c r="U466" s="284"/>
      <c r="V466" s="284"/>
      <c r="W466" s="284"/>
      <c r="X466" s="284"/>
      <c r="Y466" s="284"/>
      <c r="Z466" s="284"/>
    </row>
    <row r="467">
      <c r="E467" s="284"/>
      <c r="F467" s="284"/>
      <c r="G467" s="284"/>
      <c r="H467" s="284"/>
      <c r="I467" s="284"/>
      <c r="J467" s="284"/>
      <c r="K467" s="284"/>
      <c r="L467" s="284"/>
      <c r="M467" s="284"/>
      <c r="N467" s="284"/>
      <c r="O467" s="284"/>
      <c r="S467" s="284"/>
      <c r="T467" s="284"/>
      <c r="U467" s="284"/>
      <c r="V467" s="284"/>
      <c r="W467" s="284"/>
      <c r="X467" s="284"/>
      <c r="Y467" s="284"/>
      <c r="Z467" s="284"/>
    </row>
    <row r="468">
      <c r="E468" s="284"/>
      <c r="F468" s="284"/>
      <c r="G468" s="284"/>
      <c r="H468" s="284"/>
      <c r="I468" s="284"/>
      <c r="J468" s="284"/>
      <c r="K468" s="284"/>
      <c r="L468" s="284"/>
      <c r="M468" s="284"/>
      <c r="N468" s="284"/>
      <c r="O468" s="284"/>
      <c r="S468" s="284"/>
      <c r="T468" s="284"/>
      <c r="U468" s="284"/>
      <c r="V468" s="284"/>
      <c r="W468" s="284"/>
      <c r="X468" s="284"/>
      <c r="Y468" s="284"/>
      <c r="Z468" s="284"/>
    </row>
    <row r="469">
      <c r="E469" s="284"/>
      <c r="F469" s="284"/>
      <c r="G469" s="284"/>
      <c r="H469" s="284"/>
      <c r="I469" s="284"/>
      <c r="J469" s="284"/>
      <c r="K469" s="284"/>
      <c r="L469" s="284"/>
      <c r="M469" s="284"/>
      <c r="N469" s="284"/>
      <c r="O469" s="284"/>
      <c r="S469" s="284"/>
      <c r="T469" s="284"/>
      <c r="U469" s="284"/>
      <c r="V469" s="284"/>
      <c r="W469" s="284"/>
      <c r="X469" s="284"/>
      <c r="Y469" s="284"/>
      <c r="Z469" s="284"/>
    </row>
    <row r="470">
      <c r="E470" s="284"/>
      <c r="F470" s="284"/>
      <c r="G470" s="284"/>
      <c r="H470" s="284"/>
      <c r="I470" s="284"/>
      <c r="J470" s="284"/>
      <c r="K470" s="284"/>
      <c r="L470" s="284"/>
      <c r="M470" s="284"/>
      <c r="N470" s="284"/>
      <c r="O470" s="284"/>
      <c r="S470" s="284"/>
      <c r="T470" s="284"/>
      <c r="U470" s="284"/>
      <c r="V470" s="284"/>
      <c r="W470" s="284"/>
      <c r="X470" s="284"/>
      <c r="Y470" s="284"/>
      <c r="Z470" s="284"/>
    </row>
    <row r="471">
      <c r="E471" s="284"/>
      <c r="F471" s="284"/>
      <c r="G471" s="284"/>
      <c r="H471" s="284"/>
      <c r="I471" s="284"/>
      <c r="J471" s="284"/>
      <c r="K471" s="284"/>
      <c r="L471" s="284"/>
      <c r="M471" s="284"/>
      <c r="N471" s="284"/>
      <c r="O471" s="284"/>
      <c r="S471" s="284"/>
      <c r="T471" s="284"/>
      <c r="U471" s="284"/>
      <c r="V471" s="284"/>
      <c r="W471" s="284"/>
      <c r="X471" s="284"/>
      <c r="Y471" s="284"/>
      <c r="Z471" s="284"/>
    </row>
    <row r="472">
      <c r="E472" s="284"/>
      <c r="F472" s="284"/>
      <c r="G472" s="284"/>
      <c r="H472" s="284"/>
      <c r="I472" s="284"/>
      <c r="J472" s="284"/>
      <c r="K472" s="284"/>
      <c r="L472" s="284"/>
      <c r="M472" s="284"/>
      <c r="N472" s="284"/>
      <c r="O472" s="284"/>
      <c r="S472" s="284"/>
      <c r="T472" s="284"/>
      <c r="U472" s="284"/>
      <c r="V472" s="284"/>
      <c r="W472" s="284"/>
      <c r="X472" s="284"/>
      <c r="Y472" s="284"/>
      <c r="Z472" s="284"/>
    </row>
    <row r="473">
      <c r="E473" s="284"/>
      <c r="F473" s="284"/>
      <c r="G473" s="284"/>
      <c r="H473" s="284"/>
      <c r="I473" s="284"/>
      <c r="J473" s="284"/>
      <c r="K473" s="284"/>
      <c r="L473" s="284"/>
      <c r="M473" s="284"/>
      <c r="N473" s="284"/>
      <c r="O473" s="284"/>
      <c r="S473" s="284"/>
      <c r="T473" s="284"/>
      <c r="U473" s="284"/>
      <c r="V473" s="284"/>
      <c r="W473" s="284"/>
      <c r="X473" s="284"/>
      <c r="Y473" s="284"/>
      <c r="Z473" s="284"/>
    </row>
    <row r="474">
      <c r="E474" s="284"/>
      <c r="F474" s="284"/>
      <c r="G474" s="284"/>
      <c r="H474" s="284"/>
      <c r="I474" s="284"/>
      <c r="J474" s="284"/>
      <c r="K474" s="284"/>
      <c r="L474" s="284"/>
      <c r="M474" s="284"/>
      <c r="N474" s="284"/>
      <c r="O474" s="284"/>
      <c r="S474" s="284"/>
      <c r="T474" s="284"/>
      <c r="U474" s="284"/>
      <c r="V474" s="284"/>
      <c r="W474" s="284"/>
      <c r="X474" s="284"/>
      <c r="Y474" s="284"/>
      <c r="Z474" s="284"/>
    </row>
    <row r="475">
      <c r="E475" s="284"/>
      <c r="F475" s="284"/>
      <c r="G475" s="284"/>
      <c r="H475" s="284"/>
      <c r="I475" s="284"/>
      <c r="J475" s="284"/>
      <c r="K475" s="284"/>
      <c r="L475" s="284"/>
      <c r="M475" s="284"/>
      <c r="N475" s="284"/>
      <c r="O475" s="284"/>
      <c r="S475" s="284"/>
      <c r="T475" s="284"/>
      <c r="U475" s="284"/>
      <c r="V475" s="284"/>
      <c r="W475" s="284"/>
      <c r="X475" s="284"/>
      <c r="Y475" s="284"/>
      <c r="Z475" s="284"/>
    </row>
    <row r="476">
      <c r="E476" s="284"/>
      <c r="F476" s="284"/>
      <c r="G476" s="284"/>
      <c r="H476" s="284"/>
      <c r="I476" s="284"/>
      <c r="J476" s="284"/>
      <c r="K476" s="284"/>
      <c r="L476" s="284"/>
      <c r="M476" s="284"/>
      <c r="N476" s="284"/>
      <c r="O476" s="284"/>
      <c r="S476" s="284"/>
      <c r="T476" s="284"/>
      <c r="U476" s="284"/>
      <c r="V476" s="284"/>
      <c r="W476" s="284"/>
      <c r="X476" s="284"/>
      <c r="Y476" s="284"/>
      <c r="Z476" s="284"/>
    </row>
    <row r="477">
      <c r="E477" s="284"/>
      <c r="F477" s="284"/>
      <c r="G477" s="284"/>
      <c r="H477" s="284"/>
      <c r="I477" s="284"/>
      <c r="J477" s="284"/>
      <c r="K477" s="284"/>
      <c r="L477" s="284"/>
      <c r="M477" s="284"/>
      <c r="N477" s="284"/>
      <c r="O477" s="284"/>
      <c r="S477" s="284"/>
      <c r="T477" s="284"/>
      <c r="U477" s="284"/>
      <c r="V477" s="284"/>
      <c r="W477" s="284"/>
      <c r="X477" s="284"/>
      <c r="Y477" s="284"/>
      <c r="Z477" s="284"/>
    </row>
    <row r="478">
      <c r="E478" s="284"/>
      <c r="F478" s="284"/>
      <c r="G478" s="284"/>
      <c r="H478" s="284"/>
      <c r="I478" s="284"/>
      <c r="J478" s="284"/>
      <c r="K478" s="284"/>
      <c r="L478" s="284"/>
      <c r="M478" s="284"/>
      <c r="N478" s="284"/>
      <c r="O478" s="284"/>
      <c r="S478" s="284"/>
      <c r="T478" s="284"/>
      <c r="U478" s="284"/>
      <c r="V478" s="284"/>
      <c r="W478" s="284"/>
      <c r="X478" s="284"/>
      <c r="Y478" s="284"/>
      <c r="Z478" s="284"/>
    </row>
    <row r="479">
      <c r="E479" s="284"/>
      <c r="F479" s="284"/>
      <c r="G479" s="284"/>
      <c r="H479" s="284"/>
      <c r="I479" s="284"/>
      <c r="J479" s="284"/>
      <c r="K479" s="284"/>
      <c r="L479" s="284"/>
      <c r="M479" s="284"/>
      <c r="N479" s="284"/>
      <c r="O479" s="284"/>
      <c r="S479" s="284"/>
      <c r="T479" s="284"/>
      <c r="U479" s="284"/>
      <c r="V479" s="284"/>
      <c r="W479" s="284"/>
      <c r="X479" s="284"/>
      <c r="Y479" s="284"/>
      <c r="Z479" s="284"/>
    </row>
    <row r="480">
      <c r="E480" s="284"/>
      <c r="F480" s="284"/>
      <c r="G480" s="284"/>
      <c r="H480" s="284"/>
      <c r="I480" s="284"/>
      <c r="J480" s="284"/>
      <c r="K480" s="284"/>
      <c r="L480" s="284"/>
      <c r="M480" s="284"/>
      <c r="N480" s="284"/>
      <c r="O480" s="284"/>
      <c r="S480" s="284"/>
      <c r="T480" s="284"/>
      <c r="U480" s="284"/>
      <c r="V480" s="284"/>
      <c r="W480" s="284"/>
      <c r="X480" s="284"/>
      <c r="Y480" s="284"/>
      <c r="Z480" s="284"/>
    </row>
    <row r="481">
      <c r="E481" s="284"/>
      <c r="F481" s="284"/>
      <c r="G481" s="284"/>
      <c r="H481" s="284"/>
      <c r="I481" s="284"/>
      <c r="J481" s="284"/>
      <c r="K481" s="284"/>
      <c r="L481" s="284"/>
      <c r="M481" s="284"/>
      <c r="N481" s="284"/>
      <c r="O481" s="284"/>
      <c r="S481" s="284"/>
      <c r="T481" s="284"/>
      <c r="U481" s="284"/>
      <c r="V481" s="284"/>
      <c r="W481" s="284"/>
      <c r="X481" s="284"/>
      <c r="Y481" s="284"/>
      <c r="Z481" s="284"/>
    </row>
    <row r="482">
      <c r="E482" s="284"/>
      <c r="F482" s="284"/>
      <c r="G482" s="284"/>
      <c r="H482" s="284"/>
      <c r="I482" s="284"/>
      <c r="J482" s="284"/>
      <c r="K482" s="284"/>
      <c r="L482" s="284"/>
      <c r="M482" s="284"/>
      <c r="N482" s="284"/>
      <c r="O482" s="284"/>
      <c r="S482" s="284"/>
      <c r="T482" s="284"/>
      <c r="U482" s="284"/>
      <c r="V482" s="284"/>
      <c r="W482" s="284"/>
      <c r="X482" s="284"/>
      <c r="Y482" s="284"/>
      <c r="Z482" s="284"/>
    </row>
    <row r="483">
      <c r="E483" s="284"/>
      <c r="F483" s="284"/>
      <c r="G483" s="284"/>
      <c r="H483" s="284"/>
      <c r="I483" s="284"/>
      <c r="J483" s="284"/>
      <c r="K483" s="284"/>
      <c r="L483" s="284"/>
      <c r="M483" s="284"/>
      <c r="N483" s="284"/>
      <c r="O483" s="284"/>
      <c r="S483" s="284"/>
      <c r="T483" s="284"/>
      <c r="U483" s="284"/>
      <c r="V483" s="284"/>
      <c r="W483" s="284"/>
      <c r="X483" s="284"/>
      <c r="Y483" s="284"/>
      <c r="Z483" s="284"/>
    </row>
    <row r="484">
      <c r="E484" s="284"/>
      <c r="F484" s="284"/>
      <c r="G484" s="284"/>
      <c r="H484" s="284"/>
      <c r="I484" s="284"/>
      <c r="J484" s="284"/>
      <c r="K484" s="284"/>
      <c r="L484" s="284"/>
      <c r="M484" s="284"/>
      <c r="N484" s="284"/>
      <c r="O484" s="284"/>
      <c r="S484" s="284"/>
      <c r="T484" s="284"/>
      <c r="U484" s="284"/>
      <c r="V484" s="284"/>
      <c r="W484" s="284"/>
      <c r="X484" s="284"/>
      <c r="Y484" s="284"/>
      <c r="Z484" s="284"/>
    </row>
    <row r="485">
      <c r="E485" s="284"/>
      <c r="F485" s="284"/>
      <c r="G485" s="284"/>
      <c r="H485" s="284"/>
      <c r="I485" s="284"/>
      <c r="J485" s="284"/>
      <c r="K485" s="284"/>
      <c r="L485" s="284"/>
      <c r="M485" s="284"/>
      <c r="N485" s="284"/>
      <c r="O485" s="284"/>
      <c r="S485" s="284"/>
      <c r="T485" s="284"/>
      <c r="U485" s="284"/>
      <c r="V485" s="284"/>
      <c r="W485" s="284"/>
      <c r="X485" s="284"/>
      <c r="Y485" s="284"/>
      <c r="Z485" s="284"/>
    </row>
    <row r="486">
      <c r="E486" s="284"/>
      <c r="F486" s="284"/>
      <c r="G486" s="284"/>
      <c r="H486" s="284"/>
      <c r="I486" s="284"/>
      <c r="J486" s="284"/>
      <c r="K486" s="284"/>
      <c r="L486" s="284"/>
      <c r="M486" s="284"/>
      <c r="N486" s="284"/>
      <c r="O486" s="284"/>
      <c r="S486" s="284"/>
      <c r="T486" s="284"/>
      <c r="U486" s="284"/>
      <c r="V486" s="284"/>
      <c r="W486" s="284"/>
      <c r="X486" s="284"/>
      <c r="Y486" s="284"/>
      <c r="Z486" s="284"/>
    </row>
    <row r="487">
      <c r="E487" s="284"/>
      <c r="F487" s="284"/>
      <c r="G487" s="284"/>
      <c r="H487" s="284"/>
      <c r="I487" s="284"/>
      <c r="J487" s="284"/>
      <c r="K487" s="284"/>
      <c r="L487" s="284"/>
      <c r="M487" s="284"/>
      <c r="N487" s="284"/>
      <c r="O487" s="284"/>
      <c r="S487" s="284"/>
      <c r="T487" s="284"/>
      <c r="U487" s="284"/>
      <c r="V487" s="284"/>
      <c r="W487" s="284"/>
      <c r="X487" s="284"/>
      <c r="Y487" s="284"/>
      <c r="Z487" s="284"/>
    </row>
    <row r="488">
      <c r="E488" s="284"/>
      <c r="F488" s="284"/>
      <c r="G488" s="284"/>
      <c r="H488" s="284"/>
      <c r="I488" s="284"/>
      <c r="J488" s="284"/>
      <c r="K488" s="284"/>
      <c r="L488" s="284"/>
      <c r="M488" s="284"/>
      <c r="N488" s="284"/>
      <c r="O488" s="284"/>
      <c r="S488" s="284"/>
      <c r="T488" s="284"/>
      <c r="U488" s="284"/>
      <c r="V488" s="284"/>
      <c r="W488" s="284"/>
      <c r="X488" s="284"/>
      <c r="Y488" s="284"/>
      <c r="Z488" s="284"/>
    </row>
    <row r="489">
      <c r="E489" s="284"/>
      <c r="F489" s="284"/>
      <c r="G489" s="284"/>
      <c r="H489" s="284"/>
      <c r="I489" s="284"/>
      <c r="J489" s="284"/>
      <c r="K489" s="284"/>
      <c r="L489" s="284"/>
      <c r="M489" s="284"/>
      <c r="N489" s="284"/>
      <c r="O489" s="284"/>
      <c r="S489" s="284"/>
      <c r="T489" s="284"/>
      <c r="U489" s="284"/>
      <c r="V489" s="284"/>
      <c r="W489" s="284"/>
      <c r="X489" s="284"/>
      <c r="Y489" s="284"/>
      <c r="Z489" s="284"/>
    </row>
    <row r="490">
      <c r="E490" s="284"/>
      <c r="F490" s="284"/>
      <c r="G490" s="284"/>
      <c r="H490" s="284"/>
      <c r="I490" s="284"/>
      <c r="J490" s="284"/>
      <c r="K490" s="284"/>
      <c r="L490" s="284"/>
      <c r="M490" s="284"/>
      <c r="N490" s="284"/>
      <c r="O490" s="284"/>
      <c r="S490" s="284"/>
      <c r="T490" s="284"/>
      <c r="U490" s="284"/>
      <c r="V490" s="284"/>
      <c r="W490" s="284"/>
      <c r="X490" s="284"/>
      <c r="Y490" s="284"/>
      <c r="Z490" s="284"/>
    </row>
    <row r="491">
      <c r="E491" s="284"/>
      <c r="F491" s="284"/>
      <c r="G491" s="284"/>
      <c r="H491" s="284"/>
      <c r="I491" s="284"/>
      <c r="J491" s="284"/>
      <c r="K491" s="284"/>
      <c r="L491" s="284"/>
      <c r="M491" s="284"/>
      <c r="N491" s="284"/>
      <c r="O491" s="284"/>
      <c r="S491" s="284"/>
      <c r="T491" s="284"/>
      <c r="U491" s="284"/>
      <c r="V491" s="284"/>
      <c r="W491" s="284"/>
      <c r="X491" s="284"/>
      <c r="Y491" s="284"/>
      <c r="Z491" s="284"/>
    </row>
    <row r="492">
      <c r="E492" s="284"/>
      <c r="F492" s="284"/>
      <c r="G492" s="284"/>
      <c r="H492" s="284"/>
      <c r="I492" s="284"/>
      <c r="J492" s="284"/>
      <c r="K492" s="284"/>
      <c r="L492" s="284"/>
      <c r="M492" s="284"/>
      <c r="N492" s="284"/>
      <c r="O492" s="284"/>
      <c r="S492" s="284"/>
      <c r="T492" s="284"/>
      <c r="U492" s="284"/>
      <c r="V492" s="284"/>
      <c r="W492" s="284"/>
      <c r="X492" s="284"/>
      <c r="Y492" s="284"/>
      <c r="Z492" s="284"/>
    </row>
    <row r="493">
      <c r="E493" s="284"/>
      <c r="F493" s="284"/>
      <c r="G493" s="284"/>
      <c r="H493" s="284"/>
      <c r="I493" s="284"/>
      <c r="J493" s="284"/>
      <c r="K493" s="284"/>
      <c r="L493" s="284"/>
      <c r="M493" s="284"/>
      <c r="N493" s="284"/>
      <c r="O493" s="284"/>
      <c r="S493" s="284"/>
      <c r="T493" s="284"/>
      <c r="U493" s="284"/>
      <c r="V493" s="284"/>
      <c r="W493" s="284"/>
      <c r="X493" s="284"/>
      <c r="Y493" s="284"/>
      <c r="Z493" s="284"/>
    </row>
    <row r="494">
      <c r="E494" s="284"/>
      <c r="F494" s="284"/>
      <c r="G494" s="284"/>
      <c r="H494" s="284"/>
      <c r="I494" s="284"/>
      <c r="J494" s="284"/>
      <c r="K494" s="284"/>
      <c r="L494" s="284"/>
      <c r="M494" s="284"/>
      <c r="N494" s="284"/>
      <c r="O494" s="284"/>
      <c r="S494" s="284"/>
      <c r="T494" s="284"/>
      <c r="U494" s="284"/>
      <c r="V494" s="284"/>
      <c r="W494" s="284"/>
      <c r="X494" s="284"/>
      <c r="Y494" s="284"/>
      <c r="Z494" s="284"/>
    </row>
    <row r="495">
      <c r="E495" s="284"/>
      <c r="F495" s="284"/>
      <c r="G495" s="284"/>
      <c r="H495" s="284"/>
      <c r="I495" s="284"/>
      <c r="J495" s="284"/>
      <c r="K495" s="284"/>
      <c r="L495" s="284"/>
      <c r="M495" s="284"/>
      <c r="N495" s="284"/>
      <c r="O495" s="284"/>
      <c r="S495" s="284"/>
      <c r="T495" s="284"/>
      <c r="U495" s="284"/>
      <c r="V495" s="284"/>
      <c r="W495" s="284"/>
      <c r="X495" s="284"/>
      <c r="Y495" s="284"/>
      <c r="Z495" s="284"/>
    </row>
    <row r="496">
      <c r="E496" s="284"/>
      <c r="F496" s="284"/>
      <c r="G496" s="284"/>
      <c r="H496" s="284"/>
      <c r="I496" s="284"/>
      <c r="J496" s="284"/>
      <c r="K496" s="284"/>
      <c r="L496" s="284"/>
      <c r="M496" s="284"/>
      <c r="N496" s="284"/>
      <c r="O496" s="284"/>
      <c r="S496" s="284"/>
      <c r="T496" s="284"/>
      <c r="U496" s="284"/>
      <c r="V496" s="284"/>
      <c r="W496" s="284"/>
      <c r="X496" s="284"/>
      <c r="Y496" s="284"/>
      <c r="Z496" s="284"/>
    </row>
    <row r="497">
      <c r="E497" s="284"/>
      <c r="F497" s="284"/>
      <c r="G497" s="284"/>
      <c r="H497" s="284"/>
      <c r="I497" s="284"/>
      <c r="J497" s="284"/>
      <c r="K497" s="284"/>
      <c r="L497" s="284"/>
      <c r="M497" s="284"/>
      <c r="N497" s="284"/>
      <c r="O497" s="284"/>
      <c r="S497" s="284"/>
      <c r="T497" s="284"/>
      <c r="U497" s="284"/>
      <c r="V497" s="284"/>
      <c r="W497" s="284"/>
      <c r="X497" s="284"/>
      <c r="Y497" s="284"/>
      <c r="Z497" s="284"/>
    </row>
    <row r="498">
      <c r="E498" s="284"/>
      <c r="F498" s="284"/>
      <c r="G498" s="284"/>
      <c r="H498" s="284"/>
      <c r="I498" s="284"/>
      <c r="J498" s="284"/>
      <c r="K498" s="284"/>
      <c r="L498" s="284"/>
      <c r="M498" s="284"/>
      <c r="N498" s="284"/>
      <c r="O498" s="284"/>
      <c r="S498" s="284"/>
      <c r="T498" s="284"/>
      <c r="U498" s="284"/>
      <c r="V498" s="284"/>
      <c r="W498" s="284"/>
      <c r="X498" s="284"/>
      <c r="Y498" s="284"/>
      <c r="Z498" s="284"/>
    </row>
    <row r="499">
      <c r="E499" s="284"/>
      <c r="F499" s="284"/>
      <c r="G499" s="284"/>
      <c r="H499" s="284"/>
      <c r="I499" s="284"/>
      <c r="J499" s="284"/>
      <c r="K499" s="284"/>
      <c r="L499" s="284"/>
      <c r="M499" s="284"/>
      <c r="N499" s="284"/>
      <c r="O499" s="284"/>
      <c r="S499" s="284"/>
      <c r="T499" s="284"/>
      <c r="U499" s="284"/>
      <c r="V499" s="284"/>
      <c r="W499" s="284"/>
      <c r="X499" s="284"/>
      <c r="Y499" s="284"/>
      <c r="Z499" s="284"/>
    </row>
    <row r="500">
      <c r="E500" s="284"/>
      <c r="F500" s="284"/>
      <c r="G500" s="284"/>
      <c r="H500" s="284"/>
      <c r="I500" s="284"/>
      <c r="J500" s="284"/>
      <c r="K500" s="284"/>
      <c r="L500" s="284"/>
      <c r="M500" s="284"/>
      <c r="N500" s="284"/>
      <c r="O500" s="284"/>
      <c r="S500" s="284"/>
      <c r="T500" s="284"/>
      <c r="U500" s="284"/>
      <c r="V500" s="284"/>
      <c r="W500" s="284"/>
      <c r="X500" s="284"/>
      <c r="Y500" s="284"/>
      <c r="Z500" s="284"/>
    </row>
    <row r="501">
      <c r="E501" s="284"/>
      <c r="F501" s="284"/>
      <c r="G501" s="284"/>
      <c r="H501" s="284"/>
      <c r="I501" s="284"/>
      <c r="J501" s="284"/>
      <c r="K501" s="284"/>
      <c r="L501" s="284"/>
      <c r="M501" s="284"/>
      <c r="N501" s="284"/>
      <c r="O501" s="284"/>
      <c r="S501" s="284"/>
      <c r="T501" s="284"/>
      <c r="U501" s="284"/>
      <c r="V501" s="284"/>
      <c r="W501" s="284"/>
      <c r="X501" s="284"/>
      <c r="Y501" s="284"/>
      <c r="Z501" s="284"/>
    </row>
    <row r="502">
      <c r="E502" s="284"/>
      <c r="F502" s="284"/>
      <c r="G502" s="284"/>
      <c r="H502" s="284"/>
      <c r="I502" s="284"/>
      <c r="J502" s="284"/>
      <c r="K502" s="284"/>
      <c r="L502" s="284"/>
      <c r="M502" s="284"/>
      <c r="N502" s="284"/>
      <c r="O502" s="284"/>
      <c r="S502" s="284"/>
      <c r="T502" s="284"/>
      <c r="U502" s="284"/>
      <c r="V502" s="284"/>
      <c r="W502" s="284"/>
      <c r="X502" s="284"/>
      <c r="Y502" s="284"/>
      <c r="Z502" s="284"/>
    </row>
    <row r="503">
      <c r="E503" s="284"/>
      <c r="F503" s="284"/>
      <c r="G503" s="284"/>
      <c r="H503" s="284"/>
      <c r="I503" s="284"/>
      <c r="J503" s="284"/>
      <c r="K503" s="284"/>
      <c r="L503" s="284"/>
      <c r="M503" s="284"/>
      <c r="N503" s="284"/>
      <c r="O503" s="284"/>
      <c r="S503" s="284"/>
      <c r="T503" s="284"/>
      <c r="U503" s="284"/>
      <c r="V503" s="284"/>
      <c r="W503" s="284"/>
      <c r="X503" s="284"/>
      <c r="Y503" s="284"/>
      <c r="Z503" s="284"/>
    </row>
    <row r="504">
      <c r="E504" s="284"/>
      <c r="F504" s="284"/>
      <c r="G504" s="284"/>
      <c r="H504" s="284"/>
      <c r="I504" s="284"/>
      <c r="J504" s="284"/>
      <c r="K504" s="284"/>
      <c r="L504" s="284"/>
      <c r="M504" s="284"/>
      <c r="N504" s="284"/>
      <c r="O504" s="284"/>
      <c r="S504" s="284"/>
      <c r="T504" s="284"/>
      <c r="U504" s="284"/>
      <c r="V504" s="284"/>
      <c r="W504" s="284"/>
      <c r="X504" s="284"/>
      <c r="Y504" s="284"/>
      <c r="Z504" s="284"/>
    </row>
    <row r="505">
      <c r="E505" s="284"/>
      <c r="F505" s="284"/>
      <c r="G505" s="284"/>
      <c r="H505" s="284"/>
      <c r="I505" s="284"/>
      <c r="J505" s="284"/>
      <c r="K505" s="284"/>
      <c r="L505" s="284"/>
      <c r="M505" s="284"/>
      <c r="N505" s="284"/>
      <c r="O505" s="284"/>
      <c r="S505" s="284"/>
      <c r="T505" s="284"/>
      <c r="U505" s="284"/>
      <c r="V505" s="284"/>
      <c r="W505" s="284"/>
      <c r="X505" s="284"/>
      <c r="Y505" s="284"/>
      <c r="Z505" s="284"/>
    </row>
    <row r="506">
      <c r="E506" s="284"/>
      <c r="F506" s="284"/>
      <c r="G506" s="284"/>
      <c r="H506" s="284"/>
      <c r="I506" s="284"/>
      <c r="J506" s="284"/>
      <c r="K506" s="284"/>
      <c r="L506" s="284"/>
      <c r="M506" s="284"/>
      <c r="N506" s="284"/>
      <c r="O506" s="284"/>
      <c r="S506" s="284"/>
      <c r="T506" s="284"/>
      <c r="U506" s="284"/>
      <c r="V506" s="284"/>
      <c r="W506" s="284"/>
      <c r="X506" s="284"/>
      <c r="Y506" s="284"/>
      <c r="Z506" s="284"/>
    </row>
    <row r="507">
      <c r="E507" s="284"/>
      <c r="F507" s="284"/>
      <c r="G507" s="284"/>
      <c r="H507" s="284"/>
      <c r="I507" s="284"/>
      <c r="J507" s="284"/>
      <c r="K507" s="284"/>
      <c r="L507" s="284"/>
      <c r="M507" s="284"/>
      <c r="N507" s="284"/>
      <c r="O507" s="284"/>
      <c r="S507" s="284"/>
      <c r="T507" s="284"/>
      <c r="U507" s="284"/>
      <c r="V507" s="284"/>
      <c r="W507" s="284"/>
      <c r="X507" s="284"/>
      <c r="Y507" s="284"/>
      <c r="Z507" s="284"/>
    </row>
    <row r="508">
      <c r="E508" s="284"/>
      <c r="F508" s="284"/>
      <c r="G508" s="284"/>
      <c r="H508" s="284"/>
      <c r="I508" s="284"/>
      <c r="J508" s="284"/>
      <c r="K508" s="284"/>
      <c r="L508" s="284"/>
      <c r="M508" s="284"/>
      <c r="N508" s="284"/>
      <c r="O508" s="284"/>
      <c r="S508" s="284"/>
      <c r="T508" s="284"/>
      <c r="U508" s="284"/>
      <c r="V508" s="284"/>
      <c r="W508" s="284"/>
      <c r="X508" s="284"/>
      <c r="Y508" s="284"/>
      <c r="Z508" s="284"/>
    </row>
    <row r="509">
      <c r="E509" s="284"/>
      <c r="F509" s="284"/>
      <c r="G509" s="284"/>
      <c r="H509" s="284"/>
      <c r="I509" s="284"/>
      <c r="J509" s="284"/>
      <c r="K509" s="284"/>
      <c r="L509" s="284"/>
      <c r="M509" s="284"/>
      <c r="N509" s="284"/>
      <c r="O509" s="284"/>
      <c r="S509" s="284"/>
      <c r="T509" s="284"/>
      <c r="U509" s="284"/>
      <c r="V509" s="284"/>
      <c r="W509" s="284"/>
      <c r="X509" s="284"/>
      <c r="Y509" s="284"/>
      <c r="Z509" s="284"/>
    </row>
    <row r="510">
      <c r="E510" s="284"/>
      <c r="F510" s="284"/>
      <c r="G510" s="284"/>
      <c r="H510" s="284"/>
      <c r="I510" s="284"/>
      <c r="J510" s="284"/>
      <c r="K510" s="284"/>
      <c r="L510" s="284"/>
      <c r="M510" s="284"/>
      <c r="N510" s="284"/>
      <c r="O510" s="284"/>
      <c r="S510" s="284"/>
      <c r="T510" s="284"/>
      <c r="U510" s="284"/>
      <c r="V510" s="284"/>
      <c r="W510" s="284"/>
      <c r="X510" s="284"/>
      <c r="Y510" s="284"/>
      <c r="Z510" s="284"/>
    </row>
    <row r="511">
      <c r="E511" s="284"/>
      <c r="F511" s="284"/>
      <c r="G511" s="284"/>
      <c r="H511" s="284"/>
      <c r="I511" s="284"/>
      <c r="J511" s="284"/>
      <c r="K511" s="284"/>
      <c r="L511" s="284"/>
      <c r="M511" s="284"/>
      <c r="N511" s="284"/>
      <c r="O511" s="284"/>
      <c r="S511" s="284"/>
      <c r="T511" s="284"/>
      <c r="U511" s="284"/>
      <c r="V511" s="284"/>
      <c r="W511" s="284"/>
      <c r="X511" s="284"/>
      <c r="Y511" s="284"/>
      <c r="Z511" s="284"/>
    </row>
    <row r="512">
      <c r="E512" s="284"/>
      <c r="F512" s="284"/>
      <c r="G512" s="284"/>
      <c r="H512" s="284"/>
      <c r="I512" s="284"/>
      <c r="J512" s="284"/>
      <c r="K512" s="284"/>
      <c r="L512" s="284"/>
      <c r="M512" s="284"/>
      <c r="N512" s="284"/>
      <c r="O512" s="284"/>
      <c r="S512" s="284"/>
      <c r="T512" s="284"/>
      <c r="U512" s="284"/>
      <c r="V512" s="284"/>
      <c r="W512" s="284"/>
      <c r="X512" s="284"/>
      <c r="Y512" s="284"/>
      <c r="Z512" s="284"/>
    </row>
    <row r="513">
      <c r="E513" s="284"/>
      <c r="F513" s="284"/>
      <c r="G513" s="284"/>
      <c r="H513" s="284"/>
      <c r="I513" s="284"/>
      <c r="J513" s="284"/>
      <c r="K513" s="284"/>
      <c r="L513" s="284"/>
      <c r="M513" s="284"/>
      <c r="N513" s="284"/>
      <c r="O513" s="284"/>
      <c r="S513" s="284"/>
      <c r="T513" s="284"/>
      <c r="U513" s="284"/>
      <c r="V513" s="284"/>
      <c r="W513" s="284"/>
      <c r="X513" s="284"/>
      <c r="Y513" s="284"/>
      <c r="Z513" s="284"/>
    </row>
    <row r="514">
      <c r="E514" s="284"/>
      <c r="F514" s="284"/>
      <c r="G514" s="284"/>
      <c r="H514" s="284"/>
      <c r="I514" s="284"/>
      <c r="J514" s="284"/>
      <c r="K514" s="284"/>
      <c r="L514" s="284"/>
      <c r="M514" s="284"/>
      <c r="N514" s="284"/>
      <c r="O514" s="284"/>
      <c r="S514" s="284"/>
      <c r="T514" s="284"/>
      <c r="U514" s="284"/>
      <c r="V514" s="284"/>
      <c r="W514" s="284"/>
      <c r="X514" s="284"/>
      <c r="Y514" s="284"/>
      <c r="Z514" s="284"/>
    </row>
    <row r="515">
      <c r="E515" s="284"/>
      <c r="F515" s="284"/>
      <c r="G515" s="284"/>
      <c r="H515" s="284"/>
      <c r="I515" s="284"/>
      <c r="J515" s="284"/>
      <c r="K515" s="284"/>
      <c r="L515" s="284"/>
      <c r="M515" s="284"/>
      <c r="N515" s="284"/>
      <c r="O515" s="284"/>
      <c r="S515" s="284"/>
      <c r="T515" s="284"/>
      <c r="U515" s="284"/>
      <c r="V515" s="284"/>
      <c r="W515" s="284"/>
      <c r="X515" s="284"/>
      <c r="Y515" s="284"/>
      <c r="Z515" s="284"/>
    </row>
    <row r="516">
      <c r="E516" s="284"/>
      <c r="F516" s="284"/>
      <c r="G516" s="284"/>
      <c r="H516" s="284"/>
      <c r="I516" s="284"/>
      <c r="J516" s="284"/>
      <c r="K516" s="284"/>
      <c r="L516" s="284"/>
      <c r="M516" s="284"/>
      <c r="N516" s="284"/>
      <c r="O516" s="284"/>
      <c r="S516" s="284"/>
      <c r="T516" s="284"/>
      <c r="U516" s="284"/>
      <c r="V516" s="284"/>
      <c r="W516" s="284"/>
      <c r="X516" s="284"/>
      <c r="Y516" s="284"/>
      <c r="Z516" s="284"/>
    </row>
    <row r="517">
      <c r="E517" s="284"/>
      <c r="F517" s="284"/>
      <c r="G517" s="284"/>
      <c r="H517" s="284"/>
      <c r="I517" s="284"/>
      <c r="J517" s="284"/>
      <c r="K517" s="284"/>
      <c r="L517" s="284"/>
      <c r="M517" s="284"/>
      <c r="N517" s="284"/>
      <c r="O517" s="284"/>
      <c r="S517" s="284"/>
      <c r="T517" s="284"/>
      <c r="U517" s="284"/>
      <c r="V517" s="284"/>
      <c r="W517" s="284"/>
      <c r="X517" s="284"/>
      <c r="Y517" s="284"/>
      <c r="Z517" s="284"/>
    </row>
    <row r="518">
      <c r="E518" s="284"/>
      <c r="F518" s="284"/>
      <c r="G518" s="284"/>
      <c r="H518" s="284"/>
      <c r="I518" s="284"/>
      <c r="J518" s="284"/>
      <c r="K518" s="284"/>
      <c r="L518" s="284"/>
      <c r="M518" s="284"/>
      <c r="N518" s="284"/>
      <c r="O518" s="284"/>
      <c r="S518" s="284"/>
      <c r="T518" s="284"/>
      <c r="U518" s="284"/>
      <c r="V518" s="284"/>
      <c r="W518" s="284"/>
      <c r="X518" s="284"/>
      <c r="Y518" s="284"/>
      <c r="Z518" s="284"/>
    </row>
    <row r="519">
      <c r="E519" s="284"/>
      <c r="F519" s="284"/>
      <c r="G519" s="284"/>
      <c r="H519" s="284"/>
      <c r="I519" s="284"/>
      <c r="J519" s="284"/>
      <c r="K519" s="284"/>
      <c r="L519" s="284"/>
      <c r="M519" s="284"/>
      <c r="N519" s="284"/>
      <c r="O519" s="284"/>
      <c r="S519" s="284"/>
      <c r="T519" s="284"/>
      <c r="U519" s="284"/>
      <c r="V519" s="284"/>
      <c r="W519" s="284"/>
      <c r="X519" s="284"/>
      <c r="Y519" s="284"/>
      <c r="Z519" s="284"/>
    </row>
    <row r="520">
      <c r="E520" s="284"/>
      <c r="F520" s="284"/>
      <c r="G520" s="284"/>
      <c r="H520" s="284"/>
      <c r="I520" s="284"/>
      <c r="J520" s="284"/>
      <c r="K520" s="284"/>
      <c r="L520" s="284"/>
      <c r="M520" s="284"/>
      <c r="N520" s="284"/>
      <c r="O520" s="284"/>
      <c r="S520" s="284"/>
      <c r="T520" s="284"/>
      <c r="U520" s="284"/>
      <c r="V520" s="284"/>
      <c r="W520" s="284"/>
      <c r="X520" s="284"/>
      <c r="Y520" s="284"/>
      <c r="Z520" s="284"/>
    </row>
    <row r="521">
      <c r="E521" s="284"/>
      <c r="F521" s="284"/>
      <c r="G521" s="284"/>
      <c r="H521" s="284"/>
      <c r="I521" s="284"/>
      <c r="J521" s="284"/>
      <c r="K521" s="284"/>
      <c r="L521" s="284"/>
      <c r="M521" s="284"/>
      <c r="N521" s="284"/>
      <c r="O521" s="284"/>
      <c r="S521" s="284"/>
      <c r="T521" s="284"/>
      <c r="U521" s="284"/>
      <c r="V521" s="284"/>
      <c r="W521" s="284"/>
      <c r="X521" s="284"/>
      <c r="Y521" s="284"/>
      <c r="Z521" s="284"/>
    </row>
    <row r="522">
      <c r="E522" s="284"/>
      <c r="F522" s="284"/>
      <c r="G522" s="284"/>
      <c r="H522" s="284"/>
      <c r="I522" s="284"/>
      <c r="J522" s="284"/>
      <c r="K522" s="284"/>
      <c r="L522" s="284"/>
      <c r="M522" s="284"/>
      <c r="N522" s="284"/>
      <c r="O522" s="284"/>
      <c r="S522" s="284"/>
      <c r="T522" s="284"/>
      <c r="U522" s="284"/>
      <c r="V522" s="284"/>
      <c r="W522" s="284"/>
      <c r="X522" s="284"/>
      <c r="Y522" s="284"/>
      <c r="Z522" s="284"/>
    </row>
    <row r="523">
      <c r="E523" s="284"/>
      <c r="F523" s="284"/>
      <c r="G523" s="284"/>
      <c r="H523" s="284"/>
      <c r="I523" s="284"/>
      <c r="J523" s="284"/>
      <c r="K523" s="284"/>
      <c r="L523" s="284"/>
      <c r="M523" s="284"/>
      <c r="N523" s="284"/>
      <c r="O523" s="284"/>
      <c r="S523" s="284"/>
      <c r="T523" s="284"/>
      <c r="U523" s="284"/>
      <c r="V523" s="284"/>
      <c r="W523" s="284"/>
      <c r="X523" s="284"/>
      <c r="Y523" s="284"/>
      <c r="Z523" s="284"/>
    </row>
    <row r="524">
      <c r="E524" s="284"/>
      <c r="F524" s="284"/>
      <c r="G524" s="284"/>
      <c r="H524" s="284"/>
      <c r="I524" s="284"/>
      <c r="J524" s="284"/>
      <c r="K524" s="284"/>
      <c r="L524" s="284"/>
      <c r="M524" s="284"/>
      <c r="N524" s="284"/>
      <c r="O524" s="284"/>
      <c r="S524" s="284"/>
      <c r="T524" s="284"/>
      <c r="U524" s="284"/>
      <c r="V524" s="284"/>
      <c r="W524" s="284"/>
      <c r="X524" s="284"/>
      <c r="Y524" s="284"/>
      <c r="Z524" s="284"/>
    </row>
    <row r="525">
      <c r="E525" s="284"/>
      <c r="F525" s="284"/>
      <c r="G525" s="284"/>
      <c r="H525" s="284"/>
      <c r="I525" s="284"/>
      <c r="J525" s="284"/>
      <c r="K525" s="284"/>
      <c r="L525" s="284"/>
      <c r="M525" s="284"/>
      <c r="N525" s="284"/>
      <c r="O525" s="284"/>
      <c r="S525" s="284"/>
      <c r="T525" s="284"/>
      <c r="U525" s="284"/>
      <c r="V525" s="284"/>
      <c r="W525" s="284"/>
      <c r="X525" s="284"/>
      <c r="Y525" s="284"/>
      <c r="Z525" s="284"/>
    </row>
    <row r="526">
      <c r="E526" s="284"/>
      <c r="F526" s="284"/>
      <c r="G526" s="284"/>
      <c r="H526" s="284"/>
      <c r="I526" s="284"/>
      <c r="J526" s="284"/>
      <c r="K526" s="284"/>
      <c r="L526" s="284"/>
      <c r="M526" s="284"/>
      <c r="N526" s="284"/>
      <c r="O526" s="284"/>
      <c r="S526" s="284"/>
      <c r="T526" s="284"/>
      <c r="U526" s="284"/>
      <c r="V526" s="284"/>
      <c r="W526" s="284"/>
      <c r="X526" s="284"/>
      <c r="Y526" s="284"/>
      <c r="Z526" s="284"/>
    </row>
    <row r="527">
      <c r="E527" s="284"/>
      <c r="F527" s="284"/>
      <c r="G527" s="284"/>
      <c r="H527" s="284"/>
      <c r="I527" s="284"/>
      <c r="J527" s="284"/>
      <c r="K527" s="284"/>
      <c r="L527" s="284"/>
      <c r="M527" s="284"/>
      <c r="N527" s="284"/>
      <c r="O527" s="284"/>
      <c r="S527" s="284"/>
      <c r="T527" s="284"/>
      <c r="U527" s="284"/>
      <c r="V527" s="284"/>
      <c r="W527" s="284"/>
      <c r="X527" s="284"/>
      <c r="Y527" s="284"/>
      <c r="Z527" s="284"/>
    </row>
    <row r="528">
      <c r="E528" s="284"/>
      <c r="F528" s="284"/>
      <c r="G528" s="284"/>
      <c r="H528" s="284"/>
      <c r="I528" s="284"/>
      <c r="J528" s="284"/>
      <c r="K528" s="284"/>
      <c r="L528" s="284"/>
      <c r="M528" s="284"/>
      <c r="N528" s="284"/>
      <c r="O528" s="284"/>
      <c r="S528" s="284"/>
      <c r="T528" s="284"/>
      <c r="U528" s="284"/>
      <c r="V528" s="284"/>
      <c r="W528" s="284"/>
      <c r="X528" s="284"/>
      <c r="Y528" s="284"/>
      <c r="Z528" s="284"/>
    </row>
    <row r="529">
      <c r="E529" s="284"/>
      <c r="F529" s="284"/>
      <c r="G529" s="284"/>
      <c r="H529" s="284"/>
      <c r="I529" s="284"/>
      <c r="J529" s="284"/>
      <c r="K529" s="284"/>
      <c r="L529" s="284"/>
      <c r="M529" s="284"/>
      <c r="N529" s="284"/>
      <c r="O529" s="284"/>
      <c r="S529" s="284"/>
      <c r="T529" s="284"/>
      <c r="U529" s="284"/>
      <c r="V529" s="284"/>
      <c r="W529" s="284"/>
      <c r="X529" s="284"/>
      <c r="Y529" s="284"/>
      <c r="Z529" s="284"/>
    </row>
    <row r="530">
      <c r="E530" s="284"/>
      <c r="F530" s="284"/>
      <c r="G530" s="284"/>
      <c r="H530" s="284"/>
      <c r="I530" s="284"/>
      <c r="J530" s="284"/>
      <c r="K530" s="284"/>
      <c r="L530" s="284"/>
      <c r="M530" s="284"/>
      <c r="N530" s="284"/>
      <c r="O530" s="284"/>
      <c r="S530" s="284"/>
      <c r="T530" s="284"/>
      <c r="U530" s="284"/>
      <c r="V530" s="284"/>
      <c r="W530" s="284"/>
      <c r="X530" s="284"/>
      <c r="Y530" s="284"/>
      <c r="Z530" s="284"/>
    </row>
    <row r="531">
      <c r="E531" s="284"/>
      <c r="F531" s="284"/>
      <c r="G531" s="284"/>
      <c r="H531" s="284"/>
      <c r="I531" s="284"/>
      <c r="J531" s="284"/>
      <c r="K531" s="284"/>
      <c r="L531" s="284"/>
      <c r="M531" s="284"/>
      <c r="N531" s="284"/>
      <c r="O531" s="284"/>
      <c r="S531" s="284"/>
      <c r="T531" s="284"/>
      <c r="U531" s="284"/>
      <c r="V531" s="284"/>
      <c r="W531" s="284"/>
      <c r="X531" s="284"/>
      <c r="Y531" s="284"/>
      <c r="Z531" s="284"/>
    </row>
    <row r="532">
      <c r="E532" s="284"/>
      <c r="F532" s="284"/>
      <c r="G532" s="284"/>
      <c r="H532" s="284"/>
      <c r="I532" s="284"/>
      <c r="J532" s="284"/>
      <c r="K532" s="284"/>
      <c r="L532" s="284"/>
      <c r="M532" s="284"/>
      <c r="N532" s="284"/>
      <c r="O532" s="284"/>
      <c r="S532" s="284"/>
      <c r="T532" s="284"/>
      <c r="U532" s="284"/>
      <c r="V532" s="284"/>
      <c r="W532" s="284"/>
      <c r="X532" s="284"/>
      <c r="Y532" s="284"/>
      <c r="Z532" s="284"/>
    </row>
    <row r="533">
      <c r="E533" s="284"/>
      <c r="F533" s="284"/>
      <c r="G533" s="284"/>
      <c r="H533" s="284"/>
      <c r="I533" s="284"/>
      <c r="J533" s="284"/>
      <c r="K533" s="284"/>
      <c r="L533" s="284"/>
      <c r="M533" s="284"/>
      <c r="N533" s="284"/>
      <c r="O533" s="284"/>
      <c r="S533" s="284"/>
      <c r="T533" s="284"/>
      <c r="U533" s="284"/>
      <c r="V533" s="284"/>
      <c r="W533" s="284"/>
      <c r="X533" s="284"/>
      <c r="Y533" s="284"/>
      <c r="Z533" s="284"/>
    </row>
    <row r="534">
      <c r="E534" s="284"/>
      <c r="F534" s="284"/>
      <c r="G534" s="284"/>
      <c r="H534" s="284"/>
      <c r="I534" s="284"/>
      <c r="J534" s="284"/>
      <c r="K534" s="284"/>
      <c r="L534" s="284"/>
      <c r="M534" s="284"/>
      <c r="N534" s="284"/>
      <c r="O534" s="284"/>
      <c r="S534" s="284"/>
      <c r="T534" s="284"/>
      <c r="U534" s="284"/>
      <c r="V534" s="284"/>
      <c r="W534" s="284"/>
      <c r="X534" s="284"/>
      <c r="Y534" s="284"/>
      <c r="Z534" s="284"/>
    </row>
    <row r="535">
      <c r="E535" s="284"/>
      <c r="F535" s="284"/>
      <c r="G535" s="284"/>
      <c r="H535" s="284"/>
      <c r="I535" s="284"/>
      <c r="J535" s="284"/>
      <c r="K535" s="284"/>
      <c r="L535" s="284"/>
      <c r="M535" s="284"/>
      <c r="N535" s="284"/>
      <c r="O535" s="284"/>
      <c r="S535" s="284"/>
      <c r="T535" s="284"/>
      <c r="U535" s="284"/>
      <c r="V535" s="284"/>
      <c r="W535" s="284"/>
      <c r="X535" s="284"/>
      <c r="Y535" s="284"/>
      <c r="Z535" s="284"/>
    </row>
    <row r="536">
      <c r="E536" s="284"/>
      <c r="F536" s="284"/>
      <c r="G536" s="284"/>
      <c r="H536" s="284"/>
      <c r="I536" s="284"/>
      <c r="J536" s="284"/>
      <c r="K536" s="284"/>
      <c r="L536" s="284"/>
      <c r="M536" s="284"/>
      <c r="N536" s="284"/>
      <c r="O536" s="284"/>
      <c r="S536" s="284"/>
      <c r="T536" s="284"/>
      <c r="U536" s="284"/>
      <c r="V536" s="284"/>
      <c r="W536" s="284"/>
      <c r="X536" s="284"/>
      <c r="Y536" s="284"/>
      <c r="Z536" s="284"/>
    </row>
    <row r="537">
      <c r="E537" s="284"/>
      <c r="F537" s="284"/>
      <c r="G537" s="284"/>
      <c r="H537" s="284"/>
      <c r="I537" s="284"/>
      <c r="J537" s="284"/>
      <c r="K537" s="284"/>
      <c r="L537" s="284"/>
      <c r="M537" s="284"/>
      <c r="N537" s="284"/>
      <c r="O537" s="284"/>
      <c r="S537" s="284"/>
      <c r="T537" s="284"/>
      <c r="U537" s="284"/>
      <c r="V537" s="284"/>
      <c r="W537" s="284"/>
      <c r="X537" s="284"/>
      <c r="Y537" s="284"/>
      <c r="Z537" s="284"/>
    </row>
    <row r="538">
      <c r="E538" s="284"/>
      <c r="F538" s="284"/>
      <c r="G538" s="284"/>
      <c r="H538" s="284"/>
      <c r="I538" s="284"/>
      <c r="J538" s="284"/>
      <c r="K538" s="284"/>
      <c r="L538" s="284"/>
      <c r="M538" s="284"/>
      <c r="N538" s="284"/>
      <c r="O538" s="284"/>
      <c r="S538" s="284"/>
      <c r="T538" s="284"/>
      <c r="U538" s="284"/>
      <c r="V538" s="284"/>
      <c r="W538" s="284"/>
      <c r="X538" s="284"/>
      <c r="Y538" s="284"/>
      <c r="Z538" s="284"/>
    </row>
    <row r="539">
      <c r="E539" s="284"/>
      <c r="F539" s="284"/>
      <c r="G539" s="284"/>
      <c r="H539" s="284"/>
      <c r="I539" s="284"/>
      <c r="J539" s="284"/>
      <c r="K539" s="284"/>
      <c r="L539" s="284"/>
      <c r="M539" s="284"/>
      <c r="N539" s="284"/>
      <c r="O539" s="284"/>
      <c r="S539" s="284"/>
      <c r="T539" s="284"/>
      <c r="U539" s="284"/>
      <c r="V539" s="284"/>
      <c r="W539" s="284"/>
      <c r="X539" s="284"/>
      <c r="Y539" s="284"/>
      <c r="Z539" s="284"/>
    </row>
    <row r="540">
      <c r="E540" s="284"/>
      <c r="F540" s="284"/>
      <c r="G540" s="284"/>
      <c r="H540" s="284"/>
      <c r="I540" s="284"/>
      <c r="J540" s="284"/>
      <c r="K540" s="284"/>
      <c r="L540" s="284"/>
      <c r="M540" s="284"/>
      <c r="N540" s="284"/>
      <c r="O540" s="284"/>
      <c r="S540" s="284"/>
      <c r="T540" s="284"/>
      <c r="U540" s="284"/>
      <c r="V540" s="284"/>
      <c r="W540" s="284"/>
      <c r="X540" s="284"/>
      <c r="Y540" s="284"/>
      <c r="Z540" s="284"/>
    </row>
    <row r="541">
      <c r="E541" s="284"/>
      <c r="F541" s="284"/>
      <c r="G541" s="284"/>
      <c r="H541" s="284"/>
      <c r="I541" s="284"/>
      <c r="J541" s="284"/>
      <c r="K541" s="284"/>
      <c r="L541" s="284"/>
      <c r="M541" s="284"/>
      <c r="N541" s="284"/>
      <c r="O541" s="284"/>
      <c r="S541" s="284"/>
      <c r="T541" s="284"/>
      <c r="U541" s="284"/>
      <c r="V541" s="284"/>
      <c r="W541" s="284"/>
      <c r="X541" s="284"/>
      <c r="Y541" s="284"/>
      <c r="Z541" s="284"/>
    </row>
    <row r="542">
      <c r="E542" s="284"/>
      <c r="F542" s="284"/>
      <c r="G542" s="284"/>
      <c r="H542" s="284"/>
      <c r="I542" s="284"/>
      <c r="J542" s="284"/>
      <c r="K542" s="284"/>
      <c r="L542" s="284"/>
      <c r="M542" s="284"/>
      <c r="N542" s="284"/>
      <c r="O542" s="284"/>
      <c r="S542" s="284"/>
      <c r="T542" s="284"/>
      <c r="U542" s="284"/>
      <c r="V542" s="284"/>
      <c r="W542" s="284"/>
      <c r="X542" s="284"/>
      <c r="Y542" s="284"/>
      <c r="Z542" s="284"/>
    </row>
    <row r="543">
      <c r="E543" s="284"/>
      <c r="F543" s="284"/>
      <c r="G543" s="284"/>
      <c r="H543" s="284"/>
      <c r="I543" s="284"/>
      <c r="J543" s="284"/>
      <c r="K543" s="284"/>
      <c r="L543" s="284"/>
      <c r="M543" s="284"/>
      <c r="N543" s="284"/>
      <c r="O543" s="284"/>
      <c r="S543" s="284"/>
      <c r="T543" s="284"/>
      <c r="U543" s="284"/>
      <c r="V543" s="284"/>
      <c r="W543" s="284"/>
      <c r="X543" s="284"/>
      <c r="Y543" s="284"/>
      <c r="Z543" s="284"/>
    </row>
    <row r="544">
      <c r="E544" s="284"/>
      <c r="F544" s="284"/>
      <c r="G544" s="284"/>
      <c r="H544" s="284"/>
      <c r="I544" s="284"/>
      <c r="J544" s="284"/>
      <c r="K544" s="284"/>
      <c r="L544" s="284"/>
      <c r="M544" s="284"/>
      <c r="N544" s="284"/>
      <c r="O544" s="284"/>
      <c r="S544" s="284"/>
      <c r="T544" s="284"/>
      <c r="U544" s="284"/>
      <c r="V544" s="284"/>
      <c r="W544" s="284"/>
      <c r="X544" s="284"/>
      <c r="Y544" s="284"/>
      <c r="Z544" s="284"/>
    </row>
    <row r="545">
      <c r="E545" s="284"/>
      <c r="F545" s="284"/>
      <c r="G545" s="284"/>
      <c r="H545" s="284"/>
      <c r="I545" s="284"/>
      <c r="J545" s="284"/>
      <c r="K545" s="284"/>
      <c r="L545" s="284"/>
      <c r="M545" s="284"/>
      <c r="N545" s="284"/>
      <c r="O545" s="284"/>
      <c r="S545" s="284"/>
      <c r="T545" s="284"/>
      <c r="U545" s="284"/>
      <c r="V545" s="284"/>
      <c r="W545" s="284"/>
      <c r="X545" s="284"/>
      <c r="Y545" s="284"/>
      <c r="Z545" s="284"/>
    </row>
    <row r="546">
      <c r="E546" s="284"/>
      <c r="F546" s="284"/>
      <c r="G546" s="284"/>
      <c r="H546" s="284"/>
      <c r="I546" s="284"/>
      <c r="J546" s="284"/>
      <c r="K546" s="284"/>
      <c r="L546" s="284"/>
      <c r="M546" s="284"/>
      <c r="N546" s="284"/>
      <c r="O546" s="284"/>
      <c r="S546" s="284"/>
      <c r="T546" s="284"/>
      <c r="U546" s="284"/>
      <c r="V546" s="284"/>
      <c r="W546" s="284"/>
      <c r="X546" s="284"/>
      <c r="Y546" s="284"/>
      <c r="Z546" s="284"/>
    </row>
    <row r="547">
      <c r="E547" s="284"/>
      <c r="F547" s="284"/>
      <c r="G547" s="284"/>
      <c r="H547" s="284"/>
      <c r="I547" s="284"/>
      <c r="J547" s="284"/>
      <c r="K547" s="284"/>
      <c r="L547" s="284"/>
      <c r="M547" s="284"/>
      <c r="N547" s="284"/>
      <c r="O547" s="284"/>
      <c r="S547" s="284"/>
      <c r="T547" s="284"/>
      <c r="U547" s="284"/>
      <c r="V547" s="284"/>
      <c r="W547" s="284"/>
      <c r="X547" s="284"/>
      <c r="Y547" s="284"/>
      <c r="Z547" s="284"/>
    </row>
    <row r="548">
      <c r="E548" s="284"/>
      <c r="F548" s="284"/>
      <c r="G548" s="284"/>
      <c r="H548" s="284"/>
      <c r="I548" s="284"/>
      <c r="J548" s="284"/>
      <c r="K548" s="284"/>
      <c r="L548" s="284"/>
      <c r="M548" s="284"/>
      <c r="N548" s="284"/>
      <c r="O548" s="284"/>
      <c r="S548" s="284"/>
      <c r="T548" s="284"/>
      <c r="U548" s="284"/>
      <c r="V548" s="284"/>
      <c r="W548" s="284"/>
      <c r="X548" s="284"/>
      <c r="Y548" s="284"/>
      <c r="Z548" s="284"/>
    </row>
    <row r="549">
      <c r="E549" s="284"/>
      <c r="F549" s="284"/>
      <c r="G549" s="284"/>
      <c r="H549" s="284"/>
      <c r="I549" s="284"/>
      <c r="J549" s="284"/>
      <c r="K549" s="284"/>
      <c r="L549" s="284"/>
      <c r="M549" s="284"/>
      <c r="N549" s="284"/>
      <c r="O549" s="284"/>
      <c r="S549" s="284"/>
      <c r="T549" s="284"/>
      <c r="U549" s="284"/>
      <c r="V549" s="284"/>
      <c r="W549" s="284"/>
      <c r="X549" s="284"/>
      <c r="Y549" s="284"/>
      <c r="Z549" s="284"/>
    </row>
    <row r="550">
      <c r="E550" s="284"/>
      <c r="F550" s="284"/>
      <c r="G550" s="284"/>
      <c r="H550" s="284"/>
      <c r="I550" s="284"/>
      <c r="J550" s="284"/>
      <c r="K550" s="284"/>
      <c r="L550" s="284"/>
      <c r="M550" s="284"/>
      <c r="N550" s="284"/>
      <c r="O550" s="284"/>
      <c r="S550" s="284"/>
      <c r="T550" s="284"/>
      <c r="U550" s="284"/>
      <c r="V550" s="284"/>
      <c r="W550" s="284"/>
      <c r="X550" s="284"/>
      <c r="Y550" s="284"/>
      <c r="Z550" s="284"/>
    </row>
    <row r="551">
      <c r="E551" s="284"/>
      <c r="F551" s="284"/>
      <c r="G551" s="284"/>
      <c r="H551" s="284"/>
      <c r="I551" s="284"/>
      <c r="J551" s="284"/>
      <c r="K551" s="284"/>
      <c r="L551" s="284"/>
      <c r="M551" s="284"/>
      <c r="N551" s="284"/>
      <c r="O551" s="284"/>
      <c r="S551" s="284"/>
      <c r="T551" s="284"/>
      <c r="U551" s="284"/>
      <c r="V551" s="284"/>
      <c r="W551" s="284"/>
      <c r="X551" s="284"/>
      <c r="Y551" s="284"/>
      <c r="Z551" s="284"/>
    </row>
    <row r="552">
      <c r="E552" s="284"/>
      <c r="F552" s="284"/>
      <c r="G552" s="284"/>
      <c r="H552" s="284"/>
      <c r="I552" s="284"/>
      <c r="J552" s="284"/>
      <c r="K552" s="284"/>
      <c r="L552" s="284"/>
      <c r="M552" s="284"/>
      <c r="N552" s="284"/>
      <c r="O552" s="284"/>
      <c r="S552" s="284"/>
      <c r="T552" s="284"/>
      <c r="U552" s="284"/>
      <c r="V552" s="284"/>
      <c r="W552" s="284"/>
      <c r="X552" s="284"/>
      <c r="Y552" s="284"/>
      <c r="Z552" s="284"/>
    </row>
    <row r="553">
      <c r="E553" s="284"/>
      <c r="F553" s="284"/>
      <c r="G553" s="284"/>
      <c r="H553" s="284"/>
      <c r="I553" s="284"/>
      <c r="J553" s="284"/>
      <c r="K553" s="284"/>
      <c r="L553" s="284"/>
      <c r="M553" s="284"/>
      <c r="N553" s="284"/>
      <c r="O553" s="284"/>
      <c r="S553" s="284"/>
      <c r="T553" s="284"/>
      <c r="U553" s="284"/>
      <c r="V553" s="284"/>
      <c r="W553" s="284"/>
      <c r="X553" s="284"/>
      <c r="Y553" s="284"/>
      <c r="Z553" s="284"/>
    </row>
    <row r="554">
      <c r="E554" s="284"/>
      <c r="F554" s="284"/>
      <c r="G554" s="284"/>
      <c r="H554" s="284"/>
      <c r="I554" s="284"/>
      <c r="J554" s="284"/>
      <c r="K554" s="284"/>
      <c r="L554" s="284"/>
      <c r="M554" s="284"/>
      <c r="N554" s="284"/>
      <c r="O554" s="284"/>
      <c r="S554" s="284"/>
      <c r="T554" s="284"/>
      <c r="U554" s="284"/>
      <c r="V554" s="284"/>
      <c r="W554" s="284"/>
      <c r="X554" s="284"/>
      <c r="Y554" s="284"/>
      <c r="Z554" s="284"/>
    </row>
    <row r="555">
      <c r="E555" s="284"/>
      <c r="F555" s="284"/>
      <c r="G555" s="284"/>
      <c r="H555" s="284"/>
      <c r="I555" s="284"/>
      <c r="J555" s="284"/>
      <c r="K555" s="284"/>
      <c r="L555" s="284"/>
      <c r="M555" s="284"/>
      <c r="N555" s="284"/>
      <c r="O555" s="284"/>
      <c r="S555" s="284"/>
      <c r="T555" s="284"/>
      <c r="U555" s="284"/>
      <c r="V555" s="284"/>
      <c r="W555" s="284"/>
      <c r="X555" s="284"/>
      <c r="Y555" s="284"/>
      <c r="Z555" s="284"/>
    </row>
    <row r="556">
      <c r="E556" s="284"/>
      <c r="F556" s="284"/>
      <c r="G556" s="284"/>
      <c r="H556" s="284"/>
      <c r="I556" s="284"/>
      <c r="J556" s="284"/>
      <c r="K556" s="284"/>
      <c r="L556" s="284"/>
      <c r="M556" s="284"/>
      <c r="N556" s="284"/>
      <c r="O556" s="284"/>
      <c r="S556" s="284"/>
      <c r="T556" s="284"/>
      <c r="U556" s="284"/>
      <c r="V556" s="284"/>
      <c r="W556" s="284"/>
      <c r="X556" s="284"/>
      <c r="Y556" s="284"/>
      <c r="Z556" s="284"/>
    </row>
    <row r="557">
      <c r="E557" s="284"/>
      <c r="F557" s="284"/>
      <c r="G557" s="284"/>
      <c r="H557" s="284"/>
      <c r="I557" s="284"/>
      <c r="J557" s="284"/>
      <c r="K557" s="284"/>
      <c r="L557" s="284"/>
      <c r="M557" s="284"/>
      <c r="N557" s="284"/>
      <c r="O557" s="284"/>
      <c r="S557" s="284"/>
      <c r="T557" s="284"/>
      <c r="U557" s="284"/>
      <c r="V557" s="284"/>
      <c r="W557" s="284"/>
      <c r="X557" s="284"/>
      <c r="Y557" s="284"/>
      <c r="Z557" s="284"/>
    </row>
    <row r="558">
      <c r="E558" s="284"/>
      <c r="F558" s="284"/>
      <c r="G558" s="284"/>
      <c r="H558" s="284"/>
      <c r="I558" s="284"/>
      <c r="J558" s="284"/>
      <c r="K558" s="284"/>
      <c r="L558" s="284"/>
      <c r="M558" s="284"/>
      <c r="N558" s="284"/>
      <c r="O558" s="284"/>
      <c r="S558" s="284"/>
      <c r="T558" s="284"/>
      <c r="U558" s="284"/>
      <c r="V558" s="284"/>
      <c r="W558" s="284"/>
      <c r="X558" s="284"/>
      <c r="Y558" s="284"/>
      <c r="Z558" s="284"/>
    </row>
    <row r="559">
      <c r="E559" s="284"/>
      <c r="F559" s="284"/>
      <c r="G559" s="284"/>
      <c r="H559" s="284"/>
      <c r="I559" s="284"/>
      <c r="J559" s="284"/>
      <c r="K559" s="284"/>
      <c r="L559" s="284"/>
      <c r="M559" s="284"/>
      <c r="N559" s="284"/>
      <c r="O559" s="284"/>
      <c r="S559" s="284"/>
      <c r="T559" s="284"/>
      <c r="U559" s="284"/>
      <c r="V559" s="284"/>
      <c r="W559" s="284"/>
      <c r="X559" s="284"/>
      <c r="Y559" s="284"/>
      <c r="Z559" s="284"/>
    </row>
    <row r="560">
      <c r="E560" s="284"/>
      <c r="F560" s="284"/>
      <c r="G560" s="284"/>
      <c r="H560" s="284"/>
      <c r="I560" s="284"/>
      <c r="J560" s="284"/>
      <c r="K560" s="284"/>
      <c r="L560" s="284"/>
      <c r="M560" s="284"/>
      <c r="N560" s="284"/>
      <c r="O560" s="284"/>
      <c r="S560" s="284"/>
      <c r="T560" s="284"/>
      <c r="U560" s="284"/>
      <c r="V560" s="284"/>
      <c r="W560" s="284"/>
      <c r="X560" s="284"/>
      <c r="Y560" s="284"/>
      <c r="Z560" s="284"/>
    </row>
    <row r="561">
      <c r="E561" s="284"/>
      <c r="F561" s="284"/>
      <c r="G561" s="284"/>
      <c r="H561" s="284"/>
      <c r="I561" s="284"/>
      <c r="J561" s="284"/>
      <c r="K561" s="284"/>
      <c r="L561" s="284"/>
      <c r="M561" s="284"/>
      <c r="N561" s="284"/>
      <c r="O561" s="284"/>
      <c r="S561" s="284"/>
      <c r="T561" s="284"/>
      <c r="U561" s="284"/>
      <c r="V561" s="284"/>
      <c r="W561" s="284"/>
      <c r="X561" s="284"/>
      <c r="Y561" s="284"/>
      <c r="Z561" s="284"/>
    </row>
    <row r="562">
      <c r="E562" s="284"/>
      <c r="F562" s="284"/>
      <c r="G562" s="284"/>
      <c r="H562" s="284"/>
      <c r="I562" s="284"/>
      <c r="J562" s="284"/>
      <c r="K562" s="284"/>
      <c r="L562" s="284"/>
      <c r="M562" s="284"/>
      <c r="N562" s="284"/>
      <c r="O562" s="284"/>
      <c r="S562" s="284"/>
      <c r="T562" s="284"/>
      <c r="U562" s="284"/>
      <c r="V562" s="284"/>
      <c r="W562" s="284"/>
      <c r="X562" s="284"/>
      <c r="Y562" s="284"/>
      <c r="Z562" s="284"/>
    </row>
    <row r="563">
      <c r="E563" s="284"/>
      <c r="F563" s="284"/>
      <c r="G563" s="284"/>
      <c r="H563" s="284"/>
      <c r="I563" s="284"/>
      <c r="J563" s="284"/>
      <c r="K563" s="284"/>
      <c r="L563" s="284"/>
      <c r="M563" s="284"/>
      <c r="N563" s="284"/>
      <c r="O563" s="284"/>
      <c r="S563" s="284"/>
      <c r="T563" s="284"/>
      <c r="U563" s="284"/>
      <c r="V563" s="284"/>
      <c r="W563" s="284"/>
      <c r="X563" s="284"/>
      <c r="Y563" s="284"/>
      <c r="Z563" s="284"/>
    </row>
    <row r="564">
      <c r="E564" s="284"/>
      <c r="F564" s="284"/>
      <c r="G564" s="284"/>
      <c r="H564" s="284"/>
      <c r="I564" s="284"/>
      <c r="J564" s="284"/>
      <c r="K564" s="284"/>
      <c r="L564" s="284"/>
      <c r="M564" s="284"/>
      <c r="N564" s="284"/>
      <c r="O564" s="284"/>
      <c r="S564" s="284"/>
      <c r="T564" s="284"/>
      <c r="U564" s="284"/>
      <c r="V564" s="284"/>
      <c r="W564" s="284"/>
      <c r="X564" s="284"/>
      <c r="Y564" s="284"/>
      <c r="Z564" s="284"/>
    </row>
    <row r="565">
      <c r="E565" s="284"/>
      <c r="F565" s="284"/>
      <c r="G565" s="284"/>
      <c r="H565" s="284"/>
      <c r="I565" s="284"/>
      <c r="J565" s="284"/>
      <c r="K565" s="284"/>
      <c r="L565" s="284"/>
      <c r="M565" s="284"/>
      <c r="N565" s="284"/>
      <c r="O565" s="284"/>
      <c r="S565" s="284"/>
      <c r="T565" s="284"/>
      <c r="U565" s="284"/>
      <c r="V565" s="284"/>
      <c r="W565" s="284"/>
      <c r="X565" s="284"/>
      <c r="Y565" s="284"/>
      <c r="Z565" s="284"/>
    </row>
    <row r="566">
      <c r="E566" s="284"/>
      <c r="F566" s="284"/>
      <c r="G566" s="284"/>
      <c r="H566" s="284"/>
      <c r="I566" s="284"/>
      <c r="J566" s="284"/>
      <c r="K566" s="284"/>
      <c r="L566" s="284"/>
      <c r="M566" s="284"/>
      <c r="N566" s="284"/>
      <c r="O566" s="284"/>
      <c r="S566" s="284"/>
      <c r="T566" s="284"/>
      <c r="U566" s="284"/>
      <c r="V566" s="284"/>
      <c r="W566" s="284"/>
      <c r="X566" s="284"/>
      <c r="Y566" s="284"/>
      <c r="Z566" s="284"/>
    </row>
    <row r="567">
      <c r="E567" s="284"/>
      <c r="F567" s="284"/>
      <c r="G567" s="284"/>
      <c r="H567" s="284"/>
      <c r="I567" s="284"/>
      <c r="J567" s="284"/>
      <c r="K567" s="284"/>
      <c r="L567" s="284"/>
      <c r="M567" s="284"/>
      <c r="N567" s="284"/>
      <c r="O567" s="284"/>
      <c r="S567" s="284"/>
      <c r="T567" s="284"/>
      <c r="U567" s="284"/>
      <c r="V567" s="284"/>
      <c r="W567" s="284"/>
      <c r="X567" s="284"/>
      <c r="Y567" s="284"/>
      <c r="Z567" s="284"/>
    </row>
    <row r="568">
      <c r="E568" s="284"/>
      <c r="F568" s="284"/>
      <c r="G568" s="284"/>
      <c r="H568" s="284"/>
      <c r="I568" s="284"/>
      <c r="J568" s="284"/>
      <c r="K568" s="284"/>
      <c r="L568" s="284"/>
      <c r="M568" s="284"/>
      <c r="N568" s="284"/>
      <c r="O568" s="284"/>
      <c r="S568" s="284"/>
      <c r="T568" s="284"/>
      <c r="U568" s="284"/>
      <c r="V568" s="284"/>
      <c r="W568" s="284"/>
      <c r="X568" s="284"/>
      <c r="Y568" s="284"/>
      <c r="Z568" s="284"/>
    </row>
    <row r="569">
      <c r="E569" s="284"/>
      <c r="F569" s="284"/>
      <c r="G569" s="284"/>
      <c r="H569" s="284"/>
      <c r="I569" s="284"/>
      <c r="J569" s="284"/>
      <c r="K569" s="284"/>
      <c r="L569" s="284"/>
      <c r="M569" s="284"/>
      <c r="N569" s="284"/>
      <c r="O569" s="284"/>
      <c r="S569" s="284"/>
      <c r="T569" s="284"/>
      <c r="U569" s="284"/>
      <c r="V569" s="284"/>
      <c r="W569" s="284"/>
      <c r="X569" s="284"/>
      <c r="Y569" s="284"/>
      <c r="Z569" s="284"/>
    </row>
    <row r="570">
      <c r="E570" s="284"/>
      <c r="F570" s="284"/>
      <c r="G570" s="284"/>
      <c r="H570" s="284"/>
      <c r="I570" s="284"/>
      <c r="J570" s="284"/>
      <c r="K570" s="284"/>
      <c r="L570" s="284"/>
      <c r="M570" s="284"/>
      <c r="N570" s="284"/>
      <c r="O570" s="284"/>
      <c r="S570" s="284"/>
      <c r="T570" s="284"/>
      <c r="U570" s="284"/>
      <c r="V570" s="284"/>
      <c r="W570" s="284"/>
      <c r="X570" s="284"/>
      <c r="Y570" s="284"/>
      <c r="Z570" s="284"/>
    </row>
    <row r="571">
      <c r="E571" s="284"/>
      <c r="F571" s="284"/>
      <c r="G571" s="284"/>
      <c r="H571" s="284"/>
      <c r="I571" s="284"/>
      <c r="J571" s="284"/>
      <c r="K571" s="284"/>
      <c r="L571" s="284"/>
      <c r="M571" s="284"/>
      <c r="N571" s="284"/>
      <c r="O571" s="284"/>
      <c r="S571" s="284"/>
      <c r="T571" s="284"/>
      <c r="U571" s="284"/>
      <c r="V571" s="284"/>
      <c r="W571" s="284"/>
      <c r="X571" s="284"/>
      <c r="Y571" s="284"/>
      <c r="Z571" s="284"/>
    </row>
    <row r="572">
      <c r="E572" s="284"/>
      <c r="F572" s="284"/>
      <c r="G572" s="284"/>
      <c r="H572" s="284"/>
      <c r="I572" s="284"/>
      <c r="J572" s="284"/>
      <c r="K572" s="284"/>
      <c r="L572" s="284"/>
      <c r="M572" s="284"/>
      <c r="N572" s="284"/>
      <c r="O572" s="284"/>
      <c r="S572" s="284"/>
      <c r="T572" s="284"/>
      <c r="U572" s="284"/>
      <c r="V572" s="284"/>
      <c r="W572" s="284"/>
      <c r="X572" s="284"/>
      <c r="Y572" s="284"/>
      <c r="Z572" s="284"/>
    </row>
    <row r="573">
      <c r="E573" s="284"/>
      <c r="F573" s="284"/>
      <c r="G573" s="284"/>
      <c r="H573" s="284"/>
      <c r="I573" s="284"/>
      <c r="J573" s="284"/>
      <c r="K573" s="284"/>
      <c r="L573" s="284"/>
      <c r="M573" s="284"/>
      <c r="N573" s="284"/>
      <c r="O573" s="284"/>
      <c r="S573" s="284"/>
      <c r="T573" s="284"/>
      <c r="U573" s="284"/>
      <c r="V573" s="284"/>
      <c r="W573" s="284"/>
      <c r="X573" s="284"/>
      <c r="Y573" s="284"/>
      <c r="Z573" s="284"/>
    </row>
    <row r="574">
      <c r="E574" s="284"/>
      <c r="F574" s="284"/>
      <c r="G574" s="284"/>
      <c r="H574" s="284"/>
      <c r="I574" s="284"/>
      <c r="J574" s="284"/>
      <c r="K574" s="284"/>
      <c r="L574" s="284"/>
      <c r="M574" s="284"/>
      <c r="N574" s="284"/>
      <c r="O574" s="284"/>
      <c r="S574" s="284"/>
      <c r="T574" s="284"/>
      <c r="U574" s="284"/>
      <c r="V574" s="284"/>
      <c r="W574" s="284"/>
      <c r="X574" s="284"/>
      <c r="Y574" s="284"/>
      <c r="Z574" s="284"/>
    </row>
    <row r="575">
      <c r="E575" s="284"/>
      <c r="F575" s="284"/>
      <c r="G575" s="284"/>
      <c r="H575" s="284"/>
      <c r="I575" s="284"/>
      <c r="J575" s="284"/>
      <c r="K575" s="284"/>
      <c r="L575" s="284"/>
      <c r="M575" s="284"/>
      <c r="N575" s="284"/>
      <c r="O575" s="284"/>
      <c r="S575" s="284"/>
      <c r="T575" s="284"/>
      <c r="U575" s="284"/>
      <c r="V575" s="284"/>
      <c r="W575" s="284"/>
      <c r="X575" s="284"/>
      <c r="Y575" s="284"/>
      <c r="Z575" s="284"/>
    </row>
    <row r="576">
      <c r="E576" s="284"/>
      <c r="F576" s="284"/>
      <c r="G576" s="284"/>
      <c r="H576" s="284"/>
      <c r="I576" s="284"/>
      <c r="J576" s="284"/>
      <c r="K576" s="284"/>
      <c r="L576" s="284"/>
      <c r="M576" s="284"/>
      <c r="N576" s="284"/>
      <c r="O576" s="284"/>
      <c r="S576" s="284"/>
      <c r="T576" s="284"/>
      <c r="U576" s="284"/>
      <c r="V576" s="284"/>
      <c r="W576" s="284"/>
      <c r="X576" s="284"/>
      <c r="Y576" s="284"/>
      <c r="Z576" s="284"/>
    </row>
    <row r="577">
      <c r="E577" s="284"/>
      <c r="F577" s="284"/>
      <c r="G577" s="284"/>
      <c r="H577" s="284"/>
      <c r="I577" s="284"/>
      <c r="J577" s="284"/>
      <c r="K577" s="284"/>
      <c r="L577" s="284"/>
      <c r="M577" s="284"/>
      <c r="N577" s="284"/>
      <c r="O577" s="284"/>
      <c r="S577" s="284"/>
      <c r="T577" s="284"/>
      <c r="U577" s="284"/>
      <c r="V577" s="284"/>
      <c r="W577" s="284"/>
      <c r="X577" s="284"/>
      <c r="Y577" s="284"/>
      <c r="Z577" s="284"/>
    </row>
    <row r="578">
      <c r="E578" s="284"/>
      <c r="F578" s="284"/>
      <c r="G578" s="284"/>
      <c r="H578" s="284"/>
      <c r="I578" s="284"/>
      <c r="J578" s="284"/>
      <c r="K578" s="284"/>
      <c r="L578" s="284"/>
      <c r="M578" s="284"/>
      <c r="N578" s="284"/>
      <c r="O578" s="284"/>
      <c r="S578" s="284"/>
      <c r="T578" s="284"/>
      <c r="U578" s="284"/>
      <c r="V578" s="284"/>
      <c r="W578" s="284"/>
      <c r="X578" s="284"/>
      <c r="Y578" s="284"/>
      <c r="Z578" s="284"/>
    </row>
    <row r="579">
      <c r="E579" s="284"/>
      <c r="F579" s="284"/>
      <c r="G579" s="284"/>
      <c r="H579" s="284"/>
      <c r="I579" s="284"/>
      <c r="J579" s="284"/>
      <c r="K579" s="284"/>
      <c r="L579" s="284"/>
      <c r="M579" s="284"/>
      <c r="N579" s="284"/>
      <c r="O579" s="284"/>
      <c r="S579" s="284"/>
      <c r="T579" s="284"/>
      <c r="U579" s="284"/>
      <c r="V579" s="284"/>
      <c r="W579" s="284"/>
      <c r="X579" s="284"/>
      <c r="Y579" s="284"/>
      <c r="Z579" s="284"/>
    </row>
    <row r="580">
      <c r="E580" s="284"/>
      <c r="F580" s="284"/>
      <c r="G580" s="284"/>
      <c r="H580" s="284"/>
      <c r="I580" s="284"/>
      <c r="J580" s="284"/>
      <c r="K580" s="284"/>
      <c r="L580" s="284"/>
      <c r="M580" s="284"/>
      <c r="N580" s="284"/>
      <c r="O580" s="284"/>
      <c r="S580" s="284"/>
      <c r="T580" s="284"/>
      <c r="U580" s="284"/>
      <c r="V580" s="284"/>
      <c r="W580" s="284"/>
      <c r="X580" s="284"/>
      <c r="Y580" s="284"/>
      <c r="Z580" s="284"/>
    </row>
    <row r="581">
      <c r="E581" s="284"/>
      <c r="F581" s="284"/>
      <c r="G581" s="284"/>
      <c r="H581" s="284"/>
      <c r="I581" s="284"/>
      <c r="J581" s="284"/>
      <c r="K581" s="284"/>
      <c r="L581" s="284"/>
      <c r="M581" s="284"/>
      <c r="N581" s="284"/>
      <c r="O581" s="284"/>
      <c r="S581" s="284"/>
      <c r="T581" s="284"/>
      <c r="U581" s="284"/>
      <c r="V581" s="284"/>
      <c r="W581" s="284"/>
      <c r="X581" s="284"/>
      <c r="Y581" s="284"/>
      <c r="Z581" s="284"/>
    </row>
    <row r="582">
      <c r="E582" s="284"/>
      <c r="F582" s="284"/>
      <c r="G582" s="284"/>
      <c r="H582" s="284"/>
      <c r="I582" s="284"/>
      <c r="J582" s="284"/>
      <c r="K582" s="284"/>
      <c r="L582" s="284"/>
      <c r="M582" s="284"/>
      <c r="N582" s="284"/>
      <c r="O582" s="284"/>
      <c r="S582" s="284"/>
      <c r="T582" s="284"/>
      <c r="U582" s="284"/>
      <c r="V582" s="284"/>
      <c r="W582" s="284"/>
      <c r="X582" s="284"/>
      <c r="Y582" s="284"/>
      <c r="Z582" s="284"/>
    </row>
    <row r="583">
      <c r="E583" s="284"/>
      <c r="F583" s="284"/>
      <c r="G583" s="284"/>
      <c r="H583" s="284"/>
      <c r="I583" s="284"/>
      <c r="J583" s="284"/>
      <c r="K583" s="284"/>
      <c r="L583" s="284"/>
      <c r="M583" s="284"/>
      <c r="N583" s="284"/>
      <c r="O583" s="284"/>
      <c r="S583" s="284"/>
      <c r="T583" s="284"/>
      <c r="U583" s="284"/>
      <c r="V583" s="284"/>
      <c r="W583" s="284"/>
      <c r="X583" s="284"/>
      <c r="Y583" s="284"/>
      <c r="Z583" s="284"/>
    </row>
    <row r="584">
      <c r="E584" s="284"/>
      <c r="F584" s="284"/>
      <c r="G584" s="284"/>
      <c r="H584" s="284"/>
      <c r="I584" s="284"/>
      <c r="J584" s="284"/>
      <c r="K584" s="284"/>
      <c r="L584" s="284"/>
      <c r="M584" s="284"/>
      <c r="N584" s="284"/>
      <c r="O584" s="284"/>
      <c r="S584" s="284"/>
      <c r="T584" s="284"/>
      <c r="U584" s="284"/>
      <c r="V584" s="284"/>
      <c r="W584" s="284"/>
      <c r="X584" s="284"/>
      <c r="Y584" s="284"/>
      <c r="Z584" s="284"/>
    </row>
    <row r="585">
      <c r="E585" s="284"/>
      <c r="F585" s="284"/>
      <c r="G585" s="284"/>
      <c r="H585" s="284"/>
      <c r="I585" s="284"/>
      <c r="J585" s="284"/>
      <c r="K585" s="284"/>
      <c r="L585" s="284"/>
      <c r="M585" s="284"/>
      <c r="N585" s="284"/>
      <c r="O585" s="284"/>
      <c r="S585" s="284"/>
      <c r="T585" s="284"/>
      <c r="U585" s="284"/>
      <c r="V585" s="284"/>
      <c r="W585" s="284"/>
      <c r="X585" s="284"/>
      <c r="Y585" s="284"/>
      <c r="Z585" s="284"/>
    </row>
    <row r="586">
      <c r="E586" s="284"/>
      <c r="F586" s="284"/>
      <c r="G586" s="284"/>
      <c r="H586" s="284"/>
      <c r="I586" s="284"/>
      <c r="J586" s="284"/>
      <c r="K586" s="284"/>
      <c r="L586" s="284"/>
      <c r="M586" s="284"/>
      <c r="N586" s="284"/>
      <c r="O586" s="284"/>
      <c r="S586" s="284"/>
      <c r="T586" s="284"/>
      <c r="U586" s="284"/>
      <c r="V586" s="284"/>
      <c r="W586" s="284"/>
      <c r="X586" s="284"/>
      <c r="Y586" s="284"/>
      <c r="Z586" s="284"/>
    </row>
    <row r="587">
      <c r="E587" s="284"/>
      <c r="F587" s="284"/>
      <c r="G587" s="284"/>
      <c r="H587" s="284"/>
      <c r="I587" s="284"/>
      <c r="J587" s="284"/>
      <c r="K587" s="284"/>
      <c r="L587" s="284"/>
      <c r="M587" s="284"/>
      <c r="N587" s="284"/>
      <c r="O587" s="284"/>
      <c r="S587" s="284"/>
      <c r="T587" s="284"/>
      <c r="U587" s="284"/>
      <c r="V587" s="284"/>
      <c r="W587" s="284"/>
      <c r="X587" s="284"/>
      <c r="Y587" s="284"/>
      <c r="Z587" s="284"/>
    </row>
    <row r="588">
      <c r="E588" s="284"/>
      <c r="F588" s="284"/>
      <c r="G588" s="284"/>
      <c r="H588" s="284"/>
      <c r="I588" s="284"/>
      <c r="J588" s="284"/>
      <c r="K588" s="284"/>
      <c r="L588" s="284"/>
      <c r="M588" s="284"/>
      <c r="N588" s="284"/>
      <c r="O588" s="284"/>
      <c r="S588" s="284"/>
      <c r="T588" s="284"/>
      <c r="U588" s="284"/>
      <c r="V588" s="284"/>
      <c r="W588" s="284"/>
      <c r="X588" s="284"/>
      <c r="Y588" s="284"/>
      <c r="Z588" s="284"/>
    </row>
    <row r="589">
      <c r="E589" s="284"/>
      <c r="F589" s="284"/>
      <c r="G589" s="284"/>
      <c r="H589" s="284"/>
      <c r="I589" s="284"/>
      <c r="J589" s="284"/>
      <c r="K589" s="284"/>
      <c r="L589" s="284"/>
      <c r="M589" s="284"/>
      <c r="N589" s="284"/>
      <c r="O589" s="284"/>
      <c r="S589" s="284"/>
      <c r="T589" s="284"/>
      <c r="U589" s="284"/>
      <c r="V589" s="284"/>
      <c r="W589" s="284"/>
      <c r="X589" s="284"/>
      <c r="Y589" s="284"/>
      <c r="Z589" s="284"/>
    </row>
    <row r="590">
      <c r="E590" s="284"/>
      <c r="F590" s="284"/>
      <c r="G590" s="284"/>
      <c r="H590" s="284"/>
      <c r="I590" s="284"/>
      <c r="J590" s="284"/>
      <c r="K590" s="284"/>
      <c r="L590" s="284"/>
      <c r="M590" s="284"/>
      <c r="N590" s="284"/>
      <c r="O590" s="284"/>
      <c r="S590" s="284"/>
      <c r="T590" s="284"/>
      <c r="U590" s="284"/>
      <c r="V590" s="284"/>
      <c r="W590" s="284"/>
      <c r="X590" s="284"/>
      <c r="Y590" s="284"/>
      <c r="Z590" s="284"/>
    </row>
    <row r="591">
      <c r="E591" s="284"/>
      <c r="F591" s="284"/>
      <c r="G591" s="284"/>
      <c r="H591" s="284"/>
      <c r="I591" s="284"/>
      <c r="J591" s="284"/>
      <c r="K591" s="284"/>
      <c r="L591" s="284"/>
      <c r="M591" s="284"/>
      <c r="N591" s="284"/>
      <c r="O591" s="284"/>
      <c r="S591" s="284"/>
      <c r="T591" s="284"/>
      <c r="U591" s="284"/>
      <c r="V591" s="284"/>
      <c r="W591" s="284"/>
      <c r="X591" s="284"/>
      <c r="Y591" s="284"/>
      <c r="Z591" s="284"/>
    </row>
    <row r="592">
      <c r="E592" s="284"/>
      <c r="F592" s="284"/>
      <c r="G592" s="284"/>
      <c r="H592" s="284"/>
      <c r="I592" s="284"/>
      <c r="J592" s="284"/>
      <c r="K592" s="284"/>
      <c r="L592" s="284"/>
      <c r="M592" s="284"/>
      <c r="N592" s="284"/>
      <c r="O592" s="284"/>
      <c r="S592" s="284"/>
      <c r="T592" s="284"/>
      <c r="U592" s="284"/>
      <c r="V592" s="284"/>
      <c r="W592" s="284"/>
      <c r="X592" s="284"/>
      <c r="Y592" s="284"/>
      <c r="Z592" s="284"/>
    </row>
    <row r="593">
      <c r="E593" s="284"/>
      <c r="F593" s="284"/>
      <c r="G593" s="284"/>
      <c r="H593" s="284"/>
      <c r="I593" s="284"/>
      <c r="J593" s="284"/>
      <c r="K593" s="284"/>
      <c r="L593" s="284"/>
      <c r="M593" s="284"/>
      <c r="N593" s="284"/>
      <c r="O593" s="284"/>
      <c r="S593" s="284"/>
      <c r="T593" s="284"/>
      <c r="U593" s="284"/>
      <c r="V593" s="284"/>
      <c r="W593" s="284"/>
      <c r="X593" s="284"/>
      <c r="Y593" s="284"/>
      <c r="Z593" s="284"/>
    </row>
    <row r="594">
      <c r="E594" s="284"/>
      <c r="F594" s="284"/>
      <c r="G594" s="284"/>
      <c r="H594" s="284"/>
      <c r="I594" s="284"/>
      <c r="J594" s="284"/>
      <c r="K594" s="284"/>
      <c r="L594" s="284"/>
      <c r="M594" s="284"/>
      <c r="N594" s="284"/>
      <c r="O594" s="284"/>
      <c r="S594" s="284"/>
      <c r="T594" s="284"/>
      <c r="U594" s="284"/>
      <c r="V594" s="284"/>
      <c r="W594" s="284"/>
      <c r="X594" s="284"/>
      <c r="Y594" s="284"/>
      <c r="Z594" s="284"/>
    </row>
    <row r="595">
      <c r="E595" s="284"/>
      <c r="F595" s="284"/>
      <c r="G595" s="284"/>
      <c r="H595" s="284"/>
      <c r="I595" s="284"/>
      <c r="J595" s="284"/>
      <c r="K595" s="284"/>
      <c r="L595" s="284"/>
      <c r="M595" s="284"/>
      <c r="N595" s="284"/>
      <c r="O595" s="284"/>
      <c r="S595" s="284"/>
      <c r="T595" s="284"/>
      <c r="U595" s="284"/>
      <c r="V595" s="284"/>
      <c r="W595" s="284"/>
      <c r="X595" s="284"/>
      <c r="Y595" s="284"/>
      <c r="Z595" s="284"/>
    </row>
    <row r="596">
      <c r="E596" s="284"/>
      <c r="F596" s="284"/>
      <c r="G596" s="284"/>
      <c r="H596" s="284"/>
      <c r="I596" s="284"/>
      <c r="J596" s="284"/>
      <c r="K596" s="284"/>
      <c r="L596" s="284"/>
      <c r="M596" s="284"/>
      <c r="N596" s="284"/>
      <c r="O596" s="284"/>
      <c r="S596" s="284"/>
      <c r="T596" s="284"/>
      <c r="U596" s="284"/>
      <c r="V596" s="284"/>
      <c r="W596" s="284"/>
      <c r="X596" s="284"/>
      <c r="Y596" s="284"/>
      <c r="Z596" s="284"/>
    </row>
    <row r="597">
      <c r="E597" s="284"/>
      <c r="F597" s="284"/>
      <c r="G597" s="284"/>
      <c r="H597" s="284"/>
      <c r="I597" s="284"/>
      <c r="J597" s="284"/>
      <c r="K597" s="284"/>
      <c r="L597" s="284"/>
      <c r="M597" s="284"/>
      <c r="N597" s="284"/>
      <c r="O597" s="284"/>
      <c r="S597" s="284"/>
      <c r="T597" s="284"/>
      <c r="U597" s="284"/>
      <c r="V597" s="284"/>
      <c r="W597" s="284"/>
      <c r="X597" s="284"/>
      <c r="Y597" s="284"/>
      <c r="Z597" s="284"/>
    </row>
    <row r="598">
      <c r="E598" s="284"/>
      <c r="F598" s="284"/>
      <c r="G598" s="284"/>
      <c r="H598" s="284"/>
      <c r="I598" s="284"/>
      <c r="J598" s="284"/>
      <c r="K598" s="284"/>
      <c r="L598" s="284"/>
      <c r="M598" s="284"/>
      <c r="N598" s="284"/>
      <c r="O598" s="284"/>
      <c r="S598" s="284"/>
      <c r="T598" s="284"/>
      <c r="U598" s="284"/>
      <c r="V598" s="284"/>
      <c r="W598" s="284"/>
      <c r="X598" s="284"/>
      <c r="Y598" s="284"/>
      <c r="Z598" s="284"/>
    </row>
    <row r="599">
      <c r="E599" s="284"/>
      <c r="F599" s="284"/>
      <c r="G599" s="284"/>
      <c r="H599" s="284"/>
      <c r="I599" s="284"/>
      <c r="J599" s="284"/>
      <c r="K599" s="284"/>
      <c r="L599" s="284"/>
      <c r="M599" s="284"/>
      <c r="N599" s="284"/>
      <c r="O599" s="284"/>
      <c r="S599" s="284"/>
      <c r="T599" s="284"/>
      <c r="U599" s="284"/>
      <c r="V599" s="284"/>
      <c r="W599" s="284"/>
      <c r="X599" s="284"/>
      <c r="Y599" s="284"/>
      <c r="Z599" s="284"/>
    </row>
    <row r="600">
      <c r="E600" s="284"/>
      <c r="F600" s="284"/>
      <c r="G600" s="284"/>
      <c r="H600" s="284"/>
      <c r="I600" s="284"/>
      <c r="J600" s="284"/>
      <c r="K600" s="284"/>
      <c r="L600" s="284"/>
      <c r="M600" s="284"/>
      <c r="N600" s="284"/>
      <c r="O600" s="284"/>
      <c r="S600" s="284"/>
      <c r="T600" s="284"/>
      <c r="U600" s="284"/>
      <c r="V600" s="284"/>
      <c r="W600" s="284"/>
      <c r="X600" s="284"/>
      <c r="Y600" s="284"/>
      <c r="Z600" s="284"/>
    </row>
    <row r="601">
      <c r="E601" s="284"/>
      <c r="F601" s="284"/>
      <c r="G601" s="284"/>
      <c r="H601" s="284"/>
      <c r="I601" s="284"/>
      <c r="J601" s="284"/>
      <c r="K601" s="284"/>
      <c r="L601" s="284"/>
      <c r="M601" s="284"/>
      <c r="N601" s="284"/>
      <c r="O601" s="284"/>
      <c r="S601" s="284"/>
      <c r="T601" s="284"/>
      <c r="U601" s="284"/>
      <c r="V601" s="284"/>
      <c r="W601" s="284"/>
      <c r="X601" s="284"/>
      <c r="Y601" s="284"/>
      <c r="Z601" s="284"/>
    </row>
    <row r="602">
      <c r="E602" s="284"/>
      <c r="F602" s="284"/>
      <c r="G602" s="284"/>
      <c r="H602" s="284"/>
      <c r="I602" s="284"/>
      <c r="J602" s="284"/>
      <c r="K602" s="284"/>
      <c r="L602" s="284"/>
      <c r="M602" s="284"/>
      <c r="N602" s="284"/>
      <c r="O602" s="284"/>
      <c r="S602" s="284"/>
      <c r="T602" s="284"/>
      <c r="U602" s="284"/>
      <c r="V602" s="284"/>
      <c r="W602" s="284"/>
      <c r="X602" s="284"/>
      <c r="Y602" s="284"/>
      <c r="Z602" s="284"/>
    </row>
    <row r="603">
      <c r="E603" s="284"/>
      <c r="F603" s="284"/>
      <c r="G603" s="284"/>
      <c r="H603" s="284"/>
      <c r="I603" s="284"/>
      <c r="J603" s="284"/>
      <c r="K603" s="284"/>
      <c r="L603" s="284"/>
      <c r="M603" s="284"/>
      <c r="N603" s="284"/>
      <c r="O603" s="284"/>
      <c r="S603" s="284"/>
      <c r="T603" s="284"/>
      <c r="U603" s="284"/>
      <c r="V603" s="284"/>
      <c r="W603" s="284"/>
      <c r="X603" s="284"/>
      <c r="Y603" s="284"/>
      <c r="Z603" s="284"/>
    </row>
    <row r="604">
      <c r="E604" s="284"/>
      <c r="F604" s="284"/>
      <c r="G604" s="284"/>
      <c r="H604" s="284"/>
      <c r="I604" s="284"/>
      <c r="J604" s="284"/>
      <c r="K604" s="284"/>
      <c r="L604" s="284"/>
      <c r="M604" s="284"/>
      <c r="N604" s="284"/>
      <c r="O604" s="284"/>
      <c r="S604" s="284"/>
      <c r="T604" s="284"/>
      <c r="U604" s="284"/>
      <c r="V604" s="284"/>
      <c r="W604" s="284"/>
      <c r="X604" s="284"/>
      <c r="Y604" s="284"/>
      <c r="Z604" s="284"/>
    </row>
    <row r="605">
      <c r="E605" s="284"/>
      <c r="F605" s="284"/>
      <c r="G605" s="284"/>
      <c r="H605" s="284"/>
      <c r="I605" s="284"/>
      <c r="J605" s="284"/>
      <c r="K605" s="284"/>
      <c r="L605" s="284"/>
      <c r="M605" s="284"/>
      <c r="N605" s="284"/>
      <c r="O605" s="284"/>
      <c r="S605" s="284"/>
      <c r="T605" s="284"/>
      <c r="U605" s="284"/>
      <c r="V605" s="284"/>
      <c r="W605" s="284"/>
      <c r="X605" s="284"/>
      <c r="Y605" s="284"/>
      <c r="Z605" s="284"/>
    </row>
    <row r="606">
      <c r="E606" s="284"/>
      <c r="F606" s="284"/>
      <c r="G606" s="284"/>
      <c r="H606" s="284"/>
      <c r="I606" s="284"/>
      <c r="J606" s="284"/>
      <c r="K606" s="284"/>
      <c r="L606" s="284"/>
      <c r="M606" s="284"/>
      <c r="N606" s="284"/>
      <c r="O606" s="284"/>
      <c r="S606" s="284"/>
      <c r="T606" s="284"/>
      <c r="U606" s="284"/>
      <c r="V606" s="284"/>
      <c r="W606" s="284"/>
      <c r="X606" s="284"/>
      <c r="Y606" s="284"/>
      <c r="Z606" s="284"/>
    </row>
    <row r="607">
      <c r="E607" s="284"/>
      <c r="F607" s="284"/>
      <c r="G607" s="284"/>
      <c r="H607" s="284"/>
      <c r="I607" s="284"/>
      <c r="J607" s="284"/>
      <c r="K607" s="284"/>
      <c r="L607" s="284"/>
      <c r="M607" s="284"/>
      <c r="N607" s="284"/>
      <c r="O607" s="284"/>
      <c r="S607" s="284"/>
      <c r="T607" s="284"/>
      <c r="U607" s="284"/>
      <c r="V607" s="284"/>
      <c r="W607" s="284"/>
      <c r="X607" s="284"/>
      <c r="Y607" s="284"/>
      <c r="Z607" s="284"/>
    </row>
    <row r="608">
      <c r="E608" s="284"/>
      <c r="F608" s="284"/>
      <c r="G608" s="284"/>
      <c r="H608" s="284"/>
      <c r="I608" s="284"/>
      <c r="J608" s="284"/>
      <c r="K608" s="284"/>
      <c r="L608" s="284"/>
      <c r="M608" s="284"/>
      <c r="N608" s="284"/>
      <c r="O608" s="284"/>
      <c r="S608" s="284"/>
      <c r="T608" s="284"/>
      <c r="U608" s="284"/>
      <c r="V608" s="284"/>
      <c r="W608" s="284"/>
      <c r="X608" s="284"/>
      <c r="Y608" s="284"/>
      <c r="Z608" s="284"/>
    </row>
    <row r="609">
      <c r="E609" s="284"/>
      <c r="F609" s="284"/>
      <c r="G609" s="284"/>
      <c r="H609" s="284"/>
      <c r="I609" s="284"/>
      <c r="J609" s="284"/>
      <c r="K609" s="284"/>
      <c r="L609" s="284"/>
      <c r="M609" s="284"/>
      <c r="N609" s="284"/>
      <c r="O609" s="284"/>
      <c r="S609" s="284"/>
      <c r="T609" s="284"/>
      <c r="U609" s="284"/>
      <c r="V609" s="284"/>
      <c r="W609" s="284"/>
      <c r="X609" s="284"/>
      <c r="Y609" s="284"/>
      <c r="Z609" s="284"/>
    </row>
    <row r="610">
      <c r="E610" s="284"/>
      <c r="F610" s="284"/>
      <c r="G610" s="284"/>
      <c r="H610" s="284"/>
      <c r="I610" s="284"/>
      <c r="J610" s="284"/>
      <c r="K610" s="284"/>
      <c r="L610" s="284"/>
      <c r="M610" s="284"/>
      <c r="N610" s="284"/>
      <c r="O610" s="284"/>
      <c r="S610" s="284"/>
      <c r="T610" s="284"/>
      <c r="U610" s="284"/>
      <c r="V610" s="284"/>
      <c r="W610" s="284"/>
      <c r="X610" s="284"/>
      <c r="Y610" s="284"/>
      <c r="Z610" s="284"/>
    </row>
    <row r="611">
      <c r="E611" s="284"/>
      <c r="F611" s="284"/>
      <c r="G611" s="284"/>
      <c r="H611" s="284"/>
      <c r="I611" s="284"/>
      <c r="J611" s="284"/>
      <c r="K611" s="284"/>
      <c r="L611" s="284"/>
      <c r="M611" s="284"/>
      <c r="N611" s="284"/>
      <c r="O611" s="284"/>
      <c r="S611" s="284"/>
      <c r="T611" s="284"/>
      <c r="U611" s="284"/>
      <c r="V611" s="284"/>
      <c r="W611" s="284"/>
      <c r="X611" s="284"/>
      <c r="Y611" s="284"/>
      <c r="Z611" s="284"/>
    </row>
    <row r="612">
      <c r="E612" s="284"/>
      <c r="F612" s="284"/>
      <c r="G612" s="284"/>
      <c r="H612" s="284"/>
      <c r="I612" s="284"/>
      <c r="J612" s="284"/>
      <c r="K612" s="284"/>
      <c r="L612" s="284"/>
      <c r="M612" s="284"/>
      <c r="N612" s="284"/>
      <c r="O612" s="284"/>
      <c r="S612" s="284"/>
      <c r="T612" s="284"/>
      <c r="U612" s="284"/>
      <c r="V612" s="284"/>
      <c r="W612" s="284"/>
      <c r="X612" s="284"/>
      <c r="Y612" s="284"/>
      <c r="Z612" s="284"/>
    </row>
    <row r="613">
      <c r="E613" s="284"/>
      <c r="F613" s="284"/>
      <c r="G613" s="284"/>
      <c r="H613" s="284"/>
      <c r="I613" s="284"/>
      <c r="J613" s="284"/>
      <c r="K613" s="284"/>
      <c r="L613" s="284"/>
      <c r="M613" s="284"/>
      <c r="N613" s="284"/>
      <c r="O613" s="284"/>
      <c r="S613" s="284"/>
      <c r="T613" s="284"/>
      <c r="U613" s="284"/>
      <c r="V613" s="284"/>
      <c r="W613" s="284"/>
      <c r="X613" s="284"/>
      <c r="Y613" s="284"/>
      <c r="Z613" s="284"/>
    </row>
    <row r="614">
      <c r="E614" s="284"/>
      <c r="F614" s="284"/>
      <c r="G614" s="284"/>
      <c r="H614" s="284"/>
      <c r="I614" s="284"/>
      <c r="J614" s="284"/>
      <c r="K614" s="284"/>
      <c r="L614" s="284"/>
      <c r="M614" s="284"/>
      <c r="N614" s="284"/>
      <c r="O614" s="284"/>
      <c r="S614" s="284"/>
      <c r="T614" s="284"/>
      <c r="U614" s="284"/>
      <c r="V614" s="284"/>
      <c r="W614" s="284"/>
      <c r="X614" s="284"/>
      <c r="Y614" s="284"/>
      <c r="Z614" s="284"/>
    </row>
    <row r="615">
      <c r="E615" s="284"/>
      <c r="F615" s="284"/>
      <c r="G615" s="284"/>
      <c r="H615" s="284"/>
      <c r="I615" s="284"/>
      <c r="J615" s="284"/>
      <c r="K615" s="284"/>
      <c r="L615" s="284"/>
      <c r="M615" s="284"/>
      <c r="N615" s="284"/>
      <c r="O615" s="284"/>
      <c r="S615" s="284"/>
      <c r="T615" s="284"/>
      <c r="U615" s="284"/>
      <c r="V615" s="284"/>
      <c r="W615" s="284"/>
      <c r="X615" s="284"/>
      <c r="Y615" s="284"/>
      <c r="Z615" s="284"/>
    </row>
    <row r="616">
      <c r="E616" s="284"/>
      <c r="F616" s="284"/>
      <c r="G616" s="284"/>
      <c r="H616" s="284"/>
      <c r="I616" s="284"/>
      <c r="J616" s="284"/>
      <c r="K616" s="284"/>
      <c r="L616" s="284"/>
      <c r="M616" s="284"/>
      <c r="N616" s="284"/>
      <c r="O616" s="284"/>
      <c r="S616" s="284"/>
      <c r="T616" s="284"/>
      <c r="U616" s="284"/>
      <c r="V616" s="284"/>
      <c r="W616" s="284"/>
      <c r="X616" s="284"/>
      <c r="Y616" s="284"/>
      <c r="Z616" s="284"/>
    </row>
    <row r="617">
      <c r="E617" s="284"/>
      <c r="F617" s="284"/>
      <c r="G617" s="284"/>
      <c r="H617" s="284"/>
      <c r="I617" s="284"/>
      <c r="J617" s="284"/>
      <c r="K617" s="284"/>
      <c r="L617" s="284"/>
      <c r="M617" s="284"/>
      <c r="N617" s="284"/>
      <c r="O617" s="284"/>
      <c r="S617" s="284"/>
      <c r="T617" s="284"/>
      <c r="U617" s="284"/>
      <c r="V617" s="284"/>
      <c r="W617" s="284"/>
      <c r="X617" s="284"/>
      <c r="Y617" s="284"/>
      <c r="Z617" s="284"/>
    </row>
    <row r="618">
      <c r="E618" s="284"/>
      <c r="F618" s="284"/>
      <c r="G618" s="284"/>
      <c r="H618" s="284"/>
      <c r="I618" s="284"/>
      <c r="J618" s="284"/>
      <c r="K618" s="284"/>
      <c r="L618" s="284"/>
      <c r="M618" s="284"/>
      <c r="N618" s="284"/>
      <c r="O618" s="284"/>
      <c r="S618" s="284"/>
      <c r="T618" s="284"/>
      <c r="U618" s="284"/>
      <c r="V618" s="284"/>
      <c r="W618" s="284"/>
      <c r="X618" s="284"/>
      <c r="Y618" s="284"/>
      <c r="Z618" s="284"/>
    </row>
    <row r="619">
      <c r="E619" s="284"/>
      <c r="F619" s="284"/>
      <c r="G619" s="284"/>
      <c r="H619" s="284"/>
      <c r="I619" s="284"/>
      <c r="J619" s="284"/>
      <c r="K619" s="284"/>
      <c r="L619" s="284"/>
      <c r="M619" s="284"/>
      <c r="N619" s="284"/>
      <c r="O619" s="284"/>
      <c r="S619" s="284"/>
      <c r="T619" s="284"/>
      <c r="U619" s="284"/>
      <c r="V619" s="284"/>
      <c r="W619" s="284"/>
      <c r="X619" s="284"/>
      <c r="Y619" s="284"/>
      <c r="Z619" s="284"/>
    </row>
    <row r="620">
      <c r="E620" s="284"/>
      <c r="F620" s="284"/>
      <c r="G620" s="284"/>
      <c r="H620" s="284"/>
      <c r="I620" s="284"/>
      <c r="J620" s="284"/>
      <c r="K620" s="284"/>
      <c r="L620" s="284"/>
      <c r="M620" s="284"/>
      <c r="N620" s="284"/>
      <c r="O620" s="284"/>
      <c r="S620" s="284"/>
      <c r="T620" s="284"/>
      <c r="U620" s="284"/>
      <c r="V620" s="284"/>
      <c r="W620" s="284"/>
      <c r="X620" s="284"/>
      <c r="Y620" s="284"/>
      <c r="Z620" s="284"/>
    </row>
    <row r="621">
      <c r="E621" s="284"/>
      <c r="F621" s="284"/>
      <c r="G621" s="284"/>
      <c r="H621" s="284"/>
      <c r="I621" s="284"/>
      <c r="J621" s="284"/>
      <c r="K621" s="284"/>
      <c r="L621" s="284"/>
      <c r="M621" s="284"/>
      <c r="N621" s="284"/>
      <c r="O621" s="284"/>
      <c r="S621" s="284"/>
      <c r="T621" s="284"/>
      <c r="U621" s="284"/>
      <c r="V621" s="284"/>
      <c r="W621" s="284"/>
      <c r="X621" s="284"/>
      <c r="Y621" s="284"/>
      <c r="Z621" s="284"/>
    </row>
    <row r="622">
      <c r="E622" s="284"/>
      <c r="F622" s="284"/>
      <c r="G622" s="284"/>
      <c r="H622" s="284"/>
      <c r="I622" s="284"/>
      <c r="J622" s="284"/>
      <c r="K622" s="284"/>
      <c r="L622" s="284"/>
      <c r="M622" s="284"/>
      <c r="N622" s="284"/>
      <c r="O622" s="284"/>
      <c r="S622" s="284"/>
      <c r="T622" s="284"/>
      <c r="U622" s="284"/>
      <c r="V622" s="284"/>
      <c r="W622" s="284"/>
      <c r="X622" s="284"/>
      <c r="Y622" s="284"/>
      <c r="Z622" s="284"/>
    </row>
    <row r="623">
      <c r="E623" s="284"/>
      <c r="F623" s="284"/>
      <c r="G623" s="284"/>
      <c r="H623" s="284"/>
      <c r="I623" s="284"/>
      <c r="J623" s="284"/>
      <c r="K623" s="284"/>
      <c r="L623" s="284"/>
      <c r="M623" s="284"/>
      <c r="N623" s="284"/>
      <c r="O623" s="284"/>
      <c r="S623" s="284"/>
      <c r="T623" s="284"/>
      <c r="U623" s="284"/>
      <c r="V623" s="284"/>
      <c r="W623" s="284"/>
      <c r="X623" s="284"/>
      <c r="Y623" s="284"/>
      <c r="Z623" s="284"/>
    </row>
    <row r="624">
      <c r="E624" s="284"/>
      <c r="F624" s="284"/>
      <c r="G624" s="284"/>
      <c r="H624" s="284"/>
      <c r="I624" s="284"/>
      <c r="J624" s="284"/>
      <c r="K624" s="284"/>
      <c r="L624" s="284"/>
      <c r="M624" s="284"/>
      <c r="N624" s="284"/>
      <c r="O624" s="284"/>
      <c r="S624" s="284"/>
      <c r="T624" s="284"/>
      <c r="U624" s="284"/>
      <c r="V624" s="284"/>
      <c r="W624" s="284"/>
      <c r="X624" s="284"/>
      <c r="Y624" s="284"/>
      <c r="Z624" s="284"/>
    </row>
    <row r="625">
      <c r="E625" s="284"/>
      <c r="F625" s="284"/>
      <c r="G625" s="284"/>
      <c r="H625" s="284"/>
      <c r="I625" s="284"/>
      <c r="J625" s="284"/>
      <c r="K625" s="284"/>
      <c r="L625" s="284"/>
      <c r="M625" s="284"/>
      <c r="N625" s="284"/>
      <c r="O625" s="284"/>
      <c r="S625" s="284"/>
      <c r="T625" s="284"/>
      <c r="U625" s="284"/>
      <c r="V625" s="284"/>
      <c r="W625" s="284"/>
      <c r="X625" s="284"/>
      <c r="Y625" s="284"/>
      <c r="Z625" s="284"/>
    </row>
    <row r="626">
      <c r="E626" s="284"/>
      <c r="F626" s="284"/>
      <c r="G626" s="284"/>
      <c r="H626" s="284"/>
      <c r="I626" s="284"/>
      <c r="J626" s="284"/>
      <c r="K626" s="284"/>
      <c r="L626" s="284"/>
      <c r="M626" s="284"/>
      <c r="N626" s="284"/>
      <c r="O626" s="284"/>
      <c r="S626" s="284"/>
      <c r="T626" s="284"/>
      <c r="U626" s="284"/>
      <c r="V626" s="284"/>
      <c r="W626" s="284"/>
      <c r="X626" s="284"/>
      <c r="Y626" s="284"/>
      <c r="Z626" s="284"/>
    </row>
    <row r="627">
      <c r="E627" s="284"/>
      <c r="F627" s="284"/>
      <c r="G627" s="284"/>
      <c r="H627" s="284"/>
      <c r="I627" s="284"/>
      <c r="J627" s="284"/>
      <c r="K627" s="284"/>
      <c r="L627" s="284"/>
      <c r="M627" s="284"/>
      <c r="N627" s="284"/>
      <c r="O627" s="284"/>
      <c r="S627" s="284"/>
      <c r="T627" s="284"/>
      <c r="U627" s="284"/>
      <c r="V627" s="284"/>
      <c r="W627" s="284"/>
      <c r="X627" s="284"/>
      <c r="Y627" s="284"/>
      <c r="Z627" s="284"/>
    </row>
    <row r="628">
      <c r="E628" s="284"/>
      <c r="F628" s="284"/>
      <c r="G628" s="284"/>
      <c r="H628" s="284"/>
      <c r="I628" s="284"/>
      <c r="J628" s="284"/>
      <c r="K628" s="284"/>
      <c r="L628" s="284"/>
      <c r="M628" s="284"/>
      <c r="N628" s="284"/>
      <c r="O628" s="284"/>
      <c r="S628" s="284"/>
      <c r="T628" s="284"/>
      <c r="U628" s="284"/>
      <c r="V628" s="284"/>
      <c r="W628" s="284"/>
      <c r="X628" s="284"/>
      <c r="Y628" s="284"/>
      <c r="Z628" s="284"/>
    </row>
    <row r="629">
      <c r="E629" s="284"/>
      <c r="F629" s="284"/>
      <c r="G629" s="284"/>
      <c r="H629" s="284"/>
      <c r="I629" s="284"/>
      <c r="J629" s="284"/>
      <c r="K629" s="284"/>
      <c r="L629" s="284"/>
      <c r="M629" s="284"/>
      <c r="N629" s="284"/>
      <c r="O629" s="284"/>
      <c r="S629" s="284"/>
      <c r="T629" s="284"/>
      <c r="U629" s="284"/>
      <c r="V629" s="284"/>
      <c r="W629" s="284"/>
      <c r="X629" s="284"/>
      <c r="Y629" s="284"/>
      <c r="Z629" s="284"/>
    </row>
    <row r="630">
      <c r="E630" s="284"/>
      <c r="F630" s="284"/>
      <c r="G630" s="284"/>
      <c r="H630" s="284"/>
      <c r="I630" s="284"/>
      <c r="J630" s="284"/>
      <c r="K630" s="284"/>
      <c r="L630" s="284"/>
      <c r="M630" s="284"/>
      <c r="N630" s="284"/>
      <c r="O630" s="284"/>
      <c r="S630" s="284"/>
      <c r="T630" s="284"/>
      <c r="U630" s="284"/>
      <c r="V630" s="284"/>
      <c r="W630" s="284"/>
      <c r="X630" s="284"/>
      <c r="Y630" s="284"/>
      <c r="Z630" s="284"/>
    </row>
    <row r="631">
      <c r="E631" s="284"/>
      <c r="F631" s="284"/>
      <c r="G631" s="284"/>
      <c r="H631" s="284"/>
      <c r="I631" s="284"/>
      <c r="J631" s="284"/>
      <c r="K631" s="284"/>
      <c r="L631" s="284"/>
      <c r="M631" s="284"/>
      <c r="N631" s="284"/>
      <c r="O631" s="284"/>
      <c r="S631" s="284"/>
      <c r="T631" s="284"/>
      <c r="U631" s="284"/>
      <c r="V631" s="284"/>
      <c r="W631" s="284"/>
      <c r="X631" s="284"/>
      <c r="Y631" s="284"/>
      <c r="Z631" s="284"/>
    </row>
    <row r="632">
      <c r="E632" s="284"/>
      <c r="F632" s="284"/>
      <c r="G632" s="284"/>
      <c r="H632" s="284"/>
      <c r="I632" s="284"/>
      <c r="J632" s="284"/>
      <c r="K632" s="284"/>
      <c r="L632" s="284"/>
      <c r="M632" s="284"/>
      <c r="N632" s="284"/>
      <c r="O632" s="284"/>
      <c r="S632" s="284"/>
      <c r="T632" s="284"/>
      <c r="U632" s="284"/>
      <c r="V632" s="284"/>
      <c r="W632" s="284"/>
      <c r="X632" s="284"/>
      <c r="Y632" s="284"/>
      <c r="Z632" s="284"/>
    </row>
    <row r="633">
      <c r="E633" s="284"/>
      <c r="F633" s="284"/>
      <c r="G633" s="284"/>
      <c r="H633" s="284"/>
      <c r="I633" s="284"/>
      <c r="J633" s="284"/>
      <c r="K633" s="284"/>
      <c r="L633" s="284"/>
      <c r="M633" s="284"/>
      <c r="N633" s="284"/>
      <c r="O633" s="284"/>
      <c r="S633" s="284"/>
      <c r="T633" s="284"/>
      <c r="U633" s="284"/>
      <c r="V633" s="284"/>
      <c r="W633" s="284"/>
      <c r="X633" s="284"/>
      <c r="Y633" s="284"/>
      <c r="Z633" s="284"/>
    </row>
    <row r="634">
      <c r="E634" s="284"/>
      <c r="F634" s="284"/>
      <c r="G634" s="284"/>
      <c r="H634" s="284"/>
      <c r="I634" s="284"/>
      <c r="J634" s="284"/>
      <c r="K634" s="284"/>
      <c r="L634" s="284"/>
      <c r="M634" s="284"/>
      <c r="N634" s="284"/>
      <c r="O634" s="284"/>
      <c r="S634" s="284"/>
      <c r="T634" s="284"/>
      <c r="U634" s="284"/>
      <c r="V634" s="284"/>
      <c r="W634" s="284"/>
      <c r="X634" s="284"/>
      <c r="Y634" s="284"/>
      <c r="Z634" s="284"/>
    </row>
    <row r="635">
      <c r="E635" s="284"/>
      <c r="F635" s="284"/>
      <c r="G635" s="284"/>
      <c r="H635" s="284"/>
      <c r="I635" s="284"/>
      <c r="J635" s="284"/>
      <c r="K635" s="284"/>
      <c r="L635" s="284"/>
      <c r="M635" s="284"/>
      <c r="N635" s="284"/>
      <c r="O635" s="284"/>
      <c r="S635" s="284"/>
      <c r="T635" s="284"/>
      <c r="U635" s="284"/>
      <c r="V635" s="284"/>
      <c r="W635" s="284"/>
      <c r="X635" s="284"/>
      <c r="Y635" s="284"/>
      <c r="Z635" s="284"/>
    </row>
    <row r="636">
      <c r="E636" s="284"/>
      <c r="F636" s="284"/>
      <c r="G636" s="284"/>
      <c r="H636" s="284"/>
      <c r="I636" s="284"/>
      <c r="J636" s="284"/>
      <c r="K636" s="284"/>
      <c r="L636" s="284"/>
      <c r="M636" s="284"/>
      <c r="N636" s="284"/>
      <c r="O636" s="284"/>
      <c r="S636" s="284"/>
      <c r="T636" s="284"/>
      <c r="U636" s="284"/>
      <c r="V636" s="284"/>
      <c r="W636" s="284"/>
      <c r="X636" s="284"/>
      <c r="Y636" s="284"/>
      <c r="Z636" s="284"/>
    </row>
    <row r="637">
      <c r="E637" s="284"/>
      <c r="F637" s="284"/>
      <c r="G637" s="284"/>
      <c r="H637" s="284"/>
      <c r="I637" s="284"/>
      <c r="J637" s="284"/>
      <c r="K637" s="284"/>
      <c r="L637" s="284"/>
      <c r="M637" s="284"/>
      <c r="N637" s="284"/>
      <c r="O637" s="284"/>
      <c r="S637" s="284"/>
      <c r="T637" s="284"/>
      <c r="U637" s="284"/>
      <c r="V637" s="284"/>
      <c r="W637" s="284"/>
      <c r="X637" s="284"/>
      <c r="Y637" s="284"/>
      <c r="Z637" s="284"/>
    </row>
    <row r="638">
      <c r="E638" s="284"/>
      <c r="F638" s="284"/>
      <c r="G638" s="284"/>
      <c r="H638" s="284"/>
      <c r="I638" s="284"/>
      <c r="J638" s="284"/>
      <c r="K638" s="284"/>
      <c r="L638" s="284"/>
      <c r="M638" s="284"/>
      <c r="N638" s="284"/>
      <c r="O638" s="284"/>
      <c r="S638" s="284"/>
      <c r="T638" s="284"/>
      <c r="U638" s="284"/>
      <c r="V638" s="284"/>
      <c r="W638" s="284"/>
      <c r="X638" s="284"/>
      <c r="Y638" s="284"/>
      <c r="Z638" s="284"/>
    </row>
    <row r="639">
      <c r="E639" s="284"/>
      <c r="F639" s="284"/>
      <c r="G639" s="284"/>
      <c r="H639" s="284"/>
      <c r="I639" s="284"/>
      <c r="J639" s="284"/>
      <c r="K639" s="284"/>
      <c r="L639" s="284"/>
      <c r="M639" s="284"/>
      <c r="N639" s="284"/>
      <c r="O639" s="284"/>
      <c r="S639" s="284"/>
      <c r="T639" s="284"/>
      <c r="U639" s="284"/>
      <c r="V639" s="284"/>
      <c r="W639" s="284"/>
      <c r="X639" s="284"/>
      <c r="Y639" s="284"/>
      <c r="Z639" s="284"/>
    </row>
    <row r="640">
      <c r="E640" s="284"/>
      <c r="F640" s="284"/>
      <c r="G640" s="284"/>
      <c r="H640" s="284"/>
      <c r="I640" s="284"/>
      <c r="J640" s="284"/>
      <c r="K640" s="284"/>
      <c r="L640" s="284"/>
      <c r="M640" s="284"/>
      <c r="N640" s="284"/>
      <c r="O640" s="284"/>
      <c r="S640" s="284"/>
      <c r="T640" s="284"/>
      <c r="U640" s="284"/>
      <c r="V640" s="284"/>
      <c r="W640" s="284"/>
      <c r="X640" s="284"/>
      <c r="Y640" s="284"/>
      <c r="Z640" s="284"/>
    </row>
    <row r="641">
      <c r="E641" s="284"/>
      <c r="F641" s="284"/>
      <c r="G641" s="284"/>
      <c r="H641" s="284"/>
      <c r="I641" s="284"/>
      <c r="J641" s="284"/>
      <c r="K641" s="284"/>
      <c r="L641" s="284"/>
      <c r="M641" s="284"/>
      <c r="N641" s="284"/>
      <c r="O641" s="284"/>
      <c r="S641" s="284"/>
      <c r="T641" s="284"/>
      <c r="U641" s="284"/>
      <c r="V641" s="284"/>
      <c r="W641" s="284"/>
      <c r="X641" s="284"/>
      <c r="Y641" s="284"/>
      <c r="Z641" s="284"/>
    </row>
    <row r="642">
      <c r="E642" s="284"/>
      <c r="F642" s="284"/>
      <c r="G642" s="284"/>
      <c r="H642" s="284"/>
      <c r="I642" s="284"/>
      <c r="J642" s="284"/>
      <c r="K642" s="284"/>
      <c r="L642" s="284"/>
      <c r="M642" s="284"/>
      <c r="N642" s="284"/>
      <c r="O642" s="284"/>
      <c r="S642" s="284"/>
      <c r="T642" s="284"/>
      <c r="U642" s="284"/>
      <c r="V642" s="284"/>
      <c r="W642" s="284"/>
      <c r="X642" s="284"/>
      <c r="Y642" s="284"/>
      <c r="Z642" s="284"/>
    </row>
    <row r="643">
      <c r="E643" s="284"/>
      <c r="F643" s="284"/>
      <c r="G643" s="284"/>
      <c r="H643" s="284"/>
      <c r="I643" s="284"/>
      <c r="J643" s="284"/>
      <c r="K643" s="284"/>
      <c r="L643" s="284"/>
      <c r="M643" s="284"/>
      <c r="N643" s="284"/>
      <c r="O643" s="284"/>
      <c r="S643" s="284"/>
      <c r="T643" s="284"/>
      <c r="U643" s="284"/>
      <c r="V643" s="284"/>
      <c r="W643" s="284"/>
      <c r="X643" s="284"/>
      <c r="Y643" s="284"/>
      <c r="Z643" s="284"/>
    </row>
    <row r="644">
      <c r="E644" s="284"/>
      <c r="F644" s="284"/>
      <c r="G644" s="284"/>
      <c r="H644" s="284"/>
      <c r="I644" s="284"/>
      <c r="J644" s="284"/>
      <c r="K644" s="284"/>
      <c r="L644" s="284"/>
      <c r="M644" s="284"/>
      <c r="N644" s="284"/>
      <c r="O644" s="284"/>
      <c r="S644" s="284"/>
      <c r="T644" s="284"/>
      <c r="U644" s="284"/>
      <c r="V644" s="284"/>
      <c r="W644" s="284"/>
      <c r="X644" s="284"/>
      <c r="Y644" s="284"/>
      <c r="Z644" s="284"/>
    </row>
    <row r="645">
      <c r="E645" s="284"/>
      <c r="F645" s="284"/>
      <c r="G645" s="284"/>
      <c r="H645" s="284"/>
      <c r="I645" s="284"/>
      <c r="J645" s="284"/>
      <c r="K645" s="284"/>
      <c r="L645" s="284"/>
      <c r="M645" s="284"/>
      <c r="N645" s="284"/>
      <c r="O645" s="284"/>
      <c r="S645" s="284"/>
      <c r="T645" s="284"/>
      <c r="U645" s="284"/>
      <c r="V645" s="284"/>
      <c r="W645" s="284"/>
      <c r="X645" s="284"/>
      <c r="Y645" s="284"/>
      <c r="Z645" s="284"/>
    </row>
    <row r="646">
      <c r="E646" s="284"/>
      <c r="F646" s="284"/>
      <c r="G646" s="284"/>
      <c r="H646" s="284"/>
      <c r="I646" s="284"/>
      <c r="J646" s="284"/>
      <c r="K646" s="284"/>
      <c r="L646" s="284"/>
      <c r="M646" s="284"/>
      <c r="N646" s="284"/>
      <c r="O646" s="284"/>
      <c r="S646" s="284"/>
      <c r="T646" s="284"/>
      <c r="U646" s="284"/>
      <c r="V646" s="284"/>
      <c r="W646" s="284"/>
      <c r="X646" s="284"/>
      <c r="Y646" s="284"/>
      <c r="Z646" s="284"/>
    </row>
    <row r="647">
      <c r="E647" s="284"/>
      <c r="F647" s="284"/>
      <c r="G647" s="284"/>
      <c r="H647" s="284"/>
      <c r="I647" s="284"/>
      <c r="J647" s="284"/>
      <c r="K647" s="284"/>
      <c r="L647" s="284"/>
      <c r="M647" s="284"/>
      <c r="N647" s="284"/>
      <c r="O647" s="284"/>
      <c r="S647" s="284"/>
      <c r="T647" s="284"/>
      <c r="U647" s="284"/>
      <c r="V647" s="284"/>
      <c r="W647" s="284"/>
      <c r="X647" s="284"/>
      <c r="Y647" s="284"/>
      <c r="Z647" s="284"/>
    </row>
    <row r="648">
      <c r="E648" s="284"/>
      <c r="F648" s="284"/>
      <c r="G648" s="284"/>
      <c r="H648" s="284"/>
      <c r="I648" s="284"/>
      <c r="J648" s="284"/>
      <c r="K648" s="284"/>
      <c r="L648" s="284"/>
      <c r="M648" s="284"/>
      <c r="N648" s="284"/>
      <c r="O648" s="284"/>
      <c r="S648" s="284"/>
      <c r="T648" s="284"/>
      <c r="U648" s="284"/>
      <c r="V648" s="284"/>
      <c r="W648" s="284"/>
      <c r="X648" s="284"/>
      <c r="Y648" s="284"/>
      <c r="Z648" s="284"/>
    </row>
    <row r="649">
      <c r="E649" s="284"/>
      <c r="F649" s="284"/>
      <c r="G649" s="284"/>
      <c r="H649" s="284"/>
      <c r="I649" s="284"/>
      <c r="J649" s="284"/>
      <c r="K649" s="284"/>
      <c r="L649" s="284"/>
      <c r="M649" s="284"/>
      <c r="N649" s="284"/>
      <c r="O649" s="284"/>
      <c r="S649" s="284"/>
      <c r="T649" s="284"/>
      <c r="U649" s="284"/>
      <c r="V649" s="284"/>
      <c r="W649" s="284"/>
      <c r="X649" s="284"/>
      <c r="Y649" s="284"/>
      <c r="Z649" s="284"/>
    </row>
    <row r="650">
      <c r="E650" s="284"/>
      <c r="F650" s="284"/>
      <c r="G650" s="284"/>
      <c r="H650" s="284"/>
      <c r="I650" s="284"/>
      <c r="J650" s="284"/>
      <c r="K650" s="284"/>
      <c r="L650" s="284"/>
      <c r="M650" s="284"/>
      <c r="N650" s="284"/>
      <c r="O650" s="284"/>
      <c r="S650" s="284"/>
      <c r="T650" s="284"/>
      <c r="U650" s="284"/>
      <c r="V650" s="284"/>
      <c r="W650" s="284"/>
      <c r="X650" s="284"/>
      <c r="Y650" s="284"/>
      <c r="Z650" s="284"/>
    </row>
    <row r="651">
      <c r="E651" s="284"/>
      <c r="F651" s="284"/>
      <c r="G651" s="284"/>
      <c r="H651" s="284"/>
      <c r="I651" s="284"/>
      <c r="J651" s="284"/>
      <c r="K651" s="284"/>
      <c r="L651" s="284"/>
      <c r="M651" s="284"/>
      <c r="N651" s="284"/>
      <c r="O651" s="284"/>
      <c r="S651" s="284"/>
      <c r="T651" s="284"/>
      <c r="U651" s="284"/>
      <c r="V651" s="284"/>
      <c r="W651" s="284"/>
      <c r="X651" s="284"/>
      <c r="Y651" s="284"/>
      <c r="Z651" s="284"/>
    </row>
    <row r="652">
      <c r="E652" s="284"/>
      <c r="F652" s="284"/>
      <c r="G652" s="284"/>
      <c r="H652" s="284"/>
      <c r="I652" s="284"/>
      <c r="J652" s="284"/>
      <c r="K652" s="284"/>
      <c r="L652" s="284"/>
      <c r="M652" s="284"/>
      <c r="N652" s="284"/>
      <c r="O652" s="284"/>
      <c r="S652" s="284"/>
      <c r="T652" s="284"/>
      <c r="U652" s="284"/>
      <c r="V652" s="284"/>
      <c r="W652" s="284"/>
      <c r="X652" s="284"/>
      <c r="Y652" s="284"/>
      <c r="Z652" s="284"/>
    </row>
    <row r="653">
      <c r="E653" s="284"/>
      <c r="F653" s="284"/>
      <c r="G653" s="284"/>
      <c r="H653" s="284"/>
      <c r="I653" s="284"/>
      <c r="J653" s="284"/>
      <c r="K653" s="284"/>
      <c r="L653" s="284"/>
      <c r="M653" s="284"/>
      <c r="N653" s="284"/>
      <c r="O653" s="284"/>
      <c r="S653" s="284"/>
      <c r="T653" s="284"/>
      <c r="U653" s="284"/>
      <c r="V653" s="284"/>
      <c r="W653" s="284"/>
      <c r="X653" s="284"/>
      <c r="Y653" s="284"/>
      <c r="Z653" s="284"/>
    </row>
    <row r="654">
      <c r="E654" s="284"/>
      <c r="F654" s="284"/>
      <c r="G654" s="284"/>
      <c r="H654" s="284"/>
      <c r="I654" s="284"/>
      <c r="J654" s="284"/>
      <c r="K654" s="284"/>
      <c r="L654" s="284"/>
      <c r="M654" s="284"/>
      <c r="N654" s="284"/>
      <c r="O654" s="284"/>
      <c r="S654" s="284"/>
      <c r="T654" s="284"/>
      <c r="U654" s="284"/>
      <c r="V654" s="284"/>
      <c r="W654" s="284"/>
      <c r="X654" s="284"/>
      <c r="Y654" s="284"/>
      <c r="Z654" s="284"/>
    </row>
    <row r="655">
      <c r="E655" s="284"/>
      <c r="F655" s="284"/>
      <c r="G655" s="284"/>
      <c r="H655" s="284"/>
      <c r="I655" s="284"/>
      <c r="J655" s="284"/>
      <c r="K655" s="284"/>
      <c r="L655" s="284"/>
      <c r="M655" s="284"/>
      <c r="N655" s="284"/>
      <c r="O655" s="284"/>
      <c r="S655" s="284"/>
      <c r="T655" s="284"/>
      <c r="U655" s="284"/>
      <c r="V655" s="284"/>
      <c r="W655" s="284"/>
      <c r="X655" s="284"/>
      <c r="Y655" s="284"/>
      <c r="Z655" s="284"/>
    </row>
    <row r="656">
      <c r="E656" s="284"/>
      <c r="F656" s="284"/>
      <c r="G656" s="284"/>
      <c r="H656" s="284"/>
      <c r="I656" s="284"/>
      <c r="J656" s="284"/>
      <c r="K656" s="284"/>
      <c r="L656" s="284"/>
      <c r="M656" s="284"/>
      <c r="N656" s="284"/>
      <c r="O656" s="284"/>
      <c r="S656" s="284"/>
      <c r="T656" s="284"/>
      <c r="U656" s="284"/>
      <c r="V656" s="284"/>
      <c r="W656" s="284"/>
      <c r="X656" s="284"/>
      <c r="Y656" s="284"/>
      <c r="Z656" s="284"/>
    </row>
    <row r="657">
      <c r="E657" s="284"/>
      <c r="F657" s="284"/>
      <c r="G657" s="284"/>
      <c r="H657" s="284"/>
      <c r="I657" s="284"/>
      <c r="J657" s="284"/>
      <c r="K657" s="284"/>
      <c r="L657" s="284"/>
      <c r="M657" s="284"/>
      <c r="N657" s="284"/>
      <c r="O657" s="284"/>
      <c r="S657" s="284"/>
      <c r="T657" s="284"/>
      <c r="U657" s="284"/>
      <c r="V657" s="284"/>
      <c r="W657" s="284"/>
      <c r="X657" s="284"/>
      <c r="Y657" s="284"/>
      <c r="Z657" s="284"/>
    </row>
    <row r="658">
      <c r="E658" s="284"/>
      <c r="F658" s="284"/>
      <c r="G658" s="284"/>
      <c r="H658" s="284"/>
      <c r="I658" s="284"/>
      <c r="J658" s="284"/>
      <c r="K658" s="284"/>
      <c r="L658" s="284"/>
      <c r="M658" s="284"/>
      <c r="N658" s="284"/>
      <c r="O658" s="284"/>
      <c r="S658" s="284"/>
      <c r="T658" s="284"/>
      <c r="U658" s="284"/>
      <c r="V658" s="284"/>
      <c r="W658" s="284"/>
      <c r="X658" s="284"/>
      <c r="Y658" s="284"/>
      <c r="Z658" s="284"/>
    </row>
    <row r="659">
      <c r="E659" s="284"/>
      <c r="F659" s="284"/>
      <c r="G659" s="284"/>
      <c r="H659" s="284"/>
      <c r="I659" s="284"/>
      <c r="J659" s="284"/>
      <c r="K659" s="284"/>
      <c r="L659" s="284"/>
      <c r="M659" s="284"/>
      <c r="N659" s="284"/>
      <c r="O659" s="284"/>
      <c r="S659" s="284"/>
      <c r="T659" s="284"/>
      <c r="U659" s="284"/>
      <c r="V659" s="284"/>
      <c r="W659" s="284"/>
      <c r="X659" s="284"/>
      <c r="Y659" s="284"/>
      <c r="Z659" s="284"/>
    </row>
    <row r="660">
      <c r="E660" s="284"/>
      <c r="F660" s="284"/>
      <c r="G660" s="284"/>
      <c r="H660" s="284"/>
      <c r="I660" s="284"/>
      <c r="J660" s="284"/>
      <c r="K660" s="284"/>
      <c r="L660" s="284"/>
      <c r="M660" s="284"/>
      <c r="N660" s="284"/>
      <c r="O660" s="284"/>
      <c r="S660" s="284"/>
      <c r="T660" s="284"/>
      <c r="U660" s="284"/>
      <c r="V660" s="284"/>
      <c r="W660" s="284"/>
      <c r="X660" s="284"/>
      <c r="Y660" s="284"/>
      <c r="Z660" s="284"/>
    </row>
    <row r="661">
      <c r="E661" s="284"/>
      <c r="F661" s="284"/>
      <c r="G661" s="284"/>
      <c r="H661" s="284"/>
      <c r="I661" s="284"/>
      <c r="J661" s="284"/>
      <c r="K661" s="284"/>
      <c r="L661" s="284"/>
      <c r="M661" s="284"/>
      <c r="N661" s="284"/>
      <c r="O661" s="284"/>
      <c r="S661" s="284"/>
      <c r="T661" s="284"/>
      <c r="U661" s="284"/>
      <c r="V661" s="284"/>
      <c r="W661" s="284"/>
      <c r="X661" s="284"/>
      <c r="Y661" s="284"/>
      <c r="Z661" s="284"/>
    </row>
    <row r="662">
      <c r="E662" s="284"/>
      <c r="F662" s="284"/>
      <c r="G662" s="284"/>
      <c r="H662" s="284"/>
      <c r="I662" s="284"/>
      <c r="J662" s="284"/>
      <c r="K662" s="284"/>
      <c r="L662" s="284"/>
      <c r="M662" s="284"/>
      <c r="N662" s="284"/>
      <c r="O662" s="284"/>
      <c r="S662" s="284"/>
      <c r="T662" s="284"/>
      <c r="U662" s="284"/>
      <c r="V662" s="284"/>
      <c r="W662" s="284"/>
      <c r="X662" s="284"/>
      <c r="Y662" s="284"/>
      <c r="Z662" s="284"/>
    </row>
    <row r="663">
      <c r="E663" s="284"/>
      <c r="F663" s="284"/>
      <c r="G663" s="284"/>
      <c r="H663" s="284"/>
      <c r="I663" s="284"/>
      <c r="J663" s="284"/>
      <c r="K663" s="284"/>
      <c r="L663" s="284"/>
      <c r="M663" s="284"/>
      <c r="N663" s="284"/>
      <c r="O663" s="284"/>
      <c r="S663" s="284"/>
      <c r="T663" s="284"/>
      <c r="U663" s="284"/>
      <c r="V663" s="284"/>
      <c r="W663" s="284"/>
      <c r="X663" s="284"/>
      <c r="Y663" s="284"/>
      <c r="Z663" s="284"/>
    </row>
    <row r="664">
      <c r="E664" s="284"/>
      <c r="F664" s="284"/>
      <c r="G664" s="284"/>
      <c r="H664" s="284"/>
      <c r="I664" s="284"/>
      <c r="J664" s="284"/>
      <c r="K664" s="284"/>
      <c r="L664" s="284"/>
      <c r="M664" s="284"/>
      <c r="N664" s="284"/>
      <c r="O664" s="284"/>
      <c r="S664" s="284"/>
      <c r="T664" s="284"/>
      <c r="U664" s="284"/>
      <c r="V664" s="284"/>
      <c r="W664" s="284"/>
      <c r="X664" s="284"/>
      <c r="Y664" s="284"/>
      <c r="Z664" s="284"/>
    </row>
    <row r="665">
      <c r="E665" s="284"/>
      <c r="F665" s="284"/>
      <c r="G665" s="284"/>
      <c r="H665" s="284"/>
      <c r="I665" s="284"/>
      <c r="J665" s="284"/>
      <c r="K665" s="284"/>
      <c r="L665" s="284"/>
      <c r="M665" s="284"/>
      <c r="N665" s="284"/>
      <c r="O665" s="284"/>
      <c r="S665" s="284"/>
      <c r="T665" s="284"/>
      <c r="U665" s="284"/>
      <c r="V665" s="284"/>
      <c r="W665" s="284"/>
      <c r="X665" s="284"/>
      <c r="Y665" s="284"/>
      <c r="Z665" s="284"/>
    </row>
    <row r="666">
      <c r="E666" s="284"/>
      <c r="F666" s="284"/>
      <c r="G666" s="284"/>
      <c r="H666" s="284"/>
      <c r="I666" s="284"/>
      <c r="J666" s="284"/>
      <c r="K666" s="284"/>
      <c r="L666" s="284"/>
      <c r="M666" s="284"/>
      <c r="N666" s="284"/>
      <c r="O666" s="284"/>
      <c r="S666" s="284"/>
      <c r="T666" s="284"/>
      <c r="U666" s="284"/>
      <c r="V666" s="284"/>
      <c r="W666" s="284"/>
      <c r="X666" s="284"/>
      <c r="Y666" s="284"/>
      <c r="Z666" s="284"/>
    </row>
    <row r="667">
      <c r="E667" s="284"/>
      <c r="F667" s="284"/>
      <c r="G667" s="284"/>
      <c r="H667" s="284"/>
      <c r="I667" s="284"/>
      <c r="J667" s="284"/>
      <c r="K667" s="284"/>
      <c r="L667" s="284"/>
      <c r="M667" s="284"/>
      <c r="N667" s="284"/>
      <c r="O667" s="284"/>
      <c r="S667" s="284"/>
      <c r="T667" s="284"/>
      <c r="U667" s="284"/>
      <c r="V667" s="284"/>
      <c r="W667" s="284"/>
      <c r="X667" s="284"/>
      <c r="Y667" s="284"/>
      <c r="Z667" s="284"/>
    </row>
    <row r="668">
      <c r="E668" s="284"/>
      <c r="F668" s="284"/>
      <c r="G668" s="284"/>
      <c r="H668" s="284"/>
      <c r="I668" s="284"/>
      <c r="J668" s="284"/>
      <c r="K668" s="284"/>
      <c r="L668" s="284"/>
      <c r="M668" s="284"/>
      <c r="N668" s="284"/>
      <c r="O668" s="284"/>
      <c r="S668" s="284"/>
      <c r="T668" s="284"/>
      <c r="U668" s="284"/>
      <c r="V668" s="284"/>
      <c r="W668" s="284"/>
      <c r="X668" s="284"/>
      <c r="Y668" s="284"/>
      <c r="Z668" s="284"/>
    </row>
    <row r="669">
      <c r="E669" s="284"/>
      <c r="F669" s="284"/>
      <c r="G669" s="284"/>
      <c r="H669" s="284"/>
      <c r="I669" s="284"/>
      <c r="J669" s="284"/>
      <c r="K669" s="284"/>
      <c r="L669" s="284"/>
      <c r="M669" s="284"/>
      <c r="N669" s="284"/>
      <c r="O669" s="284"/>
      <c r="S669" s="284"/>
      <c r="T669" s="284"/>
      <c r="U669" s="284"/>
      <c r="V669" s="284"/>
      <c r="W669" s="284"/>
      <c r="X669" s="284"/>
      <c r="Y669" s="284"/>
      <c r="Z669" s="284"/>
    </row>
    <row r="670">
      <c r="E670" s="284"/>
      <c r="F670" s="284"/>
      <c r="G670" s="284"/>
      <c r="H670" s="284"/>
      <c r="I670" s="284"/>
      <c r="J670" s="284"/>
      <c r="K670" s="284"/>
      <c r="L670" s="284"/>
      <c r="M670" s="284"/>
      <c r="N670" s="284"/>
      <c r="O670" s="284"/>
      <c r="S670" s="284"/>
      <c r="T670" s="284"/>
      <c r="U670" s="284"/>
      <c r="V670" s="284"/>
      <c r="W670" s="284"/>
      <c r="X670" s="284"/>
      <c r="Y670" s="284"/>
      <c r="Z670" s="284"/>
    </row>
    <row r="671">
      <c r="E671" s="284"/>
      <c r="F671" s="284"/>
      <c r="G671" s="284"/>
      <c r="H671" s="284"/>
      <c r="I671" s="284"/>
      <c r="J671" s="284"/>
      <c r="K671" s="284"/>
      <c r="L671" s="284"/>
      <c r="M671" s="284"/>
      <c r="N671" s="284"/>
      <c r="O671" s="284"/>
      <c r="S671" s="284"/>
      <c r="T671" s="284"/>
      <c r="U671" s="284"/>
      <c r="V671" s="284"/>
      <c r="W671" s="284"/>
      <c r="X671" s="284"/>
      <c r="Y671" s="284"/>
      <c r="Z671" s="284"/>
    </row>
    <row r="672">
      <c r="E672" s="284"/>
      <c r="F672" s="284"/>
      <c r="G672" s="284"/>
      <c r="H672" s="284"/>
      <c r="I672" s="284"/>
      <c r="J672" s="284"/>
      <c r="K672" s="284"/>
      <c r="L672" s="284"/>
      <c r="M672" s="284"/>
      <c r="N672" s="284"/>
      <c r="O672" s="284"/>
      <c r="S672" s="284"/>
      <c r="T672" s="284"/>
      <c r="U672" s="284"/>
      <c r="V672" s="284"/>
      <c r="W672" s="284"/>
      <c r="X672" s="284"/>
      <c r="Y672" s="284"/>
      <c r="Z672" s="284"/>
    </row>
    <row r="673">
      <c r="E673" s="284"/>
      <c r="F673" s="284"/>
      <c r="G673" s="284"/>
      <c r="H673" s="284"/>
      <c r="I673" s="284"/>
      <c r="J673" s="284"/>
      <c r="K673" s="284"/>
      <c r="L673" s="284"/>
      <c r="M673" s="284"/>
      <c r="N673" s="284"/>
      <c r="O673" s="284"/>
      <c r="S673" s="284"/>
      <c r="T673" s="284"/>
      <c r="U673" s="284"/>
      <c r="V673" s="284"/>
      <c r="W673" s="284"/>
      <c r="X673" s="284"/>
      <c r="Y673" s="284"/>
      <c r="Z673" s="284"/>
    </row>
    <row r="674">
      <c r="E674" s="284"/>
      <c r="F674" s="284"/>
      <c r="G674" s="284"/>
      <c r="H674" s="284"/>
      <c r="I674" s="284"/>
      <c r="J674" s="284"/>
      <c r="K674" s="284"/>
      <c r="L674" s="284"/>
      <c r="M674" s="284"/>
      <c r="N674" s="284"/>
      <c r="O674" s="284"/>
      <c r="S674" s="284"/>
      <c r="T674" s="284"/>
      <c r="U674" s="284"/>
      <c r="V674" s="284"/>
      <c r="W674" s="284"/>
      <c r="X674" s="284"/>
      <c r="Y674" s="284"/>
      <c r="Z674" s="284"/>
    </row>
    <row r="675">
      <c r="E675" s="284"/>
      <c r="F675" s="284"/>
      <c r="G675" s="284"/>
      <c r="H675" s="284"/>
      <c r="I675" s="284"/>
      <c r="J675" s="284"/>
      <c r="K675" s="284"/>
      <c r="L675" s="284"/>
      <c r="M675" s="284"/>
      <c r="N675" s="284"/>
      <c r="O675" s="284"/>
      <c r="S675" s="284"/>
      <c r="T675" s="284"/>
      <c r="U675" s="284"/>
      <c r="V675" s="284"/>
      <c r="W675" s="284"/>
      <c r="X675" s="284"/>
      <c r="Y675" s="284"/>
      <c r="Z675" s="284"/>
    </row>
    <row r="676">
      <c r="E676" s="284"/>
      <c r="F676" s="284"/>
      <c r="G676" s="284"/>
      <c r="H676" s="284"/>
      <c r="I676" s="284"/>
      <c r="J676" s="284"/>
      <c r="K676" s="284"/>
      <c r="L676" s="284"/>
      <c r="M676" s="284"/>
      <c r="N676" s="284"/>
      <c r="O676" s="284"/>
      <c r="S676" s="284"/>
      <c r="T676" s="284"/>
      <c r="U676" s="284"/>
      <c r="V676" s="284"/>
      <c r="W676" s="284"/>
      <c r="X676" s="284"/>
      <c r="Y676" s="284"/>
      <c r="Z676" s="284"/>
    </row>
    <row r="677">
      <c r="E677" s="284"/>
      <c r="F677" s="284"/>
      <c r="G677" s="284"/>
      <c r="H677" s="284"/>
      <c r="I677" s="284"/>
      <c r="J677" s="284"/>
      <c r="K677" s="284"/>
      <c r="L677" s="284"/>
      <c r="M677" s="284"/>
      <c r="N677" s="284"/>
      <c r="O677" s="284"/>
      <c r="S677" s="284"/>
      <c r="T677" s="284"/>
      <c r="U677" s="284"/>
      <c r="V677" s="284"/>
      <c r="W677" s="284"/>
      <c r="X677" s="284"/>
      <c r="Y677" s="284"/>
      <c r="Z677" s="284"/>
    </row>
    <row r="678">
      <c r="E678" s="284"/>
      <c r="F678" s="284"/>
      <c r="G678" s="284"/>
      <c r="H678" s="284"/>
      <c r="I678" s="284"/>
      <c r="J678" s="284"/>
      <c r="K678" s="284"/>
      <c r="L678" s="284"/>
      <c r="M678" s="284"/>
      <c r="N678" s="284"/>
      <c r="O678" s="284"/>
      <c r="S678" s="284"/>
      <c r="T678" s="284"/>
      <c r="U678" s="284"/>
      <c r="V678" s="284"/>
      <c r="W678" s="284"/>
      <c r="X678" s="284"/>
      <c r="Y678" s="284"/>
      <c r="Z678" s="284"/>
    </row>
    <row r="679">
      <c r="E679" s="284"/>
      <c r="F679" s="284"/>
      <c r="G679" s="284"/>
      <c r="H679" s="284"/>
      <c r="I679" s="284"/>
      <c r="J679" s="284"/>
      <c r="K679" s="284"/>
      <c r="L679" s="284"/>
      <c r="M679" s="284"/>
      <c r="N679" s="284"/>
      <c r="O679" s="284"/>
      <c r="S679" s="284"/>
      <c r="T679" s="284"/>
      <c r="U679" s="284"/>
      <c r="V679" s="284"/>
      <c r="W679" s="284"/>
      <c r="X679" s="284"/>
      <c r="Y679" s="284"/>
      <c r="Z679" s="284"/>
    </row>
    <row r="680">
      <c r="E680" s="284"/>
      <c r="F680" s="284"/>
      <c r="G680" s="284"/>
      <c r="H680" s="284"/>
      <c r="I680" s="284"/>
      <c r="J680" s="284"/>
      <c r="K680" s="284"/>
      <c r="L680" s="284"/>
      <c r="M680" s="284"/>
      <c r="N680" s="284"/>
      <c r="O680" s="284"/>
      <c r="S680" s="284"/>
      <c r="T680" s="284"/>
      <c r="U680" s="284"/>
      <c r="V680" s="284"/>
      <c r="W680" s="284"/>
      <c r="X680" s="284"/>
      <c r="Y680" s="284"/>
      <c r="Z680" s="284"/>
    </row>
    <row r="681">
      <c r="E681" s="284"/>
      <c r="F681" s="284"/>
      <c r="G681" s="284"/>
      <c r="H681" s="284"/>
      <c r="I681" s="284"/>
      <c r="J681" s="284"/>
      <c r="K681" s="284"/>
      <c r="L681" s="284"/>
      <c r="M681" s="284"/>
      <c r="N681" s="284"/>
      <c r="O681" s="284"/>
      <c r="S681" s="284"/>
      <c r="T681" s="284"/>
      <c r="U681" s="284"/>
      <c r="V681" s="284"/>
      <c r="W681" s="284"/>
      <c r="X681" s="284"/>
      <c r="Y681" s="284"/>
      <c r="Z681" s="284"/>
    </row>
    <row r="682">
      <c r="E682" s="284"/>
      <c r="F682" s="284"/>
      <c r="G682" s="284"/>
      <c r="H682" s="284"/>
      <c r="I682" s="284"/>
      <c r="J682" s="284"/>
      <c r="K682" s="284"/>
      <c r="L682" s="284"/>
      <c r="M682" s="284"/>
      <c r="N682" s="284"/>
      <c r="O682" s="284"/>
      <c r="S682" s="284"/>
      <c r="T682" s="284"/>
      <c r="U682" s="284"/>
      <c r="V682" s="284"/>
      <c r="W682" s="284"/>
      <c r="X682" s="284"/>
      <c r="Y682" s="284"/>
      <c r="Z682" s="284"/>
    </row>
    <row r="683">
      <c r="E683" s="284"/>
      <c r="F683" s="284"/>
      <c r="G683" s="284"/>
      <c r="H683" s="284"/>
      <c r="I683" s="284"/>
      <c r="J683" s="284"/>
      <c r="K683" s="284"/>
      <c r="L683" s="284"/>
      <c r="M683" s="284"/>
      <c r="N683" s="284"/>
      <c r="O683" s="284"/>
      <c r="S683" s="284"/>
      <c r="T683" s="284"/>
      <c r="U683" s="284"/>
      <c r="V683" s="284"/>
      <c r="W683" s="284"/>
      <c r="X683" s="284"/>
      <c r="Y683" s="284"/>
      <c r="Z683" s="284"/>
    </row>
    <row r="684">
      <c r="E684" s="284"/>
      <c r="F684" s="284"/>
      <c r="G684" s="284"/>
      <c r="H684" s="284"/>
      <c r="I684" s="284"/>
      <c r="J684" s="284"/>
      <c r="K684" s="284"/>
      <c r="L684" s="284"/>
      <c r="M684" s="284"/>
      <c r="N684" s="284"/>
      <c r="O684" s="284"/>
      <c r="S684" s="284"/>
      <c r="T684" s="284"/>
      <c r="U684" s="284"/>
      <c r="V684" s="284"/>
      <c r="W684" s="284"/>
      <c r="X684" s="284"/>
      <c r="Y684" s="284"/>
      <c r="Z684" s="284"/>
    </row>
    <row r="685">
      <c r="E685" s="284"/>
      <c r="F685" s="284"/>
      <c r="G685" s="284"/>
      <c r="H685" s="284"/>
      <c r="I685" s="284"/>
      <c r="J685" s="284"/>
      <c r="K685" s="284"/>
      <c r="L685" s="284"/>
      <c r="M685" s="284"/>
      <c r="N685" s="284"/>
      <c r="O685" s="284"/>
      <c r="S685" s="284"/>
      <c r="T685" s="284"/>
      <c r="U685" s="284"/>
      <c r="V685" s="284"/>
      <c r="W685" s="284"/>
      <c r="X685" s="284"/>
      <c r="Y685" s="284"/>
      <c r="Z685" s="284"/>
    </row>
    <row r="686">
      <c r="E686" s="284"/>
      <c r="F686" s="284"/>
      <c r="G686" s="284"/>
      <c r="H686" s="284"/>
      <c r="I686" s="284"/>
      <c r="J686" s="284"/>
      <c r="K686" s="284"/>
      <c r="L686" s="284"/>
      <c r="M686" s="284"/>
      <c r="N686" s="284"/>
      <c r="O686" s="284"/>
      <c r="S686" s="284"/>
      <c r="T686" s="284"/>
      <c r="U686" s="284"/>
      <c r="V686" s="284"/>
      <c r="W686" s="284"/>
      <c r="X686" s="284"/>
      <c r="Y686" s="284"/>
      <c r="Z686" s="284"/>
    </row>
    <row r="687">
      <c r="E687" s="284"/>
      <c r="F687" s="284"/>
      <c r="G687" s="284"/>
      <c r="H687" s="284"/>
      <c r="I687" s="284"/>
      <c r="J687" s="284"/>
      <c r="K687" s="284"/>
      <c r="L687" s="284"/>
      <c r="M687" s="284"/>
      <c r="N687" s="284"/>
      <c r="O687" s="284"/>
      <c r="S687" s="284"/>
      <c r="T687" s="284"/>
      <c r="U687" s="284"/>
      <c r="V687" s="284"/>
      <c r="W687" s="284"/>
      <c r="X687" s="284"/>
      <c r="Y687" s="284"/>
      <c r="Z687" s="284"/>
    </row>
    <row r="688">
      <c r="E688" s="284"/>
      <c r="F688" s="284"/>
      <c r="G688" s="284"/>
      <c r="H688" s="284"/>
      <c r="I688" s="284"/>
      <c r="J688" s="284"/>
      <c r="K688" s="284"/>
      <c r="L688" s="284"/>
      <c r="M688" s="284"/>
      <c r="N688" s="284"/>
      <c r="O688" s="284"/>
      <c r="S688" s="284"/>
      <c r="T688" s="284"/>
      <c r="U688" s="284"/>
      <c r="V688" s="284"/>
      <c r="W688" s="284"/>
      <c r="X688" s="284"/>
      <c r="Y688" s="284"/>
      <c r="Z688" s="284"/>
    </row>
    <row r="689">
      <c r="E689" s="284"/>
      <c r="F689" s="284"/>
      <c r="G689" s="284"/>
      <c r="H689" s="284"/>
      <c r="I689" s="284"/>
      <c r="J689" s="284"/>
      <c r="K689" s="284"/>
      <c r="L689" s="284"/>
      <c r="M689" s="284"/>
      <c r="N689" s="284"/>
      <c r="O689" s="284"/>
      <c r="S689" s="284"/>
      <c r="T689" s="284"/>
      <c r="U689" s="284"/>
      <c r="V689" s="284"/>
      <c r="W689" s="284"/>
      <c r="X689" s="284"/>
      <c r="Y689" s="284"/>
      <c r="Z689" s="284"/>
    </row>
    <row r="690">
      <c r="E690" s="284"/>
      <c r="F690" s="284"/>
      <c r="G690" s="284"/>
      <c r="H690" s="284"/>
      <c r="I690" s="284"/>
      <c r="J690" s="284"/>
      <c r="K690" s="284"/>
      <c r="L690" s="284"/>
      <c r="M690" s="284"/>
      <c r="N690" s="284"/>
      <c r="O690" s="284"/>
      <c r="S690" s="284"/>
      <c r="T690" s="284"/>
      <c r="U690" s="284"/>
      <c r="V690" s="284"/>
      <c r="W690" s="284"/>
      <c r="X690" s="284"/>
      <c r="Y690" s="284"/>
      <c r="Z690" s="284"/>
    </row>
    <row r="691">
      <c r="E691" s="284"/>
      <c r="F691" s="284"/>
      <c r="G691" s="284"/>
      <c r="H691" s="284"/>
      <c r="I691" s="284"/>
      <c r="J691" s="284"/>
      <c r="K691" s="284"/>
      <c r="L691" s="284"/>
      <c r="M691" s="284"/>
      <c r="N691" s="284"/>
      <c r="O691" s="284"/>
      <c r="S691" s="284"/>
      <c r="T691" s="284"/>
      <c r="U691" s="284"/>
      <c r="V691" s="284"/>
      <c r="W691" s="284"/>
      <c r="X691" s="284"/>
      <c r="Y691" s="284"/>
      <c r="Z691" s="284"/>
    </row>
    <row r="692">
      <c r="E692" s="284"/>
      <c r="F692" s="284"/>
      <c r="G692" s="284"/>
      <c r="H692" s="284"/>
      <c r="I692" s="284"/>
      <c r="J692" s="284"/>
      <c r="K692" s="284"/>
      <c r="L692" s="284"/>
      <c r="M692" s="284"/>
      <c r="N692" s="284"/>
      <c r="O692" s="284"/>
      <c r="S692" s="284"/>
      <c r="T692" s="284"/>
      <c r="U692" s="284"/>
      <c r="V692" s="284"/>
      <c r="W692" s="284"/>
      <c r="X692" s="284"/>
      <c r="Y692" s="284"/>
      <c r="Z692" s="284"/>
    </row>
    <row r="693">
      <c r="E693" s="284"/>
      <c r="F693" s="284"/>
      <c r="G693" s="284"/>
      <c r="H693" s="284"/>
      <c r="I693" s="284"/>
      <c r="J693" s="284"/>
      <c r="K693" s="284"/>
      <c r="L693" s="284"/>
      <c r="M693" s="284"/>
      <c r="N693" s="284"/>
      <c r="O693" s="284"/>
      <c r="S693" s="284"/>
      <c r="T693" s="284"/>
      <c r="U693" s="284"/>
      <c r="V693" s="284"/>
      <c r="W693" s="284"/>
      <c r="X693" s="284"/>
      <c r="Y693" s="284"/>
      <c r="Z693" s="284"/>
    </row>
    <row r="694">
      <c r="E694" s="284"/>
      <c r="F694" s="284"/>
      <c r="G694" s="284"/>
      <c r="H694" s="284"/>
      <c r="I694" s="284"/>
      <c r="J694" s="284"/>
      <c r="K694" s="284"/>
      <c r="L694" s="284"/>
      <c r="M694" s="284"/>
      <c r="N694" s="284"/>
      <c r="O694" s="284"/>
      <c r="S694" s="284"/>
      <c r="T694" s="284"/>
      <c r="U694" s="284"/>
      <c r="V694" s="284"/>
      <c r="W694" s="284"/>
      <c r="X694" s="284"/>
      <c r="Y694" s="284"/>
      <c r="Z694" s="284"/>
    </row>
    <row r="695">
      <c r="E695" s="284"/>
      <c r="F695" s="284"/>
      <c r="G695" s="284"/>
      <c r="H695" s="284"/>
      <c r="I695" s="284"/>
      <c r="J695" s="284"/>
      <c r="K695" s="284"/>
      <c r="L695" s="284"/>
      <c r="M695" s="284"/>
      <c r="N695" s="284"/>
      <c r="O695" s="284"/>
      <c r="S695" s="284"/>
      <c r="T695" s="284"/>
      <c r="U695" s="284"/>
      <c r="V695" s="284"/>
      <c r="W695" s="284"/>
      <c r="X695" s="284"/>
      <c r="Y695" s="284"/>
      <c r="Z695" s="284"/>
    </row>
    <row r="696">
      <c r="E696" s="284"/>
      <c r="F696" s="284"/>
      <c r="G696" s="284"/>
      <c r="H696" s="284"/>
      <c r="I696" s="284"/>
      <c r="J696" s="284"/>
      <c r="K696" s="284"/>
      <c r="L696" s="284"/>
      <c r="M696" s="284"/>
      <c r="N696" s="284"/>
      <c r="O696" s="284"/>
      <c r="S696" s="284"/>
      <c r="T696" s="284"/>
      <c r="U696" s="284"/>
      <c r="V696" s="284"/>
      <c r="W696" s="284"/>
      <c r="X696" s="284"/>
      <c r="Y696" s="284"/>
      <c r="Z696" s="284"/>
    </row>
    <row r="697">
      <c r="E697" s="284"/>
      <c r="F697" s="284"/>
      <c r="G697" s="284"/>
      <c r="H697" s="284"/>
      <c r="I697" s="284"/>
      <c r="J697" s="284"/>
      <c r="K697" s="284"/>
      <c r="L697" s="284"/>
      <c r="M697" s="284"/>
      <c r="N697" s="284"/>
      <c r="O697" s="284"/>
      <c r="S697" s="284"/>
      <c r="T697" s="284"/>
      <c r="U697" s="284"/>
      <c r="V697" s="284"/>
      <c r="W697" s="284"/>
      <c r="X697" s="284"/>
      <c r="Y697" s="284"/>
      <c r="Z697" s="284"/>
    </row>
    <row r="698">
      <c r="E698" s="284"/>
      <c r="F698" s="284"/>
      <c r="G698" s="284"/>
      <c r="H698" s="284"/>
      <c r="I698" s="284"/>
      <c r="J698" s="284"/>
      <c r="K698" s="284"/>
      <c r="L698" s="284"/>
      <c r="M698" s="284"/>
      <c r="N698" s="284"/>
      <c r="O698" s="284"/>
      <c r="S698" s="284"/>
      <c r="T698" s="284"/>
      <c r="U698" s="284"/>
      <c r="V698" s="284"/>
      <c r="W698" s="284"/>
      <c r="X698" s="284"/>
      <c r="Y698" s="284"/>
      <c r="Z698" s="284"/>
    </row>
    <row r="699">
      <c r="E699" s="284"/>
      <c r="F699" s="284"/>
      <c r="G699" s="284"/>
      <c r="H699" s="284"/>
      <c r="I699" s="284"/>
      <c r="J699" s="284"/>
      <c r="K699" s="284"/>
      <c r="L699" s="284"/>
      <c r="M699" s="284"/>
      <c r="N699" s="284"/>
      <c r="O699" s="284"/>
      <c r="S699" s="284"/>
      <c r="T699" s="284"/>
      <c r="U699" s="284"/>
      <c r="V699" s="284"/>
      <c r="W699" s="284"/>
      <c r="X699" s="284"/>
      <c r="Y699" s="284"/>
      <c r="Z699" s="284"/>
    </row>
    <row r="700">
      <c r="E700" s="284"/>
      <c r="F700" s="284"/>
      <c r="G700" s="284"/>
      <c r="H700" s="284"/>
      <c r="I700" s="284"/>
      <c r="J700" s="284"/>
      <c r="K700" s="284"/>
      <c r="L700" s="284"/>
      <c r="M700" s="284"/>
      <c r="N700" s="284"/>
      <c r="O700" s="284"/>
      <c r="S700" s="284"/>
      <c r="T700" s="284"/>
      <c r="U700" s="284"/>
      <c r="V700" s="284"/>
      <c r="W700" s="284"/>
      <c r="X700" s="284"/>
      <c r="Y700" s="284"/>
      <c r="Z700" s="284"/>
    </row>
    <row r="701">
      <c r="E701" s="284"/>
      <c r="F701" s="284"/>
      <c r="G701" s="284"/>
      <c r="H701" s="284"/>
      <c r="I701" s="284"/>
      <c r="J701" s="284"/>
      <c r="K701" s="284"/>
      <c r="L701" s="284"/>
      <c r="M701" s="284"/>
      <c r="N701" s="284"/>
      <c r="O701" s="284"/>
      <c r="S701" s="284"/>
      <c r="T701" s="284"/>
      <c r="U701" s="284"/>
      <c r="V701" s="284"/>
      <c r="W701" s="284"/>
      <c r="X701" s="284"/>
      <c r="Y701" s="284"/>
      <c r="Z701" s="284"/>
    </row>
    <row r="702">
      <c r="E702" s="284"/>
      <c r="F702" s="284"/>
      <c r="G702" s="284"/>
      <c r="H702" s="284"/>
      <c r="I702" s="284"/>
      <c r="J702" s="284"/>
      <c r="K702" s="284"/>
      <c r="L702" s="284"/>
      <c r="M702" s="284"/>
      <c r="N702" s="284"/>
      <c r="O702" s="284"/>
      <c r="S702" s="284"/>
      <c r="T702" s="284"/>
      <c r="U702" s="284"/>
      <c r="V702" s="284"/>
      <c r="W702" s="284"/>
      <c r="X702" s="284"/>
      <c r="Y702" s="284"/>
      <c r="Z702" s="284"/>
    </row>
    <row r="703">
      <c r="E703" s="284"/>
      <c r="F703" s="284"/>
      <c r="G703" s="284"/>
      <c r="H703" s="284"/>
      <c r="I703" s="284"/>
      <c r="J703" s="284"/>
      <c r="K703" s="284"/>
      <c r="L703" s="284"/>
      <c r="M703" s="284"/>
      <c r="N703" s="284"/>
      <c r="O703" s="284"/>
      <c r="S703" s="284"/>
      <c r="T703" s="284"/>
      <c r="U703" s="284"/>
      <c r="V703" s="284"/>
      <c r="W703" s="284"/>
      <c r="X703" s="284"/>
      <c r="Y703" s="284"/>
      <c r="Z703" s="284"/>
    </row>
    <row r="704">
      <c r="E704" s="284"/>
      <c r="F704" s="284"/>
      <c r="G704" s="284"/>
      <c r="H704" s="284"/>
      <c r="I704" s="284"/>
      <c r="J704" s="284"/>
      <c r="K704" s="284"/>
      <c r="L704" s="284"/>
      <c r="M704" s="284"/>
      <c r="N704" s="284"/>
      <c r="O704" s="284"/>
      <c r="S704" s="284"/>
      <c r="T704" s="284"/>
      <c r="U704" s="284"/>
      <c r="V704" s="284"/>
      <c r="W704" s="284"/>
      <c r="X704" s="284"/>
      <c r="Y704" s="284"/>
      <c r="Z704" s="284"/>
    </row>
    <row r="705">
      <c r="E705" s="284"/>
      <c r="F705" s="284"/>
      <c r="G705" s="284"/>
      <c r="H705" s="284"/>
      <c r="I705" s="284"/>
      <c r="J705" s="284"/>
      <c r="K705" s="284"/>
      <c r="L705" s="284"/>
      <c r="M705" s="284"/>
      <c r="N705" s="284"/>
      <c r="O705" s="284"/>
      <c r="S705" s="284"/>
      <c r="T705" s="284"/>
      <c r="U705" s="284"/>
      <c r="V705" s="284"/>
      <c r="W705" s="284"/>
      <c r="X705" s="284"/>
      <c r="Y705" s="284"/>
      <c r="Z705" s="284"/>
    </row>
    <row r="706">
      <c r="E706" s="284"/>
      <c r="F706" s="284"/>
      <c r="G706" s="284"/>
      <c r="H706" s="284"/>
      <c r="I706" s="284"/>
      <c r="J706" s="284"/>
      <c r="K706" s="284"/>
      <c r="L706" s="284"/>
      <c r="M706" s="284"/>
      <c r="N706" s="284"/>
      <c r="O706" s="284"/>
      <c r="S706" s="284"/>
      <c r="T706" s="284"/>
      <c r="U706" s="284"/>
      <c r="V706" s="284"/>
      <c r="W706" s="284"/>
      <c r="X706" s="284"/>
      <c r="Y706" s="284"/>
      <c r="Z706" s="284"/>
    </row>
    <row r="707">
      <c r="E707" s="284"/>
      <c r="F707" s="284"/>
      <c r="G707" s="284"/>
      <c r="H707" s="284"/>
      <c r="I707" s="284"/>
      <c r="J707" s="284"/>
      <c r="K707" s="284"/>
      <c r="L707" s="284"/>
      <c r="M707" s="284"/>
      <c r="N707" s="284"/>
      <c r="O707" s="284"/>
      <c r="S707" s="284"/>
      <c r="T707" s="284"/>
      <c r="U707" s="284"/>
      <c r="V707" s="284"/>
      <c r="W707" s="284"/>
      <c r="X707" s="284"/>
      <c r="Y707" s="284"/>
      <c r="Z707" s="284"/>
    </row>
    <row r="708">
      <c r="E708" s="284"/>
      <c r="F708" s="284"/>
      <c r="G708" s="284"/>
      <c r="H708" s="284"/>
      <c r="I708" s="284"/>
      <c r="J708" s="284"/>
      <c r="K708" s="284"/>
      <c r="L708" s="284"/>
      <c r="M708" s="284"/>
      <c r="N708" s="284"/>
      <c r="O708" s="284"/>
      <c r="S708" s="284"/>
      <c r="T708" s="284"/>
      <c r="U708" s="284"/>
      <c r="V708" s="284"/>
      <c r="W708" s="284"/>
      <c r="X708" s="284"/>
      <c r="Y708" s="284"/>
      <c r="Z708" s="284"/>
    </row>
    <row r="709">
      <c r="E709" s="284"/>
      <c r="F709" s="284"/>
      <c r="G709" s="284"/>
      <c r="H709" s="284"/>
      <c r="I709" s="284"/>
      <c r="J709" s="284"/>
      <c r="K709" s="284"/>
      <c r="L709" s="284"/>
      <c r="M709" s="284"/>
      <c r="N709" s="284"/>
      <c r="O709" s="284"/>
      <c r="S709" s="284"/>
      <c r="T709" s="284"/>
      <c r="U709" s="284"/>
      <c r="V709" s="284"/>
      <c r="W709" s="284"/>
      <c r="X709" s="284"/>
      <c r="Y709" s="284"/>
      <c r="Z709" s="284"/>
    </row>
    <row r="710">
      <c r="E710" s="284"/>
      <c r="F710" s="284"/>
      <c r="G710" s="284"/>
      <c r="H710" s="284"/>
      <c r="I710" s="284"/>
      <c r="J710" s="284"/>
      <c r="K710" s="284"/>
      <c r="L710" s="284"/>
      <c r="M710" s="284"/>
      <c r="N710" s="284"/>
      <c r="O710" s="284"/>
      <c r="S710" s="284"/>
      <c r="T710" s="284"/>
      <c r="U710" s="284"/>
      <c r="V710" s="284"/>
      <c r="W710" s="284"/>
      <c r="X710" s="284"/>
      <c r="Y710" s="284"/>
      <c r="Z710" s="284"/>
    </row>
    <row r="711">
      <c r="E711" s="284"/>
      <c r="F711" s="284"/>
      <c r="G711" s="284"/>
      <c r="H711" s="284"/>
      <c r="I711" s="284"/>
      <c r="J711" s="284"/>
      <c r="K711" s="284"/>
      <c r="L711" s="284"/>
      <c r="M711" s="284"/>
      <c r="N711" s="284"/>
      <c r="O711" s="284"/>
      <c r="S711" s="284"/>
      <c r="T711" s="284"/>
      <c r="U711" s="284"/>
      <c r="V711" s="284"/>
      <c r="W711" s="284"/>
      <c r="X711" s="284"/>
      <c r="Y711" s="284"/>
      <c r="Z711" s="284"/>
    </row>
    <row r="712">
      <c r="E712" s="284"/>
      <c r="F712" s="284"/>
      <c r="G712" s="284"/>
      <c r="H712" s="284"/>
      <c r="I712" s="284"/>
      <c r="J712" s="284"/>
      <c r="K712" s="284"/>
      <c r="L712" s="284"/>
      <c r="M712" s="284"/>
      <c r="N712" s="284"/>
      <c r="O712" s="284"/>
      <c r="S712" s="284"/>
      <c r="T712" s="284"/>
      <c r="U712" s="284"/>
      <c r="V712" s="284"/>
      <c r="W712" s="284"/>
      <c r="X712" s="284"/>
      <c r="Y712" s="284"/>
      <c r="Z712" s="284"/>
    </row>
    <row r="713">
      <c r="E713" s="284"/>
      <c r="F713" s="284"/>
      <c r="G713" s="284"/>
      <c r="H713" s="284"/>
      <c r="I713" s="284"/>
      <c r="J713" s="284"/>
      <c r="K713" s="284"/>
      <c r="L713" s="284"/>
      <c r="M713" s="284"/>
      <c r="N713" s="284"/>
      <c r="O713" s="284"/>
      <c r="S713" s="284"/>
      <c r="T713" s="284"/>
      <c r="U713" s="284"/>
      <c r="V713" s="284"/>
      <c r="W713" s="284"/>
      <c r="X713" s="284"/>
      <c r="Y713" s="284"/>
      <c r="Z713" s="284"/>
    </row>
    <row r="714">
      <c r="E714" s="284"/>
      <c r="F714" s="284"/>
      <c r="G714" s="284"/>
      <c r="H714" s="284"/>
      <c r="I714" s="284"/>
      <c r="J714" s="284"/>
      <c r="K714" s="284"/>
      <c r="L714" s="284"/>
      <c r="M714" s="284"/>
      <c r="N714" s="284"/>
      <c r="O714" s="284"/>
      <c r="S714" s="284"/>
      <c r="T714" s="284"/>
      <c r="U714" s="284"/>
      <c r="V714" s="284"/>
      <c r="W714" s="284"/>
      <c r="X714" s="284"/>
      <c r="Y714" s="284"/>
      <c r="Z714" s="284"/>
    </row>
    <row r="715">
      <c r="E715" s="284"/>
      <c r="F715" s="284"/>
      <c r="G715" s="284"/>
      <c r="H715" s="284"/>
      <c r="I715" s="284"/>
      <c r="J715" s="284"/>
      <c r="K715" s="284"/>
      <c r="L715" s="284"/>
      <c r="M715" s="284"/>
      <c r="N715" s="284"/>
      <c r="O715" s="284"/>
      <c r="S715" s="284"/>
      <c r="T715" s="284"/>
      <c r="U715" s="284"/>
      <c r="V715" s="284"/>
      <c r="W715" s="284"/>
      <c r="X715" s="284"/>
      <c r="Y715" s="284"/>
      <c r="Z715" s="284"/>
    </row>
    <row r="716">
      <c r="E716" s="284"/>
      <c r="F716" s="284"/>
      <c r="G716" s="284"/>
      <c r="H716" s="284"/>
      <c r="I716" s="284"/>
      <c r="J716" s="284"/>
      <c r="K716" s="284"/>
      <c r="L716" s="284"/>
      <c r="M716" s="284"/>
      <c r="N716" s="284"/>
      <c r="O716" s="284"/>
      <c r="S716" s="284"/>
      <c r="T716" s="284"/>
      <c r="U716" s="284"/>
      <c r="V716" s="284"/>
      <c r="W716" s="284"/>
      <c r="X716" s="284"/>
      <c r="Y716" s="284"/>
      <c r="Z716" s="284"/>
    </row>
    <row r="717">
      <c r="E717" s="284"/>
      <c r="F717" s="284"/>
      <c r="G717" s="284"/>
      <c r="H717" s="284"/>
      <c r="I717" s="284"/>
      <c r="J717" s="284"/>
      <c r="K717" s="284"/>
      <c r="L717" s="284"/>
      <c r="M717" s="284"/>
      <c r="N717" s="284"/>
      <c r="O717" s="284"/>
      <c r="S717" s="284"/>
      <c r="T717" s="284"/>
      <c r="U717" s="284"/>
      <c r="V717" s="284"/>
      <c r="W717" s="284"/>
      <c r="X717" s="284"/>
      <c r="Y717" s="284"/>
      <c r="Z717" s="284"/>
    </row>
    <row r="718">
      <c r="E718" s="284"/>
      <c r="F718" s="284"/>
      <c r="G718" s="284"/>
      <c r="H718" s="284"/>
      <c r="I718" s="284"/>
      <c r="J718" s="284"/>
      <c r="K718" s="284"/>
      <c r="L718" s="284"/>
      <c r="M718" s="284"/>
      <c r="N718" s="284"/>
      <c r="O718" s="284"/>
      <c r="S718" s="284"/>
      <c r="T718" s="284"/>
      <c r="U718" s="284"/>
      <c r="V718" s="284"/>
      <c r="W718" s="284"/>
      <c r="X718" s="284"/>
      <c r="Y718" s="284"/>
      <c r="Z718" s="284"/>
    </row>
    <row r="719">
      <c r="E719" s="284"/>
      <c r="F719" s="284"/>
      <c r="G719" s="284"/>
      <c r="H719" s="284"/>
      <c r="I719" s="284"/>
      <c r="J719" s="284"/>
      <c r="K719" s="284"/>
      <c r="L719" s="284"/>
      <c r="M719" s="284"/>
      <c r="N719" s="284"/>
      <c r="O719" s="284"/>
      <c r="S719" s="284"/>
      <c r="T719" s="284"/>
      <c r="U719" s="284"/>
      <c r="V719" s="284"/>
      <c r="W719" s="284"/>
      <c r="X719" s="284"/>
      <c r="Y719" s="284"/>
      <c r="Z719" s="284"/>
    </row>
    <row r="720">
      <c r="E720" s="284"/>
      <c r="F720" s="284"/>
      <c r="G720" s="284"/>
      <c r="H720" s="284"/>
      <c r="I720" s="284"/>
      <c r="J720" s="284"/>
      <c r="K720" s="284"/>
      <c r="L720" s="284"/>
      <c r="M720" s="284"/>
      <c r="N720" s="284"/>
      <c r="O720" s="284"/>
      <c r="S720" s="284"/>
      <c r="T720" s="284"/>
      <c r="U720" s="284"/>
      <c r="V720" s="284"/>
      <c r="W720" s="284"/>
      <c r="X720" s="284"/>
      <c r="Y720" s="284"/>
      <c r="Z720" s="284"/>
    </row>
    <row r="721">
      <c r="E721" s="284"/>
      <c r="F721" s="284"/>
      <c r="G721" s="284"/>
      <c r="H721" s="284"/>
      <c r="I721" s="284"/>
      <c r="J721" s="284"/>
      <c r="K721" s="284"/>
      <c r="L721" s="284"/>
      <c r="M721" s="284"/>
      <c r="N721" s="284"/>
      <c r="O721" s="284"/>
      <c r="S721" s="284"/>
      <c r="T721" s="284"/>
      <c r="U721" s="284"/>
      <c r="V721" s="284"/>
      <c r="W721" s="284"/>
      <c r="X721" s="284"/>
      <c r="Y721" s="284"/>
      <c r="Z721" s="284"/>
    </row>
    <row r="722">
      <c r="E722" s="284"/>
      <c r="F722" s="284"/>
      <c r="G722" s="284"/>
      <c r="H722" s="284"/>
      <c r="I722" s="284"/>
      <c r="J722" s="284"/>
      <c r="K722" s="284"/>
      <c r="L722" s="284"/>
      <c r="M722" s="284"/>
      <c r="N722" s="284"/>
      <c r="O722" s="284"/>
      <c r="S722" s="284"/>
      <c r="T722" s="284"/>
      <c r="U722" s="284"/>
      <c r="V722" s="284"/>
      <c r="W722" s="284"/>
      <c r="X722" s="284"/>
      <c r="Y722" s="284"/>
      <c r="Z722" s="284"/>
    </row>
    <row r="723">
      <c r="E723" s="284"/>
      <c r="F723" s="284"/>
      <c r="G723" s="284"/>
      <c r="H723" s="284"/>
      <c r="I723" s="284"/>
      <c r="J723" s="284"/>
      <c r="K723" s="284"/>
      <c r="L723" s="284"/>
      <c r="M723" s="284"/>
      <c r="N723" s="284"/>
      <c r="O723" s="284"/>
      <c r="S723" s="284"/>
      <c r="T723" s="284"/>
      <c r="U723" s="284"/>
      <c r="V723" s="284"/>
      <c r="W723" s="284"/>
      <c r="X723" s="284"/>
      <c r="Y723" s="284"/>
      <c r="Z723" s="284"/>
    </row>
    <row r="724">
      <c r="E724" s="284"/>
      <c r="F724" s="284"/>
      <c r="G724" s="284"/>
      <c r="H724" s="284"/>
      <c r="I724" s="284"/>
      <c r="J724" s="284"/>
      <c r="K724" s="284"/>
      <c r="L724" s="284"/>
      <c r="M724" s="284"/>
      <c r="N724" s="284"/>
      <c r="O724" s="284"/>
      <c r="S724" s="284"/>
      <c r="T724" s="284"/>
      <c r="U724" s="284"/>
      <c r="V724" s="284"/>
      <c r="W724" s="284"/>
      <c r="X724" s="284"/>
      <c r="Y724" s="284"/>
      <c r="Z724" s="284"/>
    </row>
    <row r="725">
      <c r="E725" s="284"/>
      <c r="F725" s="284"/>
      <c r="G725" s="284"/>
      <c r="H725" s="284"/>
      <c r="I725" s="284"/>
      <c r="J725" s="284"/>
      <c r="K725" s="284"/>
      <c r="L725" s="284"/>
      <c r="M725" s="284"/>
      <c r="N725" s="284"/>
      <c r="O725" s="284"/>
      <c r="S725" s="284"/>
      <c r="T725" s="284"/>
      <c r="U725" s="284"/>
      <c r="V725" s="284"/>
      <c r="W725" s="284"/>
      <c r="X725" s="284"/>
      <c r="Y725" s="284"/>
      <c r="Z725" s="284"/>
    </row>
    <row r="726">
      <c r="E726" s="284"/>
      <c r="F726" s="284"/>
      <c r="G726" s="284"/>
      <c r="H726" s="284"/>
      <c r="I726" s="284"/>
      <c r="J726" s="284"/>
      <c r="K726" s="284"/>
      <c r="L726" s="284"/>
      <c r="M726" s="284"/>
      <c r="N726" s="284"/>
      <c r="O726" s="284"/>
      <c r="S726" s="284"/>
      <c r="T726" s="284"/>
      <c r="U726" s="284"/>
      <c r="V726" s="284"/>
      <c r="W726" s="284"/>
      <c r="X726" s="284"/>
      <c r="Y726" s="284"/>
      <c r="Z726" s="284"/>
    </row>
    <row r="727">
      <c r="E727" s="284"/>
      <c r="F727" s="284"/>
      <c r="G727" s="284"/>
      <c r="H727" s="284"/>
      <c r="I727" s="284"/>
      <c r="J727" s="284"/>
      <c r="K727" s="284"/>
      <c r="L727" s="284"/>
      <c r="M727" s="284"/>
      <c r="N727" s="284"/>
      <c r="O727" s="284"/>
      <c r="S727" s="284"/>
      <c r="T727" s="284"/>
      <c r="U727" s="284"/>
      <c r="V727" s="284"/>
      <c r="W727" s="284"/>
      <c r="X727" s="284"/>
      <c r="Y727" s="284"/>
      <c r="Z727" s="284"/>
    </row>
    <row r="728">
      <c r="E728" s="284"/>
      <c r="F728" s="284"/>
      <c r="G728" s="284"/>
      <c r="H728" s="284"/>
      <c r="I728" s="284"/>
      <c r="J728" s="284"/>
      <c r="K728" s="284"/>
      <c r="L728" s="284"/>
      <c r="M728" s="284"/>
      <c r="N728" s="284"/>
      <c r="O728" s="284"/>
      <c r="S728" s="284"/>
      <c r="T728" s="284"/>
      <c r="U728" s="284"/>
      <c r="V728" s="284"/>
      <c r="W728" s="284"/>
      <c r="X728" s="284"/>
      <c r="Y728" s="284"/>
      <c r="Z728" s="284"/>
    </row>
    <row r="729">
      <c r="E729" s="284"/>
      <c r="F729" s="284"/>
      <c r="G729" s="284"/>
      <c r="H729" s="284"/>
      <c r="I729" s="284"/>
      <c r="J729" s="284"/>
      <c r="K729" s="284"/>
      <c r="L729" s="284"/>
      <c r="M729" s="284"/>
      <c r="N729" s="284"/>
      <c r="O729" s="284"/>
      <c r="S729" s="284"/>
      <c r="T729" s="284"/>
      <c r="U729" s="284"/>
      <c r="V729" s="284"/>
      <c r="W729" s="284"/>
      <c r="X729" s="284"/>
      <c r="Y729" s="284"/>
      <c r="Z729" s="284"/>
    </row>
    <row r="730">
      <c r="E730" s="284"/>
      <c r="F730" s="284"/>
      <c r="G730" s="284"/>
      <c r="H730" s="284"/>
      <c r="I730" s="284"/>
      <c r="J730" s="284"/>
      <c r="K730" s="284"/>
      <c r="L730" s="284"/>
      <c r="M730" s="284"/>
      <c r="N730" s="284"/>
      <c r="O730" s="284"/>
      <c r="S730" s="284"/>
      <c r="T730" s="284"/>
      <c r="U730" s="284"/>
      <c r="V730" s="284"/>
      <c r="W730" s="284"/>
      <c r="X730" s="284"/>
      <c r="Y730" s="284"/>
      <c r="Z730" s="284"/>
    </row>
    <row r="731">
      <c r="E731" s="284"/>
      <c r="F731" s="284"/>
      <c r="G731" s="284"/>
      <c r="H731" s="284"/>
      <c r="I731" s="284"/>
      <c r="J731" s="284"/>
      <c r="K731" s="284"/>
      <c r="L731" s="284"/>
      <c r="M731" s="284"/>
      <c r="N731" s="284"/>
      <c r="O731" s="284"/>
      <c r="S731" s="284"/>
      <c r="T731" s="284"/>
      <c r="U731" s="284"/>
      <c r="V731" s="284"/>
      <c r="W731" s="284"/>
      <c r="X731" s="284"/>
      <c r="Y731" s="284"/>
      <c r="Z731" s="284"/>
    </row>
    <row r="732">
      <c r="E732" s="284"/>
      <c r="F732" s="284"/>
      <c r="G732" s="284"/>
      <c r="H732" s="284"/>
      <c r="I732" s="284"/>
      <c r="J732" s="284"/>
      <c r="K732" s="284"/>
      <c r="L732" s="284"/>
      <c r="M732" s="284"/>
      <c r="N732" s="284"/>
      <c r="O732" s="284"/>
      <c r="S732" s="284"/>
      <c r="T732" s="284"/>
      <c r="U732" s="284"/>
      <c r="V732" s="284"/>
      <c r="W732" s="284"/>
      <c r="X732" s="284"/>
      <c r="Y732" s="284"/>
      <c r="Z732" s="284"/>
    </row>
    <row r="733">
      <c r="E733" s="284"/>
      <c r="F733" s="284"/>
      <c r="G733" s="284"/>
      <c r="H733" s="284"/>
      <c r="I733" s="284"/>
      <c r="J733" s="284"/>
      <c r="K733" s="284"/>
      <c r="L733" s="284"/>
      <c r="M733" s="284"/>
      <c r="N733" s="284"/>
      <c r="O733" s="284"/>
      <c r="S733" s="284"/>
      <c r="T733" s="284"/>
      <c r="U733" s="284"/>
      <c r="V733" s="284"/>
      <c r="W733" s="284"/>
      <c r="X733" s="284"/>
      <c r="Y733" s="284"/>
      <c r="Z733" s="284"/>
    </row>
    <row r="734">
      <c r="E734" s="284"/>
      <c r="F734" s="284"/>
      <c r="G734" s="284"/>
      <c r="H734" s="284"/>
      <c r="I734" s="284"/>
      <c r="J734" s="284"/>
      <c r="K734" s="284"/>
      <c r="L734" s="284"/>
      <c r="M734" s="284"/>
      <c r="N734" s="284"/>
      <c r="O734" s="284"/>
      <c r="S734" s="284"/>
      <c r="T734" s="284"/>
      <c r="U734" s="284"/>
      <c r="V734" s="284"/>
      <c r="W734" s="284"/>
      <c r="X734" s="284"/>
      <c r="Y734" s="284"/>
      <c r="Z734" s="284"/>
    </row>
    <row r="735">
      <c r="E735" s="284"/>
      <c r="F735" s="284"/>
      <c r="G735" s="284"/>
      <c r="H735" s="284"/>
      <c r="I735" s="284"/>
      <c r="J735" s="284"/>
      <c r="K735" s="284"/>
      <c r="L735" s="284"/>
      <c r="M735" s="284"/>
      <c r="N735" s="284"/>
      <c r="O735" s="284"/>
      <c r="S735" s="284"/>
      <c r="T735" s="284"/>
      <c r="U735" s="284"/>
      <c r="V735" s="284"/>
      <c r="W735" s="284"/>
      <c r="X735" s="284"/>
      <c r="Y735" s="284"/>
      <c r="Z735" s="284"/>
    </row>
    <row r="736">
      <c r="E736" s="284"/>
      <c r="F736" s="284"/>
      <c r="G736" s="284"/>
      <c r="H736" s="284"/>
      <c r="I736" s="284"/>
      <c r="J736" s="284"/>
      <c r="K736" s="284"/>
      <c r="L736" s="284"/>
      <c r="M736" s="284"/>
      <c r="N736" s="284"/>
      <c r="O736" s="284"/>
      <c r="S736" s="284"/>
      <c r="T736" s="284"/>
      <c r="U736" s="284"/>
      <c r="V736" s="284"/>
      <c r="W736" s="284"/>
      <c r="X736" s="284"/>
      <c r="Y736" s="284"/>
      <c r="Z736" s="284"/>
    </row>
    <row r="737">
      <c r="E737" s="284"/>
      <c r="F737" s="284"/>
      <c r="G737" s="284"/>
      <c r="H737" s="284"/>
      <c r="I737" s="284"/>
      <c r="J737" s="284"/>
      <c r="K737" s="284"/>
      <c r="L737" s="284"/>
      <c r="M737" s="284"/>
      <c r="N737" s="284"/>
      <c r="O737" s="284"/>
      <c r="S737" s="284"/>
      <c r="T737" s="284"/>
      <c r="U737" s="284"/>
      <c r="V737" s="284"/>
      <c r="W737" s="284"/>
      <c r="X737" s="284"/>
      <c r="Y737" s="284"/>
      <c r="Z737" s="284"/>
    </row>
    <row r="738">
      <c r="E738" s="284"/>
      <c r="F738" s="284"/>
      <c r="G738" s="284"/>
      <c r="H738" s="284"/>
      <c r="I738" s="284"/>
      <c r="J738" s="284"/>
      <c r="K738" s="284"/>
      <c r="L738" s="284"/>
      <c r="M738" s="284"/>
      <c r="N738" s="284"/>
      <c r="O738" s="284"/>
      <c r="S738" s="284"/>
      <c r="T738" s="284"/>
      <c r="U738" s="284"/>
      <c r="V738" s="284"/>
      <c r="W738" s="284"/>
      <c r="X738" s="284"/>
      <c r="Y738" s="284"/>
      <c r="Z738" s="284"/>
    </row>
    <row r="739">
      <c r="E739" s="284"/>
      <c r="F739" s="284"/>
      <c r="G739" s="284"/>
      <c r="H739" s="284"/>
      <c r="I739" s="284"/>
      <c r="J739" s="284"/>
      <c r="K739" s="284"/>
      <c r="L739" s="284"/>
      <c r="M739" s="284"/>
      <c r="N739" s="284"/>
      <c r="O739" s="284"/>
      <c r="S739" s="284"/>
      <c r="T739" s="284"/>
      <c r="U739" s="284"/>
      <c r="V739" s="284"/>
      <c r="W739" s="284"/>
      <c r="X739" s="284"/>
      <c r="Y739" s="284"/>
      <c r="Z739" s="284"/>
    </row>
    <row r="740">
      <c r="E740" s="284"/>
      <c r="F740" s="284"/>
      <c r="G740" s="284"/>
      <c r="H740" s="284"/>
      <c r="I740" s="284"/>
      <c r="J740" s="284"/>
      <c r="K740" s="284"/>
      <c r="L740" s="284"/>
      <c r="M740" s="284"/>
      <c r="N740" s="284"/>
      <c r="O740" s="284"/>
      <c r="S740" s="284"/>
      <c r="T740" s="284"/>
      <c r="U740" s="284"/>
      <c r="V740" s="284"/>
      <c r="W740" s="284"/>
      <c r="X740" s="284"/>
      <c r="Y740" s="284"/>
      <c r="Z740" s="284"/>
    </row>
    <row r="741">
      <c r="E741" s="284"/>
      <c r="F741" s="284"/>
      <c r="G741" s="284"/>
      <c r="H741" s="284"/>
      <c r="I741" s="284"/>
      <c r="J741" s="284"/>
      <c r="K741" s="284"/>
      <c r="L741" s="284"/>
      <c r="M741" s="284"/>
      <c r="N741" s="284"/>
      <c r="O741" s="284"/>
      <c r="S741" s="284"/>
      <c r="T741" s="284"/>
      <c r="U741" s="284"/>
      <c r="V741" s="284"/>
      <c r="W741" s="284"/>
      <c r="X741" s="284"/>
      <c r="Y741" s="284"/>
      <c r="Z741" s="284"/>
    </row>
    <row r="742">
      <c r="E742" s="284"/>
      <c r="F742" s="284"/>
      <c r="G742" s="284"/>
      <c r="H742" s="284"/>
      <c r="I742" s="284"/>
      <c r="J742" s="284"/>
      <c r="K742" s="284"/>
      <c r="L742" s="284"/>
      <c r="M742" s="284"/>
      <c r="N742" s="284"/>
      <c r="O742" s="284"/>
      <c r="S742" s="284"/>
      <c r="T742" s="284"/>
      <c r="U742" s="284"/>
      <c r="V742" s="284"/>
      <c r="W742" s="284"/>
      <c r="X742" s="284"/>
      <c r="Y742" s="284"/>
      <c r="Z742" s="284"/>
    </row>
    <row r="743">
      <c r="E743" s="284"/>
      <c r="F743" s="284"/>
      <c r="G743" s="284"/>
      <c r="H743" s="284"/>
      <c r="I743" s="284"/>
      <c r="J743" s="284"/>
      <c r="K743" s="284"/>
      <c r="L743" s="284"/>
      <c r="M743" s="284"/>
      <c r="N743" s="284"/>
      <c r="O743" s="284"/>
      <c r="S743" s="284"/>
      <c r="T743" s="284"/>
      <c r="U743" s="284"/>
      <c r="V743" s="284"/>
      <c r="W743" s="284"/>
      <c r="X743" s="284"/>
      <c r="Y743" s="284"/>
      <c r="Z743" s="284"/>
    </row>
    <row r="744">
      <c r="E744" s="284"/>
      <c r="F744" s="284"/>
      <c r="G744" s="284"/>
      <c r="H744" s="284"/>
      <c r="I744" s="284"/>
      <c r="J744" s="284"/>
      <c r="K744" s="284"/>
      <c r="L744" s="284"/>
      <c r="M744" s="284"/>
      <c r="N744" s="284"/>
      <c r="O744" s="284"/>
      <c r="S744" s="284"/>
      <c r="T744" s="284"/>
      <c r="U744" s="284"/>
      <c r="V744" s="284"/>
      <c r="W744" s="284"/>
      <c r="X744" s="284"/>
      <c r="Y744" s="284"/>
      <c r="Z744" s="284"/>
    </row>
    <row r="745">
      <c r="E745" s="284"/>
      <c r="F745" s="284"/>
      <c r="G745" s="284"/>
      <c r="H745" s="284"/>
      <c r="I745" s="284"/>
      <c r="J745" s="284"/>
      <c r="K745" s="284"/>
      <c r="L745" s="284"/>
      <c r="M745" s="284"/>
      <c r="N745" s="284"/>
      <c r="O745" s="284"/>
      <c r="S745" s="284"/>
      <c r="T745" s="284"/>
      <c r="U745" s="284"/>
      <c r="V745" s="284"/>
      <c r="W745" s="284"/>
      <c r="X745" s="284"/>
      <c r="Y745" s="284"/>
      <c r="Z745" s="284"/>
    </row>
    <row r="746">
      <c r="E746" s="284"/>
      <c r="F746" s="284"/>
      <c r="G746" s="284"/>
      <c r="H746" s="284"/>
      <c r="I746" s="284"/>
      <c r="J746" s="284"/>
      <c r="K746" s="284"/>
      <c r="L746" s="284"/>
      <c r="M746" s="284"/>
      <c r="N746" s="284"/>
      <c r="O746" s="284"/>
      <c r="S746" s="284"/>
      <c r="T746" s="284"/>
      <c r="U746" s="284"/>
      <c r="V746" s="284"/>
      <c r="W746" s="284"/>
      <c r="X746" s="284"/>
      <c r="Y746" s="284"/>
      <c r="Z746" s="284"/>
    </row>
    <row r="747">
      <c r="E747" s="284"/>
      <c r="F747" s="284"/>
      <c r="G747" s="284"/>
      <c r="H747" s="284"/>
      <c r="I747" s="284"/>
      <c r="J747" s="284"/>
      <c r="K747" s="284"/>
      <c r="L747" s="284"/>
      <c r="M747" s="284"/>
      <c r="N747" s="284"/>
      <c r="O747" s="284"/>
      <c r="S747" s="284"/>
      <c r="T747" s="284"/>
      <c r="U747" s="284"/>
      <c r="V747" s="284"/>
      <c r="W747" s="284"/>
      <c r="X747" s="284"/>
      <c r="Y747" s="284"/>
      <c r="Z747" s="284"/>
    </row>
    <row r="748">
      <c r="E748" s="284"/>
      <c r="F748" s="284"/>
      <c r="G748" s="284"/>
      <c r="H748" s="284"/>
      <c r="I748" s="284"/>
      <c r="J748" s="284"/>
      <c r="K748" s="284"/>
      <c r="L748" s="284"/>
      <c r="M748" s="284"/>
      <c r="N748" s="284"/>
      <c r="O748" s="284"/>
      <c r="S748" s="284"/>
      <c r="T748" s="284"/>
      <c r="U748" s="284"/>
      <c r="V748" s="284"/>
      <c r="W748" s="284"/>
      <c r="X748" s="284"/>
      <c r="Y748" s="284"/>
      <c r="Z748" s="284"/>
    </row>
    <row r="749">
      <c r="E749" s="284"/>
      <c r="F749" s="284"/>
      <c r="G749" s="284"/>
      <c r="H749" s="284"/>
      <c r="I749" s="284"/>
      <c r="J749" s="284"/>
      <c r="K749" s="284"/>
      <c r="L749" s="284"/>
      <c r="M749" s="284"/>
      <c r="N749" s="284"/>
      <c r="O749" s="284"/>
      <c r="S749" s="284"/>
      <c r="T749" s="284"/>
      <c r="U749" s="284"/>
      <c r="V749" s="284"/>
      <c r="W749" s="284"/>
      <c r="X749" s="284"/>
      <c r="Y749" s="284"/>
      <c r="Z749" s="284"/>
    </row>
    <row r="750">
      <c r="E750" s="284"/>
      <c r="F750" s="284"/>
      <c r="G750" s="284"/>
      <c r="H750" s="284"/>
      <c r="I750" s="284"/>
      <c r="J750" s="284"/>
      <c r="K750" s="284"/>
      <c r="L750" s="284"/>
      <c r="M750" s="284"/>
      <c r="N750" s="284"/>
      <c r="O750" s="284"/>
      <c r="S750" s="284"/>
      <c r="T750" s="284"/>
      <c r="U750" s="284"/>
      <c r="V750" s="284"/>
      <c r="W750" s="284"/>
      <c r="X750" s="284"/>
      <c r="Y750" s="284"/>
      <c r="Z750" s="284"/>
    </row>
    <row r="751">
      <c r="E751" s="284"/>
      <c r="F751" s="284"/>
      <c r="G751" s="284"/>
      <c r="H751" s="284"/>
      <c r="I751" s="284"/>
      <c r="J751" s="284"/>
      <c r="K751" s="284"/>
      <c r="L751" s="284"/>
      <c r="M751" s="284"/>
      <c r="N751" s="284"/>
      <c r="O751" s="284"/>
      <c r="S751" s="284"/>
      <c r="T751" s="284"/>
      <c r="U751" s="284"/>
      <c r="V751" s="284"/>
      <c r="W751" s="284"/>
      <c r="X751" s="284"/>
      <c r="Y751" s="284"/>
      <c r="Z751" s="284"/>
    </row>
    <row r="752">
      <c r="E752" s="284"/>
      <c r="F752" s="284"/>
      <c r="G752" s="284"/>
      <c r="H752" s="284"/>
      <c r="I752" s="284"/>
      <c r="J752" s="284"/>
      <c r="K752" s="284"/>
      <c r="L752" s="284"/>
      <c r="M752" s="284"/>
      <c r="N752" s="284"/>
      <c r="O752" s="284"/>
      <c r="S752" s="284"/>
      <c r="T752" s="284"/>
      <c r="U752" s="284"/>
      <c r="V752" s="284"/>
      <c r="W752" s="284"/>
      <c r="X752" s="284"/>
      <c r="Y752" s="284"/>
      <c r="Z752" s="284"/>
    </row>
    <row r="753">
      <c r="E753" s="284"/>
      <c r="F753" s="284"/>
      <c r="G753" s="284"/>
      <c r="H753" s="284"/>
      <c r="I753" s="284"/>
      <c r="J753" s="284"/>
      <c r="K753" s="284"/>
      <c r="L753" s="284"/>
      <c r="M753" s="284"/>
      <c r="N753" s="284"/>
      <c r="O753" s="284"/>
      <c r="S753" s="284"/>
      <c r="T753" s="284"/>
      <c r="U753" s="284"/>
      <c r="V753" s="284"/>
      <c r="W753" s="284"/>
      <c r="X753" s="284"/>
      <c r="Y753" s="284"/>
      <c r="Z753" s="284"/>
    </row>
    <row r="754">
      <c r="E754" s="284"/>
      <c r="F754" s="284"/>
      <c r="G754" s="284"/>
      <c r="H754" s="284"/>
      <c r="I754" s="284"/>
      <c r="J754" s="284"/>
      <c r="K754" s="284"/>
      <c r="L754" s="284"/>
      <c r="M754" s="284"/>
      <c r="N754" s="284"/>
      <c r="O754" s="284"/>
      <c r="S754" s="284"/>
      <c r="T754" s="284"/>
      <c r="U754" s="284"/>
      <c r="V754" s="284"/>
      <c r="W754" s="284"/>
      <c r="X754" s="284"/>
      <c r="Y754" s="284"/>
      <c r="Z754" s="284"/>
    </row>
    <row r="755">
      <c r="E755" s="284"/>
      <c r="F755" s="284"/>
      <c r="G755" s="284"/>
      <c r="H755" s="284"/>
      <c r="I755" s="284"/>
      <c r="J755" s="284"/>
      <c r="K755" s="284"/>
      <c r="L755" s="284"/>
      <c r="M755" s="284"/>
      <c r="N755" s="284"/>
      <c r="O755" s="284"/>
      <c r="S755" s="284"/>
      <c r="T755" s="284"/>
      <c r="U755" s="284"/>
      <c r="V755" s="284"/>
      <c r="W755" s="284"/>
      <c r="X755" s="284"/>
      <c r="Y755" s="284"/>
      <c r="Z755" s="284"/>
    </row>
    <row r="756">
      <c r="E756" s="284"/>
      <c r="F756" s="284"/>
      <c r="G756" s="284"/>
      <c r="H756" s="284"/>
      <c r="I756" s="284"/>
      <c r="J756" s="284"/>
      <c r="K756" s="284"/>
      <c r="L756" s="284"/>
      <c r="M756" s="284"/>
      <c r="N756" s="284"/>
      <c r="O756" s="284"/>
      <c r="S756" s="284"/>
      <c r="T756" s="284"/>
      <c r="U756" s="284"/>
      <c r="V756" s="284"/>
      <c r="W756" s="284"/>
      <c r="X756" s="284"/>
      <c r="Y756" s="284"/>
      <c r="Z756" s="284"/>
    </row>
    <row r="757">
      <c r="E757" s="284"/>
      <c r="F757" s="284"/>
      <c r="G757" s="284"/>
      <c r="H757" s="284"/>
      <c r="I757" s="284"/>
      <c r="J757" s="284"/>
      <c r="K757" s="284"/>
      <c r="L757" s="284"/>
      <c r="M757" s="284"/>
      <c r="N757" s="284"/>
      <c r="O757" s="284"/>
      <c r="S757" s="284"/>
      <c r="T757" s="284"/>
      <c r="U757" s="284"/>
      <c r="V757" s="284"/>
      <c r="W757" s="284"/>
      <c r="X757" s="284"/>
      <c r="Y757" s="284"/>
      <c r="Z757" s="284"/>
    </row>
    <row r="758">
      <c r="E758" s="284"/>
      <c r="F758" s="284"/>
      <c r="G758" s="284"/>
      <c r="H758" s="284"/>
      <c r="I758" s="284"/>
      <c r="J758" s="284"/>
      <c r="K758" s="284"/>
      <c r="L758" s="284"/>
      <c r="M758" s="284"/>
      <c r="N758" s="284"/>
      <c r="O758" s="284"/>
      <c r="S758" s="284"/>
      <c r="T758" s="284"/>
      <c r="U758" s="284"/>
      <c r="V758" s="284"/>
      <c r="W758" s="284"/>
      <c r="X758" s="284"/>
      <c r="Y758" s="284"/>
      <c r="Z758" s="284"/>
    </row>
    <row r="759">
      <c r="E759" s="284"/>
      <c r="F759" s="284"/>
      <c r="G759" s="284"/>
      <c r="H759" s="284"/>
      <c r="I759" s="284"/>
      <c r="J759" s="284"/>
      <c r="K759" s="284"/>
      <c r="L759" s="284"/>
      <c r="M759" s="284"/>
      <c r="N759" s="284"/>
      <c r="O759" s="284"/>
      <c r="S759" s="284"/>
      <c r="T759" s="284"/>
      <c r="U759" s="284"/>
      <c r="V759" s="284"/>
      <c r="W759" s="284"/>
      <c r="X759" s="284"/>
      <c r="Y759" s="284"/>
      <c r="Z759" s="284"/>
    </row>
    <row r="760">
      <c r="E760" s="284"/>
      <c r="F760" s="284"/>
      <c r="G760" s="284"/>
      <c r="H760" s="284"/>
      <c r="I760" s="284"/>
      <c r="J760" s="284"/>
      <c r="K760" s="284"/>
      <c r="L760" s="284"/>
      <c r="M760" s="284"/>
      <c r="N760" s="284"/>
      <c r="O760" s="284"/>
      <c r="S760" s="284"/>
      <c r="T760" s="284"/>
      <c r="U760" s="284"/>
      <c r="V760" s="284"/>
      <c r="W760" s="284"/>
      <c r="X760" s="284"/>
      <c r="Y760" s="284"/>
      <c r="Z760" s="284"/>
    </row>
    <row r="761">
      <c r="E761" s="284"/>
      <c r="F761" s="284"/>
      <c r="G761" s="284"/>
      <c r="H761" s="284"/>
      <c r="I761" s="284"/>
      <c r="J761" s="284"/>
      <c r="K761" s="284"/>
      <c r="L761" s="284"/>
      <c r="M761" s="284"/>
      <c r="N761" s="284"/>
      <c r="O761" s="284"/>
      <c r="S761" s="284"/>
      <c r="T761" s="284"/>
      <c r="U761" s="284"/>
      <c r="V761" s="284"/>
      <c r="W761" s="284"/>
      <c r="X761" s="284"/>
      <c r="Y761" s="284"/>
      <c r="Z761" s="284"/>
    </row>
    <row r="762">
      <c r="E762" s="284"/>
      <c r="F762" s="284"/>
      <c r="G762" s="284"/>
      <c r="H762" s="284"/>
      <c r="I762" s="284"/>
      <c r="J762" s="284"/>
      <c r="K762" s="284"/>
      <c r="L762" s="284"/>
      <c r="M762" s="284"/>
      <c r="N762" s="284"/>
      <c r="O762" s="284"/>
      <c r="S762" s="284"/>
      <c r="T762" s="284"/>
      <c r="U762" s="284"/>
      <c r="V762" s="284"/>
      <c r="W762" s="284"/>
      <c r="X762" s="284"/>
      <c r="Y762" s="284"/>
      <c r="Z762" s="284"/>
    </row>
    <row r="763">
      <c r="E763" s="284"/>
      <c r="F763" s="284"/>
      <c r="G763" s="284"/>
      <c r="H763" s="284"/>
      <c r="I763" s="284"/>
      <c r="J763" s="284"/>
      <c r="K763" s="284"/>
      <c r="L763" s="284"/>
      <c r="M763" s="284"/>
      <c r="N763" s="284"/>
      <c r="O763" s="284"/>
      <c r="S763" s="284"/>
      <c r="T763" s="284"/>
      <c r="U763" s="284"/>
      <c r="V763" s="284"/>
      <c r="W763" s="284"/>
      <c r="X763" s="284"/>
      <c r="Y763" s="284"/>
      <c r="Z763" s="284"/>
    </row>
    <row r="764">
      <c r="E764" s="284"/>
      <c r="F764" s="284"/>
      <c r="G764" s="284"/>
      <c r="H764" s="284"/>
      <c r="I764" s="284"/>
      <c r="J764" s="284"/>
      <c r="K764" s="284"/>
      <c r="L764" s="284"/>
      <c r="M764" s="284"/>
      <c r="N764" s="284"/>
      <c r="O764" s="284"/>
      <c r="S764" s="284"/>
      <c r="T764" s="284"/>
      <c r="U764" s="284"/>
      <c r="V764" s="284"/>
      <c r="W764" s="284"/>
      <c r="X764" s="284"/>
      <c r="Y764" s="284"/>
      <c r="Z764" s="284"/>
    </row>
    <row r="765">
      <c r="E765" s="284"/>
      <c r="F765" s="284"/>
      <c r="G765" s="284"/>
      <c r="H765" s="284"/>
      <c r="I765" s="284"/>
      <c r="J765" s="284"/>
      <c r="K765" s="284"/>
      <c r="L765" s="284"/>
      <c r="M765" s="284"/>
      <c r="N765" s="284"/>
      <c r="O765" s="284"/>
      <c r="S765" s="284"/>
      <c r="T765" s="284"/>
      <c r="U765" s="284"/>
      <c r="V765" s="284"/>
      <c r="W765" s="284"/>
      <c r="X765" s="284"/>
      <c r="Y765" s="284"/>
      <c r="Z765" s="284"/>
    </row>
    <row r="766">
      <c r="E766" s="284"/>
      <c r="F766" s="284"/>
      <c r="G766" s="284"/>
      <c r="H766" s="284"/>
      <c r="I766" s="284"/>
      <c r="J766" s="284"/>
      <c r="K766" s="284"/>
      <c r="L766" s="284"/>
      <c r="M766" s="284"/>
      <c r="N766" s="284"/>
      <c r="O766" s="284"/>
      <c r="S766" s="284"/>
      <c r="T766" s="284"/>
      <c r="U766" s="284"/>
      <c r="V766" s="284"/>
      <c r="W766" s="284"/>
      <c r="X766" s="284"/>
      <c r="Y766" s="284"/>
      <c r="Z766" s="284"/>
    </row>
    <row r="767">
      <c r="E767" s="284"/>
      <c r="F767" s="284"/>
      <c r="G767" s="284"/>
      <c r="H767" s="284"/>
      <c r="I767" s="284"/>
      <c r="J767" s="284"/>
      <c r="K767" s="284"/>
      <c r="L767" s="284"/>
      <c r="M767" s="284"/>
      <c r="N767" s="284"/>
      <c r="O767" s="284"/>
      <c r="S767" s="284"/>
      <c r="T767" s="284"/>
      <c r="U767" s="284"/>
      <c r="V767" s="284"/>
      <c r="W767" s="284"/>
      <c r="X767" s="284"/>
      <c r="Y767" s="284"/>
      <c r="Z767" s="284"/>
    </row>
    <row r="768">
      <c r="E768" s="284"/>
      <c r="F768" s="284"/>
      <c r="G768" s="284"/>
      <c r="H768" s="284"/>
      <c r="I768" s="284"/>
      <c r="J768" s="284"/>
      <c r="K768" s="284"/>
      <c r="L768" s="284"/>
      <c r="M768" s="284"/>
      <c r="N768" s="284"/>
      <c r="O768" s="284"/>
      <c r="S768" s="284"/>
      <c r="T768" s="284"/>
      <c r="U768" s="284"/>
      <c r="V768" s="284"/>
      <c r="W768" s="284"/>
      <c r="X768" s="284"/>
      <c r="Y768" s="284"/>
      <c r="Z768" s="284"/>
    </row>
    <row r="769">
      <c r="E769" s="284"/>
      <c r="F769" s="284"/>
      <c r="G769" s="284"/>
      <c r="H769" s="284"/>
      <c r="I769" s="284"/>
      <c r="J769" s="284"/>
      <c r="K769" s="284"/>
      <c r="L769" s="284"/>
      <c r="M769" s="284"/>
      <c r="N769" s="284"/>
      <c r="O769" s="284"/>
      <c r="S769" s="284"/>
      <c r="T769" s="284"/>
      <c r="U769" s="284"/>
      <c r="V769" s="284"/>
      <c r="W769" s="284"/>
      <c r="X769" s="284"/>
      <c r="Y769" s="284"/>
      <c r="Z769" s="284"/>
    </row>
    <row r="770">
      <c r="E770" s="284"/>
      <c r="F770" s="284"/>
      <c r="G770" s="284"/>
      <c r="H770" s="284"/>
      <c r="I770" s="284"/>
      <c r="J770" s="284"/>
      <c r="K770" s="284"/>
      <c r="L770" s="284"/>
      <c r="M770" s="284"/>
      <c r="N770" s="284"/>
      <c r="O770" s="284"/>
      <c r="S770" s="284"/>
      <c r="T770" s="284"/>
      <c r="U770" s="284"/>
      <c r="V770" s="284"/>
      <c r="W770" s="284"/>
      <c r="X770" s="284"/>
      <c r="Y770" s="284"/>
      <c r="Z770" s="284"/>
    </row>
    <row r="771">
      <c r="E771" s="284"/>
      <c r="F771" s="284"/>
      <c r="G771" s="284"/>
      <c r="H771" s="284"/>
      <c r="I771" s="284"/>
      <c r="J771" s="284"/>
      <c r="K771" s="284"/>
      <c r="L771" s="284"/>
      <c r="M771" s="284"/>
      <c r="N771" s="284"/>
      <c r="O771" s="284"/>
      <c r="S771" s="284"/>
      <c r="T771" s="284"/>
      <c r="U771" s="284"/>
      <c r="V771" s="284"/>
      <c r="W771" s="284"/>
      <c r="X771" s="284"/>
      <c r="Y771" s="284"/>
      <c r="Z771" s="284"/>
    </row>
    <row r="772">
      <c r="E772" s="284"/>
      <c r="F772" s="284"/>
      <c r="G772" s="284"/>
      <c r="H772" s="284"/>
      <c r="I772" s="284"/>
      <c r="J772" s="284"/>
      <c r="K772" s="284"/>
      <c r="L772" s="284"/>
      <c r="M772" s="284"/>
      <c r="N772" s="284"/>
      <c r="O772" s="284"/>
      <c r="S772" s="284"/>
      <c r="T772" s="284"/>
      <c r="U772" s="284"/>
      <c r="V772" s="284"/>
      <c r="W772" s="284"/>
      <c r="X772" s="284"/>
      <c r="Y772" s="284"/>
      <c r="Z772" s="284"/>
    </row>
    <row r="773">
      <c r="E773" s="284"/>
      <c r="F773" s="284"/>
      <c r="G773" s="284"/>
      <c r="H773" s="284"/>
      <c r="I773" s="284"/>
      <c r="J773" s="284"/>
      <c r="K773" s="284"/>
      <c r="L773" s="284"/>
      <c r="M773" s="284"/>
      <c r="N773" s="284"/>
      <c r="O773" s="284"/>
      <c r="S773" s="284"/>
      <c r="T773" s="284"/>
      <c r="U773" s="284"/>
      <c r="V773" s="284"/>
      <c r="W773" s="284"/>
      <c r="X773" s="284"/>
      <c r="Y773" s="284"/>
      <c r="Z773" s="284"/>
    </row>
    <row r="774">
      <c r="E774" s="284"/>
      <c r="F774" s="284"/>
      <c r="G774" s="284"/>
      <c r="H774" s="284"/>
      <c r="I774" s="284"/>
      <c r="J774" s="284"/>
      <c r="K774" s="284"/>
      <c r="L774" s="284"/>
      <c r="M774" s="284"/>
      <c r="N774" s="284"/>
      <c r="O774" s="284"/>
      <c r="S774" s="284"/>
      <c r="T774" s="284"/>
      <c r="U774" s="284"/>
      <c r="V774" s="284"/>
      <c r="W774" s="284"/>
      <c r="X774" s="284"/>
      <c r="Y774" s="284"/>
      <c r="Z774" s="284"/>
    </row>
    <row r="775">
      <c r="E775" s="284"/>
      <c r="F775" s="284"/>
      <c r="G775" s="284"/>
      <c r="H775" s="284"/>
      <c r="I775" s="284"/>
      <c r="J775" s="284"/>
      <c r="K775" s="284"/>
      <c r="L775" s="284"/>
      <c r="M775" s="284"/>
      <c r="N775" s="284"/>
      <c r="O775" s="284"/>
      <c r="S775" s="284"/>
      <c r="T775" s="284"/>
      <c r="U775" s="284"/>
      <c r="V775" s="284"/>
      <c r="W775" s="284"/>
      <c r="X775" s="284"/>
      <c r="Y775" s="284"/>
      <c r="Z775" s="284"/>
    </row>
    <row r="776">
      <c r="E776" s="284"/>
      <c r="F776" s="284"/>
      <c r="G776" s="284"/>
      <c r="H776" s="284"/>
      <c r="I776" s="284"/>
      <c r="J776" s="284"/>
      <c r="K776" s="284"/>
      <c r="L776" s="284"/>
      <c r="M776" s="284"/>
      <c r="N776" s="284"/>
      <c r="O776" s="284"/>
      <c r="S776" s="284"/>
      <c r="T776" s="284"/>
      <c r="U776" s="284"/>
      <c r="V776" s="284"/>
      <c r="W776" s="284"/>
      <c r="X776" s="284"/>
      <c r="Y776" s="284"/>
      <c r="Z776" s="284"/>
    </row>
    <row r="777">
      <c r="E777" s="284"/>
      <c r="F777" s="284"/>
      <c r="G777" s="284"/>
      <c r="H777" s="284"/>
      <c r="I777" s="284"/>
      <c r="J777" s="284"/>
      <c r="K777" s="284"/>
      <c r="L777" s="284"/>
      <c r="M777" s="284"/>
      <c r="N777" s="284"/>
      <c r="O777" s="284"/>
      <c r="S777" s="284"/>
      <c r="T777" s="284"/>
      <c r="U777" s="284"/>
      <c r="V777" s="284"/>
      <c r="W777" s="284"/>
      <c r="X777" s="284"/>
      <c r="Y777" s="284"/>
      <c r="Z777" s="284"/>
    </row>
    <row r="778">
      <c r="E778" s="284"/>
      <c r="F778" s="284"/>
      <c r="G778" s="284"/>
      <c r="H778" s="284"/>
      <c r="I778" s="284"/>
      <c r="J778" s="284"/>
      <c r="K778" s="284"/>
      <c r="L778" s="284"/>
      <c r="M778" s="284"/>
      <c r="N778" s="284"/>
      <c r="O778" s="284"/>
      <c r="S778" s="284"/>
      <c r="T778" s="284"/>
      <c r="U778" s="284"/>
      <c r="V778" s="284"/>
      <c r="W778" s="284"/>
      <c r="X778" s="284"/>
      <c r="Y778" s="284"/>
      <c r="Z778" s="284"/>
    </row>
    <row r="779">
      <c r="E779" s="284"/>
      <c r="F779" s="284"/>
      <c r="G779" s="284"/>
      <c r="H779" s="284"/>
      <c r="I779" s="284"/>
      <c r="J779" s="284"/>
      <c r="K779" s="284"/>
      <c r="L779" s="284"/>
      <c r="M779" s="284"/>
      <c r="N779" s="284"/>
      <c r="O779" s="284"/>
      <c r="S779" s="284"/>
      <c r="T779" s="284"/>
      <c r="U779" s="284"/>
      <c r="V779" s="284"/>
      <c r="W779" s="284"/>
      <c r="X779" s="284"/>
      <c r="Y779" s="284"/>
      <c r="Z779" s="284"/>
    </row>
    <row r="780">
      <c r="E780" s="284"/>
      <c r="F780" s="284"/>
      <c r="G780" s="284"/>
      <c r="H780" s="284"/>
      <c r="I780" s="284"/>
      <c r="J780" s="284"/>
      <c r="K780" s="284"/>
      <c r="L780" s="284"/>
      <c r="M780" s="284"/>
      <c r="N780" s="284"/>
      <c r="O780" s="284"/>
      <c r="S780" s="284"/>
      <c r="T780" s="284"/>
      <c r="U780" s="284"/>
      <c r="V780" s="284"/>
      <c r="W780" s="284"/>
      <c r="X780" s="284"/>
      <c r="Y780" s="284"/>
      <c r="Z780" s="284"/>
    </row>
    <row r="781">
      <c r="E781" s="284"/>
      <c r="F781" s="284"/>
      <c r="G781" s="284"/>
      <c r="H781" s="284"/>
      <c r="I781" s="284"/>
      <c r="J781" s="284"/>
      <c r="K781" s="284"/>
      <c r="L781" s="284"/>
      <c r="M781" s="284"/>
      <c r="N781" s="284"/>
      <c r="O781" s="284"/>
      <c r="S781" s="284"/>
      <c r="T781" s="284"/>
      <c r="U781" s="284"/>
      <c r="V781" s="284"/>
      <c r="W781" s="284"/>
      <c r="X781" s="284"/>
      <c r="Y781" s="284"/>
      <c r="Z781" s="284"/>
    </row>
    <row r="782">
      <c r="E782" s="284"/>
      <c r="F782" s="284"/>
      <c r="G782" s="284"/>
      <c r="H782" s="284"/>
      <c r="I782" s="284"/>
      <c r="J782" s="284"/>
      <c r="K782" s="284"/>
      <c r="L782" s="284"/>
      <c r="M782" s="284"/>
      <c r="N782" s="284"/>
      <c r="O782" s="284"/>
      <c r="S782" s="284"/>
      <c r="T782" s="284"/>
      <c r="U782" s="284"/>
      <c r="V782" s="284"/>
      <c r="W782" s="284"/>
      <c r="X782" s="284"/>
      <c r="Y782" s="284"/>
      <c r="Z782" s="284"/>
    </row>
    <row r="783">
      <c r="E783" s="284"/>
      <c r="F783" s="284"/>
      <c r="G783" s="284"/>
      <c r="H783" s="284"/>
      <c r="I783" s="284"/>
      <c r="J783" s="284"/>
      <c r="K783" s="284"/>
      <c r="L783" s="284"/>
      <c r="M783" s="284"/>
      <c r="N783" s="284"/>
      <c r="O783" s="284"/>
      <c r="S783" s="284"/>
      <c r="T783" s="284"/>
      <c r="U783" s="284"/>
      <c r="V783" s="284"/>
      <c r="W783" s="284"/>
      <c r="X783" s="284"/>
      <c r="Y783" s="284"/>
      <c r="Z783" s="284"/>
    </row>
    <row r="784">
      <c r="E784" s="284"/>
      <c r="F784" s="284"/>
      <c r="G784" s="284"/>
      <c r="H784" s="284"/>
      <c r="I784" s="284"/>
      <c r="J784" s="284"/>
      <c r="K784" s="284"/>
      <c r="L784" s="284"/>
      <c r="M784" s="284"/>
      <c r="N784" s="284"/>
      <c r="O784" s="284"/>
      <c r="S784" s="284"/>
      <c r="T784" s="284"/>
      <c r="U784" s="284"/>
      <c r="V784" s="284"/>
      <c r="W784" s="284"/>
      <c r="X784" s="284"/>
      <c r="Y784" s="284"/>
      <c r="Z784" s="284"/>
    </row>
    <row r="785">
      <c r="E785" s="284"/>
      <c r="F785" s="284"/>
      <c r="G785" s="284"/>
      <c r="H785" s="284"/>
      <c r="I785" s="284"/>
      <c r="J785" s="284"/>
      <c r="K785" s="284"/>
      <c r="L785" s="284"/>
      <c r="M785" s="284"/>
      <c r="N785" s="284"/>
      <c r="O785" s="284"/>
      <c r="S785" s="284"/>
      <c r="T785" s="284"/>
      <c r="U785" s="284"/>
      <c r="V785" s="284"/>
      <c r="W785" s="284"/>
      <c r="X785" s="284"/>
      <c r="Y785" s="284"/>
      <c r="Z785" s="284"/>
    </row>
    <row r="786">
      <c r="E786" s="284"/>
      <c r="F786" s="284"/>
      <c r="G786" s="284"/>
      <c r="H786" s="284"/>
      <c r="I786" s="284"/>
      <c r="J786" s="284"/>
      <c r="K786" s="284"/>
      <c r="L786" s="284"/>
      <c r="M786" s="284"/>
      <c r="N786" s="284"/>
      <c r="O786" s="284"/>
      <c r="S786" s="284"/>
      <c r="T786" s="284"/>
      <c r="U786" s="284"/>
      <c r="V786" s="284"/>
      <c r="W786" s="284"/>
      <c r="X786" s="284"/>
      <c r="Y786" s="284"/>
      <c r="Z786" s="284"/>
    </row>
    <row r="787">
      <c r="E787" s="284"/>
      <c r="F787" s="284"/>
      <c r="G787" s="284"/>
      <c r="H787" s="284"/>
      <c r="I787" s="284"/>
      <c r="J787" s="284"/>
      <c r="K787" s="284"/>
      <c r="L787" s="284"/>
      <c r="M787" s="284"/>
      <c r="N787" s="284"/>
      <c r="O787" s="284"/>
      <c r="S787" s="284"/>
      <c r="T787" s="284"/>
      <c r="U787" s="284"/>
      <c r="V787" s="284"/>
      <c r="W787" s="284"/>
      <c r="X787" s="284"/>
      <c r="Y787" s="284"/>
      <c r="Z787" s="284"/>
    </row>
    <row r="788">
      <c r="E788" s="284"/>
      <c r="F788" s="284"/>
      <c r="G788" s="284"/>
      <c r="H788" s="284"/>
      <c r="I788" s="284"/>
      <c r="J788" s="284"/>
      <c r="K788" s="284"/>
      <c r="L788" s="284"/>
      <c r="M788" s="284"/>
      <c r="N788" s="284"/>
      <c r="O788" s="284"/>
      <c r="S788" s="284"/>
      <c r="T788" s="284"/>
      <c r="U788" s="284"/>
      <c r="V788" s="284"/>
      <c r="W788" s="284"/>
      <c r="X788" s="284"/>
      <c r="Y788" s="284"/>
      <c r="Z788" s="284"/>
    </row>
    <row r="789">
      <c r="E789" s="284"/>
      <c r="F789" s="284"/>
      <c r="G789" s="284"/>
      <c r="H789" s="284"/>
      <c r="I789" s="284"/>
      <c r="J789" s="284"/>
      <c r="K789" s="284"/>
      <c r="L789" s="284"/>
      <c r="M789" s="284"/>
      <c r="N789" s="284"/>
      <c r="O789" s="284"/>
      <c r="S789" s="284"/>
      <c r="T789" s="284"/>
      <c r="U789" s="284"/>
      <c r="V789" s="284"/>
      <c r="W789" s="284"/>
      <c r="X789" s="284"/>
      <c r="Y789" s="284"/>
      <c r="Z789" s="284"/>
    </row>
    <row r="790">
      <c r="E790" s="284"/>
      <c r="F790" s="284"/>
      <c r="G790" s="284"/>
      <c r="H790" s="284"/>
      <c r="I790" s="284"/>
      <c r="J790" s="284"/>
      <c r="K790" s="284"/>
      <c r="L790" s="284"/>
      <c r="M790" s="284"/>
      <c r="N790" s="284"/>
      <c r="O790" s="284"/>
      <c r="S790" s="284"/>
      <c r="T790" s="284"/>
      <c r="U790" s="284"/>
      <c r="V790" s="284"/>
      <c r="W790" s="284"/>
      <c r="X790" s="284"/>
      <c r="Y790" s="284"/>
      <c r="Z790" s="284"/>
    </row>
    <row r="791">
      <c r="E791" s="284"/>
      <c r="F791" s="284"/>
      <c r="G791" s="284"/>
      <c r="H791" s="284"/>
      <c r="I791" s="284"/>
      <c r="J791" s="284"/>
      <c r="K791" s="284"/>
      <c r="L791" s="284"/>
      <c r="M791" s="284"/>
      <c r="N791" s="284"/>
      <c r="O791" s="284"/>
      <c r="S791" s="284"/>
      <c r="T791" s="284"/>
      <c r="U791" s="284"/>
      <c r="V791" s="284"/>
      <c r="W791" s="284"/>
      <c r="X791" s="284"/>
      <c r="Y791" s="284"/>
      <c r="Z791" s="284"/>
    </row>
    <row r="792">
      <c r="E792" s="284"/>
      <c r="F792" s="284"/>
      <c r="G792" s="284"/>
      <c r="H792" s="284"/>
      <c r="I792" s="284"/>
      <c r="J792" s="284"/>
      <c r="K792" s="284"/>
      <c r="L792" s="284"/>
      <c r="M792" s="284"/>
      <c r="N792" s="284"/>
      <c r="O792" s="284"/>
      <c r="S792" s="284"/>
      <c r="T792" s="284"/>
      <c r="U792" s="284"/>
      <c r="V792" s="284"/>
      <c r="W792" s="284"/>
      <c r="X792" s="284"/>
      <c r="Y792" s="284"/>
      <c r="Z792" s="284"/>
    </row>
    <row r="793">
      <c r="E793" s="284"/>
      <c r="F793" s="284"/>
      <c r="G793" s="284"/>
      <c r="H793" s="284"/>
      <c r="I793" s="284"/>
      <c r="J793" s="284"/>
      <c r="K793" s="284"/>
      <c r="L793" s="284"/>
      <c r="M793" s="284"/>
      <c r="N793" s="284"/>
      <c r="O793" s="284"/>
      <c r="S793" s="284"/>
      <c r="T793" s="284"/>
      <c r="U793" s="284"/>
      <c r="V793" s="284"/>
      <c r="W793" s="284"/>
      <c r="X793" s="284"/>
      <c r="Y793" s="284"/>
      <c r="Z793" s="284"/>
    </row>
    <row r="794">
      <c r="E794" s="284"/>
      <c r="F794" s="284"/>
      <c r="G794" s="284"/>
      <c r="H794" s="284"/>
      <c r="I794" s="284"/>
      <c r="J794" s="284"/>
      <c r="K794" s="284"/>
      <c r="L794" s="284"/>
      <c r="M794" s="284"/>
      <c r="N794" s="284"/>
      <c r="O794" s="284"/>
      <c r="S794" s="284"/>
      <c r="T794" s="284"/>
      <c r="U794" s="284"/>
      <c r="V794" s="284"/>
      <c r="W794" s="284"/>
      <c r="X794" s="284"/>
      <c r="Y794" s="284"/>
      <c r="Z794" s="284"/>
    </row>
    <row r="795">
      <c r="E795" s="284"/>
      <c r="F795" s="284"/>
      <c r="G795" s="284"/>
      <c r="H795" s="284"/>
      <c r="I795" s="284"/>
      <c r="J795" s="284"/>
      <c r="K795" s="284"/>
      <c r="L795" s="284"/>
      <c r="M795" s="284"/>
      <c r="N795" s="284"/>
      <c r="O795" s="284"/>
      <c r="S795" s="284"/>
      <c r="T795" s="284"/>
      <c r="U795" s="284"/>
      <c r="V795" s="284"/>
      <c r="W795" s="284"/>
      <c r="X795" s="284"/>
      <c r="Y795" s="284"/>
      <c r="Z795" s="284"/>
    </row>
    <row r="796">
      <c r="E796" s="284"/>
      <c r="F796" s="284"/>
      <c r="G796" s="284"/>
      <c r="H796" s="284"/>
      <c r="I796" s="284"/>
      <c r="J796" s="284"/>
      <c r="K796" s="284"/>
      <c r="L796" s="284"/>
      <c r="M796" s="284"/>
      <c r="N796" s="284"/>
      <c r="O796" s="284"/>
      <c r="S796" s="284"/>
      <c r="T796" s="284"/>
      <c r="U796" s="284"/>
      <c r="V796" s="284"/>
      <c r="W796" s="284"/>
      <c r="X796" s="284"/>
      <c r="Y796" s="284"/>
      <c r="Z796" s="284"/>
    </row>
    <row r="797">
      <c r="E797" s="284"/>
      <c r="F797" s="284"/>
      <c r="G797" s="284"/>
      <c r="H797" s="284"/>
      <c r="I797" s="284"/>
      <c r="J797" s="284"/>
      <c r="K797" s="284"/>
      <c r="L797" s="284"/>
      <c r="M797" s="284"/>
      <c r="N797" s="284"/>
      <c r="O797" s="284"/>
      <c r="S797" s="284"/>
      <c r="T797" s="284"/>
      <c r="U797" s="284"/>
      <c r="V797" s="284"/>
      <c r="W797" s="284"/>
      <c r="X797" s="284"/>
      <c r="Y797" s="284"/>
      <c r="Z797" s="284"/>
    </row>
    <row r="798">
      <c r="E798" s="284"/>
      <c r="F798" s="284"/>
      <c r="G798" s="284"/>
      <c r="H798" s="284"/>
      <c r="I798" s="284"/>
      <c r="J798" s="284"/>
      <c r="K798" s="284"/>
      <c r="L798" s="284"/>
      <c r="M798" s="284"/>
      <c r="N798" s="284"/>
      <c r="O798" s="284"/>
      <c r="S798" s="284"/>
      <c r="T798" s="284"/>
      <c r="U798" s="284"/>
      <c r="V798" s="284"/>
      <c r="W798" s="284"/>
      <c r="X798" s="284"/>
      <c r="Y798" s="284"/>
      <c r="Z798" s="284"/>
    </row>
    <row r="799">
      <c r="E799" s="284"/>
      <c r="F799" s="284"/>
      <c r="G799" s="284"/>
      <c r="H799" s="284"/>
      <c r="I799" s="284"/>
      <c r="J799" s="284"/>
      <c r="K799" s="284"/>
      <c r="L799" s="284"/>
      <c r="M799" s="284"/>
      <c r="N799" s="284"/>
      <c r="O799" s="284"/>
      <c r="S799" s="284"/>
      <c r="T799" s="284"/>
      <c r="U799" s="284"/>
      <c r="V799" s="284"/>
      <c r="W799" s="284"/>
      <c r="X799" s="284"/>
      <c r="Y799" s="284"/>
      <c r="Z799" s="284"/>
    </row>
    <row r="800">
      <c r="E800" s="284"/>
      <c r="F800" s="284"/>
      <c r="G800" s="284"/>
      <c r="H800" s="284"/>
      <c r="I800" s="284"/>
      <c r="J800" s="284"/>
      <c r="K800" s="284"/>
      <c r="L800" s="284"/>
      <c r="M800" s="284"/>
      <c r="N800" s="284"/>
      <c r="O800" s="284"/>
      <c r="S800" s="284"/>
      <c r="T800" s="284"/>
      <c r="U800" s="284"/>
      <c r="V800" s="284"/>
      <c r="W800" s="284"/>
      <c r="X800" s="284"/>
      <c r="Y800" s="284"/>
      <c r="Z800" s="284"/>
    </row>
    <row r="801">
      <c r="E801" s="284"/>
      <c r="F801" s="284"/>
      <c r="G801" s="284"/>
      <c r="H801" s="284"/>
      <c r="I801" s="284"/>
      <c r="J801" s="284"/>
      <c r="K801" s="284"/>
      <c r="L801" s="284"/>
      <c r="M801" s="284"/>
      <c r="N801" s="284"/>
      <c r="O801" s="284"/>
      <c r="S801" s="284"/>
      <c r="T801" s="284"/>
      <c r="U801" s="284"/>
      <c r="V801" s="284"/>
      <c r="W801" s="284"/>
      <c r="X801" s="284"/>
      <c r="Y801" s="284"/>
      <c r="Z801" s="284"/>
    </row>
    <row r="802">
      <c r="E802" s="284"/>
      <c r="F802" s="284"/>
      <c r="G802" s="284"/>
      <c r="H802" s="284"/>
      <c r="I802" s="284"/>
      <c r="J802" s="284"/>
      <c r="K802" s="284"/>
      <c r="L802" s="284"/>
      <c r="M802" s="284"/>
      <c r="N802" s="284"/>
      <c r="O802" s="284"/>
      <c r="S802" s="284"/>
      <c r="T802" s="284"/>
      <c r="U802" s="284"/>
      <c r="V802" s="284"/>
      <c r="W802" s="284"/>
      <c r="X802" s="284"/>
      <c r="Y802" s="284"/>
      <c r="Z802" s="284"/>
    </row>
    <row r="803">
      <c r="E803" s="284"/>
      <c r="F803" s="284"/>
      <c r="G803" s="284"/>
      <c r="H803" s="284"/>
      <c r="I803" s="284"/>
      <c r="J803" s="284"/>
      <c r="K803" s="284"/>
      <c r="L803" s="284"/>
      <c r="M803" s="284"/>
      <c r="N803" s="284"/>
      <c r="O803" s="284"/>
      <c r="S803" s="284"/>
      <c r="T803" s="284"/>
      <c r="U803" s="284"/>
      <c r="V803" s="284"/>
      <c r="W803" s="284"/>
      <c r="X803" s="284"/>
      <c r="Y803" s="284"/>
      <c r="Z803" s="284"/>
    </row>
    <row r="804">
      <c r="E804" s="284"/>
      <c r="F804" s="284"/>
      <c r="G804" s="284"/>
      <c r="H804" s="284"/>
      <c r="I804" s="284"/>
      <c r="J804" s="284"/>
      <c r="K804" s="284"/>
      <c r="L804" s="284"/>
      <c r="M804" s="284"/>
      <c r="N804" s="284"/>
      <c r="O804" s="284"/>
      <c r="S804" s="284"/>
      <c r="T804" s="284"/>
      <c r="U804" s="284"/>
      <c r="V804" s="284"/>
      <c r="W804" s="284"/>
      <c r="X804" s="284"/>
      <c r="Y804" s="284"/>
      <c r="Z804" s="284"/>
    </row>
    <row r="805">
      <c r="E805" s="284"/>
      <c r="F805" s="284"/>
      <c r="G805" s="284"/>
      <c r="H805" s="284"/>
      <c r="I805" s="284"/>
      <c r="J805" s="284"/>
      <c r="K805" s="284"/>
      <c r="L805" s="284"/>
      <c r="M805" s="284"/>
      <c r="N805" s="284"/>
      <c r="O805" s="284"/>
      <c r="S805" s="284"/>
      <c r="T805" s="284"/>
      <c r="U805" s="284"/>
      <c r="V805" s="284"/>
      <c r="W805" s="284"/>
      <c r="X805" s="284"/>
      <c r="Y805" s="284"/>
      <c r="Z805" s="284"/>
    </row>
    <row r="806">
      <c r="E806" s="284"/>
      <c r="F806" s="284"/>
      <c r="G806" s="284"/>
      <c r="H806" s="284"/>
      <c r="I806" s="284"/>
      <c r="J806" s="284"/>
      <c r="K806" s="284"/>
      <c r="L806" s="284"/>
      <c r="M806" s="284"/>
      <c r="N806" s="284"/>
      <c r="O806" s="284"/>
      <c r="S806" s="284"/>
      <c r="T806" s="284"/>
      <c r="U806" s="284"/>
      <c r="V806" s="284"/>
      <c r="W806" s="284"/>
      <c r="X806" s="284"/>
      <c r="Y806" s="284"/>
      <c r="Z806" s="284"/>
    </row>
    <row r="807">
      <c r="E807" s="284"/>
      <c r="F807" s="284"/>
      <c r="G807" s="284"/>
      <c r="H807" s="284"/>
      <c r="I807" s="284"/>
      <c r="J807" s="284"/>
      <c r="K807" s="284"/>
      <c r="L807" s="284"/>
      <c r="M807" s="284"/>
      <c r="N807" s="284"/>
      <c r="O807" s="284"/>
      <c r="S807" s="284"/>
      <c r="T807" s="284"/>
      <c r="U807" s="284"/>
      <c r="V807" s="284"/>
      <c r="W807" s="284"/>
      <c r="X807" s="284"/>
      <c r="Y807" s="284"/>
      <c r="Z807" s="284"/>
    </row>
    <row r="808">
      <c r="E808" s="284"/>
      <c r="F808" s="284"/>
      <c r="G808" s="284"/>
      <c r="H808" s="284"/>
      <c r="I808" s="284"/>
      <c r="J808" s="284"/>
      <c r="K808" s="284"/>
      <c r="L808" s="284"/>
      <c r="M808" s="284"/>
      <c r="N808" s="284"/>
      <c r="O808" s="284"/>
      <c r="S808" s="284"/>
      <c r="T808" s="284"/>
      <c r="U808" s="284"/>
      <c r="V808" s="284"/>
      <c r="W808" s="284"/>
      <c r="X808" s="284"/>
      <c r="Y808" s="284"/>
      <c r="Z808" s="284"/>
    </row>
    <row r="809">
      <c r="E809" s="284"/>
      <c r="F809" s="284"/>
      <c r="G809" s="284"/>
      <c r="H809" s="284"/>
      <c r="I809" s="284"/>
      <c r="J809" s="284"/>
      <c r="K809" s="284"/>
      <c r="L809" s="284"/>
      <c r="M809" s="284"/>
      <c r="N809" s="284"/>
      <c r="O809" s="284"/>
      <c r="S809" s="284"/>
      <c r="T809" s="284"/>
      <c r="U809" s="284"/>
      <c r="V809" s="284"/>
      <c r="W809" s="284"/>
      <c r="X809" s="284"/>
      <c r="Y809" s="284"/>
      <c r="Z809" s="284"/>
    </row>
    <row r="810">
      <c r="E810" s="284"/>
      <c r="F810" s="284"/>
      <c r="G810" s="284"/>
      <c r="H810" s="284"/>
      <c r="I810" s="284"/>
      <c r="J810" s="284"/>
      <c r="K810" s="284"/>
      <c r="L810" s="284"/>
      <c r="M810" s="284"/>
      <c r="N810" s="284"/>
      <c r="O810" s="284"/>
      <c r="S810" s="284"/>
      <c r="T810" s="284"/>
      <c r="U810" s="284"/>
      <c r="V810" s="284"/>
      <c r="W810" s="284"/>
      <c r="X810" s="284"/>
      <c r="Y810" s="284"/>
      <c r="Z810" s="284"/>
    </row>
    <row r="811">
      <c r="E811" s="284"/>
      <c r="F811" s="284"/>
      <c r="G811" s="284"/>
      <c r="H811" s="284"/>
      <c r="I811" s="284"/>
      <c r="J811" s="284"/>
      <c r="K811" s="284"/>
      <c r="L811" s="284"/>
      <c r="M811" s="284"/>
      <c r="N811" s="284"/>
      <c r="O811" s="284"/>
      <c r="S811" s="284"/>
      <c r="T811" s="284"/>
      <c r="U811" s="284"/>
      <c r="V811" s="284"/>
      <c r="W811" s="284"/>
      <c r="X811" s="284"/>
      <c r="Y811" s="284"/>
      <c r="Z811" s="284"/>
    </row>
    <row r="812">
      <c r="E812" s="284"/>
      <c r="F812" s="284"/>
      <c r="G812" s="284"/>
      <c r="H812" s="284"/>
      <c r="I812" s="284"/>
      <c r="J812" s="284"/>
      <c r="K812" s="284"/>
      <c r="L812" s="284"/>
      <c r="M812" s="284"/>
      <c r="N812" s="284"/>
      <c r="O812" s="284"/>
      <c r="S812" s="284"/>
      <c r="T812" s="284"/>
      <c r="U812" s="284"/>
      <c r="V812" s="284"/>
      <c r="W812" s="284"/>
      <c r="X812" s="284"/>
      <c r="Y812" s="284"/>
      <c r="Z812" s="284"/>
    </row>
    <row r="813">
      <c r="E813" s="284"/>
      <c r="F813" s="284"/>
      <c r="G813" s="284"/>
      <c r="H813" s="284"/>
      <c r="I813" s="284"/>
      <c r="J813" s="284"/>
      <c r="K813" s="284"/>
      <c r="L813" s="284"/>
      <c r="M813" s="284"/>
      <c r="N813" s="284"/>
      <c r="O813" s="284"/>
      <c r="S813" s="284"/>
      <c r="T813" s="284"/>
      <c r="U813" s="284"/>
      <c r="V813" s="284"/>
      <c r="W813" s="284"/>
      <c r="X813" s="284"/>
      <c r="Y813" s="284"/>
      <c r="Z813" s="284"/>
    </row>
    <row r="814">
      <c r="E814" s="284"/>
      <c r="F814" s="284"/>
      <c r="G814" s="284"/>
      <c r="H814" s="284"/>
      <c r="I814" s="284"/>
      <c r="J814" s="284"/>
      <c r="K814" s="284"/>
      <c r="L814" s="284"/>
      <c r="M814" s="284"/>
      <c r="N814" s="284"/>
      <c r="O814" s="284"/>
      <c r="S814" s="284"/>
      <c r="T814" s="284"/>
      <c r="U814" s="284"/>
      <c r="V814" s="284"/>
      <c r="W814" s="284"/>
      <c r="X814" s="284"/>
      <c r="Y814" s="284"/>
      <c r="Z814" s="284"/>
    </row>
    <row r="815">
      <c r="E815" s="284"/>
      <c r="F815" s="284"/>
      <c r="G815" s="284"/>
      <c r="H815" s="284"/>
      <c r="I815" s="284"/>
      <c r="J815" s="284"/>
      <c r="K815" s="284"/>
      <c r="L815" s="284"/>
      <c r="M815" s="284"/>
      <c r="N815" s="284"/>
      <c r="O815" s="284"/>
      <c r="S815" s="284"/>
      <c r="T815" s="284"/>
      <c r="U815" s="284"/>
      <c r="V815" s="284"/>
      <c r="W815" s="284"/>
      <c r="X815" s="284"/>
      <c r="Y815" s="284"/>
      <c r="Z815" s="284"/>
    </row>
    <row r="816">
      <c r="E816" s="284"/>
      <c r="F816" s="284"/>
      <c r="G816" s="284"/>
      <c r="H816" s="284"/>
      <c r="I816" s="284"/>
      <c r="J816" s="284"/>
      <c r="K816" s="284"/>
      <c r="L816" s="284"/>
      <c r="M816" s="284"/>
      <c r="N816" s="284"/>
      <c r="O816" s="284"/>
      <c r="S816" s="284"/>
      <c r="T816" s="284"/>
      <c r="U816" s="284"/>
      <c r="V816" s="284"/>
      <c r="W816" s="284"/>
      <c r="X816" s="284"/>
      <c r="Y816" s="284"/>
      <c r="Z816" s="284"/>
    </row>
    <row r="817">
      <c r="E817" s="284"/>
      <c r="F817" s="284"/>
      <c r="G817" s="284"/>
      <c r="H817" s="284"/>
      <c r="I817" s="284"/>
      <c r="J817" s="284"/>
      <c r="K817" s="284"/>
      <c r="L817" s="284"/>
      <c r="M817" s="284"/>
      <c r="N817" s="284"/>
      <c r="O817" s="284"/>
      <c r="S817" s="284"/>
      <c r="T817" s="284"/>
      <c r="U817" s="284"/>
      <c r="V817" s="284"/>
      <c r="W817" s="284"/>
      <c r="X817" s="284"/>
      <c r="Y817" s="284"/>
      <c r="Z817" s="284"/>
    </row>
    <row r="818">
      <c r="E818" s="284"/>
      <c r="F818" s="284"/>
      <c r="G818" s="284"/>
      <c r="H818" s="284"/>
      <c r="I818" s="284"/>
      <c r="J818" s="284"/>
      <c r="K818" s="284"/>
      <c r="L818" s="284"/>
      <c r="M818" s="284"/>
      <c r="N818" s="284"/>
      <c r="O818" s="284"/>
      <c r="S818" s="284"/>
      <c r="T818" s="284"/>
      <c r="U818" s="284"/>
      <c r="V818" s="284"/>
      <c r="W818" s="284"/>
      <c r="X818" s="284"/>
      <c r="Y818" s="284"/>
      <c r="Z818" s="284"/>
    </row>
    <row r="819">
      <c r="E819" s="284"/>
      <c r="F819" s="284"/>
      <c r="G819" s="284"/>
      <c r="H819" s="284"/>
      <c r="I819" s="284"/>
      <c r="J819" s="284"/>
      <c r="K819" s="284"/>
      <c r="L819" s="284"/>
      <c r="M819" s="284"/>
      <c r="N819" s="284"/>
      <c r="O819" s="284"/>
      <c r="S819" s="284"/>
      <c r="T819" s="284"/>
      <c r="U819" s="284"/>
      <c r="V819" s="284"/>
      <c r="W819" s="284"/>
      <c r="X819" s="284"/>
      <c r="Y819" s="284"/>
      <c r="Z819" s="284"/>
    </row>
    <row r="820">
      <c r="E820" s="284"/>
      <c r="F820" s="284"/>
      <c r="G820" s="284"/>
      <c r="H820" s="284"/>
      <c r="I820" s="284"/>
      <c r="J820" s="284"/>
      <c r="K820" s="284"/>
      <c r="L820" s="284"/>
      <c r="M820" s="284"/>
      <c r="N820" s="284"/>
      <c r="O820" s="284"/>
      <c r="S820" s="284"/>
      <c r="T820" s="284"/>
      <c r="U820" s="284"/>
      <c r="V820" s="284"/>
      <c r="W820" s="284"/>
      <c r="X820" s="284"/>
      <c r="Y820" s="284"/>
      <c r="Z820" s="284"/>
    </row>
    <row r="821">
      <c r="E821" s="284"/>
      <c r="F821" s="284"/>
      <c r="G821" s="284"/>
      <c r="H821" s="284"/>
      <c r="I821" s="284"/>
      <c r="J821" s="284"/>
      <c r="K821" s="284"/>
      <c r="L821" s="284"/>
      <c r="M821" s="284"/>
      <c r="N821" s="284"/>
      <c r="O821" s="284"/>
      <c r="S821" s="284"/>
      <c r="T821" s="284"/>
      <c r="U821" s="284"/>
      <c r="V821" s="284"/>
      <c r="W821" s="284"/>
      <c r="X821" s="284"/>
      <c r="Y821" s="284"/>
      <c r="Z821" s="284"/>
    </row>
    <row r="822">
      <c r="E822" s="284"/>
      <c r="F822" s="284"/>
      <c r="G822" s="284"/>
      <c r="H822" s="284"/>
      <c r="I822" s="284"/>
      <c r="J822" s="284"/>
      <c r="K822" s="284"/>
      <c r="L822" s="284"/>
      <c r="M822" s="284"/>
      <c r="N822" s="284"/>
      <c r="O822" s="284"/>
      <c r="S822" s="284"/>
      <c r="T822" s="284"/>
      <c r="U822" s="284"/>
      <c r="V822" s="284"/>
      <c r="W822" s="284"/>
      <c r="X822" s="284"/>
      <c r="Y822" s="284"/>
      <c r="Z822" s="284"/>
    </row>
    <row r="823">
      <c r="E823" s="284"/>
      <c r="F823" s="284"/>
      <c r="G823" s="284"/>
      <c r="H823" s="284"/>
      <c r="I823" s="284"/>
      <c r="J823" s="284"/>
      <c r="K823" s="284"/>
      <c r="L823" s="284"/>
      <c r="M823" s="284"/>
      <c r="N823" s="284"/>
      <c r="O823" s="284"/>
      <c r="S823" s="284"/>
      <c r="T823" s="284"/>
      <c r="U823" s="284"/>
      <c r="V823" s="284"/>
      <c r="W823" s="284"/>
      <c r="X823" s="284"/>
      <c r="Y823" s="284"/>
      <c r="Z823" s="284"/>
    </row>
    <row r="824">
      <c r="E824" s="284"/>
      <c r="F824" s="284"/>
      <c r="G824" s="284"/>
      <c r="H824" s="284"/>
      <c r="I824" s="284"/>
      <c r="J824" s="284"/>
      <c r="K824" s="284"/>
      <c r="L824" s="284"/>
      <c r="M824" s="284"/>
      <c r="N824" s="284"/>
      <c r="O824" s="284"/>
      <c r="S824" s="284"/>
      <c r="T824" s="284"/>
      <c r="U824" s="284"/>
      <c r="V824" s="284"/>
      <c r="W824" s="284"/>
      <c r="X824" s="284"/>
      <c r="Y824" s="284"/>
      <c r="Z824" s="284"/>
    </row>
    <row r="825">
      <c r="E825" s="284"/>
      <c r="F825" s="284"/>
      <c r="G825" s="284"/>
      <c r="H825" s="284"/>
      <c r="I825" s="284"/>
      <c r="J825" s="284"/>
      <c r="K825" s="284"/>
      <c r="L825" s="284"/>
      <c r="M825" s="284"/>
      <c r="N825" s="284"/>
      <c r="O825" s="284"/>
      <c r="S825" s="284"/>
      <c r="T825" s="284"/>
      <c r="U825" s="284"/>
      <c r="V825" s="284"/>
      <c r="W825" s="284"/>
      <c r="X825" s="284"/>
      <c r="Y825" s="284"/>
      <c r="Z825" s="284"/>
    </row>
    <row r="826">
      <c r="E826" s="284"/>
      <c r="F826" s="284"/>
      <c r="G826" s="284"/>
      <c r="H826" s="284"/>
      <c r="I826" s="284"/>
      <c r="J826" s="284"/>
      <c r="K826" s="284"/>
      <c r="L826" s="284"/>
      <c r="M826" s="284"/>
      <c r="N826" s="284"/>
      <c r="O826" s="284"/>
      <c r="S826" s="284"/>
      <c r="T826" s="284"/>
      <c r="U826" s="284"/>
      <c r="V826" s="284"/>
      <c r="W826" s="284"/>
      <c r="X826" s="284"/>
      <c r="Y826" s="284"/>
      <c r="Z826" s="284"/>
    </row>
    <row r="827">
      <c r="E827" s="284"/>
      <c r="F827" s="284"/>
      <c r="G827" s="284"/>
      <c r="H827" s="284"/>
      <c r="I827" s="284"/>
      <c r="J827" s="284"/>
      <c r="K827" s="284"/>
      <c r="L827" s="284"/>
      <c r="M827" s="284"/>
      <c r="N827" s="284"/>
      <c r="O827" s="284"/>
      <c r="S827" s="284"/>
      <c r="T827" s="284"/>
      <c r="U827" s="284"/>
      <c r="V827" s="284"/>
      <c r="W827" s="284"/>
      <c r="X827" s="284"/>
      <c r="Y827" s="284"/>
      <c r="Z827" s="284"/>
    </row>
    <row r="828">
      <c r="E828" s="284"/>
      <c r="F828" s="284"/>
      <c r="G828" s="284"/>
      <c r="H828" s="284"/>
      <c r="I828" s="284"/>
      <c r="J828" s="284"/>
      <c r="K828" s="284"/>
      <c r="L828" s="284"/>
      <c r="M828" s="284"/>
      <c r="N828" s="284"/>
      <c r="O828" s="284"/>
      <c r="S828" s="284"/>
      <c r="T828" s="284"/>
      <c r="U828" s="284"/>
      <c r="V828" s="284"/>
      <c r="W828" s="284"/>
      <c r="X828" s="284"/>
      <c r="Y828" s="284"/>
      <c r="Z828" s="284"/>
    </row>
    <row r="829">
      <c r="E829" s="284"/>
      <c r="F829" s="284"/>
      <c r="G829" s="284"/>
      <c r="H829" s="284"/>
      <c r="I829" s="284"/>
      <c r="J829" s="284"/>
      <c r="K829" s="284"/>
      <c r="L829" s="284"/>
      <c r="M829" s="284"/>
      <c r="N829" s="284"/>
      <c r="O829" s="284"/>
      <c r="S829" s="284"/>
      <c r="T829" s="284"/>
      <c r="U829" s="284"/>
      <c r="V829" s="284"/>
      <c r="W829" s="284"/>
      <c r="X829" s="284"/>
      <c r="Y829" s="284"/>
      <c r="Z829" s="284"/>
    </row>
    <row r="830">
      <c r="E830" s="284"/>
      <c r="F830" s="284"/>
      <c r="G830" s="284"/>
      <c r="H830" s="284"/>
      <c r="I830" s="284"/>
      <c r="J830" s="284"/>
      <c r="K830" s="284"/>
      <c r="L830" s="284"/>
      <c r="M830" s="284"/>
      <c r="N830" s="284"/>
      <c r="O830" s="284"/>
      <c r="S830" s="284"/>
      <c r="T830" s="284"/>
      <c r="U830" s="284"/>
      <c r="V830" s="284"/>
      <c r="W830" s="284"/>
      <c r="X830" s="284"/>
      <c r="Y830" s="284"/>
      <c r="Z830" s="284"/>
    </row>
    <row r="831">
      <c r="E831" s="284"/>
      <c r="F831" s="284"/>
      <c r="G831" s="284"/>
      <c r="H831" s="284"/>
      <c r="I831" s="284"/>
      <c r="J831" s="284"/>
      <c r="K831" s="284"/>
      <c r="L831" s="284"/>
      <c r="M831" s="284"/>
      <c r="N831" s="284"/>
      <c r="O831" s="284"/>
      <c r="S831" s="284"/>
      <c r="T831" s="284"/>
      <c r="U831" s="284"/>
      <c r="V831" s="284"/>
      <c r="W831" s="284"/>
      <c r="X831" s="284"/>
      <c r="Y831" s="284"/>
      <c r="Z831" s="284"/>
    </row>
    <row r="832">
      <c r="E832" s="284"/>
      <c r="F832" s="284"/>
      <c r="G832" s="284"/>
      <c r="H832" s="284"/>
      <c r="I832" s="284"/>
      <c r="J832" s="284"/>
      <c r="K832" s="284"/>
      <c r="L832" s="284"/>
      <c r="M832" s="284"/>
      <c r="N832" s="284"/>
      <c r="O832" s="284"/>
      <c r="S832" s="284"/>
      <c r="T832" s="284"/>
      <c r="U832" s="284"/>
      <c r="V832" s="284"/>
      <c r="W832" s="284"/>
      <c r="X832" s="284"/>
      <c r="Y832" s="284"/>
      <c r="Z832" s="284"/>
    </row>
    <row r="833">
      <c r="E833" s="284"/>
      <c r="F833" s="284"/>
      <c r="G833" s="284"/>
      <c r="H833" s="284"/>
      <c r="I833" s="284"/>
      <c r="J833" s="284"/>
      <c r="K833" s="284"/>
      <c r="L833" s="284"/>
      <c r="M833" s="284"/>
      <c r="N833" s="284"/>
      <c r="O833" s="284"/>
      <c r="S833" s="284"/>
      <c r="T833" s="284"/>
      <c r="U833" s="284"/>
      <c r="V833" s="284"/>
      <c r="W833" s="284"/>
      <c r="X833" s="284"/>
      <c r="Y833" s="284"/>
      <c r="Z833" s="284"/>
    </row>
    <row r="834">
      <c r="E834" s="284"/>
      <c r="F834" s="284"/>
      <c r="G834" s="284"/>
      <c r="H834" s="284"/>
      <c r="I834" s="284"/>
      <c r="J834" s="284"/>
      <c r="K834" s="284"/>
      <c r="L834" s="284"/>
      <c r="M834" s="284"/>
      <c r="N834" s="284"/>
      <c r="O834" s="284"/>
      <c r="S834" s="284"/>
      <c r="T834" s="284"/>
      <c r="U834" s="284"/>
      <c r="V834" s="284"/>
      <c r="W834" s="284"/>
      <c r="X834" s="284"/>
      <c r="Y834" s="284"/>
      <c r="Z834" s="284"/>
    </row>
    <row r="835">
      <c r="E835" s="284"/>
      <c r="F835" s="284"/>
      <c r="G835" s="284"/>
      <c r="H835" s="284"/>
      <c r="I835" s="284"/>
      <c r="J835" s="284"/>
      <c r="K835" s="284"/>
      <c r="L835" s="284"/>
      <c r="M835" s="284"/>
      <c r="N835" s="284"/>
      <c r="O835" s="284"/>
      <c r="S835" s="284"/>
      <c r="T835" s="284"/>
      <c r="U835" s="284"/>
      <c r="V835" s="284"/>
      <c r="W835" s="284"/>
      <c r="X835" s="284"/>
      <c r="Y835" s="284"/>
      <c r="Z835" s="284"/>
    </row>
    <row r="836">
      <c r="E836" s="284"/>
      <c r="F836" s="284"/>
      <c r="G836" s="284"/>
      <c r="H836" s="284"/>
      <c r="I836" s="284"/>
      <c r="J836" s="284"/>
      <c r="K836" s="284"/>
      <c r="L836" s="284"/>
      <c r="M836" s="284"/>
      <c r="N836" s="284"/>
      <c r="O836" s="284"/>
      <c r="S836" s="284"/>
      <c r="T836" s="284"/>
      <c r="U836" s="284"/>
      <c r="V836" s="284"/>
      <c r="W836" s="284"/>
      <c r="X836" s="284"/>
      <c r="Y836" s="284"/>
      <c r="Z836" s="284"/>
    </row>
    <row r="837">
      <c r="E837" s="284"/>
      <c r="F837" s="284"/>
      <c r="G837" s="284"/>
      <c r="H837" s="284"/>
      <c r="I837" s="284"/>
      <c r="J837" s="284"/>
      <c r="K837" s="284"/>
      <c r="L837" s="284"/>
      <c r="M837" s="284"/>
      <c r="N837" s="284"/>
      <c r="O837" s="284"/>
      <c r="S837" s="284"/>
      <c r="T837" s="284"/>
      <c r="U837" s="284"/>
      <c r="V837" s="284"/>
      <c r="W837" s="284"/>
      <c r="X837" s="284"/>
      <c r="Y837" s="284"/>
      <c r="Z837" s="284"/>
    </row>
    <row r="838">
      <c r="E838" s="284"/>
      <c r="F838" s="284"/>
      <c r="G838" s="284"/>
      <c r="H838" s="284"/>
      <c r="I838" s="284"/>
      <c r="J838" s="284"/>
      <c r="K838" s="284"/>
      <c r="L838" s="284"/>
      <c r="M838" s="284"/>
      <c r="N838" s="284"/>
      <c r="O838" s="284"/>
      <c r="S838" s="284"/>
      <c r="T838" s="284"/>
      <c r="U838" s="284"/>
      <c r="V838" s="284"/>
      <c r="W838" s="284"/>
      <c r="X838" s="284"/>
      <c r="Y838" s="284"/>
      <c r="Z838" s="284"/>
    </row>
    <row r="839">
      <c r="E839" s="284"/>
      <c r="F839" s="284"/>
      <c r="G839" s="284"/>
      <c r="H839" s="284"/>
      <c r="I839" s="284"/>
      <c r="J839" s="284"/>
      <c r="K839" s="284"/>
      <c r="L839" s="284"/>
      <c r="M839" s="284"/>
      <c r="N839" s="284"/>
      <c r="O839" s="284"/>
      <c r="S839" s="284"/>
      <c r="T839" s="284"/>
      <c r="U839" s="284"/>
      <c r="V839" s="284"/>
      <c r="W839" s="284"/>
      <c r="X839" s="284"/>
      <c r="Y839" s="284"/>
      <c r="Z839" s="284"/>
    </row>
    <row r="840">
      <c r="E840" s="284"/>
      <c r="F840" s="284"/>
      <c r="G840" s="284"/>
      <c r="H840" s="284"/>
      <c r="I840" s="284"/>
      <c r="J840" s="284"/>
      <c r="K840" s="284"/>
      <c r="L840" s="284"/>
      <c r="M840" s="284"/>
      <c r="N840" s="284"/>
      <c r="O840" s="284"/>
      <c r="S840" s="284"/>
      <c r="T840" s="284"/>
      <c r="U840" s="284"/>
      <c r="V840" s="284"/>
      <c r="W840" s="284"/>
      <c r="X840" s="284"/>
      <c r="Y840" s="284"/>
      <c r="Z840" s="284"/>
    </row>
    <row r="841">
      <c r="E841" s="284"/>
      <c r="F841" s="284"/>
      <c r="G841" s="284"/>
      <c r="H841" s="284"/>
      <c r="I841" s="284"/>
      <c r="J841" s="284"/>
      <c r="K841" s="284"/>
      <c r="L841" s="284"/>
      <c r="M841" s="284"/>
      <c r="N841" s="284"/>
      <c r="O841" s="284"/>
      <c r="S841" s="284"/>
      <c r="T841" s="284"/>
      <c r="U841" s="284"/>
      <c r="V841" s="284"/>
      <c r="W841" s="284"/>
      <c r="X841" s="284"/>
      <c r="Y841" s="284"/>
      <c r="Z841" s="284"/>
    </row>
    <row r="842">
      <c r="E842" s="284"/>
      <c r="F842" s="284"/>
      <c r="G842" s="284"/>
      <c r="H842" s="284"/>
      <c r="I842" s="284"/>
      <c r="J842" s="284"/>
      <c r="K842" s="284"/>
      <c r="L842" s="284"/>
      <c r="M842" s="284"/>
      <c r="N842" s="284"/>
      <c r="O842" s="284"/>
      <c r="S842" s="284"/>
      <c r="T842" s="284"/>
      <c r="U842" s="284"/>
      <c r="V842" s="284"/>
      <c r="W842" s="284"/>
      <c r="X842" s="284"/>
      <c r="Y842" s="284"/>
      <c r="Z842" s="284"/>
    </row>
    <row r="843">
      <c r="E843" s="284"/>
      <c r="F843" s="284"/>
      <c r="G843" s="284"/>
      <c r="H843" s="284"/>
      <c r="I843" s="284"/>
      <c r="J843" s="284"/>
      <c r="K843" s="284"/>
      <c r="L843" s="284"/>
      <c r="M843" s="284"/>
      <c r="N843" s="284"/>
      <c r="O843" s="284"/>
      <c r="S843" s="284"/>
      <c r="T843" s="284"/>
      <c r="U843" s="284"/>
      <c r="V843" s="284"/>
      <c r="W843" s="284"/>
      <c r="X843" s="284"/>
      <c r="Y843" s="284"/>
      <c r="Z843" s="284"/>
    </row>
    <row r="844">
      <c r="E844" s="284"/>
      <c r="F844" s="284"/>
      <c r="G844" s="284"/>
      <c r="H844" s="284"/>
      <c r="I844" s="284"/>
      <c r="J844" s="284"/>
      <c r="K844" s="284"/>
      <c r="L844" s="284"/>
      <c r="M844" s="284"/>
      <c r="N844" s="284"/>
      <c r="O844" s="284"/>
      <c r="S844" s="284"/>
      <c r="T844" s="284"/>
      <c r="U844" s="284"/>
      <c r="V844" s="284"/>
      <c r="W844" s="284"/>
      <c r="X844" s="284"/>
      <c r="Y844" s="284"/>
      <c r="Z844" s="284"/>
    </row>
    <row r="845">
      <c r="E845" s="284"/>
      <c r="F845" s="284"/>
      <c r="G845" s="284"/>
      <c r="H845" s="284"/>
      <c r="I845" s="284"/>
      <c r="J845" s="284"/>
      <c r="K845" s="284"/>
      <c r="L845" s="284"/>
      <c r="M845" s="284"/>
      <c r="N845" s="284"/>
      <c r="O845" s="284"/>
      <c r="S845" s="284"/>
      <c r="T845" s="284"/>
      <c r="U845" s="284"/>
      <c r="V845" s="284"/>
      <c r="W845" s="284"/>
      <c r="X845" s="284"/>
      <c r="Y845" s="284"/>
      <c r="Z845" s="284"/>
    </row>
    <row r="846">
      <c r="E846" s="284"/>
      <c r="F846" s="284"/>
      <c r="G846" s="284"/>
      <c r="H846" s="284"/>
      <c r="I846" s="284"/>
      <c r="J846" s="284"/>
      <c r="K846" s="284"/>
      <c r="L846" s="284"/>
      <c r="M846" s="284"/>
      <c r="N846" s="284"/>
      <c r="O846" s="284"/>
      <c r="S846" s="284"/>
      <c r="T846" s="284"/>
      <c r="U846" s="284"/>
      <c r="V846" s="284"/>
      <c r="W846" s="284"/>
      <c r="X846" s="284"/>
      <c r="Y846" s="284"/>
      <c r="Z846" s="284"/>
    </row>
    <row r="847">
      <c r="E847" s="284"/>
      <c r="F847" s="284"/>
      <c r="G847" s="284"/>
      <c r="H847" s="284"/>
      <c r="I847" s="284"/>
      <c r="J847" s="284"/>
      <c r="K847" s="284"/>
      <c r="L847" s="284"/>
      <c r="M847" s="284"/>
      <c r="N847" s="284"/>
      <c r="O847" s="284"/>
      <c r="S847" s="284"/>
      <c r="T847" s="284"/>
      <c r="U847" s="284"/>
      <c r="V847" s="284"/>
      <c r="W847" s="284"/>
      <c r="X847" s="284"/>
      <c r="Y847" s="284"/>
      <c r="Z847" s="284"/>
    </row>
    <row r="848">
      <c r="E848" s="284"/>
      <c r="F848" s="284"/>
      <c r="G848" s="284"/>
      <c r="H848" s="284"/>
      <c r="I848" s="284"/>
      <c r="J848" s="284"/>
      <c r="K848" s="284"/>
      <c r="L848" s="284"/>
      <c r="M848" s="284"/>
      <c r="N848" s="284"/>
      <c r="O848" s="284"/>
      <c r="S848" s="284"/>
      <c r="T848" s="284"/>
      <c r="U848" s="284"/>
      <c r="V848" s="284"/>
      <c r="W848" s="284"/>
      <c r="X848" s="284"/>
      <c r="Y848" s="284"/>
      <c r="Z848" s="284"/>
    </row>
    <row r="849">
      <c r="E849" s="284"/>
      <c r="F849" s="284"/>
      <c r="G849" s="284"/>
      <c r="H849" s="284"/>
      <c r="I849" s="284"/>
      <c r="J849" s="284"/>
      <c r="K849" s="284"/>
      <c r="L849" s="284"/>
      <c r="M849" s="284"/>
      <c r="N849" s="284"/>
      <c r="O849" s="284"/>
      <c r="S849" s="284"/>
      <c r="T849" s="284"/>
      <c r="U849" s="284"/>
      <c r="V849" s="284"/>
      <c r="W849" s="284"/>
      <c r="X849" s="284"/>
      <c r="Y849" s="284"/>
      <c r="Z849" s="284"/>
    </row>
    <row r="850">
      <c r="E850" s="284"/>
      <c r="F850" s="284"/>
      <c r="G850" s="284"/>
      <c r="H850" s="284"/>
      <c r="I850" s="284"/>
      <c r="J850" s="284"/>
      <c r="K850" s="284"/>
      <c r="L850" s="284"/>
      <c r="M850" s="284"/>
      <c r="N850" s="284"/>
      <c r="O850" s="284"/>
      <c r="S850" s="284"/>
      <c r="T850" s="284"/>
      <c r="U850" s="284"/>
      <c r="V850" s="284"/>
      <c r="W850" s="284"/>
      <c r="X850" s="284"/>
      <c r="Y850" s="284"/>
      <c r="Z850" s="284"/>
    </row>
    <row r="851">
      <c r="E851" s="284"/>
      <c r="F851" s="284"/>
      <c r="G851" s="284"/>
      <c r="H851" s="284"/>
      <c r="I851" s="284"/>
      <c r="J851" s="284"/>
      <c r="K851" s="284"/>
      <c r="L851" s="284"/>
      <c r="M851" s="284"/>
      <c r="N851" s="284"/>
      <c r="O851" s="284"/>
      <c r="S851" s="284"/>
      <c r="T851" s="284"/>
      <c r="U851" s="284"/>
      <c r="V851" s="284"/>
      <c r="W851" s="284"/>
      <c r="X851" s="284"/>
      <c r="Y851" s="284"/>
      <c r="Z851" s="284"/>
    </row>
    <row r="852">
      <c r="E852" s="284"/>
      <c r="F852" s="284"/>
      <c r="G852" s="284"/>
      <c r="H852" s="284"/>
      <c r="I852" s="284"/>
      <c r="J852" s="284"/>
      <c r="K852" s="284"/>
      <c r="L852" s="284"/>
      <c r="M852" s="284"/>
      <c r="N852" s="284"/>
      <c r="O852" s="284"/>
      <c r="S852" s="284"/>
      <c r="T852" s="284"/>
      <c r="U852" s="284"/>
      <c r="V852" s="284"/>
      <c r="W852" s="284"/>
      <c r="X852" s="284"/>
      <c r="Y852" s="284"/>
      <c r="Z852" s="284"/>
    </row>
    <row r="853">
      <c r="E853" s="284"/>
      <c r="F853" s="284"/>
      <c r="G853" s="284"/>
      <c r="H853" s="284"/>
      <c r="I853" s="284"/>
      <c r="J853" s="284"/>
      <c r="K853" s="284"/>
      <c r="L853" s="284"/>
      <c r="M853" s="284"/>
      <c r="N853" s="284"/>
      <c r="O853" s="284"/>
      <c r="S853" s="284"/>
      <c r="T853" s="284"/>
      <c r="U853" s="284"/>
      <c r="V853" s="284"/>
      <c r="W853" s="284"/>
      <c r="X853" s="284"/>
      <c r="Y853" s="284"/>
      <c r="Z853" s="284"/>
    </row>
    <row r="854">
      <c r="E854" s="284"/>
      <c r="F854" s="284"/>
      <c r="G854" s="284"/>
      <c r="H854" s="284"/>
      <c r="I854" s="284"/>
      <c r="J854" s="284"/>
      <c r="K854" s="284"/>
      <c r="L854" s="284"/>
      <c r="M854" s="284"/>
      <c r="N854" s="284"/>
      <c r="O854" s="284"/>
      <c r="S854" s="284"/>
      <c r="T854" s="284"/>
      <c r="U854" s="284"/>
      <c r="V854" s="284"/>
      <c r="W854" s="284"/>
      <c r="X854" s="284"/>
      <c r="Y854" s="284"/>
      <c r="Z854" s="284"/>
    </row>
    <row r="855">
      <c r="E855" s="284"/>
      <c r="F855" s="284"/>
      <c r="G855" s="284"/>
      <c r="H855" s="284"/>
      <c r="I855" s="284"/>
      <c r="J855" s="284"/>
      <c r="K855" s="284"/>
      <c r="L855" s="284"/>
      <c r="M855" s="284"/>
      <c r="N855" s="284"/>
      <c r="O855" s="284"/>
      <c r="S855" s="284"/>
      <c r="T855" s="284"/>
      <c r="U855" s="284"/>
      <c r="V855" s="284"/>
      <c r="W855" s="284"/>
      <c r="X855" s="284"/>
      <c r="Y855" s="284"/>
      <c r="Z855" s="284"/>
    </row>
    <row r="856">
      <c r="E856" s="284"/>
      <c r="F856" s="284"/>
      <c r="G856" s="284"/>
      <c r="H856" s="284"/>
      <c r="I856" s="284"/>
      <c r="J856" s="284"/>
      <c r="K856" s="284"/>
      <c r="L856" s="284"/>
      <c r="M856" s="284"/>
      <c r="N856" s="284"/>
      <c r="O856" s="284"/>
      <c r="S856" s="284"/>
      <c r="T856" s="284"/>
      <c r="U856" s="284"/>
      <c r="V856" s="284"/>
      <c r="W856" s="284"/>
      <c r="X856" s="284"/>
      <c r="Y856" s="284"/>
      <c r="Z856" s="284"/>
    </row>
    <row r="857">
      <c r="E857" s="284"/>
      <c r="F857" s="284"/>
      <c r="G857" s="284"/>
      <c r="H857" s="284"/>
      <c r="I857" s="284"/>
      <c r="J857" s="284"/>
      <c r="K857" s="284"/>
      <c r="L857" s="284"/>
      <c r="M857" s="284"/>
      <c r="N857" s="284"/>
      <c r="O857" s="284"/>
      <c r="S857" s="284"/>
      <c r="T857" s="284"/>
      <c r="U857" s="284"/>
      <c r="V857" s="284"/>
      <c r="W857" s="284"/>
      <c r="X857" s="284"/>
      <c r="Y857" s="284"/>
      <c r="Z857" s="284"/>
    </row>
    <row r="858">
      <c r="E858" s="284"/>
      <c r="F858" s="284"/>
      <c r="G858" s="284"/>
      <c r="H858" s="284"/>
      <c r="I858" s="284"/>
      <c r="J858" s="284"/>
      <c r="K858" s="284"/>
      <c r="L858" s="284"/>
      <c r="M858" s="284"/>
      <c r="N858" s="284"/>
      <c r="O858" s="284"/>
      <c r="S858" s="284"/>
      <c r="T858" s="284"/>
      <c r="U858" s="284"/>
      <c r="V858" s="284"/>
      <c r="W858" s="284"/>
      <c r="X858" s="284"/>
      <c r="Y858" s="284"/>
      <c r="Z858" s="284"/>
    </row>
    <row r="859">
      <c r="E859" s="284"/>
      <c r="F859" s="284"/>
      <c r="G859" s="284"/>
      <c r="H859" s="284"/>
      <c r="I859" s="284"/>
      <c r="J859" s="284"/>
      <c r="K859" s="284"/>
      <c r="L859" s="284"/>
      <c r="M859" s="284"/>
      <c r="N859" s="284"/>
      <c r="O859" s="284"/>
      <c r="S859" s="284"/>
      <c r="T859" s="284"/>
      <c r="U859" s="284"/>
      <c r="V859" s="284"/>
      <c r="W859" s="284"/>
      <c r="X859" s="284"/>
      <c r="Y859" s="284"/>
      <c r="Z859" s="284"/>
    </row>
    <row r="860">
      <c r="E860" s="284"/>
      <c r="F860" s="284"/>
      <c r="G860" s="284"/>
      <c r="H860" s="284"/>
      <c r="I860" s="284"/>
      <c r="J860" s="284"/>
      <c r="K860" s="284"/>
      <c r="L860" s="284"/>
      <c r="M860" s="284"/>
      <c r="N860" s="284"/>
      <c r="O860" s="284"/>
      <c r="S860" s="284"/>
      <c r="T860" s="284"/>
      <c r="U860" s="284"/>
      <c r="V860" s="284"/>
      <c r="W860" s="284"/>
      <c r="X860" s="284"/>
      <c r="Y860" s="284"/>
      <c r="Z860" s="284"/>
    </row>
    <row r="861">
      <c r="E861" s="284"/>
      <c r="F861" s="284"/>
      <c r="G861" s="284"/>
      <c r="H861" s="284"/>
      <c r="I861" s="284"/>
      <c r="J861" s="284"/>
      <c r="K861" s="284"/>
      <c r="L861" s="284"/>
      <c r="M861" s="284"/>
      <c r="N861" s="284"/>
      <c r="O861" s="284"/>
      <c r="S861" s="284"/>
      <c r="T861" s="284"/>
      <c r="U861" s="284"/>
      <c r="V861" s="284"/>
      <c r="W861" s="284"/>
      <c r="X861" s="284"/>
      <c r="Y861" s="284"/>
      <c r="Z861" s="284"/>
    </row>
    <row r="862">
      <c r="E862" s="284"/>
      <c r="F862" s="284"/>
      <c r="G862" s="284"/>
      <c r="H862" s="284"/>
      <c r="I862" s="284"/>
      <c r="J862" s="284"/>
      <c r="K862" s="284"/>
      <c r="L862" s="284"/>
      <c r="M862" s="284"/>
      <c r="N862" s="284"/>
      <c r="O862" s="284"/>
      <c r="S862" s="284"/>
      <c r="T862" s="284"/>
      <c r="U862" s="284"/>
      <c r="V862" s="284"/>
      <c r="W862" s="284"/>
      <c r="X862" s="284"/>
      <c r="Y862" s="284"/>
      <c r="Z862" s="284"/>
    </row>
    <row r="863">
      <c r="E863" s="284"/>
      <c r="F863" s="284"/>
      <c r="G863" s="284"/>
      <c r="H863" s="284"/>
      <c r="I863" s="284"/>
      <c r="J863" s="284"/>
      <c r="K863" s="284"/>
      <c r="L863" s="284"/>
      <c r="M863" s="284"/>
      <c r="N863" s="284"/>
      <c r="O863" s="284"/>
      <c r="S863" s="284"/>
      <c r="T863" s="284"/>
      <c r="U863" s="284"/>
      <c r="V863" s="284"/>
      <c r="W863" s="284"/>
      <c r="X863" s="284"/>
      <c r="Y863" s="284"/>
      <c r="Z863" s="284"/>
    </row>
    <row r="864">
      <c r="E864" s="284"/>
      <c r="F864" s="284"/>
      <c r="G864" s="284"/>
      <c r="H864" s="284"/>
      <c r="I864" s="284"/>
      <c r="J864" s="284"/>
      <c r="K864" s="284"/>
      <c r="L864" s="284"/>
      <c r="M864" s="284"/>
      <c r="N864" s="284"/>
      <c r="O864" s="284"/>
      <c r="S864" s="284"/>
      <c r="T864" s="284"/>
      <c r="U864" s="284"/>
      <c r="V864" s="284"/>
      <c r="W864" s="284"/>
      <c r="X864" s="284"/>
      <c r="Y864" s="284"/>
      <c r="Z864" s="284"/>
    </row>
    <row r="865">
      <c r="E865" s="284"/>
      <c r="F865" s="284"/>
      <c r="G865" s="284"/>
      <c r="H865" s="284"/>
      <c r="I865" s="284"/>
      <c r="J865" s="284"/>
      <c r="K865" s="284"/>
      <c r="L865" s="284"/>
      <c r="M865" s="284"/>
      <c r="N865" s="284"/>
      <c r="O865" s="284"/>
      <c r="S865" s="284"/>
      <c r="T865" s="284"/>
      <c r="U865" s="284"/>
      <c r="V865" s="284"/>
      <c r="W865" s="284"/>
      <c r="X865" s="284"/>
      <c r="Y865" s="284"/>
      <c r="Z865" s="284"/>
    </row>
    <row r="866">
      <c r="E866" s="284"/>
      <c r="F866" s="284"/>
      <c r="G866" s="284"/>
      <c r="H866" s="284"/>
      <c r="I866" s="284"/>
      <c r="J866" s="284"/>
      <c r="K866" s="284"/>
      <c r="L866" s="284"/>
      <c r="M866" s="284"/>
      <c r="N866" s="284"/>
      <c r="O866" s="284"/>
      <c r="S866" s="284"/>
      <c r="T866" s="284"/>
      <c r="U866" s="284"/>
      <c r="V866" s="284"/>
      <c r="W866" s="284"/>
      <c r="X866" s="284"/>
      <c r="Y866" s="284"/>
      <c r="Z866" s="284"/>
    </row>
    <row r="867">
      <c r="E867" s="284"/>
      <c r="F867" s="284"/>
      <c r="G867" s="284"/>
      <c r="H867" s="284"/>
      <c r="I867" s="284"/>
      <c r="J867" s="284"/>
      <c r="K867" s="284"/>
      <c r="L867" s="284"/>
      <c r="M867" s="284"/>
      <c r="N867" s="284"/>
      <c r="O867" s="284"/>
      <c r="S867" s="284"/>
      <c r="T867" s="284"/>
      <c r="U867" s="284"/>
      <c r="V867" s="284"/>
      <c r="W867" s="284"/>
      <c r="X867" s="284"/>
      <c r="Y867" s="284"/>
      <c r="Z867" s="284"/>
    </row>
    <row r="868">
      <c r="E868" s="284"/>
      <c r="F868" s="284"/>
      <c r="G868" s="284"/>
      <c r="H868" s="284"/>
      <c r="I868" s="284"/>
      <c r="J868" s="284"/>
      <c r="K868" s="284"/>
      <c r="L868" s="284"/>
      <c r="M868" s="284"/>
      <c r="N868" s="284"/>
      <c r="O868" s="284"/>
      <c r="S868" s="284"/>
      <c r="T868" s="284"/>
      <c r="U868" s="284"/>
      <c r="V868" s="284"/>
      <c r="W868" s="284"/>
      <c r="X868" s="284"/>
      <c r="Y868" s="284"/>
      <c r="Z868" s="284"/>
    </row>
    <row r="869">
      <c r="E869" s="284"/>
      <c r="F869" s="284"/>
      <c r="G869" s="284"/>
      <c r="H869" s="284"/>
      <c r="I869" s="284"/>
      <c r="J869" s="284"/>
      <c r="K869" s="284"/>
      <c r="L869" s="284"/>
      <c r="M869" s="284"/>
      <c r="N869" s="284"/>
      <c r="O869" s="284"/>
      <c r="S869" s="284"/>
      <c r="T869" s="284"/>
      <c r="U869" s="284"/>
      <c r="V869" s="284"/>
      <c r="W869" s="284"/>
      <c r="X869" s="284"/>
      <c r="Y869" s="284"/>
      <c r="Z869" s="284"/>
    </row>
    <row r="870">
      <c r="E870" s="284"/>
      <c r="F870" s="284"/>
      <c r="G870" s="284"/>
      <c r="H870" s="284"/>
      <c r="I870" s="284"/>
      <c r="J870" s="284"/>
      <c r="K870" s="284"/>
      <c r="L870" s="284"/>
      <c r="M870" s="284"/>
      <c r="N870" s="284"/>
      <c r="O870" s="284"/>
      <c r="S870" s="284"/>
      <c r="T870" s="284"/>
      <c r="U870" s="284"/>
      <c r="V870" s="284"/>
      <c r="W870" s="284"/>
      <c r="X870" s="284"/>
      <c r="Y870" s="284"/>
      <c r="Z870" s="284"/>
    </row>
    <row r="871">
      <c r="E871" s="284"/>
      <c r="F871" s="284"/>
      <c r="G871" s="284"/>
      <c r="H871" s="284"/>
      <c r="I871" s="284"/>
      <c r="J871" s="284"/>
      <c r="K871" s="284"/>
      <c r="L871" s="284"/>
      <c r="M871" s="284"/>
      <c r="N871" s="284"/>
      <c r="O871" s="284"/>
      <c r="S871" s="284"/>
      <c r="T871" s="284"/>
      <c r="U871" s="284"/>
      <c r="V871" s="284"/>
      <c r="W871" s="284"/>
      <c r="X871" s="284"/>
      <c r="Y871" s="284"/>
      <c r="Z871" s="284"/>
    </row>
    <row r="872">
      <c r="E872" s="284"/>
      <c r="F872" s="284"/>
      <c r="G872" s="284"/>
      <c r="H872" s="284"/>
      <c r="I872" s="284"/>
      <c r="J872" s="284"/>
      <c r="K872" s="284"/>
      <c r="L872" s="284"/>
      <c r="M872" s="284"/>
      <c r="N872" s="284"/>
      <c r="O872" s="284"/>
      <c r="S872" s="284"/>
      <c r="T872" s="284"/>
      <c r="U872" s="284"/>
      <c r="V872" s="284"/>
      <c r="W872" s="284"/>
      <c r="X872" s="284"/>
      <c r="Y872" s="284"/>
      <c r="Z872" s="284"/>
    </row>
    <row r="873">
      <c r="E873" s="284"/>
      <c r="F873" s="284"/>
      <c r="G873" s="284"/>
      <c r="H873" s="284"/>
      <c r="I873" s="284"/>
      <c r="J873" s="284"/>
      <c r="K873" s="284"/>
      <c r="L873" s="284"/>
      <c r="M873" s="284"/>
      <c r="N873" s="284"/>
      <c r="O873" s="284"/>
      <c r="S873" s="284"/>
      <c r="T873" s="284"/>
      <c r="U873" s="284"/>
      <c r="V873" s="284"/>
      <c r="W873" s="284"/>
      <c r="X873" s="284"/>
      <c r="Y873" s="284"/>
      <c r="Z873" s="284"/>
    </row>
    <row r="874">
      <c r="E874" s="284"/>
      <c r="F874" s="284"/>
      <c r="G874" s="284"/>
      <c r="H874" s="284"/>
      <c r="I874" s="284"/>
      <c r="J874" s="284"/>
      <c r="K874" s="284"/>
      <c r="L874" s="284"/>
      <c r="M874" s="284"/>
      <c r="N874" s="284"/>
      <c r="O874" s="284"/>
      <c r="S874" s="284"/>
      <c r="T874" s="284"/>
      <c r="U874" s="284"/>
      <c r="V874" s="284"/>
      <c r="W874" s="284"/>
      <c r="X874" s="284"/>
      <c r="Y874" s="284"/>
      <c r="Z874" s="284"/>
    </row>
    <row r="875">
      <c r="E875" s="284"/>
      <c r="F875" s="284"/>
      <c r="G875" s="284"/>
      <c r="H875" s="284"/>
      <c r="I875" s="284"/>
      <c r="J875" s="284"/>
      <c r="K875" s="284"/>
      <c r="L875" s="284"/>
      <c r="M875" s="284"/>
      <c r="N875" s="284"/>
      <c r="O875" s="284"/>
      <c r="S875" s="284"/>
      <c r="T875" s="284"/>
      <c r="U875" s="284"/>
      <c r="V875" s="284"/>
      <c r="W875" s="284"/>
      <c r="X875" s="284"/>
      <c r="Y875" s="284"/>
      <c r="Z875" s="284"/>
    </row>
    <row r="876">
      <c r="E876" s="284"/>
      <c r="F876" s="284"/>
      <c r="G876" s="284"/>
      <c r="H876" s="284"/>
      <c r="I876" s="284"/>
      <c r="J876" s="284"/>
      <c r="K876" s="284"/>
      <c r="L876" s="284"/>
      <c r="M876" s="284"/>
      <c r="N876" s="284"/>
      <c r="O876" s="284"/>
      <c r="S876" s="284"/>
      <c r="T876" s="284"/>
      <c r="U876" s="284"/>
      <c r="V876" s="284"/>
      <c r="W876" s="284"/>
      <c r="X876" s="284"/>
      <c r="Y876" s="284"/>
      <c r="Z876" s="284"/>
    </row>
    <row r="877">
      <c r="E877" s="284"/>
      <c r="F877" s="284"/>
      <c r="G877" s="284"/>
      <c r="H877" s="284"/>
      <c r="I877" s="284"/>
      <c r="J877" s="284"/>
      <c r="K877" s="284"/>
      <c r="L877" s="284"/>
      <c r="M877" s="284"/>
      <c r="N877" s="284"/>
      <c r="O877" s="284"/>
      <c r="S877" s="284"/>
      <c r="T877" s="284"/>
      <c r="U877" s="284"/>
      <c r="V877" s="284"/>
      <c r="W877" s="284"/>
      <c r="X877" s="284"/>
      <c r="Y877" s="284"/>
      <c r="Z877" s="284"/>
    </row>
    <row r="878">
      <c r="E878" s="284"/>
      <c r="F878" s="284"/>
      <c r="G878" s="284"/>
      <c r="H878" s="284"/>
      <c r="I878" s="284"/>
      <c r="J878" s="284"/>
      <c r="K878" s="284"/>
      <c r="L878" s="284"/>
      <c r="M878" s="284"/>
      <c r="N878" s="284"/>
      <c r="O878" s="284"/>
      <c r="S878" s="284"/>
      <c r="T878" s="284"/>
      <c r="U878" s="284"/>
      <c r="V878" s="284"/>
      <c r="W878" s="284"/>
      <c r="X878" s="284"/>
      <c r="Y878" s="284"/>
      <c r="Z878" s="284"/>
    </row>
    <row r="879">
      <c r="E879" s="284"/>
      <c r="F879" s="284"/>
      <c r="G879" s="284"/>
      <c r="H879" s="284"/>
      <c r="I879" s="284"/>
      <c r="J879" s="284"/>
      <c r="K879" s="284"/>
      <c r="L879" s="284"/>
      <c r="M879" s="284"/>
      <c r="N879" s="284"/>
      <c r="O879" s="284"/>
      <c r="S879" s="284"/>
      <c r="T879" s="284"/>
      <c r="U879" s="284"/>
      <c r="V879" s="284"/>
      <c r="W879" s="284"/>
      <c r="X879" s="284"/>
      <c r="Y879" s="284"/>
      <c r="Z879" s="284"/>
    </row>
    <row r="880">
      <c r="E880" s="284"/>
      <c r="F880" s="284"/>
      <c r="G880" s="284"/>
      <c r="H880" s="284"/>
      <c r="I880" s="284"/>
      <c r="J880" s="284"/>
      <c r="K880" s="284"/>
      <c r="L880" s="284"/>
      <c r="M880" s="284"/>
      <c r="N880" s="284"/>
      <c r="O880" s="284"/>
      <c r="S880" s="284"/>
      <c r="T880" s="284"/>
      <c r="U880" s="284"/>
      <c r="V880" s="284"/>
      <c r="W880" s="284"/>
      <c r="X880" s="284"/>
      <c r="Y880" s="284"/>
      <c r="Z880" s="284"/>
    </row>
    <row r="881">
      <c r="E881" s="284"/>
      <c r="F881" s="284"/>
      <c r="G881" s="284"/>
      <c r="H881" s="284"/>
      <c r="I881" s="284"/>
      <c r="J881" s="284"/>
      <c r="K881" s="284"/>
      <c r="L881" s="284"/>
      <c r="M881" s="284"/>
      <c r="N881" s="284"/>
      <c r="O881" s="284"/>
      <c r="S881" s="284"/>
      <c r="T881" s="284"/>
      <c r="U881" s="284"/>
      <c r="V881" s="284"/>
      <c r="W881" s="284"/>
      <c r="X881" s="284"/>
      <c r="Y881" s="284"/>
      <c r="Z881" s="284"/>
    </row>
    <row r="882">
      <c r="E882" s="284"/>
      <c r="F882" s="284"/>
      <c r="G882" s="284"/>
      <c r="H882" s="284"/>
      <c r="I882" s="284"/>
      <c r="J882" s="284"/>
      <c r="K882" s="284"/>
      <c r="L882" s="284"/>
      <c r="M882" s="284"/>
      <c r="N882" s="284"/>
      <c r="O882" s="284"/>
      <c r="S882" s="284"/>
      <c r="T882" s="284"/>
      <c r="U882" s="284"/>
      <c r="V882" s="284"/>
      <c r="W882" s="284"/>
      <c r="X882" s="284"/>
      <c r="Y882" s="284"/>
      <c r="Z882" s="284"/>
    </row>
    <row r="883">
      <c r="E883" s="284"/>
      <c r="F883" s="284"/>
      <c r="G883" s="284"/>
      <c r="H883" s="284"/>
      <c r="I883" s="284"/>
      <c r="J883" s="284"/>
      <c r="K883" s="284"/>
      <c r="L883" s="284"/>
      <c r="M883" s="284"/>
      <c r="N883" s="284"/>
      <c r="O883" s="284"/>
      <c r="S883" s="284"/>
      <c r="T883" s="284"/>
      <c r="U883" s="284"/>
      <c r="V883" s="284"/>
      <c r="W883" s="284"/>
      <c r="X883" s="284"/>
      <c r="Y883" s="284"/>
      <c r="Z883" s="284"/>
    </row>
    <row r="884">
      <c r="E884" s="284"/>
      <c r="F884" s="284"/>
      <c r="G884" s="284"/>
      <c r="H884" s="284"/>
      <c r="I884" s="284"/>
      <c r="J884" s="284"/>
      <c r="K884" s="284"/>
      <c r="L884" s="284"/>
      <c r="M884" s="284"/>
      <c r="N884" s="284"/>
      <c r="O884" s="284"/>
      <c r="S884" s="284"/>
      <c r="T884" s="284"/>
      <c r="U884" s="284"/>
      <c r="V884" s="284"/>
      <c r="W884" s="284"/>
      <c r="X884" s="284"/>
      <c r="Y884" s="284"/>
      <c r="Z884" s="284"/>
    </row>
    <row r="885">
      <c r="E885" s="284"/>
      <c r="F885" s="284"/>
      <c r="G885" s="284"/>
      <c r="H885" s="284"/>
      <c r="I885" s="284"/>
      <c r="J885" s="284"/>
      <c r="K885" s="284"/>
      <c r="L885" s="284"/>
      <c r="M885" s="284"/>
      <c r="N885" s="284"/>
      <c r="O885" s="284"/>
      <c r="S885" s="284"/>
      <c r="T885" s="284"/>
      <c r="U885" s="284"/>
      <c r="V885" s="284"/>
      <c r="W885" s="284"/>
      <c r="X885" s="284"/>
      <c r="Y885" s="284"/>
      <c r="Z885" s="284"/>
    </row>
    <row r="886">
      <c r="E886" s="284"/>
      <c r="F886" s="284"/>
      <c r="G886" s="284"/>
      <c r="H886" s="284"/>
      <c r="I886" s="284"/>
      <c r="J886" s="284"/>
      <c r="K886" s="284"/>
      <c r="L886" s="284"/>
      <c r="M886" s="284"/>
      <c r="N886" s="284"/>
      <c r="O886" s="284"/>
      <c r="S886" s="284"/>
      <c r="T886" s="284"/>
      <c r="U886" s="284"/>
      <c r="V886" s="284"/>
      <c r="W886" s="284"/>
      <c r="X886" s="284"/>
      <c r="Y886" s="284"/>
      <c r="Z886" s="284"/>
    </row>
    <row r="887">
      <c r="E887" s="284"/>
      <c r="F887" s="284"/>
      <c r="G887" s="284"/>
      <c r="H887" s="284"/>
      <c r="I887" s="284"/>
      <c r="J887" s="284"/>
      <c r="K887" s="284"/>
      <c r="L887" s="284"/>
      <c r="M887" s="284"/>
      <c r="N887" s="284"/>
      <c r="O887" s="284"/>
      <c r="S887" s="284"/>
      <c r="T887" s="284"/>
      <c r="U887" s="284"/>
      <c r="V887" s="284"/>
      <c r="W887" s="284"/>
      <c r="X887" s="284"/>
      <c r="Y887" s="284"/>
      <c r="Z887" s="284"/>
    </row>
    <row r="888">
      <c r="E888" s="284"/>
      <c r="F888" s="284"/>
      <c r="G888" s="284"/>
      <c r="H888" s="284"/>
      <c r="I888" s="284"/>
      <c r="J888" s="284"/>
      <c r="K888" s="284"/>
      <c r="L888" s="284"/>
      <c r="M888" s="284"/>
      <c r="N888" s="284"/>
      <c r="O888" s="284"/>
      <c r="S888" s="284"/>
      <c r="T888" s="284"/>
      <c r="U888" s="284"/>
      <c r="V888" s="284"/>
      <c r="W888" s="284"/>
      <c r="X888" s="284"/>
      <c r="Y888" s="284"/>
      <c r="Z888" s="284"/>
    </row>
    <row r="889">
      <c r="E889" s="284"/>
      <c r="F889" s="284"/>
      <c r="G889" s="284"/>
      <c r="H889" s="284"/>
      <c r="I889" s="284"/>
      <c r="J889" s="284"/>
      <c r="K889" s="284"/>
      <c r="L889" s="284"/>
      <c r="M889" s="284"/>
      <c r="N889" s="284"/>
      <c r="O889" s="284"/>
      <c r="S889" s="284"/>
      <c r="T889" s="284"/>
      <c r="U889" s="284"/>
      <c r="V889" s="284"/>
      <c r="W889" s="284"/>
      <c r="X889" s="284"/>
      <c r="Y889" s="284"/>
      <c r="Z889" s="284"/>
    </row>
    <row r="890">
      <c r="E890" s="284"/>
      <c r="F890" s="284"/>
      <c r="G890" s="284"/>
      <c r="H890" s="284"/>
      <c r="I890" s="284"/>
      <c r="J890" s="284"/>
      <c r="K890" s="284"/>
      <c r="L890" s="284"/>
      <c r="M890" s="284"/>
      <c r="N890" s="284"/>
      <c r="O890" s="284"/>
      <c r="S890" s="284"/>
      <c r="T890" s="284"/>
      <c r="U890" s="284"/>
      <c r="V890" s="284"/>
      <c r="W890" s="284"/>
      <c r="X890" s="284"/>
      <c r="Y890" s="284"/>
      <c r="Z890" s="284"/>
    </row>
    <row r="891">
      <c r="E891" s="284"/>
      <c r="F891" s="284"/>
      <c r="G891" s="284"/>
      <c r="H891" s="284"/>
      <c r="I891" s="284"/>
      <c r="J891" s="284"/>
      <c r="K891" s="284"/>
      <c r="L891" s="284"/>
      <c r="M891" s="284"/>
      <c r="N891" s="284"/>
      <c r="O891" s="284"/>
      <c r="S891" s="284"/>
      <c r="T891" s="284"/>
      <c r="U891" s="284"/>
      <c r="V891" s="284"/>
      <c r="W891" s="284"/>
      <c r="X891" s="284"/>
      <c r="Y891" s="284"/>
      <c r="Z891" s="284"/>
    </row>
    <row r="892">
      <c r="E892" s="284"/>
      <c r="F892" s="284"/>
      <c r="G892" s="284"/>
      <c r="H892" s="284"/>
      <c r="I892" s="284"/>
      <c r="J892" s="284"/>
      <c r="K892" s="284"/>
      <c r="L892" s="284"/>
      <c r="M892" s="284"/>
      <c r="N892" s="284"/>
      <c r="O892" s="284"/>
      <c r="S892" s="284"/>
      <c r="T892" s="284"/>
      <c r="U892" s="284"/>
      <c r="V892" s="284"/>
      <c r="W892" s="284"/>
      <c r="X892" s="284"/>
      <c r="Y892" s="284"/>
      <c r="Z892" s="284"/>
    </row>
    <row r="893">
      <c r="E893" s="284"/>
      <c r="F893" s="284"/>
      <c r="G893" s="284"/>
      <c r="H893" s="284"/>
      <c r="I893" s="284"/>
      <c r="J893" s="284"/>
      <c r="K893" s="284"/>
      <c r="L893" s="284"/>
      <c r="M893" s="284"/>
      <c r="N893" s="284"/>
      <c r="O893" s="284"/>
      <c r="S893" s="284"/>
      <c r="T893" s="284"/>
      <c r="U893" s="284"/>
      <c r="V893" s="284"/>
      <c r="W893" s="284"/>
      <c r="X893" s="284"/>
      <c r="Y893" s="284"/>
      <c r="Z893" s="284"/>
    </row>
    <row r="894">
      <c r="E894" s="284"/>
      <c r="F894" s="284"/>
      <c r="G894" s="284"/>
      <c r="H894" s="284"/>
      <c r="I894" s="284"/>
      <c r="J894" s="284"/>
      <c r="K894" s="284"/>
      <c r="L894" s="284"/>
      <c r="M894" s="284"/>
      <c r="N894" s="284"/>
      <c r="O894" s="284"/>
      <c r="S894" s="284"/>
      <c r="T894" s="284"/>
      <c r="U894" s="284"/>
      <c r="V894" s="284"/>
      <c r="W894" s="284"/>
      <c r="X894" s="284"/>
      <c r="Y894" s="284"/>
      <c r="Z894" s="284"/>
    </row>
    <row r="895">
      <c r="E895" s="284"/>
      <c r="F895" s="284"/>
      <c r="G895" s="284"/>
      <c r="H895" s="284"/>
      <c r="I895" s="284"/>
      <c r="J895" s="284"/>
      <c r="K895" s="284"/>
      <c r="L895" s="284"/>
      <c r="M895" s="284"/>
      <c r="N895" s="284"/>
      <c r="O895" s="284"/>
      <c r="S895" s="284"/>
      <c r="T895" s="284"/>
      <c r="U895" s="284"/>
      <c r="V895" s="284"/>
      <c r="W895" s="284"/>
      <c r="X895" s="284"/>
      <c r="Y895" s="284"/>
      <c r="Z895" s="284"/>
    </row>
    <row r="896">
      <c r="E896" s="284"/>
      <c r="F896" s="284"/>
      <c r="G896" s="284"/>
      <c r="H896" s="284"/>
      <c r="I896" s="284"/>
      <c r="J896" s="284"/>
      <c r="K896" s="284"/>
      <c r="L896" s="284"/>
      <c r="M896" s="284"/>
      <c r="N896" s="284"/>
      <c r="O896" s="284"/>
      <c r="S896" s="284"/>
      <c r="T896" s="284"/>
      <c r="U896" s="284"/>
      <c r="V896" s="284"/>
      <c r="W896" s="284"/>
      <c r="X896" s="284"/>
      <c r="Y896" s="284"/>
      <c r="Z896" s="284"/>
    </row>
    <row r="897">
      <c r="E897" s="284"/>
      <c r="F897" s="284"/>
      <c r="G897" s="284"/>
      <c r="H897" s="284"/>
      <c r="I897" s="284"/>
      <c r="J897" s="284"/>
      <c r="K897" s="284"/>
      <c r="L897" s="284"/>
      <c r="M897" s="284"/>
      <c r="N897" s="284"/>
      <c r="O897" s="284"/>
      <c r="S897" s="284"/>
      <c r="T897" s="284"/>
      <c r="U897" s="284"/>
      <c r="V897" s="284"/>
      <c r="W897" s="284"/>
      <c r="X897" s="284"/>
      <c r="Y897" s="284"/>
      <c r="Z897" s="284"/>
    </row>
    <row r="898">
      <c r="E898" s="284"/>
      <c r="F898" s="284"/>
      <c r="G898" s="284"/>
      <c r="H898" s="284"/>
      <c r="I898" s="284"/>
      <c r="J898" s="284"/>
      <c r="K898" s="284"/>
      <c r="L898" s="284"/>
      <c r="M898" s="284"/>
      <c r="N898" s="284"/>
      <c r="O898" s="284"/>
      <c r="S898" s="284"/>
      <c r="T898" s="284"/>
      <c r="U898" s="284"/>
      <c r="V898" s="284"/>
      <c r="W898" s="284"/>
      <c r="X898" s="284"/>
      <c r="Y898" s="284"/>
      <c r="Z898" s="284"/>
    </row>
    <row r="899">
      <c r="E899" s="284"/>
      <c r="F899" s="284"/>
      <c r="G899" s="284"/>
      <c r="H899" s="284"/>
      <c r="I899" s="284"/>
      <c r="J899" s="284"/>
      <c r="K899" s="284"/>
      <c r="L899" s="284"/>
      <c r="M899" s="284"/>
      <c r="N899" s="284"/>
      <c r="O899" s="284"/>
      <c r="S899" s="284"/>
      <c r="T899" s="284"/>
      <c r="U899" s="284"/>
      <c r="V899" s="284"/>
      <c r="W899" s="284"/>
      <c r="X899" s="284"/>
      <c r="Y899" s="284"/>
      <c r="Z899" s="284"/>
    </row>
    <row r="900">
      <c r="E900" s="284"/>
      <c r="F900" s="284"/>
      <c r="G900" s="284"/>
      <c r="H900" s="284"/>
      <c r="I900" s="284"/>
      <c r="J900" s="284"/>
      <c r="K900" s="284"/>
      <c r="L900" s="284"/>
      <c r="M900" s="284"/>
      <c r="N900" s="284"/>
      <c r="O900" s="284"/>
      <c r="S900" s="284"/>
      <c r="T900" s="284"/>
      <c r="U900" s="284"/>
      <c r="V900" s="284"/>
      <c r="W900" s="284"/>
      <c r="X900" s="284"/>
      <c r="Y900" s="284"/>
      <c r="Z900" s="284"/>
    </row>
    <row r="901">
      <c r="E901" s="284"/>
      <c r="F901" s="284"/>
      <c r="G901" s="284"/>
      <c r="H901" s="284"/>
      <c r="I901" s="284"/>
      <c r="J901" s="284"/>
      <c r="K901" s="284"/>
      <c r="L901" s="284"/>
      <c r="M901" s="284"/>
      <c r="N901" s="284"/>
      <c r="O901" s="284"/>
      <c r="S901" s="284"/>
      <c r="T901" s="284"/>
      <c r="U901" s="284"/>
      <c r="V901" s="284"/>
      <c r="W901" s="284"/>
      <c r="X901" s="284"/>
      <c r="Y901" s="284"/>
      <c r="Z901" s="284"/>
    </row>
    <row r="902">
      <c r="E902" s="284"/>
      <c r="F902" s="284"/>
      <c r="G902" s="284"/>
      <c r="H902" s="284"/>
      <c r="I902" s="284"/>
      <c r="J902" s="284"/>
      <c r="K902" s="284"/>
      <c r="L902" s="284"/>
      <c r="M902" s="284"/>
      <c r="N902" s="284"/>
      <c r="O902" s="284"/>
      <c r="S902" s="284"/>
      <c r="T902" s="284"/>
      <c r="U902" s="284"/>
      <c r="V902" s="284"/>
      <c r="W902" s="284"/>
      <c r="X902" s="284"/>
      <c r="Y902" s="284"/>
      <c r="Z902" s="284"/>
    </row>
    <row r="903">
      <c r="E903" s="284"/>
      <c r="F903" s="284"/>
      <c r="G903" s="284"/>
      <c r="H903" s="284"/>
      <c r="I903" s="284"/>
      <c r="J903" s="284"/>
      <c r="K903" s="284"/>
      <c r="L903" s="284"/>
      <c r="M903" s="284"/>
      <c r="N903" s="284"/>
      <c r="O903" s="284"/>
      <c r="S903" s="284"/>
      <c r="T903" s="284"/>
      <c r="U903" s="284"/>
      <c r="V903" s="284"/>
      <c r="W903" s="284"/>
      <c r="X903" s="284"/>
      <c r="Y903" s="284"/>
      <c r="Z903" s="284"/>
    </row>
    <row r="904">
      <c r="E904" s="284"/>
      <c r="F904" s="284"/>
      <c r="G904" s="284"/>
      <c r="H904" s="284"/>
      <c r="I904" s="284"/>
      <c r="J904" s="284"/>
      <c r="K904" s="284"/>
      <c r="L904" s="284"/>
      <c r="M904" s="284"/>
      <c r="N904" s="284"/>
      <c r="O904" s="284"/>
      <c r="S904" s="284"/>
      <c r="T904" s="284"/>
      <c r="U904" s="284"/>
      <c r="V904" s="284"/>
      <c r="W904" s="284"/>
      <c r="X904" s="284"/>
      <c r="Y904" s="284"/>
      <c r="Z904" s="284"/>
    </row>
    <row r="905">
      <c r="E905" s="284"/>
      <c r="F905" s="284"/>
      <c r="G905" s="284"/>
      <c r="H905" s="284"/>
      <c r="I905" s="284"/>
      <c r="J905" s="284"/>
      <c r="K905" s="284"/>
      <c r="L905" s="284"/>
      <c r="M905" s="284"/>
      <c r="N905" s="284"/>
      <c r="O905" s="284"/>
      <c r="S905" s="284"/>
      <c r="T905" s="284"/>
      <c r="U905" s="284"/>
      <c r="V905" s="284"/>
      <c r="W905" s="284"/>
      <c r="X905" s="284"/>
      <c r="Y905" s="284"/>
      <c r="Z905" s="284"/>
    </row>
    <row r="906">
      <c r="E906" s="284"/>
      <c r="F906" s="284"/>
      <c r="G906" s="284"/>
      <c r="H906" s="284"/>
      <c r="I906" s="284"/>
      <c r="J906" s="284"/>
      <c r="K906" s="284"/>
      <c r="L906" s="284"/>
      <c r="M906" s="284"/>
      <c r="N906" s="284"/>
      <c r="O906" s="284"/>
      <c r="S906" s="284"/>
      <c r="T906" s="284"/>
      <c r="U906" s="284"/>
      <c r="V906" s="284"/>
      <c r="W906" s="284"/>
      <c r="X906" s="284"/>
      <c r="Y906" s="284"/>
      <c r="Z906" s="284"/>
    </row>
    <row r="907">
      <c r="E907" s="284"/>
      <c r="F907" s="284"/>
      <c r="G907" s="284"/>
      <c r="H907" s="284"/>
      <c r="I907" s="284"/>
      <c r="J907" s="284"/>
      <c r="K907" s="284"/>
      <c r="L907" s="284"/>
      <c r="M907" s="284"/>
      <c r="N907" s="284"/>
      <c r="O907" s="284"/>
      <c r="S907" s="284"/>
      <c r="T907" s="284"/>
      <c r="U907" s="284"/>
      <c r="V907" s="284"/>
      <c r="W907" s="284"/>
      <c r="X907" s="284"/>
      <c r="Y907" s="284"/>
      <c r="Z907" s="284"/>
    </row>
    <row r="908">
      <c r="E908" s="284"/>
      <c r="F908" s="284"/>
      <c r="G908" s="284"/>
      <c r="H908" s="284"/>
      <c r="I908" s="284"/>
      <c r="J908" s="284"/>
      <c r="K908" s="284"/>
      <c r="L908" s="284"/>
      <c r="M908" s="284"/>
      <c r="N908" s="284"/>
      <c r="O908" s="284"/>
      <c r="S908" s="284"/>
      <c r="T908" s="284"/>
      <c r="U908" s="284"/>
      <c r="V908" s="284"/>
      <c r="W908" s="284"/>
      <c r="X908" s="284"/>
      <c r="Y908" s="284"/>
      <c r="Z908" s="284"/>
    </row>
    <row r="909">
      <c r="E909" s="284"/>
      <c r="F909" s="284"/>
      <c r="G909" s="284"/>
      <c r="H909" s="284"/>
      <c r="I909" s="284"/>
      <c r="J909" s="284"/>
      <c r="K909" s="284"/>
      <c r="L909" s="284"/>
      <c r="M909" s="284"/>
      <c r="N909" s="284"/>
      <c r="O909" s="284"/>
      <c r="S909" s="284"/>
      <c r="T909" s="284"/>
      <c r="U909" s="284"/>
      <c r="V909" s="284"/>
      <c r="W909" s="284"/>
      <c r="X909" s="284"/>
      <c r="Y909" s="284"/>
      <c r="Z909" s="284"/>
    </row>
    <row r="910">
      <c r="E910" s="284"/>
      <c r="F910" s="284"/>
      <c r="G910" s="284"/>
      <c r="H910" s="284"/>
      <c r="I910" s="284"/>
      <c r="J910" s="284"/>
      <c r="K910" s="284"/>
      <c r="L910" s="284"/>
      <c r="M910" s="284"/>
      <c r="N910" s="284"/>
      <c r="O910" s="284"/>
      <c r="S910" s="284"/>
      <c r="T910" s="284"/>
      <c r="U910" s="284"/>
      <c r="V910" s="284"/>
      <c r="W910" s="284"/>
      <c r="X910" s="284"/>
      <c r="Y910" s="284"/>
      <c r="Z910" s="284"/>
    </row>
    <row r="911">
      <c r="E911" s="284"/>
      <c r="F911" s="284"/>
      <c r="G911" s="284"/>
      <c r="H911" s="284"/>
      <c r="I911" s="284"/>
      <c r="J911" s="284"/>
      <c r="K911" s="284"/>
      <c r="L911" s="284"/>
      <c r="M911" s="284"/>
      <c r="N911" s="284"/>
      <c r="O911" s="284"/>
      <c r="S911" s="284"/>
      <c r="T911" s="284"/>
      <c r="U911" s="284"/>
      <c r="V911" s="284"/>
      <c r="W911" s="284"/>
      <c r="X911" s="284"/>
      <c r="Y911" s="284"/>
      <c r="Z911" s="284"/>
    </row>
    <row r="912">
      <c r="E912" s="284"/>
      <c r="F912" s="284"/>
      <c r="G912" s="284"/>
      <c r="H912" s="284"/>
      <c r="I912" s="284"/>
      <c r="J912" s="284"/>
      <c r="K912" s="284"/>
      <c r="L912" s="284"/>
      <c r="M912" s="284"/>
      <c r="N912" s="284"/>
      <c r="O912" s="284"/>
      <c r="S912" s="284"/>
      <c r="T912" s="284"/>
      <c r="U912" s="284"/>
      <c r="V912" s="284"/>
      <c r="W912" s="284"/>
      <c r="X912" s="284"/>
      <c r="Y912" s="284"/>
      <c r="Z912" s="284"/>
    </row>
    <row r="913">
      <c r="E913" s="284"/>
      <c r="F913" s="284"/>
      <c r="G913" s="284"/>
      <c r="H913" s="284"/>
      <c r="I913" s="284"/>
      <c r="J913" s="284"/>
      <c r="K913" s="284"/>
      <c r="L913" s="284"/>
      <c r="M913" s="284"/>
      <c r="N913" s="284"/>
      <c r="O913" s="284"/>
      <c r="S913" s="284"/>
      <c r="T913" s="284"/>
      <c r="U913" s="284"/>
      <c r="V913" s="284"/>
      <c r="W913" s="284"/>
      <c r="X913" s="284"/>
      <c r="Y913" s="284"/>
      <c r="Z913" s="284"/>
    </row>
    <row r="914">
      <c r="E914" s="284"/>
      <c r="F914" s="284"/>
      <c r="G914" s="284"/>
      <c r="H914" s="284"/>
      <c r="I914" s="284"/>
      <c r="J914" s="284"/>
      <c r="K914" s="284"/>
      <c r="L914" s="284"/>
      <c r="M914" s="284"/>
      <c r="N914" s="284"/>
      <c r="O914" s="284"/>
      <c r="S914" s="284"/>
      <c r="T914" s="284"/>
      <c r="U914" s="284"/>
      <c r="V914" s="284"/>
      <c r="W914" s="284"/>
      <c r="X914" s="284"/>
      <c r="Y914" s="284"/>
      <c r="Z914" s="284"/>
    </row>
    <row r="915">
      <c r="E915" s="284"/>
      <c r="F915" s="284"/>
      <c r="G915" s="284"/>
      <c r="H915" s="284"/>
      <c r="I915" s="284"/>
      <c r="J915" s="284"/>
      <c r="K915" s="284"/>
      <c r="L915" s="284"/>
      <c r="M915" s="284"/>
      <c r="N915" s="284"/>
      <c r="O915" s="284"/>
      <c r="S915" s="284"/>
      <c r="T915" s="284"/>
      <c r="U915" s="284"/>
      <c r="V915" s="284"/>
      <c r="W915" s="284"/>
      <c r="X915" s="284"/>
      <c r="Y915" s="284"/>
      <c r="Z915" s="284"/>
    </row>
    <row r="916">
      <c r="E916" s="284"/>
      <c r="F916" s="284"/>
      <c r="G916" s="284"/>
      <c r="H916" s="284"/>
      <c r="I916" s="284"/>
      <c r="J916" s="284"/>
      <c r="K916" s="284"/>
      <c r="L916" s="284"/>
      <c r="M916" s="284"/>
      <c r="N916" s="284"/>
      <c r="O916" s="284"/>
      <c r="S916" s="284"/>
      <c r="T916" s="284"/>
      <c r="U916" s="284"/>
      <c r="V916" s="284"/>
      <c r="W916" s="284"/>
      <c r="X916" s="284"/>
      <c r="Y916" s="284"/>
      <c r="Z916" s="284"/>
    </row>
    <row r="917">
      <c r="E917" s="284"/>
      <c r="F917" s="284"/>
      <c r="G917" s="284"/>
      <c r="H917" s="284"/>
      <c r="I917" s="284"/>
      <c r="J917" s="284"/>
      <c r="K917" s="284"/>
      <c r="L917" s="284"/>
      <c r="M917" s="284"/>
      <c r="N917" s="284"/>
      <c r="O917" s="284"/>
      <c r="S917" s="284"/>
      <c r="T917" s="284"/>
      <c r="U917" s="284"/>
      <c r="V917" s="284"/>
      <c r="W917" s="284"/>
      <c r="X917" s="284"/>
      <c r="Y917" s="284"/>
      <c r="Z917" s="284"/>
    </row>
    <row r="918">
      <c r="E918" s="284"/>
      <c r="F918" s="284"/>
      <c r="G918" s="284"/>
      <c r="H918" s="284"/>
      <c r="I918" s="284"/>
      <c r="J918" s="284"/>
      <c r="K918" s="284"/>
      <c r="L918" s="284"/>
      <c r="M918" s="284"/>
      <c r="N918" s="284"/>
      <c r="O918" s="284"/>
      <c r="S918" s="284"/>
      <c r="T918" s="284"/>
      <c r="U918" s="284"/>
      <c r="V918" s="284"/>
      <c r="W918" s="284"/>
      <c r="X918" s="284"/>
      <c r="Y918" s="284"/>
      <c r="Z918" s="284"/>
    </row>
    <row r="919">
      <c r="E919" s="284"/>
      <c r="F919" s="284"/>
      <c r="G919" s="284"/>
      <c r="H919" s="284"/>
      <c r="I919" s="284"/>
      <c r="J919" s="284"/>
      <c r="K919" s="284"/>
      <c r="L919" s="284"/>
      <c r="M919" s="284"/>
      <c r="N919" s="284"/>
      <c r="O919" s="284"/>
      <c r="S919" s="284"/>
      <c r="T919" s="284"/>
      <c r="U919" s="284"/>
      <c r="V919" s="284"/>
      <c r="W919" s="284"/>
      <c r="X919" s="284"/>
      <c r="Y919" s="284"/>
      <c r="Z919" s="284"/>
    </row>
    <row r="920">
      <c r="E920" s="284"/>
      <c r="F920" s="284"/>
      <c r="G920" s="284"/>
      <c r="H920" s="284"/>
      <c r="I920" s="284"/>
      <c r="J920" s="284"/>
      <c r="K920" s="284"/>
      <c r="L920" s="284"/>
      <c r="M920" s="284"/>
      <c r="N920" s="284"/>
      <c r="O920" s="284"/>
      <c r="S920" s="284"/>
      <c r="T920" s="284"/>
      <c r="U920" s="284"/>
      <c r="V920" s="284"/>
      <c r="W920" s="284"/>
      <c r="X920" s="284"/>
      <c r="Y920" s="284"/>
      <c r="Z920" s="284"/>
    </row>
    <row r="921">
      <c r="E921" s="284"/>
      <c r="F921" s="284"/>
      <c r="G921" s="284"/>
      <c r="H921" s="284"/>
      <c r="I921" s="284"/>
      <c r="J921" s="284"/>
      <c r="K921" s="284"/>
      <c r="L921" s="284"/>
      <c r="M921" s="284"/>
      <c r="N921" s="284"/>
      <c r="O921" s="284"/>
      <c r="S921" s="284"/>
      <c r="T921" s="284"/>
      <c r="U921" s="284"/>
      <c r="V921" s="284"/>
      <c r="W921" s="284"/>
      <c r="X921" s="284"/>
      <c r="Y921" s="284"/>
      <c r="Z921" s="284"/>
    </row>
    <row r="922">
      <c r="E922" s="284"/>
      <c r="F922" s="284"/>
      <c r="G922" s="284"/>
      <c r="H922" s="284"/>
      <c r="I922" s="284"/>
      <c r="J922" s="284"/>
      <c r="K922" s="284"/>
      <c r="L922" s="284"/>
      <c r="M922" s="284"/>
      <c r="N922" s="284"/>
      <c r="O922" s="284"/>
      <c r="S922" s="284"/>
      <c r="T922" s="284"/>
      <c r="U922" s="284"/>
      <c r="V922" s="284"/>
      <c r="W922" s="284"/>
      <c r="X922" s="284"/>
      <c r="Y922" s="284"/>
      <c r="Z922" s="284"/>
    </row>
    <row r="923">
      <c r="E923" s="284"/>
      <c r="F923" s="284"/>
      <c r="G923" s="284"/>
      <c r="H923" s="284"/>
      <c r="I923" s="284"/>
      <c r="J923" s="284"/>
      <c r="K923" s="284"/>
      <c r="L923" s="284"/>
      <c r="M923" s="284"/>
      <c r="N923" s="284"/>
      <c r="O923" s="284"/>
      <c r="S923" s="284"/>
      <c r="T923" s="284"/>
      <c r="U923" s="284"/>
      <c r="V923" s="284"/>
      <c r="W923" s="284"/>
      <c r="X923" s="284"/>
      <c r="Y923" s="284"/>
      <c r="Z923" s="284"/>
    </row>
    <row r="924">
      <c r="E924" s="284"/>
      <c r="F924" s="284"/>
      <c r="G924" s="284"/>
      <c r="H924" s="284"/>
      <c r="I924" s="284"/>
      <c r="J924" s="284"/>
      <c r="K924" s="284"/>
      <c r="L924" s="284"/>
      <c r="M924" s="284"/>
      <c r="N924" s="284"/>
      <c r="O924" s="284"/>
      <c r="S924" s="284"/>
      <c r="T924" s="284"/>
      <c r="U924" s="284"/>
      <c r="V924" s="284"/>
      <c r="W924" s="284"/>
      <c r="X924" s="284"/>
      <c r="Y924" s="284"/>
      <c r="Z924" s="284"/>
    </row>
    <row r="925">
      <c r="E925" s="284"/>
      <c r="F925" s="284"/>
      <c r="G925" s="284"/>
      <c r="H925" s="284"/>
      <c r="I925" s="284"/>
      <c r="J925" s="284"/>
      <c r="K925" s="284"/>
      <c r="L925" s="284"/>
      <c r="M925" s="284"/>
      <c r="N925" s="284"/>
      <c r="O925" s="284"/>
      <c r="S925" s="284"/>
      <c r="T925" s="284"/>
      <c r="U925" s="284"/>
      <c r="V925" s="284"/>
      <c r="W925" s="284"/>
      <c r="X925" s="284"/>
      <c r="Y925" s="284"/>
      <c r="Z925" s="284"/>
    </row>
    <row r="926">
      <c r="E926" s="284"/>
      <c r="F926" s="284"/>
      <c r="G926" s="284"/>
      <c r="H926" s="284"/>
      <c r="I926" s="284"/>
      <c r="J926" s="284"/>
      <c r="K926" s="284"/>
      <c r="L926" s="284"/>
      <c r="M926" s="284"/>
      <c r="N926" s="284"/>
      <c r="O926" s="284"/>
      <c r="S926" s="284"/>
      <c r="T926" s="284"/>
      <c r="U926" s="284"/>
      <c r="V926" s="284"/>
      <c r="W926" s="284"/>
      <c r="X926" s="284"/>
      <c r="Y926" s="284"/>
      <c r="Z926" s="284"/>
    </row>
    <row r="927">
      <c r="E927" s="284"/>
      <c r="F927" s="284"/>
      <c r="G927" s="284"/>
      <c r="H927" s="284"/>
      <c r="I927" s="284"/>
      <c r="J927" s="284"/>
      <c r="K927" s="284"/>
      <c r="L927" s="284"/>
      <c r="M927" s="284"/>
      <c r="N927" s="284"/>
      <c r="O927" s="284"/>
      <c r="S927" s="284"/>
      <c r="T927" s="284"/>
      <c r="U927" s="284"/>
      <c r="V927" s="284"/>
      <c r="W927" s="284"/>
      <c r="X927" s="284"/>
      <c r="Y927" s="284"/>
      <c r="Z927" s="284"/>
    </row>
    <row r="928">
      <c r="E928" s="284"/>
      <c r="F928" s="284"/>
      <c r="G928" s="284"/>
      <c r="H928" s="284"/>
      <c r="I928" s="284"/>
      <c r="J928" s="284"/>
      <c r="K928" s="284"/>
      <c r="L928" s="284"/>
      <c r="M928" s="284"/>
      <c r="N928" s="284"/>
      <c r="O928" s="284"/>
      <c r="S928" s="284"/>
      <c r="T928" s="284"/>
      <c r="U928" s="284"/>
      <c r="V928" s="284"/>
      <c r="W928" s="284"/>
      <c r="X928" s="284"/>
      <c r="Y928" s="284"/>
      <c r="Z928" s="284"/>
    </row>
    <row r="929">
      <c r="E929" s="284"/>
      <c r="F929" s="284"/>
      <c r="G929" s="284"/>
      <c r="H929" s="284"/>
      <c r="I929" s="284"/>
      <c r="J929" s="284"/>
      <c r="K929" s="284"/>
      <c r="L929" s="284"/>
      <c r="M929" s="284"/>
      <c r="N929" s="284"/>
      <c r="O929" s="284"/>
      <c r="S929" s="284"/>
      <c r="T929" s="284"/>
      <c r="U929" s="284"/>
      <c r="V929" s="284"/>
      <c r="W929" s="284"/>
      <c r="X929" s="284"/>
      <c r="Y929" s="284"/>
      <c r="Z929" s="284"/>
    </row>
    <row r="930">
      <c r="E930" s="284"/>
      <c r="F930" s="284"/>
      <c r="G930" s="284"/>
      <c r="H930" s="284"/>
      <c r="I930" s="284"/>
      <c r="J930" s="284"/>
      <c r="K930" s="284"/>
      <c r="L930" s="284"/>
      <c r="M930" s="284"/>
      <c r="N930" s="284"/>
      <c r="O930" s="284"/>
      <c r="S930" s="284"/>
      <c r="T930" s="284"/>
      <c r="U930" s="284"/>
      <c r="V930" s="284"/>
      <c r="W930" s="284"/>
      <c r="X930" s="284"/>
      <c r="Y930" s="284"/>
      <c r="Z930" s="284"/>
    </row>
    <row r="931">
      <c r="E931" s="284"/>
      <c r="F931" s="284"/>
      <c r="G931" s="284"/>
      <c r="H931" s="284"/>
      <c r="I931" s="284"/>
      <c r="J931" s="284"/>
      <c r="K931" s="284"/>
      <c r="L931" s="284"/>
      <c r="M931" s="284"/>
      <c r="N931" s="284"/>
      <c r="O931" s="284"/>
      <c r="S931" s="284"/>
      <c r="T931" s="284"/>
      <c r="U931" s="284"/>
      <c r="V931" s="284"/>
      <c r="W931" s="284"/>
      <c r="X931" s="284"/>
      <c r="Y931" s="284"/>
      <c r="Z931" s="284"/>
    </row>
    <row r="932">
      <c r="E932" s="284"/>
      <c r="F932" s="284"/>
      <c r="G932" s="284"/>
      <c r="H932" s="284"/>
      <c r="I932" s="284"/>
      <c r="J932" s="284"/>
      <c r="K932" s="284"/>
      <c r="L932" s="284"/>
      <c r="M932" s="284"/>
      <c r="N932" s="284"/>
      <c r="O932" s="284"/>
      <c r="S932" s="284"/>
      <c r="T932" s="284"/>
      <c r="U932" s="284"/>
      <c r="V932" s="284"/>
      <c r="W932" s="284"/>
      <c r="X932" s="284"/>
      <c r="Y932" s="284"/>
      <c r="Z932" s="284"/>
    </row>
    <row r="933">
      <c r="E933" s="284"/>
      <c r="F933" s="284"/>
      <c r="G933" s="284"/>
      <c r="H933" s="284"/>
      <c r="I933" s="284"/>
      <c r="J933" s="284"/>
      <c r="K933" s="284"/>
      <c r="L933" s="284"/>
      <c r="M933" s="284"/>
      <c r="N933" s="284"/>
      <c r="O933" s="284"/>
      <c r="S933" s="284"/>
      <c r="T933" s="284"/>
      <c r="U933" s="284"/>
      <c r="V933" s="284"/>
      <c r="W933" s="284"/>
      <c r="X933" s="284"/>
      <c r="Y933" s="284"/>
      <c r="Z933" s="284"/>
    </row>
    <row r="934">
      <c r="E934" s="284"/>
      <c r="F934" s="284"/>
      <c r="G934" s="284"/>
      <c r="H934" s="284"/>
      <c r="I934" s="284"/>
      <c r="J934" s="284"/>
      <c r="K934" s="284"/>
      <c r="L934" s="284"/>
      <c r="M934" s="284"/>
      <c r="N934" s="284"/>
      <c r="O934" s="284"/>
      <c r="S934" s="284"/>
      <c r="T934" s="284"/>
      <c r="U934" s="284"/>
      <c r="V934" s="284"/>
      <c r="W934" s="284"/>
      <c r="X934" s="284"/>
      <c r="Y934" s="284"/>
      <c r="Z934" s="284"/>
    </row>
    <row r="935">
      <c r="E935" s="284"/>
      <c r="F935" s="284"/>
      <c r="G935" s="284"/>
      <c r="H935" s="284"/>
      <c r="I935" s="284"/>
      <c r="J935" s="284"/>
      <c r="K935" s="284"/>
      <c r="L935" s="284"/>
      <c r="M935" s="284"/>
      <c r="N935" s="284"/>
      <c r="O935" s="284"/>
      <c r="S935" s="284"/>
      <c r="T935" s="284"/>
      <c r="U935" s="284"/>
      <c r="V935" s="284"/>
      <c r="W935" s="284"/>
      <c r="X935" s="284"/>
      <c r="Y935" s="284"/>
      <c r="Z935" s="284"/>
    </row>
    <row r="936">
      <c r="E936" s="284"/>
      <c r="F936" s="284"/>
      <c r="G936" s="284"/>
      <c r="H936" s="284"/>
      <c r="I936" s="284"/>
      <c r="J936" s="284"/>
      <c r="K936" s="284"/>
      <c r="L936" s="284"/>
      <c r="M936" s="284"/>
      <c r="N936" s="284"/>
      <c r="O936" s="284"/>
      <c r="S936" s="284"/>
      <c r="T936" s="284"/>
      <c r="U936" s="284"/>
      <c r="V936" s="284"/>
      <c r="W936" s="284"/>
      <c r="X936" s="284"/>
      <c r="Y936" s="284"/>
      <c r="Z936" s="284"/>
    </row>
    <row r="937">
      <c r="E937" s="284"/>
      <c r="F937" s="284"/>
      <c r="G937" s="284"/>
      <c r="H937" s="284"/>
      <c r="I937" s="284"/>
      <c r="J937" s="284"/>
      <c r="K937" s="284"/>
      <c r="L937" s="284"/>
      <c r="M937" s="284"/>
      <c r="N937" s="284"/>
      <c r="O937" s="284"/>
      <c r="S937" s="284"/>
      <c r="T937" s="284"/>
      <c r="U937" s="284"/>
      <c r="V937" s="284"/>
      <c r="W937" s="284"/>
      <c r="X937" s="284"/>
      <c r="Y937" s="284"/>
      <c r="Z937" s="284"/>
    </row>
    <row r="938">
      <c r="E938" s="284"/>
      <c r="F938" s="284"/>
      <c r="G938" s="284"/>
      <c r="H938" s="284"/>
      <c r="I938" s="284"/>
      <c r="J938" s="284"/>
      <c r="K938" s="284"/>
      <c r="L938" s="284"/>
      <c r="M938" s="284"/>
      <c r="N938" s="284"/>
      <c r="O938" s="284"/>
      <c r="S938" s="284"/>
      <c r="T938" s="284"/>
      <c r="U938" s="284"/>
      <c r="V938" s="284"/>
      <c r="W938" s="284"/>
      <c r="X938" s="284"/>
      <c r="Y938" s="284"/>
      <c r="Z938" s="284"/>
    </row>
    <row r="939">
      <c r="E939" s="284"/>
      <c r="F939" s="284"/>
      <c r="G939" s="284"/>
      <c r="H939" s="284"/>
      <c r="I939" s="284"/>
      <c r="J939" s="284"/>
      <c r="K939" s="284"/>
      <c r="L939" s="284"/>
      <c r="M939" s="284"/>
      <c r="N939" s="284"/>
      <c r="O939" s="284"/>
      <c r="S939" s="284"/>
      <c r="T939" s="284"/>
      <c r="U939" s="284"/>
      <c r="V939" s="284"/>
      <c r="W939" s="284"/>
      <c r="X939" s="284"/>
      <c r="Y939" s="284"/>
      <c r="Z939" s="284"/>
    </row>
    <row r="940">
      <c r="E940" s="284"/>
      <c r="F940" s="284"/>
      <c r="G940" s="284"/>
      <c r="H940" s="284"/>
      <c r="I940" s="284"/>
      <c r="J940" s="284"/>
      <c r="K940" s="284"/>
      <c r="L940" s="284"/>
      <c r="M940" s="284"/>
      <c r="N940" s="284"/>
      <c r="O940" s="284"/>
      <c r="S940" s="284"/>
      <c r="T940" s="284"/>
      <c r="U940" s="284"/>
      <c r="V940" s="284"/>
      <c r="W940" s="284"/>
      <c r="X940" s="284"/>
      <c r="Y940" s="284"/>
      <c r="Z940" s="284"/>
    </row>
    <row r="941">
      <c r="E941" s="284"/>
      <c r="F941" s="284"/>
      <c r="G941" s="284"/>
      <c r="H941" s="284"/>
      <c r="I941" s="284"/>
      <c r="J941" s="284"/>
      <c r="K941" s="284"/>
      <c r="L941" s="284"/>
      <c r="M941" s="284"/>
      <c r="N941" s="284"/>
      <c r="O941" s="284"/>
      <c r="S941" s="284"/>
      <c r="T941" s="284"/>
      <c r="U941" s="284"/>
      <c r="V941" s="284"/>
      <c r="W941" s="284"/>
      <c r="X941" s="284"/>
      <c r="Y941" s="284"/>
      <c r="Z941" s="284"/>
    </row>
    <row r="942">
      <c r="E942" s="284"/>
      <c r="F942" s="284"/>
      <c r="G942" s="284"/>
      <c r="H942" s="284"/>
      <c r="I942" s="284"/>
      <c r="J942" s="284"/>
      <c r="K942" s="284"/>
      <c r="L942" s="284"/>
      <c r="M942" s="284"/>
      <c r="N942" s="284"/>
      <c r="O942" s="284"/>
      <c r="S942" s="284"/>
      <c r="T942" s="284"/>
      <c r="U942" s="284"/>
      <c r="V942" s="284"/>
      <c r="W942" s="284"/>
      <c r="X942" s="284"/>
      <c r="Y942" s="284"/>
      <c r="Z942" s="284"/>
    </row>
    <row r="943">
      <c r="E943" s="284"/>
      <c r="F943" s="284"/>
      <c r="G943" s="284"/>
      <c r="H943" s="284"/>
      <c r="I943" s="284"/>
      <c r="J943" s="284"/>
      <c r="K943" s="284"/>
      <c r="L943" s="284"/>
      <c r="M943" s="284"/>
      <c r="N943" s="284"/>
      <c r="O943" s="284"/>
      <c r="S943" s="284"/>
      <c r="T943" s="284"/>
      <c r="U943" s="284"/>
      <c r="V943" s="284"/>
      <c r="W943" s="284"/>
      <c r="X943" s="284"/>
      <c r="Y943" s="284"/>
      <c r="Z943" s="284"/>
    </row>
    <row r="944">
      <c r="E944" s="284"/>
      <c r="F944" s="284"/>
      <c r="G944" s="284"/>
      <c r="H944" s="284"/>
      <c r="I944" s="284"/>
      <c r="J944" s="284"/>
      <c r="K944" s="284"/>
      <c r="L944" s="284"/>
      <c r="M944" s="284"/>
      <c r="N944" s="284"/>
      <c r="O944" s="284"/>
      <c r="S944" s="284"/>
      <c r="T944" s="284"/>
      <c r="U944" s="284"/>
      <c r="V944" s="284"/>
      <c r="W944" s="284"/>
      <c r="X944" s="284"/>
      <c r="Y944" s="284"/>
      <c r="Z944" s="284"/>
    </row>
    <row r="945">
      <c r="E945" s="284"/>
      <c r="F945" s="284"/>
      <c r="G945" s="284"/>
      <c r="H945" s="284"/>
      <c r="I945" s="284"/>
      <c r="J945" s="284"/>
      <c r="K945" s="284"/>
      <c r="L945" s="284"/>
      <c r="M945" s="284"/>
      <c r="N945" s="284"/>
      <c r="O945" s="284"/>
      <c r="S945" s="284"/>
      <c r="T945" s="284"/>
      <c r="U945" s="284"/>
      <c r="V945" s="284"/>
      <c r="W945" s="284"/>
      <c r="X945" s="284"/>
      <c r="Y945" s="284"/>
      <c r="Z945" s="284"/>
    </row>
    <row r="946">
      <c r="E946" s="284"/>
      <c r="F946" s="284"/>
      <c r="G946" s="284"/>
      <c r="H946" s="284"/>
      <c r="I946" s="284"/>
      <c r="J946" s="284"/>
      <c r="K946" s="284"/>
      <c r="L946" s="284"/>
      <c r="M946" s="284"/>
      <c r="N946" s="284"/>
      <c r="O946" s="284"/>
      <c r="S946" s="284"/>
      <c r="T946" s="284"/>
      <c r="U946" s="284"/>
      <c r="V946" s="284"/>
      <c r="W946" s="284"/>
      <c r="X946" s="284"/>
      <c r="Y946" s="284"/>
      <c r="Z946" s="284"/>
    </row>
    <row r="947">
      <c r="E947" s="284"/>
      <c r="F947" s="284"/>
      <c r="G947" s="284"/>
      <c r="H947" s="284"/>
      <c r="I947" s="284"/>
      <c r="J947" s="284"/>
      <c r="K947" s="284"/>
      <c r="L947" s="284"/>
      <c r="M947" s="284"/>
      <c r="N947" s="284"/>
      <c r="O947" s="284"/>
      <c r="S947" s="284"/>
      <c r="T947" s="284"/>
      <c r="U947" s="284"/>
      <c r="V947" s="284"/>
      <c r="W947" s="284"/>
      <c r="X947" s="284"/>
      <c r="Y947" s="284"/>
      <c r="Z947" s="284"/>
    </row>
    <row r="948">
      <c r="E948" s="284"/>
      <c r="F948" s="284"/>
      <c r="G948" s="284"/>
      <c r="H948" s="284"/>
      <c r="I948" s="284"/>
      <c r="J948" s="284"/>
      <c r="K948" s="284"/>
      <c r="L948" s="284"/>
      <c r="M948" s="284"/>
      <c r="N948" s="284"/>
      <c r="O948" s="284"/>
      <c r="S948" s="284"/>
      <c r="T948" s="284"/>
      <c r="U948" s="284"/>
      <c r="V948" s="284"/>
      <c r="W948" s="284"/>
      <c r="X948" s="284"/>
      <c r="Y948" s="284"/>
      <c r="Z948" s="284"/>
    </row>
    <row r="949">
      <c r="E949" s="284"/>
      <c r="F949" s="284"/>
      <c r="G949" s="284"/>
      <c r="H949" s="284"/>
      <c r="I949" s="284"/>
      <c r="J949" s="284"/>
      <c r="K949" s="284"/>
      <c r="L949" s="284"/>
      <c r="M949" s="284"/>
      <c r="N949" s="284"/>
      <c r="O949" s="284"/>
      <c r="S949" s="284"/>
      <c r="T949" s="284"/>
      <c r="U949" s="284"/>
      <c r="V949" s="284"/>
      <c r="W949" s="284"/>
      <c r="X949" s="284"/>
      <c r="Y949" s="284"/>
      <c r="Z949" s="284"/>
    </row>
    <row r="950">
      <c r="E950" s="284"/>
      <c r="F950" s="284"/>
      <c r="G950" s="284"/>
      <c r="H950" s="284"/>
      <c r="I950" s="284"/>
      <c r="J950" s="284"/>
      <c r="K950" s="284"/>
      <c r="L950" s="284"/>
      <c r="M950" s="284"/>
      <c r="N950" s="284"/>
      <c r="O950" s="284"/>
      <c r="S950" s="284"/>
      <c r="T950" s="284"/>
      <c r="U950" s="284"/>
      <c r="V950" s="284"/>
      <c r="W950" s="284"/>
      <c r="X950" s="284"/>
      <c r="Y950" s="284"/>
      <c r="Z950" s="284"/>
    </row>
    <row r="951">
      <c r="E951" s="284"/>
      <c r="F951" s="284"/>
      <c r="G951" s="284"/>
      <c r="H951" s="284"/>
      <c r="I951" s="284"/>
      <c r="J951" s="284"/>
      <c r="K951" s="284"/>
      <c r="L951" s="284"/>
      <c r="M951" s="284"/>
      <c r="N951" s="284"/>
      <c r="O951" s="284"/>
      <c r="S951" s="284"/>
      <c r="T951" s="284"/>
      <c r="U951" s="284"/>
      <c r="V951" s="284"/>
      <c r="W951" s="284"/>
      <c r="X951" s="284"/>
      <c r="Y951" s="284"/>
      <c r="Z951" s="284"/>
    </row>
    <row r="952">
      <c r="E952" s="284"/>
      <c r="F952" s="284"/>
      <c r="G952" s="284"/>
      <c r="H952" s="284"/>
      <c r="I952" s="284"/>
      <c r="J952" s="284"/>
      <c r="K952" s="284"/>
      <c r="L952" s="284"/>
      <c r="M952" s="284"/>
      <c r="N952" s="284"/>
      <c r="O952" s="284"/>
      <c r="S952" s="284"/>
      <c r="T952" s="284"/>
      <c r="U952" s="284"/>
      <c r="V952" s="284"/>
      <c r="W952" s="284"/>
      <c r="X952" s="284"/>
      <c r="Y952" s="284"/>
      <c r="Z952" s="284"/>
    </row>
    <row r="953">
      <c r="E953" s="284"/>
      <c r="F953" s="284"/>
      <c r="G953" s="284"/>
      <c r="H953" s="284"/>
      <c r="I953" s="284"/>
      <c r="J953" s="284"/>
      <c r="K953" s="284"/>
      <c r="L953" s="284"/>
      <c r="M953" s="284"/>
      <c r="N953" s="284"/>
      <c r="O953" s="284"/>
      <c r="S953" s="284"/>
      <c r="T953" s="284"/>
      <c r="U953" s="284"/>
      <c r="V953" s="284"/>
      <c r="W953" s="284"/>
      <c r="X953" s="284"/>
      <c r="Y953" s="284"/>
      <c r="Z953" s="284"/>
    </row>
    <row r="954">
      <c r="E954" s="284"/>
      <c r="F954" s="284"/>
      <c r="G954" s="284"/>
      <c r="H954" s="284"/>
      <c r="I954" s="284"/>
      <c r="J954" s="284"/>
      <c r="K954" s="284"/>
      <c r="L954" s="284"/>
      <c r="M954" s="284"/>
      <c r="N954" s="284"/>
      <c r="O954" s="284"/>
      <c r="S954" s="284"/>
      <c r="T954" s="284"/>
      <c r="U954" s="284"/>
      <c r="V954" s="284"/>
      <c r="W954" s="284"/>
      <c r="X954" s="284"/>
      <c r="Y954" s="284"/>
      <c r="Z954" s="284"/>
    </row>
    <row r="955">
      <c r="E955" s="284"/>
      <c r="F955" s="284"/>
      <c r="G955" s="284"/>
      <c r="H955" s="284"/>
      <c r="I955" s="284"/>
      <c r="J955" s="284"/>
      <c r="K955" s="284"/>
      <c r="L955" s="284"/>
      <c r="M955" s="284"/>
      <c r="N955" s="284"/>
      <c r="O955" s="284"/>
      <c r="S955" s="284"/>
      <c r="T955" s="284"/>
      <c r="U955" s="284"/>
      <c r="V955" s="284"/>
      <c r="W955" s="284"/>
      <c r="X955" s="284"/>
      <c r="Y955" s="284"/>
      <c r="Z955" s="284"/>
    </row>
    <row r="956">
      <c r="E956" s="284"/>
      <c r="F956" s="284"/>
      <c r="G956" s="284"/>
      <c r="H956" s="284"/>
      <c r="I956" s="284"/>
      <c r="J956" s="284"/>
      <c r="K956" s="284"/>
      <c r="L956" s="284"/>
      <c r="M956" s="284"/>
      <c r="N956" s="284"/>
      <c r="O956" s="284"/>
      <c r="S956" s="284"/>
      <c r="T956" s="284"/>
      <c r="U956" s="284"/>
      <c r="V956" s="284"/>
      <c r="W956" s="284"/>
      <c r="X956" s="284"/>
      <c r="Y956" s="284"/>
      <c r="Z956" s="284"/>
    </row>
    <row r="957">
      <c r="E957" s="284"/>
      <c r="F957" s="284"/>
      <c r="G957" s="284"/>
      <c r="H957" s="284"/>
      <c r="I957" s="284"/>
      <c r="J957" s="284"/>
      <c r="K957" s="284"/>
      <c r="L957" s="284"/>
      <c r="M957" s="284"/>
      <c r="N957" s="284"/>
      <c r="O957" s="284"/>
      <c r="S957" s="284"/>
      <c r="T957" s="284"/>
      <c r="U957" s="284"/>
      <c r="V957" s="284"/>
      <c r="W957" s="284"/>
      <c r="X957" s="284"/>
      <c r="Y957" s="284"/>
      <c r="Z957" s="284"/>
    </row>
    <row r="958">
      <c r="E958" s="284"/>
      <c r="F958" s="284"/>
      <c r="G958" s="284"/>
      <c r="H958" s="284"/>
      <c r="I958" s="284"/>
      <c r="J958" s="284"/>
      <c r="K958" s="284"/>
      <c r="L958" s="284"/>
      <c r="M958" s="284"/>
      <c r="N958" s="284"/>
      <c r="O958" s="284"/>
      <c r="S958" s="284"/>
      <c r="T958" s="284"/>
      <c r="U958" s="284"/>
      <c r="V958" s="284"/>
      <c r="W958" s="284"/>
      <c r="X958" s="284"/>
      <c r="Y958" s="284"/>
      <c r="Z958" s="284"/>
    </row>
    <row r="959">
      <c r="E959" s="284"/>
      <c r="F959" s="284"/>
      <c r="G959" s="284"/>
      <c r="H959" s="284"/>
      <c r="I959" s="284"/>
      <c r="J959" s="284"/>
      <c r="K959" s="284"/>
      <c r="L959" s="284"/>
      <c r="M959" s="284"/>
      <c r="N959" s="284"/>
      <c r="O959" s="284"/>
      <c r="S959" s="284"/>
      <c r="T959" s="284"/>
      <c r="U959" s="284"/>
      <c r="V959" s="284"/>
      <c r="W959" s="284"/>
      <c r="X959" s="284"/>
      <c r="Y959" s="284"/>
      <c r="Z959" s="284"/>
    </row>
    <row r="960">
      <c r="E960" s="284"/>
      <c r="F960" s="284"/>
      <c r="G960" s="284"/>
      <c r="H960" s="284"/>
      <c r="I960" s="284"/>
      <c r="J960" s="284"/>
      <c r="K960" s="284"/>
      <c r="L960" s="284"/>
      <c r="M960" s="284"/>
      <c r="N960" s="284"/>
      <c r="O960" s="284"/>
      <c r="S960" s="284"/>
      <c r="T960" s="284"/>
      <c r="U960" s="284"/>
      <c r="V960" s="284"/>
      <c r="W960" s="284"/>
      <c r="X960" s="284"/>
      <c r="Y960" s="284"/>
      <c r="Z960" s="284"/>
    </row>
    <row r="961">
      <c r="E961" s="284"/>
      <c r="F961" s="284"/>
      <c r="G961" s="284"/>
      <c r="H961" s="284"/>
      <c r="I961" s="284"/>
      <c r="J961" s="284"/>
      <c r="K961" s="284"/>
      <c r="L961" s="284"/>
      <c r="M961" s="284"/>
      <c r="N961" s="284"/>
      <c r="O961" s="284"/>
      <c r="S961" s="284"/>
      <c r="T961" s="284"/>
      <c r="U961" s="284"/>
      <c r="V961" s="284"/>
      <c r="W961" s="284"/>
      <c r="X961" s="284"/>
      <c r="Y961" s="284"/>
      <c r="Z961" s="284"/>
    </row>
    <row r="962">
      <c r="E962" s="284"/>
      <c r="F962" s="284"/>
      <c r="G962" s="284"/>
      <c r="H962" s="284"/>
      <c r="I962" s="284"/>
      <c r="J962" s="284"/>
      <c r="K962" s="284"/>
      <c r="L962" s="284"/>
      <c r="M962" s="284"/>
      <c r="N962" s="284"/>
      <c r="O962" s="284"/>
      <c r="S962" s="284"/>
      <c r="T962" s="284"/>
      <c r="U962" s="284"/>
      <c r="V962" s="284"/>
      <c r="W962" s="284"/>
      <c r="X962" s="284"/>
      <c r="Y962" s="284"/>
      <c r="Z962" s="284"/>
    </row>
    <row r="963">
      <c r="E963" s="284"/>
      <c r="F963" s="284"/>
      <c r="G963" s="284"/>
      <c r="H963" s="284"/>
      <c r="I963" s="284"/>
      <c r="J963" s="284"/>
      <c r="K963" s="284"/>
      <c r="L963" s="284"/>
      <c r="M963" s="284"/>
      <c r="N963" s="284"/>
      <c r="O963" s="284"/>
      <c r="S963" s="284"/>
      <c r="T963" s="284"/>
      <c r="U963" s="284"/>
      <c r="V963" s="284"/>
      <c r="W963" s="284"/>
      <c r="X963" s="284"/>
      <c r="Y963" s="284"/>
      <c r="Z963" s="284"/>
    </row>
    <row r="964">
      <c r="E964" s="284"/>
      <c r="F964" s="284"/>
      <c r="G964" s="284"/>
      <c r="H964" s="284"/>
      <c r="I964" s="284"/>
      <c r="J964" s="284"/>
      <c r="K964" s="284"/>
      <c r="L964" s="284"/>
      <c r="M964" s="284"/>
      <c r="N964" s="284"/>
      <c r="O964" s="284"/>
      <c r="S964" s="284"/>
      <c r="T964" s="284"/>
      <c r="U964" s="284"/>
      <c r="V964" s="284"/>
      <c r="W964" s="284"/>
      <c r="X964" s="284"/>
      <c r="Y964" s="284"/>
      <c r="Z964" s="284"/>
    </row>
    <row r="965">
      <c r="E965" s="284"/>
      <c r="F965" s="284"/>
      <c r="G965" s="284"/>
      <c r="H965" s="284"/>
      <c r="I965" s="284"/>
      <c r="J965" s="284"/>
      <c r="K965" s="284"/>
      <c r="L965" s="284"/>
      <c r="M965" s="284"/>
      <c r="N965" s="284"/>
      <c r="O965" s="284"/>
      <c r="S965" s="284"/>
      <c r="T965" s="284"/>
      <c r="U965" s="284"/>
      <c r="V965" s="284"/>
      <c r="W965" s="284"/>
      <c r="X965" s="284"/>
      <c r="Y965" s="284"/>
      <c r="Z965" s="284"/>
    </row>
    <row r="966">
      <c r="E966" s="284"/>
      <c r="F966" s="284"/>
      <c r="G966" s="284"/>
      <c r="H966" s="284"/>
      <c r="I966" s="284"/>
      <c r="J966" s="284"/>
      <c r="K966" s="284"/>
      <c r="L966" s="284"/>
      <c r="M966" s="284"/>
      <c r="N966" s="284"/>
      <c r="O966" s="284"/>
      <c r="S966" s="284"/>
      <c r="T966" s="284"/>
      <c r="U966" s="284"/>
      <c r="V966" s="284"/>
      <c r="W966" s="284"/>
      <c r="X966" s="284"/>
      <c r="Y966" s="284"/>
      <c r="Z966" s="284"/>
    </row>
    <row r="967">
      <c r="E967" s="284"/>
      <c r="F967" s="284"/>
      <c r="G967" s="284"/>
      <c r="H967" s="284"/>
      <c r="I967" s="284"/>
      <c r="J967" s="284"/>
      <c r="K967" s="284"/>
      <c r="L967" s="284"/>
      <c r="M967" s="284"/>
      <c r="N967" s="284"/>
      <c r="O967" s="284"/>
      <c r="S967" s="284"/>
      <c r="T967" s="284"/>
      <c r="U967" s="284"/>
      <c r="V967" s="284"/>
      <c r="W967" s="284"/>
      <c r="X967" s="284"/>
      <c r="Y967" s="284"/>
      <c r="Z967" s="284"/>
    </row>
    <row r="968">
      <c r="E968" s="284"/>
      <c r="F968" s="284"/>
      <c r="G968" s="284"/>
      <c r="H968" s="284"/>
      <c r="I968" s="284"/>
      <c r="J968" s="284"/>
      <c r="K968" s="284"/>
      <c r="L968" s="284"/>
      <c r="M968" s="284"/>
      <c r="N968" s="284"/>
      <c r="O968" s="284"/>
      <c r="S968" s="284"/>
      <c r="T968" s="284"/>
      <c r="U968" s="284"/>
      <c r="V968" s="284"/>
      <c r="W968" s="284"/>
      <c r="X968" s="284"/>
      <c r="Y968" s="284"/>
      <c r="Z968" s="284"/>
    </row>
    <row r="969">
      <c r="E969" s="284"/>
      <c r="F969" s="284"/>
      <c r="G969" s="284"/>
      <c r="H969" s="284"/>
      <c r="I969" s="284"/>
      <c r="J969" s="284"/>
      <c r="K969" s="284"/>
      <c r="L969" s="284"/>
      <c r="M969" s="284"/>
      <c r="N969" s="284"/>
      <c r="O969" s="284"/>
      <c r="S969" s="284"/>
      <c r="T969" s="284"/>
      <c r="U969" s="284"/>
      <c r="V969" s="284"/>
      <c r="W969" s="284"/>
      <c r="X969" s="284"/>
      <c r="Y969" s="284"/>
      <c r="Z969" s="284"/>
    </row>
    <row r="970">
      <c r="E970" s="284"/>
      <c r="F970" s="284"/>
      <c r="G970" s="284"/>
      <c r="H970" s="284"/>
      <c r="I970" s="284"/>
      <c r="J970" s="284"/>
      <c r="K970" s="284"/>
      <c r="L970" s="284"/>
      <c r="M970" s="284"/>
      <c r="N970" s="284"/>
      <c r="O970" s="284"/>
      <c r="S970" s="284"/>
      <c r="T970" s="284"/>
      <c r="U970" s="284"/>
      <c r="V970" s="284"/>
      <c r="W970" s="284"/>
      <c r="X970" s="284"/>
      <c r="Y970" s="284"/>
      <c r="Z970" s="284"/>
    </row>
    <row r="971">
      <c r="E971" s="284"/>
      <c r="F971" s="284"/>
      <c r="G971" s="284"/>
      <c r="H971" s="284"/>
      <c r="I971" s="284"/>
      <c r="J971" s="284"/>
      <c r="K971" s="284"/>
      <c r="L971" s="284"/>
      <c r="M971" s="284"/>
      <c r="N971" s="284"/>
      <c r="O971" s="284"/>
      <c r="S971" s="284"/>
      <c r="T971" s="284"/>
      <c r="U971" s="284"/>
      <c r="V971" s="284"/>
      <c r="W971" s="284"/>
      <c r="X971" s="284"/>
      <c r="Y971" s="284"/>
      <c r="Z971" s="284"/>
    </row>
    <row r="972">
      <c r="E972" s="284"/>
      <c r="F972" s="284"/>
      <c r="G972" s="284"/>
      <c r="H972" s="284"/>
      <c r="I972" s="284"/>
      <c r="J972" s="284"/>
      <c r="K972" s="284"/>
      <c r="L972" s="284"/>
      <c r="M972" s="284"/>
      <c r="N972" s="284"/>
      <c r="O972" s="284"/>
      <c r="S972" s="284"/>
      <c r="T972" s="284"/>
      <c r="U972" s="284"/>
      <c r="V972" s="284"/>
      <c r="W972" s="284"/>
      <c r="X972" s="284"/>
      <c r="Y972" s="284"/>
      <c r="Z972" s="284"/>
    </row>
    <row r="973">
      <c r="E973" s="284"/>
      <c r="F973" s="284"/>
      <c r="G973" s="284"/>
      <c r="H973" s="284"/>
      <c r="I973" s="284"/>
      <c r="J973" s="284"/>
      <c r="K973" s="284"/>
      <c r="L973" s="284"/>
      <c r="M973" s="284"/>
      <c r="N973" s="284"/>
      <c r="O973" s="284"/>
      <c r="S973" s="284"/>
      <c r="T973" s="284"/>
      <c r="U973" s="284"/>
      <c r="V973" s="284"/>
      <c r="W973" s="284"/>
      <c r="X973" s="284"/>
      <c r="Y973" s="284"/>
      <c r="Z973" s="284"/>
    </row>
    <row r="974">
      <c r="E974" s="284"/>
      <c r="F974" s="284"/>
      <c r="G974" s="284"/>
      <c r="H974" s="284"/>
      <c r="I974" s="284"/>
      <c r="J974" s="284"/>
      <c r="K974" s="284"/>
      <c r="L974" s="284"/>
      <c r="M974" s="284"/>
      <c r="N974" s="284"/>
      <c r="O974" s="284"/>
      <c r="S974" s="284"/>
      <c r="T974" s="284"/>
      <c r="U974" s="284"/>
      <c r="V974" s="284"/>
      <c r="W974" s="284"/>
      <c r="X974" s="284"/>
      <c r="Y974" s="284"/>
      <c r="Z974" s="284"/>
    </row>
    <row r="975">
      <c r="E975" s="284"/>
      <c r="F975" s="284"/>
      <c r="G975" s="284"/>
      <c r="H975" s="284"/>
      <c r="I975" s="284"/>
      <c r="J975" s="284"/>
      <c r="K975" s="284"/>
      <c r="L975" s="284"/>
      <c r="M975" s="284"/>
      <c r="N975" s="284"/>
      <c r="O975" s="284"/>
      <c r="S975" s="284"/>
      <c r="T975" s="284"/>
      <c r="U975" s="284"/>
      <c r="V975" s="284"/>
      <c r="W975" s="284"/>
      <c r="X975" s="284"/>
      <c r="Y975" s="284"/>
      <c r="Z975" s="284"/>
    </row>
    <row r="976">
      <c r="E976" s="284"/>
      <c r="F976" s="284"/>
      <c r="G976" s="284"/>
      <c r="H976" s="284"/>
      <c r="I976" s="284"/>
      <c r="J976" s="284"/>
      <c r="K976" s="284"/>
      <c r="L976" s="284"/>
      <c r="M976" s="284"/>
      <c r="N976" s="284"/>
      <c r="O976" s="284"/>
      <c r="S976" s="284"/>
      <c r="T976" s="284"/>
      <c r="U976" s="284"/>
      <c r="V976" s="284"/>
      <c r="W976" s="284"/>
      <c r="X976" s="284"/>
      <c r="Y976" s="284"/>
      <c r="Z976" s="284"/>
    </row>
    <row r="977">
      <c r="E977" s="284"/>
      <c r="F977" s="284"/>
      <c r="G977" s="284"/>
      <c r="H977" s="284"/>
      <c r="I977" s="284"/>
      <c r="J977" s="284"/>
      <c r="K977" s="284"/>
      <c r="L977" s="284"/>
      <c r="M977" s="284"/>
      <c r="N977" s="284"/>
      <c r="O977" s="284"/>
      <c r="S977" s="284"/>
      <c r="T977" s="284"/>
      <c r="U977" s="284"/>
      <c r="V977" s="284"/>
      <c r="W977" s="284"/>
      <c r="X977" s="284"/>
      <c r="Y977" s="284"/>
      <c r="Z977" s="284"/>
    </row>
    <row r="978">
      <c r="E978" s="284"/>
      <c r="F978" s="284"/>
      <c r="G978" s="284"/>
      <c r="H978" s="284"/>
      <c r="I978" s="284"/>
      <c r="J978" s="284"/>
      <c r="K978" s="284"/>
      <c r="L978" s="284"/>
      <c r="M978" s="284"/>
      <c r="N978" s="284"/>
      <c r="O978" s="284"/>
      <c r="S978" s="284"/>
      <c r="T978" s="284"/>
      <c r="U978" s="284"/>
      <c r="V978" s="284"/>
      <c r="W978" s="284"/>
      <c r="X978" s="284"/>
      <c r="Y978" s="284"/>
      <c r="Z978" s="284"/>
    </row>
    <row r="979">
      <c r="E979" s="284"/>
      <c r="F979" s="284"/>
      <c r="G979" s="284"/>
      <c r="H979" s="284"/>
      <c r="I979" s="284"/>
      <c r="J979" s="284"/>
      <c r="K979" s="284"/>
      <c r="L979" s="284"/>
      <c r="M979" s="284"/>
      <c r="N979" s="284"/>
      <c r="O979" s="284"/>
      <c r="S979" s="284"/>
      <c r="T979" s="284"/>
      <c r="U979" s="284"/>
      <c r="V979" s="284"/>
      <c r="W979" s="284"/>
      <c r="X979" s="284"/>
      <c r="Y979" s="284"/>
      <c r="Z979" s="284"/>
    </row>
    <row r="980">
      <c r="E980" s="284"/>
      <c r="F980" s="284"/>
      <c r="G980" s="284"/>
      <c r="H980" s="284"/>
      <c r="I980" s="284"/>
      <c r="J980" s="284"/>
      <c r="K980" s="284"/>
      <c r="L980" s="284"/>
      <c r="M980" s="284"/>
      <c r="N980" s="284"/>
      <c r="O980" s="284"/>
      <c r="S980" s="284"/>
      <c r="T980" s="284"/>
      <c r="U980" s="284"/>
      <c r="V980" s="284"/>
      <c r="W980" s="284"/>
      <c r="X980" s="284"/>
      <c r="Y980" s="284"/>
      <c r="Z980" s="284"/>
    </row>
    <row r="981">
      <c r="E981" s="284"/>
      <c r="F981" s="284"/>
      <c r="G981" s="284"/>
      <c r="H981" s="284"/>
      <c r="I981" s="284"/>
      <c r="J981" s="284"/>
      <c r="K981" s="284"/>
      <c r="L981" s="284"/>
      <c r="M981" s="284"/>
      <c r="N981" s="284"/>
      <c r="O981" s="284"/>
      <c r="S981" s="284"/>
      <c r="T981" s="284"/>
      <c r="U981" s="284"/>
      <c r="V981" s="284"/>
      <c r="W981" s="284"/>
      <c r="X981" s="284"/>
      <c r="Y981" s="284"/>
      <c r="Z981" s="284"/>
    </row>
    <row r="982">
      <c r="E982" s="284"/>
      <c r="F982" s="284"/>
      <c r="G982" s="284"/>
      <c r="H982" s="284"/>
      <c r="I982" s="284"/>
      <c r="J982" s="284"/>
      <c r="K982" s="284"/>
      <c r="L982" s="284"/>
      <c r="M982" s="284"/>
      <c r="N982" s="284"/>
      <c r="O982" s="284"/>
      <c r="S982" s="284"/>
      <c r="T982" s="284"/>
      <c r="U982" s="284"/>
      <c r="V982" s="284"/>
      <c r="W982" s="284"/>
      <c r="X982" s="284"/>
      <c r="Y982" s="284"/>
      <c r="Z982" s="284"/>
    </row>
    <row r="983">
      <c r="E983" s="284"/>
      <c r="F983" s="284"/>
      <c r="G983" s="284"/>
      <c r="H983" s="284"/>
      <c r="I983" s="284"/>
      <c r="J983" s="284"/>
      <c r="K983" s="284"/>
      <c r="L983" s="284"/>
      <c r="M983" s="284"/>
      <c r="N983" s="284"/>
      <c r="O983" s="284"/>
      <c r="S983" s="284"/>
      <c r="T983" s="284"/>
      <c r="U983" s="284"/>
      <c r="V983" s="284"/>
      <c r="W983" s="284"/>
      <c r="X983" s="284"/>
      <c r="Y983" s="284"/>
      <c r="Z983" s="284"/>
    </row>
    <row r="984">
      <c r="E984" s="284"/>
      <c r="F984" s="284"/>
      <c r="G984" s="284"/>
      <c r="H984" s="284"/>
      <c r="I984" s="284"/>
      <c r="J984" s="284"/>
      <c r="K984" s="284"/>
      <c r="L984" s="284"/>
      <c r="M984" s="284"/>
      <c r="N984" s="284"/>
      <c r="O984" s="284"/>
      <c r="S984" s="284"/>
      <c r="T984" s="284"/>
      <c r="U984" s="284"/>
      <c r="V984" s="284"/>
      <c r="W984" s="284"/>
      <c r="X984" s="284"/>
      <c r="Y984" s="284"/>
      <c r="Z984" s="284"/>
    </row>
    <row r="985">
      <c r="E985" s="284"/>
      <c r="F985" s="284"/>
      <c r="G985" s="284"/>
      <c r="H985" s="284"/>
      <c r="I985" s="284"/>
      <c r="J985" s="284"/>
      <c r="K985" s="284"/>
      <c r="L985" s="284"/>
      <c r="M985" s="284"/>
      <c r="N985" s="284"/>
      <c r="O985" s="284"/>
      <c r="S985" s="284"/>
      <c r="T985" s="284"/>
      <c r="U985" s="284"/>
      <c r="V985" s="284"/>
      <c r="W985" s="284"/>
      <c r="X985" s="284"/>
      <c r="Y985" s="284"/>
      <c r="Z985" s="284"/>
    </row>
    <row r="986">
      <c r="E986" s="284"/>
      <c r="F986" s="284"/>
      <c r="G986" s="284"/>
      <c r="H986" s="284"/>
      <c r="I986" s="284"/>
      <c r="J986" s="284"/>
      <c r="K986" s="284"/>
      <c r="L986" s="284"/>
      <c r="M986" s="284"/>
      <c r="N986" s="284"/>
      <c r="O986" s="284"/>
      <c r="S986" s="284"/>
      <c r="T986" s="284"/>
      <c r="U986" s="284"/>
      <c r="V986" s="284"/>
      <c r="W986" s="284"/>
      <c r="X986" s="284"/>
      <c r="Y986" s="284"/>
      <c r="Z986" s="284"/>
    </row>
    <row r="987">
      <c r="E987" s="284"/>
      <c r="F987" s="284"/>
      <c r="G987" s="284"/>
      <c r="H987" s="284"/>
      <c r="I987" s="284"/>
      <c r="J987" s="284"/>
      <c r="K987" s="284"/>
      <c r="L987" s="284"/>
      <c r="M987" s="284"/>
      <c r="N987" s="284"/>
      <c r="O987" s="284"/>
      <c r="S987" s="284"/>
      <c r="T987" s="284"/>
      <c r="U987" s="284"/>
      <c r="V987" s="284"/>
      <c r="W987" s="284"/>
      <c r="X987" s="284"/>
      <c r="Y987" s="284"/>
      <c r="Z987" s="284"/>
    </row>
    <row r="988">
      <c r="E988" s="284"/>
      <c r="F988" s="284"/>
      <c r="G988" s="284"/>
      <c r="H988" s="284"/>
      <c r="I988" s="284"/>
      <c r="J988" s="284"/>
      <c r="K988" s="284"/>
      <c r="L988" s="284"/>
      <c r="M988" s="284"/>
      <c r="N988" s="284"/>
      <c r="O988" s="284"/>
      <c r="S988" s="284"/>
      <c r="T988" s="284"/>
      <c r="U988" s="284"/>
      <c r="V988" s="284"/>
      <c r="W988" s="284"/>
      <c r="X988" s="284"/>
      <c r="Y988" s="284"/>
      <c r="Z988" s="284"/>
    </row>
    <row r="989">
      <c r="E989" s="284"/>
      <c r="F989" s="284"/>
      <c r="G989" s="284"/>
      <c r="H989" s="284"/>
      <c r="I989" s="284"/>
      <c r="J989" s="284"/>
      <c r="K989" s="284"/>
      <c r="L989" s="284"/>
      <c r="M989" s="284"/>
      <c r="N989" s="284"/>
      <c r="O989" s="284"/>
      <c r="S989" s="284"/>
      <c r="T989" s="284"/>
      <c r="U989" s="284"/>
      <c r="V989" s="284"/>
      <c r="W989" s="284"/>
      <c r="X989" s="284"/>
      <c r="Y989" s="284"/>
      <c r="Z989" s="284"/>
    </row>
    <row r="990">
      <c r="E990" s="284"/>
      <c r="F990" s="284"/>
      <c r="G990" s="284"/>
      <c r="H990" s="284"/>
      <c r="I990" s="284"/>
      <c r="J990" s="284"/>
      <c r="K990" s="284"/>
      <c r="L990" s="284"/>
      <c r="M990" s="284"/>
      <c r="N990" s="284"/>
      <c r="O990" s="284"/>
      <c r="S990" s="284"/>
      <c r="T990" s="284"/>
      <c r="U990" s="284"/>
      <c r="V990" s="284"/>
      <c r="W990" s="284"/>
      <c r="X990" s="284"/>
      <c r="Y990" s="284"/>
      <c r="Z990" s="284"/>
    </row>
    <row r="991">
      <c r="E991" s="284"/>
      <c r="F991" s="284"/>
      <c r="G991" s="284"/>
      <c r="H991" s="284"/>
      <c r="I991" s="284"/>
      <c r="J991" s="284"/>
      <c r="K991" s="284"/>
      <c r="L991" s="284"/>
      <c r="M991" s="284"/>
      <c r="N991" s="284"/>
      <c r="O991" s="284"/>
      <c r="S991" s="284"/>
      <c r="T991" s="284"/>
      <c r="U991" s="284"/>
      <c r="V991" s="284"/>
      <c r="W991" s="284"/>
      <c r="X991" s="284"/>
      <c r="Y991" s="284"/>
      <c r="Z991" s="284"/>
    </row>
    <row r="992">
      <c r="E992" s="284"/>
      <c r="F992" s="284"/>
      <c r="G992" s="284"/>
      <c r="H992" s="284"/>
      <c r="I992" s="284"/>
      <c r="J992" s="284"/>
      <c r="K992" s="284"/>
      <c r="L992" s="284"/>
      <c r="M992" s="284"/>
      <c r="N992" s="284"/>
      <c r="O992" s="284"/>
      <c r="S992" s="284"/>
      <c r="T992" s="284"/>
      <c r="U992" s="284"/>
      <c r="V992" s="284"/>
      <c r="W992" s="284"/>
      <c r="X992" s="284"/>
      <c r="Y992" s="284"/>
      <c r="Z992" s="284"/>
    </row>
    <row r="993">
      <c r="E993" s="284"/>
      <c r="F993" s="284"/>
      <c r="G993" s="284"/>
      <c r="H993" s="284"/>
      <c r="I993" s="284"/>
      <c r="J993" s="284"/>
      <c r="K993" s="284"/>
      <c r="L993" s="284"/>
      <c r="M993" s="284"/>
      <c r="N993" s="284"/>
      <c r="O993" s="284"/>
      <c r="S993" s="284"/>
      <c r="T993" s="284"/>
      <c r="U993" s="284"/>
      <c r="V993" s="284"/>
      <c r="W993" s="284"/>
      <c r="X993" s="284"/>
      <c r="Y993" s="284"/>
      <c r="Z993" s="284"/>
    </row>
    <row r="994">
      <c r="E994" s="284"/>
      <c r="F994" s="284"/>
      <c r="G994" s="284"/>
      <c r="H994" s="284"/>
      <c r="I994" s="284"/>
      <c r="J994" s="284"/>
      <c r="K994" s="284"/>
      <c r="L994" s="284"/>
      <c r="M994" s="284"/>
      <c r="N994" s="284"/>
      <c r="O994" s="284"/>
      <c r="S994" s="284"/>
      <c r="T994" s="284"/>
      <c r="U994" s="284"/>
      <c r="V994" s="284"/>
      <c r="W994" s="284"/>
      <c r="X994" s="284"/>
      <c r="Y994" s="284"/>
      <c r="Z994" s="284"/>
    </row>
    <row r="995">
      <c r="E995" s="284"/>
      <c r="F995" s="284"/>
      <c r="G995" s="284"/>
      <c r="H995" s="284"/>
      <c r="I995" s="284"/>
      <c r="J995" s="284"/>
      <c r="K995" s="284"/>
      <c r="L995" s="284"/>
      <c r="M995" s="284"/>
      <c r="N995" s="284"/>
      <c r="O995" s="284"/>
      <c r="S995" s="284"/>
      <c r="T995" s="284"/>
      <c r="U995" s="284"/>
      <c r="V995" s="284"/>
      <c r="W995" s="284"/>
      <c r="X995" s="284"/>
      <c r="Y995" s="284"/>
      <c r="Z995" s="284"/>
    </row>
    <row r="996">
      <c r="E996" s="284"/>
      <c r="F996" s="284"/>
      <c r="G996" s="284"/>
      <c r="H996" s="284"/>
      <c r="I996" s="284"/>
      <c r="J996" s="284"/>
      <c r="K996" s="284"/>
      <c r="L996" s="284"/>
      <c r="M996" s="284"/>
      <c r="N996" s="284"/>
      <c r="O996" s="284"/>
      <c r="S996" s="284"/>
      <c r="T996" s="284"/>
      <c r="U996" s="284"/>
      <c r="V996" s="284"/>
      <c r="W996" s="284"/>
      <c r="X996" s="284"/>
      <c r="Y996" s="284"/>
      <c r="Z996" s="284"/>
    </row>
    <row r="997">
      <c r="E997" s="284"/>
      <c r="F997" s="284"/>
      <c r="G997" s="284"/>
      <c r="H997" s="284"/>
      <c r="I997" s="284"/>
      <c r="J997" s="284"/>
      <c r="K997" s="284"/>
      <c r="L997" s="284"/>
      <c r="M997" s="284"/>
      <c r="N997" s="284"/>
      <c r="O997" s="284"/>
      <c r="S997" s="284"/>
      <c r="T997" s="284"/>
      <c r="U997" s="284"/>
      <c r="V997" s="284"/>
      <c r="W997" s="284"/>
      <c r="X997" s="284"/>
      <c r="Y997" s="284"/>
      <c r="Z997" s="284"/>
    </row>
    <row r="998">
      <c r="E998" s="284"/>
      <c r="F998" s="284"/>
      <c r="G998" s="284"/>
      <c r="H998" s="284"/>
      <c r="I998" s="284"/>
      <c r="J998" s="284"/>
      <c r="K998" s="284"/>
      <c r="L998" s="284"/>
      <c r="M998" s="284"/>
      <c r="N998" s="284"/>
      <c r="O998" s="284"/>
      <c r="S998" s="284"/>
      <c r="T998" s="284"/>
      <c r="U998" s="284"/>
      <c r="V998" s="284"/>
      <c r="W998" s="284"/>
      <c r="X998" s="284"/>
      <c r="Y998" s="284"/>
      <c r="Z998" s="284"/>
    </row>
    <row r="999">
      <c r="E999" s="284"/>
      <c r="F999" s="284"/>
      <c r="G999" s="284"/>
      <c r="H999" s="284"/>
      <c r="I999" s="284"/>
      <c r="J999" s="284"/>
      <c r="K999" s="284"/>
      <c r="L999" s="284"/>
      <c r="M999" s="284"/>
      <c r="N999" s="284"/>
      <c r="O999" s="284"/>
      <c r="S999" s="284"/>
      <c r="T999" s="284"/>
      <c r="U999" s="284"/>
      <c r="V999" s="284"/>
      <c r="W999" s="284"/>
      <c r="X999" s="284"/>
      <c r="Y999" s="284"/>
      <c r="Z999" s="284"/>
    </row>
    <row r="1000">
      <c r="E1000" s="284"/>
      <c r="F1000" s="284"/>
      <c r="G1000" s="284"/>
      <c r="H1000" s="284"/>
      <c r="I1000" s="284"/>
      <c r="J1000" s="284"/>
      <c r="K1000" s="284"/>
      <c r="L1000" s="284"/>
      <c r="M1000" s="284"/>
      <c r="N1000" s="284"/>
      <c r="O1000" s="284"/>
      <c r="S1000" s="284"/>
      <c r="T1000" s="284"/>
      <c r="U1000" s="284"/>
      <c r="V1000" s="284"/>
      <c r="W1000" s="284"/>
      <c r="X1000" s="284"/>
      <c r="Y1000" s="284"/>
      <c r="Z1000" s="284"/>
    </row>
    <row r="1001">
      <c r="E1001" s="284"/>
      <c r="F1001" s="284"/>
      <c r="G1001" s="284"/>
      <c r="H1001" s="284"/>
      <c r="I1001" s="284"/>
      <c r="J1001" s="284"/>
      <c r="K1001" s="284"/>
      <c r="L1001" s="284"/>
      <c r="M1001" s="284"/>
      <c r="N1001" s="284"/>
      <c r="O1001" s="284"/>
      <c r="S1001" s="284"/>
      <c r="T1001" s="284"/>
      <c r="U1001" s="284"/>
      <c r="V1001" s="284"/>
      <c r="W1001" s="284"/>
      <c r="X1001" s="284"/>
      <c r="Y1001" s="284"/>
      <c r="Z1001" s="284"/>
    </row>
    <row r="1002">
      <c r="E1002" s="284"/>
      <c r="F1002" s="284"/>
      <c r="G1002" s="284"/>
      <c r="H1002" s="284"/>
      <c r="I1002" s="284"/>
      <c r="J1002" s="284"/>
      <c r="K1002" s="284"/>
      <c r="L1002" s="284"/>
      <c r="M1002" s="284"/>
      <c r="N1002" s="284"/>
      <c r="O1002" s="284"/>
      <c r="S1002" s="284"/>
      <c r="T1002" s="284"/>
      <c r="U1002" s="284"/>
      <c r="V1002" s="284"/>
      <c r="W1002" s="284"/>
      <c r="X1002" s="284"/>
      <c r="Y1002" s="284"/>
      <c r="Z1002" s="284"/>
    </row>
    <row r="1003">
      <c r="E1003" s="284"/>
      <c r="F1003" s="284"/>
      <c r="G1003" s="284"/>
      <c r="H1003" s="284"/>
      <c r="I1003" s="284"/>
      <c r="J1003" s="284"/>
      <c r="K1003" s="284"/>
      <c r="L1003" s="284"/>
      <c r="M1003" s="284"/>
      <c r="N1003" s="284"/>
      <c r="O1003" s="284"/>
      <c r="S1003" s="284"/>
      <c r="T1003" s="284"/>
      <c r="U1003" s="284"/>
      <c r="V1003" s="284"/>
      <c r="W1003" s="284"/>
      <c r="X1003" s="284"/>
      <c r="Y1003" s="284"/>
      <c r="Z1003" s="284"/>
    </row>
    <row r="1004">
      <c r="E1004" s="284"/>
      <c r="F1004" s="284"/>
      <c r="G1004" s="284"/>
      <c r="H1004" s="284"/>
      <c r="I1004" s="284"/>
      <c r="J1004" s="284"/>
      <c r="K1004" s="284"/>
      <c r="L1004" s="284"/>
      <c r="M1004" s="284"/>
      <c r="N1004" s="284"/>
      <c r="O1004" s="284"/>
      <c r="S1004" s="284"/>
      <c r="T1004" s="284"/>
      <c r="U1004" s="284"/>
      <c r="V1004" s="284"/>
      <c r="W1004" s="284"/>
      <c r="X1004" s="284"/>
      <c r="Y1004" s="284"/>
      <c r="Z1004" s="284"/>
    </row>
    <row r="1005">
      <c r="E1005" s="284"/>
      <c r="F1005" s="284"/>
      <c r="G1005" s="284"/>
      <c r="H1005" s="284"/>
      <c r="I1005" s="284"/>
      <c r="J1005" s="284"/>
      <c r="K1005" s="284"/>
      <c r="L1005" s="284"/>
      <c r="M1005" s="284"/>
      <c r="N1005" s="284"/>
      <c r="O1005" s="284"/>
      <c r="S1005" s="284"/>
      <c r="T1005" s="284"/>
      <c r="U1005" s="284"/>
      <c r="V1005" s="284"/>
      <c r="W1005" s="284"/>
      <c r="X1005" s="284"/>
      <c r="Y1005" s="284"/>
      <c r="Z1005" s="284"/>
    </row>
    <row r="1006">
      <c r="E1006" s="284"/>
      <c r="F1006" s="284"/>
      <c r="G1006" s="284"/>
      <c r="H1006" s="284"/>
      <c r="I1006" s="284"/>
      <c r="J1006" s="284"/>
      <c r="K1006" s="284"/>
      <c r="L1006" s="284"/>
      <c r="M1006" s="284"/>
      <c r="N1006" s="284"/>
      <c r="O1006" s="284"/>
      <c r="S1006" s="284"/>
      <c r="T1006" s="284"/>
      <c r="U1006" s="284"/>
      <c r="V1006" s="284"/>
      <c r="W1006" s="284"/>
      <c r="X1006" s="284"/>
      <c r="Y1006" s="284"/>
      <c r="Z1006" s="284"/>
    </row>
    <row r="1007">
      <c r="E1007" s="284"/>
      <c r="F1007" s="284"/>
      <c r="G1007" s="284"/>
      <c r="H1007" s="284"/>
      <c r="I1007" s="284"/>
      <c r="J1007" s="284"/>
      <c r="K1007" s="284"/>
      <c r="L1007" s="284"/>
      <c r="M1007" s="284"/>
      <c r="N1007" s="284"/>
      <c r="O1007" s="284"/>
      <c r="S1007" s="284"/>
      <c r="T1007" s="284"/>
      <c r="U1007" s="284"/>
      <c r="V1007" s="284"/>
      <c r="W1007" s="284"/>
      <c r="X1007" s="284"/>
      <c r="Y1007" s="284"/>
      <c r="Z1007" s="284"/>
    </row>
    <row r="1008">
      <c r="E1008" s="284"/>
      <c r="F1008" s="284"/>
      <c r="G1008" s="284"/>
      <c r="H1008" s="284"/>
      <c r="I1008" s="284"/>
      <c r="J1008" s="284"/>
      <c r="K1008" s="284"/>
      <c r="L1008" s="284"/>
      <c r="M1008" s="284"/>
      <c r="N1008" s="284"/>
      <c r="O1008" s="284"/>
      <c r="S1008" s="284"/>
      <c r="T1008" s="284"/>
      <c r="U1008" s="284"/>
      <c r="V1008" s="284"/>
      <c r="W1008" s="284"/>
      <c r="X1008" s="284"/>
      <c r="Y1008" s="284"/>
      <c r="Z1008" s="284"/>
    </row>
    <row r="1009">
      <c r="E1009" s="284"/>
      <c r="F1009" s="284"/>
      <c r="G1009" s="284"/>
      <c r="H1009" s="284"/>
      <c r="I1009" s="284"/>
      <c r="J1009" s="284"/>
      <c r="K1009" s="284"/>
      <c r="L1009" s="284"/>
      <c r="M1009" s="284"/>
      <c r="N1009" s="284"/>
      <c r="O1009" s="284"/>
      <c r="S1009" s="284"/>
      <c r="T1009" s="284"/>
      <c r="U1009" s="284"/>
      <c r="V1009" s="284"/>
      <c r="W1009" s="284"/>
      <c r="X1009" s="284"/>
      <c r="Y1009" s="284"/>
      <c r="Z1009" s="284"/>
    </row>
    <row r="1010">
      <c r="E1010" s="284"/>
      <c r="F1010" s="284"/>
      <c r="G1010" s="284"/>
      <c r="H1010" s="284"/>
      <c r="I1010" s="284"/>
      <c r="J1010" s="284"/>
      <c r="K1010" s="284"/>
      <c r="L1010" s="284"/>
      <c r="M1010" s="284"/>
      <c r="N1010" s="284"/>
      <c r="O1010" s="284"/>
      <c r="S1010" s="284"/>
      <c r="T1010" s="284"/>
      <c r="U1010" s="284"/>
      <c r="V1010" s="284"/>
      <c r="W1010" s="284"/>
      <c r="X1010" s="284"/>
      <c r="Y1010" s="284"/>
      <c r="Z1010" s="284"/>
    </row>
    <row r="1011">
      <c r="E1011" s="284"/>
      <c r="F1011" s="284"/>
      <c r="G1011" s="284"/>
      <c r="H1011" s="284"/>
      <c r="I1011" s="284"/>
      <c r="J1011" s="284"/>
      <c r="K1011" s="284"/>
      <c r="L1011" s="284"/>
      <c r="M1011" s="284"/>
      <c r="N1011" s="284"/>
      <c r="O1011" s="284"/>
      <c r="S1011" s="284"/>
      <c r="T1011" s="284"/>
      <c r="U1011" s="284"/>
      <c r="V1011" s="284"/>
      <c r="W1011" s="284"/>
      <c r="X1011" s="284"/>
      <c r="Y1011" s="284"/>
      <c r="Z1011" s="284"/>
    </row>
    <row r="1012">
      <c r="E1012" s="284"/>
      <c r="F1012" s="284"/>
      <c r="G1012" s="284"/>
      <c r="H1012" s="284"/>
      <c r="I1012" s="284"/>
      <c r="J1012" s="284"/>
      <c r="K1012" s="284"/>
      <c r="L1012" s="284"/>
      <c r="M1012" s="284"/>
      <c r="N1012" s="284"/>
      <c r="O1012" s="284"/>
      <c r="S1012" s="284"/>
      <c r="T1012" s="284"/>
      <c r="U1012" s="284"/>
      <c r="V1012" s="284"/>
      <c r="W1012" s="284"/>
      <c r="X1012" s="284"/>
      <c r="Y1012" s="284"/>
      <c r="Z1012" s="284"/>
    </row>
    <row r="1013">
      <c r="E1013" s="284"/>
      <c r="F1013" s="284"/>
      <c r="G1013" s="284"/>
      <c r="H1013" s="284"/>
      <c r="I1013" s="284"/>
      <c r="J1013" s="284"/>
      <c r="K1013" s="284"/>
      <c r="L1013" s="284"/>
      <c r="M1013" s="284"/>
      <c r="N1013" s="284"/>
      <c r="O1013" s="284"/>
      <c r="S1013" s="284"/>
      <c r="T1013" s="284"/>
      <c r="U1013" s="284"/>
      <c r="V1013" s="284"/>
      <c r="W1013" s="284"/>
      <c r="X1013" s="284"/>
      <c r="Y1013" s="284"/>
      <c r="Z1013" s="284"/>
    </row>
    <row r="1014">
      <c r="E1014" s="284"/>
      <c r="F1014" s="284"/>
      <c r="G1014" s="284"/>
      <c r="H1014" s="284"/>
      <c r="I1014" s="284"/>
      <c r="J1014" s="284"/>
      <c r="K1014" s="284"/>
      <c r="L1014" s="284"/>
      <c r="M1014" s="284"/>
      <c r="N1014" s="284"/>
      <c r="O1014" s="284"/>
      <c r="S1014" s="284"/>
      <c r="T1014" s="284"/>
      <c r="U1014" s="284"/>
      <c r="V1014" s="284"/>
      <c r="W1014" s="284"/>
      <c r="X1014" s="284"/>
      <c r="Y1014" s="284"/>
      <c r="Z1014" s="284"/>
    </row>
    <row r="1015">
      <c r="E1015" s="284"/>
      <c r="F1015" s="284"/>
      <c r="G1015" s="284"/>
      <c r="H1015" s="284"/>
      <c r="I1015" s="284"/>
      <c r="J1015" s="284"/>
      <c r="K1015" s="284"/>
      <c r="L1015" s="284"/>
      <c r="M1015" s="284"/>
      <c r="N1015" s="284"/>
      <c r="O1015" s="284"/>
      <c r="S1015" s="284"/>
      <c r="T1015" s="284"/>
      <c r="U1015" s="284"/>
      <c r="V1015" s="284"/>
      <c r="W1015" s="284"/>
      <c r="X1015" s="284"/>
      <c r="Y1015" s="284"/>
      <c r="Z1015" s="284"/>
    </row>
    <row r="1016">
      <c r="E1016" s="284"/>
      <c r="F1016" s="284"/>
      <c r="G1016" s="284"/>
      <c r="H1016" s="284"/>
      <c r="I1016" s="284"/>
      <c r="J1016" s="284"/>
      <c r="K1016" s="284"/>
      <c r="L1016" s="284"/>
      <c r="M1016" s="284"/>
      <c r="N1016" s="284"/>
      <c r="O1016" s="284"/>
      <c r="S1016" s="284"/>
      <c r="T1016" s="284"/>
      <c r="U1016" s="284"/>
      <c r="V1016" s="284"/>
      <c r="W1016" s="284"/>
      <c r="X1016" s="284"/>
      <c r="Y1016" s="284"/>
      <c r="Z1016" s="284"/>
    </row>
    <row r="1017">
      <c r="E1017" s="284"/>
      <c r="F1017" s="284"/>
      <c r="G1017" s="284"/>
      <c r="H1017" s="284"/>
      <c r="I1017" s="284"/>
      <c r="J1017" s="284"/>
      <c r="K1017" s="284"/>
      <c r="L1017" s="284"/>
      <c r="M1017" s="284"/>
      <c r="N1017" s="284"/>
      <c r="O1017" s="284"/>
      <c r="S1017" s="284"/>
      <c r="T1017" s="284"/>
      <c r="U1017" s="284"/>
      <c r="V1017" s="284"/>
      <c r="W1017" s="284"/>
      <c r="X1017" s="284"/>
      <c r="Y1017" s="284"/>
      <c r="Z1017" s="284"/>
    </row>
    <row r="1018">
      <c r="E1018" s="284"/>
      <c r="F1018" s="284"/>
      <c r="G1018" s="284"/>
      <c r="H1018" s="284"/>
      <c r="I1018" s="284"/>
      <c r="J1018" s="284"/>
      <c r="K1018" s="284"/>
      <c r="L1018" s="284"/>
      <c r="M1018" s="284"/>
      <c r="N1018" s="284"/>
      <c r="O1018" s="284"/>
      <c r="S1018" s="284"/>
      <c r="T1018" s="284"/>
      <c r="U1018" s="284"/>
      <c r="V1018" s="284"/>
      <c r="W1018" s="284"/>
      <c r="X1018" s="284"/>
      <c r="Y1018" s="284"/>
      <c r="Z1018" s="284"/>
    </row>
    <row r="1019">
      <c r="E1019" s="284"/>
      <c r="F1019" s="284"/>
      <c r="G1019" s="284"/>
      <c r="H1019" s="284"/>
      <c r="I1019" s="284"/>
      <c r="J1019" s="284"/>
      <c r="K1019" s="284"/>
      <c r="L1019" s="284"/>
      <c r="M1019" s="284"/>
      <c r="N1019" s="284"/>
      <c r="O1019" s="284"/>
      <c r="S1019" s="284"/>
      <c r="T1019" s="284"/>
      <c r="U1019" s="284"/>
      <c r="V1019" s="284"/>
      <c r="W1019" s="284"/>
      <c r="X1019" s="284"/>
      <c r="Y1019" s="284"/>
      <c r="Z1019" s="284"/>
    </row>
    <row r="1020">
      <c r="E1020" s="284"/>
      <c r="F1020" s="284"/>
      <c r="G1020" s="284"/>
      <c r="H1020" s="284"/>
      <c r="I1020" s="284"/>
      <c r="J1020" s="284"/>
      <c r="K1020" s="284"/>
      <c r="L1020" s="284"/>
      <c r="M1020" s="284"/>
      <c r="N1020" s="284"/>
      <c r="O1020" s="284"/>
      <c r="S1020" s="284"/>
      <c r="T1020" s="284"/>
      <c r="U1020" s="284"/>
      <c r="V1020" s="284"/>
      <c r="W1020" s="284"/>
      <c r="X1020" s="284"/>
      <c r="Y1020" s="284"/>
      <c r="Z1020" s="284"/>
    </row>
    <row r="1021">
      <c r="E1021" s="284"/>
      <c r="F1021" s="284"/>
      <c r="G1021" s="284"/>
      <c r="H1021" s="284"/>
      <c r="I1021" s="284"/>
      <c r="J1021" s="284"/>
      <c r="K1021" s="284"/>
      <c r="L1021" s="284"/>
      <c r="M1021" s="284"/>
      <c r="N1021" s="284"/>
      <c r="O1021" s="284"/>
      <c r="S1021" s="284"/>
      <c r="T1021" s="284"/>
      <c r="U1021" s="284"/>
      <c r="V1021" s="284"/>
      <c r="W1021" s="284"/>
      <c r="X1021" s="284"/>
      <c r="Y1021" s="284"/>
      <c r="Z1021" s="284"/>
    </row>
    <row r="1022">
      <c r="E1022" s="284"/>
      <c r="F1022" s="284"/>
      <c r="G1022" s="284"/>
      <c r="H1022" s="284"/>
      <c r="I1022" s="284"/>
      <c r="J1022" s="284"/>
      <c r="K1022" s="284"/>
      <c r="L1022" s="284"/>
      <c r="M1022" s="284"/>
      <c r="N1022" s="284"/>
      <c r="O1022" s="284"/>
      <c r="S1022" s="284"/>
      <c r="T1022" s="284"/>
      <c r="U1022" s="284"/>
      <c r="V1022" s="284"/>
      <c r="W1022" s="284"/>
      <c r="X1022" s="284"/>
      <c r="Y1022" s="284"/>
      <c r="Z1022" s="284"/>
    </row>
    <row r="1023">
      <c r="E1023" s="284"/>
      <c r="F1023" s="284"/>
      <c r="G1023" s="284"/>
      <c r="H1023" s="284"/>
      <c r="I1023" s="284"/>
      <c r="J1023" s="284"/>
      <c r="K1023" s="284"/>
      <c r="L1023" s="284"/>
      <c r="M1023" s="284"/>
      <c r="N1023" s="284"/>
      <c r="O1023" s="284"/>
      <c r="S1023" s="284"/>
      <c r="T1023" s="284"/>
      <c r="U1023" s="284"/>
      <c r="V1023" s="284"/>
      <c r="W1023" s="284"/>
      <c r="X1023" s="284"/>
      <c r="Y1023" s="284"/>
      <c r="Z1023" s="284"/>
    </row>
    <row r="1024">
      <c r="E1024" s="284"/>
      <c r="F1024" s="284"/>
      <c r="G1024" s="284"/>
      <c r="H1024" s="284"/>
      <c r="I1024" s="284"/>
      <c r="J1024" s="284"/>
      <c r="K1024" s="284"/>
      <c r="L1024" s="284"/>
      <c r="M1024" s="284"/>
      <c r="N1024" s="284"/>
      <c r="O1024" s="284"/>
      <c r="S1024" s="284"/>
      <c r="T1024" s="284"/>
      <c r="U1024" s="284"/>
      <c r="V1024" s="284"/>
      <c r="W1024" s="284"/>
      <c r="X1024" s="284"/>
      <c r="Y1024" s="284"/>
      <c r="Z1024" s="284"/>
    </row>
    <row r="1025">
      <c r="E1025" s="284"/>
      <c r="F1025" s="284"/>
      <c r="G1025" s="284"/>
      <c r="H1025" s="284"/>
      <c r="I1025" s="284"/>
      <c r="J1025" s="284"/>
      <c r="K1025" s="284"/>
      <c r="L1025" s="284"/>
      <c r="M1025" s="284"/>
      <c r="N1025" s="284"/>
      <c r="O1025" s="284"/>
      <c r="S1025" s="284"/>
      <c r="T1025" s="284"/>
      <c r="U1025" s="284"/>
      <c r="V1025" s="284"/>
      <c r="W1025" s="284"/>
      <c r="X1025" s="284"/>
      <c r="Y1025" s="284"/>
      <c r="Z1025" s="284"/>
    </row>
    <row r="1026">
      <c r="E1026" s="284"/>
      <c r="F1026" s="284"/>
      <c r="G1026" s="284"/>
      <c r="H1026" s="284"/>
      <c r="I1026" s="284"/>
      <c r="J1026" s="284"/>
      <c r="K1026" s="284"/>
      <c r="L1026" s="284"/>
      <c r="M1026" s="284"/>
      <c r="N1026" s="284"/>
      <c r="O1026" s="284"/>
      <c r="S1026" s="284"/>
      <c r="T1026" s="284"/>
      <c r="U1026" s="284"/>
      <c r="V1026" s="284"/>
      <c r="W1026" s="284"/>
      <c r="X1026" s="284"/>
      <c r="Y1026" s="284"/>
      <c r="Z1026" s="284"/>
    </row>
    <row r="1027">
      <c r="E1027" s="284"/>
      <c r="F1027" s="284"/>
      <c r="G1027" s="284"/>
      <c r="H1027" s="284"/>
      <c r="I1027" s="284"/>
      <c r="J1027" s="284"/>
      <c r="K1027" s="284"/>
      <c r="L1027" s="284"/>
      <c r="M1027" s="284"/>
      <c r="N1027" s="284"/>
      <c r="O1027" s="284"/>
      <c r="S1027" s="284"/>
      <c r="T1027" s="284"/>
      <c r="U1027" s="284"/>
      <c r="V1027" s="284"/>
      <c r="W1027" s="284"/>
      <c r="X1027" s="284"/>
      <c r="Y1027" s="284"/>
      <c r="Z1027" s="284"/>
    </row>
    <row r="1028">
      <c r="E1028" s="284"/>
      <c r="F1028" s="284"/>
      <c r="G1028" s="284"/>
      <c r="H1028" s="284"/>
      <c r="I1028" s="284"/>
      <c r="J1028" s="284"/>
      <c r="K1028" s="284"/>
      <c r="L1028" s="284"/>
      <c r="M1028" s="284"/>
      <c r="N1028" s="284"/>
      <c r="O1028" s="284"/>
      <c r="S1028" s="284"/>
      <c r="T1028" s="284"/>
      <c r="U1028" s="284"/>
      <c r="V1028" s="284"/>
      <c r="W1028" s="284"/>
      <c r="X1028" s="284"/>
      <c r="Y1028" s="284"/>
      <c r="Z1028" s="284"/>
    </row>
    <row r="1029">
      <c r="E1029" s="284"/>
      <c r="F1029" s="284"/>
      <c r="G1029" s="284"/>
      <c r="H1029" s="284"/>
      <c r="I1029" s="284"/>
      <c r="J1029" s="284"/>
      <c r="K1029" s="284"/>
      <c r="L1029" s="284"/>
      <c r="M1029" s="284"/>
      <c r="N1029" s="284"/>
      <c r="O1029" s="284"/>
      <c r="S1029" s="284"/>
      <c r="T1029" s="284"/>
      <c r="U1029" s="284"/>
      <c r="V1029" s="284"/>
      <c r="W1029" s="284"/>
      <c r="X1029" s="284"/>
      <c r="Y1029" s="284"/>
      <c r="Z1029" s="284"/>
    </row>
    <row r="1030">
      <c r="E1030" s="284"/>
      <c r="F1030" s="284"/>
      <c r="G1030" s="284"/>
      <c r="H1030" s="284"/>
      <c r="I1030" s="284"/>
      <c r="J1030" s="284"/>
      <c r="K1030" s="284"/>
      <c r="L1030" s="284"/>
      <c r="M1030" s="284"/>
      <c r="N1030" s="284"/>
      <c r="O1030" s="284"/>
      <c r="S1030" s="284"/>
      <c r="T1030" s="284"/>
      <c r="U1030" s="284"/>
      <c r="V1030" s="284"/>
      <c r="W1030" s="284"/>
      <c r="X1030" s="284"/>
      <c r="Y1030" s="284"/>
      <c r="Z1030" s="284"/>
    </row>
    <row r="1031">
      <c r="E1031" s="284"/>
      <c r="F1031" s="284"/>
      <c r="G1031" s="284"/>
      <c r="H1031" s="284"/>
      <c r="I1031" s="284"/>
      <c r="J1031" s="284"/>
      <c r="K1031" s="284"/>
      <c r="L1031" s="284"/>
      <c r="M1031" s="284"/>
      <c r="N1031" s="284"/>
      <c r="O1031" s="284"/>
      <c r="S1031" s="284"/>
      <c r="T1031" s="284"/>
      <c r="U1031" s="284"/>
      <c r="V1031" s="284"/>
      <c r="W1031" s="284"/>
      <c r="X1031" s="284"/>
      <c r="Y1031" s="284"/>
      <c r="Z1031" s="284"/>
    </row>
    <row r="1032">
      <c r="E1032" s="284"/>
      <c r="F1032" s="284"/>
      <c r="G1032" s="284"/>
      <c r="H1032" s="284"/>
      <c r="I1032" s="284"/>
      <c r="J1032" s="284"/>
      <c r="K1032" s="284"/>
      <c r="L1032" s="284"/>
      <c r="M1032" s="284"/>
      <c r="N1032" s="284"/>
      <c r="O1032" s="284"/>
      <c r="S1032" s="284"/>
      <c r="T1032" s="284"/>
      <c r="U1032" s="284"/>
      <c r="V1032" s="284"/>
      <c r="W1032" s="284"/>
      <c r="X1032" s="284"/>
      <c r="Y1032" s="284"/>
      <c r="Z1032" s="284"/>
    </row>
    <row r="1033">
      <c r="E1033" s="284"/>
      <c r="F1033" s="284"/>
      <c r="G1033" s="284"/>
      <c r="H1033" s="284"/>
      <c r="I1033" s="284"/>
      <c r="J1033" s="284"/>
      <c r="K1033" s="284"/>
      <c r="L1033" s="284"/>
      <c r="M1033" s="284"/>
      <c r="N1033" s="284"/>
      <c r="O1033" s="284"/>
      <c r="S1033" s="284"/>
      <c r="T1033" s="284"/>
      <c r="U1033" s="284"/>
      <c r="V1033" s="284"/>
      <c r="W1033" s="284"/>
      <c r="X1033" s="284"/>
      <c r="Y1033" s="284"/>
      <c r="Z1033" s="284"/>
    </row>
    <row r="1034">
      <c r="E1034" s="284"/>
      <c r="F1034" s="284"/>
      <c r="G1034" s="284"/>
      <c r="H1034" s="284"/>
      <c r="I1034" s="284"/>
      <c r="J1034" s="284"/>
      <c r="K1034" s="284"/>
      <c r="L1034" s="284"/>
      <c r="M1034" s="284"/>
      <c r="N1034" s="284"/>
      <c r="O1034" s="284"/>
      <c r="S1034" s="284"/>
      <c r="T1034" s="284"/>
      <c r="U1034" s="284"/>
      <c r="V1034" s="284"/>
      <c r="W1034" s="284"/>
      <c r="X1034" s="284"/>
      <c r="Y1034" s="284"/>
      <c r="Z1034" s="284"/>
    </row>
    <row r="1035">
      <c r="E1035" s="284"/>
      <c r="F1035" s="284"/>
      <c r="G1035" s="284"/>
      <c r="H1035" s="284"/>
      <c r="I1035" s="284"/>
      <c r="J1035" s="284"/>
      <c r="K1035" s="284"/>
      <c r="L1035" s="284"/>
      <c r="M1035" s="284"/>
      <c r="N1035" s="284"/>
      <c r="O1035" s="284"/>
      <c r="S1035" s="284"/>
      <c r="T1035" s="284"/>
      <c r="U1035" s="284"/>
      <c r="V1035" s="284"/>
      <c r="W1035" s="284"/>
      <c r="X1035" s="284"/>
      <c r="Y1035" s="284"/>
      <c r="Z1035" s="284"/>
    </row>
    <row r="1036">
      <c r="E1036" s="284"/>
      <c r="F1036" s="284"/>
      <c r="G1036" s="284"/>
      <c r="H1036" s="284"/>
      <c r="I1036" s="284"/>
      <c r="J1036" s="284"/>
      <c r="K1036" s="284"/>
      <c r="L1036" s="284"/>
      <c r="M1036" s="284"/>
      <c r="N1036" s="284"/>
      <c r="O1036" s="284"/>
      <c r="S1036" s="284"/>
      <c r="T1036" s="284"/>
      <c r="U1036" s="284"/>
      <c r="V1036" s="284"/>
      <c r="W1036" s="284"/>
      <c r="X1036" s="284"/>
      <c r="Y1036" s="284"/>
      <c r="Z1036" s="284"/>
    </row>
    <row r="1037">
      <c r="E1037" s="284"/>
      <c r="F1037" s="284"/>
      <c r="G1037" s="284"/>
      <c r="H1037" s="284"/>
      <c r="I1037" s="284"/>
      <c r="J1037" s="284"/>
      <c r="K1037" s="284"/>
      <c r="L1037" s="284"/>
      <c r="M1037" s="284"/>
      <c r="N1037" s="284"/>
      <c r="O1037" s="284"/>
      <c r="S1037" s="284"/>
      <c r="T1037" s="284"/>
      <c r="U1037" s="284"/>
      <c r="V1037" s="284"/>
      <c r="W1037" s="284"/>
      <c r="X1037" s="284"/>
      <c r="Y1037" s="284"/>
      <c r="Z1037" s="284"/>
    </row>
    <row r="1038">
      <c r="E1038" s="284"/>
      <c r="F1038" s="284"/>
      <c r="G1038" s="284"/>
      <c r="H1038" s="284"/>
      <c r="I1038" s="284"/>
      <c r="J1038" s="284"/>
      <c r="K1038" s="284"/>
      <c r="L1038" s="284"/>
      <c r="M1038" s="284"/>
      <c r="N1038" s="284"/>
      <c r="O1038" s="284"/>
      <c r="S1038" s="284"/>
      <c r="T1038" s="284"/>
      <c r="U1038" s="284"/>
      <c r="V1038" s="284"/>
      <c r="W1038" s="284"/>
      <c r="X1038" s="284"/>
      <c r="Y1038" s="284"/>
      <c r="Z1038" s="284"/>
    </row>
    <row r="1039">
      <c r="E1039" s="284"/>
      <c r="F1039" s="284"/>
      <c r="G1039" s="284"/>
      <c r="H1039" s="284"/>
      <c r="I1039" s="284"/>
      <c r="J1039" s="284"/>
      <c r="K1039" s="284"/>
      <c r="L1039" s="284"/>
      <c r="M1039" s="284"/>
      <c r="N1039" s="284"/>
      <c r="O1039" s="284"/>
      <c r="S1039" s="284"/>
      <c r="T1039" s="284"/>
      <c r="U1039" s="284"/>
      <c r="V1039" s="284"/>
      <c r="W1039" s="284"/>
      <c r="X1039" s="284"/>
      <c r="Y1039" s="284"/>
      <c r="Z1039" s="284"/>
    </row>
    <row r="1040">
      <c r="E1040" s="284"/>
      <c r="F1040" s="284"/>
      <c r="G1040" s="284"/>
      <c r="H1040" s="284"/>
      <c r="I1040" s="284"/>
      <c r="J1040" s="284"/>
      <c r="K1040" s="284"/>
      <c r="L1040" s="284"/>
      <c r="M1040" s="284"/>
      <c r="N1040" s="284"/>
      <c r="O1040" s="284"/>
      <c r="S1040" s="284"/>
      <c r="T1040" s="284"/>
      <c r="U1040" s="284"/>
      <c r="V1040" s="284"/>
      <c r="W1040" s="284"/>
      <c r="X1040" s="284"/>
      <c r="Y1040" s="284"/>
      <c r="Z1040" s="284"/>
    </row>
    <row r="1041">
      <c r="E1041" s="284"/>
      <c r="F1041" s="284"/>
      <c r="G1041" s="284"/>
      <c r="H1041" s="284"/>
      <c r="I1041" s="284"/>
      <c r="J1041" s="284"/>
      <c r="K1041" s="284"/>
      <c r="L1041" s="284"/>
      <c r="M1041" s="284"/>
      <c r="N1041" s="284"/>
      <c r="O1041" s="284"/>
      <c r="S1041" s="284"/>
      <c r="T1041" s="284"/>
      <c r="U1041" s="284"/>
      <c r="V1041" s="284"/>
      <c r="W1041" s="284"/>
      <c r="X1041" s="284"/>
      <c r="Y1041" s="284"/>
      <c r="Z1041" s="284"/>
    </row>
    <row r="1042">
      <c r="E1042" s="284"/>
      <c r="F1042" s="284"/>
      <c r="G1042" s="284"/>
      <c r="H1042" s="284"/>
      <c r="I1042" s="284"/>
      <c r="J1042" s="284"/>
      <c r="K1042" s="284"/>
      <c r="L1042" s="284"/>
      <c r="M1042" s="284"/>
      <c r="N1042" s="284"/>
      <c r="O1042" s="284"/>
      <c r="S1042" s="284"/>
      <c r="T1042" s="284"/>
      <c r="U1042" s="284"/>
      <c r="V1042" s="284"/>
      <c r="W1042" s="284"/>
      <c r="X1042" s="284"/>
      <c r="Y1042" s="284"/>
      <c r="Z1042" s="284"/>
    </row>
    <row r="1043">
      <c r="E1043" s="284"/>
      <c r="F1043" s="284"/>
      <c r="G1043" s="284"/>
      <c r="H1043" s="284"/>
      <c r="I1043" s="284"/>
      <c r="J1043" s="284"/>
      <c r="K1043" s="284"/>
      <c r="L1043" s="284"/>
      <c r="M1043" s="284"/>
      <c r="N1043" s="284"/>
      <c r="O1043" s="284"/>
      <c r="S1043" s="284"/>
      <c r="T1043" s="284"/>
      <c r="U1043" s="284"/>
      <c r="V1043" s="284"/>
      <c r="W1043" s="284"/>
      <c r="X1043" s="284"/>
      <c r="Y1043" s="284"/>
      <c r="Z1043" s="284"/>
    </row>
    <row r="1044">
      <c r="E1044" s="284"/>
      <c r="F1044" s="284"/>
      <c r="G1044" s="284"/>
      <c r="H1044" s="284"/>
      <c r="I1044" s="284"/>
      <c r="J1044" s="284"/>
      <c r="K1044" s="284"/>
      <c r="L1044" s="284"/>
      <c r="M1044" s="284"/>
      <c r="N1044" s="284"/>
      <c r="O1044" s="284"/>
      <c r="S1044" s="284"/>
      <c r="T1044" s="284"/>
      <c r="U1044" s="284"/>
      <c r="V1044" s="284"/>
      <c r="W1044" s="284"/>
      <c r="X1044" s="284"/>
      <c r="Y1044" s="284"/>
      <c r="Z1044" s="284"/>
    </row>
    <row r="1045">
      <c r="E1045" s="284"/>
      <c r="F1045" s="284"/>
      <c r="G1045" s="284"/>
      <c r="H1045" s="284"/>
      <c r="I1045" s="284"/>
      <c r="J1045" s="284"/>
      <c r="K1045" s="284"/>
      <c r="L1045" s="284"/>
      <c r="M1045" s="284"/>
      <c r="N1045" s="284"/>
      <c r="O1045" s="284"/>
      <c r="S1045" s="284"/>
      <c r="T1045" s="284"/>
      <c r="U1045" s="284"/>
      <c r="V1045" s="284"/>
      <c r="W1045" s="284"/>
      <c r="X1045" s="284"/>
      <c r="Y1045" s="284"/>
      <c r="Z1045" s="284"/>
    </row>
    <row r="1046">
      <c r="E1046" s="284"/>
      <c r="F1046" s="284"/>
      <c r="G1046" s="284"/>
      <c r="H1046" s="284"/>
      <c r="I1046" s="284"/>
      <c r="J1046" s="284"/>
      <c r="K1046" s="284"/>
      <c r="L1046" s="284"/>
      <c r="M1046" s="284"/>
      <c r="N1046" s="284"/>
      <c r="O1046" s="284"/>
      <c r="S1046" s="284"/>
      <c r="T1046" s="284"/>
      <c r="U1046" s="284"/>
      <c r="V1046" s="284"/>
      <c r="W1046" s="284"/>
      <c r="X1046" s="284"/>
      <c r="Y1046" s="284"/>
      <c r="Z1046" s="284"/>
    </row>
    <row r="1047">
      <c r="E1047" s="284"/>
      <c r="F1047" s="284"/>
      <c r="G1047" s="284"/>
      <c r="H1047" s="284"/>
      <c r="I1047" s="284"/>
      <c r="J1047" s="284"/>
      <c r="K1047" s="284"/>
      <c r="L1047" s="284"/>
      <c r="M1047" s="284"/>
      <c r="N1047" s="284"/>
      <c r="O1047" s="284"/>
      <c r="S1047" s="284"/>
      <c r="T1047" s="284"/>
      <c r="U1047" s="284"/>
      <c r="V1047" s="284"/>
      <c r="W1047" s="284"/>
      <c r="X1047" s="284"/>
      <c r="Y1047" s="284"/>
      <c r="Z1047" s="284"/>
    </row>
    <row r="1048">
      <c r="E1048" s="284"/>
      <c r="F1048" s="284"/>
      <c r="G1048" s="284"/>
      <c r="H1048" s="284"/>
      <c r="I1048" s="284"/>
      <c r="J1048" s="284"/>
      <c r="K1048" s="284"/>
      <c r="L1048" s="284"/>
      <c r="M1048" s="284"/>
      <c r="N1048" s="284"/>
      <c r="O1048" s="284"/>
      <c r="S1048" s="284"/>
      <c r="T1048" s="284"/>
      <c r="U1048" s="284"/>
      <c r="V1048" s="284"/>
      <c r="W1048" s="284"/>
      <c r="X1048" s="284"/>
      <c r="Y1048" s="284"/>
      <c r="Z1048" s="284"/>
    </row>
    <row r="1049">
      <c r="E1049" s="284"/>
      <c r="F1049" s="284"/>
      <c r="G1049" s="284"/>
      <c r="H1049" s="284"/>
      <c r="I1049" s="284"/>
      <c r="J1049" s="284"/>
      <c r="K1049" s="284"/>
      <c r="L1049" s="284"/>
      <c r="M1049" s="284"/>
      <c r="N1049" s="284"/>
      <c r="O1049" s="284"/>
      <c r="S1049" s="284"/>
      <c r="T1049" s="284"/>
      <c r="U1049" s="284"/>
      <c r="V1049" s="284"/>
      <c r="W1049" s="284"/>
      <c r="X1049" s="284"/>
      <c r="Y1049" s="284"/>
      <c r="Z1049" s="284"/>
    </row>
    <row r="1050">
      <c r="E1050" s="284"/>
      <c r="F1050" s="284"/>
      <c r="G1050" s="284"/>
      <c r="H1050" s="284"/>
      <c r="I1050" s="284"/>
      <c r="J1050" s="284"/>
      <c r="K1050" s="284"/>
      <c r="L1050" s="284"/>
      <c r="M1050" s="284"/>
      <c r="N1050" s="284"/>
      <c r="O1050" s="284"/>
      <c r="S1050" s="284"/>
      <c r="T1050" s="284"/>
      <c r="U1050" s="284"/>
      <c r="V1050" s="284"/>
      <c r="W1050" s="284"/>
      <c r="X1050" s="284"/>
      <c r="Y1050" s="284"/>
      <c r="Z1050" s="284"/>
    </row>
    <row r="1051">
      <c r="O1051" s="284"/>
      <c r="S1051" s="284"/>
      <c r="T1051" s="284"/>
      <c r="U1051" s="284"/>
      <c r="V1051" s="284"/>
      <c r="W1051" s="284"/>
      <c r="X1051" s="284"/>
      <c r="Y1051" s="284"/>
      <c r="Z1051" s="284"/>
    </row>
    <row r="1052">
      <c r="O1052" s="284"/>
      <c r="S1052" s="284"/>
      <c r="T1052" s="284"/>
      <c r="U1052" s="284"/>
      <c r="V1052" s="284"/>
      <c r="W1052" s="284"/>
      <c r="X1052" s="284"/>
      <c r="Y1052" s="284"/>
      <c r="Z1052" s="284"/>
    </row>
    <row r="1053">
      <c r="O1053" s="284"/>
      <c r="S1053" s="284"/>
      <c r="T1053" s="284"/>
      <c r="U1053" s="284"/>
      <c r="V1053" s="284"/>
      <c r="W1053" s="284"/>
      <c r="X1053" s="284"/>
      <c r="Y1053" s="284"/>
      <c r="Z1053" s="284"/>
    </row>
    <row r="1054">
      <c r="O1054" s="284"/>
      <c r="S1054" s="284"/>
      <c r="T1054" s="284"/>
      <c r="U1054" s="284"/>
      <c r="V1054" s="284"/>
      <c r="W1054" s="284"/>
      <c r="X1054" s="284"/>
      <c r="Y1054" s="284"/>
      <c r="Z1054" s="284"/>
    </row>
    <row r="1055">
      <c r="O1055" s="284"/>
      <c r="S1055" s="284"/>
      <c r="T1055" s="284"/>
      <c r="U1055" s="284"/>
      <c r="V1055" s="284"/>
      <c r="W1055" s="284"/>
      <c r="X1055" s="284"/>
      <c r="Y1055" s="284"/>
      <c r="Z1055" s="284"/>
    </row>
    <row r="1056">
      <c r="O1056" s="284"/>
      <c r="S1056" s="284"/>
      <c r="T1056" s="284"/>
      <c r="U1056" s="284"/>
      <c r="V1056" s="284"/>
      <c r="W1056" s="284"/>
      <c r="X1056" s="284"/>
      <c r="Y1056" s="284"/>
      <c r="Z1056" s="284"/>
    </row>
    <row r="1057">
      <c r="O1057" s="284"/>
      <c r="S1057" s="284"/>
      <c r="T1057" s="284"/>
      <c r="U1057" s="284"/>
      <c r="V1057" s="284"/>
      <c r="W1057" s="284"/>
      <c r="X1057" s="284"/>
      <c r="Y1057" s="284"/>
      <c r="Z1057" s="284"/>
    </row>
    <row r="1058">
      <c r="S1058" s="284"/>
      <c r="T1058" s="284"/>
      <c r="U1058" s="284"/>
      <c r="V1058" s="284"/>
      <c r="W1058" s="284"/>
      <c r="X1058" s="284"/>
      <c r="Y1058" s="284"/>
      <c r="Z1058" s="284"/>
    </row>
    <row r="1059">
      <c r="S1059" s="284"/>
      <c r="T1059" s="284"/>
      <c r="U1059" s="284"/>
      <c r="V1059" s="284"/>
      <c r="W1059" s="284"/>
      <c r="X1059" s="284"/>
      <c r="Y1059" s="284"/>
      <c r="Z1059" s="284"/>
    </row>
    <row r="1060">
      <c r="S1060" s="284"/>
      <c r="T1060" s="284"/>
      <c r="U1060" s="284"/>
      <c r="V1060" s="284"/>
      <c r="W1060" s="284"/>
      <c r="X1060" s="284"/>
      <c r="Y1060" s="284"/>
      <c r="Z1060" s="284"/>
    </row>
    <row r="1061">
      <c r="S1061" s="284"/>
      <c r="T1061" s="284"/>
      <c r="U1061" s="284"/>
      <c r="V1061" s="284"/>
      <c r="W1061" s="284"/>
      <c r="X1061" s="284"/>
      <c r="Y1061" s="284"/>
      <c r="Z1061" s="284"/>
    </row>
    <row r="1062">
      <c r="S1062" s="284"/>
      <c r="T1062" s="284"/>
      <c r="U1062" s="284"/>
      <c r="V1062" s="284"/>
      <c r="W1062" s="284"/>
      <c r="X1062" s="284"/>
      <c r="Y1062" s="284"/>
      <c r="Z1062" s="284"/>
    </row>
    <row r="1063">
      <c r="S1063" s="284"/>
      <c r="T1063" s="284"/>
      <c r="U1063" s="284"/>
      <c r="V1063" s="284"/>
      <c r="W1063" s="284"/>
      <c r="X1063" s="284"/>
      <c r="Y1063" s="284"/>
      <c r="Z1063" s="284"/>
    </row>
    <row r="1064">
      <c r="S1064" s="284"/>
      <c r="T1064" s="284"/>
      <c r="U1064" s="284"/>
      <c r="V1064" s="284"/>
      <c r="W1064" s="284"/>
      <c r="X1064" s="284"/>
      <c r="Y1064" s="284"/>
      <c r="Z1064" s="284"/>
    </row>
    <row r="1065">
      <c r="S1065" s="284"/>
      <c r="T1065" s="284"/>
      <c r="U1065" s="284"/>
      <c r="V1065" s="284"/>
      <c r="W1065" s="284"/>
      <c r="X1065" s="284"/>
      <c r="Y1065" s="284"/>
      <c r="Z1065" s="284"/>
    </row>
    <row r="1066">
      <c r="S1066" s="284"/>
      <c r="T1066" s="284"/>
      <c r="U1066" s="284"/>
      <c r="V1066" s="284"/>
      <c r="W1066" s="284"/>
      <c r="X1066" s="284"/>
      <c r="Y1066" s="284"/>
      <c r="Z1066" s="284"/>
    </row>
    <row r="1067">
      <c r="S1067" s="284"/>
      <c r="T1067" s="284"/>
      <c r="U1067" s="284"/>
      <c r="V1067" s="284"/>
      <c r="W1067" s="284"/>
      <c r="X1067" s="284"/>
      <c r="Y1067" s="284"/>
      <c r="Z1067" s="284"/>
    </row>
    <row r="1068">
      <c r="S1068" s="284"/>
      <c r="T1068" s="284"/>
      <c r="U1068" s="284"/>
      <c r="V1068" s="284"/>
      <c r="W1068" s="284"/>
      <c r="X1068" s="284"/>
      <c r="Y1068" s="284"/>
      <c r="Z1068" s="284"/>
    </row>
    <row r="1069">
      <c r="S1069" s="284"/>
      <c r="T1069" s="284"/>
      <c r="U1069" s="284"/>
      <c r="V1069" s="284"/>
      <c r="W1069" s="284"/>
      <c r="X1069" s="284"/>
      <c r="Y1069" s="284"/>
      <c r="Z1069" s="284"/>
    </row>
    <row r="1070">
      <c r="S1070" s="284"/>
      <c r="T1070" s="284"/>
      <c r="U1070" s="284"/>
      <c r="V1070" s="284"/>
      <c r="W1070" s="284"/>
      <c r="X1070" s="284"/>
      <c r="Y1070" s="284"/>
      <c r="Z1070" s="284"/>
    </row>
    <row r="1071">
      <c r="S1071" s="284"/>
      <c r="T1071" s="284"/>
      <c r="U1071" s="284"/>
      <c r="V1071" s="284"/>
      <c r="W1071" s="284"/>
      <c r="X1071" s="284"/>
      <c r="Y1071" s="284"/>
      <c r="Z1071" s="284"/>
    </row>
    <row r="1072">
      <c r="S1072" s="284"/>
      <c r="T1072" s="284"/>
      <c r="U1072" s="284"/>
      <c r="V1072" s="284"/>
      <c r="W1072" s="284"/>
      <c r="X1072" s="284"/>
      <c r="Y1072" s="284"/>
      <c r="Z1072" s="284"/>
    </row>
    <row r="1073">
      <c r="S1073" s="284"/>
      <c r="T1073" s="284"/>
      <c r="U1073" s="284"/>
      <c r="V1073" s="284"/>
      <c r="W1073" s="284"/>
      <c r="X1073" s="284"/>
      <c r="Y1073" s="284"/>
      <c r="Z1073" s="284"/>
    </row>
    <row r="1074">
      <c r="S1074" s="284"/>
      <c r="T1074" s="284"/>
      <c r="U1074" s="284"/>
      <c r="V1074" s="284"/>
      <c r="W1074" s="284"/>
      <c r="X1074" s="284"/>
      <c r="Y1074" s="284"/>
      <c r="Z1074" s="284"/>
    </row>
    <row r="1075">
      <c r="S1075" s="284"/>
      <c r="T1075" s="284"/>
      <c r="U1075" s="284"/>
      <c r="V1075" s="284"/>
      <c r="W1075" s="284"/>
      <c r="X1075" s="284"/>
      <c r="Y1075" s="284"/>
      <c r="Z1075" s="284"/>
    </row>
    <row r="1076">
      <c r="S1076" s="284"/>
      <c r="T1076" s="284"/>
      <c r="U1076" s="284"/>
      <c r="V1076" s="284"/>
      <c r="W1076" s="284"/>
      <c r="X1076" s="284"/>
      <c r="Y1076" s="284"/>
      <c r="Z1076" s="284"/>
    </row>
    <row r="1077">
      <c r="S1077" s="284"/>
      <c r="T1077" s="284"/>
      <c r="U1077" s="284"/>
      <c r="V1077" s="284"/>
      <c r="W1077" s="284"/>
      <c r="X1077" s="284"/>
      <c r="Y1077" s="284"/>
      <c r="Z1077" s="284"/>
    </row>
    <row r="1078">
      <c r="S1078" s="284"/>
      <c r="T1078" s="284"/>
      <c r="U1078" s="284"/>
      <c r="V1078" s="284"/>
      <c r="W1078" s="284"/>
      <c r="X1078" s="284"/>
      <c r="Y1078" s="284"/>
      <c r="Z1078" s="284"/>
    </row>
    <row r="1079">
      <c r="S1079" s="284"/>
      <c r="T1079" s="284"/>
      <c r="U1079" s="284"/>
      <c r="V1079" s="284"/>
      <c r="W1079" s="284"/>
      <c r="X1079" s="284"/>
      <c r="Y1079" s="284"/>
      <c r="Z1079" s="284"/>
    </row>
    <row r="1080">
      <c r="S1080" s="284"/>
      <c r="T1080" s="284"/>
      <c r="U1080" s="284"/>
      <c r="V1080" s="284"/>
      <c r="W1080" s="284"/>
      <c r="X1080" s="284"/>
      <c r="Y1080" s="284"/>
      <c r="Z1080" s="284"/>
    </row>
    <row r="1081">
      <c r="S1081" s="284"/>
      <c r="T1081" s="284"/>
      <c r="U1081" s="284"/>
      <c r="V1081" s="284"/>
      <c r="W1081" s="284"/>
      <c r="X1081" s="284"/>
      <c r="Y1081" s="284"/>
      <c r="Z1081" s="284"/>
    </row>
    <row r="1082">
      <c r="S1082" s="284"/>
      <c r="T1082" s="284"/>
      <c r="U1082" s="284"/>
      <c r="V1082" s="284"/>
      <c r="W1082" s="284"/>
      <c r="X1082" s="284"/>
      <c r="Y1082" s="284"/>
      <c r="Z1082" s="284"/>
    </row>
    <row r="1083">
      <c r="S1083" s="284"/>
      <c r="T1083" s="284"/>
      <c r="U1083" s="284"/>
      <c r="V1083" s="284"/>
      <c r="W1083" s="284"/>
      <c r="X1083" s="284"/>
      <c r="Y1083" s="284"/>
      <c r="Z1083" s="284"/>
    </row>
    <row r="1084">
      <c r="S1084" s="284"/>
      <c r="T1084" s="284"/>
      <c r="U1084" s="284"/>
      <c r="V1084" s="284"/>
      <c r="W1084" s="284"/>
      <c r="X1084" s="284"/>
      <c r="Y1084" s="284"/>
      <c r="Z1084" s="284"/>
    </row>
    <row r="1085">
      <c r="S1085" s="284"/>
      <c r="T1085" s="284"/>
      <c r="U1085" s="284"/>
      <c r="V1085" s="284"/>
      <c r="W1085" s="284"/>
      <c r="X1085" s="284"/>
      <c r="Y1085" s="284"/>
      <c r="Z1085" s="284"/>
    </row>
    <row r="1086">
      <c r="S1086" s="284"/>
      <c r="T1086" s="284"/>
      <c r="U1086" s="284"/>
      <c r="V1086" s="284"/>
      <c r="W1086" s="284"/>
      <c r="X1086" s="284"/>
      <c r="Y1086" s="284"/>
      <c r="Z1086" s="284"/>
    </row>
    <row r="1087">
      <c r="S1087" s="284"/>
      <c r="T1087" s="284"/>
      <c r="U1087" s="284"/>
      <c r="V1087" s="284"/>
      <c r="W1087" s="284"/>
      <c r="X1087" s="284"/>
      <c r="Y1087" s="284"/>
      <c r="Z1087" s="284"/>
    </row>
    <row r="1088">
      <c r="S1088" s="284"/>
      <c r="T1088" s="284"/>
      <c r="U1088" s="284"/>
      <c r="V1088" s="284"/>
      <c r="W1088" s="284"/>
      <c r="X1088" s="284"/>
      <c r="Y1088" s="284"/>
      <c r="Z1088" s="284"/>
    </row>
    <row r="1089">
      <c r="S1089" s="284"/>
      <c r="T1089" s="284"/>
      <c r="U1089" s="284"/>
      <c r="V1089" s="284"/>
      <c r="W1089" s="284"/>
      <c r="X1089" s="284"/>
      <c r="Y1089" s="284"/>
      <c r="Z1089" s="284"/>
    </row>
    <row r="1090">
      <c r="S1090" s="284"/>
      <c r="T1090" s="284"/>
      <c r="U1090" s="284"/>
      <c r="V1090" s="284"/>
      <c r="W1090" s="284"/>
      <c r="X1090" s="284"/>
      <c r="Y1090" s="284"/>
      <c r="Z1090" s="284"/>
    </row>
    <row r="1091">
      <c r="S1091" s="284"/>
      <c r="T1091" s="284"/>
      <c r="U1091" s="284"/>
      <c r="V1091" s="284"/>
      <c r="W1091" s="284"/>
      <c r="X1091" s="284"/>
      <c r="Y1091" s="284"/>
      <c r="Z1091" s="284"/>
    </row>
    <row r="1092">
      <c r="S1092" s="284"/>
      <c r="T1092" s="284"/>
      <c r="U1092" s="284"/>
      <c r="V1092" s="284"/>
      <c r="W1092" s="284"/>
      <c r="X1092" s="284"/>
      <c r="Y1092" s="284"/>
      <c r="Z1092" s="284"/>
    </row>
    <row r="1093">
      <c r="S1093" s="284"/>
      <c r="T1093" s="284"/>
      <c r="U1093" s="284"/>
      <c r="V1093" s="284"/>
      <c r="W1093" s="284"/>
      <c r="X1093" s="284"/>
      <c r="Y1093" s="284"/>
      <c r="Z1093" s="284"/>
    </row>
    <row r="1094">
      <c r="S1094" s="284"/>
      <c r="T1094" s="284"/>
      <c r="U1094" s="284"/>
      <c r="V1094" s="284"/>
      <c r="W1094" s="284"/>
      <c r="X1094" s="284"/>
      <c r="Y1094" s="284"/>
      <c r="Z1094" s="284"/>
    </row>
    <row r="1095">
      <c r="S1095" s="284"/>
      <c r="T1095" s="284"/>
      <c r="U1095" s="284"/>
      <c r="V1095" s="284"/>
      <c r="W1095" s="284"/>
      <c r="X1095" s="284"/>
      <c r="Y1095" s="284"/>
      <c r="Z1095" s="284"/>
    </row>
    <row r="1096">
      <c r="S1096" s="284"/>
      <c r="T1096" s="284"/>
      <c r="U1096" s="284"/>
      <c r="V1096" s="284"/>
      <c r="W1096" s="284"/>
      <c r="X1096" s="284"/>
      <c r="Y1096" s="284"/>
      <c r="Z1096" s="284"/>
    </row>
    <row r="1097">
      <c r="S1097" s="284"/>
      <c r="T1097" s="284"/>
      <c r="U1097" s="284"/>
      <c r="V1097" s="284"/>
      <c r="W1097" s="284"/>
      <c r="X1097" s="284"/>
      <c r="Y1097" s="284"/>
      <c r="Z1097" s="284"/>
    </row>
    <row r="1098">
      <c r="S1098" s="284"/>
      <c r="T1098" s="284"/>
      <c r="U1098" s="284"/>
      <c r="V1098" s="284"/>
      <c r="W1098" s="284"/>
      <c r="X1098" s="284"/>
      <c r="Y1098" s="284"/>
      <c r="Z1098" s="284"/>
    </row>
    <row r="1099">
      <c r="S1099" s="284"/>
      <c r="T1099" s="284"/>
      <c r="U1099" s="284"/>
      <c r="V1099" s="284"/>
      <c r="W1099" s="284"/>
      <c r="X1099" s="284"/>
      <c r="Y1099" s="284"/>
      <c r="Z1099" s="284"/>
    </row>
    <row r="1100">
      <c r="S1100" s="284"/>
      <c r="T1100" s="284"/>
      <c r="U1100" s="284"/>
      <c r="V1100" s="284"/>
      <c r="W1100" s="284"/>
      <c r="X1100" s="284"/>
      <c r="Y1100" s="284"/>
      <c r="Z1100" s="284"/>
    </row>
    <row r="1101">
      <c r="S1101" s="284"/>
      <c r="T1101" s="284"/>
      <c r="U1101" s="284"/>
      <c r="V1101" s="284"/>
      <c r="W1101" s="284"/>
      <c r="X1101" s="284"/>
      <c r="Y1101" s="284"/>
      <c r="Z1101" s="284"/>
    </row>
    <row r="1102">
      <c r="S1102" s="284"/>
      <c r="T1102" s="284"/>
      <c r="U1102" s="284"/>
      <c r="V1102" s="284"/>
      <c r="W1102" s="284"/>
      <c r="X1102" s="284"/>
      <c r="Y1102" s="284"/>
      <c r="Z1102" s="284"/>
    </row>
    <row r="1103">
      <c r="S1103" s="284"/>
      <c r="T1103" s="284"/>
      <c r="U1103" s="284"/>
      <c r="V1103" s="284"/>
      <c r="W1103" s="284"/>
      <c r="X1103" s="284"/>
      <c r="Y1103" s="284"/>
      <c r="Z1103" s="284"/>
    </row>
    <row r="1104">
      <c r="S1104" s="284"/>
      <c r="T1104" s="284"/>
      <c r="U1104" s="284"/>
      <c r="V1104" s="284"/>
      <c r="W1104" s="284"/>
      <c r="X1104" s="284"/>
      <c r="Y1104" s="284"/>
      <c r="Z1104" s="284"/>
    </row>
    <row r="1105">
      <c r="S1105" s="284"/>
      <c r="T1105" s="284"/>
      <c r="U1105" s="284"/>
      <c r="V1105" s="284"/>
      <c r="W1105" s="284"/>
      <c r="X1105" s="284"/>
      <c r="Y1105" s="284"/>
      <c r="Z1105" s="284"/>
    </row>
    <row r="1106">
      <c r="S1106" s="284"/>
      <c r="T1106" s="284"/>
      <c r="U1106" s="284"/>
      <c r="V1106" s="284"/>
      <c r="W1106" s="284"/>
      <c r="X1106" s="284"/>
      <c r="Y1106" s="284"/>
      <c r="Z1106" s="284"/>
    </row>
    <row r="1107">
      <c r="S1107" s="284"/>
      <c r="T1107" s="284"/>
      <c r="U1107" s="284"/>
      <c r="V1107" s="284"/>
      <c r="W1107" s="284"/>
      <c r="X1107" s="284"/>
      <c r="Y1107" s="284"/>
      <c r="Z1107" s="284"/>
    </row>
    <row r="1108">
      <c r="S1108" s="284"/>
      <c r="T1108" s="284"/>
      <c r="U1108" s="284"/>
      <c r="V1108" s="284"/>
      <c r="W1108" s="284"/>
      <c r="X1108" s="284"/>
      <c r="Y1108" s="284"/>
      <c r="Z1108" s="284"/>
    </row>
    <row r="1109">
      <c r="S1109" s="284"/>
      <c r="T1109" s="284"/>
      <c r="U1109" s="284"/>
      <c r="V1109" s="284"/>
      <c r="W1109" s="284"/>
      <c r="X1109" s="284"/>
      <c r="Y1109" s="284"/>
      <c r="Z1109" s="284"/>
    </row>
    <row r="1110">
      <c r="S1110" s="284"/>
      <c r="T1110" s="284"/>
      <c r="U1110" s="284"/>
      <c r="V1110" s="284"/>
      <c r="W1110" s="284"/>
      <c r="X1110" s="284"/>
      <c r="Y1110" s="284"/>
      <c r="Z1110" s="284"/>
    </row>
    <row r="1111">
      <c r="S1111" s="284"/>
      <c r="T1111" s="284"/>
      <c r="U1111" s="284"/>
      <c r="V1111" s="284"/>
      <c r="W1111" s="284"/>
      <c r="X1111" s="284"/>
      <c r="Y1111" s="284"/>
      <c r="Z1111" s="284"/>
    </row>
    <row r="1112">
      <c r="S1112" s="284"/>
      <c r="T1112" s="284"/>
      <c r="U1112" s="284"/>
      <c r="V1112" s="284"/>
      <c r="W1112" s="284"/>
      <c r="X1112" s="284"/>
      <c r="Y1112" s="284"/>
      <c r="Z1112" s="284"/>
    </row>
    <row r="1113">
      <c r="S1113" s="284"/>
      <c r="T1113" s="284"/>
      <c r="U1113" s="284"/>
      <c r="V1113" s="284"/>
      <c r="W1113" s="284"/>
      <c r="X1113" s="284"/>
      <c r="Y1113" s="284"/>
      <c r="Z1113" s="284"/>
    </row>
    <row r="1114">
      <c r="S1114" s="284"/>
      <c r="T1114" s="284"/>
      <c r="U1114" s="284"/>
      <c r="V1114" s="284"/>
      <c r="W1114" s="284"/>
      <c r="X1114" s="284"/>
      <c r="Y1114" s="284"/>
      <c r="Z1114" s="284"/>
    </row>
    <row r="1115">
      <c r="S1115" s="284"/>
      <c r="T1115" s="284"/>
      <c r="U1115" s="284"/>
      <c r="V1115" s="284"/>
      <c r="W1115" s="284"/>
      <c r="X1115" s="284"/>
      <c r="Y1115" s="284"/>
      <c r="Z1115" s="284"/>
    </row>
    <row r="1116">
      <c r="S1116" s="284"/>
      <c r="T1116" s="284"/>
      <c r="U1116" s="284"/>
      <c r="V1116" s="284"/>
      <c r="W1116" s="284"/>
      <c r="X1116" s="284"/>
      <c r="Y1116" s="284"/>
      <c r="Z1116" s="284"/>
    </row>
    <row r="1117">
      <c r="S1117" s="284"/>
      <c r="T1117" s="284"/>
      <c r="U1117" s="284"/>
      <c r="V1117" s="284"/>
      <c r="W1117" s="284"/>
      <c r="X1117" s="284"/>
      <c r="Y1117" s="284"/>
      <c r="Z1117" s="284"/>
    </row>
    <row r="1118">
      <c r="S1118" s="284"/>
      <c r="T1118" s="284"/>
      <c r="U1118" s="284"/>
      <c r="V1118" s="284"/>
      <c r="W1118" s="284"/>
      <c r="X1118" s="284"/>
      <c r="Y1118" s="284"/>
      <c r="Z1118" s="284"/>
    </row>
    <row r="1119">
      <c r="S1119" s="284"/>
      <c r="T1119" s="284"/>
      <c r="U1119" s="284"/>
      <c r="V1119" s="284"/>
      <c r="W1119" s="284"/>
      <c r="X1119" s="284"/>
      <c r="Y1119" s="284"/>
      <c r="Z1119" s="284"/>
    </row>
    <row r="1120">
      <c r="S1120" s="284"/>
      <c r="T1120" s="284"/>
      <c r="U1120" s="284"/>
      <c r="V1120" s="284"/>
      <c r="W1120" s="284"/>
      <c r="X1120" s="284"/>
      <c r="Y1120" s="284"/>
      <c r="Z1120" s="284"/>
    </row>
    <row r="1121">
      <c r="S1121" s="284"/>
      <c r="T1121" s="284"/>
      <c r="U1121" s="284"/>
      <c r="V1121" s="284"/>
      <c r="W1121" s="284"/>
      <c r="X1121" s="284"/>
      <c r="Y1121" s="284"/>
      <c r="Z1121" s="284"/>
    </row>
    <row r="1122">
      <c r="S1122" s="284"/>
      <c r="T1122" s="284"/>
      <c r="U1122" s="284"/>
      <c r="V1122" s="284"/>
      <c r="W1122" s="284"/>
      <c r="X1122" s="284"/>
      <c r="Y1122" s="284"/>
      <c r="Z1122" s="284"/>
    </row>
    <row r="1123">
      <c r="S1123" s="284"/>
      <c r="T1123" s="284"/>
      <c r="U1123" s="284"/>
      <c r="V1123" s="284"/>
      <c r="W1123" s="284"/>
      <c r="X1123" s="284"/>
      <c r="Y1123" s="284"/>
      <c r="Z1123" s="284"/>
    </row>
    <row r="1124">
      <c r="S1124" s="284"/>
      <c r="T1124" s="284"/>
      <c r="U1124" s="284"/>
      <c r="V1124" s="284"/>
      <c r="X1124" s="284"/>
      <c r="Y1124" s="284"/>
      <c r="Z1124" s="284"/>
    </row>
    <row r="1125">
      <c r="S1125" s="284"/>
      <c r="T1125" s="284"/>
      <c r="U1125" s="284"/>
      <c r="V1125" s="284"/>
      <c r="X1125" s="284"/>
      <c r="Y1125" s="284"/>
      <c r="Z1125" s="284"/>
    </row>
    <row r="1126">
      <c r="S1126" s="284"/>
      <c r="T1126" s="284"/>
      <c r="U1126" s="284"/>
      <c r="X1126" s="284"/>
      <c r="Y1126" s="284"/>
      <c r="Z1126" s="284"/>
    </row>
    <row r="1127">
      <c r="S1127" s="284"/>
      <c r="T1127" s="284"/>
      <c r="U1127" s="284"/>
      <c r="Y1127" s="284"/>
      <c r="Z1127" s="284"/>
    </row>
    <row r="1128">
      <c r="S1128" s="284"/>
      <c r="T1128" s="284"/>
      <c r="U1128" s="284"/>
      <c r="Y1128" s="284"/>
      <c r="Z1128" s="284"/>
    </row>
    <row r="1129">
      <c r="S1129" s="284"/>
      <c r="T1129" s="284"/>
      <c r="U1129" s="284"/>
      <c r="Y1129" s="284"/>
      <c r="Z1129" s="284"/>
    </row>
    <row r="1130">
      <c r="S1130" s="284"/>
      <c r="U1130" s="284"/>
      <c r="Y1130" s="284"/>
      <c r="Z1130" s="284"/>
    </row>
    <row r="1131">
      <c r="Y1131" s="284"/>
      <c r="Z1131" s="284"/>
    </row>
    <row r="1132">
      <c r="Y1132" s="284"/>
      <c r="Z1132" s="284"/>
    </row>
    <row r="1133">
      <c r="Y1133" s="284"/>
      <c r="Z1133" s="284"/>
    </row>
    <row r="1134">
      <c r="Y1134" s="284"/>
      <c r="Z1134" s="284"/>
    </row>
    <row r="1135">
      <c r="Y1135" s="284"/>
      <c r="Z1135" s="284"/>
    </row>
    <row r="1136">
      <c r="Y1136" s="284"/>
      <c r="Z1136" s="284"/>
    </row>
    <row r="1137">
      <c r="Y1137" s="284"/>
      <c r="Z1137" s="284"/>
    </row>
    <row r="1138">
      <c r="Y1138" s="284"/>
      <c r="Z1138" s="284"/>
    </row>
    <row r="1139">
      <c r="Y1139" s="284"/>
      <c r="Z1139" s="284"/>
    </row>
    <row r="1140">
      <c r="Y1140" s="284"/>
      <c r="Z1140" s="284"/>
    </row>
    <row r="1141">
      <c r="Y1141" s="284"/>
      <c r="Z1141" s="284"/>
    </row>
    <row r="1142">
      <c r="Y1142" s="284"/>
      <c r="Z1142" s="284"/>
    </row>
    <row r="1143">
      <c r="Y1143" s="284"/>
      <c r="Z1143" s="284"/>
    </row>
    <row r="1144">
      <c r="Y1144" s="284"/>
      <c r="Z1144" s="284"/>
    </row>
    <row r="1145">
      <c r="Y1145" s="284"/>
      <c r="Z1145" s="284"/>
    </row>
    <row r="1146">
      <c r="Y1146" s="284"/>
      <c r="Z1146" s="284"/>
    </row>
    <row r="1147">
      <c r="Y1147" s="284"/>
      <c r="Z1147" s="284"/>
    </row>
    <row r="1148">
      <c r="Y1148" s="284"/>
      <c r="Z1148" s="284"/>
    </row>
    <row r="1149">
      <c r="Y1149" s="284"/>
      <c r="Z1149" s="284"/>
    </row>
    <row r="1150">
      <c r="Y1150" s="284"/>
      <c r="Z1150" s="284"/>
    </row>
    <row r="1151">
      <c r="Y1151" s="284"/>
      <c r="Z1151" s="284"/>
    </row>
    <row r="1152">
      <c r="Y1152" s="284"/>
      <c r="Z1152" s="284"/>
    </row>
    <row r="1153">
      <c r="Y1153" s="284"/>
      <c r="Z1153" s="284"/>
    </row>
    <row r="1154">
      <c r="Y1154" s="284"/>
      <c r="Z1154" s="284"/>
    </row>
    <row r="1155">
      <c r="Z1155" s="284"/>
    </row>
    <row r="1156">
      <c r="Z1156" s="284"/>
    </row>
    <row r="1157">
      <c r="Z1157" s="284"/>
    </row>
    <row r="1158">
      <c r="Z1158" s="284"/>
    </row>
    <row r="1159">
      <c r="Z1159" s="284"/>
    </row>
    <row r="1160">
      <c r="Z1160" s="284"/>
    </row>
    <row r="1161">
      <c r="Z1161" s="284"/>
    </row>
    <row r="1162">
      <c r="Z1162" s="284"/>
    </row>
    <row r="1163">
      <c r="Z1163" s="284"/>
    </row>
    <row r="1164">
      <c r="Z1164" s="284"/>
    </row>
    <row r="1165">
      <c r="Z1165" s="284"/>
    </row>
  </sheetData>
  <mergeCells count="2">
    <mergeCell ref="T40:T41"/>
    <mergeCell ref="U40:U41"/>
  </mergeCells>
  <hyperlinks>
    <hyperlink r:id="rId2" ref="E154"/>
  </hyperlinks>
  <drawing r:id="rId3"/>
  <legacy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8.0" topLeftCell="I1" activePane="topRight" state="frozen"/>
      <selection activeCell="J2" sqref="J2" pane="topRight"/>
    </sheetView>
  </sheetViews>
  <sheetFormatPr customHeight="1" defaultColWidth="12.63" defaultRowHeight="15.75" outlineLevelRow="1"/>
  <cols>
    <col customWidth="1" min="1" max="1" width="28.0"/>
    <col customWidth="1" min="3" max="3" width="31.13"/>
    <col customWidth="1" min="4" max="4" width="24.38"/>
    <col customWidth="1" min="5" max="5" width="14.5"/>
    <col customWidth="1" min="6" max="6" width="33.38"/>
    <col customWidth="1" min="9" max="9" width="14.25"/>
    <col customWidth="1" min="16" max="16" width="91.38"/>
    <col customWidth="1" min="20" max="20" width="12.75"/>
    <col customWidth="1" min="22" max="22" width="12.5"/>
    <col customWidth="1" min="24" max="24" width="77.75"/>
    <col customWidth="1" min="26" max="26" width="36.5"/>
    <col customWidth="1" min="27" max="27" width="29.75"/>
    <col customWidth="1" min="28" max="28" width="9.25"/>
    <col customWidth="1" min="29" max="29" width="13.75"/>
    <col customWidth="1" min="31" max="31" width="13.88"/>
    <col customWidth="1" min="32" max="32" width="10.0"/>
    <col customWidth="1" min="38" max="38" width="18.5"/>
    <col customWidth="1" min="46" max="46" width="20.38"/>
    <col customWidth="1" min="50" max="50" width="18.88"/>
  </cols>
  <sheetData>
    <row r="1">
      <c r="A1" s="343" t="s">
        <v>2833</v>
      </c>
      <c r="B1" s="344" t="s">
        <v>2833</v>
      </c>
      <c r="C1" s="211" t="s">
        <v>2834</v>
      </c>
      <c r="D1" s="345" t="str">
        <f>CONCATENATE(TEXT(NOW(),"M-DD HH:MM")," ",C1)</f>
        <v>2-25 15:19 RT</v>
      </c>
    </row>
    <row r="2">
      <c r="B2" s="346" t="s">
        <v>2835</v>
      </c>
    </row>
    <row r="3">
      <c r="A3" s="347"/>
      <c r="B3" s="68"/>
      <c r="C3" s="51"/>
      <c r="D3" s="51"/>
      <c r="I3" s="2"/>
      <c r="K3" s="2"/>
    </row>
    <row r="4">
      <c r="A4" s="347" t="s">
        <v>2836</v>
      </c>
      <c r="B4" s="348"/>
      <c r="C4" s="349" t="str">
        <f>IF(AND(A16:CS18,A26:CS27,A34:CS35,A44:CS46,G49:H73),"ALL MATCH","ERROR!! MISMATCH SOMEWHERE")</f>
        <v>#REF!</v>
      </c>
      <c r="D4" s="350" t="s">
        <v>2837</v>
      </c>
      <c r="E4" s="351"/>
      <c r="F4" s="351"/>
      <c r="G4" s="351"/>
      <c r="H4" s="351"/>
      <c r="I4" s="352"/>
      <c r="J4" s="353"/>
      <c r="K4" s="352"/>
    </row>
    <row r="5" outlineLevel="1">
      <c r="A5" s="347"/>
      <c r="B5" s="68"/>
      <c r="C5" s="51"/>
      <c r="D5" s="51"/>
      <c r="I5" s="2"/>
      <c r="K5" s="2"/>
    </row>
    <row r="6" outlineLevel="1">
      <c r="A6" s="347"/>
      <c r="B6" s="68"/>
      <c r="C6" s="51"/>
      <c r="D6" s="51"/>
      <c r="I6" s="2"/>
      <c r="K6" s="2"/>
    </row>
    <row r="7" outlineLevel="1">
      <c r="A7" s="347"/>
      <c r="B7" s="68"/>
      <c r="C7" s="51"/>
      <c r="D7" s="51"/>
      <c r="E7" s="354"/>
      <c r="I7" s="2"/>
      <c r="K7" s="2"/>
    </row>
    <row r="8">
      <c r="A8" s="347"/>
      <c r="B8" s="68"/>
      <c r="C8" s="51"/>
      <c r="D8" s="51"/>
      <c r="I8" s="2"/>
      <c r="K8" s="2"/>
    </row>
    <row r="9" collapsed="1">
      <c r="A9" s="355" t="s">
        <v>2838</v>
      </c>
      <c r="B9" s="68" t="str">
        <f>IFNA(IF(MATCH("END",A10:CS10,0)&gt;MATCH("END",A13:CS13,0),MATCH("END",A10:CS10,0),MATCH("END",A13:CS13,0)),"END Missing")</f>
        <v>END Missing</v>
      </c>
      <c r="C9" s="51" t="str">
        <f t="array" ref="C9">IF(AND(INDIRECT(CONCATENATE("$A$",ROW(C9)+7,":",ADDRESS(ROW(C9)+7,B9)))),"Headers Match","ERROR!! Headers Mismatch")</f>
        <v>#VALUE!</v>
      </c>
      <c r="D9" s="51" t="str">
        <f t="array" ref="D9">IF(AND(INDIRECT(CONCATENATE("$A$",ROW(C9)+8,":",ADDRESS(ROW(C9)+8,B9)))),"Header Formulas Match","ERROR!! Header Formulas Mismatch")</f>
        <v>#VALUE!</v>
      </c>
      <c r="E9" s="51" t="str">
        <f t="array" ref="E9">IF(AND(INDIRECT(CONCATENATE("$A$",ROW(E9)+9,":",ADDRESS(ROW(E9)+9,B9)))),"Formulas Match","ERROR!! Formulas Mismatch")</f>
        <v>#VALUE!</v>
      </c>
      <c r="F9" s="348"/>
      <c r="I9" s="2" t="s">
        <v>2839</v>
      </c>
      <c r="J9" s="11" t="str">
        <f>ADDRESS(9,B9)</f>
        <v>#VALUE!</v>
      </c>
      <c r="K9" s="2" t="s">
        <v>2840</v>
      </c>
      <c r="L9" s="11" t="str">
        <f>CONCATENATE("$A$",ROW(L9)+6,":",ADDRESS(ROW(L9)+6,B9-2))</f>
        <v>#VALUE!</v>
      </c>
    </row>
    <row r="10" hidden="1" outlineLevel="1">
      <c r="A10" s="60" t="str">
        <f t="shared" ref="A10:BS10" si="1">INDIRECT(CONCATENATE($A9,"!",ADDRESS(1,COLUMN(A10))))</f>
        <v>#REF!</v>
      </c>
      <c r="B10" s="60" t="str">
        <f t="shared" si="1"/>
        <v>#REF!</v>
      </c>
      <c r="C10" s="60" t="str">
        <f t="shared" si="1"/>
        <v>#REF!</v>
      </c>
      <c r="D10" s="60" t="str">
        <f t="shared" si="1"/>
        <v>#REF!</v>
      </c>
      <c r="E10" s="60" t="str">
        <f t="shared" si="1"/>
        <v>#REF!</v>
      </c>
      <c r="F10" s="60" t="str">
        <f t="shared" si="1"/>
        <v>#REF!</v>
      </c>
      <c r="G10" s="60" t="str">
        <f t="shared" si="1"/>
        <v>#REF!</v>
      </c>
      <c r="H10" s="60" t="str">
        <f t="shared" si="1"/>
        <v>#REF!</v>
      </c>
      <c r="I10" s="60" t="str">
        <f t="shared" si="1"/>
        <v>#REF!</v>
      </c>
      <c r="J10" s="60" t="str">
        <f t="shared" si="1"/>
        <v>#REF!</v>
      </c>
      <c r="K10" s="59" t="str">
        <f t="shared" si="1"/>
        <v>#REF!</v>
      </c>
      <c r="L10" s="60" t="str">
        <f t="shared" si="1"/>
        <v>#REF!</v>
      </c>
      <c r="M10" s="60" t="str">
        <f t="shared" si="1"/>
        <v>#REF!</v>
      </c>
      <c r="N10" s="59" t="str">
        <f t="shared" si="1"/>
        <v>#REF!</v>
      </c>
      <c r="O10" s="60" t="str">
        <f t="shared" si="1"/>
        <v>#REF!</v>
      </c>
      <c r="P10" s="75" t="str">
        <f t="shared" si="1"/>
        <v>#REF!</v>
      </c>
      <c r="Q10" s="75" t="str">
        <f t="shared" si="1"/>
        <v>#REF!</v>
      </c>
      <c r="R10" s="85" t="str">
        <f t="shared" si="1"/>
        <v>#REF!</v>
      </c>
      <c r="S10" s="75" t="str">
        <f t="shared" si="1"/>
        <v>#REF!</v>
      </c>
      <c r="T10" s="356" t="str">
        <f t="shared" si="1"/>
        <v>#REF!</v>
      </c>
      <c r="U10" s="59" t="str">
        <f t="shared" si="1"/>
        <v>#REF!</v>
      </c>
      <c r="V10" s="59" t="str">
        <f t="shared" si="1"/>
        <v>#REF!</v>
      </c>
      <c r="W10" s="60" t="str">
        <f t="shared" si="1"/>
        <v>#REF!</v>
      </c>
      <c r="X10" s="74" t="str">
        <f t="shared" si="1"/>
        <v>#REF!</v>
      </c>
      <c r="Y10" s="81" t="str">
        <f t="shared" si="1"/>
        <v>#REF!</v>
      </c>
      <c r="Z10" s="75" t="str">
        <f t="shared" si="1"/>
        <v>#REF!</v>
      </c>
      <c r="AA10" s="74" t="str">
        <f t="shared" si="1"/>
        <v>#REF!</v>
      </c>
      <c r="AB10" s="59" t="str">
        <f t="shared" si="1"/>
        <v>#REF!</v>
      </c>
      <c r="AC10" s="83" t="str">
        <f t="shared" si="1"/>
        <v>#REF!</v>
      </c>
      <c r="AD10" s="59" t="str">
        <f t="shared" si="1"/>
        <v>#REF!</v>
      </c>
      <c r="AE10" s="75" t="str">
        <f t="shared" si="1"/>
        <v>#REF!</v>
      </c>
      <c r="AF10" s="82" t="str">
        <f t="shared" si="1"/>
        <v>#REF!</v>
      </c>
      <c r="AG10" s="75" t="str">
        <f t="shared" si="1"/>
        <v>#REF!</v>
      </c>
      <c r="AH10" s="59" t="str">
        <f t="shared" si="1"/>
        <v>#REF!</v>
      </c>
      <c r="AI10" s="59" t="str">
        <f t="shared" si="1"/>
        <v>#REF!</v>
      </c>
      <c r="AJ10" s="59" t="str">
        <f t="shared" si="1"/>
        <v>#REF!</v>
      </c>
      <c r="AK10" s="75" t="str">
        <f t="shared" si="1"/>
        <v>#REF!</v>
      </c>
      <c r="AL10" s="59" t="str">
        <f t="shared" si="1"/>
        <v>#REF!</v>
      </c>
      <c r="AM10" s="75" t="str">
        <f t="shared" si="1"/>
        <v>#REF!</v>
      </c>
      <c r="AN10" s="75" t="str">
        <f t="shared" si="1"/>
        <v>#REF!</v>
      </c>
      <c r="AO10" s="75" t="str">
        <f t="shared" si="1"/>
        <v>#REF!</v>
      </c>
      <c r="AP10" s="75" t="str">
        <f t="shared" si="1"/>
        <v>#REF!</v>
      </c>
      <c r="AQ10" s="75" t="str">
        <f t="shared" si="1"/>
        <v>#REF!</v>
      </c>
      <c r="AR10" s="75" t="str">
        <f t="shared" si="1"/>
        <v>#REF!</v>
      </c>
      <c r="AS10" s="83" t="str">
        <f t="shared" si="1"/>
        <v>#REF!</v>
      </c>
      <c r="AT10" s="223" t="str">
        <f t="shared" si="1"/>
        <v>#REF!</v>
      </c>
      <c r="AU10" s="75" t="str">
        <f t="shared" si="1"/>
        <v>#REF!</v>
      </c>
      <c r="AV10" s="75" t="str">
        <f t="shared" si="1"/>
        <v>#REF!</v>
      </c>
      <c r="AW10" s="75" t="str">
        <f t="shared" si="1"/>
        <v>#REF!</v>
      </c>
      <c r="AX10" s="85" t="str">
        <f t="shared" si="1"/>
        <v>#REF!</v>
      </c>
      <c r="AY10" s="86" t="str">
        <f t="shared" si="1"/>
        <v>#REF!</v>
      </c>
      <c r="AZ10" s="194" t="str">
        <f t="shared" si="1"/>
        <v>#REF!</v>
      </c>
      <c r="BA10" s="357" t="str">
        <f t="shared" si="1"/>
        <v>#REF!</v>
      </c>
      <c r="BB10" s="59" t="str">
        <f t="shared" si="1"/>
        <v>#REF!</v>
      </c>
      <c r="BC10" s="99" t="str">
        <f t="shared" si="1"/>
        <v>#REF!</v>
      </c>
      <c r="BD10" s="59" t="str">
        <f t="shared" si="1"/>
        <v>#REF!</v>
      </c>
      <c r="BE10" s="59" t="str">
        <f t="shared" si="1"/>
        <v>#REF!</v>
      </c>
      <c r="BF10" s="59" t="str">
        <f t="shared" si="1"/>
        <v>#REF!</v>
      </c>
      <c r="BG10" s="59" t="str">
        <f t="shared" si="1"/>
        <v>#REF!</v>
      </c>
      <c r="BH10" s="59" t="str">
        <f t="shared" si="1"/>
        <v>#REF!</v>
      </c>
      <c r="BI10" s="59" t="str">
        <f t="shared" si="1"/>
        <v>#REF!</v>
      </c>
      <c r="BJ10" s="59" t="str">
        <f t="shared" si="1"/>
        <v>#REF!</v>
      </c>
      <c r="BK10" s="59" t="str">
        <f t="shared" si="1"/>
        <v>#REF!</v>
      </c>
      <c r="BL10" s="59" t="str">
        <f t="shared" si="1"/>
        <v>#REF!</v>
      </c>
      <c r="BM10" s="59" t="str">
        <f t="shared" si="1"/>
        <v>#REF!</v>
      </c>
      <c r="BN10" s="59" t="str">
        <f t="shared" si="1"/>
        <v>#REF!</v>
      </c>
      <c r="BO10" s="59" t="str">
        <f t="shared" si="1"/>
        <v>#REF!</v>
      </c>
      <c r="BP10" s="59" t="str">
        <f t="shared" si="1"/>
        <v>#REF!</v>
      </c>
      <c r="BQ10" s="59" t="str">
        <f t="shared" si="1"/>
        <v>#REF!</v>
      </c>
      <c r="BR10" s="59" t="str">
        <f t="shared" si="1"/>
        <v>#REF!</v>
      </c>
      <c r="BS10" s="59" t="str">
        <f t="shared" si="1"/>
        <v>#REF!</v>
      </c>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row>
    <row r="11" hidden="1" outlineLevel="1">
      <c r="A11" s="358" t="str">
        <f t="shared" ref="A11:AJ11" si="2">IF(_xlfn.ISFORMULA(INDIRECT(CONCATENATE($A9,"!",ADDRESS(1,COLUMN(A12))))),FORMULATEXT(INDIRECT(CONCATENATE($A9,"!",ADDRESS(1,COLUMN(A12))))),IFERROR(0/0,""))</f>
        <v>#REF!</v>
      </c>
      <c r="B11" s="358" t="str">
        <f t="shared" si="2"/>
        <v>#REF!</v>
      </c>
      <c r="C11" s="358" t="str">
        <f t="shared" si="2"/>
        <v>#REF!</v>
      </c>
      <c r="D11" s="358" t="str">
        <f t="shared" si="2"/>
        <v>#REF!</v>
      </c>
      <c r="E11" s="358" t="str">
        <f t="shared" si="2"/>
        <v>#REF!</v>
      </c>
      <c r="F11" s="358" t="str">
        <f t="shared" si="2"/>
        <v>#REF!</v>
      </c>
      <c r="G11" s="358" t="str">
        <f t="shared" si="2"/>
        <v>#REF!</v>
      </c>
      <c r="H11" s="358" t="str">
        <f t="shared" si="2"/>
        <v>#REF!</v>
      </c>
      <c r="I11" s="358" t="str">
        <f t="shared" si="2"/>
        <v>#REF!</v>
      </c>
      <c r="J11" s="358" t="str">
        <f t="shared" si="2"/>
        <v>#REF!</v>
      </c>
      <c r="K11" s="358" t="str">
        <f t="shared" si="2"/>
        <v>#REF!</v>
      </c>
      <c r="L11" s="358" t="str">
        <f t="shared" si="2"/>
        <v>#REF!</v>
      </c>
      <c r="M11" s="358" t="str">
        <f t="shared" si="2"/>
        <v>#REF!</v>
      </c>
      <c r="N11" s="358" t="str">
        <f t="shared" si="2"/>
        <v>#REF!</v>
      </c>
      <c r="O11" s="358" t="str">
        <f t="shared" si="2"/>
        <v>#REF!</v>
      </c>
      <c r="P11" s="358" t="str">
        <f t="shared" si="2"/>
        <v>#REF!</v>
      </c>
      <c r="Q11" s="358" t="str">
        <f t="shared" si="2"/>
        <v>#REF!</v>
      </c>
      <c r="R11" s="358" t="str">
        <f t="shared" si="2"/>
        <v>#REF!</v>
      </c>
      <c r="S11" s="358" t="str">
        <f t="shared" si="2"/>
        <v>#REF!</v>
      </c>
      <c r="T11" s="358" t="str">
        <f t="shared" si="2"/>
        <v>#REF!</v>
      </c>
      <c r="U11" s="358" t="str">
        <f t="shared" si="2"/>
        <v>#REF!</v>
      </c>
      <c r="V11" s="358" t="str">
        <f t="shared" si="2"/>
        <v>#REF!</v>
      </c>
      <c r="W11" s="358" t="str">
        <f t="shared" si="2"/>
        <v>#REF!</v>
      </c>
      <c r="X11" s="358" t="str">
        <f t="shared" si="2"/>
        <v>#REF!</v>
      </c>
      <c r="Y11" s="358" t="str">
        <f t="shared" si="2"/>
        <v>#REF!</v>
      </c>
      <c r="Z11" s="358" t="str">
        <f t="shared" si="2"/>
        <v>#REF!</v>
      </c>
      <c r="AA11" s="358" t="str">
        <f t="shared" si="2"/>
        <v>#REF!</v>
      </c>
      <c r="AB11" s="358" t="str">
        <f t="shared" si="2"/>
        <v>#REF!</v>
      </c>
      <c r="AC11" s="358" t="str">
        <f t="shared" si="2"/>
        <v>#REF!</v>
      </c>
      <c r="AD11" s="358" t="str">
        <f t="shared" si="2"/>
        <v>#REF!</v>
      </c>
      <c r="AE11" s="358" t="str">
        <f t="shared" si="2"/>
        <v>#REF!</v>
      </c>
      <c r="AF11" s="358" t="str">
        <f t="shared" si="2"/>
        <v>#REF!</v>
      </c>
      <c r="AG11" s="358" t="str">
        <f t="shared" si="2"/>
        <v>#REF!</v>
      </c>
      <c r="AH11" s="358" t="str">
        <f t="shared" si="2"/>
        <v>#REF!</v>
      </c>
      <c r="AI11" s="358" t="str">
        <f t="shared" si="2"/>
        <v>#REF!</v>
      </c>
      <c r="AJ11" s="358" t="str">
        <f t="shared" si="2"/>
        <v>#REF!</v>
      </c>
      <c r="AK11" s="358"/>
      <c r="AL11" s="358" t="str">
        <f t="shared" ref="AL11:AZ11" si="3">IF(_xlfn.ISFORMULA(INDIRECT(CONCATENATE($A9,"!",ADDRESS(1,COLUMN(AL12))))),FORMULATEXT(INDIRECT(CONCATENATE($A9,"!",ADDRESS(1,COLUMN(AL12))))),IFERROR(0/0,""))</f>
        <v>#REF!</v>
      </c>
      <c r="AM11" s="358" t="str">
        <f t="shared" si="3"/>
        <v>#REF!</v>
      </c>
      <c r="AN11" s="358" t="str">
        <f t="shared" si="3"/>
        <v>#REF!</v>
      </c>
      <c r="AO11" s="358" t="str">
        <f t="shared" si="3"/>
        <v>#REF!</v>
      </c>
      <c r="AP11" s="358" t="str">
        <f t="shared" si="3"/>
        <v>#REF!</v>
      </c>
      <c r="AQ11" s="358" t="str">
        <f t="shared" si="3"/>
        <v>#REF!</v>
      </c>
      <c r="AR11" s="358" t="str">
        <f t="shared" si="3"/>
        <v>#REF!</v>
      </c>
      <c r="AS11" s="358" t="str">
        <f t="shared" si="3"/>
        <v>#REF!</v>
      </c>
      <c r="AT11" s="358" t="str">
        <f t="shared" si="3"/>
        <v>#REF!</v>
      </c>
      <c r="AU11" s="358" t="str">
        <f t="shared" si="3"/>
        <v>#REF!</v>
      </c>
      <c r="AV11" s="358" t="str">
        <f t="shared" si="3"/>
        <v>#REF!</v>
      </c>
      <c r="AW11" s="358" t="str">
        <f t="shared" si="3"/>
        <v>#REF!</v>
      </c>
      <c r="AX11" s="358" t="str">
        <f t="shared" si="3"/>
        <v>#REF!</v>
      </c>
      <c r="AY11" s="358" t="str">
        <f t="shared" si="3"/>
        <v>#REF!</v>
      </c>
      <c r="AZ11" s="358" t="str">
        <f t="shared" si="3"/>
        <v>#REF!</v>
      </c>
      <c r="BA11" s="359"/>
      <c r="BB11" s="359"/>
      <c r="BC11" s="359"/>
      <c r="BD11" s="359"/>
      <c r="BE11" s="359"/>
      <c r="BF11" s="359"/>
      <c r="BG11" s="359"/>
      <c r="BH11" s="359"/>
      <c r="BI11" s="359"/>
      <c r="BJ11" s="359"/>
      <c r="BK11" s="359"/>
      <c r="BL11" s="359"/>
      <c r="BM11" s="359"/>
      <c r="BN11" s="359"/>
      <c r="BO11" s="359"/>
      <c r="BP11" s="359"/>
      <c r="BQ11" s="359"/>
      <c r="BR11" s="359"/>
      <c r="BS11" s="359"/>
      <c r="BT11" s="359"/>
      <c r="BU11" s="359"/>
      <c r="BV11" s="359"/>
      <c r="BW11" s="359"/>
      <c r="BX11" s="359"/>
      <c r="BY11" s="359"/>
      <c r="BZ11" s="359"/>
      <c r="CA11" s="359"/>
      <c r="CB11" s="359"/>
      <c r="CC11" s="359"/>
      <c r="CD11" s="359"/>
      <c r="CE11" s="359"/>
      <c r="CF11" s="359"/>
      <c r="CG11" s="359"/>
      <c r="CH11" s="359"/>
      <c r="CI11" s="359"/>
      <c r="CJ11" s="359"/>
      <c r="CK11" s="359"/>
      <c r="CL11" s="359"/>
      <c r="CM11" s="359"/>
      <c r="CN11" s="359"/>
      <c r="CO11" s="359"/>
      <c r="CP11" s="359"/>
      <c r="CQ11" s="359"/>
      <c r="CR11" s="359"/>
      <c r="CS11" s="359"/>
    </row>
    <row r="12" hidden="1" outlineLevel="1">
      <c r="A12" s="359" t="str">
        <f t="shared" ref="A12:AZ12" si="4">IF(_xlfn.ISFORMULA(INDIRECT(CONCATENATE($A9,"!",ADDRESS(2,COLUMN(A12))))),FORMULATEXT(INDIRECT(CONCATENATE($A9,"!",ADDRESS(2,COLUMN(A12))))),IFERROR(0/0,""))</f>
        <v>#REF!</v>
      </c>
      <c r="B12" s="359" t="str">
        <f t="shared" si="4"/>
        <v>#REF!</v>
      </c>
      <c r="C12" s="359" t="str">
        <f t="shared" si="4"/>
        <v>#REF!</v>
      </c>
      <c r="D12" s="359" t="str">
        <f t="shared" si="4"/>
        <v>#REF!</v>
      </c>
      <c r="E12" s="359" t="str">
        <f t="shared" si="4"/>
        <v>#REF!</v>
      </c>
      <c r="F12" s="359" t="str">
        <f t="shared" si="4"/>
        <v>#REF!</v>
      </c>
      <c r="G12" s="359" t="str">
        <f t="shared" si="4"/>
        <v>#REF!</v>
      </c>
      <c r="H12" s="359" t="str">
        <f t="shared" si="4"/>
        <v>#REF!</v>
      </c>
      <c r="I12" s="359" t="str">
        <f t="shared" si="4"/>
        <v>#REF!</v>
      </c>
      <c r="J12" s="359" t="str">
        <f t="shared" si="4"/>
        <v>#REF!</v>
      </c>
      <c r="K12" s="359" t="str">
        <f t="shared" si="4"/>
        <v>#REF!</v>
      </c>
      <c r="L12" s="359" t="str">
        <f t="shared" si="4"/>
        <v>#REF!</v>
      </c>
      <c r="M12" s="359" t="str">
        <f t="shared" si="4"/>
        <v>#REF!</v>
      </c>
      <c r="N12" s="359" t="str">
        <f t="shared" si="4"/>
        <v>#REF!</v>
      </c>
      <c r="O12" s="359" t="str">
        <f t="shared" si="4"/>
        <v>#REF!</v>
      </c>
      <c r="P12" s="359" t="str">
        <f t="shared" si="4"/>
        <v>#REF!</v>
      </c>
      <c r="Q12" s="359" t="str">
        <f t="shared" si="4"/>
        <v>#REF!</v>
      </c>
      <c r="R12" s="359" t="str">
        <f t="shared" si="4"/>
        <v>#REF!</v>
      </c>
      <c r="S12" s="359" t="str">
        <f t="shared" si="4"/>
        <v>#REF!</v>
      </c>
      <c r="T12" s="359" t="str">
        <f t="shared" si="4"/>
        <v>#REF!</v>
      </c>
      <c r="U12" s="359" t="str">
        <f t="shared" si="4"/>
        <v>#REF!</v>
      </c>
      <c r="V12" s="359" t="str">
        <f t="shared" si="4"/>
        <v>#REF!</v>
      </c>
      <c r="W12" s="359" t="str">
        <f t="shared" si="4"/>
        <v>#REF!</v>
      </c>
      <c r="X12" s="359" t="str">
        <f t="shared" si="4"/>
        <v>#REF!</v>
      </c>
      <c r="Y12" s="359" t="str">
        <f t="shared" si="4"/>
        <v>#REF!</v>
      </c>
      <c r="Z12" s="359" t="str">
        <f t="shared" si="4"/>
        <v>#REF!</v>
      </c>
      <c r="AA12" s="359" t="str">
        <f t="shared" si="4"/>
        <v>#REF!</v>
      </c>
      <c r="AB12" s="359" t="str">
        <f t="shared" si="4"/>
        <v>#REF!</v>
      </c>
      <c r="AC12" s="360" t="str">
        <f t="shared" si="4"/>
        <v>#REF!</v>
      </c>
      <c r="AD12" s="360" t="str">
        <f t="shared" si="4"/>
        <v>#REF!</v>
      </c>
      <c r="AE12" s="359" t="str">
        <f t="shared" si="4"/>
        <v>#REF!</v>
      </c>
      <c r="AF12" s="359" t="str">
        <f t="shared" si="4"/>
        <v>#REF!</v>
      </c>
      <c r="AG12" s="359" t="str">
        <f t="shared" si="4"/>
        <v>#REF!</v>
      </c>
      <c r="AH12" s="359" t="str">
        <f t="shared" si="4"/>
        <v>#REF!</v>
      </c>
      <c r="AI12" s="359" t="str">
        <f t="shared" si="4"/>
        <v>#REF!</v>
      </c>
      <c r="AJ12" s="359" t="str">
        <f t="shared" si="4"/>
        <v>#REF!</v>
      </c>
      <c r="AK12" s="359" t="str">
        <f t="shared" si="4"/>
        <v>#REF!</v>
      </c>
      <c r="AL12" s="359" t="str">
        <f t="shared" si="4"/>
        <v>#REF!</v>
      </c>
      <c r="AM12" s="359" t="str">
        <f t="shared" si="4"/>
        <v>#REF!</v>
      </c>
      <c r="AN12" s="359" t="str">
        <f t="shared" si="4"/>
        <v>#REF!</v>
      </c>
      <c r="AO12" s="359" t="str">
        <f t="shared" si="4"/>
        <v>#REF!</v>
      </c>
      <c r="AP12" s="359" t="str">
        <f t="shared" si="4"/>
        <v>#REF!</v>
      </c>
      <c r="AQ12" s="359" t="str">
        <f t="shared" si="4"/>
        <v>#REF!</v>
      </c>
      <c r="AR12" s="359" t="str">
        <f t="shared" si="4"/>
        <v>#REF!</v>
      </c>
      <c r="AS12" s="359" t="str">
        <f t="shared" si="4"/>
        <v>#REF!</v>
      </c>
      <c r="AT12" s="359" t="str">
        <f t="shared" si="4"/>
        <v>#REF!</v>
      </c>
      <c r="AU12" s="359" t="str">
        <f t="shared" si="4"/>
        <v>#REF!</v>
      </c>
      <c r="AV12" s="359" t="str">
        <f t="shared" si="4"/>
        <v>#REF!</v>
      </c>
      <c r="AW12" s="359" t="str">
        <f t="shared" si="4"/>
        <v>#REF!</v>
      </c>
      <c r="AX12" s="359" t="str">
        <f t="shared" si="4"/>
        <v>#REF!</v>
      </c>
      <c r="AY12" s="359" t="str">
        <f t="shared" si="4"/>
        <v>#REF!</v>
      </c>
      <c r="AZ12" s="359" t="str">
        <f t="shared" si="4"/>
        <v>#REF!</v>
      </c>
      <c r="BA12" s="359"/>
      <c r="BB12" s="359"/>
      <c r="BC12" s="359"/>
      <c r="BD12" s="359"/>
      <c r="BE12" s="359"/>
      <c r="BF12" s="359"/>
      <c r="BG12" s="359"/>
      <c r="BH12" s="359"/>
      <c r="BI12" s="359"/>
      <c r="BJ12" s="359"/>
      <c r="BK12" s="359"/>
      <c r="BL12" s="359"/>
      <c r="BM12" s="359"/>
      <c r="BN12" s="359"/>
      <c r="BO12" s="359"/>
      <c r="BP12" s="359"/>
      <c r="BQ12" s="359"/>
      <c r="BR12" s="359"/>
      <c r="BS12" s="359"/>
      <c r="BT12" s="359"/>
      <c r="BU12" s="359"/>
      <c r="BV12" s="359"/>
      <c r="BW12" s="359"/>
      <c r="BX12" s="359"/>
      <c r="BY12" s="359"/>
      <c r="BZ12" s="359"/>
      <c r="CA12" s="359"/>
      <c r="CB12" s="359"/>
      <c r="CC12" s="359"/>
      <c r="CD12" s="359"/>
      <c r="CE12" s="359"/>
      <c r="CF12" s="359"/>
      <c r="CG12" s="359"/>
      <c r="CH12" s="359"/>
      <c r="CI12" s="359"/>
      <c r="CJ12" s="359"/>
      <c r="CK12" s="359"/>
      <c r="CL12" s="359"/>
      <c r="CM12" s="359"/>
      <c r="CN12" s="359"/>
      <c r="CO12" s="359"/>
      <c r="CP12" s="359"/>
      <c r="CQ12" s="359"/>
      <c r="CR12" s="359"/>
      <c r="CS12" s="359"/>
    </row>
    <row r="13" hidden="1" outlineLevel="1">
      <c r="A13" s="361" t="str">
        <f>IFERROR(__xludf.DUMMYFUNCTION("IMPORTRANGE($B$1,CONCATENATE($A9,""!A1:1""))"),"#REF!")</f>
        <v>#REF!</v>
      </c>
      <c r="B13" s="361"/>
      <c r="C13" s="361"/>
      <c r="D13" s="361"/>
      <c r="E13" s="361"/>
      <c r="F13" s="361"/>
      <c r="G13" s="361"/>
      <c r="H13" s="361"/>
      <c r="I13" s="361"/>
      <c r="J13" s="361"/>
      <c r="K13" s="361"/>
      <c r="L13" s="361"/>
      <c r="M13" s="361"/>
      <c r="N13" s="361"/>
      <c r="O13" s="361"/>
      <c r="P13" s="361"/>
      <c r="Q13" s="361"/>
      <c r="R13" s="361"/>
      <c r="S13" s="361"/>
      <c r="T13" s="361"/>
      <c r="U13" s="361"/>
      <c r="V13" s="361"/>
      <c r="W13" s="361"/>
      <c r="X13" s="361"/>
      <c r="Y13" s="361"/>
      <c r="Z13" s="361"/>
      <c r="AA13" s="361"/>
      <c r="AB13" s="361"/>
      <c r="AC13" s="361"/>
      <c r="AD13" s="361"/>
      <c r="AE13" s="361"/>
      <c r="AF13" s="362"/>
      <c r="AG13" s="361"/>
      <c r="AH13" s="361"/>
      <c r="AI13" s="361"/>
      <c r="AJ13" s="361"/>
      <c r="AK13" s="361"/>
      <c r="AL13" s="361"/>
      <c r="AM13" s="361"/>
      <c r="AN13" s="361"/>
      <c r="AO13" s="361"/>
      <c r="AP13" s="361"/>
      <c r="AQ13" s="361"/>
      <c r="AR13" s="361"/>
      <c r="AS13" s="361"/>
      <c r="AT13" s="361"/>
      <c r="AU13" s="361"/>
      <c r="AV13" s="361"/>
      <c r="AW13" s="361"/>
      <c r="AX13" s="361"/>
      <c r="AY13" s="363"/>
      <c r="AZ13" s="364"/>
      <c r="BA13" s="365"/>
      <c r="BB13" s="361"/>
      <c r="BC13" s="363"/>
      <c r="BD13" s="361"/>
      <c r="BE13" s="361"/>
      <c r="BF13" s="361"/>
      <c r="BG13" s="361"/>
      <c r="BH13" s="361"/>
      <c r="BI13" s="361"/>
      <c r="BJ13" s="361"/>
      <c r="BK13" s="361"/>
      <c r="BL13" s="361"/>
      <c r="BM13" s="361"/>
      <c r="BN13" s="361"/>
      <c r="BO13" s="361"/>
      <c r="BP13" s="361"/>
      <c r="BQ13" s="361"/>
      <c r="BR13" s="361"/>
      <c r="BS13" s="361"/>
      <c r="BT13" s="361"/>
      <c r="BU13" s="361"/>
      <c r="BV13" s="361"/>
      <c r="BW13" s="361"/>
      <c r="BX13" s="361"/>
      <c r="BY13" s="361"/>
      <c r="BZ13" s="361"/>
      <c r="CA13" s="361"/>
      <c r="CB13" s="361"/>
      <c r="CC13" s="361"/>
      <c r="CD13" s="361"/>
      <c r="CE13" s="361"/>
      <c r="CF13" s="361"/>
      <c r="CG13" s="361"/>
      <c r="CH13" s="361"/>
      <c r="CI13" s="361"/>
      <c r="CJ13" s="361"/>
      <c r="CK13" s="361"/>
      <c r="CL13" s="361"/>
      <c r="CM13" s="361"/>
      <c r="CN13" s="361"/>
      <c r="CO13" s="361"/>
      <c r="CP13" s="361"/>
      <c r="CQ13" s="361"/>
      <c r="CR13" s="361"/>
      <c r="CS13" s="361"/>
    </row>
    <row r="14" hidden="1" outlineLevel="1">
      <c r="A14" s="358" t="str">
        <f>IFERROR(__xludf.DUMMYFUNCTION("IMPORTRANGE($B$1,CONCATENATE(""Header Formulas"",""!A5:5""))"),"#REF!")</f>
        <v>#REF!</v>
      </c>
      <c r="B14" s="358"/>
      <c r="C14" s="358"/>
      <c r="D14" s="358"/>
      <c r="E14" s="358"/>
      <c r="F14" s="358"/>
      <c r="G14" s="358"/>
      <c r="H14" s="358"/>
      <c r="I14" s="358"/>
      <c r="J14" s="358"/>
      <c r="K14" s="358"/>
      <c r="L14" s="358"/>
      <c r="M14" s="358"/>
      <c r="N14" s="358"/>
      <c r="O14" s="366"/>
      <c r="P14" s="358"/>
      <c r="Q14" s="358"/>
      <c r="R14" s="358"/>
      <c r="S14" s="358"/>
      <c r="T14" s="358"/>
      <c r="U14" s="358"/>
      <c r="V14" s="358"/>
      <c r="W14" s="358"/>
      <c r="X14" s="358"/>
      <c r="Y14" s="358"/>
      <c r="Z14" s="358"/>
      <c r="AA14" s="358"/>
      <c r="AB14" s="358"/>
      <c r="AC14" s="358"/>
      <c r="AD14" s="358"/>
      <c r="AE14" s="358"/>
      <c r="AF14" s="358"/>
      <c r="AG14" s="358"/>
      <c r="AH14" s="358"/>
      <c r="AI14" s="358"/>
      <c r="AJ14" s="358"/>
      <c r="AK14" s="358"/>
      <c r="AL14" s="358"/>
      <c r="AM14" s="358"/>
      <c r="AN14" s="358"/>
      <c r="AO14" s="358"/>
      <c r="AP14" s="358"/>
      <c r="AQ14" s="358"/>
      <c r="AR14" s="358"/>
      <c r="AS14" s="358"/>
      <c r="AT14" s="358"/>
      <c r="AU14" s="358"/>
      <c r="AV14" s="358"/>
      <c r="AW14" s="358"/>
      <c r="AX14" s="358"/>
      <c r="AY14" s="358"/>
      <c r="AZ14" s="367"/>
      <c r="BA14" s="358"/>
      <c r="BB14" s="358"/>
      <c r="BC14" s="358"/>
      <c r="BD14" s="358"/>
      <c r="BE14" s="358"/>
      <c r="BF14" s="358"/>
      <c r="BG14" s="358"/>
      <c r="BH14" s="358"/>
      <c r="BI14" s="358"/>
      <c r="BJ14" s="358"/>
      <c r="BK14" s="358"/>
      <c r="BL14" s="358"/>
      <c r="BM14" s="358"/>
      <c r="BN14" s="358"/>
      <c r="BO14" s="358"/>
      <c r="BP14" s="358"/>
      <c r="BQ14" s="358"/>
      <c r="BR14" s="358"/>
      <c r="BS14" s="358"/>
      <c r="BT14" s="358"/>
      <c r="BU14" s="358"/>
      <c r="BV14" s="358"/>
      <c r="BW14" s="358"/>
      <c r="BX14" s="358"/>
      <c r="BY14" s="358"/>
      <c r="BZ14" s="358"/>
      <c r="CA14" s="358"/>
      <c r="CB14" s="358"/>
      <c r="CC14" s="358"/>
      <c r="CD14" s="358"/>
      <c r="CE14" s="358"/>
      <c r="CF14" s="358"/>
      <c r="CG14" s="358"/>
      <c r="CH14" s="358"/>
      <c r="CI14" s="358"/>
      <c r="CJ14" s="358"/>
      <c r="CK14" s="358"/>
      <c r="CL14" s="358"/>
      <c r="CM14" s="358"/>
      <c r="CN14" s="358"/>
      <c r="CO14" s="358"/>
      <c r="CP14" s="358"/>
      <c r="CQ14" s="358"/>
      <c r="CR14" s="358"/>
      <c r="CS14" s="358"/>
    </row>
    <row r="15" hidden="1" outlineLevel="1">
      <c r="A15" s="359"/>
      <c r="B15" s="359"/>
      <c r="C15" s="359"/>
      <c r="D15" s="359"/>
      <c r="E15" s="359"/>
      <c r="F15" s="359"/>
      <c r="G15" s="359"/>
      <c r="H15" s="359"/>
      <c r="I15" s="359"/>
      <c r="J15" s="359"/>
      <c r="K15" s="359"/>
      <c r="L15" s="359"/>
      <c r="M15" s="359"/>
      <c r="N15" s="359"/>
      <c r="O15" s="368" t="str">
        <f>IFERROR(__xludf.DUMMYFUNCTION("IMPORTRANGE($B$1,CONCATENATE($A9,""!O3:3""))"),"#REF!")</f>
        <v>#REF!</v>
      </c>
      <c r="P15" s="359"/>
      <c r="Q15" s="359"/>
      <c r="R15" s="359"/>
      <c r="S15" s="359"/>
      <c r="T15" s="359"/>
      <c r="U15" s="359"/>
      <c r="V15" s="359"/>
      <c r="W15" s="359"/>
      <c r="X15" s="359"/>
      <c r="Y15" s="359"/>
      <c r="Z15" s="359"/>
      <c r="AA15" s="359"/>
      <c r="AB15" s="359"/>
      <c r="AC15" s="359"/>
      <c r="AD15" s="359"/>
      <c r="AE15" s="359"/>
      <c r="AF15" s="359"/>
      <c r="AG15" s="359"/>
      <c r="AH15" s="359"/>
      <c r="AI15" s="359"/>
      <c r="AJ15" s="359"/>
      <c r="AK15" s="359"/>
      <c r="AL15" s="359"/>
      <c r="AM15" s="359"/>
      <c r="AN15" s="359"/>
      <c r="AO15" s="359"/>
      <c r="AP15" s="359"/>
      <c r="AQ15" s="359"/>
      <c r="AR15" s="359"/>
      <c r="AS15" s="359"/>
      <c r="AT15" s="359"/>
      <c r="AU15" s="359"/>
      <c r="AV15" s="359"/>
      <c r="AW15" s="359"/>
      <c r="AX15" s="359"/>
      <c r="AY15" s="359"/>
      <c r="AZ15" s="359"/>
      <c r="BA15" s="359"/>
      <c r="BB15" s="359"/>
      <c r="BC15" s="359"/>
      <c r="BD15" s="359"/>
      <c r="BE15" s="359"/>
      <c r="BF15" s="359"/>
      <c r="BG15" s="359"/>
      <c r="BH15" s="359"/>
      <c r="BI15" s="359"/>
      <c r="BJ15" s="359"/>
      <c r="BK15" s="359"/>
      <c r="BL15" s="359"/>
      <c r="BM15" s="359"/>
      <c r="BN15" s="359"/>
      <c r="BO15" s="359"/>
      <c r="BP15" s="359"/>
      <c r="BQ15" s="359"/>
      <c r="BR15" s="359"/>
      <c r="BS15" s="359"/>
      <c r="BT15" s="359"/>
      <c r="BU15" s="359"/>
      <c r="BV15" s="359"/>
      <c r="BW15" s="359"/>
      <c r="BX15" s="359"/>
      <c r="BY15" s="359"/>
      <c r="BZ15" s="359"/>
      <c r="CA15" s="359"/>
      <c r="CB15" s="359"/>
      <c r="CC15" s="359"/>
      <c r="CD15" s="359"/>
      <c r="CE15" s="359"/>
      <c r="CF15" s="359"/>
      <c r="CG15" s="359"/>
      <c r="CH15" s="359"/>
      <c r="CI15" s="359"/>
      <c r="CJ15" s="359"/>
      <c r="CK15" s="359"/>
      <c r="CL15" s="359"/>
      <c r="CM15" s="359"/>
      <c r="CN15" s="359"/>
      <c r="CO15" s="359"/>
      <c r="CP15" s="359"/>
      <c r="CQ15" s="359"/>
      <c r="CR15" s="359"/>
      <c r="CS15" s="359"/>
    </row>
    <row r="16" hidden="1" outlineLevel="1">
      <c r="A16" s="369" t="str">
        <f t="shared" ref="A16:AX16" si="5">IFS(AND(EXACT(LEFT(A13,5),"ERROR"),EXACT(LEFT(A10,5),"ERROR")), EXACT(MID(A13,9,10),MID(A10,9,10)), EXACT(LEFT(A13,5),"ERROR"), EXACT(LEFT(A10,10),MID(A13,9,10)),EXACT(LEFT(A10,5),"ERROR"), EXACT(LEFT(A13,10),MID(A10,9,10)),TRUE, EXACT(A10,A13))</f>
        <v>#REF!</v>
      </c>
      <c r="B16" s="369" t="str">
        <f t="shared" si="5"/>
        <v>#REF!</v>
      </c>
      <c r="C16" s="369" t="str">
        <f t="shared" si="5"/>
        <v>#REF!</v>
      </c>
      <c r="D16" s="369" t="str">
        <f t="shared" si="5"/>
        <v>#REF!</v>
      </c>
      <c r="E16" s="369" t="str">
        <f t="shared" si="5"/>
        <v>#REF!</v>
      </c>
      <c r="F16" s="369" t="str">
        <f t="shared" si="5"/>
        <v>#REF!</v>
      </c>
      <c r="G16" s="369" t="str">
        <f t="shared" si="5"/>
        <v>#REF!</v>
      </c>
      <c r="H16" s="369" t="str">
        <f t="shared" si="5"/>
        <v>#REF!</v>
      </c>
      <c r="I16" s="369" t="str">
        <f t="shared" si="5"/>
        <v>#REF!</v>
      </c>
      <c r="J16" s="369" t="str">
        <f t="shared" si="5"/>
        <v>#REF!</v>
      </c>
      <c r="K16" s="369" t="str">
        <f t="shared" si="5"/>
        <v>#REF!</v>
      </c>
      <c r="L16" s="369" t="str">
        <f t="shared" si="5"/>
        <v>#REF!</v>
      </c>
      <c r="M16" s="369" t="str">
        <f t="shared" si="5"/>
        <v>#REF!</v>
      </c>
      <c r="N16" s="369" t="str">
        <f t="shared" si="5"/>
        <v>#REF!</v>
      </c>
      <c r="O16" s="369" t="str">
        <f t="shared" si="5"/>
        <v>#REF!</v>
      </c>
      <c r="P16" s="369" t="str">
        <f t="shared" si="5"/>
        <v>#REF!</v>
      </c>
      <c r="Q16" s="369" t="str">
        <f t="shared" si="5"/>
        <v>#REF!</v>
      </c>
      <c r="R16" s="369" t="str">
        <f t="shared" si="5"/>
        <v>#REF!</v>
      </c>
      <c r="S16" s="369" t="str">
        <f t="shared" si="5"/>
        <v>#REF!</v>
      </c>
      <c r="T16" s="369" t="str">
        <f t="shared" si="5"/>
        <v>#REF!</v>
      </c>
      <c r="U16" s="369" t="str">
        <f t="shared" si="5"/>
        <v>#REF!</v>
      </c>
      <c r="V16" s="369" t="str">
        <f t="shared" si="5"/>
        <v>#REF!</v>
      </c>
      <c r="W16" s="369" t="str">
        <f t="shared" si="5"/>
        <v>#REF!</v>
      </c>
      <c r="X16" s="369" t="str">
        <f t="shared" si="5"/>
        <v>#REF!</v>
      </c>
      <c r="Y16" s="369" t="str">
        <f t="shared" si="5"/>
        <v>#REF!</v>
      </c>
      <c r="Z16" s="369" t="str">
        <f t="shared" si="5"/>
        <v>#REF!</v>
      </c>
      <c r="AA16" s="369" t="str">
        <f t="shared" si="5"/>
        <v>#REF!</v>
      </c>
      <c r="AB16" s="369" t="str">
        <f t="shared" si="5"/>
        <v>#REF!</v>
      </c>
      <c r="AC16" s="369" t="str">
        <f t="shared" si="5"/>
        <v>#REF!</v>
      </c>
      <c r="AD16" s="369" t="str">
        <f t="shared" si="5"/>
        <v>#REF!</v>
      </c>
      <c r="AE16" s="369" t="str">
        <f t="shared" si="5"/>
        <v>#REF!</v>
      </c>
      <c r="AF16" s="369" t="str">
        <f t="shared" si="5"/>
        <v>#REF!</v>
      </c>
      <c r="AG16" s="369" t="str">
        <f t="shared" si="5"/>
        <v>#REF!</v>
      </c>
      <c r="AH16" s="369" t="str">
        <f t="shared" si="5"/>
        <v>#REF!</v>
      </c>
      <c r="AI16" s="369" t="str">
        <f t="shared" si="5"/>
        <v>#REF!</v>
      </c>
      <c r="AJ16" s="369" t="str">
        <f t="shared" si="5"/>
        <v>#REF!</v>
      </c>
      <c r="AK16" s="369" t="str">
        <f t="shared" si="5"/>
        <v>#REF!</v>
      </c>
      <c r="AL16" s="369" t="str">
        <f t="shared" si="5"/>
        <v>#REF!</v>
      </c>
      <c r="AM16" s="369" t="str">
        <f t="shared" si="5"/>
        <v>#REF!</v>
      </c>
      <c r="AN16" s="369" t="str">
        <f t="shared" si="5"/>
        <v>#REF!</v>
      </c>
      <c r="AO16" s="369" t="str">
        <f t="shared" si="5"/>
        <v>#REF!</v>
      </c>
      <c r="AP16" s="369" t="str">
        <f t="shared" si="5"/>
        <v>#REF!</v>
      </c>
      <c r="AQ16" s="369" t="str">
        <f t="shared" si="5"/>
        <v>#REF!</v>
      </c>
      <c r="AR16" s="369" t="str">
        <f t="shared" si="5"/>
        <v>#REF!</v>
      </c>
      <c r="AS16" s="369" t="str">
        <f t="shared" si="5"/>
        <v>#REF!</v>
      </c>
      <c r="AT16" s="369" t="str">
        <f t="shared" si="5"/>
        <v>#REF!</v>
      </c>
      <c r="AU16" s="369" t="str">
        <f t="shared" si="5"/>
        <v>#REF!</v>
      </c>
      <c r="AV16" s="369" t="str">
        <f t="shared" si="5"/>
        <v>#REF!</v>
      </c>
      <c r="AW16" s="369" t="str">
        <f t="shared" si="5"/>
        <v>#REF!</v>
      </c>
      <c r="AX16" s="369" t="str">
        <f t="shared" si="5"/>
        <v>#REF!</v>
      </c>
      <c r="AY16" s="369"/>
      <c r="AZ16" s="370" t="s">
        <v>2841</v>
      </c>
      <c r="BA16" s="369"/>
      <c r="BB16" s="369"/>
      <c r="BC16" s="369"/>
      <c r="BD16" s="369"/>
      <c r="BE16" s="369"/>
      <c r="BF16" s="369"/>
      <c r="BG16" s="369"/>
      <c r="BH16" s="369"/>
      <c r="BI16" s="369"/>
      <c r="BJ16" s="369"/>
      <c r="BK16" s="369"/>
      <c r="BL16" s="369"/>
      <c r="BM16" s="369"/>
      <c r="BN16" s="369"/>
      <c r="BO16" s="369"/>
      <c r="BP16" s="369"/>
      <c r="BQ16" s="369"/>
      <c r="BR16" s="369"/>
      <c r="BS16" s="369"/>
      <c r="BT16" s="369"/>
      <c r="BU16" s="369"/>
      <c r="BV16" s="369"/>
      <c r="BW16" s="369"/>
      <c r="BX16" s="369"/>
      <c r="BY16" s="369"/>
      <c r="BZ16" s="369"/>
      <c r="CA16" s="369"/>
      <c r="CB16" s="369"/>
      <c r="CC16" s="369"/>
      <c r="CD16" s="369"/>
      <c r="CE16" s="369"/>
      <c r="CF16" s="369"/>
      <c r="CG16" s="369"/>
      <c r="CH16" s="369"/>
      <c r="CI16" s="369"/>
      <c r="CJ16" s="369"/>
      <c r="CK16" s="369"/>
      <c r="CL16" s="369"/>
      <c r="CM16" s="369"/>
      <c r="CN16" s="369"/>
      <c r="CO16" s="369"/>
      <c r="CP16" s="369"/>
      <c r="CQ16" s="369"/>
      <c r="CR16" s="369"/>
      <c r="CS16" s="369"/>
    </row>
    <row r="17" hidden="1" outlineLevel="1">
      <c r="A17" s="358" t="str">
        <f t="shared" ref="A17:AY17" si="6">EXACT(A11,A14)</f>
        <v>#REF!</v>
      </c>
      <c r="B17" s="358" t="str">
        <f t="shared" si="6"/>
        <v>#REF!</v>
      </c>
      <c r="C17" s="358" t="str">
        <f t="shared" si="6"/>
        <v>#REF!</v>
      </c>
      <c r="D17" s="358" t="str">
        <f t="shared" si="6"/>
        <v>#REF!</v>
      </c>
      <c r="E17" s="358" t="str">
        <f t="shared" si="6"/>
        <v>#REF!</v>
      </c>
      <c r="F17" s="358" t="str">
        <f t="shared" si="6"/>
        <v>#REF!</v>
      </c>
      <c r="G17" s="358" t="str">
        <f t="shared" si="6"/>
        <v>#REF!</v>
      </c>
      <c r="H17" s="358" t="str">
        <f t="shared" si="6"/>
        <v>#REF!</v>
      </c>
      <c r="I17" s="358" t="str">
        <f t="shared" si="6"/>
        <v>#REF!</v>
      </c>
      <c r="J17" s="358" t="str">
        <f t="shared" si="6"/>
        <v>#REF!</v>
      </c>
      <c r="K17" s="358" t="str">
        <f t="shared" si="6"/>
        <v>#REF!</v>
      </c>
      <c r="L17" s="358" t="str">
        <f t="shared" si="6"/>
        <v>#REF!</v>
      </c>
      <c r="M17" s="358" t="str">
        <f t="shared" si="6"/>
        <v>#REF!</v>
      </c>
      <c r="N17" s="358" t="str">
        <f t="shared" si="6"/>
        <v>#REF!</v>
      </c>
      <c r="O17" s="358" t="str">
        <f t="shared" si="6"/>
        <v>#REF!</v>
      </c>
      <c r="P17" s="358" t="str">
        <f t="shared" si="6"/>
        <v>#REF!</v>
      </c>
      <c r="Q17" s="358" t="str">
        <f t="shared" si="6"/>
        <v>#REF!</v>
      </c>
      <c r="R17" s="358" t="str">
        <f t="shared" si="6"/>
        <v>#REF!</v>
      </c>
      <c r="S17" s="358" t="str">
        <f t="shared" si="6"/>
        <v>#REF!</v>
      </c>
      <c r="T17" s="358" t="str">
        <f t="shared" si="6"/>
        <v>#REF!</v>
      </c>
      <c r="U17" s="358" t="str">
        <f t="shared" si="6"/>
        <v>#REF!</v>
      </c>
      <c r="V17" s="358" t="str">
        <f t="shared" si="6"/>
        <v>#REF!</v>
      </c>
      <c r="W17" s="358" t="str">
        <f t="shared" si="6"/>
        <v>#REF!</v>
      </c>
      <c r="X17" s="358" t="str">
        <f t="shared" si="6"/>
        <v>#REF!</v>
      </c>
      <c r="Y17" s="358" t="str">
        <f t="shared" si="6"/>
        <v>#REF!</v>
      </c>
      <c r="Z17" s="358" t="str">
        <f t="shared" si="6"/>
        <v>#REF!</v>
      </c>
      <c r="AA17" s="358" t="str">
        <f t="shared" si="6"/>
        <v>#REF!</v>
      </c>
      <c r="AB17" s="358" t="str">
        <f t="shared" si="6"/>
        <v>#REF!</v>
      </c>
      <c r="AC17" s="358" t="str">
        <f t="shared" si="6"/>
        <v>#REF!</v>
      </c>
      <c r="AD17" s="358" t="str">
        <f t="shared" si="6"/>
        <v>#REF!</v>
      </c>
      <c r="AE17" s="358" t="str">
        <f t="shared" si="6"/>
        <v>#REF!</v>
      </c>
      <c r="AF17" s="358" t="str">
        <f t="shared" si="6"/>
        <v>#REF!</v>
      </c>
      <c r="AG17" s="358" t="str">
        <f t="shared" si="6"/>
        <v>#REF!</v>
      </c>
      <c r="AH17" s="358" t="str">
        <f t="shared" si="6"/>
        <v>#REF!</v>
      </c>
      <c r="AI17" s="358" t="str">
        <f t="shared" si="6"/>
        <v>#REF!</v>
      </c>
      <c r="AJ17" s="358" t="str">
        <f t="shared" si="6"/>
        <v>#REF!</v>
      </c>
      <c r="AK17" s="358" t="b">
        <f t="shared" si="6"/>
        <v>1</v>
      </c>
      <c r="AL17" s="358" t="str">
        <f t="shared" si="6"/>
        <v>#REF!</v>
      </c>
      <c r="AM17" s="358" t="str">
        <f t="shared" si="6"/>
        <v>#REF!</v>
      </c>
      <c r="AN17" s="358" t="str">
        <f t="shared" si="6"/>
        <v>#REF!</v>
      </c>
      <c r="AO17" s="358" t="str">
        <f t="shared" si="6"/>
        <v>#REF!</v>
      </c>
      <c r="AP17" s="358" t="str">
        <f t="shared" si="6"/>
        <v>#REF!</v>
      </c>
      <c r="AQ17" s="358" t="str">
        <f t="shared" si="6"/>
        <v>#REF!</v>
      </c>
      <c r="AR17" s="358" t="str">
        <f t="shared" si="6"/>
        <v>#REF!</v>
      </c>
      <c r="AS17" s="358" t="str">
        <f t="shared" si="6"/>
        <v>#REF!</v>
      </c>
      <c r="AT17" s="358" t="str">
        <f t="shared" si="6"/>
        <v>#REF!</v>
      </c>
      <c r="AU17" s="358" t="str">
        <f t="shared" si="6"/>
        <v>#REF!</v>
      </c>
      <c r="AV17" s="358" t="str">
        <f t="shared" si="6"/>
        <v>#REF!</v>
      </c>
      <c r="AW17" s="358" t="str">
        <f t="shared" si="6"/>
        <v>#REF!</v>
      </c>
      <c r="AX17" s="358" t="str">
        <f t="shared" si="6"/>
        <v>#REF!</v>
      </c>
      <c r="AY17" s="358" t="str">
        <f t="shared" si="6"/>
        <v>#REF!</v>
      </c>
      <c r="AZ17" s="358"/>
      <c r="BA17" s="358"/>
      <c r="BB17" s="358"/>
      <c r="BC17" s="358"/>
      <c r="BD17" s="358"/>
      <c r="BE17" s="358"/>
      <c r="BF17" s="358"/>
      <c r="BG17" s="358"/>
      <c r="BH17" s="358"/>
      <c r="BI17" s="358"/>
      <c r="BJ17" s="358"/>
      <c r="BK17" s="358"/>
      <c r="BL17" s="358"/>
      <c r="BM17" s="358"/>
      <c r="BN17" s="358"/>
      <c r="BO17" s="358"/>
      <c r="BP17" s="358"/>
      <c r="BQ17" s="358"/>
      <c r="BR17" s="358"/>
      <c r="BS17" s="358"/>
      <c r="BT17" s="358"/>
      <c r="BU17" s="358"/>
      <c r="BV17" s="358"/>
      <c r="BW17" s="358"/>
      <c r="BX17" s="358"/>
      <c r="BY17" s="358"/>
      <c r="BZ17" s="358"/>
      <c r="CA17" s="358"/>
      <c r="CB17" s="358"/>
      <c r="CC17" s="358"/>
      <c r="CD17" s="358"/>
      <c r="CE17" s="358"/>
      <c r="CF17" s="358"/>
      <c r="CG17" s="358"/>
      <c r="CH17" s="358"/>
      <c r="CI17" s="358"/>
      <c r="CJ17" s="358"/>
      <c r="CK17" s="358"/>
      <c r="CL17" s="358"/>
      <c r="CM17" s="358"/>
      <c r="CN17" s="358"/>
      <c r="CO17" s="358"/>
      <c r="CP17" s="358"/>
      <c r="CQ17" s="358"/>
      <c r="CR17" s="358"/>
      <c r="CS17" s="358"/>
    </row>
    <row r="18" hidden="1" outlineLevel="1">
      <c r="A18" s="359" t="str">
        <f t="shared" ref="A18:AY18" si="7">EXACT(A12,A15)</f>
        <v>#REF!</v>
      </c>
      <c r="B18" s="359" t="str">
        <f t="shared" si="7"/>
        <v>#REF!</v>
      </c>
      <c r="C18" s="359" t="str">
        <f t="shared" si="7"/>
        <v>#REF!</v>
      </c>
      <c r="D18" s="359" t="str">
        <f t="shared" si="7"/>
        <v>#REF!</v>
      </c>
      <c r="E18" s="359" t="str">
        <f t="shared" si="7"/>
        <v>#REF!</v>
      </c>
      <c r="F18" s="359" t="str">
        <f t="shared" si="7"/>
        <v>#REF!</v>
      </c>
      <c r="G18" s="359" t="str">
        <f t="shared" si="7"/>
        <v>#REF!</v>
      </c>
      <c r="H18" s="359" t="str">
        <f t="shared" si="7"/>
        <v>#REF!</v>
      </c>
      <c r="I18" s="359" t="str">
        <f t="shared" si="7"/>
        <v>#REF!</v>
      </c>
      <c r="J18" s="359" t="str">
        <f t="shared" si="7"/>
        <v>#REF!</v>
      </c>
      <c r="K18" s="359" t="str">
        <f t="shared" si="7"/>
        <v>#REF!</v>
      </c>
      <c r="L18" s="359" t="str">
        <f t="shared" si="7"/>
        <v>#REF!</v>
      </c>
      <c r="M18" s="359" t="str">
        <f t="shared" si="7"/>
        <v>#REF!</v>
      </c>
      <c r="N18" s="359" t="str">
        <f t="shared" si="7"/>
        <v>#REF!</v>
      </c>
      <c r="O18" s="359" t="str">
        <f t="shared" si="7"/>
        <v>#REF!</v>
      </c>
      <c r="P18" s="359" t="str">
        <f t="shared" si="7"/>
        <v>#REF!</v>
      </c>
      <c r="Q18" s="359" t="str">
        <f t="shared" si="7"/>
        <v>#REF!</v>
      </c>
      <c r="R18" s="359" t="str">
        <f t="shared" si="7"/>
        <v>#REF!</v>
      </c>
      <c r="S18" s="359" t="str">
        <f t="shared" si="7"/>
        <v>#REF!</v>
      </c>
      <c r="T18" s="359" t="str">
        <f t="shared" si="7"/>
        <v>#REF!</v>
      </c>
      <c r="U18" s="359" t="str">
        <f t="shared" si="7"/>
        <v>#REF!</v>
      </c>
      <c r="V18" s="359" t="str">
        <f t="shared" si="7"/>
        <v>#REF!</v>
      </c>
      <c r="W18" s="359" t="str">
        <f t="shared" si="7"/>
        <v>#REF!</v>
      </c>
      <c r="X18" s="359" t="str">
        <f t="shared" si="7"/>
        <v>#REF!</v>
      </c>
      <c r="Y18" s="359" t="str">
        <f t="shared" si="7"/>
        <v>#REF!</v>
      </c>
      <c r="Z18" s="359" t="str">
        <f t="shared" si="7"/>
        <v>#REF!</v>
      </c>
      <c r="AA18" s="359" t="str">
        <f t="shared" si="7"/>
        <v>#REF!</v>
      </c>
      <c r="AB18" s="359" t="str">
        <f t="shared" si="7"/>
        <v>#REF!</v>
      </c>
      <c r="AC18" s="359" t="str">
        <f t="shared" si="7"/>
        <v>#REF!</v>
      </c>
      <c r="AD18" s="359" t="str">
        <f t="shared" si="7"/>
        <v>#REF!</v>
      </c>
      <c r="AE18" s="359" t="str">
        <f t="shared" si="7"/>
        <v>#REF!</v>
      </c>
      <c r="AF18" s="359" t="str">
        <f t="shared" si="7"/>
        <v>#REF!</v>
      </c>
      <c r="AG18" s="359" t="str">
        <f t="shared" si="7"/>
        <v>#REF!</v>
      </c>
      <c r="AH18" s="359" t="str">
        <f t="shared" si="7"/>
        <v>#REF!</v>
      </c>
      <c r="AI18" s="359" t="str">
        <f t="shared" si="7"/>
        <v>#REF!</v>
      </c>
      <c r="AJ18" s="359" t="str">
        <f t="shared" si="7"/>
        <v>#REF!</v>
      </c>
      <c r="AK18" s="359" t="str">
        <f t="shared" si="7"/>
        <v>#REF!</v>
      </c>
      <c r="AL18" s="359" t="str">
        <f t="shared" si="7"/>
        <v>#REF!</v>
      </c>
      <c r="AM18" s="359" t="str">
        <f t="shared" si="7"/>
        <v>#REF!</v>
      </c>
      <c r="AN18" s="359" t="str">
        <f t="shared" si="7"/>
        <v>#REF!</v>
      </c>
      <c r="AO18" s="359" t="str">
        <f t="shared" si="7"/>
        <v>#REF!</v>
      </c>
      <c r="AP18" s="359" t="str">
        <f t="shared" si="7"/>
        <v>#REF!</v>
      </c>
      <c r="AQ18" s="359" t="str">
        <f t="shared" si="7"/>
        <v>#REF!</v>
      </c>
      <c r="AR18" s="359" t="str">
        <f t="shared" si="7"/>
        <v>#REF!</v>
      </c>
      <c r="AS18" s="359" t="str">
        <f t="shared" si="7"/>
        <v>#REF!</v>
      </c>
      <c r="AT18" s="359" t="str">
        <f t="shared" si="7"/>
        <v>#REF!</v>
      </c>
      <c r="AU18" s="359" t="str">
        <f t="shared" si="7"/>
        <v>#REF!</v>
      </c>
      <c r="AV18" s="359" t="str">
        <f t="shared" si="7"/>
        <v>#REF!</v>
      </c>
      <c r="AW18" s="359" t="str">
        <f t="shared" si="7"/>
        <v>#REF!</v>
      </c>
      <c r="AX18" s="359" t="str">
        <f t="shared" si="7"/>
        <v>#REF!</v>
      </c>
      <c r="AY18" s="359" t="str">
        <f t="shared" si="7"/>
        <v>#REF!</v>
      </c>
      <c r="AZ18" s="359"/>
      <c r="BA18" s="359"/>
      <c r="BB18" s="359"/>
      <c r="BC18" s="359"/>
      <c r="BD18" s="359"/>
      <c r="BE18" s="359"/>
      <c r="BF18" s="359"/>
      <c r="BG18" s="359"/>
      <c r="BH18" s="359"/>
      <c r="BI18" s="359"/>
      <c r="BJ18" s="359"/>
      <c r="BK18" s="359"/>
      <c r="BL18" s="359"/>
      <c r="BM18" s="359"/>
      <c r="BN18" s="359"/>
      <c r="BO18" s="359"/>
      <c r="BP18" s="359"/>
      <c r="BQ18" s="359"/>
      <c r="BR18" s="359"/>
      <c r="BS18" s="359"/>
      <c r="BT18" s="359"/>
      <c r="BU18" s="359"/>
      <c r="BV18" s="359"/>
      <c r="BW18" s="359"/>
      <c r="BX18" s="359"/>
      <c r="BY18" s="359"/>
      <c r="BZ18" s="359"/>
      <c r="CA18" s="359"/>
      <c r="CB18" s="359"/>
      <c r="CC18" s="359"/>
      <c r="CD18" s="359"/>
      <c r="CE18" s="359"/>
      <c r="CF18" s="359"/>
      <c r="CG18" s="359"/>
      <c r="CH18" s="359"/>
      <c r="CI18" s="359"/>
      <c r="CJ18" s="359"/>
      <c r="CK18" s="359"/>
      <c r="CL18" s="359"/>
      <c r="CM18" s="359"/>
      <c r="CN18" s="359"/>
      <c r="CO18" s="359"/>
      <c r="CP18" s="359"/>
      <c r="CQ18" s="359"/>
      <c r="CR18" s="359"/>
      <c r="CS18" s="359"/>
    </row>
    <row r="19" hidden="1" outlineLevel="1">
      <c r="A19" s="371"/>
      <c r="B19" s="372"/>
      <c r="C19" s="373"/>
      <c r="D19" s="373"/>
      <c r="E19" s="373"/>
      <c r="F19" s="373"/>
      <c r="G19" s="373"/>
      <c r="H19" s="373"/>
      <c r="I19" s="373"/>
      <c r="J19" s="373"/>
      <c r="K19" s="373"/>
      <c r="L19" s="373"/>
      <c r="M19" s="373"/>
      <c r="N19" s="373"/>
      <c r="O19" s="373"/>
      <c r="P19" s="374"/>
      <c r="Q19" s="373"/>
      <c r="R19" s="373"/>
      <c r="S19" s="373"/>
      <c r="T19" s="373"/>
      <c r="U19" s="373"/>
      <c r="V19" s="373"/>
      <c r="W19" s="373"/>
      <c r="X19" s="373"/>
      <c r="Y19" s="373"/>
      <c r="Z19" s="373"/>
      <c r="AA19" s="373"/>
      <c r="AB19" s="373"/>
      <c r="AC19" s="373"/>
      <c r="AD19" s="373"/>
      <c r="AE19" s="374"/>
      <c r="AF19" s="374"/>
      <c r="AG19" s="373"/>
      <c r="AH19" s="373"/>
      <c r="AI19" s="373"/>
      <c r="AJ19" s="373"/>
      <c r="AK19" s="373"/>
      <c r="AL19" s="374"/>
      <c r="AM19" s="373"/>
      <c r="AN19" s="373"/>
      <c r="AO19" s="373"/>
      <c r="AP19" s="373"/>
      <c r="AQ19" s="373"/>
      <c r="AR19" s="373"/>
      <c r="AS19" s="373"/>
      <c r="AT19" s="373"/>
      <c r="AU19" s="373"/>
      <c r="AV19" s="373"/>
      <c r="AW19" s="373"/>
      <c r="AX19" s="373"/>
      <c r="AY19" s="373"/>
      <c r="AZ19" s="373"/>
      <c r="BA19" s="373"/>
      <c r="BB19" s="373"/>
      <c r="BC19" s="373"/>
      <c r="BD19" s="373"/>
      <c r="BE19" s="373"/>
      <c r="BF19" s="373"/>
      <c r="BG19" s="373"/>
      <c r="BH19" s="373"/>
      <c r="BI19" s="373"/>
      <c r="BJ19" s="373"/>
      <c r="BK19" s="373"/>
      <c r="BL19" s="373"/>
      <c r="BM19" s="373"/>
      <c r="BN19" s="373"/>
      <c r="BO19" s="373"/>
      <c r="BP19" s="373"/>
      <c r="BQ19" s="373"/>
      <c r="BR19" s="373"/>
      <c r="BS19" s="373"/>
      <c r="BT19" s="373"/>
      <c r="BU19" s="373"/>
      <c r="BV19" s="373"/>
      <c r="BW19" s="373"/>
      <c r="BX19" s="373"/>
      <c r="BY19" s="373"/>
      <c r="BZ19" s="373"/>
      <c r="CA19" s="373"/>
      <c r="CB19" s="373"/>
      <c r="CC19" s="373"/>
      <c r="CD19" s="373"/>
      <c r="CE19" s="373"/>
      <c r="CF19" s="373"/>
      <c r="CG19" s="373"/>
      <c r="CH19" s="373"/>
      <c r="CI19" s="373"/>
      <c r="CJ19" s="373"/>
      <c r="CK19" s="373"/>
      <c r="CL19" s="373"/>
      <c r="CM19" s="373"/>
      <c r="CN19" s="373"/>
      <c r="CO19" s="373"/>
      <c r="CP19" s="373"/>
      <c r="CQ19" s="373"/>
      <c r="CR19" s="373"/>
      <c r="CS19" s="373"/>
    </row>
    <row r="20">
      <c r="A20" s="359"/>
      <c r="B20" s="359"/>
      <c r="C20" s="359"/>
      <c r="D20" s="359"/>
      <c r="E20" s="359"/>
      <c r="F20" s="359"/>
      <c r="G20" s="359"/>
      <c r="H20" s="359"/>
      <c r="I20" s="359"/>
      <c r="J20" s="359"/>
      <c r="K20" s="359"/>
      <c r="L20" s="359"/>
      <c r="M20" s="359"/>
      <c r="N20" s="359"/>
      <c r="O20" s="359"/>
      <c r="P20" s="359"/>
      <c r="Q20" s="359"/>
      <c r="R20" s="359"/>
      <c r="S20" s="359"/>
      <c r="T20" s="359"/>
      <c r="U20" s="359"/>
      <c r="V20" s="359"/>
      <c r="W20" s="359"/>
      <c r="X20" s="359"/>
      <c r="Y20" s="359"/>
      <c r="Z20" s="359"/>
      <c r="AA20" s="359"/>
      <c r="AB20" s="359"/>
      <c r="AC20" s="359"/>
      <c r="AD20" s="359"/>
      <c r="AE20" s="375"/>
      <c r="AF20" s="359"/>
      <c r="AG20" s="359"/>
      <c r="AH20" s="359"/>
      <c r="AI20" s="359"/>
      <c r="AJ20" s="359"/>
      <c r="AK20" s="359"/>
      <c r="AL20" s="359"/>
      <c r="AM20" s="359"/>
      <c r="AN20" s="359"/>
      <c r="AO20" s="359"/>
      <c r="AP20" s="359"/>
      <c r="AQ20" s="359"/>
      <c r="AR20" s="359"/>
      <c r="AS20" s="359"/>
      <c r="AT20" s="359"/>
      <c r="AU20" s="359"/>
      <c r="AV20" s="359"/>
      <c r="AW20" s="359"/>
      <c r="AX20" s="359"/>
      <c r="AY20" s="359"/>
      <c r="AZ20" s="359"/>
      <c r="BA20" s="359"/>
      <c r="BB20" s="359"/>
      <c r="BC20" s="359"/>
      <c r="BD20" s="359"/>
      <c r="BE20" s="359"/>
      <c r="BF20" s="359"/>
      <c r="BG20" s="359"/>
      <c r="BH20" s="359"/>
      <c r="BI20" s="359"/>
      <c r="BJ20" s="359"/>
      <c r="BK20" s="359"/>
      <c r="BL20" s="359"/>
      <c r="BM20" s="359"/>
      <c r="BN20" s="359"/>
      <c r="BO20" s="359"/>
      <c r="BP20" s="359"/>
      <c r="BQ20" s="359"/>
      <c r="BR20" s="359"/>
      <c r="BS20" s="359"/>
      <c r="BT20" s="359"/>
      <c r="BU20" s="359"/>
      <c r="BV20" s="359"/>
      <c r="BW20" s="359"/>
      <c r="BX20" s="359"/>
      <c r="BY20" s="359"/>
      <c r="BZ20" s="359"/>
      <c r="CA20" s="359"/>
      <c r="CB20" s="359"/>
      <c r="CC20" s="359"/>
      <c r="CD20" s="359"/>
      <c r="CE20" s="359"/>
      <c r="CF20" s="359"/>
      <c r="CG20" s="359"/>
      <c r="CH20" s="359"/>
      <c r="CI20" s="359"/>
      <c r="CJ20" s="359"/>
      <c r="CK20" s="359"/>
      <c r="CL20" s="359"/>
      <c r="CM20" s="359"/>
      <c r="CN20" s="359"/>
      <c r="CO20" s="359"/>
      <c r="CP20" s="359"/>
      <c r="CQ20" s="359"/>
      <c r="CR20" s="359"/>
      <c r="CS20" s="359"/>
    </row>
    <row r="21" collapsed="1">
      <c r="A21" s="376" t="s">
        <v>2842</v>
      </c>
      <c r="B21" s="68" t="str">
        <f>IFNA(IF(MATCH("END",A22:CS22,0)&gt;MATCH("END",A24:CS24,0),MATCH("END",A22:CS22,0),MATCH("END",A24:CS24,0)),"END Missing")</f>
        <v>END Missing</v>
      </c>
      <c r="C21" s="51" t="str">
        <f t="array" ref="C21">IF(AND(INDIRECT(CONCATENATE("$A$",ROW(C21)+5,":",ADDRESS(ROW(C21)+5,B21)))),"Headers Match","ERROR!! Headers Mismatch")</f>
        <v>#VALUE!</v>
      </c>
      <c r="E21" s="51" t="str">
        <f t="array" ref="E21">IF(AND(INDIRECT(CONCATENATE("$A$",ROW(E21)+6,":",ADDRESS(ROW(E21)+6,B21)))),"Formulas Match","ERROR!! Formulas Mismatch")</f>
        <v>#VALUE!</v>
      </c>
      <c r="F21" s="348"/>
    </row>
    <row r="22" hidden="1" outlineLevel="1">
      <c r="A22" s="60" t="str">
        <f t="shared" ref="A22:C22" si="8">INDIRECT(CONCATENATE($A21,"!",ADDRESS(1,COLUMN(A21))))</f>
        <v>TUBE ID</v>
      </c>
      <c r="B22" s="60" t="str">
        <f t="shared" si="8"/>
        <v>COLLECTION DATE</v>
      </c>
      <c r="C22" s="60" t="str">
        <f t="shared" si="8"/>
        <v>COLLECTION TIME</v>
      </c>
      <c r="E22" s="60" t="str">
        <f t="shared" ref="E22:AZ22" si="9">INDIRECT(CONCATENATE($A21,"!",ADDRESS(1,COLUMN(E21))))</f>
        <v>SPONSOR LASTNAME</v>
      </c>
      <c r="F22" s="60" t="str">
        <f t="shared" si="9"/>
        <v>PARTICIPANT FIRSTNAME</v>
      </c>
      <c r="G22" s="60" t="str">
        <f t="shared" si="9"/>
        <v>PARTICIPANT LASTNAME</v>
      </c>
      <c r="H22" s="60" t="str">
        <f t="shared" si="9"/>
        <v>PARTICIPANT EMAIL</v>
      </c>
      <c r="I22" s="60" t="str">
        <f t="shared" si="9"/>
        <v>MINOR FIRSTNAME</v>
      </c>
      <c r="J22" s="60" t="str">
        <f t="shared" si="9"/>
        <v>MINOR LASTNAME</v>
      </c>
      <c r="K22" s="60" t="str">
        <f t="shared" si="9"/>
        <v>APP
RESULT</v>
      </c>
      <c r="L22" s="60" t="str">
        <f t="shared" si="9"/>
        <v>RESULT DATE</v>
      </c>
      <c r="M22" s="60" t="str">
        <f t="shared" si="9"/>
        <v>RESULT TIME</v>
      </c>
      <c r="N22" s="60" t="str">
        <f t="shared" si="9"/>
        <v>APP
GROUP</v>
      </c>
      <c r="O22" s="60" t="str">
        <f t="shared" si="9"/>
        <v>NOTE</v>
      </c>
      <c r="P22" s="60" t="str">
        <f t="shared" si="9"/>
        <v>REPS IN RAW_APT?</v>
      </c>
      <c r="Q22" s="60" t="str">
        <f t="shared" si="9"/>
        <v>STATUS</v>
      </c>
      <c r="R22" s="60" t="str">
        <f t="shared" si="9"/>
        <v>Tube ID First Row?</v>
      </c>
      <c r="S22" s="60" t="str">
        <f t="shared" si="9"/>
        <v>Num Tube IDs</v>
      </c>
      <c r="T22" s="60" t="str">
        <f t="shared" si="9"/>
        <v>Add N Names</v>
      </c>
      <c r="U22" s="60" t="str">
        <f t="shared" si="9"/>
        <v>NOTE FIRSTNAME</v>
      </c>
      <c r="V22" s="60" t="str">
        <f t="shared" si="9"/>
        <v>NOTE LASTNAME</v>
      </c>
      <c r="W22" s="60" t="str">
        <f t="shared" si="9"/>
        <v>Names Adjust</v>
      </c>
      <c r="X22" s="60" t="str">
        <f t="shared" si="9"/>
        <v>Note Name?</v>
      </c>
      <c r="Y22" s="60" t="str">
        <f t="shared" si="9"/>
        <v>FRAN</v>
      </c>
      <c r="Z22" s="60" t="str">
        <f t="shared" si="9"/>
        <v>&gt;4 Samples</v>
      </c>
      <c r="AA22" s="60" t="str">
        <f t="shared" si="9"/>
        <v>Has Note?</v>
      </c>
      <c r="AB22" s="60" t="str">
        <f t="shared" si="9"/>
        <v>Preserve Note</v>
      </c>
      <c r="AC22" s="60" t="str">
        <f t="shared" si="9"/>
        <v>Initial Order</v>
      </c>
      <c r="AD22" s="60" t="str">
        <f t="shared" si="9"/>
        <v>Added from APT?</v>
      </c>
      <c r="AE22" s="60" t="str">
        <f t="shared" si="9"/>
        <v>Minutes Col to Result</v>
      </c>
      <c r="AF22" s="60" t="str">
        <f t="shared" si="9"/>
        <v>Tube IDs w Diff Times?</v>
      </c>
      <c r="AG22" s="60" t="str">
        <f t="shared" si="9"/>
        <v>Delete?</v>
      </c>
      <c r="AH22" s="60" t="str">
        <f t="shared" si="9"/>
        <v>Delete Code</v>
      </c>
      <c r="AI22" s="60" t="str">
        <f t="shared" si="9"/>
        <v>Basic Correct Code</v>
      </c>
      <c r="AJ22" s="60" t="str">
        <f t="shared" si="9"/>
        <v>Result Correct Code</v>
      </c>
      <c r="AK22" s="60" t="str">
        <f t="shared" si="9"/>
        <v>FINAL RESULT</v>
      </c>
      <c r="AL22" s="60" t="str">
        <f t="shared" si="9"/>
        <v>Correction Notes</v>
      </c>
      <c r="AM22" s="60" t="str">
        <f t="shared" si="9"/>
        <v>Sponsor ID</v>
      </c>
      <c r="AN22" s="60" t="str">
        <f t="shared" si="9"/>
        <v>Participant ID</v>
      </c>
      <c r="AO22" s="60" t="str">
        <f t="shared" si="9"/>
        <v>Sponsor
FullName</v>
      </c>
      <c r="AP22" s="60" t="str">
        <f t="shared" si="9"/>
        <v>Combined Participant Firstname</v>
      </c>
      <c r="AQ22" s="60" t="str">
        <f t="shared" si="9"/>
        <v>Combined Participant Lastname</v>
      </c>
      <c r="AR22" s="60" t="str">
        <f t="shared" si="9"/>
        <v>Combined Participant Fullname</v>
      </c>
      <c r="AS22" s="60" t="str">
        <f t="shared" si="9"/>
        <v>FINAL
GROUP</v>
      </c>
      <c r="AT22" s="60" t="str">
        <f t="shared" si="9"/>
        <v>ERROR!! NAME COLS CHECK? 767</v>
      </c>
      <c r="AU22" s="60" t="str">
        <f t="shared" si="9"/>
        <v>PARTCIP 
NAME COLS</v>
      </c>
      <c r="AV22" s="60" t="str">
        <f t="shared" si="9"/>
        <v>MINOR 
NAME COLS</v>
      </c>
      <c r="AW22" s="60" t="str">
        <f t="shared" si="9"/>
        <v>NOTE 
NAME COLS</v>
      </c>
      <c r="AX22" s="60" t="str">
        <f t="shared" si="9"/>
        <v>Note Name Extras - Rows Added Not Orig Tube ID Row</v>
      </c>
      <c r="AY22" s="60">
        <f t="shared" si="9"/>
        <v>0</v>
      </c>
      <c r="AZ22" s="60" t="str">
        <f t="shared" si="9"/>
        <v>END</v>
      </c>
      <c r="BA22" s="60"/>
      <c r="BB22" s="60"/>
      <c r="BC22" s="60"/>
      <c r="BD22" s="60"/>
      <c r="BE22" s="60"/>
      <c r="BF22" s="60"/>
      <c r="BG22" s="60"/>
      <c r="BH22" s="60"/>
      <c r="BI22" s="60"/>
      <c r="BJ22" s="60"/>
      <c r="BK22" s="60"/>
      <c r="BL22" s="60"/>
      <c r="BM22" s="60"/>
      <c r="BN22" s="60"/>
      <c r="BO22" s="60"/>
      <c r="BP22" s="60"/>
      <c r="BQ22" s="60"/>
      <c r="BR22" s="60"/>
      <c r="BS22" s="60"/>
      <c r="BT22" s="60"/>
      <c r="BU22" s="60"/>
      <c r="BV22" s="60"/>
      <c r="BW22" s="60"/>
      <c r="BX22" s="60"/>
      <c r="BY22" s="60"/>
      <c r="BZ22" s="60"/>
      <c r="CA22" s="60"/>
      <c r="CB22" s="60"/>
      <c r="CC22" s="60"/>
      <c r="CD22" s="60"/>
      <c r="CE22" s="60"/>
      <c r="CF22" s="60"/>
      <c r="CG22" s="60"/>
      <c r="CH22" s="60"/>
      <c r="CI22" s="60"/>
      <c r="CJ22" s="60"/>
      <c r="CK22" s="60"/>
      <c r="CL22" s="60"/>
      <c r="CM22" s="60"/>
      <c r="CN22" s="60"/>
      <c r="CO22" s="60"/>
      <c r="CP22" s="60"/>
      <c r="CQ22" s="60"/>
      <c r="CR22" s="60"/>
      <c r="CS22" s="60"/>
    </row>
    <row r="23" hidden="1" outlineLevel="1">
      <c r="A23" s="359" t="str">
        <f t="shared" ref="A23:C23" si="10">IF(_xlfn.ISFORMULA(INDIRECT(CONCATENATE($A21,"!",ADDRESS(2,COLUMN(A23))))),FORMULATEXT(INDIRECT(CONCATENATE($A21,"!",ADDRESS(2,COLUMN(A23))))),IFERROR(0/0,""))</f>
        <v>=IF(preDEL!$AG2,IFERROR(0/0),preDEL!A2)</v>
      </c>
      <c r="B23" s="359" t="str">
        <f t="shared" si="10"/>
        <v>=IF(preDEL!$AG2,IFERROR(0/0),preDEL!B2)</v>
      </c>
      <c r="C23" s="359" t="str">
        <f t="shared" si="10"/>
        <v>=IF(preDEL!$AG2,IFERROR(0/0),preDEL!C2)</v>
      </c>
      <c r="E23" s="359" t="str">
        <f t="shared" ref="E23:AZ23" si="11">IF(_xlfn.ISFORMULA(INDIRECT(CONCATENATE($A21,"!",ADDRESS(2,COLUMN(E23))))),FORMULATEXT(INDIRECT(CONCATENATE($A21,"!",ADDRESS(2,COLUMN(E23))))),IFERROR(0/0,""))</f>
        <v>=IF(preDEL!$AG2,IFERROR(0/0),preDEL!E2)</v>
      </c>
      <c r="F23" s="359" t="str">
        <f t="shared" si="11"/>
        <v>=IF(preDEL!$AG2,IFERROR(0/0),preDEL!F2)</v>
      </c>
      <c r="G23" s="359" t="str">
        <f t="shared" si="11"/>
        <v>=IF(preDEL!$AG2,IFERROR(0/0),preDEL!G2)</v>
      </c>
      <c r="H23" s="359" t="str">
        <f t="shared" si="11"/>
        <v>=IF(preDEL!$AG2,IFERROR(0/0),preDEL!H2)</v>
      </c>
      <c r="I23" s="359" t="str">
        <f t="shared" si="11"/>
        <v>=IF(preDEL!$AG2,IFERROR(0/0),preDEL!I2)</v>
      </c>
      <c r="J23" s="359" t="str">
        <f t="shared" si="11"/>
        <v>=IF(preDEL!$AG2,IFERROR(0/0),preDEL!J2)</v>
      </c>
      <c r="K23" s="359" t="str">
        <f t="shared" si="11"/>
        <v>=IF(preDEL!$AG2,IFERROR(0/0),preDEL!K2)</v>
      </c>
      <c r="L23" s="359" t="str">
        <f t="shared" si="11"/>
        <v>=IF(preDEL!$AG2,IFERROR(0/0),preDEL!L2)</v>
      </c>
      <c r="M23" s="359" t="str">
        <f t="shared" si="11"/>
        <v>=IF(preDEL!$AG2,IFERROR(0/0),preDEL!M2)</v>
      </c>
      <c r="N23" s="359" t="str">
        <f t="shared" si="11"/>
        <v>=IF(preDEL!$AG2,IFERROR(0/0),preDEL!N2)</v>
      </c>
      <c r="O23" s="359" t="str">
        <f t="shared" si="11"/>
        <v>=IF(preDEL!$AG2,IFERROR(0/0),preDEL!O2)</v>
      </c>
      <c r="P23" s="359" t="str">
        <f t="shared" si="11"/>
        <v>=IF(preDEL!$AG2,IFERROR(0/0),preDEL!P2)</v>
      </c>
      <c r="Q23" s="359" t="str">
        <f t="shared" si="11"/>
        <v>=IF(preDEL!$AG2,IFERROR(0/0),preDEL!Q2)</v>
      </c>
      <c r="R23" s="359" t="str">
        <f t="shared" si="11"/>
        <v>=IF(preDEL!$AG2,IFERROR(0/0),preDEL!R2)</v>
      </c>
      <c r="S23" s="359" t="str">
        <f t="shared" si="11"/>
        <v>=IF(preDEL!$AG2,IFERROR(0/0),preDEL!S2)</v>
      </c>
      <c r="T23" s="359" t="str">
        <f t="shared" si="11"/>
        <v>=IF(preDEL!$AG2,IFERROR(0/0),preDEL!T2)</v>
      </c>
      <c r="U23" s="359" t="str">
        <f t="shared" si="11"/>
        <v>=IF(preDEL!$AG2,IFERROR(0/0),preDEL!U2)</v>
      </c>
      <c r="V23" s="359" t="str">
        <f t="shared" si="11"/>
        <v>=IF(preDEL!$AG2,IFERROR(0/0),preDEL!V2)</v>
      </c>
      <c r="W23" s="359" t="str">
        <f t="shared" si="11"/>
        <v>=IF(preDEL!$AG2,IFERROR(0/0),preDEL!W2)</v>
      </c>
      <c r="X23" s="359" t="str">
        <f t="shared" si="11"/>
        <v>=IF(preDEL!$AG2,IFERROR(0/0),preDEL!X2)</v>
      </c>
      <c r="Y23" s="359" t="str">
        <f t="shared" si="11"/>
        <v>=IF(preDEL!$AG2,IFERROR(0/0),preDEL!Y2)</v>
      </c>
      <c r="Z23" s="359" t="str">
        <f t="shared" si="11"/>
        <v>=IF(preDEL!$AG2,IFERROR(0/0),preDEL!Z2)</v>
      </c>
      <c r="AA23" s="359" t="str">
        <f t="shared" si="11"/>
        <v>=IF(preDEL!$AG2,IFERROR(0/0),preDEL!AA2)</v>
      </c>
      <c r="AB23" s="359" t="str">
        <f t="shared" si="11"/>
        <v>=IF(preDEL!$AG2,IFERROR(0/0),preDEL!AB2)</v>
      </c>
      <c r="AC23" s="359" t="str">
        <f t="shared" si="11"/>
        <v>=IF(preDEL!$AG2,IFERROR(0/0),preDEL!AC2)</v>
      </c>
      <c r="AD23" s="359" t="str">
        <f t="shared" si="11"/>
        <v>=IF(preDEL!$AG2,IFERROR(0/0),preDEL!AD2)</v>
      </c>
      <c r="AE23" s="359" t="str">
        <f t="shared" si="11"/>
        <v>=IF(preDEL!$AG2,IFERROR(0/0),preDEL!AE2)</v>
      </c>
      <c r="AF23" s="359" t="str">
        <f t="shared" si="11"/>
        <v>=IF(preDEL!$AG2,IFERROR(0/0),preDEL!AF2)</v>
      </c>
      <c r="AG23" s="359" t="str">
        <f t="shared" si="11"/>
        <v>=IF(preDEL!$AG2,IFERROR(0/0),preDEL!AG2)</v>
      </c>
      <c r="AH23" s="359" t="str">
        <f t="shared" si="11"/>
        <v>=IF(preDEL!$AG2,IFERROR(0/0),preDEL!AH2)</v>
      </c>
      <c r="AI23" s="359" t="str">
        <f t="shared" si="11"/>
        <v>=IF(preDEL!$AG2,IFERROR(0/0),preDEL!AI2)</v>
      </c>
      <c r="AJ23" s="359" t="str">
        <f t="shared" si="11"/>
        <v>=IF(preDEL!$AG2,IFERROR(0/0),preDEL!AJ2)</v>
      </c>
      <c r="AK23" s="359" t="str">
        <f t="shared" si="11"/>
        <v>=IF(preDEL!$AG2,IFERROR(0/0),preDEL!AK2)</v>
      </c>
      <c r="AL23" s="359" t="str">
        <f t="shared" si="11"/>
        <v>=IF(preDEL!$AG2,IFERROR(0/0),preDEL!AL2)</v>
      </c>
      <c r="AM23" s="359" t="str">
        <f t="shared" si="11"/>
        <v>=IF(preDEL!$AG2,IFERROR(0/0),preDEL!AM2)</v>
      </c>
      <c r="AN23" s="359" t="str">
        <f t="shared" si="11"/>
        <v>=IF(preDEL!$AG2,IFERROR(0/0),preDEL!AN2)</v>
      </c>
      <c r="AO23" s="359" t="str">
        <f t="shared" si="11"/>
        <v>=IF(preDEL!$AG2,IFERROR(0/0),preDEL!AO2)</v>
      </c>
      <c r="AP23" s="359" t="str">
        <f t="shared" si="11"/>
        <v>=IF(preDEL!$AG2,IFERROR(0/0),preDEL!AP2)</v>
      </c>
      <c r="AQ23" s="359" t="str">
        <f t="shared" si="11"/>
        <v>=IF(preDEL!$AG2,IFERROR(0/0),preDEL!AQ2)</v>
      </c>
      <c r="AR23" s="359" t="str">
        <f t="shared" si="11"/>
        <v>=IF(preDEL!$AG2,IFERROR(0/0),preDEL!AR2)</v>
      </c>
      <c r="AS23" s="359" t="str">
        <f t="shared" si="11"/>
        <v>=IF(preDEL!$AG2,IFERROR(0/0),preDEL!AS2)</v>
      </c>
      <c r="AT23" s="359" t="str">
        <f t="shared" si="11"/>
        <v>=IF(preDEL!$AG2,IFERROR(0/0),preDEL!AT2)</v>
      </c>
      <c r="AU23" s="359" t="str">
        <f t="shared" si="11"/>
        <v>=IF(preDEL!$AG2,IFERROR(0/0),preDEL!AU2)</v>
      </c>
      <c r="AV23" s="359" t="str">
        <f t="shared" si="11"/>
        <v>=IF(preDEL!$AG2,IFERROR(0/0),preDEL!AV2)</v>
      </c>
      <c r="AW23" s="359" t="str">
        <f t="shared" si="11"/>
        <v>=IF(preDEL!$AG2,IFERROR(0/0),preDEL!AW2)</v>
      </c>
      <c r="AX23" s="359" t="str">
        <f t="shared" si="11"/>
        <v>=IF(preDEL!$AG2,IFERROR(0/0),preDEL!AX2)</v>
      </c>
      <c r="AY23" s="359" t="str">
        <f t="shared" si="11"/>
        <v>=IF(preDEL!$AG2,IFERROR(0/0),preDEL!AY2)</v>
      </c>
      <c r="AZ23" s="359" t="str">
        <f t="shared" si="11"/>
        <v/>
      </c>
      <c r="BA23" s="359"/>
      <c r="BB23" s="359"/>
      <c r="BC23" s="359"/>
      <c r="BD23" s="359"/>
      <c r="BE23" s="359"/>
      <c r="BF23" s="359"/>
      <c r="BG23" s="359"/>
      <c r="BH23" s="359"/>
      <c r="BI23" s="359"/>
      <c r="BJ23" s="359"/>
      <c r="BK23" s="359"/>
      <c r="BL23" s="359"/>
      <c r="BM23" s="359"/>
      <c r="BN23" s="359"/>
      <c r="BO23" s="359"/>
      <c r="BP23" s="359"/>
      <c r="BQ23" s="359"/>
      <c r="BR23" s="359"/>
      <c r="BS23" s="359"/>
      <c r="BT23" s="359"/>
      <c r="BU23" s="359"/>
      <c r="BV23" s="359"/>
      <c r="BW23" s="359"/>
      <c r="BX23" s="359"/>
      <c r="BY23" s="359"/>
      <c r="BZ23" s="359"/>
      <c r="CA23" s="359"/>
      <c r="CB23" s="359"/>
      <c r="CC23" s="359"/>
      <c r="CD23" s="359"/>
      <c r="CE23" s="359"/>
      <c r="CF23" s="359"/>
      <c r="CG23" s="359"/>
      <c r="CH23" s="359"/>
      <c r="CI23" s="359"/>
      <c r="CJ23" s="359"/>
      <c r="CK23" s="359"/>
      <c r="CL23" s="359"/>
      <c r="CM23" s="359"/>
      <c r="CN23" s="359"/>
      <c r="CO23" s="359"/>
      <c r="CP23" s="359"/>
      <c r="CQ23" s="359"/>
      <c r="CR23" s="359"/>
      <c r="CS23" s="359"/>
    </row>
    <row r="24" hidden="1" outlineLevel="1">
      <c r="A24" s="377" t="str">
        <f>IFERROR(__xludf.DUMMYFUNCTION("IMPORTRANGE($B$1,CONCATENATE($A21,""!A1:1""))"),"#REF!")</f>
        <v>#REF!</v>
      </c>
      <c r="B24" s="377"/>
      <c r="C24" s="377"/>
      <c r="E24" s="377"/>
      <c r="F24" s="377"/>
      <c r="G24" s="377"/>
      <c r="H24" s="377"/>
      <c r="I24" s="377"/>
      <c r="J24" s="377"/>
      <c r="K24" s="377"/>
      <c r="L24" s="377"/>
      <c r="M24" s="377"/>
      <c r="N24" s="377"/>
      <c r="O24" s="377"/>
      <c r="P24" s="377"/>
      <c r="Q24" s="377"/>
      <c r="R24" s="377"/>
      <c r="S24" s="377"/>
      <c r="T24" s="377"/>
      <c r="U24" s="377"/>
      <c r="V24" s="377"/>
      <c r="W24" s="377"/>
      <c r="X24" s="377"/>
      <c r="Y24" s="377"/>
      <c r="Z24" s="377"/>
      <c r="AA24" s="377"/>
      <c r="AB24" s="377"/>
      <c r="AC24" s="377"/>
      <c r="AD24" s="377"/>
      <c r="AE24" s="377"/>
      <c r="AF24" s="377"/>
      <c r="AG24" s="377"/>
      <c r="AH24" s="377"/>
      <c r="AI24" s="377"/>
      <c r="AJ24" s="377"/>
      <c r="AK24" s="377"/>
      <c r="AL24" s="377"/>
      <c r="AM24" s="377"/>
      <c r="AN24" s="377"/>
      <c r="AO24" s="377"/>
      <c r="AP24" s="377"/>
      <c r="AQ24" s="377"/>
      <c r="AR24" s="377"/>
      <c r="AS24" s="377"/>
      <c r="AT24" s="377"/>
      <c r="AU24" s="377"/>
      <c r="AV24" s="377"/>
      <c r="AW24" s="377"/>
      <c r="AX24" s="377"/>
      <c r="AY24" s="377"/>
      <c r="AZ24" s="377"/>
      <c r="BA24" s="377"/>
      <c r="BB24" s="377"/>
      <c r="BC24" s="377"/>
      <c r="BD24" s="377"/>
      <c r="BE24" s="377"/>
      <c r="BF24" s="377"/>
      <c r="BG24" s="356"/>
      <c r="BH24" s="356"/>
      <c r="BI24" s="356"/>
      <c r="BJ24" s="356"/>
      <c r="BK24" s="356"/>
      <c r="BL24" s="356"/>
      <c r="BM24" s="356"/>
      <c r="BN24" s="356"/>
      <c r="BO24" s="356"/>
      <c r="BP24" s="356"/>
      <c r="BQ24" s="356"/>
      <c r="BR24" s="356"/>
      <c r="BS24" s="356"/>
      <c r="BT24" s="356"/>
      <c r="BU24" s="356"/>
      <c r="BV24" s="356"/>
      <c r="BW24" s="356"/>
      <c r="BX24" s="356"/>
      <c r="BY24" s="356"/>
      <c r="BZ24" s="356"/>
      <c r="CA24" s="356"/>
      <c r="CB24" s="356"/>
      <c r="CC24" s="356"/>
      <c r="CD24" s="356"/>
      <c r="CE24" s="356"/>
      <c r="CF24" s="356"/>
      <c r="CG24" s="356"/>
      <c r="CH24" s="356"/>
      <c r="CI24" s="356"/>
      <c r="CJ24" s="356"/>
      <c r="CK24" s="356"/>
      <c r="CL24" s="356"/>
      <c r="CM24" s="356"/>
      <c r="CN24" s="356"/>
      <c r="CO24" s="356"/>
      <c r="CP24" s="356"/>
      <c r="CQ24" s="356"/>
      <c r="CR24" s="356"/>
      <c r="CS24" s="356"/>
    </row>
    <row r="25" hidden="1" outlineLevel="1">
      <c r="A25" s="359" t="str">
        <f>IFERROR(__xludf.DUMMYFUNCTION("IMPORTRANGE($B$1,CONCATENATE($A21,""!A3:3""))"),"#REF!")</f>
        <v>#REF!</v>
      </c>
      <c r="B25" s="227"/>
      <c r="C25" s="227"/>
      <c r="E25" s="227"/>
      <c r="F25" s="227"/>
      <c r="G25" s="227"/>
      <c r="H25" s="227"/>
      <c r="I25" s="227"/>
      <c r="J25" s="227"/>
      <c r="K25" s="227"/>
      <c r="L25" s="227"/>
      <c r="M25" s="227"/>
      <c r="N25" s="227"/>
      <c r="O25" s="227"/>
      <c r="P25" s="227"/>
      <c r="Q25" s="227"/>
      <c r="R25" s="227"/>
      <c r="S25" s="227"/>
      <c r="T25" s="227"/>
      <c r="U25" s="227"/>
      <c r="V25" s="227"/>
      <c r="W25" s="227"/>
      <c r="X25" s="227"/>
      <c r="Y25" s="227"/>
      <c r="Z25" s="227"/>
      <c r="AA25" s="227"/>
      <c r="AB25" s="227"/>
      <c r="AC25" s="227"/>
      <c r="AD25" s="227"/>
      <c r="AE25" s="227"/>
      <c r="AF25" s="227"/>
      <c r="AG25" s="227"/>
      <c r="AH25" s="227"/>
      <c r="AI25" s="227"/>
      <c r="AJ25" s="227"/>
      <c r="AK25" s="227"/>
      <c r="AL25" s="227"/>
      <c r="AM25" s="227"/>
      <c r="AN25" s="227"/>
      <c r="AO25" s="227"/>
      <c r="AP25" s="227"/>
      <c r="AQ25" s="227"/>
      <c r="AR25" s="227"/>
      <c r="AS25" s="227"/>
      <c r="AT25" s="227"/>
      <c r="AU25" s="227"/>
      <c r="AV25" s="227"/>
      <c r="AW25" s="227"/>
      <c r="AX25" s="227"/>
      <c r="AY25" s="227"/>
      <c r="AZ25" s="227"/>
      <c r="BA25" s="227"/>
      <c r="BB25" s="227"/>
      <c r="BC25" s="227"/>
      <c r="BD25" s="227"/>
      <c r="BE25" s="227"/>
      <c r="BF25" s="227"/>
      <c r="BG25" s="227"/>
      <c r="BH25" s="227"/>
      <c r="BI25" s="227"/>
      <c r="BJ25" s="227"/>
      <c r="BK25" s="227"/>
      <c r="BL25" s="227"/>
      <c r="BM25" s="227"/>
      <c r="BN25" s="227"/>
      <c r="BO25" s="227"/>
      <c r="BP25" s="227"/>
      <c r="BQ25" s="227"/>
      <c r="BR25" s="227"/>
      <c r="BS25" s="227"/>
      <c r="BT25" s="227"/>
      <c r="BU25" s="227"/>
      <c r="BV25" s="227"/>
      <c r="BW25" s="227"/>
      <c r="BX25" s="227"/>
      <c r="BY25" s="227"/>
      <c r="BZ25" s="227"/>
      <c r="CA25" s="227"/>
      <c r="CB25" s="227"/>
      <c r="CC25" s="227"/>
      <c r="CD25" s="227"/>
      <c r="CE25" s="227"/>
      <c r="CF25" s="227"/>
      <c r="CG25" s="227"/>
      <c r="CH25" s="227"/>
      <c r="CI25" s="227"/>
      <c r="CJ25" s="227"/>
      <c r="CK25" s="227"/>
      <c r="CL25" s="227"/>
      <c r="CM25" s="227"/>
      <c r="CN25" s="227"/>
      <c r="CO25" s="227"/>
      <c r="CP25" s="227"/>
      <c r="CQ25" s="227"/>
      <c r="CR25" s="227"/>
      <c r="CS25" s="227"/>
    </row>
    <row r="26" hidden="1" outlineLevel="1">
      <c r="A26" s="369" t="str">
        <f t="shared" ref="A26:C26" si="12">IFS(AND(EXACT(LEFT(A24,5),"ERROR"),EXACT(LEFT(A22,5),"ERROR")), EXACT(MID(A24,9,10),MID(A22,9,10)), EXACT(LEFT(A24,5),"ERROR"), EXACT(LEFT(A22,10),MID(A24,9,10)),EXACT(LEFT(A22,5),"ERROR"), EXACT(LEFT(A24,10),MID(A22,9,10)),TRUE, EXACT(A22,A24))</f>
        <v>#REF!</v>
      </c>
      <c r="B26" s="369" t="b">
        <f t="shared" si="12"/>
        <v>0</v>
      </c>
      <c r="C26" s="369" t="b">
        <f t="shared" si="12"/>
        <v>0</v>
      </c>
      <c r="E26" s="369" t="b">
        <f t="shared" ref="E26:AR26" si="13">IFS(AND(EXACT(LEFT(E24,5),"ERROR"),EXACT(LEFT(E22,5),"ERROR")), EXACT(MID(E24,9,10),MID(E22,9,10)), EXACT(LEFT(E24,5),"ERROR"), EXACT(LEFT(E22,10),MID(E24,9,10)),EXACT(LEFT(E22,5),"ERROR"), EXACT(LEFT(E24,10),MID(E22,9,10)),TRUE, EXACT(E22,E24))</f>
        <v>0</v>
      </c>
      <c r="F26" s="369" t="b">
        <f t="shared" si="13"/>
        <v>0</v>
      </c>
      <c r="G26" s="369" t="b">
        <f t="shared" si="13"/>
        <v>0</v>
      </c>
      <c r="H26" s="369" t="b">
        <f t="shared" si="13"/>
        <v>0</v>
      </c>
      <c r="I26" s="369" t="b">
        <f t="shared" si="13"/>
        <v>0</v>
      </c>
      <c r="J26" s="369" t="b">
        <f t="shared" si="13"/>
        <v>0</v>
      </c>
      <c r="K26" s="369" t="b">
        <f t="shared" si="13"/>
        <v>0</v>
      </c>
      <c r="L26" s="369" t="b">
        <f t="shared" si="13"/>
        <v>0</v>
      </c>
      <c r="M26" s="369" t="b">
        <f t="shared" si="13"/>
        <v>0</v>
      </c>
      <c r="N26" s="369" t="b">
        <f t="shared" si="13"/>
        <v>0</v>
      </c>
      <c r="O26" s="369" t="b">
        <f t="shared" si="13"/>
        <v>0</v>
      </c>
      <c r="P26" s="369" t="b">
        <f t="shared" si="13"/>
        <v>0</v>
      </c>
      <c r="Q26" s="369" t="b">
        <f t="shared" si="13"/>
        <v>0</v>
      </c>
      <c r="R26" s="369" t="b">
        <f t="shared" si="13"/>
        <v>0</v>
      </c>
      <c r="S26" s="369" t="b">
        <f t="shared" si="13"/>
        <v>0</v>
      </c>
      <c r="T26" s="369" t="b">
        <f t="shared" si="13"/>
        <v>0</v>
      </c>
      <c r="U26" s="369" t="b">
        <f t="shared" si="13"/>
        <v>0</v>
      </c>
      <c r="V26" s="369" t="b">
        <f t="shared" si="13"/>
        <v>0</v>
      </c>
      <c r="W26" s="369" t="b">
        <f t="shared" si="13"/>
        <v>0</v>
      </c>
      <c r="X26" s="369" t="b">
        <f t="shared" si="13"/>
        <v>0</v>
      </c>
      <c r="Y26" s="369" t="b">
        <f t="shared" si="13"/>
        <v>0</v>
      </c>
      <c r="Z26" s="369" t="b">
        <f t="shared" si="13"/>
        <v>0</v>
      </c>
      <c r="AA26" s="369" t="b">
        <f t="shared" si="13"/>
        <v>0</v>
      </c>
      <c r="AB26" s="369" t="b">
        <f t="shared" si="13"/>
        <v>0</v>
      </c>
      <c r="AC26" s="369" t="b">
        <f t="shared" si="13"/>
        <v>0</v>
      </c>
      <c r="AD26" s="369" t="b">
        <f t="shared" si="13"/>
        <v>0</v>
      </c>
      <c r="AE26" s="369" t="b">
        <f t="shared" si="13"/>
        <v>0</v>
      </c>
      <c r="AF26" s="369" t="b">
        <f t="shared" si="13"/>
        <v>0</v>
      </c>
      <c r="AG26" s="369" t="b">
        <f t="shared" si="13"/>
        <v>0</v>
      </c>
      <c r="AH26" s="369" t="b">
        <f t="shared" si="13"/>
        <v>0</v>
      </c>
      <c r="AI26" s="369" t="b">
        <f t="shared" si="13"/>
        <v>0</v>
      </c>
      <c r="AJ26" s="369" t="b">
        <f t="shared" si="13"/>
        <v>0</v>
      </c>
      <c r="AK26" s="369" t="b">
        <f t="shared" si="13"/>
        <v>0</v>
      </c>
      <c r="AL26" s="369" t="b">
        <f t="shared" si="13"/>
        <v>0</v>
      </c>
      <c r="AM26" s="369" t="b">
        <f t="shared" si="13"/>
        <v>0</v>
      </c>
      <c r="AN26" s="369" t="b">
        <f t="shared" si="13"/>
        <v>0</v>
      </c>
      <c r="AO26" s="369" t="b">
        <f t="shared" si="13"/>
        <v>0</v>
      </c>
      <c r="AP26" s="369" t="b">
        <f t="shared" si="13"/>
        <v>0</v>
      </c>
      <c r="AQ26" s="369" t="b">
        <f t="shared" si="13"/>
        <v>0</v>
      </c>
      <c r="AR26" s="369" t="b">
        <f t="shared" si="13"/>
        <v>0</v>
      </c>
      <c r="AS26" s="369"/>
      <c r="AT26" s="369"/>
      <c r="AU26" s="369"/>
      <c r="AV26" s="369"/>
      <c r="AW26" s="369"/>
      <c r="AX26" s="369"/>
      <c r="AY26" s="369"/>
      <c r="AZ26" s="369"/>
      <c r="BA26" s="369"/>
      <c r="BB26" s="369"/>
      <c r="BC26" s="369"/>
      <c r="BD26" s="369"/>
      <c r="BE26" s="369"/>
      <c r="BF26" s="369"/>
      <c r="BG26" s="369"/>
      <c r="BH26" s="369"/>
      <c r="BI26" s="369"/>
      <c r="BJ26" s="369"/>
      <c r="BK26" s="369"/>
      <c r="BL26" s="369"/>
      <c r="BM26" s="369"/>
      <c r="BN26" s="369"/>
      <c r="BO26" s="369"/>
      <c r="BP26" s="369"/>
      <c r="BQ26" s="369"/>
      <c r="BR26" s="369"/>
      <c r="BS26" s="369"/>
      <c r="BT26" s="369"/>
      <c r="BU26" s="369"/>
      <c r="BV26" s="369"/>
      <c r="BW26" s="369"/>
      <c r="BX26" s="369"/>
      <c r="BY26" s="369"/>
      <c r="BZ26" s="369"/>
      <c r="CA26" s="369"/>
      <c r="CB26" s="369"/>
      <c r="CC26" s="369"/>
      <c r="CD26" s="369"/>
      <c r="CE26" s="369"/>
      <c r="CF26" s="369"/>
      <c r="CG26" s="369"/>
      <c r="CH26" s="369"/>
      <c r="CI26" s="369"/>
      <c r="CJ26" s="369"/>
      <c r="CK26" s="369"/>
      <c r="CL26" s="369"/>
      <c r="CM26" s="369"/>
      <c r="CN26" s="369"/>
      <c r="CO26" s="369"/>
      <c r="CP26" s="369"/>
      <c r="CQ26" s="369"/>
      <c r="CR26" s="369"/>
      <c r="CS26" s="369"/>
    </row>
    <row r="27" hidden="1" outlineLevel="1">
      <c r="A27" s="359" t="str">
        <f t="shared" ref="A27:C27" si="14">EXACT(A23,A25)</f>
        <v>#REF!</v>
      </c>
      <c r="B27" s="359" t="b">
        <f t="shared" si="14"/>
        <v>0</v>
      </c>
      <c r="C27" s="359" t="b">
        <f t="shared" si="14"/>
        <v>0</v>
      </c>
      <c r="E27" s="359" t="b">
        <f t="shared" ref="E27:AR27" si="15">EXACT(E23,E25)</f>
        <v>0</v>
      </c>
      <c r="F27" s="359" t="b">
        <f t="shared" si="15"/>
        <v>0</v>
      </c>
      <c r="G27" s="359" t="b">
        <f t="shared" si="15"/>
        <v>0</v>
      </c>
      <c r="H27" s="359" t="b">
        <f t="shared" si="15"/>
        <v>0</v>
      </c>
      <c r="I27" s="359" t="b">
        <f t="shared" si="15"/>
        <v>0</v>
      </c>
      <c r="J27" s="359" t="b">
        <f t="shared" si="15"/>
        <v>0</v>
      </c>
      <c r="K27" s="359" t="b">
        <f t="shared" si="15"/>
        <v>0</v>
      </c>
      <c r="L27" s="359" t="b">
        <f t="shared" si="15"/>
        <v>0</v>
      </c>
      <c r="M27" s="359" t="b">
        <f t="shared" si="15"/>
        <v>0</v>
      </c>
      <c r="N27" s="359" t="b">
        <f t="shared" si="15"/>
        <v>0</v>
      </c>
      <c r="O27" s="359" t="b">
        <f t="shared" si="15"/>
        <v>0</v>
      </c>
      <c r="P27" s="359" t="b">
        <f t="shared" si="15"/>
        <v>0</v>
      </c>
      <c r="Q27" s="359" t="b">
        <f t="shared" si="15"/>
        <v>0</v>
      </c>
      <c r="R27" s="359" t="b">
        <f t="shared" si="15"/>
        <v>0</v>
      </c>
      <c r="S27" s="359" t="b">
        <f t="shared" si="15"/>
        <v>0</v>
      </c>
      <c r="T27" s="359" t="b">
        <f t="shared" si="15"/>
        <v>0</v>
      </c>
      <c r="U27" s="359" t="b">
        <f t="shared" si="15"/>
        <v>0</v>
      </c>
      <c r="V27" s="359" t="b">
        <f t="shared" si="15"/>
        <v>0</v>
      </c>
      <c r="W27" s="359" t="b">
        <f t="shared" si="15"/>
        <v>0</v>
      </c>
      <c r="X27" s="359" t="b">
        <f t="shared" si="15"/>
        <v>0</v>
      </c>
      <c r="Y27" s="359" t="b">
        <f t="shared" si="15"/>
        <v>0</v>
      </c>
      <c r="Z27" s="359" t="b">
        <f t="shared" si="15"/>
        <v>0</v>
      </c>
      <c r="AA27" s="359" t="b">
        <f t="shared" si="15"/>
        <v>0</v>
      </c>
      <c r="AB27" s="359" t="b">
        <f t="shared" si="15"/>
        <v>0</v>
      </c>
      <c r="AC27" s="359" t="b">
        <f t="shared" si="15"/>
        <v>0</v>
      </c>
      <c r="AD27" s="359" t="b">
        <f t="shared" si="15"/>
        <v>0</v>
      </c>
      <c r="AE27" s="359" t="b">
        <f t="shared" si="15"/>
        <v>0</v>
      </c>
      <c r="AF27" s="359" t="b">
        <f t="shared" si="15"/>
        <v>0</v>
      </c>
      <c r="AG27" s="359" t="b">
        <f t="shared" si="15"/>
        <v>0</v>
      </c>
      <c r="AH27" s="359" t="b">
        <f t="shared" si="15"/>
        <v>0</v>
      </c>
      <c r="AI27" s="359" t="b">
        <f t="shared" si="15"/>
        <v>0</v>
      </c>
      <c r="AJ27" s="359" t="b">
        <f t="shared" si="15"/>
        <v>0</v>
      </c>
      <c r="AK27" s="359" t="b">
        <f t="shared" si="15"/>
        <v>0</v>
      </c>
      <c r="AL27" s="359" t="b">
        <f t="shared" si="15"/>
        <v>0</v>
      </c>
      <c r="AM27" s="359" t="b">
        <f t="shared" si="15"/>
        <v>0</v>
      </c>
      <c r="AN27" s="359" t="b">
        <f t="shared" si="15"/>
        <v>0</v>
      </c>
      <c r="AO27" s="359" t="b">
        <f t="shared" si="15"/>
        <v>0</v>
      </c>
      <c r="AP27" s="359" t="b">
        <f t="shared" si="15"/>
        <v>0</v>
      </c>
      <c r="AQ27" s="359" t="b">
        <f t="shared" si="15"/>
        <v>0</v>
      </c>
      <c r="AR27" s="359" t="b">
        <f t="shared" si="15"/>
        <v>0</v>
      </c>
      <c r="AS27" s="359"/>
      <c r="AT27" s="359"/>
      <c r="AU27" s="359"/>
      <c r="AV27" s="359"/>
      <c r="AW27" s="359"/>
      <c r="AX27" s="359"/>
      <c r="AY27" s="359"/>
      <c r="AZ27" s="359"/>
      <c r="BA27" s="359"/>
      <c r="BB27" s="359"/>
      <c r="BC27" s="359"/>
      <c r="BD27" s="359"/>
      <c r="BE27" s="359"/>
      <c r="BF27" s="359"/>
      <c r="BG27" s="359"/>
      <c r="BH27" s="359"/>
      <c r="BI27" s="359"/>
      <c r="BJ27" s="359"/>
      <c r="BK27" s="359"/>
      <c r="BL27" s="359"/>
      <c r="BM27" s="359"/>
      <c r="BN27" s="359"/>
      <c r="BO27" s="359"/>
      <c r="BP27" s="359"/>
      <c r="BQ27" s="359"/>
      <c r="BR27" s="359"/>
      <c r="BS27" s="359"/>
      <c r="BT27" s="359"/>
      <c r="BU27" s="359"/>
      <c r="BV27" s="359"/>
      <c r="BW27" s="359"/>
      <c r="BX27" s="359"/>
      <c r="BY27" s="359"/>
      <c r="BZ27" s="359"/>
      <c r="CA27" s="359"/>
      <c r="CB27" s="359"/>
      <c r="CC27" s="359"/>
      <c r="CD27" s="359"/>
      <c r="CE27" s="359"/>
      <c r="CF27" s="359"/>
      <c r="CG27" s="359"/>
      <c r="CH27" s="359"/>
      <c r="CI27" s="359"/>
      <c r="CJ27" s="359"/>
      <c r="CK27" s="359"/>
      <c r="CL27" s="359"/>
      <c r="CM27" s="359"/>
      <c r="CN27" s="359"/>
      <c r="CO27" s="359"/>
      <c r="CP27" s="359"/>
      <c r="CQ27" s="359"/>
      <c r="CR27" s="359"/>
      <c r="CS27" s="359"/>
    </row>
    <row r="29" collapsed="1">
      <c r="A29" s="376" t="s">
        <v>2843</v>
      </c>
      <c r="B29" s="68" t="str">
        <f>IFNA(IF(MATCH("END",A30:CS30,0)&gt;MATCH("END",A32:CS32,0),MATCH("END",A30:CS30,0),MATCH("END",A32:CS32,0)),"END Missing")</f>
        <v>END Missing</v>
      </c>
      <c r="C29" s="51" t="str">
        <f t="array" ref="C29">IF(AND(INDIRECT(CONCATENATE("$A$",ROW(C29)+5,":",ADDRESS(ROW(C29)+5,B29)))),"Headers Match","ERROR!! Headers Mismatch")</f>
        <v>#VALUE!</v>
      </c>
      <c r="E29" s="51" t="str">
        <f t="array" ref="E29">IF(AND(INDIRECT(CONCATENATE("$A$",ROW(E29)+6,":",ADDRESS(ROW(E29)+6,B29)))),"Formulas Match","ERROR!! Formulas Mismatch")</f>
        <v>#VALUE!</v>
      </c>
      <c r="F29" s="348"/>
    </row>
    <row r="30" hidden="1" outlineLevel="1">
      <c r="A30" s="60" t="str">
        <f t="shared" ref="A30:AZ30" si="16">INDIRECT(CONCATENATE($A29,"!",ADDRESS(1,COLUMN(A29))))</f>
        <v>#REF!</v>
      </c>
      <c r="B30" s="60" t="str">
        <f t="shared" si="16"/>
        <v>#REF!</v>
      </c>
      <c r="C30" s="60" t="str">
        <f t="shared" si="16"/>
        <v>#REF!</v>
      </c>
      <c r="D30" s="60" t="str">
        <f t="shared" si="16"/>
        <v>#REF!</v>
      </c>
      <c r="E30" s="60" t="str">
        <f t="shared" si="16"/>
        <v>#REF!</v>
      </c>
      <c r="F30" s="60" t="str">
        <f t="shared" si="16"/>
        <v>#REF!</v>
      </c>
      <c r="G30" s="60" t="str">
        <f t="shared" si="16"/>
        <v>#REF!</v>
      </c>
      <c r="H30" s="60" t="str">
        <f t="shared" si="16"/>
        <v>#REF!</v>
      </c>
      <c r="I30" s="60" t="str">
        <f t="shared" si="16"/>
        <v>#REF!</v>
      </c>
      <c r="J30" s="60" t="str">
        <f t="shared" si="16"/>
        <v>#REF!</v>
      </c>
      <c r="K30" s="60" t="str">
        <f t="shared" si="16"/>
        <v>#REF!</v>
      </c>
      <c r="L30" s="60" t="str">
        <f t="shared" si="16"/>
        <v>#REF!</v>
      </c>
      <c r="M30" s="60" t="str">
        <f t="shared" si="16"/>
        <v>#REF!</v>
      </c>
      <c r="N30" s="60" t="str">
        <f t="shared" si="16"/>
        <v>#REF!</v>
      </c>
      <c r="O30" s="60" t="str">
        <f t="shared" si="16"/>
        <v>#REF!</v>
      </c>
      <c r="P30" s="60" t="str">
        <f t="shared" si="16"/>
        <v>#REF!</v>
      </c>
      <c r="Q30" s="60" t="str">
        <f t="shared" si="16"/>
        <v>#REF!</v>
      </c>
      <c r="R30" s="60" t="str">
        <f t="shared" si="16"/>
        <v>#REF!</v>
      </c>
      <c r="S30" s="60" t="str">
        <f t="shared" si="16"/>
        <v>#REF!</v>
      </c>
      <c r="T30" s="60" t="str">
        <f t="shared" si="16"/>
        <v>#REF!</v>
      </c>
      <c r="U30" s="60" t="str">
        <f t="shared" si="16"/>
        <v>#REF!</v>
      </c>
      <c r="V30" s="60" t="str">
        <f t="shared" si="16"/>
        <v>#REF!</v>
      </c>
      <c r="W30" s="60" t="str">
        <f t="shared" si="16"/>
        <v>#REF!</v>
      </c>
      <c r="X30" s="60" t="str">
        <f t="shared" si="16"/>
        <v>#REF!</v>
      </c>
      <c r="Y30" s="60" t="str">
        <f t="shared" si="16"/>
        <v>#REF!</v>
      </c>
      <c r="Z30" s="60" t="str">
        <f t="shared" si="16"/>
        <v>#REF!</v>
      </c>
      <c r="AA30" s="60" t="str">
        <f t="shared" si="16"/>
        <v>#REF!</v>
      </c>
      <c r="AB30" s="60" t="str">
        <f t="shared" si="16"/>
        <v>#REF!</v>
      </c>
      <c r="AC30" s="60" t="str">
        <f t="shared" si="16"/>
        <v>#REF!</v>
      </c>
      <c r="AD30" s="60" t="str">
        <f t="shared" si="16"/>
        <v>#REF!</v>
      </c>
      <c r="AE30" s="60" t="str">
        <f t="shared" si="16"/>
        <v>#REF!</v>
      </c>
      <c r="AF30" s="60" t="str">
        <f t="shared" si="16"/>
        <v>#REF!</v>
      </c>
      <c r="AG30" s="60" t="str">
        <f t="shared" si="16"/>
        <v>#REF!</v>
      </c>
      <c r="AH30" s="60" t="str">
        <f t="shared" si="16"/>
        <v>#REF!</v>
      </c>
      <c r="AI30" s="60" t="str">
        <f t="shared" si="16"/>
        <v>#REF!</v>
      </c>
      <c r="AJ30" s="60" t="str">
        <f t="shared" si="16"/>
        <v>#REF!</v>
      </c>
      <c r="AK30" s="60" t="str">
        <f t="shared" si="16"/>
        <v>#REF!</v>
      </c>
      <c r="AL30" s="60" t="str">
        <f t="shared" si="16"/>
        <v>#REF!</v>
      </c>
      <c r="AM30" s="60" t="str">
        <f t="shared" si="16"/>
        <v>#REF!</v>
      </c>
      <c r="AN30" s="60" t="str">
        <f t="shared" si="16"/>
        <v>#REF!</v>
      </c>
      <c r="AO30" s="60" t="str">
        <f t="shared" si="16"/>
        <v>#REF!</v>
      </c>
      <c r="AP30" s="60" t="str">
        <f t="shared" si="16"/>
        <v>#REF!</v>
      </c>
      <c r="AQ30" s="60" t="str">
        <f t="shared" si="16"/>
        <v>#REF!</v>
      </c>
      <c r="AR30" s="60" t="str">
        <f t="shared" si="16"/>
        <v>#REF!</v>
      </c>
      <c r="AS30" s="60" t="str">
        <f t="shared" si="16"/>
        <v>#REF!</v>
      </c>
      <c r="AT30" s="60" t="str">
        <f t="shared" si="16"/>
        <v>#REF!</v>
      </c>
      <c r="AU30" s="60" t="str">
        <f t="shared" si="16"/>
        <v>#REF!</v>
      </c>
      <c r="AV30" s="60" t="str">
        <f t="shared" si="16"/>
        <v>#REF!</v>
      </c>
      <c r="AW30" s="60" t="str">
        <f t="shared" si="16"/>
        <v>#REF!</v>
      </c>
      <c r="AX30" s="60" t="str">
        <f t="shared" si="16"/>
        <v>#REF!</v>
      </c>
      <c r="AY30" s="60" t="str">
        <f t="shared" si="16"/>
        <v>#REF!</v>
      </c>
      <c r="AZ30" s="60" t="str">
        <f t="shared" si="16"/>
        <v>#REF!</v>
      </c>
      <c r="BA30" s="60"/>
      <c r="BB30" s="60"/>
      <c r="BC30" s="60"/>
      <c r="BD30" s="60"/>
      <c r="BE30" s="60"/>
      <c r="BF30" s="60"/>
      <c r="BG30" s="60"/>
      <c r="BH30" s="60"/>
      <c r="BI30" s="60"/>
      <c r="BJ30" s="60"/>
      <c r="BK30" s="60"/>
      <c r="BL30" s="60"/>
      <c r="BM30" s="60"/>
      <c r="BN30" s="60"/>
      <c r="BO30" s="60"/>
      <c r="BP30" s="60"/>
      <c r="BQ30" s="60"/>
      <c r="BR30" s="60"/>
      <c r="BS30" s="60"/>
      <c r="BT30" s="60"/>
      <c r="BU30" s="60"/>
      <c r="BV30" s="60"/>
      <c r="BW30" s="60"/>
      <c r="BX30" s="60"/>
      <c r="BY30" s="60"/>
      <c r="BZ30" s="60"/>
      <c r="CA30" s="60"/>
      <c r="CB30" s="60"/>
      <c r="CC30" s="60"/>
      <c r="CD30" s="60"/>
      <c r="CE30" s="60"/>
      <c r="CF30" s="60"/>
      <c r="CG30" s="60"/>
      <c r="CH30" s="60"/>
      <c r="CI30" s="60"/>
      <c r="CJ30" s="60"/>
      <c r="CK30" s="60"/>
      <c r="CL30" s="60"/>
      <c r="CM30" s="60"/>
      <c r="CN30" s="60"/>
      <c r="CO30" s="60"/>
      <c r="CP30" s="60"/>
      <c r="CQ30" s="60"/>
      <c r="CR30" s="60"/>
      <c r="CS30" s="60"/>
    </row>
    <row r="31" hidden="1" outlineLevel="1">
      <c r="A31" s="378" t="str">
        <f t="array" ref="A31">IF(_xlfn.ISFORMULA(INDIRECT(CONCATENATE($A29,"!",ADDRESS(1,COLUMN(A29))))),FORMULATEXT(INDIRECT(CONCATENATE($A29,"!",ADDRESS(2,COLUMN(A29))))),"BLANK")</f>
        <v>#REF!</v>
      </c>
      <c r="B31" s="379"/>
      <c r="C31" s="379"/>
      <c r="D31" s="379"/>
      <c r="E31" s="380"/>
      <c r="F31" s="380"/>
      <c r="G31" s="380"/>
      <c r="H31" s="380"/>
      <c r="I31" s="380"/>
      <c r="J31" s="380"/>
      <c r="K31" s="380"/>
      <c r="L31" s="380"/>
      <c r="M31" s="380"/>
      <c r="N31" s="380"/>
      <c r="O31" s="380"/>
      <c r="P31" s="380"/>
      <c r="Q31" s="380"/>
      <c r="R31" s="380"/>
      <c r="S31" s="380"/>
      <c r="T31" s="380"/>
      <c r="U31" s="380"/>
      <c r="V31" s="380"/>
      <c r="W31" s="380"/>
      <c r="X31" s="380"/>
      <c r="Y31" s="380"/>
      <c r="Z31" s="380"/>
      <c r="AA31" s="380"/>
      <c r="AB31" s="380"/>
      <c r="AC31" s="380"/>
      <c r="AD31" s="380"/>
      <c r="AE31" s="380"/>
      <c r="AF31" s="380"/>
      <c r="AG31" s="380"/>
      <c r="AH31" s="380"/>
      <c r="AI31" s="380"/>
      <c r="AJ31" s="380"/>
      <c r="AK31" s="380"/>
      <c r="AL31" s="380"/>
      <c r="AM31" s="380"/>
      <c r="AN31" s="380"/>
      <c r="AO31" s="380"/>
      <c r="AP31" s="380"/>
      <c r="AQ31" s="380"/>
      <c r="AR31" s="380"/>
      <c r="AS31" s="380"/>
      <c r="AT31" s="380"/>
      <c r="AU31" s="380"/>
      <c r="AV31" s="380"/>
      <c r="AW31" s="380"/>
      <c r="AX31" s="380"/>
      <c r="AY31" s="380"/>
      <c r="AZ31" s="380"/>
      <c r="BA31" s="380"/>
      <c r="BB31" s="380"/>
      <c r="BC31" s="380"/>
      <c r="BD31" s="380"/>
      <c r="BE31" s="380"/>
      <c r="BF31" s="380"/>
      <c r="BG31" s="380"/>
      <c r="BH31" s="380"/>
      <c r="BI31" s="380"/>
      <c r="BJ31" s="380"/>
      <c r="BK31" s="380"/>
      <c r="BL31" s="380"/>
      <c r="BM31" s="380"/>
      <c r="BN31" s="380"/>
      <c r="BO31" s="380"/>
      <c r="BP31" s="380"/>
      <c r="BQ31" s="380"/>
      <c r="BR31" s="380"/>
      <c r="BS31" s="380"/>
      <c r="BT31" s="380"/>
      <c r="BU31" s="380"/>
      <c r="BV31" s="380"/>
      <c r="BW31" s="380"/>
      <c r="BX31" s="380"/>
      <c r="BY31" s="380"/>
      <c r="BZ31" s="380"/>
      <c r="CA31" s="380"/>
      <c r="CB31" s="380"/>
      <c r="CC31" s="380"/>
      <c r="CD31" s="380"/>
      <c r="CE31" s="380"/>
      <c r="CF31" s="380"/>
      <c r="CG31" s="380"/>
      <c r="CH31" s="380"/>
      <c r="CI31" s="380"/>
      <c r="CJ31" s="380"/>
      <c r="CK31" s="380"/>
      <c r="CL31" s="380"/>
      <c r="CM31" s="380"/>
      <c r="CN31" s="380"/>
      <c r="CO31" s="380"/>
      <c r="CP31" s="380"/>
      <c r="CQ31" s="380"/>
      <c r="CR31" s="380"/>
      <c r="CS31" s="380"/>
    </row>
    <row r="32" hidden="1" outlineLevel="1">
      <c r="A32" s="381" t="str">
        <f>IFERROR(__xludf.DUMMYFUNCTION("IMPORTRANGE($B$1,CONCATENATE($A29,""!A1:1""))"),"#REF!")</f>
        <v>#REF!</v>
      </c>
      <c r="B32" s="381"/>
      <c r="C32" s="381"/>
      <c r="D32" s="381"/>
      <c r="E32" s="381"/>
      <c r="F32" s="381"/>
      <c r="G32" s="381"/>
      <c r="H32" s="381"/>
      <c r="I32" s="381"/>
      <c r="J32" s="381"/>
      <c r="K32" s="381"/>
      <c r="L32" s="381"/>
      <c r="M32" s="381"/>
      <c r="N32" s="381"/>
      <c r="O32" s="381"/>
      <c r="P32" s="381"/>
      <c r="Q32" s="381"/>
      <c r="R32" s="381"/>
      <c r="S32" s="381"/>
      <c r="T32" s="381"/>
      <c r="U32" s="381"/>
      <c r="V32" s="381"/>
      <c r="W32" s="381"/>
      <c r="X32" s="381"/>
      <c r="Y32" s="381"/>
      <c r="Z32" s="381"/>
      <c r="AA32" s="381"/>
      <c r="AB32" s="381"/>
      <c r="AC32" s="381"/>
      <c r="AD32" s="381"/>
      <c r="AE32" s="381"/>
      <c r="AF32" s="381"/>
      <c r="AG32" s="381"/>
      <c r="AH32" s="381"/>
      <c r="AI32" s="381"/>
      <c r="AJ32" s="381"/>
      <c r="AK32" s="381"/>
      <c r="AL32" s="381"/>
      <c r="AM32" s="381"/>
      <c r="AN32" s="381"/>
      <c r="AO32" s="381"/>
      <c r="AP32" s="381"/>
      <c r="AQ32" s="381"/>
      <c r="AR32" s="381"/>
      <c r="AS32" s="381"/>
      <c r="AT32" s="381"/>
      <c r="AU32" s="381"/>
      <c r="AV32" s="381"/>
      <c r="AW32" s="381"/>
      <c r="AX32" s="381"/>
      <c r="AY32" s="381"/>
      <c r="AZ32" s="381"/>
      <c r="BA32" s="381"/>
      <c r="BB32" s="381"/>
      <c r="BC32" s="381"/>
      <c r="BD32" s="381"/>
      <c r="BE32" s="381"/>
      <c r="BF32" s="381"/>
      <c r="BG32" s="60"/>
      <c r="BH32" s="60"/>
      <c r="BI32" s="60"/>
      <c r="BJ32" s="60"/>
      <c r="BK32" s="60"/>
      <c r="BL32" s="60"/>
      <c r="BM32" s="60"/>
      <c r="BN32" s="60"/>
      <c r="BO32" s="60"/>
      <c r="BP32" s="60"/>
      <c r="BQ32" s="60"/>
      <c r="BR32" s="60"/>
      <c r="BS32" s="60"/>
      <c r="BT32" s="60"/>
      <c r="BU32" s="60"/>
      <c r="BV32" s="60"/>
      <c r="BW32" s="60"/>
      <c r="BX32" s="60"/>
      <c r="BY32" s="60"/>
      <c r="BZ32" s="60"/>
      <c r="CA32" s="60"/>
      <c r="CB32" s="60"/>
      <c r="CC32" s="60"/>
      <c r="CD32" s="60"/>
      <c r="CE32" s="60"/>
      <c r="CF32" s="60"/>
      <c r="CG32" s="60"/>
      <c r="CH32" s="60"/>
      <c r="CI32" s="60"/>
      <c r="CJ32" s="60"/>
      <c r="CK32" s="60"/>
      <c r="CL32" s="60"/>
      <c r="CM32" s="60"/>
      <c r="CN32" s="60"/>
      <c r="CO32" s="60"/>
      <c r="CP32" s="60"/>
      <c r="CQ32" s="60"/>
      <c r="CR32" s="60"/>
      <c r="CS32" s="60"/>
    </row>
    <row r="33" hidden="1" outlineLevel="1">
      <c r="A33" s="378" t="str">
        <f>IFERROR(__xludf.DUMMYFUNCTION("IMPORTRANGE($B$1,CONCATENATE($A29,""!A3""))"),"#REF!")</f>
        <v>#REF!</v>
      </c>
      <c r="B33" s="64"/>
      <c r="C33" s="64"/>
      <c r="D33" s="64"/>
    </row>
    <row r="34" hidden="1" outlineLevel="1">
      <c r="A34" s="369" t="str">
        <f t="shared" ref="A34:AS34" si="17">IFS(AND(EXACT(LEFT(A32,5),"ERROR"),EXACT(LEFT(A30,5),"ERROR")), EXACT(MID(A32,9,10),MID(A30,9,10)), EXACT(LEFT(A32,5),"ERROR"), EXACT(LEFT(A30,10),MID(A32,9,10)),EXACT(LEFT(A30,5),"ERROR"), EXACT(LEFT(A32,10),MID(A30,9,10)),TRUE, EXACT(A30,A32))</f>
        <v>#REF!</v>
      </c>
      <c r="B34" s="369" t="str">
        <f t="shared" si="17"/>
        <v>#REF!</v>
      </c>
      <c r="C34" s="369" t="str">
        <f t="shared" si="17"/>
        <v>#REF!</v>
      </c>
      <c r="D34" s="369" t="str">
        <f t="shared" si="17"/>
        <v>#REF!</v>
      </c>
      <c r="E34" s="369" t="str">
        <f t="shared" si="17"/>
        <v>#REF!</v>
      </c>
      <c r="F34" s="369" t="str">
        <f t="shared" si="17"/>
        <v>#REF!</v>
      </c>
      <c r="G34" s="369" t="str">
        <f t="shared" si="17"/>
        <v>#REF!</v>
      </c>
      <c r="H34" s="369" t="str">
        <f t="shared" si="17"/>
        <v>#REF!</v>
      </c>
      <c r="I34" s="369" t="str">
        <f t="shared" si="17"/>
        <v>#REF!</v>
      </c>
      <c r="J34" s="369" t="str">
        <f t="shared" si="17"/>
        <v>#REF!</v>
      </c>
      <c r="K34" s="369" t="str">
        <f t="shared" si="17"/>
        <v>#REF!</v>
      </c>
      <c r="L34" s="369" t="str">
        <f t="shared" si="17"/>
        <v>#REF!</v>
      </c>
      <c r="M34" s="369" t="str">
        <f t="shared" si="17"/>
        <v>#REF!</v>
      </c>
      <c r="N34" s="369" t="str">
        <f t="shared" si="17"/>
        <v>#REF!</v>
      </c>
      <c r="O34" s="369" t="str">
        <f t="shared" si="17"/>
        <v>#REF!</v>
      </c>
      <c r="P34" s="369" t="str">
        <f t="shared" si="17"/>
        <v>#REF!</v>
      </c>
      <c r="Q34" s="369" t="str">
        <f t="shared" si="17"/>
        <v>#REF!</v>
      </c>
      <c r="R34" s="369" t="str">
        <f t="shared" si="17"/>
        <v>#REF!</v>
      </c>
      <c r="S34" s="369" t="str">
        <f t="shared" si="17"/>
        <v>#REF!</v>
      </c>
      <c r="T34" s="369" t="str">
        <f t="shared" si="17"/>
        <v>#REF!</v>
      </c>
      <c r="U34" s="369" t="str">
        <f t="shared" si="17"/>
        <v>#REF!</v>
      </c>
      <c r="V34" s="369" t="str">
        <f t="shared" si="17"/>
        <v>#REF!</v>
      </c>
      <c r="W34" s="369" t="str">
        <f t="shared" si="17"/>
        <v>#REF!</v>
      </c>
      <c r="X34" s="369" t="str">
        <f t="shared" si="17"/>
        <v>#REF!</v>
      </c>
      <c r="Y34" s="369" t="str">
        <f t="shared" si="17"/>
        <v>#REF!</v>
      </c>
      <c r="Z34" s="369" t="str">
        <f t="shared" si="17"/>
        <v>#REF!</v>
      </c>
      <c r="AA34" s="369" t="str">
        <f t="shared" si="17"/>
        <v>#REF!</v>
      </c>
      <c r="AB34" s="369" t="str">
        <f t="shared" si="17"/>
        <v>#REF!</v>
      </c>
      <c r="AC34" s="369" t="str">
        <f t="shared" si="17"/>
        <v>#REF!</v>
      </c>
      <c r="AD34" s="369" t="str">
        <f t="shared" si="17"/>
        <v>#REF!</v>
      </c>
      <c r="AE34" s="369" t="str">
        <f t="shared" si="17"/>
        <v>#REF!</v>
      </c>
      <c r="AF34" s="369" t="str">
        <f t="shared" si="17"/>
        <v>#REF!</v>
      </c>
      <c r="AG34" s="369" t="str">
        <f t="shared" si="17"/>
        <v>#REF!</v>
      </c>
      <c r="AH34" s="369" t="str">
        <f t="shared" si="17"/>
        <v>#REF!</v>
      </c>
      <c r="AI34" s="369" t="str">
        <f t="shared" si="17"/>
        <v>#REF!</v>
      </c>
      <c r="AJ34" s="369" t="str">
        <f t="shared" si="17"/>
        <v>#REF!</v>
      </c>
      <c r="AK34" s="369" t="str">
        <f t="shared" si="17"/>
        <v>#REF!</v>
      </c>
      <c r="AL34" s="369" t="str">
        <f t="shared" si="17"/>
        <v>#REF!</v>
      </c>
      <c r="AM34" s="369" t="str">
        <f t="shared" si="17"/>
        <v>#REF!</v>
      </c>
      <c r="AN34" s="369" t="str">
        <f t="shared" si="17"/>
        <v>#REF!</v>
      </c>
      <c r="AO34" s="369" t="str">
        <f t="shared" si="17"/>
        <v>#REF!</v>
      </c>
      <c r="AP34" s="369" t="str">
        <f t="shared" si="17"/>
        <v>#REF!</v>
      </c>
      <c r="AQ34" s="369" t="str">
        <f t="shared" si="17"/>
        <v>#REF!</v>
      </c>
      <c r="AR34" s="369" t="str">
        <f t="shared" si="17"/>
        <v>#REF!</v>
      </c>
      <c r="AS34" s="369" t="str">
        <f t="shared" si="17"/>
        <v>#REF!</v>
      </c>
      <c r="AT34" s="369"/>
      <c r="AU34" s="369"/>
      <c r="AV34" s="369"/>
      <c r="AW34" s="369"/>
      <c r="AX34" s="369"/>
      <c r="AY34" s="369"/>
      <c r="AZ34" s="369"/>
      <c r="BA34" s="369"/>
      <c r="BB34" s="369"/>
      <c r="BC34" s="369"/>
      <c r="BD34" s="369"/>
      <c r="BE34" s="369"/>
      <c r="BF34" s="369"/>
      <c r="BG34" s="369"/>
      <c r="BH34" s="369"/>
      <c r="BI34" s="369"/>
      <c r="BJ34" s="369"/>
      <c r="BK34" s="369"/>
      <c r="BL34" s="369"/>
      <c r="BM34" s="369"/>
      <c r="BN34" s="369"/>
      <c r="BO34" s="369"/>
      <c r="BP34" s="369"/>
      <c r="BQ34" s="369"/>
      <c r="BR34" s="369"/>
      <c r="BS34" s="369"/>
      <c r="BT34" s="369"/>
      <c r="BU34" s="369"/>
      <c r="BV34" s="369"/>
      <c r="BW34" s="369"/>
      <c r="BX34" s="369"/>
      <c r="BY34" s="369"/>
      <c r="BZ34" s="369"/>
      <c r="CA34" s="369"/>
      <c r="CB34" s="369"/>
      <c r="CC34" s="369"/>
      <c r="CD34" s="369"/>
      <c r="CE34" s="369"/>
      <c r="CF34" s="369"/>
      <c r="CG34" s="369"/>
      <c r="CH34" s="369"/>
      <c r="CI34" s="369"/>
      <c r="CJ34" s="369"/>
      <c r="CK34" s="369"/>
      <c r="CL34" s="369"/>
      <c r="CM34" s="369"/>
      <c r="CN34" s="369"/>
      <c r="CO34" s="369"/>
      <c r="CP34" s="369"/>
      <c r="CQ34" s="369"/>
      <c r="CR34" s="369"/>
      <c r="CS34" s="369"/>
    </row>
    <row r="35" hidden="1" outlineLevel="1">
      <c r="A35" s="359" t="str">
        <f>EXACT(A31,A33)</f>
        <v>#REF!</v>
      </c>
    </row>
    <row r="37" collapsed="1">
      <c r="A37" s="355" t="s">
        <v>2586</v>
      </c>
      <c r="B37" s="68" t="str">
        <f>IFNA(IF(MATCH("END",A38:CS38,0)&gt;MATCH("END",A41:CS41,0),MATCH("END",A38:CS38,0),MATCH("END",A41:CS41,0)),"END Missing")</f>
        <v>END Missing</v>
      </c>
      <c r="C37" s="51" t="str">
        <f t="array" ref="C37">IF(AND(INDIRECT(CONCATENATE("$A$",ROW(C37)+7,":",ADDRESS(ROW(C37)+7,B37)))),"Headers Match","ERROR!! Headers Mismatch")</f>
        <v>#VALUE!</v>
      </c>
      <c r="D37" s="51" t="str">
        <f t="array" ref="D37">IF(AND(INDIRECT(CONCATENATE("$A$",ROW(C37)+8,":",ADDRESS(ROW(C37)+8,B37)))),"Header Formulas Match","ERROR!! Header Formulas Mismatch")</f>
        <v>#VALUE!</v>
      </c>
      <c r="E37" s="51" t="str">
        <f t="array" ref="E37">IF(AND(INDIRECT(CONCATENATE("$A$",ROW(E37)+9,":",ADDRESS(ROW(E37)+9,B37)))),"Formulas Match","ERROR!! Formulas Mismatch")</f>
        <v>#VALUE!</v>
      </c>
      <c r="F37" s="348"/>
      <c r="G37" s="382"/>
    </row>
    <row r="38" hidden="1" outlineLevel="1">
      <c r="A38" s="60" t="str">
        <f t="shared" ref="A38:AM38" si="18">INDIRECT(CONCATENATE($A37,"!",ADDRESS(1,COLUMN(A38))))</f>
        <v>Person 
Firstname</v>
      </c>
      <c r="B38" s="60" t="str">
        <f t="shared" si="18"/>
        <v>Person Lastname</v>
      </c>
      <c r="C38" s="60" t="str">
        <f t="shared" si="18"/>
        <v>Person 
Fullname</v>
      </c>
      <c r="D38" s="60" t="str">
        <f t="shared" si="18"/>
        <v>ERROR!! Num Person Samples = 0</v>
      </c>
      <c r="E38" s="60" t="str">
        <f t="shared" si="18"/>
        <v>Participant ID</v>
      </c>
      <c r="F38" s="60" t="str">
        <f t="shared" si="18"/>
        <v>OK UNIQUE - Participant ID Number</v>
      </c>
      <c r="G38" s="60" t="str">
        <f t="shared" si="18"/>
        <v/>
      </c>
      <c r="H38" s="60" t="str">
        <f t="shared" si="18"/>
        <v>Household ID</v>
      </c>
      <c r="I38" s="60" t="str">
        <f t="shared" si="18"/>
        <v>HH Code</v>
      </c>
      <c r="J38" s="60" t="str">
        <f t="shared" si="18"/>
        <v>Cohort</v>
      </c>
      <c r="K38" s="60" t="str">
        <f t="shared" si="18"/>
        <v>ERROR!! Num Sponsored Tubes = 0</v>
      </c>
      <c r="L38" s="60" t="str">
        <f t="shared" si="18"/>
        <v>Accounts CSV Designation</v>
      </c>
      <c r="M38" s="60" t="str">
        <f t="shared" si="18"/>
        <v>Relation</v>
      </c>
      <c r="N38" s="60" t="str">
        <f t="shared" si="18"/>
        <v>No Sample?</v>
      </c>
      <c r="O38" s="60" t="str">
        <f t="shared" si="18"/>
        <v>App Role</v>
      </c>
      <c r="P38" s="60" t="str">
        <f t="shared" si="18"/>
        <v>APP
GROUP</v>
      </c>
      <c r="Q38" s="60" t="str">
        <f t="shared" si="18"/>
        <v>FINAL
GROUP</v>
      </c>
      <c r="R38" s="60" t="str">
        <f t="shared" si="18"/>
        <v>Other Source (Not App)</v>
      </c>
      <c r="S38" s="60" t="str">
        <f t="shared" si="18"/>
        <v>Consent</v>
      </c>
      <c r="T38" s="60" t="str">
        <f t="shared" si="18"/>
        <v>1st FL Positive Date</v>
      </c>
      <c r="U38" s="60" t="str">
        <f t="shared" si="18"/>
        <v>FL Deconv Positive?</v>
      </c>
      <c r="V38" s="60" t="str">
        <f t="shared" si="18"/>
        <v>Referral Test Positive?</v>
      </c>
      <c r="W38" s="60" t="str">
        <f t="shared" si="18"/>
        <v>Referral Test Type?</v>
      </c>
      <c r="X38" s="60" t="str">
        <f t="shared" si="18"/>
        <v>Person Notes</v>
      </c>
      <c r="Y38" s="60" t="str">
        <f t="shared" si="18"/>
        <v>Values in Live</v>
      </c>
      <c r="Z38" s="60" t="str">
        <f t="shared" si="18"/>
        <v/>
      </c>
      <c r="AA38" s="60" t="str">
        <f t="shared" si="18"/>
        <v>Household ID for Count Check</v>
      </c>
      <c r="AB38" s="60" t="str">
        <f t="shared" si="18"/>
        <v>ERROR!! Num Persons in Household</v>
      </c>
      <c r="AC38" s="60" t="str">
        <f t="shared" si="18"/>
        <v>LIVE</v>
      </c>
      <c r="AD38" s="60" t="str">
        <f t="shared" si="18"/>
        <v>ERROR!! Live in Values</v>
      </c>
      <c r="AE38" s="60" t="str">
        <f t="shared" si="18"/>
        <v>Live Combined Participant Firstname</v>
      </c>
      <c r="AF38" s="60" t="str">
        <f t="shared" si="18"/>
        <v>Live Combined Participant Lastname</v>
      </c>
      <c r="AG38" s="60" t="str">
        <f t="shared" si="18"/>
        <v>Live Combined 
Participant Fullname</v>
      </c>
      <c r="AH38" s="60" t="str">
        <f t="shared" si="18"/>
        <v>ERROR!! Num Person Samples = 1270</v>
      </c>
      <c r="AI38" s="60" t="str">
        <f t="shared" si="18"/>
        <v>Names Merge SetNum</v>
      </c>
      <c r="AJ38" s="60" t="str">
        <f t="shared" si="18"/>
        <v>Names Merge Notes</v>
      </c>
      <c r="AK38" s="60" t="str">
        <f t="shared" si="18"/>
        <v/>
      </c>
      <c r="AL38" s="60" t="str">
        <f t="shared" si="18"/>
        <v>Sponsor Fullnames - All Match Live CHECK LENGTH SAME</v>
      </c>
      <c r="AM38" s="60" t="str">
        <f t="shared" si="18"/>
        <v>Live Sponsor Fullname</v>
      </c>
      <c r="AN38" s="60"/>
      <c r="AO38" s="60"/>
      <c r="AP38" s="60"/>
      <c r="AQ38" s="60"/>
      <c r="AR38" s="60"/>
      <c r="AS38" s="60"/>
      <c r="AT38" s="60"/>
      <c r="AU38" s="60"/>
      <c r="AV38" s="60"/>
      <c r="AW38" s="60"/>
      <c r="AX38" s="60"/>
      <c r="AY38" s="60"/>
      <c r="AZ38" s="60"/>
      <c r="BA38" s="60"/>
      <c r="BB38" s="60"/>
      <c r="BC38" s="60"/>
      <c r="BD38" s="60"/>
      <c r="BE38" s="60"/>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c r="CS38" s="51"/>
    </row>
    <row r="39" hidden="1" outlineLevel="1">
      <c r="A39" s="358" t="str">
        <f t="shared" ref="A39:AZ39" si="19">IF(_xlfn.ISFORMULA(INDIRECT(CONCATENATE($A37,"!",ADDRESS(1,COLUMN(A40))))),FORMULATEXT(INDIRECT(CONCATENATE($A37,"!",ADDRESS(1,COLUMN(A40))))),IFERROR(0/0,""))</f>
        <v/>
      </c>
      <c r="B39" s="358" t="str">
        <f t="shared" si="19"/>
        <v/>
      </c>
      <c r="C39" s="358" t="str">
        <f t="shared" si="19"/>
        <v/>
      </c>
      <c r="D39" s="358" t="str">
        <f t="shared" si="19"/>
        <v>=IF(SUM($D$2:$D)=ROWS(postDEL!$A$2:$A)-COUNTBLANK(postDEL!$A$2:$A),CONCATENATE("Num Person Samples = ",SUM($D$2:$D)),CONCATENATE("ERROR!! Num Person Samples = ",SUM($D$2:$D)))</v>
      </c>
      <c r="E39" s="358" t="str">
        <f t="shared" si="19"/>
        <v/>
      </c>
      <c r="F39" s="358" t="str">
        <f t="shared" si="19"/>
        <v>=CONCATENATE(IF(COUNTA(UNIQUE(F2:F))=COUNTA(F2:F),"OK UNIQUE - ","ERROR! REPEATS - "), "Participant ID Number")</v>
      </c>
      <c r="G39" s="358" t="str">
        <f t="shared" si="19"/>
        <v/>
      </c>
      <c r="H39" s="358" t="str">
        <f t="shared" si="19"/>
        <v/>
      </c>
      <c r="I39" s="358" t="str">
        <f t="shared" si="19"/>
        <v/>
      </c>
      <c r="J39" s="358" t="str">
        <f t="shared" si="19"/>
        <v/>
      </c>
      <c r="K39" s="358" t="str">
        <f t="shared" si="19"/>
        <v>=IF(SUM(D2:D)=ROWS(postDEL!$A$2:$A)-COUNTBLANK(postDEL!$A$2:$A),"Num Sponsored Tubes",CONCATENATE("ERROR!! Num Sponsored Tubes = ",SUM(D2:D)))</v>
      </c>
      <c r="L39" s="358" t="str">
        <f t="shared" si="19"/>
        <v/>
      </c>
      <c r="M39" s="358" t="str">
        <f t="shared" si="19"/>
        <v/>
      </c>
      <c r="N39" s="358" t="str">
        <f t="shared" si="19"/>
        <v/>
      </c>
      <c r="O39" s="358" t="str">
        <f t="shared" si="19"/>
        <v/>
      </c>
      <c r="P39" s="358" t="str">
        <f t="shared" si="19"/>
        <v/>
      </c>
      <c r="Q39" s="358" t="str">
        <f t="shared" si="19"/>
        <v/>
      </c>
      <c r="R39" s="358" t="str">
        <f t="shared" si="19"/>
        <v/>
      </c>
      <c r="S39" s="358" t="str">
        <f t="shared" si="19"/>
        <v/>
      </c>
      <c r="T39" s="358" t="str">
        <f t="shared" si="19"/>
        <v/>
      </c>
      <c r="U39" s="358" t="str">
        <f t="shared" si="19"/>
        <v/>
      </c>
      <c r="V39" s="358" t="str">
        <f t="shared" si="19"/>
        <v/>
      </c>
      <c r="W39" s="358" t="str">
        <f t="shared" si="19"/>
        <v/>
      </c>
      <c r="X39" s="358" t="str">
        <f t="shared" si="19"/>
        <v/>
      </c>
      <c r="Y39" s="358" t="str">
        <f t="shared" si="19"/>
        <v>=IF(COUNTBLANK(Y2:Y)=ROWS(Y2:Y),"Values in Live","ERROR!! Values in Live")</v>
      </c>
      <c r="Z39" s="358" t="str">
        <f t="shared" si="19"/>
        <v/>
      </c>
      <c r="AA39" s="358" t="str">
        <f t="shared" si="19"/>
        <v/>
      </c>
      <c r="AB39" s="358" t="str">
        <f t="shared" si="19"/>
        <v>=IF(SUM(AB2:AB)=COUNTA(C2:C), "Num Persons in Household", "ERROR!! Num Persons in Household")</v>
      </c>
      <c r="AC39" s="358" t="str">
        <f t="shared" si="19"/>
        <v/>
      </c>
      <c r="AD39" s="358" t="str">
        <f t="shared" si="19"/>
        <v>=IF(COUNTBLANK(AD2:AD)=ROWS(AD2:AD),"Live in Values","ERROR!! Live in Values")</v>
      </c>
      <c r="AE39" s="358" t="str">
        <f t="shared" si="19"/>
        <v/>
      </c>
      <c r="AF39" s="358" t="str">
        <f t="shared" si="19"/>
        <v/>
      </c>
      <c r="AG39" s="358" t="str">
        <f t="shared" si="19"/>
        <v/>
      </c>
      <c r="AH39" s="358" t="str">
        <f t="shared" si="19"/>
        <v>=IF(SUM(AH2:AH)=Rollup!$D$5,CONCATENATE("Num Person Samples = ",SUM(AH2:AH)),CONCATENATE("ERROR!! Num Person Samples = ",SUM(AH2:AH)))</v>
      </c>
      <c r="AI39" s="358" t="str">
        <f t="shared" si="19"/>
        <v/>
      </c>
      <c r="AJ39" s="358" t="str">
        <f t="shared" si="19"/>
        <v/>
      </c>
      <c r="AK39" s="358" t="str">
        <f t="shared" si="19"/>
        <v/>
      </c>
      <c r="AL39" s="358" t="str">
        <f t="shared" si="19"/>
        <v>=IF(COUNTIF(ARRAYFORMULA(FILTER(AL2:AL, AL2:AL&lt;&gt;"")=FILTER(AM2:AM, AM2:AM&lt;&gt;"")), FALSE)=0, "Sponsor Fullnames - All Match Live CHECK LENGTH SAME", "Sponsor Fullnames - ERROR Mismatch in Live Found")
</v>
      </c>
      <c r="AM39" s="358" t="str">
        <f t="shared" si="19"/>
        <v/>
      </c>
      <c r="AN39" s="358" t="str">
        <f t="shared" si="19"/>
        <v>=IFS(ISERR(AND(AN2:AN)),"ERROR!! Sponsors in Live?",AND(AN2:AN),"Sponsors in Participants Live?",TRUE,"ERROR!! Sponsors in Participants Live?")</v>
      </c>
      <c r="AO39" s="358" t="str">
        <f t="shared" si="19"/>
        <v>=IFS(ISERR(AND(AO2:AO)),"ERROR!! Sponsors in Values?",AND(AO2:AO),"Sponsors in Participants Values?",TRUE,"ERROR!! Sponsors in Participants Values?")</v>
      </c>
      <c r="AP39" s="358" t="str">
        <f t="shared" si="19"/>
        <v/>
      </c>
      <c r="AQ39" s="358" t="str">
        <f t="shared" si="19"/>
        <v/>
      </c>
      <c r="AR39" s="358" t="str">
        <f t="shared" si="19"/>
        <v>=CONCATENATE(IF(COUNTA(UNIQUE(AR2:AR))=COUNTA(AR2:AR),"OK UNIQUE - ","ERROR! REPEATS - "), "Participant ID Number")</v>
      </c>
      <c r="AS39" s="358" t="str">
        <f t="shared" si="19"/>
        <v/>
      </c>
      <c r="AT39" s="358" t="str">
        <f t="shared" si="19"/>
        <v/>
      </c>
      <c r="AU39" s="358" t="str">
        <f t="shared" si="19"/>
        <v/>
      </c>
      <c r="AV39" s="358" t="str">
        <f t="shared" si="19"/>
        <v/>
      </c>
      <c r="AW39" s="358" t="str">
        <f t="shared" si="19"/>
        <v/>
      </c>
      <c r="AX39" s="358" t="str">
        <f t="shared" si="19"/>
        <v/>
      </c>
      <c r="AY39" s="358" t="str">
        <f t="shared" si="19"/>
        <v/>
      </c>
      <c r="AZ39" s="358" t="str">
        <f t="shared" si="19"/>
        <v/>
      </c>
      <c r="BA39" s="358"/>
      <c r="BB39" s="358"/>
      <c r="BC39" s="358"/>
      <c r="BD39" s="358"/>
      <c r="BE39" s="358"/>
      <c r="BF39" s="358"/>
      <c r="BG39" s="358"/>
      <c r="BH39" s="358"/>
      <c r="BI39" s="358"/>
      <c r="BJ39" s="358"/>
      <c r="BK39" s="358"/>
      <c r="BL39" s="358"/>
      <c r="BM39" s="358"/>
      <c r="BN39" s="358"/>
      <c r="BO39" s="358"/>
      <c r="BP39" s="358"/>
      <c r="BQ39" s="358"/>
      <c r="BR39" s="358"/>
      <c r="BS39" s="358"/>
      <c r="BT39" s="358"/>
      <c r="BU39" s="358"/>
      <c r="BV39" s="358"/>
      <c r="BW39" s="358"/>
      <c r="BX39" s="358"/>
      <c r="BY39" s="358"/>
      <c r="BZ39" s="358"/>
      <c r="CA39" s="358"/>
      <c r="CB39" s="358"/>
      <c r="CC39" s="358"/>
      <c r="CD39" s="358"/>
      <c r="CE39" s="358"/>
      <c r="CF39" s="358"/>
      <c r="CG39" s="358"/>
      <c r="CH39" s="358"/>
      <c r="CI39" s="358"/>
      <c r="CJ39" s="358"/>
      <c r="CK39" s="358"/>
      <c r="CL39" s="358"/>
      <c r="CM39" s="358"/>
      <c r="CN39" s="358"/>
      <c r="CO39" s="358"/>
      <c r="CP39" s="358"/>
      <c r="CQ39" s="358"/>
      <c r="CR39" s="358"/>
      <c r="CS39" s="358"/>
    </row>
    <row r="40" hidden="1" outlineLevel="1">
      <c r="A40" s="359" t="str">
        <f t="shared" ref="A40:AZ40" si="20">IF(_xlfn.ISFORMULA(INDIRECT(CONCATENATE($A37,"!",ADDRESS(2,COLUMN(A40))))),FORMULATEXT(INDIRECT(CONCATENATE($A37,"!",ADDRESS(2,COLUMN(A40))))),IFERROR(0/0,""))</f>
        <v/>
      </c>
      <c r="B40" s="359" t="str">
        <f t="shared" si="20"/>
        <v/>
      </c>
      <c r="C40" s="359" t="str">
        <f t="shared" si="20"/>
        <v/>
      </c>
      <c r="D40" s="359" t="str">
        <f t="shared" si="20"/>
        <v>=COUNTIF(postDEL!$AR$2:$AR,$C2)</v>
      </c>
      <c r="E40" s="359" t="str">
        <f t="shared" si="20"/>
        <v>=CONCATENATE(Process!$A$1,F2)</v>
      </c>
      <c r="F40" s="359" t="str">
        <f t="shared" si="20"/>
        <v/>
      </c>
      <c r="G40" s="359" t="str">
        <f t="shared" si="20"/>
        <v/>
      </c>
      <c r="H40" s="359" t="str">
        <f t="shared" si="20"/>
        <v/>
      </c>
      <c r="I40" s="359" t="str">
        <f t="shared" si="20"/>
        <v/>
      </c>
      <c r="J40" s="359" t="str">
        <f t="shared" si="20"/>
        <v/>
      </c>
      <c r="K40" s="359" t="str">
        <f t="shared" si="20"/>
        <v>=COUNTIF(postDEL!$AO$2:$AO,$C2)</v>
      </c>
      <c r="L40" s="359" t="str">
        <f t="shared" si="20"/>
        <v/>
      </c>
      <c r="M40" s="359" t="str">
        <f t="shared" si="20"/>
        <v/>
      </c>
      <c r="N40" s="359" t="str">
        <f t="shared" si="20"/>
        <v>=IF($D2=0,TRUE,IFERROR(0/0))</v>
      </c>
      <c r="O40" s="359" t="str">
        <f t="shared" si="20"/>
        <v/>
      </c>
      <c r="P40" s="359" t="str">
        <f t="shared" si="20"/>
        <v/>
      </c>
      <c r="Q40" s="359" t="str">
        <f t="shared" si="20"/>
        <v/>
      </c>
      <c r="R40" s="359" t="str">
        <f t="shared" si="20"/>
        <v/>
      </c>
      <c r="S40" s="359" t="str">
        <f t="shared" si="20"/>
        <v/>
      </c>
      <c r="T40" s="359" t="str">
        <f t="shared" si="20"/>
        <v/>
      </c>
      <c r="U40" s="359" t="str">
        <f t="shared" si="20"/>
        <v/>
      </c>
      <c r="V40" s="359" t="str">
        <f t="shared" si="20"/>
        <v/>
      </c>
      <c r="W40" s="359" t="str">
        <f t="shared" si="20"/>
        <v/>
      </c>
      <c r="X40" s="359" t="str">
        <f t="shared" si="20"/>
        <v/>
      </c>
      <c r="Y40" s="359" t="str">
        <f t="shared" si="20"/>
        <v>=IF(OR(COUNTIF($AG$2:$AG,$C2)=1,$N2),IFERROR(0/0),"NOT")</v>
      </c>
      <c r="Z40" s="359" t="str">
        <f t="shared" si="20"/>
        <v/>
      </c>
      <c r="AA40" s="359" t="str">
        <f t="shared" si="20"/>
        <v>=SORT(UNIQUE(H2:H),1,TRUE)</v>
      </c>
      <c r="AB40" s="359" t="str">
        <f t="shared" si="20"/>
        <v>=COUNTIF(H$2:H,AA2)</v>
      </c>
      <c r="AC40" s="359" t="str">
        <f t="shared" si="20"/>
        <v/>
      </c>
      <c r="AD40" s="359" t="str">
        <f t="shared" si="20"/>
        <v>=IF(COUNTIF(C$2:C,AG2)=1,IFERROR(0/0),"NOT")</v>
      </c>
      <c r="AE40" s="359" t="str">
        <f t="shared" si="20"/>
        <v>=SORT(UNIQUE(postDEL!$AP$2:$AR),2,TRUE,1,TRUE)</v>
      </c>
      <c r="AF40" s="359" t="str">
        <f t="shared" si="20"/>
        <v/>
      </c>
      <c r="AG40" s="359" t="str">
        <f t="shared" si="20"/>
        <v/>
      </c>
      <c r="AH40" s="359" t="str">
        <f t="shared" si="20"/>
        <v>=COUNTIF(postDEL!$AR$2:$AR,AG2)</v>
      </c>
      <c r="AI40" s="359" t="str">
        <f t="shared" si="20"/>
        <v/>
      </c>
      <c r="AJ40" s="359" t="str">
        <f t="shared" si="20"/>
        <v/>
      </c>
      <c r="AK40" s="359" t="str">
        <f t="shared" si="20"/>
        <v/>
      </c>
      <c r="AL40" s="359" t="str">
        <f t="shared" si="20"/>
        <v/>
      </c>
      <c r="AM40" s="359" t="str">
        <f t="shared" si="20"/>
        <v>=SORT(UNIQUE(postDEL!$AO$2:$AO),1,TRUE)</v>
      </c>
      <c r="AN40" s="359" t="str">
        <f t="shared" si="20"/>
        <v>=IF(NOT(ISBLANK(AM2)), IF(COUNTIF(AG$2:AG,AM2)=1,TRUE,FALSE),IFERROR(0/0))</v>
      </c>
      <c r="AO40" s="359" t="str">
        <f t="shared" si="20"/>
        <v>=IF(NOT(ISBLANK(AM2)), IF(COUNTIF(C$2:C,AM2)=1,TRUE,FALSE),IFERROR(0/0))</v>
      </c>
      <c r="AP40" s="359" t="str">
        <f t="shared" si="20"/>
        <v/>
      </c>
      <c r="AQ40" s="359" t="str">
        <f t="shared" si="20"/>
        <v>=CONCATENATE("Sp",Process!$A$1,AR2)</v>
      </c>
      <c r="AR40" s="359" t="str">
        <f t="shared" si="20"/>
        <v/>
      </c>
      <c r="AS40" s="359" t="str">
        <f t="shared" si="20"/>
        <v/>
      </c>
      <c r="AT40" s="359" t="str">
        <f t="shared" si="20"/>
        <v/>
      </c>
      <c r="AU40" s="359" t="str">
        <f t="shared" si="20"/>
        <v/>
      </c>
      <c r="AV40" s="359" t="str">
        <f t="shared" si="20"/>
        <v/>
      </c>
      <c r="AW40" s="359" t="str">
        <f t="shared" si="20"/>
        <v/>
      </c>
      <c r="AX40" s="359" t="str">
        <f t="shared" si="20"/>
        <v/>
      </c>
      <c r="AY40" s="359" t="str">
        <f t="shared" si="20"/>
        <v/>
      </c>
      <c r="AZ40" s="359" t="str">
        <f t="shared" si="20"/>
        <v/>
      </c>
      <c r="BA40" s="359"/>
      <c r="BB40" s="359"/>
      <c r="BC40" s="359"/>
      <c r="BD40" s="359"/>
      <c r="BE40" s="359"/>
      <c r="BF40" s="359"/>
      <c r="BG40" s="359"/>
      <c r="BH40" s="359"/>
      <c r="BI40" s="359"/>
      <c r="BJ40" s="359"/>
      <c r="BK40" s="359"/>
      <c r="BL40" s="359"/>
      <c r="BM40" s="359"/>
      <c r="BN40" s="359"/>
      <c r="BO40" s="359"/>
      <c r="BP40" s="359"/>
      <c r="BQ40" s="359"/>
      <c r="BR40" s="359"/>
      <c r="BS40" s="359"/>
      <c r="BT40" s="359"/>
      <c r="BU40" s="359"/>
      <c r="BV40" s="359"/>
      <c r="BW40" s="359"/>
      <c r="BX40" s="359"/>
      <c r="BY40" s="359"/>
      <c r="BZ40" s="359"/>
      <c r="CA40" s="359"/>
      <c r="CB40" s="359"/>
      <c r="CC40" s="359"/>
      <c r="CD40" s="359"/>
      <c r="CE40" s="359"/>
      <c r="CF40" s="359"/>
      <c r="CG40" s="359"/>
      <c r="CH40" s="359"/>
      <c r="CI40" s="359"/>
      <c r="CJ40" s="359"/>
      <c r="CK40" s="359"/>
      <c r="CL40" s="359"/>
      <c r="CM40" s="359"/>
      <c r="CN40" s="359"/>
      <c r="CO40" s="359"/>
      <c r="CP40" s="359"/>
      <c r="CQ40" s="359"/>
      <c r="CR40" s="359"/>
      <c r="CS40" s="359"/>
    </row>
    <row r="41" hidden="1" outlineLevel="1">
      <c r="A41" s="377" t="str">
        <f>IFERROR(__xludf.DUMMYFUNCTION("IMPORTRANGE($B$1,CONCATENATE($A37,""!A1:1""))"),"#REF!")</f>
        <v>#REF!</v>
      </c>
      <c r="B41" s="377"/>
      <c r="C41" s="377"/>
      <c r="D41" s="377"/>
      <c r="E41" s="377"/>
      <c r="F41" s="377"/>
      <c r="G41" s="377"/>
      <c r="H41" s="377"/>
      <c r="I41" s="377"/>
      <c r="J41" s="377"/>
      <c r="K41" s="377"/>
      <c r="L41" s="377"/>
      <c r="M41" s="377"/>
      <c r="N41" s="377"/>
      <c r="O41" s="377"/>
      <c r="P41" s="377"/>
      <c r="Q41" s="377"/>
      <c r="R41" s="377"/>
      <c r="S41" s="377"/>
      <c r="T41" s="377"/>
      <c r="U41" s="377"/>
      <c r="V41" s="377"/>
      <c r="W41" s="377"/>
      <c r="X41" s="377"/>
      <c r="Y41" s="377"/>
      <c r="Z41" s="377"/>
      <c r="AA41" s="377"/>
      <c r="AB41" s="377"/>
      <c r="AC41" s="377"/>
      <c r="AD41" s="377"/>
      <c r="AE41" s="377"/>
      <c r="AF41" s="377"/>
      <c r="AG41" s="377"/>
      <c r="AH41" s="377"/>
      <c r="AI41" s="377"/>
      <c r="AJ41" s="377"/>
      <c r="AK41" s="377"/>
      <c r="AL41" s="377"/>
      <c r="AM41" s="377"/>
      <c r="AN41" s="377"/>
      <c r="AO41" s="377"/>
      <c r="AP41" s="377"/>
      <c r="AQ41" s="377"/>
      <c r="AR41" s="377"/>
      <c r="AS41" s="377"/>
      <c r="AT41" s="377"/>
      <c r="AU41" s="377"/>
      <c r="AV41" s="377"/>
      <c r="AW41" s="377"/>
      <c r="AX41" s="377"/>
      <c r="AY41" s="377"/>
      <c r="AZ41" s="377"/>
      <c r="BA41" s="377"/>
      <c r="BB41" s="377"/>
      <c r="BC41" s="377"/>
      <c r="BD41" s="377"/>
      <c r="BE41" s="377"/>
      <c r="BF41" s="377"/>
      <c r="BG41" s="356"/>
      <c r="BH41" s="356"/>
      <c r="BI41" s="356"/>
      <c r="BJ41" s="356"/>
      <c r="BK41" s="356"/>
      <c r="BL41" s="356"/>
      <c r="BM41" s="356"/>
      <c r="BN41" s="356"/>
      <c r="BO41" s="356"/>
      <c r="BP41" s="356"/>
      <c r="BQ41" s="356"/>
      <c r="BR41" s="356"/>
      <c r="BS41" s="356"/>
      <c r="BT41" s="356"/>
      <c r="BU41" s="356"/>
      <c r="BV41" s="356"/>
      <c r="BW41" s="356"/>
      <c r="BX41" s="356"/>
      <c r="BY41" s="356"/>
      <c r="BZ41" s="356"/>
      <c r="CA41" s="356"/>
      <c r="CB41" s="356"/>
      <c r="CC41" s="356"/>
      <c r="CD41" s="356"/>
      <c r="CE41" s="356"/>
      <c r="CF41" s="356"/>
      <c r="CG41" s="356"/>
      <c r="CH41" s="356"/>
      <c r="CI41" s="356"/>
      <c r="CJ41" s="356"/>
      <c r="CK41" s="356"/>
      <c r="CL41" s="356"/>
      <c r="CM41" s="356"/>
      <c r="CN41" s="356"/>
      <c r="CO41" s="356"/>
      <c r="CP41" s="356"/>
      <c r="CQ41" s="356"/>
      <c r="CR41" s="356"/>
      <c r="CS41" s="356"/>
    </row>
    <row r="42" hidden="1" outlineLevel="1">
      <c r="A42" s="358" t="str">
        <f>IFERROR(__xludf.DUMMYFUNCTION("IMPORTRANGE($B$1,CONCATENATE(""Header Formulas"",""!A9:9""))"),"#REF!")</f>
        <v>#REF!</v>
      </c>
      <c r="B42" s="358"/>
      <c r="C42" s="358"/>
      <c r="D42" s="358"/>
      <c r="E42" s="358"/>
      <c r="F42" s="358"/>
      <c r="G42" s="358"/>
      <c r="H42" s="358"/>
      <c r="I42" s="358"/>
      <c r="J42" s="358"/>
      <c r="K42" s="358"/>
      <c r="L42" s="358"/>
      <c r="M42" s="358"/>
      <c r="N42" s="358"/>
      <c r="O42" s="358"/>
      <c r="P42" s="358"/>
      <c r="Q42" s="358"/>
      <c r="R42" s="358"/>
      <c r="S42" s="358"/>
      <c r="T42" s="358"/>
      <c r="U42" s="358"/>
      <c r="V42" s="358"/>
      <c r="W42" s="358"/>
      <c r="X42" s="358"/>
      <c r="Y42" s="358"/>
      <c r="Z42" s="358"/>
      <c r="AA42" s="358"/>
      <c r="AB42" s="358"/>
      <c r="AC42" s="358"/>
      <c r="AD42" s="358"/>
      <c r="AE42" s="358"/>
      <c r="AF42" s="358"/>
      <c r="AG42" s="358"/>
      <c r="AH42" s="358"/>
      <c r="AI42" s="358"/>
      <c r="AJ42" s="358"/>
      <c r="AK42" s="358"/>
      <c r="AL42" s="358"/>
      <c r="AM42" s="358"/>
      <c r="AN42" s="358"/>
      <c r="AO42" s="358"/>
      <c r="AP42" s="358"/>
      <c r="AQ42" s="358"/>
      <c r="AR42" s="358"/>
      <c r="AS42" s="358"/>
      <c r="AT42" s="358"/>
      <c r="AU42" s="358"/>
      <c r="AV42" s="358"/>
      <c r="AW42" s="358"/>
      <c r="AX42" s="358"/>
      <c r="AY42" s="358"/>
      <c r="AZ42" s="358"/>
      <c r="BA42" s="358"/>
      <c r="BB42" s="358"/>
      <c r="BC42" s="358"/>
      <c r="BD42" s="358"/>
      <c r="BE42" s="358"/>
      <c r="BF42" s="358"/>
      <c r="BG42" s="358"/>
      <c r="BH42" s="358"/>
      <c r="BI42" s="358"/>
      <c r="BJ42" s="358"/>
      <c r="BK42" s="358"/>
      <c r="BL42" s="358"/>
      <c r="BM42" s="358"/>
      <c r="BN42" s="358"/>
      <c r="BO42" s="358"/>
      <c r="BP42" s="358"/>
      <c r="BQ42" s="358"/>
      <c r="BR42" s="358"/>
      <c r="BS42" s="358"/>
      <c r="BT42" s="358"/>
      <c r="BU42" s="358"/>
      <c r="BV42" s="358"/>
      <c r="BW42" s="358"/>
      <c r="BX42" s="358"/>
      <c r="BY42" s="358"/>
      <c r="BZ42" s="358"/>
      <c r="CA42" s="358"/>
      <c r="CB42" s="358"/>
      <c r="CC42" s="358"/>
      <c r="CD42" s="358"/>
      <c r="CE42" s="358"/>
      <c r="CF42" s="358"/>
      <c r="CG42" s="358"/>
      <c r="CH42" s="358"/>
      <c r="CI42" s="358"/>
      <c r="CJ42" s="358"/>
      <c r="CK42" s="358"/>
      <c r="CL42" s="358"/>
      <c r="CM42" s="358"/>
      <c r="CN42" s="358"/>
      <c r="CO42" s="358"/>
      <c r="CP42" s="358"/>
      <c r="CQ42" s="358"/>
      <c r="CR42" s="358"/>
      <c r="CS42" s="358"/>
    </row>
    <row r="43" hidden="1" outlineLevel="1">
      <c r="A43" s="359" t="str">
        <f>IFERROR(__xludf.DUMMYFUNCTION("IMPORTRANGE($B$1,CONCATENATE($A37,""!A3:3""))"),"#REF!")</f>
        <v>#REF!</v>
      </c>
      <c r="B43" s="359"/>
      <c r="C43" s="359"/>
      <c r="D43" s="359"/>
      <c r="E43" s="359"/>
      <c r="F43" s="359"/>
      <c r="G43" s="359"/>
      <c r="H43" s="359"/>
      <c r="I43" s="359"/>
      <c r="J43" s="359"/>
      <c r="K43" s="359"/>
      <c r="L43" s="359"/>
      <c r="M43" s="359"/>
      <c r="N43" s="359"/>
      <c r="O43" s="359"/>
      <c r="P43" s="359"/>
      <c r="Q43" s="359"/>
      <c r="R43" s="359"/>
      <c r="S43" s="359"/>
      <c r="T43" s="359"/>
      <c r="U43" s="359"/>
      <c r="V43" s="359"/>
      <c r="W43" s="359"/>
      <c r="X43" s="359"/>
      <c r="Y43" s="359"/>
      <c r="Z43" s="359"/>
      <c r="AA43" s="359"/>
      <c r="AB43" s="359"/>
      <c r="AC43" s="359"/>
      <c r="AD43" s="359"/>
      <c r="AE43" s="359"/>
      <c r="AF43" s="359"/>
      <c r="AG43" s="359"/>
      <c r="AH43" s="359"/>
      <c r="AI43" s="359"/>
      <c r="AJ43" s="359"/>
      <c r="AK43" s="359"/>
      <c r="AL43" s="359"/>
      <c r="AM43" s="359"/>
      <c r="AN43" s="359"/>
      <c r="AO43" s="359"/>
      <c r="AP43" s="359"/>
      <c r="AQ43" s="359"/>
      <c r="AR43" s="359"/>
      <c r="AS43" s="359"/>
      <c r="AT43" s="359"/>
      <c r="AU43" s="359"/>
      <c r="AV43" s="359"/>
      <c r="AW43" s="359"/>
      <c r="AX43" s="359"/>
      <c r="AY43" s="359"/>
      <c r="AZ43" s="359"/>
      <c r="BA43" s="359"/>
      <c r="BB43" s="359"/>
      <c r="BC43" s="359"/>
      <c r="BD43" s="359"/>
      <c r="BE43" s="359"/>
      <c r="BF43" s="359"/>
      <c r="BG43" s="359"/>
      <c r="BH43" s="359"/>
      <c r="BI43" s="359"/>
      <c r="BJ43" s="359"/>
      <c r="BK43" s="359"/>
      <c r="BL43" s="359"/>
      <c r="BM43" s="359"/>
      <c r="BN43" s="359"/>
      <c r="BO43" s="359"/>
      <c r="BP43" s="359"/>
      <c r="BQ43" s="359"/>
      <c r="BR43" s="359"/>
      <c r="BS43" s="359"/>
      <c r="BT43" s="359"/>
      <c r="BU43" s="359"/>
      <c r="BV43" s="359"/>
      <c r="BW43" s="359"/>
      <c r="BX43" s="359"/>
      <c r="BY43" s="359"/>
      <c r="BZ43" s="359"/>
      <c r="CA43" s="359"/>
      <c r="CB43" s="359"/>
      <c r="CC43" s="359"/>
      <c r="CD43" s="359"/>
      <c r="CE43" s="359"/>
      <c r="CF43" s="359"/>
      <c r="CG43" s="359"/>
      <c r="CH43" s="359"/>
      <c r="CI43" s="359"/>
      <c r="CJ43" s="359"/>
      <c r="CK43" s="359"/>
      <c r="CL43" s="359"/>
      <c r="CM43" s="359"/>
      <c r="CN43" s="359"/>
      <c r="CO43" s="359"/>
      <c r="CP43" s="359"/>
      <c r="CQ43" s="359"/>
      <c r="CR43" s="359"/>
      <c r="CS43" s="359"/>
    </row>
    <row r="44" hidden="1" outlineLevel="1">
      <c r="A44" s="369" t="str">
        <f t="shared" ref="A44:AJ44" si="21">IFS(AND(EXACT(LEFT(A41,5),"ERROR"),EXACT(LEFT(A38,5),"ERROR")), EXACT(MID(A41,9,10),MID(A38,9,10)), EXACT(LEFT(A41,5),"ERROR"), EXACT(LEFT(A38,10),MID(A41,9,10)),EXACT(LEFT(A38,5),"ERROR"), EXACT(LEFT(A41,10),MID(A38,9,10)),TRUE, EXACT(A38,A41))</f>
        <v>#REF!</v>
      </c>
      <c r="B44" s="369" t="b">
        <f t="shared" si="21"/>
        <v>0</v>
      </c>
      <c r="C44" s="369" t="b">
        <f t="shared" si="21"/>
        <v>0</v>
      </c>
      <c r="D44" s="369" t="b">
        <f t="shared" si="21"/>
        <v>0</v>
      </c>
      <c r="E44" s="369" t="b">
        <f t="shared" si="21"/>
        <v>0</v>
      </c>
      <c r="F44" s="369" t="b">
        <f t="shared" si="21"/>
        <v>0</v>
      </c>
      <c r="G44" s="369" t="b">
        <f t="shared" si="21"/>
        <v>1</v>
      </c>
      <c r="H44" s="369" t="b">
        <f t="shared" si="21"/>
        <v>0</v>
      </c>
      <c r="I44" s="369" t="b">
        <f t="shared" si="21"/>
        <v>0</v>
      </c>
      <c r="J44" s="369" t="b">
        <f t="shared" si="21"/>
        <v>0</v>
      </c>
      <c r="K44" s="369" t="b">
        <f t="shared" si="21"/>
        <v>0</v>
      </c>
      <c r="L44" s="369" t="b">
        <f t="shared" si="21"/>
        <v>0</v>
      </c>
      <c r="M44" s="369" t="b">
        <f t="shared" si="21"/>
        <v>0</v>
      </c>
      <c r="N44" s="369" t="b">
        <f t="shared" si="21"/>
        <v>0</v>
      </c>
      <c r="O44" s="369" t="b">
        <f t="shared" si="21"/>
        <v>0</v>
      </c>
      <c r="P44" s="369" t="b">
        <f t="shared" si="21"/>
        <v>0</v>
      </c>
      <c r="Q44" s="369" t="b">
        <f t="shared" si="21"/>
        <v>0</v>
      </c>
      <c r="R44" s="369" t="b">
        <f t="shared" si="21"/>
        <v>0</v>
      </c>
      <c r="S44" s="369" t="b">
        <f t="shared" si="21"/>
        <v>0</v>
      </c>
      <c r="T44" s="369" t="b">
        <f t="shared" si="21"/>
        <v>0</v>
      </c>
      <c r="U44" s="369" t="b">
        <f t="shared" si="21"/>
        <v>0</v>
      </c>
      <c r="V44" s="369" t="b">
        <f t="shared" si="21"/>
        <v>0</v>
      </c>
      <c r="W44" s="369" t="b">
        <f t="shared" si="21"/>
        <v>0</v>
      </c>
      <c r="X44" s="369" t="b">
        <f t="shared" si="21"/>
        <v>0</v>
      </c>
      <c r="Y44" s="369" t="b">
        <f t="shared" si="21"/>
        <v>0</v>
      </c>
      <c r="Z44" s="369" t="b">
        <f t="shared" si="21"/>
        <v>1</v>
      </c>
      <c r="AA44" s="369" t="b">
        <f t="shared" si="21"/>
        <v>0</v>
      </c>
      <c r="AB44" s="369" t="b">
        <f t="shared" si="21"/>
        <v>0</v>
      </c>
      <c r="AC44" s="369" t="b">
        <f t="shared" si="21"/>
        <v>0</v>
      </c>
      <c r="AD44" s="369" t="b">
        <f t="shared" si="21"/>
        <v>0</v>
      </c>
      <c r="AE44" s="369" t="b">
        <f t="shared" si="21"/>
        <v>0</v>
      </c>
      <c r="AF44" s="369" t="b">
        <f t="shared" si="21"/>
        <v>0</v>
      </c>
      <c r="AG44" s="369" t="b">
        <f t="shared" si="21"/>
        <v>0</v>
      </c>
      <c r="AH44" s="369" t="b">
        <f t="shared" si="21"/>
        <v>0</v>
      </c>
      <c r="AI44" s="369" t="b">
        <f t="shared" si="21"/>
        <v>0</v>
      </c>
      <c r="AJ44" s="369" t="b">
        <f t="shared" si="21"/>
        <v>0</v>
      </c>
      <c r="AK44" s="369"/>
      <c r="AL44" s="369"/>
      <c r="AM44" s="369"/>
      <c r="AN44" s="369"/>
      <c r="AO44" s="369"/>
      <c r="AP44" s="369"/>
      <c r="AQ44" s="369"/>
      <c r="AR44" s="369"/>
      <c r="AS44" s="369"/>
      <c r="AT44" s="369"/>
      <c r="AU44" s="369"/>
      <c r="AV44" s="369"/>
      <c r="AW44" s="369"/>
      <c r="AX44" s="369"/>
      <c r="AY44" s="369"/>
      <c r="AZ44" s="369"/>
      <c r="BA44" s="369"/>
      <c r="BB44" s="369"/>
      <c r="BC44" s="369"/>
      <c r="BD44" s="369"/>
      <c r="BE44" s="369"/>
      <c r="BF44" s="369"/>
      <c r="BG44" s="369"/>
      <c r="BH44" s="369"/>
      <c r="BI44" s="369"/>
      <c r="BJ44" s="369"/>
      <c r="BK44" s="369"/>
      <c r="BL44" s="369"/>
      <c r="BM44" s="369"/>
      <c r="BN44" s="369"/>
      <c r="BO44" s="369"/>
      <c r="BP44" s="369"/>
      <c r="BQ44" s="369"/>
      <c r="BR44" s="369"/>
      <c r="BS44" s="369"/>
      <c r="BT44" s="369"/>
      <c r="BU44" s="369"/>
      <c r="BV44" s="369"/>
      <c r="BW44" s="369"/>
      <c r="BX44" s="369"/>
      <c r="BY44" s="369"/>
      <c r="BZ44" s="369"/>
      <c r="CA44" s="369"/>
      <c r="CB44" s="369"/>
      <c r="CC44" s="369"/>
      <c r="CD44" s="369"/>
      <c r="CE44" s="369"/>
      <c r="CF44" s="369"/>
      <c r="CG44" s="369"/>
      <c r="CH44" s="369"/>
      <c r="CI44" s="369"/>
      <c r="CJ44" s="369"/>
      <c r="CK44" s="369"/>
      <c r="CL44" s="369"/>
      <c r="CM44" s="369"/>
      <c r="CN44" s="369"/>
      <c r="CO44" s="369"/>
      <c r="CP44" s="369"/>
      <c r="CQ44" s="369"/>
      <c r="CR44" s="369"/>
      <c r="CS44" s="369"/>
    </row>
    <row r="45" hidden="1" outlineLevel="1">
      <c r="A45" s="358" t="str">
        <f t="shared" ref="A45:AJ45" si="22">EXACT(A39,A42)</f>
        <v>#REF!</v>
      </c>
      <c r="B45" s="358" t="b">
        <f t="shared" si="22"/>
        <v>1</v>
      </c>
      <c r="C45" s="358" t="b">
        <f t="shared" si="22"/>
        <v>1</v>
      </c>
      <c r="D45" s="358" t="b">
        <f t="shared" si="22"/>
        <v>0</v>
      </c>
      <c r="E45" s="358" t="b">
        <f t="shared" si="22"/>
        <v>1</v>
      </c>
      <c r="F45" s="358" t="b">
        <f t="shared" si="22"/>
        <v>0</v>
      </c>
      <c r="G45" s="358" t="b">
        <f t="shared" si="22"/>
        <v>1</v>
      </c>
      <c r="H45" s="358" t="b">
        <f t="shared" si="22"/>
        <v>1</v>
      </c>
      <c r="I45" s="358" t="b">
        <f t="shared" si="22"/>
        <v>1</v>
      </c>
      <c r="J45" s="358" t="b">
        <f t="shared" si="22"/>
        <v>1</v>
      </c>
      <c r="K45" s="358" t="b">
        <f t="shared" si="22"/>
        <v>0</v>
      </c>
      <c r="L45" s="358" t="b">
        <f t="shared" si="22"/>
        <v>1</v>
      </c>
      <c r="M45" s="358" t="b">
        <f t="shared" si="22"/>
        <v>1</v>
      </c>
      <c r="N45" s="358" t="b">
        <f t="shared" si="22"/>
        <v>1</v>
      </c>
      <c r="O45" s="358" t="b">
        <f t="shared" si="22"/>
        <v>1</v>
      </c>
      <c r="P45" s="358" t="b">
        <f t="shared" si="22"/>
        <v>1</v>
      </c>
      <c r="Q45" s="358" t="b">
        <f t="shared" si="22"/>
        <v>1</v>
      </c>
      <c r="R45" s="358" t="b">
        <f t="shared" si="22"/>
        <v>1</v>
      </c>
      <c r="S45" s="358" t="b">
        <f t="shared" si="22"/>
        <v>1</v>
      </c>
      <c r="T45" s="358" t="b">
        <f t="shared" si="22"/>
        <v>1</v>
      </c>
      <c r="U45" s="358" t="b">
        <f t="shared" si="22"/>
        <v>1</v>
      </c>
      <c r="V45" s="358" t="b">
        <f t="shared" si="22"/>
        <v>1</v>
      </c>
      <c r="W45" s="358" t="b">
        <f t="shared" si="22"/>
        <v>1</v>
      </c>
      <c r="X45" s="358" t="b">
        <f t="shared" si="22"/>
        <v>1</v>
      </c>
      <c r="Y45" s="358" t="b">
        <f t="shared" si="22"/>
        <v>0</v>
      </c>
      <c r="Z45" s="358" t="b">
        <f t="shared" si="22"/>
        <v>1</v>
      </c>
      <c r="AA45" s="358" t="b">
        <f t="shared" si="22"/>
        <v>1</v>
      </c>
      <c r="AB45" s="358" t="b">
        <f t="shared" si="22"/>
        <v>0</v>
      </c>
      <c r="AC45" s="358" t="b">
        <f t="shared" si="22"/>
        <v>1</v>
      </c>
      <c r="AD45" s="358" t="b">
        <f t="shared" si="22"/>
        <v>0</v>
      </c>
      <c r="AE45" s="358" t="b">
        <f t="shared" si="22"/>
        <v>1</v>
      </c>
      <c r="AF45" s="358" t="b">
        <f t="shared" si="22"/>
        <v>1</v>
      </c>
      <c r="AG45" s="358" t="b">
        <f t="shared" si="22"/>
        <v>1</v>
      </c>
      <c r="AH45" s="358" t="b">
        <f t="shared" si="22"/>
        <v>0</v>
      </c>
      <c r="AI45" s="358" t="b">
        <f t="shared" si="22"/>
        <v>1</v>
      </c>
      <c r="AJ45" s="358" t="b">
        <f t="shared" si="22"/>
        <v>1</v>
      </c>
      <c r="AK45" s="358"/>
      <c r="AL45" s="358"/>
      <c r="AM45" s="358"/>
      <c r="AN45" s="358"/>
      <c r="AO45" s="358"/>
      <c r="AP45" s="358"/>
      <c r="AQ45" s="358"/>
      <c r="AR45" s="358"/>
      <c r="AS45" s="358"/>
      <c r="AT45" s="358"/>
      <c r="AU45" s="358"/>
      <c r="AV45" s="358"/>
      <c r="AW45" s="358"/>
      <c r="AX45" s="358"/>
      <c r="AY45" s="358"/>
      <c r="AZ45" s="358"/>
      <c r="BA45" s="358"/>
      <c r="BB45" s="358"/>
      <c r="BC45" s="358"/>
      <c r="BD45" s="358"/>
      <c r="BE45" s="358"/>
      <c r="BF45" s="358"/>
      <c r="BG45" s="358"/>
      <c r="BH45" s="358"/>
      <c r="BI45" s="358"/>
      <c r="BJ45" s="358"/>
      <c r="BK45" s="358"/>
      <c r="BL45" s="358"/>
      <c r="BM45" s="358"/>
      <c r="BN45" s="358"/>
      <c r="BO45" s="358"/>
      <c r="BP45" s="358"/>
      <c r="BQ45" s="358"/>
      <c r="BR45" s="358"/>
      <c r="BS45" s="358"/>
      <c r="BT45" s="358"/>
      <c r="BU45" s="358"/>
      <c r="BV45" s="358"/>
      <c r="BW45" s="358"/>
      <c r="BX45" s="358"/>
      <c r="BY45" s="358"/>
      <c r="BZ45" s="358"/>
      <c r="CA45" s="358"/>
      <c r="CB45" s="358"/>
      <c r="CC45" s="358"/>
      <c r="CD45" s="358"/>
      <c r="CE45" s="358"/>
      <c r="CF45" s="358"/>
      <c r="CG45" s="358"/>
      <c r="CH45" s="358"/>
      <c r="CI45" s="358"/>
      <c r="CJ45" s="358"/>
      <c r="CK45" s="358"/>
      <c r="CL45" s="358"/>
      <c r="CM45" s="358"/>
      <c r="CN45" s="358"/>
      <c r="CO45" s="358"/>
      <c r="CP45" s="358"/>
      <c r="CQ45" s="358"/>
      <c r="CR45" s="358"/>
      <c r="CS45" s="358"/>
    </row>
    <row r="46" hidden="1" outlineLevel="1">
      <c r="A46" s="359" t="str">
        <f t="shared" ref="A46:AJ46" si="23">EXACT(A40,A43)</f>
        <v>#REF!</v>
      </c>
      <c r="B46" s="359" t="b">
        <f t="shared" si="23"/>
        <v>1</v>
      </c>
      <c r="C46" s="359" t="b">
        <f t="shared" si="23"/>
        <v>1</v>
      </c>
      <c r="D46" s="359" t="b">
        <f t="shared" si="23"/>
        <v>0</v>
      </c>
      <c r="E46" s="359" t="b">
        <f t="shared" si="23"/>
        <v>0</v>
      </c>
      <c r="F46" s="359" t="b">
        <f t="shared" si="23"/>
        <v>1</v>
      </c>
      <c r="G46" s="359" t="b">
        <f t="shared" si="23"/>
        <v>1</v>
      </c>
      <c r="H46" s="359" t="b">
        <f t="shared" si="23"/>
        <v>1</v>
      </c>
      <c r="I46" s="359" t="b">
        <f t="shared" si="23"/>
        <v>1</v>
      </c>
      <c r="J46" s="359" t="b">
        <f t="shared" si="23"/>
        <v>1</v>
      </c>
      <c r="K46" s="359" t="b">
        <f t="shared" si="23"/>
        <v>0</v>
      </c>
      <c r="L46" s="359" t="b">
        <f t="shared" si="23"/>
        <v>1</v>
      </c>
      <c r="M46" s="359" t="b">
        <f t="shared" si="23"/>
        <v>1</v>
      </c>
      <c r="N46" s="359" t="b">
        <f t="shared" si="23"/>
        <v>0</v>
      </c>
      <c r="O46" s="359" t="b">
        <f t="shared" si="23"/>
        <v>1</v>
      </c>
      <c r="P46" s="359" t="b">
        <f t="shared" si="23"/>
        <v>1</v>
      </c>
      <c r="Q46" s="359" t="b">
        <f t="shared" si="23"/>
        <v>1</v>
      </c>
      <c r="R46" s="359" t="b">
        <f t="shared" si="23"/>
        <v>1</v>
      </c>
      <c r="S46" s="359" t="b">
        <f t="shared" si="23"/>
        <v>1</v>
      </c>
      <c r="T46" s="359" t="b">
        <f t="shared" si="23"/>
        <v>1</v>
      </c>
      <c r="U46" s="359" t="b">
        <f t="shared" si="23"/>
        <v>1</v>
      </c>
      <c r="V46" s="359" t="b">
        <f t="shared" si="23"/>
        <v>1</v>
      </c>
      <c r="W46" s="359" t="b">
        <f t="shared" si="23"/>
        <v>1</v>
      </c>
      <c r="X46" s="359" t="b">
        <f t="shared" si="23"/>
        <v>1</v>
      </c>
      <c r="Y46" s="359" t="b">
        <f t="shared" si="23"/>
        <v>0</v>
      </c>
      <c r="Z46" s="359" t="b">
        <f t="shared" si="23"/>
        <v>1</v>
      </c>
      <c r="AA46" s="359" t="b">
        <f t="shared" si="23"/>
        <v>0</v>
      </c>
      <c r="AB46" s="359" t="b">
        <f t="shared" si="23"/>
        <v>0</v>
      </c>
      <c r="AC46" s="359" t="b">
        <f t="shared" si="23"/>
        <v>1</v>
      </c>
      <c r="AD46" s="359" t="b">
        <f t="shared" si="23"/>
        <v>0</v>
      </c>
      <c r="AE46" s="359" t="b">
        <f t="shared" si="23"/>
        <v>0</v>
      </c>
      <c r="AF46" s="359" t="b">
        <f t="shared" si="23"/>
        <v>1</v>
      </c>
      <c r="AG46" s="359" t="b">
        <f t="shared" si="23"/>
        <v>1</v>
      </c>
      <c r="AH46" s="359" t="b">
        <f t="shared" si="23"/>
        <v>0</v>
      </c>
      <c r="AI46" s="359" t="b">
        <f t="shared" si="23"/>
        <v>1</v>
      </c>
      <c r="AJ46" s="359" t="b">
        <f t="shared" si="23"/>
        <v>1</v>
      </c>
      <c r="AK46" s="359"/>
      <c r="AL46" s="359"/>
      <c r="AM46" s="359"/>
      <c r="AN46" s="359"/>
      <c r="AO46" s="359"/>
      <c r="AP46" s="359"/>
      <c r="AQ46" s="359"/>
      <c r="AR46" s="359"/>
      <c r="AS46" s="359"/>
      <c r="AT46" s="359"/>
      <c r="AU46" s="359"/>
      <c r="AV46" s="359"/>
      <c r="AW46" s="359"/>
      <c r="AX46" s="359"/>
      <c r="AY46" s="359"/>
      <c r="AZ46" s="359"/>
      <c r="BA46" s="359"/>
      <c r="BB46" s="359"/>
      <c r="BC46" s="359"/>
      <c r="BD46" s="359"/>
      <c r="BE46" s="359"/>
      <c r="BF46" s="359"/>
      <c r="BG46" s="359"/>
      <c r="BH46" s="359"/>
      <c r="BI46" s="359"/>
      <c r="BJ46" s="359"/>
      <c r="BK46" s="359"/>
      <c r="BL46" s="359"/>
      <c r="BM46" s="359"/>
      <c r="BN46" s="359"/>
      <c r="BO46" s="359"/>
      <c r="BP46" s="359"/>
      <c r="BQ46" s="359"/>
      <c r="BR46" s="359"/>
      <c r="BS46" s="359"/>
      <c r="BT46" s="359"/>
      <c r="BU46" s="359"/>
      <c r="BV46" s="359"/>
      <c r="BW46" s="359"/>
      <c r="BX46" s="359"/>
      <c r="BY46" s="359"/>
      <c r="BZ46" s="359"/>
      <c r="CA46" s="359"/>
      <c r="CB46" s="359"/>
      <c r="CC46" s="359"/>
      <c r="CD46" s="359"/>
      <c r="CE46" s="359"/>
      <c r="CF46" s="359"/>
      <c r="CG46" s="359"/>
      <c r="CH46" s="359"/>
      <c r="CI46" s="359"/>
      <c r="CJ46" s="359"/>
      <c r="CK46" s="359"/>
      <c r="CL46" s="359"/>
      <c r="CM46" s="359"/>
      <c r="CN46" s="359"/>
      <c r="CO46" s="359"/>
      <c r="CP46" s="359"/>
      <c r="CQ46" s="359"/>
      <c r="CR46" s="359"/>
      <c r="CS46" s="359"/>
    </row>
    <row r="47">
      <c r="B47" s="11">
        <f>MATCH("END",A49:A1017,0)</f>
        <v>20</v>
      </c>
      <c r="C47" s="11" t="str">
        <f>MATCH("END",D49:D1017,0)</f>
        <v>#N/A</v>
      </c>
    </row>
    <row r="48" collapsed="1">
      <c r="A48" s="383" t="s">
        <v>2590</v>
      </c>
      <c r="B48" s="68" t="str">
        <f>IFNA(IF(MATCH("END",A49:A74,0)&gt;MATCH("END",D49:D74,0),MATCH("END",A49:A74,0),MATCH("END",D49:D74,0)),"END Missing")</f>
        <v>END Missing</v>
      </c>
      <c r="C48" s="51" t="str">
        <f>IF(AND(G49:G73),"Headers Match","ERROR!! Headers Mismatch")</f>
        <v>#REF!</v>
      </c>
      <c r="D48" s="51" t="str">
        <f>IF(AND(H49:H73),"Formulas Match","ERROR!! Formulas Mismatch")</f>
        <v>#REF!</v>
      </c>
      <c r="E48" s="348"/>
      <c r="F48" s="382"/>
      <c r="G48" s="384" t="s">
        <v>2844</v>
      </c>
      <c r="H48" s="384" t="s">
        <v>2845</v>
      </c>
    </row>
    <row r="49" hidden="1" outlineLevel="1">
      <c r="A49" s="385" t="str">
        <f t="shared" ref="A49:A69" si="24">INDIRECT(CONCATENATE($A$48,"!",ADDRESS(ROW(A49)-ROW($A$48),3)))</f>
        <v>APS CHECK SUM MAIN</v>
      </c>
      <c r="B49" s="60"/>
      <c r="C49" s="34" t="str">
        <f t="shared" ref="C49:C68" si="25">IF(_xlfn.ISFORMULA(INDIRECT(CONCATENATE($A$48,"!",ADDRESS(ROW(A49)-ROW($A$48),4)))),FORMULATEXT(INDIRECT(CONCATENATE($A$48,"!",ADDRESS(ROW(A49)-ROW($A$48),4)))),IFERROR(0/0,""))</f>
        <v>=IF(D3=D11,"Check Sum OK", CONCATENATE(D11-D3," ERROR!! - Check Sum Fail"))</v>
      </c>
      <c r="D49" s="386" t="str">
        <f>IFERROR(__xludf.DUMMYFUNCTION("IMPORTRANGE($B$1,CONCATENATE($A$48,""!C1:C25""))"),"#REF!")</f>
        <v>#REF!</v>
      </c>
      <c r="E49" s="361"/>
      <c r="F49" s="34" t="str">
        <f>IFERROR(__xludf.DUMMYFUNCTION("IMPORTRANGE($B$1,CONCATENATE($A$48,""!A1:A25""))"),"#REF!")</f>
        <v>#REF!</v>
      </c>
      <c r="G49" s="356" t="str">
        <f t="shared" ref="G49:G61" si="26">EXACT(A49,D49)</f>
        <v>#REF!</v>
      </c>
      <c r="H49" s="132" t="str">
        <f t="shared" ref="H49:H61" si="27">EXACT(C49,F49)</f>
        <v>#REF!</v>
      </c>
      <c r="J49" s="60"/>
      <c r="K49" s="60"/>
      <c r="L49" s="60"/>
      <c r="M49" s="60"/>
      <c r="N49" s="60"/>
      <c r="O49" s="60"/>
      <c r="P49" s="60"/>
      <c r="Q49" s="60"/>
      <c r="R49" s="60"/>
      <c r="S49" s="60"/>
      <c r="T49" s="60"/>
      <c r="U49" s="60"/>
      <c r="V49" s="282"/>
      <c r="W49" s="60"/>
      <c r="X49" s="60"/>
      <c r="Y49" s="60"/>
      <c r="Z49" s="60"/>
      <c r="AA49" s="60"/>
      <c r="AB49" s="60"/>
      <c r="AC49" s="60"/>
      <c r="AD49" s="60"/>
      <c r="AE49" s="60"/>
      <c r="AF49" s="60"/>
      <c r="AG49" s="60"/>
      <c r="AH49" s="60"/>
      <c r="AI49" s="60"/>
      <c r="AJ49" s="60"/>
      <c r="AK49" s="60"/>
      <c r="AL49" s="60"/>
      <c r="AM49" s="60"/>
      <c r="AN49" s="60"/>
      <c r="AO49" s="60"/>
      <c r="AP49" s="60"/>
      <c r="AQ49" s="60"/>
      <c r="AR49" s="60"/>
      <c r="AS49" s="60"/>
      <c r="AT49" s="60"/>
      <c r="AU49" s="60"/>
      <c r="AV49" s="60"/>
      <c r="AW49" s="60"/>
      <c r="AX49" s="60"/>
      <c r="AY49" s="60"/>
      <c r="AZ49" s="60"/>
      <c r="BA49" s="60"/>
      <c r="BB49" s="60"/>
      <c r="BC49" s="60"/>
      <c r="BD49" s="60"/>
      <c r="BE49" s="60"/>
      <c r="BF49" s="51"/>
      <c r="BG49" s="51"/>
      <c r="BH49" s="51"/>
      <c r="BI49" s="51"/>
      <c r="BJ49" s="51"/>
      <c r="BK49" s="51"/>
      <c r="BL49" s="51"/>
      <c r="BM49" s="51"/>
      <c r="BN49" s="51"/>
      <c r="BO49" s="51"/>
      <c r="BP49" s="51"/>
      <c r="BQ49" s="51"/>
      <c r="BR49" s="51"/>
      <c r="BS49" s="51"/>
      <c r="BT49" s="51"/>
      <c r="BU49" s="51"/>
      <c r="BV49" s="51"/>
      <c r="BW49" s="51"/>
      <c r="BX49" s="51"/>
      <c r="BY49" s="51"/>
      <c r="BZ49" s="51"/>
      <c r="CA49" s="51"/>
      <c r="CB49" s="51"/>
      <c r="CC49" s="51"/>
      <c r="CD49" s="51"/>
      <c r="CE49" s="51"/>
      <c r="CF49" s="51"/>
      <c r="CG49" s="51"/>
      <c r="CH49" s="51"/>
      <c r="CI49" s="51"/>
      <c r="CJ49" s="51"/>
      <c r="CK49" s="51"/>
      <c r="CL49" s="51"/>
      <c r="CM49" s="51"/>
      <c r="CN49" s="51"/>
      <c r="CO49" s="51"/>
      <c r="CP49" s="51"/>
      <c r="CQ49" s="51"/>
      <c r="CR49" s="51"/>
      <c r="CS49" s="51"/>
    </row>
    <row r="50" hidden="1" outlineLevel="1">
      <c r="A50" s="385" t="str">
        <f t="shared" si="24"/>
        <v>RAW_APS Total Rows</v>
      </c>
      <c r="B50" s="359"/>
      <c r="C50" s="34" t="str">
        <f t="shared" si="25"/>
        <v>=ROWS(RAW_APS!A$3:A)</v>
      </c>
      <c r="D50" s="387"/>
      <c r="E50" s="388"/>
      <c r="F50" s="359"/>
      <c r="G50" s="356" t="b">
        <f t="shared" si="26"/>
        <v>0</v>
      </c>
      <c r="H50" s="132" t="b">
        <f t="shared" si="27"/>
        <v>0</v>
      </c>
      <c r="I50" s="359"/>
      <c r="J50" s="359"/>
      <c r="K50" s="359"/>
      <c r="L50" s="359"/>
      <c r="M50" s="359"/>
      <c r="N50" s="359"/>
      <c r="O50" s="359"/>
      <c r="P50" s="359"/>
      <c r="Q50" s="359"/>
      <c r="R50" s="359"/>
      <c r="S50" s="359"/>
      <c r="T50" s="359"/>
      <c r="U50" s="359"/>
      <c r="V50" s="282"/>
      <c r="W50" s="359"/>
      <c r="X50" s="359"/>
      <c r="Y50" s="359"/>
      <c r="Z50" s="359"/>
      <c r="AA50" s="359"/>
      <c r="AB50" s="359"/>
      <c r="AC50" s="359"/>
      <c r="AD50" s="359"/>
      <c r="AE50" s="359"/>
      <c r="AF50" s="359"/>
      <c r="AG50" s="359"/>
      <c r="AH50" s="359"/>
      <c r="AI50" s="359"/>
      <c r="AJ50" s="359"/>
      <c r="AK50" s="359"/>
      <c r="AL50" s="359"/>
      <c r="AM50" s="359"/>
      <c r="AN50" s="359"/>
      <c r="AO50" s="359"/>
      <c r="AP50" s="359"/>
      <c r="AQ50" s="359"/>
      <c r="AR50" s="359"/>
      <c r="AS50" s="359"/>
      <c r="AT50" s="359"/>
      <c r="AU50" s="359"/>
      <c r="AV50" s="359"/>
      <c r="AW50" s="359"/>
      <c r="AX50" s="359"/>
      <c r="AY50" s="359"/>
      <c r="AZ50" s="359"/>
      <c r="BA50" s="359"/>
      <c r="BB50" s="359"/>
      <c r="BC50" s="359"/>
      <c r="BD50" s="359"/>
      <c r="BE50" s="359"/>
      <c r="BF50" s="359"/>
      <c r="BG50" s="359"/>
      <c r="BH50" s="359"/>
      <c r="BI50" s="359"/>
      <c r="BJ50" s="359"/>
      <c r="BK50" s="359"/>
      <c r="BL50" s="359"/>
      <c r="BM50" s="359"/>
      <c r="BN50" s="359"/>
      <c r="BO50" s="359"/>
      <c r="BP50" s="359"/>
      <c r="BQ50" s="359"/>
      <c r="BR50" s="359"/>
      <c r="BS50" s="359"/>
      <c r="BT50" s="359"/>
      <c r="BU50" s="359"/>
      <c r="BV50" s="359"/>
      <c r="BW50" s="359"/>
      <c r="BX50" s="359"/>
      <c r="BY50" s="359"/>
      <c r="BZ50" s="359"/>
      <c r="CA50" s="359"/>
      <c r="CB50" s="359"/>
      <c r="CC50" s="359"/>
      <c r="CD50" s="359"/>
      <c r="CE50" s="359"/>
      <c r="CF50" s="359"/>
      <c r="CG50" s="359"/>
      <c r="CH50" s="359"/>
      <c r="CI50" s="359"/>
      <c r="CJ50" s="359"/>
      <c r="CK50" s="359"/>
      <c r="CL50" s="359"/>
      <c r="CM50" s="359"/>
      <c r="CN50" s="359"/>
      <c r="CO50" s="359"/>
      <c r="CP50" s="359"/>
      <c r="CQ50" s="359"/>
      <c r="CR50" s="359"/>
      <c r="CS50" s="359"/>
    </row>
    <row r="51" hidden="1" outlineLevel="1">
      <c r="A51" s="385" t="str">
        <f t="shared" si="24"/>
        <v>Total Rows</v>
      </c>
      <c r="B51" s="356"/>
      <c r="C51" s="34" t="str">
        <f t="shared" si="25"/>
        <v>=ROWS(preDEL!A$2:A)</v>
      </c>
      <c r="D51" s="389"/>
      <c r="E51" s="390"/>
      <c r="F51" s="152"/>
      <c r="G51" s="356" t="b">
        <f t="shared" si="26"/>
        <v>0</v>
      </c>
      <c r="H51" s="132" t="b">
        <f t="shared" si="27"/>
        <v>0</v>
      </c>
      <c r="I51" s="356"/>
      <c r="J51" s="356"/>
      <c r="K51" s="356"/>
      <c r="L51" s="356"/>
      <c r="M51" s="356"/>
      <c r="N51" s="356"/>
      <c r="O51" s="356"/>
      <c r="P51" s="356"/>
      <c r="Q51" s="356"/>
      <c r="R51" s="356"/>
      <c r="S51" s="356"/>
      <c r="T51" s="356"/>
      <c r="U51" s="356"/>
      <c r="V51" s="282"/>
      <c r="W51" s="356"/>
      <c r="X51" s="356"/>
      <c r="Y51" s="356"/>
      <c r="Z51" s="356"/>
      <c r="AA51" s="356"/>
      <c r="AB51" s="356"/>
      <c r="AC51" s="356"/>
      <c r="AD51" s="356"/>
      <c r="AE51" s="356"/>
      <c r="AF51" s="356"/>
      <c r="AG51" s="356"/>
      <c r="AH51" s="356"/>
      <c r="AI51" s="356"/>
      <c r="AJ51" s="356"/>
      <c r="AK51" s="356"/>
      <c r="AL51" s="356"/>
      <c r="AM51" s="356"/>
      <c r="AN51" s="356"/>
      <c r="AO51" s="356"/>
      <c r="AP51" s="356"/>
      <c r="AQ51" s="356"/>
      <c r="AR51" s="356"/>
      <c r="AS51" s="356"/>
      <c r="AT51" s="356"/>
      <c r="AU51" s="356"/>
      <c r="AV51" s="356"/>
      <c r="AW51" s="356"/>
      <c r="AX51" s="356"/>
      <c r="AY51" s="356"/>
      <c r="AZ51" s="356"/>
      <c r="BA51" s="356"/>
      <c r="BB51" s="356"/>
      <c r="BC51" s="356"/>
      <c r="BD51" s="356"/>
      <c r="BE51" s="356"/>
      <c r="BF51" s="356"/>
      <c r="BG51" s="356"/>
      <c r="BH51" s="356"/>
      <c r="BI51" s="356"/>
      <c r="BJ51" s="356"/>
      <c r="BK51" s="356"/>
      <c r="BL51" s="356"/>
      <c r="BM51" s="356"/>
      <c r="BN51" s="356"/>
      <c r="BO51" s="356"/>
      <c r="BP51" s="356"/>
      <c r="BQ51" s="356"/>
      <c r="BR51" s="356"/>
      <c r="BS51" s="356"/>
      <c r="BT51" s="356"/>
      <c r="BU51" s="356"/>
      <c r="BV51" s="356"/>
      <c r="BW51" s="356"/>
      <c r="BX51" s="356"/>
      <c r="BY51" s="356"/>
      <c r="BZ51" s="356"/>
      <c r="CA51" s="356"/>
      <c r="CB51" s="356"/>
      <c r="CC51" s="356"/>
      <c r="CD51" s="356"/>
      <c r="CE51" s="356"/>
      <c r="CF51" s="356"/>
      <c r="CG51" s="356"/>
      <c r="CH51" s="356"/>
      <c r="CI51" s="356"/>
      <c r="CJ51" s="356"/>
      <c r="CK51" s="356"/>
      <c r="CL51" s="356"/>
      <c r="CM51" s="356"/>
      <c r="CN51" s="356"/>
      <c r="CO51" s="356"/>
      <c r="CP51" s="356"/>
      <c r="CQ51" s="356"/>
      <c r="CR51" s="356"/>
      <c r="CS51" s="356"/>
    </row>
    <row r="52" hidden="1" outlineLevel="1">
      <c r="A52" s="385" t="str">
        <f t="shared" si="24"/>
        <v>Delete Rows (from Delete? col)</v>
      </c>
      <c r="B52" s="359"/>
      <c r="C52" s="34" t="str">
        <f t="shared" si="25"/>
        <v>=COUNTIF(preDEL!$AG2:$AG,TRUE)</v>
      </c>
      <c r="D52" s="387"/>
      <c r="E52" s="388"/>
      <c r="F52" s="359"/>
      <c r="G52" s="356" t="b">
        <f t="shared" si="26"/>
        <v>0</v>
      </c>
      <c r="H52" s="132" t="b">
        <f t="shared" si="27"/>
        <v>0</v>
      </c>
      <c r="I52" s="359"/>
      <c r="J52" s="359"/>
      <c r="K52" s="359"/>
      <c r="L52" s="359"/>
      <c r="M52" s="359"/>
      <c r="N52" s="359"/>
      <c r="O52" s="359"/>
      <c r="P52" s="359"/>
      <c r="Q52" s="359"/>
      <c r="R52" s="359"/>
      <c r="S52" s="359"/>
      <c r="T52" s="359"/>
      <c r="U52" s="359"/>
      <c r="V52" s="282"/>
      <c r="W52" s="359"/>
      <c r="X52" s="359"/>
      <c r="Y52" s="359"/>
      <c r="Z52" s="359"/>
      <c r="AA52" s="359"/>
      <c r="AB52" s="359"/>
      <c r="AC52" s="359"/>
      <c r="AD52" s="359"/>
      <c r="AE52" s="359"/>
      <c r="AF52" s="359"/>
      <c r="AG52" s="359"/>
      <c r="AH52" s="359"/>
      <c r="AI52" s="359"/>
      <c r="AJ52" s="359"/>
      <c r="AK52" s="359"/>
      <c r="AL52" s="359"/>
      <c r="AM52" s="359"/>
      <c r="AN52" s="359"/>
      <c r="AO52" s="359"/>
      <c r="AP52" s="359"/>
      <c r="AQ52" s="359"/>
      <c r="AR52" s="359"/>
      <c r="AS52" s="359"/>
      <c r="AT52" s="359"/>
      <c r="AU52" s="359"/>
      <c r="AV52" s="359"/>
      <c r="AW52" s="359"/>
      <c r="AX52" s="359"/>
      <c r="AY52" s="359"/>
      <c r="AZ52" s="359"/>
      <c r="BA52" s="359"/>
      <c r="BB52" s="359"/>
      <c r="BC52" s="359"/>
      <c r="BD52" s="359"/>
      <c r="BE52" s="359"/>
      <c r="BF52" s="359"/>
      <c r="BG52" s="359"/>
      <c r="BH52" s="359"/>
      <c r="BI52" s="359"/>
      <c r="BJ52" s="359"/>
      <c r="BK52" s="359"/>
      <c r="BL52" s="359"/>
      <c r="BM52" s="359"/>
      <c r="BN52" s="359"/>
      <c r="BO52" s="359"/>
      <c r="BP52" s="359"/>
      <c r="BQ52" s="359"/>
      <c r="BR52" s="359"/>
      <c r="BS52" s="359"/>
      <c r="BT52" s="359"/>
      <c r="BU52" s="359"/>
      <c r="BV52" s="359"/>
      <c r="BW52" s="359"/>
      <c r="BX52" s="359"/>
      <c r="BY52" s="359"/>
      <c r="BZ52" s="359"/>
      <c r="CA52" s="359"/>
      <c r="CB52" s="359"/>
      <c r="CC52" s="359"/>
      <c r="CD52" s="359"/>
      <c r="CE52" s="359"/>
      <c r="CF52" s="359"/>
      <c r="CG52" s="359"/>
      <c r="CH52" s="359"/>
      <c r="CI52" s="359"/>
      <c r="CJ52" s="359"/>
      <c r="CK52" s="359"/>
      <c r="CL52" s="359"/>
      <c r="CM52" s="359"/>
      <c r="CN52" s="359"/>
      <c r="CO52" s="359"/>
      <c r="CP52" s="359"/>
      <c r="CQ52" s="359"/>
      <c r="CR52" s="359"/>
      <c r="CS52" s="359"/>
    </row>
    <row r="53" hidden="1" outlineLevel="1">
      <c r="A53" s="385" t="str">
        <f t="shared" si="24"/>
        <v>Keep Rows (Total - Delete)</v>
      </c>
      <c r="B53" s="369"/>
      <c r="C53" s="34" t="str">
        <f t="shared" si="25"/>
        <v>=D3-D4</v>
      </c>
      <c r="D53" s="391"/>
      <c r="E53" s="392"/>
      <c r="F53" s="360"/>
      <c r="G53" s="356" t="b">
        <f t="shared" si="26"/>
        <v>0</v>
      </c>
      <c r="H53" s="132" t="b">
        <f t="shared" si="27"/>
        <v>0</v>
      </c>
      <c r="I53" s="369"/>
      <c r="J53" s="369"/>
      <c r="K53" s="369"/>
      <c r="L53" s="369"/>
      <c r="M53" s="369"/>
      <c r="N53" s="369"/>
      <c r="O53" s="369"/>
      <c r="P53" s="369"/>
      <c r="Q53" s="369"/>
      <c r="R53" s="369"/>
      <c r="S53" s="369"/>
      <c r="T53" s="369"/>
      <c r="U53" s="369"/>
      <c r="V53" s="282"/>
      <c r="W53" s="369"/>
      <c r="X53" s="369"/>
      <c r="Y53" s="369"/>
      <c r="Z53" s="369"/>
      <c r="AA53" s="369"/>
      <c r="AB53" s="369"/>
      <c r="AC53" s="369"/>
      <c r="AD53" s="369"/>
      <c r="AE53" s="369"/>
      <c r="AF53" s="369"/>
      <c r="AG53" s="369"/>
      <c r="AH53" s="369"/>
      <c r="AI53" s="369"/>
      <c r="AJ53" s="369"/>
      <c r="AK53" s="369"/>
      <c r="AL53" s="369"/>
      <c r="AM53" s="369"/>
      <c r="AN53" s="369"/>
      <c r="AO53" s="369"/>
      <c r="AP53" s="369"/>
      <c r="AQ53" s="369"/>
      <c r="AR53" s="369"/>
      <c r="AS53" s="369"/>
      <c r="AT53" s="369"/>
      <c r="AU53" s="369"/>
      <c r="AV53" s="369"/>
      <c r="AW53" s="369"/>
      <c r="AX53" s="369"/>
      <c r="AY53" s="369"/>
      <c r="AZ53" s="369"/>
      <c r="BA53" s="369"/>
      <c r="BB53" s="369"/>
      <c r="BC53" s="369"/>
      <c r="BD53" s="369"/>
      <c r="BE53" s="369"/>
      <c r="BF53" s="369"/>
      <c r="BG53" s="369"/>
      <c r="BH53" s="369"/>
      <c r="BI53" s="369"/>
      <c r="BJ53" s="369"/>
      <c r="BK53" s="369"/>
      <c r="BL53" s="369"/>
      <c r="BM53" s="369"/>
      <c r="BN53" s="369"/>
      <c r="BO53" s="369"/>
      <c r="BP53" s="369"/>
      <c r="BQ53" s="369"/>
      <c r="BR53" s="369"/>
      <c r="BS53" s="369"/>
      <c r="BT53" s="369"/>
      <c r="BU53" s="369"/>
      <c r="BV53" s="369"/>
      <c r="BW53" s="369"/>
      <c r="BX53" s="369"/>
      <c r="BY53" s="369"/>
      <c r="BZ53" s="369"/>
      <c r="CA53" s="369"/>
      <c r="CB53" s="369"/>
      <c r="CC53" s="369"/>
      <c r="CD53" s="369"/>
      <c r="CE53" s="369"/>
      <c r="CF53" s="369"/>
      <c r="CG53" s="369"/>
      <c r="CH53" s="369"/>
      <c r="CI53" s="369"/>
      <c r="CJ53" s="369"/>
      <c r="CK53" s="369"/>
      <c r="CL53" s="369"/>
      <c r="CM53" s="369"/>
      <c r="CN53" s="369"/>
      <c r="CO53" s="369"/>
      <c r="CP53" s="369"/>
      <c r="CQ53" s="369"/>
      <c r="CR53" s="369"/>
      <c r="CS53" s="369"/>
    </row>
    <row r="54" hidden="1" outlineLevel="1">
      <c r="A54" s="385" t="str">
        <f t="shared" si="24"/>
        <v>Note Name Rows (from Note Name? col)</v>
      </c>
      <c r="B54" s="359"/>
      <c r="C54" s="34" t="str">
        <f t="shared" si="25"/>
        <v>=COUNTIF(preDEL!X$2:X,TRUE)</v>
      </c>
      <c r="D54" s="387"/>
      <c r="E54" s="388"/>
      <c r="F54" s="359"/>
      <c r="G54" s="356" t="b">
        <f t="shared" si="26"/>
        <v>0</v>
      </c>
      <c r="H54" s="132" t="b">
        <f t="shared" si="27"/>
        <v>0</v>
      </c>
      <c r="I54" s="359"/>
      <c r="J54" s="359"/>
      <c r="K54" s="359"/>
      <c r="L54" s="359"/>
      <c r="M54" s="359"/>
      <c r="N54" s="359"/>
      <c r="O54" s="359"/>
      <c r="P54" s="359"/>
      <c r="Q54" s="359"/>
      <c r="R54" s="359"/>
      <c r="S54" s="359"/>
      <c r="T54" s="359"/>
      <c r="U54" s="359"/>
      <c r="V54" s="282"/>
      <c r="W54" s="359"/>
      <c r="X54" s="359"/>
      <c r="Y54" s="359"/>
      <c r="Z54" s="359"/>
      <c r="AA54" s="359"/>
      <c r="AB54" s="359"/>
      <c r="AC54" s="359"/>
      <c r="AD54" s="359"/>
      <c r="AE54" s="359"/>
      <c r="AF54" s="359"/>
      <c r="AG54" s="359"/>
      <c r="AH54" s="359"/>
      <c r="AI54" s="359"/>
      <c r="AJ54" s="359"/>
      <c r="AK54" s="359"/>
      <c r="AL54" s="359"/>
      <c r="AM54" s="359"/>
      <c r="AN54" s="359"/>
      <c r="AO54" s="359"/>
      <c r="AP54" s="359"/>
      <c r="AQ54" s="359"/>
      <c r="AR54" s="359"/>
      <c r="AS54" s="359"/>
      <c r="AT54" s="359"/>
      <c r="AU54" s="359"/>
      <c r="AV54" s="359"/>
      <c r="AW54" s="359"/>
      <c r="AX54" s="359"/>
      <c r="AY54" s="359"/>
      <c r="AZ54" s="359"/>
      <c r="BA54" s="359"/>
      <c r="BB54" s="359"/>
      <c r="BC54" s="359"/>
      <c r="BD54" s="359"/>
      <c r="BE54" s="359"/>
      <c r="BF54" s="359"/>
      <c r="BG54" s="359"/>
      <c r="BH54" s="359"/>
      <c r="BI54" s="359"/>
      <c r="BJ54" s="359"/>
      <c r="BK54" s="359"/>
      <c r="BL54" s="359"/>
      <c r="BM54" s="359"/>
      <c r="BN54" s="359"/>
      <c r="BO54" s="359"/>
      <c r="BP54" s="359"/>
      <c r="BQ54" s="359"/>
      <c r="BR54" s="359"/>
      <c r="BS54" s="359"/>
      <c r="BT54" s="359"/>
      <c r="BU54" s="359"/>
      <c r="BV54" s="359"/>
      <c r="BW54" s="359"/>
      <c r="BX54" s="359"/>
      <c r="BY54" s="359"/>
      <c r="BZ54" s="359"/>
      <c r="CA54" s="359"/>
      <c r="CB54" s="359"/>
      <c r="CC54" s="359"/>
      <c r="CD54" s="359"/>
      <c r="CE54" s="359"/>
      <c r="CF54" s="359"/>
      <c r="CG54" s="359"/>
      <c r="CH54" s="359"/>
      <c r="CI54" s="359"/>
      <c r="CJ54" s="359"/>
      <c r="CK54" s="359"/>
      <c r="CL54" s="359"/>
      <c r="CM54" s="359"/>
      <c r="CN54" s="359"/>
      <c r="CO54" s="359"/>
      <c r="CP54" s="359"/>
      <c r="CQ54" s="359"/>
      <c r="CR54" s="359"/>
      <c r="CS54" s="359"/>
    </row>
    <row r="55" hidden="1" outlineLevel="1">
      <c r="A55" s="385" t="str">
        <f t="shared" si="24"/>
        <v>Rows with Add from APT = TRUE</v>
      </c>
      <c r="C55" s="34" t="str">
        <f t="shared" si="25"/>
        <v>=COUNTIF(preDEL!AD$2:AD,TRUE)</v>
      </c>
      <c r="D55" s="393"/>
      <c r="E55" s="394"/>
      <c r="F55" s="227"/>
      <c r="G55" s="356" t="b">
        <f t="shared" si="26"/>
        <v>0</v>
      </c>
      <c r="H55" s="132" t="b">
        <f t="shared" si="27"/>
        <v>0</v>
      </c>
      <c r="V55" s="282"/>
    </row>
    <row r="56" hidden="1" outlineLevel="1">
      <c r="A56" s="385" t="str">
        <f t="shared" si="24"/>
        <v>Initial Add from APT (from Add from APT tab)</v>
      </c>
      <c r="C56" s="34" t="str">
        <f t="shared" si="25"/>
        <v>='Add from APT'!S1</v>
      </c>
      <c r="D56" s="393"/>
      <c r="E56" s="394"/>
      <c r="F56" s="227"/>
      <c r="G56" s="356" t="b">
        <f t="shared" si="26"/>
        <v>0</v>
      </c>
      <c r="H56" s="132" t="b">
        <f t="shared" si="27"/>
        <v>0</v>
      </c>
      <c r="V56" s="282"/>
    </row>
    <row r="57" hidden="1" outlineLevel="1">
      <c r="A57" s="385" t="str">
        <f t="shared" si="24"/>
        <v>Note Name Rows Extra (excludes orig row) - Formula</v>
      </c>
      <c r="C57" s="34" t="str">
        <f t="shared" si="25"/>
        <v>=preDEL!AY1</v>
      </c>
      <c r="D57" s="393"/>
      <c r="E57" s="394"/>
      <c r="F57" s="227"/>
      <c r="G57" s="356" t="b">
        <f t="shared" si="26"/>
        <v>0</v>
      </c>
      <c r="H57" s="132" t="b">
        <f t="shared" si="27"/>
        <v>0</v>
      </c>
      <c r="V57" s="282"/>
    </row>
    <row r="58" hidden="1" outlineLevel="1">
      <c r="A58" s="385" t="str">
        <f t="shared" si="24"/>
        <v>Note Name Rows Extra (excludes orig row) - Value</v>
      </c>
      <c r="C58" s="34" t="str">
        <f t="shared" si="25"/>
        <v/>
      </c>
      <c r="D58" s="393"/>
      <c r="E58" s="394"/>
      <c r="F58" s="227"/>
      <c r="G58" s="356" t="b">
        <f t="shared" si="26"/>
        <v>0</v>
      </c>
      <c r="H58" s="132" t="b">
        <f t="shared" si="27"/>
        <v>1</v>
      </c>
      <c r="V58" s="282"/>
    </row>
    <row r="59" hidden="1" outlineLevel="1">
      <c r="A59" s="385" t="str">
        <f t="shared" si="24"/>
        <v>CHECK SUM for preDEL TOTAL ROWS</v>
      </c>
      <c r="C59" s="34" t="str">
        <f t="shared" si="25"/>
        <v>=D2+D10+D8</v>
      </c>
      <c r="D59" s="393"/>
      <c r="E59" s="394"/>
      <c r="F59" s="227"/>
      <c r="G59" s="356" t="b">
        <f t="shared" si="26"/>
        <v>0</v>
      </c>
      <c r="H59" s="132" t="b">
        <f t="shared" si="27"/>
        <v>0</v>
      </c>
      <c r="V59" s="282"/>
    </row>
    <row r="60" hidden="1" outlineLevel="1">
      <c r="A60" s="385" t="str">
        <f t="shared" si="24"/>
        <v>Total Rows in postDel</v>
      </c>
      <c r="C60" s="34" t="str">
        <f t="shared" si="25"/>
        <v>=ROWS(postDEL!$A$2:$A)-COUNTBLANK(postDEL!$A$2:$A)</v>
      </c>
      <c r="D60" s="393"/>
      <c r="E60" s="394"/>
      <c r="F60" s="227"/>
      <c r="G60" s="356" t="b">
        <f t="shared" si="26"/>
        <v>0</v>
      </c>
      <c r="H60" s="132" t="b">
        <f t="shared" si="27"/>
        <v>0</v>
      </c>
      <c r="V60" s="282"/>
    </row>
    <row r="61" hidden="1" outlineLevel="1">
      <c r="A61" s="385" t="str">
        <f t="shared" si="24"/>
        <v>Sum Person Samples</v>
      </c>
      <c r="C61" s="34" t="str">
        <f t="shared" si="25"/>
        <v>=SUM(INDIRECT(CONCATENATE(F!A37,"!D2:D")))</v>
      </c>
      <c r="D61" s="393"/>
      <c r="E61" s="395"/>
      <c r="F61" s="227"/>
      <c r="G61" s="356" t="b">
        <f t="shared" si="26"/>
        <v>0</v>
      </c>
      <c r="H61" s="132" t="b">
        <f t="shared" si="27"/>
        <v>0</v>
      </c>
      <c r="V61" s="282"/>
    </row>
    <row r="62" hidden="1" outlineLevel="1">
      <c r="A62" s="385" t="str">
        <f t="shared" si="24"/>
        <v/>
      </c>
      <c r="C62" s="34" t="str">
        <f t="shared" si="25"/>
        <v/>
      </c>
      <c r="D62" s="393"/>
      <c r="E62" s="395"/>
      <c r="F62" s="227"/>
    </row>
    <row r="63" hidden="1" outlineLevel="1">
      <c r="A63" s="385" t="str">
        <f t="shared" si="24"/>
        <v>NAME CHECKS</v>
      </c>
      <c r="C63" s="34" t="str">
        <f t="shared" si="25"/>
        <v>=AND(D16+D18=D17,D19=0)</v>
      </c>
      <c r="D63" s="393"/>
      <c r="E63" s="395"/>
      <c r="F63" s="227"/>
      <c r="K63" s="2" t="s">
        <v>2846</v>
      </c>
    </row>
    <row r="64" hidden="1" outlineLevel="1">
      <c r="A64" s="385" t="str">
        <f t="shared" si="24"/>
        <v>SUM Note Name Cols</v>
      </c>
      <c r="C64" s="34" t="str">
        <f t="shared" si="25"/>
        <v>=SUM(preDEL!AW2:AW)</v>
      </c>
      <c r="D64" s="393"/>
      <c r="E64" s="395"/>
      <c r="F64" s="227"/>
    </row>
    <row r="65" hidden="1" outlineLevel="1">
      <c r="A65" s="385" t="str">
        <f t="shared" si="24"/>
        <v>Count Note Name? TRUE - includes deleted rows</v>
      </c>
      <c r="C65" s="34" t="str">
        <f t="shared" si="25"/>
        <v>=COUNTIF(preDEL!X$2:X,TRUE)</v>
      </c>
      <c r="D65" s="393"/>
      <c r="E65" s="395"/>
      <c r="F65" s="227"/>
    </row>
    <row r="66" hidden="1" outlineLevel="1">
      <c r="A66" s="385" t="str">
        <f t="shared" si="24"/>
        <v>Deleted Note Name rows</v>
      </c>
      <c r="C66" s="34" t="str">
        <f t="shared" si="25"/>
        <v/>
      </c>
      <c r="D66" s="393"/>
      <c r="E66" s="395"/>
      <c r="F66" s="227"/>
    </row>
    <row r="67" hidden="1" outlineLevel="1">
      <c r="A67" s="385" t="str">
        <f t="shared" si="24"/>
        <v>Blank Combined Names</v>
      </c>
      <c r="C67" s="34" t="str">
        <f t="shared" si="25"/>
        <v>=COUNTBLANK(preDEL!$AR$2:$AR)</v>
      </c>
      <c r="D67" s="393"/>
      <c r="E67" s="395"/>
      <c r="F67" s="227"/>
    </row>
    <row r="68" hidden="1" outlineLevel="1">
      <c r="A68" s="385" t="str">
        <f t="shared" si="24"/>
        <v>END</v>
      </c>
      <c r="C68" s="282" t="str">
        <f t="shared" si="25"/>
        <v/>
      </c>
      <c r="D68" s="393"/>
      <c r="E68" s="395"/>
    </row>
    <row r="69" hidden="1" outlineLevel="1">
      <c r="A69" s="385" t="str">
        <f t="shared" si="24"/>
        <v/>
      </c>
      <c r="D69" s="396"/>
    </row>
    <row r="70" hidden="1" outlineLevel="1">
      <c r="A70" s="385"/>
      <c r="D70" s="396"/>
    </row>
    <row r="71" hidden="1" outlineLevel="1">
      <c r="A71" s="385" t="str">
        <f t="array" ref="A71">INDIRECT(CONCATENATE($A$48,"!",ADDRESS(ROW(A71)-ROW($A$48),3)))</f>
        <v>Tube ID blank</v>
      </c>
      <c r="D71" s="396"/>
    </row>
    <row r="72" hidden="1" outlineLevel="1">
      <c r="A72" s="397"/>
      <c r="D72" s="396"/>
    </row>
    <row r="73" hidden="1" outlineLevel="1">
      <c r="A73" s="397"/>
      <c r="D73" s="396"/>
    </row>
    <row r="74" hidden="1" outlineLevel="1">
      <c r="A74" s="398"/>
      <c r="B74" s="399" t="s">
        <v>2847</v>
      </c>
      <c r="C74" s="398"/>
      <c r="D74" s="398"/>
      <c r="E74" s="398"/>
      <c r="F74" s="398"/>
    </row>
  </sheetData>
  <conditionalFormatting sqref="X10 AF10 AT10">
    <cfRule type="notContainsText" dxfId="1" priority="1" operator="notContains" text="ERROR">
      <formula>ISERROR(SEARCH(("ERROR"),(X10)))</formula>
    </cfRule>
  </conditionalFormatting>
  <conditionalFormatting sqref="A12:CS12 A15:CS15 A23:CS23 A25:CS25 A31:CS31 A33:CS33 A40:CS40 A43:CS43 C49:C73 F49:F73">
    <cfRule type="notContainsBlanks" dxfId="13" priority="2">
      <formula>LEN(TRIM(A12))&gt;0</formula>
    </cfRule>
  </conditionalFormatting>
  <conditionalFormatting sqref="C4:E9 C21:E21 C29:E29 C37:E37 C48:E48">
    <cfRule type="containsText" dxfId="0" priority="3" operator="containsText" text="ERROR">
      <formula>NOT(ISERROR(SEARCH(("ERROR"),(C4))))</formula>
    </cfRule>
  </conditionalFormatting>
  <conditionalFormatting sqref="C4:H4 E7 F9 A14 X14 A16:CS19 F21 A26:CS27 F29 A34:A35 B34:CS34 F37:G37 A42:CS42 A44:CS46 F48 G49:H73">
    <cfRule type="cellIs" dxfId="14" priority="4" operator="equal">
      <formula>"FALSE"</formula>
    </cfRule>
  </conditionalFormatting>
  <conditionalFormatting sqref="C4:E9 C21:E21 C29:E29 C37:E37 C48:E48">
    <cfRule type="containsText" dxfId="1" priority="5" operator="containsText" text="Match">
      <formula>NOT(ISERROR(SEARCH(("Match"),(C4))))</formula>
    </cfRule>
  </conditionalFormatting>
  <hyperlinks>
    <hyperlink r:id="rId2" location="gid=1761983769" ref="B1"/>
  </hyperlinks>
  <drawing r:id="rId3"/>
  <legacy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outlineLevelRow="1"/>
  <cols>
    <col customWidth="1" min="1" max="1" width="24.0"/>
    <col customWidth="1" min="2" max="2" width="17.38"/>
    <col customWidth="1" min="3" max="3" width="51.25"/>
    <col customWidth="1" min="4" max="4" width="15.88"/>
    <col customWidth="1" min="6" max="6" width="30.63"/>
    <col customWidth="1" min="7" max="8" width="9.5"/>
    <col customWidth="1" min="9" max="9" width="6.88"/>
    <col customWidth="1" min="10" max="10" width="29.38"/>
    <col customWidth="1" min="11" max="11" width="19.75"/>
  </cols>
  <sheetData>
    <row r="1">
      <c r="A1" s="229" t="str">
        <f t="shared" ref="A1:A17" si="1">IF(_xlfn.ISFORMULA(D1),FORMULATEXT(D1),IFERROR(0/0,""))</f>
        <v>=IF(D3=D11,"Check Sum OK", CONCATENATE(D11-D3," ERROR!! - Check Sum Fail"))</v>
      </c>
      <c r="C1" s="400" t="s">
        <v>2848</v>
      </c>
      <c r="D1" s="401" t="str">
        <f>IF(D3=D11,"Check Sum OK", CONCATENATE(D11-D3," ERROR!! - Check Sum Fail"))</f>
        <v>-1 ERROR!! - Check Sum Fail</v>
      </c>
      <c r="E1" s="13" t="s">
        <v>2834</v>
      </c>
      <c r="F1" s="345" t="str">
        <f>CONCATENATE(TEXT(NOW(),"M-DD HH:MM")," ",E1)</f>
        <v>2-25 15:19 RT</v>
      </c>
      <c r="K1" s="343"/>
    </row>
    <row r="2">
      <c r="A2" s="229" t="str">
        <f t="shared" si="1"/>
        <v>=ROWS(RAW_APS!A$3:A)</v>
      </c>
      <c r="C2" s="2" t="s">
        <v>2849</v>
      </c>
      <c r="D2" s="402">
        <f>ROWS(RAW_APS!A$3:A1821)</f>
        <v>785</v>
      </c>
    </row>
    <row r="3">
      <c r="A3" s="229" t="str">
        <f t="shared" si="1"/>
        <v>=ROWS(preDEL!A$2:A)</v>
      </c>
      <c r="C3" s="2" t="s">
        <v>2850</v>
      </c>
      <c r="D3" s="403">
        <f>ROWS(preDEL!A$2:A1821)</f>
        <v>825</v>
      </c>
      <c r="G3" s="343"/>
      <c r="K3" s="343"/>
      <c r="L3" s="343"/>
    </row>
    <row r="4">
      <c r="A4" s="229" t="str">
        <f t="shared" si="1"/>
        <v>=COUNTIF(preDEL!$AG2:$AG,TRUE)</v>
      </c>
      <c r="C4" s="2" t="s">
        <v>2851</v>
      </c>
      <c r="D4" s="402">
        <f>COUNTIF(preDEL!$AG2:$AG1821,TRUE)</f>
        <v>58</v>
      </c>
    </row>
    <row r="5">
      <c r="A5" s="229" t="str">
        <f t="shared" si="1"/>
        <v>=D3-D4</v>
      </c>
      <c r="C5" s="2" t="s">
        <v>2852</v>
      </c>
      <c r="D5" s="404">
        <f>D3-D4</f>
        <v>767</v>
      </c>
    </row>
    <row r="6">
      <c r="A6" s="229" t="str">
        <f t="shared" si="1"/>
        <v>=COUNTIF(preDEL!X$2:X,TRUE)</v>
      </c>
      <c r="C6" s="66" t="s">
        <v>2853</v>
      </c>
      <c r="D6" s="405">
        <f>COUNTIF(preDEL!X$2:X1821,TRUE)</f>
        <v>0</v>
      </c>
    </row>
    <row r="7">
      <c r="A7" s="229" t="str">
        <f t="shared" si="1"/>
        <v>=COUNTIF(preDEL!AD$2:AD,TRUE)</v>
      </c>
      <c r="C7" s="406" t="s">
        <v>2854</v>
      </c>
      <c r="D7" s="402">
        <f>COUNTIF(preDEL!AD$2:AD1821,TRUE)</f>
        <v>37</v>
      </c>
      <c r="E7" s="2" t="s">
        <v>2855</v>
      </c>
      <c r="I7" s="2"/>
    </row>
    <row r="8">
      <c r="A8" s="229" t="str">
        <f t="shared" si="1"/>
        <v>='Add from APT'!S1</v>
      </c>
      <c r="C8" s="406" t="s">
        <v>2856</v>
      </c>
      <c r="D8" s="402">
        <f>'Add from APT'!S1</f>
        <v>39</v>
      </c>
      <c r="E8" s="158" t="s">
        <v>2857</v>
      </c>
    </row>
    <row r="9">
      <c r="A9" s="229" t="str">
        <f t="shared" si="1"/>
        <v>=preDEL!AY1</v>
      </c>
      <c r="C9" s="2" t="s">
        <v>2858</v>
      </c>
      <c r="D9" s="407">
        <f>preDEL!AY1</f>
        <v>0</v>
      </c>
      <c r="E9" s="2" t="s">
        <v>2859</v>
      </c>
    </row>
    <row r="10">
      <c r="A10" s="229" t="str">
        <f t="shared" si="1"/>
        <v/>
      </c>
      <c r="C10" s="2" t="s">
        <v>2860</v>
      </c>
      <c r="D10" s="408">
        <v>0.0</v>
      </c>
      <c r="E10" s="2" t="s">
        <v>2861</v>
      </c>
    </row>
    <row r="11">
      <c r="A11" s="229" t="str">
        <f t="shared" si="1"/>
        <v>=D2+D10+D8</v>
      </c>
      <c r="C11" s="343" t="s">
        <v>2862</v>
      </c>
      <c r="D11" s="403">
        <f>D2+D10+D8</f>
        <v>824</v>
      </c>
      <c r="E11" s="2" t="s">
        <v>2863</v>
      </c>
    </row>
    <row r="12">
      <c r="A12" s="229" t="str">
        <f t="shared" si="1"/>
        <v>=ROWS(postDEL!$A$2:$A)-COUNTBLANK(postDEL!$A$2:$A)</v>
      </c>
      <c r="C12" s="2" t="s">
        <v>2864</v>
      </c>
      <c r="D12" s="402">
        <f>ROWS(postDEL!$A$2:$A1821)-COUNTBLANK(postDEL!$A$2:$A1821)</f>
        <v>767</v>
      </c>
    </row>
    <row r="13">
      <c r="A13" s="229" t="str">
        <f t="shared" si="1"/>
        <v>=SUM(INDIRECT(CONCATENATE(F!A37,"!D2:D")))</v>
      </c>
      <c r="C13" s="2" t="s">
        <v>2865</v>
      </c>
      <c r="D13" s="402">
        <f t="array" ref="D13">SUM(INDIRECT(CONCATENATE(F!A37,"!D2:D")))</f>
        <v>0</v>
      </c>
    </row>
    <row r="14">
      <c r="A14" s="229" t="str">
        <f t="shared" si="1"/>
        <v/>
      </c>
    </row>
    <row r="15">
      <c r="A15" s="229" t="str">
        <f t="shared" si="1"/>
        <v>=AND(D16+D18=D17,D19=0)</v>
      </c>
      <c r="C15" s="400" t="s">
        <v>2866</v>
      </c>
      <c r="D15" s="409" t="b">
        <f>AND(D16+D18=D17,D19=0)</f>
        <v>0</v>
      </c>
      <c r="E15" s="5"/>
    </row>
    <row r="16" outlineLevel="1">
      <c r="A16" s="229" t="str">
        <f t="shared" si="1"/>
        <v>=SUM(preDEL!AW2:AW)</v>
      </c>
      <c r="C16" s="2" t="s">
        <v>2867</v>
      </c>
      <c r="D16" s="410">
        <f>SUM(preDEL!AW2:AW1821)</f>
        <v>0</v>
      </c>
      <c r="E16" s="4" t="s">
        <v>2868</v>
      </c>
    </row>
    <row r="17" outlineLevel="1">
      <c r="A17" s="229" t="str">
        <f t="shared" si="1"/>
        <v>=COUNTIF(preDEL!X$2:X,TRUE)</v>
      </c>
      <c r="C17" s="66" t="s">
        <v>2869</v>
      </c>
      <c r="D17" s="411">
        <f>COUNTIF(preDEL!X$2:X1821,TRUE)</f>
        <v>0</v>
      </c>
      <c r="E17" s="282"/>
    </row>
    <row r="18" outlineLevel="1">
      <c r="A18" s="229"/>
      <c r="C18" s="2" t="s">
        <v>2870</v>
      </c>
      <c r="D18" s="412">
        <v>0.0</v>
      </c>
      <c r="E18" s="4" t="s">
        <v>2871</v>
      </c>
    </row>
    <row r="19" outlineLevel="1">
      <c r="A19" s="229" t="str">
        <f>IF(_xlfn.ISFORMULA(D19),FORMULATEXT(D19),IFERROR(0/0,""))</f>
        <v>=COUNTBLANK(preDEL!$AR$2:$AR)</v>
      </c>
      <c r="C19" s="2" t="s">
        <v>2872</v>
      </c>
      <c r="D19" s="410">
        <f>COUNTBLANK(preDEL!$AR$2:$AR1821)</f>
        <v>767</v>
      </c>
      <c r="E19" s="5"/>
    </row>
    <row r="20">
      <c r="C20" s="413" t="s">
        <v>232</v>
      </c>
      <c r="D20" s="414"/>
    </row>
    <row r="22" collapsed="1">
      <c r="A22" s="5"/>
      <c r="B22" s="5"/>
      <c r="C22" s="415" t="s">
        <v>2873</v>
      </c>
      <c r="D22" s="416" t="s">
        <v>2874</v>
      </c>
      <c r="E22" s="417">
        <f>SUM(E23:E63)</f>
        <v>50</v>
      </c>
      <c r="F22" s="5"/>
      <c r="G22" s="416" t="s">
        <v>2875</v>
      </c>
      <c r="H22" s="416" t="s">
        <v>2876</v>
      </c>
      <c r="I22" s="5"/>
      <c r="J22" s="5"/>
      <c r="K22" s="5"/>
      <c r="L22" s="5"/>
      <c r="M22" s="5"/>
      <c r="N22" s="5"/>
      <c r="O22" s="5"/>
      <c r="P22" s="5"/>
      <c r="Q22" s="5"/>
      <c r="R22" s="5"/>
      <c r="S22" s="5"/>
      <c r="T22" s="5"/>
      <c r="U22" s="5"/>
      <c r="V22" s="5"/>
      <c r="W22" s="5"/>
      <c r="X22" s="5"/>
      <c r="Y22" s="5"/>
      <c r="Z22" s="5"/>
      <c r="AA22" s="5"/>
      <c r="AB22" s="5"/>
      <c r="AC22" s="5"/>
      <c r="AD22" s="5"/>
    </row>
    <row r="23" hidden="1" outlineLevel="1">
      <c r="A23" s="5"/>
      <c r="B23" s="19">
        <v>1.0</v>
      </c>
      <c r="C23" s="5" t="s">
        <v>2877</v>
      </c>
      <c r="D23" s="69">
        <f t="shared" ref="D23:D63" si="2">B23</f>
        <v>1</v>
      </c>
      <c r="E23" s="112" t="str">
        <f>IF(COUNTIF(preDEL!$AH$2:$AH1821,D23)&gt;0,COUNTIF(preDEL!$AH$2:$AH1821,D23),IFERROR(0/0,""))</f>
        <v/>
      </c>
      <c r="F23" s="5"/>
      <c r="G23" s="112">
        <f t="array" ref="G23:G32">SORT(UNIQUE(preDEL!$AH$2:$AH1821),1,TRUE)</f>
        <v>2</v>
      </c>
      <c r="H23" s="112" t="b">
        <f t="shared" ref="H23:H63" si="3">IF(COUNTIF(D$23:D$65,G23)=1,TRUE,IFERROR(0/0,""))</f>
        <v>1</v>
      </c>
      <c r="I23" s="19"/>
      <c r="J23" s="5"/>
      <c r="K23" s="5"/>
      <c r="L23" s="5"/>
      <c r="M23" s="5"/>
      <c r="N23" s="5"/>
      <c r="O23" s="5"/>
      <c r="P23" s="5"/>
      <c r="Q23" s="5"/>
      <c r="R23" s="5"/>
      <c r="S23" s="5"/>
      <c r="T23" s="5"/>
      <c r="U23" s="5"/>
      <c r="V23" s="5"/>
      <c r="W23" s="5"/>
      <c r="X23" s="5"/>
      <c r="Y23" s="5"/>
      <c r="Z23" s="5"/>
      <c r="AA23" s="5"/>
      <c r="AB23" s="5"/>
      <c r="AC23" s="5"/>
      <c r="AD23" s="5"/>
    </row>
    <row r="24" hidden="1" outlineLevel="1">
      <c r="A24" s="5"/>
      <c r="B24" s="19">
        <v>1.1</v>
      </c>
      <c r="C24" s="5" t="s">
        <v>2878</v>
      </c>
      <c r="D24" s="69">
        <f t="shared" si="2"/>
        <v>1.1</v>
      </c>
      <c r="E24" s="112" t="str">
        <f>IF(COUNTIF(preDEL!$AH$2:$AH1821,D24)&gt;0,COUNTIF(preDEL!$AH$2:$AH1821,D24),IFERROR(0/0,""))</f>
        <v/>
      </c>
      <c r="F24" s="418" t="s">
        <v>2879</v>
      </c>
      <c r="G24" s="5">
        <v>4.1</v>
      </c>
      <c r="H24" s="112" t="b">
        <f t="shared" si="3"/>
        <v>1</v>
      </c>
      <c r="I24" s="19"/>
      <c r="J24" s="5"/>
      <c r="K24" s="5"/>
      <c r="L24" s="5"/>
      <c r="M24" s="5"/>
      <c r="N24" s="5"/>
      <c r="O24" s="5"/>
      <c r="P24" s="5"/>
      <c r="Q24" s="5"/>
      <c r="R24" s="5"/>
      <c r="S24" s="5"/>
      <c r="T24" s="5"/>
      <c r="U24" s="5"/>
      <c r="V24" s="5"/>
      <c r="W24" s="5"/>
      <c r="X24" s="5"/>
      <c r="Y24" s="5"/>
      <c r="Z24" s="5"/>
      <c r="AA24" s="5"/>
      <c r="AB24" s="5"/>
      <c r="AC24" s="5"/>
      <c r="AD24" s="5"/>
    </row>
    <row r="25" hidden="1" outlineLevel="1">
      <c r="A25" s="5"/>
      <c r="B25" s="19">
        <v>2.0</v>
      </c>
      <c r="C25" s="5" t="s">
        <v>2880</v>
      </c>
      <c r="D25" s="69">
        <f t="shared" si="2"/>
        <v>2</v>
      </c>
      <c r="E25" s="112">
        <f>IF(COUNTIF(preDEL!$AH$2:$AH1821,D25)&gt;0,COUNTIF(preDEL!$AH$2:$AH1821,D25),IFERROR(0/0,""))</f>
        <v>15</v>
      </c>
      <c r="F25" s="5"/>
      <c r="G25" s="5">
        <v>5.3</v>
      </c>
      <c r="H25" s="112" t="b">
        <f t="shared" si="3"/>
        <v>1</v>
      </c>
      <c r="I25" s="19"/>
      <c r="J25" s="5"/>
      <c r="K25" s="5"/>
      <c r="L25" s="5"/>
      <c r="M25" s="5"/>
      <c r="N25" s="5"/>
      <c r="O25" s="5"/>
      <c r="P25" s="5"/>
      <c r="Q25" s="5"/>
      <c r="R25" s="5"/>
      <c r="S25" s="5"/>
      <c r="T25" s="5"/>
      <c r="U25" s="5"/>
      <c r="V25" s="5"/>
      <c r="W25" s="5"/>
      <c r="X25" s="5"/>
      <c r="Y25" s="5"/>
      <c r="Z25" s="5"/>
      <c r="AA25" s="5"/>
      <c r="AB25" s="5"/>
      <c r="AC25" s="5"/>
      <c r="AD25" s="5"/>
    </row>
    <row r="26" hidden="1" outlineLevel="1">
      <c r="A26" s="5"/>
      <c r="B26" s="19">
        <v>2.1</v>
      </c>
      <c r="C26" s="5" t="s">
        <v>2616</v>
      </c>
      <c r="D26" s="69">
        <f t="shared" si="2"/>
        <v>2.1</v>
      </c>
      <c r="E26" s="112" t="str">
        <f>IF(COUNTIF(preDEL!$AH$2:$AH1821,D26)&gt;0,COUNTIF(preDEL!$AH$2:$AH1821,D26),IFERROR(0/0,""))</f>
        <v/>
      </c>
      <c r="F26" s="5"/>
      <c r="G26" s="5">
        <v>5.5</v>
      </c>
      <c r="H26" s="112" t="b">
        <f t="shared" si="3"/>
        <v>1</v>
      </c>
      <c r="I26" s="19"/>
      <c r="J26" s="5"/>
      <c r="K26" s="5"/>
      <c r="L26" s="5"/>
      <c r="M26" s="5"/>
      <c r="N26" s="5"/>
      <c r="O26" s="5"/>
      <c r="P26" s="5"/>
      <c r="Q26" s="5"/>
      <c r="R26" s="5"/>
      <c r="S26" s="5"/>
      <c r="T26" s="5"/>
      <c r="U26" s="5"/>
      <c r="V26" s="5"/>
      <c r="W26" s="5"/>
      <c r="X26" s="5"/>
      <c r="Y26" s="5"/>
      <c r="Z26" s="5"/>
      <c r="AA26" s="5"/>
      <c r="AB26" s="5"/>
      <c r="AC26" s="5"/>
      <c r="AD26" s="5"/>
    </row>
    <row r="27" hidden="1" outlineLevel="1">
      <c r="A27" s="5"/>
      <c r="B27" s="19">
        <v>2.2</v>
      </c>
      <c r="C27" s="5" t="s">
        <v>2606</v>
      </c>
      <c r="D27" s="69">
        <f t="shared" si="2"/>
        <v>2.2</v>
      </c>
      <c r="E27" s="112" t="str">
        <f>IF(COUNTIF(preDEL!$AH$2:$AH1821,D27)&gt;0,COUNTIF(preDEL!$AH$2:$AH1821,D27),IFERROR(0/0,""))</f>
        <v/>
      </c>
      <c r="F27" s="5"/>
      <c r="G27" s="5">
        <v>7.0</v>
      </c>
      <c r="H27" s="112" t="b">
        <f t="shared" si="3"/>
        <v>1</v>
      </c>
      <c r="I27" s="19"/>
      <c r="J27" s="5"/>
      <c r="K27" s="5"/>
      <c r="L27" s="5"/>
      <c r="M27" s="5"/>
      <c r="N27" s="5"/>
      <c r="O27" s="5"/>
      <c r="P27" s="5"/>
      <c r="Q27" s="5"/>
      <c r="R27" s="5"/>
      <c r="S27" s="5"/>
      <c r="T27" s="5"/>
      <c r="U27" s="5"/>
      <c r="V27" s="5"/>
      <c r="W27" s="5"/>
      <c r="X27" s="5"/>
      <c r="Y27" s="5"/>
      <c r="Z27" s="5"/>
      <c r="AA27" s="5"/>
      <c r="AB27" s="5"/>
      <c r="AC27" s="5"/>
      <c r="AD27" s="5"/>
    </row>
    <row r="28" hidden="1" outlineLevel="1">
      <c r="A28" s="5"/>
      <c r="B28" s="19">
        <v>2.3</v>
      </c>
      <c r="C28" s="5" t="s">
        <v>2620</v>
      </c>
      <c r="D28" s="69">
        <f t="shared" si="2"/>
        <v>2.3</v>
      </c>
      <c r="E28" s="112" t="str">
        <f>IF(COUNTIF(preDEL!$AH$2:$AH1821,D28)&gt;0,COUNTIF(preDEL!$AH$2:$AH1821,D28),IFERROR(0/0,""))</f>
        <v/>
      </c>
      <c r="F28" s="5"/>
      <c r="G28" s="5">
        <v>9.0</v>
      </c>
      <c r="H28" s="112" t="b">
        <f t="shared" si="3"/>
        <v>1</v>
      </c>
      <c r="I28" s="19"/>
      <c r="J28" s="5"/>
      <c r="K28" s="5"/>
      <c r="L28" s="5"/>
      <c r="M28" s="5"/>
      <c r="N28" s="5"/>
      <c r="O28" s="5"/>
      <c r="P28" s="5"/>
      <c r="Q28" s="5"/>
      <c r="R28" s="5"/>
      <c r="S28" s="5"/>
      <c r="T28" s="5"/>
      <c r="U28" s="5"/>
      <c r="V28" s="5"/>
      <c r="W28" s="5"/>
      <c r="X28" s="5"/>
      <c r="Y28" s="5"/>
      <c r="Z28" s="5"/>
      <c r="AA28" s="5"/>
      <c r="AB28" s="5"/>
      <c r="AC28" s="5"/>
      <c r="AD28" s="5"/>
    </row>
    <row r="29" hidden="1" outlineLevel="1">
      <c r="A29" s="5"/>
      <c r="B29" s="19">
        <v>2.4</v>
      </c>
      <c r="C29" s="5" t="s">
        <v>2625</v>
      </c>
      <c r="D29" s="69">
        <f t="shared" si="2"/>
        <v>2.4</v>
      </c>
      <c r="E29" s="112" t="str">
        <f>IF(COUNTIF(preDEL!$AH$2:$AH1821,D29)&gt;0,COUNTIF(preDEL!$AH$2:$AH1821,D29),IFERROR(0/0,""))</f>
        <v/>
      </c>
      <c r="F29" s="5"/>
      <c r="G29" s="5">
        <v>9.1</v>
      </c>
      <c r="H29" s="112" t="b">
        <f t="shared" si="3"/>
        <v>1</v>
      </c>
      <c r="I29" s="19"/>
      <c r="J29" s="5"/>
      <c r="K29" s="5"/>
      <c r="L29" s="5"/>
      <c r="M29" s="5"/>
      <c r="N29" s="5"/>
      <c r="O29" s="5"/>
      <c r="P29" s="5"/>
      <c r="Q29" s="5"/>
      <c r="R29" s="5"/>
      <c r="S29" s="5"/>
      <c r="T29" s="5"/>
      <c r="U29" s="5"/>
      <c r="V29" s="5"/>
      <c r="W29" s="5"/>
      <c r="X29" s="5"/>
      <c r="Y29" s="5"/>
      <c r="Z29" s="5"/>
      <c r="AA29" s="5"/>
      <c r="AB29" s="5"/>
      <c r="AC29" s="5"/>
      <c r="AD29" s="5"/>
    </row>
    <row r="30" hidden="1" outlineLevel="1">
      <c r="A30" s="5"/>
      <c r="B30" s="19">
        <v>2.5</v>
      </c>
      <c r="C30" s="5" t="s">
        <v>2629</v>
      </c>
      <c r="D30" s="69">
        <f t="shared" si="2"/>
        <v>2.5</v>
      </c>
      <c r="E30" s="112" t="str">
        <f>IF(COUNTIF(preDEL!$AH$2:$AH1821,D30)&gt;0,COUNTIF(preDEL!$AH$2:$AH1821,D30),IFERROR(0/0,""))</f>
        <v/>
      </c>
      <c r="F30" s="419"/>
      <c r="G30" s="5">
        <v>9.4</v>
      </c>
      <c r="H30" s="112" t="str">
        <f t="shared" si="3"/>
        <v/>
      </c>
      <c r="I30" s="5"/>
      <c r="J30" s="5"/>
      <c r="K30" s="5"/>
      <c r="L30" s="5"/>
      <c r="M30" s="5"/>
      <c r="N30" s="5"/>
      <c r="O30" s="5"/>
      <c r="P30" s="5"/>
      <c r="Q30" s="5"/>
      <c r="R30" s="5"/>
      <c r="S30" s="5"/>
      <c r="T30" s="5"/>
      <c r="U30" s="5"/>
      <c r="V30" s="5"/>
      <c r="W30" s="5"/>
      <c r="X30" s="5"/>
      <c r="Y30" s="5"/>
      <c r="Z30" s="5"/>
      <c r="AA30" s="5"/>
      <c r="AB30" s="5"/>
      <c r="AC30" s="5"/>
      <c r="AD30" s="5"/>
    </row>
    <row r="31" hidden="1" outlineLevel="1">
      <c r="A31" s="5"/>
      <c r="B31" s="19">
        <v>2.6</v>
      </c>
      <c r="C31" s="3" t="s">
        <v>2634</v>
      </c>
      <c r="D31" s="69">
        <f t="shared" si="2"/>
        <v>2.6</v>
      </c>
      <c r="E31" s="112" t="str">
        <f>IF(COUNTIF(preDEL!$AH$2:$AH1821,D31)&gt;0,COUNTIF(preDEL!$AH$2:$AH1821,D31),IFERROR(0/0,""))</f>
        <v/>
      </c>
      <c r="F31" s="419"/>
      <c r="G31" s="5" t="s">
        <v>701</v>
      </c>
      <c r="H31" s="112" t="str">
        <f t="shared" si="3"/>
        <v/>
      </c>
      <c r="I31" s="5"/>
      <c r="J31" s="5"/>
      <c r="K31" s="5"/>
      <c r="L31" s="5"/>
      <c r="M31" s="5"/>
      <c r="N31" s="5"/>
      <c r="O31" s="5"/>
      <c r="P31" s="5"/>
      <c r="Q31" s="5"/>
      <c r="R31" s="5"/>
      <c r="S31" s="5"/>
      <c r="T31" s="5"/>
      <c r="U31" s="5"/>
      <c r="V31" s="5"/>
      <c r="W31" s="5"/>
      <c r="X31" s="5"/>
      <c r="Y31" s="5"/>
      <c r="Z31" s="5"/>
      <c r="AA31" s="5"/>
      <c r="AB31" s="5"/>
      <c r="AC31" s="5"/>
      <c r="AD31" s="5"/>
    </row>
    <row r="32" hidden="1" outlineLevel="1">
      <c r="A32" s="5"/>
      <c r="B32" s="19">
        <v>2.7</v>
      </c>
      <c r="C32" s="3" t="s">
        <v>2637</v>
      </c>
      <c r="D32" s="69">
        <f t="shared" si="2"/>
        <v>2.7</v>
      </c>
      <c r="E32" s="112" t="str">
        <f>IF(COUNTIF(preDEL!$AH$2:$AH1821,D32)&gt;0,COUNTIF(preDEL!$AH$2:$AH1821,D32),IFERROR(0/0,""))</f>
        <v/>
      </c>
      <c r="F32" s="419"/>
      <c r="G32" s="5"/>
      <c r="H32" s="112" t="str">
        <f t="shared" si="3"/>
        <v/>
      </c>
      <c r="I32" s="5"/>
      <c r="J32" s="5"/>
      <c r="K32" s="5"/>
      <c r="L32" s="5"/>
      <c r="M32" s="5"/>
      <c r="N32" s="5"/>
      <c r="O32" s="5"/>
      <c r="P32" s="5"/>
      <c r="Q32" s="5"/>
      <c r="R32" s="5"/>
      <c r="S32" s="5"/>
      <c r="T32" s="5"/>
      <c r="U32" s="5"/>
      <c r="V32" s="5"/>
      <c r="W32" s="5"/>
      <c r="X32" s="5"/>
      <c r="Y32" s="5"/>
      <c r="Z32" s="5"/>
      <c r="AA32" s="5"/>
      <c r="AB32" s="5"/>
      <c r="AC32" s="5"/>
      <c r="AD32" s="5"/>
    </row>
    <row r="33" hidden="1" outlineLevel="1">
      <c r="A33" s="5"/>
      <c r="B33" s="19">
        <v>2.8</v>
      </c>
      <c r="C33" s="3" t="s">
        <v>2881</v>
      </c>
      <c r="D33" s="69">
        <f t="shared" si="2"/>
        <v>2.8</v>
      </c>
      <c r="E33" s="112" t="str">
        <f>IF(COUNTIF(preDEL!$AH$2:$AH1821,D33)&gt;0,COUNTIF(preDEL!$AH$2:$AH1821,D33),IFERROR(0/0,""))</f>
        <v/>
      </c>
      <c r="F33" s="419"/>
      <c r="G33" s="5"/>
      <c r="H33" s="112" t="str">
        <f t="shared" si="3"/>
        <v/>
      </c>
      <c r="I33" s="5"/>
      <c r="J33" s="5"/>
      <c r="K33" s="5"/>
      <c r="L33" s="5"/>
      <c r="M33" s="5"/>
      <c r="N33" s="5"/>
      <c r="O33" s="5"/>
      <c r="P33" s="5"/>
      <c r="Q33" s="5"/>
      <c r="R33" s="5"/>
      <c r="S33" s="5"/>
      <c r="T33" s="5"/>
      <c r="U33" s="5"/>
      <c r="V33" s="5"/>
      <c r="W33" s="5"/>
      <c r="X33" s="5"/>
      <c r="Y33" s="5"/>
      <c r="Z33" s="5"/>
      <c r="AA33" s="5"/>
      <c r="AB33" s="5"/>
      <c r="AC33" s="5"/>
      <c r="AD33" s="5"/>
    </row>
    <row r="34" hidden="1" outlineLevel="1">
      <c r="A34" s="5"/>
      <c r="B34" s="19">
        <v>3.0</v>
      </c>
      <c r="C34" s="3" t="s">
        <v>2641</v>
      </c>
      <c r="D34" s="69">
        <f t="shared" si="2"/>
        <v>3</v>
      </c>
      <c r="E34" s="112" t="str">
        <f>IF(COUNTIF(preDEL!$AH$2:$AH1821,D34)&gt;0,COUNTIF(preDEL!$AH$2:$AH1821,D34),IFERROR(0/0,""))</f>
        <v/>
      </c>
      <c r="F34" s="419"/>
      <c r="G34" s="5"/>
      <c r="H34" s="112" t="str">
        <f t="shared" si="3"/>
        <v/>
      </c>
      <c r="I34" s="5"/>
      <c r="J34" s="5"/>
      <c r="K34" s="5"/>
      <c r="L34" s="5"/>
      <c r="M34" s="5"/>
      <c r="N34" s="5"/>
      <c r="O34" s="5"/>
      <c r="P34" s="5"/>
      <c r="Q34" s="5"/>
      <c r="R34" s="5"/>
      <c r="S34" s="5"/>
      <c r="T34" s="5"/>
      <c r="U34" s="5"/>
      <c r="V34" s="5"/>
      <c r="W34" s="5"/>
      <c r="X34" s="5"/>
      <c r="Y34" s="5"/>
      <c r="Z34" s="5"/>
      <c r="AA34" s="5"/>
      <c r="AB34" s="5"/>
      <c r="AC34" s="5"/>
      <c r="AD34" s="5"/>
    </row>
    <row r="35" hidden="1" outlineLevel="1">
      <c r="A35" s="5"/>
      <c r="B35" s="19">
        <v>4.0</v>
      </c>
      <c r="C35" s="3" t="s">
        <v>2645</v>
      </c>
      <c r="D35" s="69">
        <f t="shared" si="2"/>
        <v>4</v>
      </c>
      <c r="E35" s="112" t="str">
        <f>IF(COUNTIF(preDEL!$AH$2:$AH1821,D35)&gt;0,COUNTIF(preDEL!$AH$2:$AH1821,D35),IFERROR(0/0,""))</f>
        <v/>
      </c>
      <c r="F35" s="419"/>
      <c r="G35" s="5"/>
      <c r="H35" s="112" t="str">
        <f t="shared" si="3"/>
        <v/>
      </c>
      <c r="I35" s="5"/>
      <c r="J35" s="5"/>
      <c r="K35" s="5"/>
      <c r="L35" s="5"/>
      <c r="M35" s="5"/>
      <c r="N35" s="5"/>
      <c r="O35" s="5"/>
      <c r="P35" s="5"/>
      <c r="Q35" s="5"/>
      <c r="R35" s="5"/>
      <c r="S35" s="5"/>
      <c r="T35" s="5"/>
      <c r="U35" s="5"/>
      <c r="V35" s="5"/>
      <c r="W35" s="5"/>
      <c r="X35" s="5"/>
      <c r="Y35" s="5"/>
      <c r="Z35" s="5"/>
      <c r="AA35" s="5"/>
      <c r="AB35" s="5"/>
      <c r="AC35" s="5"/>
      <c r="AD35" s="5"/>
    </row>
    <row r="36" hidden="1" outlineLevel="1">
      <c r="A36" s="3"/>
      <c r="B36" s="13">
        <v>4.1</v>
      </c>
      <c r="C36" s="3" t="s">
        <v>2882</v>
      </c>
      <c r="D36" s="69">
        <f t="shared" si="2"/>
        <v>4.1</v>
      </c>
      <c r="E36" s="112">
        <f>IF(COUNTIF(preDEL!$AH$2:$AH1821,D36)&gt;0,COUNTIF(preDEL!$AH$2:$AH1821,D36),IFERROR(0/0,""))</f>
        <v>1</v>
      </c>
      <c r="F36" s="419"/>
      <c r="G36" s="5"/>
      <c r="H36" s="112" t="str">
        <f t="shared" si="3"/>
        <v/>
      </c>
      <c r="I36" s="5"/>
      <c r="J36" s="5"/>
      <c r="K36" s="5"/>
      <c r="L36" s="5"/>
      <c r="M36" s="5"/>
      <c r="N36" s="5"/>
      <c r="O36" s="5"/>
      <c r="P36" s="5"/>
      <c r="Q36" s="5"/>
      <c r="R36" s="5"/>
      <c r="S36" s="5"/>
      <c r="T36" s="5"/>
      <c r="U36" s="5"/>
      <c r="V36" s="5"/>
      <c r="W36" s="5"/>
      <c r="X36" s="5"/>
      <c r="Y36" s="5"/>
      <c r="Z36" s="5"/>
      <c r="AA36" s="5"/>
      <c r="AB36" s="5"/>
      <c r="AC36" s="5"/>
      <c r="AD36" s="5"/>
    </row>
    <row r="37" hidden="1" outlineLevel="1">
      <c r="A37" s="5"/>
      <c r="B37" s="13">
        <v>4.2</v>
      </c>
      <c r="C37" s="3" t="s">
        <v>2883</v>
      </c>
      <c r="D37" s="69">
        <f t="shared" si="2"/>
        <v>4.2</v>
      </c>
      <c r="E37" s="112" t="str">
        <f>IF(COUNTIF(preDEL!$AH$2:$AH1821,D37)&gt;0,COUNTIF(preDEL!$AH$2:$AH1821,D37),IFERROR(0/0,""))</f>
        <v/>
      </c>
      <c r="F37" s="186" t="s">
        <v>2884</v>
      </c>
      <c r="G37" s="5"/>
      <c r="H37" s="112" t="str">
        <f t="shared" si="3"/>
        <v/>
      </c>
      <c r="I37" s="5"/>
      <c r="J37" s="5"/>
      <c r="K37" s="5"/>
      <c r="L37" s="5"/>
      <c r="M37" s="5"/>
      <c r="N37" s="5"/>
      <c r="O37" s="5"/>
      <c r="P37" s="5"/>
      <c r="Q37" s="5"/>
      <c r="R37" s="5"/>
      <c r="S37" s="5"/>
      <c r="T37" s="5"/>
      <c r="U37" s="5"/>
      <c r="V37" s="5"/>
      <c r="W37" s="5"/>
      <c r="X37" s="5"/>
      <c r="Y37" s="5"/>
      <c r="Z37" s="5"/>
      <c r="AA37" s="5"/>
      <c r="AB37" s="5"/>
      <c r="AC37" s="5"/>
      <c r="AD37" s="5"/>
    </row>
    <row r="38" hidden="1" outlineLevel="1">
      <c r="A38" s="5"/>
      <c r="B38" s="19">
        <v>5.1</v>
      </c>
      <c r="C38" s="3" t="s">
        <v>2885</v>
      </c>
      <c r="D38" s="69">
        <f t="shared" si="2"/>
        <v>5.1</v>
      </c>
      <c r="E38" s="112" t="str">
        <f>IF(COUNTIF(preDEL!$AH$2:$AH1821,D38)&gt;0,COUNTIF(preDEL!$AH$2:$AH1821,D38),IFERROR(0/0,""))</f>
        <v/>
      </c>
      <c r="F38" s="186" t="s">
        <v>2886</v>
      </c>
      <c r="G38" s="5"/>
      <c r="H38" s="112" t="str">
        <f t="shared" si="3"/>
        <v/>
      </c>
      <c r="I38" s="5"/>
      <c r="J38" s="5"/>
      <c r="K38" s="5"/>
      <c r="L38" s="5"/>
      <c r="M38" s="5"/>
      <c r="N38" s="5"/>
      <c r="O38" s="5"/>
      <c r="P38" s="5"/>
      <c r="Q38" s="5"/>
      <c r="R38" s="5"/>
      <c r="S38" s="5"/>
      <c r="T38" s="5"/>
      <c r="U38" s="5"/>
      <c r="V38" s="5"/>
      <c r="W38" s="5"/>
      <c r="X38" s="5"/>
      <c r="Y38" s="5"/>
      <c r="Z38" s="5"/>
      <c r="AA38" s="5"/>
      <c r="AB38" s="5"/>
      <c r="AC38" s="5"/>
      <c r="AD38" s="5"/>
    </row>
    <row r="39" hidden="1" outlineLevel="1">
      <c r="A39" s="5"/>
      <c r="B39" s="19">
        <v>5.2</v>
      </c>
      <c r="C39" s="5" t="s">
        <v>2649</v>
      </c>
      <c r="D39" s="69">
        <f t="shared" si="2"/>
        <v>5.2</v>
      </c>
      <c r="E39" s="112" t="str">
        <f>IF(COUNTIF(preDEL!$AH$2:$AH1821,D39)&gt;0,COUNTIF(preDEL!$AH$2:$AH1821,D39),IFERROR(0/0,""))</f>
        <v/>
      </c>
      <c r="F39" s="419"/>
      <c r="G39" s="5"/>
      <c r="H39" s="112" t="str">
        <f t="shared" si="3"/>
        <v/>
      </c>
      <c r="I39" s="5"/>
      <c r="J39" s="5"/>
      <c r="K39" s="5"/>
      <c r="L39" s="5"/>
      <c r="M39" s="5"/>
      <c r="N39" s="5"/>
      <c r="O39" s="5"/>
      <c r="P39" s="5"/>
      <c r="Q39" s="5"/>
      <c r="R39" s="5"/>
      <c r="S39" s="5"/>
      <c r="T39" s="5"/>
      <c r="U39" s="5"/>
      <c r="V39" s="5"/>
      <c r="W39" s="5"/>
      <c r="X39" s="5"/>
      <c r="Y39" s="5"/>
      <c r="Z39" s="5"/>
      <c r="AA39" s="5"/>
      <c r="AB39" s="5"/>
      <c r="AC39" s="5"/>
      <c r="AD39" s="5"/>
    </row>
    <row r="40" hidden="1" outlineLevel="1">
      <c r="A40" s="5"/>
      <c r="B40" s="19">
        <v>5.3</v>
      </c>
      <c r="C40" s="3" t="s">
        <v>2887</v>
      </c>
      <c r="D40" s="69">
        <f t="shared" si="2"/>
        <v>5.3</v>
      </c>
      <c r="E40" s="112">
        <f>IF(COUNTIF(preDEL!$AH$2:$AH1821,D40)&gt;0,COUNTIF(preDEL!$AH$2:$AH1821,D40),IFERROR(0/0,""))</f>
        <v>4</v>
      </c>
      <c r="F40" s="420" t="s">
        <v>2888</v>
      </c>
      <c r="G40" s="5"/>
      <c r="H40" s="112" t="str">
        <f t="shared" si="3"/>
        <v/>
      </c>
      <c r="I40" s="5"/>
      <c r="J40" s="5"/>
      <c r="K40" s="5"/>
      <c r="L40" s="5"/>
      <c r="M40" s="5"/>
      <c r="N40" s="5"/>
      <c r="O40" s="5"/>
      <c r="P40" s="5"/>
      <c r="Q40" s="5"/>
      <c r="R40" s="5"/>
      <c r="S40" s="5"/>
      <c r="T40" s="5"/>
      <c r="U40" s="5"/>
      <c r="V40" s="5"/>
      <c r="W40" s="5"/>
      <c r="X40" s="5"/>
      <c r="Y40" s="5"/>
      <c r="Z40" s="5"/>
      <c r="AA40" s="5"/>
      <c r="AB40" s="5"/>
      <c r="AC40" s="5"/>
      <c r="AD40" s="5"/>
    </row>
    <row r="41" hidden="1" outlineLevel="1">
      <c r="A41" s="5"/>
      <c r="B41" s="19">
        <v>5.4</v>
      </c>
      <c r="C41" s="5" t="s">
        <v>2653</v>
      </c>
      <c r="D41" s="69">
        <f t="shared" si="2"/>
        <v>5.4</v>
      </c>
      <c r="E41" s="112" t="str">
        <f>IF(COUNTIF(preDEL!$AH$2:$AH1821,D41)&gt;0,COUNTIF(preDEL!$AH$2:$AH1821,D41),IFERROR(0/0,""))</f>
        <v/>
      </c>
      <c r="F41" s="186" t="s">
        <v>2889</v>
      </c>
      <c r="G41" s="5"/>
      <c r="H41" s="112" t="str">
        <f t="shared" si="3"/>
        <v/>
      </c>
      <c r="I41" s="5"/>
      <c r="J41" s="5"/>
      <c r="K41" s="5"/>
      <c r="L41" s="5"/>
      <c r="M41" s="5"/>
      <c r="N41" s="5"/>
      <c r="O41" s="5"/>
      <c r="P41" s="5"/>
      <c r="Q41" s="5"/>
      <c r="R41" s="5"/>
      <c r="S41" s="5"/>
      <c r="T41" s="5"/>
      <c r="U41" s="5"/>
      <c r="V41" s="5"/>
      <c r="W41" s="5"/>
      <c r="X41" s="5"/>
      <c r="Y41" s="5"/>
      <c r="Z41" s="5"/>
      <c r="AA41" s="5"/>
      <c r="AB41" s="5"/>
      <c r="AC41" s="5"/>
      <c r="AD41" s="5"/>
    </row>
    <row r="42" hidden="1" outlineLevel="1">
      <c r="A42" s="5"/>
      <c r="B42" s="19">
        <v>5.5</v>
      </c>
      <c r="C42" s="5" t="s">
        <v>2890</v>
      </c>
      <c r="D42" s="69">
        <f t="shared" si="2"/>
        <v>5.5</v>
      </c>
      <c r="E42" s="112">
        <f>IF(COUNTIF(preDEL!$AH$2:$AH1821,D42)&gt;0,COUNTIF(preDEL!$AH$2:$AH1821,D42),IFERROR(0/0,""))</f>
        <v>1</v>
      </c>
      <c r="F42" s="419"/>
      <c r="G42" s="5"/>
      <c r="H42" s="112" t="str">
        <f t="shared" si="3"/>
        <v/>
      </c>
      <c r="I42" s="5"/>
      <c r="J42" s="5"/>
      <c r="K42" s="5"/>
      <c r="L42" s="5"/>
      <c r="M42" s="5"/>
      <c r="N42" s="5"/>
      <c r="O42" s="5"/>
      <c r="P42" s="5"/>
      <c r="Q42" s="5"/>
      <c r="R42" s="5"/>
      <c r="S42" s="5"/>
      <c r="T42" s="5"/>
      <c r="U42" s="5"/>
      <c r="V42" s="5"/>
      <c r="W42" s="5"/>
      <c r="X42" s="5"/>
      <c r="Y42" s="5"/>
      <c r="Z42" s="5"/>
      <c r="AA42" s="5"/>
      <c r="AB42" s="5"/>
      <c r="AC42" s="5"/>
      <c r="AD42" s="5"/>
    </row>
    <row r="43" hidden="1" outlineLevel="1">
      <c r="A43" s="5"/>
      <c r="B43" s="19">
        <v>6.0</v>
      </c>
      <c r="C43" s="5" t="s">
        <v>2657</v>
      </c>
      <c r="D43" s="69">
        <f t="shared" si="2"/>
        <v>6</v>
      </c>
      <c r="E43" s="112" t="str">
        <f>IF(COUNTIF(preDEL!$AH$2:$AH1821,D43)&gt;0,COUNTIF(preDEL!$AH$2:$AH1821,D43),IFERROR(0/0,""))</f>
        <v/>
      </c>
      <c r="F43" s="419"/>
      <c r="G43" s="5"/>
      <c r="H43" s="112" t="str">
        <f t="shared" si="3"/>
        <v/>
      </c>
      <c r="I43" s="5"/>
      <c r="J43" s="5"/>
      <c r="K43" s="5"/>
      <c r="L43" s="5"/>
      <c r="M43" s="5"/>
      <c r="N43" s="5"/>
      <c r="O43" s="5"/>
      <c r="P43" s="5"/>
      <c r="Q43" s="5"/>
      <c r="R43" s="5"/>
      <c r="S43" s="5"/>
      <c r="T43" s="5"/>
      <c r="U43" s="5"/>
      <c r="V43" s="5"/>
      <c r="W43" s="5"/>
      <c r="X43" s="5"/>
      <c r="Y43" s="5"/>
      <c r="Z43" s="5"/>
      <c r="AA43" s="5"/>
      <c r="AB43" s="5"/>
      <c r="AC43" s="5"/>
      <c r="AD43" s="5"/>
    </row>
    <row r="44" hidden="1" outlineLevel="1">
      <c r="A44" s="5"/>
      <c r="B44" s="19">
        <v>7.0</v>
      </c>
      <c r="C44" s="3" t="s">
        <v>2891</v>
      </c>
      <c r="D44" s="69">
        <f t="shared" si="2"/>
        <v>7</v>
      </c>
      <c r="E44" s="112">
        <f>IF(COUNTIF(preDEL!$AH$2:$AH1821,D44)&gt;0,COUNTIF(preDEL!$AH$2:$AH1821,D44),IFERROR(0/0,""))</f>
        <v>6</v>
      </c>
      <c r="F44" s="419"/>
      <c r="G44" s="5"/>
      <c r="H44" s="112" t="str">
        <f t="shared" si="3"/>
        <v/>
      </c>
      <c r="I44" s="5"/>
      <c r="J44" s="5"/>
      <c r="K44" s="5"/>
      <c r="L44" s="5"/>
      <c r="M44" s="5"/>
      <c r="N44" s="5"/>
      <c r="O44" s="5"/>
      <c r="P44" s="5"/>
      <c r="Q44" s="5"/>
      <c r="R44" s="5"/>
      <c r="S44" s="5"/>
      <c r="T44" s="5"/>
      <c r="U44" s="5"/>
      <c r="V44" s="5"/>
      <c r="W44" s="5"/>
      <c r="X44" s="5"/>
      <c r="Y44" s="5"/>
      <c r="Z44" s="5"/>
      <c r="AA44" s="5"/>
      <c r="AB44" s="5"/>
      <c r="AC44" s="5"/>
      <c r="AD44" s="5"/>
    </row>
    <row r="45" hidden="1" outlineLevel="1">
      <c r="A45" s="5"/>
      <c r="B45" s="19">
        <v>7.1</v>
      </c>
      <c r="C45" s="3" t="s">
        <v>2892</v>
      </c>
      <c r="D45" s="69">
        <f t="shared" si="2"/>
        <v>7.1</v>
      </c>
      <c r="E45" s="112" t="str">
        <f>IF(COUNTIF(preDEL!$AH$2:$AH1821,D45)&gt;0,COUNTIF(preDEL!$AH$2:$AH1821,D45),IFERROR(0/0,""))</f>
        <v/>
      </c>
      <c r="F45" s="419"/>
      <c r="G45" s="5"/>
      <c r="H45" s="112" t="str">
        <f t="shared" si="3"/>
        <v/>
      </c>
      <c r="I45" s="5"/>
      <c r="J45" s="5"/>
      <c r="K45" s="5"/>
      <c r="L45" s="5"/>
      <c r="M45" s="5"/>
      <c r="N45" s="5"/>
      <c r="O45" s="5"/>
      <c r="P45" s="5"/>
      <c r="Q45" s="5"/>
      <c r="R45" s="5"/>
      <c r="S45" s="5"/>
      <c r="T45" s="5"/>
      <c r="U45" s="5"/>
      <c r="V45" s="5"/>
      <c r="W45" s="5"/>
      <c r="X45" s="5"/>
      <c r="Y45" s="5"/>
      <c r="Z45" s="5"/>
      <c r="AA45" s="5"/>
      <c r="AB45" s="5"/>
      <c r="AC45" s="5"/>
      <c r="AD45" s="5"/>
    </row>
    <row r="46" hidden="1" outlineLevel="1">
      <c r="A46" s="5"/>
      <c r="B46" s="19">
        <v>7.2</v>
      </c>
      <c r="C46" s="5" t="s">
        <v>2893</v>
      </c>
      <c r="D46" s="69">
        <f t="shared" si="2"/>
        <v>7.2</v>
      </c>
      <c r="E46" s="112" t="str">
        <f>IF(COUNTIF(preDEL!$AH$2:$AH1821,D46)&gt;0,COUNTIF(preDEL!$AH$2:$AH1821,D46),IFERROR(0/0,""))</f>
        <v/>
      </c>
      <c r="F46" s="419"/>
      <c r="G46" s="5"/>
      <c r="H46" s="112" t="str">
        <f t="shared" si="3"/>
        <v/>
      </c>
      <c r="I46" s="5"/>
      <c r="J46" s="5"/>
      <c r="K46" s="5"/>
      <c r="L46" s="5"/>
      <c r="M46" s="5"/>
      <c r="N46" s="5"/>
      <c r="O46" s="5"/>
      <c r="P46" s="5"/>
      <c r="Q46" s="5"/>
      <c r="R46" s="5"/>
      <c r="S46" s="5"/>
      <c r="T46" s="5"/>
      <c r="U46" s="5"/>
      <c r="V46" s="5"/>
      <c r="W46" s="5"/>
      <c r="X46" s="5"/>
      <c r="Y46" s="5"/>
      <c r="Z46" s="5"/>
      <c r="AA46" s="5"/>
      <c r="AB46" s="5"/>
      <c r="AC46" s="5"/>
      <c r="AD46" s="5"/>
    </row>
    <row r="47" hidden="1" outlineLevel="1">
      <c r="A47" s="5"/>
      <c r="B47" s="13">
        <v>7.3</v>
      </c>
      <c r="C47" s="3" t="s">
        <v>2894</v>
      </c>
      <c r="D47" s="69">
        <f t="shared" si="2"/>
        <v>7.3</v>
      </c>
      <c r="E47" s="112" t="str">
        <f>IF(COUNTIF(preDEL!$AH$2:$AH1821,D47)&gt;0,COUNTIF(preDEL!$AH$2:$AH1821,D47),IFERROR(0/0,""))</f>
        <v/>
      </c>
      <c r="F47" s="419"/>
      <c r="G47" s="5"/>
      <c r="H47" s="112" t="str">
        <f t="shared" si="3"/>
        <v/>
      </c>
      <c r="I47" s="5"/>
      <c r="J47" s="5"/>
      <c r="K47" s="5"/>
      <c r="L47" s="5"/>
      <c r="M47" s="5"/>
      <c r="N47" s="5"/>
      <c r="O47" s="5"/>
      <c r="P47" s="5"/>
      <c r="Q47" s="5"/>
      <c r="R47" s="5"/>
      <c r="S47" s="5"/>
      <c r="T47" s="5"/>
      <c r="U47" s="5"/>
      <c r="V47" s="5"/>
      <c r="W47" s="5"/>
      <c r="X47" s="5"/>
      <c r="Y47" s="5"/>
      <c r="Z47" s="5"/>
      <c r="AA47" s="5"/>
      <c r="AB47" s="5"/>
      <c r="AC47" s="5"/>
      <c r="AD47" s="5"/>
    </row>
    <row r="48" hidden="1" outlineLevel="1">
      <c r="A48" s="5"/>
      <c r="B48" s="13">
        <v>7.4</v>
      </c>
      <c r="C48" s="5" t="s">
        <v>2895</v>
      </c>
      <c r="D48" s="69">
        <f t="shared" si="2"/>
        <v>7.4</v>
      </c>
      <c r="E48" s="112" t="str">
        <f>IF(COUNTIF(preDEL!$AH$2:$AH1821,D48)&gt;0,COUNTIF(preDEL!$AH$2:$AH1821,D48),IFERROR(0/0,""))</f>
        <v/>
      </c>
      <c r="F48" s="186" t="s">
        <v>2896</v>
      </c>
      <c r="G48" s="5"/>
      <c r="H48" s="112" t="str">
        <f t="shared" si="3"/>
        <v/>
      </c>
      <c r="I48" s="5"/>
      <c r="J48" s="5"/>
      <c r="K48" s="5"/>
      <c r="L48" s="5"/>
      <c r="M48" s="5"/>
      <c r="N48" s="5"/>
      <c r="O48" s="5"/>
      <c r="P48" s="5"/>
      <c r="Q48" s="5"/>
      <c r="R48" s="5"/>
      <c r="S48" s="5"/>
      <c r="T48" s="5"/>
      <c r="U48" s="5"/>
      <c r="V48" s="5"/>
      <c r="W48" s="5"/>
      <c r="X48" s="5"/>
      <c r="Y48" s="5"/>
      <c r="Z48" s="5"/>
      <c r="AA48" s="5"/>
      <c r="AB48" s="5"/>
      <c r="AC48" s="5"/>
      <c r="AD48" s="5"/>
    </row>
    <row r="49" hidden="1" outlineLevel="1">
      <c r="A49" s="5"/>
      <c r="B49" s="13">
        <v>7.5</v>
      </c>
      <c r="C49" s="5"/>
      <c r="D49" s="69">
        <f t="shared" si="2"/>
        <v>7.5</v>
      </c>
      <c r="E49" s="112" t="str">
        <f>IF(COUNTIF(preDEL!$AH$2:$AH1821,D49)&gt;0,COUNTIF(preDEL!$AH$2:$AH1821,D49),IFERROR(0/0,""))</f>
        <v/>
      </c>
      <c r="F49" s="419"/>
      <c r="G49" s="5"/>
      <c r="H49" s="112" t="str">
        <f t="shared" si="3"/>
        <v/>
      </c>
      <c r="I49" s="5"/>
      <c r="J49" s="5"/>
      <c r="K49" s="5"/>
      <c r="L49" s="5"/>
      <c r="M49" s="5"/>
      <c r="N49" s="5"/>
      <c r="O49" s="5"/>
      <c r="P49" s="5"/>
      <c r="Q49" s="5"/>
      <c r="R49" s="5"/>
      <c r="S49" s="5"/>
      <c r="T49" s="5"/>
      <c r="U49" s="5"/>
      <c r="V49" s="5"/>
      <c r="W49" s="5"/>
      <c r="X49" s="5"/>
      <c r="Y49" s="5"/>
      <c r="Z49" s="5"/>
      <c r="AA49" s="5"/>
      <c r="AB49" s="5"/>
      <c r="AC49" s="5"/>
      <c r="AD49" s="5"/>
    </row>
    <row r="50" hidden="1" outlineLevel="1">
      <c r="A50" s="5"/>
      <c r="B50" s="19">
        <v>8.0</v>
      </c>
      <c r="C50" s="5" t="s">
        <v>2897</v>
      </c>
      <c r="D50" s="69">
        <f t="shared" si="2"/>
        <v>8</v>
      </c>
      <c r="E50" s="112" t="str">
        <f>IF(COUNTIF(preDEL!$AH$2:$AH1821,D50)&gt;0,COUNTIF(preDEL!$AH$2:$AH1821,D50),IFERROR(0/0,""))</f>
        <v/>
      </c>
      <c r="F50" s="419"/>
      <c r="G50" s="5"/>
      <c r="H50" s="112" t="str">
        <f t="shared" si="3"/>
        <v/>
      </c>
      <c r="I50" s="5"/>
      <c r="J50" s="5"/>
      <c r="K50" s="5"/>
      <c r="L50" s="5"/>
      <c r="M50" s="5"/>
      <c r="N50" s="5"/>
      <c r="O50" s="5"/>
      <c r="P50" s="5"/>
      <c r="Q50" s="5"/>
      <c r="R50" s="5"/>
      <c r="S50" s="5"/>
      <c r="T50" s="5"/>
      <c r="U50" s="5"/>
      <c r="V50" s="5"/>
      <c r="W50" s="5"/>
      <c r="X50" s="5"/>
      <c r="Y50" s="5"/>
      <c r="Z50" s="5"/>
      <c r="AA50" s="5"/>
      <c r="AB50" s="5"/>
      <c r="AC50" s="5"/>
      <c r="AD50" s="5"/>
    </row>
    <row r="51" hidden="1" outlineLevel="1">
      <c r="A51" s="5"/>
      <c r="B51" s="19">
        <v>8.1</v>
      </c>
      <c r="C51" s="5" t="s">
        <v>2898</v>
      </c>
      <c r="D51" s="69">
        <f t="shared" si="2"/>
        <v>8.1</v>
      </c>
      <c r="E51" s="112" t="str">
        <f>IF(COUNTIF(preDEL!$AH$2:$AH1821,D51)&gt;0,COUNTIF(preDEL!$AH$2:$AH1821,D51),IFERROR(0/0,""))</f>
        <v/>
      </c>
      <c r="F51" s="419"/>
      <c r="G51" s="5"/>
      <c r="H51" s="112" t="str">
        <f t="shared" si="3"/>
        <v/>
      </c>
      <c r="I51" s="5"/>
      <c r="J51" s="5"/>
      <c r="K51" s="5"/>
      <c r="L51" s="5"/>
      <c r="M51" s="5"/>
      <c r="N51" s="5"/>
      <c r="O51" s="5"/>
      <c r="P51" s="5"/>
      <c r="Q51" s="5"/>
      <c r="R51" s="5"/>
      <c r="S51" s="5"/>
      <c r="T51" s="5"/>
      <c r="U51" s="5"/>
      <c r="V51" s="5"/>
      <c r="W51" s="5"/>
      <c r="X51" s="5"/>
      <c r="Y51" s="5"/>
      <c r="Z51" s="5"/>
      <c r="AA51" s="5"/>
      <c r="AB51" s="5"/>
      <c r="AC51" s="5"/>
      <c r="AD51" s="5"/>
    </row>
    <row r="52" hidden="1" outlineLevel="1">
      <c r="A52" s="5"/>
      <c r="B52" s="19">
        <v>9.0</v>
      </c>
      <c r="C52" s="5" t="s">
        <v>2899</v>
      </c>
      <c r="D52" s="69">
        <f t="shared" si="2"/>
        <v>9</v>
      </c>
      <c r="E52" s="112">
        <f>IF(COUNTIF(preDEL!$AH$2:$AH1821,D52)&gt;0,COUNTIF(preDEL!$AH$2:$AH1821,D52),IFERROR(0/0,""))</f>
        <v>1</v>
      </c>
      <c r="F52" s="419"/>
      <c r="G52" s="5"/>
      <c r="H52" s="112" t="str">
        <f t="shared" si="3"/>
        <v/>
      </c>
      <c r="I52" s="5"/>
      <c r="J52" s="5"/>
      <c r="K52" s="5"/>
      <c r="L52" s="5"/>
      <c r="M52" s="5"/>
      <c r="N52" s="5"/>
      <c r="O52" s="5"/>
      <c r="P52" s="5"/>
      <c r="Q52" s="5"/>
      <c r="R52" s="5"/>
      <c r="S52" s="5"/>
      <c r="T52" s="5"/>
      <c r="U52" s="5"/>
      <c r="V52" s="5"/>
      <c r="W52" s="5"/>
      <c r="X52" s="5"/>
      <c r="Y52" s="5"/>
      <c r="Z52" s="5"/>
      <c r="AA52" s="5"/>
      <c r="AB52" s="5"/>
      <c r="AC52" s="5"/>
      <c r="AD52" s="5"/>
    </row>
    <row r="53" hidden="1" outlineLevel="1">
      <c r="A53" s="5"/>
      <c r="B53" s="19">
        <v>9.1</v>
      </c>
      <c r="C53" s="5" t="s">
        <v>2900</v>
      </c>
      <c r="D53" s="69">
        <f t="shared" si="2"/>
        <v>9.1</v>
      </c>
      <c r="E53" s="112">
        <f>IF(COUNTIF(preDEL!$AH$2:$AH1821,D53)&gt;0,COUNTIF(preDEL!$AH$2:$AH1821,D53),IFERROR(0/0,""))</f>
        <v>22</v>
      </c>
      <c r="F53" s="419"/>
      <c r="G53" s="5"/>
      <c r="H53" s="112" t="str">
        <f t="shared" si="3"/>
        <v/>
      </c>
      <c r="I53" s="5"/>
      <c r="J53" s="5"/>
      <c r="K53" s="5"/>
      <c r="L53" s="5"/>
      <c r="M53" s="5"/>
      <c r="N53" s="5"/>
      <c r="O53" s="5"/>
      <c r="P53" s="5"/>
      <c r="Q53" s="5"/>
      <c r="R53" s="5"/>
      <c r="S53" s="5"/>
      <c r="T53" s="5"/>
      <c r="U53" s="5"/>
      <c r="V53" s="5"/>
      <c r="W53" s="5"/>
      <c r="X53" s="5"/>
      <c r="Y53" s="5"/>
      <c r="Z53" s="5"/>
      <c r="AA53" s="5"/>
      <c r="AB53" s="5"/>
      <c r="AC53" s="5"/>
      <c r="AD53" s="5"/>
    </row>
    <row r="54" hidden="1" outlineLevel="1">
      <c r="A54" s="5"/>
      <c r="B54" s="19">
        <v>9.2</v>
      </c>
      <c r="C54" s="5" t="s">
        <v>2901</v>
      </c>
      <c r="D54" s="69">
        <f t="shared" si="2"/>
        <v>9.2</v>
      </c>
      <c r="E54" s="112" t="str">
        <f>IF(COUNTIF(preDEL!$AH$2:$AH1821,D54)&gt;0,COUNTIF(preDEL!$AH$2:$AH1821,D54),IFERROR(0/0,""))</f>
        <v/>
      </c>
      <c r="F54" s="419"/>
      <c r="G54" s="5"/>
      <c r="H54" s="112" t="str">
        <f t="shared" si="3"/>
        <v/>
      </c>
      <c r="I54" s="5"/>
      <c r="J54" s="5"/>
      <c r="K54" s="5"/>
      <c r="L54" s="5"/>
      <c r="M54" s="5"/>
      <c r="N54" s="5"/>
      <c r="O54" s="5"/>
      <c r="P54" s="5"/>
      <c r="Q54" s="5"/>
      <c r="R54" s="5"/>
      <c r="S54" s="5"/>
      <c r="T54" s="5"/>
      <c r="U54" s="5"/>
      <c r="V54" s="5"/>
      <c r="W54" s="5"/>
      <c r="X54" s="5"/>
      <c r="Y54" s="5"/>
      <c r="Z54" s="5"/>
      <c r="AA54" s="5"/>
      <c r="AB54" s="5"/>
      <c r="AC54" s="5"/>
      <c r="AD54" s="5"/>
    </row>
    <row r="55" hidden="1" outlineLevel="1">
      <c r="A55" s="5"/>
      <c r="B55" s="19">
        <v>9.3</v>
      </c>
      <c r="C55" s="5" t="s">
        <v>2902</v>
      </c>
      <c r="D55" s="69">
        <f t="shared" si="2"/>
        <v>9.3</v>
      </c>
      <c r="E55" s="112" t="str">
        <f>IF(COUNTIF(preDEL!$AH$2:$AH1821,D55)&gt;0,COUNTIF(preDEL!$AH$2:$AH1821,D55),IFERROR(0/0,""))</f>
        <v/>
      </c>
      <c r="F55" s="5"/>
      <c r="G55" s="5"/>
      <c r="H55" s="112" t="str">
        <f t="shared" si="3"/>
        <v/>
      </c>
      <c r="I55" s="5"/>
      <c r="J55" s="5"/>
      <c r="K55" s="5"/>
      <c r="L55" s="5"/>
      <c r="M55" s="5"/>
      <c r="N55" s="5"/>
      <c r="O55" s="5"/>
      <c r="P55" s="5"/>
      <c r="Q55" s="5"/>
      <c r="R55" s="5"/>
      <c r="S55" s="5"/>
      <c r="T55" s="5"/>
      <c r="U55" s="5"/>
      <c r="V55" s="5"/>
      <c r="W55" s="5"/>
      <c r="X55" s="5"/>
      <c r="Y55" s="5"/>
      <c r="Z55" s="5"/>
      <c r="AA55" s="5"/>
      <c r="AB55" s="5"/>
      <c r="AC55" s="5"/>
      <c r="AD55" s="5"/>
    </row>
    <row r="56" hidden="1" outlineLevel="1">
      <c r="A56" s="5"/>
      <c r="B56" s="19">
        <v>20.0</v>
      </c>
      <c r="C56" s="5" t="s">
        <v>2903</v>
      </c>
      <c r="D56" s="69">
        <f t="shared" si="2"/>
        <v>20</v>
      </c>
      <c r="E56" s="112" t="str">
        <f>IF(COUNTIF(preDEL!$AH$2:$AH1821,D56)&gt;0,COUNTIF(preDEL!$AH$2:$AH1821,D56),IFERROR(0/0,""))</f>
        <v/>
      </c>
      <c r="F56" s="5"/>
      <c r="G56" s="5"/>
      <c r="H56" s="112" t="str">
        <f t="shared" si="3"/>
        <v/>
      </c>
      <c r="I56" s="5"/>
      <c r="J56" s="5"/>
      <c r="K56" s="5"/>
      <c r="L56" s="5"/>
      <c r="M56" s="5"/>
      <c r="N56" s="5"/>
      <c r="O56" s="5"/>
      <c r="P56" s="5"/>
      <c r="Q56" s="5"/>
      <c r="R56" s="5"/>
      <c r="S56" s="5"/>
      <c r="T56" s="5"/>
      <c r="U56" s="5"/>
      <c r="V56" s="5"/>
      <c r="W56" s="5"/>
      <c r="X56" s="5"/>
      <c r="Y56" s="5"/>
      <c r="Z56" s="5"/>
      <c r="AA56" s="5"/>
      <c r="AB56" s="5"/>
      <c r="AC56" s="5"/>
      <c r="AD56" s="5"/>
    </row>
    <row r="57" hidden="1" outlineLevel="1">
      <c r="A57" s="5"/>
      <c r="B57" s="19">
        <v>21.0</v>
      </c>
      <c r="C57" s="5" t="s">
        <v>2903</v>
      </c>
      <c r="D57" s="69">
        <f t="shared" si="2"/>
        <v>21</v>
      </c>
      <c r="E57" s="112" t="str">
        <f>IF(COUNTIF(preDEL!$AH$2:$AH1821,D57)&gt;0,COUNTIF(preDEL!$AH$2:$AH1821,D57),IFERROR(0/0,""))</f>
        <v/>
      </c>
      <c r="F57" s="5"/>
      <c r="G57" s="5"/>
      <c r="H57" s="112" t="str">
        <f t="shared" si="3"/>
        <v/>
      </c>
      <c r="I57" s="5"/>
      <c r="J57" s="5"/>
      <c r="K57" s="5"/>
      <c r="L57" s="5"/>
      <c r="M57" s="5"/>
      <c r="N57" s="5"/>
      <c r="O57" s="5"/>
      <c r="P57" s="5"/>
      <c r="Q57" s="5"/>
      <c r="R57" s="5"/>
      <c r="S57" s="5"/>
      <c r="T57" s="5"/>
      <c r="U57" s="5"/>
      <c r="V57" s="5"/>
      <c r="W57" s="5"/>
      <c r="X57" s="5"/>
      <c r="Y57" s="5"/>
      <c r="Z57" s="5"/>
      <c r="AA57" s="5"/>
      <c r="AB57" s="5"/>
      <c r="AC57" s="5"/>
      <c r="AD57" s="5"/>
    </row>
    <row r="58" hidden="1" outlineLevel="1">
      <c r="A58" s="5"/>
      <c r="B58" s="19">
        <v>22.0</v>
      </c>
      <c r="C58" s="3" t="s">
        <v>2903</v>
      </c>
      <c r="D58" s="69">
        <f t="shared" si="2"/>
        <v>22</v>
      </c>
      <c r="E58" s="112" t="str">
        <f>IF(COUNTIF(preDEL!$AH$2:$AH1821,D58)&gt;0,COUNTIF(preDEL!$AH$2:$AH1821,D58),IFERROR(0/0,""))</f>
        <v/>
      </c>
      <c r="F58" s="5"/>
      <c r="G58" s="3"/>
      <c r="H58" s="112" t="str">
        <f t="shared" si="3"/>
        <v/>
      </c>
      <c r="I58" s="3"/>
      <c r="J58" s="5"/>
      <c r="K58" s="5"/>
      <c r="L58" s="5"/>
      <c r="M58" s="5"/>
      <c r="N58" s="5"/>
      <c r="O58" s="5"/>
      <c r="P58" s="5"/>
      <c r="Q58" s="5"/>
      <c r="R58" s="5"/>
      <c r="S58" s="5"/>
      <c r="T58" s="5"/>
      <c r="U58" s="5"/>
      <c r="V58" s="5"/>
      <c r="W58" s="5"/>
      <c r="X58" s="5"/>
      <c r="Y58" s="5"/>
      <c r="Z58" s="5"/>
      <c r="AA58" s="5"/>
      <c r="AB58" s="5"/>
      <c r="AC58" s="5"/>
      <c r="AD58" s="5"/>
    </row>
    <row r="59" hidden="1" outlineLevel="1">
      <c r="A59" s="5"/>
      <c r="B59" s="5"/>
      <c r="C59" s="5"/>
      <c r="D59" s="112" t="str">
        <f t="shared" si="2"/>
        <v/>
      </c>
      <c r="E59" s="112" t="str">
        <f>IF(COUNTIF(preDEL!$AH$2:$AH1821,D59)&gt;0,COUNTIF(preDEL!$AH$2:$AH1821,D59),IFERROR(0/0,""))</f>
        <v/>
      </c>
      <c r="F59" s="5"/>
      <c r="G59" s="5"/>
      <c r="H59" s="112" t="str">
        <f t="shared" si="3"/>
        <v/>
      </c>
      <c r="I59" s="5"/>
      <c r="J59" s="5"/>
      <c r="K59" s="5"/>
      <c r="L59" s="5"/>
      <c r="M59" s="5"/>
      <c r="N59" s="5"/>
      <c r="O59" s="5"/>
      <c r="P59" s="5"/>
      <c r="Q59" s="5"/>
      <c r="R59" s="5"/>
      <c r="S59" s="5"/>
      <c r="T59" s="5"/>
      <c r="U59" s="5"/>
      <c r="V59" s="5"/>
      <c r="W59" s="5"/>
      <c r="X59" s="5"/>
      <c r="Y59" s="5"/>
      <c r="Z59" s="5"/>
      <c r="AA59" s="5"/>
      <c r="AB59" s="5"/>
      <c r="AC59" s="5"/>
      <c r="AD59" s="5"/>
    </row>
    <row r="60" hidden="1" outlineLevel="1">
      <c r="A60" s="5"/>
      <c r="B60" s="5"/>
      <c r="C60" s="3"/>
      <c r="D60" s="112" t="str">
        <f t="shared" si="2"/>
        <v/>
      </c>
      <c r="E60" s="112" t="str">
        <f>IF(COUNTIF(preDEL!$AH$2:$AH1821,D60)&gt;0,COUNTIF(preDEL!$AH$2:$AH1821,D60),IFERROR(0/0,""))</f>
        <v/>
      </c>
      <c r="F60" s="5"/>
      <c r="G60" s="5"/>
      <c r="H60" s="112" t="str">
        <f t="shared" si="3"/>
        <v/>
      </c>
      <c r="I60" s="5"/>
      <c r="J60" s="5"/>
      <c r="K60" s="5"/>
      <c r="L60" s="5"/>
      <c r="M60" s="5"/>
      <c r="N60" s="5"/>
      <c r="O60" s="5"/>
      <c r="P60" s="5"/>
      <c r="Q60" s="5"/>
      <c r="R60" s="5"/>
      <c r="S60" s="5"/>
      <c r="T60" s="5"/>
      <c r="U60" s="5"/>
      <c r="V60" s="5"/>
      <c r="W60" s="5"/>
      <c r="X60" s="5"/>
      <c r="Y60" s="5"/>
      <c r="Z60" s="5"/>
      <c r="AA60" s="5"/>
      <c r="AB60" s="5"/>
      <c r="AC60" s="5"/>
      <c r="AD60" s="5"/>
    </row>
    <row r="61" hidden="1" outlineLevel="1">
      <c r="A61" s="5"/>
      <c r="B61" s="5"/>
      <c r="C61" s="5"/>
      <c r="D61" s="112" t="str">
        <f t="shared" si="2"/>
        <v/>
      </c>
      <c r="E61" s="112" t="str">
        <f>IF(COUNTIF(preDEL!$AH$2:$AH1821,D61)&gt;0,COUNTIF(preDEL!$AH$2:$AH1821,D61),IFERROR(0/0,""))</f>
        <v/>
      </c>
      <c r="F61" s="5"/>
      <c r="G61" s="5"/>
      <c r="H61" s="112" t="str">
        <f t="shared" si="3"/>
        <v/>
      </c>
      <c r="I61" s="5"/>
      <c r="J61" s="5"/>
      <c r="K61" s="5"/>
      <c r="L61" s="5"/>
      <c r="M61" s="5"/>
      <c r="N61" s="5"/>
      <c r="O61" s="5"/>
      <c r="P61" s="5"/>
      <c r="Q61" s="5"/>
      <c r="R61" s="5"/>
      <c r="S61" s="5"/>
      <c r="T61" s="5"/>
      <c r="U61" s="5"/>
      <c r="V61" s="5"/>
      <c r="W61" s="5"/>
      <c r="X61" s="5"/>
      <c r="Y61" s="5"/>
      <c r="Z61" s="5"/>
      <c r="AA61" s="5"/>
      <c r="AB61" s="5"/>
      <c r="AC61" s="5"/>
      <c r="AD61" s="5"/>
    </row>
    <row r="62" hidden="1" outlineLevel="1">
      <c r="A62" s="5"/>
      <c r="B62" s="5"/>
      <c r="C62" s="5"/>
      <c r="D62" s="112" t="str">
        <f t="shared" si="2"/>
        <v/>
      </c>
      <c r="E62" s="112" t="str">
        <f>IF(COUNTIF(preDEL!$AH$2:$AH1821,D62)&gt;0,COUNTIF(preDEL!$AH$2:$AH1821,D62),IFERROR(0/0,""))</f>
        <v/>
      </c>
      <c r="F62" s="5"/>
      <c r="G62" s="5"/>
      <c r="H62" s="112" t="str">
        <f t="shared" si="3"/>
        <v/>
      </c>
      <c r="I62" s="5"/>
      <c r="J62" s="5"/>
      <c r="K62" s="5"/>
      <c r="L62" s="5"/>
      <c r="M62" s="5"/>
      <c r="N62" s="5"/>
      <c r="O62" s="5"/>
      <c r="P62" s="5"/>
      <c r="Q62" s="5"/>
      <c r="R62" s="5"/>
      <c r="S62" s="5"/>
      <c r="T62" s="5"/>
      <c r="U62" s="5"/>
      <c r="V62" s="5"/>
      <c r="W62" s="5"/>
      <c r="X62" s="5"/>
      <c r="Y62" s="5"/>
      <c r="Z62" s="5"/>
      <c r="AA62" s="5"/>
      <c r="AB62" s="5"/>
      <c r="AC62" s="5"/>
      <c r="AD62" s="5"/>
    </row>
    <row r="63" hidden="1" outlineLevel="1">
      <c r="A63" s="5"/>
      <c r="B63" s="5"/>
      <c r="C63" s="5"/>
      <c r="D63" s="112" t="str">
        <f t="shared" si="2"/>
        <v/>
      </c>
      <c r="E63" s="112" t="str">
        <f>IF(COUNTIF(preDEL!$AH$2:$AH1821,D63)&gt;0,COUNTIF(preDEL!$AH$2:$AH1821,D63),IFERROR(0/0,""))</f>
        <v/>
      </c>
      <c r="F63" s="3"/>
      <c r="G63" s="5"/>
      <c r="H63" s="112" t="str">
        <f t="shared" si="3"/>
        <v/>
      </c>
      <c r="I63" s="5"/>
      <c r="J63" s="5"/>
      <c r="K63" s="5"/>
      <c r="L63" s="5"/>
      <c r="M63" s="5"/>
      <c r="N63" s="5"/>
      <c r="O63" s="5"/>
      <c r="P63" s="5"/>
      <c r="Q63" s="5"/>
      <c r="R63" s="5"/>
      <c r="S63" s="5"/>
      <c r="T63" s="5"/>
      <c r="U63" s="5"/>
      <c r="V63" s="5"/>
      <c r="W63" s="5"/>
      <c r="X63" s="5"/>
      <c r="Y63" s="5"/>
      <c r="Z63" s="5"/>
      <c r="AA63" s="5"/>
      <c r="AB63" s="5"/>
      <c r="AC63" s="5"/>
      <c r="AD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collapsed="1">
      <c r="A65" s="5"/>
      <c r="B65" s="5"/>
      <c r="C65" s="415" t="s">
        <v>2904</v>
      </c>
      <c r="D65" s="416" t="s">
        <v>2874</v>
      </c>
      <c r="E65" s="421" t="str">
        <f>CONCATENATE("Count = ",SUM(E66:E84))</f>
        <v>Count = 15</v>
      </c>
      <c r="F65" s="5"/>
      <c r="G65" s="416" t="s">
        <v>2905</v>
      </c>
      <c r="H65" s="416" t="s">
        <v>2876</v>
      </c>
      <c r="I65" s="282" t="s">
        <v>2906</v>
      </c>
      <c r="J65" s="5"/>
      <c r="K65" s="5"/>
      <c r="L65" s="5"/>
      <c r="M65" s="5"/>
      <c r="N65" s="5"/>
      <c r="O65" s="5"/>
      <c r="P65" s="5"/>
      <c r="Q65" s="5"/>
      <c r="R65" s="5"/>
      <c r="S65" s="5"/>
      <c r="T65" s="5"/>
      <c r="U65" s="5"/>
      <c r="V65" s="5"/>
      <c r="W65" s="5"/>
      <c r="X65" s="5"/>
      <c r="Y65" s="5"/>
      <c r="Z65" s="5"/>
      <c r="AA65" s="5"/>
      <c r="AB65" s="5"/>
      <c r="AC65" s="5"/>
      <c r="AD65" s="5"/>
    </row>
    <row r="66" hidden="1" outlineLevel="1">
      <c r="A66" s="5"/>
      <c r="B66" s="19">
        <v>1.3</v>
      </c>
      <c r="C66" s="5" t="s">
        <v>2907</v>
      </c>
      <c r="D66" s="69">
        <f t="shared" ref="D66:D84" si="4">B66</f>
        <v>1.3</v>
      </c>
      <c r="E66" s="112">
        <f>IF(COUNTIF(preDEL!$AI$2:$AI1821,D66)&gt;0,COUNTIF(preDEL!$AI$2:$AI1821,D66),IFERROR(0/0,""))</f>
        <v>5</v>
      </c>
      <c r="F66" s="5"/>
      <c r="G66" s="112">
        <f t="array" ref="G66:G71">SORT(UNIQUE(preDEL!$AI$2:$AI1821),1,TRUE)</f>
        <v>1.3</v>
      </c>
      <c r="H66" s="112" t="b">
        <f t="shared" ref="H66:H84" si="5">IF(COUNTIF(D$66:D$84,G66)=1,TRUE,IFERROR(0/0,""))</f>
        <v>1</v>
      </c>
      <c r="I66" s="19">
        <v>2.0</v>
      </c>
      <c r="J66" s="5" t="s">
        <v>2675</v>
      </c>
      <c r="K66" s="5"/>
      <c r="L66" s="5"/>
      <c r="M66" s="5"/>
      <c r="N66" s="5"/>
      <c r="O66" s="5"/>
      <c r="P66" s="5"/>
      <c r="Q66" s="5"/>
      <c r="R66" s="5"/>
      <c r="S66" s="5"/>
      <c r="T66" s="5"/>
      <c r="U66" s="5"/>
      <c r="V66" s="5"/>
      <c r="W66" s="5"/>
      <c r="X66" s="5"/>
      <c r="Y66" s="5"/>
      <c r="Z66" s="5"/>
      <c r="AA66" s="5"/>
      <c r="AB66" s="5"/>
      <c r="AC66" s="5"/>
      <c r="AD66" s="5"/>
    </row>
    <row r="67" hidden="1" outlineLevel="1">
      <c r="A67" s="5"/>
      <c r="B67" s="19">
        <v>1.4</v>
      </c>
      <c r="C67" s="419" t="s">
        <v>2908</v>
      </c>
      <c r="D67" s="69">
        <f t="shared" si="4"/>
        <v>1.4</v>
      </c>
      <c r="E67" s="112" t="str">
        <f>IF(COUNTIF(preDEL!$AI$2:$AI1821,D67)&gt;0,COUNTIF(preDEL!$AI$2:$AI1821,D67),IFERROR(0/0,""))</f>
        <v/>
      </c>
      <c r="F67" s="5"/>
      <c r="G67" s="5">
        <v>4.0</v>
      </c>
      <c r="H67" s="112" t="b">
        <f t="shared" si="5"/>
        <v>1</v>
      </c>
      <c r="I67" s="19">
        <v>2.11</v>
      </c>
      <c r="J67" s="5" t="s">
        <v>2677</v>
      </c>
      <c r="K67" s="5"/>
      <c r="L67" s="5"/>
      <c r="M67" s="5"/>
      <c r="N67" s="5"/>
      <c r="O67" s="5"/>
      <c r="P67" s="5"/>
      <c r="Q67" s="5"/>
      <c r="R67" s="5"/>
      <c r="S67" s="5"/>
      <c r="T67" s="5"/>
      <c r="U67" s="5"/>
      <c r="V67" s="5"/>
      <c r="W67" s="5"/>
      <c r="X67" s="5"/>
      <c r="Y67" s="5"/>
      <c r="Z67" s="5"/>
      <c r="AA67" s="5"/>
      <c r="AB67" s="5"/>
      <c r="AC67" s="5"/>
      <c r="AD67" s="5"/>
    </row>
    <row r="68" hidden="1" outlineLevel="1">
      <c r="A68" s="5"/>
      <c r="B68" s="19">
        <v>1.5</v>
      </c>
      <c r="C68" s="5" t="s">
        <v>2909</v>
      </c>
      <c r="D68" s="69">
        <f t="shared" si="4"/>
        <v>1.5</v>
      </c>
      <c r="E68" s="112" t="str">
        <f>IF(COUNTIF(preDEL!$AI$2:$AI1821,D68)&gt;0,COUNTIF(preDEL!$AI$2:$AI1821,D68),IFERROR(0/0,""))</f>
        <v/>
      </c>
      <c r="F68" s="5"/>
      <c r="G68" s="5">
        <v>4.2</v>
      </c>
      <c r="H68" s="112" t="b">
        <f t="shared" si="5"/>
        <v>1</v>
      </c>
      <c r="I68" s="19">
        <v>2.12</v>
      </c>
      <c r="J68" s="5" t="s">
        <v>2681</v>
      </c>
      <c r="K68" s="5"/>
      <c r="L68" s="5"/>
      <c r="M68" s="5"/>
      <c r="N68" s="5"/>
      <c r="O68" s="5"/>
      <c r="P68" s="5"/>
      <c r="Q68" s="5"/>
      <c r="R68" s="5"/>
      <c r="S68" s="5"/>
      <c r="T68" s="5"/>
      <c r="U68" s="5"/>
      <c r="V68" s="5"/>
      <c r="W68" s="5"/>
      <c r="X68" s="5"/>
      <c r="Y68" s="5"/>
      <c r="Z68" s="5"/>
      <c r="AA68" s="5"/>
      <c r="AB68" s="5"/>
      <c r="AC68" s="5"/>
      <c r="AD68" s="5"/>
    </row>
    <row r="69" hidden="1" outlineLevel="1">
      <c r="A69" s="5"/>
      <c r="B69" s="19">
        <v>1.6</v>
      </c>
      <c r="C69" s="5" t="s">
        <v>2910</v>
      </c>
      <c r="D69" s="69">
        <f t="shared" si="4"/>
        <v>1.6</v>
      </c>
      <c r="E69" s="112" t="str">
        <f>IF(COUNTIF(preDEL!$AI$2:$AI1821,D69)&gt;0,COUNTIF(preDEL!$AI$2:$AI1821,D69),IFERROR(0/0,""))</f>
        <v/>
      </c>
      <c r="F69" s="5"/>
      <c r="G69" s="5">
        <v>7.0</v>
      </c>
      <c r="H69" s="112" t="b">
        <f t="shared" si="5"/>
        <v>1</v>
      </c>
      <c r="I69" s="19">
        <v>2.2</v>
      </c>
      <c r="J69" s="5" t="s">
        <v>2683</v>
      </c>
      <c r="K69" s="5"/>
      <c r="L69" s="5"/>
      <c r="M69" s="5"/>
      <c r="N69" s="5"/>
      <c r="O69" s="5"/>
      <c r="P69" s="5"/>
      <c r="Q69" s="5"/>
      <c r="R69" s="5"/>
      <c r="S69" s="5"/>
      <c r="T69" s="5"/>
      <c r="U69" s="5"/>
      <c r="V69" s="5"/>
      <c r="W69" s="5"/>
      <c r="X69" s="5"/>
      <c r="Y69" s="5"/>
      <c r="Z69" s="5"/>
      <c r="AA69" s="5"/>
      <c r="AB69" s="5"/>
      <c r="AC69" s="5"/>
      <c r="AD69" s="5"/>
    </row>
    <row r="70" hidden="1" outlineLevel="1">
      <c r="A70" s="5"/>
      <c r="B70" s="19">
        <v>4.0</v>
      </c>
      <c r="C70" s="3" t="s">
        <v>2911</v>
      </c>
      <c r="D70" s="69">
        <f t="shared" si="4"/>
        <v>4</v>
      </c>
      <c r="E70" s="112">
        <f>IF(COUNTIF(preDEL!$AI$2:$AI1821,D70)&gt;0,COUNTIF(preDEL!$AI$2:$AI1821,D70),IFERROR(0/0,""))</f>
        <v>4</v>
      </c>
      <c r="F70" s="422" t="s">
        <v>2884</v>
      </c>
      <c r="G70" s="5">
        <v>9.0</v>
      </c>
      <c r="H70" s="112" t="b">
        <f t="shared" si="5"/>
        <v>1</v>
      </c>
      <c r="I70" s="19">
        <v>3.0</v>
      </c>
      <c r="J70" s="5" t="s">
        <v>2685</v>
      </c>
      <c r="K70" s="5"/>
      <c r="L70" s="5"/>
      <c r="M70" s="5"/>
      <c r="N70" s="5"/>
      <c r="O70" s="5"/>
      <c r="P70" s="5"/>
      <c r="Q70" s="5"/>
      <c r="R70" s="5"/>
      <c r="S70" s="5"/>
      <c r="T70" s="5"/>
      <c r="U70" s="5"/>
      <c r="V70" s="5"/>
      <c r="W70" s="5"/>
      <c r="X70" s="5"/>
      <c r="Y70" s="5"/>
      <c r="Z70" s="5"/>
      <c r="AA70" s="5"/>
      <c r="AB70" s="5"/>
      <c r="AC70" s="5"/>
      <c r="AD70" s="5"/>
    </row>
    <row r="71" hidden="1" outlineLevel="1">
      <c r="A71" s="5"/>
      <c r="B71" s="19">
        <v>4.1</v>
      </c>
      <c r="C71" s="5" t="s">
        <v>2689</v>
      </c>
      <c r="D71" s="69">
        <f t="shared" si="4"/>
        <v>4.1</v>
      </c>
      <c r="E71" s="112" t="str">
        <f>IF(COUNTIF(preDEL!$AI$2:$AI1821,D71)&gt;0,COUNTIF(preDEL!$AI$2:$AI1821,D71),IFERROR(0/0,""))</f>
        <v/>
      </c>
      <c r="F71" s="5"/>
      <c r="G71" s="5"/>
      <c r="H71" s="112" t="str">
        <f t="shared" si="5"/>
        <v/>
      </c>
      <c r="I71" s="5"/>
      <c r="J71" s="5"/>
      <c r="K71" s="5"/>
      <c r="L71" s="5"/>
      <c r="M71" s="5"/>
      <c r="N71" s="5"/>
      <c r="O71" s="5"/>
      <c r="P71" s="5"/>
      <c r="Q71" s="5"/>
      <c r="R71" s="5"/>
      <c r="S71" s="5"/>
      <c r="T71" s="5"/>
      <c r="U71" s="5"/>
      <c r="V71" s="5"/>
      <c r="W71" s="5"/>
      <c r="X71" s="5"/>
      <c r="Y71" s="5"/>
      <c r="Z71" s="5"/>
      <c r="AA71" s="5"/>
      <c r="AB71" s="5"/>
      <c r="AC71" s="5"/>
      <c r="AD71" s="5"/>
    </row>
    <row r="72" hidden="1" outlineLevel="1">
      <c r="A72" s="5"/>
      <c r="B72" s="19">
        <v>4.2</v>
      </c>
      <c r="C72" s="3" t="s">
        <v>2691</v>
      </c>
      <c r="D72" s="69">
        <f t="shared" si="4"/>
        <v>4.2</v>
      </c>
      <c r="E72" s="112">
        <f>IF(COUNTIF(preDEL!$AI$2:$AI1821,D72)&gt;0,COUNTIF(preDEL!$AI$2:$AI1821,D72),IFERROR(0/0,""))</f>
        <v>3</v>
      </c>
      <c r="F72" s="5"/>
      <c r="G72" s="5"/>
      <c r="H72" s="112" t="str">
        <f t="shared" si="5"/>
        <v/>
      </c>
      <c r="I72" s="5"/>
      <c r="J72" s="5"/>
      <c r="K72" s="5"/>
      <c r="L72" s="5"/>
      <c r="M72" s="5"/>
      <c r="N72" s="5"/>
      <c r="O72" s="5"/>
      <c r="P72" s="5"/>
      <c r="Q72" s="5"/>
      <c r="R72" s="5"/>
      <c r="S72" s="5"/>
      <c r="T72" s="5"/>
      <c r="U72" s="5"/>
      <c r="V72" s="5"/>
      <c r="W72" s="5"/>
      <c r="X72" s="5"/>
      <c r="Y72" s="5"/>
      <c r="Z72" s="5"/>
      <c r="AA72" s="5"/>
      <c r="AB72" s="5"/>
      <c r="AC72" s="5"/>
      <c r="AD72" s="5"/>
    </row>
    <row r="73" hidden="1" outlineLevel="1">
      <c r="A73" s="5"/>
      <c r="B73" s="19">
        <v>4.3</v>
      </c>
      <c r="C73" s="3" t="s">
        <v>2912</v>
      </c>
      <c r="D73" s="69">
        <f t="shared" si="4"/>
        <v>4.3</v>
      </c>
      <c r="E73" s="112" t="str">
        <f>IF(COUNTIF(preDEL!$AI$2:$AI1821,D73)&gt;0,COUNTIF(preDEL!$AI$2:$AI1821,D73),IFERROR(0/0,""))</f>
        <v/>
      </c>
      <c r="F73" s="5"/>
      <c r="G73" s="5"/>
      <c r="H73" s="112" t="str">
        <f t="shared" si="5"/>
        <v/>
      </c>
      <c r="I73" s="5"/>
      <c r="J73" s="5"/>
      <c r="K73" s="5"/>
      <c r="L73" s="5"/>
      <c r="M73" s="5"/>
      <c r="N73" s="5"/>
      <c r="O73" s="5"/>
      <c r="P73" s="5"/>
      <c r="Q73" s="5"/>
      <c r="R73" s="5"/>
      <c r="S73" s="5"/>
      <c r="T73" s="5"/>
      <c r="U73" s="5"/>
      <c r="V73" s="5"/>
      <c r="W73" s="5"/>
      <c r="X73" s="5"/>
      <c r="Y73" s="5"/>
      <c r="Z73" s="5"/>
      <c r="AA73" s="5"/>
      <c r="AB73" s="5"/>
      <c r="AC73" s="5"/>
      <c r="AD73" s="5"/>
    </row>
    <row r="74" hidden="1" outlineLevel="1">
      <c r="A74" s="5"/>
      <c r="B74" s="19">
        <v>5.0</v>
      </c>
      <c r="C74" s="5" t="s">
        <v>2696</v>
      </c>
      <c r="D74" s="69">
        <f t="shared" si="4"/>
        <v>5</v>
      </c>
      <c r="E74" s="112" t="str">
        <f>IF(COUNTIF(preDEL!$AI$2:$AI1821,D74)&gt;0,COUNTIF(preDEL!$AI$2:$AI1821,D74),IFERROR(0/0,""))</f>
        <v/>
      </c>
      <c r="F74" s="422" t="s">
        <v>2913</v>
      </c>
      <c r="G74" s="5"/>
      <c r="H74" s="112" t="str">
        <f t="shared" si="5"/>
        <v/>
      </c>
      <c r="I74" s="5"/>
      <c r="J74" s="5"/>
      <c r="K74" s="5"/>
      <c r="L74" s="5"/>
      <c r="M74" s="5"/>
      <c r="N74" s="5"/>
      <c r="O74" s="5"/>
      <c r="P74" s="5"/>
      <c r="Q74" s="5"/>
      <c r="R74" s="5"/>
      <c r="S74" s="5"/>
      <c r="T74" s="5"/>
      <c r="U74" s="5"/>
      <c r="V74" s="5"/>
      <c r="W74" s="5"/>
      <c r="X74" s="5"/>
      <c r="Y74" s="5"/>
      <c r="Z74" s="5"/>
      <c r="AA74" s="5"/>
      <c r="AB74" s="5"/>
      <c r="AC74" s="5"/>
      <c r="AD74" s="5"/>
    </row>
    <row r="75" hidden="1" outlineLevel="1">
      <c r="A75" s="5"/>
      <c r="B75" s="19">
        <v>5.1</v>
      </c>
      <c r="C75" s="3" t="s">
        <v>2698</v>
      </c>
      <c r="D75" s="69">
        <f t="shared" si="4"/>
        <v>5.1</v>
      </c>
      <c r="E75" s="112" t="str">
        <f>IF(COUNTIF(preDEL!$AI$2:$AI1821,D75)&gt;0,COUNTIF(preDEL!$AI$2:$AI1821,D75),IFERROR(0/0,""))</f>
        <v/>
      </c>
      <c r="F75" s="422" t="s">
        <v>2914</v>
      </c>
      <c r="G75" s="3"/>
      <c r="H75" s="112" t="str">
        <f t="shared" si="5"/>
        <v/>
      </c>
      <c r="I75" s="5"/>
      <c r="J75" s="5"/>
      <c r="K75" s="5"/>
      <c r="L75" s="5"/>
      <c r="M75" s="5"/>
      <c r="N75" s="5"/>
      <c r="O75" s="5"/>
      <c r="P75" s="5"/>
      <c r="Q75" s="5"/>
      <c r="R75" s="5"/>
      <c r="S75" s="5"/>
      <c r="T75" s="5"/>
      <c r="U75" s="5"/>
      <c r="V75" s="5"/>
      <c r="W75" s="5"/>
      <c r="X75" s="5"/>
      <c r="Y75" s="5"/>
      <c r="Z75" s="5"/>
      <c r="AA75" s="5"/>
      <c r="AB75" s="5"/>
      <c r="AC75" s="5"/>
      <c r="AD75" s="5"/>
    </row>
    <row r="76" hidden="1" outlineLevel="1">
      <c r="A76" s="5"/>
      <c r="B76" s="19">
        <v>6.0</v>
      </c>
      <c r="C76" s="5" t="s">
        <v>2700</v>
      </c>
      <c r="D76" s="69">
        <f t="shared" si="4"/>
        <v>6</v>
      </c>
      <c r="E76" s="112" t="str">
        <f>IF(COUNTIF(preDEL!$AI$2:$AI1821,D76)&gt;0,COUNTIF(preDEL!$AI$2:$AI1821,D76),IFERROR(0/0,""))</f>
        <v/>
      </c>
      <c r="F76" s="5"/>
      <c r="G76" s="5"/>
      <c r="H76" s="112" t="str">
        <f t="shared" si="5"/>
        <v/>
      </c>
      <c r="I76" s="5"/>
      <c r="J76" s="5"/>
      <c r="K76" s="5"/>
      <c r="L76" s="5"/>
      <c r="M76" s="5"/>
      <c r="N76" s="5"/>
      <c r="O76" s="5"/>
      <c r="P76" s="5"/>
      <c r="Q76" s="5"/>
      <c r="R76" s="5"/>
      <c r="S76" s="5"/>
      <c r="T76" s="5"/>
      <c r="U76" s="5"/>
      <c r="V76" s="5"/>
      <c r="W76" s="5"/>
      <c r="X76" s="5"/>
      <c r="Y76" s="5"/>
      <c r="Z76" s="5"/>
      <c r="AA76" s="5"/>
      <c r="AB76" s="5"/>
      <c r="AC76" s="5"/>
      <c r="AD76" s="5"/>
    </row>
    <row r="77" hidden="1" outlineLevel="1">
      <c r="A77" s="5"/>
      <c r="B77" s="19">
        <v>6.1</v>
      </c>
      <c r="C77" s="5" t="s">
        <v>2915</v>
      </c>
      <c r="D77" s="69">
        <f t="shared" si="4"/>
        <v>6.1</v>
      </c>
      <c r="E77" s="112" t="str">
        <f>IF(COUNTIF(preDEL!$AI$2:$AI1821,D77)&gt;0,COUNTIF(preDEL!$AI$2:$AI1821,D77),IFERROR(0/0,""))</f>
        <v/>
      </c>
      <c r="F77" s="3"/>
      <c r="G77" s="5"/>
      <c r="H77" s="112" t="str">
        <f t="shared" si="5"/>
        <v/>
      </c>
      <c r="I77" s="5"/>
      <c r="J77" s="5"/>
      <c r="K77" s="5"/>
      <c r="L77" s="5"/>
      <c r="M77" s="5"/>
      <c r="N77" s="5"/>
      <c r="O77" s="5"/>
      <c r="P77" s="5"/>
      <c r="Q77" s="5"/>
      <c r="R77" s="5"/>
      <c r="S77" s="5"/>
      <c r="T77" s="5"/>
      <c r="U77" s="5"/>
      <c r="V77" s="5"/>
      <c r="W77" s="5"/>
      <c r="X77" s="5"/>
      <c r="Y77" s="5"/>
      <c r="Z77" s="5"/>
      <c r="AA77" s="5"/>
      <c r="AB77" s="5"/>
      <c r="AC77" s="5"/>
      <c r="AD77" s="5"/>
    </row>
    <row r="78" hidden="1" outlineLevel="1">
      <c r="A78" s="5"/>
      <c r="B78" s="19">
        <v>6.2</v>
      </c>
      <c r="C78" s="5" t="s">
        <v>2916</v>
      </c>
      <c r="D78" s="69">
        <f t="shared" si="4"/>
        <v>6.2</v>
      </c>
      <c r="E78" s="112" t="str">
        <f>IF(COUNTIF(preDEL!$AI$2:$AI1821,D78)&gt;0,COUNTIF(preDEL!$AI$2:$AI1821,D78),IFERROR(0/0,""))</f>
        <v/>
      </c>
      <c r="F78" s="5"/>
      <c r="G78" s="5"/>
      <c r="H78" s="112" t="str">
        <f t="shared" si="5"/>
        <v/>
      </c>
      <c r="I78" s="5"/>
      <c r="J78" s="5"/>
      <c r="K78" s="5"/>
      <c r="L78" s="5"/>
      <c r="M78" s="5"/>
      <c r="N78" s="5"/>
      <c r="O78" s="5"/>
      <c r="P78" s="5"/>
      <c r="Q78" s="5"/>
      <c r="R78" s="5"/>
      <c r="S78" s="5"/>
      <c r="T78" s="5"/>
      <c r="U78" s="5"/>
      <c r="V78" s="5"/>
      <c r="W78" s="5"/>
      <c r="X78" s="5"/>
      <c r="Y78" s="5"/>
      <c r="Z78" s="5"/>
      <c r="AA78" s="5"/>
      <c r="AB78" s="5"/>
      <c r="AC78" s="5"/>
      <c r="AD78" s="5"/>
    </row>
    <row r="79" hidden="1" outlineLevel="1">
      <c r="A79" s="5"/>
      <c r="B79" s="19">
        <v>6.3</v>
      </c>
      <c r="C79" s="5" t="s">
        <v>2917</v>
      </c>
      <c r="D79" s="69">
        <f t="shared" si="4"/>
        <v>6.3</v>
      </c>
      <c r="E79" s="112" t="str">
        <f>IF(COUNTIF(preDEL!$AI$2:$AI1821,D79)&gt;0,COUNTIF(preDEL!$AI$2:$AI1821,D79),IFERROR(0/0,""))</f>
        <v/>
      </c>
      <c r="F79" s="422" t="s">
        <v>2918</v>
      </c>
      <c r="G79" s="5"/>
      <c r="H79" s="112" t="str">
        <f t="shared" si="5"/>
        <v/>
      </c>
      <c r="I79" s="5"/>
      <c r="J79" s="5"/>
      <c r="K79" s="5"/>
      <c r="L79" s="5"/>
      <c r="M79" s="5"/>
      <c r="N79" s="5"/>
      <c r="O79" s="5"/>
      <c r="P79" s="5"/>
      <c r="Q79" s="5"/>
      <c r="R79" s="5"/>
      <c r="S79" s="5"/>
      <c r="T79" s="5"/>
      <c r="U79" s="5"/>
      <c r="V79" s="5"/>
      <c r="W79" s="5"/>
      <c r="X79" s="5"/>
      <c r="Y79" s="5"/>
      <c r="Z79" s="5"/>
      <c r="AA79" s="5"/>
      <c r="AB79" s="5"/>
      <c r="AC79" s="5"/>
      <c r="AD79" s="5"/>
    </row>
    <row r="80" hidden="1" outlineLevel="1">
      <c r="A80" s="5"/>
      <c r="B80" s="19">
        <v>7.0</v>
      </c>
      <c r="C80" s="5" t="s">
        <v>2919</v>
      </c>
      <c r="D80" s="69">
        <f t="shared" si="4"/>
        <v>7</v>
      </c>
      <c r="E80" s="112">
        <f>IF(COUNTIF(preDEL!$AI$2:$AI1821,D80)&gt;0,COUNTIF(preDEL!$AI$2:$AI1821,D80),IFERROR(0/0,""))</f>
        <v>2</v>
      </c>
      <c r="F80" s="422" t="s">
        <v>2918</v>
      </c>
      <c r="G80" s="5"/>
      <c r="H80" s="112" t="str">
        <f t="shared" si="5"/>
        <v/>
      </c>
      <c r="I80" s="5"/>
      <c r="J80" s="5"/>
      <c r="K80" s="5"/>
      <c r="L80" s="5"/>
      <c r="M80" s="5"/>
      <c r="N80" s="5"/>
      <c r="O80" s="5"/>
      <c r="P80" s="5"/>
      <c r="Q80" s="5"/>
      <c r="R80" s="5"/>
      <c r="S80" s="5"/>
      <c r="T80" s="5"/>
      <c r="U80" s="5"/>
      <c r="V80" s="5"/>
      <c r="W80" s="5"/>
      <c r="X80" s="5"/>
      <c r="Y80" s="5"/>
      <c r="Z80" s="5"/>
      <c r="AA80" s="5"/>
      <c r="AB80" s="5"/>
      <c r="AC80" s="5"/>
      <c r="AD80" s="5"/>
    </row>
    <row r="81" hidden="1" outlineLevel="1">
      <c r="A81" s="5"/>
      <c r="B81" s="19">
        <v>8.0</v>
      </c>
      <c r="C81" s="419" t="s">
        <v>2920</v>
      </c>
      <c r="D81" s="69">
        <f t="shared" si="4"/>
        <v>8</v>
      </c>
      <c r="E81" s="112" t="str">
        <f>IF(COUNTIF(preDEL!$AI$2:$AI1821,D81)&gt;0,COUNTIF(preDEL!$AI$2:$AI1821,D81),IFERROR(0/0,""))</f>
        <v/>
      </c>
      <c r="F81" s="5"/>
      <c r="G81" s="5"/>
      <c r="H81" s="112" t="str">
        <f t="shared" si="5"/>
        <v/>
      </c>
      <c r="I81" s="5"/>
      <c r="J81" s="5"/>
      <c r="K81" s="5"/>
      <c r="L81" s="5"/>
      <c r="M81" s="5"/>
      <c r="N81" s="5"/>
      <c r="O81" s="5"/>
      <c r="P81" s="5"/>
      <c r="Q81" s="5"/>
      <c r="R81" s="5"/>
      <c r="S81" s="5"/>
      <c r="T81" s="5"/>
      <c r="U81" s="5"/>
      <c r="V81" s="5"/>
      <c r="W81" s="5"/>
      <c r="X81" s="5"/>
      <c r="Y81" s="5"/>
      <c r="Z81" s="5"/>
      <c r="AA81" s="5"/>
      <c r="AB81" s="5"/>
      <c r="AC81" s="5"/>
      <c r="AD81" s="5"/>
    </row>
    <row r="82" hidden="1" outlineLevel="1">
      <c r="A82" s="5"/>
      <c r="B82" s="19">
        <v>9.0</v>
      </c>
      <c r="C82" s="419" t="s">
        <v>2921</v>
      </c>
      <c r="D82" s="69">
        <f t="shared" si="4"/>
        <v>9</v>
      </c>
      <c r="E82" s="112">
        <f>IF(COUNTIF(preDEL!$AI$2:$AI1821,D82)&gt;0,COUNTIF(preDEL!$AI$2:$AI1821,D82),IFERROR(0/0,""))</f>
        <v>1</v>
      </c>
      <c r="F82" s="5"/>
      <c r="G82" s="5"/>
      <c r="H82" s="112" t="str">
        <f t="shared" si="5"/>
        <v/>
      </c>
      <c r="I82" s="5"/>
      <c r="J82" s="5"/>
      <c r="K82" s="5"/>
      <c r="L82" s="5"/>
      <c r="M82" s="5"/>
      <c r="N82" s="5"/>
      <c r="O82" s="5"/>
      <c r="P82" s="5"/>
      <c r="Q82" s="5"/>
      <c r="R82" s="5"/>
      <c r="S82" s="5"/>
      <c r="T82" s="5"/>
      <c r="U82" s="5"/>
      <c r="V82" s="5"/>
      <c r="W82" s="5"/>
      <c r="X82" s="5"/>
      <c r="Y82" s="5"/>
      <c r="Z82" s="5"/>
      <c r="AA82" s="5"/>
      <c r="AB82" s="5"/>
      <c r="AC82" s="5"/>
      <c r="AD82" s="5"/>
    </row>
    <row r="83" hidden="1" outlineLevel="1">
      <c r="A83" s="5"/>
      <c r="B83" s="19">
        <v>10.0</v>
      </c>
      <c r="C83" s="5" t="s">
        <v>2922</v>
      </c>
      <c r="D83" s="69">
        <f t="shared" si="4"/>
        <v>10</v>
      </c>
      <c r="E83" s="112" t="str">
        <f>IF(COUNTIF(preDEL!$AI$2:$AI1821,D83)&gt;0,COUNTIF(preDEL!$AI$2:$AI1821,D83),IFERROR(0/0,""))</f>
        <v/>
      </c>
      <c r="F83" s="5"/>
      <c r="G83" s="5"/>
      <c r="H83" s="112" t="str">
        <f t="shared" si="5"/>
        <v/>
      </c>
      <c r="I83" s="5"/>
      <c r="J83" s="5"/>
      <c r="K83" s="5"/>
      <c r="L83" s="5"/>
      <c r="M83" s="5"/>
      <c r="N83" s="5"/>
      <c r="O83" s="5"/>
      <c r="P83" s="5"/>
      <c r="Q83" s="5"/>
      <c r="R83" s="5"/>
      <c r="S83" s="5"/>
      <c r="T83" s="5"/>
      <c r="U83" s="5"/>
      <c r="V83" s="5"/>
      <c r="W83" s="5"/>
      <c r="X83" s="5"/>
      <c r="Y83" s="5"/>
      <c r="Z83" s="5"/>
      <c r="AA83" s="5"/>
      <c r="AB83" s="5"/>
      <c r="AC83" s="5"/>
      <c r="AD83" s="5"/>
    </row>
    <row r="84" hidden="1" outlineLevel="1">
      <c r="A84" s="5"/>
      <c r="B84" s="5"/>
      <c r="C84" s="5"/>
      <c r="D84" s="112" t="str">
        <f t="shared" si="4"/>
        <v/>
      </c>
      <c r="E84" s="112" t="str">
        <f>IF(COUNTIF(preDEL!$AI$2:$AI1821,D84)&gt;0,COUNTIF(preDEL!$AI$2:$AI1821,D84),IFERROR(0/0,""))</f>
        <v/>
      </c>
      <c r="F84" s="5"/>
      <c r="G84" s="5"/>
      <c r="H84" s="112" t="str">
        <f t="shared" si="5"/>
        <v/>
      </c>
      <c r="I84" s="5"/>
      <c r="J84" s="5"/>
      <c r="K84" s="5"/>
      <c r="L84" s="5"/>
      <c r="M84" s="5"/>
      <c r="N84" s="5"/>
      <c r="O84" s="5"/>
      <c r="P84" s="5"/>
      <c r="Q84" s="5"/>
      <c r="R84" s="5"/>
      <c r="S84" s="5"/>
      <c r="T84" s="5"/>
      <c r="U84" s="5"/>
      <c r="V84" s="5"/>
      <c r="W84" s="5"/>
      <c r="X84" s="5"/>
      <c r="Y84" s="5"/>
      <c r="Z84" s="5"/>
      <c r="AA84" s="5"/>
      <c r="AB84" s="5"/>
      <c r="AC84" s="5"/>
      <c r="AD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collapsed="1">
      <c r="A86" s="5"/>
      <c r="B86" s="5"/>
      <c r="C86" s="415" t="s">
        <v>2923</v>
      </c>
      <c r="D86" s="416" t="s">
        <v>2874</v>
      </c>
      <c r="E86" s="421" t="str">
        <f>CONCATENATE("Count = ",SUM(E87:E94))</f>
        <v>Count = 5</v>
      </c>
      <c r="F86" s="5"/>
      <c r="G86" s="416" t="s">
        <v>2924</v>
      </c>
      <c r="H86" s="416" t="s">
        <v>2876</v>
      </c>
      <c r="I86" s="5"/>
      <c r="J86" s="5"/>
      <c r="K86" s="5"/>
      <c r="L86" s="5"/>
      <c r="M86" s="5"/>
      <c r="N86" s="5"/>
      <c r="O86" s="5"/>
      <c r="P86" s="5"/>
      <c r="Q86" s="5"/>
      <c r="R86" s="5"/>
      <c r="S86" s="5"/>
      <c r="T86" s="5"/>
      <c r="U86" s="5"/>
      <c r="V86" s="5"/>
      <c r="W86" s="5"/>
      <c r="X86" s="5"/>
      <c r="Y86" s="5"/>
      <c r="Z86" s="5"/>
      <c r="AA86" s="5"/>
      <c r="AB86" s="5"/>
      <c r="AC86" s="5"/>
      <c r="AD86" s="5"/>
    </row>
    <row r="87" hidden="1" outlineLevel="1">
      <c r="A87" s="5"/>
      <c r="B87" s="19">
        <v>2.0</v>
      </c>
      <c r="C87" s="5" t="s">
        <v>2925</v>
      </c>
      <c r="D87" s="69">
        <f t="shared" ref="D87:D94" si="6">B87</f>
        <v>2</v>
      </c>
      <c r="E87" s="112">
        <f>IF(COUNTIF(preDEL!$AJ$2:$AJ1821,D87)&gt;0,COUNTIF(preDEL!$AJ$2:$AJ1821,D87),IFERROR(0/0,""))</f>
        <v>5</v>
      </c>
      <c r="F87" s="5"/>
      <c r="G87" s="112">
        <f t="array" ref="G87:G91">SORT(UNIQUE(preDEL!$AJ$2:$AJ1821),1,TRUE)</f>
        <v>2</v>
      </c>
      <c r="H87" s="112" t="b">
        <f t="shared" ref="H87:H94" si="7">IF(COUNTIF(D$87:D$94,G87)=1,TRUE,IFERROR(0/0,""))</f>
        <v>1</v>
      </c>
      <c r="I87" s="5"/>
      <c r="J87" s="5"/>
      <c r="K87" s="5"/>
      <c r="L87" s="5"/>
      <c r="M87" s="5"/>
      <c r="N87" s="5"/>
      <c r="O87" s="5"/>
      <c r="P87" s="5"/>
      <c r="Q87" s="5"/>
      <c r="R87" s="5"/>
      <c r="S87" s="5"/>
      <c r="T87" s="5"/>
      <c r="U87" s="5"/>
      <c r="V87" s="5"/>
      <c r="W87" s="5"/>
      <c r="X87" s="5"/>
      <c r="Y87" s="5"/>
      <c r="Z87" s="5"/>
      <c r="AA87" s="5"/>
      <c r="AB87" s="5"/>
      <c r="AC87" s="5"/>
      <c r="AD87" s="5"/>
    </row>
    <row r="88" hidden="1" outlineLevel="1">
      <c r="A88" s="5"/>
      <c r="B88" s="19">
        <v>2.1</v>
      </c>
      <c r="C88" s="5" t="s">
        <v>2926</v>
      </c>
      <c r="D88" s="69">
        <f t="shared" si="6"/>
        <v>2.1</v>
      </c>
      <c r="E88" s="112" t="str">
        <f>IF(COUNTIF(preDEL!$AI$2:$AI1821,D88)&gt;0,COUNTIF(preDEL!$AI$2:$AI1821,D88),IFERROR(0/0,""))</f>
        <v/>
      </c>
      <c r="F88" s="423" t="s">
        <v>2927</v>
      </c>
      <c r="G88" s="5">
        <v>2.5</v>
      </c>
      <c r="H88" s="112" t="str">
        <f t="shared" si="7"/>
        <v/>
      </c>
      <c r="I88" s="5"/>
      <c r="J88" s="5"/>
      <c r="K88" s="5"/>
      <c r="L88" s="5"/>
      <c r="M88" s="5"/>
      <c r="N88" s="5"/>
      <c r="O88" s="5"/>
      <c r="P88" s="5"/>
      <c r="Q88" s="5"/>
      <c r="R88" s="5"/>
      <c r="S88" s="5"/>
      <c r="T88" s="5"/>
      <c r="U88" s="5"/>
      <c r="V88" s="5"/>
      <c r="W88" s="5"/>
      <c r="X88" s="5"/>
      <c r="Y88" s="5"/>
      <c r="Z88" s="5"/>
      <c r="AA88" s="5"/>
      <c r="AB88" s="5"/>
      <c r="AC88" s="5"/>
      <c r="AD88" s="5"/>
    </row>
    <row r="89" hidden="1" outlineLevel="1">
      <c r="A89" s="5"/>
      <c r="B89" s="19">
        <v>2.2</v>
      </c>
      <c r="C89" s="5" t="s">
        <v>2928</v>
      </c>
      <c r="D89" s="69">
        <f t="shared" si="6"/>
        <v>2.2</v>
      </c>
      <c r="E89" s="112" t="str">
        <f>IF(COUNTIF(preDEL!$AI$2:$AI1821,D89)&gt;0,COUNTIF(preDEL!$AI$2:$AI1821,D89),IFERROR(0/0,""))</f>
        <v/>
      </c>
      <c r="F89" s="5"/>
      <c r="G89" s="5">
        <v>2.7</v>
      </c>
      <c r="H89" s="112" t="str">
        <f t="shared" si="7"/>
        <v/>
      </c>
      <c r="I89" s="5"/>
      <c r="J89" s="5"/>
      <c r="K89" s="5"/>
      <c r="L89" s="5"/>
      <c r="M89" s="5"/>
      <c r="N89" s="5"/>
      <c r="O89" s="5"/>
      <c r="P89" s="5"/>
      <c r="Q89" s="5"/>
      <c r="R89" s="5"/>
      <c r="S89" s="5"/>
      <c r="T89" s="5"/>
      <c r="U89" s="5"/>
      <c r="V89" s="5"/>
      <c r="W89" s="5"/>
      <c r="X89" s="5"/>
      <c r="Y89" s="5"/>
      <c r="Z89" s="5"/>
      <c r="AA89" s="5"/>
      <c r="AB89" s="5"/>
      <c r="AC89" s="5"/>
      <c r="AD89" s="5"/>
    </row>
    <row r="90" hidden="1" outlineLevel="1">
      <c r="A90" s="5"/>
      <c r="B90" s="19">
        <v>3.1</v>
      </c>
      <c r="C90" s="5" t="s">
        <v>2929</v>
      </c>
      <c r="D90" s="69">
        <f t="shared" si="6"/>
        <v>3.1</v>
      </c>
      <c r="E90" s="112" t="str">
        <f>IF(COUNTIF(preDEL!$AI$2:$AI1821,D90)&gt;0,COUNTIF(preDEL!$AI$2:$AI1821,D90),IFERROR(0/0,""))</f>
        <v/>
      </c>
      <c r="F90" s="5"/>
      <c r="G90" s="5">
        <v>4.1</v>
      </c>
      <c r="H90" s="112" t="str">
        <f t="shared" si="7"/>
        <v/>
      </c>
      <c r="I90" s="5"/>
      <c r="J90" s="5"/>
      <c r="K90" s="5"/>
      <c r="L90" s="5"/>
      <c r="M90" s="5"/>
      <c r="N90" s="5"/>
      <c r="O90" s="5"/>
      <c r="P90" s="5"/>
      <c r="Q90" s="5"/>
      <c r="R90" s="5"/>
      <c r="S90" s="5"/>
      <c r="T90" s="5"/>
      <c r="U90" s="5"/>
      <c r="V90" s="5"/>
      <c r="W90" s="5"/>
      <c r="X90" s="5"/>
      <c r="Y90" s="5"/>
      <c r="Z90" s="5"/>
      <c r="AA90" s="5"/>
      <c r="AB90" s="5"/>
      <c r="AC90" s="5"/>
      <c r="AD90" s="5"/>
    </row>
    <row r="91" hidden="1" outlineLevel="1">
      <c r="A91" s="5"/>
      <c r="B91" s="5"/>
      <c r="C91" s="5"/>
      <c r="D91" s="112" t="str">
        <f t="shared" si="6"/>
        <v/>
      </c>
      <c r="E91" s="112" t="str">
        <f>IF(COUNTIF(preDEL!$AI$2:$AI1821,D91)&gt;0,COUNTIF(preDEL!$AI$2:$AI1821,D91),IFERROR(0/0,""))</f>
        <v/>
      </c>
      <c r="F91" s="5"/>
      <c r="G91" s="5"/>
      <c r="H91" s="112" t="str">
        <f t="shared" si="7"/>
        <v/>
      </c>
      <c r="I91" s="5"/>
      <c r="J91" s="5"/>
      <c r="K91" s="5"/>
      <c r="L91" s="5"/>
      <c r="M91" s="5"/>
      <c r="N91" s="5"/>
      <c r="O91" s="5"/>
      <c r="P91" s="5"/>
      <c r="Q91" s="5"/>
      <c r="R91" s="5"/>
      <c r="S91" s="5"/>
      <c r="T91" s="5"/>
      <c r="U91" s="5"/>
      <c r="V91" s="5"/>
      <c r="W91" s="5"/>
      <c r="X91" s="5"/>
      <c r="Y91" s="5"/>
      <c r="Z91" s="5"/>
      <c r="AA91" s="5"/>
      <c r="AB91" s="5"/>
      <c r="AC91" s="5"/>
      <c r="AD91" s="5"/>
    </row>
    <row r="92" hidden="1" outlineLevel="1">
      <c r="A92" s="5"/>
      <c r="B92" s="5"/>
      <c r="C92" s="5"/>
      <c r="D92" s="112" t="str">
        <f t="shared" si="6"/>
        <v/>
      </c>
      <c r="E92" s="112" t="str">
        <f>IF(COUNTIF(preDEL!$AI$2:$AI1821,D92)&gt;0,COUNTIF(preDEL!$AI$2:$AI1821,D92),IFERROR(0/0,""))</f>
        <v/>
      </c>
      <c r="F92" s="5"/>
      <c r="G92" s="5"/>
      <c r="H92" s="112" t="str">
        <f t="shared" si="7"/>
        <v/>
      </c>
      <c r="I92" s="5"/>
      <c r="J92" s="5"/>
      <c r="K92" s="5"/>
      <c r="L92" s="5"/>
      <c r="M92" s="5"/>
      <c r="N92" s="5"/>
      <c r="O92" s="5"/>
      <c r="P92" s="5"/>
      <c r="Q92" s="5"/>
      <c r="R92" s="5"/>
      <c r="S92" s="5"/>
      <c r="T92" s="5"/>
      <c r="U92" s="5"/>
      <c r="V92" s="5"/>
      <c r="W92" s="5"/>
      <c r="X92" s="5"/>
      <c r="Y92" s="5"/>
      <c r="Z92" s="5"/>
      <c r="AA92" s="5"/>
      <c r="AB92" s="5"/>
      <c r="AC92" s="5"/>
      <c r="AD92" s="5"/>
    </row>
    <row r="93" hidden="1" outlineLevel="1">
      <c r="A93" s="5"/>
      <c r="B93" s="5"/>
      <c r="C93" s="5"/>
      <c r="D93" s="112" t="str">
        <f t="shared" si="6"/>
        <v/>
      </c>
      <c r="E93" s="112" t="str">
        <f>IF(COUNTIF(preDEL!$AI$2:$AI1821,D93)&gt;0,COUNTIF(preDEL!$AI$2:$AI1821,D93),IFERROR(0/0,""))</f>
        <v/>
      </c>
      <c r="F93" s="5"/>
      <c r="G93" s="5"/>
      <c r="H93" s="112" t="str">
        <f t="shared" si="7"/>
        <v/>
      </c>
      <c r="I93" s="5"/>
      <c r="J93" s="5"/>
      <c r="K93" s="5"/>
      <c r="L93" s="5"/>
      <c r="M93" s="5"/>
      <c r="N93" s="5"/>
      <c r="O93" s="5"/>
      <c r="P93" s="5"/>
      <c r="Q93" s="5"/>
      <c r="R93" s="5"/>
      <c r="S93" s="5"/>
      <c r="T93" s="5"/>
      <c r="U93" s="5"/>
      <c r="V93" s="5"/>
      <c r="W93" s="5"/>
      <c r="X93" s="5"/>
      <c r="Y93" s="5"/>
      <c r="Z93" s="5"/>
      <c r="AA93" s="5"/>
      <c r="AB93" s="5"/>
      <c r="AC93" s="5"/>
      <c r="AD93" s="5"/>
    </row>
    <row r="94" hidden="1" outlineLevel="1">
      <c r="A94" s="5"/>
      <c r="B94" s="5"/>
      <c r="C94" s="5"/>
      <c r="D94" s="112" t="str">
        <f t="shared" si="6"/>
        <v/>
      </c>
      <c r="E94" s="112" t="str">
        <f>IF(COUNTIF(preDEL!$AI$2:$AI1821,D94)&gt;0,COUNTIF(preDEL!$AI$2:$AI1821,D94),IFERROR(0/0,""))</f>
        <v/>
      </c>
      <c r="F94" s="5"/>
      <c r="G94" s="5"/>
      <c r="H94" s="112" t="str">
        <f t="shared" si="7"/>
        <v/>
      </c>
      <c r="I94" s="5"/>
      <c r="J94" s="5"/>
      <c r="K94" s="5"/>
      <c r="L94" s="5"/>
      <c r="M94" s="5"/>
      <c r="N94" s="5"/>
      <c r="O94" s="5"/>
      <c r="P94" s="5"/>
      <c r="Q94" s="5"/>
      <c r="R94" s="5"/>
      <c r="S94" s="5"/>
      <c r="T94" s="5"/>
      <c r="U94" s="5"/>
      <c r="V94" s="5"/>
      <c r="W94" s="5"/>
      <c r="X94" s="5"/>
      <c r="Y94" s="5"/>
      <c r="Z94" s="5"/>
      <c r="AA94" s="5"/>
      <c r="AB94" s="5"/>
      <c r="AC94" s="5"/>
      <c r="AD94" s="5"/>
    </row>
    <row r="96">
      <c r="A96" s="424" t="s">
        <v>2930</v>
      </c>
      <c r="B96" s="424"/>
      <c r="C96" s="425"/>
      <c r="D96" s="426"/>
    </row>
    <row r="97">
      <c r="K97" s="427"/>
    </row>
    <row r="98">
      <c r="K98" s="427"/>
    </row>
    <row r="99">
      <c r="K99" s="427"/>
    </row>
    <row r="100">
      <c r="K100" s="427"/>
    </row>
    <row r="101">
      <c r="K101" s="427"/>
    </row>
    <row r="102">
      <c r="K102" s="427"/>
    </row>
    <row r="103">
      <c r="K103" s="427"/>
    </row>
    <row r="104">
      <c r="K104" s="427"/>
    </row>
    <row r="105">
      <c r="K105" s="427"/>
    </row>
    <row r="106">
      <c r="K106" s="427"/>
    </row>
    <row r="107">
      <c r="K107" s="427"/>
    </row>
    <row r="108">
      <c r="K108" s="427"/>
    </row>
    <row r="111">
      <c r="K111" s="427"/>
    </row>
    <row r="115">
      <c r="K115" s="427"/>
    </row>
    <row r="116">
      <c r="K116" s="427"/>
    </row>
    <row r="117">
      <c r="K117" s="427"/>
    </row>
    <row r="118">
      <c r="K118" s="427"/>
    </row>
    <row r="119">
      <c r="K119" s="427"/>
    </row>
    <row r="120">
      <c r="K120" s="427"/>
    </row>
    <row r="121">
      <c r="K121" s="427"/>
    </row>
    <row r="122">
      <c r="K122" s="427"/>
    </row>
    <row r="123">
      <c r="K123" s="427"/>
    </row>
    <row r="124">
      <c r="K124" s="427"/>
    </row>
    <row r="125">
      <c r="K125" s="427"/>
    </row>
    <row r="127">
      <c r="K127" s="427"/>
    </row>
    <row r="128">
      <c r="K128" s="427"/>
    </row>
    <row r="130">
      <c r="K130" s="427"/>
    </row>
    <row r="131">
      <c r="K131" s="427"/>
    </row>
    <row r="132">
      <c r="K132" s="427"/>
    </row>
    <row r="133">
      <c r="K133" s="427"/>
    </row>
    <row r="134">
      <c r="K134" s="427"/>
    </row>
    <row r="135">
      <c r="K135" s="427"/>
    </row>
    <row r="136">
      <c r="K136" s="427"/>
    </row>
    <row r="137">
      <c r="K137" s="427"/>
    </row>
    <row r="138">
      <c r="K138" s="427"/>
    </row>
    <row r="139">
      <c r="K139" s="427"/>
    </row>
    <row r="140">
      <c r="K140" s="427"/>
    </row>
    <row r="141">
      <c r="K141" s="427"/>
    </row>
    <row r="142">
      <c r="K142" s="427"/>
    </row>
    <row r="144">
      <c r="K144" s="427"/>
    </row>
    <row r="145">
      <c r="K145" s="427"/>
    </row>
    <row r="146">
      <c r="K146" s="427"/>
    </row>
    <row r="147">
      <c r="K147" s="427"/>
    </row>
    <row r="151">
      <c r="K151" s="427"/>
    </row>
    <row r="152">
      <c r="K152" s="427"/>
    </row>
    <row r="154">
      <c r="K154" s="427"/>
    </row>
    <row r="155">
      <c r="K155" s="427"/>
    </row>
    <row r="156">
      <c r="K156" s="427"/>
    </row>
    <row r="157">
      <c r="K157" s="427"/>
    </row>
    <row r="158">
      <c r="K158" s="427">
        <v>9.1</v>
      </c>
    </row>
    <row r="159">
      <c r="K159" s="427">
        <v>9.1</v>
      </c>
    </row>
    <row r="160">
      <c r="K160" s="427">
        <v>9.1</v>
      </c>
    </row>
    <row r="164">
      <c r="K164" s="427"/>
    </row>
    <row r="165">
      <c r="K165" s="427"/>
    </row>
    <row r="166">
      <c r="K166" s="427"/>
    </row>
    <row r="167">
      <c r="K167" s="427"/>
    </row>
    <row r="171">
      <c r="K171" s="427"/>
    </row>
    <row r="172">
      <c r="K172" s="427"/>
    </row>
    <row r="173">
      <c r="K173" s="427"/>
    </row>
    <row r="174">
      <c r="K174" s="427"/>
    </row>
    <row r="175">
      <c r="K175" s="427"/>
    </row>
    <row r="179">
      <c r="K179" s="427"/>
    </row>
    <row r="180">
      <c r="K180" s="427"/>
    </row>
    <row r="181">
      <c r="K181" s="427"/>
    </row>
    <row r="182">
      <c r="K182" s="427"/>
    </row>
    <row r="183">
      <c r="K183" s="427"/>
    </row>
    <row r="184">
      <c r="K184" s="427"/>
    </row>
    <row r="185">
      <c r="K185" s="427"/>
    </row>
    <row r="186">
      <c r="K186" s="427"/>
    </row>
    <row r="187">
      <c r="K187" s="427"/>
    </row>
    <row r="188">
      <c r="K188" s="427"/>
    </row>
    <row r="189">
      <c r="K189" s="427"/>
    </row>
    <row r="190">
      <c r="K190" s="427"/>
    </row>
    <row r="191">
      <c r="K191" s="427"/>
    </row>
    <row r="192">
      <c r="K192" s="427"/>
    </row>
    <row r="193">
      <c r="K193" s="427"/>
    </row>
    <row r="194">
      <c r="K194" s="427"/>
    </row>
    <row r="195">
      <c r="K195" s="427"/>
    </row>
    <row r="197">
      <c r="K197" s="427"/>
    </row>
    <row r="198">
      <c r="K198" s="427"/>
    </row>
    <row r="199">
      <c r="K199" s="427"/>
    </row>
    <row r="200">
      <c r="K200" s="427"/>
    </row>
    <row r="201">
      <c r="K201" s="427"/>
    </row>
    <row r="202">
      <c r="K202" s="427"/>
    </row>
    <row r="203">
      <c r="K203" s="427"/>
    </row>
    <row r="204">
      <c r="K204" s="427"/>
    </row>
    <row r="205">
      <c r="K205" s="427"/>
    </row>
    <row r="206">
      <c r="K206" s="427"/>
    </row>
    <row r="207">
      <c r="K207" s="427"/>
    </row>
    <row r="208">
      <c r="K208" s="427"/>
    </row>
    <row r="209">
      <c r="K209" s="427"/>
    </row>
    <row r="210">
      <c r="K210" s="427"/>
    </row>
    <row r="211">
      <c r="K211" s="427"/>
    </row>
    <row r="212">
      <c r="K212" s="427"/>
    </row>
    <row r="213">
      <c r="K213" s="427"/>
    </row>
    <row r="214">
      <c r="K214" s="427"/>
    </row>
    <row r="215">
      <c r="K215" s="427"/>
    </row>
    <row r="216">
      <c r="K216" s="427"/>
    </row>
    <row r="217">
      <c r="K217" s="427"/>
    </row>
    <row r="221">
      <c r="K221" s="427">
        <v>9.1</v>
      </c>
    </row>
    <row r="222">
      <c r="K222" s="427">
        <v>9.1</v>
      </c>
    </row>
    <row r="223">
      <c r="K223" s="427">
        <v>9.1</v>
      </c>
    </row>
    <row r="224">
      <c r="K224" s="427"/>
    </row>
    <row r="225">
      <c r="K225" s="427"/>
    </row>
    <row r="226">
      <c r="K226" s="427"/>
    </row>
    <row r="227">
      <c r="K227" s="427"/>
    </row>
    <row r="228">
      <c r="K228" s="427"/>
    </row>
    <row r="229">
      <c r="K229" s="427"/>
    </row>
    <row r="233">
      <c r="K233" s="427"/>
    </row>
    <row r="234">
      <c r="K234" s="427"/>
    </row>
    <row r="235">
      <c r="K235" s="427"/>
    </row>
    <row r="236">
      <c r="K236" s="427"/>
    </row>
    <row r="237">
      <c r="K237" s="427"/>
    </row>
    <row r="241">
      <c r="K241" s="427"/>
    </row>
    <row r="242">
      <c r="K242" s="427"/>
    </row>
    <row r="243">
      <c r="K243" s="427"/>
    </row>
    <row r="244">
      <c r="K244" s="427"/>
    </row>
    <row r="245">
      <c r="K245" s="427"/>
    </row>
    <row r="246">
      <c r="K246" s="427"/>
    </row>
    <row r="247">
      <c r="K247" s="427"/>
    </row>
    <row r="248">
      <c r="K248" s="427"/>
    </row>
    <row r="249">
      <c r="K249" s="427"/>
    </row>
    <row r="250">
      <c r="K250" s="427"/>
    </row>
    <row r="251">
      <c r="K251" s="427"/>
    </row>
    <row r="255">
      <c r="K255" s="427"/>
    </row>
    <row r="256">
      <c r="K256" s="427"/>
    </row>
    <row r="259">
      <c r="K259" s="427"/>
    </row>
    <row r="260">
      <c r="K260" s="427"/>
    </row>
    <row r="261">
      <c r="K261" s="427"/>
    </row>
    <row r="262">
      <c r="K262" s="427"/>
    </row>
    <row r="263">
      <c r="K263" s="427"/>
    </row>
    <row r="264">
      <c r="K264" s="427"/>
    </row>
    <row r="265">
      <c r="K265" s="427"/>
    </row>
    <row r="266">
      <c r="K266" s="427"/>
    </row>
    <row r="267">
      <c r="K267" s="427"/>
    </row>
    <row r="268">
      <c r="K268" s="427"/>
    </row>
    <row r="269">
      <c r="K269" s="427"/>
    </row>
    <row r="270">
      <c r="K270" s="427"/>
    </row>
    <row r="271">
      <c r="K271" s="427"/>
    </row>
    <row r="272">
      <c r="K272" s="427"/>
    </row>
    <row r="273">
      <c r="K273" s="427"/>
    </row>
    <row r="276">
      <c r="K276" s="427"/>
    </row>
    <row r="277">
      <c r="K277" s="427"/>
    </row>
    <row r="278">
      <c r="K278" s="427"/>
    </row>
    <row r="279">
      <c r="K279" s="427"/>
    </row>
    <row r="280">
      <c r="K280" s="427"/>
    </row>
    <row r="281">
      <c r="K281" s="427"/>
    </row>
    <row r="282">
      <c r="K282" s="427"/>
    </row>
    <row r="283">
      <c r="K283" s="427"/>
    </row>
    <row r="284">
      <c r="K284" s="427"/>
    </row>
    <row r="285">
      <c r="K285" s="427"/>
    </row>
    <row r="286">
      <c r="K286" s="427"/>
    </row>
    <row r="287">
      <c r="K287" s="427"/>
    </row>
    <row r="288">
      <c r="K288" s="427"/>
    </row>
    <row r="289">
      <c r="K289" s="427"/>
    </row>
    <row r="290">
      <c r="K290" s="427"/>
    </row>
    <row r="291">
      <c r="K291" s="427"/>
    </row>
    <row r="292">
      <c r="K292" s="427"/>
    </row>
    <row r="293">
      <c r="K293" s="427"/>
    </row>
    <row r="294">
      <c r="K294" s="427"/>
    </row>
    <row r="295">
      <c r="K295" s="427"/>
    </row>
    <row r="296">
      <c r="K296" s="427"/>
    </row>
    <row r="297">
      <c r="K297" s="427"/>
    </row>
    <row r="298">
      <c r="K298" s="427"/>
    </row>
    <row r="299">
      <c r="K299" s="427"/>
    </row>
    <row r="300">
      <c r="K300" s="427"/>
    </row>
    <row r="301">
      <c r="K301" s="427"/>
    </row>
    <row r="302">
      <c r="K302" s="427"/>
    </row>
    <row r="303">
      <c r="K303" s="427"/>
    </row>
    <row r="304">
      <c r="K304" s="427"/>
    </row>
    <row r="305">
      <c r="K305" s="427"/>
    </row>
    <row r="306">
      <c r="K306" s="427"/>
    </row>
    <row r="307">
      <c r="K307" s="427"/>
    </row>
    <row r="308">
      <c r="K308" s="427"/>
    </row>
    <row r="309">
      <c r="K309" s="427"/>
    </row>
    <row r="310">
      <c r="K310" s="427"/>
    </row>
    <row r="311">
      <c r="K311" s="427"/>
    </row>
    <row r="312">
      <c r="K312" s="427"/>
    </row>
    <row r="313">
      <c r="K313" s="427"/>
    </row>
    <row r="314">
      <c r="K314" s="427"/>
    </row>
    <row r="315">
      <c r="K315" s="427"/>
    </row>
    <row r="316">
      <c r="K316" s="427"/>
    </row>
    <row r="317">
      <c r="K317" s="427"/>
    </row>
    <row r="320">
      <c r="K320" s="427"/>
    </row>
    <row r="321">
      <c r="K321" s="427"/>
    </row>
    <row r="325">
      <c r="K325" s="427"/>
    </row>
    <row r="326">
      <c r="K326" s="427"/>
    </row>
    <row r="327">
      <c r="K327" s="427"/>
    </row>
    <row r="328">
      <c r="K328" s="427"/>
    </row>
    <row r="329">
      <c r="K329" s="427"/>
    </row>
    <row r="330">
      <c r="K330" s="427"/>
    </row>
    <row r="331">
      <c r="K331" s="427"/>
    </row>
    <row r="332">
      <c r="K332" s="427"/>
    </row>
    <row r="333">
      <c r="K333" s="427">
        <v>9.2</v>
      </c>
    </row>
    <row r="334">
      <c r="K334" s="427"/>
    </row>
    <row r="335">
      <c r="K335" s="427"/>
    </row>
    <row r="336">
      <c r="K336" s="427"/>
    </row>
    <row r="337">
      <c r="K337" s="427"/>
    </row>
    <row r="338">
      <c r="K338" s="427"/>
    </row>
    <row r="339">
      <c r="K339" s="427">
        <v>9.3</v>
      </c>
    </row>
    <row r="340">
      <c r="K340" s="427">
        <v>9.3</v>
      </c>
    </row>
    <row r="342">
      <c r="K342" s="427"/>
    </row>
    <row r="343">
      <c r="K343" s="427"/>
    </row>
    <row r="344">
      <c r="K344" s="427"/>
    </row>
    <row r="345">
      <c r="K345" s="427">
        <v>9.1</v>
      </c>
    </row>
    <row r="346">
      <c r="K346" s="427">
        <v>9.1</v>
      </c>
    </row>
    <row r="347">
      <c r="K347" s="427">
        <v>9.1</v>
      </c>
    </row>
    <row r="348">
      <c r="K348" s="427"/>
    </row>
    <row r="349">
      <c r="K349" s="427"/>
    </row>
    <row r="350">
      <c r="K350" s="427"/>
    </row>
    <row r="351">
      <c r="K351" s="427"/>
    </row>
    <row r="354">
      <c r="K354" s="427"/>
    </row>
    <row r="355">
      <c r="K355" s="427"/>
    </row>
    <row r="356">
      <c r="K356" s="427"/>
    </row>
    <row r="357">
      <c r="K357" s="427"/>
    </row>
    <row r="358">
      <c r="K358" s="427"/>
    </row>
    <row r="359">
      <c r="K359" s="427"/>
    </row>
    <row r="360">
      <c r="K360" s="427"/>
    </row>
    <row r="362">
      <c r="K362" s="427"/>
    </row>
    <row r="363">
      <c r="K363" s="427"/>
    </row>
    <row r="364">
      <c r="K364" s="427"/>
    </row>
    <row r="365">
      <c r="K365" s="427"/>
    </row>
    <row r="366">
      <c r="K366" s="427"/>
    </row>
    <row r="367">
      <c r="K367" s="427"/>
    </row>
    <row r="368">
      <c r="K368" s="427"/>
    </row>
    <row r="369">
      <c r="K369" s="427"/>
    </row>
    <row r="370">
      <c r="K370" s="427"/>
    </row>
    <row r="371">
      <c r="K371" s="427"/>
    </row>
    <row r="373">
      <c r="K373" s="427"/>
    </row>
    <row r="374">
      <c r="K374" s="427"/>
    </row>
    <row r="375">
      <c r="K375" s="427"/>
    </row>
    <row r="376">
      <c r="K376" s="427"/>
    </row>
    <row r="377">
      <c r="K377" s="427"/>
    </row>
    <row r="378">
      <c r="K378" s="427"/>
    </row>
    <row r="379">
      <c r="K379" s="427"/>
    </row>
    <row r="380">
      <c r="K380" s="427"/>
    </row>
    <row r="381">
      <c r="K381" s="427"/>
    </row>
    <row r="382">
      <c r="K382" s="427"/>
    </row>
    <row r="383">
      <c r="K383" s="427"/>
    </row>
    <row r="385">
      <c r="K385" s="427"/>
    </row>
    <row r="387">
      <c r="K387" s="427"/>
    </row>
    <row r="388">
      <c r="K388" s="427"/>
    </row>
    <row r="390">
      <c r="K390" s="427"/>
    </row>
    <row r="391">
      <c r="K391" s="427"/>
    </row>
    <row r="392">
      <c r="K392" s="427"/>
    </row>
    <row r="393">
      <c r="K393" s="427"/>
    </row>
    <row r="394">
      <c r="K394" s="427"/>
    </row>
    <row r="395">
      <c r="K395" s="427"/>
    </row>
    <row r="396">
      <c r="K396" s="427"/>
    </row>
    <row r="397">
      <c r="K397" s="427"/>
    </row>
    <row r="398">
      <c r="K398" s="427"/>
    </row>
    <row r="399">
      <c r="K399" s="427"/>
    </row>
    <row r="400">
      <c r="K400" s="427"/>
    </row>
    <row r="401">
      <c r="K401" s="427"/>
    </row>
    <row r="402">
      <c r="K402" s="427"/>
    </row>
    <row r="403">
      <c r="K403" s="427"/>
    </row>
    <row r="404">
      <c r="K404" s="427"/>
    </row>
    <row r="405">
      <c r="K405" s="427"/>
    </row>
    <row r="406">
      <c r="K406" s="427"/>
    </row>
    <row r="407">
      <c r="K407" s="427"/>
    </row>
    <row r="408">
      <c r="K408" s="427"/>
    </row>
    <row r="409">
      <c r="K409" s="427"/>
    </row>
    <row r="410">
      <c r="K410" s="427"/>
    </row>
    <row r="411">
      <c r="K411" s="427"/>
    </row>
    <row r="412">
      <c r="K412" s="427"/>
    </row>
    <row r="413">
      <c r="K413" s="427"/>
    </row>
    <row r="414">
      <c r="K414" s="427"/>
    </row>
    <row r="415">
      <c r="K415" s="427"/>
    </row>
    <row r="416">
      <c r="K416" s="427"/>
    </row>
    <row r="417">
      <c r="K417" s="427"/>
    </row>
    <row r="418">
      <c r="K418" s="427"/>
    </row>
    <row r="419">
      <c r="K419" s="427"/>
    </row>
    <row r="420">
      <c r="K420" s="427"/>
    </row>
    <row r="421">
      <c r="K421" s="427"/>
    </row>
    <row r="422">
      <c r="K422" s="427">
        <v>9.1</v>
      </c>
    </row>
    <row r="423">
      <c r="K423" s="427">
        <v>9.1</v>
      </c>
    </row>
    <row r="424">
      <c r="K424" s="427"/>
    </row>
    <row r="425">
      <c r="K425" s="427"/>
    </row>
    <row r="426">
      <c r="K426" s="427"/>
    </row>
    <row r="427">
      <c r="K427" s="427"/>
    </row>
    <row r="428">
      <c r="K428" s="427"/>
    </row>
    <row r="429">
      <c r="K429" s="427"/>
    </row>
    <row r="430">
      <c r="K430" s="427"/>
    </row>
    <row r="431">
      <c r="K431" s="427"/>
    </row>
    <row r="434">
      <c r="K434" s="427"/>
    </row>
    <row r="435">
      <c r="K435" s="427"/>
    </row>
    <row r="436">
      <c r="K436" s="427"/>
    </row>
    <row r="439">
      <c r="K439" s="427"/>
    </row>
    <row r="440">
      <c r="K440" s="427"/>
    </row>
    <row r="441">
      <c r="K441" s="427"/>
    </row>
    <row r="442">
      <c r="K442" s="427"/>
    </row>
    <row r="443">
      <c r="K443" s="427"/>
    </row>
    <row r="444">
      <c r="K444" s="427"/>
    </row>
    <row r="445">
      <c r="K445" s="427"/>
    </row>
    <row r="446">
      <c r="K446" s="427"/>
    </row>
    <row r="447">
      <c r="K447" s="427"/>
    </row>
    <row r="448">
      <c r="K448" s="427"/>
    </row>
    <row r="449">
      <c r="K449" s="427"/>
    </row>
    <row r="450">
      <c r="K450" s="427"/>
    </row>
    <row r="451">
      <c r="K451" s="427"/>
    </row>
    <row r="452">
      <c r="K452" s="427"/>
    </row>
    <row r="453">
      <c r="K453" s="427"/>
    </row>
    <row r="454">
      <c r="K454" s="427"/>
    </row>
    <row r="455">
      <c r="K455" s="427"/>
    </row>
    <row r="456">
      <c r="K456" s="427"/>
    </row>
    <row r="457">
      <c r="K457" s="427"/>
    </row>
    <row r="459">
      <c r="K459" s="427"/>
    </row>
    <row r="460">
      <c r="K460" s="427"/>
    </row>
    <row r="461">
      <c r="K461" s="427"/>
    </row>
    <row r="462">
      <c r="K462" s="427"/>
    </row>
    <row r="464">
      <c r="K464" s="427"/>
    </row>
    <row r="465">
      <c r="K465" s="427"/>
    </row>
    <row r="466">
      <c r="K466" s="427"/>
    </row>
    <row r="467">
      <c r="K467" s="427"/>
    </row>
    <row r="468">
      <c r="K468" s="427"/>
    </row>
    <row r="471">
      <c r="K471" s="427"/>
    </row>
    <row r="472">
      <c r="K472" s="427"/>
    </row>
    <row r="475">
      <c r="K475" s="427"/>
    </row>
    <row r="476">
      <c r="K476" s="427"/>
    </row>
    <row r="477">
      <c r="K477" s="427"/>
    </row>
    <row r="478">
      <c r="K478" s="427"/>
    </row>
    <row r="479">
      <c r="K479" s="427"/>
    </row>
    <row r="480">
      <c r="K480" s="427"/>
    </row>
    <row r="481">
      <c r="K481" s="427"/>
    </row>
    <row r="482">
      <c r="K482" s="427"/>
    </row>
    <row r="483">
      <c r="K483" s="427"/>
    </row>
    <row r="484">
      <c r="K484" s="427"/>
    </row>
    <row r="488">
      <c r="K488" s="427"/>
    </row>
    <row r="489">
      <c r="K489" s="427"/>
    </row>
    <row r="490">
      <c r="K490" s="427"/>
    </row>
    <row r="495">
      <c r="K495" s="427"/>
    </row>
    <row r="496">
      <c r="K496" s="427"/>
    </row>
    <row r="497">
      <c r="K497" s="427"/>
    </row>
    <row r="498">
      <c r="K498" s="427"/>
    </row>
    <row r="499">
      <c r="K499" s="427"/>
    </row>
    <row r="500">
      <c r="K500" s="427"/>
    </row>
    <row r="501">
      <c r="K501" s="427"/>
    </row>
    <row r="503">
      <c r="K503" s="427"/>
    </row>
    <row r="505">
      <c r="K505" s="427"/>
    </row>
    <row r="506">
      <c r="K506" s="427"/>
    </row>
    <row r="507">
      <c r="K507" s="427"/>
    </row>
    <row r="508">
      <c r="K508" s="427"/>
    </row>
    <row r="509">
      <c r="K509" s="427"/>
    </row>
    <row r="510">
      <c r="K510" s="427"/>
    </row>
    <row r="513">
      <c r="K513" s="427"/>
    </row>
    <row r="514">
      <c r="K514" s="427"/>
    </row>
    <row r="515">
      <c r="K515" s="427"/>
    </row>
    <row r="516">
      <c r="K516" s="427"/>
    </row>
    <row r="518">
      <c r="K518" s="427"/>
    </row>
    <row r="519">
      <c r="K519" s="427"/>
    </row>
    <row r="520">
      <c r="K520" s="427"/>
    </row>
    <row r="521">
      <c r="K521" s="427"/>
    </row>
    <row r="522">
      <c r="K522" s="427"/>
    </row>
    <row r="523">
      <c r="K523" s="427"/>
    </row>
    <row r="524">
      <c r="K524" s="427"/>
    </row>
    <row r="525">
      <c r="K525" s="427"/>
    </row>
    <row r="526">
      <c r="K526" s="427"/>
    </row>
    <row r="527">
      <c r="K527" s="427"/>
    </row>
    <row r="528">
      <c r="K528" s="427"/>
    </row>
    <row r="529">
      <c r="K529" s="427"/>
    </row>
    <row r="530">
      <c r="K530" s="427"/>
    </row>
    <row r="531">
      <c r="K531" s="427"/>
    </row>
    <row r="532">
      <c r="K532" s="427">
        <v>1.0</v>
      </c>
    </row>
    <row r="533">
      <c r="K533" s="427"/>
    </row>
    <row r="534">
      <c r="K534" s="427"/>
    </row>
    <row r="536">
      <c r="K536" s="427"/>
    </row>
    <row r="537">
      <c r="K537" s="427"/>
    </row>
    <row r="538">
      <c r="K538" s="427"/>
    </row>
    <row r="539">
      <c r="K539" s="427"/>
    </row>
    <row r="540">
      <c r="K540" s="427"/>
    </row>
    <row r="541">
      <c r="K541" s="427"/>
    </row>
    <row r="542">
      <c r="K542" s="427"/>
    </row>
    <row r="543">
      <c r="K543" s="427"/>
    </row>
    <row r="544">
      <c r="K544" s="427"/>
    </row>
    <row r="545">
      <c r="K545" s="427"/>
    </row>
    <row r="546">
      <c r="K546" s="427"/>
    </row>
    <row r="547">
      <c r="K547" s="427"/>
    </row>
    <row r="548">
      <c r="K548" s="427"/>
    </row>
    <row r="549">
      <c r="K549" s="427"/>
    </row>
    <row r="550">
      <c r="K550" s="427"/>
    </row>
    <row r="553">
      <c r="K553" s="427"/>
    </row>
    <row r="554">
      <c r="K554" s="427"/>
    </row>
    <row r="555">
      <c r="K555" s="427"/>
    </row>
    <row r="556">
      <c r="K556" s="427"/>
    </row>
    <row r="557">
      <c r="K557" s="427"/>
    </row>
    <row r="558">
      <c r="K558" s="427"/>
    </row>
    <row r="559">
      <c r="K559" s="427"/>
    </row>
    <row r="561">
      <c r="K561" s="427"/>
    </row>
    <row r="563">
      <c r="K563" s="427"/>
    </row>
    <row r="564">
      <c r="K564" s="427"/>
    </row>
    <row r="565">
      <c r="K565" s="427"/>
    </row>
    <row r="566">
      <c r="K566" s="427"/>
    </row>
    <row r="567">
      <c r="K567" s="427"/>
    </row>
    <row r="568">
      <c r="K568" s="427"/>
    </row>
    <row r="569">
      <c r="K569" s="427"/>
    </row>
    <row r="570">
      <c r="K570" s="427"/>
    </row>
    <row r="572">
      <c r="K572" s="427"/>
    </row>
    <row r="573">
      <c r="K573" s="427"/>
    </row>
    <row r="574">
      <c r="K574" s="427"/>
    </row>
    <row r="575">
      <c r="K575" s="427"/>
    </row>
    <row r="576">
      <c r="K576" s="427"/>
    </row>
    <row r="577">
      <c r="K577" s="427"/>
    </row>
    <row r="578">
      <c r="K578" s="427"/>
    </row>
    <row r="580">
      <c r="K580" s="427"/>
    </row>
    <row r="582">
      <c r="K582" s="427"/>
    </row>
    <row r="583">
      <c r="K583" s="427"/>
    </row>
    <row r="584">
      <c r="K584" s="427"/>
    </row>
    <row r="585">
      <c r="K585" s="427"/>
    </row>
    <row r="586">
      <c r="K586" s="427"/>
    </row>
    <row r="588">
      <c r="K588" s="427"/>
    </row>
    <row r="589">
      <c r="K589" s="427"/>
    </row>
    <row r="590">
      <c r="K590" s="427"/>
    </row>
    <row r="591">
      <c r="K591" s="427"/>
    </row>
    <row r="592">
      <c r="K592" s="427"/>
    </row>
    <row r="593">
      <c r="K593" s="427"/>
    </row>
    <row r="594">
      <c r="K594" s="427"/>
    </row>
    <row r="595">
      <c r="K595" s="427"/>
    </row>
    <row r="596">
      <c r="K596" s="427"/>
    </row>
    <row r="597">
      <c r="K597" s="427"/>
    </row>
    <row r="598">
      <c r="K598" s="427"/>
    </row>
    <row r="599">
      <c r="K599" s="427"/>
    </row>
    <row r="600">
      <c r="K600" s="427"/>
    </row>
    <row r="601">
      <c r="K601" s="427"/>
    </row>
    <row r="602">
      <c r="K602" s="427"/>
    </row>
    <row r="603">
      <c r="K603" s="427"/>
    </row>
    <row r="605">
      <c r="K605" s="427"/>
    </row>
    <row r="606">
      <c r="K606" s="427"/>
    </row>
    <row r="607">
      <c r="K607" s="427"/>
    </row>
    <row r="610">
      <c r="K610" s="427"/>
    </row>
    <row r="612">
      <c r="K612" s="427"/>
    </row>
    <row r="613">
      <c r="K613" s="427"/>
    </row>
    <row r="614">
      <c r="K614" s="427"/>
    </row>
    <row r="615">
      <c r="K615" s="427"/>
    </row>
    <row r="616">
      <c r="K616" s="427"/>
    </row>
    <row r="617">
      <c r="K617" s="427"/>
    </row>
    <row r="619">
      <c r="K619" s="427"/>
    </row>
    <row r="620">
      <c r="K620" s="427"/>
    </row>
    <row r="621">
      <c r="K621" s="427"/>
    </row>
    <row r="622">
      <c r="K622" s="427"/>
    </row>
    <row r="623">
      <c r="K623" s="427"/>
    </row>
    <row r="624">
      <c r="K624" s="427"/>
    </row>
    <row r="626">
      <c r="K626" s="427"/>
    </row>
    <row r="627">
      <c r="K627" s="427"/>
    </row>
    <row r="628">
      <c r="K628" s="427"/>
    </row>
    <row r="629">
      <c r="K629" s="427"/>
    </row>
    <row r="631">
      <c r="K631" s="427"/>
    </row>
    <row r="633">
      <c r="K633" s="427"/>
    </row>
    <row r="637">
      <c r="K637" s="427"/>
    </row>
    <row r="638">
      <c r="K638" s="427"/>
    </row>
    <row r="639">
      <c r="K639" s="427"/>
    </row>
    <row r="640">
      <c r="K640" s="427">
        <v>9.1</v>
      </c>
    </row>
    <row r="642">
      <c r="K642" s="427"/>
    </row>
    <row r="646">
      <c r="K646" s="427"/>
    </row>
    <row r="647">
      <c r="K647" s="427"/>
    </row>
    <row r="648">
      <c r="K648" s="427"/>
    </row>
    <row r="649">
      <c r="K649" s="427"/>
    </row>
    <row r="651">
      <c r="K651" s="427"/>
    </row>
    <row r="652">
      <c r="K652" s="427"/>
    </row>
    <row r="653">
      <c r="K653" s="427"/>
    </row>
    <row r="654">
      <c r="K654" s="427"/>
    </row>
    <row r="655">
      <c r="K655" s="427"/>
    </row>
    <row r="656">
      <c r="K656" s="427"/>
    </row>
    <row r="657">
      <c r="K657" s="427"/>
    </row>
    <row r="658">
      <c r="K658" s="427"/>
    </row>
    <row r="663">
      <c r="K663" s="427"/>
    </row>
    <row r="664">
      <c r="K664" s="427"/>
    </row>
    <row r="665">
      <c r="K665" s="427"/>
    </row>
    <row r="666">
      <c r="K666" s="427"/>
    </row>
    <row r="667">
      <c r="K667" s="427"/>
    </row>
    <row r="668">
      <c r="K668" s="427"/>
    </row>
    <row r="669">
      <c r="K669" s="427"/>
    </row>
    <row r="670">
      <c r="K670" s="427"/>
    </row>
    <row r="671">
      <c r="K671" s="427"/>
    </row>
    <row r="672">
      <c r="K672" s="427"/>
    </row>
    <row r="673">
      <c r="K673" s="427"/>
    </row>
    <row r="677">
      <c r="K677" s="427"/>
    </row>
    <row r="678">
      <c r="K678" s="427"/>
    </row>
    <row r="679">
      <c r="K679" s="427"/>
    </row>
    <row r="681">
      <c r="K681" s="427"/>
    </row>
    <row r="682">
      <c r="K682" s="427"/>
    </row>
    <row r="683">
      <c r="K683" s="427"/>
    </row>
    <row r="684">
      <c r="K684" s="427"/>
    </row>
    <row r="685">
      <c r="K685" s="427"/>
    </row>
    <row r="686">
      <c r="K686" s="427"/>
    </row>
    <row r="687">
      <c r="K687" s="427"/>
    </row>
    <row r="688">
      <c r="K688" s="427"/>
    </row>
    <row r="689">
      <c r="K689" s="427"/>
    </row>
    <row r="690">
      <c r="K690" s="427"/>
    </row>
    <row r="691">
      <c r="K691" s="427"/>
    </row>
    <row r="692">
      <c r="K692" s="427"/>
    </row>
    <row r="693">
      <c r="K693" s="427"/>
    </row>
    <row r="694">
      <c r="K694" s="427"/>
    </row>
    <row r="695">
      <c r="K695" s="427"/>
    </row>
    <row r="696">
      <c r="K696" s="427"/>
    </row>
    <row r="697">
      <c r="K697" s="427"/>
    </row>
    <row r="698">
      <c r="K698" s="427"/>
    </row>
    <row r="699">
      <c r="K699" s="427"/>
    </row>
    <row r="700">
      <c r="K700" s="427"/>
    </row>
    <row r="701">
      <c r="K701" s="427"/>
    </row>
    <row r="702">
      <c r="K702" s="427"/>
    </row>
    <row r="703">
      <c r="K703" s="427"/>
    </row>
    <row r="704">
      <c r="K704" s="427"/>
    </row>
    <row r="705">
      <c r="K705" s="427"/>
    </row>
    <row r="706">
      <c r="K706" s="427"/>
    </row>
    <row r="708">
      <c r="K708" s="427"/>
    </row>
    <row r="710">
      <c r="K710" s="427"/>
    </row>
    <row r="711">
      <c r="K711" s="427"/>
    </row>
    <row r="712">
      <c r="K712" s="427">
        <v>9.1</v>
      </c>
    </row>
    <row r="713">
      <c r="K713" s="427">
        <v>9.1</v>
      </c>
    </row>
    <row r="714">
      <c r="K714" s="427"/>
    </row>
    <row r="715">
      <c r="K715" s="427"/>
    </row>
    <row r="716">
      <c r="K716" s="427"/>
    </row>
    <row r="717">
      <c r="K717" s="427"/>
    </row>
    <row r="718">
      <c r="K718" s="427"/>
    </row>
    <row r="719">
      <c r="K719" s="427"/>
    </row>
    <row r="720">
      <c r="K720" s="427"/>
    </row>
    <row r="721">
      <c r="K721" s="427"/>
    </row>
    <row r="722">
      <c r="K722" s="427"/>
    </row>
    <row r="723">
      <c r="K723" s="427"/>
    </row>
    <row r="724">
      <c r="K724" s="427"/>
    </row>
    <row r="728">
      <c r="K728" s="427"/>
    </row>
    <row r="729">
      <c r="K729" s="427"/>
    </row>
    <row r="730">
      <c r="K730" s="427"/>
    </row>
    <row r="733">
      <c r="K733" s="427"/>
    </row>
    <row r="734">
      <c r="K734" s="427"/>
    </row>
    <row r="735">
      <c r="K735" s="427"/>
    </row>
    <row r="736">
      <c r="K736" s="427"/>
    </row>
    <row r="737">
      <c r="K737" s="427"/>
    </row>
    <row r="738">
      <c r="K738" s="427"/>
    </row>
    <row r="739">
      <c r="K739" s="427"/>
    </row>
    <row r="740">
      <c r="K740" s="427"/>
    </row>
    <row r="741">
      <c r="K741" s="427"/>
    </row>
    <row r="742">
      <c r="K742" s="427"/>
    </row>
    <row r="743">
      <c r="K743" s="427"/>
    </row>
    <row r="744">
      <c r="K744" s="427"/>
    </row>
    <row r="745">
      <c r="K745" s="427"/>
    </row>
    <row r="746">
      <c r="K746" s="427"/>
    </row>
    <row r="748">
      <c r="K748" s="427"/>
    </row>
    <row r="749">
      <c r="K749" s="427"/>
    </row>
    <row r="750">
      <c r="K750" s="427"/>
    </row>
    <row r="751">
      <c r="K751" s="427"/>
    </row>
    <row r="752">
      <c r="K752" s="427"/>
    </row>
    <row r="753">
      <c r="K753" s="427"/>
    </row>
    <row r="754">
      <c r="K754" s="427"/>
    </row>
    <row r="755">
      <c r="K755" s="427"/>
    </row>
    <row r="756">
      <c r="K756" s="427"/>
    </row>
    <row r="757">
      <c r="K757" s="427"/>
    </row>
    <row r="758">
      <c r="K758" s="427"/>
    </row>
    <row r="759">
      <c r="K759" s="427"/>
    </row>
    <row r="760">
      <c r="K760" s="427"/>
    </row>
    <row r="761">
      <c r="K761" s="427"/>
    </row>
    <row r="762">
      <c r="K762" s="427"/>
    </row>
    <row r="763">
      <c r="K763" s="427"/>
    </row>
    <row r="764">
      <c r="K764" s="427"/>
    </row>
    <row r="765">
      <c r="K765" s="427"/>
    </row>
    <row r="766">
      <c r="K766" s="427"/>
    </row>
    <row r="768">
      <c r="K768" s="427"/>
    </row>
    <row r="769">
      <c r="K769" s="427"/>
    </row>
    <row r="770">
      <c r="K770" s="427"/>
    </row>
    <row r="771">
      <c r="K771" s="427"/>
    </row>
    <row r="772">
      <c r="K772" s="427"/>
    </row>
    <row r="773">
      <c r="K773" s="427"/>
    </row>
    <row r="774">
      <c r="K774" s="427"/>
    </row>
    <row r="776">
      <c r="K776" s="427"/>
    </row>
    <row r="777">
      <c r="K777" s="427"/>
    </row>
    <row r="778">
      <c r="K778" s="427"/>
    </row>
    <row r="779">
      <c r="K779" s="427"/>
    </row>
    <row r="780">
      <c r="K780" s="427"/>
    </row>
    <row r="781">
      <c r="K781" s="427"/>
    </row>
    <row r="782">
      <c r="K782" s="427"/>
    </row>
    <row r="783">
      <c r="K783" s="427"/>
    </row>
    <row r="784">
      <c r="K784" s="427"/>
    </row>
    <row r="785">
      <c r="K785" s="427"/>
    </row>
    <row r="786">
      <c r="K786" s="427"/>
    </row>
    <row r="787">
      <c r="K787" s="427"/>
    </row>
    <row r="788">
      <c r="K788" s="427"/>
    </row>
    <row r="789">
      <c r="K789" s="427"/>
    </row>
    <row r="790">
      <c r="K790" s="427"/>
    </row>
    <row r="792">
      <c r="K792" s="427"/>
    </row>
    <row r="793">
      <c r="K793" s="427"/>
    </row>
    <row r="794">
      <c r="K794" s="427"/>
    </row>
    <row r="795">
      <c r="K795" s="427"/>
    </row>
    <row r="796">
      <c r="K796" s="427"/>
    </row>
    <row r="797">
      <c r="K797" s="427"/>
    </row>
    <row r="798">
      <c r="K798" s="427"/>
    </row>
    <row r="799">
      <c r="K799" s="427"/>
    </row>
    <row r="800">
      <c r="K800" s="427"/>
    </row>
    <row r="801">
      <c r="K801" s="427"/>
    </row>
    <row r="802">
      <c r="K802" s="427"/>
    </row>
    <row r="803">
      <c r="K803" s="427"/>
    </row>
    <row r="804">
      <c r="K804" s="427"/>
    </row>
    <row r="805">
      <c r="K805" s="427"/>
    </row>
    <row r="806">
      <c r="K806" s="427"/>
    </row>
    <row r="807">
      <c r="K807" s="427"/>
    </row>
    <row r="808">
      <c r="K808" s="427"/>
    </row>
    <row r="809">
      <c r="K809" s="427"/>
    </row>
    <row r="810">
      <c r="K810" s="427"/>
    </row>
    <row r="811">
      <c r="K811" s="427"/>
    </row>
    <row r="812">
      <c r="K812" s="427"/>
    </row>
    <row r="813">
      <c r="K813" s="427"/>
    </row>
    <row r="814">
      <c r="K814" s="427"/>
    </row>
    <row r="815">
      <c r="K815" s="427"/>
    </row>
    <row r="816">
      <c r="K816" s="427"/>
    </row>
    <row r="817">
      <c r="K817" s="427"/>
    </row>
    <row r="818">
      <c r="K818" s="427"/>
    </row>
    <row r="819">
      <c r="K819" s="427"/>
    </row>
    <row r="820">
      <c r="K820" s="427">
        <v>9.1</v>
      </c>
    </row>
    <row r="821">
      <c r="K821" s="427">
        <v>9.1</v>
      </c>
    </row>
    <row r="822">
      <c r="K822" s="427"/>
    </row>
    <row r="823">
      <c r="K823" s="427"/>
    </row>
    <row r="824">
      <c r="K824" s="427"/>
    </row>
    <row r="825">
      <c r="K825" s="427"/>
    </row>
    <row r="826">
      <c r="K826" s="427"/>
    </row>
    <row r="827">
      <c r="K827" s="427"/>
    </row>
    <row r="831">
      <c r="K831" s="427"/>
    </row>
    <row r="832">
      <c r="K832" s="427"/>
    </row>
    <row r="833">
      <c r="K833" s="427"/>
    </row>
    <row r="834">
      <c r="K834" s="427"/>
    </row>
    <row r="837">
      <c r="K837" s="427"/>
    </row>
    <row r="838">
      <c r="K838" s="427"/>
    </row>
    <row r="839">
      <c r="K839" s="427"/>
    </row>
    <row r="840">
      <c r="K840" s="427"/>
    </row>
    <row r="841">
      <c r="K841" s="427"/>
    </row>
    <row r="842">
      <c r="K842" s="427"/>
    </row>
    <row r="849">
      <c r="K849" s="427"/>
    </row>
    <row r="850">
      <c r="K850" s="427"/>
    </row>
    <row r="851">
      <c r="K851" s="427"/>
    </row>
    <row r="852">
      <c r="K852" s="427"/>
    </row>
    <row r="853">
      <c r="K853" s="427"/>
    </row>
    <row r="854">
      <c r="K854" s="427"/>
    </row>
    <row r="855">
      <c r="K855" s="427"/>
    </row>
    <row r="856">
      <c r="K856" s="427"/>
    </row>
    <row r="857">
      <c r="K857" s="427"/>
    </row>
    <row r="858">
      <c r="K858" s="427"/>
    </row>
    <row r="859">
      <c r="K859" s="427"/>
    </row>
    <row r="860">
      <c r="K860" s="427"/>
    </row>
    <row r="861">
      <c r="K861" s="427"/>
    </row>
    <row r="863">
      <c r="K863" s="427"/>
    </row>
    <row r="864">
      <c r="K864" s="427"/>
    </row>
    <row r="865">
      <c r="K865" s="427"/>
    </row>
    <row r="869">
      <c r="K869" s="427"/>
    </row>
    <row r="870">
      <c r="K870" s="427"/>
    </row>
    <row r="871">
      <c r="K871" s="427"/>
    </row>
    <row r="872">
      <c r="K872" s="427"/>
    </row>
    <row r="876">
      <c r="K876" s="427"/>
    </row>
    <row r="877">
      <c r="K877" s="427"/>
    </row>
    <row r="878">
      <c r="K878" s="427"/>
    </row>
    <row r="879">
      <c r="K879" s="427"/>
    </row>
    <row r="881">
      <c r="K881" s="427"/>
    </row>
    <row r="882">
      <c r="K882" s="427"/>
    </row>
    <row r="883">
      <c r="K883" s="427"/>
    </row>
    <row r="884">
      <c r="K884" s="427"/>
    </row>
    <row r="885">
      <c r="K885" s="427"/>
    </row>
    <row r="887">
      <c r="K887" s="427"/>
    </row>
    <row r="888">
      <c r="K888" s="427"/>
    </row>
    <row r="889">
      <c r="K889" s="427"/>
    </row>
    <row r="890">
      <c r="K890" s="427"/>
    </row>
    <row r="892">
      <c r="K892" s="427"/>
    </row>
    <row r="893">
      <c r="K893" s="427">
        <v>8.0</v>
      </c>
    </row>
    <row r="895">
      <c r="K895" s="427"/>
    </row>
    <row r="896">
      <c r="K896" s="427"/>
    </row>
    <row r="897">
      <c r="K897" s="427"/>
    </row>
    <row r="898">
      <c r="K898" s="427"/>
    </row>
    <row r="899">
      <c r="K899" s="427"/>
    </row>
    <row r="900">
      <c r="K900" s="427"/>
    </row>
    <row r="901">
      <c r="K901" s="427">
        <v>9.1</v>
      </c>
    </row>
    <row r="902">
      <c r="K902" s="427">
        <v>9.1</v>
      </c>
    </row>
    <row r="903">
      <c r="K903" s="427">
        <v>9.1</v>
      </c>
    </row>
    <row r="904">
      <c r="K904" s="427"/>
    </row>
    <row r="908">
      <c r="K908" s="427"/>
    </row>
    <row r="910">
      <c r="K910" s="427"/>
    </row>
    <row r="911">
      <c r="K911" s="427"/>
    </row>
    <row r="912">
      <c r="K912" s="427"/>
    </row>
    <row r="913">
      <c r="K913" s="427"/>
    </row>
    <row r="914">
      <c r="K914" s="427"/>
    </row>
    <row r="915">
      <c r="K915" s="427"/>
    </row>
    <row r="916">
      <c r="K916" s="427"/>
    </row>
    <row r="922">
      <c r="K922" s="427"/>
    </row>
    <row r="923">
      <c r="K923" s="427"/>
    </row>
    <row r="925">
      <c r="K925" s="427"/>
    </row>
    <row r="926">
      <c r="K926" s="427"/>
    </row>
    <row r="927">
      <c r="K927" s="427"/>
    </row>
    <row r="928">
      <c r="K928" s="427"/>
    </row>
    <row r="929">
      <c r="K929" s="427"/>
    </row>
    <row r="930">
      <c r="K930" s="427"/>
    </row>
    <row r="931">
      <c r="K931" s="427"/>
    </row>
    <row r="932">
      <c r="K932" s="427"/>
    </row>
    <row r="933">
      <c r="K933" s="427"/>
    </row>
    <row r="934">
      <c r="K934" s="427"/>
    </row>
    <row r="935">
      <c r="K935" s="427"/>
    </row>
    <row r="939">
      <c r="K939" s="427"/>
    </row>
    <row r="940">
      <c r="K940" s="427"/>
    </row>
    <row r="941">
      <c r="K941" s="427"/>
    </row>
    <row r="942">
      <c r="K942" s="427"/>
    </row>
    <row r="945">
      <c r="K945" s="427"/>
    </row>
    <row r="946">
      <c r="K946" s="427"/>
    </row>
    <row r="947">
      <c r="K947" s="427"/>
    </row>
    <row r="949">
      <c r="K949" s="427"/>
    </row>
    <row r="951">
      <c r="K951" s="427"/>
    </row>
    <row r="952">
      <c r="K952" s="427"/>
    </row>
    <row r="957">
      <c r="K957" s="427"/>
    </row>
    <row r="958">
      <c r="K958" s="427"/>
    </row>
    <row r="959">
      <c r="K959" s="427"/>
    </row>
    <row r="960">
      <c r="K960" s="427"/>
    </row>
    <row r="961">
      <c r="K961" s="427"/>
    </row>
    <row r="962">
      <c r="K962" s="427"/>
    </row>
    <row r="964">
      <c r="K964" s="427"/>
    </row>
    <row r="966">
      <c r="K966" s="427"/>
    </row>
    <row r="967">
      <c r="K967" s="427"/>
    </row>
    <row r="968">
      <c r="K968" s="427"/>
    </row>
    <row r="969">
      <c r="K969" s="427"/>
    </row>
    <row r="970">
      <c r="K970" s="427"/>
    </row>
    <row r="971">
      <c r="K971" s="427"/>
    </row>
    <row r="973">
      <c r="K973" s="427"/>
    </row>
    <row r="974">
      <c r="K974" s="427"/>
    </row>
    <row r="977">
      <c r="K977" s="427"/>
    </row>
    <row r="978">
      <c r="K978" s="427"/>
    </row>
    <row r="979">
      <c r="K979" s="427"/>
    </row>
    <row r="980">
      <c r="K980" s="427"/>
    </row>
    <row r="981">
      <c r="K981" s="427"/>
    </row>
    <row r="983">
      <c r="K983" s="427"/>
    </row>
    <row r="984">
      <c r="K984" s="427"/>
    </row>
    <row r="985">
      <c r="K985" s="427"/>
    </row>
    <row r="986">
      <c r="K986" s="427"/>
    </row>
    <row r="987">
      <c r="K987" s="427"/>
    </row>
    <row r="988">
      <c r="K988" s="427"/>
    </row>
    <row r="992">
      <c r="K992" s="427"/>
    </row>
    <row r="993">
      <c r="K993" s="427"/>
    </row>
    <row r="994">
      <c r="K994" s="427"/>
    </row>
    <row r="995">
      <c r="K995" s="427"/>
    </row>
    <row r="996">
      <c r="K996" s="427"/>
    </row>
    <row r="997">
      <c r="K997" s="427"/>
    </row>
    <row r="998">
      <c r="K998" s="427"/>
    </row>
    <row r="999">
      <c r="K999" s="427"/>
    </row>
    <row r="1000">
      <c r="K1000" s="427"/>
    </row>
    <row r="1001">
      <c r="K1001" s="427"/>
    </row>
    <row r="1002">
      <c r="K1002" s="427"/>
    </row>
    <row r="1003">
      <c r="K1003" s="427"/>
    </row>
    <row r="1004">
      <c r="K1004" s="427"/>
    </row>
    <row r="1005">
      <c r="K1005" s="427"/>
    </row>
    <row r="1006">
      <c r="K1006" s="427"/>
    </row>
    <row r="1007">
      <c r="K1007" s="427"/>
    </row>
    <row r="1008">
      <c r="K1008" s="427"/>
    </row>
    <row r="1009">
      <c r="K1009" s="427"/>
    </row>
    <row r="1010">
      <c r="K1010" s="427"/>
    </row>
    <row r="1011">
      <c r="K1011" s="427"/>
    </row>
    <row r="1012">
      <c r="K1012" s="427">
        <v>8.0</v>
      </c>
    </row>
    <row r="1014">
      <c r="K1014" s="427"/>
    </row>
    <row r="1017">
      <c r="K1017" s="427"/>
    </row>
    <row r="1018">
      <c r="K1018" s="427"/>
    </row>
    <row r="1019">
      <c r="K1019" s="427"/>
    </row>
    <row r="1020">
      <c r="K1020" s="427"/>
    </row>
    <row r="1021">
      <c r="K1021" s="427"/>
    </row>
    <row r="1022">
      <c r="K1022" s="427"/>
    </row>
    <row r="1023">
      <c r="K1023" s="427"/>
    </row>
    <row r="1024">
      <c r="K1024" s="427"/>
    </row>
    <row r="1025">
      <c r="K1025" s="427"/>
    </row>
    <row r="1026">
      <c r="K1026" s="427"/>
    </row>
    <row r="1027">
      <c r="K1027" s="427"/>
    </row>
    <row r="1028">
      <c r="K1028" s="427"/>
    </row>
    <row r="1029">
      <c r="K1029" s="427"/>
    </row>
    <row r="1030">
      <c r="K1030" s="427"/>
    </row>
    <row r="1031">
      <c r="K1031" s="427"/>
    </row>
    <row r="1032">
      <c r="K1032" s="427"/>
    </row>
    <row r="1033">
      <c r="K1033" s="427"/>
    </row>
    <row r="1034">
      <c r="K1034" s="427"/>
    </row>
    <row r="1035">
      <c r="K1035" s="427"/>
    </row>
    <row r="1036">
      <c r="K1036" s="427"/>
    </row>
    <row r="1037">
      <c r="K1037" s="427">
        <v>1.0</v>
      </c>
    </row>
    <row r="1038">
      <c r="K1038" s="427"/>
    </row>
    <row r="1039">
      <c r="K1039" s="427"/>
    </row>
    <row r="1040">
      <c r="K1040" s="427"/>
    </row>
    <row r="1041">
      <c r="K1041" s="427"/>
    </row>
    <row r="1042">
      <c r="K1042" s="427"/>
    </row>
    <row r="1043">
      <c r="K1043" s="427"/>
    </row>
    <row r="1044">
      <c r="K1044" s="427"/>
    </row>
    <row r="1047">
      <c r="K1047" s="427"/>
    </row>
    <row r="1048">
      <c r="K1048" s="427"/>
    </row>
    <row r="1049">
      <c r="K1049" s="427"/>
    </row>
    <row r="1050">
      <c r="K1050" s="427"/>
    </row>
    <row r="1051">
      <c r="K1051" s="427"/>
    </row>
    <row r="1052">
      <c r="K1052" s="427"/>
    </row>
    <row r="1053">
      <c r="K1053" s="427"/>
    </row>
    <row r="1054">
      <c r="K1054" s="427"/>
    </row>
    <row r="1055">
      <c r="K1055" s="427"/>
    </row>
    <row r="1056">
      <c r="K1056" s="427"/>
    </row>
    <row r="1057">
      <c r="K1057" s="427"/>
    </row>
    <row r="1058">
      <c r="K1058" s="427"/>
    </row>
    <row r="1059">
      <c r="K1059" s="427"/>
    </row>
    <row r="1060">
      <c r="K1060" s="427"/>
    </row>
    <row r="1061">
      <c r="K1061" s="427"/>
    </row>
    <row r="1062">
      <c r="K1062" s="427"/>
    </row>
    <row r="1063">
      <c r="K1063" s="427"/>
    </row>
    <row r="1064">
      <c r="K1064" s="427"/>
    </row>
    <row r="1065">
      <c r="K1065" s="427"/>
    </row>
    <row r="1066">
      <c r="K1066" s="427"/>
    </row>
    <row r="1067">
      <c r="K1067" s="427"/>
    </row>
    <row r="1068">
      <c r="K1068" s="427"/>
    </row>
    <row r="1069">
      <c r="K1069" s="427"/>
    </row>
    <row r="1070">
      <c r="K1070" s="427"/>
    </row>
    <row r="1071">
      <c r="K1071" s="427"/>
    </row>
    <row r="1072">
      <c r="K1072" s="427"/>
    </row>
    <row r="1073">
      <c r="K1073" s="427"/>
    </row>
    <row r="1074">
      <c r="K1074" s="427">
        <v>9.1</v>
      </c>
    </row>
    <row r="1075">
      <c r="K1075" s="427">
        <v>9.1</v>
      </c>
    </row>
    <row r="1076">
      <c r="K1076" s="427"/>
    </row>
    <row r="1077">
      <c r="K1077" s="427">
        <v>9.1</v>
      </c>
    </row>
    <row r="1078">
      <c r="K1078" s="427">
        <v>9.1</v>
      </c>
    </row>
    <row r="1079">
      <c r="K1079" s="427"/>
    </row>
    <row r="1081">
      <c r="K1081" s="427"/>
    </row>
    <row r="1082">
      <c r="K1082" s="427"/>
    </row>
    <row r="1083">
      <c r="K1083" s="427"/>
    </row>
    <row r="1084">
      <c r="K1084" s="427"/>
    </row>
    <row r="1085">
      <c r="K1085" s="427"/>
    </row>
    <row r="1086">
      <c r="K1086" s="427"/>
    </row>
    <row r="1087">
      <c r="K1087" s="427"/>
    </row>
    <row r="1088">
      <c r="K1088" s="427"/>
    </row>
    <row r="1089">
      <c r="K1089" s="427"/>
    </row>
    <row r="1090">
      <c r="K1090" s="427"/>
    </row>
    <row r="1091">
      <c r="K1091" s="427">
        <v>9.1</v>
      </c>
    </row>
    <row r="1092">
      <c r="K1092" s="427"/>
    </row>
    <row r="1093">
      <c r="K1093" s="427"/>
    </row>
    <row r="1094">
      <c r="K1094" s="427"/>
    </row>
    <row r="1095">
      <c r="K1095" s="427"/>
    </row>
    <row r="1096">
      <c r="K1096" s="427"/>
    </row>
    <row r="1097">
      <c r="K1097" s="427"/>
    </row>
    <row r="1099">
      <c r="K1099" s="427"/>
    </row>
    <row r="1100">
      <c r="K1100" s="427">
        <v>9.1</v>
      </c>
    </row>
    <row r="1101">
      <c r="K1101" s="427">
        <v>9.1</v>
      </c>
    </row>
    <row r="1102">
      <c r="K1102" s="427">
        <v>9.1</v>
      </c>
    </row>
    <row r="1103">
      <c r="K1103" s="427">
        <v>9.1</v>
      </c>
    </row>
    <row r="1104">
      <c r="K1104" s="427"/>
    </row>
    <row r="1105">
      <c r="K1105" s="427"/>
    </row>
    <row r="1106">
      <c r="K1106" s="427"/>
    </row>
    <row r="1107">
      <c r="K1107" s="427"/>
    </row>
    <row r="1108">
      <c r="K1108" s="427"/>
    </row>
    <row r="1109">
      <c r="K1109" s="427"/>
    </row>
    <row r="1118">
      <c r="K1118" s="427">
        <v>1.0</v>
      </c>
    </row>
    <row r="1119">
      <c r="K1119" s="427"/>
    </row>
    <row r="1120">
      <c r="K1120" s="427"/>
    </row>
    <row r="1122">
      <c r="K1122" s="427"/>
    </row>
    <row r="1123">
      <c r="K1123" s="427"/>
    </row>
    <row r="1124">
      <c r="K1124" s="427"/>
    </row>
    <row r="1125">
      <c r="K1125" s="427"/>
    </row>
    <row r="1126">
      <c r="K1126" s="427"/>
    </row>
    <row r="1127">
      <c r="K1127" s="427"/>
    </row>
    <row r="1128">
      <c r="K1128" s="427"/>
    </row>
    <row r="1129">
      <c r="K1129" s="427"/>
    </row>
    <row r="1130">
      <c r="K1130" s="427"/>
    </row>
    <row r="1131">
      <c r="K1131" s="427"/>
    </row>
    <row r="1132">
      <c r="K1132" s="427"/>
    </row>
    <row r="1133">
      <c r="K1133" s="427"/>
    </row>
    <row r="1135">
      <c r="K1135" s="427"/>
    </row>
    <row r="1136">
      <c r="K1136" s="427"/>
    </row>
    <row r="1137">
      <c r="K1137" s="427"/>
    </row>
    <row r="1138">
      <c r="K1138" s="427"/>
    </row>
    <row r="1139">
      <c r="K1139" s="427"/>
    </row>
    <row r="1143">
      <c r="K1143" s="427"/>
    </row>
    <row r="1144">
      <c r="K1144" s="427"/>
    </row>
    <row r="1145">
      <c r="K1145" s="427"/>
    </row>
    <row r="1146">
      <c r="K1146" s="427"/>
    </row>
    <row r="1147">
      <c r="K1147" s="427"/>
    </row>
    <row r="1148">
      <c r="K1148" s="427"/>
    </row>
    <row r="1149">
      <c r="K1149" s="427"/>
    </row>
    <row r="1150">
      <c r="K1150" s="427"/>
    </row>
    <row r="1151">
      <c r="K1151" s="427"/>
    </row>
    <row r="1152">
      <c r="K1152" s="427"/>
    </row>
    <row r="1153">
      <c r="K1153" s="427"/>
    </row>
    <row r="1154">
      <c r="K1154" s="427"/>
    </row>
    <row r="1156">
      <c r="K1156" s="427"/>
    </row>
    <row r="1157">
      <c r="K1157" s="427"/>
    </row>
    <row r="1158">
      <c r="K1158" s="427"/>
    </row>
    <row r="1159">
      <c r="K1159" s="427"/>
    </row>
    <row r="1160">
      <c r="K1160" s="427"/>
    </row>
    <row r="1161">
      <c r="K1161" s="427"/>
    </row>
    <row r="1162">
      <c r="K1162" s="427"/>
    </row>
    <row r="1164">
      <c r="K1164" s="427"/>
    </row>
    <row r="1165">
      <c r="K1165" s="427"/>
    </row>
    <row r="1169">
      <c r="K1169" s="427"/>
    </row>
    <row r="1170">
      <c r="K1170" s="427"/>
    </row>
    <row r="1171">
      <c r="K1171" s="427"/>
    </row>
    <row r="1172">
      <c r="K1172" s="427"/>
    </row>
    <row r="1173">
      <c r="K1173" s="427"/>
    </row>
    <row r="1174">
      <c r="K1174" s="427"/>
    </row>
    <row r="1175">
      <c r="K1175" s="427"/>
    </row>
    <row r="1176">
      <c r="K1176" s="427"/>
    </row>
    <row r="1177">
      <c r="K1177" s="427"/>
    </row>
    <row r="1178">
      <c r="K1178" s="427"/>
    </row>
    <row r="1182">
      <c r="K1182" s="427"/>
    </row>
    <row r="1183">
      <c r="K1183" s="427"/>
    </row>
    <row r="1184">
      <c r="K1184" s="427"/>
    </row>
    <row r="1185">
      <c r="K1185" s="427"/>
    </row>
    <row r="1186">
      <c r="K1186" s="427"/>
    </row>
    <row r="1187">
      <c r="K1187" s="427"/>
    </row>
    <row r="1188">
      <c r="K1188" s="427"/>
    </row>
    <row r="1189">
      <c r="K1189" s="427"/>
    </row>
    <row r="1190">
      <c r="K1190" s="427"/>
    </row>
    <row r="1191">
      <c r="K1191" s="427"/>
    </row>
    <row r="1192">
      <c r="K1192" s="427"/>
    </row>
    <row r="1193">
      <c r="K1193" s="427"/>
    </row>
    <row r="1194">
      <c r="K1194" s="427"/>
    </row>
    <row r="1195">
      <c r="K1195" s="427"/>
    </row>
    <row r="1196">
      <c r="K1196" s="427"/>
    </row>
    <row r="1197">
      <c r="K1197" s="427"/>
    </row>
    <row r="1198">
      <c r="K1198" s="427"/>
    </row>
    <row r="1199">
      <c r="K1199" s="427"/>
    </row>
    <row r="1200">
      <c r="K1200" s="427"/>
    </row>
    <row r="1201">
      <c r="K1201" s="427"/>
    </row>
    <row r="1202">
      <c r="K1202" s="427"/>
    </row>
    <row r="1203">
      <c r="K1203" s="427"/>
    </row>
    <row r="1204">
      <c r="K1204" s="427"/>
    </row>
    <row r="1205">
      <c r="K1205" s="427"/>
    </row>
    <row r="1206">
      <c r="K1206" s="427"/>
    </row>
    <row r="1207">
      <c r="K1207" s="427"/>
    </row>
    <row r="1208">
      <c r="K1208" s="427"/>
    </row>
    <row r="1209">
      <c r="K1209" s="427"/>
    </row>
    <row r="1210">
      <c r="K1210" s="427"/>
    </row>
    <row r="1211">
      <c r="K1211" s="427"/>
    </row>
    <row r="1212">
      <c r="K1212" s="427"/>
    </row>
    <row r="1213">
      <c r="K1213" s="427"/>
    </row>
    <row r="1214">
      <c r="K1214" s="427"/>
    </row>
    <row r="1215">
      <c r="K1215" s="427"/>
    </row>
    <row r="1216">
      <c r="K1216" s="427"/>
    </row>
    <row r="1217">
      <c r="K1217" s="427"/>
    </row>
    <row r="1218">
      <c r="K1218" s="427"/>
    </row>
    <row r="1219">
      <c r="K1219" s="427"/>
    </row>
    <row r="1220">
      <c r="K1220" s="427"/>
    </row>
    <row r="1221">
      <c r="K1221" s="427"/>
    </row>
    <row r="1222">
      <c r="K1222" s="427"/>
    </row>
    <row r="1223">
      <c r="K1223" s="427"/>
    </row>
    <row r="1224">
      <c r="K1224" s="427"/>
    </row>
    <row r="1225">
      <c r="K1225" s="427"/>
    </row>
    <row r="1226">
      <c r="K1226" s="427"/>
    </row>
    <row r="1227">
      <c r="K1227" s="427"/>
    </row>
    <row r="1228">
      <c r="K1228" s="427"/>
    </row>
    <row r="1229">
      <c r="K1229" s="427"/>
    </row>
    <row r="1230">
      <c r="K1230" s="427"/>
    </row>
    <row r="1231">
      <c r="K1231" s="427"/>
    </row>
    <row r="1233">
      <c r="K1233" s="427"/>
    </row>
    <row r="1234">
      <c r="K1234" s="427"/>
    </row>
    <row r="1235">
      <c r="K1235" s="427"/>
    </row>
    <row r="1236">
      <c r="K1236" s="427"/>
    </row>
    <row r="1239">
      <c r="K1239" s="427"/>
    </row>
    <row r="1241">
      <c r="K1241" s="427"/>
    </row>
    <row r="1242">
      <c r="K1242" s="427"/>
    </row>
    <row r="1243">
      <c r="K1243" s="427"/>
    </row>
    <row r="1244">
      <c r="K1244" s="427"/>
    </row>
    <row r="1245">
      <c r="K1245" s="427"/>
    </row>
    <row r="1246">
      <c r="K1246" s="427"/>
    </row>
    <row r="1247">
      <c r="K1247" s="427"/>
    </row>
    <row r="1250">
      <c r="K1250" s="427"/>
    </row>
    <row r="1251">
      <c r="K1251" s="427"/>
    </row>
    <row r="1252">
      <c r="K1252" s="427"/>
    </row>
    <row r="1253">
      <c r="K1253" s="427"/>
    </row>
    <row r="1254">
      <c r="K1254" s="427"/>
    </row>
    <row r="1255">
      <c r="K1255" s="427"/>
    </row>
    <row r="1256">
      <c r="K1256" s="427"/>
    </row>
    <row r="1257">
      <c r="K1257" s="427"/>
    </row>
    <row r="1258">
      <c r="K1258" s="427"/>
    </row>
    <row r="1259">
      <c r="K1259" s="427"/>
    </row>
    <row r="1260">
      <c r="K1260" s="427"/>
    </row>
    <row r="1261">
      <c r="K1261" s="427"/>
    </row>
    <row r="1262">
      <c r="K1262" s="427"/>
    </row>
    <row r="1263">
      <c r="K1263" s="427"/>
    </row>
    <row r="1264">
      <c r="K1264" s="427"/>
    </row>
    <row r="1265">
      <c r="K1265" s="427"/>
    </row>
    <row r="1266">
      <c r="K1266" s="427"/>
    </row>
    <row r="1267">
      <c r="K1267" s="427"/>
    </row>
    <row r="1274">
      <c r="K1274" s="427"/>
    </row>
    <row r="1275">
      <c r="K1275" s="427"/>
    </row>
    <row r="1276">
      <c r="K1276" s="427"/>
    </row>
    <row r="1277">
      <c r="K1277" s="427"/>
    </row>
    <row r="1278">
      <c r="K1278" s="427"/>
    </row>
    <row r="1279">
      <c r="K1279" s="427"/>
    </row>
    <row r="1280">
      <c r="K1280" s="427"/>
    </row>
    <row r="1281">
      <c r="K1281" s="427"/>
    </row>
    <row r="1283">
      <c r="K1283" s="427"/>
    </row>
    <row r="1286">
      <c r="K1286" s="427"/>
    </row>
    <row r="1288">
      <c r="K1288" s="427"/>
    </row>
    <row r="1290">
      <c r="K1290" s="427"/>
    </row>
    <row r="1291">
      <c r="K1291" s="427"/>
    </row>
    <row r="1292">
      <c r="K1292" s="427"/>
    </row>
    <row r="1293">
      <c r="K1293" s="427"/>
    </row>
    <row r="1294">
      <c r="K1294" s="427"/>
    </row>
    <row r="1295">
      <c r="K1295" s="427"/>
    </row>
    <row r="1296">
      <c r="K1296" s="427"/>
    </row>
    <row r="1297">
      <c r="K1297" s="427"/>
    </row>
    <row r="1298">
      <c r="K1298" s="427"/>
    </row>
    <row r="1299">
      <c r="K1299" s="427"/>
    </row>
    <row r="1300">
      <c r="K1300" s="427"/>
    </row>
    <row r="1301">
      <c r="K1301" s="427"/>
    </row>
    <row r="1302">
      <c r="K1302" s="427"/>
    </row>
    <row r="1303">
      <c r="K1303" s="427"/>
    </row>
    <row r="1304">
      <c r="K1304" s="427"/>
    </row>
    <row r="1305">
      <c r="K1305" s="427"/>
    </row>
    <row r="1306">
      <c r="K1306" s="427"/>
    </row>
    <row r="1308">
      <c r="K1308" s="427"/>
    </row>
    <row r="1309">
      <c r="K1309" s="427"/>
    </row>
    <row r="1310">
      <c r="K1310" s="427"/>
    </row>
    <row r="1311">
      <c r="K1311" s="427"/>
    </row>
    <row r="1312">
      <c r="K1312" s="427"/>
    </row>
    <row r="1313">
      <c r="K1313" s="427"/>
    </row>
    <row r="1314">
      <c r="K1314" s="427"/>
    </row>
    <row r="1315">
      <c r="K1315" s="427"/>
    </row>
    <row r="1316">
      <c r="K1316" s="427"/>
    </row>
    <row r="1317">
      <c r="K1317" s="427"/>
    </row>
    <row r="1318">
      <c r="K1318" s="427"/>
    </row>
    <row r="1319">
      <c r="K1319" s="427"/>
    </row>
    <row r="1320">
      <c r="K1320" s="427"/>
    </row>
    <row r="1321">
      <c r="K1321" s="427"/>
    </row>
    <row r="1322">
      <c r="K1322" s="427"/>
    </row>
    <row r="1324">
      <c r="K1324" s="427"/>
    </row>
    <row r="1325">
      <c r="K1325" s="427"/>
    </row>
    <row r="1326">
      <c r="K1326" s="427"/>
    </row>
    <row r="1327">
      <c r="K1327" s="427"/>
    </row>
    <row r="1328">
      <c r="K1328" s="427"/>
    </row>
    <row r="1329">
      <c r="K1329" s="427"/>
    </row>
    <row r="1330">
      <c r="K1330" s="427"/>
    </row>
    <row r="1331">
      <c r="K1331" s="427"/>
    </row>
    <row r="1332">
      <c r="K1332" s="427"/>
    </row>
    <row r="1333">
      <c r="K1333" s="427"/>
    </row>
    <row r="1336">
      <c r="K1336" s="427"/>
    </row>
    <row r="1337">
      <c r="K1337" s="427"/>
    </row>
    <row r="1338">
      <c r="K1338" s="427"/>
    </row>
    <row r="1339">
      <c r="K1339" s="427"/>
    </row>
    <row r="1340">
      <c r="K1340" s="427"/>
    </row>
    <row r="1341">
      <c r="K1341" s="427"/>
    </row>
    <row r="1342">
      <c r="K1342" s="427"/>
    </row>
    <row r="1343">
      <c r="K1343" s="427"/>
    </row>
    <row r="1344">
      <c r="K1344" s="427"/>
    </row>
    <row r="1345">
      <c r="K1345" s="427"/>
    </row>
    <row r="1346">
      <c r="K1346" s="427"/>
    </row>
    <row r="1347">
      <c r="K1347" s="427"/>
    </row>
    <row r="1348">
      <c r="K1348" s="427"/>
    </row>
    <row r="1349">
      <c r="K1349" s="427"/>
    </row>
    <row r="1350">
      <c r="K1350" s="427"/>
    </row>
    <row r="1351">
      <c r="K1351" s="427"/>
    </row>
    <row r="1352">
      <c r="K1352" s="427"/>
    </row>
    <row r="1355">
      <c r="K1355" s="427"/>
    </row>
    <row r="1356">
      <c r="K1356" s="427">
        <v>9.1</v>
      </c>
    </row>
    <row r="1357">
      <c r="K1357" s="427">
        <v>9.1</v>
      </c>
    </row>
    <row r="1358">
      <c r="K1358" s="427"/>
    </row>
    <row r="1359">
      <c r="K1359" s="427"/>
    </row>
    <row r="1360">
      <c r="K1360" s="427"/>
    </row>
    <row r="1361">
      <c r="K1361" s="427"/>
    </row>
    <row r="1362">
      <c r="K1362" s="427"/>
    </row>
    <row r="1363">
      <c r="K1363" s="427"/>
    </row>
    <row r="1364">
      <c r="K1364" s="427"/>
    </row>
    <row r="1365">
      <c r="K1365" s="427"/>
    </row>
    <row r="1366">
      <c r="K1366" s="427"/>
    </row>
    <row r="1367">
      <c r="K1367" s="427"/>
    </row>
    <row r="1368">
      <c r="K1368" s="427"/>
    </row>
    <row r="1369">
      <c r="K1369" s="427"/>
    </row>
    <row r="1370">
      <c r="K1370" s="427"/>
    </row>
    <row r="1371">
      <c r="K1371" s="427"/>
    </row>
    <row r="1372">
      <c r="K1372" s="427"/>
    </row>
    <row r="1373">
      <c r="K1373" s="427"/>
    </row>
    <row r="1374">
      <c r="K1374" s="427"/>
    </row>
    <row r="1375">
      <c r="K1375" s="427"/>
    </row>
    <row r="1376">
      <c r="K1376" s="427"/>
    </row>
    <row r="1377">
      <c r="K1377" s="427"/>
    </row>
    <row r="1378">
      <c r="K1378" s="427"/>
    </row>
    <row r="1379">
      <c r="K1379" s="427"/>
    </row>
    <row r="1380">
      <c r="K1380" s="427"/>
    </row>
    <row r="1381">
      <c r="K1381" s="427"/>
    </row>
    <row r="1382">
      <c r="K1382" s="427"/>
    </row>
    <row r="1383">
      <c r="K1383" s="427"/>
    </row>
    <row r="1384">
      <c r="K1384" s="427"/>
    </row>
    <row r="1385">
      <c r="K1385" s="427"/>
    </row>
    <row r="1386">
      <c r="K1386" s="427"/>
    </row>
    <row r="1387">
      <c r="K1387" s="427"/>
    </row>
    <row r="1389">
      <c r="K1389" s="427"/>
    </row>
    <row r="1390">
      <c r="K1390" s="427"/>
    </row>
    <row r="1391">
      <c r="K1391" s="427"/>
    </row>
    <row r="1392">
      <c r="K1392" s="427"/>
    </row>
    <row r="1393">
      <c r="K1393" s="427"/>
    </row>
    <row r="1394">
      <c r="K1394" s="427"/>
    </row>
    <row r="1395">
      <c r="K1395" s="427"/>
    </row>
    <row r="1396">
      <c r="K1396" s="427"/>
    </row>
    <row r="1397">
      <c r="K1397" s="427"/>
    </row>
    <row r="1398">
      <c r="K1398" s="427"/>
    </row>
    <row r="1399">
      <c r="K1399" s="427"/>
    </row>
    <row r="1400">
      <c r="K1400" s="427"/>
    </row>
    <row r="1401">
      <c r="K1401" s="427"/>
    </row>
    <row r="1402">
      <c r="K1402" s="427"/>
    </row>
    <row r="1403">
      <c r="K1403" s="427"/>
    </row>
    <row r="1404">
      <c r="K1404" s="427"/>
    </row>
    <row r="1405">
      <c r="K1405" s="427"/>
    </row>
    <row r="1406">
      <c r="K1406" s="427"/>
    </row>
    <row r="1407">
      <c r="K1407" s="427"/>
    </row>
    <row r="1408">
      <c r="K1408" s="427"/>
    </row>
    <row r="1409">
      <c r="K1409" s="427"/>
    </row>
    <row r="1410">
      <c r="K1410" s="427"/>
    </row>
    <row r="1411">
      <c r="K1411" s="427"/>
    </row>
    <row r="1412">
      <c r="K1412" s="427"/>
    </row>
    <row r="1413">
      <c r="K1413" s="427"/>
    </row>
    <row r="1414">
      <c r="K1414" s="427"/>
    </row>
    <row r="1415">
      <c r="K1415" s="427"/>
    </row>
    <row r="1419">
      <c r="K1419" s="427"/>
    </row>
    <row r="1420">
      <c r="K1420" s="427"/>
    </row>
    <row r="1421">
      <c r="K1421" s="427"/>
    </row>
    <row r="1422">
      <c r="K1422" s="427"/>
    </row>
    <row r="1423">
      <c r="K1423" s="427"/>
    </row>
    <row r="1424">
      <c r="K1424" s="427"/>
    </row>
    <row r="1425">
      <c r="K1425" s="427"/>
    </row>
    <row r="1428">
      <c r="K1428" s="427">
        <v>9.1</v>
      </c>
    </row>
    <row r="1429">
      <c r="K1429" s="427">
        <v>9.1</v>
      </c>
    </row>
    <row r="1430">
      <c r="K1430" s="427"/>
    </row>
    <row r="1435">
      <c r="K1435" s="427"/>
    </row>
    <row r="1436">
      <c r="K1436" s="427"/>
    </row>
    <row r="1437">
      <c r="K1437" s="427"/>
    </row>
    <row r="1438">
      <c r="K1438" s="427"/>
    </row>
    <row r="1440">
      <c r="K1440" s="427"/>
    </row>
    <row r="1441">
      <c r="K1441" s="427"/>
    </row>
    <row r="1442">
      <c r="K1442" s="427"/>
    </row>
    <row r="1444">
      <c r="K1444" s="427"/>
    </row>
    <row r="1445">
      <c r="K1445" s="427"/>
    </row>
    <row r="1446">
      <c r="K1446" s="427"/>
    </row>
    <row r="1447">
      <c r="K1447" s="427"/>
    </row>
    <row r="1448">
      <c r="K1448" s="427"/>
    </row>
    <row r="1449">
      <c r="K1449" s="427"/>
    </row>
    <row r="1450">
      <c r="K1450" s="427"/>
    </row>
    <row r="1451">
      <c r="K1451" s="427"/>
    </row>
    <row r="1452">
      <c r="K1452" s="427"/>
    </row>
    <row r="1453">
      <c r="K1453" s="427"/>
    </row>
    <row r="1454">
      <c r="K1454" s="427"/>
    </row>
    <row r="1455">
      <c r="K1455" s="427"/>
    </row>
    <row r="1456">
      <c r="K1456" s="427"/>
    </row>
    <row r="1457">
      <c r="K1457" s="427"/>
    </row>
    <row r="1458">
      <c r="K1458" s="427"/>
    </row>
    <row r="1459">
      <c r="K1459" s="427">
        <v>9.1</v>
      </c>
    </row>
    <row r="1460">
      <c r="K1460" s="427">
        <v>9.1</v>
      </c>
    </row>
    <row r="1461">
      <c r="K1461" s="427">
        <v>9.1</v>
      </c>
    </row>
    <row r="1462">
      <c r="K1462" s="427"/>
    </row>
    <row r="1463">
      <c r="K1463" s="427"/>
    </row>
    <row r="1464">
      <c r="K1464" s="427"/>
    </row>
    <row r="1466">
      <c r="K1466" s="427"/>
    </row>
    <row r="1467">
      <c r="K1467" s="427"/>
    </row>
    <row r="1468">
      <c r="K1468" s="427"/>
    </row>
    <row r="1469">
      <c r="K1469" s="427"/>
    </row>
    <row r="1470">
      <c r="K1470" s="427"/>
    </row>
    <row r="1471">
      <c r="K1471" s="427"/>
    </row>
    <row r="1472">
      <c r="K1472" s="427"/>
    </row>
    <row r="1473">
      <c r="K1473" s="427"/>
    </row>
    <row r="1474">
      <c r="K1474" s="427"/>
    </row>
    <row r="1475">
      <c r="K1475" s="427"/>
    </row>
    <row r="1476">
      <c r="K1476" s="427"/>
    </row>
    <row r="1477">
      <c r="K1477" s="427"/>
    </row>
    <row r="1478">
      <c r="K1478" s="427"/>
    </row>
    <row r="1479">
      <c r="K1479" s="427"/>
    </row>
    <row r="1480">
      <c r="K1480" s="427"/>
    </row>
    <row r="1481">
      <c r="K1481" s="427"/>
    </row>
    <row r="1482">
      <c r="K1482" s="427"/>
    </row>
    <row r="1483">
      <c r="K1483" s="427"/>
    </row>
    <row r="1484">
      <c r="K1484" s="427"/>
    </row>
    <row r="1485">
      <c r="K1485" s="427"/>
    </row>
    <row r="1486">
      <c r="K1486" s="427"/>
    </row>
    <row r="1487">
      <c r="K1487" s="427"/>
    </row>
    <row r="1488">
      <c r="K1488" s="427"/>
    </row>
    <row r="1489">
      <c r="K1489" s="427">
        <v>9.1</v>
      </c>
    </row>
    <row r="1490">
      <c r="K1490" s="427">
        <v>9.1</v>
      </c>
    </row>
    <row r="1491">
      <c r="K1491" s="427">
        <v>2.0</v>
      </c>
    </row>
    <row r="1492">
      <c r="K1492" s="427">
        <v>2.0</v>
      </c>
    </row>
    <row r="1493">
      <c r="K1493" s="427">
        <v>2.0</v>
      </c>
    </row>
    <row r="1494">
      <c r="K1494" s="427">
        <v>2.0</v>
      </c>
    </row>
    <row r="1495">
      <c r="K1495" s="427">
        <v>2.0</v>
      </c>
    </row>
    <row r="1496">
      <c r="K1496" s="427">
        <v>2.0</v>
      </c>
    </row>
    <row r="1497">
      <c r="K1497" s="427">
        <v>1.0</v>
      </c>
    </row>
    <row r="1498">
      <c r="K1498" s="427">
        <v>1.0</v>
      </c>
    </row>
    <row r="1499">
      <c r="K1499" s="427">
        <v>1.0</v>
      </c>
    </row>
    <row r="1500">
      <c r="K1500" s="427">
        <v>1.0</v>
      </c>
    </row>
    <row r="1501">
      <c r="K1501" s="427">
        <v>1.0</v>
      </c>
    </row>
    <row r="1502">
      <c r="K1502" s="427">
        <v>1.0</v>
      </c>
    </row>
    <row r="1503">
      <c r="K1503" s="427">
        <v>1.0</v>
      </c>
    </row>
    <row r="1504">
      <c r="K1504" s="427">
        <v>1.0</v>
      </c>
    </row>
    <row r="1505">
      <c r="K1505" s="427">
        <v>1.0</v>
      </c>
    </row>
    <row r="1506">
      <c r="K1506" s="427">
        <v>1.0</v>
      </c>
    </row>
    <row r="1507">
      <c r="K1507" s="427">
        <v>1.0</v>
      </c>
    </row>
    <row r="1508">
      <c r="K1508" s="427">
        <v>1.0</v>
      </c>
    </row>
    <row r="1509">
      <c r="K1509" s="427">
        <v>1.0</v>
      </c>
    </row>
    <row r="1510">
      <c r="K1510" s="427">
        <v>1.0</v>
      </c>
    </row>
    <row r="1511">
      <c r="K1511" s="427">
        <v>1.0</v>
      </c>
    </row>
    <row r="1512">
      <c r="K1512" s="427">
        <v>1.0</v>
      </c>
    </row>
    <row r="1513">
      <c r="K1513" s="427">
        <v>1.0</v>
      </c>
    </row>
    <row r="1514">
      <c r="K1514" s="427">
        <v>1.0</v>
      </c>
    </row>
    <row r="1515">
      <c r="K1515" s="427">
        <v>1.0</v>
      </c>
    </row>
    <row r="1516">
      <c r="K1516" s="427">
        <v>1.0</v>
      </c>
    </row>
    <row r="1517">
      <c r="K1517" s="427">
        <v>2.0</v>
      </c>
    </row>
    <row r="1518">
      <c r="K1518" s="427">
        <v>2.0</v>
      </c>
    </row>
    <row r="1519">
      <c r="K1519" s="427">
        <v>2.0</v>
      </c>
    </row>
    <row r="1520">
      <c r="K1520" s="427">
        <v>2.0</v>
      </c>
    </row>
    <row r="1521">
      <c r="K1521" s="427">
        <v>2.0</v>
      </c>
    </row>
    <row r="1522">
      <c r="K1522" s="427">
        <v>2.0</v>
      </c>
    </row>
    <row r="1523">
      <c r="K1523" s="427">
        <v>2.0</v>
      </c>
    </row>
    <row r="1524">
      <c r="K1524" s="427">
        <v>2.0</v>
      </c>
    </row>
    <row r="1525">
      <c r="K1525" s="427">
        <v>2.0</v>
      </c>
    </row>
    <row r="1526">
      <c r="K1526" s="427">
        <v>2.0</v>
      </c>
    </row>
    <row r="1527">
      <c r="K1527" s="427">
        <v>2.0</v>
      </c>
    </row>
    <row r="1528">
      <c r="K1528" s="427">
        <v>2.0</v>
      </c>
    </row>
    <row r="1529">
      <c r="K1529" s="427">
        <v>2.0</v>
      </c>
    </row>
    <row r="1530">
      <c r="K1530" s="427">
        <v>2.0</v>
      </c>
    </row>
    <row r="1531">
      <c r="K1531" s="427">
        <v>2.0</v>
      </c>
    </row>
    <row r="1532">
      <c r="K1532" s="427">
        <v>2.0</v>
      </c>
    </row>
    <row r="1533">
      <c r="K1533" s="427">
        <v>2.0</v>
      </c>
    </row>
    <row r="1534">
      <c r="K1534" s="427">
        <v>2.0</v>
      </c>
    </row>
    <row r="1535">
      <c r="K1535" s="427">
        <v>2.0</v>
      </c>
    </row>
    <row r="1536">
      <c r="K1536" s="427">
        <v>2.0</v>
      </c>
    </row>
    <row r="1537">
      <c r="K1537" s="427">
        <v>2.0</v>
      </c>
    </row>
    <row r="1538">
      <c r="K1538" s="427">
        <v>2.0</v>
      </c>
    </row>
    <row r="1539">
      <c r="K1539" s="427">
        <v>2.0</v>
      </c>
    </row>
    <row r="1540">
      <c r="K1540" s="427">
        <v>5.4</v>
      </c>
    </row>
    <row r="1541">
      <c r="K1541" s="427">
        <v>2.0</v>
      </c>
    </row>
    <row r="1542">
      <c r="K1542" s="427">
        <v>2.0</v>
      </c>
    </row>
    <row r="1543">
      <c r="K1543" s="427">
        <v>2.0</v>
      </c>
    </row>
    <row r="1544">
      <c r="K1544" s="427">
        <v>1.0</v>
      </c>
    </row>
    <row r="1545">
      <c r="K1545" s="427">
        <v>1.0</v>
      </c>
    </row>
    <row r="1546">
      <c r="K1546" s="427">
        <v>1.0</v>
      </c>
    </row>
  </sheetData>
  <mergeCells count="19">
    <mergeCell ref="A1:B1"/>
    <mergeCell ref="A2:B2"/>
    <mergeCell ref="A3:B3"/>
    <mergeCell ref="A4:B4"/>
    <mergeCell ref="A5:B5"/>
    <mergeCell ref="A6:B6"/>
    <mergeCell ref="A7:B7"/>
    <mergeCell ref="A15:B15"/>
    <mergeCell ref="A16:B16"/>
    <mergeCell ref="A17:B17"/>
    <mergeCell ref="A18:B18"/>
    <mergeCell ref="A19:B19"/>
    <mergeCell ref="A8:B8"/>
    <mergeCell ref="A9:B9"/>
    <mergeCell ref="A10:B10"/>
    <mergeCell ref="A11:B11"/>
    <mergeCell ref="A12:B12"/>
    <mergeCell ref="A13:B13"/>
    <mergeCell ref="A14:B14"/>
  </mergeCells>
  <conditionalFormatting sqref="F77">
    <cfRule type="expression" dxfId="15" priority="1">
      <formula>ISNUMBER($F77)</formula>
    </cfRule>
  </conditionalFormatting>
  <conditionalFormatting sqref="C6">
    <cfRule type="expression" dxfId="0" priority="2">
      <formula>NOT(D15)</formula>
    </cfRule>
  </conditionalFormatting>
  <conditionalFormatting sqref="D6">
    <cfRule type="expression" dxfId="0" priority="3">
      <formula>NOT(D15)</formula>
    </cfRule>
  </conditionalFormatting>
  <conditionalFormatting sqref="D11">
    <cfRule type="expression" dxfId="0" priority="4">
      <formula>NOT(D1)</formula>
    </cfRule>
  </conditionalFormatting>
  <conditionalFormatting sqref="C11">
    <cfRule type="expression" dxfId="0" priority="5">
      <formula>NOT(D1)</formula>
    </cfRule>
  </conditionalFormatting>
  <conditionalFormatting sqref="C1">
    <cfRule type="expression" dxfId="0" priority="6">
      <formula>NOT(D1)</formula>
    </cfRule>
  </conditionalFormatting>
  <conditionalFormatting sqref="D11">
    <cfRule type="expression" dxfId="16" priority="7">
      <formula>D3</formula>
    </cfRule>
  </conditionalFormatting>
  <conditionalFormatting sqref="D12:D13">
    <cfRule type="cellIs" dxfId="0" priority="8" operator="notEqual">
      <formula>D$5</formula>
    </cfRule>
  </conditionalFormatting>
  <conditionalFormatting sqref="D1">
    <cfRule type="containsText" dxfId="0" priority="9" operator="containsText" text="ERROR">
      <formula>NOT(ISERROR(SEARCH(("ERROR"),(D1))))</formula>
    </cfRule>
  </conditionalFormatting>
  <conditionalFormatting sqref="B23:B83 C23:C64 D23:E83 C66:C83">
    <cfRule type="expression" dxfId="15" priority="10">
      <formula>ISNUMBER($E23)</formula>
    </cfRule>
  </conditionalFormatting>
  <conditionalFormatting sqref="E22">
    <cfRule type="cellIs" dxfId="1" priority="11" operator="equal">
      <formula>D4</formula>
    </cfRule>
  </conditionalFormatting>
  <conditionalFormatting sqref="E22">
    <cfRule type="cellIs" dxfId="0" priority="12" operator="notEqual">
      <formula>D4</formula>
    </cfRule>
  </conditionalFormatting>
  <conditionalFormatting sqref="D3">
    <cfRule type="expression" dxfId="16" priority="13">
      <formula>D11</formula>
    </cfRule>
  </conditionalFormatting>
  <conditionalFormatting sqref="D1">
    <cfRule type="containsText" dxfId="1" priority="14" operator="containsText" text="OK">
      <formula>NOT(ISERROR(SEARCH(("OK"),(D1))))</formula>
    </cfRule>
  </conditionalFormatting>
  <conditionalFormatting sqref="D12:D13">
    <cfRule type="cellIs" dxfId="1" priority="15" operator="equal">
      <formula>D$5</formula>
    </cfRule>
  </conditionalFormatting>
  <drawing r:id="rId2"/>
  <legacyDrawing r:id="rId3"/>
</worksheet>
</file>